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theme/themeOverride1.xml" ContentType="application/vnd.openxmlformats-officedocument.themeOverride+xml"/>
  <Override PartName="/xl/drawings/drawing7.xml" ContentType="application/vnd.openxmlformats-officedocument.drawingml.chartshapes+xml"/>
  <Override PartName="/xl/charts/chart18.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activeX/activeX1.xml" ContentType="application/vnd.ms-office.activeX+xml"/>
  <Override PartName="/xl/activeX/activeX1.bin" ContentType="application/vnd.ms-office.activeX"/>
  <Override PartName="/xl/drawings/drawing10.xml" ContentType="application/vnd.openxmlformats-officedocument.drawing+xml"/>
  <Override PartName="/xl/charts/chart19.xml" ContentType="application/vnd.openxmlformats-officedocument.drawingml.chart+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comments7.xml" ContentType="application/vnd.openxmlformats-officedocument.spreadsheetml.comments+xml"/>
  <Override PartName="/xl/drawings/drawing14.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comments10.xml" ContentType="application/vnd.openxmlformats-officedocument.spreadsheetml.comments+xml"/>
  <Override PartName="/xl/drawings/drawing17.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18.xml" ContentType="application/vnd.openxmlformats-officedocument.drawing+xml"/>
  <Override PartName="/xl/comments11.xml" ContentType="application/vnd.openxmlformats-officedocument.spreadsheetml.comments+xml"/>
  <Override PartName="/xl/drawings/drawing19.xml" ContentType="application/vnd.openxmlformats-officedocument.drawing+xml"/>
  <Override PartName="/xl/comments12.xml" ContentType="application/vnd.openxmlformats-officedocument.spreadsheetml.comments+xml"/>
  <Override PartName="/xl/drawings/drawing20.xml" ContentType="application/vnd.openxmlformats-officedocument.drawing+xml"/>
  <Override PartName="/xl/comments13.xml" ContentType="application/vnd.openxmlformats-officedocument.spreadsheetml.comments+xml"/>
  <Override PartName="/xl/drawings/drawing21.xml" ContentType="application/vnd.openxmlformats-officedocument.drawing+xml"/>
  <Override PartName="/xl/charts/chart30.xml" ContentType="application/vnd.openxmlformats-officedocument.drawingml.chart+xml"/>
  <Override PartName="/xl/charts/chart31.xml" ContentType="application/vnd.openxmlformats-officedocument.drawingml.chart+xml"/>
  <Override PartName="/xl/comments14.xml" ContentType="application/vnd.openxmlformats-officedocument.spreadsheetml.comments+xml"/>
  <Override PartName="/xl/drawings/drawing22.xml" ContentType="application/vnd.openxmlformats-officedocument.drawing+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23.xml" ContentType="application/vnd.openxmlformats-officedocument.drawing+xml"/>
  <Override PartName="/xl/charts/chart36.xml" ContentType="application/vnd.openxmlformats-officedocument.drawingml.chart+xml"/>
  <Override PartName="/xl/charts/chart37.xml" ContentType="application/vnd.openxmlformats-officedocument.drawingml.chart+xml"/>
  <Override PartName="/xl/pivotTables/pivotTable1.xml" ContentType="application/vnd.openxmlformats-officedocument.spreadsheetml.pivotTable+xml"/>
  <Override PartName="/xl/drawings/drawing24.xml" ContentType="application/vnd.openxmlformats-officedocument.drawing+xml"/>
  <Override PartName="/xl/slicers/slicer1.xml" ContentType="application/vnd.ms-excel.slicer+xml"/>
  <Override PartName="/xl/charts/chart38.xml" ContentType="application/vnd.openxmlformats-officedocument.drawingml.chart+xml"/>
  <Override PartName="/xl/pivotTables/pivotTable2.xml" ContentType="application/vnd.openxmlformats-officedocument.spreadsheetml.pivotTable+xml"/>
  <Override PartName="/xl/drawings/drawing25.xml" ContentType="application/vnd.openxmlformats-officedocument.drawing+xml"/>
  <Override PartName="/xl/slicers/slicer2.xml" ContentType="application/vnd.ms-excel.slicer+xml"/>
  <Override PartName="/xl/charts/chart39.xml" ContentType="application/vnd.openxmlformats-officedocument.drawingml.chart+xml"/>
  <Override PartName="/xl/pivotTables/pivotTable3.xml" ContentType="application/vnd.openxmlformats-officedocument.spreadsheetml.pivotTable+xml"/>
  <Override PartName="/xl/drawings/drawing26.xml" ContentType="application/vnd.openxmlformats-officedocument.drawing+xml"/>
  <Override PartName="/xl/slicers/slicer3.xml" ContentType="application/vnd.ms-excel.slicer+xml"/>
  <Override PartName="/xl/charts/chart40.xml" ContentType="application/vnd.openxmlformats-officedocument.drawingml.chart+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5.xml" ContentType="application/vnd.openxmlformats-officedocument.spreadsheetml.comments+xml"/>
  <Override PartName="/xl/drawings/drawing3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hidePivotFieldList="1"/>
  <mc:AlternateContent xmlns:mc="http://schemas.openxmlformats.org/markup-compatibility/2006">
    <mc:Choice Requires="x15">
      <x15ac:absPath xmlns:x15ac="http://schemas.microsoft.com/office/spreadsheetml/2010/11/ac" url="D:\GENERACION\TODOS REPORTES GENERACIÓN\1a   HISTORICO GENERACION\GENERACION 2023\GEN 2023 V1\"/>
    </mc:Choice>
  </mc:AlternateContent>
  <bookViews>
    <workbookView xWindow="-110" yWindow="-110" windowWidth="19430" windowHeight="10430" tabRatio="762" activeTab="1"/>
  </bookViews>
  <sheets>
    <sheet name="INICIO" sheetId="20" r:id="rId1"/>
    <sheet name="CONTADORES" sheetId="7" r:id="rId2"/>
    <sheet name="DATOSAÑO" sheetId="103" r:id="rId3"/>
    <sheet name="REPORTE DIA" sheetId="104" r:id="rId4"/>
    <sheet name="OCENSA" sheetId="17" r:id="rId5"/>
    <sheet name="PRODUCCION VS ENERGIA GDP" sheetId="62" r:id="rId6"/>
    <sheet name="INFORME DIA GDP" sheetId="64" r:id="rId7"/>
    <sheet name="DATA DE LAS 12" sheetId="31" r:id="rId8"/>
    <sheet name="GRAFICAS RPTE GCIAL" sheetId="23" state="hidden" r:id="rId9"/>
    <sheet name="CURVA DURACION" sheetId="29" r:id="rId10"/>
    <sheet name="REGISTRO DE INDISPONIBILIDAD" sheetId="28" r:id="rId11"/>
    <sheet name="GRAFICAS CURVA DURACION" sheetId="69" state="hidden" r:id="rId12"/>
    <sheet name="CALCULO DE GAS" sheetId="13" state="hidden" r:id="rId13"/>
    <sheet name="CONSUMO DE GAS POR AREAS" sheetId="22" state="hidden" r:id="rId14"/>
    <sheet name="Resultados Mes &amp; Acum" sheetId="37" state="hidden" r:id="rId15"/>
    <sheet name="ESTADISTICOS" sheetId="65" state="hidden" r:id="rId16"/>
    <sheet name="CONSUMO ENERGIA ANUAL " sheetId="25" state="hidden" r:id="rId17"/>
    <sheet name="SEGUIMIENTO CONSUMO ENERGIA" sheetId="26" state="hidden" r:id="rId18"/>
    <sheet name="FORMATO" sheetId="18" state="hidden" r:id="rId19"/>
    <sheet name="Autog. Directa (Cup)" sheetId="70" state="hidden" r:id="rId20"/>
    <sheet name="OIL Generadores" sheetId="99" state="hidden" r:id="rId21"/>
    <sheet name="GRAFICAS DIA-MES" sheetId="33" state="hidden" r:id="rId22"/>
    <sheet name="ESTADISTICOS JENNY" sheetId="67" state="hidden" r:id="rId23"/>
    <sheet name="DATOSCECOS" sheetId="58" state="hidden" r:id="rId24"/>
    <sheet name="US-GT-8001-2" sheetId="32" state="hidden" r:id="rId25"/>
    <sheet name="ESTADISTICOS DE ENERGIA" sheetId="68" state="hidden" r:id="rId26"/>
    <sheet name="FAC  NW" sheetId="30" state="hidden" r:id="rId27"/>
    <sheet name="FILTROS" sheetId="100" state="hidden" r:id="rId28"/>
    <sheet name="INDICADORES" sheetId="53" state="hidden" r:id="rId29"/>
    <sheet name="Datos Mes2" sheetId="36" state="hidden" r:id="rId30"/>
    <sheet name="Grafica totales" sheetId="38" state="hidden" r:id="rId31"/>
    <sheet name="grafica1" sheetId="39" state="hidden" r:id="rId32"/>
    <sheet name="Grafica costos variables" sheetId="40" state="hidden" r:id="rId33"/>
    <sheet name="metricas" sheetId="41" state="hidden" r:id="rId34"/>
    <sheet name="Instrucciones" sheetId="42" state="hidden" r:id="rId35"/>
    <sheet name="Definición Costos" sheetId="43" state="hidden" r:id="rId36"/>
    <sheet name="Datos Mes" sheetId="44" state="hidden" r:id="rId37"/>
    <sheet name="PORTADA" sheetId="11" state="hidden" r:id="rId38"/>
    <sheet name="Hoja1" sheetId="102" state="hidden" r:id="rId39"/>
  </sheets>
  <externalReferences>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s>
  <definedNames>
    <definedName name="___USG1" localSheetId="26">#REF!</definedName>
    <definedName name="___USG1" localSheetId="17">#REF!</definedName>
    <definedName name="___USG2" localSheetId="26">#REF!</definedName>
    <definedName name="__USG1" localSheetId="26">#REF!</definedName>
    <definedName name="__USG2" localSheetId="26">#REF!</definedName>
    <definedName name="_xlnm._FilterDatabase" localSheetId="7" hidden="1">'DATA DE LAS 12'!$B$1:$CC$68</definedName>
    <definedName name="_xlnm._FilterDatabase" localSheetId="2" hidden="1">DATOSAÑO!$A$10:$DF$10</definedName>
    <definedName name="_xlnm._FilterDatabase" localSheetId="6" hidden="1">'INFORME DIA GDP'!$B$2:$S$54</definedName>
    <definedName name="_xlnm._FilterDatabase" localSheetId="5" hidden="1">'PRODUCCION VS ENERGIA GDP'!$W$3:$Y$7</definedName>
    <definedName name="ACTIVAREACTIVA" localSheetId="2">DATOSAÑO!$B$11:$BG$375</definedName>
    <definedName name="ACTIVAREACTIVA">DATOSAÑO!$B$11:$BG$375</definedName>
    <definedName name="_xlnm.Print_Area" localSheetId="10">'REGISTRO DE INDISPONIBILIDAD'!$1:$135</definedName>
    <definedName name="DATOSG1">'DATA DE LAS 12'!$B$6:$AQ$35</definedName>
    <definedName name="DATOSG2">'DATA DE LAS 12'!$B$41:$AQ$50</definedName>
    <definedName name="Edwing_Rolando_Gómez_Cano">'INFORME DIA GDP'!$J$5</definedName>
    <definedName name="Fuente" localSheetId="10">'REGISTRO DE INDISPONIBILIDAD'!$B$11:$B$30</definedName>
    <definedName name="Instalacion" localSheetId="10">'REGISTRO DE INDISPONIBILIDAD'!$AD$35:$AD$39</definedName>
    <definedName name="MESAÑO" localSheetId="2">DATOSAÑO!$B$376:$CF$387</definedName>
    <definedName name="MESAÑO" localSheetId="15">[1]DATOSAÑO!$B$378:$CF$389</definedName>
    <definedName name="MESAÑO" localSheetId="22">[2]DATOSAÑO!$B$378:$CS$389</definedName>
    <definedName name="MESAÑO" localSheetId="6">[3]DATOSAÑO!$B$378:$CS$389</definedName>
    <definedName name="MESAÑO">DATOSAÑO!$B$376:$CF$387</definedName>
    <definedName name="SegmentaciónDeDatos_Concepto">#N/A</definedName>
    <definedName name="SegmentaciónDeDatos_Concepto1">#N/A</definedName>
    <definedName name="SegmentaciónDeDatos_Concepto2">#N/A</definedName>
    <definedName name="Tipo_Fuente" localSheetId="10">'REGISTRO DE INDISPONIBILIDAD'!$AL$35:$AL$39</definedName>
    <definedName name="Vicepresidencia" localSheetId="10">'REGISTRO DE INDISPONIBILIDAD'!$AE$35:$AE$39</definedName>
    <definedName name="VIF" localSheetId="26">#REF!</definedName>
    <definedName name="VIF" localSheetId="10">'REGISTRO DE INDISPONIBILIDAD'!$AJ$35</definedName>
    <definedName name="VIN" localSheetId="26">#REF!</definedName>
    <definedName name="VIN" localSheetId="10">'REGISTRO DE INDISPONIBILIDAD'!$AI$35</definedName>
    <definedName name="VIT" localSheetId="26">#REF!</definedName>
    <definedName name="VIT" localSheetId="10">'REGISTRO DE INDISPONIBILIDAD'!$AH$35:$AH$37</definedName>
    <definedName name="VPR" localSheetId="10">'REGISTRO DE INDISPONIBILIDAD'!$AF$35:$AF$43</definedName>
    <definedName name="VRP" localSheetId="26">#REF!</definedName>
    <definedName name="VRP" localSheetId="10">'REGISTRO DE INDISPONIBILIDAD'!$AG$35:$AG$36</definedName>
    <definedName name="Zona" localSheetId="10">'REGISTRO DE INDISPONIBILIDAD'!$AK$35:$AK$39</definedName>
  </definedNames>
  <calcPr calcId="162913"/>
  <pivotCaches>
    <pivotCache cacheId="0" r:id="rId50"/>
    <pivotCache cacheId="1" r:id="rId51"/>
  </pivotCaches>
  <extLst>
    <ext xmlns:x14="http://schemas.microsoft.com/office/spreadsheetml/2009/9/main" uri="{BBE1A952-AA13-448e-AADC-164F8A28A991}">
      <x14:slicerCaches>
        <x14:slicerCache r:id="rId52"/>
        <x14:slicerCache r:id="rId53"/>
        <x14:slicerCache r:id="rId54"/>
      </x14:slicerCaches>
    </ext>
    <ext xmlns:x14="http://schemas.microsoft.com/office/spreadsheetml/2009/9/main" uri="{79F54976-1DA5-4618-B147-4CDE4B953A38}">
      <x14:workbookPr/>
    </ext>
  </extLst>
</workbook>
</file>

<file path=xl/calcChain.xml><?xml version="1.0" encoding="utf-8"?>
<calcChain xmlns="http://schemas.openxmlformats.org/spreadsheetml/2006/main">
  <c r="C6" i="20" l="1"/>
  <c r="D14" i="20" s="1"/>
  <c r="Z38" i="29" l="1"/>
  <c r="AA38" i="29"/>
  <c r="AB38" i="29"/>
  <c r="AC38" i="29"/>
  <c r="C7" i="20" l="1"/>
  <c r="AV286" i="103" l="1"/>
  <c r="AU286" i="103"/>
  <c r="AP286" i="103"/>
  <c r="AR286" i="103"/>
  <c r="AQ287" i="103"/>
  <c r="AO288" i="103"/>
  <c r="R44" i="102" l="1"/>
  <c r="Q44" i="102"/>
  <c r="O44" i="102"/>
  <c r="N44" i="102"/>
  <c r="L44" i="102"/>
  <c r="K44" i="102"/>
  <c r="I44" i="102"/>
  <c r="H44" i="102"/>
  <c r="F44" i="102"/>
  <c r="E44" i="102"/>
  <c r="C42" i="102"/>
  <c r="B42" i="102"/>
  <c r="C41" i="102"/>
  <c r="B41" i="102"/>
  <c r="C40" i="102"/>
  <c r="B40" i="102"/>
  <c r="F7" i="102"/>
  <c r="C7" i="102"/>
  <c r="P31" i="11"/>
  <c r="M31" i="11"/>
  <c r="G31" i="11"/>
  <c r="F31" i="11"/>
  <c r="D31" i="11"/>
  <c r="B31" i="11"/>
  <c r="P30" i="11"/>
  <c r="G30" i="11"/>
  <c r="F30" i="11"/>
  <c r="D30" i="11"/>
  <c r="B30" i="11"/>
  <c r="P29" i="11"/>
  <c r="G29" i="11"/>
  <c r="F29" i="11"/>
  <c r="D29" i="11"/>
  <c r="B29" i="11"/>
  <c r="P28" i="11"/>
  <c r="G28" i="11"/>
  <c r="F28" i="11"/>
  <c r="D28" i="11"/>
  <c r="B28" i="11"/>
  <c r="P27" i="11"/>
  <c r="G27" i="11"/>
  <c r="F27" i="11"/>
  <c r="D27" i="11"/>
  <c r="B27" i="11"/>
  <c r="P26" i="11"/>
  <c r="G26" i="11"/>
  <c r="F26" i="11"/>
  <c r="D26" i="11"/>
  <c r="B26" i="11"/>
  <c r="P25" i="11"/>
  <c r="N25" i="11"/>
  <c r="W8" i="13" s="1"/>
  <c r="G25" i="11"/>
  <c r="F25" i="11"/>
  <c r="D25" i="11"/>
  <c r="B25" i="11"/>
  <c r="P24" i="11"/>
  <c r="G24" i="11"/>
  <c r="F24" i="11"/>
  <c r="D24" i="11"/>
  <c r="B24" i="11"/>
  <c r="P23" i="11"/>
  <c r="M23" i="11"/>
  <c r="K176" i="13" s="1"/>
  <c r="G23" i="11"/>
  <c r="F23" i="11"/>
  <c r="D23" i="11"/>
  <c r="B23" i="11"/>
  <c r="P22" i="11"/>
  <c r="G22" i="11"/>
  <c r="F22" i="11"/>
  <c r="D22" i="11"/>
  <c r="B22" i="11"/>
  <c r="R21" i="11"/>
  <c r="W140" i="13" s="1"/>
  <c r="P21" i="11"/>
  <c r="G21" i="11"/>
  <c r="F21" i="11"/>
  <c r="B21" i="11"/>
  <c r="S19" i="11"/>
  <c r="S29" i="11" s="1"/>
  <c r="W182" i="13" s="1"/>
  <c r="R19" i="11"/>
  <c r="R29" i="11" s="1"/>
  <c r="W148" i="13" s="1"/>
  <c r="Q19" i="11"/>
  <c r="Q30" i="11" s="1"/>
  <c r="W115" i="13" s="1"/>
  <c r="O19" i="11"/>
  <c r="O30" i="11" s="1"/>
  <c r="W47" i="13" s="1"/>
  <c r="N19" i="11"/>
  <c r="N30" i="11" s="1"/>
  <c r="W13" i="13" s="1"/>
  <c r="M19" i="11"/>
  <c r="M29" i="11" s="1"/>
  <c r="K182" i="13" s="1"/>
  <c r="L19" i="11"/>
  <c r="L31" i="11" s="1"/>
  <c r="K150" i="13" s="1"/>
  <c r="K19" i="11"/>
  <c r="K31" i="11" s="1"/>
  <c r="K116" i="13" s="1"/>
  <c r="J19" i="11"/>
  <c r="J31" i="11" s="1"/>
  <c r="I19" i="11"/>
  <c r="I28" i="11" s="1"/>
  <c r="K45" i="13" s="1"/>
  <c r="H19" i="11"/>
  <c r="H28" i="11" s="1"/>
  <c r="K11" i="13" s="1"/>
  <c r="H17" i="11"/>
  <c r="H16" i="11"/>
  <c r="H15" i="11"/>
  <c r="B39" i="44"/>
  <c r="B37" i="44"/>
  <c r="B36" i="44"/>
  <c r="B35" i="44"/>
  <c r="B34" i="44"/>
  <c r="B33" i="44"/>
  <c r="B31" i="44"/>
  <c r="B30" i="44"/>
  <c r="B29" i="44"/>
  <c r="B28" i="44"/>
  <c r="B27" i="44"/>
  <c r="B26" i="44"/>
  <c r="B25" i="44"/>
  <c r="B24" i="44"/>
  <c r="B23" i="44"/>
  <c r="B22" i="44"/>
  <c r="B20" i="44"/>
  <c r="F19" i="44"/>
  <c r="B19" i="44"/>
  <c r="B18" i="44"/>
  <c r="B17" i="44"/>
  <c r="B16" i="44"/>
  <c r="B15" i="44"/>
  <c r="B14" i="44"/>
  <c r="B13" i="44"/>
  <c r="B12" i="44"/>
  <c r="B11" i="44"/>
  <c r="B10" i="44"/>
  <c r="C3" i="44"/>
  <c r="B29" i="36"/>
  <c r="G1" i="36"/>
  <c r="G41" i="36" s="1"/>
  <c r="F36" i="37" s="1"/>
  <c r="D62" i="53"/>
  <c r="E18" i="53"/>
  <c r="D18" i="53"/>
  <c r="E17" i="53"/>
  <c r="D17" i="53"/>
  <c r="E16" i="53"/>
  <c r="D16" i="53"/>
  <c r="E15" i="53"/>
  <c r="D15" i="53"/>
  <c r="E14" i="53"/>
  <c r="D14" i="53"/>
  <c r="E13" i="53"/>
  <c r="D13" i="53"/>
  <c r="D12" i="53"/>
  <c r="D11" i="53"/>
  <c r="D10" i="53"/>
  <c r="D9" i="53"/>
  <c r="D8" i="53"/>
  <c r="J7" i="53"/>
  <c r="D7" i="53"/>
  <c r="I3" i="53"/>
  <c r="I2" i="53"/>
  <c r="I1" i="53"/>
  <c r="B45" i="30"/>
  <c r="I44" i="30"/>
  <c r="H44" i="30"/>
  <c r="G44" i="30"/>
  <c r="F44" i="30"/>
  <c r="E44" i="30"/>
  <c r="D44" i="30"/>
  <c r="C44" i="30"/>
  <c r="K6" i="30"/>
  <c r="K5" i="30"/>
  <c r="B43" i="30" s="1"/>
  <c r="K4" i="30"/>
  <c r="B10" i="30" s="1"/>
  <c r="B11" i="30" s="1"/>
  <c r="B12" i="30" s="1"/>
  <c r="B13" i="30" s="1"/>
  <c r="B14" i="30" s="1"/>
  <c r="B15" i="30" s="1"/>
  <c r="B16" i="30" s="1"/>
  <c r="B17" i="30" s="1"/>
  <c r="B18" i="30" s="1"/>
  <c r="B19" i="30" s="1"/>
  <c r="B20" i="30" s="1"/>
  <c r="B21" i="30" s="1"/>
  <c r="B22" i="30" s="1"/>
  <c r="B23" i="30" s="1"/>
  <c r="B24" i="30" s="1"/>
  <c r="B25" i="30" s="1"/>
  <c r="B26" i="30" s="1"/>
  <c r="B27" i="30" s="1"/>
  <c r="B28" i="30" s="1"/>
  <c r="B29" i="30" s="1"/>
  <c r="B30" i="30" s="1"/>
  <c r="B31" i="30" s="1"/>
  <c r="B32" i="30" s="1"/>
  <c r="B33" i="30" s="1"/>
  <c r="B34" i="30" s="1"/>
  <c r="B35" i="30" s="1"/>
  <c r="B36" i="30" s="1"/>
  <c r="O101" i="68"/>
  <c r="N97" i="68"/>
  <c r="Q94" i="68"/>
  <c r="N92" i="68"/>
  <c r="N102" i="68" s="1"/>
  <c r="N91" i="68"/>
  <c r="N101" i="68" s="1"/>
  <c r="N90" i="68"/>
  <c r="Q89" i="68"/>
  <c r="N89" i="68"/>
  <c r="N88" i="68"/>
  <c r="N87" i="68"/>
  <c r="N84" i="68"/>
  <c r="N83" i="68"/>
  <c r="N80" i="68"/>
  <c r="H80" i="68"/>
  <c r="G80" i="68"/>
  <c r="N79" i="68"/>
  <c r="H79" i="68"/>
  <c r="G79" i="68"/>
  <c r="N78" i="68"/>
  <c r="H78" i="68"/>
  <c r="G78" i="68"/>
  <c r="N77" i="68"/>
  <c r="H77" i="68"/>
  <c r="G77" i="68"/>
  <c r="N76" i="68"/>
  <c r="E68" i="68"/>
  <c r="E67" i="68"/>
  <c r="D66" i="68"/>
  <c r="O64" i="68"/>
  <c r="M64" i="68"/>
  <c r="E64" i="68"/>
  <c r="D64" i="68"/>
  <c r="O63" i="68"/>
  <c r="M63" i="68"/>
  <c r="E63" i="68"/>
  <c r="H60" i="68"/>
  <c r="G60" i="68"/>
  <c r="H59" i="68"/>
  <c r="G59" i="68"/>
  <c r="E59" i="68"/>
  <c r="E58" i="68"/>
  <c r="D58" i="68"/>
  <c r="E57" i="68"/>
  <c r="D57" i="68"/>
  <c r="H56" i="68"/>
  <c r="G56" i="68"/>
  <c r="E56" i="68"/>
  <c r="D56" i="68"/>
  <c r="E55" i="68"/>
  <c r="D55" i="68"/>
  <c r="D53" i="68"/>
  <c r="D51" i="68"/>
  <c r="Q49" i="68"/>
  <c r="Q48" i="68"/>
  <c r="O48" i="68"/>
  <c r="N48" i="68"/>
  <c r="M48" i="68"/>
  <c r="L48" i="68"/>
  <c r="K48" i="68"/>
  <c r="J48" i="68"/>
  <c r="I48" i="68"/>
  <c r="H48" i="68"/>
  <c r="G48" i="68"/>
  <c r="F48" i="68"/>
  <c r="Q47" i="68"/>
  <c r="O47" i="68"/>
  <c r="N47" i="68"/>
  <c r="M47" i="68"/>
  <c r="L47" i="68"/>
  <c r="K47" i="68"/>
  <c r="J47" i="68"/>
  <c r="I47" i="68"/>
  <c r="H47" i="68"/>
  <c r="G47" i="68"/>
  <c r="F47" i="68"/>
  <c r="Q46" i="68"/>
  <c r="O46" i="68"/>
  <c r="N46" i="68"/>
  <c r="M46" i="68"/>
  <c r="L46" i="68"/>
  <c r="K46" i="68"/>
  <c r="J46" i="68"/>
  <c r="I46" i="68"/>
  <c r="H46" i="68"/>
  <c r="G46" i="68"/>
  <c r="F46" i="68"/>
  <c r="Q45" i="68"/>
  <c r="O45" i="68"/>
  <c r="N45" i="68"/>
  <c r="M45" i="68"/>
  <c r="L45" i="68"/>
  <c r="K45" i="68"/>
  <c r="J45" i="68"/>
  <c r="I45" i="68"/>
  <c r="H45" i="68"/>
  <c r="G45" i="68"/>
  <c r="F45" i="68"/>
  <c r="Q44" i="68"/>
  <c r="O44" i="68"/>
  <c r="N44" i="68"/>
  <c r="M44" i="68"/>
  <c r="L44" i="68"/>
  <c r="K44" i="68"/>
  <c r="J44" i="68"/>
  <c r="I44" i="68"/>
  <c r="H44" i="68"/>
  <c r="G44" i="68"/>
  <c r="F44" i="68"/>
  <c r="Q43" i="68"/>
  <c r="O43" i="68"/>
  <c r="N43" i="68"/>
  <c r="M43" i="68"/>
  <c r="L43" i="68"/>
  <c r="K43" i="68"/>
  <c r="J43" i="68"/>
  <c r="I43" i="68"/>
  <c r="H43" i="68"/>
  <c r="G43" i="68"/>
  <c r="F43" i="68"/>
  <c r="M40" i="68"/>
  <c r="M39" i="68"/>
  <c r="O38" i="68"/>
  <c r="E50" i="68" s="1"/>
  <c r="I38" i="68"/>
  <c r="J38" i="68" s="1"/>
  <c r="M37" i="68"/>
  <c r="O35" i="68"/>
  <c r="O32" i="68"/>
  <c r="O29" i="68"/>
  <c r="O28" i="68"/>
  <c r="O25" i="68"/>
  <c r="M25" i="68"/>
  <c r="O24" i="68"/>
  <c r="M24" i="68"/>
  <c r="O23" i="68"/>
  <c r="O22" i="68"/>
  <c r="O21" i="68"/>
  <c r="O20" i="68"/>
  <c r="AC19" i="68"/>
  <c r="AA19" i="68"/>
  <c r="Y19" i="68"/>
  <c r="W19" i="68"/>
  <c r="U19" i="68"/>
  <c r="S19" i="68"/>
  <c r="Q19" i="68"/>
  <c r="O19" i="68"/>
  <c r="Q18" i="68"/>
  <c r="Q17" i="68"/>
  <c r="O17" i="68"/>
  <c r="O36" i="68" s="1"/>
  <c r="Q16" i="68"/>
  <c r="O16" i="68"/>
  <c r="Q15" i="68"/>
  <c r="O15" i="68"/>
  <c r="O34" i="68" s="1"/>
  <c r="Q14" i="68"/>
  <c r="O14" i="68"/>
  <c r="O33" i="68" s="1"/>
  <c r="AC13" i="68"/>
  <c r="AA13" i="68"/>
  <c r="Y13" i="68"/>
  <c r="W13" i="68"/>
  <c r="U13" i="68"/>
  <c r="S13" i="68"/>
  <c r="Q13" i="68"/>
  <c r="O13" i="68"/>
  <c r="Q12" i="68"/>
  <c r="O12" i="68"/>
  <c r="O31" i="68" s="1"/>
  <c r="Q11" i="68"/>
  <c r="O11" i="68"/>
  <c r="O30" i="68" s="1"/>
  <c r="AC10" i="68"/>
  <c r="AA10" i="68"/>
  <c r="Y10" i="68"/>
  <c r="W10" i="68"/>
  <c r="U10" i="68"/>
  <c r="S10" i="68"/>
  <c r="Q10" i="68"/>
  <c r="O10" i="68"/>
  <c r="AC9" i="68"/>
  <c r="AA9" i="68"/>
  <c r="Y9" i="68"/>
  <c r="W9" i="68"/>
  <c r="U9" i="68"/>
  <c r="S9" i="68"/>
  <c r="Q9" i="68"/>
  <c r="O9" i="68"/>
  <c r="Q8" i="68"/>
  <c r="O8" i="68"/>
  <c r="O27" i="68" s="1"/>
  <c r="Q7" i="68"/>
  <c r="O7" i="68"/>
  <c r="M7" i="68"/>
  <c r="AG71" i="32"/>
  <c r="AB71" i="32"/>
  <c r="AA71" i="32"/>
  <c r="Z71" i="32"/>
  <c r="Y71" i="32"/>
  <c r="X71" i="32"/>
  <c r="O71" i="32"/>
  <c r="N71" i="32"/>
  <c r="M71" i="32"/>
  <c r="L71" i="32"/>
  <c r="K71" i="32"/>
  <c r="J71" i="32"/>
  <c r="I71" i="32"/>
  <c r="H71" i="32"/>
  <c r="G71" i="32"/>
  <c r="F71" i="32"/>
  <c r="E71" i="32"/>
  <c r="C71" i="32"/>
  <c r="B71" i="32"/>
  <c r="AG70" i="32"/>
  <c r="AB70" i="32"/>
  <c r="AA70" i="32"/>
  <c r="Z70" i="32"/>
  <c r="Y70" i="32"/>
  <c r="X70" i="32"/>
  <c r="O70" i="32"/>
  <c r="N70" i="32"/>
  <c r="M70" i="32"/>
  <c r="L70" i="32"/>
  <c r="K70" i="32"/>
  <c r="J70" i="32"/>
  <c r="I70" i="32"/>
  <c r="H70" i="32"/>
  <c r="G70" i="32"/>
  <c r="F70" i="32"/>
  <c r="E70" i="32"/>
  <c r="D70" i="32"/>
  <c r="C70" i="32"/>
  <c r="B70" i="32"/>
  <c r="AG69" i="32"/>
  <c r="AB69" i="32"/>
  <c r="AA69" i="32"/>
  <c r="Z69" i="32"/>
  <c r="Y69" i="32"/>
  <c r="X69" i="32"/>
  <c r="O69" i="32"/>
  <c r="N69" i="32"/>
  <c r="M69" i="32"/>
  <c r="L69" i="32"/>
  <c r="K69" i="32"/>
  <c r="J69" i="32"/>
  <c r="I69" i="32"/>
  <c r="H69" i="32"/>
  <c r="G69" i="32"/>
  <c r="F69" i="32"/>
  <c r="E69" i="32"/>
  <c r="D69" i="32"/>
  <c r="C69" i="32"/>
  <c r="B69" i="32"/>
  <c r="AG68" i="32"/>
  <c r="AB68" i="32"/>
  <c r="AA68" i="32"/>
  <c r="Z68" i="32"/>
  <c r="Y68" i="32"/>
  <c r="X68" i="32"/>
  <c r="O68" i="32"/>
  <c r="N68" i="32"/>
  <c r="M68" i="32"/>
  <c r="L68" i="32"/>
  <c r="K68" i="32"/>
  <c r="J68" i="32"/>
  <c r="I68" i="32"/>
  <c r="H68" i="32"/>
  <c r="G68" i="32"/>
  <c r="F68" i="32"/>
  <c r="E68" i="32"/>
  <c r="D68" i="32"/>
  <c r="C68" i="32"/>
  <c r="B68" i="32"/>
  <c r="AG67" i="32"/>
  <c r="AB67" i="32"/>
  <c r="AA67" i="32"/>
  <c r="Z67" i="32"/>
  <c r="Y67" i="32"/>
  <c r="X67" i="32"/>
  <c r="O67" i="32"/>
  <c r="N67" i="32"/>
  <c r="M67" i="32"/>
  <c r="L67" i="32"/>
  <c r="K67" i="32"/>
  <c r="J67" i="32"/>
  <c r="I67" i="32"/>
  <c r="H67" i="32"/>
  <c r="G67" i="32"/>
  <c r="F67" i="32"/>
  <c r="E67" i="32"/>
  <c r="D67" i="32"/>
  <c r="C67" i="32"/>
  <c r="B67" i="32"/>
  <c r="AG66" i="32"/>
  <c r="AB66" i="32"/>
  <c r="AA66" i="32"/>
  <c r="Z66" i="32"/>
  <c r="Y66" i="32"/>
  <c r="X66" i="32"/>
  <c r="O66" i="32"/>
  <c r="N66" i="32"/>
  <c r="M66" i="32"/>
  <c r="L66" i="32"/>
  <c r="K66" i="32"/>
  <c r="J66" i="32"/>
  <c r="I66" i="32"/>
  <c r="H66" i="32"/>
  <c r="G66" i="32"/>
  <c r="F66" i="32"/>
  <c r="E66" i="32"/>
  <c r="D66" i="32"/>
  <c r="C66" i="32"/>
  <c r="B66" i="32"/>
  <c r="AG65" i="32"/>
  <c r="AB65" i="32"/>
  <c r="AA65" i="32"/>
  <c r="Z65" i="32"/>
  <c r="Y65" i="32"/>
  <c r="X65" i="32"/>
  <c r="O65" i="32"/>
  <c r="N65" i="32"/>
  <c r="M65" i="32"/>
  <c r="L65" i="32"/>
  <c r="K65" i="32"/>
  <c r="J65" i="32"/>
  <c r="I65" i="32"/>
  <c r="H65" i="32"/>
  <c r="G65" i="32"/>
  <c r="F65" i="32"/>
  <c r="E65" i="32"/>
  <c r="D65" i="32"/>
  <c r="C65" i="32"/>
  <c r="B65" i="32"/>
  <c r="AG64" i="32"/>
  <c r="AB64" i="32"/>
  <c r="AA64" i="32"/>
  <c r="Z64" i="32"/>
  <c r="Y64" i="32"/>
  <c r="X64" i="32"/>
  <c r="O64" i="32"/>
  <c r="N64" i="32"/>
  <c r="M64" i="32"/>
  <c r="L64" i="32"/>
  <c r="K64" i="32"/>
  <c r="J64" i="32"/>
  <c r="I64" i="32"/>
  <c r="H64" i="32"/>
  <c r="G64" i="32"/>
  <c r="F64" i="32"/>
  <c r="E64" i="32"/>
  <c r="D64" i="32"/>
  <c r="C64" i="32"/>
  <c r="B64" i="32"/>
  <c r="AG63" i="32"/>
  <c r="AB63" i="32"/>
  <c r="AA63" i="32"/>
  <c r="Z63" i="32"/>
  <c r="Y63" i="32"/>
  <c r="X63" i="32"/>
  <c r="O63" i="32"/>
  <c r="N63" i="32"/>
  <c r="M63" i="32"/>
  <c r="L63" i="32"/>
  <c r="K63" i="32"/>
  <c r="J63" i="32"/>
  <c r="I63" i="32"/>
  <c r="H63" i="32"/>
  <c r="G63" i="32"/>
  <c r="F63" i="32"/>
  <c r="E63" i="32"/>
  <c r="D63" i="32"/>
  <c r="C63" i="32"/>
  <c r="B63" i="32"/>
  <c r="AG62" i="32"/>
  <c r="AB62" i="32"/>
  <c r="AA62" i="32"/>
  <c r="Z62" i="32"/>
  <c r="Y62" i="32"/>
  <c r="X62" i="32"/>
  <c r="O62" i="32"/>
  <c r="N62" i="32"/>
  <c r="M62" i="32"/>
  <c r="L62" i="32"/>
  <c r="K62" i="32"/>
  <c r="J62" i="32"/>
  <c r="I62" i="32"/>
  <c r="H62" i="32"/>
  <c r="G62" i="32"/>
  <c r="F62" i="32"/>
  <c r="E62" i="32"/>
  <c r="D62" i="32"/>
  <c r="C62" i="32"/>
  <c r="B62" i="32"/>
  <c r="AG61" i="32"/>
  <c r="AB61" i="32"/>
  <c r="AA61" i="32"/>
  <c r="Z61" i="32"/>
  <c r="Y61" i="32"/>
  <c r="X61" i="32"/>
  <c r="O61" i="32"/>
  <c r="N61" i="32"/>
  <c r="M61" i="32"/>
  <c r="L61" i="32"/>
  <c r="K61" i="32"/>
  <c r="J61" i="32"/>
  <c r="I61" i="32"/>
  <c r="H61" i="32"/>
  <c r="G61" i="32"/>
  <c r="F61" i="32"/>
  <c r="E61" i="32"/>
  <c r="D61" i="32"/>
  <c r="C61" i="32"/>
  <c r="B61" i="32"/>
  <c r="AG60" i="32"/>
  <c r="AB60" i="32"/>
  <c r="AA60" i="32"/>
  <c r="Z60" i="32"/>
  <c r="Y60" i="32"/>
  <c r="X60" i="32"/>
  <c r="O60" i="32"/>
  <c r="N60" i="32"/>
  <c r="M60" i="32"/>
  <c r="L60" i="32"/>
  <c r="K60" i="32"/>
  <c r="J60" i="32"/>
  <c r="I60" i="32"/>
  <c r="H60" i="32"/>
  <c r="G60" i="32"/>
  <c r="F60" i="32"/>
  <c r="E60" i="32"/>
  <c r="D60" i="32"/>
  <c r="C60" i="32"/>
  <c r="B60" i="32"/>
  <c r="AG59" i="32"/>
  <c r="AB59" i="32"/>
  <c r="AA59" i="32"/>
  <c r="Z59" i="32"/>
  <c r="Y59" i="32"/>
  <c r="X59" i="32"/>
  <c r="O59" i="32"/>
  <c r="N59" i="32"/>
  <c r="M59" i="32"/>
  <c r="L59" i="32"/>
  <c r="K59" i="32"/>
  <c r="J59" i="32"/>
  <c r="I59" i="32"/>
  <c r="H59" i="32"/>
  <c r="G59" i="32"/>
  <c r="F59" i="32"/>
  <c r="E59" i="32"/>
  <c r="D59" i="32"/>
  <c r="C59" i="32"/>
  <c r="B59" i="32"/>
  <c r="AG58" i="32"/>
  <c r="AB58" i="32"/>
  <c r="AA58" i="32"/>
  <c r="Z58" i="32"/>
  <c r="Y58" i="32"/>
  <c r="X58" i="32"/>
  <c r="O58" i="32"/>
  <c r="N58" i="32"/>
  <c r="M58" i="32"/>
  <c r="L58" i="32"/>
  <c r="K58" i="32"/>
  <c r="J58" i="32"/>
  <c r="I58" i="32"/>
  <c r="H58" i="32"/>
  <c r="G58" i="32"/>
  <c r="F58" i="32"/>
  <c r="E58" i="32"/>
  <c r="D58" i="32"/>
  <c r="C58" i="32"/>
  <c r="B58" i="32"/>
  <c r="AG57" i="32"/>
  <c r="AB57" i="32"/>
  <c r="AA57" i="32"/>
  <c r="Z57" i="32"/>
  <c r="Y57" i="32"/>
  <c r="X57" i="32"/>
  <c r="O57" i="32"/>
  <c r="N57" i="32"/>
  <c r="M57" i="32"/>
  <c r="L57" i="32"/>
  <c r="K57" i="32"/>
  <c r="J57" i="32"/>
  <c r="I57" i="32"/>
  <c r="H57" i="32"/>
  <c r="G57" i="32"/>
  <c r="F57" i="32"/>
  <c r="E57" i="32"/>
  <c r="D57" i="32"/>
  <c r="C57" i="32"/>
  <c r="B57" i="32"/>
  <c r="AG56" i="32"/>
  <c r="AB56" i="32"/>
  <c r="AA56" i="32"/>
  <c r="Z56" i="32"/>
  <c r="Y56" i="32"/>
  <c r="X56" i="32"/>
  <c r="O56" i="32"/>
  <c r="N56" i="32"/>
  <c r="M56" i="32"/>
  <c r="L56" i="32"/>
  <c r="K56" i="32"/>
  <c r="J56" i="32"/>
  <c r="I56" i="32"/>
  <c r="H56" i="32"/>
  <c r="G56" i="32"/>
  <c r="F56" i="32"/>
  <c r="E56" i="32"/>
  <c r="D56" i="32"/>
  <c r="C56" i="32"/>
  <c r="B56" i="32"/>
  <c r="AG55" i="32"/>
  <c r="AB55" i="32"/>
  <c r="AA55" i="32"/>
  <c r="Z55" i="32"/>
  <c r="Y55" i="32"/>
  <c r="X55" i="32"/>
  <c r="O55" i="32"/>
  <c r="N55" i="32"/>
  <c r="M55" i="32"/>
  <c r="L55" i="32"/>
  <c r="K55" i="32"/>
  <c r="J55" i="32"/>
  <c r="I55" i="32"/>
  <c r="H55" i="32"/>
  <c r="G55" i="32"/>
  <c r="F55" i="32"/>
  <c r="E55" i="32"/>
  <c r="D55" i="32"/>
  <c r="C55" i="32"/>
  <c r="B55" i="32"/>
  <c r="AG54" i="32"/>
  <c r="AB54" i="32"/>
  <c r="AA54" i="32"/>
  <c r="Z54" i="32"/>
  <c r="Y54" i="32"/>
  <c r="X54" i="32"/>
  <c r="O54" i="32"/>
  <c r="N54" i="32"/>
  <c r="M54" i="32"/>
  <c r="L54" i="32"/>
  <c r="K54" i="32"/>
  <c r="J54" i="32"/>
  <c r="I54" i="32"/>
  <c r="H54" i="32"/>
  <c r="G54" i="32"/>
  <c r="F54" i="32"/>
  <c r="E54" i="32"/>
  <c r="D54" i="32"/>
  <c r="C54" i="32"/>
  <c r="B54" i="32"/>
  <c r="AG53" i="32"/>
  <c r="AB53" i="32"/>
  <c r="AA53" i="32"/>
  <c r="Z53" i="32"/>
  <c r="Y53" i="32"/>
  <c r="X53" i="32"/>
  <c r="O53" i="32"/>
  <c r="N53" i="32"/>
  <c r="M53" i="32"/>
  <c r="L53" i="32"/>
  <c r="K53" i="32"/>
  <c r="J53" i="32"/>
  <c r="I53" i="32"/>
  <c r="H53" i="32"/>
  <c r="G53" i="32"/>
  <c r="F53" i="32"/>
  <c r="E53" i="32"/>
  <c r="D53" i="32"/>
  <c r="C53" i="32"/>
  <c r="B53" i="32"/>
  <c r="AG52" i="32"/>
  <c r="AB52" i="32"/>
  <c r="AA52" i="32"/>
  <c r="Z52" i="32"/>
  <c r="Y52" i="32"/>
  <c r="X52" i="32"/>
  <c r="O52" i="32"/>
  <c r="N52" i="32"/>
  <c r="M52" i="32"/>
  <c r="L52" i="32"/>
  <c r="K52" i="32"/>
  <c r="J52" i="32"/>
  <c r="I52" i="32"/>
  <c r="H52" i="32"/>
  <c r="G52" i="32"/>
  <c r="F52" i="32"/>
  <c r="E52" i="32"/>
  <c r="D52" i="32"/>
  <c r="C52" i="32"/>
  <c r="B52" i="32"/>
  <c r="AG51" i="32"/>
  <c r="AB51" i="32"/>
  <c r="AA51" i="32"/>
  <c r="Z51" i="32"/>
  <c r="Y51" i="32"/>
  <c r="X51" i="32"/>
  <c r="O51" i="32"/>
  <c r="N51" i="32"/>
  <c r="M51" i="32"/>
  <c r="L51" i="32"/>
  <c r="K51" i="32"/>
  <c r="J51" i="32"/>
  <c r="I51" i="32"/>
  <c r="H51" i="32"/>
  <c r="G51" i="32"/>
  <c r="F51" i="32"/>
  <c r="E51" i="32"/>
  <c r="D51" i="32"/>
  <c r="C51" i="32"/>
  <c r="B51" i="32"/>
  <c r="AG50" i="32"/>
  <c r="AB50" i="32"/>
  <c r="AA50" i="32"/>
  <c r="Z50" i="32"/>
  <c r="Y50" i="32"/>
  <c r="X50" i="32"/>
  <c r="O50" i="32"/>
  <c r="N50" i="32"/>
  <c r="M50" i="32"/>
  <c r="L50" i="32"/>
  <c r="K50" i="32"/>
  <c r="J50" i="32"/>
  <c r="I50" i="32"/>
  <c r="H50" i="32"/>
  <c r="G50" i="32"/>
  <c r="F50" i="32"/>
  <c r="E50" i="32"/>
  <c r="D50" i="32"/>
  <c r="C50" i="32"/>
  <c r="B50" i="32"/>
  <c r="AG49" i="32"/>
  <c r="AB49" i="32"/>
  <c r="AA49" i="32"/>
  <c r="Z49" i="32"/>
  <c r="Y49" i="32"/>
  <c r="X49" i="32"/>
  <c r="O49" i="32"/>
  <c r="N49" i="32"/>
  <c r="M49" i="32"/>
  <c r="L49" i="32"/>
  <c r="K49" i="32"/>
  <c r="J49" i="32"/>
  <c r="I49" i="32"/>
  <c r="H49" i="32"/>
  <c r="G49" i="32"/>
  <c r="F49" i="32"/>
  <c r="E49" i="32"/>
  <c r="D49" i="32"/>
  <c r="C49" i="32"/>
  <c r="B49" i="32"/>
  <c r="AG48" i="32"/>
  <c r="AB48" i="32"/>
  <c r="AA48" i="32"/>
  <c r="Z48" i="32"/>
  <c r="Y48" i="32"/>
  <c r="X48" i="32"/>
  <c r="O48" i="32"/>
  <c r="N48" i="32"/>
  <c r="M48" i="32"/>
  <c r="L48" i="32"/>
  <c r="K48" i="32"/>
  <c r="J48" i="32"/>
  <c r="I48" i="32"/>
  <c r="H48" i="32"/>
  <c r="G48" i="32"/>
  <c r="F48" i="32"/>
  <c r="E48" i="32"/>
  <c r="D48" i="32"/>
  <c r="C48" i="32"/>
  <c r="B48" i="32"/>
  <c r="AG47" i="32"/>
  <c r="AB47" i="32"/>
  <c r="AA47" i="32"/>
  <c r="Z47" i="32"/>
  <c r="Y47" i="32"/>
  <c r="X47" i="32"/>
  <c r="O47" i="32"/>
  <c r="N47" i="32"/>
  <c r="M47" i="32"/>
  <c r="L47" i="32"/>
  <c r="K47" i="32"/>
  <c r="J47" i="32"/>
  <c r="I47" i="32"/>
  <c r="H47" i="32"/>
  <c r="G47" i="32"/>
  <c r="F47" i="32"/>
  <c r="E47" i="32"/>
  <c r="D47" i="32"/>
  <c r="C47" i="32"/>
  <c r="B47" i="32"/>
  <c r="AG46" i="32"/>
  <c r="AB46" i="32"/>
  <c r="AA46" i="32"/>
  <c r="Z46" i="32"/>
  <c r="Y46" i="32"/>
  <c r="X46" i="32"/>
  <c r="O46" i="32"/>
  <c r="N46" i="32"/>
  <c r="M46" i="32"/>
  <c r="L46" i="32"/>
  <c r="K46" i="32"/>
  <c r="J46" i="32"/>
  <c r="I46" i="32"/>
  <c r="H46" i="32"/>
  <c r="G46" i="32"/>
  <c r="F46" i="32"/>
  <c r="E46" i="32"/>
  <c r="D46" i="32"/>
  <c r="C46" i="32"/>
  <c r="B46" i="32"/>
  <c r="AG45" i="32"/>
  <c r="AB45" i="32"/>
  <c r="AA45" i="32"/>
  <c r="Z45" i="32"/>
  <c r="Y45" i="32"/>
  <c r="X45" i="32"/>
  <c r="O45" i="32"/>
  <c r="N45" i="32"/>
  <c r="M45" i="32"/>
  <c r="L45" i="32"/>
  <c r="K45" i="32"/>
  <c r="J45" i="32"/>
  <c r="I45" i="32"/>
  <c r="H45" i="32"/>
  <c r="G45" i="32"/>
  <c r="F45" i="32"/>
  <c r="E45" i="32"/>
  <c r="D45" i="32"/>
  <c r="C45" i="32"/>
  <c r="B45" i="32"/>
  <c r="AG44" i="32"/>
  <c r="AB44" i="32"/>
  <c r="AA44" i="32"/>
  <c r="Z44" i="32"/>
  <c r="Y44" i="32"/>
  <c r="X44" i="32"/>
  <c r="O44" i="32"/>
  <c r="N44" i="32"/>
  <c r="M44" i="32"/>
  <c r="L44" i="32"/>
  <c r="K44" i="32"/>
  <c r="J44" i="32"/>
  <c r="I44" i="32"/>
  <c r="H44" i="32"/>
  <c r="G44" i="32"/>
  <c r="F44" i="32"/>
  <c r="E44" i="32"/>
  <c r="D44" i="32"/>
  <c r="C44" i="32"/>
  <c r="B44" i="32"/>
  <c r="AG43" i="32"/>
  <c r="AB43" i="32"/>
  <c r="AA43" i="32"/>
  <c r="Z43" i="32"/>
  <c r="Y43" i="32"/>
  <c r="X43" i="32"/>
  <c r="O43" i="32"/>
  <c r="N43" i="32"/>
  <c r="M43" i="32"/>
  <c r="L43" i="32"/>
  <c r="K43" i="32"/>
  <c r="J43" i="32"/>
  <c r="I43" i="32"/>
  <c r="H43" i="32"/>
  <c r="G43" i="32"/>
  <c r="F43" i="32"/>
  <c r="E43" i="32"/>
  <c r="D43" i="32"/>
  <c r="C43" i="32"/>
  <c r="B43" i="32"/>
  <c r="AG42" i="32"/>
  <c r="AB42" i="32"/>
  <c r="AA42" i="32"/>
  <c r="Z42" i="32"/>
  <c r="Y42" i="32"/>
  <c r="X42" i="32"/>
  <c r="O42" i="32"/>
  <c r="N42" i="32"/>
  <c r="M42" i="32"/>
  <c r="L42" i="32"/>
  <c r="K42" i="32"/>
  <c r="J42" i="32"/>
  <c r="I42" i="32"/>
  <c r="H42" i="32"/>
  <c r="G42" i="32"/>
  <c r="F42" i="32"/>
  <c r="E42" i="32"/>
  <c r="D42" i="32"/>
  <c r="C42" i="32"/>
  <c r="B42" i="32"/>
  <c r="AG41" i="32"/>
  <c r="AB41" i="32"/>
  <c r="AA41" i="32"/>
  <c r="Z41" i="32"/>
  <c r="Y41" i="32"/>
  <c r="X41" i="32"/>
  <c r="O41" i="32"/>
  <c r="N41" i="32"/>
  <c r="M41" i="32"/>
  <c r="L41" i="32"/>
  <c r="K41" i="32"/>
  <c r="J41" i="32"/>
  <c r="I41" i="32"/>
  <c r="H41" i="32"/>
  <c r="G41" i="32"/>
  <c r="F41" i="32"/>
  <c r="E41" i="32"/>
  <c r="D41" i="32"/>
  <c r="C41" i="32"/>
  <c r="B41" i="32"/>
  <c r="AG36" i="32"/>
  <c r="AB36" i="32"/>
  <c r="AA36" i="32"/>
  <c r="Z36" i="32"/>
  <c r="Y36" i="32"/>
  <c r="X36" i="32"/>
  <c r="O36" i="32"/>
  <c r="N36" i="32"/>
  <c r="M36" i="32"/>
  <c r="L36" i="32"/>
  <c r="K36" i="32"/>
  <c r="J36" i="32"/>
  <c r="I36" i="32"/>
  <c r="H36" i="32"/>
  <c r="G36" i="32"/>
  <c r="F36" i="32"/>
  <c r="E36" i="32"/>
  <c r="D36" i="32"/>
  <c r="C36" i="32"/>
  <c r="B36" i="32"/>
  <c r="AG35" i="32"/>
  <c r="AB35" i="32"/>
  <c r="AA35" i="32"/>
  <c r="Z35" i="32"/>
  <c r="Y35" i="32"/>
  <c r="X35" i="32"/>
  <c r="O35" i="32"/>
  <c r="N35" i="32"/>
  <c r="M35" i="32"/>
  <c r="L35" i="32"/>
  <c r="K35" i="32"/>
  <c r="J35" i="32"/>
  <c r="I35" i="32"/>
  <c r="H35" i="32"/>
  <c r="G35" i="32"/>
  <c r="F35" i="32"/>
  <c r="E35" i="32"/>
  <c r="D35" i="32"/>
  <c r="C35" i="32"/>
  <c r="B35" i="32"/>
  <c r="AG34" i="32"/>
  <c r="AB34" i="32"/>
  <c r="AA34" i="32"/>
  <c r="Z34" i="32"/>
  <c r="Y34" i="32"/>
  <c r="X34" i="32"/>
  <c r="O34" i="32"/>
  <c r="N34" i="32"/>
  <c r="M34" i="32"/>
  <c r="L34" i="32"/>
  <c r="K34" i="32"/>
  <c r="J34" i="32"/>
  <c r="I34" i="32"/>
  <c r="H34" i="32"/>
  <c r="G34" i="32"/>
  <c r="F34" i="32"/>
  <c r="E34" i="32"/>
  <c r="D34" i="32"/>
  <c r="C34" i="32"/>
  <c r="B34" i="32"/>
  <c r="AG33" i="32"/>
  <c r="AB33" i="32"/>
  <c r="AA33" i="32"/>
  <c r="Z33" i="32"/>
  <c r="Y33" i="32"/>
  <c r="X33" i="32"/>
  <c r="O33" i="32"/>
  <c r="N33" i="32"/>
  <c r="M33" i="32"/>
  <c r="L33" i="32"/>
  <c r="K33" i="32"/>
  <c r="J33" i="32"/>
  <c r="I33" i="32"/>
  <c r="H33" i="32"/>
  <c r="G33" i="32"/>
  <c r="F33" i="32"/>
  <c r="E33" i="32"/>
  <c r="D33" i="32"/>
  <c r="C33" i="32"/>
  <c r="B33" i="32"/>
  <c r="AG32" i="32"/>
  <c r="AB32" i="32"/>
  <c r="AA32" i="32"/>
  <c r="Z32" i="32"/>
  <c r="Y32" i="32"/>
  <c r="X32" i="32"/>
  <c r="O32" i="32"/>
  <c r="N32" i="32"/>
  <c r="M32" i="32"/>
  <c r="L32" i="32"/>
  <c r="K32" i="32"/>
  <c r="J32" i="32"/>
  <c r="I32" i="32"/>
  <c r="H32" i="32"/>
  <c r="G32" i="32"/>
  <c r="F32" i="32"/>
  <c r="E32" i="32"/>
  <c r="D32" i="32"/>
  <c r="C32" i="32"/>
  <c r="B32" i="32"/>
  <c r="AG31" i="32"/>
  <c r="AB31" i="32"/>
  <c r="AA31" i="32"/>
  <c r="Z31" i="32"/>
  <c r="Y31" i="32"/>
  <c r="X31" i="32"/>
  <c r="O31" i="32"/>
  <c r="N31" i="32"/>
  <c r="M31" i="32"/>
  <c r="L31" i="32"/>
  <c r="K31" i="32"/>
  <c r="J31" i="32"/>
  <c r="I31" i="32"/>
  <c r="H31" i="32"/>
  <c r="G31" i="32"/>
  <c r="F31" i="32"/>
  <c r="E31" i="32"/>
  <c r="D31" i="32"/>
  <c r="C31" i="32"/>
  <c r="B31" i="32"/>
  <c r="AG30" i="32"/>
  <c r="AB30" i="32"/>
  <c r="AA30" i="32"/>
  <c r="Z30" i="32"/>
  <c r="Y30" i="32"/>
  <c r="X30" i="32"/>
  <c r="O30" i="32"/>
  <c r="N30" i="32"/>
  <c r="M30" i="32"/>
  <c r="L30" i="32"/>
  <c r="K30" i="32"/>
  <c r="J30" i="32"/>
  <c r="I30" i="32"/>
  <c r="H30" i="32"/>
  <c r="G30" i="32"/>
  <c r="F30" i="32"/>
  <c r="E30" i="32"/>
  <c r="D30" i="32"/>
  <c r="C30" i="32"/>
  <c r="B30" i="32"/>
  <c r="AG29" i="32"/>
  <c r="AB29" i="32"/>
  <c r="AA29" i="32"/>
  <c r="Z29" i="32"/>
  <c r="Y29" i="32"/>
  <c r="X29" i="32"/>
  <c r="O29" i="32"/>
  <c r="N29" i="32"/>
  <c r="M29" i="32"/>
  <c r="L29" i="32"/>
  <c r="K29" i="32"/>
  <c r="J29" i="32"/>
  <c r="I29" i="32"/>
  <c r="H29" i="32"/>
  <c r="G29" i="32"/>
  <c r="F29" i="32"/>
  <c r="E29" i="32"/>
  <c r="D29" i="32"/>
  <c r="C29" i="32"/>
  <c r="B29" i="32"/>
  <c r="AG28" i="32"/>
  <c r="AB28" i="32"/>
  <c r="AA28" i="32"/>
  <c r="Z28" i="32"/>
  <c r="Y28" i="32"/>
  <c r="X28" i="32"/>
  <c r="O28" i="32"/>
  <c r="N28" i="32"/>
  <c r="M28" i="32"/>
  <c r="L28" i="32"/>
  <c r="K28" i="32"/>
  <c r="J28" i="32"/>
  <c r="I28" i="32"/>
  <c r="H28" i="32"/>
  <c r="G28" i="32"/>
  <c r="F28" i="32"/>
  <c r="E28" i="32"/>
  <c r="D28" i="32"/>
  <c r="C28" i="32"/>
  <c r="B28" i="32"/>
  <c r="AG27" i="32"/>
  <c r="AB27" i="32"/>
  <c r="AA27" i="32"/>
  <c r="Z27" i="32"/>
  <c r="Y27" i="32"/>
  <c r="X27" i="32"/>
  <c r="O27" i="32"/>
  <c r="N27" i="32"/>
  <c r="M27" i="32"/>
  <c r="L27" i="32"/>
  <c r="K27" i="32"/>
  <c r="J27" i="32"/>
  <c r="I27" i="32"/>
  <c r="H27" i="32"/>
  <c r="G27" i="32"/>
  <c r="F27" i="32"/>
  <c r="E27" i="32"/>
  <c r="D27" i="32"/>
  <c r="C27" i="32"/>
  <c r="B27" i="32"/>
  <c r="AG26" i="32"/>
  <c r="AB26" i="32"/>
  <c r="AA26" i="32"/>
  <c r="Z26" i="32"/>
  <c r="Y26" i="32"/>
  <c r="X26" i="32"/>
  <c r="O26" i="32"/>
  <c r="N26" i="32"/>
  <c r="M26" i="32"/>
  <c r="L26" i="32"/>
  <c r="K26" i="32"/>
  <c r="J26" i="32"/>
  <c r="I26" i="32"/>
  <c r="H26" i="32"/>
  <c r="G26" i="32"/>
  <c r="F26" i="32"/>
  <c r="E26" i="32"/>
  <c r="D26" i="32"/>
  <c r="C26" i="32"/>
  <c r="B26" i="32"/>
  <c r="AG25" i="32"/>
  <c r="AB25" i="32"/>
  <c r="AA25" i="32"/>
  <c r="Z25" i="32"/>
  <c r="Y25" i="32"/>
  <c r="X25" i="32"/>
  <c r="O25" i="32"/>
  <c r="N25" i="32"/>
  <c r="M25" i="32"/>
  <c r="L25" i="32"/>
  <c r="K25" i="32"/>
  <c r="J25" i="32"/>
  <c r="I25" i="32"/>
  <c r="H25" i="32"/>
  <c r="G25" i="32"/>
  <c r="F25" i="32"/>
  <c r="E25" i="32"/>
  <c r="D25" i="32"/>
  <c r="C25" i="32"/>
  <c r="B25" i="32"/>
  <c r="AG24" i="32"/>
  <c r="AB24" i="32"/>
  <c r="AA24" i="32"/>
  <c r="Z24" i="32"/>
  <c r="Y24" i="32"/>
  <c r="X24" i="32"/>
  <c r="O24" i="32"/>
  <c r="N24" i="32"/>
  <c r="M24" i="32"/>
  <c r="L24" i="32"/>
  <c r="K24" i="32"/>
  <c r="J24" i="32"/>
  <c r="I24" i="32"/>
  <c r="H24" i="32"/>
  <c r="G24" i="32"/>
  <c r="F24" i="32"/>
  <c r="E24" i="32"/>
  <c r="D24" i="32"/>
  <c r="C24" i="32"/>
  <c r="B24" i="32"/>
  <c r="AG23" i="32"/>
  <c r="AB23" i="32"/>
  <c r="AA23" i="32"/>
  <c r="Z23" i="32"/>
  <c r="Y23" i="32"/>
  <c r="X23" i="32"/>
  <c r="O23" i="32"/>
  <c r="N23" i="32"/>
  <c r="M23" i="32"/>
  <c r="L23" i="32"/>
  <c r="K23" i="32"/>
  <c r="J23" i="32"/>
  <c r="I23" i="32"/>
  <c r="H23" i="32"/>
  <c r="G23" i="32"/>
  <c r="F23" i="32"/>
  <c r="E23" i="32"/>
  <c r="D23" i="32"/>
  <c r="C23" i="32"/>
  <c r="B23" i="32"/>
  <c r="AG22" i="32"/>
  <c r="AB22" i="32"/>
  <c r="AA22" i="32"/>
  <c r="Z22" i="32"/>
  <c r="Y22" i="32"/>
  <c r="X22" i="32"/>
  <c r="O22" i="32"/>
  <c r="N22" i="32"/>
  <c r="M22" i="32"/>
  <c r="L22" i="32"/>
  <c r="K22" i="32"/>
  <c r="J22" i="32"/>
  <c r="I22" i="32"/>
  <c r="H22" i="32"/>
  <c r="G22" i="32"/>
  <c r="F22" i="32"/>
  <c r="E22" i="32"/>
  <c r="D22" i="32"/>
  <c r="C22" i="32"/>
  <c r="B22" i="32"/>
  <c r="AG21" i="32"/>
  <c r="AB21" i="32"/>
  <c r="AA21" i="32"/>
  <c r="Z21" i="32"/>
  <c r="Y21" i="32"/>
  <c r="X21" i="32"/>
  <c r="O21" i="32"/>
  <c r="N21" i="32"/>
  <c r="M21" i="32"/>
  <c r="L21" i="32"/>
  <c r="K21" i="32"/>
  <c r="J21" i="32"/>
  <c r="I21" i="32"/>
  <c r="H21" i="32"/>
  <c r="G21" i="32"/>
  <c r="F21" i="32"/>
  <c r="E21" i="32"/>
  <c r="D21" i="32"/>
  <c r="C21" i="32"/>
  <c r="B21" i="32"/>
  <c r="AG20" i="32"/>
  <c r="AB20" i="32"/>
  <c r="AA20" i="32"/>
  <c r="Z20" i="32"/>
  <c r="Y20" i="32"/>
  <c r="X20" i="32"/>
  <c r="O20" i="32"/>
  <c r="N20" i="32"/>
  <c r="M20" i="32"/>
  <c r="L20" i="32"/>
  <c r="K20" i="32"/>
  <c r="J20" i="32"/>
  <c r="I20" i="32"/>
  <c r="H20" i="32"/>
  <c r="G20" i="32"/>
  <c r="F20" i="32"/>
  <c r="E20" i="32"/>
  <c r="D20" i="32"/>
  <c r="C20" i="32"/>
  <c r="B20" i="32"/>
  <c r="AG19" i="32"/>
  <c r="AB19" i="32"/>
  <c r="AA19" i="32"/>
  <c r="Z19" i="32"/>
  <c r="Y19" i="32"/>
  <c r="X19" i="32"/>
  <c r="O19" i="32"/>
  <c r="N19" i="32"/>
  <c r="M19" i="32"/>
  <c r="L19" i="32"/>
  <c r="K19" i="32"/>
  <c r="J19" i="32"/>
  <c r="I19" i="32"/>
  <c r="H19" i="32"/>
  <c r="G19" i="32"/>
  <c r="F19" i="32"/>
  <c r="E19" i="32"/>
  <c r="D19" i="32"/>
  <c r="C19" i="32"/>
  <c r="B19" i="32"/>
  <c r="AG18" i="32"/>
  <c r="AB18" i="32"/>
  <c r="AA18" i="32"/>
  <c r="Z18" i="32"/>
  <c r="Y18" i="32"/>
  <c r="X18" i="32"/>
  <c r="O18" i="32"/>
  <c r="N18" i="32"/>
  <c r="M18" i="32"/>
  <c r="L18" i="32"/>
  <c r="K18" i="32"/>
  <c r="J18" i="32"/>
  <c r="I18" i="32"/>
  <c r="H18" i="32"/>
  <c r="G18" i="32"/>
  <c r="F18" i="32"/>
  <c r="E18" i="32"/>
  <c r="D18" i="32"/>
  <c r="C18" i="32"/>
  <c r="B18" i="32"/>
  <c r="AG17" i="32"/>
  <c r="AB17" i="32"/>
  <c r="AA17" i="32"/>
  <c r="Z17" i="32"/>
  <c r="Y17" i="32"/>
  <c r="X17" i="32"/>
  <c r="O17" i="32"/>
  <c r="N17" i="32"/>
  <c r="M17" i="32"/>
  <c r="L17" i="32"/>
  <c r="K17" i="32"/>
  <c r="J17" i="32"/>
  <c r="I17" i="32"/>
  <c r="H17" i="32"/>
  <c r="G17" i="32"/>
  <c r="F17" i="32"/>
  <c r="E17" i="32"/>
  <c r="D17" i="32"/>
  <c r="C17" i="32"/>
  <c r="B17" i="32"/>
  <c r="AG16" i="32"/>
  <c r="AB16" i="32"/>
  <c r="AA16" i="32"/>
  <c r="Z16" i="32"/>
  <c r="Y16" i="32"/>
  <c r="X16" i="32"/>
  <c r="O16" i="32"/>
  <c r="N16" i="32"/>
  <c r="M16" i="32"/>
  <c r="L16" i="32"/>
  <c r="K16" i="32"/>
  <c r="J16" i="32"/>
  <c r="I16" i="32"/>
  <c r="H16" i="32"/>
  <c r="G16" i="32"/>
  <c r="F16" i="32"/>
  <c r="E16" i="32"/>
  <c r="D16" i="32"/>
  <c r="C16" i="32"/>
  <c r="B16" i="32"/>
  <c r="AG15" i="32"/>
  <c r="AB15" i="32"/>
  <c r="AA15" i="32"/>
  <c r="Z15" i="32"/>
  <c r="Y15" i="32"/>
  <c r="X15" i="32"/>
  <c r="O15" i="32"/>
  <c r="N15" i="32"/>
  <c r="M15" i="32"/>
  <c r="L15" i="32"/>
  <c r="K15" i="32"/>
  <c r="J15" i="32"/>
  <c r="I15" i="32"/>
  <c r="H15" i="32"/>
  <c r="G15" i="32"/>
  <c r="F15" i="32"/>
  <c r="E15" i="32"/>
  <c r="D15" i="32"/>
  <c r="C15" i="32"/>
  <c r="B15" i="32"/>
  <c r="AG14" i="32"/>
  <c r="AB14" i="32"/>
  <c r="AA14" i="32"/>
  <c r="Z14" i="32"/>
  <c r="Y14" i="32"/>
  <c r="X14" i="32"/>
  <c r="O14" i="32"/>
  <c r="N14" i="32"/>
  <c r="M14" i="32"/>
  <c r="L14" i="32"/>
  <c r="K14" i="32"/>
  <c r="J14" i="32"/>
  <c r="I14" i="32"/>
  <c r="H14" i="32"/>
  <c r="G14" i="32"/>
  <c r="F14" i="32"/>
  <c r="E14" i="32"/>
  <c r="D14" i="32"/>
  <c r="C14" i="32"/>
  <c r="B14" i="32"/>
  <c r="AG13" i="32"/>
  <c r="AB13" i="32"/>
  <c r="AA13" i="32"/>
  <c r="Z13" i="32"/>
  <c r="Y13" i="32"/>
  <c r="X13" i="32"/>
  <c r="O13" i="32"/>
  <c r="N13" i="32"/>
  <c r="M13" i="32"/>
  <c r="L13" i="32"/>
  <c r="K13" i="32"/>
  <c r="J13" i="32"/>
  <c r="I13" i="32"/>
  <c r="H13" i="32"/>
  <c r="G13" i="32"/>
  <c r="F13" i="32"/>
  <c r="E13" i="32"/>
  <c r="D13" i="32"/>
  <c r="C13" i="32"/>
  <c r="B13" i="32"/>
  <c r="AG12" i="32"/>
  <c r="AB12" i="32"/>
  <c r="AA12" i="32"/>
  <c r="Z12" i="32"/>
  <c r="Y12" i="32"/>
  <c r="X12" i="32"/>
  <c r="O12" i="32"/>
  <c r="N12" i="32"/>
  <c r="M12" i="32"/>
  <c r="L12" i="32"/>
  <c r="K12" i="32"/>
  <c r="J12" i="32"/>
  <c r="I12" i="32"/>
  <c r="H12" i="32"/>
  <c r="G12" i="32"/>
  <c r="F12" i="32"/>
  <c r="E12" i="32"/>
  <c r="D12" i="32"/>
  <c r="C12" i="32"/>
  <c r="B12" i="32"/>
  <c r="AG11" i="32"/>
  <c r="AB11" i="32"/>
  <c r="AA11" i="32"/>
  <c r="Z11" i="32"/>
  <c r="Y11" i="32"/>
  <c r="X11" i="32"/>
  <c r="O11" i="32"/>
  <c r="N11" i="32"/>
  <c r="M11" i="32"/>
  <c r="L11" i="32"/>
  <c r="K11" i="32"/>
  <c r="J11" i="32"/>
  <c r="I11" i="32"/>
  <c r="H11" i="32"/>
  <c r="G11" i="32"/>
  <c r="F11" i="32"/>
  <c r="E11" i="32"/>
  <c r="D11" i="32"/>
  <c r="C11" i="32"/>
  <c r="B11" i="32"/>
  <c r="AG10" i="32"/>
  <c r="AB10" i="32"/>
  <c r="AA10" i="32"/>
  <c r="Z10" i="32"/>
  <c r="Y10" i="32"/>
  <c r="X10" i="32"/>
  <c r="O10" i="32"/>
  <c r="N10" i="32"/>
  <c r="M10" i="32"/>
  <c r="L10" i="32"/>
  <c r="K10" i="32"/>
  <c r="J10" i="32"/>
  <c r="I10" i="32"/>
  <c r="H10" i="32"/>
  <c r="G10" i="32"/>
  <c r="F10" i="32"/>
  <c r="E10" i="32"/>
  <c r="D10" i="32"/>
  <c r="C10" i="32"/>
  <c r="B10" i="32"/>
  <c r="AG9" i="32"/>
  <c r="AB9" i="32"/>
  <c r="AA9" i="32"/>
  <c r="Z9" i="32"/>
  <c r="Y9" i="32"/>
  <c r="X9" i="32"/>
  <c r="O9" i="32"/>
  <c r="N9" i="32"/>
  <c r="M9" i="32"/>
  <c r="L9" i="32"/>
  <c r="K9" i="32"/>
  <c r="J9" i="32"/>
  <c r="I9" i="32"/>
  <c r="H9" i="32"/>
  <c r="G9" i="32"/>
  <c r="F9" i="32"/>
  <c r="E9" i="32"/>
  <c r="D9" i="32"/>
  <c r="C9" i="32"/>
  <c r="B9" i="32"/>
  <c r="AG8" i="32"/>
  <c r="AB8" i="32"/>
  <c r="AA8" i="32"/>
  <c r="Z8" i="32"/>
  <c r="Y8" i="32"/>
  <c r="X8" i="32"/>
  <c r="O8" i="32"/>
  <c r="N8" i="32"/>
  <c r="M8" i="32"/>
  <c r="L8" i="32"/>
  <c r="K8" i="32"/>
  <c r="J8" i="32"/>
  <c r="I8" i="32"/>
  <c r="H8" i="32"/>
  <c r="G8" i="32"/>
  <c r="F8" i="32"/>
  <c r="E8" i="32"/>
  <c r="D8" i="32"/>
  <c r="C8" i="32"/>
  <c r="B8" i="32"/>
  <c r="AG7" i="32"/>
  <c r="AB7" i="32"/>
  <c r="AA7" i="32"/>
  <c r="Z7" i="32"/>
  <c r="Y7" i="32"/>
  <c r="X7" i="32"/>
  <c r="O7" i="32"/>
  <c r="N7" i="32"/>
  <c r="M7" i="32"/>
  <c r="L7" i="32"/>
  <c r="K7" i="32"/>
  <c r="J7" i="32"/>
  <c r="I7" i="32"/>
  <c r="H7" i="32"/>
  <c r="G7" i="32"/>
  <c r="F7" i="32"/>
  <c r="E7" i="32"/>
  <c r="D7" i="32"/>
  <c r="C7" i="32"/>
  <c r="B7" i="32"/>
  <c r="AG6" i="32"/>
  <c r="AB6" i="32"/>
  <c r="AA6" i="32"/>
  <c r="Z6" i="32"/>
  <c r="Y6" i="32"/>
  <c r="X6" i="32"/>
  <c r="O6" i="32"/>
  <c r="N6" i="32"/>
  <c r="M6" i="32"/>
  <c r="L6" i="32"/>
  <c r="K6" i="32"/>
  <c r="J6" i="32"/>
  <c r="I6" i="32"/>
  <c r="H6" i="32"/>
  <c r="G6" i="32"/>
  <c r="F6" i="32"/>
  <c r="E6" i="32"/>
  <c r="D6" i="32"/>
  <c r="C6" i="32"/>
  <c r="B6" i="32"/>
  <c r="A6" i="32"/>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D2" i="32"/>
  <c r="F2" i="32" s="1"/>
  <c r="F1" i="32"/>
  <c r="D1" i="32"/>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W388" i="58"/>
  <c r="W387" i="58"/>
  <c r="W386" i="58"/>
  <c r="W385" i="58"/>
  <c r="W384" i="58"/>
  <c r="W383" i="58"/>
  <c r="W382" i="58"/>
  <c r="W381" i="58"/>
  <c r="W380" i="58"/>
  <c r="W379" i="58"/>
  <c r="W378" i="58"/>
  <c r="W377" i="58"/>
  <c r="W376" i="58"/>
  <c r="P5" i="58"/>
  <c r="U71" i="58" s="1"/>
  <c r="N71" i="58" s="1"/>
  <c r="K414" i="67"/>
  <c r="J414" i="67"/>
  <c r="H414" i="67"/>
  <c r="F414" i="67"/>
  <c r="K413" i="67"/>
  <c r="J413" i="67"/>
  <c r="H413" i="67"/>
  <c r="F413" i="67"/>
  <c r="K412" i="67"/>
  <c r="J412" i="67"/>
  <c r="H412" i="67"/>
  <c r="F412" i="67"/>
  <c r="K411" i="67"/>
  <c r="J411" i="67"/>
  <c r="H411" i="67"/>
  <c r="F411" i="67"/>
  <c r="K410" i="67"/>
  <c r="J410" i="67"/>
  <c r="H410" i="67"/>
  <c r="F410" i="67"/>
  <c r="P401" i="67"/>
  <c r="F401" i="67"/>
  <c r="P400" i="67"/>
  <c r="F400" i="67"/>
  <c r="P399" i="67"/>
  <c r="F399" i="67"/>
  <c r="P398" i="67"/>
  <c r="F398" i="67"/>
  <c r="P397" i="67"/>
  <c r="F397" i="67"/>
  <c r="P396" i="67"/>
  <c r="F396" i="67"/>
  <c r="P395" i="67"/>
  <c r="F395" i="67"/>
  <c r="P394" i="67"/>
  <c r="F394" i="67"/>
  <c r="P393" i="67"/>
  <c r="F393" i="67"/>
  <c r="P392" i="67"/>
  <c r="F392" i="67"/>
  <c r="P391" i="67"/>
  <c r="F391" i="67"/>
  <c r="P390" i="67"/>
  <c r="F390" i="67"/>
  <c r="P387" i="67"/>
  <c r="J387" i="67"/>
  <c r="G387" i="67"/>
  <c r="F387" i="67"/>
  <c r="P386" i="67"/>
  <c r="P385" i="67"/>
  <c r="P384" i="67"/>
  <c r="P383" i="67"/>
  <c r="P382" i="67"/>
  <c r="P381" i="67"/>
  <c r="P380" i="67"/>
  <c r="P379" i="67"/>
  <c r="P378" i="67"/>
  <c r="P377" i="67"/>
  <c r="P376" i="67"/>
  <c r="P375" i="67"/>
  <c r="P374" i="67"/>
  <c r="P373" i="67"/>
  <c r="P372" i="67"/>
  <c r="P371" i="67"/>
  <c r="P370" i="67"/>
  <c r="P369" i="67"/>
  <c r="P368" i="67"/>
  <c r="P367" i="67"/>
  <c r="P366" i="67"/>
  <c r="P365" i="67"/>
  <c r="P364" i="67"/>
  <c r="P363" i="67"/>
  <c r="P362" i="67"/>
  <c r="P361" i="67"/>
  <c r="P360" i="67"/>
  <c r="P359" i="67"/>
  <c r="P358" i="67"/>
  <c r="P357" i="67"/>
  <c r="P356" i="67"/>
  <c r="P355" i="67"/>
  <c r="J355" i="67"/>
  <c r="G355" i="67"/>
  <c r="F355" i="67"/>
  <c r="P354" i="67"/>
  <c r="P353" i="67"/>
  <c r="P352" i="67"/>
  <c r="P351" i="67"/>
  <c r="P350" i="67"/>
  <c r="P349" i="67"/>
  <c r="P348" i="67"/>
  <c r="P347" i="67"/>
  <c r="P346" i="67"/>
  <c r="P345" i="67"/>
  <c r="P344" i="67"/>
  <c r="P343" i="67"/>
  <c r="P342" i="67"/>
  <c r="P341" i="67"/>
  <c r="P340" i="67"/>
  <c r="P339" i="67"/>
  <c r="P338" i="67"/>
  <c r="P337" i="67"/>
  <c r="P336" i="67"/>
  <c r="P335" i="67"/>
  <c r="P334" i="67"/>
  <c r="P333" i="67"/>
  <c r="P332" i="67"/>
  <c r="P331" i="67"/>
  <c r="P330" i="67"/>
  <c r="P329" i="67"/>
  <c r="P328" i="67"/>
  <c r="P327" i="67"/>
  <c r="P326" i="67"/>
  <c r="P325" i="67"/>
  <c r="P324" i="67"/>
  <c r="J324" i="67"/>
  <c r="G324" i="67"/>
  <c r="F324" i="67"/>
  <c r="P323" i="67"/>
  <c r="P322" i="67"/>
  <c r="P321" i="67"/>
  <c r="P320" i="67"/>
  <c r="P319" i="67"/>
  <c r="P318" i="67"/>
  <c r="P317" i="67"/>
  <c r="P316" i="67"/>
  <c r="P315" i="67"/>
  <c r="P314" i="67"/>
  <c r="P313" i="67"/>
  <c r="P312" i="67"/>
  <c r="P311" i="67"/>
  <c r="P310" i="67"/>
  <c r="P309" i="67"/>
  <c r="P308" i="67"/>
  <c r="P307" i="67"/>
  <c r="P306" i="67"/>
  <c r="P305" i="67"/>
  <c r="P304" i="67"/>
  <c r="P303" i="67"/>
  <c r="P302" i="67"/>
  <c r="P301" i="67"/>
  <c r="P300" i="67"/>
  <c r="P299" i="67"/>
  <c r="P298" i="67"/>
  <c r="P297" i="67"/>
  <c r="P296" i="67"/>
  <c r="P295" i="67"/>
  <c r="P294" i="67"/>
  <c r="P293" i="67"/>
  <c r="P292" i="67"/>
  <c r="J292" i="67"/>
  <c r="G292" i="67"/>
  <c r="F292" i="67"/>
  <c r="P291" i="67"/>
  <c r="P290" i="67"/>
  <c r="P289" i="67"/>
  <c r="P288" i="67"/>
  <c r="P287" i="67"/>
  <c r="P286" i="67"/>
  <c r="P285" i="67"/>
  <c r="P284" i="67"/>
  <c r="P283" i="67"/>
  <c r="P282" i="67"/>
  <c r="P281" i="67"/>
  <c r="P280" i="67"/>
  <c r="P279" i="67"/>
  <c r="P278" i="67"/>
  <c r="P277" i="67"/>
  <c r="P276" i="67"/>
  <c r="P275" i="67"/>
  <c r="P274" i="67"/>
  <c r="P273" i="67"/>
  <c r="P272" i="67"/>
  <c r="P271" i="67"/>
  <c r="P270" i="67"/>
  <c r="P269" i="67"/>
  <c r="P268" i="67"/>
  <c r="P267" i="67"/>
  <c r="P266" i="67"/>
  <c r="P265" i="67"/>
  <c r="P264" i="67"/>
  <c r="P263" i="67"/>
  <c r="P262" i="67"/>
  <c r="P261" i="67"/>
  <c r="J261" i="67"/>
  <c r="G261" i="67"/>
  <c r="F261" i="67"/>
  <c r="P260" i="67"/>
  <c r="P259" i="67"/>
  <c r="P258" i="67"/>
  <c r="P257" i="67"/>
  <c r="P256" i="67"/>
  <c r="P255" i="67"/>
  <c r="P254" i="67"/>
  <c r="P253" i="67"/>
  <c r="P252" i="67"/>
  <c r="P251" i="67"/>
  <c r="P250" i="67"/>
  <c r="P249" i="67"/>
  <c r="P248" i="67"/>
  <c r="P247" i="67"/>
  <c r="P246" i="67"/>
  <c r="P245" i="67"/>
  <c r="P244" i="67"/>
  <c r="P243" i="67"/>
  <c r="P242" i="67"/>
  <c r="P241" i="67"/>
  <c r="P240" i="67"/>
  <c r="P239" i="67"/>
  <c r="P238" i="67"/>
  <c r="P237" i="67"/>
  <c r="P236" i="67"/>
  <c r="P235" i="67"/>
  <c r="P234" i="67"/>
  <c r="P233" i="67"/>
  <c r="P232" i="67"/>
  <c r="P231" i="67"/>
  <c r="P230" i="67"/>
  <c r="P229" i="67"/>
  <c r="J229" i="67"/>
  <c r="G229" i="67"/>
  <c r="F229" i="67"/>
  <c r="P228" i="67"/>
  <c r="P227" i="67"/>
  <c r="P226" i="67"/>
  <c r="P225" i="67"/>
  <c r="P224" i="67"/>
  <c r="P223" i="67"/>
  <c r="P222" i="67"/>
  <c r="P221" i="67"/>
  <c r="P220" i="67"/>
  <c r="P219" i="67"/>
  <c r="P218" i="67"/>
  <c r="P217" i="67"/>
  <c r="P216" i="67"/>
  <c r="P215" i="67"/>
  <c r="P214" i="67"/>
  <c r="P213" i="67"/>
  <c r="P212" i="67"/>
  <c r="P211" i="67"/>
  <c r="P210" i="67"/>
  <c r="P209" i="67"/>
  <c r="P208" i="67"/>
  <c r="P207" i="67"/>
  <c r="P206" i="67"/>
  <c r="P205" i="67"/>
  <c r="P204" i="67"/>
  <c r="P203" i="67"/>
  <c r="P202" i="67"/>
  <c r="P201" i="67"/>
  <c r="P200" i="67"/>
  <c r="P199" i="67"/>
  <c r="P198" i="67"/>
  <c r="P197" i="67"/>
  <c r="J197" i="67"/>
  <c r="G197" i="67"/>
  <c r="F197" i="67"/>
  <c r="P196" i="67"/>
  <c r="P195" i="67"/>
  <c r="P194" i="67"/>
  <c r="P193" i="67"/>
  <c r="P192" i="67"/>
  <c r="P191" i="67"/>
  <c r="P190" i="67"/>
  <c r="P189" i="67"/>
  <c r="P188" i="67"/>
  <c r="P187" i="67"/>
  <c r="P186" i="67"/>
  <c r="P185" i="67"/>
  <c r="P184" i="67"/>
  <c r="P183" i="67"/>
  <c r="P182" i="67"/>
  <c r="P181" i="67"/>
  <c r="P180" i="67"/>
  <c r="P179" i="67"/>
  <c r="P178" i="67"/>
  <c r="P177" i="67"/>
  <c r="P176" i="67"/>
  <c r="P175" i="67"/>
  <c r="P174" i="67"/>
  <c r="P173" i="67"/>
  <c r="P172" i="67"/>
  <c r="P171" i="67"/>
  <c r="P170" i="67"/>
  <c r="P169" i="67"/>
  <c r="P168" i="67"/>
  <c r="P167" i="67"/>
  <c r="P166" i="67"/>
  <c r="J166" i="67"/>
  <c r="G166" i="67"/>
  <c r="F166" i="67"/>
  <c r="P165" i="67"/>
  <c r="P164" i="67"/>
  <c r="P163" i="67"/>
  <c r="P162" i="67"/>
  <c r="P161" i="67"/>
  <c r="P160" i="67"/>
  <c r="P159" i="67"/>
  <c r="P158" i="67"/>
  <c r="P157" i="67"/>
  <c r="P156" i="67"/>
  <c r="P155" i="67"/>
  <c r="P154" i="67"/>
  <c r="P153" i="67"/>
  <c r="P152" i="67"/>
  <c r="P151" i="67"/>
  <c r="P150" i="67"/>
  <c r="P149" i="67"/>
  <c r="P148" i="67"/>
  <c r="P147" i="67"/>
  <c r="P146" i="67"/>
  <c r="P145" i="67"/>
  <c r="P144" i="67"/>
  <c r="P143" i="67"/>
  <c r="P142" i="67"/>
  <c r="P141" i="67"/>
  <c r="P140" i="67"/>
  <c r="P139" i="67"/>
  <c r="P138" i="67"/>
  <c r="P137" i="67"/>
  <c r="P136" i="67"/>
  <c r="P135" i="67"/>
  <c r="P134" i="67"/>
  <c r="J134" i="67"/>
  <c r="G134" i="67"/>
  <c r="F134" i="67"/>
  <c r="P133" i="67"/>
  <c r="P132" i="67"/>
  <c r="P131" i="67"/>
  <c r="P130" i="67"/>
  <c r="P129" i="67"/>
  <c r="P128" i="67"/>
  <c r="P127" i="67"/>
  <c r="P126" i="67"/>
  <c r="P125" i="67"/>
  <c r="P124" i="67"/>
  <c r="P123" i="67"/>
  <c r="P122" i="67"/>
  <c r="P121" i="67"/>
  <c r="P120" i="67"/>
  <c r="P119" i="67"/>
  <c r="P118" i="67"/>
  <c r="P117" i="67"/>
  <c r="P116" i="67"/>
  <c r="P115" i="67"/>
  <c r="P114" i="67"/>
  <c r="P113" i="67"/>
  <c r="P112" i="67"/>
  <c r="P111" i="67"/>
  <c r="P110" i="67"/>
  <c r="P109" i="67"/>
  <c r="P108" i="67"/>
  <c r="P107" i="67"/>
  <c r="P106" i="67"/>
  <c r="P105" i="67"/>
  <c r="P104" i="67"/>
  <c r="P103" i="67"/>
  <c r="J103" i="67"/>
  <c r="G103" i="67"/>
  <c r="F103" i="67"/>
  <c r="P102" i="67"/>
  <c r="P101" i="67"/>
  <c r="P100" i="67"/>
  <c r="P99" i="67"/>
  <c r="P98" i="67"/>
  <c r="P97" i="67"/>
  <c r="P96" i="67"/>
  <c r="P95" i="67"/>
  <c r="P94" i="67"/>
  <c r="P93" i="67"/>
  <c r="P92" i="67"/>
  <c r="P91" i="67"/>
  <c r="P90" i="67"/>
  <c r="P89" i="67"/>
  <c r="P88" i="67"/>
  <c r="P87" i="67"/>
  <c r="P86" i="67"/>
  <c r="P85" i="67"/>
  <c r="P84" i="67"/>
  <c r="P83" i="67"/>
  <c r="P82" i="67"/>
  <c r="P81" i="67"/>
  <c r="P80" i="67"/>
  <c r="P79" i="67"/>
  <c r="P78" i="67"/>
  <c r="P77" i="67"/>
  <c r="P76" i="67"/>
  <c r="P75" i="67"/>
  <c r="P74" i="67"/>
  <c r="P73" i="67"/>
  <c r="P72" i="67"/>
  <c r="P71" i="67"/>
  <c r="J71" i="67"/>
  <c r="G71" i="67"/>
  <c r="F71" i="67"/>
  <c r="P70" i="67"/>
  <c r="P69" i="67"/>
  <c r="P68" i="67"/>
  <c r="P67" i="67"/>
  <c r="P66" i="67"/>
  <c r="P65" i="67"/>
  <c r="P64" i="67"/>
  <c r="P63" i="67"/>
  <c r="P62" i="67"/>
  <c r="P61" i="67"/>
  <c r="P60" i="67"/>
  <c r="P59" i="67"/>
  <c r="P58" i="67"/>
  <c r="P57" i="67"/>
  <c r="P56" i="67"/>
  <c r="P55" i="67"/>
  <c r="P54" i="67"/>
  <c r="P53" i="67"/>
  <c r="P52" i="67"/>
  <c r="P51" i="67"/>
  <c r="P50" i="67"/>
  <c r="P49" i="67"/>
  <c r="P48" i="67"/>
  <c r="P47" i="67"/>
  <c r="P46" i="67"/>
  <c r="P45" i="67"/>
  <c r="P44" i="67"/>
  <c r="P43" i="67"/>
  <c r="P42" i="67"/>
  <c r="J42" i="67"/>
  <c r="G42" i="67"/>
  <c r="F42" i="67"/>
  <c r="P41" i="67"/>
  <c r="P40" i="67"/>
  <c r="P39" i="67"/>
  <c r="P38" i="67"/>
  <c r="P37" i="67"/>
  <c r="P36" i="67"/>
  <c r="P35" i="67"/>
  <c r="P34" i="67"/>
  <c r="P33" i="67"/>
  <c r="P32" i="67"/>
  <c r="P31" i="67"/>
  <c r="P30" i="67"/>
  <c r="P29" i="67"/>
  <c r="P28" i="67"/>
  <c r="P27" i="67"/>
  <c r="P26" i="67"/>
  <c r="P25" i="67"/>
  <c r="P24" i="67"/>
  <c r="P23" i="67"/>
  <c r="P22" i="67"/>
  <c r="P21" i="67"/>
  <c r="P20" i="67"/>
  <c r="P19" i="67"/>
  <c r="P18" i="67"/>
  <c r="P17" i="67"/>
  <c r="P16" i="67"/>
  <c r="P15" i="67"/>
  <c r="P14" i="67"/>
  <c r="P13" i="67"/>
  <c r="P12" i="67"/>
  <c r="P11" i="67"/>
  <c r="E396" i="99"/>
  <c r="C396" i="99"/>
  <c r="F395" i="99"/>
  <c r="E395" i="99"/>
  <c r="D395" i="99"/>
  <c r="C395" i="99"/>
  <c r="F394" i="99"/>
  <c r="E394" i="99"/>
  <c r="D394" i="99"/>
  <c r="C394" i="99"/>
  <c r="F393" i="99"/>
  <c r="E393" i="99"/>
  <c r="D393" i="99"/>
  <c r="C393" i="99"/>
  <c r="F392" i="99"/>
  <c r="E392" i="99"/>
  <c r="D392" i="99"/>
  <c r="D396" i="99" s="1"/>
  <c r="C392" i="99"/>
  <c r="F391" i="99"/>
  <c r="E391" i="99"/>
  <c r="D391" i="99"/>
  <c r="C391" i="99"/>
  <c r="F390" i="99"/>
  <c r="E390" i="99"/>
  <c r="D390" i="99"/>
  <c r="C390" i="99"/>
  <c r="F389" i="99"/>
  <c r="E389" i="99"/>
  <c r="D389" i="99"/>
  <c r="C389" i="99"/>
  <c r="F388" i="99"/>
  <c r="E388" i="99"/>
  <c r="D388" i="99"/>
  <c r="C388" i="99"/>
  <c r="F387" i="99"/>
  <c r="E387" i="99"/>
  <c r="D387" i="99"/>
  <c r="C387" i="99"/>
  <c r="F386" i="99"/>
  <c r="E386" i="99"/>
  <c r="D386" i="99"/>
  <c r="C386" i="99"/>
  <c r="F385" i="99"/>
  <c r="E385" i="99"/>
  <c r="D385" i="99"/>
  <c r="C385" i="99"/>
  <c r="F384" i="99"/>
  <c r="E384" i="99"/>
  <c r="D384" i="99"/>
  <c r="C384" i="99"/>
  <c r="D4" i="99"/>
  <c r="D3" i="99"/>
  <c r="D2" i="99"/>
  <c r="AB36" i="70"/>
  <c r="Z36" i="70"/>
  <c r="X36" i="70"/>
  <c r="V36" i="70"/>
  <c r="T36" i="70"/>
  <c r="R36" i="70"/>
  <c r="P36" i="70"/>
  <c r="N36" i="70"/>
  <c r="H33" i="70"/>
  <c r="AD31" i="70"/>
  <c r="AB31" i="70"/>
  <c r="Z31" i="70"/>
  <c r="X31" i="70"/>
  <c r="V31" i="70"/>
  <c r="T31" i="70"/>
  <c r="R31" i="70"/>
  <c r="P31" i="70"/>
  <c r="N31" i="70"/>
  <c r="L31" i="70"/>
  <c r="J31" i="70"/>
  <c r="H31" i="70"/>
  <c r="AD30" i="70"/>
  <c r="AB30" i="70"/>
  <c r="Z30" i="70"/>
  <c r="X30" i="70"/>
  <c r="V30" i="70"/>
  <c r="T30" i="70"/>
  <c r="R30" i="70"/>
  <c r="P30" i="70"/>
  <c r="N30" i="70"/>
  <c r="L30" i="70"/>
  <c r="J30" i="70"/>
  <c r="H30" i="70"/>
  <c r="AD29" i="70"/>
  <c r="AB29" i="70"/>
  <c r="Z29" i="70"/>
  <c r="X29" i="70"/>
  <c r="V29" i="70"/>
  <c r="T29" i="70"/>
  <c r="R29" i="70"/>
  <c r="P29" i="70"/>
  <c r="N29" i="70"/>
  <c r="L29" i="70"/>
  <c r="J29" i="70"/>
  <c r="H29" i="70"/>
  <c r="AD28" i="70"/>
  <c r="AB28" i="70"/>
  <c r="Z28" i="70"/>
  <c r="X28" i="70"/>
  <c r="V28" i="70"/>
  <c r="T28" i="70"/>
  <c r="R28" i="70"/>
  <c r="P28" i="70"/>
  <c r="N28" i="70"/>
  <c r="L28" i="70"/>
  <c r="J28" i="70"/>
  <c r="H28" i="70"/>
  <c r="AD27" i="70"/>
  <c r="AB27" i="70"/>
  <c r="Z27" i="70"/>
  <c r="X27" i="70"/>
  <c r="V27" i="70"/>
  <c r="T27" i="70"/>
  <c r="R27" i="70"/>
  <c r="P27" i="70"/>
  <c r="N27" i="70"/>
  <c r="L27" i="70"/>
  <c r="J27" i="70"/>
  <c r="H27" i="70"/>
  <c r="AE26" i="70"/>
  <c r="AD26" i="70"/>
  <c r="AC26" i="70"/>
  <c r="AB26" i="70"/>
  <c r="AA26" i="70"/>
  <c r="Z26" i="70"/>
  <c r="Y26" i="70"/>
  <c r="X26" i="70"/>
  <c r="W26" i="70"/>
  <c r="V26" i="70"/>
  <c r="U26" i="70"/>
  <c r="T26" i="70"/>
  <c r="S26" i="70"/>
  <c r="R26" i="70"/>
  <c r="Q26" i="70"/>
  <c r="P26" i="70"/>
  <c r="O26" i="70"/>
  <c r="N26" i="70"/>
  <c r="M26" i="70"/>
  <c r="L26" i="70"/>
  <c r="K26" i="70"/>
  <c r="J26" i="70"/>
  <c r="I26" i="70"/>
  <c r="H26" i="70"/>
  <c r="AD25" i="70"/>
  <c r="AB25" i="70"/>
  <c r="Z25" i="70"/>
  <c r="X25" i="70"/>
  <c r="V25" i="70"/>
  <c r="T25" i="70"/>
  <c r="R25" i="70"/>
  <c r="P25" i="70"/>
  <c r="N25" i="70"/>
  <c r="L25" i="70"/>
  <c r="J25" i="70"/>
  <c r="H25" i="70"/>
  <c r="AD24" i="70"/>
  <c r="AB24" i="70"/>
  <c r="Z24" i="70"/>
  <c r="X24" i="70"/>
  <c r="V24" i="70"/>
  <c r="T24" i="70"/>
  <c r="R24" i="70"/>
  <c r="P24" i="70"/>
  <c r="N24" i="70"/>
  <c r="L24" i="70"/>
  <c r="J24" i="70"/>
  <c r="H24" i="70"/>
  <c r="AD23" i="70"/>
  <c r="AB23" i="70"/>
  <c r="Z23" i="70"/>
  <c r="X23" i="70"/>
  <c r="V23" i="70"/>
  <c r="T23" i="70"/>
  <c r="R23" i="70"/>
  <c r="P23" i="70"/>
  <c r="N23" i="70"/>
  <c r="M23" i="70"/>
  <c r="L23" i="70"/>
  <c r="K23" i="70"/>
  <c r="J23" i="70"/>
  <c r="I23" i="70"/>
  <c r="H23" i="70"/>
  <c r="AE14" i="70"/>
  <c r="AC14" i="70"/>
  <c r="AA14" i="70"/>
  <c r="Y14" i="70"/>
  <c r="W14" i="70"/>
  <c r="U14" i="70"/>
  <c r="S14" i="70"/>
  <c r="Q14" i="70"/>
  <c r="O14" i="70"/>
  <c r="M14" i="70"/>
  <c r="K14" i="70"/>
  <c r="I14" i="70"/>
  <c r="AE11" i="70"/>
  <c r="AC11" i="70"/>
  <c r="AA11" i="70"/>
  <c r="Y11" i="70"/>
  <c r="W11" i="70"/>
  <c r="U11" i="70"/>
  <c r="S11" i="70"/>
  <c r="Q11" i="70"/>
  <c r="O11" i="70"/>
  <c r="M11" i="70"/>
  <c r="K11" i="70"/>
  <c r="I11" i="70"/>
  <c r="S83" i="18"/>
  <c r="P83" i="18"/>
  <c r="S82" i="18"/>
  <c r="P82" i="18"/>
  <c r="S81" i="18"/>
  <c r="P81" i="18"/>
  <c r="S80" i="18"/>
  <c r="P80" i="18"/>
  <c r="S79" i="18"/>
  <c r="P79" i="18"/>
  <c r="G76" i="18"/>
  <c r="F76" i="18"/>
  <c r="D76" i="18"/>
  <c r="H76" i="18" s="1"/>
  <c r="Q76" i="18" s="1"/>
  <c r="N54" i="18"/>
  <c r="I52" i="18"/>
  <c r="R6" i="18"/>
  <c r="Z3" i="18" s="1"/>
  <c r="Z4" i="18" s="1"/>
  <c r="L184" i="26"/>
  <c r="L183" i="26"/>
  <c r="L182" i="26"/>
  <c r="L181" i="26"/>
  <c r="L180" i="26"/>
  <c r="L179" i="26"/>
  <c r="L178" i="26"/>
  <c r="L177" i="26"/>
  <c r="L176" i="26"/>
  <c r="L175" i="26"/>
  <c r="L174" i="26"/>
  <c r="L173" i="26"/>
  <c r="L160" i="26"/>
  <c r="L159" i="26"/>
  <c r="L158" i="26"/>
  <c r="L157" i="26"/>
  <c r="L156" i="26"/>
  <c r="L155" i="26"/>
  <c r="L154" i="26"/>
  <c r="L153" i="26"/>
  <c r="L152" i="26"/>
  <c r="L151" i="26"/>
  <c r="L150" i="26"/>
  <c r="L149" i="26"/>
  <c r="F1" i="26"/>
  <c r="E24" i="65"/>
  <c r="AN21" i="65"/>
  <c r="AK21" i="65"/>
  <c r="AH21" i="65"/>
  <c r="AH9" i="65" s="1"/>
  <c r="F21" i="65"/>
  <c r="G9" i="65" s="1"/>
  <c r="G15" i="65" s="1"/>
  <c r="AN20" i="65"/>
  <c r="AK20" i="65"/>
  <c r="AH20" i="65"/>
  <c r="AJ20" i="65" s="1"/>
  <c r="F20" i="65"/>
  <c r="F19" i="65"/>
  <c r="P18" i="65"/>
  <c r="M18" i="65"/>
  <c r="J18" i="65"/>
  <c r="G18" i="65"/>
  <c r="P17" i="65"/>
  <c r="M17" i="65"/>
  <c r="J17" i="65"/>
  <c r="P16" i="65"/>
  <c r="M16" i="65"/>
  <c r="J16" i="65"/>
  <c r="P15" i="65"/>
  <c r="M15" i="65"/>
  <c r="J15" i="65"/>
  <c r="P14" i="65"/>
  <c r="M14" i="65"/>
  <c r="J14" i="65"/>
  <c r="P13" i="65"/>
  <c r="M13" i="65"/>
  <c r="J13" i="65"/>
  <c r="AN11" i="65"/>
  <c r="AK11" i="65"/>
  <c r="AH11" i="65"/>
  <c r="AE11" i="65"/>
  <c r="AB11" i="65"/>
  <c r="Y11" i="65"/>
  <c r="V11" i="65"/>
  <c r="S11" i="65"/>
  <c r="P11" i="65"/>
  <c r="M11" i="65"/>
  <c r="J11" i="65"/>
  <c r="G11" i="65"/>
  <c r="G17" i="65" s="1"/>
  <c r="AN10" i="65"/>
  <c r="AE10" i="65"/>
  <c r="AB10" i="65"/>
  <c r="Y10" i="65"/>
  <c r="V10" i="65"/>
  <c r="S10" i="65"/>
  <c r="P10" i="65"/>
  <c r="M10" i="65"/>
  <c r="J10" i="65"/>
  <c r="AN9" i="65"/>
  <c r="AE9" i="65"/>
  <c r="AB9" i="65"/>
  <c r="Y9" i="65"/>
  <c r="V9" i="65"/>
  <c r="S9" i="65"/>
  <c r="P9" i="65"/>
  <c r="M9" i="65"/>
  <c r="J9" i="65"/>
  <c r="AN8" i="65"/>
  <c r="AH8" i="65"/>
  <c r="AE8" i="65"/>
  <c r="AB8" i="65"/>
  <c r="Y8" i="65"/>
  <c r="V8" i="65"/>
  <c r="S8" i="65"/>
  <c r="P8" i="65"/>
  <c r="M8" i="65"/>
  <c r="J8" i="65"/>
  <c r="AN7" i="65"/>
  <c r="AK7" i="65"/>
  <c r="AH7" i="65"/>
  <c r="AE7" i="65"/>
  <c r="AB7" i="65"/>
  <c r="Y7" i="65"/>
  <c r="V7" i="65"/>
  <c r="S7" i="65"/>
  <c r="P7" i="65"/>
  <c r="M7" i="65"/>
  <c r="J7" i="65"/>
  <c r="C27" i="37"/>
  <c r="C26" i="37"/>
  <c r="C25" i="37"/>
  <c r="C24" i="37"/>
  <c r="C23" i="37"/>
  <c r="C22" i="37"/>
  <c r="C21" i="37"/>
  <c r="C20" i="37"/>
  <c r="C18" i="37"/>
  <c r="C17" i="37"/>
  <c r="C16" i="37"/>
  <c r="C10" i="37"/>
  <c r="C9" i="37"/>
  <c r="C8" i="37"/>
  <c r="C7" i="37"/>
  <c r="E5" i="37"/>
  <c r="AS376" i="22"/>
  <c r="P376" i="22"/>
  <c r="O376" i="22"/>
  <c r="N376" i="22"/>
  <c r="AS375" i="22"/>
  <c r="P375" i="22"/>
  <c r="O375" i="22"/>
  <c r="N375" i="22"/>
  <c r="AS374" i="22"/>
  <c r="P374" i="22"/>
  <c r="O374" i="22"/>
  <c r="N374" i="22"/>
  <c r="AS373" i="22"/>
  <c r="P373" i="22"/>
  <c r="O373" i="22"/>
  <c r="N373" i="22"/>
  <c r="AS372" i="22"/>
  <c r="P372" i="22"/>
  <c r="O372" i="22"/>
  <c r="N372" i="22"/>
  <c r="AS371" i="22"/>
  <c r="P371" i="22"/>
  <c r="O371" i="22"/>
  <c r="N371" i="22"/>
  <c r="AS370" i="22"/>
  <c r="P370" i="22"/>
  <c r="O370" i="22"/>
  <c r="N370" i="22"/>
  <c r="AS369" i="22"/>
  <c r="P369" i="22"/>
  <c r="O369" i="22"/>
  <c r="N369" i="22"/>
  <c r="AS368" i="22"/>
  <c r="P368" i="22"/>
  <c r="O368" i="22"/>
  <c r="N368" i="22"/>
  <c r="AS367" i="22"/>
  <c r="P367" i="22"/>
  <c r="O367" i="22"/>
  <c r="N367" i="22"/>
  <c r="AS366" i="22"/>
  <c r="P366" i="22"/>
  <c r="O366" i="22"/>
  <c r="N366" i="22"/>
  <c r="AS365" i="22"/>
  <c r="P365" i="22"/>
  <c r="O365" i="22"/>
  <c r="N365" i="22"/>
  <c r="AS364" i="22"/>
  <c r="P364" i="22"/>
  <c r="O364" i="22"/>
  <c r="N364" i="22"/>
  <c r="AS363" i="22"/>
  <c r="P363" i="22"/>
  <c r="O363" i="22"/>
  <c r="N363" i="22"/>
  <c r="AS362" i="22"/>
  <c r="P362" i="22"/>
  <c r="O362" i="22"/>
  <c r="N362" i="22"/>
  <c r="AS361" i="22"/>
  <c r="P361" i="22"/>
  <c r="O361" i="22"/>
  <c r="N361" i="22"/>
  <c r="AS360" i="22"/>
  <c r="P360" i="22"/>
  <c r="O360" i="22"/>
  <c r="N360" i="22"/>
  <c r="AS359" i="22"/>
  <c r="P359" i="22"/>
  <c r="O359" i="22"/>
  <c r="N359" i="22"/>
  <c r="AS358" i="22"/>
  <c r="P358" i="22"/>
  <c r="O358" i="22"/>
  <c r="N358" i="22"/>
  <c r="AS357" i="22"/>
  <c r="P357" i="22"/>
  <c r="O357" i="22"/>
  <c r="N357" i="22"/>
  <c r="AS356" i="22"/>
  <c r="P356" i="22"/>
  <c r="O356" i="22"/>
  <c r="N356" i="22"/>
  <c r="AS355" i="22"/>
  <c r="P355" i="22"/>
  <c r="O355" i="22"/>
  <c r="N355" i="22"/>
  <c r="AS354" i="22"/>
  <c r="P354" i="22"/>
  <c r="O354" i="22"/>
  <c r="N354" i="22"/>
  <c r="AS353" i="22"/>
  <c r="P353" i="22"/>
  <c r="O353" i="22"/>
  <c r="N353" i="22"/>
  <c r="AS352" i="22"/>
  <c r="P352" i="22"/>
  <c r="O352" i="22"/>
  <c r="N352" i="22"/>
  <c r="AS351" i="22"/>
  <c r="P351" i="22"/>
  <c r="O351" i="22"/>
  <c r="N351" i="22"/>
  <c r="AS350" i="22"/>
  <c r="P350" i="22"/>
  <c r="O350" i="22"/>
  <c r="N350" i="22"/>
  <c r="AS349" i="22"/>
  <c r="P349" i="22"/>
  <c r="O349" i="22"/>
  <c r="N349" i="22"/>
  <c r="AS348" i="22"/>
  <c r="P348" i="22"/>
  <c r="O348" i="22"/>
  <c r="N348" i="22"/>
  <c r="AS347" i="22"/>
  <c r="P347" i="22"/>
  <c r="O347" i="22"/>
  <c r="N347" i="22"/>
  <c r="AS346" i="22"/>
  <c r="P346" i="22"/>
  <c r="O346" i="22"/>
  <c r="N346" i="22"/>
  <c r="AS345" i="22"/>
  <c r="P345" i="22"/>
  <c r="O345" i="22"/>
  <c r="N345" i="22"/>
  <c r="AS344" i="22"/>
  <c r="P344" i="22"/>
  <c r="O344" i="22"/>
  <c r="N344" i="22"/>
  <c r="AS343" i="22"/>
  <c r="P343" i="22"/>
  <c r="O343" i="22"/>
  <c r="N343" i="22"/>
  <c r="AS342" i="22"/>
  <c r="P342" i="22"/>
  <c r="O342" i="22"/>
  <c r="N342" i="22"/>
  <c r="AS341" i="22"/>
  <c r="P341" i="22"/>
  <c r="O341" i="22"/>
  <c r="N341" i="22"/>
  <c r="AS340" i="22"/>
  <c r="P340" i="22"/>
  <c r="O340" i="22"/>
  <c r="N340" i="22"/>
  <c r="AS339" i="22"/>
  <c r="P339" i="22"/>
  <c r="O339" i="22"/>
  <c r="N339" i="22"/>
  <c r="AS338" i="22"/>
  <c r="P338" i="22"/>
  <c r="O338" i="22"/>
  <c r="N338" i="22"/>
  <c r="AS337" i="22"/>
  <c r="P337" i="22"/>
  <c r="O337" i="22"/>
  <c r="N337" i="22"/>
  <c r="AS336" i="22"/>
  <c r="P336" i="22"/>
  <c r="O336" i="22"/>
  <c r="N336" i="22"/>
  <c r="AS335" i="22"/>
  <c r="P335" i="22"/>
  <c r="O335" i="22"/>
  <c r="N335" i="22"/>
  <c r="AS334" i="22"/>
  <c r="P334" i="22"/>
  <c r="O334" i="22"/>
  <c r="N334" i="22"/>
  <c r="AS333" i="22"/>
  <c r="P333" i="22"/>
  <c r="O333" i="22"/>
  <c r="N333" i="22"/>
  <c r="AS332" i="22"/>
  <c r="P332" i="22"/>
  <c r="O332" i="22"/>
  <c r="N332" i="22"/>
  <c r="AS331" i="22"/>
  <c r="P331" i="22"/>
  <c r="O331" i="22"/>
  <c r="N331" i="22"/>
  <c r="AS330" i="22"/>
  <c r="P330" i="22"/>
  <c r="O330" i="22"/>
  <c r="N330" i="22"/>
  <c r="AS329" i="22"/>
  <c r="P329" i="22"/>
  <c r="O329" i="22"/>
  <c r="N329" i="22"/>
  <c r="AS328" i="22"/>
  <c r="P328" i="22"/>
  <c r="O328" i="22"/>
  <c r="N328" i="22"/>
  <c r="AS327" i="22"/>
  <c r="P327" i="22"/>
  <c r="O327" i="22"/>
  <c r="N327" i="22"/>
  <c r="AS326" i="22"/>
  <c r="P326" i="22"/>
  <c r="O326" i="22"/>
  <c r="N326" i="22"/>
  <c r="AS325" i="22"/>
  <c r="P325" i="22"/>
  <c r="O325" i="22"/>
  <c r="N325" i="22"/>
  <c r="AS324" i="22"/>
  <c r="P324" i="22"/>
  <c r="O324" i="22"/>
  <c r="N324" i="22"/>
  <c r="AS323" i="22"/>
  <c r="P323" i="22"/>
  <c r="O323" i="22"/>
  <c r="N323" i="22"/>
  <c r="AS322" i="22"/>
  <c r="P322" i="22"/>
  <c r="O322" i="22"/>
  <c r="N322" i="22"/>
  <c r="AS321" i="22"/>
  <c r="P321" i="22"/>
  <c r="O321" i="22"/>
  <c r="N321" i="22"/>
  <c r="AS320" i="22"/>
  <c r="P320" i="22"/>
  <c r="O320" i="22"/>
  <c r="N320" i="22"/>
  <c r="AS319" i="22"/>
  <c r="P319" i="22"/>
  <c r="O319" i="22"/>
  <c r="N319" i="22"/>
  <c r="AS318" i="22"/>
  <c r="P318" i="22"/>
  <c r="O318" i="22"/>
  <c r="N318" i="22"/>
  <c r="AS317" i="22"/>
  <c r="P317" i="22"/>
  <c r="O317" i="22"/>
  <c r="N317" i="22"/>
  <c r="AS316" i="22"/>
  <c r="N316" i="22"/>
  <c r="AS315" i="22"/>
  <c r="N315" i="22"/>
  <c r="AS314" i="22"/>
  <c r="N314" i="22"/>
  <c r="AS313" i="22"/>
  <c r="N313" i="22"/>
  <c r="AS312" i="22"/>
  <c r="N312" i="22"/>
  <c r="AS311" i="22"/>
  <c r="N311" i="22"/>
  <c r="AS310" i="22"/>
  <c r="N310" i="22"/>
  <c r="AS309" i="22"/>
  <c r="N309" i="22"/>
  <c r="AS308" i="22"/>
  <c r="N308" i="22"/>
  <c r="AS307" i="22"/>
  <c r="N307" i="22"/>
  <c r="AS306" i="22"/>
  <c r="N306" i="22"/>
  <c r="AS305" i="22"/>
  <c r="N305" i="22"/>
  <c r="AS304" i="22"/>
  <c r="N304" i="22"/>
  <c r="AS303" i="22"/>
  <c r="O303" i="22"/>
  <c r="N303" i="22"/>
  <c r="AS302" i="22"/>
  <c r="N302" i="22"/>
  <c r="AS301" i="22"/>
  <c r="N301" i="22"/>
  <c r="AS300" i="22"/>
  <c r="P300" i="22"/>
  <c r="N300" i="22"/>
  <c r="AS299" i="22"/>
  <c r="N299" i="22"/>
  <c r="AS298" i="22"/>
  <c r="N298" i="22"/>
  <c r="AS297" i="22"/>
  <c r="N297" i="22"/>
  <c r="AS296" i="22"/>
  <c r="N296" i="22"/>
  <c r="AS295" i="22"/>
  <c r="N295" i="22"/>
  <c r="AS294" i="22"/>
  <c r="N294" i="22"/>
  <c r="AS293" i="22"/>
  <c r="N293" i="22"/>
  <c r="AS292" i="22"/>
  <c r="N292" i="22"/>
  <c r="AS291" i="22"/>
  <c r="N291" i="22"/>
  <c r="AS290" i="22"/>
  <c r="N290" i="22"/>
  <c r="AS289" i="22"/>
  <c r="N289" i="22"/>
  <c r="AS288" i="22"/>
  <c r="N288" i="22"/>
  <c r="AS287" i="22"/>
  <c r="N287" i="22"/>
  <c r="AS286" i="22"/>
  <c r="N286" i="22"/>
  <c r="AS285" i="22"/>
  <c r="N285" i="22"/>
  <c r="AS284" i="22"/>
  <c r="N284" i="22"/>
  <c r="AS283" i="22"/>
  <c r="N283" i="22"/>
  <c r="AS282" i="22"/>
  <c r="P282" i="22"/>
  <c r="N282" i="22"/>
  <c r="AS281" i="22"/>
  <c r="N281" i="22"/>
  <c r="AS280" i="22"/>
  <c r="N280" i="22"/>
  <c r="AS279" i="22"/>
  <c r="N279" i="22"/>
  <c r="AS278" i="22"/>
  <c r="N278" i="22"/>
  <c r="AS277" i="22"/>
  <c r="P277" i="22"/>
  <c r="O277" i="22"/>
  <c r="N277" i="22"/>
  <c r="AS276" i="22"/>
  <c r="N276" i="22"/>
  <c r="AS275" i="22"/>
  <c r="N275" i="22"/>
  <c r="AS274" i="22"/>
  <c r="N274" i="22"/>
  <c r="AS273" i="22"/>
  <c r="N273" i="22"/>
  <c r="AS272" i="22"/>
  <c r="N272" i="22"/>
  <c r="AS271" i="22"/>
  <c r="O271" i="22"/>
  <c r="N271" i="22"/>
  <c r="AS270" i="22"/>
  <c r="O270" i="22"/>
  <c r="N270" i="22"/>
  <c r="AS269" i="22"/>
  <c r="P269" i="22"/>
  <c r="O269" i="22"/>
  <c r="N269" i="22"/>
  <c r="AS268" i="22"/>
  <c r="P268" i="22"/>
  <c r="O268" i="22"/>
  <c r="N268" i="22"/>
  <c r="AS267" i="22"/>
  <c r="P267" i="22"/>
  <c r="O267" i="22"/>
  <c r="N267" i="22"/>
  <c r="AS266" i="22"/>
  <c r="P266" i="22"/>
  <c r="O266" i="22"/>
  <c r="N266" i="22"/>
  <c r="AS265" i="22"/>
  <c r="P265" i="22"/>
  <c r="O265" i="22"/>
  <c r="N265" i="22"/>
  <c r="AS264" i="22"/>
  <c r="P264" i="22"/>
  <c r="O264" i="22"/>
  <c r="N264" i="22"/>
  <c r="AS263" i="22"/>
  <c r="P263" i="22"/>
  <c r="O263" i="22"/>
  <c r="N263" i="22"/>
  <c r="AS262" i="22"/>
  <c r="P262" i="22"/>
  <c r="O262" i="22"/>
  <c r="N262" i="22"/>
  <c r="AS261" i="22"/>
  <c r="P261" i="22"/>
  <c r="O261" i="22"/>
  <c r="N261" i="22"/>
  <c r="AS260" i="22"/>
  <c r="P260" i="22"/>
  <c r="O260" i="22"/>
  <c r="N260" i="22"/>
  <c r="AS259" i="22"/>
  <c r="P259" i="22"/>
  <c r="O259" i="22"/>
  <c r="N259" i="22"/>
  <c r="AS258" i="22"/>
  <c r="P258" i="22"/>
  <c r="O258" i="22"/>
  <c r="N258" i="22"/>
  <c r="AS257" i="22"/>
  <c r="P257" i="22"/>
  <c r="O257" i="22"/>
  <c r="N257" i="22"/>
  <c r="AS256" i="22"/>
  <c r="P256" i="22"/>
  <c r="O256" i="22"/>
  <c r="N256" i="22"/>
  <c r="AS255" i="22"/>
  <c r="P255" i="22"/>
  <c r="O255" i="22"/>
  <c r="N255" i="22"/>
  <c r="AS254" i="22"/>
  <c r="P254" i="22"/>
  <c r="O254" i="22"/>
  <c r="N254" i="22"/>
  <c r="AS253" i="22"/>
  <c r="P253" i="22"/>
  <c r="O253" i="22"/>
  <c r="N253" i="22"/>
  <c r="AS252" i="22"/>
  <c r="P252" i="22"/>
  <c r="O252" i="22"/>
  <c r="N252" i="22"/>
  <c r="AS251" i="22"/>
  <c r="P251" i="22"/>
  <c r="O251" i="22"/>
  <c r="N251" i="22"/>
  <c r="AS250" i="22"/>
  <c r="P250" i="22"/>
  <c r="O250" i="22"/>
  <c r="N250" i="22"/>
  <c r="AS249" i="22"/>
  <c r="P249" i="22"/>
  <c r="O249" i="22"/>
  <c r="N249" i="22"/>
  <c r="AS248" i="22"/>
  <c r="P248" i="22"/>
  <c r="O248" i="22"/>
  <c r="N248" i="22"/>
  <c r="AS247" i="22"/>
  <c r="P247" i="22"/>
  <c r="O247" i="22"/>
  <c r="N247" i="22"/>
  <c r="AS246" i="22"/>
  <c r="P246" i="22"/>
  <c r="O246" i="22"/>
  <c r="N246" i="22"/>
  <c r="AS245" i="22"/>
  <c r="P245" i="22"/>
  <c r="O245" i="22"/>
  <c r="N245" i="22"/>
  <c r="AS244" i="22"/>
  <c r="P244" i="22"/>
  <c r="O244" i="22"/>
  <c r="N244" i="22"/>
  <c r="AS243" i="22"/>
  <c r="P243" i="22"/>
  <c r="O243" i="22"/>
  <c r="N243" i="22"/>
  <c r="AS242" i="22"/>
  <c r="P242" i="22"/>
  <c r="O242" i="22"/>
  <c r="N242" i="22"/>
  <c r="AS241" i="22"/>
  <c r="P241" i="22"/>
  <c r="O241" i="22"/>
  <c r="N241" i="22"/>
  <c r="AS240" i="22"/>
  <c r="P240" i="22"/>
  <c r="O240" i="22"/>
  <c r="N240" i="22"/>
  <c r="AS239" i="22"/>
  <c r="P239" i="22"/>
  <c r="O239" i="22"/>
  <c r="N239" i="22"/>
  <c r="AS238" i="22"/>
  <c r="P238" i="22"/>
  <c r="O238" i="22"/>
  <c r="N238" i="22"/>
  <c r="AS237" i="22"/>
  <c r="P237" i="22"/>
  <c r="O237" i="22"/>
  <c r="N237" i="22"/>
  <c r="AS236" i="22"/>
  <c r="P236" i="22"/>
  <c r="O236" i="22"/>
  <c r="N236" i="22"/>
  <c r="AS235" i="22"/>
  <c r="P235" i="22"/>
  <c r="O235" i="22"/>
  <c r="N235" i="22"/>
  <c r="AS234" i="22"/>
  <c r="P234" i="22"/>
  <c r="O234" i="22"/>
  <c r="N234" i="22"/>
  <c r="AS233" i="22"/>
  <c r="P233" i="22"/>
  <c r="O233" i="22"/>
  <c r="N233" i="22"/>
  <c r="AS232" i="22"/>
  <c r="P232" i="22"/>
  <c r="O232" i="22"/>
  <c r="N232" i="22"/>
  <c r="AS231" i="22"/>
  <c r="P231" i="22"/>
  <c r="O231" i="22"/>
  <c r="N231" i="22"/>
  <c r="AS230" i="22"/>
  <c r="P230" i="22"/>
  <c r="O230" i="22"/>
  <c r="N230" i="22"/>
  <c r="AS229" i="22"/>
  <c r="P229" i="22"/>
  <c r="O229" i="22"/>
  <c r="N229" i="22"/>
  <c r="AS228" i="22"/>
  <c r="P228" i="22"/>
  <c r="O228" i="22"/>
  <c r="N228" i="22"/>
  <c r="AS227" i="22"/>
  <c r="P227" i="22"/>
  <c r="O227" i="22"/>
  <c r="N227" i="22"/>
  <c r="AS226" i="22"/>
  <c r="P226" i="22"/>
  <c r="O226" i="22"/>
  <c r="N226" i="22"/>
  <c r="AS225" i="22"/>
  <c r="P225" i="22"/>
  <c r="O225" i="22"/>
  <c r="N225" i="22"/>
  <c r="AS224" i="22"/>
  <c r="P224" i="22"/>
  <c r="O224" i="22"/>
  <c r="N224" i="22"/>
  <c r="AS223" i="22"/>
  <c r="P223" i="22"/>
  <c r="O223" i="22"/>
  <c r="N223" i="22"/>
  <c r="AS222" i="22"/>
  <c r="P222" i="22"/>
  <c r="O222" i="22"/>
  <c r="N222" i="22"/>
  <c r="AS221" i="22"/>
  <c r="P221" i="22"/>
  <c r="O221" i="22"/>
  <c r="N221" i="22"/>
  <c r="AS220" i="22"/>
  <c r="P220" i="22"/>
  <c r="O220" i="22"/>
  <c r="N220" i="22"/>
  <c r="AS219" i="22"/>
  <c r="P219" i="22"/>
  <c r="O219" i="22"/>
  <c r="N219" i="22"/>
  <c r="AS218" i="22"/>
  <c r="P218" i="22"/>
  <c r="O218" i="22"/>
  <c r="N218" i="22"/>
  <c r="AS217" i="22"/>
  <c r="P217" i="22"/>
  <c r="O217" i="22"/>
  <c r="N217" i="22"/>
  <c r="AS216" i="22"/>
  <c r="P216" i="22"/>
  <c r="O216" i="22"/>
  <c r="N216" i="22"/>
  <c r="AS215" i="22"/>
  <c r="P215" i="22"/>
  <c r="O215" i="22"/>
  <c r="N215" i="22"/>
  <c r="AS214" i="22"/>
  <c r="P214" i="22"/>
  <c r="O214" i="22"/>
  <c r="N214" i="22"/>
  <c r="AS213" i="22"/>
  <c r="P213" i="22"/>
  <c r="O213" i="22"/>
  <c r="N213" i="22"/>
  <c r="AS212" i="22"/>
  <c r="P212" i="22"/>
  <c r="O212" i="22"/>
  <c r="N212" i="22"/>
  <c r="AS211" i="22"/>
  <c r="P211" i="22"/>
  <c r="O211" i="22"/>
  <c r="N211" i="22"/>
  <c r="AS210" i="22"/>
  <c r="P210" i="22"/>
  <c r="O210" i="22"/>
  <c r="N210" i="22"/>
  <c r="AS209" i="22"/>
  <c r="P209" i="22"/>
  <c r="O209" i="22"/>
  <c r="N209" i="22"/>
  <c r="AS208" i="22"/>
  <c r="P208" i="22"/>
  <c r="O208" i="22"/>
  <c r="N208" i="22"/>
  <c r="AS207" i="22"/>
  <c r="P207" i="22"/>
  <c r="O207" i="22"/>
  <c r="N207" i="22"/>
  <c r="AS206" i="22"/>
  <c r="P206" i="22"/>
  <c r="O206" i="22"/>
  <c r="N206" i="22"/>
  <c r="AS205" i="22"/>
  <c r="P205" i="22"/>
  <c r="O205" i="22"/>
  <c r="N205" i="22"/>
  <c r="AS204" i="22"/>
  <c r="P204" i="22"/>
  <c r="O204" i="22"/>
  <c r="N204" i="22"/>
  <c r="AS203" i="22"/>
  <c r="P203" i="22"/>
  <c r="O203" i="22"/>
  <c r="N203" i="22"/>
  <c r="AS202" i="22"/>
  <c r="P202" i="22"/>
  <c r="O202" i="22"/>
  <c r="N202" i="22"/>
  <c r="AS201" i="22"/>
  <c r="P201" i="22"/>
  <c r="O201" i="22"/>
  <c r="N201" i="22"/>
  <c r="AS200" i="22"/>
  <c r="P200" i="22"/>
  <c r="O200" i="22"/>
  <c r="N200" i="22"/>
  <c r="AS199" i="22"/>
  <c r="P199" i="22"/>
  <c r="O199" i="22"/>
  <c r="N199" i="22"/>
  <c r="AS198" i="22"/>
  <c r="P198" i="22"/>
  <c r="O198" i="22"/>
  <c r="N198" i="22"/>
  <c r="AS197" i="22"/>
  <c r="P197" i="22"/>
  <c r="O197" i="22"/>
  <c r="N197" i="22"/>
  <c r="AS196" i="22"/>
  <c r="P196" i="22"/>
  <c r="O196" i="22"/>
  <c r="N196" i="22"/>
  <c r="AS195" i="22"/>
  <c r="P195" i="22"/>
  <c r="O195" i="22"/>
  <c r="N195" i="22"/>
  <c r="AS194" i="22"/>
  <c r="P194" i="22"/>
  <c r="O194" i="22"/>
  <c r="N194" i="22"/>
  <c r="AS193" i="22"/>
  <c r="P193" i="22"/>
  <c r="O193" i="22"/>
  <c r="N193" i="22"/>
  <c r="AS192" i="22"/>
  <c r="P192" i="22"/>
  <c r="O192" i="22"/>
  <c r="N192" i="22"/>
  <c r="AS191" i="22"/>
  <c r="P191" i="22"/>
  <c r="O191" i="22"/>
  <c r="N191" i="22"/>
  <c r="AS190" i="22"/>
  <c r="P190" i="22"/>
  <c r="O190" i="22"/>
  <c r="N190" i="22"/>
  <c r="AS189" i="22"/>
  <c r="P189" i="22"/>
  <c r="O189" i="22"/>
  <c r="N189" i="22"/>
  <c r="AS188" i="22"/>
  <c r="P188" i="22"/>
  <c r="O188" i="22"/>
  <c r="N188" i="22"/>
  <c r="AS187" i="22"/>
  <c r="P187" i="22"/>
  <c r="O187" i="22"/>
  <c r="N187" i="22"/>
  <c r="AS186" i="22"/>
  <c r="P186" i="22"/>
  <c r="O186" i="22"/>
  <c r="N186" i="22"/>
  <c r="AS185" i="22"/>
  <c r="P185" i="22"/>
  <c r="O185" i="22"/>
  <c r="N185" i="22"/>
  <c r="AS184" i="22"/>
  <c r="P184" i="22"/>
  <c r="O184" i="22"/>
  <c r="N184" i="22"/>
  <c r="AS183" i="22"/>
  <c r="P183" i="22"/>
  <c r="O183" i="22"/>
  <c r="N183" i="22"/>
  <c r="AS182" i="22"/>
  <c r="P182" i="22"/>
  <c r="O182" i="22"/>
  <c r="N182" i="22"/>
  <c r="AS181" i="22"/>
  <c r="P181" i="22"/>
  <c r="O181" i="22"/>
  <c r="N181" i="22"/>
  <c r="AS180" i="22"/>
  <c r="P180" i="22"/>
  <c r="O180" i="22"/>
  <c r="N180" i="22"/>
  <c r="AS179" i="22"/>
  <c r="P179" i="22"/>
  <c r="O179" i="22"/>
  <c r="N179" i="22"/>
  <c r="AS178" i="22"/>
  <c r="P178" i="22"/>
  <c r="O178" i="22"/>
  <c r="N178" i="22"/>
  <c r="AS177" i="22"/>
  <c r="P177" i="22"/>
  <c r="O177" i="22"/>
  <c r="N177" i="22"/>
  <c r="AS176" i="22"/>
  <c r="P176" i="22"/>
  <c r="O176" i="22"/>
  <c r="N176" i="22"/>
  <c r="AS175" i="22"/>
  <c r="P175" i="22"/>
  <c r="O175" i="22"/>
  <c r="N175" i="22"/>
  <c r="AS174" i="22"/>
  <c r="P174" i="22"/>
  <c r="O174" i="22"/>
  <c r="N174" i="22"/>
  <c r="AS173" i="22"/>
  <c r="P173" i="22"/>
  <c r="O173" i="22"/>
  <c r="N173" i="22"/>
  <c r="AS172" i="22"/>
  <c r="P172" i="22"/>
  <c r="O172" i="22"/>
  <c r="N172" i="22"/>
  <c r="AS171" i="22"/>
  <c r="P171" i="22"/>
  <c r="O171" i="22"/>
  <c r="N171" i="22"/>
  <c r="AS170" i="22"/>
  <c r="P170" i="22"/>
  <c r="O170" i="22"/>
  <c r="N170" i="22"/>
  <c r="AS169" i="22"/>
  <c r="P169" i="22"/>
  <c r="O169" i="22"/>
  <c r="N169" i="22"/>
  <c r="AS168" i="22"/>
  <c r="P168" i="22"/>
  <c r="O168" i="22"/>
  <c r="N168" i="22"/>
  <c r="AS167" i="22"/>
  <c r="P167" i="22"/>
  <c r="O167" i="22"/>
  <c r="N167" i="22"/>
  <c r="AS166" i="22"/>
  <c r="P166" i="22"/>
  <c r="O166" i="22"/>
  <c r="N166" i="22"/>
  <c r="AS165" i="22"/>
  <c r="P165" i="22"/>
  <c r="O165" i="22"/>
  <c r="N165" i="22"/>
  <c r="AS164" i="22"/>
  <c r="P164" i="22"/>
  <c r="O164" i="22"/>
  <c r="N164" i="22"/>
  <c r="AS163" i="22"/>
  <c r="P163" i="22"/>
  <c r="O163" i="22"/>
  <c r="N163" i="22"/>
  <c r="AS162" i="22"/>
  <c r="P162" i="22"/>
  <c r="O162" i="22"/>
  <c r="N162" i="22"/>
  <c r="AS161" i="22"/>
  <c r="P161" i="22"/>
  <c r="O161" i="22"/>
  <c r="N161" i="22"/>
  <c r="AS160" i="22"/>
  <c r="P160" i="22"/>
  <c r="O160" i="22"/>
  <c r="N160" i="22"/>
  <c r="AS159" i="22"/>
  <c r="P159" i="22"/>
  <c r="O159" i="22"/>
  <c r="N159" i="22"/>
  <c r="AS158" i="22"/>
  <c r="P158" i="22"/>
  <c r="O158" i="22"/>
  <c r="N158" i="22"/>
  <c r="AS157" i="22"/>
  <c r="P157" i="22"/>
  <c r="O157" i="22"/>
  <c r="N157" i="22"/>
  <c r="AS156" i="22"/>
  <c r="P156" i="22"/>
  <c r="O156" i="22"/>
  <c r="N156" i="22"/>
  <c r="AS155" i="22"/>
  <c r="P155" i="22"/>
  <c r="O155" i="22"/>
  <c r="N155" i="22"/>
  <c r="AS154" i="22"/>
  <c r="P154" i="22"/>
  <c r="O154" i="22"/>
  <c r="N154" i="22"/>
  <c r="AS153" i="22"/>
  <c r="P153" i="22"/>
  <c r="O153" i="22"/>
  <c r="N153" i="22"/>
  <c r="AS152" i="22"/>
  <c r="P152" i="22"/>
  <c r="O152" i="22"/>
  <c r="N152" i="22"/>
  <c r="AS151" i="22"/>
  <c r="P151" i="22"/>
  <c r="O151" i="22"/>
  <c r="N151" i="22"/>
  <c r="AS150" i="22"/>
  <c r="P150" i="22"/>
  <c r="O150" i="22"/>
  <c r="N150" i="22"/>
  <c r="AS149" i="22"/>
  <c r="P149" i="22"/>
  <c r="O149" i="22"/>
  <c r="N149" i="22"/>
  <c r="AS148" i="22"/>
  <c r="P148" i="22"/>
  <c r="O148" i="22"/>
  <c r="N148" i="22"/>
  <c r="AS147" i="22"/>
  <c r="P147" i="22"/>
  <c r="O147" i="22"/>
  <c r="N147" i="22"/>
  <c r="AS146" i="22"/>
  <c r="P146" i="22"/>
  <c r="O146" i="22"/>
  <c r="N146" i="22"/>
  <c r="AS145" i="22"/>
  <c r="P145" i="22"/>
  <c r="O145" i="22"/>
  <c r="N145" i="22"/>
  <c r="AS144" i="22"/>
  <c r="P144" i="22"/>
  <c r="O144" i="22"/>
  <c r="N144" i="22"/>
  <c r="AS143" i="22"/>
  <c r="P143" i="22"/>
  <c r="O143" i="22"/>
  <c r="N143" i="22"/>
  <c r="AS142" i="22"/>
  <c r="P142" i="22"/>
  <c r="O142" i="22"/>
  <c r="N142" i="22"/>
  <c r="AS141" i="22"/>
  <c r="P141" i="22"/>
  <c r="O141" i="22"/>
  <c r="N141" i="22"/>
  <c r="AS140" i="22"/>
  <c r="P140" i="22"/>
  <c r="O140" i="22"/>
  <c r="N140" i="22"/>
  <c r="AS139" i="22"/>
  <c r="P139" i="22"/>
  <c r="O139" i="22"/>
  <c r="N139" i="22"/>
  <c r="AS138" i="22"/>
  <c r="P138" i="22"/>
  <c r="O138" i="22"/>
  <c r="N138" i="22"/>
  <c r="AS137" i="22"/>
  <c r="P137" i="22"/>
  <c r="O137" i="22"/>
  <c r="N137" i="22"/>
  <c r="AS136" i="22"/>
  <c r="P136" i="22"/>
  <c r="O136" i="22"/>
  <c r="N136" i="22"/>
  <c r="AS135" i="22"/>
  <c r="P135" i="22"/>
  <c r="O135" i="22"/>
  <c r="N135" i="22"/>
  <c r="AS134" i="22"/>
  <c r="P134" i="22"/>
  <c r="O134" i="22"/>
  <c r="N134" i="22"/>
  <c r="AS133" i="22"/>
  <c r="P133" i="22"/>
  <c r="O133" i="22"/>
  <c r="N133" i="22"/>
  <c r="AS132" i="22"/>
  <c r="P132" i="22"/>
  <c r="O132" i="22"/>
  <c r="N132" i="22"/>
  <c r="AS131" i="22"/>
  <c r="P131" i="22"/>
  <c r="O131" i="22"/>
  <c r="N131" i="22"/>
  <c r="AS130" i="22"/>
  <c r="P130" i="22"/>
  <c r="O130" i="22"/>
  <c r="N130" i="22"/>
  <c r="AS129" i="22"/>
  <c r="P129" i="22"/>
  <c r="O129" i="22"/>
  <c r="N129" i="22"/>
  <c r="AS128" i="22"/>
  <c r="P128" i="22"/>
  <c r="O128" i="22"/>
  <c r="N128" i="22"/>
  <c r="AS127" i="22"/>
  <c r="P127" i="22"/>
  <c r="O127" i="22"/>
  <c r="N127" i="22"/>
  <c r="AS126" i="22"/>
  <c r="P126" i="22"/>
  <c r="O126" i="22"/>
  <c r="N126" i="22"/>
  <c r="AS125" i="22"/>
  <c r="P125" i="22"/>
  <c r="O125" i="22"/>
  <c r="N125" i="22"/>
  <c r="AS124" i="22"/>
  <c r="P124" i="22"/>
  <c r="O124" i="22"/>
  <c r="N124" i="22"/>
  <c r="AS123" i="22"/>
  <c r="P123" i="22"/>
  <c r="O123" i="22"/>
  <c r="N123" i="22"/>
  <c r="AS122" i="22"/>
  <c r="P122" i="22"/>
  <c r="O122" i="22"/>
  <c r="N122" i="22"/>
  <c r="AS121" i="22"/>
  <c r="P121" i="22"/>
  <c r="O121" i="22"/>
  <c r="N121" i="22"/>
  <c r="AS120" i="22"/>
  <c r="P120" i="22"/>
  <c r="O120" i="22"/>
  <c r="N120" i="22"/>
  <c r="AS119" i="22"/>
  <c r="P119" i="22"/>
  <c r="O119" i="22"/>
  <c r="N119" i="22"/>
  <c r="AS118" i="22"/>
  <c r="P118" i="22"/>
  <c r="O118" i="22"/>
  <c r="N118" i="22"/>
  <c r="AS117" i="22"/>
  <c r="P117" i="22"/>
  <c r="O117" i="22"/>
  <c r="N117" i="22"/>
  <c r="AS116" i="22"/>
  <c r="P116" i="22"/>
  <c r="O116" i="22"/>
  <c r="N116" i="22"/>
  <c r="AS115" i="22"/>
  <c r="P115" i="22"/>
  <c r="O115" i="22"/>
  <c r="N115" i="22"/>
  <c r="AS114" i="22"/>
  <c r="P114" i="22"/>
  <c r="O114" i="22"/>
  <c r="N114" i="22"/>
  <c r="AS113" i="22"/>
  <c r="P113" i="22"/>
  <c r="O113" i="22"/>
  <c r="N113" i="22"/>
  <c r="AS112" i="22"/>
  <c r="P112" i="22"/>
  <c r="O112" i="22"/>
  <c r="N112" i="22"/>
  <c r="AS111" i="22"/>
  <c r="P111" i="22"/>
  <c r="O111" i="22"/>
  <c r="N111" i="22"/>
  <c r="AS110" i="22"/>
  <c r="P110" i="22"/>
  <c r="O110" i="22"/>
  <c r="N110" i="22"/>
  <c r="AS109" i="22"/>
  <c r="P109" i="22"/>
  <c r="O109" i="22"/>
  <c r="N109" i="22"/>
  <c r="AS108" i="22"/>
  <c r="P108" i="22"/>
  <c r="O108" i="22"/>
  <c r="N108" i="22"/>
  <c r="AS107" i="22"/>
  <c r="P107" i="22"/>
  <c r="O107" i="22"/>
  <c r="N107" i="22"/>
  <c r="AS106" i="22"/>
  <c r="P106" i="22"/>
  <c r="O106" i="22"/>
  <c r="N106" i="22"/>
  <c r="AS105" i="22"/>
  <c r="P105" i="22"/>
  <c r="O105" i="22"/>
  <c r="N105" i="22"/>
  <c r="AS104" i="22"/>
  <c r="P104" i="22"/>
  <c r="O104" i="22"/>
  <c r="N104" i="22"/>
  <c r="AS103" i="22"/>
  <c r="P103" i="22"/>
  <c r="O103" i="22"/>
  <c r="N103" i="22"/>
  <c r="AS102" i="22"/>
  <c r="P102" i="22"/>
  <c r="O102" i="22"/>
  <c r="N102" i="22"/>
  <c r="AS101" i="22"/>
  <c r="P101" i="22"/>
  <c r="O101" i="22"/>
  <c r="N101" i="22"/>
  <c r="AS100" i="22"/>
  <c r="P100" i="22"/>
  <c r="O100" i="22"/>
  <c r="N100" i="22"/>
  <c r="AS99" i="22"/>
  <c r="P99" i="22"/>
  <c r="O99" i="22"/>
  <c r="N99" i="22"/>
  <c r="AS98" i="22"/>
  <c r="P98" i="22"/>
  <c r="O98" i="22"/>
  <c r="N98" i="22"/>
  <c r="AS97" i="22"/>
  <c r="P97" i="22"/>
  <c r="O97" i="22"/>
  <c r="N97" i="22"/>
  <c r="AS96" i="22"/>
  <c r="P96" i="22"/>
  <c r="O96" i="22"/>
  <c r="N96" i="22"/>
  <c r="AS95" i="22"/>
  <c r="P95" i="22"/>
  <c r="O95" i="22"/>
  <c r="N95" i="22"/>
  <c r="AS94" i="22"/>
  <c r="P94" i="22"/>
  <c r="O94" i="22"/>
  <c r="N94" i="22"/>
  <c r="AS93" i="22"/>
  <c r="P93" i="22"/>
  <c r="O93" i="22"/>
  <c r="N93" i="22"/>
  <c r="AS92" i="22"/>
  <c r="P92" i="22"/>
  <c r="O92" i="22"/>
  <c r="N92" i="22"/>
  <c r="AS91" i="22"/>
  <c r="P91" i="22"/>
  <c r="O91" i="22"/>
  <c r="N91" i="22"/>
  <c r="AS90" i="22"/>
  <c r="P90" i="22"/>
  <c r="O90" i="22"/>
  <c r="N90" i="22"/>
  <c r="AS89" i="22"/>
  <c r="P89" i="22"/>
  <c r="O89" i="22"/>
  <c r="N89" i="22"/>
  <c r="AS88" i="22"/>
  <c r="P88" i="22"/>
  <c r="O88" i="22"/>
  <c r="N88" i="22"/>
  <c r="AS87" i="22"/>
  <c r="P87" i="22"/>
  <c r="O87" i="22"/>
  <c r="N87" i="22"/>
  <c r="AS86" i="22"/>
  <c r="P86" i="22"/>
  <c r="O86" i="22"/>
  <c r="N86" i="22"/>
  <c r="AS85" i="22"/>
  <c r="P85" i="22"/>
  <c r="O85" i="22"/>
  <c r="N85" i="22"/>
  <c r="AS84" i="22"/>
  <c r="P84" i="22"/>
  <c r="O84" i="22"/>
  <c r="N84" i="22"/>
  <c r="AS83" i="22"/>
  <c r="P83" i="22"/>
  <c r="O83" i="22"/>
  <c r="N83" i="22"/>
  <c r="AS82" i="22"/>
  <c r="P82" i="22"/>
  <c r="O82" i="22"/>
  <c r="N82" i="22"/>
  <c r="AS81" i="22"/>
  <c r="P81" i="22"/>
  <c r="O81" i="22"/>
  <c r="N81" i="22"/>
  <c r="AS80" i="22"/>
  <c r="P80" i="22"/>
  <c r="O80" i="22"/>
  <c r="N80" i="22"/>
  <c r="AS79" i="22"/>
  <c r="P79" i="22"/>
  <c r="O79" i="22"/>
  <c r="N79" i="22"/>
  <c r="AS78" i="22"/>
  <c r="P78" i="22"/>
  <c r="O78" i="22"/>
  <c r="N78" i="22"/>
  <c r="AS77" i="22"/>
  <c r="P77" i="22"/>
  <c r="O77" i="22"/>
  <c r="N77" i="22"/>
  <c r="AS76" i="22"/>
  <c r="P76" i="22"/>
  <c r="O76" i="22"/>
  <c r="N76" i="22"/>
  <c r="AS75" i="22"/>
  <c r="P75" i="22"/>
  <c r="O75" i="22"/>
  <c r="N75" i="22"/>
  <c r="AS74" i="22"/>
  <c r="P74" i="22"/>
  <c r="O74" i="22"/>
  <c r="N74" i="22"/>
  <c r="AS73" i="22"/>
  <c r="P73" i="22"/>
  <c r="O73" i="22"/>
  <c r="N73" i="22"/>
  <c r="AS72" i="22"/>
  <c r="P72" i="22"/>
  <c r="O72" i="22"/>
  <c r="N72" i="22"/>
  <c r="AS71" i="22"/>
  <c r="P71" i="22"/>
  <c r="O71" i="22"/>
  <c r="N71" i="22"/>
  <c r="AS70" i="22"/>
  <c r="P70" i="22"/>
  <c r="O70" i="22"/>
  <c r="N70" i="22"/>
  <c r="AS69" i="22"/>
  <c r="P69" i="22"/>
  <c r="O69" i="22"/>
  <c r="N69" i="22"/>
  <c r="AS68" i="22"/>
  <c r="P68" i="22"/>
  <c r="O68" i="22"/>
  <c r="N68" i="22"/>
  <c r="AS67" i="22"/>
  <c r="P67" i="22"/>
  <c r="O67" i="22"/>
  <c r="N67" i="22"/>
  <c r="AS66" i="22"/>
  <c r="P66" i="22"/>
  <c r="O66" i="22"/>
  <c r="N66" i="22"/>
  <c r="E66" i="22"/>
  <c r="AS65" i="22"/>
  <c r="P65" i="22"/>
  <c r="O65" i="22"/>
  <c r="N65" i="22"/>
  <c r="AS64" i="22"/>
  <c r="P64" i="22"/>
  <c r="O64" i="22"/>
  <c r="N64" i="22"/>
  <c r="AS63" i="22"/>
  <c r="P63" i="22"/>
  <c r="O63" i="22"/>
  <c r="N63" i="22"/>
  <c r="AS62" i="22"/>
  <c r="P62" i="22"/>
  <c r="O62" i="22"/>
  <c r="N62" i="22"/>
  <c r="AS61" i="22"/>
  <c r="P61" i="22"/>
  <c r="O61" i="22"/>
  <c r="N61" i="22"/>
  <c r="AS60" i="22"/>
  <c r="P60" i="22"/>
  <c r="O60" i="22"/>
  <c r="N60" i="22"/>
  <c r="AS59" i="22"/>
  <c r="P59" i="22"/>
  <c r="O59" i="22"/>
  <c r="N59" i="22"/>
  <c r="AS58" i="22"/>
  <c r="P58" i="22"/>
  <c r="O58" i="22"/>
  <c r="N58" i="22"/>
  <c r="AS57" i="22"/>
  <c r="P57" i="22"/>
  <c r="O57" i="22"/>
  <c r="N57" i="22"/>
  <c r="AS56" i="22"/>
  <c r="P56" i="22"/>
  <c r="O56" i="22"/>
  <c r="N56" i="22"/>
  <c r="AS55" i="22"/>
  <c r="P55" i="22"/>
  <c r="O55" i="22"/>
  <c r="N55" i="22"/>
  <c r="AS54" i="22"/>
  <c r="P54" i="22"/>
  <c r="O54" i="22"/>
  <c r="N54" i="22"/>
  <c r="AS53" i="22"/>
  <c r="P53" i="22"/>
  <c r="O53" i="22"/>
  <c r="N53" i="22"/>
  <c r="AS52" i="22"/>
  <c r="P52" i="22"/>
  <c r="O52" i="22"/>
  <c r="N52" i="22"/>
  <c r="AS51" i="22"/>
  <c r="P51" i="22"/>
  <c r="O51" i="22"/>
  <c r="N51" i="22"/>
  <c r="AS50" i="22"/>
  <c r="P50" i="22"/>
  <c r="O50" i="22"/>
  <c r="N50" i="22"/>
  <c r="AS49" i="22"/>
  <c r="P49" i="22"/>
  <c r="O49" i="22"/>
  <c r="N49" i="22"/>
  <c r="AS48" i="22"/>
  <c r="P48" i="22"/>
  <c r="O48" i="22"/>
  <c r="N48" i="22"/>
  <c r="AS47" i="22"/>
  <c r="P47" i="22"/>
  <c r="O47" i="22"/>
  <c r="N47" i="22"/>
  <c r="AS46" i="22"/>
  <c r="P46" i="22"/>
  <c r="O46" i="22"/>
  <c r="N46" i="22"/>
  <c r="AS45" i="22"/>
  <c r="P45" i="22"/>
  <c r="O45" i="22"/>
  <c r="N45" i="22"/>
  <c r="AS44" i="22"/>
  <c r="P44" i="22"/>
  <c r="O44" i="22"/>
  <c r="N44" i="22"/>
  <c r="AS43" i="22"/>
  <c r="P43" i="22"/>
  <c r="O43" i="22"/>
  <c r="N43" i="22"/>
  <c r="AS42" i="22"/>
  <c r="P42" i="22"/>
  <c r="O42" i="22"/>
  <c r="N42" i="22"/>
  <c r="AS41" i="22"/>
  <c r="P41" i="22"/>
  <c r="O41" i="22"/>
  <c r="N41" i="22"/>
  <c r="AS40" i="22"/>
  <c r="P40" i="22"/>
  <c r="O40" i="22"/>
  <c r="N40" i="22"/>
  <c r="AS39" i="22"/>
  <c r="P39" i="22"/>
  <c r="O39" i="22"/>
  <c r="N39" i="22"/>
  <c r="AS38" i="22"/>
  <c r="P38" i="22"/>
  <c r="O38" i="22"/>
  <c r="N38" i="22"/>
  <c r="AS37" i="22"/>
  <c r="P37" i="22"/>
  <c r="O37" i="22"/>
  <c r="N37" i="22"/>
  <c r="AS36" i="22"/>
  <c r="P36" i="22"/>
  <c r="O36" i="22"/>
  <c r="N36" i="22"/>
  <c r="AS35" i="22"/>
  <c r="P35" i="22"/>
  <c r="O35" i="22"/>
  <c r="N35" i="22"/>
  <c r="AS34" i="22"/>
  <c r="P34" i="22"/>
  <c r="O34" i="22"/>
  <c r="N34" i="22"/>
  <c r="AS33" i="22"/>
  <c r="P33" i="22"/>
  <c r="O33" i="22"/>
  <c r="N33" i="22"/>
  <c r="AS32" i="22"/>
  <c r="P32" i="22"/>
  <c r="O32" i="22"/>
  <c r="N32" i="22"/>
  <c r="AS31" i="22"/>
  <c r="P31" i="22"/>
  <c r="O31" i="22"/>
  <c r="N31" i="22"/>
  <c r="AS30" i="22"/>
  <c r="P30" i="22"/>
  <c r="O30" i="22"/>
  <c r="N30" i="22"/>
  <c r="AS29" i="22"/>
  <c r="P29" i="22"/>
  <c r="O29" i="22"/>
  <c r="N29" i="22"/>
  <c r="AS28" i="22"/>
  <c r="P28" i="22"/>
  <c r="O28" i="22"/>
  <c r="N28" i="22"/>
  <c r="AS27" i="22"/>
  <c r="P27" i="22"/>
  <c r="O27" i="22"/>
  <c r="N27" i="22"/>
  <c r="AS26" i="22"/>
  <c r="P26" i="22"/>
  <c r="O26" i="22"/>
  <c r="N26" i="22"/>
  <c r="AS25" i="22"/>
  <c r="P25" i="22"/>
  <c r="O25" i="22"/>
  <c r="N25" i="22"/>
  <c r="AS24" i="22"/>
  <c r="P24" i="22"/>
  <c r="O24" i="22"/>
  <c r="N24" i="22"/>
  <c r="AS23" i="22"/>
  <c r="P23" i="22"/>
  <c r="O23" i="22"/>
  <c r="N23" i="22"/>
  <c r="AS22" i="22"/>
  <c r="P22" i="22"/>
  <c r="O22" i="22"/>
  <c r="N22" i="22"/>
  <c r="AS21" i="22"/>
  <c r="P21" i="22"/>
  <c r="O21" i="22"/>
  <c r="N21" i="22"/>
  <c r="AS20" i="22"/>
  <c r="P20" i="22"/>
  <c r="O20" i="22"/>
  <c r="N20" i="22"/>
  <c r="AS19" i="22"/>
  <c r="P19" i="22"/>
  <c r="O19" i="22"/>
  <c r="N19" i="22"/>
  <c r="AS18" i="22"/>
  <c r="P18" i="22"/>
  <c r="O18" i="22"/>
  <c r="N18" i="22"/>
  <c r="AS17" i="22"/>
  <c r="P17" i="22"/>
  <c r="O17" i="22"/>
  <c r="N17" i="22"/>
  <c r="AS16" i="22"/>
  <c r="P16" i="22"/>
  <c r="O16" i="22"/>
  <c r="N16" i="22"/>
  <c r="AS15" i="22"/>
  <c r="P15" i="22"/>
  <c r="O15" i="22"/>
  <c r="N15" i="22"/>
  <c r="AS14" i="22"/>
  <c r="P14" i="22"/>
  <c r="O14" i="22"/>
  <c r="N14" i="22"/>
  <c r="AS13" i="22"/>
  <c r="P13" i="22"/>
  <c r="O13" i="22"/>
  <c r="N13" i="22"/>
  <c r="AS12" i="22"/>
  <c r="P12" i="22"/>
  <c r="O12" i="22"/>
  <c r="N12" i="22"/>
  <c r="G5" i="22"/>
  <c r="G6" i="22" s="1"/>
  <c r="G4" i="22"/>
  <c r="G3" i="22"/>
  <c r="K184" i="13"/>
  <c r="M173" i="13"/>
  <c r="N173" i="13" s="1"/>
  <c r="A173" i="13"/>
  <c r="B173" i="13" s="1"/>
  <c r="H151" i="13"/>
  <c r="F145" i="13"/>
  <c r="F144" i="13"/>
  <c r="M139" i="13"/>
  <c r="N139" i="13" s="1"/>
  <c r="A139" i="13"/>
  <c r="B139" i="13" s="1"/>
  <c r="M105" i="13"/>
  <c r="N105" i="13" s="1"/>
  <c r="A105" i="13"/>
  <c r="B105" i="13" s="1"/>
  <c r="H83" i="13"/>
  <c r="W82" i="13"/>
  <c r="K82" i="13"/>
  <c r="H82" i="13"/>
  <c r="W81" i="13"/>
  <c r="K81" i="13"/>
  <c r="H81" i="13"/>
  <c r="W80" i="13"/>
  <c r="K80" i="13"/>
  <c r="H80" i="13"/>
  <c r="W79" i="13"/>
  <c r="K79" i="13"/>
  <c r="H79" i="13"/>
  <c r="W78" i="13"/>
  <c r="K78" i="13"/>
  <c r="H78" i="13"/>
  <c r="W77" i="13"/>
  <c r="K77" i="13"/>
  <c r="H77" i="13"/>
  <c r="G77" i="13"/>
  <c r="F77" i="13"/>
  <c r="W76" i="13"/>
  <c r="K76" i="13"/>
  <c r="H76" i="13"/>
  <c r="G76" i="13"/>
  <c r="F76" i="13"/>
  <c r="W75" i="13"/>
  <c r="K75" i="13"/>
  <c r="H75" i="13"/>
  <c r="W74" i="13"/>
  <c r="K74" i="13"/>
  <c r="H74" i="13"/>
  <c r="W73" i="13"/>
  <c r="K73" i="13"/>
  <c r="H73" i="13"/>
  <c r="W72" i="13"/>
  <c r="K72" i="13"/>
  <c r="H72" i="13"/>
  <c r="M71" i="13"/>
  <c r="N71" i="13" s="1"/>
  <c r="A71" i="13"/>
  <c r="B71" i="13" s="1"/>
  <c r="M37" i="13"/>
  <c r="N37" i="13" s="1"/>
  <c r="A37" i="13"/>
  <c r="B37" i="13" s="1"/>
  <c r="M3" i="13"/>
  <c r="N3" i="13" s="1"/>
  <c r="A3" i="13"/>
  <c r="B3" i="13" s="1"/>
  <c r="I134" i="28"/>
  <c r="D134" i="28"/>
  <c r="I133" i="28"/>
  <c r="D133" i="28"/>
  <c r="I132" i="28"/>
  <c r="D132" i="28"/>
  <c r="I131" i="28"/>
  <c r="D131" i="28"/>
  <c r="I130" i="28"/>
  <c r="D130" i="28"/>
  <c r="I129" i="28"/>
  <c r="D129" i="28"/>
  <c r="I128" i="28"/>
  <c r="D128" i="28"/>
  <c r="I127" i="28"/>
  <c r="D127" i="28"/>
  <c r="I126" i="28"/>
  <c r="D126" i="28"/>
  <c r="I125" i="28"/>
  <c r="D125" i="28"/>
  <c r="I124" i="28"/>
  <c r="D124" i="28"/>
  <c r="I123" i="28"/>
  <c r="D123" i="28"/>
  <c r="I122" i="28"/>
  <c r="D122" i="28"/>
  <c r="I121" i="28"/>
  <c r="D121" i="28"/>
  <c r="I120" i="28"/>
  <c r="D120" i="28"/>
  <c r="I119" i="28"/>
  <c r="D119" i="28"/>
  <c r="I118" i="28"/>
  <c r="D118" i="28"/>
  <c r="I117" i="28"/>
  <c r="D117" i="28"/>
  <c r="I116" i="28"/>
  <c r="D116" i="28"/>
  <c r="I115" i="28"/>
  <c r="D115" i="28"/>
  <c r="I114" i="28"/>
  <c r="D114" i="28"/>
  <c r="I113" i="28"/>
  <c r="D113" i="28"/>
  <c r="I112" i="28"/>
  <c r="D112" i="28"/>
  <c r="I111" i="28"/>
  <c r="D111" i="28"/>
  <c r="I110" i="28"/>
  <c r="D110" i="28"/>
  <c r="I109" i="28"/>
  <c r="D109" i="28"/>
  <c r="I108" i="28"/>
  <c r="D108" i="28"/>
  <c r="I107" i="28"/>
  <c r="D107" i="28"/>
  <c r="I106" i="28"/>
  <c r="D106" i="28"/>
  <c r="I105" i="28"/>
  <c r="D105" i="28"/>
  <c r="I104" i="28"/>
  <c r="D104" i="28"/>
  <c r="I103" i="28"/>
  <c r="D103" i="28"/>
  <c r="I102" i="28"/>
  <c r="D102" i="28"/>
  <c r="I101" i="28"/>
  <c r="D101" i="28"/>
  <c r="I100" i="28"/>
  <c r="D100" i="28"/>
  <c r="I99" i="28"/>
  <c r="D99" i="28"/>
  <c r="I98" i="28"/>
  <c r="D98" i="28"/>
  <c r="I97" i="28"/>
  <c r="D97" i="28"/>
  <c r="I96" i="28"/>
  <c r="D96" i="28"/>
  <c r="I95" i="28"/>
  <c r="D95" i="28"/>
  <c r="I94" i="28"/>
  <c r="D94" i="28"/>
  <c r="I93" i="28"/>
  <c r="D93" i="28"/>
  <c r="I92" i="28"/>
  <c r="D92" i="28"/>
  <c r="I91" i="28"/>
  <c r="D91" i="28"/>
  <c r="I90" i="28"/>
  <c r="D90" i="28"/>
  <c r="I89" i="28"/>
  <c r="D89" i="28"/>
  <c r="I88" i="28"/>
  <c r="D88" i="28"/>
  <c r="I87" i="28"/>
  <c r="D87" i="28"/>
  <c r="I86" i="28"/>
  <c r="D86" i="28"/>
  <c r="I85" i="28"/>
  <c r="D85" i="28"/>
  <c r="I84" i="28"/>
  <c r="D84" i="28"/>
  <c r="I83" i="28"/>
  <c r="D83" i="28"/>
  <c r="I82" i="28"/>
  <c r="D82" i="28"/>
  <c r="I81" i="28"/>
  <c r="D81" i="28"/>
  <c r="I80" i="28"/>
  <c r="D80" i="28"/>
  <c r="I79" i="28"/>
  <c r="D79" i="28"/>
  <c r="I78" i="28"/>
  <c r="D78" i="28"/>
  <c r="I77" i="28"/>
  <c r="D77" i="28"/>
  <c r="I76" i="28"/>
  <c r="D76" i="28"/>
  <c r="I75" i="28"/>
  <c r="D75" i="28"/>
  <c r="I74" i="28"/>
  <c r="D74" i="28"/>
  <c r="I73" i="28"/>
  <c r="D73" i="28"/>
  <c r="I72" i="28"/>
  <c r="D72" i="28"/>
  <c r="I71" i="28"/>
  <c r="D71" i="28"/>
  <c r="I70" i="28"/>
  <c r="D70" i="28"/>
  <c r="I69" i="28"/>
  <c r="D69" i="28"/>
  <c r="I68" i="28"/>
  <c r="D68" i="28"/>
  <c r="I67" i="28"/>
  <c r="D67" i="28"/>
  <c r="I66" i="28"/>
  <c r="D66" i="28"/>
  <c r="I65" i="28"/>
  <c r="D65" i="28"/>
  <c r="I64" i="28"/>
  <c r="D64" i="28"/>
  <c r="I63" i="28"/>
  <c r="D63" i="28"/>
  <c r="I62" i="28"/>
  <c r="D62" i="28"/>
  <c r="I61" i="28"/>
  <c r="D61" i="28"/>
  <c r="I60" i="28"/>
  <c r="D60" i="28"/>
  <c r="I59" i="28"/>
  <c r="D59" i="28"/>
  <c r="I58" i="28"/>
  <c r="D58" i="28"/>
  <c r="I57" i="28"/>
  <c r="D57" i="28"/>
  <c r="I56" i="28"/>
  <c r="D56" i="28"/>
  <c r="I55" i="28"/>
  <c r="D55" i="28"/>
  <c r="I54" i="28"/>
  <c r="D54" i="28"/>
  <c r="I53" i="28"/>
  <c r="D53" i="28"/>
  <c r="I52" i="28"/>
  <c r="D52" i="28"/>
  <c r="I51" i="28"/>
  <c r="D51" i="28"/>
  <c r="I50" i="28"/>
  <c r="D50" i="28"/>
  <c r="I49" i="28"/>
  <c r="D49" i="28"/>
  <c r="I48" i="28"/>
  <c r="D48" i="28"/>
  <c r="I47" i="28"/>
  <c r="D47" i="28"/>
  <c r="I46" i="28"/>
  <c r="D46" i="28"/>
  <c r="I45" i="28"/>
  <c r="D45" i="28"/>
  <c r="I44" i="28"/>
  <c r="D44" i="28"/>
  <c r="I43" i="28"/>
  <c r="D43" i="28"/>
  <c r="I42" i="28"/>
  <c r="D42" i="28"/>
  <c r="I41" i="28"/>
  <c r="D41" i="28"/>
  <c r="I40" i="28"/>
  <c r="D40" i="28"/>
  <c r="I39" i="28"/>
  <c r="D39" i="28"/>
  <c r="I38" i="28"/>
  <c r="D38" i="28"/>
  <c r="I37" i="28"/>
  <c r="D37" i="28"/>
  <c r="I36" i="28"/>
  <c r="D36" i="28"/>
  <c r="I35" i="28"/>
  <c r="D35" i="28"/>
  <c r="J30" i="28"/>
  <c r="I30" i="28"/>
  <c r="J29" i="28"/>
  <c r="I29" i="28"/>
  <c r="J28" i="28"/>
  <c r="I28" i="28"/>
  <c r="J27" i="28"/>
  <c r="I27" i="28"/>
  <c r="J26" i="28"/>
  <c r="I26" i="28"/>
  <c r="J25" i="28"/>
  <c r="I25" i="28"/>
  <c r="J24" i="28"/>
  <c r="I24" i="28"/>
  <c r="J23" i="28"/>
  <c r="I23" i="28"/>
  <c r="J22" i="28"/>
  <c r="I22" i="28"/>
  <c r="J21" i="28"/>
  <c r="I21" i="28"/>
  <c r="J20" i="28"/>
  <c r="I20" i="28"/>
  <c r="J19" i="28"/>
  <c r="I19" i="28"/>
  <c r="J18" i="28"/>
  <c r="I18" i="28"/>
  <c r="J17" i="28"/>
  <c r="I17" i="28"/>
  <c r="J16" i="28"/>
  <c r="I16" i="28"/>
  <c r="J15" i="28"/>
  <c r="I15" i="28"/>
  <c r="J14" i="28"/>
  <c r="I14" i="28"/>
  <c r="J13" i="28"/>
  <c r="I13" i="28"/>
  <c r="J12" i="28"/>
  <c r="I12" i="28"/>
  <c r="J11" i="28"/>
  <c r="I11" i="28"/>
  <c r="D177" i="23"/>
  <c r="B177" i="23"/>
  <c r="I177" i="23" s="1"/>
  <c r="E4" i="23"/>
  <c r="N4" i="23" s="1"/>
  <c r="E3" i="23"/>
  <c r="G3" i="23" s="1"/>
  <c r="E2" i="23"/>
  <c r="G2" i="23" s="1"/>
  <c r="AC37" i="29"/>
  <c r="AB37" i="29"/>
  <c r="AA37" i="29"/>
  <c r="Z37" i="29"/>
  <c r="AC36" i="29"/>
  <c r="AB36" i="29"/>
  <c r="AA36" i="29"/>
  <c r="Z36" i="29"/>
  <c r="AC35" i="29"/>
  <c r="AB35" i="29"/>
  <c r="AA35" i="29"/>
  <c r="Z35" i="29"/>
  <c r="AC34" i="29"/>
  <c r="AB34" i="29"/>
  <c r="AA34" i="29"/>
  <c r="Z34" i="29"/>
  <c r="AC33" i="29"/>
  <c r="AB33" i="29"/>
  <c r="AA33" i="29"/>
  <c r="Z33" i="29"/>
  <c r="AC32" i="29"/>
  <c r="AB32" i="29"/>
  <c r="AA32" i="29"/>
  <c r="Z32" i="29"/>
  <c r="AC31" i="29"/>
  <c r="AB31" i="29"/>
  <c r="AA31" i="29"/>
  <c r="Z31" i="29"/>
  <c r="AC30" i="29"/>
  <c r="AB30" i="29"/>
  <c r="AA30" i="29"/>
  <c r="Z30" i="29"/>
  <c r="AC29" i="29"/>
  <c r="AB29" i="29"/>
  <c r="AA29" i="29"/>
  <c r="Z29" i="29"/>
  <c r="AC28" i="29"/>
  <c r="AB28" i="29"/>
  <c r="AA28" i="29"/>
  <c r="Z28" i="29"/>
  <c r="AC27" i="29"/>
  <c r="AB27" i="29"/>
  <c r="AA27" i="29"/>
  <c r="Z27" i="29"/>
  <c r="AC26" i="29"/>
  <c r="AB26" i="29"/>
  <c r="AA26" i="29"/>
  <c r="Z26" i="29"/>
  <c r="AC25" i="29"/>
  <c r="AB25" i="29"/>
  <c r="AA25" i="29"/>
  <c r="Z25" i="29"/>
  <c r="AC24" i="29"/>
  <c r="AB24" i="29"/>
  <c r="AA24" i="29"/>
  <c r="Z24" i="29"/>
  <c r="AC23" i="29"/>
  <c r="AB23" i="29"/>
  <c r="AA23" i="29"/>
  <c r="Z23" i="29"/>
  <c r="AC22" i="29"/>
  <c r="AB22" i="29"/>
  <c r="AA22" i="29"/>
  <c r="Z22" i="29"/>
  <c r="AC21" i="29"/>
  <c r="AB21" i="29"/>
  <c r="AA21" i="29"/>
  <c r="Z21" i="29"/>
  <c r="AC20" i="29"/>
  <c r="AB20" i="29"/>
  <c r="AA20" i="29"/>
  <c r="Z20" i="29"/>
  <c r="AC19" i="29"/>
  <c r="AB19" i="29"/>
  <c r="AA19" i="29"/>
  <c r="Z19" i="29"/>
  <c r="AC18" i="29"/>
  <c r="AB18" i="29"/>
  <c r="AA18" i="29"/>
  <c r="Z18" i="29"/>
  <c r="AC17" i="29"/>
  <c r="AB17" i="29"/>
  <c r="AA17" i="29"/>
  <c r="Z17" i="29"/>
  <c r="AC16" i="29"/>
  <c r="AB16" i="29"/>
  <c r="AA16" i="29"/>
  <c r="Z16" i="29"/>
  <c r="AC15" i="29"/>
  <c r="AB15" i="29"/>
  <c r="AA15" i="29"/>
  <c r="Z15" i="29"/>
  <c r="AC14" i="29"/>
  <c r="AB14" i="29"/>
  <c r="AA14" i="29"/>
  <c r="Z14" i="29"/>
  <c r="AC13" i="29"/>
  <c r="AB13" i="29"/>
  <c r="AA13" i="29"/>
  <c r="Z13" i="29"/>
  <c r="AC12" i="29"/>
  <c r="AB12" i="29"/>
  <c r="AA12" i="29"/>
  <c r="Z12" i="29"/>
  <c r="AC11" i="29"/>
  <c r="AB11" i="29"/>
  <c r="AA11" i="29"/>
  <c r="Z11" i="29"/>
  <c r="AC10" i="29"/>
  <c r="AB10" i="29"/>
  <c r="AA10" i="29"/>
  <c r="Z10" i="29"/>
  <c r="AC9" i="29"/>
  <c r="AB9" i="29"/>
  <c r="AA9" i="29"/>
  <c r="Z9" i="29"/>
  <c r="A9" i="29"/>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A36" i="29" s="1"/>
  <c r="A37" i="29" s="1"/>
  <c r="A38" i="29" s="1"/>
  <c r="AC8" i="29"/>
  <c r="AB8" i="29"/>
  <c r="AA8" i="29"/>
  <c r="Z8" i="29"/>
  <c r="A8" i="29"/>
  <c r="L3" i="29"/>
  <c r="A3" i="31"/>
  <c r="CE2" i="31"/>
  <c r="B6" i="31" s="1"/>
  <c r="B7" i="31" s="1"/>
  <c r="G16" i="64"/>
  <c r="F16" i="64"/>
  <c r="G15" i="64"/>
  <c r="F15" i="64"/>
  <c r="G14" i="64"/>
  <c r="F14" i="64"/>
  <c r="G13" i="64"/>
  <c r="F13" i="64"/>
  <c r="G12" i="64"/>
  <c r="F12" i="64"/>
  <c r="G11" i="64"/>
  <c r="F11" i="64"/>
  <c r="N7" i="64"/>
  <c r="D5" i="64"/>
  <c r="B12" i="62"/>
  <c r="B13" i="62" s="1"/>
  <c r="B14" i="62" s="1"/>
  <c r="B15" i="62" s="1"/>
  <c r="B16" i="62" s="1"/>
  <c r="B17" i="62" s="1"/>
  <c r="B18" i="62" s="1"/>
  <c r="B19" i="62" s="1"/>
  <c r="B20" i="62" s="1"/>
  <c r="B21" i="62" s="1"/>
  <c r="B22" i="62" s="1"/>
  <c r="B23" i="62" s="1"/>
  <c r="B24" i="62" s="1"/>
  <c r="D5" i="62"/>
  <c r="C3" i="62" s="1"/>
  <c r="S3" i="62"/>
  <c r="D14" i="17"/>
  <c r="D13" i="17"/>
  <c r="U5" i="17"/>
  <c r="K5" i="17"/>
  <c r="T14" i="17" s="1"/>
  <c r="K4" i="17"/>
  <c r="K3" i="17"/>
  <c r="D7" i="17" s="1"/>
  <c r="E7" i="17" s="1"/>
  <c r="F7" i="17" s="1"/>
  <c r="G7" i="17" s="1"/>
  <c r="H7" i="17" s="1"/>
  <c r="I7" i="17" s="1"/>
  <c r="J7" i="17" s="1"/>
  <c r="K7" i="17" s="1"/>
  <c r="L7" i="17" s="1"/>
  <c r="M7" i="17" s="1"/>
  <c r="N7" i="17" s="1"/>
  <c r="O7" i="17" s="1"/>
  <c r="P7" i="17" s="1"/>
  <c r="Q7" i="17" s="1"/>
  <c r="R7" i="17" s="1"/>
  <c r="S7" i="17" s="1"/>
  <c r="T7" i="17" s="1"/>
  <c r="U7" i="17" s="1"/>
  <c r="V7" i="17" s="1"/>
  <c r="W7" i="17" s="1"/>
  <c r="X7" i="17" s="1"/>
  <c r="Y7" i="17" s="1"/>
  <c r="Z7" i="17" s="1"/>
  <c r="AA7" i="17" s="1"/>
  <c r="AB7" i="17" s="1"/>
  <c r="AC7" i="17" s="1"/>
  <c r="AD7" i="17" s="1"/>
  <c r="AE7" i="17" s="1"/>
  <c r="AF7" i="17" s="1"/>
  <c r="AG7" i="17" s="1"/>
  <c r="AH7" i="17" s="1"/>
  <c r="I4" i="104"/>
  <c r="G4" i="104" s="1"/>
  <c r="K403" i="103"/>
  <c r="K402" i="103"/>
  <c r="K401" i="103"/>
  <c r="K399" i="103"/>
  <c r="K398" i="103"/>
  <c r="E398" i="103"/>
  <c r="K397" i="103"/>
  <c r="E396" i="103"/>
  <c r="K395" i="103"/>
  <c r="K394" i="103"/>
  <c r="K393" i="103"/>
  <c r="E393" i="103"/>
  <c r="E392" i="103"/>
  <c r="CL387" i="103"/>
  <c r="CK387" i="103"/>
  <c r="CL383" i="103"/>
  <c r="CK383" i="103"/>
  <c r="CL382" i="103"/>
  <c r="CK382" i="103"/>
  <c r="CL381" i="103"/>
  <c r="CK381" i="103"/>
  <c r="CL380" i="103"/>
  <c r="CK380" i="103"/>
  <c r="CL379" i="103"/>
  <c r="CK379" i="103"/>
  <c r="AV379" i="103"/>
  <c r="CL378" i="103"/>
  <c r="CK378" i="103"/>
  <c r="AV378" i="103"/>
  <c r="AU378" i="103"/>
  <c r="CL377" i="103"/>
  <c r="CK377" i="103"/>
  <c r="AV377" i="103"/>
  <c r="AU377" i="103"/>
  <c r="CL376" i="103"/>
  <c r="CK376" i="103"/>
  <c r="AV376" i="103"/>
  <c r="AU376" i="103"/>
  <c r="CL375" i="103"/>
  <c r="CK375" i="103"/>
  <c r="CL374" i="103"/>
  <c r="CK374" i="103"/>
  <c r="CL373" i="103"/>
  <c r="CK373" i="103"/>
  <c r="CL372" i="103"/>
  <c r="CK372" i="103"/>
  <c r="CL371" i="103"/>
  <c r="CK371" i="103"/>
  <c r="CL370" i="103"/>
  <c r="CK370" i="103"/>
  <c r="CL369" i="103"/>
  <c r="CK369" i="103"/>
  <c r="CL368" i="103"/>
  <c r="CK368" i="103"/>
  <c r="CL367" i="103"/>
  <c r="CK367" i="103"/>
  <c r="CL366" i="103"/>
  <c r="CK366" i="103"/>
  <c r="CL365" i="103"/>
  <c r="CK365" i="103"/>
  <c r="CL364" i="103"/>
  <c r="CK364" i="103"/>
  <c r="CL363" i="103"/>
  <c r="CK363" i="103"/>
  <c r="CL362" i="103"/>
  <c r="CK362" i="103"/>
  <c r="CL361" i="103"/>
  <c r="CK361" i="103"/>
  <c r="CL360" i="103"/>
  <c r="CK360" i="103"/>
  <c r="CL359" i="103"/>
  <c r="CK359" i="103"/>
  <c r="CL358" i="103"/>
  <c r="CK358" i="103"/>
  <c r="CL357" i="103"/>
  <c r="CK357" i="103"/>
  <c r="CL356" i="103"/>
  <c r="CK356" i="103"/>
  <c r="CL355" i="103"/>
  <c r="CK355" i="103"/>
  <c r="CL354" i="103"/>
  <c r="CK354" i="103"/>
  <c r="CL353" i="103"/>
  <c r="CK353" i="103"/>
  <c r="CL352" i="103"/>
  <c r="CK352" i="103"/>
  <c r="CL351" i="103"/>
  <c r="CK351" i="103"/>
  <c r="CL350" i="103"/>
  <c r="CK350" i="103"/>
  <c r="CL349" i="103"/>
  <c r="CK349" i="103"/>
  <c r="CL348" i="103"/>
  <c r="CK348" i="103"/>
  <c r="CL347" i="103"/>
  <c r="CK347" i="103"/>
  <c r="CL346" i="103"/>
  <c r="CK346" i="103"/>
  <c r="CL345" i="103"/>
  <c r="CK345" i="103"/>
  <c r="CL344" i="103"/>
  <c r="CK344" i="103"/>
  <c r="CL343" i="103"/>
  <c r="CK343" i="103"/>
  <c r="CL342" i="103"/>
  <c r="CK342" i="103"/>
  <c r="CL341" i="103"/>
  <c r="CK341" i="103"/>
  <c r="CL340" i="103"/>
  <c r="CK340" i="103"/>
  <c r="CL339" i="103"/>
  <c r="CK339" i="103"/>
  <c r="CL338" i="103"/>
  <c r="CK338" i="103"/>
  <c r="CL337" i="103"/>
  <c r="CK337" i="103"/>
  <c r="CL336" i="103"/>
  <c r="CK336" i="103"/>
  <c r="CL335" i="103"/>
  <c r="CK335" i="103"/>
  <c r="CL334" i="103"/>
  <c r="CK334" i="103"/>
  <c r="CL333" i="103"/>
  <c r="CK333" i="103"/>
  <c r="CL332" i="103"/>
  <c r="CK332" i="103"/>
  <c r="CL331" i="103"/>
  <c r="CK331" i="103"/>
  <c r="CL330" i="103"/>
  <c r="CK330" i="103"/>
  <c r="CL329" i="103"/>
  <c r="CK329" i="103"/>
  <c r="CL328" i="103"/>
  <c r="CK328" i="103"/>
  <c r="CL327" i="103"/>
  <c r="CK327" i="103"/>
  <c r="CL326" i="103"/>
  <c r="CK326" i="103"/>
  <c r="CL325" i="103"/>
  <c r="CK325" i="103"/>
  <c r="CL324" i="103"/>
  <c r="CK324" i="103"/>
  <c r="CL323" i="103"/>
  <c r="CK323" i="103"/>
  <c r="CL322" i="103"/>
  <c r="CK322" i="103"/>
  <c r="CL321" i="103"/>
  <c r="CK321" i="103"/>
  <c r="CL320" i="103"/>
  <c r="CK320" i="103"/>
  <c r="CL319" i="103"/>
  <c r="CK319" i="103"/>
  <c r="CL318" i="103"/>
  <c r="CK318" i="103"/>
  <c r="CL317" i="103"/>
  <c r="CK317" i="103"/>
  <c r="CL316" i="103"/>
  <c r="CK316" i="103"/>
  <c r="CL315" i="103"/>
  <c r="P316" i="22" s="1"/>
  <c r="CK315" i="103"/>
  <c r="O316" i="22" s="1"/>
  <c r="CL314" i="103"/>
  <c r="P315" i="22" s="1"/>
  <c r="CK314" i="103"/>
  <c r="O315" i="22" s="1"/>
  <c r="CL313" i="103"/>
  <c r="P314" i="22" s="1"/>
  <c r="CK313" i="103"/>
  <c r="O314" i="22" s="1"/>
  <c r="CL312" i="103"/>
  <c r="P313" i="22" s="1"/>
  <c r="CK312" i="103"/>
  <c r="O313" i="22" s="1"/>
  <c r="CL311" i="103"/>
  <c r="P312" i="22" s="1"/>
  <c r="CK311" i="103"/>
  <c r="O312" i="22" s="1"/>
  <c r="CL310" i="103"/>
  <c r="P311" i="22" s="1"/>
  <c r="CK310" i="103"/>
  <c r="O311" i="22" s="1"/>
  <c r="CL309" i="103"/>
  <c r="P310" i="22" s="1"/>
  <c r="CK309" i="103"/>
  <c r="O310" i="22" s="1"/>
  <c r="CL308" i="103"/>
  <c r="P309" i="22" s="1"/>
  <c r="CK308" i="103"/>
  <c r="O309" i="22" s="1"/>
  <c r="CL307" i="103"/>
  <c r="P308" i="22" s="1"/>
  <c r="CK307" i="103"/>
  <c r="O308" i="22" s="1"/>
  <c r="CL306" i="103"/>
  <c r="P307" i="22" s="1"/>
  <c r="CK306" i="103"/>
  <c r="O307" i="22" s="1"/>
  <c r="CL305" i="103"/>
  <c r="P306" i="22" s="1"/>
  <c r="CK305" i="103"/>
  <c r="O306" i="22" s="1"/>
  <c r="CL304" i="103"/>
  <c r="P305" i="22" s="1"/>
  <c r="CK304" i="103"/>
  <c r="O305" i="22" s="1"/>
  <c r="AV304" i="103"/>
  <c r="AU304" i="103"/>
  <c r="AR304" i="103"/>
  <c r="AQ304" i="103"/>
  <c r="AP304" i="103"/>
  <c r="AO304" i="103"/>
  <c r="CL303" i="103"/>
  <c r="P304" i="22" s="1"/>
  <c r="CK303" i="103"/>
  <c r="O304" i="22" s="1"/>
  <c r="AV303" i="103"/>
  <c r="AU303" i="103"/>
  <c r="AR303" i="103"/>
  <c r="BD303" i="103" s="1"/>
  <c r="AQ303" i="103"/>
  <c r="AP303" i="103"/>
  <c r="AO303" i="103"/>
  <c r="CL302" i="103"/>
  <c r="P303" i="22" s="1"/>
  <c r="CK302" i="103"/>
  <c r="AV302" i="103"/>
  <c r="AU302" i="103"/>
  <c r="AR302" i="103"/>
  <c r="AQ302" i="103"/>
  <c r="AP302" i="103"/>
  <c r="AO302" i="103"/>
  <c r="CL301" i="103"/>
  <c r="P302" i="22" s="1"/>
  <c r="CK301" i="103"/>
  <c r="O302" i="22" s="1"/>
  <c r="AV301" i="103"/>
  <c r="AU301" i="103"/>
  <c r="AR301" i="103"/>
  <c r="AQ301" i="103"/>
  <c r="AP301" i="103"/>
  <c r="AO301" i="103"/>
  <c r="CL300" i="103"/>
  <c r="P301" i="22" s="1"/>
  <c r="CK300" i="103"/>
  <c r="O301" i="22" s="1"/>
  <c r="AV300" i="103"/>
  <c r="AU300" i="103"/>
  <c r="AR300" i="103"/>
  <c r="AQ300" i="103"/>
  <c r="AP300" i="103"/>
  <c r="AO300" i="103"/>
  <c r="CL299" i="103"/>
  <c r="CK299" i="103"/>
  <c r="O300" i="22" s="1"/>
  <c r="AV299" i="103"/>
  <c r="AU299" i="103"/>
  <c r="AR299" i="103"/>
  <c r="AQ299" i="103"/>
  <c r="AP299" i="103"/>
  <c r="AO299" i="103"/>
  <c r="CL298" i="103"/>
  <c r="P299" i="22" s="1"/>
  <c r="CK298" i="103"/>
  <c r="O299" i="22" s="1"/>
  <c r="AV298" i="103"/>
  <c r="AU298" i="103"/>
  <c r="AR298" i="103"/>
  <c r="AQ298" i="103"/>
  <c r="AP298" i="103"/>
  <c r="AO298" i="103"/>
  <c r="CL297" i="103"/>
  <c r="P298" i="22" s="1"/>
  <c r="CK297" i="103"/>
  <c r="O298" i="22" s="1"/>
  <c r="AV297" i="103"/>
  <c r="AU297" i="103"/>
  <c r="AR297" i="103"/>
  <c r="AQ297" i="103"/>
  <c r="AP297" i="103"/>
  <c r="AO297" i="103"/>
  <c r="CL296" i="103"/>
  <c r="P297" i="22" s="1"/>
  <c r="CK296" i="103"/>
  <c r="O297" i="22" s="1"/>
  <c r="AV296" i="103"/>
  <c r="AU296" i="103"/>
  <c r="AR296" i="103"/>
  <c r="AQ296" i="103"/>
  <c r="AP296" i="103"/>
  <c r="AO296" i="103"/>
  <c r="CL295" i="103"/>
  <c r="P296" i="22" s="1"/>
  <c r="CK295" i="103"/>
  <c r="O296" i="22" s="1"/>
  <c r="AV295" i="103"/>
  <c r="AU295" i="103"/>
  <c r="AR295" i="103"/>
  <c r="AQ295" i="103"/>
  <c r="AP295" i="103"/>
  <c r="AO295" i="103"/>
  <c r="CL294" i="103"/>
  <c r="P295" i="22" s="1"/>
  <c r="CK294" i="103"/>
  <c r="O295" i="22" s="1"/>
  <c r="AV294" i="103"/>
  <c r="AU294" i="103"/>
  <c r="AR294" i="103"/>
  <c r="AQ294" i="103"/>
  <c r="AP294" i="103"/>
  <c r="AO294" i="103"/>
  <c r="CL293" i="103"/>
  <c r="P294" i="22" s="1"/>
  <c r="CK293" i="103"/>
  <c r="O294" i="22" s="1"/>
  <c r="AV293" i="103"/>
  <c r="AU293" i="103"/>
  <c r="AR293" i="103"/>
  <c r="AQ293" i="103"/>
  <c r="AP293" i="103"/>
  <c r="AO293" i="103"/>
  <c r="CL292" i="103"/>
  <c r="P293" i="22" s="1"/>
  <c r="CK292" i="103"/>
  <c r="O293" i="22" s="1"/>
  <c r="AV292" i="103"/>
  <c r="AU292" i="103"/>
  <c r="AR292" i="103"/>
  <c r="AQ292" i="103"/>
  <c r="AP292" i="103"/>
  <c r="AO292" i="103"/>
  <c r="CL291" i="103"/>
  <c r="P292" i="22" s="1"/>
  <c r="CK291" i="103"/>
  <c r="O292" i="22" s="1"/>
  <c r="AV291" i="103"/>
  <c r="AU291" i="103"/>
  <c r="AR291" i="103"/>
  <c r="AQ291" i="103"/>
  <c r="AP291" i="103"/>
  <c r="AO291" i="103"/>
  <c r="CL290" i="103"/>
  <c r="P291" i="22" s="1"/>
  <c r="CK290" i="103"/>
  <c r="O291" i="22" s="1"/>
  <c r="AV290" i="103"/>
  <c r="AU290" i="103"/>
  <c r="AR290" i="103"/>
  <c r="AQ290" i="103"/>
  <c r="AP290" i="103"/>
  <c r="AO290" i="103"/>
  <c r="CL289" i="103"/>
  <c r="P290" i="22" s="1"/>
  <c r="CK289" i="103"/>
  <c r="O290" i="22" s="1"/>
  <c r="AV289" i="103"/>
  <c r="AU289" i="103"/>
  <c r="AR289" i="103"/>
  <c r="AQ289" i="103"/>
  <c r="AP289" i="103"/>
  <c r="AO289" i="103"/>
  <c r="CL288" i="103"/>
  <c r="P289" i="22" s="1"/>
  <c r="CK288" i="103"/>
  <c r="O289" i="22" s="1"/>
  <c r="AV288" i="103"/>
  <c r="AU288" i="103"/>
  <c r="AR288" i="103"/>
  <c r="AQ288" i="103"/>
  <c r="BD288" i="103" s="1"/>
  <c r="AP288" i="103"/>
  <c r="CL287" i="103"/>
  <c r="P288" i="22" s="1"/>
  <c r="CK287" i="103"/>
  <c r="O288" i="22" s="1"/>
  <c r="AV287" i="103"/>
  <c r="AU287" i="103"/>
  <c r="AR287" i="103"/>
  <c r="AP287" i="103"/>
  <c r="AO287" i="103"/>
  <c r="CL286" i="103"/>
  <c r="P287" i="22" s="1"/>
  <c r="CK286" i="103"/>
  <c r="O287" i="22" s="1"/>
  <c r="AQ286" i="103"/>
  <c r="AO286" i="103"/>
  <c r="BD286" i="103" s="1"/>
  <c r="CL285" i="103"/>
  <c r="P286" i="22" s="1"/>
  <c r="CK285" i="103"/>
  <c r="O286" i="22" s="1"/>
  <c r="AV285" i="103"/>
  <c r="AU285" i="103"/>
  <c r="AR285" i="103"/>
  <c r="AQ285" i="103"/>
  <c r="AP285" i="103"/>
  <c r="AO285" i="103"/>
  <c r="CL284" i="103"/>
  <c r="P285" i="22" s="1"/>
  <c r="CK284" i="103"/>
  <c r="O285" i="22" s="1"/>
  <c r="AV284" i="103"/>
  <c r="AU284" i="103"/>
  <c r="AR284" i="103"/>
  <c r="AQ284" i="103"/>
  <c r="AP284" i="103"/>
  <c r="AO284" i="103"/>
  <c r="CL283" i="103"/>
  <c r="P284" i="22" s="1"/>
  <c r="CK283" i="103"/>
  <c r="O284" i="22" s="1"/>
  <c r="AV283" i="103"/>
  <c r="AU283" i="103"/>
  <c r="AR283" i="103"/>
  <c r="AQ283" i="103"/>
  <c r="AP283" i="103"/>
  <c r="AO283" i="103"/>
  <c r="CL282" i="103"/>
  <c r="P283" i="22" s="1"/>
  <c r="CK282" i="103"/>
  <c r="O283" i="22" s="1"/>
  <c r="AV282" i="103"/>
  <c r="AU282" i="103"/>
  <c r="AR282" i="103"/>
  <c r="AQ282" i="103"/>
  <c r="AP282" i="103"/>
  <c r="AO282" i="103"/>
  <c r="CL281" i="103"/>
  <c r="CK281" i="103"/>
  <c r="O282" i="22" s="1"/>
  <c r="AV281" i="103"/>
  <c r="AU281" i="103"/>
  <c r="AR281" i="103"/>
  <c r="AQ281" i="103"/>
  <c r="AP281" i="103"/>
  <c r="AO281" i="103"/>
  <c r="CL280" i="103"/>
  <c r="P281" i="22" s="1"/>
  <c r="CK280" i="103"/>
  <c r="O281" i="22" s="1"/>
  <c r="AV280" i="103"/>
  <c r="AU280" i="103"/>
  <c r="AR280" i="103"/>
  <c r="AQ280" i="103"/>
  <c r="AP280" i="103"/>
  <c r="AO280" i="103"/>
  <c r="CL279" i="103"/>
  <c r="P280" i="22" s="1"/>
  <c r="CK279" i="103"/>
  <c r="O280" i="22" s="1"/>
  <c r="AV279" i="103"/>
  <c r="AU279" i="103"/>
  <c r="AR279" i="103"/>
  <c r="AQ279" i="103"/>
  <c r="AP279" i="103"/>
  <c r="AO279" i="103"/>
  <c r="CL278" i="103"/>
  <c r="P279" i="22" s="1"/>
  <c r="CK278" i="103"/>
  <c r="O279" i="22" s="1"/>
  <c r="AV278" i="103"/>
  <c r="AU278" i="103"/>
  <c r="AR278" i="103"/>
  <c r="AQ278" i="103"/>
  <c r="AP278" i="103"/>
  <c r="AO278" i="103"/>
  <c r="CL277" i="103"/>
  <c r="P278" i="22" s="1"/>
  <c r="CK277" i="103"/>
  <c r="O278" i="22" s="1"/>
  <c r="AV277" i="103"/>
  <c r="AU277" i="103"/>
  <c r="AR277" i="103"/>
  <c r="AQ277" i="103"/>
  <c r="AP277" i="103"/>
  <c r="AO277" i="103"/>
  <c r="CL276" i="103"/>
  <c r="CK276" i="103"/>
  <c r="AV276" i="103"/>
  <c r="AU276" i="103"/>
  <c r="AR276" i="103"/>
  <c r="AQ276" i="103"/>
  <c r="AP276" i="103"/>
  <c r="AO276" i="103"/>
  <c r="CL275" i="103"/>
  <c r="P276" i="22" s="1"/>
  <c r="CK275" i="103"/>
  <c r="O276" i="22" s="1"/>
  <c r="AV275" i="103"/>
  <c r="AU275" i="103"/>
  <c r="AR275" i="103"/>
  <c r="AQ275" i="103"/>
  <c r="AP275" i="103"/>
  <c r="AO275" i="103"/>
  <c r="CL274" i="103"/>
  <c r="P275" i="22" s="1"/>
  <c r="CK274" i="103"/>
  <c r="O275" i="22" s="1"/>
  <c r="AV274" i="103"/>
  <c r="AU274" i="103"/>
  <c r="AR274" i="103"/>
  <c r="AQ274" i="103"/>
  <c r="AP274" i="103"/>
  <c r="AO274" i="103"/>
  <c r="CL273" i="103"/>
  <c r="P274" i="22" s="1"/>
  <c r="CK273" i="103"/>
  <c r="O274" i="22" s="1"/>
  <c r="AV273" i="103"/>
  <c r="AU273" i="103"/>
  <c r="AR273" i="103"/>
  <c r="AQ273" i="103"/>
  <c r="AP273" i="103"/>
  <c r="AO273" i="103"/>
  <c r="CL272" i="103"/>
  <c r="P273" i="22" s="1"/>
  <c r="CK272" i="103"/>
  <c r="O273" i="22" s="1"/>
  <c r="AV272" i="103"/>
  <c r="AU272" i="103"/>
  <c r="AR272" i="103"/>
  <c r="AQ272" i="103"/>
  <c r="AP272" i="103"/>
  <c r="AO272" i="103"/>
  <c r="CL271" i="103"/>
  <c r="P272" i="22" s="1"/>
  <c r="CK271" i="103"/>
  <c r="AV271" i="103"/>
  <c r="AU271" i="103"/>
  <c r="AR271" i="103"/>
  <c r="AQ271" i="103"/>
  <c r="AP271" i="103"/>
  <c r="AO271" i="103"/>
  <c r="CL270" i="103"/>
  <c r="P271" i="22" s="1"/>
  <c r="CK270" i="103"/>
  <c r="AV270" i="103"/>
  <c r="AU270" i="103"/>
  <c r="AR270" i="103"/>
  <c r="AQ270" i="103"/>
  <c r="AP270" i="103"/>
  <c r="AO270" i="103"/>
  <c r="CL269" i="103"/>
  <c r="P270" i="22" s="1"/>
  <c r="CK269" i="103"/>
  <c r="AV269" i="103"/>
  <c r="AU269" i="103"/>
  <c r="AR269" i="103"/>
  <c r="AQ269" i="103"/>
  <c r="AP269" i="103"/>
  <c r="AO269" i="103"/>
  <c r="CL268" i="103"/>
  <c r="CK268" i="103"/>
  <c r="BD268" i="103"/>
  <c r="AV268" i="103"/>
  <c r="AU268" i="103"/>
  <c r="AR268" i="103"/>
  <c r="AQ268" i="103"/>
  <c r="AP268" i="103"/>
  <c r="AO268" i="103"/>
  <c r="CL267" i="103"/>
  <c r="CK267" i="103"/>
  <c r="BD267" i="103"/>
  <c r="AV267" i="103"/>
  <c r="AU267" i="103"/>
  <c r="AR267" i="103"/>
  <c r="AQ267" i="103"/>
  <c r="AP267" i="103"/>
  <c r="AO267" i="103"/>
  <c r="CL266" i="103"/>
  <c r="CK266" i="103"/>
  <c r="BD266" i="103"/>
  <c r="AV266" i="103"/>
  <c r="AU266" i="103"/>
  <c r="AR266" i="103"/>
  <c r="AQ266" i="103"/>
  <c r="AP266" i="103"/>
  <c r="AO266" i="103"/>
  <c r="CL265" i="103"/>
  <c r="CK265" i="103"/>
  <c r="BD265" i="103"/>
  <c r="AV265" i="103"/>
  <c r="AU265" i="103"/>
  <c r="AR265" i="103"/>
  <c r="AQ265" i="103"/>
  <c r="AP265" i="103"/>
  <c r="AO265" i="103"/>
  <c r="CL264" i="103"/>
  <c r="CK264" i="103"/>
  <c r="BD264" i="103"/>
  <c r="AV264" i="103"/>
  <c r="AU264" i="103"/>
  <c r="AR264" i="103"/>
  <c r="AQ264" i="103"/>
  <c r="AP264" i="103"/>
  <c r="AO264" i="103"/>
  <c r="CL263" i="103"/>
  <c r="CK263" i="103"/>
  <c r="BD263" i="103"/>
  <c r="AV263" i="103"/>
  <c r="AU263" i="103"/>
  <c r="AR263" i="103"/>
  <c r="AQ263" i="103"/>
  <c r="AP263" i="103"/>
  <c r="AO263" i="103"/>
  <c r="CL262" i="103"/>
  <c r="CK262" i="103"/>
  <c r="BD262" i="103"/>
  <c r="AV262" i="103"/>
  <c r="AU262" i="103"/>
  <c r="AR262" i="103"/>
  <c r="AQ262" i="103"/>
  <c r="AP262" i="103"/>
  <c r="AO262" i="103"/>
  <c r="CL261" i="103"/>
  <c r="CK261" i="103"/>
  <c r="BD261" i="103"/>
  <c r="AV261" i="103"/>
  <c r="AU261" i="103"/>
  <c r="AR261" i="103"/>
  <c r="AQ261" i="103"/>
  <c r="AP261" i="103"/>
  <c r="AO261" i="103"/>
  <c r="CL260" i="103"/>
  <c r="CK260" i="103"/>
  <c r="BD260" i="103"/>
  <c r="AV260" i="103"/>
  <c r="AU260" i="103"/>
  <c r="AR260" i="103"/>
  <c r="AQ260" i="103"/>
  <c r="AP260" i="103"/>
  <c r="AO260" i="103"/>
  <c r="CL259" i="103"/>
  <c r="CK259" i="103"/>
  <c r="BD259" i="103"/>
  <c r="AV259" i="103"/>
  <c r="AU259" i="103"/>
  <c r="AR259" i="103"/>
  <c r="AQ259" i="103"/>
  <c r="AP259" i="103"/>
  <c r="AO259" i="103"/>
  <c r="CL258" i="103"/>
  <c r="CK258" i="103"/>
  <c r="BD258" i="103"/>
  <c r="AV258" i="103"/>
  <c r="AU258" i="103"/>
  <c r="AR258" i="103"/>
  <c r="AQ258" i="103"/>
  <c r="AP258" i="103"/>
  <c r="AO258" i="103"/>
  <c r="CL257" i="103"/>
  <c r="CK257" i="103"/>
  <c r="BD257" i="103"/>
  <c r="AV257" i="103"/>
  <c r="AU257" i="103"/>
  <c r="AR257" i="103"/>
  <c r="AQ257" i="103"/>
  <c r="AP257" i="103"/>
  <c r="AO257" i="103"/>
  <c r="CL256" i="103"/>
  <c r="CK256" i="103"/>
  <c r="BD256" i="103"/>
  <c r="AV256" i="103"/>
  <c r="AU256" i="103"/>
  <c r="AR256" i="103"/>
  <c r="AQ256" i="103"/>
  <c r="AP256" i="103"/>
  <c r="AO256" i="103"/>
  <c r="CL255" i="103"/>
  <c r="CK255" i="103"/>
  <c r="BD255" i="103"/>
  <c r="AV255" i="103"/>
  <c r="AU255" i="103"/>
  <c r="AR255" i="103"/>
  <c r="AQ255" i="103"/>
  <c r="AP255" i="103"/>
  <c r="AO255" i="103"/>
  <c r="CL254" i="103"/>
  <c r="CK254" i="103"/>
  <c r="BD254" i="103"/>
  <c r="AV254" i="103"/>
  <c r="AU254" i="103"/>
  <c r="AR254" i="103"/>
  <c r="AQ254" i="103"/>
  <c r="AP254" i="103"/>
  <c r="AO254" i="103"/>
  <c r="CL253" i="103"/>
  <c r="CK253" i="103"/>
  <c r="CL252" i="103"/>
  <c r="CK252" i="103"/>
  <c r="CL251" i="103"/>
  <c r="CK251" i="103"/>
  <c r="CL250" i="103"/>
  <c r="CK250" i="103"/>
  <c r="CL249" i="103"/>
  <c r="CK249" i="103"/>
  <c r="CL248" i="103"/>
  <c r="CK248" i="103"/>
  <c r="CL247" i="103"/>
  <c r="CK247" i="103"/>
  <c r="CL246" i="103"/>
  <c r="CK246" i="103"/>
  <c r="CL245" i="103"/>
  <c r="CK245" i="103"/>
  <c r="CL244" i="103"/>
  <c r="CK244" i="103"/>
  <c r="CL243" i="103"/>
  <c r="CK243" i="103"/>
  <c r="CL242" i="103"/>
  <c r="CK242" i="103"/>
  <c r="CL241" i="103"/>
  <c r="CK241" i="103"/>
  <c r="CL240" i="103"/>
  <c r="CK240" i="103"/>
  <c r="CL239" i="103"/>
  <c r="CK239" i="103"/>
  <c r="CL238" i="103"/>
  <c r="CK238" i="103"/>
  <c r="CL237" i="103"/>
  <c r="CK237" i="103"/>
  <c r="CL236" i="103"/>
  <c r="CK236" i="103"/>
  <c r="CL235" i="103"/>
  <c r="CK235" i="103"/>
  <c r="CL234" i="103"/>
  <c r="CK234" i="103"/>
  <c r="CL233" i="103"/>
  <c r="CK233" i="103"/>
  <c r="CL232" i="103"/>
  <c r="CK232" i="103"/>
  <c r="CL231" i="103"/>
  <c r="CK231" i="103"/>
  <c r="CL230" i="103"/>
  <c r="CK230" i="103"/>
  <c r="CL229" i="103"/>
  <c r="CK229" i="103"/>
  <c r="CL228" i="103"/>
  <c r="CK228" i="103"/>
  <c r="CL227" i="103"/>
  <c r="CK227" i="103"/>
  <c r="CL226" i="103"/>
  <c r="CK226" i="103"/>
  <c r="CL225" i="103"/>
  <c r="CK225" i="103"/>
  <c r="CL224" i="103"/>
  <c r="CK224" i="103"/>
  <c r="CL223" i="103"/>
  <c r="CK223" i="103"/>
  <c r="CL222" i="103"/>
  <c r="CK222" i="103"/>
  <c r="CL221" i="103"/>
  <c r="CK221" i="103"/>
  <c r="CL220" i="103"/>
  <c r="CK220" i="103"/>
  <c r="CL219" i="103"/>
  <c r="CK219" i="103"/>
  <c r="CL218" i="103"/>
  <c r="CK218" i="103"/>
  <c r="CL217" i="103"/>
  <c r="CK217" i="103"/>
  <c r="CL216" i="103"/>
  <c r="CK216" i="103"/>
  <c r="CL215" i="103"/>
  <c r="CK215" i="103"/>
  <c r="CL214" i="103"/>
  <c r="CK214" i="103"/>
  <c r="CL213" i="103"/>
  <c r="CK213" i="103"/>
  <c r="CL212" i="103"/>
  <c r="CK212" i="103"/>
  <c r="CL211" i="103"/>
  <c r="CK211" i="103"/>
  <c r="CL210" i="103"/>
  <c r="CK210" i="103"/>
  <c r="CL209" i="103"/>
  <c r="CK209" i="103"/>
  <c r="CL208" i="103"/>
  <c r="CK208" i="103"/>
  <c r="CL207" i="103"/>
  <c r="CK207" i="103"/>
  <c r="CL206" i="103"/>
  <c r="CK206" i="103"/>
  <c r="CL205" i="103"/>
  <c r="CK205" i="103"/>
  <c r="CL204" i="103"/>
  <c r="CK204" i="103"/>
  <c r="CL203" i="103"/>
  <c r="CK203" i="103"/>
  <c r="CL202" i="103"/>
  <c r="CK202" i="103"/>
  <c r="CL201" i="103"/>
  <c r="CK201" i="103"/>
  <c r="CL200" i="103"/>
  <c r="CK200" i="103"/>
  <c r="CL199" i="103"/>
  <c r="CK199" i="103"/>
  <c r="CL198" i="103"/>
  <c r="CK198" i="103"/>
  <c r="CL197" i="103"/>
  <c r="CK197" i="103"/>
  <c r="CL196" i="103"/>
  <c r="CK196" i="103"/>
  <c r="CL195" i="103"/>
  <c r="CK195" i="103"/>
  <c r="CL194" i="103"/>
  <c r="CK194" i="103"/>
  <c r="CL193" i="103"/>
  <c r="CK193" i="103"/>
  <c r="CL192" i="103"/>
  <c r="CK192" i="103"/>
  <c r="CL191" i="103"/>
  <c r="CK191" i="103"/>
  <c r="CL190" i="103"/>
  <c r="CK190" i="103"/>
  <c r="CL189" i="103"/>
  <c r="CK189" i="103"/>
  <c r="CL188" i="103"/>
  <c r="CK188" i="103"/>
  <c r="CL187" i="103"/>
  <c r="CK187" i="103"/>
  <c r="CL186" i="103"/>
  <c r="CK186" i="103"/>
  <c r="CL185" i="103"/>
  <c r="CK185" i="103"/>
  <c r="CL184" i="103"/>
  <c r="CK184" i="103"/>
  <c r="CL183" i="103"/>
  <c r="CK183" i="103"/>
  <c r="CL182" i="103"/>
  <c r="CK182" i="103"/>
  <c r="CL181" i="103"/>
  <c r="CK181" i="103"/>
  <c r="CL180" i="103"/>
  <c r="CK180" i="103"/>
  <c r="CL179" i="103"/>
  <c r="CK179" i="103"/>
  <c r="CL178" i="103"/>
  <c r="CK178" i="103"/>
  <c r="CL177" i="103"/>
  <c r="CK177" i="103"/>
  <c r="CL176" i="103"/>
  <c r="CK176" i="103"/>
  <c r="CL175" i="103"/>
  <c r="CK175" i="103"/>
  <c r="CL174" i="103"/>
  <c r="CK174" i="103"/>
  <c r="CL173" i="103"/>
  <c r="CK173" i="103"/>
  <c r="CL172" i="103"/>
  <c r="CK172" i="103"/>
  <c r="CL171" i="103"/>
  <c r="CK171" i="103"/>
  <c r="CL170" i="103"/>
  <c r="CK170" i="103"/>
  <c r="CL169" i="103"/>
  <c r="CK169" i="103"/>
  <c r="CL168" i="103"/>
  <c r="CK168" i="103"/>
  <c r="CL167" i="103"/>
  <c r="CK167" i="103"/>
  <c r="CL166" i="103"/>
  <c r="CK166" i="103"/>
  <c r="CL165" i="103"/>
  <c r="CK165" i="103"/>
  <c r="CL164" i="103"/>
  <c r="CK164" i="103"/>
  <c r="CL163" i="103"/>
  <c r="CK163" i="103"/>
  <c r="CL162" i="103"/>
  <c r="CK162" i="103"/>
  <c r="CL161" i="103"/>
  <c r="CK161" i="103"/>
  <c r="CL160" i="103"/>
  <c r="CK160" i="103"/>
  <c r="CL159" i="103"/>
  <c r="CK159" i="103"/>
  <c r="CL158" i="103"/>
  <c r="CK158" i="103"/>
  <c r="CL157" i="103"/>
  <c r="CK157" i="103"/>
  <c r="CL156" i="103"/>
  <c r="CK156" i="103"/>
  <c r="CL155" i="103"/>
  <c r="CK155" i="103"/>
  <c r="CL154" i="103"/>
  <c r="CK154" i="103"/>
  <c r="CL153" i="103"/>
  <c r="CK153" i="103"/>
  <c r="CL152" i="103"/>
  <c r="CK152" i="103"/>
  <c r="CL151" i="103"/>
  <c r="CK151" i="103"/>
  <c r="CL150" i="103"/>
  <c r="CK150" i="103"/>
  <c r="CL149" i="103"/>
  <c r="CK149" i="103"/>
  <c r="CL148" i="103"/>
  <c r="CK148" i="103"/>
  <c r="CL147" i="103"/>
  <c r="CK147" i="103"/>
  <c r="CL146" i="103"/>
  <c r="CK146" i="103"/>
  <c r="CL145" i="103"/>
  <c r="CK145" i="103"/>
  <c r="CL144" i="103"/>
  <c r="CK144" i="103"/>
  <c r="CL143" i="103"/>
  <c r="CK143" i="103"/>
  <c r="CL142" i="103"/>
  <c r="CK142" i="103"/>
  <c r="CL141" i="103"/>
  <c r="CK141" i="103"/>
  <c r="CL140" i="103"/>
  <c r="CK140" i="103"/>
  <c r="CL139" i="103"/>
  <c r="CK139" i="103"/>
  <c r="CL138" i="103"/>
  <c r="CK138" i="103"/>
  <c r="CL137" i="103"/>
  <c r="CK137" i="103"/>
  <c r="CL136" i="103"/>
  <c r="CK136" i="103"/>
  <c r="CL135" i="103"/>
  <c r="CK135" i="103"/>
  <c r="CL134" i="103"/>
  <c r="CK134" i="103"/>
  <c r="CL133" i="103"/>
  <c r="CK133" i="103"/>
  <c r="CL132" i="103"/>
  <c r="CK132" i="103"/>
  <c r="CL131" i="103"/>
  <c r="CK131" i="103"/>
  <c r="CL130" i="103"/>
  <c r="CK130" i="103"/>
  <c r="AV130" i="103"/>
  <c r="CL129" i="103"/>
  <c r="CK129" i="103"/>
  <c r="AV129" i="103"/>
  <c r="AU129" i="103"/>
  <c r="CL128" i="103"/>
  <c r="CK128" i="103"/>
  <c r="AV128" i="103"/>
  <c r="AU128" i="103"/>
  <c r="CL127" i="103"/>
  <c r="CK127" i="103"/>
  <c r="AV127" i="103"/>
  <c r="AU127" i="103"/>
  <c r="CL126" i="103"/>
  <c r="CK126" i="103"/>
  <c r="AV126" i="103"/>
  <c r="AU126" i="103"/>
  <c r="CL125" i="103"/>
  <c r="CK125" i="103"/>
  <c r="AV125" i="103"/>
  <c r="AU125" i="103"/>
  <c r="CL124" i="103"/>
  <c r="CK124" i="103"/>
  <c r="AV124" i="103"/>
  <c r="AU124" i="103"/>
  <c r="CL123" i="103"/>
  <c r="CK123" i="103"/>
  <c r="AV123" i="103"/>
  <c r="AU123" i="103"/>
  <c r="CL122" i="103"/>
  <c r="CK122" i="103"/>
  <c r="AV122" i="103"/>
  <c r="AU122" i="103"/>
  <c r="CL121" i="103"/>
  <c r="CK121" i="103"/>
  <c r="AV121" i="103"/>
  <c r="AU121" i="103"/>
  <c r="CL120" i="103"/>
  <c r="CK120" i="103"/>
  <c r="AV120" i="103"/>
  <c r="AU120" i="103"/>
  <c r="CL119" i="103"/>
  <c r="CK119" i="103"/>
  <c r="AV119" i="103"/>
  <c r="AU119" i="103"/>
  <c r="CL118" i="103"/>
  <c r="CK118" i="103"/>
  <c r="AV118" i="103"/>
  <c r="AU118" i="103"/>
  <c r="CL117" i="103"/>
  <c r="CK117" i="103"/>
  <c r="AV117" i="103"/>
  <c r="AU117" i="103"/>
  <c r="CL116" i="103"/>
  <c r="CK116" i="103"/>
  <c r="AV116" i="103"/>
  <c r="AU116" i="103"/>
  <c r="CL115" i="103"/>
  <c r="CK115" i="103"/>
  <c r="AV115" i="103"/>
  <c r="AU115" i="103"/>
  <c r="CL114" i="103"/>
  <c r="CK114" i="103"/>
  <c r="AV114" i="103"/>
  <c r="AU114" i="103"/>
  <c r="CL113" i="103"/>
  <c r="CK113" i="103"/>
  <c r="AV113" i="103"/>
  <c r="AU113" i="103"/>
  <c r="CL112" i="103"/>
  <c r="CK112" i="103"/>
  <c r="AV112" i="103"/>
  <c r="AU112" i="103"/>
  <c r="CL111" i="103"/>
  <c r="CK111" i="103"/>
  <c r="AV111" i="103"/>
  <c r="AU111" i="103"/>
  <c r="CL110" i="103"/>
  <c r="CK110" i="103"/>
  <c r="AV110" i="103"/>
  <c r="AU110" i="103"/>
  <c r="CL109" i="103"/>
  <c r="CK109" i="103"/>
  <c r="AV109" i="103"/>
  <c r="AU109" i="103"/>
  <c r="CL108" i="103"/>
  <c r="CK108" i="103"/>
  <c r="AV108" i="103"/>
  <c r="AU108" i="103"/>
  <c r="CL107" i="103"/>
  <c r="CK107" i="103"/>
  <c r="AV107" i="103"/>
  <c r="AU107" i="103"/>
  <c r="CL106" i="103"/>
  <c r="CK106" i="103"/>
  <c r="AV106" i="103"/>
  <c r="AU106" i="103"/>
  <c r="CL105" i="103"/>
  <c r="CK105" i="103"/>
  <c r="AV105" i="103"/>
  <c r="AU105" i="103"/>
  <c r="CL104" i="103"/>
  <c r="CK104" i="103"/>
  <c r="AV104" i="103"/>
  <c r="AU104" i="103"/>
  <c r="CL103" i="103"/>
  <c r="CK103" i="103"/>
  <c r="AV103" i="103"/>
  <c r="AU103" i="103"/>
  <c r="CL102" i="103"/>
  <c r="CK102" i="103"/>
  <c r="AV102" i="103"/>
  <c r="AU102" i="103"/>
  <c r="F102" i="103"/>
  <c r="CL101" i="103"/>
  <c r="CK101" i="103"/>
  <c r="AV101" i="103"/>
  <c r="AU101" i="103"/>
  <c r="CL100" i="103"/>
  <c r="CK100" i="103"/>
  <c r="AV100" i="103"/>
  <c r="AU100" i="103"/>
  <c r="CL99" i="103"/>
  <c r="CK99" i="103"/>
  <c r="AV99" i="103"/>
  <c r="AU99" i="103"/>
  <c r="CL98" i="103"/>
  <c r="CK98" i="103"/>
  <c r="AV98" i="103"/>
  <c r="AU98" i="103"/>
  <c r="CL97" i="103"/>
  <c r="CK97" i="103"/>
  <c r="AV97" i="103"/>
  <c r="AU97" i="103"/>
  <c r="CL96" i="103"/>
  <c r="CK96" i="103"/>
  <c r="AV96" i="103"/>
  <c r="AU96" i="103"/>
  <c r="CL95" i="103"/>
  <c r="CK95" i="103"/>
  <c r="AV95" i="103"/>
  <c r="AU95" i="103"/>
  <c r="CL94" i="103"/>
  <c r="CK94" i="103"/>
  <c r="AV94" i="103"/>
  <c r="AU94" i="103"/>
  <c r="CL93" i="103"/>
  <c r="CK93" i="103"/>
  <c r="AV93" i="103"/>
  <c r="AU93" i="103"/>
  <c r="CL92" i="103"/>
  <c r="CK92" i="103"/>
  <c r="AV92" i="103"/>
  <c r="AU92" i="103"/>
  <c r="CL91" i="103"/>
  <c r="CK91" i="103"/>
  <c r="AV91" i="103"/>
  <c r="AU91" i="103"/>
  <c r="CL90" i="103"/>
  <c r="CK90" i="103"/>
  <c r="AV90" i="103"/>
  <c r="AU90" i="103"/>
  <c r="CL89" i="103"/>
  <c r="CK89" i="103"/>
  <c r="AV89" i="103"/>
  <c r="AU89" i="103"/>
  <c r="CL88" i="103"/>
  <c r="CK88" i="103"/>
  <c r="AV88" i="103"/>
  <c r="AU88" i="103"/>
  <c r="CL87" i="103"/>
  <c r="CK87" i="103"/>
  <c r="AV87" i="103"/>
  <c r="AU87" i="103"/>
  <c r="CL86" i="103"/>
  <c r="CK86" i="103"/>
  <c r="AV86" i="103"/>
  <c r="AU86" i="103"/>
  <c r="CL85" i="103"/>
  <c r="CK85" i="103"/>
  <c r="AV85" i="103"/>
  <c r="AU85" i="103"/>
  <c r="CL84" i="103"/>
  <c r="CK84" i="103"/>
  <c r="AV84" i="103"/>
  <c r="AU84" i="103"/>
  <c r="CL83" i="103"/>
  <c r="CK83" i="103"/>
  <c r="AV83" i="103"/>
  <c r="AU83" i="103"/>
  <c r="CL82" i="103"/>
  <c r="CK82" i="103"/>
  <c r="AV82" i="103"/>
  <c r="AU82" i="103"/>
  <c r="CL81" i="103"/>
  <c r="CK81" i="103"/>
  <c r="AV81" i="103"/>
  <c r="AU81" i="103"/>
  <c r="CL80" i="103"/>
  <c r="CK80" i="103"/>
  <c r="AV80" i="103"/>
  <c r="AU80" i="103"/>
  <c r="CL79" i="103"/>
  <c r="CK79" i="103"/>
  <c r="AV79" i="103"/>
  <c r="AU79" i="103"/>
  <c r="CL78" i="103"/>
  <c r="CK78" i="103"/>
  <c r="AV78" i="103"/>
  <c r="AU78" i="103"/>
  <c r="CL77" i="103"/>
  <c r="CK77" i="103"/>
  <c r="AV77" i="103"/>
  <c r="AU77" i="103"/>
  <c r="CL76" i="103"/>
  <c r="CK76" i="103"/>
  <c r="AV76" i="103"/>
  <c r="AU76" i="103"/>
  <c r="CL75" i="103"/>
  <c r="CK75" i="103"/>
  <c r="AV75" i="103"/>
  <c r="AU75" i="103"/>
  <c r="CL74" i="103"/>
  <c r="CK74" i="103"/>
  <c r="AV74" i="103"/>
  <c r="AU74" i="103"/>
  <c r="CL73" i="103"/>
  <c r="CK73" i="103"/>
  <c r="AV73" i="103"/>
  <c r="AU73" i="103"/>
  <c r="CL72" i="103"/>
  <c r="CK72" i="103"/>
  <c r="AV72" i="103"/>
  <c r="AU72" i="103"/>
  <c r="CL71" i="103"/>
  <c r="CK71" i="103"/>
  <c r="AV71" i="103"/>
  <c r="AU71" i="103"/>
  <c r="CL70" i="103"/>
  <c r="CK70" i="103"/>
  <c r="AV70" i="103"/>
  <c r="AU70" i="103"/>
  <c r="CL69" i="103"/>
  <c r="CK69" i="103"/>
  <c r="AV69" i="103"/>
  <c r="AU69" i="103"/>
  <c r="CL68" i="103"/>
  <c r="CK68" i="103"/>
  <c r="AV68" i="103"/>
  <c r="AU68" i="103"/>
  <c r="CL67" i="103"/>
  <c r="CK67" i="103"/>
  <c r="AV67" i="103"/>
  <c r="AU67" i="103"/>
  <c r="CL66" i="103"/>
  <c r="CK66" i="103"/>
  <c r="AV66" i="103"/>
  <c r="AU66" i="103"/>
  <c r="CL65" i="103"/>
  <c r="CK65" i="103"/>
  <c r="AV65" i="103"/>
  <c r="AU65" i="103"/>
  <c r="H65" i="103"/>
  <c r="F65" i="103"/>
  <c r="CL64" i="103"/>
  <c r="CK64" i="103"/>
  <c r="AV64" i="103"/>
  <c r="AU64" i="103"/>
  <c r="CL63" i="103"/>
  <c r="CK63" i="103"/>
  <c r="AV63" i="103"/>
  <c r="AU63" i="103"/>
  <c r="CL62" i="103"/>
  <c r="CK62" i="103"/>
  <c r="AV62" i="103"/>
  <c r="AU62" i="103"/>
  <c r="CL61" i="103"/>
  <c r="CK61" i="103"/>
  <c r="AV61" i="103"/>
  <c r="AU61" i="103"/>
  <c r="CL60" i="103"/>
  <c r="CK60" i="103"/>
  <c r="AV60" i="103"/>
  <c r="AU60" i="103"/>
  <c r="CL59" i="103"/>
  <c r="CK59" i="103"/>
  <c r="AV59" i="103"/>
  <c r="AU59" i="103"/>
  <c r="CL58" i="103"/>
  <c r="CK58" i="103"/>
  <c r="AV58" i="103"/>
  <c r="AU58" i="103"/>
  <c r="CL57" i="103"/>
  <c r="CK57" i="103"/>
  <c r="AV57" i="103"/>
  <c r="AU57" i="103"/>
  <c r="CL56" i="103"/>
  <c r="CK56" i="103"/>
  <c r="AV56" i="103"/>
  <c r="AU56" i="103"/>
  <c r="CL55" i="103"/>
  <c r="CK55" i="103"/>
  <c r="AV55" i="103"/>
  <c r="AU55" i="103"/>
  <c r="CL54" i="103"/>
  <c r="CK54" i="103"/>
  <c r="AV54" i="103"/>
  <c r="AU54" i="103"/>
  <c r="CL53" i="103"/>
  <c r="CK53" i="103"/>
  <c r="AV53" i="103"/>
  <c r="AU53" i="103"/>
  <c r="CL52" i="103"/>
  <c r="CK52" i="103"/>
  <c r="AV52" i="103"/>
  <c r="AU52" i="103"/>
  <c r="CL51" i="103"/>
  <c r="CK51" i="103"/>
  <c r="AV51" i="103"/>
  <c r="AU51" i="103"/>
  <c r="CL50" i="103"/>
  <c r="CK50" i="103"/>
  <c r="AV50" i="103"/>
  <c r="AU50" i="103"/>
  <c r="CL49" i="103"/>
  <c r="CK49" i="103"/>
  <c r="AV49" i="103"/>
  <c r="AU49" i="103"/>
  <c r="CL48" i="103"/>
  <c r="CK48" i="103"/>
  <c r="AV48" i="103"/>
  <c r="AU48" i="103"/>
  <c r="CL47" i="103"/>
  <c r="CK47" i="103"/>
  <c r="AV47" i="103"/>
  <c r="AU47" i="103"/>
  <c r="CL46" i="103"/>
  <c r="CK46" i="103"/>
  <c r="AV46" i="103"/>
  <c r="AU46" i="103"/>
  <c r="CL45" i="103"/>
  <c r="CK45" i="103"/>
  <c r="AV45" i="103"/>
  <c r="AU45" i="103"/>
  <c r="CL44" i="103"/>
  <c r="CK44" i="103"/>
  <c r="AV44" i="103"/>
  <c r="AU44" i="103"/>
  <c r="CL43" i="103"/>
  <c r="CK43" i="103"/>
  <c r="AV43" i="103"/>
  <c r="AU43" i="103"/>
  <c r="CL42" i="103"/>
  <c r="CK42" i="103"/>
  <c r="AV42" i="103"/>
  <c r="AU42" i="103"/>
  <c r="CL41" i="103"/>
  <c r="CK41" i="103"/>
  <c r="AV41" i="103"/>
  <c r="AU41" i="103"/>
  <c r="CL40" i="103"/>
  <c r="CK40" i="103"/>
  <c r="AV40" i="103"/>
  <c r="AU40" i="103"/>
  <c r="CL39" i="103"/>
  <c r="CK39" i="103"/>
  <c r="AV39" i="103"/>
  <c r="AU39" i="103"/>
  <c r="CL38" i="103"/>
  <c r="CK38" i="103"/>
  <c r="AV38" i="103"/>
  <c r="AU38" i="103"/>
  <c r="CL37" i="103"/>
  <c r="CK37" i="103"/>
  <c r="AV37" i="103"/>
  <c r="AU37" i="103"/>
  <c r="CL36" i="103"/>
  <c r="CK36" i="103"/>
  <c r="AV36" i="103"/>
  <c r="AU36" i="103"/>
  <c r="CL35" i="103"/>
  <c r="CK35" i="103"/>
  <c r="AV35" i="103"/>
  <c r="AU35" i="103"/>
  <c r="CL34" i="103"/>
  <c r="CK34" i="103"/>
  <c r="AV34" i="103"/>
  <c r="AU34" i="103"/>
  <c r="CL33" i="103"/>
  <c r="CK33" i="103"/>
  <c r="AV33" i="103"/>
  <c r="AU33" i="103"/>
  <c r="CL32" i="103"/>
  <c r="CK32" i="103"/>
  <c r="AV32" i="103"/>
  <c r="AU32" i="103"/>
  <c r="CL31" i="103"/>
  <c r="CK31" i="103"/>
  <c r="AV31" i="103"/>
  <c r="AU31" i="103"/>
  <c r="CL30" i="103"/>
  <c r="CK30" i="103"/>
  <c r="AV30" i="103"/>
  <c r="AU30" i="103"/>
  <c r="CL29" i="103"/>
  <c r="CK29" i="103"/>
  <c r="AV29" i="103"/>
  <c r="AU29" i="103"/>
  <c r="CL28" i="103"/>
  <c r="CK28" i="103"/>
  <c r="AV28" i="103"/>
  <c r="AU28" i="103"/>
  <c r="CL27" i="103"/>
  <c r="CK27" i="103"/>
  <c r="AV27" i="103"/>
  <c r="AU27" i="103"/>
  <c r="CL26" i="103"/>
  <c r="CK26" i="103"/>
  <c r="AV26" i="103"/>
  <c r="AU26" i="103"/>
  <c r="CL25" i="103"/>
  <c r="CK25" i="103"/>
  <c r="AV25" i="103"/>
  <c r="AU25" i="103"/>
  <c r="CL24" i="103"/>
  <c r="CK24" i="103"/>
  <c r="AV24" i="103"/>
  <c r="AU24" i="103"/>
  <c r="CL23" i="103"/>
  <c r="CK23" i="103"/>
  <c r="AV23" i="103"/>
  <c r="AU23" i="103"/>
  <c r="CL22" i="103"/>
  <c r="CK22" i="103"/>
  <c r="AV22" i="103"/>
  <c r="AU22" i="103"/>
  <c r="CL21" i="103"/>
  <c r="CK21" i="103"/>
  <c r="AV21" i="103"/>
  <c r="AU21" i="103"/>
  <c r="CL20" i="103"/>
  <c r="CK20" i="103"/>
  <c r="AV20" i="103"/>
  <c r="AU20" i="103"/>
  <c r="CL19" i="103"/>
  <c r="CK19" i="103"/>
  <c r="AV19" i="103"/>
  <c r="AU19" i="103"/>
  <c r="CL18" i="103"/>
  <c r="CK18" i="103"/>
  <c r="AV18" i="103"/>
  <c r="AU18" i="103"/>
  <c r="CL17" i="103"/>
  <c r="CK17" i="103"/>
  <c r="AV17" i="103"/>
  <c r="AU17" i="103"/>
  <c r="CL16" i="103"/>
  <c r="CK16" i="103"/>
  <c r="AV16" i="103"/>
  <c r="AU16" i="103"/>
  <c r="CL15" i="103"/>
  <c r="CK15" i="103"/>
  <c r="AV15" i="103"/>
  <c r="AU15" i="103"/>
  <c r="CL14" i="103"/>
  <c r="CK14" i="103"/>
  <c r="AV14" i="103"/>
  <c r="AU14" i="103"/>
  <c r="CL13" i="103"/>
  <c r="CK13" i="103"/>
  <c r="AV13" i="103"/>
  <c r="AU13" i="103"/>
  <c r="CL12" i="103"/>
  <c r="CK12" i="103"/>
  <c r="AV12" i="103"/>
  <c r="AU12" i="103"/>
  <c r="CL11" i="103"/>
  <c r="CK11" i="103"/>
  <c r="AV11" i="103"/>
  <c r="AU11" i="103"/>
  <c r="AR11" i="103"/>
  <c r="AP11" i="103"/>
  <c r="AO11" i="103"/>
  <c r="J5" i="103"/>
  <c r="BV490" i="7"/>
  <c r="BV489" i="7"/>
  <c r="BV488" i="7"/>
  <c r="BV487" i="7"/>
  <c r="BV486" i="7"/>
  <c r="BV485" i="7"/>
  <c r="BV484" i="7"/>
  <c r="BV483" i="7"/>
  <c r="BV482" i="7"/>
  <c r="BV481" i="7"/>
  <c r="BV480" i="7"/>
  <c r="BV479" i="7"/>
  <c r="BV478" i="7"/>
  <c r="BV477" i="7"/>
  <c r="BV476" i="7"/>
  <c r="BV475" i="7"/>
  <c r="BV474" i="7"/>
  <c r="BV473" i="7"/>
  <c r="BV472" i="7"/>
  <c r="BV471" i="7"/>
  <c r="BV470" i="7"/>
  <c r="BV469" i="7"/>
  <c r="BV468" i="7"/>
  <c r="BV467" i="7"/>
  <c r="BV466" i="7"/>
  <c r="BV465" i="7"/>
  <c r="BV464" i="7"/>
  <c r="BV463" i="7"/>
  <c r="BV462" i="7"/>
  <c r="BV461" i="7"/>
  <c r="BV454" i="7"/>
  <c r="BV453" i="7"/>
  <c r="BV452" i="7"/>
  <c r="BV451" i="7"/>
  <c r="BV450" i="7"/>
  <c r="BV449" i="7"/>
  <c r="BV448" i="7"/>
  <c r="BV447" i="7"/>
  <c r="BV446" i="7"/>
  <c r="BV445" i="7"/>
  <c r="BV444" i="7"/>
  <c r="BV443" i="7"/>
  <c r="BV442" i="7"/>
  <c r="BV441" i="7"/>
  <c r="BV440" i="7"/>
  <c r="BV439" i="7"/>
  <c r="BV438" i="7"/>
  <c r="BV437" i="7"/>
  <c r="BV436" i="7"/>
  <c r="BV435" i="7"/>
  <c r="BV434" i="7"/>
  <c r="BV433" i="7"/>
  <c r="BV432" i="7"/>
  <c r="BV431" i="7"/>
  <c r="BV430" i="7"/>
  <c r="BT430" i="7"/>
  <c r="BV429" i="7"/>
  <c r="BT429" i="7"/>
  <c r="BV428" i="7"/>
  <c r="BT428" i="7"/>
  <c r="BV427" i="7"/>
  <c r="BT427" i="7"/>
  <c r="BV426" i="7"/>
  <c r="BT426" i="7"/>
  <c r="BV425" i="7"/>
  <c r="BT425" i="7"/>
  <c r="BV424" i="7"/>
  <c r="BT424" i="7"/>
  <c r="BV423" i="7"/>
  <c r="BT423" i="7"/>
  <c r="BV422" i="7"/>
  <c r="BT422" i="7"/>
  <c r="BV421" i="7"/>
  <c r="BT421" i="7"/>
  <c r="BV420" i="7"/>
  <c r="BT420" i="7"/>
  <c r="BV419" i="7"/>
  <c r="BT419" i="7"/>
  <c r="BV418" i="7"/>
  <c r="BT418" i="7"/>
  <c r="BV417" i="7"/>
  <c r="BT417" i="7"/>
  <c r="BV416" i="7"/>
  <c r="BT416" i="7"/>
  <c r="BG403" i="7"/>
  <c r="BX402" i="7"/>
  <c r="BW402" i="7"/>
  <c r="BV402" i="7"/>
  <c r="BU402" i="7"/>
  <c r="BT402" i="7"/>
  <c r="BS402" i="7"/>
  <c r="BR402" i="7"/>
  <c r="BQ402" i="7"/>
  <c r="BP402" i="7"/>
  <c r="BO402" i="7"/>
  <c r="BN402" i="7"/>
  <c r="BM402" i="7"/>
  <c r="BL402" i="7"/>
  <c r="BK402" i="7"/>
  <c r="BJ402" i="7"/>
  <c r="BI402" i="7"/>
  <c r="BH402" i="7"/>
  <c r="BF402" i="7"/>
  <c r="BE402" i="7"/>
  <c r="BD402" i="7"/>
  <c r="BC402" i="7"/>
  <c r="BB402" i="7"/>
  <c r="BA402" i="7"/>
  <c r="AZ402" i="7"/>
  <c r="AY402" i="7"/>
  <c r="AX402" i="7"/>
  <c r="AW402" i="7"/>
  <c r="AV402" i="7"/>
  <c r="AU402" i="7"/>
  <c r="AT402" i="7"/>
  <c r="AS402" i="7"/>
  <c r="AR402" i="7"/>
  <c r="AQ402" i="7"/>
  <c r="AP402" i="7"/>
  <c r="AO402" i="7"/>
  <c r="AN402" i="7"/>
  <c r="AM402" i="7"/>
  <c r="AL402" i="7"/>
  <c r="AK402" i="7"/>
  <c r="AJ402" i="7"/>
  <c r="AI402" i="7"/>
  <c r="AH402" i="7"/>
  <c r="AG402" i="7"/>
  <c r="AF402" i="7"/>
  <c r="AE402" i="7"/>
  <c r="AD402" i="7"/>
  <c r="AC402" i="7"/>
  <c r="AB402" i="7"/>
  <c r="AA402" i="7"/>
  <c r="Z402" i="7"/>
  <c r="Y402" i="7"/>
  <c r="X402" i="7"/>
  <c r="W402" i="7"/>
  <c r="V402" i="7"/>
  <c r="U402" i="7"/>
  <c r="T402" i="7"/>
  <c r="S402" i="7"/>
  <c r="R402" i="7"/>
  <c r="Q402" i="7"/>
  <c r="P402" i="7"/>
  <c r="O402" i="7"/>
  <c r="N402" i="7"/>
  <c r="M402" i="7"/>
  <c r="L402" i="7"/>
  <c r="K402" i="7"/>
  <c r="J402" i="7"/>
  <c r="I402" i="7"/>
  <c r="H402" i="7"/>
  <c r="G402" i="7"/>
  <c r="F402" i="7"/>
  <c r="E402" i="7"/>
  <c r="D402" i="7"/>
  <c r="C402" i="7"/>
  <c r="B402" i="7"/>
  <c r="BX401" i="7"/>
  <c r="BW401" i="7"/>
  <c r="BV401" i="7"/>
  <c r="BV458" i="7" s="1"/>
  <c r="BU401" i="7"/>
  <c r="BT401" i="7"/>
  <c r="BS401" i="7"/>
  <c r="BR401" i="7"/>
  <c r="BQ401" i="7"/>
  <c r="BP401" i="7"/>
  <c r="BO401" i="7"/>
  <c r="BN401" i="7"/>
  <c r="BM401" i="7"/>
  <c r="BL401" i="7"/>
  <c r="BK401" i="7"/>
  <c r="BJ401" i="7"/>
  <c r="BI401" i="7"/>
  <c r="BH401" i="7"/>
  <c r="BF401" i="7"/>
  <c r="BE401" i="7"/>
  <c r="BD401" i="7"/>
  <c r="BC401" i="7"/>
  <c r="BB401" i="7"/>
  <c r="BA401" i="7"/>
  <c r="AZ401" i="7"/>
  <c r="AY401" i="7"/>
  <c r="AX401" i="7"/>
  <c r="AW401" i="7"/>
  <c r="AV401" i="7"/>
  <c r="AU401" i="7"/>
  <c r="AT401" i="7"/>
  <c r="AS401" i="7"/>
  <c r="AR401" i="7"/>
  <c r="AQ401" i="7"/>
  <c r="AP401" i="7"/>
  <c r="AO401" i="7"/>
  <c r="AN401" i="7"/>
  <c r="AM401" i="7"/>
  <c r="AL401" i="7"/>
  <c r="AK401" i="7"/>
  <c r="AJ401" i="7"/>
  <c r="AI401" i="7"/>
  <c r="AH401" i="7"/>
  <c r="AG401" i="7"/>
  <c r="AF401" i="7"/>
  <c r="AE401" i="7"/>
  <c r="AD401" i="7"/>
  <c r="AC401" i="7"/>
  <c r="AB401" i="7"/>
  <c r="AA401" i="7"/>
  <c r="Z401" i="7"/>
  <c r="Y401" i="7"/>
  <c r="X401" i="7"/>
  <c r="W401" i="7"/>
  <c r="V401" i="7"/>
  <c r="U401" i="7"/>
  <c r="T401" i="7"/>
  <c r="S401" i="7"/>
  <c r="R401" i="7"/>
  <c r="Q401" i="7"/>
  <c r="P401" i="7"/>
  <c r="O401" i="7"/>
  <c r="N401" i="7"/>
  <c r="M401" i="7"/>
  <c r="L401" i="7"/>
  <c r="K401" i="7"/>
  <c r="J401" i="7"/>
  <c r="I401" i="7"/>
  <c r="H401" i="7"/>
  <c r="G401" i="7"/>
  <c r="F401" i="7"/>
  <c r="E401" i="7"/>
  <c r="D401" i="7"/>
  <c r="C401" i="7"/>
  <c r="B401" i="7"/>
  <c r="BX400" i="7"/>
  <c r="BW400" i="7"/>
  <c r="BV400" i="7"/>
  <c r="BU400" i="7"/>
  <c r="BT400" i="7"/>
  <c r="BS400" i="7"/>
  <c r="BR400" i="7"/>
  <c r="BQ400" i="7"/>
  <c r="BP400" i="7"/>
  <c r="BO400" i="7"/>
  <c r="BN400" i="7"/>
  <c r="BM400" i="7"/>
  <c r="BL400" i="7"/>
  <c r="BK400" i="7"/>
  <c r="BJ400" i="7"/>
  <c r="BI400" i="7"/>
  <c r="BH400" i="7"/>
  <c r="BF400" i="7"/>
  <c r="BE400" i="7"/>
  <c r="BD400" i="7"/>
  <c r="BC400" i="7"/>
  <c r="BB400" i="7"/>
  <c r="BA400" i="7"/>
  <c r="AZ400" i="7"/>
  <c r="AY400" i="7"/>
  <c r="AX400" i="7"/>
  <c r="AW400" i="7"/>
  <c r="AV400" i="7"/>
  <c r="AU400" i="7"/>
  <c r="AT400" i="7"/>
  <c r="AS400" i="7"/>
  <c r="AR400" i="7"/>
  <c r="AR403" i="7" s="1"/>
  <c r="AQ400" i="7"/>
  <c r="AP400" i="7"/>
  <c r="AO400" i="7"/>
  <c r="AN400" i="7"/>
  <c r="AM400" i="7"/>
  <c r="AL400" i="7"/>
  <c r="AK400" i="7"/>
  <c r="AJ400" i="7"/>
  <c r="AI400" i="7"/>
  <c r="AH400" i="7"/>
  <c r="AG400" i="7"/>
  <c r="AF400" i="7"/>
  <c r="AE400" i="7"/>
  <c r="AD400" i="7"/>
  <c r="AC400" i="7"/>
  <c r="AB400" i="7"/>
  <c r="AA400" i="7"/>
  <c r="Z400" i="7"/>
  <c r="Y400" i="7"/>
  <c r="X400" i="7"/>
  <c r="W400" i="7"/>
  <c r="V400" i="7"/>
  <c r="U400" i="7"/>
  <c r="T400" i="7"/>
  <c r="S400" i="7"/>
  <c r="R400" i="7"/>
  <c r="Q400" i="7"/>
  <c r="P400" i="7"/>
  <c r="O400" i="7"/>
  <c r="N400" i="7"/>
  <c r="M400" i="7"/>
  <c r="L400" i="7"/>
  <c r="K400" i="7"/>
  <c r="J400" i="7"/>
  <c r="I400" i="7"/>
  <c r="H400" i="7"/>
  <c r="G400" i="7"/>
  <c r="F400" i="7"/>
  <c r="E400" i="7"/>
  <c r="D400" i="7"/>
  <c r="C400" i="7"/>
  <c r="B400" i="7"/>
  <c r="BX399" i="7"/>
  <c r="BW399" i="7"/>
  <c r="BV399" i="7"/>
  <c r="BV455" i="7" s="1"/>
  <c r="BU399" i="7"/>
  <c r="BT399" i="7"/>
  <c r="BS399" i="7"/>
  <c r="BR399" i="7"/>
  <c r="BQ399" i="7"/>
  <c r="BP399" i="7"/>
  <c r="BO399" i="7"/>
  <c r="BN399" i="7"/>
  <c r="BM399" i="7"/>
  <c r="BL399" i="7"/>
  <c r="BK399" i="7"/>
  <c r="BJ399" i="7"/>
  <c r="BI399" i="7"/>
  <c r="BH399" i="7"/>
  <c r="BF399" i="7"/>
  <c r="BE399" i="7"/>
  <c r="BD399" i="7"/>
  <c r="BC399" i="7"/>
  <c r="BB399" i="7"/>
  <c r="BA399" i="7"/>
  <c r="AZ399" i="7"/>
  <c r="AY399" i="7"/>
  <c r="AX399" i="7"/>
  <c r="AW399" i="7"/>
  <c r="AV399" i="7"/>
  <c r="AU399" i="7"/>
  <c r="AT399" i="7"/>
  <c r="AS399" i="7"/>
  <c r="AR399" i="7"/>
  <c r="AQ399" i="7"/>
  <c r="AP399" i="7"/>
  <c r="AO399" i="7"/>
  <c r="AN399" i="7"/>
  <c r="AM399" i="7"/>
  <c r="AL399" i="7"/>
  <c r="AK399" i="7"/>
  <c r="AJ399" i="7"/>
  <c r="AI399" i="7"/>
  <c r="AH399" i="7"/>
  <c r="AG399" i="7"/>
  <c r="AF399" i="7"/>
  <c r="AE399" i="7"/>
  <c r="AD399" i="7"/>
  <c r="AC399" i="7"/>
  <c r="AB399" i="7"/>
  <c r="AA399" i="7"/>
  <c r="Z399" i="7"/>
  <c r="Y399" i="7"/>
  <c r="X399" i="7"/>
  <c r="W399" i="7"/>
  <c r="V399" i="7"/>
  <c r="U399" i="7"/>
  <c r="T399" i="7"/>
  <c r="S399" i="7"/>
  <c r="R399" i="7"/>
  <c r="Q399" i="7"/>
  <c r="P399" i="7"/>
  <c r="O399" i="7"/>
  <c r="N399" i="7"/>
  <c r="M399" i="7"/>
  <c r="L399" i="7"/>
  <c r="K399" i="7"/>
  <c r="J399" i="7"/>
  <c r="I399" i="7"/>
  <c r="H399" i="7"/>
  <c r="G399" i="7"/>
  <c r="F399" i="7"/>
  <c r="E399" i="7"/>
  <c r="D399" i="7"/>
  <c r="C399" i="7"/>
  <c r="B399" i="7"/>
  <c r="BX398" i="7"/>
  <c r="BW398" i="7"/>
  <c r="BV398" i="7"/>
  <c r="BU398" i="7"/>
  <c r="BT398" i="7"/>
  <c r="BS398" i="7"/>
  <c r="BR398" i="7"/>
  <c r="BQ398" i="7"/>
  <c r="BP398" i="7"/>
  <c r="BO398" i="7"/>
  <c r="BN398" i="7"/>
  <c r="BM398" i="7"/>
  <c r="BL398" i="7"/>
  <c r="BK398" i="7"/>
  <c r="BJ398" i="7"/>
  <c r="BI398" i="7"/>
  <c r="BH398" i="7"/>
  <c r="BF398" i="7"/>
  <c r="BE398" i="7"/>
  <c r="BD398" i="7"/>
  <c r="BC398" i="7"/>
  <c r="BB398" i="7"/>
  <c r="BA398" i="7"/>
  <c r="AZ398" i="7"/>
  <c r="AY398" i="7"/>
  <c r="AX398" i="7"/>
  <c r="AW398" i="7"/>
  <c r="AV398" i="7"/>
  <c r="AU398" i="7"/>
  <c r="AT398" i="7"/>
  <c r="AS398" i="7"/>
  <c r="AR398" i="7"/>
  <c r="AQ398" i="7"/>
  <c r="AP398" i="7"/>
  <c r="AO398" i="7"/>
  <c r="AN398" i="7"/>
  <c r="AM398" i="7"/>
  <c r="AL398" i="7"/>
  <c r="AK398" i="7"/>
  <c r="AJ398" i="7"/>
  <c r="AI398" i="7"/>
  <c r="AH398" i="7"/>
  <c r="AG398" i="7"/>
  <c r="AF398" i="7"/>
  <c r="AE398" i="7"/>
  <c r="AD398" i="7"/>
  <c r="AC398" i="7"/>
  <c r="AB398" i="7"/>
  <c r="AA398" i="7"/>
  <c r="Z398" i="7"/>
  <c r="Y398" i="7"/>
  <c r="X398" i="7"/>
  <c r="W398" i="7"/>
  <c r="V398" i="7"/>
  <c r="U398" i="7"/>
  <c r="T398" i="7"/>
  <c r="S398" i="7"/>
  <c r="R398" i="7"/>
  <c r="Q398" i="7"/>
  <c r="P398" i="7"/>
  <c r="O398" i="7"/>
  <c r="N398" i="7"/>
  <c r="M398" i="7"/>
  <c r="L398" i="7"/>
  <c r="K398" i="7"/>
  <c r="J398" i="7"/>
  <c r="I398" i="7"/>
  <c r="H398" i="7"/>
  <c r="G398" i="7"/>
  <c r="F398" i="7"/>
  <c r="E398" i="7"/>
  <c r="D398" i="7"/>
  <c r="C398" i="7"/>
  <c r="B398" i="7"/>
  <c r="BX397" i="7"/>
  <c r="BW397" i="7"/>
  <c r="BV397" i="7"/>
  <c r="BU397" i="7"/>
  <c r="BT397" i="7"/>
  <c r="BS397" i="7"/>
  <c r="BR397" i="7"/>
  <c r="BQ397" i="7"/>
  <c r="BP397" i="7"/>
  <c r="BO397" i="7"/>
  <c r="BN397" i="7"/>
  <c r="BM397" i="7"/>
  <c r="BL397" i="7"/>
  <c r="BK397" i="7"/>
  <c r="BJ397" i="7"/>
  <c r="BI397" i="7"/>
  <c r="BH397" i="7"/>
  <c r="BF397" i="7"/>
  <c r="BE397" i="7"/>
  <c r="BD397" i="7"/>
  <c r="BC397" i="7"/>
  <c r="BB397" i="7"/>
  <c r="BA397" i="7"/>
  <c r="AZ397" i="7"/>
  <c r="AY397" i="7"/>
  <c r="AX397" i="7"/>
  <c r="AW397" i="7"/>
  <c r="AV397" i="7"/>
  <c r="AU397" i="7"/>
  <c r="AT397" i="7"/>
  <c r="AS397" i="7"/>
  <c r="AR397" i="7"/>
  <c r="AQ397" i="7"/>
  <c r="AP397" i="7"/>
  <c r="AO397" i="7"/>
  <c r="AN397" i="7"/>
  <c r="AM397" i="7"/>
  <c r="AL397" i="7"/>
  <c r="AK397" i="7"/>
  <c r="AJ397" i="7"/>
  <c r="AI397" i="7"/>
  <c r="AH397" i="7"/>
  <c r="AG397" i="7"/>
  <c r="AF397" i="7"/>
  <c r="AE397" i="7"/>
  <c r="AD397" i="7"/>
  <c r="AC397" i="7"/>
  <c r="AB397" i="7"/>
  <c r="AA397" i="7"/>
  <c r="Z397" i="7"/>
  <c r="Y397" i="7"/>
  <c r="X397" i="7"/>
  <c r="W397" i="7"/>
  <c r="V397" i="7"/>
  <c r="U397" i="7"/>
  <c r="T397" i="7"/>
  <c r="S397" i="7"/>
  <c r="R397" i="7"/>
  <c r="Q397" i="7"/>
  <c r="P397" i="7"/>
  <c r="O397" i="7"/>
  <c r="N397" i="7"/>
  <c r="M397" i="7"/>
  <c r="L397" i="7"/>
  <c r="K397" i="7"/>
  <c r="J397" i="7"/>
  <c r="I397" i="7"/>
  <c r="H397" i="7"/>
  <c r="G397" i="7"/>
  <c r="F397" i="7"/>
  <c r="E397" i="7"/>
  <c r="D397" i="7"/>
  <c r="C397" i="7"/>
  <c r="B397" i="7"/>
  <c r="BX396" i="7"/>
  <c r="BW396" i="7"/>
  <c r="BV396" i="7"/>
  <c r="BU396" i="7"/>
  <c r="BT396" i="7"/>
  <c r="BS396" i="7"/>
  <c r="BR396" i="7"/>
  <c r="BQ396" i="7"/>
  <c r="BP396" i="7"/>
  <c r="BO396" i="7"/>
  <c r="BN396" i="7"/>
  <c r="BM396" i="7"/>
  <c r="BL396" i="7"/>
  <c r="BK396" i="7"/>
  <c r="BJ396" i="7"/>
  <c r="BI396" i="7"/>
  <c r="BH396" i="7"/>
  <c r="BG396" i="7"/>
  <c r="BF396" i="7"/>
  <c r="BE396" i="7"/>
  <c r="BD396" i="7"/>
  <c r="BC396" i="7"/>
  <c r="BB396" i="7"/>
  <c r="BA396" i="7"/>
  <c r="AZ396" i="7"/>
  <c r="AY396" i="7"/>
  <c r="AX396" i="7"/>
  <c r="AW396" i="7"/>
  <c r="AV396" i="7"/>
  <c r="AU396" i="7"/>
  <c r="AT396" i="7"/>
  <c r="AS396" i="7"/>
  <c r="AR396" i="7"/>
  <c r="AQ396" i="7"/>
  <c r="AP396" i="7"/>
  <c r="AO396" i="7"/>
  <c r="AN396" i="7"/>
  <c r="AM396" i="7"/>
  <c r="AL396" i="7"/>
  <c r="AK396" i="7"/>
  <c r="AJ396" i="7"/>
  <c r="AI396" i="7"/>
  <c r="AH396" i="7"/>
  <c r="AG396" i="7"/>
  <c r="AF396" i="7"/>
  <c r="AE396" i="7"/>
  <c r="AD396" i="7"/>
  <c r="AC396" i="7"/>
  <c r="AB396" i="7"/>
  <c r="AA396" i="7"/>
  <c r="Z396" i="7"/>
  <c r="Y396" i="7"/>
  <c r="X396" i="7"/>
  <c r="W396" i="7"/>
  <c r="V396" i="7"/>
  <c r="U396" i="7"/>
  <c r="T396" i="7"/>
  <c r="S396" i="7"/>
  <c r="R396" i="7"/>
  <c r="Q396" i="7"/>
  <c r="P396" i="7"/>
  <c r="O396" i="7"/>
  <c r="N396" i="7"/>
  <c r="M396" i="7"/>
  <c r="L396" i="7"/>
  <c r="K396" i="7"/>
  <c r="J396" i="7"/>
  <c r="I396" i="7"/>
  <c r="H396" i="7"/>
  <c r="G396" i="7"/>
  <c r="F396" i="7"/>
  <c r="E396" i="7"/>
  <c r="D396" i="7"/>
  <c r="C396" i="7"/>
  <c r="B396" i="7"/>
  <c r="BX395" i="7"/>
  <c r="BW395" i="7"/>
  <c r="BV395" i="7"/>
  <c r="BU395" i="7"/>
  <c r="BT395" i="7"/>
  <c r="BS395" i="7"/>
  <c r="BR395" i="7"/>
  <c r="BQ395" i="7"/>
  <c r="BP395" i="7"/>
  <c r="BO395" i="7"/>
  <c r="BN395" i="7"/>
  <c r="BM395" i="7"/>
  <c r="BL395" i="7"/>
  <c r="BK395" i="7"/>
  <c r="BJ395" i="7"/>
  <c r="BI395" i="7"/>
  <c r="BH395" i="7"/>
  <c r="BG395" i="7"/>
  <c r="BF395" i="7"/>
  <c r="BE395" i="7"/>
  <c r="BD395" i="7"/>
  <c r="BC395" i="7"/>
  <c r="BB395" i="7"/>
  <c r="BA395" i="7"/>
  <c r="AZ395" i="7"/>
  <c r="AY395" i="7"/>
  <c r="AX395" i="7"/>
  <c r="AW395" i="7"/>
  <c r="AV395" i="7"/>
  <c r="AU395" i="7"/>
  <c r="AT395" i="7"/>
  <c r="AS395" i="7"/>
  <c r="AR395" i="7"/>
  <c r="AQ395" i="7"/>
  <c r="AP395" i="7"/>
  <c r="AO395" i="7"/>
  <c r="AN395" i="7"/>
  <c r="AM395" i="7"/>
  <c r="AL395" i="7"/>
  <c r="AK395" i="7"/>
  <c r="AJ395" i="7"/>
  <c r="AI395" i="7"/>
  <c r="AH395" i="7"/>
  <c r="AG395" i="7"/>
  <c r="AF395" i="7"/>
  <c r="AE395" i="7"/>
  <c r="AD395" i="7"/>
  <c r="AC395" i="7"/>
  <c r="AB395" i="7"/>
  <c r="AA395" i="7"/>
  <c r="Z395" i="7"/>
  <c r="Y395" i="7"/>
  <c r="X395" i="7"/>
  <c r="W395" i="7"/>
  <c r="V395" i="7"/>
  <c r="U395" i="7"/>
  <c r="T395" i="7"/>
  <c r="S395" i="7"/>
  <c r="R395" i="7"/>
  <c r="Q395" i="7"/>
  <c r="P395" i="7"/>
  <c r="O395" i="7"/>
  <c r="N395" i="7"/>
  <c r="M395" i="7"/>
  <c r="L395" i="7"/>
  <c r="K395" i="7"/>
  <c r="J395" i="7"/>
  <c r="I395" i="7"/>
  <c r="H395" i="7"/>
  <c r="G395" i="7"/>
  <c r="F395" i="7"/>
  <c r="E395" i="7"/>
  <c r="D395" i="7"/>
  <c r="C395" i="7"/>
  <c r="B395" i="7"/>
  <c r="BX394" i="7"/>
  <c r="BW394" i="7"/>
  <c r="BV394" i="7"/>
  <c r="BU394" i="7"/>
  <c r="BT394" i="7"/>
  <c r="BS394" i="7"/>
  <c r="BR394" i="7"/>
  <c r="BQ394" i="7"/>
  <c r="BP394" i="7"/>
  <c r="BO394" i="7"/>
  <c r="BN394" i="7"/>
  <c r="BM394" i="7"/>
  <c r="BL394" i="7"/>
  <c r="BK394" i="7"/>
  <c r="BJ394" i="7"/>
  <c r="BI394" i="7"/>
  <c r="BH394" i="7"/>
  <c r="BG394" i="7"/>
  <c r="BF394" i="7"/>
  <c r="BE394" i="7"/>
  <c r="BD394" i="7"/>
  <c r="BC394" i="7"/>
  <c r="BB394" i="7"/>
  <c r="BA394" i="7"/>
  <c r="AZ394" i="7"/>
  <c r="AY394" i="7"/>
  <c r="AX394" i="7"/>
  <c r="AW394" i="7"/>
  <c r="AV394" i="7"/>
  <c r="AU394" i="7"/>
  <c r="AT394" i="7"/>
  <c r="AS394" i="7"/>
  <c r="AR394" i="7"/>
  <c r="AQ394" i="7"/>
  <c r="AP394" i="7"/>
  <c r="AO394" i="7"/>
  <c r="AN394" i="7"/>
  <c r="AM394" i="7"/>
  <c r="AL394" i="7"/>
  <c r="AK394" i="7"/>
  <c r="AJ394" i="7"/>
  <c r="AI394" i="7"/>
  <c r="AH394" i="7"/>
  <c r="AG394" i="7"/>
  <c r="AF394" i="7"/>
  <c r="AE394" i="7"/>
  <c r="AD394" i="7"/>
  <c r="AC394" i="7"/>
  <c r="AB394" i="7"/>
  <c r="AA394" i="7"/>
  <c r="Z394" i="7"/>
  <c r="Y394" i="7"/>
  <c r="X394" i="7"/>
  <c r="W394" i="7"/>
  <c r="V394" i="7"/>
  <c r="U394" i="7"/>
  <c r="T394" i="7"/>
  <c r="S394" i="7"/>
  <c r="R394" i="7"/>
  <c r="Q394" i="7"/>
  <c r="P394" i="7"/>
  <c r="O394" i="7"/>
  <c r="N394" i="7"/>
  <c r="M394" i="7"/>
  <c r="L394" i="7"/>
  <c r="K394" i="7"/>
  <c r="J394" i="7"/>
  <c r="I394" i="7"/>
  <c r="H394" i="7"/>
  <c r="G394" i="7"/>
  <c r="F394" i="7"/>
  <c r="E394" i="7"/>
  <c r="D394" i="7"/>
  <c r="C394" i="7"/>
  <c r="B394" i="7"/>
  <c r="BX393" i="7"/>
  <c r="BW393" i="7"/>
  <c r="BV393" i="7"/>
  <c r="BU393" i="7"/>
  <c r="BT393" i="7"/>
  <c r="BS393" i="7"/>
  <c r="BR393" i="7"/>
  <c r="BQ393" i="7"/>
  <c r="BP393" i="7"/>
  <c r="BO393" i="7"/>
  <c r="BN393" i="7"/>
  <c r="BM393" i="7"/>
  <c r="BL393" i="7"/>
  <c r="BK393" i="7"/>
  <c r="BJ393" i="7"/>
  <c r="BI393" i="7"/>
  <c r="BH393" i="7"/>
  <c r="BG393" i="7"/>
  <c r="BF393" i="7"/>
  <c r="BE393" i="7"/>
  <c r="BD393" i="7"/>
  <c r="BC393" i="7"/>
  <c r="BB393" i="7"/>
  <c r="BA393" i="7"/>
  <c r="AZ393" i="7"/>
  <c r="AY393" i="7"/>
  <c r="AX393" i="7"/>
  <c r="AW393" i="7"/>
  <c r="AV393" i="7"/>
  <c r="AU393" i="7"/>
  <c r="AT393" i="7"/>
  <c r="AS393" i="7"/>
  <c r="AR393" i="7"/>
  <c r="AQ393" i="7"/>
  <c r="AP393" i="7"/>
  <c r="AO393" i="7"/>
  <c r="AN393" i="7"/>
  <c r="AM393" i="7"/>
  <c r="AL393" i="7"/>
  <c r="AK393" i="7"/>
  <c r="AJ393" i="7"/>
  <c r="AI393" i="7"/>
  <c r="AH393" i="7"/>
  <c r="AG393" i="7"/>
  <c r="AF393" i="7"/>
  <c r="AE393" i="7"/>
  <c r="AD393" i="7"/>
  <c r="AC393" i="7"/>
  <c r="AB393" i="7"/>
  <c r="AA393" i="7"/>
  <c r="Z393" i="7"/>
  <c r="Y393" i="7"/>
  <c r="X393" i="7"/>
  <c r="W393" i="7"/>
  <c r="V393" i="7"/>
  <c r="U393" i="7"/>
  <c r="T393" i="7"/>
  <c r="S393" i="7"/>
  <c r="R393" i="7"/>
  <c r="Q393" i="7"/>
  <c r="P393" i="7"/>
  <c r="O393" i="7"/>
  <c r="N393" i="7"/>
  <c r="M393" i="7"/>
  <c r="L393" i="7"/>
  <c r="K393" i="7"/>
  <c r="J393" i="7"/>
  <c r="I393" i="7"/>
  <c r="H393" i="7"/>
  <c r="G393" i="7"/>
  <c r="F393" i="7"/>
  <c r="E393" i="7"/>
  <c r="D393" i="7"/>
  <c r="C393" i="7"/>
  <c r="B393" i="7"/>
  <c r="BX392" i="7"/>
  <c r="BW392" i="7"/>
  <c r="BV392" i="7"/>
  <c r="BU392" i="7"/>
  <c r="BT392" i="7"/>
  <c r="BS392" i="7"/>
  <c r="BR392" i="7"/>
  <c r="BQ392" i="7"/>
  <c r="BP392" i="7"/>
  <c r="BO392" i="7"/>
  <c r="BN392" i="7"/>
  <c r="BM392" i="7"/>
  <c r="BL392" i="7"/>
  <c r="BK392" i="7"/>
  <c r="BJ392" i="7"/>
  <c r="BI392" i="7"/>
  <c r="BH392" i="7"/>
  <c r="BG392" i="7"/>
  <c r="BF392" i="7"/>
  <c r="BE392" i="7"/>
  <c r="BD392" i="7"/>
  <c r="BC392" i="7"/>
  <c r="BB392" i="7"/>
  <c r="BA392" i="7"/>
  <c r="AZ392" i="7"/>
  <c r="AY392" i="7"/>
  <c r="AX392" i="7"/>
  <c r="AW392" i="7"/>
  <c r="AV392" i="7"/>
  <c r="AU392" i="7"/>
  <c r="AT392" i="7"/>
  <c r="AS392" i="7"/>
  <c r="AR392" i="7"/>
  <c r="AQ392" i="7"/>
  <c r="AP392" i="7"/>
  <c r="AO392" i="7"/>
  <c r="AN392" i="7"/>
  <c r="AM392" i="7"/>
  <c r="AL392" i="7"/>
  <c r="AK392" i="7"/>
  <c r="AJ392" i="7"/>
  <c r="AI392" i="7"/>
  <c r="AH392" i="7"/>
  <c r="AG392" i="7"/>
  <c r="AF392" i="7"/>
  <c r="AE392" i="7"/>
  <c r="AD392" i="7"/>
  <c r="AC392" i="7"/>
  <c r="AB392" i="7"/>
  <c r="AA392" i="7"/>
  <c r="Z392" i="7"/>
  <c r="Y392" i="7"/>
  <c r="X392" i="7"/>
  <c r="W392" i="7"/>
  <c r="V392" i="7"/>
  <c r="U392" i="7"/>
  <c r="T392" i="7"/>
  <c r="S392" i="7"/>
  <c r="R392" i="7"/>
  <c r="Q392" i="7"/>
  <c r="P392" i="7"/>
  <c r="O392" i="7"/>
  <c r="N392" i="7"/>
  <c r="M392" i="7"/>
  <c r="L392" i="7"/>
  <c r="K392" i="7"/>
  <c r="J392" i="7"/>
  <c r="I392" i="7"/>
  <c r="H392" i="7"/>
  <c r="G392" i="7"/>
  <c r="F392" i="7"/>
  <c r="E392" i="7"/>
  <c r="D392" i="7"/>
  <c r="C392" i="7"/>
  <c r="B392" i="7"/>
  <c r="BX391" i="7"/>
  <c r="BW391" i="7"/>
  <c r="BV391" i="7"/>
  <c r="BU391" i="7"/>
  <c r="BT391" i="7"/>
  <c r="BS391" i="7"/>
  <c r="BR391" i="7"/>
  <c r="BQ391" i="7"/>
  <c r="BP391" i="7"/>
  <c r="BO391" i="7"/>
  <c r="BN391" i="7"/>
  <c r="BM391" i="7"/>
  <c r="BL391" i="7"/>
  <c r="BK391" i="7"/>
  <c r="BJ391" i="7"/>
  <c r="BI391" i="7"/>
  <c r="BH391" i="7"/>
  <c r="BG391" i="7"/>
  <c r="BF391" i="7"/>
  <c r="BE391" i="7"/>
  <c r="BD391" i="7"/>
  <c r="BC391" i="7"/>
  <c r="BB391" i="7"/>
  <c r="BA391" i="7"/>
  <c r="AZ391" i="7"/>
  <c r="AY391" i="7"/>
  <c r="AX391" i="7"/>
  <c r="AW391" i="7"/>
  <c r="AV391" i="7"/>
  <c r="AU391" i="7"/>
  <c r="AT391" i="7"/>
  <c r="AS391" i="7"/>
  <c r="AR391" i="7"/>
  <c r="AQ391" i="7"/>
  <c r="AP391" i="7"/>
  <c r="AO391" i="7"/>
  <c r="AN391" i="7"/>
  <c r="AM391" i="7"/>
  <c r="AL391" i="7"/>
  <c r="AK391" i="7"/>
  <c r="AJ391" i="7"/>
  <c r="AI391" i="7"/>
  <c r="AH391" i="7"/>
  <c r="AG391" i="7"/>
  <c r="AF391" i="7"/>
  <c r="AE391" i="7"/>
  <c r="AD391" i="7"/>
  <c r="AC391" i="7"/>
  <c r="AB391" i="7"/>
  <c r="AA391" i="7"/>
  <c r="Z391" i="7"/>
  <c r="Y391" i="7"/>
  <c r="X391" i="7"/>
  <c r="W391" i="7"/>
  <c r="V391" i="7"/>
  <c r="U391" i="7"/>
  <c r="T391" i="7"/>
  <c r="S391" i="7"/>
  <c r="R391" i="7"/>
  <c r="Q391" i="7"/>
  <c r="P391" i="7"/>
  <c r="O391" i="7"/>
  <c r="N391" i="7"/>
  <c r="M391" i="7"/>
  <c r="L391" i="7"/>
  <c r="K391" i="7"/>
  <c r="J391" i="7"/>
  <c r="I391" i="7"/>
  <c r="H391" i="7"/>
  <c r="G391" i="7"/>
  <c r="F391" i="7"/>
  <c r="E391" i="7"/>
  <c r="D391" i="7"/>
  <c r="C391" i="7"/>
  <c r="B391" i="7"/>
  <c r="BK158" i="7"/>
  <c r="BC95" i="7"/>
  <c r="BQ75" i="7"/>
  <c r="AU52" i="7"/>
  <c r="V8" i="20"/>
  <c r="V7" i="20"/>
  <c r="K7" i="20"/>
  <c r="E397" i="103"/>
  <c r="CL386" i="103" l="1"/>
  <c r="CK386" i="103"/>
  <c r="B25" i="62"/>
  <c r="D24" i="62"/>
  <c r="C24" i="62"/>
  <c r="E24" i="62"/>
  <c r="F24" i="62"/>
  <c r="X403" i="7"/>
  <c r="AC403" i="7"/>
  <c r="N403" i="7"/>
  <c r="BD304" i="103"/>
  <c r="BV457" i="7"/>
  <c r="AK8" i="65"/>
  <c r="AK9" i="65"/>
  <c r="BD302" i="103"/>
  <c r="BD301" i="103"/>
  <c r="AK10" i="65"/>
  <c r="BD300" i="103"/>
  <c r="BD299" i="103"/>
  <c r="BD298" i="103"/>
  <c r="BD297" i="103"/>
  <c r="BD296" i="103"/>
  <c r="AD403" i="7"/>
  <c r="F396" i="99"/>
  <c r="K25" i="11"/>
  <c r="K110" i="13" s="1"/>
  <c r="H29" i="11"/>
  <c r="K12" i="13" s="1"/>
  <c r="B126" i="23"/>
  <c r="AM126" i="23" s="1"/>
  <c r="N29" i="11"/>
  <c r="W12" i="13" s="1"/>
  <c r="J177" i="23"/>
  <c r="K24" i="11"/>
  <c r="K109" i="13" s="1"/>
  <c r="M24" i="11"/>
  <c r="K177" i="13" s="1"/>
  <c r="K28" i="11"/>
  <c r="K113" i="13" s="1"/>
  <c r="M28" i="11"/>
  <c r="K181" i="13" s="1"/>
  <c r="R26" i="11"/>
  <c r="W145" i="13" s="1"/>
  <c r="O25" i="11"/>
  <c r="W42" i="13" s="1"/>
  <c r="H23" i="11"/>
  <c r="K6" i="13" s="1"/>
  <c r="N24" i="11"/>
  <c r="W7" i="13" s="1"/>
  <c r="N31" i="11"/>
  <c r="W14" i="13" s="1"/>
  <c r="H27" i="11"/>
  <c r="K10" i="13" s="1"/>
  <c r="N28" i="11"/>
  <c r="W11" i="13" s="1"/>
  <c r="H22" i="11"/>
  <c r="K5" i="13" s="1"/>
  <c r="N23" i="11"/>
  <c r="W6" i="13" s="1"/>
  <c r="R24" i="11"/>
  <c r="W143" i="13" s="1"/>
  <c r="M27" i="11"/>
  <c r="K180" i="13" s="1"/>
  <c r="H177" i="23"/>
  <c r="K22" i="11"/>
  <c r="K107" i="13" s="1"/>
  <c r="O23" i="11"/>
  <c r="W40" i="13" s="1"/>
  <c r="N27" i="11"/>
  <c r="W10" i="13" s="1"/>
  <c r="R28" i="11"/>
  <c r="W147" i="13" s="1"/>
  <c r="H21" i="11"/>
  <c r="K4" i="13" s="1"/>
  <c r="M22" i="11"/>
  <c r="K175" i="13" s="1"/>
  <c r="H26" i="11"/>
  <c r="K9" i="13" s="1"/>
  <c r="O27" i="11"/>
  <c r="W44" i="13" s="1"/>
  <c r="H30" i="11"/>
  <c r="K13" i="13" s="1"/>
  <c r="K177" i="23"/>
  <c r="K21" i="11"/>
  <c r="K106" i="13" s="1"/>
  <c r="N22" i="11"/>
  <c r="W5" i="13" s="1"/>
  <c r="R23" i="11"/>
  <c r="W142" i="13" s="1"/>
  <c r="K26" i="11"/>
  <c r="K111" i="13" s="1"/>
  <c r="M30" i="11"/>
  <c r="K183" i="13" s="1"/>
  <c r="N21" i="11"/>
  <c r="W4" i="13" s="1"/>
  <c r="M26" i="11"/>
  <c r="K179" i="13" s="1"/>
  <c r="R27" i="11"/>
  <c r="W146" i="13" s="1"/>
  <c r="O29" i="11"/>
  <c r="W46" i="13" s="1"/>
  <c r="O21" i="11"/>
  <c r="W38" i="13" s="1"/>
  <c r="R22" i="11"/>
  <c r="W141" i="13" s="1"/>
  <c r="H25" i="11"/>
  <c r="K8" i="13" s="1"/>
  <c r="J24" i="11"/>
  <c r="J28" i="11"/>
  <c r="R30" i="11"/>
  <c r="W149" i="13" s="1"/>
  <c r="L177" i="23"/>
  <c r="I21" i="11"/>
  <c r="K38" i="13" s="1"/>
  <c r="S22" i="11"/>
  <c r="W175" i="13" s="1"/>
  <c r="L24" i="11"/>
  <c r="K143" i="13" s="1"/>
  <c r="I25" i="11"/>
  <c r="K42" i="13" s="1"/>
  <c r="S26" i="11"/>
  <c r="W179" i="13" s="1"/>
  <c r="L28" i="11"/>
  <c r="K147" i="13" s="1"/>
  <c r="I29" i="11"/>
  <c r="K46" i="13" s="1"/>
  <c r="S30" i="11"/>
  <c r="W183" i="13" s="1"/>
  <c r="O31" i="11"/>
  <c r="W48" i="13" s="1"/>
  <c r="M177" i="23"/>
  <c r="J21" i="11"/>
  <c r="J25" i="11"/>
  <c r="J29" i="11"/>
  <c r="N177" i="23"/>
  <c r="K29" i="11"/>
  <c r="K114" i="13" s="1"/>
  <c r="R31" i="11"/>
  <c r="W150" i="13" s="1"/>
  <c r="C177" i="23"/>
  <c r="O177" i="23"/>
  <c r="L21" i="11"/>
  <c r="K140" i="13" s="1"/>
  <c r="G144" i="13" s="1"/>
  <c r="I22" i="11"/>
  <c r="K39" i="13" s="1"/>
  <c r="S23" i="11"/>
  <c r="W176" i="13" s="1"/>
  <c r="O24" i="11"/>
  <c r="W41" i="13" s="1"/>
  <c r="L25" i="11"/>
  <c r="K144" i="13" s="1"/>
  <c r="I26" i="11"/>
  <c r="K43" i="13" s="1"/>
  <c r="S27" i="11"/>
  <c r="W180" i="13" s="1"/>
  <c r="O28" i="11"/>
  <c r="W45" i="13" s="1"/>
  <c r="L29" i="11"/>
  <c r="K148" i="13" s="1"/>
  <c r="I30" i="11"/>
  <c r="K47" i="13" s="1"/>
  <c r="S31" i="11"/>
  <c r="W184" i="13" s="1"/>
  <c r="M21" i="11"/>
  <c r="K174" i="13" s="1"/>
  <c r="J22" i="11"/>
  <c r="M25" i="11"/>
  <c r="K178" i="13" s="1"/>
  <c r="J26" i="11"/>
  <c r="J30" i="11"/>
  <c r="E177" i="23"/>
  <c r="K30" i="11"/>
  <c r="K115" i="13" s="1"/>
  <c r="H31" i="11"/>
  <c r="K14" i="13" s="1"/>
  <c r="F177" i="23"/>
  <c r="L22" i="11"/>
  <c r="K141" i="13" s="1"/>
  <c r="G145" i="13" s="1"/>
  <c r="I23" i="11"/>
  <c r="K40" i="13" s="1"/>
  <c r="S24" i="11"/>
  <c r="W177" i="13" s="1"/>
  <c r="L26" i="11"/>
  <c r="K145" i="13" s="1"/>
  <c r="I27" i="11"/>
  <c r="K44" i="13" s="1"/>
  <c r="S28" i="11"/>
  <c r="W181" i="13" s="1"/>
  <c r="L30" i="11"/>
  <c r="K149" i="13" s="1"/>
  <c r="I31" i="11"/>
  <c r="K48" i="13" s="1"/>
  <c r="G177" i="23"/>
  <c r="J23" i="11"/>
  <c r="J27" i="11"/>
  <c r="K23" i="11"/>
  <c r="K108" i="13" s="1"/>
  <c r="H24" i="11"/>
  <c r="K7" i="13" s="1"/>
  <c r="R25" i="11"/>
  <c r="W144" i="13" s="1"/>
  <c r="N26" i="11"/>
  <c r="W9" i="13" s="1"/>
  <c r="K27" i="11"/>
  <c r="K112" i="13" s="1"/>
  <c r="S21" i="11"/>
  <c r="W174" i="13" s="1"/>
  <c r="O22" i="11"/>
  <c r="W39" i="13" s="1"/>
  <c r="L23" i="11"/>
  <c r="K142" i="13" s="1"/>
  <c r="I24" i="11"/>
  <c r="K41" i="13" s="1"/>
  <c r="S25" i="11"/>
  <c r="W178" i="13" s="1"/>
  <c r="O26" i="11"/>
  <c r="W43" i="13" s="1"/>
  <c r="L27" i="11"/>
  <c r="K146" i="13" s="1"/>
  <c r="BD287" i="103"/>
  <c r="N105" i="68"/>
  <c r="N106" i="68" s="1"/>
  <c r="N93" i="68"/>
  <c r="N94" i="68"/>
  <c r="N85" i="68"/>
  <c r="N95" i="68"/>
  <c r="N86" i="68"/>
  <c r="O26" i="68"/>
  <c r="N100" i="68"/>
  <c r="O100" i="68"/>
  <c r="O18" i="68" s="1"/>
  <c r="O39" i="68" s="1"/>
  <c r="O40" i="68" s="1"/>
  <c r="O49" i="68" s="1"/>
  <c r="BB345" i="103"/>
  <c r="BB346" i="103"/>
  <c r="BB358" i="103"/>
  <c r="BB370" i="103"/>
  <c r="BB361" i="103"/>
  <c r="BB362" i="103"/>
  <c r="BB351" i="103"/>
  <c r="BB352" i="103"/>
  <c r="BB365" i="103"/>
  <c r="BB355" i="103"/>
  <c r="BB368" i="103"/>
  <c r="BB347" i="103"/>
  <c r="BB359" i="103"/>
  <c r="BB371" i="103"/>
  <c r="BB372" i="103"/>
  <c r="BB373" i="103"/>
  <c r="BB350" i="103"/>
  <c r="BB364" i="103"/>
  <c r="BB366" i="103"/>
  <c r="BB367" i="103"/>
  <c r="BB348" i="103"/>
  <c r="BB360" i="103"/>
  <c r="BB374" i="103"/>
  <c r="BB363" i="103"/>
  <c r="BB353" i="103"/>
  <c r="BB357" i="103"/>
  <c r="BB349" i="103"/>
  <c r="BB375" i="103"/>
  <c r="BB354" i="103"/>
  <c r="BB356" i="103"/>
  <c r="BB369" i="103"/>
  <c r="BB316" i="103"/>
  <c r="BB328" i="103"/>
  <c r="BB340" i="103"/>
  <c r="BB317" i="103"/>
  <c r="BB329" i="103"/>
  <c r="BB341" i="103"/>
  <c r="BB318" i="103"/>
  <c r="BB330" i="103"/>
  <c r="BB342" i="103"/>
  <c r="BB319" i="103"/>
  <c r="BB331" i="103"/>
  <c r="BB343" i="103"/>
  <c r="BB336" i="103"/>
  <c r="BB326" i="103"/>
  <c r="BB338" i="103"/>
  <c r="BB327" i="103"/>
  <c r="BB320" i="103"/>
  <c r="BB332" i="103"/>
  <c r="BB344" i="103"/>
  <c r="BB321" i="103"/>
  <c r="BB333" i="103"/>
  <c r="BB322" i="103"/>
  <c r="BB334" i="103"/>
  <c r="BB323" i="103"/>
  <c r="BB335" i="103"/>
  <c r="BB324" i="103"/>
  <c r="BB325" i="103"/>
  <c r="BB339" i="103"/>
  <c r="BB337" i="103"/>
  <c r="BD291" i="103"/>
  <c r="BD294" i="103"/>
  <c r="BD293" i="103"/>
  <c r="BD292" i="103"/>
  <c r="BD295" i="103"/>
  <c r="BD290" i="103"/>
  <c r="BD289" i="103"/>
  <c r="CL385" i="103"/>
  <c r="AS11" i="103"/>
  <c r="BD285" i="103"/>
  <c r="Y403" i="7"/>
  <c r="Z403" i="7"/>
  <c r="Q22" i="11"/>
  <c r="W107" i="13" s="1"/>
  <c r="Q25" i="11"/>
  <c r="W110" i="13" s="1"/>
  <c r="Q28" i="11"/>
  <c r="W113" i="13" s="1"/>
  <c r="Q31" i="11"/>
  <c r="W116" i="13" s="1"/>
  <c r="Q23" i="11"/>
  <c r="W108" i="13" s="1"/>
  <c r="Q26" i="11"/>
  <c r="W111" i="13" s="1"/>
  <c r="Q29" i="11"/>
  <c r="W114" i="13" s="1"/>
  <c r="Q21" i="11"/>
  <c r="W106" i="13" s="1"/>
  <c r="Q24" i="11"/>
  <c r="W109" i="13" s="1"/>
  <c r="Q27" i="11"/>
  <c r="W112" i="13" s="1"/>
  <c r="B37" i="30"/>
  <c r="B38" i="30" s="1"/>
  <c r="B39" i="30" s="1"/>
  <c r="B40" i="30" s="1"/>
  <c r="H40" i="30" s="1"/>
  <c r="B42" i="31"/>
  <c r="A42" i="31" s="1"/>
  <c r="A7" i="31"/>
  <c r="B14" i="102"/>
  <c r="C14" i="102" s="1"/>
  <c r="B8" i="31"/>
  <c r="B127" i="23"/>
  <c r="B13" i="102"/>
  <c r="C13" i="102" s="1"/>
  <c r="A6" i="31"/>
  <c r="B41" i="31"/>
  <c r="A41" i="31" s="1"/>
  <c r="BD284" i="103"/>
  <c r="CK385" i="103"/>
  <c r="AU384" i="103"/>
  <c r="F30" i="64"/>
  <c r="BD282" i="103"/>
  <c r="BD283" i="103"/>
  <c r="BD281" i="103"/>
  <c r="BD280" i="103"/>
  <c r="B403" i="7"/>
  <c r="C403" i="7"/>
  <c r="BD279" i="103"/>
  <c r="AR384" i="103"/>
  <c r="J167" i="23" s="1"/>
  <c r="CK384" i="103"/>
  <c r="BD278" i="103"/>
  <c r="BD277" i="103"/>
  <c r="BE403" i="7"/>
  <c r="BD276" i="103"/>
  <c r="BS403" i="7"/>
  <c r="AT403" i="7"/>
  <c r="AK403" i="7"/>
  <c r="BH403" i="7"/>
  <c r="G7" i="65"/>
  <c r="G13" i="65" s="1"/>
  <c r="G8" i="65"/>
  <c r="G14" i="65" s="1"/>
  <c r="BW403" i="7"/>
  <c r="BU403" i="7"/>
  <c r="BT403" i="7"/>
  <c r="BR403" i="7"/>
  <c r="BQ403" i="7"/>
  <c r="BP403" i="7"/>
  <c r="BK403" i="7"/>
  <c r="BD403" i="7"/>
  <c r="BC403" i="7"/>
  <c r="AX403" i="7"/>
  <c r="AY403" i="7"/>
  <c r="AW403" i="7"/>
  <c r="AV403" i="7"/>
  <c r="AS403" i="7"/>
  <c r="AP403" i="7"/>
  <c r="AL403" i="7"/>
  <c r="AJ403" i="7"/>
  <c r="AI403" i="7"/>
  <c r="AH403" i="7"/>
  <c r="AG403" i="7"/>
  <c r="AF403" i="7"/>
  <c r="R403" i="7"/>
  <c r="Q403" i="7"/>
  <c r="P403" i="7"/>
  <c r="O403" i="7"/>
  <c r="F403" i="7"/>
  <c r="AA403" i="7"/>
  <c r="V403" i="7"/>
  <c r="U403" i="7"/>
  <c r="I403" i="7"/>
  <c r="H403" i="7"/>
  <c r="BJ403" i="7"/>
  <c r="BI403" i="7"/>
  <c r="BF403" i="7"/>
  <c r="BD275" i="103"/>
  <c r="AQ403" i="7"/>
  <c r="AB403" i="7"/>
  <c r="W403" i="7"/>
  <c r="K403" i="7"/>
  <c r="L403" i="7"/>
  <c r="J403" i="7"/>
  <c r="BA403" i="7"/>
  <c r="AZ403" i="7"/>
  <c r="BB403" i="7"/>
  <c r="G10" i="65"/>
  <c r="G16" i="65" s="1"/>
  <c r="E10" i="104"/>
  <c r="BO403" i="7"/>
  <c r="BL403" i="7"/>
  <c r="BM403" i="7"/>
  <c r="AO403" i="7"/>
  <c r="AE403" i="7"/>
  <c r="AH10" i="65"/>
  <c r="G403" i="7"/>
  <c r="BD274" i="103"/>
  <c r="AU403" i="7"/>
  <c r="AM403" i="7"/>
  <c r="AN403" i="7"/>
  <c r="BD272" i="103"/>
  <c r="BD273" i="103"/>
  <c r="S403" i="7"/>
  <c r="T403" i="7"/>
  <c r="M403" i="7"/>
  <c r="D403" i="7"/>
  <c r="E403" i="7"/>
  <c r="AQ384" i="103"/>
  <c r="H167" i="23" s="1"/>
  <c r="G4" i="23"/>
  <c r="E10" i="30"/>
  <c r="E22" i="30"/>
  <c r="F10" i="104"/>
  <c r="G10" i="104" s="1"/>
  <c r="E34" i="30"/>
  <c r="BN403" i="7"/>
  <c r="I20" i="62"/>
  <c r="J20" i="62" s="1"/>
  <c r="C17" i="30"/>
  <c r="C29" i="30"/>
  <c r="D17" i="30"/>
  <c r="D29" i="30"/>
  <c r="D12" i="62"/>
  <c r="C17" i="62"/>
  <c r="C12" i="30"/>
  <c r="C24" i="30"/>
  <c r="C36" i="30"/>
  <c r="E12" i="62"/>
  <c r="D17" i="62"/>
  <c r="H18" i="30"/>
  <c r="H30" i="30"/>
  <c r="F12" i="62"/>
  <c r="G13" i="30"/>
  <c r="G25" i="30"/>
  <c r="G37" i="30"/>
  <c r="D18" i="62"/>
  <c r="C23" i="62"/>
  <c r="H13" i="30"/>
  <c r="H25" i="30"/>
  <c r="H37" i="30"/>
  <c r="F13" i="62"/>
  <c r="E18" i="62"/>
  <c r="D23" i="62"/>
  <c r="F20" i="30"/>
  <c r="F32" i="30"/>
  <c r="G13" i="62"/>
  <c r="H13" i="62" s="1"/>
  <c r="F18" i="62"/>
  <c r="G20" i="30"/>
  <c r="G32" i="30"/>
  <c r="E15" i="30"/>
  <c r="E27" i="30"/>
  <c r="E39" i="30"/>
  <c r="I14" i="62"/>
  <c r="J14" i="62" s="1"/>
  <c r="F19" i="62"/>
  <c r="B5" i="64"/>
  <c r="F15" i="30"/>
  <c r="F27" i="30"/>
  <c r="F39" i="30"/>
  <c r="G19" i="62"/>
  <c r="H19" i="62" s="1"/>
  <c r="F31" i="64"/>
  <c r="D10" i="30"/>
  <c r="D22" i="30"/>
  <c r="D34" i="30"/>
  <c r="BV456" i="7"/>
  <c r="AV384" i="103"/>
  <c r="BD270" i="103"/>
  <c r="BD271" i="103"/>
  <c r="O272" i="22"/>
  <c r="F32" i="64"/>
  <c r="P15" i="64"/>
  <c r="D10" i="104"/>
  <c r="C12" i="62"/>
  <c r="E13" i="62"/>
  <c r="G14" i="62"/>
  <c r="H14" i="62" s="1"/>
  <c r="I15" i="62"/>
  <c r="J15" i="62" s="1"/>
  <c r="C18" i="62"/>
  <c r="E19" i="62"/>
  <c r="G20" i="62"/>
  <c r="H20" i="62" s="1"/>
  <c r="I21" i="62"/>
  <c r="J21" i="62" s="1"/>
  <c r="C12" i="64"/>
  <c r="C15" i="64"/>
  <c r="E31" i="64"/>
  <c r="C10" i="30"/>
  <c r="H11" i="30"/>
  <c r="F13" i="30"/>
  <c r="D15" i="30"/>
  <c r="G18" i="30"/>
  <c r="E20" i="30"/>
  <c r="C22" i="30"/>
  <c r="H23" i="30"/>
  <c r="F25" i="30"/>
  <c r="D27" i="30"/>
  <c r="G30" i="30"/>
  <c r="E32" i="30"/>
  <c r="C34" i="30"/>
  <c r="H35" i="30"/>
  <c r="F37" i="30"/>
  <c r="D39" i="30"/>
  <c r="F10" i="30"/>
  <c r="D12" i="30"/>
  <c r="G15" i="30"/>
  <c r="E17" i="30"/>
  <c r="C19" i="30"/>
  <c r="H20" i="30"/>
  <c r="F22" i="30"/>
  <c r="D24" i="30"/>
  <c r="G27" i="30"/>
  <c r="E29" i="30"/>
  <c r="C31" i="30"/>
  <c r="H32" i="30"/>
  <c r="F34" i="30"/>
  <c r="D36" i="30"/>
  <c r="G39" i="30"/>
  <c r="G12" i="62"/>
  <c r="I13" i="62"/>
  <c r="J13" i="62" s="1"/>
  <c r="C16" i="62"/>
  <c r="E17" i="62"/>
  <c r="G18" i="62"/>
  <c r="H18" i="62" s="1"/>
  <c r="I19" i="62"/>
  <c r="J19" i="62" s="1"/>
  <c r="C22" i="62"/>
  <c r="E23" i="62"/>
  <c r="G24" i="62"/>
  <c r="H24" i="62" s="1"/>
  <c r="E36" i="64"/>
  <c r="C16" i="64"/>
  <c r="F34" i="64"/>
  <c r="G10" i="30"/>
  <c r="E12" i="30"/>
  <c r="C14" i="30"/>
  <c r="H15" i="30"/>
  <c r="F17" i="30"/>
  <c r="D19" i="30"/>
  <c r="G22" i="30"/>
  <c r="E24" i="30"/>
  <c r="C26" i="30"/>
  <c r="H27" i="30"/>
  <c r="F29" i="30"/>
  <c r="D31" i="30"/>
  <c r="G34" i="30"/>
  <c r="E36" i="30"/>
  <c r="C38" i="30"/>
  <c r="H39" i="30"/>
  <c r="D16" i="62"/>
  <c r="F17" i="62"/>
  <c r="D22" i="62"/>
  <c r="F23" i="62"/>
  <c r="C13" i="64"/>
  <c r="D16" i="64"/>
  <c r="F35" i="64"/>
  <c r="H10" i="30"/>
  <c r="F12" i="30"/>
  <c r="D14" i="30"/>
  <c r="G17" i="30"/>
  <c r="E19" i="30"/>
  <c r="C21" i="30"/>
  <c r="H22" i="30"/>
  <c r="F24" i="30"/>
  <c r="D26" i="30"/>
  <c r="G29" i="30"/>
  <c r="E31" i="30"/>
  <c r="C33" i="30"/>
  <c r="H34" i="30"/>
  <c r="F36" i="30"/>
  <c r="D38" i="30"/>
  <c r="I12" i="62"/>
  <c r="J12" i="62" s="1"/>
  <c r="C15" i="62"/>
  <c r="E16" i="62"/>
  <c r="G17" i="62"/>
  <c r="H17" i="62" s="1"/>
  <c r="I18" i="62"/>
  <c r="J18" i="62" s="1"/>
  <c r="C21" i="62"/>
  <c r="E22" i="62"/>
  <c r="G23" i="62"/>
  <c r="H23" i="62" s="1"/>
  <c r="I24" i="62"/>
  <c r="J24" i="62" s="1"/>
  <c r="O7" i="64"/>
  <c r="F36" i="64"/>
  <c r="G12" i="30"/>
  <c r="E14" i="30"/>
  <c r="C16" i="30"/>
  <c r="H17" i="30"/>
  <c r="F19" i="30"/>
  <c r="D21" i="30"/>
  <c r="G24" i="30"/>
  <c r="E26" i="30"/>
  <c r="C28" i="30"/>
  <c r="H29" i="30"/>
  <c r="F31" i="30"/>
  <c r="D33" i="30"/>
  <c r="G36" i="30"/>
  <c r="E38" i="30"/>
  <c r="C40" i="30"/>
  <c r="D15" i="62"/>
  <c r="F16" i="62"/>
  <c r="D21" i="62"/>
  <c r="F22" i="62"/>
  <c r="C11" i="64"/>
  <c r="E37" i="64"/>
  <c r="C11" i="30"/>
  <c r="H12" i="30"/>
  <c r="F14" i="30"/>
  <c r="D16" i="30"/>
  <c r="G19" i="30"/>
  <c r="E21" i="30"/>
  <c r="C23" i="30"/>
  <c r="H24" i="30"/>
  <c r="F26" i="30"/>
  <c r="D28" i="30"/>
  <c r="G31" i="30"/>
  <c r="E33" i="30"/>
  <c r="C35" i="30"/>
  <c r="H36" i="30"/>
  <c r="F38" i="30"/>
  <c r="D40" i="30"/>
  <c r="C5" i="64"/>
  <c r="B5" i="62"/>
  <c r="C14" i="62"/>
  <c r="E15" i="62"/>
  <c r="G16" i="62"/>
  <c r="H16" i="62" s="1"/>
  <c r="I17" i="62"/>
  <c r="J17" i="62" s="1"/>
  <c r="C20" i="62"/>
  <c r="E21" i="62"/>
  <c r="G22" i="62"/>
  <c r="H22" i="62" s="1"/>
  <c r="I23" i="62"/>
  <c r="J23" i="62" s="1"/>
  <c r="P13" i="64"/>
  <c r="F27" i="64"/>
  <c r="F37" i="64"/>
  <c r="D11" i="30"/>
  <c r="G14" i="30"/>
  <c r="E16" i="30"/>
  <c r="C18" i="30"/>
  <c r="H19" i="30"/>
  <c r="F21" i="30"/>
  <c r="D23" i="30"/>
  <c r="G26" i="30"/>
  <c r="E28" i="30"/>
  <c r="C30" i="30"/>
  <c r="H31" i="30"/>
  <c r="F33" i="30"/>
  <c r="D35" i="30"/>
  <c r="G38" i="30"/>
  <c r="E40" i="30"/>
  <c r="F33" i="64"/>
  <c r="C5" i="62"/>
  <c r="D14" i="62"/>
  <c r="F15" i="62"/>
  <c r="D20" i="62"/>
  <c r="F21" i="62"/>
  <c r="C14" i="64"/>
  <c r="F28" i="64"/>
  <c r="E11" i="30"/>
  <c r="C13" i="30"/>
  <c r="H14" i="30"/>
  <c r="F16" i="30"/>
  <c r="D18" i="30"/>
  <c r="G21" i="30"/>
  <c r="E23" i="30"/>
  <c r="C25" i="30"/>
  <c r="H26" i="30"/>
  <c r="F28" i="30"/>
  <c r="D30" i="30"/>
  <c r="G33" i="30"/>
  <c r="E35" i="30"/>
  <c r="C37" i="30"/>
  <c r="H38" i="30"/>
  <c r="F40" i="30"/>
  <c r="C13" i="62"/>
  <c r="E14" i="62"/>
  <c r="G15" i="62"/>
  <c r="H15" i="62" s="1"/>
  <c r="I16" i="62"/>
  <c r="J16" i="62" s="1"/>
  <c r="C19" i="62"/>
  <c r="E20" i="62"/>
  <c r="G21" i="62"/>
  <c r="H21" i="62" s="1"/>
  <c r="I22" i="62"/>
  <c r="J22" i="62" s="1"/>
  <c r="F29" i="64"/>
  <c r="F11" i="30"/>
  <c r="D13" i="30"/>
  <c r="G16" i="30"/>
  <c r="E18" i="30"/>
  <c r="C20" i="30"/>
  <c r="H21" i="30"/>
  <c r="F23" i="30"/>
  <c r="D25" i="30"/>
  <c r="G28" i="30"/>
  <c r="E30" i="30"/>
  <c r="C32" i="30"/>
  <c r="H33" i="30"/>
  <c r="F35" i="30"/>
  <c r="D37" i="30"/>
  <c r="G40" i="30"/>
  <c r="D13" i="62"/>
  <c r="F14" i="62"/>
  <c r="D19" i="62"/>
  <c r="F20" i="62"/>
  <c r="G11" i="30"/>
  <c r="E13" i="30"/>
  <c r="C15" i="30"/>
  <c r="H16" i="30"/>
  <c r="F18" i="30"/>
  <c r="D20" i="30"/>
  <c r="G23" i="30"/>
  <c r="E25" i="30"/>
  <c r="C27" i="30"/>
  <c r="H28" i="30"/>
  <c r="F30" i="30"/>
  <c r="D32" i="30"/>
  <c r="G35" i="30"/>
  <c r="E37" i="30"/>
  <c r="C39" i="30"/>
  <c r="BV403" i="7"/>
  <c r="AO384" i="103"/>
  <c r="D167" i="23" s="1"/>
  <c r="AP384" i="103"/>
  <c r="F167" i="23" s="1"/>
  <c r="BD269" i="103"/>
  <c r="CL384" i="103"/>
  <c r="F10" i="37"/>
  <c r="J14" i="64"/>
  <c r="J13" i="64"/>
  <c r="X14" i="17"/>
  <c r="D12" i="64"/>
  <c r="D14" i="64"/>
  <c r="E32" i="64"/>
  <c r="E27" i="64"/>
  <c r="E33" i="64"/>
  <c r="P14" i="64"/>
  <c r="E28" i="64"/>
  <c r="E34" i="64"/>
  <c r="V27" i="58"/>
  <c r="D11" i="64"/>
  <c r="D13" i="64"/>
  <c r="D15" i="64"/>
  <c r="E29" i="64"/>
  <c r="E35" i="64"/>
  <c r="E30" i="64"/>
  <c r="T16" i="58"/>
  <c r="X16" i="58" s="1"/>
  <c r="U39" i="58"/>
  <c r="N39" i="58" s="1"/>
  <c r="I12" i="36"/>
  <c r="H18" i="37" s="1"/>
  <c r="V13" i="17"/>
  <c r="V146" i="58"/>
  <c r="I19" i="36"/>
  <c r="H23" i="37" s="1"/>
  <c r="BE11" i="103"/>
  <c r="Z13" i="17"/>
  <c r="S11" i="58"/>
  <c r="BQ11" i="103"/>
  <c r="T11" i="58"/>
  <c r="X11" i="58" s="1"/>
  <c r="H33" i="36"/>
  <c r="V15" i="58"/>
  <c r="I4" i="36"/>
  <c r="H34" i="36"/>
  <c r="I5" i="36"/>
  <c r="H35" i="36"/>
  <c r="I11" i="103"/>
  <c r="Q12" i="103"/>
  <c r="V21" i="58"/>
  <c r="I6" i="36"/>
  <c r="H36" i="36"/>
  <c r="AG11" i="103"/>
  <c r="T22" i="58"/>
  <c r="X22" i="58" s="1"/>
  <c r="I7" i="36"/>
  <c r="H39" i="36"/>
  <c r="I8" i="36"/>
  <c r="H40" i="36"/>
  <c r="T28" i="58"/>
  <c r="X28" i="58" s="1"/>
  <c r="H41" i="36"/>
  <c r="V33" i="58"/>
  <c r="I10" i="36"/>
  <c r="H16" i="37" s="1"/>
  <c r="T34" i="58"/>
  <c r="X34" i="58" s="1"/>
  <c r="I11" i="36"/>
  <c r="H17" i="37" s="1"/>
  <c r="BV375" i="103"/>
  <c r="BJ375" i="103"/>
  <c r="AX375" i="103"/>
  <c r="N375" i="103"/>
  <c r="BN374" i="103"/>
  <c r="AP374" i="103"/>
  <c r="AD374" i="103"/>
  <c r="BR373" i="103"/>
  <c r="BF373" i="103"/>
  <c r="AT373" i="103"/>
  <c r="AH373" i="103"/>
  <c r="V373" i="103"/>
  <c r="BV372" i="103"/>
  <c r="BJ372" i="103"/>
  <c r="AX372" i="103"/>
  <c r="N372" i="103"/>
  <c r="BN371" i="103"/>
  <c r="AP371" i="103"/>
  <c r="AD371" i="103"/>
  <c r="BR370" i="103"/>
  <c r="BF370" i="103"/>
  <c r="AT370" i="103"/>
  <c r="AH370" i="103"/>
  <c r="V370" i="103"/>
  <c r="I370" i="103"/>
  <c r="BU369" i="103"/>
  <c r="BI369" i="103"/>
  <c r="AW369" i="103"/>
  <c r="AK369" i="103"/>
  <c r="BM368" i="103"/>
  <c r="AO368" i="103"/>
  <c r="Q368" i="103"/>
  <c r="E368" i="103"/>
  <c r="BQ367" i="103"/>
  <c r="BE367" i="103"/>
  <c r="AS367" i="103"/>
  <c r="AG367" i="103"/>
  <c r="I367" i="103"/>
  <c r="BU366" i="103"/>
  <c r="BI366" i="103"/>
  <c r="AW366" i="103"/>
  <c r="AK366" i="103"/>
  <c r="BM365" i="103"/>
  <c r="AO365" i="103"/>
  <c r="Q365" i="103"/>
  <c r="E365" i="103"/>
  <c r="BQ364" i="103"/>
  <c r="BE364" i="103"/>
  <c r="AS364" i="103"/>
  <c r="AG364" i="103"/>
  <c r="I364" i="103"/>
  <c r="BU363" i="103"/>
  <c r="BI363" i="103"/>
  <c r="AW363" i="103"/>
  <c r="AK363" i="103"/>
  <c r="BM362" i="103"/>
  <c r="AO362" i="103"/>
  <c r="Q362" i="103"/>
  <c r="E362" i="103"/>
  <c r="BQ361" i="103"/>
  <c r="BE361" i="103"/>
  <c r="AS361" i="103"/>
  <c r="AG361" i="103"/>
  <c r="I361" i="103"/>
  <c r="BU360" i="103"/>
  <c r="BI360" i="103"/>
  <c r="AW360" i="103"/>
  <c r="AK360" i="103"/>
  <c r="BM359" i="103"/>
  <c r="AO359" i="103"/>
  <c r="Q359" i="103"/>
  <c r="E359" i="103"/>
  <c r="BQ358" i="103"/>
  <c r="BE358" i="103"/>
  <c r="AS358" i="103"/>
  <c r="AG358" i="103"/>
  <c r="I358" i="103"/>
  <c r="BU357" i="103"/>
  <c r="BI357" i="103"/>
  <c r="AW357" i="103"/>
  <c r="AK357" i="103"/>
  <c r="BM356" i="103"/>
  <c r="AO356" i="103"/>
  <c r="Q356" i="103"/>
  <c r="E356" i="103"/>
  <c r="BQ355" i="103"/>
  <c r="BE355" i="103"/>
  <c r="AS355" i="103"/>
  <c r="AG355" i="103"/>
  <c r="I355" i="103"/>
  <c r="BU354" i="103"/>
  <c r="BI354" i="103"/>
  <c r="AW354" i="103"/>
  <c r="AK354" i="103"/>
  <c r="BM353" i="103"/>
  <c r="AO353" i="103"/>
  <c r="Q353" i="103"/>
  <c r="E353" i="103"/>
  <c r="BQ352" i="103"/>
  <c r="BE352" i="103"/>
  <c r="AS352" i="103"/>
  <c r="AG352" i="103"/>
  <c r="I352" i="103"/>
  <c r="BU351" i="103"/>
  <c r="BI351" i="103"/>
  <c r="AW351" i="103"/>
  <c r="AK351" i="103"/>
  <c r="BM350" i="103"/>
  <c r="AO350" i="103"/>
  <c r="Q350" i="103"/>
  <c r="E350" i="103"/>
  <c r="BQ349" i="103"/>
  <c r="BE349" i="103"/>
  <c r="AS349" i="103"/>
  <c r="AG349" i="103"/>
  <c r="I349" i="103"/>
  <c r="BU348" i="103"/>
  <c r="BI348" i="103"/>
  <c r="AW348" i="103"/>
  <c r="AK348" i="103"/>
  <c r="BM347" i="103"/>
  <c r="AO347" i="103"/>
  <c r="Q347" i="103"/>
  <c r="E347" i="103"/>
  <c r="BQ346" i="103"/>
  <c r="BE346" i="103"/>
  <c r="AS346" i="103"/>
  <c r="AG346" i="103"/>
  <c r="I346" i="103"/>
  <c r="BU375" i="103"/>
  <c r="BI375" i="103"/>
  <c r="AW375" i="103"/>
  <c r="AK375" i="103"/>
  <c r="BM374" i="103"/>
  <c r="AO374" i="103"/>
  <c r="Q374" i="103"/>
  <c r="E374" i="103"/>
  <c r="BQ373" i="103"/>
  <c r="BE373" i="103"/>
  <c r="AS373" i="103"/>
  <c r="AG373" i="103"/>
  <c r="I373" i="103"/>
  <c r="BU372" i="103"/>
  <c r="BI372" i="103"/>
  <c r="AW372" i="103"/>
  <c r="AK372" i="103"/>
  <c r="BM371" i="103"/>
  <c r="AO371" i="103"/>
  <c r="Q371" i="103"/>
  <c r="E371" i="103"/>
  <c r="BQ370" i="103"/>
  <c r="BE370" i="103"/>
  <c r="AS370" i="103"/>
  <c r="AG370" i="103"/>
  <c r="BT369" i="103"/>
  <c r="BH369" i="103"/>
  <c r="Q380" i="67" s="1"/>
  <c r="AV369" i="103"/>
  <c r="AJ369" i="103"/>
  <c r="L369" i="103"/>
  <c r="O198" i="13" s="1"/>
  <c r="Q198" i="13" s="1"/>
  <c r="CJ368" i="103"/>
  <c r="BL368" i="103"/>
  <c r="AZ368" i="103"/>
  <c r="P368" i="103"/>
  <c r="BP367" i="103"/>
  <c r="AR367" i="103"/>
  <c r="AF367" i="103"/>
  <c r="T367" i="103"/>
  <c r="BT366" i="103"/>
  <c r="BH366" i="103"/>
  <c r="Q377" i="67" s="1"/>
  <c r="AV366" i="103"/>
  <c r="AJ366" i="103"/>
  <c r="L366" i="103"/>
  <c r="O195" i="13" s="1"/>
  <c r="Q195" i="13" s="1"/>
  <c r="CJ365" i="103"/>
  <c r="BL365" i="103"/>
  <c r="AZ365" i="103"/>
  <c r="P365" i="103"/>
  <c r="BP364" i="103"/>
  <c r="AR364" i="103"/>
  <c r="AF364" i="103"/>
  <c r="T364" i="103"/>
  <c r="BT363" i="103"/>
  <c r="BH363" i="103"/>
  <c r="Q374" i="67" s="1"/>
  <c r="AV363" i="103"/>
  <c r="AJ363" i="103"/>
  <c r="L363" i="103"/>
  <c r="O192" i="13" s="1"/>
  <c r="Q192" i="13" s="1"/>
  <c r="CJ362" i="103"/>
  <c r="BL362" i="103"/>
  <c r="AZ362" i="103"/>
  <c r="P362" i="103"/>
  <c r="BP361" i="103"/>
  <c r="AR361" i="103"/>
  <c r="AF361" i="103"/>
  <c r="T361" i="103"/>
  <c r="BT360" i="103"/>
  <c r="BH360" i="103"/>
  <c r="Q371" i="67" s="1"/>
  <c r="AV360" i="103"/>
  <c r="AJ360" i="103"/>
  <c r="L360" i="103"/>
  <c r="O189" i="13" s="1"/>
  <c r="Q189" i="13" s="1"/>
  <c r="CJ359" i="103"/>
  <c r="BL359" i="103"/>
  <c r="AZ359" i="103"/>
  <c r="P359" i="103"/>
  <c r="BP358" i="103"/>
  <c r="AR358" i="103"/>
  <c r="AF358" i="103"/>
  <c r="T358" i="103"/>
  <c r="BT357" i="103"/>
  <c r="BH357" i="103"/>
  <c r="Q368" i="67" s="1"/>
  <c r="AV357" i="103"/>
  <c r="AJ357" i="103"/>
  <c r="L357" i="103"/>
  <c r="O186" i="13" s="1"/>
  <c r="Q186" i="13" s="1"/>
  <c r="CJ356" i="103"/>
  <c r="BL356" i="103"/>
  <c r="AZ356" i="103"/>
  <c r="P356" i="103"/>
  <c r="BP355" i="103"/>
  <c r="AR355" i="103"/>
  <c r="AF355" i="103"/>
  <c r="T355" i="103"/>
  <c r="BT354" i="103"/>
  <c r="BH354" i="103"/>
  <c r="Q365" i="67" s="1"/>
  <c r="AV354" i="103"/>
  <c r="AJ354" i="103"/>
  <c r="L354" i="103"/>
  <c r="O183" i="13" s="1"/>
  <c r="Q183" i="13" s="1"/>
  <c r="CJ353" i="103"/>
  <c r="BL353" i="103"/>
  <c r="AZ353" i="103"/>
  <c r="P353" i="103"/>
  <c r="BP352" i="103"/>
  <c r="AR352" i="103"/>
  <c r="AF352" i="103"/>
  <c r="T352" i="103"/>
  <c r="BT351" i="103"/>
  <c r="BH351" i="103"/>
  <c r="Q362" i="67" s="1"/>
  <c r="AV351" i="103"/>
  <c r="AJ351" i="103"/>
  <c r="L351" i="103"/>
  <c r="O180" i="13" s="1"/>
  <c r="Q180" i="13" s="1"/>
  <c r="CJ350" i="103"/>
  <c r="BL350" i="103"/>
  <c r="AZ350" i="103"/>
  <c r="P350" i="103"/>
  <c r="BP349" i="103"/>
  <c r="AR349" i="103"/>
  <c r="AF349" i="103"/>
  <c r="T349" i="103"/>
  <c r="BT348" i="103"/>
  <c r="BH348" i="103"/>
  <c r="Q359" i="67" s="1"/>
  <c r="AV348" i="103"/>
  <c r="AJ348" i="103"/>
  <c r="L348" i="103"/>
  <c r="O177" i="13" s="1"/>
  <c r="Q177" i="13" s="1"/>
  <c r="CJ347" i="103"/>
  <c r="BL347" i="103"/>
  <c r="BT375" i="103"/>
  <c r="BH375" i="103"/>
  <c r="Q386" i="67" s="1"/>
  <c r="AV375" i="103"/>
  <c r="AJ375" i="103"/>
  <c r="L375" i="103"/>
  <c r="O204" i="13" s="1"/>
  <c r="Q204" i="13" s="1"/>
  <c r="CJ374" i="103"/>
  <c r="BL374" i="103"/>
  <c r="AZ374" i="103"/>
  <c r="P374" i="103"/>
  <c r="BP373" i="103"/>
  <c r="AR373" i="103"/>
  <c r="AF373" i="103"/>
  <c r="T373" i="103"/>
  <c r="BT372" i="103"/>
  <c r="BH372" i="103"/>
  <c r="Q383" i="67" s="1"/>
  <c r="AV372" i="103"/>
  <c r="AJ372" i="103"/>
  <c r="L372" i="103"/>
  <c r="O201" i="13" s="1"/>
  <c r="Q201" i="13" s="1"/>
  <c r="CJ371" i="103"/>
  <c r="BL371" i="103"/>
  <c r="AZ371" i="103"/>
  <c r="P371" i="103"/>
  <c r="BP370" i="103"/>
  <c r="AR370" i="103"/>
  <c r="AF370" i="103"/>
  <c r="T370" i="103"/>
  <c r="G370" i="103"/>
  <c r="CE369" i="103"/>
  <c r="BS369" i="103"/>
  <c r="AN369" i="103" s="1"/>
  <c r="BG369" i="103"/>
  <c r="AU369" i="103"/>
  <c r="AI369" i="103"/>
  <c r="BK368" i="103"/>
  <c r="AY368" i="103"/>
  <c r="BO367" i="103"/>
  <c r="BC367" i="103"/>
  <c r="AQ367" i="103"/>
  <c r="AE367" i="103"/>
  <c r="S367" i="103"/>
  <c r="G367" i="103"/>
  <c r="CE366" i="103"/>
  <c r="BS366" i="103"/>
  <c r="AN366" i="103" s="1"/>
  <c r="BG366" i="103"/>
  <c r="AU366" i="103"/>
  <c r="AI366" i="103"/>
  <c r="BK365" i="103"/>
  <c r="AY365" i="103"/>
  <c r="BO364" i="103"/>
  <c r="BC364" i="103"/>
  <c r="AQ364" i="103"/>
  <c r="AE364" i="103"/>
  <c r="S364" i="103"/>
  <c r="G364" i="103"/>
  <c r="CE363" i="103"/>
  <c r="BS363" i="103"/>
  <c r="AN363" i="103" s="1"/>
  <c r="BG363" i="103"/>
  <c r="AU363" i="103"/>
  <c r="AI363" i="103"/>
  <c r="BK362" i="103"/>
  <c r="AY362" i="103"/>
  <c r="BO361" i="103"/>
  <c r="BC361" i="103"/>
  <c r="AQ361" i="103"/>
  <c r="AE361" i="103"/>
  <c r="S361" i="103"/>
  <c r="G361" i="103"/>
  <c r="CE360" i="103"/>
  <c r="BS360" i="103"/>
  <c r="AN360" i="103" s="1"/>
  <c r="BG360" i="103"/>
  <c r="AU360" i="103"/>
  <c r="AI360" i="103"/>
  <c r="BK359" i="103"/>
  <c r="AY359" i="103"/>
  <c r="BO358" i="103"/>
  <c r="BC358" i="103"/>
  <c r="AQ358" i="103"/>
  <c r="AE358" i="103"/>
  <c r="S358" i="103"/>
  <c r="G358" i="103"/>
  <c r="CE357" i="103"/>
  <c r="BS357" i="103"/>
  <c r="AN357" i="103" s="1"/>
  <c r="BG357" i="103"/>
  <c r="AU357" i="103"/>
  <c r="AI357" i="103"/>
  <c r="BK356" i="103"/>
  <c r="AY356" i="103"/>
  <c r="BO355" i="103"/>
  <c r="BC355" i="103"/>
  <c r="AQ355" i="103"/>
  <c r="AE355" i="103"/>
  <c r="S355" i="103"/>
  <c r="G355" i="103"/>
  <c r="CE354" i="103"/>
  <c r="BS354" i="103"/>
  <c r="AN354" i="103" s="1"/>
  <c r="BG354" i="103"/>
  <c r="AU354" i="103"/>
  <c r="AI354" i="103"/>
  <c r="BK353" i="103"/>
  <c r="AY353" i="103"/>
  <c r="BO352" i="103"/>
  <c r="BC352" i="103"/>
  <c r="AQ352" i="103"/>
  <c r="AE352" i="103"/>
  <c r="S352" i="103"/>
  <c r="G352" i="103"/>
  <c r="CE351" i="103"/>
  <c r="BS351" i="103"/>
  <c r="AN351" i="103" s="1"/>
  <c r="BG351" i="103"/>
  <c r="AU351" i="103"/>
  <c r="AI351" i="103"/>
  <c r="BK350" i="103"/>
  <c r="AY350" i="103"/>
  <c r="BO349" i="103"/>
  <c r="BC349" i="103"/>
  <c r="AQ349" i="103"/>
  <c r="AE349" i="103"/>
  <c r="S349" i="103"/>
  <c r="G349" i="103"/>
  <c r="CE348" i="103"/>
  <c r="BS348" i="103"/>
  <c r="AN348" i="103" s="1"/>
  <c r="CE375" i="103"/>
  <c r="BS375" i="103"/>
  <c r="AN375" i="103" s="1"/>
  <c r="BG375" i="103"/>
  <c r="AU375" i="103"/>
  <c r="AI375" i="103"/>
  <c r="BK374" i="103"/>
  <c r="AY374" i="103"/>
  <c r="BO373" i="103"/>
  <c r="BC373" i="103"/>
  <c r="AQ373" i="103"/>
  <c r="AE373" i="103"/>
  <c r="S373" i="103"/>
  <c r="G373" i="103"/>
  <c r="CE372" i="103"/>
  <c r="BS372" i="103"/>
  <c r="AN372" i="103" s="1"/>
  <c r="BG372" i="103"/>
  <c r="AU372" i="103"/>
  <c r="AI372" i="103"/>
  <c r="BK371" i="103"/>
  <c r="AY371" i="103"/>
  <c r="BO370" i="103"/>
  <c r="BC370" i="103"/>
  <c r="AQ370" i="103"/>
  <c r="AE370" i="103"/>
  <c r="S370" i="103"/>
  <c r="BR369" i="103"/>
  <c r="BF369" i="103"/>
  <c r="AT369" i="103"/>
  <c r="AH369" i="103"/>
  <c r="V369" i="103"/>
  <c r="BV368" i="103"/>
  <c r="BJ368" i="103"/>
  <c r="AX368" i="103"/>
  <c r="N368" i="103"/>
  <c r="BN367" i="103"/>
  <c r="AP367" i="103"/>
  <c r="AD367" i="103"/>
  <c r="BR366" i="103"/>
  <c r="BF366" i="103"/>
  <c r="AT366" i="103"/>
  <c r="AH366" i="103"/>
  <c r="V366" i="103"/>
  <c r="BV365" i="103"/>
  <c r="BJ365" i="103"/>
  <c r="AX365" i="103"/>
  <c r="N365" i="103"/>
  <c r="BN364" i="103"/>
  <c r="AP364" i="103"/>
  <c r="AD364" i="103"/>
  <c r="BR363" i="103"/>
  <c r="BF363" i="103"/>
  <c r="AT363" i="103"/>
  <c r="AH363" i="103"/>
  <c r="V363" i="103"/>
  <c r="BV362" i="103"/>
  <c r="BJ362" i="103"/>
  <c r="AX362" i="103"/>
  <c r="N362" i="103"/>
  <c r="BN361" i="103"/>
  <c r="AP361" i="103"/>
  <c r="AD361" i="103"/>
  <c r="BR360" i="103"/>
  <c r="BF360" i="103"/>
  <c r="AT360" i="103"/>
  <c r="AH360" i="103"/>
  <c r="V360" i="103"/>
  <c r="BV359" i="103"/>
  <c r="BJ359" i="103"/>
  <c r="AX359" i="103"/>
  <c r="N359" i="103"/>
  <c r="BN358" i="103"/>
  <c r="AP358" i="103"/>
  <c r="AD358" i="103"/>
  <c r="BR357" i="103"/>
  <c r="BF357" i="103"/>
  <c r="AT357" i="103"/>
  <c r="AH357" i="103"/>
  <c r="V357" i="103"/>
  <c r="BV356" i="103"/>
  <c r="BJ356" i="103"/>
  <c r="AX356" i="103"/>
  <c r="N356" i="103"/>
  <c r="BN355" i="103"/>
  <c r="AP355" i="103"/>
  <c r="AD355" i="103"/>
  <c r="BR354" i="103"/>
  <c r="BF354" i="103"/>
  <c r="AT354" i="103"/>
  <c r="AH354" i="103"/>
  <c r="V354" i="103"/>
  <c r="BV353" i="103"/>
  <c r="BJ353" i="103"/>
  <c r="AX353" i="103"/>
  <c r="N353" i="103"/>
  <c r="BN352" i="103"/>
  <c r="AP352" i="103"/>
  <c r="AD352" i="103"/>
  <c r="BR351" i="103"/>
  <c r="BF351" i="103"/>
  <c r="AT351" i="103"/>
  <c r="AH351" i="103"/>
  <c r="V351" i="103"/>
  <c r="BV350" i="103"/>
  <c r="BJ350" i="103"/>
  <c r="AX350" i="103"/>
  <c r="N350" i="103"/>
  <c r="BN349" i="103"/>
  <c r="AP349" i="103"/>
  <c r="AD349" i="103"/>
  <c r="BR348" i="103"/>
  <c r="BF348" i="103"/>
  <c r="AT348" i="103"/>
  <c r="AH348" i="103"/>
  <c r="BR375" i="103"/>
  <c r="BF375" i="103"/>
  <c r="AT375" i="103"/>
  <c r="AH375" i="103"/>
  <c r="V375" i="103"/>
  <c r="BV374" i="103"/>
  <c r="BJ374" i="103"/>
  <c r="AX374" i="103"/>
  <c r="N374" i="103"/>
  <c r="BN373" i="103"/>
  <c r="AP373" i="103"/>
  <c r="AD373" i="103"/>
  <c r="BR372" i="103"/>
  <c r="BF372" i="103"/>
  <c r="AT372" i="103"/>
  <c r="AH372" i="103"/>
  <c r="V372" i="103"/>
  <c r="BV371" i="103"/>
  <c r="BJ371" i="103"/>
  <c r="AX371" i="103"/>
  <c r="N371" i="103"/>
  <c r="BN370" i="103"/>
  <c r="AP370" i="103"/>
  <c r="AD370" i="103"/>
  <c r="E370" i="103"/>
  <c r="BQ369" i="103"/>
  <c r="BE369" i="103"/>
  <c r="AS369" i="103"/>
  <c r="AG369" i="103"/>
  <c r="I369" i="103"/>
  <c r="BU368" i="103"/>
  <c r="BI368" i="103"/>
  <c r="AW368" i="103"/>
  <c r="AK368" i="103"/>
  <c r="BM367" i="103"/>
  <c r="AO367" i="103"/>
  <c r="Q367" i="103"/>
  <c r="E367" i="103"/>
  <c r="BQ366" i="103"/>
  <c r="BE366" i="103"/>
  <c r="AS366" i="103"/>
  <c r="AG366" i="103"/>
  <c r="I366" i="103"/>
  <c r="BU365" i="103"/>
  <c r="BI365" i="103"/>
  <c r="AW365" i="103"/>
  <c r="AK365" i="103"/>
  <c r="BM364" i="103"/>
  <c r="AO364" i="103"/>
  <c r="Q364" i="103"/>
  <c r="E364" i="103"/>
  <c r="BQ363" i="103"/>
  <c r="BE363" i="103"/>
  <c r="AS363" i="103"/>
  <c r="AG363" i="103"/>
  <c r="I363" i="103"/>
  <c r="BU362" i="103"/>
  <c r="BI362" i="103"/>
  <c r="AW362" i="103"/>
  <c r="AK362" i="103"/>
  <c r="BM361" i="103"/>
  <c r="AO361" i="103"/>
  <c r="Q361" i="103"/>
  <c r="E361" i="103"/>
  <c r="BQ360" i="103"/>
  <c r="BE360" i="103"/>
  <c r="AS360" i="103"/>
  <c r="AG360" i="103"/>
  <c r="I360" i="103"/>
  <c r="BU359" i="103"/>
  <c r="BI359" i="103"/>
  <c r="AW359" i="103"/>
  <c r="AK359" i="103"/>
  <c r="BM358" i="103"/>
  <c r="AO358" i="103"/>
  <c r="Q358" i="103"/>
  <c r="E358" i="103"/>
  <c r="BQ357" i="103"/>
  <c r="BE357" i="103"/>
  <c r="AS357" i="103"/>
  <c r="AG357" i="103"/>
  <c r="I357" i="103"/>
  <c r="BU356" i="103"/>
  <c r="BI356" i="103"/>
  <c r="AW356" i="103"/>
  <c r="AK356" i="103"/>
  <c r="BM355" i="103"/>
  <c r="AO355" i="103"/>
  <c r="Q355" i="103"/>
  <c r="E355" i="103"/>
  <c r="BQ354" i="103"/>
  <c r="BE354" i="103"/>
  <c r="AS354" i="103"/>
  <c r="AG354" i="103"/>
  <c r="I354" i="103"/>
  <c r="BU353" i="103"/>
  <c r="BI353" i="103"/>
  <c r="AW353" i="103"/>
  <c r="AK353" i="103"/>
  <c r="BM352" i="103"/>
  <c r="AO352" i="103"/>
  <c r="Q352" i="103"/>
  <c r="E352" i="103"/>
  <c r="BQ351" i="103"/>
  <c r="BE351" i="103"/>
  <c r="AS351" i="103"/>
  <c r="AG351" i="103"/>
  <c r="I351" i="103"/>
  <c r="BU350" i="103"/>
  <c r="BI350" i="103"/>
  <c r="AW350" i="103"/>
  <c r="AK350" i="103"/>
  <c r="BM349" i="103"/>
  <c r="AO349" i="103"/>
  <c r="Q349" i="103"/>
  <c r="E349" i="103"/>
  <c r="BQ348" i="103"/>
  <c r="BE348" i="103"/>
  <c r="AS348" i="103"/>
  <c r="AG348" i="103"/>
  <c r="I348" i="103"/>
  <c r="BU347" i="103"/>
  <c r="BI347" i="103"/>
  <c r="AW347" i="103"/>
  <c r="AK347" i="103"/>
  <c r="BQ375" i="103"/>
  <c r="BE375" i="103"/>
  <c r="AS375" i="103"/>
  <c r="AG375" i="103"/>
  <c r="I375" i="103"/>
  <c r="BU374" i="103"/>
  <c r="BI374" i="103"/>
  <c r="AW374" i="103"/>
  <c r="AK374" i="103"/>
  <c r="BM373" i="103"/>
  <c r="AO373" i="103"/>
  <c r="Q373" i="103"/>
  <c r="E373" i="103"/>
  <c r="BQ372" i="103"/>
  <c r="BE372" i="103"/>
  <c r="AS372" i="103"/>
  <c r="AG372" i="103"/>
  <c r="I372" i="103"/>
  <c r="BU371" i="103"/>
  <c r="BI371" i="103"/>
  <c r="AW371" i="103"/>
  <c r="AK371" i="103"/>
  <c r="BM370" i="103"/>
  <c r="AO370" i="103"/>
  <c r="Q370" i="103"/>
  <c r="BP369" i="103"/>
  <c r="AR369" i="103"/>
  <c r="AF369" i="103"/>
  <c r="T369" i="103"/>
  <c r="BT368" i="103"/>
  <c r="BH368" i="103"/>
  <c r="Q379" i="67" s="1"/>
  <c r="AV368" i="103"/>
  <c r="AJ368" i="103"/>
  <c r="L368" i="103"/>
  <c r="O197" i="13" s="1"/>
  <c r="Q197" i="13" s="1"/>
  <c r="CJ367" i="103"/>
  <c r="BL367" i="103"/>
  <c r="AZ367" i="103"/>
  <c r="P367" i="103"/>
  <c r="BP366" i="103"/>
  <c r="AR366" i="103"/>
  <c r="AF366" i="103"/>
  <c r="T366" i="103"/>
  <c r="BT365" i="103"/>
  <c r="BH365" i="103"/>
  <c r="Q376" i="67" s="1"/>
  <c r="AV365" i="103"/>
  <c r="AJ365" i="103"/>
  <c r="L365" i="103"/>
  <c r="O194" i="13" s="1"/>
  <c r="Q194" i="13" s="1"/>
  <c r="CJ364" i="103"/>
  <c r="BL364" i="103"/>
  <c r="AZ364" i="103"/>
  <c r="P364" i="103"/>
  <c r="BP363" i="103"/>
  <c r="AR363" i="103"/>
  <c r="AF363" i="103"/>
  <c r="T363" i="103"/>
  <c r="BT362" i="103"/>
  <c r="BH362" i="103"/>
  <c r="Q373" i="67" s="1"/>
  <c r="AV362" i="103"/>
  <c r="AJ362" i="103"/>
  <c r="L362" i="103"/>
  <c r="O191" i="13" s="1"/>
  <c r="Q191" i="13" s="1"/>
  <c r="CJ361" i="103"/>
  <c r="BL361" i="103"/>
  <c r="AZ361" i="103"/>
  <c r="P361" i="103"/>
  <c r="BP360" i="103"/>
  <c r="AR360" i="103"/>
  <c r="AF360" i="103"/>
  <c r="T360" i="103"/>
  <c r="BT359" i="103"/>
  <c r="BH359" i="103"/>
  <c r="Q370" i="67" s="1"/>
  <c r="AV359" i="103"/>
  <c r="AJ359" i="103"/>
  <c r="L359" i="103"/>
  <c r="O188" i="13" s="1"/>
  <c r="Q188" i="13" s="1"/>
  <c r="CJ358" i="103"/>
  <c r="BL358" i="103"/>
  <c r="AZ358" i="103"/>
  <c r="P358" i="103"/>
  <c r="BP357" i="103"/>
  <c r="AR357" i="103"/>
  <c r="AF357" i="103"/>
  <c r="T357" i="103"/>
  <c r="BT356" i="103"/>
  <c r="BH356" i="103"/>
  <c r="Q367" i="67" s="1"/>
  <c r="AV356" i="103"/>
  <c r="AJ356" i="103"/>
  <c r="L356" i="103"/>
  <c r="O185" i="13" s="1"/>
  <c r="Q185" i="13" s="1"/>
  <c r="CJ355" i="103"/>
  <c r="BL355" i="103"/>
  <c r="AZ355" i="103"/>
  <c r="P355" i="103"/>
  <c r="BP354" i="103"/>
  <c r="AR354" i="103"/>
  <c r="AF354" i="103"/>
  <c r="T354" i="103"/>
  <c r="BT353" i="103"/>
  <c r="BH353" i="103"/>
  <c r="Q364" i="67" s="1"/>
  <c r="AV353" i="103"/>
  <c r="AJ353" i="103"/>
  <c r="L353" i="103"/>
  <c r="O182" i="13" s="1"/>
  <c r="Q182" i="13" s="1"/>
  <c r="CJ352" i="103"/>
  <c r="BL352" i="103"/>
  <c r="AZ352" i="103"/>
  <c r="P352" i="103"/>
  <c r="BP351" i="103"/>
  <c r="AR351" i="103"/>
  <c r="AF351" i="103"/>
  <c r="T351" i="103"/>
  <c r="BT350" i="103"/>
  <c r="BH350" i="103"/>
  <c r="Q361" i="67" s="1"/>
  <c r="AV350" i="103"/>
  <c r="AJ350" i="103"/>
  <c r="L350" i="103"/>
  <c r="O179" i="13" s="1"/>
  <c r="Q179" i="13" s="1"/>
  <c r="CJ349" i="103"/>
  <c r="BL349" i="103"/>
  <c r="AZ349" i="103"/>
  <c r="P349" i="103"/>
  <c r="BP348" i="103"/>
  <c r="AR348" i="103"/>
  <c r="AF348" i="103"/>
  <c r="T348" i="103"/>
  <c r="BT347" i="103"/>
  <c r="BH347" i="103"/>
  <c r="Q358" i="67" s="1"/>
  <c r="AV347" i="103"/>
  <c r="AJ347" i="103"/>
  <c r="L347" i="103"/>
  <c r="O176" i="13" s="1"/>
  <c r="Q176" i="13" s="1"/>
  <c r="CJ346" i="103"/>
  <c r="BL346" i="103"/>
  <c r="AZ346" i="103"/>
  <c r="BP375" i="103"/>
  <c r="AR375" i="103"/>
  <c r="AF375" i="103"/>
  <c r="T375" i="103"/>
  <c r="BT374" i="103"/>
  <c r="BH374" i="103"/>
  <c r="Q385" i="67" s="1"/>
  <c r="AV374" i="103"/>
  <c r="AJ374" i="103"/>
  <c r="L374" i="103"/>
  <c r="O203" i="13" s="1"/>
  <c r="Q203" i="13" s="1"/>
  <c r="CJ373" i="103"/>
  <c r="BL373" i="103"/>
  <c r="AZ373" i="103"/>
  <c r="P373" i="103"/>
  <c r="BP372" i="103"/>
  <c r="AR372" i="103"/>
  <c r="AF372" i="103"/>
  <c r="T372" i="103"/>
  <c r="BT371" i="103"/>
  <c r="BH371" i="103"/>
  <c r="Q382" i="67" s="1"/>
  <c r="AV371" i="103"/>
  <c r="AJ371" i="103"/>
  <c r="L371" i="103"/>
  <c r="O200" i="13" s="1"/>
  <c r="Q200" i="13" s="1"/>
  <c r="CJ370" i="103"/>
  <c r="BL370" i="103"/>
  <c r="AZ370" i="103"/>
  <c r="P370" i="103"/>
  <c r="BO369" i="103"/>
  <c r="BC369" i="103"/>
  <c r="AQ369" i="103"/>
  <c r="AE369" i="103"/>
  <c r="S369" i="103"/>
  <c r="G369" i="103"/>
  <c r="CE368" i="103"/>
  <c r="BS368" i="103"/>
  <c r="AN368" i="103" s="1"/>
  <c r="BG368" i="103"/>
  <c r="AU368" i="103"/>
  <c r="AI368" i="103"/>
  <c r="BK367" i="103"/>
  <c r="AY367" i="103"/>
  <c r="BO366" i="103"/>
  <c r="BC366" i="103"/>
  <c r="AQ366" i="103"/>
  <c r="AE366" i="103"/>
  <c r="S366" i="103"/>
  <c r="G366" i="103"/>
  <c r="CE365" i="103"/>
  <c r="BS365" i="103"/>
  <c r="BG365" i="103"/>
  <c r="AU365" i="103"/>
  <c r="AI365" i="103"/>
  <c r="BK364" i="103"/>
  <c r="AY364" i="103"/>
  <c r="BO363" i="103"/>
  <c r="BC363" i="103"/>
  <c r="AQ363" i="103"/>
  <c r="AE363" i="103"/>
  <c r="S363" i="103"/>
  <c r="G363" i="103"/>
  <c r="CE362" i="103"/>
  <c r="BS362" i="103"/>
  <c r="AN362" i="103" s="1"/>
  <c r="BG362" i="103"/>
  <c r="AU362" i="103"/>
  <c r="AI362" i="103"/>
  <c r="BK361" i="103"/>
  <c r="AY361" i="103"/>
  <c r="BO360" i="103"/>
  <c r="BC360" i="103"/>
  <c r="AQ360" i="103"/>
  <c r="AE360" i="103"/>
  <c r="S360" i="103"/>
  <c r="G360" i="103"/>
  <c r="CE359" i="103"/>
  <c r="BS359" i="103"/>
  <c r="AN359" i="103" s="1"/>
  <c r="BG359" i="103"/>
  <c r="AU359" i="103"/>
  <c r="AI359" i="103"/>
  <c r="BK358" i="103"/>
  <c r="AY358" i="103"/>
  <c r="BO357" i="103"/>
  <c r="BC357" i="103"/>
  <c r="AQ357" i="103"/>
  <c r="AE357" i="103"/>
  <c r="S357" i="103"/>
  <c r="G357" i="103"/>
  <c r="CE356" i="103"/>
  <c r="BS356" i="103"/>
  <c r="AN356" i="103" s="1"/>
  <c r="BG356" i="103"/>
  <c r="AU356" i="103"/>
  <c r="AI356" i="103"/>
  <c r="BK355" i="103"/>
  <c r="AY355" i="103"/>
  <c r="BO354" i="103"/>
  <c r="BC354" i="103"/>
  <c r="AQ354" i="103"/>
  <c r="AE354" i="103"/>
  <c r="S354" i="103"/>
  <c r="G354" i="103"/>
  <c r="CE353" i="103"/>
  <c r="BS353" i="103"/>
  <c r="AN353" i="103" s="1"/>
  <c r="BG353" i="103"/>
  <c r="AU353" i="103"/>
  <c r="AI353" i="103"/>
  <c r="BK352" i="103"/>
  <c r="AY352" i="103"/>
  <c r="BO351" i="103"/>
  <c r="BC351" i="103"/>
  <c r="AQ351" i="103"/>
  <c r="AE351" i="103"/>
  <c r="S351" i="103"/>
  <c r="G351" i="103"/>
  <c r="CE350" i="103"/>
  <c r="BS350" i="103"/>
  <c r="AN350" i="103" s="1"/>
  <c r="BG350" i="103"/>
  <c r="AU350" i="103"/>
  <c r="AI350" i="103"/>
  <c r="BO375" i="103"/>
  <c r="BC375" i="103"/>
  <c r="AQ375" i="103"/>
  <c r="AE375" i="103"/>
  <c r="S375" i="103"/>
  <c r="G375" i="103"/>
  <c r="CE374" i="103"/>
  <c r="BS374" i="103"/>
  <c r="BG374" i="103"/>
  <c r="AU374" i="103"/>
  <c r="AI374" i="103"/>
  <c r="BK373" i="103"/>
  <c r="AY373" i="103"/>
  <c r="BO372" i="103"/>
  <c r="BC372" i="103"/>
  <c r="AQ372" i="103"/>
  <c r="AE372" i="103"/>
  <c r="S372" i="103"/>
  <c r="G372" i="103"/>
  <c r="CE371" i="103"/>
  <c r="BS371" i="103"/>
  <c r="BG371" i="103"/>
  <c r="AU371" i="103"/>
  <c r="AI371" i="103"/>
  <c r="BK370" i="103"/>
  <c r="AY370" i="103"/>
  <c r="BN369" i="103"/>
  <c r="AP369" i="103"/>
  <c r="AD369" i="103"/>
  <c r="BR368" i="103"/>
  <c r="BF368" i="103"/>
  <c r="AT368" i="103"/>
  <c r="AH368" i="103"/>
  <c r="V368" i="103"/>
  <c r="BV367" i="103"/>
  <c r="BJ367" i="103"/>
  <c r="AX367" i="103"/>
  <c r="N367" i="103"/>
  <c r="BN366" i="103"/>
  <c r="AP366" i="103"/>
  <c r="AD366" i="103"/>
  <c r="BR365" i="103"/>
  <c r="BF365" i="103"/>
  <c r="AT365" i="103"/>
  <c r="AH365" i="103"/>
  <c r="V365" i="103"/>
  <c r="BV364" i="103"/>
  <c r="BJ364" i="103"/>
  <c r="AX364" i="103"/>
  <c r="N364" i="103"/>
  <c r="BN363" i="103"/>
  <c r="AP363" i="103"/>
  <c r="AD363" i="103"/>
  <c r="BR362" i="103"/>
  <c r="BF362" i="103"/>
  <c r="AT362" i="103"/>
  <c r="AH362" i="103"/>
  <c r="V362" i="103"/>
  <c r="BV361" i="103"/>
  <c r="BJ361" i="103"/>
  <c r="AX361" i="103"/>
  <c r="N361" i="103"/>
  <c r="BN360" i="103"/>
  <c r="AP360" i="103"/>
  <c r="AD360" i="103"/>
  <c r="BR359" i="103"/>
  <c r="BF359" i="103"/>
  <c r="AT359" i="103"/>
  <c r="AH359" i="103"/>
  <c r="V359" i="103"/>
  <c r="BV358" i="103"/>
  <c r="BJ358" i="103"/>
  <c r="AX358" i="103"/>
  <c r="N358" i="103"/>
  <c r="BN357" i="103"/>
  <c r="AP357" i="103"/>
  <c r="AD357" i="103"/>
  <c r="BR356" i="103"/>
  <c r="BF356" i="103"/>
  <c r="AT356" i="103"/>
  <c r="AH356" i="103"/>
  <c r="V356" i="103"/>
  <c r="BV355" i="103"/>
  <c r="BJ355" i="103"/>
  <c r="AX355" i="103"/>
  <c r="N355" i="103"/>
  <c r="BN354" i="103"/>
  <c r="AP354" i="103"/>
  <c r="AD354" i="103"/>
  <c r="BR353" i="103"/>
  <c r="BF353" i="103"/>
  <c r="AT353" i="103"/>
  <c r="AH353" i="103"/>
  <c r="V353" i="103"/>
  <c r="BV352" i="103"/>
  <c r="BJ352" i="103"/>
  <c r="AX352" i="103"/>
  <c r="N352" i="103"/>
  <c r="BN351" i="103"/>
  <c r="AP351" i="103"/>
  <c r="AD351" i="103"/>
  <c r="BR350" i="103"/>
  <c r="BF350" i="103"/>
  <c r="AT350" i="103"/>
  <c r="AH350" i="103"/>
  <c r="V350" i="103"/>
  <c r="BV349" i="103"/>
  <c r="BJ349" i="103"/>
  <c r="AX349" i="103"/>
  <c r="N349" i="103"/>
  <c r="BN348" i="103"/>
  <c r="AP348" i="103"/>
  <c r="AD348" i="103"/>
  <c r="BR347" i="103"/>
  <c r="BF347" i="103"/>
  <c r="AT347" i="103"/>
  <c r="AH347" i="103"/>
  <c r="V347" i="103"/>
  <c r="BN375" i="103"/>
  <c r="AP375" i="103"/>
  <c r="AD375" i="103"/>
  <c r="BR374" i="103"/>
  <c r="BF374" i="103"/>
  <c r="AT374" i="103"/>
  <c r="AH374" i="103"/>
  <c r="V374" i="103"/>
  <c r="BV373" i="103"/>
  <c r="BJ373" i="103"/>
  <c r="AX373" i="103"/>
  <c r="N373" i="103"/>
  <c r="BN372" i="103"/>
  <c r="AP372" i="103"/>
  <c r="AD372" i="103"/>
  <c r="BR371" i="103"/>
  <c r="BF371" i="103"/>
  <c r="AT371" i="103"/>
  <c r="AH371" i="103"/>
  <c r="V371" i="103"/>
  <c r="BV370" i="103"/>
  <c r="BJ370" i="103"/>
  <c r="AX370" i="103"/>
  <c r="N370" i="103"/>
  <c r="BM369" i="103"/>
  <c r="AO369" i="103"/>
  <c r="Q369" i="103"/>
  <c r="E369" i="103"/>
  <c r="BQ368" i="103"/>
  <c r="BE368" i="103"/>
  <c r="AS368" i="103"/>
  <c r="AG368" i="103"/>
  <c r="I368" i="103"/>
  <c r="BU367" i="103"/>
  <c r="BI367" i="103"/>
  <c r="AW367" i="103"/>
  <c r="AK367" i="103"/>
  <c r="BM366" i="103"/>
  <c r="AO366" i="103"/>
  <c r="Q366" i="103"/>
  <c r="E366" i="103"/>
  <c r="BQ365" i="103"/>
  <c r="BE365" i="103"/>
  <c r="AS365" i="103"/>
  <c r="AG365" i="103"/>
  <c r="I365" i="103"/>
  <c r="BU364" i="103"/>
  <c r="BI364" i="103"/>
  <c r="AW364" i="103"/>
  <c r="AK364" i="103"/>
  <c r="BM363" i="103"/>
  <c r="AO363" i="103"/>
  <c r="Q363" i="103"/>
  <c r="E363" i="103"/>
  <c r="BQ362" i="103"/>
  <c r="BE362" i="103"/>
  <c r="AS362" i="103"/>
  <c r="AG362" i="103"/>
  <c r="I362" i="103"/>
  <c r="BU361" i="103"/>
  <c r="BI361" i="103"/>
  <c r="AW361" i="103"/>
  <c r="AK361" i="103"/>
  <c r="BM360" i="103"/>
  <c r="AO360" i="103"/>
  <c r="Q360" i="103"/>
  <c r="E360" i="103"/>
  <c r="BQ359" i="103"/>
  <c r="BE359" i="103"/>
  <c r="AS359" i="103"/>
  <c r="AG359" i="103"/>
  <c r="I359" i="103"/>
  <c r="BU358" i="103"/>
  <c r="BI358" i="103"/>
  <c r="AW358" i="103"/>
  <c r="AK358" i="103"/>
  <c r="BM357" i="103"/>
  <c r="AO357" i="103"/>
  <c r="Q357" i="103"/>
  <c r="E357" i="103"/>
  <c r="BQ356" i="103"/>
  <c r="BE356" i="103"/>
  <c r="AS356" i="103"/>
  <c r="AG356" i="103"/>
  <c r="I356" i="103"/>
  <c r="BU355" i="103"/>
  <c r="BI355" i="103"/>
  <c r="AW355" i="103"/>
  <c r="AK355" i="103"/>
  <c r="BM354" i="103"/>
  <c r="AO354" i="103"/>
  <c r="Q354" i="103"/>
  <c r="E354" i="103"/>
  <c r="BQ353" i="103"/>
  <c r="BE353" i="103"/>
  <c r="AS353" i="103"/>
  <c r="AG353" i="103"/>
  <c r="I353" i="103"/>
  <c r="BU352" i="103"/>
  <c r="BI352" i="103"/>
  <c r="AW352" i="103"/>
  <c r="AK352" i="103"/>
  <c r="BM351" i="103"/>
  <c r="AO351" i="103"/>
  <c r="Q351" i="103"/>
  <c r="E351" i="103"/>
  <c r="BQ350" i="103"/>
  <c r="BE350" i="103"/>
  <c r="AS350" i="103"/>
  <c r="AG350" i="103"/>
  <c r="I350" i="103"/>
  <c r="BU349" i="103"/>
  <c r="BI349" i="103"/>
  <c r="AW349" i="103"/>
  <c r="AK349" i="103"/>
  <c r="BM375" i="103"/>
  <c r="AO375" i="103"/>
  <c r="Q375" i="103"/>
  <c r="E375" i="103"/>
  <c r="BQ374" i="103"/>
  <c r="BE374" i="103"/>
  <c r="AS374" i="103"/>
  <c r="AG374" i="103"/>
  <c r="I374" i="103"/>
  <c r="BU373" i="103"/>
  <c r="BI373" i="103"/>
  <c r="AW373" i="103"/>
  <c r="AK373" i="103"/>
  <c r="BM372" i="103"/>
  <c r="AO372" i="103"/>
  <c r="Q372" i="103"/>
  <c r="E372" i="103"/>
  <c r="BQ371" i="103"/>
  <c r="BE371" i="103"/>
  <c r="AS371" i="103"/>
  <c r="AG371" i="103"/>
  <c r="I371" i="103"/>
  <c r="BU370" i="103"/>
  <c r="BI370" i="103"/>
  <c r="AW370" i="103"/>
  <c r="AK370" i="103"/>
  <c r="L370" i="103"/>
  <c r="O199" i="13" s="1"/>
  <c r="Q199" i="13" s="1"/>
  <c r="CJ369" i="103"/>
  <c r="BL369" i="103"/>
  <c r="AZ369" i="103"/>
  <c r="P369" i="103"/>
  <c r="BP368" i="103"/>
  <c r="AR368" i="103"/>
  <c r="AF368" i="103"/>
  <c r="T368" i="103"/>
  <c r="BT367" i="103"/>
  <c r="BH367" i="103"/>
  <c r="Q378" i="67" s="1"/>
  <c r="AV367" i="103"/>
  <c r="AJ367" i="103"/>
  <c r="L367" i="103"/>
  <c r="O196" i="13" s="1"/>
  <c r="Q196" i="13" s="1"/>
  <c r="CJ366" i="103"/>
  <c r="BL366" i="103"/>
  <c r="AZ366" i="103"/>
  <c r="P366" i="103"/>
  <c r="BP365" i="103"/>
  <c r="AR365" i="103"/>
  <c r="AF365" i="103"/>
  <c r="T365" i="103"/>
  <c r="BT364" i="103"/>
  <c r="BH364" i="103"/>
  <c r="Q375" i="67" s="1"/>
  <c r="AV364" i="103"/>
  <c r="AJ364" i="103"/>
  <c r="L364" i="103"/>
  <c r="O193" i="13" s="1"/>
  <c r="Q193" i="13" s="1"/>
  <c r="CJ363" i="103"/>
  <c r="BL363" i="103"/>
  <c r="AZ363" i="103"/>
  <c r="P363" i="103"/>
  <c r="BP362" i="103"/>
  <c r="AR362" i="103"/>
  <c r="AF362" i="103"/>
  <c r="T362" i="103"/>
  <c r="BT361" i="103"/>
  <c r="BH361" i="103"/>
  <c r="Q372" i="67" s="1"/>
  <c r="AV361" i="103"/>
  <c r="AJ361" i="103"/>
  <c r="L361" i="103"/>
  <c r="O190" i="13" s="1"/>
  <c r="Q190" i="13" s="1"/>
  <c r="CJ360" i="103"/>
  <c r="BL360" i="103"/>
  <c r="AZ360" i="103"/>
  <c r="P360" i="103"/>
  <c r="BP359" i="103"/>
  <c r="AR359" i="103"/>
  <c r="AF359" i="103"/>
  <c r="T359" i="103"/>
  <c r="BT358" i="103"/>
  <c r="BH358" i="103"/>
  <c r="Q369" i="67" s="1"/>
  <c r="AV358" i="103"/>
  <c r="AJ358" i="103"/>
  <c r="L358" i="103"/>
  <c r="O187" i="13" s="1"/>
  <c r="Q187" i="13" s="1"/>
  <c r="CJ357" i="103"/>
  <c r="BL357" i="103"/>
  <c r="AZ357" i="103"/>
  <c r="P357" i="103"/>
  <c r="BP356" i="103"/>
  <c r="AR356" i="103"/>
  <c r="AF356" i="103"/>
  <c r="T356" i="103"/>
  <c r="BT355" i="103"/>
  <c r="BH355" i="103"/>
  <c r="Q366" i="67" s="1"/>
  <c r="AV355" i="103"/>
  <c r="AJ355" i="103"/>
  <c r="L355" i="103"/>
  <c r="O184" i="13" s="1"/>
  <c r="Q184" i="13" s="1"/>
  <c r="CJ354" i="103"/>
  <c r="BL354" i="103"/>
  <c r="AZ354" i="103"/>
  <c r="P354" i="103"/>
  <c r="BP353" i="103"/>
  <c r="AR353" i="103"/>
  <c r="AF353" i="103"/>
  <c r="T353" i="103"/>
  <c r="BT352" i="103"/>
  <c r="BH352" i="103"/>
  <c r="Q363" i="67" s="1"/>
  <c r="AV352" i="103"/>
  <c r="AJ352" i="103"/>
  <c r="L352" i="103"/>
  <c r="O181" i="13" s="1"/>
  <c r="Q181" i="13" s="1"/>
  <c r="CJ351" i="103"/>
  <c r="BL351" i="103"/>
  <c r="AZ351" i="103"/>
  <c r="CJ375" i="103"/>
  <c r="BL375" i="103"/>
  <c r="AZ375" i="103"/>
  <c r="P375" i="103"/>
  <c r="BP374" i="103"/>
  <c r="AR374" i="103"/>
  <c r="AF374" i="103"/>
  <c r="T374" i="103"/>
  <c r="BT373" i="103"/>
  <c r="BH373" i="103"/>
  <c r="Q384" i="67" s="1"/>
  <c r="AV373" i="103"/>
  <c r="AJ373" i="103"/>
  <c r="L373" i="103"/>
  <c r="O202" i="13" s="1"/>
  <c r="Q202" i="13" s="1"/>
  <c r="CJ372" i="103"/>
  <c r="BL372" i="103"/>
  <c r="AZ372" i="103"/>
  <c r="P372" i="103"/>
  <c r="BP371" i="103"/>
  <c r="AR371" i="103"/>
  <c r="AF371" i="103"/>
  <c r="T371" i="103"/>
  <c r="BT370" i="103"/>
  <c r="BH370" i="103"/>
  <c r="Q381" i="67" s="1"/>
  <c r="AV370" i="103"/>
  <c r="AJ370" i="103"/>
  <c r="BK369" i="103"/>
  <c r="AY369" i="103"/>
  <c r="BO368" i="103"/>
  <c r="BC368" i="103"/>
  <c r="AQ368" i="103"/>
  <c r="AE368" i="103"/>
  <c r="S368" i="103"/>
  <c r="G368" i="103"/>
  <c r="CE367" i="103"/>
  <c r="BS367" i="103"/>
  <c r="AN367" i="103" s="1"/>
  <c r="BG367" i="103"/>
  <c r="AU367" i="103"/>
  <c r="AI367" i="103"/>
  <c r="CE373" i="103"/>
  <c r="AY372" i="103"/>
  <c r="S371" i="103"/>
  <c r="V367" i="103"/>
  <c r="BC365" i="103"/>
  <c r="CE364" i="103"/>
  <c r="BN362" i="103"/>
  <c r="V361" i="103"/>
  <c r="AX360" i="103"/>
  <c r="BO359" i="103"/>
  <c r="AY357" i="103"/>
  <c r="AH355" i="103"/>
  <c r="BJ354" i="103"/>
  <c r="G353" i="103"/>
  <c r="AI352" i="103"/>
  <c r="BK351" i="103"/>
  <c r="AR350" i="103"/>
  <c r="BF349" i="103"/>
  <c r="V349" i="103"/>
  <c r="AY348" i="103"/>
  <c r="E348" i="103"/>
  <c r="BC347" i="103"/>
  <c r="S347" i="103"/>
  <c r="BI346" i="103"/>
  <c r="AU346" i="103"/>
  <c r="AF346" i="103"/>
  <c r="S346" i="103"/>
  <c r="BQ345" i="103"/>
  <c r="BE345" i="103"/>
  <c r="AS345" i="103"/>
  <c r="AG345" i="103"/>
  <c r="I345" i="103"/>
  <c r="BU344" i="103"/>
  <c r="BI344" i="103"/>
  <c r="AW344" i="103"/>
  <c r="AK344" i="103"/>
  <c r="BM343" i="103"/>
  <c r="AO343" i="103"/>
  <c r="Q343" i="103"/>
  <c r="E343" i="103"/>
  <c r="BQ342" i="103"/>
  <c r="BE342" i="103"/>
  <c r="AS342" i="103"/>
  <c r="AG342" i="103"/>
  <c r="I342" i="103"/>
  <c r="BU341" i="103"/>
  <c r="BI341" i="103"/>
  <c r="AW341" i="103"/>
  <c r="AK341" i="103"/>
  <c r="BM340" i="103"/>
  <c r="AO340" i="103"/>
  <c r="Q340" i="103"/>
  <c r="E340" i="103"/>
  <c r="BQ339" i="103"/>
  <c r="BE339" i="103"/>
  <c r="AS339" i="103"/>
  <c r="AG339" i="103"/>
  <c r="I339" i="103"/>
  <c r="BU338" i="103"/>
  <c r="BI338" i="103"/>
  <c r="AW338" i="103"/>
  <c r="AK338" i="103"/>
  <c r="BM337" i="103"/>
  <c r="AO337" i="103"/>
  <c r="Q337" i="103"/>
  <c r="E337" i="103"/>
  <c r="BQ336" i="103"/>
  <c r="BE336" i="103"/>
  <c r="AS336" i="103"/>
  <c r="AG336" i="103"/>
  <c r="I336" i="103"/>
  <c r="BU335" i="103"/>
  <c r="BI335" i="103"/>
  <c r="AW335" i="103"/>
  <c r="AK335" i="103"/>
  <c r="BM334" i="103"/>
  <c r="AO334" i="103"/>
  <c r="Q334" i="103"/>
  <c r="E334" i="103"/>
  <c r="BQ333" i="103"/>
  <c r="BE333" i="103"/>
  <c r="AS333" i="103"/>
  <c r="AG333" i="103"/>
  <c r="I333" i="103"/>
  <c r="BU332" i="103"/>
  <c r="BI332" i="103"/>
  <c r="AW332" i="103"/>
  <c r="AK332" i="103"/>
  <c r="BM331" i="103"/>
  <c r="AO331" i="103"/>
  <c r="Q331" i="103"/>
  <c r="E331" i="103"/>
  <c r="BQ330" i="103"/>
  <c r="BE330" i="103"/>
  <c r="AS330" i="103"/>
  <c r="AG330" i="103"/>
  <c r="BT329" i="103"/>
  <c r="BH329" i="103"/>
  <c r="Q339" i="67" s="1"/>
  <c r="AV329" i="103"/>
  <c r="AJ329" i="103"/>
  <c r="L329" i="103"/>
  <c r="O154" i="13" s="1"/>
  <c r="Q154" i="13" s="1"/>
  <c r="CJ328" i="103"/>
  <c r="BL328" i="103"/>
  <c r="AZ328" i="103"/>
  <c r="P328" i="103"/>
  <c r="BP327" i="103"/>
  <c r="AR327" i="103"/>
  <c r="AF327" i="103"/>
  <c r="T327" i="103"/>
  <c r="BT326" i="103"/>
  <c r="BH326" i="103"/>
  <c r="Q336" i="67" s="1"/>
  <c r="AV326" i="103"/>
  <c r="AJ326" i="103"/>
  <c r="L326" i="103"/>
  <c r="O151" i="13" s="1"/>
  <c r="Q151" i="13" s="1"/>
  <c r="CJ325" i="103"/>
  <c r="BL325" i="103"/>
  <c r="AZ325" i="103"/>
  <c r="P325" i="103"/>
  <c r="BP324" i="103"/>
  <c r="AR324" i="103"/>
  <c r="AF324" i="103"/>
  <c r="T324" i="103"/>
  <c r="BT323" i="103"/>
  <c r="BH323" i="103"/>
  <c r="Q333" i="67" s="1"/>
  <c r="AV323" i="103"/>
  <c r="AJ323" i="103"/>
  <c r="L323" i="103"/>
  <c r="O148" i="13" s="1"/>
  <c r="Q148" i="13" s="1"/>
  <c r="CJ322" i="103"/>
  <c r="BL322" i="103"/>
  <c r="AZ322" i="103"/>
  <c r="P322" i="103"/>
  <c r="BP321" i="103"/>
  <c r="AR321" i="103"/>
  <c r="AF321" i="103"/>
  <c r="T321" i="103"/>
  <c r="BT320" i="103"/>
  <c r="BH320" i="103"/>
  <c r="Q330" i="67" s="1"/>
  <c r="AV320" i="103"/>
  <c r="AJ320" i="103"/>
  <c r="L320" i="103"/>
  <c r="O145" i="13" s="1"/>
  <c r="Q145" i="13" s="1"/>
  <c r="CJ319" i="103"/>
  <c r="BL319" i="103"/>
  <c r="AZ319" i="103"/>
  <c r="P319" i="103"/>
  <c r="BP318" i="103"/>
  <c r="AR318" i="103"/>
  <c r="AF318" i="103"/>
  <c r="T318" i="103"/>
  <c r="BT317" i="103"/>
  <c r="BH317" i="103"/>
  <c r="Q327" i="67" s="1"/>
  <c r="AV317" i="103"/>
  <c r="AJ317" i="103"/>
  <c r="L317" i="103"/>
  <c r="O142" i="13" s="1"/>
  <c r="Q142" i="13" s="1"/>
  <c r="CJ316" i="103"/>
  <c r="BL316" i="103"/>
  <c r="AZ316" i="103"/>
  <c r="P316" i="103"/>
  <c r="BP315" i="103"/>
  <c r="AR315" i="103"/>
  <c r="V126" i="23" s="1"/>
  <c r="AF315" i="103"/>
  <c r="T315" i="103"/>
  <c r="BT314" i="103"/>
  <c r="BH314" i="103"/>
  <c r="Q323" i="67" s="1"/>
  <c r="AV314" i="103"/>
  <c r="AJ314" i="103"/>
  <c r="CJ313" i="103"/>
  <c r="BL313" i="103"/>
  <c r="AZ313" i="103"/>
  <c r="P313" i="103"/>
  <c r="BP312" i="103"/>
  <c r="AR312" i="103"/>
  <c r="AF312" i="103"/>
  <c r="T312" i="103"/>
  <c r="BT311" i="103"/>
  <c r="BH311" i="103"/>
  <c r="Q320" i="67" s="1"/>
  <c r="AV311" i="103"/>
  <c r="AJ311" i="103"/>
  <c r="CJ310" i="103"/>
  <c r="BL310" i="103"/>
  <c r="AZ310" i="103"/>
  <c r="P310" i="103"/>
  <c r="BP309" i="103"/>
  <c r="AR309" i="103"/>
  <c r="AF309" i="103"/>
  <c r="T309" i="103"/>
  <c r="BT308" i="103"/>
  <c r="BH308" i="103"/>
  <c r="Q317" i="67" s="1"/>
  <c r="AV308" i="103"/>
  <c r="AJ308" i="103"/>
  <c r="CJ307" i="103"/>
  <c r="BL307" i="103"/>
  <c r="AZ307" i="103"/>
  <c r="P307" i="103"/>
  <c r="BP306" i="103"/>
  <c r="BS373" i="103"/>
  <c r="AN373" i="103" s="1"/>
  <c r="G371" i="103"/>
  <c r="AP368" i="103"/>
  <c r="BC362" i="103"/>
  <c r="CE361" i="103"/>
  <c r="BN359" i="103"/>
  <c r="V358" i="103"/>
  <c r="AX357" i="103"/>
  <c r="BO356" i="103"/>
  <c r="AY354" i="103"/>
  <c r="AH352" i="103"/>
  <c r="BJ351" i="103"/>
  <c r="AQ350" i="103"/>
  <c r="AY349" i="103"/>
  <c r="AX348" i="103"/>
  <c r="BV347" i="103"/>
  <c r="AI347" i="103"/>
  <c r="BV346" i="103"/>
  <c r="BH346" i="103"/>
  <c r="Q357" i="67" s="1"/>
  <c r="AT346" i="103"/>
  <c r="AE346" i="103"/>
  <c r="E346" i="103"/>
  <c r="BP345" i="103"/>
  <c r="AR345" i="103"/>
  <c r="AF345" i="103"/>
  <c r="T345" i="103"/>
  <c r="BT344" i="103"/>
  <c r="BH344" i="103"/>
  <c r="Q354" i="67" s="1"/>
  <c r="AV344" i="103"/>
  <c r="AJ344" i="103"/>
  <c r="L344" i="103"/>
  <c r="O169" i="13" s="1"/>
  <c r="Q169" i="13" s="1"/>
  <c r="CJ343" i="103"/>
  <c r="BL343" i="103"/>
  <c r="AZ343" i="103"/>
  <c r="P343" i="103"/>
  <c r="BP342" i="103"/>
  <c r="AR342" i="103"/>
  <c r="AF342" i="103"/>
  <c r="T342" i="103"/>
  <c r="BT341" i="103"/>
  <c r="BH341" i="103"/>
  <c r="Q351" i="67" s="1"/>
  <c r="AV341" i="103"/>
  <c r="AJ341" i="103"/>
  <c r="L341" i="103"/>
  <c r="O166" i="13" s="1"/>
  <c r="Q166" i="13" s="1"/>
  <c r="CJ340" i="103"/>
  <c r="BL340" i="103"/>
  <c r="AZ340" i="103"/>
  <c r="P340" i="103"/>
  <c r="BP339" i="103"/>
  <c r="AR339" i="103"/>
  <c r="AF339" i="103"/>
  <c r="T339" i="103"/>
  <c r="BT338" i="103"/>
  <c r="BH338" i="103"/>
  <c r="Q348" i="67" s="1"/>
  <c r="AV338" i="103"/>
  <c r="AJ338" i="103"/>
  <c r="L338" i="103"/>
  <c r="O163" i="13" s="1"/>
  <c r="Q163" i="13" s="1"/>
  <c r="CJ337" i="103"/>
  <c r="BL337" i="103"/>
  <c r="AZ337" i="103"/>
  <c r="P337" i="103"/>
  <c r="BP336" i="103"/>
  <c r="AR336" i="103"/>
  <c r="AF336" i="103"/>
  <c r="T336" i="103"/>
  <c r="BT335" i="103"/>
  <c r="BH335" i="103"/>
  <c r="Q345" i="67" s="1"/>
  <c r="AV335" i="103"/>
  <c r="AJ335" i="103"/>
  <c r="L335" i="103"/>
  <c r="O160" i="13" s="1"/>
  <c r="Q160" i="13" s="1"/>
  <c r="CJ334" i="103"/>
  <c r="BL334" i="103"/>
  <c r="AZ334" i="103"/>
  <c r="P334" i="103"/>
  <c r="BP333" i="103"/>
  <c r="AR333" i="103"/>
  <c r="AF333" i="103"/>
  <c r="T333" i="103"/>
  <c r="BT332" i="103"/>
  <c r="BH332" i="103"/>
  <c r="Q342" i="67" s="1"/>
  <c r="AV332" i="103"/>
  <c r="AJ332" i="103"/>
  <c r="L332" i="103"/>
  <c r="O157" i="13" s="1"/>
  <c r="Q157" i="13" s="1"/>
  <c r="CJ331" i="103"/>
  <c r="BL331" i="103"/>
  <c r="AZ331" i="103"/>
  <c r="P331" i="103"/>
  <c r="BP330" i="103"/>
  <c r="AR330" i="103"/>
  <c r="AF330" i="103"/>
  <c r="T330" i="103"/>
  <c r="G330" i="103"/>
  <c r="CE329" i="103"/>
  <c r="BS329" i="103"/>
  <c r="AN329" i="103" s="1"/>
  <c r="BG329" i="103"/>
  <c r="AU329" i="103"/>
  <c r="AI329" i="103"/>
  <c r="BK328" i="103"/>
  <c r="AY328" i="103"/>
  <c r="BO327" i="103"/>
  <c r="BC327" i="103"/>
  <c r="AQ327" i="103"/>
  <c r="AE327" i="103"/>
  <c r="S327" i="103"/>
  <c r="G327" i="103"/>
  <c r="CE326" i="103"/>
  <c r="BS326" i="103"/>
  <c r="AN326" i="103" s="1"/>
  <c r="BG326" i="103"/>
  <c r="AU326" i="103"/>
  <c r="AI326" i="103"/>
  <c r="BK325" i="103"/>
  <c r="AY325" i="103"/>
  <c r="BO324" i="103"/>
  <c r="BC324" i="103"/>
  <c r="AQ324" i="103"/>
  <c r="AE324" i="103"/>
  <c r="S324" i="103"/>
  <c r="G324" i="103"/>
  <c r="CE323" i="103"/>
  <c r="BS323" i="103"/>
  <c r="AN323" i="103" s="1"/>
  <c r="BG323" i="103"/>
  <c r="AU323" i="103"/>
  <c r="AI323" i="103"/>
  <c r="BK322" i="103"/>
  <c r="AY322" i="103"/>
  <c r="BO321" i="103"/>
  <c r="BC321" i="103"/>
  <c r="AQ321" i="103"/>
  <c r="AE321" i="103"/>
  <c r="S321" i="103"/>
  <c r="G321" i="103"/>
  <c r="CE320" i="103"/>
  <c r="BS320" i="103"/>
  <c r="AN320" i="103" s="1"/>
  <c r="BG320" i="103"/>
  <c r="AU320" i="103"/>
  <c r="AI320" i="103"/>
  <c r="BK319" i="103"/>
  <c r="AY319" i="103"/>
  <c r="BO318" i="103"/>
  <c r="BC318" i="103"/>
  <c r="AQ318" i="103"/>
  <c r="AE318" i="103"/>
  <c r="S318" i="103"/>
  <c r="G318" i="103"/>
  <c r="CE317" i="103"/>
  <c r="BS317" i="103"/>
  <c r="AN317" i="103" s="1"/>
  <c r="BG317" i="103"/>
  <c r="AU317" i="103"/>
  <c r="AI317" i="103"/>
  <c r="BK316" i="103"/>
  <c r="AY316" i="103"/>
  <c r="BO315" i="103"/>
  <c r="BC315" i="103"/>
  <c r="AQ315" i="103"/>
  <c r="AE315" i="103"/>
  <c r="S315" i="103"/>
  <c r="G315" i="103"/>
  <c r="CE314" i="103"/>
  <c r="BS314" i="103"/>
  <c r="AN314" i="103" s="1"/>
  <c r="BG314" i="103"/>
  <c r="AU314" i="103"/>
  <c r="AI314" i="103"/>
  <c r="BK313" i="103"/>
  <c r="AY313" i="103"/>
  <c r="BO312" i="103"/>
  <c r="BC312" i="103"/>
  <c r="AQ312" i="103"/>
  <c r="AE312" i="103"/>
  <c r="S312" i="103"/>
  <c r="G312" i="103"/>
  <c r="CE311" i="103"/>
  <c r="BS311" i="103"/>
  <c r="AN311" i="103" s="1"/>
  <c r="BG311" i="103"/>
  <c r="AU311" i="103"/>
  <c r="AI311" i="103"/>
  <c r="BK310" i="103"/>
  <c r="AY310" i="103"/>
  <c r="BO309" i="103"/>
  <c r="BC309" i="103"/>
  <c r="AQ309" i="103"/>
  <c r="AE309" i="103"/>
  <c r="S309" i="103"/>
  <c r="G309" i="103"/>
  <c r="CE308" i="103"/>
  <c r="BS308" i="103"/>
  <c r="AN308" i="103" s="1"/>
  <c r="BG308" i="103"/>
  <c r="AU308" i="103"/>
  <c r="AI308" i="103"/>
  <c r="BG373" i="103"/>
  <c r="BV369" i="103"/>
  <c r="AD368" i="103"/>
  <c r="AQ365" i="103"/>
  <c r="BS364" i="103"/>
  <c r="AN364" i="103" s="1"/>
  <c r="BC359" i="103"/>
  <c r="CE358" i="103"/>
  <c r="BN356" i="103"/>
  <c r="V355" i="103"/>
  <c r="AX354" i="103"/>
  <c r="BO353" i="103"/>
  <c r="AY351" i="103"/>
  <c r="AP350" i="103"/>
  <c r="AV349" i="103"/>
  <c r="L349" i="103"/>
  <c r="O178" i="13" s="1"/>
  <c r="Q178" i="13" s="1"/>
  <c r="BV348" i="103"/>
  <c r="AU348" i="103"/>
  <c r="BS347" i="103"/>
  <c r="AN347" i="103" s="1"/>
  <c r="AZ347" i="103"/>
  <c r="AG347" i="103"/>
  <c r="P347" i="103"/>
  <c r="BU346" i="103"/>
  <c r="BG346" i="103"/>
  <c r="AR346" i="103"/>
  <c r="AD346" i="103"/>
  <c r="Q346" i="103"/>
  <c r="BO345" i="103"/>
  <c r="BC345" i="103"/>
  <c r="AQ345" i="103"/>
  <c r="AE345" i="103"/>
  <c r="S345" i="103"/>
  <c r="G345" i="103"/>
  <c r="CE344" i="103"/>
  <c r="BS344" i="103"/>
  <c r="AN344" i="103" s="1"/>
  <c r="BG344" i="103"/>
  <c r="AU344" i="103"/>
  <c r="AI344" i="103"/>
  <c r="BK343" i="103"/>
  <c r="AY343" i="103"/>
  <c r="BO342" i="103"/>
  <c r="BC342" i="103"/>
  <c r="AQ342" i="103"/>
  <c r="AE342" i="103"/>
  <c r="S342" i="103"/>
  <c r="G342" i="103"/>
  <c r="CE341" i="103"/>
  <c r="BS341" i="103"/>
  <c r="AN341" i="103" s="1"/>
  <c r="BG341" i="103"/>
  <c r="AU341" i="103"/>
  <c r="AI341" i="103"/>
  <c r="BK340" i="103"/>
  <c r="AY340" i="103"/>
  <c r="BO339" i="103"/>
  <c r="BC339" i="103"/>
  <c r="AQ339" i="103"/>
  <c r="AE339" i="103"/>
  <c r="S339" i="103"/>
  <c r="G339" i="103"/>
  <c r="CE338" i="103"/>
  <c r="BS338" i="103"/>
  <c r="AN338" i="103" s="1"/>
  <c r="BG338" i="103"/>
  <c r="AU338" i="103"/>
  <c r="AI338" i="103"/>
  <c r="BK337" i="103"/>
  <c r="AY337" i="103"/>
  <c r="BO336" i="103"/>
  <c r="BC336" i="103"/>
  <c r="AQ336" i="103"/>
  <c r="AE336" i="103"/>
  <c r="S336" i="103"/>
  <c r="G336" i="103"/>
  <c r="CE335" i="103"/>
  <c r="BS335" i="103"/>
  <c r="AN335" i="103" s="1"/>
  <c r="BG335" i="103"/>
  <c r="AU335" i="103"/>
  <c r="AI335" i="103"/>
  <c r="BK334" i="103"/>
  <c r="AY334" i="103"/>
  <c r="BO333" i="103"/>
  <c r="BC333" i="103"/>
  <c r="AQ333" i="103"/>
  <c r="AE333" i="103"/>
  <c r="S333" i="103"/>
  <c r="G333" i="103"/>
  <c r="CE332" i="103"/>
  <c r="BS332" i="103"/>
  <c r="AN332" i="103" s="1"/>
  <c r="BG332" i="103"/>
  <c r="AU332" i="103"/>
  <c r="AI332" i="103"/>
  <c r="BK331" i="103"/>
  <c r="AY331" i="103"/>
  <c r="BO330" i="103"/>
  <c r="BC330" i="103"/>
  <c r="AQ330" i="103"/>
  <c r="AE330" i="103"/>
  <c r="S330" i="103"/>
  <c r="BR329" i="103"/>
  <c r="BF329" i="103"/>
  <c r="AT329" i="103"/>
  <c r="AH329" i="103"/>
  <c r="V329" i="103"/>
  <c r="BV328" i="103"/>
  <c r="BJ328" i="103"/>
  <c r="AX328" i="103"/>
  <c r="N328" i="103"/>
  <c r="BN327" i="103"/>
  <c r="AP327" i="103"/>
  <c r="AD327" i="103"/>
  <c r="BR326" i="103"/>
  <c r="BF326" i="103"/>
  <c r="AT326" i="103"/>
  <c r="AH326" i="103"/>
  <c r="V326" i="103"/>
  <c r="BV325" i="103"/>
  <c r="BJ325" i="103"/>
  <c r="AX325" i="103"/>
  <c r="N325" i="103"/>
  <c r="BN324" i="103"/>
  <c r="AP324" i="103"/>
  <c r="AD324" i="103"/>
  <c r="BR323" i="103"/>
  <c r="BF323" i="103"/>
  <c r="AT323" i="103"/>
  <c r="AH323" i="103"/>
  <c r="V323" i="103"/>
  <c r="BV322" i="103"/>
  <c r="BJ322" i="103"/>
  <c r="AX322" i="103"/>
  <c r="N322" i="103"/>
  <c r="BN321" i="103"/>
  <c r="AP321" i="103"/>
  <c r="AD321" i="103"/>
  <c r="BR320" i="103"/>
  <c r="BF320" i="103"/>
  <c r="AT320" i="103"/>
  <c r="AH320" i="103"/>
  <c r="V320" i="103"/>
  <c r="BV319" i="103"/>
  <c r="BJ319" i="103"/>
  <c r="AX319" i="103"/>
  <c r="N319" i="103"/>
  <c r="BN318" i="103"/>
  <c r="AP318" i="103"/>
  <c r="AD318" i="103"/>
  <c r="BR317" i="103"/>
  <c r="BF317" i="103"/>
  <c r="AT317" i="103"/>
  <c r="AH317" i="103"/>
  <c r="V317" i="103"/>
  <c r="BV316" i="103"/>
  <c r="BJ316" i="103"/>
  <c r="AX316" i="103"/>
  <c r="N316" i="103"/>
  <c r="BN315" i="103"/>
  <c r="AP315" i="103"/>
  <c r="J126" i="23" s="1"/>
  <c r="AD315" i="103"/>
  <c r="BR314" i="103"/>
  <c r="BF314" i="103"/>
  <c r="AT314" i="103"/>
  <c r="AH314" i="103"/>
  <c r="V314" i="103"/>
  <c r="BV313" i="103"/>
  <c r="BJ313" i="103"/>
  <c r="AX313" i="103"/>
  <c r="N313" i="103"/>
  <c r="BN312" i="103"/>
  <c r="AP312" i="103"/>
  <c r="AD312" i="103"/>
  <c r="BR311" i="103"/>
  <c r="BF311" i="103"/>
  <c r="AT311" i="103"/>
  <c r="AH311" i="103"/>
  <c r="V311" i="103"/>
  <c r="BV310" i="103"/>
  <c r="BJ310" i="103"/>
  <c r="AX310" i="103"/>
  <c r="N310" i="103"/>
  <c r="BN309" i="103"/>
  <c r="AP309" i="103"/>
  <c r="AD309" i="103"/>
  <c r="AU373" i="103"/>
  <c r="BJ369" i="103"/>
  <c r="AP365" i="103"/>
  <c r="BR364" i="103"/>
  <c r="AQ362" i="103"/>
  <c r="BS361" i="103"/>
  <c r="AN361" i="103" s="1"/>
  <c r="BC356" i="103"/>
  <c r="CE355" i="103"/>
  <c r="BN353" i="103"/>
  <c r="V352" i="103"/>
  <c r="AX351" i="103"/>
  <c r="AF350" i="103"/>
  <c r="CE349" i="103"/>
  <c r="AU349" i="103"/>
  <c r="BO348" i="103"/>
  <c r="AQ348" i="103"/>
  <c r="V348" i="103"/>
  <c r="BQ347" i="103"/>
  <c r="AY347" i="103"/>
  <c r="AF347" i="103"/>
  <c r="BT346" i="103"/>
  <c r="BF346" i="103"/>
  <c r="AQ346" i="103"/>
  <c r="P346" i="103"/>
  <c r="BN345" i="103"/>
  <c r="AP345" i="103"/>
  <c r="AD345" i="103"/>
  <c r="BR344" i="103"/>
  <c r="BF344" i="103"/>
  <c r="AT344" i="103"/>
  <c r="AH344" i="103"/>
  <c r="V344" i="103"/>
  <c r="BV343" i="103"/>
  <c r="BJ343" i="103"/>
  <c r="AX343" i="103"/>
  <c r="N343" i="103"/>
  <c r="BN342" i="103"/>
  <c r="AP342" i="103"/>
  <c r="AD342" i="103"/>
  <c r="BR341" i="103"/>
  <c r="BF341" i="103"/>
  <c r="AT341" i="103"/>
  <c r="AH341" i="103"/>
  <c r="V341" i="103"/>
  <c r="BV340" i="103"/>
  <c r="BJ340" i="103"/>
  <c r="AX340" i="103"/>
  <c r="N340" i="103"/>
  <c r="BN339" i="103"/>
  <c r="AP339" i="103"/>
  <c r="AD339" i="103"/>
  <c r="BR338" i="103"/>
  <c r="BF338" i="103"/>
  <c r="AT338" i="103"/>
  <c r="AH338" i="103"/>
  <c r="V338" i="103"/>
  <c r="BV337" i="103"/>
  <c r="BJ337" i="103"/>
  <c r="AX337" i="103"/>
  <c r="N337" i="103"/>
  <c r="BN336" i="103"/>
  <c r="AP336" i="103"/>
  <c r="AD336" i="103"/>
  <c r="BR335" i="103"/>
  <c r="BF335" i="103"/>
  <c r="AT335" i="103"/>
  <c r="AH335" i="103"/>
  <c r="V335" i="103"/>
  <c r="BV334" i="103"/>
  <c r="BJ334" i="103"/>
  <c r="AX334" i="103"/>
  <c r="N334" i="103"/>
  <c r="BN333" i="103"/>
  <c r="AP333" i="103"/>
  <c r="AD333" i="103"/>
  <c r="BR332" i="103"/>
  <c r="BF332" i="103"/>
  <c r="AT332" i="103"/>
  <c r="AH332" i="103"/>
  <c r="V332" i="103"/>
  <c r="BV331" i="103"/>
  <c r="BJ331" i="103"/>
  <c r="AX331" i="103"/>
  <c r="N331" i="103"/>
  <c r="BN330" i="103"/>
  <c r="AP330" i="103"/>
  <c r="AD330" i="103"/>
  <c r="E330" i="103"/>
  <c r="BQ329" i="103"/>
  <c r="BE329" i="103"/>
  <c r="AS329" i="103"/>
  <c r="AG329" i="103"/>
  <c r="I329" i="103"/>
  <c r="BU328" i="103"/>
  <c r="BI328" i="103"/>
  <c r="AW328" i="103"/>
  <c r="AK328" i="103"/>
  <c r="BM327" i="103"/>
  <c r="AO327" i="103"/>
  <c r="Q327" i="103"/>
  <c r="E327" i="103"/>
  <c r="BQ326" i="103"/>
  <c r="BE326" i="103"/>
  <c r="AS326" i="103"/>
  <c r="AG326" i="103"/>
  <c r="I326" i="103"/>
  <c r="BU325" i="103"/>
  <c r="BI325" i="103"/>
  <c r="AW325" i="103"/>
  <c r="AK325" i="103"/>
  <c r="BM324" i="103"/>
  <c r="AO324" i="103"/>
  <c r="Q324" i="103"/>
  <c r="E324" i="103"/>
  <c r="BQ323" i="103"/>
  <c r="BE323" i="103"/>
  <c r="AS323" i="103"/>
  <c r="AG323" i="103"/>
  <c r="I323" i="103"/>
  <c r="BU322" i="103"/>
  <c r="BI322" i="103"/>
  <c r="AW322" i="103"/>
  <c r="AK322" i="103"/>
  <c r="BM321" i="103"/>
  <c r="AO321" i="103"/>
  <c r="Q321" i="103"/>
  <c r="E321" i="103"/>
  <c r="BQ320" i="103"/>
  <c r="BE320" i="103"/>
  <c r="AS320" i="103"/>
  <c r="AG320" i="103"/>
  <c r="I320" i="103"/>
  <c r="BU319" i="103"/>
  <c r="BI319" i="103"/>
  <c r="AW319" i="103"/>
  <c r="AK319" i="103"/>
  <c r="BM318" i="103"/>
  <c r="AO318" i="103"/>
  <c r="Q318" i="103"/>
  <c r="E318" i="103"/>
  <c r="BQ317" i="103"/>
  <c r="BE317" i="103"/>
  <c r="AS317" i="103"/>
  <c r="AG317" i="103"/>
  <c r="I317" i="103"/>
  <c r="BU316" i="103"/>
  <c r="BI316" i="103"/>
  <c r="AW316" i="103"/>
  <c r="AK316" i="103"/>
  <c r="BM315" i="103"/>
  <c r="AO315" i="103"/>
  <c r="D126" i="23" s="1"/>
  <c r="Q315" i="103"/>
  <c r="BQ314" i="103"/>
  <c r="BE314" i="103"/>
  <c r="AS314" i="103"/>
  <c r="AG314" i="103"/>
  <c r="I314" i="103"/>
  <c r="BU313" i="103"/>
  <c r="BI313" i="103"/>
  <c r="AW313" i="103"/>
  <c r="AK313" i="103"/>
  <c r="BM312" i="103"/>
  <c r="AO312" i="103"/>
  <c r="Q312" i="103"/>
  <c r="BQ311" i="103"/>
  <c r="BE311" i="103"/>
  <c r="AS311" i="103"/>
  <c r="AG311" i="103"/>
  <c r="I311" i="103"/>
  <c r="BU310" i="103"/>
  <c r="BI310" i="103"/>
  <c r="AW310" i="103"/>
  <c r="AK310" i="103"/>
  <c r="BM309" i="103"/>
  <c r="AO309" i="103"/>
  <c r="Q309" i="103"/>
  <c r="BQ308" i="103"/>
  <c r="BE308" i="103"/>
  <c r="AS308" i="103"/>
  <c r="AG308" i="103"/>
  <c r="I308" i="103"/>
  <c r="BU307" i="103"/>
  <c r="BI307" i="103"/>
  <c r="AW307" i="103"/>
  <c r="AK307" i="103"/>
  <c r="BM306" i="103"/>
  <c r="AO306" i="103"/>
  <c r="Q306" i="103"/>
  <c r="BO374" i="103"/>
  <c r="AI373" i="103"/>
  <c r="CE370" i="103"/>
  <c r="AX369" i="103"/>
  <c r="N366" i="103"/>
  <c r="AE365" i="103"/>
  <c r="BG364" i="103"/>
  <c r="AP362" i="103"/>
  <c r="BR361" i="103"/>
  <c r="AQ359" i="103"/>
  <c r="BS358" i="103"/>
  <c r="BC353" i="103"/>
  <c r="CE352" i="103"/>
  <c r="AE350" i="103"/>
  <c r="AT349" i="103"/>
  <c r="BM348" i="103"/>
  <c r="AO348" i="103"/>
  <c r="S348" i="103"/>
  <c r="BP347" i="103"/>
  <c r="AX347" i="103"/>
  <c r="AE347" i="103"/>
  <c r="N347" i="103"/>
  <c r="BS346" i="103"/>
  <c r="AN346" i="103" s="1"/>
  <c r="AP346" i="103"/>
  <c r="BM345" i="103"/>
  <c r="AO345" i="103"/>
  <c r="Q345" i="103"/>
  <c r="E345" i="103"/>
  <c r="BQ344" i="103"/>
  <c r="BE344" i="103"/>
  <c r="AS344" i="103"/>
  <c r="AG344" i="103"/>
  <c r="I344" i="103"/>
  <c r="BU343" i="103"/>
  <c r="BI343" i="103"/>
  <c r="AW343" i="103"/>
  <c r="AK343" i="103"/>
  <c r="BM342" i="103"/>
  <c r="AO342" i="103"/>
  <c r="Q342" i="103"/>
  <c r="E342" i="103"/>
  <c r="BQ341" i="103"/>
  <c r="BE341" i="103"/>
  <c r="AS341" i="103"/>
  <c r="AG341" i="103"/>
  <c r="I341" i="103"/>
  <c r="BU340" i="103"/>
  <c r="BI340" i="103"/>
  <c r="AW340" i="103"/>
  <c r="AK340" i="103"/>
  <c r="BM339" i="103"/>
  <c r="AO339" i="103"/>
  <c r="Q339" i="103"/>
  <c r="E339" i="103"/>
  <c r="BQ338" i="103"/>
  <c r="BE338" i="103"/>
  <c r="AS338" i="103"/>
  <c r="AG338" i="103"/>
  <c r="I338" i="103"/>
  <c r="BU337" i="103"/>
  <c r="BI337" i="103"/>
  <c r="AW337" i="103"/>
  <c r="AK337" i="103"/>
  <c r="BM336" i="103"/>
  <c r="AO336" i="103"/>
  <c r="Q336" i="103"/>
  <c r="E336" i="103"/>
  <c r="BQ335" i="103"/>
  <c r="BE335" i="103"/>
  <c r="AS335" i="103"/>
  <c r="AG335" i="103"/>
  <c r="I335" i="103"/>
  <c r="BU334" i="103"/>
  <c r="BI334" i="103"/>
  <c r="AW334" i="103"/>
  <c r="AK334" i="103"/>
  <c r="BM333" i="103"/>
  <c r="AO333" i="103"/>
  <c r="Q333" i="103"/>
  <c r="E333" i="103"/>
  <c r="BQ332" i="103"/>
  <c r="BE332" i="103"/>
  <c r="AS332" i="103"/>
  <c r="AG332" i="103"/>
  <c r="I332" i="103"/>
  <c r="BU331" i="103"/>
  <c r="BI331" i="103"/>
  <c r="AW331" i="103"/>
  <c r="AK331" i="103"/>
  <c r="BM330" i="103"/>
  <c r="AO330" i="103"/>
  <c r="Q330" i="103"/>
  <c r="BP329" i="103"/>
  <c r="AR329" i="103"/>
  <c r="AF329" i="103"/>
  <c r="T329" i="103"/>
  <c r="BT328" i="103"/>
  <c r="BH328" i="103"/>
  <c r="Q338" i="67" s="1"/>
  <c r="AV328" i="103"/>
  <c r="AJ328" i="103"/>
  <c r="L328" i="103"/>
  <c r="O153" i="13" s="1"/>
  <c r="Q153" i="13" s="1"/>
  <c r="CJ327" i="103"/>
  <c r="BL327" i="103"/>
  <c r="AZ327" i="103"/>
  <c r="P327" i="103"/>
  <c r="BP326" i="103"/>
  <c r="AR326" i="103"/>
  <c r="AF326" i="103"/>
  <c r="T326" i="103"/>
  <c r="BT325" i="103"/>
  <c r="BH325" i="103"/>
  <c r="Q335" i="67" s="1"/>
  <c r="AV325" i="103"/>
  <c r="AJ325" i="103"/>
  <c r="L325" i="103"/>
  <c r="O150" i="13" s="1"/>
  <c r="Q150" i="13" s="1"/>
  <c r="CJ324" i="103"/>
  <c r="BL324" i="103"/>
  <c r="AZ324" i="103"/>
  <c r="P324" i="103"/>
  <c r="BP323" i="103"/>
  <c r="AR323" i="103"/>
  <c r="AF323" i="103"/>
  <c r="T323" i="103"/>
  <c r="BT322" i="103"/>
  <c r="BH322" i="103"/>
  <c r="Q332" i="67" s="1"/>
  <c r="AV322" i="103"/>
  <c r="AJ322" i="103"/>
  <c r="L322" i="103"/>
  <c r="O147" i="13" s="1"/>
  <c r="Q147" i="13" s="1"/>
  <c r="CJ321" i="103"/>
  <c r="BL321" i="103"/>
  <c r="AZ321" i="103"/>
  <c r="P321" i="103"/>
  <c r="BP320" i="103"/>
  <c r="AR320" i="103"/>
  <c r="AF320" i="103"/>
  <c r="T320" i="103"/>
  <c r="BT319" i="103"/>
  <c r="BH319" i="103"/>
  <c r="Q329" i="67" s="1"/>
  <c r="AV319" i="103"/>
  <c r="AJ319" i="103"/>
  <c r="L319" i="103"/>
  <c r="O144" i="13" s="1"/>
  <c r="Q144" i="13" s="1"/>
  <c r="CJ318" i="103"/>
  <c r="BL318" i="103"/>
  <c r="AZ318" i="103"/>
  <c r="P318" i="103"/>
  <c r="BP317" i="103"/>
  <c r="AR317" i="103"/>
  <c r="AF317" i="103"/>
  <c r="T317" i="103"/>
  <c r="BT316" i="103"/>
  <c r="BH316" i="103"/>
  <c r="Q326" i="67" s="1"/>
  <c r="AV316" i="103"/>
  <c r="AJ316" i="103"/>
  <c r="L316" i="103"/>
  <c r="O141" i="13" s="1"/>
  <c r="Q141" i="13" s="1"/>
  <c r="CJ315" i="103"/>
  <c r="BL315" i="103"/>
  <c r="AZ315" i="103"/>
  <c r="P315" i="103"/>
  <c r="BP314" i="103"/>
  <c r="AR314" i="103"/>
  <c r="AF314" i="103"/>
  <c r="T314" i="103"/>
  <c r="BT313" i="103"/>
  <c r="BH313" i="103"/>
  <c r="Q322" i="67" s="1"/>
  <c r="AV313" i="103"/>
  <c r="AJ313" i="103"/>
  <c r="CJ312" i="103"/>
  <c r="BL312" i="103"/>
  <c r="AZ312" i="103"/>
  <c r="P312" i="103"/>
  <c r="BP311" i="103"/>
  <c r="AR311" i="103"/>
  <c r="AF311" i="103"/>
  <c r="T311" i="103"/>
  <c r="BT310" i="103"/>
  <c r="BH310" i="103"/>
  <c r="Q319" i="67" s="1"/>
  <c r="AV310" i="103"/>
  <c r="AJ310" i="103"/>
  <c r="CJ309" i="103"/>
  <c r="BL309" i="103"/>
  <c r="AZ309" i="103"/>
  <c r="P309" i="103"/>
  <c r="BP308" i="103"/>
  <c r="BC374" i="103"/>
  <c r="BS370" i="103"/>
  <c r="AN370" i="103" s="1"/>
  <c r="AD365" i="103"/>
  <c r="BF364" i="103"/>
  <c r="N363" i="103"/>
  <c r="AE362" i="103"/>
  <c r="BG361" i="103"/>
  <c r="AP359" i="103"/>
  <c r="BR358" i="103"/>
  <c r="AQ356" i="103"/>
  <c r="BS355" i="103"/>
  <c r="AD350" i="103"/>
  <c r="BL348" i="103"/>
  <c r="Q348" i="103"/>
  <c r="BO347" i="103"/>
  <c r="AU347" i="103"/>
  <c r="AD347" i="103"/>
  <c r="BR346" i="103"/>
  <c r="BC346" i="103"/>
  <c r="AO346" i="103"/>
  <c r="N346" i="103"/>
  <c r="BL345" i="103"/>
  <c r="AZ345" i="103"/>
  <c r="P345" i="103"/>
  <c r="BP344" i="103"/>
  <c r="AR344" i="103"/>
  <c r="AF344" i="103"/>
  <c r="T344" i="103"/>
  <c r="BT343" i="103"/>
  <c r="BH343" i="103"/>
  <c r="Q353" i="67" s="1"/>
  <c r="AV343" i="103"/>
  <c r="AJ343" i="103"/>
  <c r="L343" i="103"/>
  <c r="O168" i="13" s="1"/>
  <c r="Q168" i="13" s="1"/>
  <c r="CJ342" i="103"/>
  <c r="BL342" i="103"/>
  <c r="AZ342" i="103"/>
  <c r="P342" i="103"/>
  <c r="BP341" i="103"/>
  <c r="AR341" i="103"/>
  <c r="AF341" i="103"/>
  <c r="T341" i="103"/>
  <c r="BT340" i="103"/>
  <c r="BH340" i="103"/>
  <c r="Q350" i="67" s="1"/>
  <c r="AV340" i="103"/>
  <c r="AJ340" i="103"/>
  <c r="L340" i="103"/>
  <c r="O165" i="13" s="1"/>
  <c r="Q165" i="13" s="1"/>
  <c r="CJ339" i="103"/>
  <c r="BL339" i="103"/>
  <c r="AZ339" i="103"/>
  <c r="P339" i="103"/>
  <c r="BP338" i="103"/>
  <c r="AR338" i="103"/>
  <c r="AF338" i="103"/>
  <c r="T338" i="103"/>
  <c r="BT337" i="103"/>
  <c r="BH337" i="103"/>
  <c r="Q347" i="67" s="1"/>
  <c r="AV337" i="103"/>
  <c r="AJ337" i="103"/>
  <c r="L337" i="103"/>
  <c r="O162" i="13" s="1"/>
  <c r="Q162" i="13" s="1"/>
  <c r="CJ336" i="103"/>
  <c r="BL336" i="103"/>
  <c r="AZ336" i="103"/>
  <c r="P336" i="103"/>
  <c r="BP335" i="103"/>
  <c r="AR335" i="103"/>
  <c r="AF335" i="103"/>
  <c r="T335" i="103"/>
  <c r="BT334" i="103"/>
  <c r="BH334" i="103"/>
  <c r="Q344" i="67" s="1"/>
  <c r="AV334" i="103"/>
  <c r="AJ334" i="103"/>
  <c r="L334" i="103"/>
  <c r="O159" i="13" s="1"/>
  <c r="Q159" i="13" s="1"/>
  <c r="CJ333" i="103"/>
  <c r="BL333" i="103"/>
  <c r="AZ333" i="103"/>
  <c r="P333" i="103"/>
  <c r="BP332" i="103"/>
  <c r="AR332" i="103"/>
  <c r="AF332" i="103"/>
  <c r="T332" i="103"/>
  <c r="BT331" i="103"/>
  <c r="BH331" i="103"/>
  <c r="Q341" i="67" s="1"/>
  <c r="AV331" i="103"/>
  <c r="AJ331" i="103"/>
  <c r="L331" i="103"/>
  <c r="O156" i="13" s="1"/>
  <c r="Q156" i="13" s="1"/>
  <c r="CJ330" i="103"/>
  <c r="BL330" i="103"/>
  <c r="AZ330" i="103"/>
  <c r="P330" i="103"/>
  <c r="BO329" i="103"/>
  <c r="BC329" i="103"/>
  <c r="AQ329" i="103"/>
  <c r="AE329" i="103"/>
  <c r="S329" i="103"/>
  <c r="G329" i="103"/>
  <c r="CE328" i="103"/>
  <c r="BS328" i="103"/>
  <c r="BG328" i="103"/>
  <c r="AU328" i="103"/>
  <c r="AI328" i="103"/>
  <c r="BK327" i="103"/>
  <c r="AY327" i="103"/>
  <c r="BO326" i="103"/>
  <c r="BC326" i="103"/>
  <c r="AQ326" i="103"/>
  <c r="AE326" i="103"/>
  <c r="S326" i="103"/>
  <c r="G326" i="103"/>
  <c r="CE325" i="103"/>
  <c r="BS325" i="103"/>
  <c r="BG325" i="103"/>
  <c r="AU325" i="103"/>
  <c r="AI325" i="103"/>
  <c r="BK324" i="103"/>
  <c r="AY324" i="103"/>
  <c r="BO323" i="103"/>
  <c r="BC323" i="103"/>
  <c r="AQ323" i="103"/>
  <c r="AE323" i="103"/>
  <c r="S323" i="103"/>
  <c r="G323" i="103"/>
  <c r="CE322" i="103"/>
  <c r="BS322" i="103"/>
  <c r="BG322" i="103"/>
  <c r="AU322" i="103"/>
  <c r="AI322" i="103"/>
  <c r="BK321" i="103"/>
  <c r="AY321" i="103"/>
  <c r="BO320" i="103"/>
  <c r="BC320" i="103"/>
  <c r="AQ320" i="103"/>
  <c r="AE320" i="103"/>
  <c r="S320" i="103"/>
  <c r="G320" i="103"/>
  <c r="CE319" i="103"/>
  <c r="BS319" i="103"/>
  <c r="BG319" i="103"/>
  <c r="AU319" i="103"/>
  <c r="AI319" i="103"/>
  <c r="BK318" i="103"/>
  <c r="AY318" i="103"/>
  <c r="BO317" i="103"/>
  <c r="BC317" i="103"/>
  <c r="AQ317" i="103"/>
  <c r="AE317" i="103"/>
  <c r="S317" i="103"/>
  <c r="G317" i="103"/>
  <c r="CE316" i="103"/>
  <c r="BS316" i="103"/>
  <c r="AN316" i="103" s="1"/>
  <c r="BG316" i="103"/>
  <c r="AU316" i="103"/>
  <c r="AI316" i="103"/>
  <c r="BK315" i="103"/>
  <c r="AY315" i="103"/>
  <c r="BO314" i="103"/>
  <c r="BC314" i="103"/>
  <c r="AQ314" i="103"/>
  <c r="AE314" i="103"/>
  <c r="S314" i="103"/>
  <c r="G314" i="103"/>
  <c r="CE313" i="103"/>
  <c r="BS313" i="103"/>
  <c r="BG313" i="103"/>
  <c r="AU313" i="103"/>
  <c r="AI313" i="103"/>
  <c r="BK312" i="103"/>
  <c r="AY312" i="103"/>
  <c r="BO311" i="103"/>
  <c r="BC311" i="103"/>
  <c r="AQ311" i="103"/>
  <c r="AE311" i="103"/>
  <c r="S311" i="103"/>
  <c r="G311" i="103"/>
  <c r="CE310" i="103"/>
  <c r="BS310" i="103"/>
  <c r="BG310" i="103"/>
  <c r="AU310" i="103"/>
  <c r="AI310" i="103"/>
  <c r="BK309" i="103"/>
  <c r="AQ374" i="103"/>
  <c r="BG370" i="103"/>
  <c r="BV366" i="103"/>
  <c r="S365" i="103"/>
  <c r="AU364" i="103"/>
  <c r="AD362" i="103"/>
  <c r="BF361" i="103"/>
  <c r="N360" i="103"/>
  <c r="AE359" i="103"/>
  <c r="BG358" i="103"/>
  <c r="AP356" i="103"/>
  <c r="BR355" i="103"/>
  <c r="AQ353" i="103"/>
  <c r="BS352" i="103"/>
  <c r="BP350" i="103"/>
  <c r="T350" i="103"/>
  <c r="BT349" i="103"/>
  <c r="AJ349" i="103"/>
  <c r="BK348" i="103"/>
  <c r="P348" i="103"/>
  <c r="BN347" i="103"/>
  <c r="AS347" i="103"/>
  <c r="I347" i="103"/>
  <c r="CE346" i="103"/>
  <c r="BP346" i="103"/>
  <c r="CJ345" i="103"/>
  <c r="BK345" i="103"/>
  <c r="AY345" i="103"/>
  <c r="BO344" i="103"/>
  <c r="BC344" i="103"/>
  <c r="AQ344" i="103"/>
  <c r="AE344" i="103"/>
  <c r="S344" i="103"/>
  <c r="G344" i="103"/>
  <c r="CE343" i="103"/>
  <c r="BS343" i="103"/>
  <c r="AN343" i="103" s="1"/>
  <c r="BG343" i="103"/>
  <c r="AU343" i="103"/>
  <c r="AI343" i="103"/>
  <c r="BK342" i="103"/>
  <c r="AY342" i="103"/>
  <c r="BO341" i="103"/>
  <c r="BC341" i="103"/>
  <c r="AQ341" i="103"/>
  <c r="AE341" i="103"/>
  <c r="S341" i="103"/>
  <c r="G341" i="103"/>
  <c r="CE340" i="103"/>
  <c r="BS340" i="103"/>
  <c r="BG340" i="103"/>
  <c r="AU340" i="103"/>
  <c r="AI340" i="103"/>
  <c r="BK339" i="103"/>
  <c r="AY339" i="103"/>
  <c r="BO338" i="103"/>
  <c r="BC338" i="103"/>
  <c r="AQ338" i="103"/>
  <c r="AE338" i="103"/>
  <c r="S338" i="103"/>
  <c r="G338" i="103"/>
  <c r="CE337" i="103"/>
  <c r="BS337" i="103"/>
  <c r="BG337" i="103"/>
  <c r="AU337" i="103"/>
  <c r="AI337" i="103"/>
  <c r="BK336" i="103"/>
  <c r="AY336" i="103"/>
  <c r="BO335" i="103"/>
  <c r="BC335" i="103"/>
  <c r="AQ335" i="103"/>
  <c r="AE335" i="103"/>
  <c r="S335" i="103"/>
  <c r="G335" i="103"/>
  <c r="CE334" i="103"/>
  <c r="BS334" i="103"/>
  <c r="BG334" i="103"/>
  <c r="AU334" i="103"/>
  <c r="AI334" i="103"/>
  <c r="BK333" i="103"/>
  <c r="AY333" i="103"/>
  <c r="BO332" i="103"/>
  <c r="BC332" i="103"/>
  <c r="AQ332" i="103"/>
  <c r="AE332" i="103"/>
  <c r="S332" i="103"/>
  <c r="G332" i="103"/>
  <c r="CE331" i="103"/>
  <c r="BS331" i="103"/>
  <c r="BG331" i="103"/>
  <c r="AU331" i="103"/>
  <c r="AI331" i="103"/>
  <c r="BK330" i="103"/>
  <c r="AY330" i="103"/>
  <c r="BN329" i="103"/>
  <c r="AP329" i="103"/>
  <c r="AD329" i="103"/>
  <c r="BR328" i="103"/>
  <c r="BF328" i="103"/>
  <c r="AT328" i="103"/>
  <c r="AH328" i="103"/>
  <c r="V328" i="103"/>
  <c r="BV327" i="103"/>
  <c r="BJ327" i="103"/>
  <c r="AX327" i="103"/>
  <c r="N327" i="103"/>
  <c r="BN326" i="103"/>
  <c r="AP326" i="103"/>
  <c r="AD326" i="103"/>
  <c r="BR325" i="103"/>
  <c r="BF325" i="103"/>
  <c r="AT325" i="103"/>
  <c r="AH325" i="103"/>
  <c r="V325" i="103"/>
  <c r="BV324" i="103"/>
  <c r="BJ324" i="103"/>
  <c r="AX324" i="103"/>
  <c r="N324" i="103"/>
  <c r="BN323" i="103"/>
  <c r="AP323" i="103"/>
  <c r="AD323" i="103"/>
  <c r="BR322" i="103"/>
  <c r="BF322" i="103"/>
  <c r="AT322" i="103"/>
  <c r="AH322" i="103"/>
  <c r="V322" i="103"/>
  <c r="BV321" i="103"/>
  <c r="BJ321" i="103"/>
  <c r="AX321" i="103"/>
  <c r="N321" i="103"/>
  <c r="BN320" i="103"/>
  <c r="AP320" i="103"/>
  <c r="AD320" i="103"/>
  <c r="BR319" i="103"/>
  <c r="BF319" i="103"/>
  <c r="AT319" i="103"/>
  <c r="AH319" i="103"/>
  <c r="V319" i="103"/>
  <c r="BV318" i="103"/>
  <c r="BJ318" i="103"/>
  <c r="AX318" i="103"/>
  <c r="N318" i="103"/>
  <c r="BN317" i="103"/>
  <c r="AP317" i="103"/>
  <c r="AD317" i="103"/>
  <c r="BR316" i="103"/>
  <c r="BF316" i="103"/>
  <c r="AT316" i="103"/>
  <c r="AH316" i="103"/>
  <c r="V316" i="103"/>
  <c r="BV315" i="103"/>
  <c r="BJ315" i="103"/>
  <c r="AX315" i="103"/>
  <c r="N315" i="103"/>
  <c r="BN314" i="103"/>
  <c r="AP314" i="103"/>
  <c r="AD314" i="103"/>
  <c r="BR313" i="103"/>
  <c r="BF313" i="103"/>
  <c r="AT313" i="103"/>
  <c r="AH313" i="103"/>
  <c r="V313" i="103"/>
  <c r="BV312" i="103"/>
  <c r="BJ312" i="103"/>
  <c r="AX312" i="103"/>
  <c r="N312" i="103"/>
  <c r="BN311" i="103"/>
  <c r="AP311" i="103"/>
  <c r="AD311" i="103"/>
  <c r="BR310" i="103"/>
  <c r="BF310" i="103"/>
  <c r="AT310" i="103"/>
  <c r="AH310" i="103"/>
  <c r="V310" i="103"/>
  <c r="BV309" i="103"/>
  <c r="BJ309" i="103"/>
  <c r="AX309" i="103"/>
  <c r="N309" i="103"/>
  <c r="BN308" i="103"/>
  <c r="AP308" i="103"/>
  <c r="AD308" i="103"/>
  <c r="BR307" i="103"/>
  <c r="BF307" i="103"/>
  <c r="AT307" i="103"/>
  <c r="AH307" i="103"/>
  <c r="V307" i="103"/>
  <c r="BV306" i="103"/>
  <c r="BJ306" i="103"/>
  <c r="AX306" i="103"/>
  <c r="N306" i="103"/>
  <c r="BK375" i="103"/>
  <c r="AE374" i="103"/>
  <c r="AU370" i="103"/>
  <c r="N369" i="103"/>
  <c r="BK366" i="103"/>
  <c r="AT364" i="103"/>
  <c r="BV363" i="103"/>
  <c r="S362" i="103"/>
  <c r="AU361" i="103"/>
  <c r="AD359" i="103"/>
  <c r="BF358" i="103"/>
  <c r="N357" i="103"/>
  <c r="AE356" i="103"/>
  <c r="BG355" i="103"/>
  <c r="AP353" i="103"/>
  <c r="BR352" i="103"/>
  <c r="BO350" i="103"/>
  <c r="S350" i="103"/>
  <c r="BS349" i="103"/>
  <c r="AN349" i="103" s="1"/>
  <c r="AI349" i="103"/>
  <c r="BJ348" i="103"/>
  <c r="CE347" i="103"/>
  <c r="BK347" i="103"/>
  <c r="AR347" i="103"/>
  <c r="BO346" i="103"/>
  <c r="L346" i="103"/>
  <c r="O175" i="13" s="1"/>
  <c r="Q175" i="13" s="1"/>
  <c r="BV345" i="103"/>
  <c r="BJ345" i="103"/>
  <c r="AX345" i="103"/>
  <c r="N345" i="103"/>
  <c r="BN344" i="103"/>
  <c r="AP344" i="103"/>
  <c r="AD344" i="103"/>
  <c r="BR343" i="103"/>
  <c r="BF343" i="103"/>
  <c r="AT343" i="103"/>
  <c r="AH343" i="103"/>
  <c r="V343" i="103"/>
  <c r="BV342" i="103"/>
  <c r="BJ342" i="103"/>
  <c r="AX342" i="103"/>
  <c r="N342" i="103"/>
  <c r="BN341" i="103"/>
  <c r="AP341" i="103"/>
  <c r="AD341" i="103"/>
  <c r="BR340" i="103"/>
  <c r="BF340" i="103"/>
  <c r="AT340" i="103"/>
  <c r="AH340" i="103"/>
  <c r="V340" i="103"/>
  <c r="BV339" i="103"/>
  <c r="BJ339" i="103"/>
  <c r="AX339" i="103"/>
  <c r="N339" i="103"/>
  <c r="BN338" i="103"/>
  <c r="AP338" i="103"/>
  <c r="AD338" i="103"/>
  <c r="BR337" i="103"/>
  <c r="BF337" i="103"/>
  <c r="AT337" i="103"/>
  <c r="AH337" i="103"/>
  <c r="V337" i="103"/>
  <c r="BV336" i="103"/>
  <c r="BJ336" i="103"/>
  <c r="AX336" i="103"/>
  <c r="N336" i="103"/>
  <c r="BN335" i="103"/>
  <c r="AP335" i="103"/>
  <c r="AD335" i="103"/>
  <c r="BR334" i="103"/>
  <c r="BF334" i="103"/>
  <c r="AT334" i="103"/>
  <c r="AH334" i="103"/>
  <c r="V334" i="103"/>
  <c r="BV333" i="103"/>
  <c r="BJ333" i="103"/>
  <c r="AX333" i="103"/>
  <c r="N333" i="103"/>
  <c r="BN332" i="103"/>
  <c r="AP332" i="103"/>
  <c r="AD332" i="103"/>
  <c r="BR331" i="103"/>
  <c r="BF331" i="103"/>
  <c r="AT331" i="103"/>
  <c r="AH331" i="103"/>
  <c r="V331" i="103"/>
  <c r="BV330" i="103"/>
  <c r="BJ330" i="103"/>
  <c r="AX330" i="103"/>
  <c r="N330" i="103"/>
  <c r="BM329" i="103"/>
  <c r="AO329" i="103"/>
  <c r="Q329" i="103"/>
  <c r="E329" i="103"/>
  <c r="BQ328" i="103"/>
  <c r="BE328" i="103"/>
  <c r="AS328" i="103"/>
  <c r="AG328" i="103"/>
  <c r="I328" i="103"/>
  <c r="BU327" i="103"/>
  <c r="BI327" i="103"/>
  <c r="AW327" i="103"/>
  <c r="AK327" i="103"/>
  <c r="BM326" i="103"/>
  <c r="AO326" i="103"/>
  <c r="Q326" i="103"/>
  <c r="E326" i="103"/>
  <c r="BQ325" i="103"/>
  <c r="BE325" i="103"/>
  <c r="AS325" i="103"/>
  <c r="AG325" i="103"/>
  <c r="I325" i="103"/>
  <c r="BU324" i="103"/>
  <c r="BI324" i="103"/>
  <c r="AW324" i="103"/>
  <c r="AK324" i="103"/>
  <c r="BM323" i="103"/>
  <c r="AO323" i="103"/>
  <c r="Q323" i="103"/>
  <c r="E323" i="103"/>
  <c r="BQ322" i="103"/>
  <c r="BE322" i="103"/>
  <c r="AS322" i="103"/>
  <c r="AG322" i="103"/>
  <c r="I322" i="103"/>
  <c r="BU321" i="103"/>
  <c r="BI321" i="103"/>
  <c r="AW321" i="103"/>
  <c r="AK321" i="103"/>
  <c r="BM320" i="103"/>
  <c r="AO320" i="103"/>
  <c r="Q320" i="103"/>
  <c r="E320" i="103"/>
  <c r="BQ319" i="103"/>
  <c r="BE319" i="103"/>
  <c r="AS319" i="103"/>
  <c r="AG319" i="103"/>
  <c r="I319" i="103"/>
  <c r="BU318" i="103"/>
  <c r="BI318" i="103"/>
  <c r="AW318" i="103"/>
  <c r="AK318" i="103"/>
  <c r="BM317" i="103"/>
  <c r="AO317" i="103"/>
  <c r="Q317" i="103"/>
  <c r="E317" i="103"/>
  <c r="BQ316" i="103"/>
  <c r="BE316" i="103"/>
  <c r="AS316" i="103"/>
  <c r="AG316" i="103"/>
  <c r="I316" i="103"/>
  <c r="BU315" i="103"/>
  <c r="BI315" i="103"/>
  <c r="AW315" i="103"/>
  <c r="AK315" i="103"/>
  <c r="BM314" i="103"/>
  <c r="AO314" i="103"/>
  <c r="Q314" i="103"/>
  <c r="BQ313" i="103"/>
  <c r="BE313" i="103"/>
  <c r="AS313" i="103"/>
  <c r="AG313" i="103"/>
  <c r="I313" i="103"/>
  <c r="BU312" i="103"/>
  <c r="BI312" i="103"/>
  <c r="AW312" i="103"/>
  <c r="AK312" i="103"/>
  <c r="BM311" i="103"/>
  <c r="AO311" i="103"/>
  <c r="Q311" i="103"/>
  <c r="BQ310" i="103"/>
  <c r="BE310" i="103"/>
  <c r="AS310" i="103"/>
  <c r="AG310" i="103"/>
  <c r="I310" i="103"/>
  <c r="BU309" i="103"/>
  <c r="BI309" i="103"/>
  <c r="AW309" i="103"/>
  <c r="AK309" i="103"/>
  <c r="BM308" i="103"/>
  <c r="AO308" i="103"/>
  <c r="Q308" i="103"/>
  <c r="BQ307" i="103"/>
  <c r="BE307" i="103"/>
  <c r="AS307" i="103"/>
  <c r="AG307" i="103"/>
  <c r="I307" i="103"/>
  <c r="BU306" i="103"/>
  <c r="BI306" i="103"/>
  <c r="AW306" i="103"/>
  <c r="AK306" i="103"/>
  <c r="AY375" i="103"/>
  <c r="S374" i="103"/>
  <c r="BO371" i="103"/>
  <c r="AI370" i="103"/>
  <c r="BR367" i="103"/>
  <c r="BJ366" i="103"/>
  <c r="G365" i="103"/>
  <c r="AI364" i="103"/>
  <c r="BK363" i="103"/>
  <c r="AT361" i="103"/>
  <c r="BV360" i="103"/>
  <c r="S359" i="103"/>
  <c r="AU358" i="103"/>
  <c r="AD356" i="103"/>
  <c r="BF355" i="103"/>
  <c r="N354" i="103"/>
  <c r="AE353" i="103"/>
  <c r="BG352" i="103"/>
  <c r="P351" i="103"/>
  <c r="BN350" i="103"/>
  <c r="BR349" i="103"/>
  <c r="AH349" i="103"/>
  <c r="CJ348" i="103"/>
  <c r="BG348" i="103"/>
  <c r="AI348" i="103"/>
  <c r="N348" i="103"/>
  <c r="BJ347" i="103"/>
  <c r="AQ347" i="103"/>
  <c r="G347" i="103"/>
  <c r="BN346" i="103"/>
  <c r="AY346" i="103"/>
  <c r="AK346" i="103"/>
  <c r="BU345" i="103"/>
  <c r="BI345" i="103"/>
  <c r="AW345" i="103"/>
  <c r="AK345" i="103"/>
  <c r="BM344" i="103"/>
  <c r="AO344" i="103"/>
  <c r="Q344" i="103"/>
  <c r="E344" i="103"/>
  <c r="BQ343" i="103"/>
  <c r="BE343" i="103"/>
  <c r="AS343" i="103"/>
  <c r="AG343" i="103"/>
  <c r="I343" i="103"/>
  <c r="BU342" i="103"/>
  <c r="BI342" i="103"/>
  <c r="AW342" i="103"/>
  <c r="AK342" i="103"/>
  <c r="BM341" i="103"/>
  <c r="AO341" i="103"/>
  <c r="Q341" i="103"/>
  <c r="E341" i="103"/>
  <c r="BQ340" i="103"/>
  <c r="BE340" i="103"/>
  <c r="AS340" i="103"/>
  <c r="AG340" i="103"/>
  <c r="I340" i="103"/>
  <c r="BU339" i="103"/>
  <c r="BI339" i="103"/>
  <c r="AW339" i="103"/>
  <c r="AK339" i="103"/>
  <c r="BM338" i="103"/>
  <c r="AO338" i="103"/>
  <c r="Q338" i="103"/>
  <c r="E338" i="103"/>
  <c r="BQ337" i="103"/>
  <c r="BE337" i="103"/>
  <c r="AS337" i="103"/>
  <c r="AG337" i="103"/>
  <c r="I337" i="103"/>
  <c r="BU336" i="103"/>
  <c r="BI336" i="103"/>
  <c r="AW336" i="103"/>
  <c r="AK336" i="103"/>
  <c r="BM335" i="103"/>
  <c r="AO335" i="103"/>
  <c r="Q335" i="103"/>
  <c r="E335" i="103"/>
  <c r="BQ334" i="103"/>
  <c r="BE334" i="103"/>
  <c r="AS334" i="103"/>
  <c r="AG334" i="103"/>
  <c r="I334" i="103"/>
  <c r="BU333" i="103"/>
  <c r="BI333" i="103"/>
  <c r="AW333" i="103"/>
  <c r="AK333" i="103"/>
  <c r="BM332" i="103"/>
  <c r="AO332" i="103"/>
  <c r="Q332" i="103"/>
  <c r="E332" i="103"/>
  <c r="BQ331" i="103"/>
  <c r="BE331" i="103"/>
  <c r="AS331" i="103"/>
  <c r="AG331" i="103"/>
  <c r="I331" i="103"/>
  <c r="BU330" i="103"/>
  <c r="BI330" i="103"/>
  <c r="AW330" i="103"/>
  <c r="AK330" i="103"/>
  <c r="L330" i="103"/>
  <c r="O155" i="13" s="1"/>
  <c r="Q155" i="13" s="1"/>
  <c r="CJ329" i="103"/>
  <c r="BL329" i="103"/>
  <c r="AZ329" i="103"/>
  <c r="P329" i="103"/>
  <c r="BP328" i="103"/>
  <c r="AR328" i="103"/>
  <c r="AF328" i="103"/>
  <c r="T328" i="103"/>
  <c r="BT327" i="103"/>
  <c r="BH327" i="103"/>
  <c r="Q337" i="67" s="1"/>
  <c r="AV327" i="103"/>
  <c r="AJ327" i="103"/>
  <c r="L327" i="103"/>
  <c r="O152" i="13" s="1"/>
  <c r="Q152" i="13" s="1"/>
  <c r="CJ326" i="103"/>
  <c r="BL326" i="103"/>
  <c r="AZ326" i="103"/>
  <c r="P326" i="103"/>
  <c r="BP325" i="103"/>
  <c r="AR325" i="103"/>
  <c r="AF325" i="103"/>
  <c r="T325" i="103"/>
  <c r="BT324" i="103"/>
  <c r="BH324" i="103"/>
  <c r="Q334" i="67" s="1"/>
  <c r="AV324" i="103"/>
  <c r="AJ324" i="103"/>
  <c r="L324" i="103"/>
  <c r="O149" i="13" s="1"/>
  <c r="Q149" i="13" s="1"/>
  <c r="CJ323" i="103"/>
  <c r="BL323" i="103"/>
  <c r="AZ323" i="103"/>
  <c r="P323" i="103"/>
  <c r="BP322" i="103"/>
  <c r="AR322" i="103"/>
  <c r="AF322" i="103"/>
  <c r="T322" i="103"/>
  <c r="BT321" i="103"/>
  <c r="BH321" i="103"/>
  <c r="Q331" i="67" s="1"/>
  <c r="AV321" i="103"/>
  <c r="AJ321" i="103"/>
  <c r="L321" i="103"/>
  <c r="O146" i="13" s="1"/>
  <c r="Q146" i="13" s="1"/>
  <c r="CJ320" i="103"/>
  <c r="BL320" i="103"/>
  <c r="AZ320" i="103"/>
  <c r="P320" i="103"/>
  <c r="BP319" i="103"/>
  <c r="AR319" i="103"/>
  <c r="AF319" i="103"/>
  <c r="T319" i="103"/>
  <c r="BT318" i="103"/>
  <c r="BH318" i="103"/>
  <c r="Q328" i="67" s="1"/>
  <c r="AV318" i="103"/>
  <c r="AJ318" i="103"/>
  <c r="L318" i="103"/>
  <c r="O143" i="13" s="1"/>
  <c r="Q143" i="13" s="1"/>
  <c r="CJ317" i="103"/>
  <c r="BL317" i="103"/>
  <c r="AZ317" i="103"/>
  <c r="P317" i="103"/>
  <c r="BP316" i="103"/>
  <c r="AR316" i="103"/>
  <c r="AF316" i="103"/>
  <c r="T316" i="103"/>
  <c r="BT315" i="103"/>
  <c r="BH315" i="103"/>
  <c r="AV315" i="103"/>
  <c r="AJ315" i="103"/>
  <c r="CJ314" i="103"/>
  <c r="BL314" i="103"/>
  <c r="AZ314" i="103"/>
  <c r="P314" i="103"/>
  <c r="BP313" i="103"/>
  <c r="AR313" i="103"/>
  <c r="AF313" i="103"/>
  <c r="T313" i="103"/>
  <c r="BT312" i="103"/>
  <c r="BH312" i="103"/>
  <c r="Q321" i="67" s="1"/>
  <c r="AV312" i="103"/>
  <c r="AJ312" i="103"/>
  <c r="CJ311" i="103"/>
  <c r="BL311" i="103"/>
  <c r="AZ311" i="103"/>
  <c r="P311" i="103"/>
  <c r="BP310" i="103"/>
  <c r="AR310" i="103"/>
  <c r="AF310" i="103"/>
  <c r="T310" i="103"/>
  <c r="BT309" i="103"/>
  <c r="BH309" i="103"/>
  <c r="Q318" i="67" s="1"/>
  <c r="AV309" i="103"/>
  <c r="AJ309" i="103"/>
  <c r="CJ308" i="103"/>
  <c r="BL308" i="103"/>
  <c r="AZ308" i="103"/>
  <c r="P308" i="103"/>
  <c r="BP307" i="103"/>
  <c r="AR307" i="103"/>
  <c r="AF307" i="103"/>
  <c r="T307" i="103"/>
  <c r="G374" i="103"/>
  <c r="BC371" i="103"/>
  <c r="BF367" i="103"/>
  <c r="AY366" i="103"/>
  <c r="AH364" i="103"/>
  <c r="BJ363" i="103"/>
  <c r="G362" i="103"/>
  <c r="AI361" i="103"/>
  <c r="BK360" i="103"/>
  <c r="AT358" i="103"/>
  <c r="BV357" i="103"/>
  <c r="S356" i="103"/>
  <c r="AU355" i="103"/>
  <c r="AD353" i="103"/>
  <c r="BF352" i="103"/>
  <c r="BK349" i="103"/>
  <c r="BC348" i="103"/>
  <c r="AE348" i="103"/>
  <c r="BG347" i="103"/>
  <c r="AP347" i="103"/>
  <c r="BM346" i="103"/>
  <c r="AX346" i="103"/>
  <c r="AJ346" i="103"/>
  <c r="BT345" i="103"/>
  <c r="BH345" i="103"/>
  <c r="AV345" i="103"/>
  <c r="AJ345" i="103"/>
  <c r="L345" i="103"/>
  <c r="CJ344" i="103"/>
  <c r="BL344" i="103"/>
  <c r="AZ344" i="103"/>
  <c r="P344" i="103"/>
  <c r="BP343" i="103"/>
  <c r="AR343" i="103"/>
  <c r="AF343" i="103"/>
  <c r="T343" i="103"/>
  <c r="BT342" i="103"/>
  <c r="BH342" i="103"/>
  <c r="Q352" i="67" s="1"/>
  <c r="AV342" i="103"/>
  <c r="AJ342" i="103"/>
  <c r="L342" i="103"/>
  <c r="O167" i="13" s="1"/>
  <c r="Q167" i="13" s="1"/>
  <c r="CJ341" i="103"/>
  <c r="BL341" i="103"/>
  <c r="AZ341" i="103"/>
  <c r="P341" i="103"/>
  <c r="BP340" i="103"/>
  <c r="AR340" i="103"/>
  <c r="AF340" i="103"/>
  <c r="T340" i="103"/>
  <c r="BT339" i="103"/>
  <c r="BH339" i="103"/>
  <c r="Q349" i="67" s="1"/>
  <c r="AV339" i="103"/>
  <c r="AJ339" i="103"/>
  <c r="L339" i="103"/>
  <c r="O164" i="13" s="1"/>
  <c r="Q164" i="13" s="1"/>
  <c r="CJ338" i="103"/>
  <c r="BL338" i="103"/>
  <c r="AZ338" i="103"/>
  <c r="P338" i="103"/>
  <c r="BP337" i="103"/>
  <c r="AR337" i="103"/>
  <c r="AF337" i="103"/>
  <c r="T337" i="103"/>
  <c r="BT336" i="103"/>
  <c r="BH336" i="103"/>
  <c r="Q346" i="67" s="1"/>
  <c r="AV336" i="103"/>
  <c r="AJ336" i="103"/>
  <c r="L336" i="103"/>
  <c r="O161" i="13" s="1"/>
  <c r="Q161" i="13" s="1"/>
  <c r="CJ335" i="103"/>
  <c r="BL335" i="103"/>
  <c r="AZ335" i="103"/>
  <c r="P335" i="103"/>
  <c r="BP334" i="103"/>
  <c r="AR334" i="103"/>
  <c r="AF334" i="103"/>
  <c r="T334" i="103"/>
  <c r="BT333" i="103"/>
  <c r="BH333" i="103"/>
  <c r="Q343" i="67" s="1"/>
  <c r="AV333" i="103"/>
  <c r="AJ333" i="103"/>
  <c r="L333" i="103"/>
  <c r="O158" i="13" s="1"/>
  <c r="Q158" i="13" s="1"/>
  <c r="CJ332" i="103"/>
  <c r="BL332" i="103"/>
  <c r="AZ332" i="103"/>
  <c r="P332" i="103"/>
  <c r="BP331" i="103"/>
  <c r="AR331" i="103"/>
  <c r="AF331" i="103"/>
  <c r="T331" i="103"/>
  <c r="BT330" i="103"/>
  <c r="BH330" i="103"/>
  <c r="Q340" i="67" s="1"/>
  <c r="AV330" i="103"/>
  <c r="AJ330" i="103"/>
  <c r="BK329" i="103"/>
  <c r="AY329" i="103"/>
  <c r="BO328" i="103"/>
  <c r="BC328" i="103"/>
  <c r="AQ328" i="103"/>
  <c r="AE328" i="103"/>
  <c r="S328" i="103"/>
  <c r="G328" i="103"/>
  <c r="CE327" i="103"/>
  <c r="BS327" i="103"/>
  <c r="BG327" i="103"/>
  <c r="AU327" i="103"/>
  <c r="AI327" i="103"/>
  <c r="BK326" i="103"/>
  <c r="AY326" i="103"/>
  <c r="BO325" i="103"/>
  <c r="BC325" i="103"/>
  <c r="AQ325" i="103"/>
  <c r="AE325" i="103"/>
  <c r="S325" i="103"/>
  <c r="G325" i="103"/>
  <c r="CE324" i="103"/>
  <c r="BS324" i="103"/>
  <c r="AN324" i="103" s="1"/>
  <c r="BG324" i="103"/>
  <c r="AU324" i="103"/>
  <c r="AI324" i="103"/>
  <c r="BK323" i="103"/>
  <c r="AY323" i="103"/>
  <c r="BO322" i="103"/>
  <c r="BC322" i="103"/>
  <c r="AQ322" i="103"/>
  <c r="AE322" i="103"/>
  <c r="S322" i="103"/>
  <c r="G322" i="103"/>
  <c r="CE321" i="103"/>
  <c r="BS321" i="103"/>
  <c r="AN321" i="103" s="1"/>
  <c r="BG321" i="103"/>
  <c r="AU321" i="103"/>
  <c r="AI321" i="103"/>
  <c r="BK320" i="103"/>
  <c r="AY320" i="103"/>
  <c r="BO319" i="103"/>
  <c r="BC319" i="103"/>
  <c r="AQ319" i="103"/>
  <c r="AE319" i="103"/>
  <c r="S319" i="103"/>
  <c r="G319" i="103"/>
  <c r="CE318" i="103"/>
  <c r="BS318" i="103"/>
  <c r="AN318" i="103" s="1"/>
  <c r="BG318" i="103"/>
  <c r="AU318" i="103"/>
  <c r="AI318" i="103"/>
  <c r="BK317" i="103"/>
  <c r="AY317" i="103"/>
  <c r="BO316" i="103"/>
  <c r="BC316" i="103"/>
  <c r="AQ316" i="103"/>
  <c r="AE316" i="103"/>
  <c r="S316" i="103"/>
  <c r="G316" i="103"/>
  <c r="CE315" i="103"/>
  <c r="BS315" i="103"/>
  <c r="BG315" i="103"/>
  <c r="AU315" i="103"/>
  <c r="AI315" i="103"/>
  <c r="AQ371" i="103"/>
  <c r="AT367" i="103"/>
  <c r="AX366" i="103"/>
  <c r="BO365" i="103"/>
  <c r="AY363" i="103"/>
  <c r="AH361" i="103"/>
  <c r="BJ360" i="103"/>
  <c r="G359" i="103"/>
  <c r="AI358" i="103"/>
  <c r="BK357" i="103"/>
  <c r="AT355" i="103"/>
  <c r="BV354" i="103"/>
  <c r="S353" i="103"/>
  <c r="AU352" i="103"/>
  <c r="N351" i="103"/>
  <c r="BC350" i="103"/>
  <c r="G350" i="103"/>
  <c r="BH349" i="103"/>
  <c r="Q360" i="67" s="1"/>
  <c r="BE347" i="103"/>
  <c r="BK346" i="103"/>
  <c r="AW346" i="103"/>
  <c r="AI346" i="103"/>
  <c r="V346" i="103"/>
  <c r="CE345" i="103"/>
  <c r="BS345" i="103"/>
  <c r="AN345" i="103" s="1"/>
  <c r="BG345" i="103"/>
  <c r="AU345" i="103"/>
  <c r="AI345" i="103"/>
  <c r="BK344" i="103"/>
  <c r="AY344" i="103"/>
  <c r="BO343" i="103"/>
  <c r="BC343" i="103"/>
  <c r="AQ343" i="103"/>
  <c r="AE343" i="103"/>
  <c r="S343" i="103"/>
  <c r="G343" i="103"/>
  <c r="CE342" i="103"/>
  <c r="BS342" i="103"/>
  <c r="AN342" i="103" s="1"/>
  <c r="BG342" i="103"/>
  <c r="AU342" i="103"/>
  <c r="AI342" i="103"/>
  <c r="BK341" i="103"/>
  <c r="AY341" i="103"/>
  <c r="BO340" i="103"/>
  <c r="BC340" i="103"/>
  <c r="AQ340" i="103"/>
  <c r="AE340" i="103"/>
  <c r="S340" i="103"/>
  <c r="G340" i="103"/>
  <c r="CE339" i="103"/>
  <c r="BS339" i="103"/>
  <c r="BG339" i="103"/>
  <c r="AU339" i="103"/>
  <c r="AI339" i="103"/>
  <c r="BK338" i="103"/>
  <c r="AY338" i="103"/>
  <c r="BO337" i="103"/>
  <c r="BC337" i="103"/>
  <c r="AQ337" i="103"/>
  <c r="AE337" i="103"/>
  <c r="S337" i="103"/>
  <c r="G337" i="103"/>
  <c r="CE336" i="103"/>
  <c r="BS336" i="103"/>
  <c r="BG336" i="103"/>
  <c r="AU336" i="103"/>
  <c r="AI336" i="103"/>
  <c r="BK335" i="103"/>
  <c r="AY335" i="103"/>
  <c r="BO334" i="103"/>
  <c r="BC334" i="103"/>
  <c r="AQ334" i="103"/>
  <c r="AE334" i="103"/>
  <c r="S334" i="103"/>
  <c r="G334" i="103"/>
  <c r="CE333" i="103"/>
  <c r="BS333" i="103"/>
  <c r="BG333" i="103"/>
  <c r="AU333" i="103"/>
  <c r="AI333" i="103"/>
  <c r="BK332" i="103"/>
  <c r="AY332" i="103"/>
  <c r="BO331" i="103"/>
  <c r="BC331" i="103"/>
  <c r="AQ331" i="103"/>
  <c r="AE331" i="103"/>
  <c r="S331" i="103"/>
  <c r="G331" i="103"/>
  <c r="CE330" i="103"/>
  <c r="BS330" i="103"/>
  <c r="BG330" i="103"/>
  <c r="AU330" i="103"/>
  <c r="AI330" i="103"/>
  <c r="BV329" i="103"/>
  <c r="BJ329" i="103"/>
  <c r="AX329" i="103"/>
  <c r="N329" i="103"/>
  <c r="BN328" i="103"/>
  <c r="AP328" i="103"/>
  <c r="AD328" i="103"/>
  <c r="BR327" i="103"/>
  <c r="BF327" i="103"/>
  <c r="AT327" i="103"/>
  <c r="AH327" i="103"/>
  <c r="V327" i="103"/>
  <c r="BV326" i="103"/>
  <c r="BJ326" i="103"/>
  <c r="AX326" i="103"/>
  <c r="N326" i="103"/>
  <c r="BN325" i="103"/>
  <c r="AP325" i="103"/>
  <c r="AD325" i="103"/>
  <c r="BR324" i="103"/>
  <c r="BF324" i="103"/>
  <c r="AT324" i="103"/>
  <c r="AH324" i="103"/>
  <c r="V324" i="103"/>
  <c r="BV323" i="103"/>
  <c r="BJ323" i="103"/>
  <c r="AX323" i="103"/>
  <c r="N323" i="103"/>
  <c r="BN322" i="103"/>
  <c r="AP322" i="103"/>
  <c r="AD322" i="103"/>
  <c r="BR321" i="103"/>
  <c r="BF321" i="103"/>
  <c r="AT321" i="103"/>
  <c r="AH321" i="103"/>
  <c r="V321" i="103"/>
  <c r="BV320" i="103"/>
  <c r="BJ320" i="103"/>
  <c r="AX320" i="103"/>
  <c r="N320" i="103"/>
  <c r="BN319" i="103"/>
  <c r="AP319" i="103"/>
  <c r="AD319" i="103"/>
  <c r="BR318" i="103"/>
  <c r="BF318" i="103"/>
  <c r="AT318" i="103"/>
  <c r="AH318" i="103"/>
  <c r="V318" i="103"/>
  <c r="BV317" i="103"/>
  <c r="BJ317" i="103"/>
  <c r="AX317" i="103"/>
  <c r="N317" i="103"/>
  <c r="BN316" i="103"/>
  <c r="AP316" i="103"/>
  <c r="AD316" i="103"/>
  <c r="BR315" i="103"/>
  <c r="BF315" i="103"/>
  <c r="AT315" i="103"/>
  <c r="AH315" i="103"/>
  <c r="V315" i="103"/>
  <c r="BV314" i="103"/>
  <c r="BJ314" i="103"/>
  <c r="AX314" i="103"/>
  <c r="N314" i="103"/>
  <c r="BN313" i="103"/>
  <c r="AP313" i="103"/>
  <c r="AD313" i="103"/>
  <c r="BR312" i="103"/>
  <c r="BF312" i="103"/>
  <c r="AT312" i="103"/>
  <c r="AH312" i="103"/>
  <c r="V312" i="103"/>
  <c r="BV311" i="103"/>
  <c r="BJ311" i="103"/>
  <c r="AX311" i="103"/>
  <c r="N311" i="103"/>
  <c r="BN310" i="103"/>
  <c r="AP310" i="103"/>
  <c r="AD310" i="103"/>
  <c r="BR309" i="103"/>
  <c r="BF309" i="103"/>
  <c r="AT309" i="103"/>
  <c r="AH309" i="103"/>
  <c r="V309" i="103"/>
  <c r="BV308" i="103"/>
  <c r="BJ308" i="103"/>
  <c r="AX308" i="103"/>
  <c r="N308" i="103"/>
  <c r="BN307" i="103"/>
  <c r="AP307" i="103"/>
  <c r="BK372" i="103"/>
  <c r="AE371" i="103"/>
  <c r="BN368" i="103"/>
  <c r="AH367" i="103"/>
  <c r="BN365" i="103"/>
  <c r="V364" i="103"/>
  <c r="AX363" i="103"/>
  <c r="BO362" i="103"/>
  <c r="AY360" i="103"/>
  <c r="AH358" i="103"/>
  <c r="BJ357" i="103"/>
  <c r="G356" i="103"/>
  <c r="AI355" i="103"/>
  <c r="BK354" i="103"/>
  <c r="AT352" i="103"/>
  <c r="BV351" i="103"/>
  <c r="BG349" i="103"/>
  <c r="AZ348" i="103"/>
  <c r="G348" i="103"/>
  <c r="T347" i="103"/>
  <c r="BJ346" i="103"/>
  <c r="AV346" i="103"/>
  <c r="AH346" i="103"/>
  <c r="T346" i="103"/>
  <c r="G346" i="103"/>
  <c r="BR345" i="103"/>
  <c r="BF345" i="103"/>
  <c r="AT345" i="103"/>
  <c r="AH345" i="103"/>
  <c r="V345" i="103"/>
  <c r="BV344" i="103"/>
  <c r="BJ344" i="103"/>
  <c r="AX344" i="103"/>
  <c r="N344" i="103"/>
  <c r="BN343" i="103"/>
  <c r="AP343" i="103"/>
  <c r="AD343" i="103"/>
  <c r="BR342" i="103"/>
  <c r="BF342" i="103"/>
  <c r="AT342" i="103"/>
  <c r="AH342" i="103"/>
  <c r="V342" i="103"/>
  <c r="BV341" i="103"/>
  <c r="BJ341" i="103"/>
  <c r="AX341" i="103"/>
  <c r="N341" i="103"/>
  <c r="BN340" i="103"/>
  <c r="AP340" i="103"/>
  <c r="AD340" i="103"/>
  <c r="BR339" i="103"/>
  <c r="BF339" i="103"/>
  <c r="AT339" i="103"/>
  <c r="AH339" i="103"/>
  <c r="V339" i="103"/>
  <c r="BV338" i="103"/>
  <c r="BJ338" i="103"/>
  <c r="AX338" i="103"/>
  <c r="N338" i="103"/>
  <c r="BN337" i="103"/>
  <c r="AP337" i="103"/>
  <c r="AD337" i="103"/>
  <c r="BR336" i="103"/>
  <c r="BF336" i="103"/>
  <c r="AT336" i="103"/>
  <c r="AH336" i="103"/>
  <c r="V336" i="103"/>
  <c r="BV335" i="103"/>
  <c r="BJ335" i="103"/>
  <c r="BJ332" i="103"/>
  <c r="BE324" i="103"/>
  <c r="BI320" i="103"/>
  <c r="Q319" i="103"/>
  <c r="I312" i="103"/>
  <c r="AK311" i="103"/>
  <c r="BC310" i="103"/>
  <c r="CE309" i="103"/>
  <c r="AT308" i="103"/>
  <c r="S308" i="103"/>
  <c r="BC307" i="103"/>
  <c r="AE307" i="103"/>
  <c r="BL306" i="103"/>
  <c r="AT306" i="103"/>
  <c r="AE306" i="103"/>
  <c r="CJ305" i="103"/>
  <c r="BK305" i="103"/>
  <c r="AY305" i="103"/>
  <c r="BO304" i="103"/>
  <c r="BC304" i="103"/>
  <c r="BB304" i="103" s="1"/>
  <c r="AE304" i="103"/>
  <c r="S304" i="103"/>
  <c r="G304" i="103"/>
  <c r="CE303" i="103"/>
  <c r="BS303" i="103"/>
  <c r="AN303" i="103" s="1"/>
  <c r="BG303" i="103"/>
  <c r="AI303" i="103"/>
  <c r="BK302" i="103"/>
  <c r="AY302" i="103"/>
  <c r="BO301" i="103"/>
  <c r="BC301" i="103"/>
  <c r="BB301" i="103" s="1"/>
  <c r="AE301" i="103"/>
  <c r="S301" i="103"/>
  <c r="G301" i="103"/>
  <c r="CE300" i="103"/>
  <c r="BS300" i="103"/>
  <c r="AN300" i="103" s="1"/>
  <c r="BG300" i="103"/>
  <c r="AI300" i="103"/>
  <c r="BK299" i="103"/>
  <c r="AY299" i="103"/>
  <c r="BO298" i="103"/>
  <c r="BC298" i="103"/>
  <c r="BB298" i="103" s="1"/>
  <c r="AE298" i="103"/>
  <c r="S298" i="103"/>
  <c r="G298" i="103"/>
  <c r="CE297" i="103"/>
  <c r="BS297" i="103"/>
  <c r="AN297" i="103" s="1"/>
  <c r="BG297" i="103"/>
  <c r="AI297" i="103"/>
  <c r="BK296" i="103"/>
  <c r="AY296" i="103"/>
  <c r="BO295" i="103"/>
  <c r="BC295" i="103"/>
  <c r="BB295" i="103" s="1"/>
  <c r="AE295" i="103"/>
  <c r="S295" i="103"/>
  <c r="G295" i="103"/>
  <c r="CE294" i="103"/>
  <c r="BS294" i="103"/>
  <c r="AN294" i="103" s="1"/>
  <c r="BG294" i="103"/>
  <c r="AI294" i="103"/>
  <c r="BK293" i="103"/>
  <c r="AY293" i="103"/>
  <c r="BO292" i="103"/>
  <c r="BC292" i="103"/>
  <c r="BB292" i="103" s="1"/>
  <c r="AE292" i="103"/>
  <c r="S292" i="103"/>
  <c r="G292" i="103"/>
  <c r="CE291" i="103"/>
  <c r="BS291" i="103"/>
  <c r="AN291" i="103" s="1"/>
  <c r="BG291" i="103"/>
  <c r="AI291" i="103"/>
  <c r="BK290" i="103"/>
  <c r="AY290" i="103"/>
  <c r="BO289" i="103"/>
  <c r="BC289" i="103"/>
  <c r="BB289" i="103" s="1"/>
  <c r="AE289" i="103"/>
  <c r="S289" i="103"/>
  <c r="G289" i="103"/>
  <c r="CE288" i="103"/>
  <c r="BS288" i="103"/>
  <c r="AN288" i="103" s="1"/>
  <c r="BG288" i="103"/>
  <c r="AI288" i="103"/>
  <c r="BK287" i="103"/>
  <c r="AY287" i="103"/>
  <c r="BO286" i="103"/>
  <c r="BC286" i="103"/>
  <c r="BB286" i="103" s="1"/>
  <c r="AE286" i="103"/>
  <c r="S286" i="103"/>
  <c r="G286" i="103"/>
  <c r="CE285" i="103"/>
  <c r="BS285" i="103"/>
  <c r="AN285" i="103" s="1"/>
  <c r="BG285" i="103"/>
  <c r="AI285" i="103"/>
  <c r="BK284" i="103"/>
  <c r="AY284" i="103"/>
  <c r="BO283" i="103"/>
  <c r="BC283" i="103"/>
  <c r="BB283" i="103" s="1"/>
  <c r="AE283" i="103"/>
  <c r="S283" i="103"/>
  <c r="G283" i="103"/>
  <c r="CE282" i="103"/>
  <c r="BS282" i="103"/>
  <c r="BG282" i="103"/>
  <c r="BL282" i="103" s="1"/>
  <c r="AI282" i="103"/>
  <c r="AY281" i="103"/>
  <c r="BO280" i="103"/>
  <c r="BC280" i="103"/>
  <c r="BB280" i="103" s="1"/>
  <c r="AE280" i="103"/>
  <c r="S280" i="103"/>
  <c r="G280" i="103"/>
  <c r="CE279" i="103"/>
  <c r="BS279" i="103"/>
  <c r="BG279" i="103"/>
  <c r="BL279" i="103" s="1"/>
  <c r="AI279" i="103"/>
  <c r="AY278" i="103"/>
  <c r="BO277" i="103"/>
  <c r="BC277" i="103"/>
  <c r="BB277" i="103" s="1"/>
  <c r="AE277" i="103"/>
  <c r="S277" i="103"/>
  <c r="G277" i="103"/>
  <c r="CE276" i="103"/>
  <c r="BS276" i="103"/>
  <c r="BG276" i="103"/>
  <c r="AI276" i="103"/>
  <c r="AY275" i="103"/>
  <c r="BO274" i="103"/>
  <c r="BC274" i="103"/>
  <c r="BB274" i="103" s="1"/>
  <c r="AE274" i="103"/>
  <c r="S274" i="103"/>
  <c r="G274" i="103"/>
  <c r="CE273" i="103"/>
  <c r="BS273" i="103"/>
  <c r="BG273" i="103"/>
  <c r="AI273" i="103"/>
  <c r="AY272" i="103"/>
  <c r="BO271" i="103"/>
  <c r="BC271" i="103"/>
  <c r="BB271" i="103" s="1"/>
  <c r="AE271" i="103"/>
  <c r="S271" i="103"/>
  <c r="G271" i="103"/>
  <c r="CE270" i="103"/>
  <c r="BS270" i="103"/>
  <c r="BG270" i="103"/>
  <c r="AI270" i="103"/>
  <c r="AY269" i="103"/>
  <c r="BO268" i="103"/>
  <c r="BC268" i="103"/>
  <c r="BB268" i="103" s="1"/>
  <c r="AE268" i="103"/>
  <c r="S268" i="103"/>
  <c r="G268" i="103"/>
  <c r="CE267" i="103"/>
  <c r="BS267" i="103"/>
  <c r="BG267" i="103"/>
  <c r="AI267" i="103"/>
  <c r="AY266" i="103"/>
  <c r="BO265" i="103"/>
  <c r="BC265" i="103"/>
  <c r="AE265" i="103"/>
  <c r="S265" i="103"/>
  <c r="G265" i="103"/>
  <c r="CE264" i="103"/>
  <c r="BS264" i="103"/>
  <c r="BG264" i="103"/>
  <c r="AI264" i="103"/>
  <c r="AY263" i="103"/>
  <c r="BO262" i="103"/>
  <c r="BC262" i="103"/>
  <c r="AE262" i="103"/>
  <c r="S262" i="103"/>
  <c r="G262" i="103"/>
  <c r="CE261" i="103"/>
  <c r="BS261" i="103"/>
  <c r="BG261" i="103"/>
  <c r="AI261" i="103"/>
  <c r="BV260" i="103"/>
  <c r="BJ260" i="103"/>
  <c r="AX260" i="103"/>
  <c r="N260" i="103"/>
  <c r="N335" i="103"/>
  <c r="AX332" i="103"/>
  <c r="AO328" i="103"/>
  <c r="I327" i="103"/>
  <c r="AS324" i="103"/>
  <c r="AW320" i="103"/>
  <c r="E319" i="103"/>
  <c r="AO316" i="103"/>
  <c r="I315" i="103"/>
  <c r="AQ313" i="103"/>
  <c r="BS312" i="103"/>
  <c r="AR308" i="103"/>
  <c r="AD307" i="103"/>
  <c r="BK306" i="103"/>
  <c r="AS306" i="103"/>
  <c r="AD306" i="103"/>
  <c r="BV305" i="103"/>
  <c r="BJ305" i="103"/>
  <c r="AX305" i="103"/>
  <c r="N305" i="103"/>
  <c r="BN304" i="103"/>
  <c r="AD304" i="103"/>
  <c r="BR303" i="103"/>
  <c r="BF303" i="103"/>
  <c r="AT303" i="103"/>
  <c r="AH303" i="103"/>
  <c r="V303" i="103"/>
  <c r="BV302" i="103"/>
  <c r="BJ302" i="103"/>
  <c r="AX302" i="103"/>
  <c r="N302" i="103"/>
  <c r="BN301" i="103"/>
  <c r="AD301" i="103"/>
  <c r="BR300" i="103"/>
  <c r="BF300" i="103"/>
  <c r="AT300" i="103"/>
  <c r="AH300" i="103"/>
  <c r="V300" i="103"/>
  <c r="BV299" i="103"/>
  <c r="BJ299" i="103"/>
  <c r="AX299" i="103"/>
  <c r="N299" i="103"/>
  <c r="BN298" i="103"/>
  <c r="AD298" i="103"/>
  <c r="BR297" i="103"/>
  <c r="BF297" i="103"/>
  <c r="AT297" i="103"/>
  <c r="AH297" i="103"/>
  <c r="V297" i="103"/>
  <c r="BV296" i="103"/>
  <c r="BJ296" i="103"/>
  <c r="AX296" i="103"/>
  <c r="N296" i="103"/>
  <c r="BN295" i="103"/>
  <c r="AD295" i="103"/>
  <c r="BR294" i="103"/>
  <c r="BF294" i="103"/>
  <c r="AT294" i="103"/>
  <c r="AH294" i="103"/>
  <c r="V294" i="103"/>
  <c r="BV293" i="103"/>
  <c r="BJ293" i="103"/>
  <c r="AX293" i="103"/>
  <c r="N293" i="103"/>
  <c r="BN292" i="103"/>
  <c r="AD292" i="103"/>
  <c r="BR291" i="103"/>
  <c r="BF291" i="103"/>
  <c r="AT291" i="103"/>
  <c r="AH291" i="103"/>
  <c r="V291" i="103"/>
  <c r="BV290" i="103"/>
  <c r="BJ290" i="103"/>
  <c r="AX290" i="103"/>
  <c r="N290" i="103"/>
  <c r="BN289" i="103"/>
  <c r="AD289" i="103"/>
  <c r="BR288" i="103"/>
  <c r="BF288" i="103"/>
  <c r="AT288" i="103"/>
  <c r="AH288" i="103"/>
  <c r="V288" i="103"/>
  <c r="BV287" i="103"/>
  <c r="BJ287" i="103"/>
  <c r="AX287" i="103"/>
  <c r="N287" i="103"/>
  <c r="BN286" i="103"/>
  <c r="AD286" i="103"/>
  <c r="BR285" i="103"/>
  <c r="BF285" i="103"/>
  <c r="AT285" i="103"/>
  <c r="AH285" i="103"/>
  <c r="V285" i="103"/>
  <c r="BV284" i="103"/>
  <c r="BJ284" i="103"/>
  <c r="AX284" i="103"/>
  <c r="N284" i="103"/>
  <c r="BN283" i="103"/>
  <c r="AD283" i="103"/>
  <c r="BR282" i="103"/>
  <c r="BF282" i="103"/>
  <c r="BK282" i="103" s="1"/>
  <c r="AT282" i="103"/>
  <c r="AH282" i="103"/>
  <c r="V282" i="103"/>
  <c r="BV281" i="103"/>
  <c r="BJ281" i="103"/>
  <c r="AX281" i="103"/>
  <c r="N281" i="103"/>
  <c r="BN280" i="103"/>
  <c r="AD280" i="103"/>
  <c r="BR279" i="103"/>
  <c r="BF279" i="103"/>
  <c r="BK279" i="103" s="1"/>
  <c r="AT279" i="103"/>
  <c r="AH279" i="103"/>
  <c r="V279" i="103"/>
  <c r="BV278" i="103"/>
  <c r="BJ278" i="103"/>
  <c r="AX278" i="103"/>
  <c r="N278" i="103"/>
  <c r="BN277" i="103"/>
  <c r="AD277" i="103"/>
  <c r="BR276" i="103"/>
  <c r="BF276" i="103"/>
  <c r="AT276" i="103"/>
  <c r="AH276" i="103"/>
  <c r="V276" i="103"/>
  <c r="BV275" i="103"/>
  <c r="BJ275" i="103"/>
  <c r="AX275" i="103"/>
  <c r="N275" i="103"/>
  <c r="BN274" i="103"/>
  <c r="AD274" i="103"/>
  <c r="BR273" i="103"/>
  <c r="BF273" i="103"/>
  <c r="AT273" i="103"/>
  <c r="AH273" i="103"/>
  <c r="V273" i="103"/>
  <c r="BV272" i="103"/>
  <c r="BJ272" i="103"/>
  <c r="AX272" i="103"/>
  <c r="N272" i="103"/>
  <c r="BN271" i="103"/>
  <c r="AD271" i="103"/>
  <c r="BR270" i="103"/>
  <c r="BF270" i="103"/>
  <c r="AT270" i="103"/>
  <c r="AH270" i="103"/>
  <c r="V270" i="103"/>
  <c r="BV269" i="103"/>
  <c r="BJ269" i="103"/>
  <c r="AX269" i="103"/>
  <c r="N269" i="103"/>
  <c r="BN268" i="103"/>
  <c r="AD268" i="103"/>
  <c r="BR267" i="103"/>
  <c r="BF267" i="103"/>
  <c r="AT267" i="103"/>
  <c r="AH267" i="103"/>
  <c r="V267" i="103"/>
  <c r="BV266" i="103"/>
  <c r="BJ266" i="103"/>
  <c r="AX266" i="103"/>
  <c r="N266" i="103"/>
  <c r="BN265" i="103"/>
  <c r="AD265" i="103"/>
  <c r="BR264" i="103"/>
  <c r="BF264" i="103"/>
  <c r="AT264" i="103"/>
  <c r="AH264" i="103"/>
  <c r="V264" i="103"/>
  <c r="BV263" i="103"/>
  <c r="BJ263" i="103"/>
  <c r="AX263" i="103"/>
  <c r="N263" i="103"/>
  <c r="BN262" i="103"/>
  <c r="AD262" i="103"/>
  <c r="BR261" i="103"/>
  <c r="BF261" i="103"/>
  <c r="AT261" i="103"/>
  <c r="AH261" i="103"/>
  <c r="V261" i="103"/>
  <c r="BU260" i="103"/>
  <c r="AW260" i="103"/>
  <c r="AK260" i="103"/>
  <c r="BR333" i="103"/>
  <c r="BU329" i="103"/>
  <c r="BM325" i="103"/>
  <c r="AG324" i="103"/>
  <c r="BQ321" i="103"/>
  <c r="AK320" i="103"/>
  <c r="BU317" i="103"/>
  <c r="AO313" i="103"/>
  <c r="BQ312" i="103"/>
  <c r="AQ310" i="103"/>
  <c r="BS309" i="103"/>
  <c r="AN309" i="103" s="1"/>
  <c r="BU308" i="103"/>
  <c r="AQ308" i="103"/>
  <c r="AY307" i="103"/>
  <c r="G307" i="103"/>
  <c r="BH306" i="103"/>
  <c r="Q315" i="67" s="1"/>
  <c r="AR306" i="103"/>
  <c r="BU305" i="103"/>
  <c r="BI305" i="103"/>
  <c r="AW305" i="103"/>
  <c r="AK305" i="103"/>
  <c r="BM304" i="103"/>
  <c r="Q304" i="103"/>
  <c r="BQ303" i="103"/>
  <c r="BE303" i="103"/>
  <c r="AS303" i="103"/>
  <c r="AG303" i="103"/>
  <c r="I303" i="103"/>
  <c r="BU302" i="103"/>
  <c r="BI302" i="103"/>
  <c r="AW302" i="103"/>
  <c r="AK302" i="103"/>
  <c r="BM301" i="103"/>
  <c r="Q301" i="103"/>
  <c r="BQ300" i="103"/>
  <c r="BE300" i="103"/>
  <c r="AS300" i="103"/>
  <c r="AG300" i="103"/>
  <c r="I300" i="103"/>
  <c r="BU299" i="103"/>
  <c r="BI299" i="103"/>
  <c r="AW299" i="103"/>
  <c r="AK299" i="103"/>
  <c r="BM298" i="103"/>
  <c r="Q298" i="103"/>
  <c r="BQ297" i="103"/>
  <c r="BE297" i="103"/>
  <c r="AS297" i="103"/>
  <c r="AG297" i="103"/>
  <c r="I297" i="103"/>
  <c r="BU296" i="103"/>
  <c r="BI296" i="103"/>
  <c r="AW296" i="103"/>
  <c r="AK296" i="103"/>
  <c r="BM295" i="103"/>
  <c r="Q295" i="103"/>
  <c r="BQ294" i="103"/>
  <c r="BE294" i="103"/>
  <c r="AS294" i="103"/>
  <c r="AG294" i="103"/>
  <c r="I294" i="103"/>
  <c r="BU293" i="103"/>
  <c r="BI293" i="103"/>
  <c r="AW293" i="103"/>
  <c r="AK293" i="103"/>
  <c r="BM292" i="103"/>
  <c r="Q292" i="103"/>
  <c r="BQ291" i="103"/>
  <c r="BE291" i="103"/>
  <c r="AS291" i="103"/>
  <c r="AG291" i="103"/>
  <c r="I291" i="103"/>
  <c r="BU290" i="103"/>
  <c r="BI290" i="103"/>
  <c r="AW290" i="103"/>
  <c r="AK290" i="103"/>
  <c r="BM289" i="103"/>
  <c r="Q289" i="103"/>
  <c r="BQ288" i="103"/>
  <c r="BE288" i="103"/>
  <c r="AS288" i="103"/>
  <c r="AG288" i="103"/>
  <c r="I288" i="103"/>
  <c r="BU287" i="103"/>
  <c r="BI287" i="103"/>
  <c r="AW287" i="103"/>
  <c r="AK287" i="103"/>
  <c r="BM286" i="103"/>
  <c r="Q286" i="103"/>
  <c r="BQ285" i="103"/>
  <c r="BE285" i="103"/>
  <c r="AS285" i="103"/>
  <c r="AG285" i="103"/>
  <c r="I285" i="103"/>
  <c r="BU284" i="103"/>
  <c r="BI284" i="103"/>
  <c r="AW284" i="103"/>
  <c r="AK284" i="103"/>
  <c r="BM283" i="103"/>
  <c r="Q283" i="103"/>
  <c r="BQ282" i="103"/>
  <c r="BE282" i="103"/>
  <c r="AS282" i="103"/>
  <c r="AG282" i="103"/>
  <c r="I282" i="103"/>
  <c r="BU281" i="103"/>
  <c r="AW281" i="103"/>
  <c r="AK281" i="103"/>
  <c r="BM280" i="103"/>
  <c r="Q280" i="103"/>
  <c r="BQ279" i="103"/>
  <c r="BE279" i="103"/>
  <c r="AS279" i="103"/>
  <c r="AG279" i="103"/>
  <c r="I279" i="103"/>
  <c r="BU278" i="103"/>
  <c r="AW278" i="103"/>
  <c r="AK278" i="103"/>
  <c r="BM277" i="103"/>
  <c r="Q277" i="103"/>
  <c r="BQ276" i="103"/>
  <c r="BE276" i="103"/>
  <c r="AS276" i="103"/>
  <c r="AG276" i="103"/>
  <c r="I276" i="103"/>
  <c r="BU275" i="103"/>
  <c r="AW275" i="103"/>
  <c r="AK275" i="103"/>
  <c r="BM274" i="103"/>
  <c r="Q274" i="103"/>
  <c r="BQ273" i="103"/>
  <c r="BE273" i="103"/>
  <c r="AS273" i="103"/>
  <c r="AG273" i="103"/>
  <c r="I273" i="103"/>
  <c r="BU272" i="103"/>
  <c r="AW272" i="103"/>
  <c r="AK272" i="103"/>
  <c r="BM271" i="103"/>
  <c r="Q271" i="103"/>
  <c r="BQ270" i="103"/>
  <c r="BE270" i="103"/>
  <c r="AS270" i="103"/>
  <c r="AG270" i="103"/>
  <c r="I270" i="103"/>
  <c r="BU269" i="103"/>
  <c r="AW269" i="103"/>
  <c r="AK269" i="103"/>
  <c r="BM268" i="103"/>
  <c r="Q268" i="103"/>
  <c r="BQ267" i="103"/>
  <c r="BE267" i="103"/>
  <c r="AS267" i="103"/>
  <c r="AG267" i="103"/>
  <c r="I267" i="103"/>
  <c r="BU266" i="103"/>
  <c r="AW266" i="103"/>
  <c r="AK266" i="103"/>
  <c r="BM265" i="103"/>
  <c r="Q265" i="103"/>
  <c r="BQ264" i="103"/>
  <c r="BE264" i="103"/>
  <c r="AS264" i="103"/>
  <c r="AG264" i="103"/>
  <c r="I264" i="103"/>
  <c r="BU263" i="103"/>
  <c r="AW263" i="103"/>
  <c r="AK263" i="103"/>
  <c r="BM262" i="103"/>
  <c r="Q262" i="103"/>
  <c r="BQ261" i="103"/>
  <c r="BE261" i="103"/>
  <c r="AS261" i="103"/>
  <c r="AG261" i="103"/>
  <c r="I261" i="103"/>
  <c r="BT260" i="103"/>
  <c r="BH260" i="103"/>
  <c r="Q268" i="67" s="1"/>
  <c r="AJ260" i="103"/>
  <c r="BF333" i="103"/>
  <c r="BI329" i="103"/>
  <c r="Q328" i="103"/>
  <c r="BE321" i="103"/>
  <c r="BI317" i="103"/>
  <c r="Q316" i="103"/>
  <c r="AE313" i="103"/>
  <c r="BG312" i="103"/>
  <c r="AO310" i="103"/>
  <c r="BQ309" i="103"/>
  <c r="BR308" i="103"/>
  <c r="BV307" i="103"/>
  <c r="AX307" i="103"/>
  <c r="BG306" i="103"/>
  <c r="AQ306" i="103"/>
  <c r="BT305" i="103"/>
  <c r="BH305" i="103"/>
  <c r="Q314" i="67" s="1"/>
  <c r="AV305" i="103"/>
  <c r="AJ305" i="103"/>
  <c r="CJ304" i="103"/>
  <c r="BL304" i="103"/>
  <c r="AZ304" i="103"/>
  <c r="P304" i="103"/>
  <c r="BP303" i="103"/>
  <c r="AF303" i="103"/>
  <c r="T303" i="103"/>
  <c r="BT302" i="103"/>
  <c r="BH302" i="103"/>
  <c r="Q311" i="67" s="1"/>
  <c r="AJ302" i="103"/>
  <c r="CJ301" i="103"/>
  <c r="BL301" i="103"/>
  <c r="AZ301" i="103"/>
  <c r="P301" i="103"/>
  <c r="BP300" i="103"/>
  <c r="AF300" i="103"/>
  <c r="T300" i="103"/>
  <c r="BT299" i="103"/>
  <c r="BH299" i="103"/>
  <c r="Q308" i="67" s="1"/>
  <c r="AJ299" i="103"/>
  <c r="CJ298" i="103"/>
  <c r="BL298" i="103"/>
  <c r="AZ298" i="103"/>
  <c r="P298" i="103"/>
  <c r="BP297" i="103"/>
  <c r="AF297" i="103"/>
  <c r="T297" i="103"/>
  <c r="BT296" i="103"/>
  <c r="BH296" i="103"/>
  <c r="Q305" i="67" s="1"/>
  <c r="AJ296" i="103"/>
  <c r="CJ295" i="103"/>
  <c r="BL295" i="103"/>
  <c r="AZ295" i="103"/>
  <c r="P295" i="103"/>
  <c r="BP294" i="103"/>
  <c r="AF294" i="103"/>
  <c r="T294" i="103"/>
  <c r="BT293" i="103"/>
  <c r="BH293" i="103"/>
  <c r="Q302" i="67" s="1"/>
  <c r="AJ293" i="103"/>
  <c r="CJ292" i="103"/>
  <c r="BL292" i="103"/>
  <c r="AZ292" i="103"/>
  <c r="P292" i="103"/>
  <c r="BP291" i="103"/>
  <c r="AF291" i="103"/>
  <c r="T291" i="103"/>
  <c r="BT290" i="103"/>
  <c r="BH290" i="103"/>
  <c r="Q299" i="67" s="1"/>
  <c r="AJ290" i="103"/>
  <c r="CJ289" i="103"/>
  <c r="BL289" i="103"/>
  <c r="AZ289" i="103"/>
  <c r="P289" i="103"/>
  <c r="BP288" i="103"/>
  <c r="AF288" i="103"/>
  <c r="T288" i="103"/>
  <c r="BT287" i="103"/>
  <c r="BH287" i="103"/>
  <c r="Q296" i="67" s="1"/>
  <c r="AJ287" i="103"/>
  <c r="CJ286" i="103"/>
  <c r="BL286" i="103"/>
  <c r="AZ286" i="103"/>
  <c r="P286" i="103"/>
  <c r="BP285" i="103"/>
  <c r="AF285" i="103"/>
  <c r="T285" i="103"/>
  <c r="BT284" i="103"/>
  <c r="BH284" i="103"/>
  <c r="AJ284" i="103"/>
  <c r="CJ283" i="103"/>
  <c r="AZ283" i="103"/>
  <c r="AN283" i="103"/>
  <c r="P283" i="103"/>
  <c r="BP282" i="103"/>
  <c r="AF282" i="103"/>
  <c r="T282" i="103"/>
  <c r="BT281" i="103"/>
  <c r="BH281" i="103"/>
  <c r="Q289" i="67" s="1"/>
  <c r="AJ281" i="103"/>
  <c r="CJ280" i="103"/>
  <c r="AZ280" i="103"/>
  <c r="AN280" i="103"/>
  <c r="P280" i="103"/>
  <c r="BP279" i="103"/>
  <c r="AF279" i="103"/>
  <c r="T279" i="103"/>
  <c r="BT278" i="103"/>
  <c r="BH278" i="103"/>
  <c r="Q286" i="67" s="1"/>
  <c r="AJ278" i="103"/>
  <c r="CJ277" i="103"/>
  <c r="AT333" i="103"/>
  <c r="N332" i="103"/>
  <c r="AW329" i="103"/>
  <c r="E328" i="103"/>
  <c r="AO325" i="103"/>
  <c r="I324" i="103"/>
  <c r="AS321" i="103"/>
  <c r="AW317" i="103"/>
  <c r="E316" i="103"/>
  <c r="BE312" i="103"/>
  <c r="AE310" i="103"/>
  <c r="BG309" i="103"/>
  <c r="BO308" i="103"/>
  <c r="AK308" i="103"/>
  <c r="BT307" i="103"/>
  <c r="AV307" i="103"/>
  <c r="BF306" i="103"/>
  <c r="AP306" i="103"/>
  <c r="I306" i="103"/>
  <c r="BS305" i="103"/>
  <c r="AN305" i="103" s="1"/>
  <c r="BG305" i="103"/>
  <c r="AU305" i="103"/>
  <c r="AI305" i="103"/>
  <c r="BK304" i="103"/>
  <c r="AY304" i="103"/>
  <c r="BO303" i="103"/>
  <c r="BC303" i="103"/>
  <c r="BB303" i="103" s="1"/>
  <c r="AE303" i="103"/>
  <c r="S303" i="103"/>
  <c r="G303" i="103"/>
  <c r="CE302" i="103"/>
  <c r="BS302" i="103"/>
  <c r="AN302" i="103" s="1"/>
  <c r="BG302" i="103"/>
  <c r="AI302" i="103"/>
  <c r="BK301" i="103"/>
  <c r="AY301" i="103"/>
  <c r="BO300" i="103"/>
  <c r="BC300" i="103"/>
  <c r="BB300" i="103" s="1"/>
  <c r="AE300" i="103"/>
  <c r="S300" i="103"/>
  <c r="G300" i="103"/>
  <c r="CE299" i="103"/>
  <c r="BS299" i="103"/>
  <c r="AN299" i="103" s="1"/>
  <c r="BG299" i="103"/>
  <c r="AI299" i="103"/>
  <c r="BK298" i="103"/>
  <c r="AY298" i="103"/>
  <c r="BO297" i="103"/>
  <c r="BC297" i="103"/>
  <c r="BB297" i="103" s="1"/>
  <c r="AE297" i="103"/>
  <c r="S297" i="103"/>
  <c r="G297" i="103"/>
  <c r="CE296" i="103"/>
  <c r="BS296" i="103"/>
  <c r="AN296" i="103" s="1"/>
  <c r="BG296" i="103"/>
  <c r="AI296" i="103"/>
  <c r="BK295" i="103"/>
  <c r="AY295" i="103"/>
  <c r="BO294" i="103"/>
  <c r="BC294" i="103"/>
  <c r="BB294" i="103" s="1"/>
  <c r="AE294" i="103"/>
  <c r="S294" i="103"/>
  <c r="G294" i="103"/>
  <c r="CE293" i="103"/>
  <c r="BS293" i="103"/>
  <c r="AN293" i="103" s="1"/>
  <c r="BG293" i="103"/>
  <c r="AI293" i="103"/>
  <c r="BK292" i="103"/>
  <c r="AY292" i="103"/>
  <c r="BO291" i="103"/>
  <c r="BC291" i="103"/>
  <c r="BB291" i="103" s="1"/>
  <c r="AE291" i="103"/>
  <c r="S291" i="103"/>
  <c r="G291" i="103"/>
  <c r="CE290" i="103"/>
  <c r="BS290" i="103"/>
  <c r="AN290" i="103" s="1"/>
  <c r="BG290" i="103"/>
  <c r="AI290" i="103"/>
  <c r="BK289" i="103"/>
  <c r="AY289" i="103"/>
  <c r="BO288" i="103"/>
  <c r="BC288" i="103"/>
  <c r="BB288" i="103" s="1"/>
  <c r="AE288" i="103"/>
  <c r="S288" i="103"/>
  <c r="G288" i="103"/>
  <c r="CE287" i="103"/>
  <c r="BS287" i="103"/>
  <c r="AN287" i="103" s="1"/>
  <c r="BG287" i="103"/>
  <c r="AI287" i="103"/>
  <c r="BK286" i="103"/>
  <c r="AY286" i="103"/>
  <c r="BO285" i="103"/>
  <c r="BC285" i="103"/>
  <c r="BB285" i="103" s="1"/>
  <c r="AE285" i="103"/>
  <c r="S285" i="103"/>
  <c r="G285" i="103"/>
  <c r="CE284" i="103"/>
  <c r="BS284" i="103"/>
  <c r="AN284" i="103" s="1"/>
  <c r="BG284" i="103"/>
  <c r="AI284" i="103"/>
  <c r="AY283" i="103"/>
  <c r="BO282" i="103"/>
  <c r="BC282" i="103"/>
  <c r="BB282" i="103" s="1"/>
  <c r="AE282" i="103"/>
  <c r="S282" i="103"/>
  <c r="G282" i="103"/>
  <c r="CE281" i="103"/>
  <c r="BS281" i="103"/>
  <c r="BG281" i="103"/>
  <c r="BL281" i="103" s="1"/>
  <c r="AI281" i="103"/>
  <c r="AY280" i="103"/>
  <c r="BO279" i="103"/>
  <c r="BC279" i="103"/>
  <c r="BB279" i="103" s="1"/>
  <c r="AE279" i="103"/>
  <c r="S279" i="103"/>
  <c r="G279" i="103"/>
  <c r="CE278" i="103"/>
  <c r="BS278" i="103"/>
  <c r="BG278" i="103"/>
  <c r="BL278" i="103" s="1"/>
  <c r="AI278" i="103"/>
  <c r="AY277" i="103"/>
  <c r="BO276" i="103"/>
  <c r="BC276" i="103"/>
  <c r="BB276" i="103" s="1"/>
  <c r="AE276" i="103"/>
  <c r="S276" i="103"/>
  <c r="G276" i="103"/>
  <c r="CE275" i="103"/>
  <c r="BS275" i="103"/>
  <c r="BG275" i="103"/>
  <c r="AI275" i="103"/>
  <c r="AY274" i="103"/>
  <c r="BO273" i="103"/>
  <c r="BC273" i="103"/>
  <c r="BB273" i="103" s="1"/>
  <c r="AE273" i="103"/>
  <c r="S273" i="103"/>
  <c r="G273" i="103"/>
  <c r="CE272" i="103"/>
  <c r="BS272" i="103"/>
  <c r="BG272" i="103"/>
  <c r="AI272" i="103"/>
  <c r="AY271" i="103"/>
  <c r="BO270" i="103"/>
  <c r="BC270" i="103"/>
  <c r="BB270" i="103" s="1"/>
  <c r="AE270" i="103"/>
  <c r="S270" i="103"/>
  <c r="G270" i="103"/>
  <c r="CE269" i="103"/>
  <c r="BS269" i="103"/>
  <c r="BG269" i="103"/>
  <c r="AI269" i="103"/>
  <c r="AY268" i="103"/>
  <c r="BO267" i="103"/>
  <c r="BC267" i="103"/>
  <c r="BB267" i="103" s="1"/>
  <c r="AE267" i="103"/>
  <c r="S267" i="103"/>
  <c r="G267" i="103"/>
  <c r="CE266" i="103"/>
  <c r="BS266" i="103"/>
  <c r="BG266" i="103"/>
  <c r="AI266" i="103"/>
  <c r="AY265" i="103"/>
  <c r="BN334" i="103"/>
  <c r="AH333" i="103"/>
  <c r="BR330" i="103"/>
  <c r="AK329" i="103"/>
  <c r="BU326" i="103"/>
  <c r="BM322" i="103"/>
  <c r="AG321" i="103"/>
  <c r="BQ318" i="103"/>
  <c r="AK317" i="103"/>
  <c r="BU314" i="103"/>
  <c r="S313" i="103"/>
  <c r="AU312" i="103"/>
  <c r="BE309" i="103"/>
  <c r="I309" i="103"/>
  <c r="BK308" i="103"/>
  <c r="AH308" i="103"/>
  <c r="G308" i="103"/>
  <c r="BS307" i="103"/>
  <c r="AN307" i="103" s="1"/>
  <c r="AU307" i="103"/>
  <c r="BE306" i="103"/>
  <c r="CE305" i="103"/>
  <c r="BR305" i="103"/>
  <c r="BF305" i="103"/>
  <c r="AT305" i="103"/>
  <c r="AH305" i="103"/>
  <c r="V305" i="103"/>
  <c r="BV304" i="103"/>
  <c r="BJ304" i="103"/>
  <c r="AX304" i="103"/>
  <c r="N304" i="103"/>
  <c r="BN303" i="103"/>
  <c r="AD303" i="103"/>
  <c r="BR302" i="103"/>
  <c r="BF302" i="103"/>
  <c r="AT302" i="103"/>
  <c r="AH302" i="103"/>
  <c r="V302" i="103"/>
  <c r="BV301" i="103"/>
  <c r="BJ301" i="103"/>
  <c r="AX301" i="103"/>
  <c r="N301" i="103"/>
  <c r="BN300" i="103"/>
  <c r="AD300" i="103"/>
  <c r="BR299" i="103"/>
  <c r="BF299" i="103"/>
  <c r="AT299" i="103"/>
  <c r="AH299" i="103"/>
  <c r="V299" i="103"/>
  <c r="BV298" i="103"/>
  <c r="BJ298" i="103"/>
  <c r="AX298" i="103"/>
  <c r="N298" i="103"/>
  <c r="BN297" i="103"/>
  <c r="AD297" i="103"/>
  <c r="BR296" i="103"/>
  <c r="BF296" i="103"/>
  <c r="AT296" i="103"/>
  <c r="AH296" i="103"/>
  <c r="V296" i="103"/>
  <c r="BV295" i="103"/>
  <c r="BJ295" i="103"/>
  <c r="AX295" i="103"/>
  <c r="N295" i="103"/>
  <c r="BN294" i="103"/>
  <c r="AD294" i="103"/>
  <c r="BR293" i="103"/>
  <c r="BF293" i="103"/>
  <c r="AT293" i="103"/>
  <c r="AH293" i="103"/>
  <c r="V293" i="103"/>
  <c r="BV292" i="103"/>
  <c r="BJ292" i="103"/>
  <c r="AX292" i="103"/>
  <c r="N292" i="103"/>
  <c r="BN291" i="103"/>
  <c r="AD291" i="103"/>
  <c r="BR290" i="103"/>
  <c r="BF290" i="103"/>
  <c r="AT290" i="103"/>
  <c r="AH290" i="103"/>
  <c r="V290" i="103"/>
  <c r="BV289" i="103"/>
  <c r="BJ289" i="103"/>
  <c r="AX289" i="103"/>
  <c r="N289" i="103"/>
  <c r="BN288" i="103"/>
  <c r="AD288" i="103"/>
  <c r="BR287" i="103"/>
  <c r="BF287" i="103"/>
  <c r="AT287" i="103"/>
  <c r="AH287" i="103"/>
  <c r="V287" i="103"/>
  <c r="BV286" i="103"/>
  <c r="BJ286" i="103"/>
  <c r="AX286" i="103"/>
  <c r="N286" i="103"/>
  <c r="BN285" i="103"/>
  <c r="AD285" i="103"/>
  <c r="BR284" i="103"/>
  <c r="BF284" i="103"/>
  <c r="AT284" i="103"/>
  <c r="AH284" i="103"/>
  <c r="V284" i="103"/>
  <c r="BV283" i="103"/>
  <c r="BJ283" i="103"/>
  <c r="AX283" i="103"/>
  <c r="N283" i="103"/>
  <c r="BN282" i="103"/>
  <c r="AD282" i="103"/>
  <c r="BR281" i="103"/>
  <c r="BF281" i="103"/>
  <c r="BK281" i="103" s="1"/>
  <c r="AT281" i="103"/>
  <c r="AH281" i="103"/>
  <c r="V281" i="103"/>
  <c r="BV280" i="103"/>
  <c r="BJ280" i="103"/>
  <c r="AX280" i="103"/>
  <c r="N280" i="103"/>
  <c r="BN279" i="103"/>
  <c r="AD279" i="103"/>
  <c r="BR278" i="103"/>
  <c r="BF278" i="103"/>
  <c r="BK278" i="103" s="1"/>
  <c r="AT278" i="103"/>
  <c r="AH278" i="103"/>
  <c r="V278" i="103"/>
  <c r="BV277" i="103"/>
  <c r="BJ277" i="103"/>
  <c r="AX277" i="103"/>
  <c r="N277" i="103"/>
  <c r="BN276" i="103"/>
  <c r="AD276" i="103"/>
  <c r="BR275" i="103"/>
  <c r="BF275" i="103"/>
  <c r="AT275" i="103"/>
  <c r="AH275" i="103"/>
  <c r="V275" i="103"/>
  <c r="BV274" i="103"/>
  <c r="BJ274" i="103"/>
  <c r="AX274" i="103"/>
  <c r="N274" i="103"/>
  <c r="BN273" i="103"/>
  <c r="AD273" i="103"/>
  <c r="BR272" i="103"/>
  <c r="BF272" i="103"/>
  <c r="AT272" i="103"/>
  <c r="AH272" i="103"/>
  <c r="V272" i="103"/>
  <c r="BV271" i="103"/>
  <c r="BJ271" i="103"/>
  <c r="AX271" i="103"/>
  <c r="N271" i="103"/>
  <c r="BN270" i="103"/>
  <c r="AD270" i="103"/>
  <c r="BR269" i="103"/>
  <c r="BF269" i="103"/>
  <c r="AT269" i="103"/>
  <c r="AH269" i="103"/>
  <c r="V269" i="103"/>
  <c r="BV268" i="103"/>
  <c r="BJ268" i="103"/>
  <c r="AX268" i="103"/>
  <c r="N268" i="103"/>
  <c r="BN267" i="103"/>
  <c r="AD267" i="103"/>
  <c r="BR266" i="103"/>
  <c r="BF266" i="103"/>
  <c r="AT266" i="103"/>
  <c r="AH266" i="103"/>
  <c r="V266" i="103"/>
  <c r="BV265" i="103"/>
  <c r="BJ265" i="103"/>
  <c r="AX265" i="103"/>
  <c r="N265" i="103"/>
  <c r="BN264" i="103"/>
  <c r="AD264" i="103"/>
  <c r="BR263" i="103"/>
  <c r="BF263" i="103"/>
  <c r="AT263" i="103"/>
  <c r="AH263" i="103"/>
  <c r="V263" i="103"/>
  <c r="BV262" i="103"/>
  <c r="BJ262" i="103"/>
  <c r="AX262" i="103"/>
  <c r="N262" i="103"/>
  <c r="BN261" i="103"/>
  <c r="AD261" i="103"/>
  <c r="BQ260" i="103"/>
  <c r="BE260" i="103"/>
  <c r="AS260" i="103"/>
  <c r="AG260" i="103"/>
  <c r="I260" i="103"/>
  <c r="V333" i="103"/>
  <c r="BF330" i="103"/>
  <c r="BI326" i="103"/>
  <c r="Q325" i="103"/>
  <c r="BE318" i="103"/>
  <c r="BK314" i="103"/>
  <c r="Q313" i="103"/>
  <c r="AS312" i="103"/>
  <c r="BU311" i="103"/>
  <c r="S310" i="103"/>
  <c r="AY309" i="103"/>
  <c r="BI308" i="103"/>
  <c r="AF308" i="103"/>
  <c r="BO307" i="103"/>
  <c r="AQ307" i="103"/>
  <c r="BT306" i="103"/>
  <c r="BC306" i="103"/>
  <c r="V306" i="103"/>
  <c r="G306" i="103"/>
  <c r="BQ305" i="103"/>
  <c r="BE305" i="103"/>
  <c r="AS305" i="103"/>
  <c r="AG305" i="103"/>
  <c r="I305" i="103"/>
  <c r="BU304" i="103"/>
  <c r="BI304" i="103"/>
  <c r="AW304" i="103"/>
  <c r="AK304" i="103"/>
  <c r="BM303" i="103"/>
  <c r="Q303" i="103"/>
  <c r="BQ302" i="103"/>
  <c r="BE302" i="103"/>
  <c r="AS302" i="103"/>
  <c r="AG302" i="103"/>
  <c r="I302" i="103"/>
  <c r="BU301" i="103"/>
  <c r="BI301" i="103"/>
  <c r="AW301" i="103"/>
  <c r="AK301" i="103"/>
  <c r="BM300" i="103"/>
  <c r="Q300" i="103"/>
  <c r="BQ299" i="103"/>
  <c r="BE299" i="103"/>
  <c r="AS299" i="103"/>
  <c r="AG299" i="103"/>
  <c r="I299" i="103"/>
  <c r="BU298" i="103"/>
  <c r="BI298" i="103"/>
  <c r="AW298" i="103"/>
  <c r="AK298" i="103"/>
  <c r="BM297" i="103"/>
  <c r="Q297" i="103"/>
  <c r="BQ296" i="103"/>
  <c r="BE296" i="103"/>
  <c r="AS296" i="103"/>
  <c r="AG296" i="103"/>
  <c r="I296" i="103"/>
  <c r="BU295" i="103"/>
  <c r="BI295" i="103"/>
  <c r="AW295" i="103"/>
  <c r="AK295" i="103"/>
  <c r="BM294" i="103"/>
  <c r="Q294" i="103"/>
  <c r="BQ293" i="103"/>
  <c r="BE293" i="103"/>
  <c r="AS293" i="103"/>
  <c r="AG293" i="103"/>
  <c r="I293" i="103"/>
  <c r="BU292" i="103"/>
  <c r="BI292" i="103"/>
  <c r="AW292" i="103"/>
  <c r="AK292" i="103"/>
  <c r="BM291" i="103"/>
  <c r="Q291" i="103"/>
  <c r="BQ290" i="103"/>
  <c r="BE290" i="103"/>
  <c r="AS290" i="103"/>
  <c r="AG290" i="103"/>
  <c r="I290" i="103"/>
  <c r="BU289" i="103"/>
  <c r="BI289" i="103"/>
  <c r="AW289" i="103"/>
  <c r="AK289" i="103"/>
  <c r="BM288" i="103"/>
  <c r="Q288" i="103"/>
  <c r="BQ287" i="103"/>
  <c r="BE287" i="103"/>
  <c r="AS287" i="103"/>
  <c r="AG287" i="103"/>
  <c r="I287" i="103"/>
  <c r="BU286" i="103"/>
  <c r="BI286" i="103"/>
  <c r="AW286" i="103"/>
  <c r="AK286" i="103"/>
  <c r="BM285" i="103"/>
  <c r="Q285" i="103"/>
  <c r="BQ284" i="103"/>
  <c r="BE284" i="103"/>
  <c r="AS284" i="103"/>
  <c r="AG284" i="103"/>
  <c r="I284" i="103"/>
  <c r="BU283" i="103"/>
  <c r="AW283" i="103"/>
  <c r="AK283" i="103"/>
  <c r="BM282" i="103"/>
  <c r="Q282" i="103"/>
  <c r="BQ281" i="103"/>
  <c r="BE281" i="103"/>
  <c r="AS281" i="103"/>
  <c r="AG281" i="103"/>
  <c r="I281" i="103"/>
  <c r="BU280" i="103"/>
  <c r="AW280" i="103"/>
  <c r="AK280" i="103"/>
  <c r="BM279" i="103"/>
  <c r="Q279" i="103"/>
  <c r="BQ278" i="103"/>
  <c r="BE278" i="103"/>
  <c r="AS278" i="103"/>
  <c r="AG278" i="103"/>
  <c r="I278" i="103"/>
  <c r="BU277" i="103"/>
  <c r="AW277" i="103"/>
  <c r="AK277" i="103"/>
  <c r="BM276" i="103"/>
  <c r="Q276" i="103"/>
  <c r="BQ275" i="103"/>
  <c r="BE275" i="103"/>
  <c r="AS275" i="103"/>
  <c r="AG275" i="103"/>
  <c r="I275" i="103"/>
  <c r="BU274" i="103"/>
  <c r="AW274" i="103"/>
  <c r="AK274" i="103"/>
  <c r="BM273" i="103"/>
  <c r="Q273" i="103"/>
  <c r="BQ272" i="103"/>
  <c r="BE272" i="103"/>
  <c r="AS272" i="103"/>
  <c r="AG272" i="103"/>
  <c r="I272" i="103"/>
  <c r="BU271" i="103"/>
  <c r="AW271" i="103"/>
  <c r="AK271" i="103"/>
  <c r="BM270" i="103"/>
  <c r="Q270" i="103"/>
  <c r="BQ269" i="103"/>
  <c r="BE269" i="103"/>
  <c r="AS269" i="103"/>
  <c r="AG269" i="103"/>
  <c r="I269" i="103"/>
  <c r="BU268" i="103"/>
  <c r="AW268" i="103"/>
  <c r="AK268" i="103"/>
  <c r="BM267" i="103"/>
  <c r="Q267" i="103"/>
  <c r="BQ266" i="103"/>
  <c r="BE266" i="103"/>
  <c r="AS266" i="103"/>
  <c r="AG266" i="103"/>
  <c r="I266" i="103"/>
  <c r="BU265" i="103"/>
  <c r="AW265" i="103"/>
  <c r="AK265" i="103"/>
  <c r="BM264" i="103"/>
  <c r="Q264" i="103"/>
  <c r="BQ263" i="103"/>
  <c r="BE263" i="103"/>
  <c r="AS263" i="103"/>
  <c r="AG263" i="103"/>
  <c r="I263" i="103"/>
  <c r="BU262" i="103"/>
  <c r="AW262" i="103"/>
  <c r="AK262" i="103"/>
  <c r="AP334" i="103"/>
  <c r="AT330" i="103"/>
  <c r="AW326" i="103"/>
  <c r="E325" i="103"/>
  <c r="AO322" i="103"/>
  <c r="I321" i="103"/>
  <c r="AS318" i="103"/>
  <c r="BI314" i="103"/>
  <c r="G313" i="103"/>
  <c r="AI312" i="103"/>
  <c r="BK311" i="103"/>
  <c r="Q310" i="103"/>
  <c r="AU309" i="103"/>
  <c r="BF308" i="103"/>
  <c r="AE308" i="103"/>
  <c r="BM307" i="103"/>
  <c r="AO307" i="103"/>
  <c r="S307" i="103"/>
  <c r="BS306" i="103"/>
  <c r="AJ306" i="103"/>
  <c r="BP305" i="103"/>
  <c r="AR305" i="103"/>
  <c r="AF305" i="103"/>
  <c r="T305" i="103"/>
  <c r="BT304" i="103"/>
  <c r="BH304" i="103"/>
  <c r="Q313" i="67" s="1"/>
  <c r="AJ304" i="103"/>
  <c r="CJ303" i="103"/>
  <c r="BL303" i="103"/>
  <c r="AZ303" i="103"/>
  <c r="P303" i="103"/>
  <c r="BP302" i="103"/>
  <c r="AF302" i="103"/>
  <c r="T302" i="103"/>
  <c r="BT301" i="103"/>
  <c r="BH301" i="103"/>
  <c r="Q310" i="67" s="1"/>
  <c r="AJ301" i="103"/>
  <c r="CJ300" i="103"/>
  <c r="BL300" i="103"/>
  <c r="AZ300" i="103"/>
  <c r="P300" i="103"/>
  <c r="BP299" i="103"/>
  <c r="AF299" i="103"/>
  <c r="T299" i="103"/>
  <c r="BT298" i="103"/>
  <c r="BH298" i="103"/>
  <c r="Q307" i="67" s="1"/>
  <c r="AJ298" i="103"/>
  <c r="CJ297" i="103"/>
  <c r="BL297" i="103"/>
  <c r="AZ297" i="103"/>
  <c r="P297" i="103"/>
  <c r="BP296" i="103"/>
  <c r="AF296" i="103"/>
  <c r="T296" i="103"/>
  <c r="BT295" i="103"/>
  <c r="BH295" i="103"/>
  <c r="Q304" i="67" s="1"/>
  <c r="AJ295" i="103"/>
  <c r="CJ294" i="103"/>
  <c r="BL294" i="103"/>
  <c r="AZ294" i="103"/>
  <c r="P294" i="103"/>
  <c r="BP293" i="103"/>
  <c r="AF293" i="103"/>
  <c r="T293" i="103"/>
  <c r="BT292" i="103"/>
  <c r="BH292" i="103"/>
  <c r="Q301" i="67" s="1"/>
  <c r="AJ292" i="103"/>
  <c r="CJ291" i="103"/>
  <c r="BL291" i="103"/>
  <c r="AZ291" i="103"/>
  <c r="P291" i="103"/>
  <c r="BP290" i="103"/>
  <c r="AF290" i="103"/>
  <c r="T290" i="103"/>
  <c r="BT289" i="103"/>
  <c r="BH289" i="103"/>
  <c r="Q298" i="67" s="1"/>
  <c r="AJ289" i="103"/>
  <c r="CJ288" i="103"/>
  <c r="BL288" i="103"/>
  <c r="AZ288" i="103"/>
  <c r="P288" i="103"/>
  <c r="BP287" i="103"/>
  <c r="AF287" i="103"/>
  <c r="T287" i="103"/>
  <c r="BT286" i="103"/>
  <c r="BH286" i="103"/>
  <c r="Q295" i="67" s="1"/>
  <c r="AJ286" i="103"/>
  <c r="CJ285" i="103"/>
  <c r="BL285" i="103"/>
  <c r="AZ285" i="103"/>
  <c r="P285" i="103"/>
  <c r="BP284" i="103"/>
  <c r="AF284" i="103"/>
  <c r="T284" i="103"/>
  <c r="BT283" i="103"/>
  <c r="BH283" i="103"/>
  <c r="Q291" i="67" s="1"/>
  <c r="AJ283" i="103"/>
  <c r="CJ282" i="103"/>
  <c r="AZ282" i="103"/>
  <c r="AN282" i="103"/>
  <c r="P282" i="103"/>
  <c r="BP281" i="103"/>
  <c r="AF281" i="103"/>
  <c r="T281" i="103"/>
  <c r="BT280" i="103"/>
  <c r="BH280" i="103"/>
  <c r="Q288" i="67" s="1"/>
  <c r="AJ280" i="103"/>
  <c r="CJ279" i="103"/>
  <c r="AZ279" i="103"/>
  <c r="AN279" i="103"/>
  <c r="P279" i="103"/>
  <c r="BP278" i="103"/>
  <c r="AF278" i="103"/>
  <c r="T278" i="103"/>
  <c r="BT277" i="103"/>
  <c r="BH277" i="103"/>
  <c r="Q285" i="67" s="1"/>
  <c r="AJ277" i="103"/>
  <c r="CJ276" i="103"/>
  <c r="AZ276" i="103"/>
  <c r="AN276" i="103"/>
  <c r="P276" i="103"/>
  <c r="BP275" i="103"/>
  <c r="AF275" i="103"/>
  <c r="T275" i="103"/>
  <c r="BT274" i="103"/>
  <c r="BH274" i="103"/>
  <c r="Q282" i="67" s="1"/>
  <c r="AJ274" i="103"/>
  <c r="CJ273" i="103"/>
  <c r="AZ273" i="103"/>
  <c r="AN273" i="103"/>
  <c r="P273" i="103"/>
  <c r="BP272" i="103"/>
  <c r="AF272" i="103"/>
  <c r="T272" i="103"/>
  <c r="BT271" i="103"/>
  <c r="BH271" i="103"/>
  <c r="Q279" i="67" s="1"/>
  <c r="AJ271" i="103"/>
  <c r="CJ270" i="103"/>
  <c r="AZ270" i="103"/>
  <c r="AN270" i="103"/>
  <c r="P270" i="103"/>
  <c r="BP269" i="103"/>
  <c r="AF269" i="103"/>
  <c r="T269" i="103"/>
  <c r="BT268" i="103"/>
  <c r="BH268" i="103"/>
  <c r="Q276" i="67" s="1"/>
  <c r="AJ268" i="103"/>
  <c r="CJ267" i="103"/>
  <c r="AZ267" i="103"/>
  <c r="AN267" i="103"/>
  <c r="P267" i="103"/>
  <c r="BP266" i="103"/>
  <c r="AF266" i="103"/>
  <c r="T266" i="103"/>
  <c r="BT265" i="103"/>
  <c r="BH265" i="103"/>
  <c r="Q273" i="67" s="1"/>
  <c r="AJ265" i="103"/>
  <c r="CJ264" i="103"/>
  <c r="AZ264" i="103"/>
  <c r="AN264" i="103"/>
  <c r="P264" i="103"/>
  <c r="BP263" i="103"/>
  <c r="AF263" i="103"/>
  <c r="T263" i="103"/>
  <c r="BT262" i="103"/>
  <c r="BH262" i="103"/>
  <c r="Q270" i="67" s="1"/>
  <c r="AJ262" i="103"/>
  <c r="CJ261" i="103"/>
  <c r="AZ261" i="103"/>
  <c r="AN261" i="103"/>
  <c r="P261" i="103"/>
  <c r="BO260" i="103"/>
  <c r="BC260" i="103"/>
  <c r="BB260" i="103" s="1"/>
  <c r="AE260" i="103"/>
  <c r="AD334" i="103"/>
  <c r="BN331" i="103"/>
  <c r="AH330" i="103"/>
  <c r="BQ327" i="103"/>
  <c r="AK326" i="103"/>
  <c r="BU323" i="103"/>
  <c r="BM319" i="103"/>
  <c r="AG318" i="103"/>
  <c r="BQ315" i="103"/>
  <c r="AY314" i="103"/>
  <c r="AG312" i="103"/>
  <c r="BI311" i="103"/>
  <c r="G310" i="103"/>
  <c r="AS309" i="103"/>
  <c r="BK307" i="103"/>
  <c r="CJ306" i="103"/>
  <c r="BR306" i="103"/>
  <c r="AZ306" i="103"/>
  <c r="AI306" i="103"/>
  <c r="T306" i="103"/>
  <c r="BO305" i="103"/>
  <c r="BC305" i="103"/>
  <c r="AQ305" i="103"/>
  <c r="AE305" i="103"/>
  <c r="S305" i="103"/>
  <c r="G305" i="103"/>
  <c r="CE304" i="103"/>
  <c r="BS304" i="103"/>
  <c r="BG304" i="103"/>
  <c r="AI304" i="103"/>
  <c r="BK303" i="103"/>
  <c r="AY303" i="103"/>
  <c r="BO302" i="103"/>
  <c r="BC302" i="103"/>
  <c r="BB302" i="103" s="1"/>
  <c r="AE302" i="103"/>
  <c r="S302" i="103"/>
  <c r="G302" i="103"/>
  <c r="CE301" i="103"/>
  <c r="BS301" i="103"/>
  <c r="BG301" i="103"/>
  <c r="AI301" i="103"/>
  <c r="BK300" i="103"/>
  <c r="AY300" i="103"/>
  <c r="BO299" i="103"/>
  <c r="BC299" i="103"/>
  <c r="BB299" i="103" s="1"/>
  <c r="AE299" i="103"/>
  <c r="S299" i="103"/>
  <c r="G299" i="103"/>
  <c r="CE298" i="103"/>
  <c r="BS298" i="103"/>
  <c r="BG298" i="103"/>
  <c r="AI298" i="103"/>
  <c r="BK297" i="103"/>
  <c r="AY297" i="103"/>
  <c r="BO296" i="103"/>
  <c r="BC296" i="103"/>
  <c r="BB296" i="103" s="1"/>
  <c r="AE296" i="103"/>
  <c r="S296" i="103"/>
  <c r="G296" i="103"/>
  <c r="CE295" i="103"/>
  <c r="BS295" i="103"/>
  <c r="BG295" i="103"/>
  <c r="AI295" i="103"/>
  <c r="BK294" i="103"/>
  <c r="AY294" i="103"/>
  <c r="BO293" i="103"/>
  <c r="BC293" i="103"/>
  <c r="BB293" i="103" s="1"/>
  <c r="AE293" i="103"/>
  <c r="S293" i="103"/>
  <c r="G293" i="103"/>
  <c r="CE292" i="103"/>
  <c r="BS292" i="103"/>
  <c r="BG292" i="103"/>
  <c r="AI292" i="103"/>
  <c r="BK291" i="103"/>
  <c r="AY291" i="103"/>
  <c r="BO290" i="103"/>
  <c r="BC290" i="103"/>
  <c r="BB290" i="103" s="1"/>
  <c r="AE290" i="103"/>
  <c r="S290" i="103"/>
  <c r="G290" i="103"/>
  <c r="CE289" i="103"/>
  <c r="BS289" i="103"/>
  <c r="BG289" i="103"/>
  <c r="AI289" i="103"/>
  <c r="BK288" i="103"/>
  <c r="AY288" i="103"/>
  <c r="BO287" i="103"/>
  <c r="BC287" i="103"/>
  <c r="BB287" i="103" s="1"/>
  <c r="AE287" i="103"/>
  <c r="S287" i="103"/>
  <c r="G287" i="103"/>
  <c r="CE286" i="103"/>
  <c r="BS286" i="103"/>
  <c r="BG286" i="103"/>
  <c r="AI286" i="103"/>
  <c r="BK285" i="103"/>
  <c r="AY285" i="103"/>
  <c r="BO284" i="103"/>
  <c r="BC284" i="103"/>
  <c r="BB284" i="103" s="1"/>
  <c r="AE284" i="103"/>
  <c r="S284" i="103"/>
  <c r="G284" i="103"/>
  <c r="CE283" i="103"/>
  <c r="BS283" i="103"/>
  <c r="BG283" i="103"/>
  <c r="BL283" i="103" s="1"/>
  <c r="AI283" i="103"/>
  <c r="AY282" i="103"/>
  <c r="BO281" i="103"/>
  <c r="BC281" i="103"/>
  <c r="BB281" i="103" s="1"/>
  <c r="AE281" i="103"/>
  <c r="S281" i="103"/>
  <c r="G281" i="103"/>
  <c r="CE280" i="103"/>
  <c r="BS280" i="103"/>
  <c r="BG280" i="103"/>
  <c r="BL280" i="103" s="1"/>
  <c r="AI280" i="103"/>
  <c r="AY279" i="103"/>
  <c r="BO278" i="103"/>
  <c r="BC278" i="103"/>
  <c r="BB278" i="103" s="1"/>
  <c r="AE278" i="103"/>
  <c r="S278" i="103"/>
  <c r="G278" i="103"/>
  <c r="CE277" i="103"/>
  <c r="BS277" i="103"/>
  <c r="BG277" i="103"/>
  <c r="BL277" i="103" s="1"/>
  <c r="AI277" i="103"/>
  <c r="AY276" i="103"/>
  <c r="BO275" i="103"/>
  <c r="BC275" i="103"/>
  <c r="BB275" i="103" s="1"/>
  <c r="AE275" i="103"/>
  <c r="S275" i="103"/>
  <c r="G275" i="103"/>
  <c r="CE274" i="103"/>
  <c r="BS274" i="103"/>
  <c r="BG274" i="103"/>
  <c r="AI274" i="103"/>
  <c r="AY273" i="103"/>
  <c r="BO272" i="103"/>
  <c r="BC272" i="103"/>
  <c r="BB272" i="103" s="1"/>
  <c r="AE272" i="103"/>
  <c r="S272" i="103"/>
  <c r="G272" i="103"/>
  <c r="CE271" i="103"/>
  <c r="BS271" i="103"/>
  <c r="BG271" i="103"/>
  <c r="AI271" i="103"/>
  <c r="AY270" i="103"/>
  <c r="BO269" i="103"/>
  <c r="BC269" i="103"/>
  <c r="BB269" i="103" s="1"/>
  <c r="AE269" i="103"/>
  <c r="S269" i="103"/>
  <c r="G269" i="103"/>
  <c r="CE268" i="103"/>
  <c r="BS268" i="103"/>
  <c r="BG268" i="103"/>
  <c r="AI268" i="103"/>
  <c r="AY267" i="103"/>
  <c r="BO266" i="103"/>
  <c r="BC266" i="103"/>
  <c r="BB266" i="103" s="1"/>
  <c r="AE266" i="103"/>
  <c r="S266" i="103"/>
  <c r="G266" i="103"/>
  <c r="CE265" i="103"/>
  <c r="BS265" i="103"/>
  <c r="BG265" i="103"/>
  <c r="AI265" i="103"/>
  <c r="AY264" i="103"/>
  <c r="BO263" i="103"/>
  <c r="BC263" i="103"/>
  <c r="AE263" i="103"/>
  <c r="S263" i="103"/>
  <c r="G263" i="103"/>
  <c r="CE262" i="103"/>
  <c r="BS262" i="103"/>
  <c r="BG262" i="103"/>
  <c r="AI262" i="103"/>
  <c r="AY261" i="103"/>
  <c r="BN260" i="103"/>
  <c r="V330" i="103"/>
  <c r="BE327" i="103"/>
  <c r="BI323" i="103"/>
  <c r="Q322" i="103"/>
  <c r="BE315" i="103"/>
  <c r="AW314" i="103"/>
  <c r="BO313" i="103"/>
  <c r="AY311" i="103"/>
  <c r="BC308" i="103"/>
  <c r="BJ307" i="103"/>
  <c r="Q307" i="103"/>
  <c r="BQ306" i="103"/>
  <c r="AY306" i="103"/>
  <c r="AH306" i="103"/>
  <c r="S306" i="103"/>
  <c r="BN305" i="103"/>
  <c r="AP305" i="103"/>
  <c r="AD305" i="103"/>
  <c r="BR304" i="103"/>
  <c r="BF304" i="103"/>
  <c r="AT304" i="103"/>
  <c r="AH304" i="103"/>
  <c r="V304" i="103"/>
  <c r="BV303" i="103"/>
  <c r="BJ303" i="103"/>
  <c r="AX303" i="103"/>
  <c r="N303" i="103"/>
  <c r="BN302" i="103"/>
  <c r="AD302" i="103"/>
  <c r="BR301" i="103"/>
  <c r="BF301" i="103"/>
  <c r="AT301" i="103"/>
  <c r="AH301" i="103"/>
  <c r="V301" i="103"/>
  <c r="BV300" i="103"/>
  <c r="BJ300" i="103"/>
  <c r="AX300" i="103"/>
  <c r="N300" i="103"/>
  <c r="BN299" i="103"/>
  <c r="AD299" i="103"/>
  <c r="BR298" i="103"/>
  <c r="BF298" i="103"/>
  <c r="AT298" i="103"/>
  <c r="AH298" i="103"/>
  <c r="V298" i="103"/>
  <c r="BV297" i="103"/>
  <c r="BJ297" i="103"/>
  <c r="AX297" i="103"/>
  <c r="N297" i="103"/>
  <c r="BN296" i="103"/>
  <c r="AD296" i="103"/>
  <c r="BR295" i="103"/>
  <c r="BF295" i="103"/>
  <c r="AT295" i="103"/>
  <c r="AH295" i="103"/>
  <c r="V295" i="103"/>
  <c r="BV294" i="103"/>
  <c r="BJ294" i="103"/>
  <c r="AX294" i="103"/>
  <c r="N294" i="103"/>
  <c r="BN293" i="103"/>
  <c r="AD293" i="103"/>
  <c r="BR292" i="103"/>
  <c r="BF292" i="103"/>
  <c r="AT292" i="103"/>
  <c r="AH292" i="103"/>
  <c r="V292" i="103"/>
  <c r="BV291" i="103"/>
  <c r="BJ291" i="103"/>
  <c r="AX291" i="103"/>
  <c r="N291" i="103"/>
  <c r="BN290" i="103"/>
  <c r="AD290" i="103"/>
  <c r="BR289" i="103"/>
  <c r="BF289" i="103"/>
  <c r="AT289" i="103"/>
  <c r="AH289" i="103"/>
  <c r="V289" i="103"/>
  <c r="BV288" i="103"/>
  <c r="BJ288" i="103"/>
  <c r="AX288" i="103"/>
  <c r="N288" i="103"/>
  <c r="BN287" i="103"/>
  <c r="AD287" i="103"/>
  <c r="BR286" i="103"/>
  <c r="BF286" i="103"/>
  <c r="AT286" i="103"/>
  <c r="AH286" i="103"/>
  <c r="V286" i="103"/>
  <c r="BV285" i="103"/>
  <c r="BJ285" i="103"/>
  <c r="AX285" i="103"/>
  <c r="N285" i="103"/>
  <c r="BN284" i="103"/>
  <c r="AD284" i="103"/>
  <c r="BR283" i="103"/>
  <c r="BF283" i="103"/>
  <c r="BK283" i="103" s="1"/>
  <c r="AT283" i="103"/>
  <c r="AH283" i="103"/>
  <c r="V283" i="103"/>
  <c r="BV282" i="103"/>
  <c r="BJ282" i="103"/>
  <c r="AX282" i="103"/>
  <c r="N282" i="103"/>
  <c r="BN281" i="103"/>
  <c r="AD281" i="103"/>
  <c r="BR280" i="103"/>
  <c r="BF280" i="103"/>
  <c r="BK280" i="103" s="1"/>
  <c r="AT280" i="103"/>
  <c r="AH280" i="103"/>
  <c r="V280" i="103"/>
  <c r="BV279" i="103"/>
  <c r="BJ279" i="103"/>
  <c r="AX279" i="103"/>
  <c r="N279" i="103"/>
  <c r="BN278" i="103"/>
  <c r="AD278" i="103"/>
  <c r="BR277" i="103"/>
  <c r="BF277" i="103"/>
  <c r="BK277" i="103" s="1"/>
  <c r="AT277" i="103"/>
  <c r="AH277" i="103"/>
  <c r="V277" i="103"/>
  <c r="BV276" i="103"/>
  <c r="BJ276" i="103"/>
  <c r="AX276" i="103"/>
  <c r="N276" i="103"/>
  <c r="BN275" i="103"/>
  <c r="AD275" i="103"/>
  <c r="BR274" i="103"/>
  <c r="BF274" i="103"/>
  <c r="AT274" i="103"/>
  <c r="AH274" i="103"/>
  <c r="V274" i="103"/>
  <c r="BV273" i="103"/>
  <c r="BJ273" i="103"/>
  <c r="AX273" i="103"/>
  <c r="N273" i="103"/>
  <c r="BN272" i="103"/>
  <c r="AD272" i="103"/>
  <c r="BR271" i="103"/>
  <c r="BF271" i="103"/>
  <c r="AT271" i="103"/>
  <c r="AH271" i="103"/>
  <c r="V271" i="103"/>
  <c r="BV270" i="103"/>
  <c r="BJ270" i="103"/>
  <c r="AX270" i="103"/>
  <c r="N270" i="103"/>
  <c r="BN269" i="103"/>
  <c r="AD269" i="103"/>
  <c r="BR268" i="103"/>
  <c r="BF268" i="103"/>
  <c r="AT268" i="103"/>
  <c r="AH268" i="103"/>
  <c r="V268" i="103"/>
  <c r="BV267" i="103"/>
  <c r="BJ267" i="103"/>
  <c r="AX267" i="103"/>
  <c r="N267" i="103"/>
  <c r="BN266" i="103"/>
  <c r="AD266" i="103"/>
  <c r="BR265" i="103"/>
  <c r="BF265" i="103"/>
  <c r="AT265" i="103"/>
  <c r="AH265" i="103"/>
  <c r="V265" i="103"/>
  <c r="BV264" i="103"/>
  <c r="BJ264" i="103"/>
  <c r="AX264" i="103"/>
  <c r="N264" i="103"/>
  <c r="BN263" i="103"/>
  <c r="AD263" i="103"/>
  <c r="BR262" i="103"/>
  <c r="BF262" i="103"/>
  <c r="AT262" i="103"/>
  <c r="AH262" i="103"/>
  <c r="V262" i="103"/>
  <c r="BV261" i="103"/>
  <c r="BJ261" i="103"/>
  <c r="AX261" i="103"/>
  <c r="N261" i="103"/>
  <c r="BM260" i="103"/>
  <c r="Q260" i="103"/>
  <c r="AX335" i="103"/>
  <c r="AP331" i="103"/>
  <c r="I330" i="103"/>
  <c r="AS327" i="103"/>
  <c r="AW323" i="103"/>
  <c r="E322" i="103"/>
  <c r="AO319" i="103"/>
  <c r="I318" i="103"/>
  <c r="AS315" i="103"/>
  <c r="BM313" i="103"/>
  <c r="AW311" i="103"/>
  <c r="BO310" i="103"/>
  <c r="AI309" i="103"/>
  <c r="AY308" i="103"/>
  <c r="V308" i="103"/>
  <c r="BH307" i="103"/>
  <c r="Q316" i="67" s="1"/>
  <c r="AJ307" i="103"/>
  <c r="BO306" i="103"/>
  <c r="AV306" i="103"/>
  <c r="AG306" i="103"/>
  <c r="BM305" i="103"/>
  <c r="AO305" i="103"/>
  <c r="Q305" i="103"/>
  <c r="BQ304" i="103"/>
  <c r="BE304" i="103"/>
  <c r="AS304" i="103"/>
  <c r="AG304" i="103"/>
  <c r="I304" i="103"/>
  <c r="BU303" i="103"/>
  <c r="BI303" i="103"/>
  <c r="AW303" i="103"/>
  <c r="AK303" i="103"/>
  <c r="BM302" i="103"/>
  <c r="Q302" i="103"/>
  <c r="BQ301" i="103"/>
  <c r="BE301" i="103"/>
  <c r="AS301" i="103"/>
  <c r="AG301" i="103"/>
  <c r="I301" i="103"/>
  <c r="BU300" i="103"/>
  <c r="BI300" i="103"/>
  <c r="AW300" i="103"/>
  <c r="AK300" i="103"/>
  <c r="BM299" i="103"/>
  <c r="Q299" i="103"/>
  <c r="BQ298" i="103"/>
  <c r="BE298" i="103"/>
  <c r="AS298" i="103"/>
  <c r="AG298" i="103"/>
  <c r="I298" i="103"/>
  <c r="BU297" i="103"/>
  <c r="BI297" i="103"/>
  <c r="AW297" i="103"/>
  <c r="AK297" i="103"/>
  <c r="BM296" i="103"/>
  <c r="Q296" i="103"/>
  <c r="BQ295" i="103"/>
  <c r="BE295" i="103"/>
  <c r="AS295" i="103"/>
  <c r="AG295" i="103"/>
  <c r="I295" i="103"/>
  <c r="BU294" i="103"/>
  <c r="BI294" i="103"/>
  <c r="AW294" i="103"/>
  <c r="AK294" i="103"/>
  <c r="BM293" i="103"/>
  <c r="Q293" i="103"/>
  <c r="BQ292" i="103"/>
  <c r="BE292" i="103"/>
  <c r="AS292" i="103"/>
  <c r="AG292" i="103"/>
  <c r="I292" i="103"/>
  <c r="BU291" i="103"/>
  <c r="BI291" i="103"/>
  <c r="AW291" i="103"/>
  <c r="AK291" i="103"/>
  <c r="BM290" i="103"/>
  <c r="Q290" i="103"/>
  <c r="BQ289" i="103"/>
  <c r="BE289" i="103"/>
  <c r="AS289" i="103"/>
  <c r="AG289" i="103"/>
  <c r="I289" i="103"/>
  <c r="BU288" i="103"/>
  <c r="BI288" i="103"/>
  <c r="AW288" i="103"/>
  <c r="AK288" i="103"/>
  <c r="BM287" i="103"/>
  <c r="Q287" i="103"/>
  <c r="BQ286" i="103"/>
  <c r="BE286" i="103"/>
  <c r="AS286" i="103"/>
  <c r="AG286" i="103"/>
  <c r="I286" i="103"/>
  <c r="BU285" i="103"/>
  <c r="BI285" i="103"/>
  <c r="AW285" i="103"/>
  <c r="AK285" i="103"/>
  <c r="BM284" i="103"/>
  <c r="Q284" i="103"/>
  <c r="BQ283" i="103"/>
  <c r="BE283" i="103"/>
  <c r="AS283" i="103"/>
  <c r="AG283" i="103"/>
  <c r="I283" i="103"/>
  <c r="BU282" i="103"/>
  <c r="AW282" i="103"/>
  <c r="AK282" i="103"/>
  <c r="BM281" i="103"/>
  <c r="Q281" i="103"/>
  <c r="BQ280" i="103"/>
  <c r="BE280" i="103"/>
  <c r="AS280" i="103"/>
  <c r="AG280" i="103"/>
  <c r="I280" i="103"/>
  <c r="BU279" i="103"/>
  <c r="AW279" i="103"/>
  <c r="AK279" i="103"/>
  <c r="BM278" i="103"/>
  <c r="Q278" i="103"/>
  <c r="BQ277" i="103"/>
  <c r="BE277" i="103"/>
  <c r="AS277" i="103"/>
  <c r="AG277" i="103"/>
  <c r="I277" i="103"/>
  <c r="BU276" i="103"/>
  <c r="AW276" i="103"/>
  <c r="AK276" i="103"/>
  <c r="BM275" i="103"/>
  <c r="Q275" i="103"/>
  <c r="BQ274" i="103"/>
  <c r="BE274" i="103"/>
  <c r="AS274" i="103"/>
  <c r="AG274" i="103"/>
  <c r="I274" i="103"/>
  <c r="BU273" i="103"/>
  <c r="AW273" i="103"/>
  <c r="AK273" i="103"/>
  <c r="BM272" i="103"/>
  <c r="Q272" i="103"/>
  <c r="BQ271" i="103"/>
  <c r="BE271" i="103"/>
  <c r="AS271" i="103"/>
  <c r="AG271" i="103"/>
  <c r="I271" i="103"/>
  <c r="BU270" i="103"/>
  <c r="AW270" i="103"/>
  <c r="AK270" i="103"/>
  <c r="BM269" i="103"/>
  <c r="Q269" i="103"/>
  <c r="BQ268" i="103"/>
  <c r="BE268" i="103"/>
  <c r="AS268" i="103"/>
  <c r="AG268" i="103"/>
  <c r="I268" i="103"/>
  <c r="BU267" i="103"/>
  <c r="AW267" i="103"/>
  <c r="AK267" i="103"/>
  <c r="BM266" i="103"/>
  <c r="Q266" i="103"/>
  <c r="BQ265" i="103"/>
  <c r="BE265" i="103"/>
  <c r="AS265" i="103"/>
  <c r="AG265" i="103"/>
  <c r="I265" i="103"/>
  <c r="BU264" i="103"/>
  <c r="AW264" i="103"/>
  <c r="AK264" i="103"/>
  <c r="BM263" i="103"/>
  <c r="Q263" i="103"/>
  <c r="BQ262" i="103"/>
  <c r="BE262" i="103"/>
  <c r="AS262" i="103"/>
  <c r="AG262" i="103"/>
  <c r="I262" i="103"/>
  <c r="BU261" i="103"/>
  <c r="AW261" i="103"/>
  <c r="AK261" i="103"/>
  <c r="CJ260" i="103"/>
  <c r="BV332" i="103"/>
  <c r="AD331" i="103"/>
  <c r="BM328" i="103"/>
  <c r="AG327" i="103"/>
  <c r="BQ324" i="103"/>
  <c r="AK323" i="103"/>
  <c r="BU320" i="103"/>
  <c r="BM316" i="103"/>
  <c r="AG315" i="103"/>
  <c r="AK314" i="103"/>
  <c r="BC313" i="103"/>
  <c r="CE312" i="103"/>
  <c r="BM310" i="103"/>
  <c r="AG309" i="103"/>
  <c r="AW308" i="103"/>
  <c r="T308" i="103"/>
  <c r="CE307" i="103"/>
  <c r="BG307" i="103"/>
  <c r="AI307" i="103"/>
  <c r="N307" i="103"/>
  <c r="CE306" i="103"/>
  <c r="BN306" i="103"/>
  <c r="AU306" i="103"/>
  <c r="AF306" i="103"/>
  <c r="P306" i="103"/>
  <c r="BL305" i="103"/>
  <c r="AZ305" i="103"/>
  <c r="P305" i="103"/>
  <c r="BP304" i="103"/>
  <c r="AF304" i="103"/>
  <c r="T304" i="103"/>
  <c r="BT303" i="103"/>
  <c r="BH303" i="103"/>
  <c r="Q312" i="67" s="1"/>
  <c r="AJ303" i="103"/>
  <c r="CJ302" i="103"/>
  <c r="BL302" i="103"/>
  <c r="AZ302" i="103"/>
  <c r="P302" i="103"/>
  <c r="BP301" i="103"/>
  <c r="AF301" i="103"/>
  <c r="T301" i="103"/>
  <c r="BT300" i="103"/>
  <c r="BH300" i="103"/>
  <c r="Q309" i="67" s="1"/>
  <c r="AJ300" i="103"/>
  <c r="CJ299" i="103"/>
  <c r="BL299" i="103"/>
  <c r="AZ299" i="103"/>
  <c r="P299" i="103"/>
  <c r="BP298" i="103"/>
  <c r="AF298" i="103"/>
  <c r="T298" i="103"/>
  <c r="BT297" i="103"/>
  <c r="BH297" i="103"/>
  <c r="Q306" i="67" s="1"/>
  <c r="AJ297" i="103"/>
  <c r="CJ296" i="103"/>
  <c r="BL296" i="103"/>
  <c r="AZ296" i="103"/>
  <c r="P296" i="103"/>
  <c r="BP295" i="103"/>
  <c r="AF295" i="103"/>
  <c r="T295" i="103"/>
  <c r="BT294" i="103"/>
  <c r="BH294" i="103"/>
  <c r="Q303" i="67" s="1"/>
  <c r="AJ294" i="103"/>
  <c r="CJ293" i="103"/>
  <c r="BL293" i="103"/>
  <c r="AZ293" i="103"/>
  <c r="P293" i="103"/>
  <c r="BP292" i="103"/>
  <c r="AF292" i="103"/>
  <c r="T292" i="103"/>
  <c r="BT291" i="103"/>
  <c r="BH291" i="103"/>
  <c r="Q300" i="67" s="1"/>
  <c r="AJ291" i="103"/>
  <c r="CJ290" i="103"/>
  <c r="BL290" i="103"/>
  <c r="AZ290" i="103"/>
  <c r="P290" i="103"/>
  <c r="BP289" i="103"/>
  <c r="AF289" i="103"/>
  <c r="T289" i="103"/>
  <c r="BT288" i="103"/>
  <c r="BH288" i="103"/>
  <c r="Q297" i="67" s="1"/>
  <c r="AJ288" i="103"/>
  <c r="CJ287" i="103"/>
  <c r="BL287" i="103"/>
  <c r="AZ287" i="103"/>
  <c r="P287" i="103"/>
  <c r="BP286" i="103"/>
  <c r="AF286" i="103"/>
  <c r="T286" i="103"/>
  <c r="BT285" i="103"/>
  <c r="BH285" i="103"/>
  <c r="Q294" i="67" s="1"/>
  <c r="AJ285" i="103"/>
  <c r="CJ284" i="103"/>
  <c r="BL284" i="103"/>
  <c r="AZ284" i="103"/>
  <c r="P284" i="103"/>
  <c r="BP283" i="103"/>
  <c r="AF283" i="103"/>
  <c r="T283" i="103"/>
  <c r="BT282" i="103"/>
  <c r="BH282" i="103"/>
  <c r="Q290" i="67" s="1"/>
  <c r="AJ282" i="103"/>
  <c r="CJ281" i="103"/>
  <c r="AZ281" i="103"/>
  <c r="AN281" i="103"/>
  <c r="P281" i="103"/>
  <c r="BP280" i="103"/>
  <c r="AF280" i="103"/>
  <c r="T280" i="103"/>
  <c r="BT279" i="103"/>
  <c r="BH279" i="103"/>
  <c r="Q287" i="67" s="1"/>
  <c r="AJ279" i="103"/>
  <c r="CJ278" i="103"/>
  <c r="AZ278" i="103"/>
  <c r="AN278" i="103"/>
  <c r="P278" i="103"/>
  <c r="BP277" i="103"/>
  <c r="AF277" i="103"/>
  <c r="T277" i="103"/>
  <c r="BT276" i="103"/>
  <c r="BH276" i="103"/>
  <c r="Q284" i="67" s="1"/>
  <c r="AJ276" i="103"/>
  <c r="CJ275" i="103"/>
  <c r="AZ275" i="103"/>
  <c r="AN275" i="103"/>
  <c r="P275" i="103"/>
  <c r="BP274" i="103"/>
  <c r="AF274" i="103"/>
  <c r="T274" i="103"/>
  <c r="BT273" i="103"/>
  <c r="BH273" i="103"/>
  <c r="Q281" i="67" s="1"/>
  <c r="AJ273" i="103"/>
  <c r="CJ272" i="103"/>
  <c r="AZ272" i="103"/>
  <c r="AN272" i="103"/>
  <c r="P272" i="103"/>
  <c r="BP271" i="103"/>
  <c r="AF271" i="103"/>
  <c r="T271" i="103"/>
  <c r="BT270" i="103"/>
  <c r="BH270" i="103"/>
  <c r="Q278" i="67" s="1"/>
  <c r="AJ270" i="103"/>
  <c r="CJ269" i="103"/>
  <c r="AZ269" i="103"/>
  <c r="AN269" i="103"/>
  <c r="P269" i="103"/>
  <c r="BP268" i="103"/>
  <c r="AF268" i="103"/>
  <c r="T268" i="103"/>
  <c r="BT267" i="103"/>
  <c r="BH267" i="103"/>
  <c r="Q275" i="67" s="1"/>
  <c r="AJ267" i="103"/>
  <c r="CJ266" i="103"/>
  <c r="AZ266" i="103"/>
  <c r="AN266" i="103"/>
  <c r="P266" i="103"/>
  <c r="BP265" i="103"/>
  <c r="AF265" i="103"/>
  <c r="T265" i="103"/>
  <c r="BT264" i="103"/>
  <c r="BH264" i="103"/>
  <c r="Q272" i="67" s="1"/>
  <c r="AJ264" i="103"/>
  <c r="CJ263" i="103"/>
  <c r="AZ263" i="103"/>
  <c r="AN263" i="103"/>
  <c r="P263" i="103"/>
  <c r="BP262" i="103"/>
  <c r="AF262" i="103"/>
  <c r="T262" i="103"/>
  <c r="BT261" i="103"/>
  <c r="BH261" i="103"/>
  <c r="Q269" i="67" s="1"/>
  <c r="AJ261" i="103"/>
  <c r="AF273" i="103"/>
  <c r="AZ271" i="103"/>
  <c r="BP267" i="103"/>
  <c r="AE264" i="103"/>
  <c r="BG263" i="103"/>
  <c r="AY262" i="103"/>
  <c r="T261" i="103"/>
  <c r="BR260" i="103"/>
  <c r="V260" i="103"/>
  <c r="BP259" i="103"/>
  <c r="AF259" i="103"/>
  <c r="T259" i="103"/>
  <c r="BT258" i="103"/>
  <c r="BH258" i="103"/>
  <c r="Q266" i="67" s="1"/>
  <c r="AJ258" i="103"/>
  <c r="CJ257" i="103"/>
  <c r="AZ257" i="103"/>
  <c r="AN257" i="103"/>
  <c r="P257" i="103"/>
  <c r="BO256" i="103"/>
  <c r="BC256" i="103"/>
  <c r="BB256" i="103" s="1"/>
  <c r="AE256" i="103"/>
  <c r="S256" i="103"/>
  <c r="G256" i="103"/>
  <c r="CE255" i="103"/>
  <c r="BS255" i="103"/>
  <c r="BG255" i="103"/>
  <c r="AI255" i="103"/>
  <c r="AY254" i="103"/>
  <c r="BO253" i="103"/>
  <c r="BC253" i="103"/>
  <c r="AQ253" i="103"/>
  <c r="AE253" i="103"/>
  <c r="S253" i="103"/>
  <c r="G253" i="103"/>
  <c r="CE252" i="103"/>
  <c r="BS252" i="103"/>
  <c r="AN252" i="103" s="1"/>
  <c r="BG252" i="103"/>
  <c r="AU252" i="103"/>
  <c r="AI252" i="103"/>
  <c r="BK251" i="103"/>
  <c r="AY251" i="103"/>
  <c r="BO250" i="103"/>
  <c r="BC250" i="103"/>
  <c r="AQ250" i="103"/>
  <c r="AE250" i="103"/>
  <c r="S250" i="103"/>
  <c r="G250" i="103"/>
  <c r="CE249" i="103"/>
  <c r="BS249" i="103"/>
  <c r="AN249" i="103" s="1"/>
  <c r="BG249" i="103"/>
  <c r="AU249" i="103"/>
  <c r="AI249" i="103"/>
  <c r="BK248" i="103"/>
  <c r="AY248" i="103"/>
  <c r="BO247" i="103"/>
  <c r="BC247" i="103"/>
  <c r="AQ247" i="103"/>
  <c r="AE247" i="103"/>
  <c r="S247" i="103"/>
  <c r="G247" i="103"/>
  <c r="CE246" i="103"/>
  <c r="BS246" i="103"/>
  <c r="AN246" i="103" s="1"/>
  <c r="BG246" i="103"/>
  <c r="AU246" i="103"/>
  <c r="AI246" i="103"/>
  <c r="BK245" i="103"/>
  <c r="AY245" i="103"/>
  <c r="BO244" i="103"/>
  <c r="BC244" i="103"/>
  <c r="AQ244" i="103"/>
  <c r="AE244" i="103"/>
  <c r="S244" i="103"/>
  <c r="G244" i="103"/>
  <c r="CE243" i="103"/>
  <c r="BS243" i="103"/>
  <c r="AN243" i="103" s="1"/>
  <c r="BG243" i="103"/>
  <c r="AU243" i="103"/>
  <c r="AI243" i="103"/>
  <c r="BK242" i="103"/>
  <c r="AY242" i="103"/>
  <c r="BO241" i="103"/>
  <c r="BC241" i="103"/>
  <c r="AQ241" i="103"/>
  <c r="AE241" i="103"/>
  <c r="S241" i="103"/>
  <c r="G241" i="103"/>
  <c r="CE240" i="103"/>
  <c r="BS240" i="103"/>
  <c r="AN240" i="103" s="1"/>
  <c r="BG240" i="103"/>
  <c r="AU240" i="103"/>
  <c r="AI240" i="103"/>
  <c r="BK239" i="103"/>
  <c r="AY239" i="103"/>
  <c r="BO238" i="103"/>
  <c r="BC238" i="103"/>
  <c r="AQ238" i="103"/>
  <c r="AE238" i="103"/>
  <c r="S238" i="103"/>
  <c r="G238" i="103"/>
  <c r="CE237" i="103"/>
  <c r="BS237" i="103"/>
  <c r="AN237" i="103" s="1"/>
  <c r="BG237" i="103"/>
  <c r="AU237" i="103"/>
  <c r="AI237" i="103"/>
  <c r="BK236" i="103"/>
  <c r="AY236" i="103"/>
  <c r="BO235" i="103"/>
  <c r="BC235" i="103"/>
  <c r="AQ235" i="103"/>
  <c r="AE235" i="103"/>
  <c r="S235" i="103"/>
  <c r="G235" i="103"/>
  <c r="CE234" i="103"/>
  <c r="BS234" i="103"/>
  <c r="AN234" i="103" s="1"/>
  <c r="BG234" i="103"/>
  <c r="AU234" i="103"/>
  <c r="AI234" i="103"/>
  <c r="BK233" i="103"/>
  <c r="AY233" i="103"/>
  <c r="BO232" i="103"/>
  <c r="BC232" i="103"/>
  <c r="AQ232" i="103"/>
  <c r="AE232" i="103"/>
  <c r="S232" i="103"/>
  <c r="G232" i="103"/>
  <c r="CE231" i="103"/>
  <c r="BS231" i="103"/>
  <c r="AN231" i="103" s="1"/>
  <c r="BG231" i="103"/>
  <c r="AU231" i="103"/>
  <c r="AI231" i="103"/>
  <c r="BK230" i="103"/>
  <c r="AY230" i="103"/>
  <c r="BO229" i="103"/>
  <c r="BC229" i="103"/>
  <c r="AQ229" i="103"/>
  <c r="AE229" i="103"/>
  <c r="S229" i="103"/>
  <c r="G229" i="103"/>
  <c r="CE228" i="103"/>
  <c r="BS228" i="103"/>
  <c r="AN228" i="103" s="1"/>
  <c r="BG228" i="103"/>
  <c r="AU228" i="103"/>
  <c r="AI228" i="103"/>
  <c r="BK227" i="103"/>
  <c r="AY227" i="103"/>
  <c r="BO226" i="103"/>
  <c r="BC226" i="103"/>
  <c r="AQ226" i="103"/>
  <c r="AE226" i="103"/>
  <c r="S226" i="103"/>
  <c r="BQ225" i="103"/>
  <c r="BE225" i="103"/>
  <c r="AS225" i="103"/>
  <c r="AG225" i="103"/>
  <c r="I225" i="103"/>
  <c r="BU224" i="103"/>
  <c r="AW224" i="103"/>
  <c r="AK224" i="103"/>
  <c r="BM223" i="103"/>
  <c r="AO223" i="103"/>
  <c r="Q223" i="103"/>
  <c r="BQ222" i="103"/>
  <c r="BE222" i="103"/>
  <c r="AS222" i="103"/>
  <c r="AG222" i="103"/>
  <c r="I222" i="103"/>
  <c r="BU221" i="103"/>
  <c r="AW221" i="103"/>
  <c r="AK221" i="103"/>
  <c r="BM220" i="103"/>
  <c r="AO220" i="103"/>
  <c r="Q220" i="103"/>
  <c r="BQ219" i="103"/>
  <c r="BE219" i="103"/>
  <c r="AS219" i="103"/>
  <c r="AG219" i="103"/>
  <c r="I219" i="103"/>
  <c r="BU218" i="103"/>
  <c r="AW218" i="103"/>
  <c r="AK218" i="103"/>
  <c r="BM217" i="103"/>
  <c r="AO217" i="103"/>
  <c r="Q217" i="103"/>
  <c r="BQ216" i="103"/>
  <c r="BE216" i="103"/>
  <c r="AS216" i="103"/>
  <c r="AG216" i="103"/>
  <c r="I216" i="103"/>
  <c r="BU215" i="103"/>
  <c r="AW215" i="103"/>
  <c r="AK215" i="103"/>
  <c r="BM214" i="103"/>
  <c r="P277" i="103"/>
  <c r="T273" i="103"/>
  <c r="AJ269" i="103"/>
  <c r="BP264" i="103"/>
  <c r="T264" i="103"/>
  <c r="BC261" i="103"/>
  <c r="BB261" i="103" s="1"/>
  <c r="S261" i="103"/>
  <c r="BP260" i="103"/>
  <c r="T260" i="103"/>
  <c r="BO259" i="103"/>
  <c r="BC259" i="103"/>
  <c r="BB259" i="103" s="1"/>
  <c r="AE259" i="103"/>
  <c r="S259" i="103"/>
  <c r="G259" i="103"/>
  <c r="CE258" i="103"/>
  <c r="BS258" i="103"/>
  <c r="BG258" i="103"/>
  <c r="AI258" i="103"/>
  <c r="AY257" i="103"/>
  <c r="BN256" i="103"/>
  <c r="AD256" i="103"/>
  <c r="BR255" i="103"/>
  <c r="BF255" i="103"/>
  <c r="AT255" i="103"/>
  <c r="AH255" i="103"/>
  <c r="V255" i="103"/>
  <c r="BV254" i="103"/>
  <c r="BJ254" i="103"/>
  <c r="AX254" i="103"/>
  <c r="N254" i="103"/>
  <c r="BN253" i="103"/>
  <c r="AP253" i="103"/>
  <c r="AD253" i="103"/>
  <c r="BR252" i="103"/>
  <c r="BF252" i="103"/>
  <c r="AT252" i="103"/>
  <c r="AH252" i="103"/>
  <c r="V252" i="103"/>
  <c r="BV251" i="103"/>
  <c r="BJ251" i="103"/>
  <c r="AX251" i="103"/>
  <c r="N251" i="103"/>
  <c r="BN250" i="103"/>
  <c r="AP250" i="103"/>
  <c r="AD250" i="103"/>
  <c r="BR249" i="103"/>
  <c r="BF249" i="103"/>
  <c r="AT249" i="103"/>
  <c r="AH249" i="103"/>
  <c r="V249" i="103"/>
  <c r="BV248" i="103"/>
  <c r="BJ248" i="103"/>
  <c r="AX248" i="103"/>
  <c r="N248" i="103"/>
  <c r="BN247" i="103"/>
  <c r="AP247" i="103"/>
  <c r="AD247" i="103"/>
  <c r="BR246" i="103"/>
  <c r="BF246" i="103"/>
  <c r="AT246" i="103"/>
  <c r="AH246" i="103"/>
  <c r="V246" i="103"/>
  <c r="BV245" i="103"/>
  <c r="BJ245" i="103"/>
  <c r="AX245" i="103"/>
  <c r="N245" i="103"/>
  <c r="BN244" i="103"/>
  <c r="AP244" i="103"/>
  <c r="AD244" i="103"/>
  <c r="BR243" i="103"/>
  <c r="BF243" i="103"/>
  <c r="AT243" i="103"/>
  <c r="AH243" i="103"/>
  <c r="V243" i="103"/>
  <c r="BV242" i="103"/>
  <c r="BJ242" i="103"/>
  <c r="AX242" i="103"/>
  <c r="N242" i="103"/>
  <c r="BN241" i="103"/>
  <c r="AP241" i="103"/>
  <c r="AD241" i="103"/>
  <c r="BR240" i="103"/>
  <c r="BF240" i="103"/>
  <c r="AT240" i="103"/>
  <c r="AH240" i="103"/>
  <c r="V240" i="103"/>
  <c r="BV239" i="103"/>
  <c r="BJ239" i="103"/>
  <c r="AX239" i="103"/>
  <c r="N239" i="103"/>
  <c r="BN238" i="103"/>
  <c r="AP238" i="103"/>
  <c r="AD238" i="103"/>
  <c r="BR237" i="103"/>
  <c r="BF237" i="103"/>
  <c r="AT237" i="103"/>
  <c r="AH237" i="103"/>
  <c r="V237" i="103"/>
  <c r="BV236" i="103"/>
  <c r="BJ236" i="103"/>
  <c r="AX236" i="103"/>
  <c r="N236" i="103"/>
  <c r="BN235" i="103"/>
  <c r="AP235" i="103"/>
  <c r="AD235" i="103"/>
  <c r="BR234" i="103"/>
  <c r="BF234" i="103"/>
  <c r="AT234" i="103"/>
  <c r="AH234" i="103"/>
  <c r="V234" i="103"/>
  <c r="BV233" i="103"/>
  <c r="BJ233" i="103"/>
  <c r="AX233" i="103"/>
  <c r="N233" i="103"/>
  <c r="BN232" i="103"/>
  <c r="AP232" i="103"/>
  <c r="AD232" i="103"/>
  <c r="BR231" i="103"/>
  <c r="BF231" i="103"/>
  <c r="AT231" i="103"/>
  <c r="AH231" i="103"/>
  <c r="V231" i="103"/>
  <c r="BV230" i="103"/>
  <c r="BJ230" i="103"/>
  <c r="AX230" i="103"/>
  <c r="N230" i="103"/>
  <c r="BN229" i="103"/>
  <c r="AP229" i="103"/>
  <c r="AD229" i="103"/>
  <c r="BR228" i="103"/>
  <c r="BF228" i="103"/>
  <c r="AT228" i="103"/>
  <c r="AH228" i="103"/>
  <c r="V228" i="103"/>
  <c r="BV227" i="103"/>
  <c r="BJ227" i="103"/>
  <c r="AX227" i="103"/>
  <c r="N227" i="103"/>
  <c r="BN226" i="103"/>
  <c r="AP226" i="103"/>
  <c r="AD226" i="103"/>
  <c r="BP225" i="103"/>
  <c r="AR225" i="103"/>
  <c r="AF225" i="103"/>
  <c r="T225" i="103"/>
  <c r="BT224" i="103"/>
  <c r="BH224" i="103"/>
  <c r="Q231" i="67" s="1"/>
  <c r="AV224" i="103"/>
  <c r="AJ224" i="103"/>
  <c r="CJ223" i="103"/>
  <c r="BL223" i="103"/>
  <c r="AZ223" i="103"/>
  <c r="P223" i="103"/>
  <c r="BP222" i="103"/>
  <c r="AR222" i="103"/>
  <c r="AF222" i="103"/>
  <c r="T222" i="103"/>
  <c r="BT221" i="103"/>
  <c r="BH221" i="103"/>
  <c r="Q227" i="67" s="1"/>
  <c r="AV221" i="103"/>
  <c r="AJ221" i="103"/>
  <c r="CJ220" i="103"/>
  <c r="BL220" i="103"/>
  <c r="AZ220" i="103"/>
  <c r="P220" i="103"/>
  <c r="BP219" i="103"/>
  <c r="AR219" i="103"/>
  <c r="AF219" i="103"/>
  <c r="T219" i="103"/>
  <c r="BT218" i="103"/>
  <c r="BH218" i="103"/>
  <c r="Q224" i="67" s="1"/>
  <c r="AV218" i="103"/>
  <c r="AJ218" i="103"/>
  <c r="CJ217" i="103"/>
  <c r="BL217" i="103"/>
  <c r="AZ217" i="103"/>
  <c r="P217" i="103"/>
  <c r="BP216" i="103"/>
  <c r="AR216" i="103"/>
  <c r="AF216" i="103"/>
  <c r="T216" i="103"/>
  <c r="BT215" i="103"/>
  <c r="BH215" i="103"/>
  <c r="Q221" i="67" s="1"/>
  <c r="AF276" i="103"/>
  <c r="AZ274" i="103"/>
  <c r="BP270" i="103"/>
  <c r="BT266" i="103"/>
  <c r="BO264" i="103"/>
  <c r="S264" i="103"/>
  <c r="Q261" i="103"/>
  <c r="S260" i="103"/>
  <c r="BN259" i="103"/>
  <c r="AD259" i="103"/>
  <c r="BR258" i="103"/>
  <c r="BF258" i="103"/>
  <c r="AT258" i="103"/>
  <c r="AH258" i="103"/>
  <c r="V258" i="103"/>
  <c r="BV257" i="103"/>
  <c r="BJ257" i="103"/>
  <c r="AX257" i="103"/>
  <c r="N257" i="103"/>
  <c r="BM256" i="103"/>
  <c r="Q256" i="103"/>
  <c r="BQ255" i="103"/>
  <c r="BE255" i="103"/>
  <c r="AS255" i="103"/>
  <c r="AG255" i="103"/>
  <c r="I255" i="103"/>
  <c r="BU254" i="103"/>
  <c r="AW254" i="103"/>
  <c r="AK254" i="103"/>
  <c r="BM253" i="103"/>
  <c r="AO253" i="103"/>
  <c r="Q253" i="103"/>
  <c r="BQ252" i="103"/>
  <c r="BE252" i="103"/>
  <c r="AS252" i="103"/>
  <c r="AG252" i="103"/>
  <c r="I252" i="103"/>
  <c r="BU251" i="103"/>
  <c r="AW251" i="103"/>
  <c r="AK251" i="103"/>
  <c r="BM250" i="103"/>
  <c r="AO250" i="103"/>
  <c r="Q250" i="103"/>
  <c r="BQ249" i="103"/>
  <c r="BE249" i="103"/>
  <c r="AS249" i="103"/>
  <c r="AG249" i="103"/>
  <c r="I249" i="103"/>
  <c r="BU248" i="103"/>
  <c r="AW248" i="103"/>
  <c r="AK248" i="103"/>
  <c r="BM247" i="103"/>
  <c r="AO247" i="103"/>
  <c r="Q247" i="103"/>
  <c r="BQ246" i="103"/>
  <c r="BE246" i="103"/>
  <c r="AS246" i="103"/>
  <c r="AG246" i="103"/>
  <c r="I246" i="103"/>
  <c r="BU245" i="103"/>
  <c r="AW245" i="103"/>
  <c r="AK245" i="103"/>
  <c r="BM244" i="103"/>
  <c r="AO244" i="103"/>
  <c r="Q244" i="103"/>
  <c r="BQ243" i="103"/>
  <c r="BE243" i="103"/>
  <c r="AS243" i="103"/>
  <c r="AG243" i="103"/>
  <c r="I243" i="103"/>
  <c r="BU242" i="103"/>
  <c r="AW242" i="103"/>
  <c r="AK242" i="103"/>
  <c r="BM241" i="103"/>
  <c r="AO241" i="103"/>
  <c r="Q241" i="103"/>
  <c r="BQ240" i="103"/>
  <c r="BE240" i="103"/>
  <c r="AS240" i="103"/>
  <c r="AG240" i="103"/>
  <c r="I240" i="103"/>
  <c r="BU239" i="103"/>
  <c r="AW239" i="103"/>
  <c r="AK239" i="103"/>
  <c r="BM238" i="103"/>
  <c r="AO238" i="103"/>
  <c r="Q238" i="103"/>
  <c r="BQ237" i="103"/>
  <c r="BE237" i="103"/>
  <c r="AS237" i="103"/>
  <c r="AG237" i="103"/>
  <c r="I237" i="103"/>
  <c r="BU236" i="103"/>
  <c r="AW236" i="103"/>
  <c r="AK236" i="103"/>
  <c r="BM235" i="103"/>
  <c r="AO235" i="103"/>
  <c r="Q235" i="103"/>
  <c r="BQ234" i="103"/>
  <c r="BE234" i="103"/>
  <c r="AS234" i="103"/>
  <c r="AG234" i="103"/>
  <c r="I234" i="103"/>
  <c r="BU233" i="103"/>
  <c r="AW233" i="103"/>
  <c r="AK233" i="103"/>
  <c r="BM232" i="103"/>
  <c r="AO232" i="103"/>
  <c r="Q232" i="103"/>
  <c r="BQ231" i="103"/>
  <c r="BE231" i="103"/>
  <c r="AS231" i="103"/>
  <c r="AG231" i="103"/>
  <c r="I231" i="103"/>
  <c r="BU230" i="103"/>
  <c r="AW230" i="103"/>
  <c r="AK230" i="103"/>
  <c r="BM229" i="103"/>
  <c r="AO229" i="103"/>
  <c r="Q229" i="103"/>
  <c r="BQ228" i="103"/>
  <c r="BE228" i="103"/>
  <c r="AS228" i="103"/>
  <c r="AG228" i="103"/>
  <c r="I228" i="103"/>
  <c r="BU227" i="103"/>
  <c r="AW227" i="103"/>
  <c r="AK227" i="103"/>
  <c r="BM226" i="103"/>
  <c r="AO226" i="103"/>
  <c r="Q226" i="103"/>
  <c r="BO225" i="103"/>
  <c r="BC225" i="103"/>
  <c r="AQ225" i="103"/>
  <c r="AE225" i="103"/>
  <c r="S225" i="103"/>
  <c r="G225" i="103"/>
  <c r="CE224" i="103"/>
  <c r="BS224" i="103"/>
  <c r="AN224" i="103" s="1"/>
  <c r="BG224" i="103"/>
  <c r="AU224" i="103"/>
  <c r="AI224" i="103"/>
  <c r="BK223" i="103"/>
  <c r="AY223" i="103"/>
  <c r="BO222" i="103"/>
  <c r="BC222" i="103"/>
  <c r="AQ222" i="103"/>
  <c r="AE222" i="103"/>
  <c r="S222" i="103"/>
  <c r="G222" i="103"/>
  <c r="CE221" i="103"/>
  <c r="BS221" i="103"/>
  <c r="AN221" i="103" s="1"/>
  <c r="BG221" i="103"/>
  <c r="AU221" i="103"/>
  <c r="AI221" i="103"/>
  <c r="BK220" i="103"/>
  <c r="AY220" i="103"/>
  <c r="BO219" i="103"/>
  <c r="BC219" i="103"/>
  <c r="AQ219" i="103"/>
  <c r="AE219" i="103"/>
  <c r="S219" i="103"/>
  <c r="G219" i="103"/>
  <c r="CE218" i="103"/>
  <c r="BS218" i="103"/>
  <c r="AN218" i="103" s="1"/>
  <c r="BG218" i="103"/>
  <c r="AU218" i="103"/>
  <c r="AI218" i="103"/>
  <c r="BK217" i="103"/>
  <c r="AY217" i="103"/>
  <c r="BO216" i="103"/>
  <c r="BC216" i="103"/>
  <c r="AQ216" i="103"/>
  <c r="AE216" i="103"/>
  <c r="S216" i="103"/>
  <c r="G216" i="103"/>
  <c r="CE215" i="103"/>
  <c r="BS215" i="103"/>
  <c r="AN215" i="103" s="1"/>
  <c r="BG215" i="103"/>
  <c r="AU215" i="103"/>
  <c r="AI215" i="103"/>
  <c r="BK214" i="103"/>
  <c r="T276" i="103"/>
  <c r="AJ272" i="103"/>
  <c r="BH266" i="103"/>
  <c r="Q274" i="67" s="1"/>
  <c r="AN265" i="103"/>
  <c r="BG260" i="103"/>
  <c r="AN260" i="103"/>
  <c r="BM259" i="103"/>
  <c r="Q259" i="103"/>
  <c r="BQ258" i="103"/>
  <c r="BE258" i="103"/>
  <c r="AS258" i="103"/>
  <c r="AG258" i="103"/>
  <c r="I258" i="103"/>
  <c r="BU257" i="103"/>
  <c r="AW257" i="103"/>
  <c r="AK257" i="103"/>
  <c r="CJ256" i="103"/>
  <c r="AZ256" i="103"/>
  <c r="AN256" i="103"/>
  <c r="P256" i="103"/>
  <c r="BP255" i="103"/>
  <c r="AF255" i="103"/>
  <c r="T255" i="103"/>
  <c r="BT254" i="103"/>
  <c r="BH254" i="103"/>
  <c r="AJ254" i="103"/>
  <c r="CJ253" i="103"/>
  <c r="BL253" i="103"/>
  <c r="AZ253" i="103"/>
  <c r="P253" i="103"/>
  <c r="BP252" i="103"/>
  <c r="AR252" i="103"/>
  <c r="AR253" i="103" s="1"/>
  <c r="AF252" i="103"/>
  <c r="T252" i="103"/>
  <c r="BT251" i="103"/>
  <c r="BH251" i="103"/>
  <c r="Q258" i="67" s="1"/>
  <c r="AV251" i="103"/>
  <c r="AJ251" i="103"/>
  <c r="CJ250" i="103"/>
  <c r="BL250" i="103"/>
  <c r="AZ250" i="103"/>
  <c r="P250" i="103"/>
  <c r="BP249" i="103"/>
  <c r="AR249" i="103"/>
  <c r="AF249" i="103"/>
  <c r="T249" i="103"/>
  <c r="BT248" i="103"/>
  <c r="BH248" i="103"/>
  <c r="Q255" i="67" s="1"/>
  <c r="AV248" i="103"/>
  <c r="AJ248" i="103"/>
  <c r="CJ247" i="103"/>
  <c r="BL247" i="103"/>
  <c r="AZ247" i="103"/>
  <c r="P247" i="103"/>
  <c r="BP246" i="103"/>
  <c r="AR246" i="103"/>
  <c r="AF246" i="103"/>
  <c r="T246" i="103"/>
  <c r="BT245" i="103"/>
  <c r="BH245" i="103"/>
  <c r="Q252" i="67" s="1"/>
  <c r="AV245" i="103"/>
  <c r="AJ245" i="103"/>
  <c r="CJ244" i="103"/>
  <c r="BL244" i="103"/>
  <c r="AZ244" i="103"/>
  <c r="P244" i="103"/>
  <c r="BP243" i="103"/>
  <c r="AR243" i="103"/>
  <c r="AF243" i="103"/>
  <c r="T243" i="103"/>
  <c r="BT242" i="103"/>
  <c r="BH242" i="103"/>
  <c r="Q249" i="67" s="1"/>
  <c r="AV242" i="103"/>
  <c r="AJ242" i="103"/>
  <c r="CJ241" i="103"/>
  <c r="BL241" i="103"/>
  <c r="AZ241" i="103"/>
  <c r="P241" i="103"/>
  <c r="BP240" i="103"/>
  <c r="AR240" i="103"/>
  <c r="AF240" i="103"/>
  <c r="T240" i="103"/>
  <c r="BT239" i="103"/>
  <c r="BH239" i="103"/>
  <c r="Q246" i="67" s="1"/>
  <c r="AV239" i="103"/>
  <c r="AJ239" i="103"/>
  <c r="CJ238" i="103"/>
  <c r="BL238" i="103"/>
  <c r="AZ238" i="103"/>
  <c r="P238" i="103"/>
  <c r="BP237" i="103"/>
  <c r="AR237" i="103"/>
  <c r="AF237" i="103"/>
  <c r="T237" i="103"/>
  <c r="BT236" i="103"/>
  <c r="BH236" i="103"/>
  <c r="Q243" i="67" s="1"/>
  <c r="AV236" i="103"/>
  <c r="AJ236" i="103"/>
  <c r="CJ235" i="103"/>
  <c r="BL235" i="103"/>
  <c r="AZ235" i="103"/>
  <c r="P235" i="103"/>
  <c r="BP234" i="103"/>
  <c r="AR234" i="103"/>
  <c r="AF234" i="103"/>
  <c r="T234" i="103"/>
  <c r="BT233" i="103"/>
  <c r="BH233" i="103"/>
  <c r="Q240" i="67" s="1"/>
  <c r="AV233" i="103"/>
  <c r="AJ233" i="103"/>
  <c r="CJ232" i="103"/>
  <c r="BL232" i="103"/>
  <c r="AZ232" i="103"/>
  <c r="P232" i="103"/>
  <c r="BP231" i="103"/>
  <c r="AR231" i="103"/>
  <c r="AF231" i="103"/>
  <c r="T231" i="103"/>
  <c r="BT230" i="103"/>
  <c r="BH230" i="103"/>
  <c r="Q237" i="67" s="1"/>
  <c r="AV230" i="103"/>
  <c r="AJ230" i="103"/>
  <c r="CJ229" i="103"/>
  <c r="BL229" i="103"/>
  <c r="AZ229" i="103"/>
  <c r="P229" i="103"/>
  <c r="BP228" i="103"/>
  <c r="AR228" i="103"/>
  <c r="AF228" i="103"/>
  <c r="T228" i="103"/>
  <c r="BT227" i="103"/>
  <c r="BH227" i="103"/>
  <c r="Q234" i="67" s="1"/>
  <c r="AV227" i="103"/>
  <c r="AJ227" i="103"/>
  <c r="CJ226" i="103"/>
  <c r="BL226" i="103"/>
  <c r="AZ226" i="103"/>
  <c r="P226" i="103"/>
  <c r="BN225" i="103"/>
  <c r="AP225" i="103"/>
  <c r="AD225" i="103"/>
  <c r="BR224" i="103"/>
  <c r="BF224" i="103"/>
  <c r="AT224" i="103"/>
  <c r="AH224" i="103"/>
  <c r="V224" i="103"/>
  <c r="BV223" i="103"/>
  <c r="BJ223" i="103"/>
  <c r="AX223" i="103"/>
  <c r="N223" i="103"/>
  <c r="BN222" i="103"/>
  <c r="AP222" i="103"/>
  <c r="AD222" i="103"/>
  <c r="BR221" i="103"/>
  <c r="BF221" i="103"/>
  <c r="AT221" i="103"/>
  <c r="AH221" i="103"/>
  <c r="V221" i="103"/>
  <c r="BV220" i="103"/>
  <c r="BJ220" i="103"/>
  <c r="AX220" i="103"/>
  <c r="N220" i="103"/>
  <c r="BN219" i="103"/>
  <c r="AP219" i="103"/>
  <c r="AD219" i="103"/>
  <c r="BR218" i="103"/>
  <c r="BF218" i="103"/>
  <c r="AT218" i="103"/>
  <c r="AZ277" i="103"/>
  <c r="BP273" i="103"/>
  <c r="BT269" i="103"/>
  <c r="CJ265" i="103"/>
  <c r="BC264" i="103"/>
  <c r="G264" i="103"/>
  <c r="CJ262" i="103"/>
  <c r="G261" i="103"/>
  <c r="BF260" i="103"/>
  <c r="P260" i="103"/>
  <c r="CJ259" i="103"/>
  <c r="AZ259" i="103"/>
  <c r="AN259" i="103"/>
  <c r="P259" i="103"/>
  <c r="BP258" i="103"/>
  <c r="AF258" i="103"/>
  <c r="T258" i="103"/>
  <c r="BT257" i="103"/>
  <c r="BH257" i="103"/>
  <c r="Q265" i="67" s="1"/>
  <c r="AJ257" i="103"/>
  <c r="AY256" i="103"/>
  <c r="BO255" i="103"/>
  <c r="BC255" i="103"/>
  <c r="BB255" i="103" s="1"/>
  <c r="AE255" i="103"/>
  <c r="S255" i="103"/>
  <c r="G255" i="103"/>
  <c r="CE254" i="103"/>
  <c r="BS254" i="103"/>
  <c r="BG254" i="103"/>
  <c r="AI254" i="103"/>
  <c r="BK253" i="103"/>
  <c r="AY253" i="103"/>
  <c r="BO252" i="103"/>
  <c r="BC252" i="103"/>
  <c r="AQ252" i="103"/>
  <c r="AE252" i="103"/>
  <c r="S252" i="103"/>
  <c r="G252" i="103"/>
  <c r="CE251" i="103"/>
  <c r="BS251" i="103"/>
  <c r="AN251" i="103" s="1"/>
  <c r="BG251" i="103"/>
  <c r="AU251" i="103"/>
  <c r="AI251" i="103"/>
  <c r="BK250" i="103"/>
  <c r="AY250" i="103"/>
  <c r="BO249" i="103"/>
  <c r="BC249" i="103"/>
  <c r="AQ249" i="103"/>
  <c r="AE249" i="103"/>
  <c r="S249" i="103"/>
  <c r="G249" i="103"/>
  <c r="CE248" i="103"/>
  <c r="BS248" i="103"/>
  <c r="AN248" i="103" s="1"/>
  <c r="BG248" i="103"/>
  <c r="AU248" i="103"/>
  <c r="AI248" i="103"/>
  <c r="BK247" i="103"/>
  <c r="AY247" i="103"/>
  <c r="BO246" i="103"/>
  <c r="BC246" i="103"/>
  <c r="AQ246" i="103"/>
  <c r="AE246" i="103"/>
  <c r="S246" i="103"/>
  <c r="G246" i="103"/>
  <c r="CE245" i="103"/>
  <c r="BS245" i="103"/>
  <c r="AN245" i="103" s="1"/>
  <c r="BG245" i="103"/>
  <c r="AU245" i="103"/>
  <c r="AI245" i="103"/>
  <c r="BK244" i="103"/>
  <c r="AY244" i="103"/>
  <c r="BO243" i="103"/>
  <c r="BC243" i="103"/>
  <c r="AQ243" i="103"/>
  <c r="AE243" i="103"/>
  <c r="S243" i="103"/>
  <c r="G243" i="103"/>
  <c r="CE242" i="103"/>
  <c r="BS242" i="103"/>
  <c r="AN242" i="103" s="1"/>
  <c r="BG242" i="103"/>
  <c r="AU242" i="103"/>
  <c r="AI242" i="103"/>
  <c r="BK241" i="103"/>
  <c r="AY241" i="103"/>
  <c r="BO240" i="103"/>
  <c r="BC240" i="103"/>
  <c r="AQ240" i="103"/>
  <c r="AE240" i="103"/>
  <c r="S240" i="103"/>
  <c r="G240" i="103"/>
  <c r="CE239" i="103"/>
  <c r="BS239" i="103"/>
  <c r="AN239" i="103" s="1"/>
  <c r="BG239" i="103"/>
  <c r="AU239" i="103"/>
  <c r="AI239" i="103"/>
  <c r="BK238" i="103"/>
  <c r="AY238" i="103"/>
  <c r="BO237" i="103"/>
  <c r="BC237" i="103"/>
  <c r="AQ237" i="103"/>
  <c r="AE237" i="103"/>
  <c r="S237" i="103"/>
  <c r="G237" i="103"/>
  <c r="CE236" i="103"/>
  <c r="BS236" i="103"/>
  <c r="AN236" i="103" s="1"/>
  <c r="BG236" i="103"/>
  <c r="AU236" i="103"/>
  <c r="AI236" i="103"/>
  <c r="BK235" i="103"/>
  <c r="AY235" i="103"/>
  <c r="BO234" i="103"/>
  <c r="BC234" i="103"/>
  <c r="AQ234" i="103"/>
  <c r="AE234" i="103"/>
  <c r="S234" i="103"/>
  <c r="G234" i="103"/>
  <c r="CE233" i="103"/>
  <c r="BS233" i="103"/>
  <c r="AN233" i="103" s="1"/>
  <c r="BG233" i="103"/>
  <c r="AU233" i="103"/>
  <c r="AI233" i="103"/>
  <c r="BK232" i="103"/>
  <c r="AY232" i="103"/>
  <c r="BO231" i="103"/>
  <c r="BC231" i="103"/>
  <c r="AQ231" i="103"/>
  <c r="AE231" i="103"/>
  <c r="S231" i="103"/>
  <c r="G231" i="103"/>
  <c r="CE230" i="103"/>
  <c r="BS230" i="103"/>
  <c r="AN230" i="103" s="1"/>
  <c r="BG230" i="103"/>
  <c r="AU230" i="103"/>
  <c r="AI230" i="103"/>
  <c r="BK229" i="103"/>
  <c r="AY229" i="103"/>
  <c r="BO228" i="103"/>
  <c r="BC228" i="103"/>
  <c r="AQ228" i="103"/>
  <c r="AE228" i="103"/>
  <c r="S228" i="103"/>
  <c r="G228" i="103"/>
  <c r="CE227" i="103"/>
  <c r="BS227" i="103"/>
  <c r="AN227" i="103" s="1"/>
  <c r="BG227" i="103"/>
  <c r="AU227" i="103"/>
  <c r="AI227" i="103"/>
  <c r="BK226" i="103"/>
  <c r="AY226" i="103"/>
  <c r="BM225" i="103"/>
  <c r="AO225" i="103"/>
  <c r="Q225" i="103"/>
  <c r="BQ224" i="103"/>
  <c r="BE224" i="103"/>
  <c r="AS224" i="103"/>
  <c r="AG224" i="103"/>
  <c r="I224" i="103"/>
  <c r="BU223" i="103"/>
  <c r="AW223" i="103"/>
  <c r="AK223" i="103"/>
  <c r="BM222" i="103"/>
  <c r="AO222" i="103"/>
  <c r="Q222" i="103"/>
  <c r="BQ221" i="103"/>
  <c r="BE221" i="103"/>
  <c r="AS221" i="103"/>
  <c r="AG221" i="103"/>
  <c r="I221" i="103"/>
  <c r="BU220" i="103"/>
  <c r="AW220" i="103"/>
  <c r="AK220" i="103"/>
  <c r="BM219" i="103"/>
  <c r="AO219" i="103"/>
  <c r="Q219" i="103"/>
  <c r="BQ218" i="103"/>
  <c r="BE218" i="103"/>
  <c r="AS218" i="103"/>
  <c r="AG218" i="103"/>
  <c r="I218" i="103"/>
  <c r="BU217" i="103"/>
  <c r="AW217" i="103"/>
  <c r="AK217" i="103"/>
  <c r="BM216" i="103"/>
  <c r="AO216" i="103"/>
  <c r="Q216" i="103"/>
  <c r="BQ215" i="103"/>
  <c r="BE215" i="103"/>
  <c r="AJ275" i="103"/>
  <c r="BH269" i="103"/>
  <c r="Q277" i="67" s="1"/>
  <c r="AN268" i="103"/>
  <c r="P265" i="103"/>
  <c r="AI260" i="103"/>
  <c r="AY259" i="103"/>
  <c r="BO258" i="103"/>
  <c r="BC258" i="103"/>
  <c r="AE258" i="103"/>
  <c r="S258" i="103"/>
  <c r="G258" i="103"/>
  <c r="CE257" i="103"/>
  <c r="BS257" i="103"/>
  <c r="BG257" i="103"/>
  <c r="AI257" i="103"/>
  <c r="BV256" i="103"/>
  <c r="BJ256" i="103"/>
  <c r="AX256" i="103"/>
  <c r="N256" i="103"/>
  <c r="BN255" i="103"/>
  <c r="AD255" i="103"/>
  <c r="BR254" i="103"/>
  <c r="BF254" i="103"/>
  <c r="AT254" i="103"/>
  <c r="AH254" i="103"/>
  <c r="V254" i="103"/>
  <c r="BV253" i="103"/>
  <c r="BJ253" i="103"/>
  <c r="AX253" i="103"/>
  <c r="N253" i="103"/>
  <c r="BN252" i="103"/>
  <c r="AP252" i="103"/>
  <c r="AD252" i="103"/>
  <c r="BR251" i="103"/>
  <c r="BF251" i="103"/>
  <c r="AT251" i="103"/>
  <c r="AH251" i="103"/>
  <c r="V251" i="103"/>
  <c r="BV250" i="103"/>
  <c r="BJ250" i="103"/>
  <c r="AX250" i="103"/>
  <c r="N250" i="103"/>
  <c r="BN249" i="103"/>
  <c r="AP249" i="103"/>
  <c r="AD249" i="103"/>
  <c r="BR248" i="103"/>
  <c r="BF248" i="103"/>
  <c r="AT248" i="103"/>
  <c r="AH248" i="103"/>
  <c r="V248" i="103"/>
  <c r="BV247" i="103"/>
  <c r="BJ247" i="103"/>
  <c r="AX247" i="103"/>
  <c r="N247" i="103"/>
  <c r="BN246" i="103"/>
  <c r="AP246" i="103"/>
  <c r="AD246" i="103"/>
  <c r="BR245" i="103"/>
  <c r="BF245" i="103"/>
  <c r="AT245" i="103"/>
  <c r="AH245" i="103"/>
  <c r="V245" i="103"/>
  <c r="BV244" i="103"/>
  <c r="BJ244" i="103"/>
  <c r="AX244" i="103"/>
  <c r="N244" i="103"/>
  <c r="BN243" i="103"/>
  <c r="AP243" i="103"/>
  <c r="AD243" i="103"/>
  <c r="BR242" i="103"/>
  <c r="BF242" i="103"/>
  <c r="AT242" i="103"/>
  <c r="AH242" i="103"/>
  <c r="V242" i="103"/>
  <c r="BV241" i="103"/>
  <c r="BJ241" i="103"/>
  <c r="AX241" i="103"/>
  <c r="N241" i="103"/>
  <c r="BN240" i="103"/>
  <c r="AP240" i="103"/>
  <c r="AD240" i="103"/>
  <c r="BR239" i="103"/>
  <c r="BF239" i="103"/>
  <c r="AT239" i="103"/>
  <c r="AH239" i="103"/>
  <c r="V239" i="103"/>
  <c r="BV238" i="103"/>
  <c r="BJ238" i="103"/>
  <c r="AX238" i="103"/>
  <c r="N238" i="103"/>
  <c r="BN237" i="103"/>
  <c r="AP237" i="103"/>
  <c r="AD237" i="103"/>
  <c r="BR236" i="103"/>
  <c r="BF236" i="103"/>
  <c r="AT236" i="103"/>
  <c r="AH236" i="103"/>
  <c r="V236" i="103"/>
  <c r="BV235" i="103"/>
  <c r="BJ235" i="103"/>
  <c r="AX235" i="103"/>
  <c r="N235" i="103"/>
  <c r="BN234" i="103"/>
  <c r="AP234" i="103"/>
  <c r="AD234" i="103"/>
  <c r="BR233" i="103"/>
  <c r="BF233" i="103"/>
  <c r="AT233" i="103"/>
  <c r="AH233" i="103"/>
  <c r="V233" i="103"/>
  <c r="BV232" i="103"/>
  <c r="BJ232" i="103"/>
  <c r="AX232" i="103"/>
  <c r="N232" i="103"/>
  <c r="BN231" i="103"/>
  <c r="AP231" i="103"/>
  <c r="AD231" i="103"/>
  <c r="BR230" i="103"/>
  <c r="BF230" i="103"/>
  <c r="AT230" i="103"/>
  <c r="AH230" i="103"/>
  <c r="V230" i="103"/>
  <c r="BV229" i="103"/>
  <c r="BJ229" i="103"/>
  <c r="AX229" i="103"/>
  <c r="N229" i="103"/>
  <c r="BN228" i="103"/>
  <c r="AP228" i="103"/>
  <c r="AD228" i="103"/>
  <c r="BR227" i="103"/>
  <c r="BF227" i="103"/>
  <c r="AT227" i="103"/>
  <c r="AH227" i="103"/>
  <c r="V227" i="103"/>
  <c r="BV226" i="103"/>
  <c r="BJ226" i="103"/>
  <c r="AX226" i="103"/>
  <c r="N226" i="103"/>
  <c r="CJ225" i="103"/>
  <c r="BL225" i="103"/>
  <c r="AZ225" i="103"/>
  <c r="P225" i="103"/>
  <c r="BP224" i="103"/>
  <c r="AR224" i="103"/>
  <c r="AF224" i="103"/>
  <c r="T224" i="103"/>
  <c r="BT223" i="103"/>
  <c r="BH223" i="103"/>
  <c r="AV223" i="103"/>
  <c r="AJ223" i="103"/>
  <c r="CJ222" i="103"/>
  <c r="BL222" i="103"/>
  <c r="AZ222" i="103"/>
  <c r="P222" i="103"/>
  <c r="BP221" i="103"/>
  <c r="AR221" i="103"/>
  <c r="AF221" i="103"/>
  <c r="T221" i="103"/>
  <c r="BT220" i="103"/>
  <c r="BH220" i="103"/>
  <c r="Q226" i="67" s="1"/>
  <c r="AV220" i="103"/>
  <c r="AJ220" i="103"/>
  <c r="CJ219" i="103"/>
  <c r="BL219" i="103"/>
  <c r="AZ219" i="103"/>
  <c r="P219" i="103"/>
  <c r="BP218" i="103"/>
  <c r="AR218" i="103"/>
  <c r="AF218" i="103"/>
  <c r="T218" i="103"/>
  <c r="BT217" i="103"/>
  <c r="BH217" i="103"/>
  <c r="Q223" i="67" s="1"/>
  <c r="AV217" i="103"/>
  <c r="AJ217" i="103"/>
  <c r="CJ216" i="103"/>
  <c r="BL216" i="103"/>
  <c r="AZ216" i="103"/>
  <c r="P216" i="103"/>
  <c r="BP215" i="103"/>
  <c r="AR215" i="103"/>
  <c r="AF215" i="103"/>
  <c r="BP276" i="103"/>
  <c r="BT272" i="103"/>
  <c r="CJ268" i="103"/>
  <c r="AZ260" i="103"/>
  <c r="AH260" i="103"/>
  <c r="BV259" i="103"/>
  <c r="BJ259" i="103"/>
  <c r="AX259" i="103"/>
  <c r="N259" i="103"/>
  <c r="BN258" i="103"/>
  <c r="AD258" i="103"/>
  <c r="BR257" i="103"/>
  <c r="BF257" i="103"/>
  <c r="AT257" i="103"/>
  <c r="AH257" i="103"/>
  <c r="V257" i="103"/>
  <c r="I257" i="103"/>
  <c r="BU256" i="103"/>
  <c r="AW256" i="103"/>
  <c r="AK256" i="103"/>
  <c r="BM255" i="103"/>
  <c r="Q255" i="103"/>
  <c r="BQ254" i="103"/>
  <c r="BE254" i="103"/>
  <c r="AS254" i="103"/>
  <c r="AG254" i="103"/>
  <c r="I254" i="103"/>
  <c r="BU253" i="103"/>
  <c r="AW253" i="103"/>
  <c r="AK253" i="103"/>
  <c r="BM252" i="103"/>
  <c r="AO252" i="103"/>
  <c r="Q252" i="103"/>
  <c r="BQ251" i="103"/>
  <c r="BE251" i="103"/>
  <c r="AS251" i="103"/>
  <c r="AG251" i="103"/>
  <c r="I251" i="103"/>
  <c r="BU250" i="103"/>
  <c r="AW250" i="103"/>
  <c r="AK250" i="103"/>
  <c r="BM249" i="103"/>
  <c r="AO249" i="103"/>
  <c r="Q249" i="103"/>
  <c r="BQ248" i="103"/>
  <c r="BE248" i="103"/>
  <c r="AS248" i="103"/>
  <c r="AG248" i="103"/>
  <c r="I248" i="103"/>
  <c r="BU247" i="103"/>
  <c r="AW247" i="103"/>
  <c r="AK247" i="103"/>
  <c r="BM246" i="103"/>
  <c r="AO246" i="103"/>
  <c r="Q246" i="103"/>
  <c r="BQ245" i="103"/>
  <c r="BE245" i="103"/>
  <c r="AS245" i="103"/>
  <c r="AG245" i="103"/>
  <c r="I245" i="103"/>
  <c r="BU244" i="103"/>
  <c r="AW244" i="103"/>
  <c r="AK244" i="103"/>
  <c r="BM243" i="103"/>
  <c r="AO243" i="103"/>
  <c r="Q243" i="103"/>
  <c r="BQ242" i="103"/>
  <c r="BE242" i="103"/>
  <c r="AS242" i="103"/>
  <c r="AG242" i="103"/>
  <c r="I242" i="103"/>
  <c r="BU241" i="103"/>
  <c r="AW241" i="103"/>
  <c r="AK241" i="103"/>
  <c r="BM240" i="103"/>
  <c r="AO240" i="103"/>
  <c r="Q240" i="103"/>
  <c r="BQ239" i="103"/>
  <c r="BE239" i="103"/>
  <c r="AS239" i="103"/>
  <c r="AG239" i="103"/>
  <c r="I239" i="103"/>
  <c r="BU238" i="103"/>
  <c r="AW238" i="103"/>
  <c r="AK238" i="103"/>
  <c r="BM237" i="103"/>
  <c r="AO237" i="103"/>
  <c r="Q237" i="103"/>
  <c r="BQ236" i="103"/>
  <c r="BE236" i="103"/>
  <c r="AS236" i="103"/>
  <c r="AG236" i="103"/>
  <c r="I236" i="103"/>
  <c r="BU235" i="103"/>
  <c r="AW235" i="103"/>
  <c r="AK235" i="103"/>
  <c r="BM234" i="103"/>
  <c r="AO234" i="103"/>
  <c r="Q234" i="103"/>
  <c r="BQ233" i="103"/>
  <c r="BE233" i="103"/>
  <c r="AS233" i="103"/>
  <c r="AG233" i="103"/>
  <c r="I233" i="103"/>
  <c r="BU232" i="103"/>
  <c r="AW232" i="103"/>
  <c r="AK232" i="103"/>
  <c r="BM231" i="103"/>
  <c r="AO231" i="103"/>
  <c r="Q231" i="103"/>
  <c r="BQ230" i="103"/>
  <c r="BE230" i="103"/>
  <c r="AS230" i="103"/>
  <c r="AG230" i="103"/>
  <c r="I230" i="103"/>
  <c r="BU229" i="103"/>
  <c r="AW229" i="103"/>
  <c r="AK229" i="103"/>
  <c r="BM228" i="103"/>
  <c r="AO228" i="103"/>
  <c r="Q228" i="103"/>
  <c r="BQ227" i="103"/>
  <c r="BE227" i="103"/>
  <c r="AS227" i="103"/>
  <c r="AG227" i="103"/>
  <c r="I227" i="103"/>
  <c r="BU226" i="103"/>
  <c r="AW226" i="103"/>
  <c r="AK226" i="103"/>
  <c r="BK225" i="103"/>
  <c r="AY225" i="103"/>
  <c r="BO224" i="103"/>
  <c r="BC224" i="103"/>
  <c r="AQ224" i="103"/>
  <c r="AE224" i="103"/>
  <c r="S224" i="103"/>
  <c r="G224" i="103"/>
  <c r="CE223" i="103"/>
  <c r="BS223" i="103"/>
  <c r="AN223" i="103" s="1"/>
  <c r="BG223" i="103"/>
  <c r="AU223" i="103"/>
  <c r="AI223" i="103"/>
  <c r="BK222" i="103"/>
  <c r="AY222" i="103"/>
  <c r="BO221" i="103"/>
  <c r="BC221" i="103"/>
  <c r="AQ221" i="103"/>
  <c r="AE221" i="103"/>
  <c r="S221" i="103"/>
  <c r="G221" i="103"/>
  <c r="CE220" i="103"/>
  <c r="BS220" i="103"/>
  <c r="AN220" i="103" s="1"/>
  <c r="BG220" i="103"/>
  <c r="AU220" i="103"/>
  <c r="AI220" i="103"/>
  <c r="BK219" i="103"/>
  <c r="AY219" i="103"/>
  <c r="BO218" i="103"/>
  <c r="BC218" i="103"/>
  <c r="AQ218" i="103"/>
  <c r="AE218" i="103"/>
  <c r="S218" i="103"/>
  <c r="G218" i="103"/>
  <c r="CE217" i="103"/>
  <c r="BS217" i="103"/>
  <c r="BG217" i="103"/>
  <c r="AU217" i="103"/>
  <c r="AI217" i="103"/>
  <c r="BK216" i="103"/>
  <c r="AY216" i="103"/>
  <c r="BO215" i="103"/>
  <c r="BC215" i="103"/>
  <c r="AQ215" i="103"/>
  <c r="AE215" i="103"/>
  <c r="S215" i="103"/>
  <c r="BH272" i="103"/>
  <c r="Q280" i="67" s="1"/>
  <c r="AN271" i="103"/>
  <c r="P268" i="103"/>
  <c r="AN262" i="103"/>
  <c r="AY260" i="103"/>
  <c r="AF260" i="103"/>
  <c r="BU259" i="103"/>
  <c r="AW259" i="103"/>
  <c r="AK259" i="103"/>
  <c r="BM258" i="103"/>
  <c r="Q258" i="103"/>
  <c r="BQ257" i="103"/>
  <c r="BE257" i="103"/>
  <c r="AS257" i="103"/>
  <c r="AG257" i="103"/>
  <c r="BT256" i="103"/>
  <c r="BH256" i="103"/>
  <c r="Q264" i="67" s="1"/>
  <c r="AJ256" i="103"/>
  <c r="CJ255" i="103"/>
  <c r="AZ255" i="103"/>
  <c r="AN255" i="103"/>
  <c r="P255" i="103"/>
  <c r="BP254" i="103"/>
  <c r="AF254" i="103"/>
  <c r="T254" i="103"/>
  <c r="BT253" i="103"/>
  <c r="BH253" i="103"/>
  <c r="Q260" i="67" s="1"/>
  <c r="AV253" i="103"/>
  <c r="AJ253" i="103"/>
  <c r="CJ252" i="103"/>
  <c r="BL252" i="103"/>
  <c r="AZ252" i="103"/>
  <c r="P252" i="103"/>
  <c r="BP251" i="103"/>
  <c r="AR251" i="103"/>
  <c r="AF251" i="103"/>
  <c r="T251" i="103"/>
  <c r="BT250" i="103"/>
  <c r="BH250" i="103"/>
  <c r="Q257" i="67" s="1"/>
  <c r="AV250" i="103"/>
  <c r="AJ250" i="103"/>
  <c r="CJ249" i="103"/>
  <c r="BL249" i="103"/>
  <c r="AZ249" i="103"/>
  <c r="P249" i="103"/>
  <c r="BP248" i="103"/>
  <c r="AR248" i="103"/>
  <c r="AF248" i="103"/>
  <c r="T248" i="103"/>
  <c r="BT247" i="103"/>
  <c r="BH247" i="103"/>
  <c r="Q254" i="67" s="1"/>
  <c r="AV247" i="103"/>
  <c r="AJ247" i="103"/>
  <c r="CJ246" i="103"/>
  <c r="BL246" i="103"/>
  <c r="AZ246" i="103"/>
  <c r="P246" i="103"/>
  <c r="BP245" i="103"/>
  <c r="AR245" i="103"/>
  <c r="AF245" i="103"/>
  <c r="T245" i="103"/>
  <c r="BT244" i="103"/>
  <c r="BH244" i="103"/>
  <c r="Q251" i="67" s="1"/>
  <c r="AV244" i="103"/>
  <c r="AJ244" i="103"/>
  <c r="CJ243" i="103"/>
  <c r="BL243" i="103"/>
  <c r="AZ243" i="103"/>
  <c r="P243" i="103"/>
  <c r="BP242" i="103"/>
  <c r="AR242" i="103"/>
  <c r="AF242" i="103"/>
  <c r="T242" i="103"/>
  <c r="BT241" i="103"/>
  <c r="BH241" i="103"/>
  <c r="Q248" i="67" s="1"/>
  <c r="AV241" i="103"/>
  <c r="AJ241" i="103"/>
  <c r="CJ240" i="103"/>
  <c r="BL240" i="103"/>
  <c r="AZ240" i="103"/>
  <c r="P240" i="103"/>
  <c r="BP239" i="103"/>
  <c r="AR239" i="103"/>
  <c r="AF239" i="103"/>
  <c r="T239" i="103"/>
  <c r="BT238" i="103"/>
  <c r="BH238" i="103"/>
  <c r="Q245" i="67" s="1"/>
  <c r="AV238" i="103"/>
  <c r="AJ238" i="103"/>
  <c r="CJ237" i="103"/>
  <c r="BL237" i="103"/>
  <c r="AZ237" i="103"/>
  <c r="P237" i="103"/>
  <c r="BP236" i="103"/>
  <c r="AR236" i="103"/>
  <c r="AF236" i="103"/>
  <c r="T236" i="103"/>
  <c r="BT235" i="103"/>
  <c r="BH235" i="103"/>
  <c r="Q242" i="67" s="1"/>
  <c r="AV235" i="103"/>
  <c r="AJ235" i="103"/>
  <c r="CJ234" i="103"/>
  <c r="BL234" i="103"/>
  <c r="AZ234" i="103"/>
  <c r="P234" i="103"/>
  <c r="BP233" i="103"/>
  <c r="AR233" i="103"/>
  <c r="AF233" i="103"/>
  <c r="T233" i="103"/>
  <c r="BT232" i="103"/>
  <c r="BH232" i="103"/>
  <c r="Q239" i="67" s="1"/>
  <c r="AV232" i="103"/>
  <c r="AJ232" i="103"/>
  <c r="CJ231" i="103"/>
  <c r="BL231" i="103"/>
  <c r="AZ231" i="103"/>
  <c r="P231" i="103"/>
  <c r="BP230" i="103"/>
  <c r="AR230" i="103"/>
  <c r="AF230" i="103"/>
  <c r="T230" i="103"/>
  <c r="BT229" i="103"/>
  <c r="BH229" i="103"/>
  <c r="Q236" i="67" s="1"/>
  <c r="AV229" i="103"/>
  <c r="AJ229" i="103"/>
  <c r="CJ228" i="103"/>
  <c r="BL228" i="103"/>
  <c r="AZ228" i="103"/>
  <c r="P228" i="103"/>
  <c r="BP227" i="103"/>
  <c r="AR227" i="103"/>
  <c r="AF227" i="103"/>
  <c r="T227" i="103"/>
  <c r="BT226" i="103"/>
  <c r="BH226" i="103"/>
  <c r="Q233" i="67" s="1"/>
  <c r="AV226" i="103"/>
  <c r="AJ226" i="103"/>
  <c r="BV225" i="103"/>
  <c r="BJ225" i="103"/>
  <c r="AX225" i="103"/>
  <c r="N225" i="103"/>
  <c r="BN224" i="103"/>
  <c r="AP224" i="103"/>
  <c r="AD224" i="103"/>
  <c r="BR223" i="103"/>
  <c r="BF223" i="103"/>
  <c r="AT223" i="103"/>
  <c r="AH223" i="103"/>
  <c r="V223" i="103"/>
  <c r="BV222" i="103"/>
  <c r="BJ222" i="103"/>
  <c r="AX222" i="103"/>
  <c r="N222" i="103"/>
  <c r="BN221" i="103"/>
  <c r="AP221" i="103"/>
  <c r="AD221" i="103"/>
  <c r="BR220" i="103"/>
  <c r="BF220" i="103"/>
  <c r="AT220" i="103"/>
  <c r="AH220" i="103"/>
  <c r="V220" i="103"/>
  <c r="BV219" i="103"/>
  <c r="BJ219" i="103"/>
  <c r="AX219" i="103"/>
  <c r="N219" i="103"/>
  <c r="BN218" i="103"/>
  <c r="AP218" i="103"/>
  <c r="AD218" i="103"/>
  <c r="BR217" i="103"/>
  <c r="BF217" i="103"/>
  <c r="AT217" i="103"/>
  <c r="AH217" i="103"/>
  <c r="V217" i="103"/>
  <c r="BV216" i="103"/>
  <c r="BJ216" i="103"/>
  <c r="AX216" i="103"/>
  <c r="N216" i="103"/>
  <c r="BN215" i="103"/>
  <c r="AP215" i="103"/>
  <c r="AD215" i="103"/>
  <c r="BR214" i="103"/>
  <c r="BF214" i="103"/>
  <c r="AT214" i="103"/>
  <c r="BT275" i="103"/>
  <c r="CJ271" i="103"/>
  <c r="AF267" i="103"/>
  <c r="AZ265" i="103"/>
  <c r="CE263" i="103"/>
  <c r="AJ263" i="103"/>
  <c r="CE260" i="103"/>
  <c r="AD260" i="103"/>
  <c r="BT259" i="103"/>
  <c r="BH259" i="103"/>
  <c r="Q267" i="67" s="1"/>
  <c r="AJ259" i="103"/>
  <c r="CJ258" i="103"/>
  <c r="AZ258" i="103"/>
  <c r="AN258" i="103"/>
  <c r="P258" i="103"/>
  <c r="BP257" i="103"/>
  <c r="AF257" i="103"/>
  <c r="T257" i="103"/>
  <c r="G257" i="103"/>
  <c r="CE256" i="103"/>
  <c r="BS256" i="103"/>
  <c r="BG256" i="103"/>
  <c r="AI256" i="103"/>
  <c r="AY255" i="103"/>
  <c r="BO254" i="103"/>
  <c r="BC254" i="103"/>
  <c r="BB254" i="103" s="1"/>
  <c r="AE254" i="103"/>
  <c r="S254" i="103"/>
  <c r="G254" i="103"/>
  <c r="CE253" i="103"/>
  <c r="BS253" i="103"/>
  <c r="BG253" i="103"/>
  <c r="AU253" i="103"/>
  <c r="AI253" i="103"/>
  <c r="BK252" i="103"/>
  <c r="AY252" i="103"/>
  <c r="BO251" i="103"/>
  <c r="BC251" i="103"/>
  <c r="AQ251" i="103"/>
  <c r="AE251" i="103"/>
  <c r="S251" i="103"/>
  <c r="G251" i="103"/>
  <c r="CE250" i="103"/>
  <c r="BS250" i="103"/>
  <c r="BG250" i="103"/>
  <c r="AU250" i="103"/>
  <c r="AI250" i="103"/>
  <c r="BK249" i="103"/>
  <c r="AY249" i="103"/>
  <c r="BO248" i="103"/>
  <c r="BC248" i="103"/>
  <c r="AQ248" i="103"/>
  <c r="AE248" i="103"/>
  <c r="S248" i="103"/>
  <c r="G248" i="103"/>
  <c r="CE247" i="103"/>
  <c r="BS247" i="103"/>
  <c r="BG247" i="103"/>
  <c r="AU247" i="103"/>
  <c r="AI247" i="103"/>
  <c r="BK246" i="103"/>
  <c r="AY246" i="103"/>
  <c r="BO245" i="103"/>
  <c r="BC245" i="103"/>
  <c r="AQ245" i="103"/>
  <c r="AE245" i="103"/>
  <c r="S245" i="103"/>
  <c r="G245" i="103"/>
  <c r="CE244" i="103"/>
  <c r="BS244" i="103"/>
  <c r="BG244" i="103"/>
  <c r="AU244" i="103"/>
  <c r="AI244" i="103"/>
  <c r="BK243" i="103"/>
  <c r="AY243" i="103"/>
  <c r="BO242" i="103"/>
  <c r="BC242" i="103"/>
  <c r="AQ242" i="103"/>
  <c r="AE242" i="103"/>
  <c r="S242" i="103"/>
  <c r="G242" i="103"/>
  <c r="CE241" i="103"/>
  <c r="BS241" i="103"/>
  <c r="BG241" i="103"/>
  <c r="AU241" i="103"/>
  <c r="AI241" i="103"/>
  <c r="BK240" i="103"/>
  <c r="AY240" i="103"/>
  <c r="BO239" i="103"/>
  <c r="BC239" i="103"/>
  <c r="AQ239" i="103"/>
  <c r="AE239" i="103"/>
  <c r="S239" i="103"/>
  <c r="G239" i="103"/>
  <c r="CE238" i="103"/>
  <c r="BS238" i="103"/>
  <c r="BG238" i="103"/>
  <c r="AU238" i="103"/>
  <c r="AI238" i="103"/>
  <c r="BK237" i="103"/>
  <c r="AY237" i="103"/>
  <c r="BO236" i="103"/>
  <c r="BC236" i="103"/>
  <c r="AQ236" i="103"/>
  <c r="AE236" i="103"/>
  <c r="S236" i="103"/>
  <c r="G236" i="103"/>
  <c r="CE235" i="103"/>
  <c r="BS235" i="103"/>
  <c r="BG235" i="103"/>
  <c r="AU235" i="103"/>
  <c r="AI235" i="103"/>
  <c r="BK234" i="103"/>
  <c r="AY234" i="103"/>
  <c r="BO233" i="103"/>
  <c r="BC233" i="103"/>
  <c r="AQ233" i="103"/>
  <c r="AE233" i="103"/>
  <c r="S233" i="103"/>
  <c r="G233" i="103"/>
  <c r="CE232" i="103"/>
  <c r="BS232" i="103"/>
  <c r="BG232" i="103"/>
  <c r="AU232" i="103"/>
  <c r="AI232" i="103"/>
  <c r="BK231" i="103"/>
  <c r="AY231" i="103"/>
  <c r="BO230" i="103"/>
  <c r="BC230" i="103"/>
  <c r="AQ230" i="103"/>
  <c r="AE230" i="103"/>
  <c r="S230" i="103"/>
  <c r="G230" i="103"/>
  <c r="CE229" i="103"/>
  <c r="BS229" i="103"/>
  <c r="BG229" i="103"/>
  <c r="AU229" i="103"/>
  <c r="AI229" i="103"/>
  <c r="BK228" i="103"/>
  <c r="AY228" i="103"/>
  <c r="BO227" i="103"/>
  <c r="BC227" i="103"/>
  <c r="AQ227" i="103"/>
  <c r="AE227" i="103"/>
  <c r="S227" i="103"/>
  <c r="G227" i="103"/>
  <c r="CE226" i="103"/>
  <c r="BS226" i="103"/>
  <c r="BG226" i="103"/>
  <c r="AU226" i="103"/>
  <c r="AI226" i="103"/>
  <c r="BU225" i="103"/>
  <c r="AW225" i="103"/>
  <c r="AK225" i="103"/>
  <c r="BM224" i="103"/>
  <c r="AO224" i="103"/>
  <c r="Q224" i="103"/>
  <c r="BQ223" i="103"/>
  <c r="BE223" i="103"/>
  <c r="AS223" i="103"/>
  <c r="AG223" i="103"/>
  <c r="I223" i="103"/>
  <c r="BU222" i="103"/>
  <c r="AW222" i="103"/>
  <c r="AK222" i="103"/>
  <c r="BM221" i="103"/>
  <c r="AO221" i="103"/>
  <c r="Q221" i="103"/>
  <c r="BQ220" i="103"/>
  <c r="BE220" i="103"/>
  <c r="AS220" i="103"/>
  <c r="AG220" i="103"/>
  <c r="I220" i="103"/>
  <c r="BU219" i="103"/>
  <c r="AW219" i="103"/>
  <c r="AK219" i="103"/>
  <c r="BM218" i="103"/>
  <c r="AO218" i="103"/>
  <c r="Q218" i="103"/>
  <c r="BQ217" i="103"/>
  <c r="BE217" i="103"/>
  <c r="AS217" i="103"/>
  <c r="AG217" i="103"/>
  <c r="I217" i="103"/>
  <c r="BU216" i="103"/>
  <c r="AW216" i="103"/>
  <c r="AK216" i="103"/>
  <c r="BM215" i="103"/>
  <c r="AO215" i="103"/>
  <c r="BH275" i="103"/>
  <c r="Q283" i="67" s="1"/>
  <c r="AN274" i="103"/>
  <c r="P271" i="103"/>
  <c r="T267" i="103"/>
  <c r="BT263" i="103"/>
  <c r="AI263" i="103"/>
  <c r="BP261" i="103"/>
  <c r="AF261" i="103"/>
  <c r="CE259" i="103"/>
  <c r="BS259" i="103"/>
  <c r="BG259" i="103"/>
  <c r="AI259" i="103"/>
  <c r="AY258" i="103"/>
  <c r="BO257" i="103"/>
  <c r="BC257" i="103"/>
  <c r="AE257" i="103"/>
  <c r="S257" i="103"/>
  <c r="BR256" i="103"/>
  <c r="BF256" i="103"/>
  <c r="AT256" i="103"/>
  <c r="AH256" i="103"/>
  <c r="V256" i="103"/>
  <c r="BV255" i="103"/>
  <c r="BJ255" i="103"/>
  <c r="AX255" i="103"/>
  <c r="N255" i="103"/>
  <c r="BN254" i="103"/>
  <c r="AD254" i="103"/>
  <c r="BR253" i="103"/>
  <c r="BF253" i="103"/>
  <c r="AT253" i="103"/>
  <c r="AH253" i="103"/>
  <c r="V253" i="103"/>
  <c r="BV252" i="103"/>
  <c r="BJ252" i="103"/>
  <c r="AX252" i="103"/>
  <c r="N252" i="103"/>
  <c r="BN251" i="103"/>
  <c r="AP251" i="103"/>
  <c r="AD251" i="103"/>
  <c r="BR250" i="103"/>
  <c r="BF250" i="103"/>
  <c r="AT250" i="103"/>
  <c r="AH250" i="103"/>
  <c r="V250" i="103"/>
  <c r="BV249" i="103"/>
  <c r="BJ249" i="103"/>
  <c r="AX249" i="103"/>
  <c r="N249" i="103"/>
  <c r="BN248" i="103"/>
  <c r="AP248" i="103"/>
  <c r="AD248" i="103"/>
  <c r="BR247" i="103"/>
  <c r="BF247" i="103"/>
  <c r="AT247" i="103"/>
  <c r="AH247" i="103"/>
  <c r="V247" i="103"/>
  <c r="BV246" i="103"/>
  <c r="BJ246" i="103"/>
  <c r="AX246" i="103"/>
  <c r="N246" i="103"/>
  <c r="BN245" i="103"/>
  <c r="AP245" i="103"/>
  <c r="AD245" i="103"/>
  <c r="BR244" i="103"/>
  <c r="BF244" i="103"/>
  <c r="AT244" i="103"/>
  <c r="AH244" i="103"/>
  <c r="V244" i="103"/>
  <c r="BV243" i="103"/>
  <c r="BJ243" i="103"/>
  <c r="AX243" i="103"/>
  <c r="N243" i="103"/>
  <c r="BN242" i="103"/>
  <c r="AP242" i="103"/>
  <c r="AD242" i="103"/>
  <c r="BR241" i="103"/>
  <c r="BF241" i="103"/>
  <c r="AT241" i="103"/>
  <c r="AH241" i="103"/>
  <c r="V241" i="103"/>
  <c r="BV240" i="103"/>
  <c r="BJ240" i="103"/>
  <c r="AX240" i="103"/>
  <c r="N240" i="103"/>
  <c r="BN239" i="103"/>
  <c r="AP239" i="103"/>
  <c r="AD239" i="103"/>
  <c r="BR238" i="103"/>
  <c r="BF238" i="103"/>
  <c r="AT238" i="103"/>
  <c r="AH238" i="103"/>
  <c r="V238" i="103"/>
  <c r="BV237" i="103"/>
  <c r="BJ237" i="103"/>
  <c r="AX237" i="103"/>
  <c r="N237" i="103"/>
  <c r="BN236" i="103"/>
  <c r="AP236" i="103"/>
  <c r="AD236" i="103"/>
  <c r="BR235" i="103"/>
  <c r="BF235" i="103"/>
  <c r="AT235" i="103"/>
  <c r="AH235" i="103"/>
  <c r="V235" i="103"/>
  <c r="BV234" i="103"/>
  <c r="BJ234" i="103"/>
  <c r="AX234" i="103"/>
  <c r="N234" i="103"/>
  <c r="BN233" i="103"/>
  <c r="AP233" i="103"/>
  <c r="AD233" i="103"/>
  <c r="BR232" i="103"/>
  <c r="BF232" i="103"/>
  <c r="AT232" i="103"/>
  <c r="AH232" i="103"/>
  <c r="V232" i="103"/>
  <c r="BV231" i="103"/>
  <c r="BJ231" i="103"/>
  <c r="AX231" i="103"/>
  <c r="N231" i="103"/>
  <c r="BN230" i="103"/>
  <c r="AP230" i="103"/>
  <c r="AD230" i="103"/>
  <c r="BR229" i="103"/>
  <c r="BF229" i="103"/>
  <c r="AT229" i="103"/>
  <c r="AH229" i="103"/>
  <c r="V229" i="103"/>
  <c r="BV228" i="103"/>
  <c r="BJ228" i="103"/>
  <c r="AX228" i="103"/>
  <c r="N228" i="103"/>
  <c r="BN227" i="103"/>
  <c r="AP227" i="103"/>
  <c r="AD227" i="103"/>
  <c r="BR226" i="103"/>
  <c r="BF226" i="103"/>
  <c r="AT226" i="103"/>
  <c r="AH226" i="103"/>
  <c r="V226" i="103"/>
  <c r="I226" i="103"/>
  <c r="BT225" i="103"/>
  <c r="BH225" i="103"/>
  <c r="Q232" i="67" s="1"/>
  <c r="AV225" i="103"/>
  <c r="AJ225" i="103"/>
  <c r="CJ224" i="103"/>
  <c r="BL224" i="103"/>
  <c r="AZ224" i="103"/>
  <c r="P224" i="103"/>
  <c r="BP223" i="103"/>
  <c r="AR223" i="103"/>
  <c r="AF223" i="103"/>
  <c r="T223" i="103"/>
  <c r="BT222" i="103"/>
  <c r="BH222" i="103"/>
  <c r="Q228" i="67" s="1"/>
  <c r="AV222" i="103"/>
  <c r="AJ222" i="103"/>
  <c r="CJ221" i="103"/>
  <c r="BL221" i="103"/>
  <c r="CJ274" i="103"/>
  <c r="AF270" i="103"/>
  <c r="AZ268" i="103"/>
  <c r="BS263" i="103"/>
  <c r="BO261" i="103"/>
  <c r="AE261" i="103"/>
  <c r="AT260" i="103"/>
  <c r="G260" i="103"/>
  <c r="BR259" i="103"/>
  <c r="BF259" i="103"/>
  <c r="AT259" i="103"/>
  <c r="AH259" i="103"/>
  <c r="V259" i="103"/>
  <c r="BV258" i="103"/>
  <c r="BJ258" i="103"/>
  <c r="AX258" i="103"/>
  <c r="N258" i="103"/>
  <c r="BN257" i="103"/>
  <c r="AD257" i="103"/>
  <c r="BQ256" i="103"/>
  <c r="BE256" i="103"/>
  <c r="AS256" i="103"/>
  <c r="AG256" i="103"/>
  <c r="I256" i="103"/>
  <c r="BU255" i="103"/>
  <c r="AW255" i="103"/>
  <c r="AK255" i="103"/>
  <c r="BM254" i="103"/>
  <c r="Q254" i="103"/>
  <c r="BQ253" i="103"/>
  <c r="BE253" i="103"/>
  <c r="AS253" i="103"/>
  <c r="AG253" i="103"/>
  <c r="I253" i="103"/>
  <c r="BU252" i="103"/>
  <c r="AW252" i="103"/>
  <c r="AK252" i="103"/>
  <c r="BM251" i="103"/>
  <c r="AO251" i="103"/>
  <c r="Q251" i="103"/>
  <c r="BQ250" i="103"/>
  <c r="BE250" i="103"/>
  <c r="AS250" i="103"/>
  <c r="AG250" i="103"/>
  <c r="I250" i="103"/>
  <c r="BU249" i="103"/>
  <c r="AW249" i="103"/>
  <c r="AK249" i="103"/>
  <c r="BM248" i="103"/>
  <c r="AO248" i="103"/>
  <c r="Q248" i="103"/>
  <c r="BQ247" i="103"/>
  <c r="BE247" i="103"/>
  <c r="AS247" i="103"/>
  <c r="AG247" i="103"/>
  <c r="I247" i="103"/>
  <c r="BU246" i="103"/>
  <c r="AW246" i="103"/>
  <c r="AK246" i="103"/>
  <c r="BM245" i="103"/>
  <c r="AO245" i="103"/>
  <c r="Q245" i="103"/>
  <c r="BQ244" i="103"/>
  <c r="BE244" i="103"/>
  <c r="AS244" i="103"/>
  <c r="AG244" i="103"/>
  <c r="I244" i="103"/>
  <c r="BU243" i="103"/>
  <c r="AW243" i="103"/>
  <c r="AK243" i="103"/>
  <c r="BM242" i="103"/>
  <c r="AO242" i="103"/>
  <c r="Q242" i="103"/>
  <c r="BQ241" i="103"/>
  <c r="BE241" i="103"/>
  <c r="AS241" i="103"/>
  <c r="AG241" i="103"/>
  <c r="I241" i="103"/>
  <c r="BU240" i="103"/>
  <c r="AW240" i="103"/>
  <c r="AK240" i="103"/>
  <c r="BM239" i="103"/>
  <c r="AO239" i="103"/>
  <c r="Q239" i="103"/>
  <c r="BQ238" i="103"/>
  <c r="BE238" i="103"/>
  <c r="AS238" i="103"/>
  <c r="AG238" i="103"/>
  <c r="I238" i="103"/>
  <c r="BU237" i="103"/>
  <c r="AW237" i="103"/>
  <c r="AK237" i="103"/>
  <c r="BM236" i="103"/>
  <c r="AO236" i="103"/>
  <c r="Q236" i="103"/>
  <c r="BQ235" i="103"/>
  <c r="BE235" i="103"/>
  <c r="AS235" i="103"/>
  <c r="AG235" i="103"/>
  <c r="I235" i="103"/>
  <c r="BU234" i="103"/>
  <c r="AW234" i="103"/>
  <c r="AK234" i="103"/>
  <c r="BM233" i="103"/>
  <c r="AO233" i="103"/>
  <c r="Q233" i="103"/>
  <c r="BQ232" i="103"/>
  <c r="BE232" i="103"/>
  <c r="AS232" i="103"/>
  <c r="AG232" i="103"/>
  <c r="I232" i="103"/>
  <c r="BU231" i="103"/>
  <c r="AW231" i="103"/>
  <c r="AK231" i="103"/>
  <c r="BM230" i="103"/>
  <c r="AO230" i="103"/>
  <c r="Q230" i="103"/>
  <c r="BQ229" i="103"/>
  <c r="BE229" i="103"/>
  <c r="AS229" i="103"/>
  <c r="AG229" i="103"/>
  <c r="I229" i="103"/>
  <c r="BU228" i="103"/>
  <c r="AW228" i="103"/>
  <c r="AK228" i="103"/>
  <c r="BM227" i="103"/>
  <c r="AO227" i="103"/>
  <c r="Q227" i="103"/>
  <c r="BQ226" i="103"/>
  <c r="BE226" i="103"/>
  <c r="AS226" i="103"/>
  <c r="AG226" i="103"/>
  <c r="CE225" i="103"/>
  <c r="AN277" i="103"/>
  <c r="P274" i="103"/>
  <c r="T270" i="103"/>
  <c r="AJ266" i="103"/>
  <c r="AF264" i="103"/>
  <c r="BH263" i="103"/>
  <c r="Q271" i="67" s="1"/>
  <c r="AZ262" i="103"/>
  <c r="P262" i="103"/>
  <c r="BM261" i="103"/>
  <c r="BS260" i="103"/>
  <c r="BQ259" i="103"/>
  <c r="BE259" i="103"/>
  <c r="AS259" i="103"/>
  <c r="AG259" i="103"/>
  <c r="I259" i="103"/>
  <c r="BU258" i="103"/>
  <c r="AW258" i="103"/>
  <c r="AK258" i="103"/>
  <c r="BM257" i="103"/>
  <c r="Q257" i="103"/>
  <c r="BP256" i="103"/>
  <c r="AF256" i="103"/>
  <c r="T256" i="103"/>
  <c r="BT255" i="103"/>
  <c r="BH255" i="103"/>
  <c r="Q263" i="67" s="1"/>
  <c r="AJ255" i="103"/>
  <c r="CJ254" i="103"/>
  <c r="AZ254" i="103"/>
  <c r="AN254" i="103"/>
  <c r="P254" i="103"/>
  <c r="BP253" i="103"/>
  <c r="AF253" i="103"/>
  <c r="T253" i="103"/>
  <c r="BT252" i="103"/>
  <c r="BH252" i="103"/>
  <c r="Q259" i="67" s="1"/>
  <c r="AV252" i="103"/>
  <c r="AJ252" i="103"/>
  <c r="CJ251" i="103"/>
  <c r="BL251" i="103"/>
  <c r="AZ251" i="103"/>
  <c r="P251" i="103"/>
  <c r="BP250" i="103"/>
  <c r="AR250" i="103"/>
  <c r="AF250" i="103"/>
  <c r="T250" i="103"/>
  <c r="BT249" i="103"/>
  <c r="BH249" i="103"/>
  <c r="Q256" i="67" s="1"/>
  <c r="AV249" i="103"/>
  <c r="AJ249" i="103"/>
  <c r="CJ248" i="103"/>
  <c r="BL248" i="103"/>
  <c r="AZ248" i="103"/>
  <c r="P248" i="103"/>
  <c r="BP247" i="103"/>
  <c r="AR247" i="103"/>
  <c r="AF247" i="103"/>
  <c r="T247" i="103"/>
  <c r="BT246" i="103"/>
  <c r="BH246" i="103"/>
  <c r="Q253" i="67" s="1"/>
  <c r="AV246" i="103"/>
  <c r="AJ246" i="103"/>
  <c r="CJ245" i="103"/>
  <c r="BL245" i="103"/>
  <c r="AZ245" i="103"/>
  <c r="P245" i="103"/>
  <c r="BP244" i="103"/>
  <c r="AR244" i="103"/>
  <c r="AF244" i="103"/>
  <c r="T244" i="103"/>
  <c r="BT243" i="103"/>
  <c r="BH243" i="103"/>
  <c r="Q250" i="67" s="1"/>
  <c r="AV243" i="103"/>
  <c r="AJ243" i="103"/>
  <c r="CJ242" i="103"/>
  <c r="BL242" i="103"/>
  <c r="AZ242" i="103"/>
  <c r="P242" i="103"/>
  <c r="BP241" i="103"/>
  <c r="AR241" i="103"/>
  <c r="AF241" i="103"/>
  <c r="T241" i="103"/>
  <c r="BT240" i="103"/>
  <c r="BH240" i="103"/>
  <c r="Q247" i="67" s="1"/>
  <c r="AV240" i="103"/>
  <c r="AJ240" i="103"/>
  <c r="CJ239" i="103"/>
  <c r="BL239" i="103"/>
  <c r="AZ239" i="103"/>
  <c r="P239" i="103"/>
  <c r="BP238" i="103"/>
  <c r="CJ236" i="103"/>
  <c r="BT231" i="103"/>
  <c r="CJ227" i="103"/>
  <c r="AU225" i="103"/>
  <c r="AD223" i="103"/>
  <c r="BF222" i="103"/>
  <c r="BP220" i="103"/>
  <c r="T220" i="103"/>
  <c r="BS219" i="103"/>
  <c r="BV218" i="103"/>
  <c r="AR217" i="103"/>
  <c r="BN216" i="103"/>
  <c r="AD216" i="103"/>
  <c r="AY215" i="103"/>
  <c r="I215" i="103"/>
  <c r="CE214" i="103"/>
  <c r="BO214" i="103"/>
  <c r="AZ214" i="103"/>
  <c r="BO213" i="103"/>
  <c r="BC213" i="103"/>
  <c r="AQ213" i="103"/>
  <c r="AE213" i="103"/>
  <c r="S213" i="103"/>
  <c r="G213" i="103"/>
  <c r="CE212" i="103"/>
  <c r="BS212" i="103"/>
  <c r="AN212" i="103" s="1"/>
  <c r="BG212" i="103"/>
  <c r="AU212" i="103"/>
  <c r="AI212" i="103"/>
  <c r="BK211" i="103"/>
  <c r="AY211" i="103"/>
  <c r="BO210" i="103"/>
  <c r="BC210" i="103"/>
  <c r="AQ210" i="103"/>
  <c r="AE210" i="103"/>
  <c r="S210" i="103"/>
  <c r="G210" i="103"/>
  <c r="CE209" i="103"/>
  <c r="BS209" i="103"/>
  <c r="AN209" i="103" s="1"/>
  <c r="BG209" i="103"/>
  <c r="AU209" i="103"/>
  <c r="AI209" i="103"/>
  <c r="BK208" i="103"/>
  <c r="AY208" i="103"/>
  <c r="BO207" i="103"/>
  <c r="BC207" i="103"/>
  <c r="AQ207" i="103"/>
  <c r="AE207" i="103"/>
  <c r="S207" i="103"/>
  <c r="G207" i="103"/>
  <c r="CE206" i="103"/>
  <c r="BS206" i="103"/>
  <c r="AN206" i="103" s="1"/>
  <c r="BG206" i="103"/>
  <c r="AU206" i="103"/>
  <c r="AI206" i="103"/>
  <c r="BK205" i="103"/>
  <c r="AY205" i="103"/>
  <c r="BO204" i="103"/>
  <c r="BC204" i="103"/>
  <c r="AQ204" i="103"/>
  <c r="AE204" i="103"/>
  <c r="S204" i="103"/>
  <c r="G204" i="103"/>
  <c r="CE203" i="103"/>
  <c r="BS203" i="103"/>
  <c r="AN203" i="103" s="1"/>
  <c r="BG203" i="103"/>
  <c r="AU203" i="103"/>
  <c r="AI203" i="103"/>
  <c r="BK202" i="103"/>
  <c r="AY202" i="103"/>
  <c r="BO201" i="103"/>
  <c r="BC201" i="103"/>
  <c r="AQ201" i="103"/>
  <c r="AE201" i="103"/>
  <c r="S201" i="103"/>
  <c r="G201" i="103"/>
  <c r="CE200" i="103"/>
  <c r="BS200" i="103"/>
  <c r="AN200" i="103" s="1"/>
  <c r="BG200" i="103"/>
  <c r="AU200" i="103"/>
  <c r="AI200" i="103"/>
  <c r="BK199" i="103"/>
  <c r="AY199" i="103"/>
  <c r="BO198" i="103"/>
  <c r="BC198" i="103"/>
  <c r="AQ198" i="103"/>
  <c r="AE198" i="103"/>
  <c r="S198" i="103"/>
  <c r="G198" i="103"/>
  <c r="CE197" i="103"/>
  <c r="BS197" i="103"/>
  <c r="AN197" i="103" s="1"/>
  <c r="BG197" i="103"/>
  <c r="AU197" i="103"/>
  <c r="AI197" i="103"/>
  <c r="BV196" i="103"/>
  <c r="BJ196" i="103"/>
  <c r="AX196" i="103"/>
  <c r="N196" i="103"/>
  <c r="BN195" i="103"/>
  <c r="AP195" i="103"/>
  <c r="AD195" i="103"/>
  <c r="BR194" i="103"/>
  <c r="BF194" i="103"/>
  <c r="AT194" i="103"/>
  <c r="AH194" i="103"/>
  <c r="V194" i="103"/>
  <c r="BV193" i="103"/>
  <c r="BJ193" i="103"/>
  <c r="AX193" i="103"/>
  <c r="N193" i="103"/>
  <c r="BN192" i="103"/>
  <c r="AP192" i="103"/>
  <c r="AD192" i="103"/>
  <c r="BR191" i="103"/>
  <c r="BF191" i="103"/>
  <c r="AT191" i="103"/>
  <c r="AH191" i="103"/>
  <c r="V191" i="103"/>
  <c r="BV190" i="103"/>
  <c r="BJ190" i="103"/>
  <c r="AX190" i="103"/>
  <c r="N190" i="103"/>
  <c r="BN189" i="103"/>
  <c r="AP189" i="103"/>
  <c r="AD189" i="103"/>
  <c r="BR188" i="103"/>
  <c r="BF188" i="103"/>
  <c r="AT188" i="103"/>
  <c r="AH188" i="103"/>
  <c r="V188" i="103"/>
  <c r="BV187" i="103"/>
  <c r="BJ187" i="103"/>
  <c r="AX187" i="103"/>
  <c r="N187" i="103"/>
  <c r="BN186" i="103"/>
  <c r="AP186" i="103"/>
  <c r="AD186" i="103"/>
  <c r="BR185" i="103"/>
  <c r="BF185" i="103"/>
  <c r="AT185" i="103"/>
  <c r="AH185" i="103"/>
  <c r="V185" i="103"/>
  <c r="BV184" i="103"/>
  <c r="BJ184" i="103"/>
  <c r="AX184" i="103"/>
  <c r="N184" i="103"/>
  <c r="BN183" i="103"/>
  <c r="AP183" i="103"/>
  <c r="AD183" i="103"/>
  <c r="BR182" i="103"/>
  <c r="BF182" i="103"/>
  <c r="AT182" i="103"/>
  <c r="AH182" i="103"/>
  <c r="V182" i="103"/>
  <c r="BV181" i="103"/>
  <c r="BJ181" i="103"/>
  <c r="AX181" i="103"/>
  <c r="N181" i="103"/>
  <c r="BN180" i="103"/>
  <c r="AP180" i="103"/>
  <c r="AD180" i="103"/>
  <c r="BR179" i="103"/>
  <c r="BF179" i="103"/>
  <c r="AT179" i="103"/>
  <c r="AH179" i="103"/>
  <c r="V179" i="103"/>
  <c r="BV178" i="103"/>
  <c r="BJ178" i="103"/>
  <c r="AX178" i="103"/>
  <c r="N178" i="103"/>
  <c r="BN177" i="103"/>
  <c r="AP177" i="103"/>
  <c r="AD177" i="103"/>
  <c r="BR176" i="103"/>
  <c r="BF176" i="103"/>
  <c r="AT176" i="103"/>
  <c r="AH176" i="103"/>
  <c r="V176" i="103"/>
  <c r="BV175" i="103"/>
  <c r="BJ175" i="103"/>
  <c r="AX175" i="103"/>
  <c r="N175" i="103"/>
  <c r="BN174" i="103"/>
  <c r="AP174" i="103"/>
  <c r="AD174" i="103"/>
  <c r="BR173" i="103"/>
  <c r="BF173" i="103"/>
  <c r="AT173" i="103"/>
  <c r="AH173" i="103"/>
  <c r="V173" i="103"/>
  <c r="BV172" i="103"/>
  <c r="BJ172" i="103"/>
  <c r="AX172" i="103"/>
  <c r="N172" i="103"/>
  <c r="BN171" i="103"/>
  <c r="AP171" i="103"/>
  <c r="AR235" i="103"/>
  <c r="BH231" i="103"/>
  <c r="Q238" i="67" s="1"/>
  <c r="AR226" i="103"/>
  <c r="AT225" i="103"/>
  <c r="BV224" i="103"/>
  <c r="S223" i="103"/>
  <c r="AU222" i="103"/>
  <c r="BO220" i="103"/>
  <c r="S220" i="103"/>
  <c r="BR219" i="103"/>
  <c r="V219" i="103"/>
  <c r="BL218" i="103"/>
  <c r="AQ217" i="103"/>
  <c r="G217" i="103"/>
  <c r="BH216" i="103"/>
  <c r="Q222" i="67" s="1"/>
  <c r="AX215" i="103"/>
  <c r="BN214" i="103"/>
  <c r="AY214" i="103"/>
  <c r="N214" i="103"/>
  <c r="BN213" i="103"/>
  <c r="AP213" i="103"/>
  <c r="AD213" i="103"/>
  <c r="BR212" i="103"/>
  <c r="BF212" i="103"/>
  <c r="AT212" i="103"/>
  <c r="AH212" i="103"/>
  <c r="V212" i="103"/>
  <c r="BV211" i="103"/>
  <c r="BJ211" i="103"/>
  <c r="AX211" i="103"/>
  <c r="N211" i="103"/>
  <c r="BN210" i="103"/>
  <c r="AP210" i="103"/>
  <c r="AD210" i="103"/>
  <c r="BR209" i="103"/>
  <c r="BF209" i="103"/>
  <c r="AT209" i="103"/>
  <c r="AH209" i="103"/>
  <c r="V209" i="103"/>
  <c r="BV208" i="103"/>
  <c r="BJ208" i="103"/>
  <c r="AX208" i="103"/>
  <c r="N208" i="103"/>
  <c r="BN207" i="103"/>
  <c r="AP207" i="103"/>
  <c r="AD207" i="103"/>
  <c r="BR206" i="103"/>
  <c r="BF206" i="103"/>
  <c r="AT206" i="103"/>
  <c r="AH206" i="103"/>
  <c r="V206" i="103"/>
  <c r="BV205" i="103"/>
  <c r="BJ205" i="103"/>
  <c r="AX205" i="103"/>
  <c r="N205" i="103"/>
  <c r="BN204" i="103"/>
  <c r="AP204" i="103"/>
  <c r="AD204" i="103"/>
  <c r="BR203" i="103"/>
  <c r="BF203" i="103"/>
  <c r="AT203" i="103"/>
  <c r="AH203" i="103"/>
  <c r="V203" i="103"/>
  <c r="BV202" i="103"/>
  <c r="BJ202" i="103"/>
  <c r="AX202" i="103"/>
  <c r="N202" i="103"/>
  <c r="BN201" i="103"/>
  <c r="AP201" i="103"/>
  <c r="AD201" i="103"/>
  <c r="BR200" i="103"/>
  <c r="BF200" i="103"/>
  <c r="AT200" i="103"/>
  <c r="AH200" i="103"/>
  <c r="V200" i="103"/>
  <c r="BV199" i="103"/>
  <c r="BJ199" i="103"/>
  <c r="AX199" i="103"/>
  <c r="N199" i="103"/>
  <c r="BN198" i="103"/>
  <c r="AP198" i="103"/>
  <c r="AD198" i="103"/>
  <c r="BR197" i="103"/>
  <c r="BF197" i="103"/>
  <c r="AT197" i="103"/>
  <c r="AH197" i="103"/>
  <c r="V197" i="103"/>
  <c r="BU196" i="103"/>
  <c r="AW196" i="103"/>
  <c r="AK196" i="103"/>
  <c r="BM195" i="103"/>
  <c r="AO195" i="103"/>
  <c r="Q195" i="103"/>
  <c r="BQ194" i="103"/>
  <c r="BE194" i="103"/>
  <c r="AS194" i="103"/>
  <c r="AG194" i="103"/>
  <c r="I194" i="103"/>
  <c r="BU193" i="103"/>
  <c r="AW193" i="103"/>
  <c r="AK193" i="103"/>
  <c r="BM192" i="103"/>
  <c r="AO192" i="103"/>
  <c r="Q192" i="103"/>
  <c r="BQ191" i="103"/>
  <c r="BE191" i="103"/>
  <c r="AS191" i="103"/>
  <c r="AG191" i="103"/>
  <c r="I191" i="103"/>
  <c r="BU190" i="103"/>
  <c r="AW190" i="103"/>
  <c r="AK190" i="103"/>
  <c r="BM189" i="103"/>
  <c r="AO189" i="103"/>
  <c r="Q189" i="103"/>
  <c r="BQ188" i="103"/>
  <c r="BE188" i="103"/>
  <c r="AS188" i="103"/>
  <c r="AG188" i="103"/>
  <c r="I188" i="103"/>
  <c r="BU187" i="103"/>
  <c r="AW187" i="103"/>
  <c r="AK187" i="103"/>
  <c r="BM186" i="103"/>
  <c r="AO186" i="103"/>
  <c r="Q186" i="103"/>
  <c r="BQ185" i="103"/>
  <c r="BE185" i="103"/>
  <c r="AS185" i="103"/>
  <c r="AG185" i="103"/>
  <c r="I185" i="103"/>
  <c r="BU184" i="103"/>
  <c r="AW184" i="103"/>
  <c r="AK184" i="103"/>
  <c r="BM183" i="103"/>
  <c r="AO183" i="103"/>
  <c r="Q183" i="103"/>
  <c r="BQ182" i="103"/>
  <c r="BE182" i="103"/>
  <c r="AS182" i="103"/>
  <c r="AG182" i="103"/>
  <c r="I182" i="103"/>
  <c r="BU181" i="103"/>
  <c r="AW181" i="103"/>
  <c r="AK181" i="103"/>
  <c r="BM180" i="103"/>
  <c r="AO180" i="103"/>
  <c r="Q180" i="103"/>
  <c r="BQ179" i="103"/>
  <c r="BE179" i="103"/>
  <c r="AS179" i="103"/>
  <c r="AG179" i="103"/>
  <c r="I179" i="103"/>
  <c r="BU178" i="103"/>
  <c r="AW178" i="103"/>
  <c r="AK178" i="103"/>
  <c r="BM177" i="103"/>
  <c r="AO177" i="103"/>
  <c r="Q177" i="103"/>
  <c r="BQ176" i="103"/>
  <c r="BE176" i="103"/>
  <c r="AS176" i="103"/>
  <c r="AG176" i="103"/>
  <c r="I176" i="103"/>
  <c r="BU175" i="103"/>
  <c r="AW175" i="103"/>
  <c r="AK175" i="103"/>
  <c r="BM174" i="103"/>
  <c r="AO174" i="103"/>
  <c r="Q174" i="103"/>
  <c r="BQ173" i="103"/>
  <c r="BE173" i="103"/>
  <c r="AS173" i="103"/>
  <c r="AG173" i="103"/>
  <c r="I173" i="103"/>
  <c r="BU172" i="103"/>
  <c r="AW172" i="103"/>
  <c r="AK172" i="103"/>
  <c r="BM171" i="103"/>
  <c r="AO171" i="103"/>
  <c r="Q171" i="103"/>
  <c r="BL236" i="103"/>
  <c r="AF235" i="103"/>
  <c r="AV231" i="103"/>
  <c r="P230" i="103"/>
  <c r="BL227" i="103"/>
  <c r="AF226" i="103"/>
  <c r="AI225" i="103"/>
  <c r="BK224" i="103"/>
  <c r="AT222" i="103"/>
  <c r="BV221" i="103"/>
  <c r="P221" i="103"/>
  <c r="BN220" i="103"/>
  <c r="BH219" i="103"/>
  <c r="Q225" i="67" s="1"/>
  <c r="BK218" i="103"/>
  <c r="V218" i="103"/>
  <c r="AP217" i="103"/>
  <c r="BG216" i="103"/>
  <c r="AV215" i="103"/>
  <c r="G215" i="103"/>
  <c r="BL214" i="103"/>
  <c r="AX214" i="103"/>
  <c r="AK214" i="103"/>
  <c r="BM213" i="103"/>
  <c r="AO213" i="103"/>
  <c r="Q213" i="103"/>
  <c r="BQ212" i="103"/>
  <c r="BE212" i="103"/>
  <c r="AS212" i="103"/>
  <c r="AG212" i="103"/>
  <c r="I212" i="103"/>
  <c r="BU211" i="103"/>
  <c r="AW211" i="103"/>
  <c r="AK211" i="103"/>
  <c r="BM210" i="103"/>
  <c r="AO210" i="103"/>
  <c r="Q210" i="103"/>
  <c r="BQ209" i="103"/>
  <c r="BE209" i="103"/>
  <c r="AS209" i="103"/>
  <c r="AG209" i="103"/>
  <c r="I209" i="103"/>
  <c r="BU208" i="103"/>
  <c r="AW208" i="103"/>
  <c r="AK208" i="103"/>
  <c r="BM207" i="103"/>
  <c r="AO207" i="103"/>
  <c r="Q207" i="103"/>
  <c r="BQ206" i="103"/>
  <c r="BE206" i="103"/>
  <c r="AS206" i="103"/>
  <c r="AG206" i="103"/>
  <c r="I206" i="103"/>
  <c r="BU205" i="103"/>
  <c r="AW205" i="103"/>
  <c r="AK205" i="103"/>
  <c r="BM204" i="103"/>
  <c r="AO204" i="103"/>
  <c r="Q204" i="103"/>
  <c r="BQ203" i="103"/>
  <c r="BE203" i="103"/>
  <c r="AS203" i="103"/>
  <c r="AG203" i="103"/>
  <c r="I203" i="103"/>
  <c r="BU202" i="103"/>
  <c r="AW202" i="103"/>
  <c r="AK202" i="103"/>
  <c r="BM201" i="103"/>
  <c r="AO201" i="103"/>
  <c r="Q201" i="103"/>
  <c r="BQ200" i="103"/>
  <c r="BE200" i="103"/>
  <c r="AS200" i="103"/>
  <c r="AG200" i="103"/>
  <c r="I200" i="103"/>
  <c r="BU199" i="103"/>
  <c r="AW199" i="103"/>
  <c r="AK199" i="103"/>
  <c r="BM198" i="103"/>
  <c r="AO198" i="103"/>
  <c r="Q198" i="103"/>
  <c r="BQ197" i="103"/>
  <c r="BE197" i="103"/>
  <c r="AS197" i="103"/>
  <c r="AG197" i="103"/>
  <c r="I197" i="103"/>
  <c r="BT196" i="103"/>
  <c r="BH196" i="103"/>
  <c r="Q202" i="67" s="1"/>
  <c r="AV196" i="103"/>
  <c r="AJ196" i="103"/>
  <c r="CJ195" i="103"/>
  <c r="BL195" i="103"/>
  <c r="AZ195" i="103"/>
  <c r="P195" i="103"/>
  <c r="BP194" i="103"/>
  <c r="AR194" i="103"/>
  <c r="AF194" i="103"/>
  <c r="T194" i="103"/>
  <c r="BT193" i="103"/>
  <c r="BH193" i="103"/>
  <c r="Q199" i="67" s="1"/>
  <c r="AV193" i="103"/>
  <c r="AJ193" i="103"/>
  <c r="CJ192" i="103"/>
  <c r="BL192" i="103"/>
  <c r="AZ192" i="103"/>
  <c r="P192" i="103"/>
  <c r="BP191" i="103"/>
  <c r="AR191" i="103"/>
  <c r="AF191" i="103"/>
  <c r="T191" i="103"/>
  <c r="BT190" i="103"/>
  <c r="BH190" i="103"/>
  <c r="Q195" i="67" s="1"/>
  <c r="AV190" i="103"/>
  <c r="AJ190" i="103"/>
  <c r="CJ189" i="103"/>
  <c r="BL189" i="103"/>
  <c r="AZ189" i="103"/>
  <c r="P189" i="103"/>
  <c r="BP188" i="103"/>
  <c r="AR188" i="103"/>
  <c r="AF188" i="103"/>
  <c r="T188" i="103"/>
  <c r="BT187" i="103"/>
  <c r="BH187" i="103"/>
  <c r="Q192" i="67" s="1"/>
  <c r="AV187" i="103"/>
  <c r="AJ187" i="103"/>
  <c r="CJ186" i="103"/>
  <c r="BL186" i="103"/>
  <c r="AZ186" i="103"/>
  <c r="P186" i="103"/>
  <c r="BP185" i="103"/>
  <c r="AR185" i="103"/>
  <c r="AF185" i="103"/>
  <c r="T185" i="103"/>
  <c r="BT184" i="103"/>
  <c r="BH184" i="103"/>
  <c r="Q189" i="67" s="1"/>
  <c r="AV184" i="103"/>
  <c r="AJ184" i="103"/>
  <c r="CJ183" i="103"/>
  <c r="BL183" i="103"/>
  <c r="AZ183" i="103"/>
  <c r="P183" i="103"/>
  <c r="BP182" i="103"/>
  <c r="AR182" i="103"/>
  <c r="AF182" i="103"/>
  <c r="T182" i="103"/>
  <c r="BT181" i="103"/>
  <c r="BH181" i="103"/>
  <c r="Q186" i="67" s="1"/>
  <c r="AV181" i="103"/>
  <c r="AJ181" i="103"/>
  <c r="CJ180" i="103"/>
  <c r="BL180" i="103"/>
  <c r="AZ180" i="103"/>
  <c r="P180" i="103"/>
  <c r="BP179" i="103"/>
  <c r="AR179" i="103"/>
  <c r="AF179" i="103"/>
  <c r="T179" i="103"/>
  <c r="BT178" i="103"/>
  <c r="BH178" i="103"/>
  <c r="Q183" i="67" s="1"/>
  <c r="AV178" i="103"/>
  <c r="AJ178" i="103"/>
  <c r="CJ177" i="103"/>
  <c r="BL177" i="103"/>
  <c r="AZ177" i="103"/>
  <c r="P177" i="103"/>
  <c r="BP176" i="103"/>
  <c r="AR176" i="103"/>
  <c r="AF176" i="103"/>
  <c r="T176" i="103"/>
  <c r="BT175" i="103"/>
  <c r="BH175" i="103"/>
  <c r="Q180" i="67" s="1"/>
  <c r="AV175" i="103"/>
  <c r="AJ175" i="103"/>
  <c r="CJ174" i="103"/>
  <c r="BL174" i="103"/>
  <c r="AZ174" i="103"/>
  <c r="P174" i="103"/>
  <c r="BP173" i="103"/>
  <c r="AR173" i="103"/>
  <c r="AF173" i="103"/>
  <c r="T173" i="103"/>
  <c r="BT172" i="103"/>
  <c r="BH172" i="103"/>
  <c r="Q177" i="67" s="1"/>
  <c r="AV172" i="103"/>
  <c r="AJ172" i="103"/>
  <c r="CJ171" i="103"/>
  <c r="BL171" i="103"/>
  <c r="AZ236" i="103"/>
  <c r="T235" i="103"/>
  <c r="BP232" i="103"/>
  <c r="AJ231" i="103"/>
  <c r="AZ227" i="103"/>
  <c r="T226" i="103"/>
  <c r="AH225" i="103"/>
  <c r="BJ224" i="103"/>
  <c r="G223" i="103"/>
  <c r="AI222" i="103"/>
  <c r="BK221" i="103"/>
  <c r="BG219" i="103"/>
  <c r="BJ218" i="103"/>
  <c r="P218" i="103"/>
  <c r="BV217" i="103"/>
  <c r="BF216" i="103"/>
  <c r="V216" i="103"/>
  <c r="AT215" i="103"/>
  <c r="V215" i="103"/>
  <c r="BJ214" i="103"/>
  <c r="AW214" i="103"/>
  <c r="AJ214" i="103"/>
  <c r="CJ213" i="103"/>
  <c r="BL213" i="103"/>
  <c r="AZ213" i="103"/>
  <c r="P213" i="103"/>
  <c r="BP212" i="103"/>
  <c r="AR212" i="103"/>
  <c r="AF212" i="103"/>
  <c r="T212" i="103"/>
  <c r="BT211" i="103"/>
  <c r="BH211" i="103"/>
  <c r="Q217" i="67" s="1"/>
  <c r="AV211" i="103"/>
  <c r="AJ211" i="103"/>
  <c r="CJ210" i="103"/>
  <c r="BL210" i="103"/>
  <c r="AZ210" i="103"/>
  <c r="P210" i="103"/>
  <c r="BP209" i="103"/>
  <c r="AR209" i="103"/>
  <c r="AF209" i="103"/>
  <c r="T209" i="103"/>
  <c r="BT208" i="103"/>
  <c r="BH208" i="103"/>
  <c r="Q214" i="67" s="1"/>
  <c r="AV208" i="103"/>
  <c r="AJ208" i="103"/>
  <c r="CJ207" i="103"/>
  <c r="BL207" i="103"/>
  <c r="AZ207" i="103"/>
  <c r="P207" i="103"/>
  <c r="BP206" i="103"/>
  <c r="AR206" i="103"/>
  <c r="AF206" i="103"/>
  <c r="T206" i="103"/>
  <c r="BT205" i="103"/>
  <c r="BH205" i="103"/>
  <c r="Q211" i="67" s="1"/>
  <c r="AV205" i="103"/>
  <c r="AJ205" i="103"/>
  <c r="CJ204" i="103"/>
  <c r="BL204" i="103"/>
  <c r="AZ204" i="103"/>
  <c r="P204" i="103"/>
  <c r="BP203" i="103"/>
  <c r="AR203" i="103"/>
  <c r="AF203" i="103"/>
  <c r="T203" i="103"/>
  <c r="BT202" i="103"/>
  <c r="BH202" i="103"/>
  <c r="Q208" i="67" s="1"/>
  <c r="AV202" i="103"/>
  <c r="AJ202" i="103"/>
  <c r="CJ201" i="103"/>
  <c r="BL201" i="103"/>
  <c r="AZ201" i="103"/>
  <c r="P201" i="103"/>
  <c r="BP200" i="103"/>
  <c r="AR200" i="103"/>
  <c r="AF200" i="103"/>
  <c r="T200" i="103"/>
  <c r="BT199" i="103"/>
  <c r="BH199" i="103"/>
  <c r="Q205" i="67" s="1"/>
  <c r="AV199" i="103"/>
  <c r="AJ199" i="103"/>
  <c r="CJ198" i="103"/>
  <c r="BL198" i="103"/>
  <c r="AZ198" i="103"/>
  <c r="P198" i="103"/>
  <c r="BP197" i="103"/>
  <c r="AR197" i="103"/>
  <c r="AF197" i="103"/>
  <c r="T197" i="103"/>
  <c r="CE196" i="103"/>
  <c r="BS196" i="103"/>
  <c r="AN196" i="103" s="1"/>
  <c r="BG196" i="103"/>
  <c r="AU196" i="103"/>
  <c r="AI196" i="103"/>
  <c r="BK195" i="103"/>
  <c r="AY195" i="103"/>
  <c r="BT237" i="103"/>
  <c r="CJ233" i="103"/>
  <c r="BT228" i="103"/>
  <c r="G226" i="103"/>
  <c r="AY224" i="103"/>
  <c r="AH222" i="103"/>
  <c r="BJ221" i="103"/>
  <c r="N221" i="103"/>
  <c r="BC220" i="103"/>
  <c r="G220" i="103"/>
  <c r="BF219" i="103"/>
  <c r="AZ218" i="103"/>
  <c r="BP217" i="103"/>
  <c r="AF217" i="103"/>
  <c r="AS215" i="103"/>
  <c r="AV214" i="103"/>
  <c r="AI214" i="103"/>
  <c r="BK213" i="103"/>
  <c r="AY213" i="103"/>
  <c r="BO212" i="103"/>
  <c r="BC212" i="103"/>
  <c r="AQ212" i="103"/>
  <c r="AE212" i="103"/>
  <c r="S212" i="103"/>
  <c r="G212" i="103"/>
  <c r="CE211" i="103"/>
  <c r="BS211" i="103"/>
  <c r="AN211" i="103" s="1"/>
  <c r="BG211" i="103"/>
  <c r="AU211" i="103"/>
  <c r="AI211" i="103"/>
  <c r="BK210" i="103"/>
  <c r="AY210" i="103"/>
  <c r="BO209" i="103"/>
  <c r="BC209" i="103"/>
  <c r="AQ209" i="103"/>
  <c r="AE209" i="103"/>
  <c r="S209" i="103"/>
  <c r="G209" i="103"/>
  <c r="CE208" i="103"/>
  <c r="BS208" i="103"/>
  <c r="AN208" i="103" s="1"/>
  <c r="BG208" i="103"/>
  <c r="AU208" i="103"/>
  <c r="AI208" i="103"/>
  <c r="BK207" i="103"/>
  <c r="AY207" i="103"/>
  <c r="BO206" i="103"/>
  <c r="BC206" i="103"/>
  <c r="AQ206" i="103"/>
  <c r="AE206" i="103"/>
  <c r="S206" i="103"/>
  <c r="G206" i="103"/>
  <c r="CE205" i="103"/>
  <c r="BS205" i="103"/>
  <c r="AN205" i="103" s="1"/>
  <c r="BG205" i="103"/>
  <c r="AU205" i="103"/>
  <c r="AI205" i="103"/>
  <c r="BK204" i="103"/>
  <c r="AY204" i="103"/>
  <c r="BO203" i="103"/>
  <c r="BC203" i="103"/>
  <c r="AQ203" i="103"/>
  <c r="AE203" i="103"/>
  <c r="S203" i="103"/>
  <c r="G203" i="103"/>
  <c r="CE202" i="103"/>
  <c r="BS202" i="103"/>
  <c r="AN202" i="103" s="1"/>
  <c r="BG202" i="103"/>
  <c r="AU202" i="103"/>
  <c r="AI202" i="103"/>
  <c r="BK201" i="103"/>
  <c r="AY201" i="103"/>
  <c r="BO200" i="103"/>
  <c r="BC200" i="103"/>
  <c r="AQ200" i="103"/>
  <c r="AE200" i="103"/>
  <c r="S200" i="103"/>
  <c r="G200" i="103"/>
  <c r="CE199" i="103"/>
  <c r="BS199" i="103"/>
  <c r="AN199" i="103" s="1"/>
  <c r="BG199" i="103"/>
  <c r="AU199" i="103"/>
  <c r="AI199" i="103"/>
  <c r="BK198" i="103"/>
  <c r="AY198" i="103"/>
  <c r="BO197" i="103"/>
  <c r="BC197" i="103"/>
  <c r="AQ197" i="103"/>
  <c r="AE197" i="103"/>
  <c r="S197" i="103"/>
  <c r="G197" i="103"/>
  <c r="BR196" i="103"/>
  <c r="BF196" i="103"/>
  <c r="AT196" i="103"/>
  <c r="AH196" i="103"/>
  <c r="V196" i="103"/>
  <c r="BV195" i="103"/>
  <c r="BJ195" i="103"/>
  <c r="AX195" i="103"/>
  <c r="N195" i="103"/>
  <c r="BN194" i="103"/>
  <c r="AP194" i="103"/>
  <c r="AD194" i="103"/>
  <c r="BR193" i="103"/>
  <c r="BF193" i="103"/>
  <c r="AT193" i="103"/>
  <c r="AH193" i="103"/>
  <c r="V193" i="103"/>
  <c r="BV192" i="103"/>
  <c r="BJ192" i="103"/>
  <c r="AX192" i="103"/>
  <c r="N192" i="103"/>
  <c r="BN191" i="103"/>
  <c r="AP191" i="103"/>
  <c r="AD191" i="103"/>
  <c r="BR190" i="103"/>
  <c r="BF190" i="103"/>
  <c r="AT190" i="103"/>
  <c r="AH190" i="103"/>
  <c r="V190" i="103"/>
  <c r="BV189" i="103"/>
  <c r="BJ189" i="103"/>
  <c r="AX189" i="103"/>
  <c r="N189" i="103"/>
  <c r="BN188" i="103"/>
  <c r="AP188" i="103"/>
  <c r="AD188" i="103"/>
  <c r="BR187" i="103"/>
  <c r="BF187" i="103"/>
  <c r="AT187" i="103"/>
  <c r="AH187" i="103"/>
  <c r="V187" i="103"/>
  <c r="BV186" i="103"/>
  <c r="BJ186" i="103"/>
  <c r="AX186" i="103"/>
  <c r="N186" i="103"/>
  <c r="BN185" i="103"/>
  <c r="AP185" i="103"/>
  <c r="AD185" i="103"/>
  <c r="BR184" i="103"/>
  <c r="BF184" i="103"/>
  <c r="AT184" i="103"/>
  <c r="AH184" i="103"/>
  <c r="V184" i="103"/>
  <c r="BV183" i="103"/>
  <c r="BJ183" i="103"/>
  <c r="AX183" i="103"/>
  <c r="N183" i="103"/>
  <c r="BN182" i="103"/>
  <c r="AP182" i="103"/>
  <c r="AD182" i="103"/>
  <c r="BR181" i="103"/>
  <c r="BF181" i="103"/>
  <c r="AT181" i="103"/>
  <c r="AH181" i="103"/>
  <c r="V181" i="103"/>
  <c r="BV180" i="103"/>
  <c r="BJ180" i="103"/>
  <c r="AX180" i="103"/>
  <c r="N180" i="103"/>
  <c r="BN179" i="103"/>
  <c r="AP179" i="103"/>
  <c r="AD179" i="103"/>
  <c r="BR178" i="103"/>
  <c r="BF178" i="103"/>
  <c r="AT178" i="103"/>
  <c r="AH178" i="103"/>
  <c r="V178" i="103"/>
  <c r="BH237" i="103"/>
  <c r="Q244" i="67" s="1"/>
  <c r="AR232" i="103"/>
  <c r="BH228" i="103"/>
  <c r="Q235" i="67" s="1"/>
  <c r="V225" i="103"/>
  <c r="AX224" i="103"/>
  <c r="BO223" i="103"/>
  <c r="AZ221" i="103"/>
  <c r="AV219" i="103"/>
  <c r="AY218" i="103"/>
  <c r="N218" i="103"/>
  <c r="BO217" i="103"/>
  <c r="AE217" i="103"/>
  <c r="AV216" i="103"/>
  <c r="BV215" i="103"/>
  <c r="T215" i="103"/>
  <c r="BH214" i="103"/>
  <c r="Q220" i="67" s="1"/>
  <c r="AU214" i="103"/>
  <c r="AH214" i="103"/>
  <c r="V214" i="103"/>
  <c r="BV213" i="103"/>
  <c r="BJ213" i="103"/>
  <c r="AX213" i="103"/>
  <c r="N213" i="103"/>
  <c r="BN212" i="103"/>
  <c r="AP212" i="103"/>
  <c r="AD212" i="103"/>
  <c r="BR211" i="103"/>
  <c r="BF211" i="103"/>
  <c r="AT211" i="103"/>
  <c r="AH211" i="103"/>
  <c r="V211" i="103"/>
  <c r="BV210" i="103"/>
  <c r="BJ210" i="103"/>
  <c r="AX210" i="103"/>
  <c r="N210" i="103"/>
  <c r="BN209" i="103"/>
  <c r="AP209" i="103"/>
  <c r="AD209" i="103"/>
  <c r="BR208" i="103"/>
  <c r="BF208" i="103"/>
  <c r="AT208" i="103"/>
  <c r="AH208" i="103"/>
  <c r="V208" i="103"/>
  <c r="BV207" i="103"/>
  <c r="BJ207" i="103"/>
  <c r="AX207" i="103"/>
  <c r="N207" i="103"/>
  <c r="BN206" i="103"/>
  <c r="AP206" i="103"/>
  <c r="AD206" i="103"/>
  <c r="BR205" i="103"/>
  <c r="BF205" i="103"/>
  <c r="AT205" i="103"/>
  <c r="AH205" i="103"/>
  <c r="V205" i="103"/>
  <c r="BV204" i="103"/>
  <c r="BJ204" i="103"/>
  <c r="AX204" i="103"/>
  <c r="N204" i="103"/>
  <c r="BN203" i="103"/>
  <c r="AP203" i="103"/>
  <c r="AD203" i="103"/>
  <c r="BR202" i="103"/>
  <c r="BF202" i="103"/>
  <c r="AT202" i="103"/>
  <c r="AH202" i="103"/>
  <c r="V202" i="103"/>
  <c r="BV201" i="103"/>
  <c r="BJ201" i="103"/>
  <c r="AX201" i="103"/>
  <c r="N201" i="103"/>
  <c r="BN200" i="103"/>
  <c r="AP200" i="103"/>
  <c r="AD200" i="103"/>
  <c r="BR199" i="103"/>
  <c r="BF199" i="103"/>
  <c r="AT199" i="103"/>
  <c r="AH199" i="103"/>
  <c r="V199" i="103"/>
  <c r="BV198" i="103"/>
  <c r="BJ198" i="103"/>
  <c r="AX198" i="103"/>
  <c r="N198" i="103"/>
  <c r="BN197" i="103"/>
  <c r="AP197" i="103"/>
  <c r="AD197" i="103"/>
  <c r="BQ196" i="103"/>
  <c r="BE196" i="103"/>
  <c r="AS196" i="103"/>
  <c r="AG196" i="103"/>
  <c r="I196" i="103"/>
  <c r="BU195" i="103"/>
  <c r="AW195" i="103"/>
  <c r="AK195" i="103"/>
  <c r="BM194" i="103"/>
  <c r="AO194" i="103"/>
  <c r="Q194" i="103"/>
  <c r="BQ193" i="103"/>
  <c r="BE193" i="103"/>
  <c r="AS193" i="103"/>
  <c r="AG193" i="103"/>
  <c r="I193" i="103"/>
  <c r="BU192" i="103"/>
  <c r="AW192" i="103"/>
  <c r="AK192" i="103"/>
  <c r="BM191" i="103"/>
  <c r="AO191" i="103"/>
  <c r="Q191" i="103"/>
  <c r="BQ190" i="103"/>
  <c r="BE190" i="103"/>
  <c r="AS190" i="103"/>
  <c r="AG190" i="103"/>
  <c r="I190" i="103"/>
  <c r="BU189" i="103"/>
  <c r="AW189" i="103"/>
  <c r="AK189" i="103"/>
  <c r="BM188" i="103"/>
  <c r="AO188" i="103"/>
  <c r="Q188" i="103"/>
  <c r="BQ187" i="103"/>
  <c r="BE187" i="103"/>
  <c r="AS187" i="103"/>
  <c r="AG187" i="103"/>
  <c r="I187" i="103"/>
  <c r="BU186" i="103"/>
  <c r="AW186" i="103"/>
  <c r="AK186" i="103"/>
  <c r="BM185" i="103"/>
  <c r="AO185" i="103"/>
  <c r="Q185" i="103"/>
  <c r="BQ184" i="103"/>
  <c r="BE184" i="103"/>
  <c r="AS184" i="103"/>
  <c r="AG184" i="103"/>
  <c r="I184" i="103"/>
  <c r="BU183" i="103"/>
  <c r="AW183" i="103"/>
  <c r="AK183" i="103"/>
  <c r="BM182" i="103"/>
  <c r="AO182" i="103"/>
  <c r="Q182" i="103"/>
  <c r="BQ181" i="103"/>
  <c r="BE181" i="103"/>
  <c r="AS181" i="103"/>
  <c r="AG181" i="103"/>
  <c r="I181" i="103"/>
  <c r="BU180" i="103"/>
  <c r="AW180" i="103"/>
  <c r="AK180" i="103"/>
  <c r="BM179" i="103"/>
  <c r="AO179" i="103"/>
  <c r="Q179" i="103"/>
  <c r="BQ178" i="103"/>
  <c r="BE178" i="103"/>
  <c r="AS178" i="103"/>
  <c r="AG178" i="103"/>
  <c r="I178" i="103"/>
  <c r="BU177" i="103"/>
  <c r="AW177" i="103"/>
  <c r="AK177" i="103"/>
  <c r="BM176" i="103"/>
  <c r="AO176" i="103"/>
  <c r="Q176" i="103"/>
  <c r="BQ175" i="103"/>
  <c r="BE175" i="103"/>
  <c r="AS175" i="103"/>
  <c r="AG175" i="103"/>
  <c r="I175" i="103"/>
  <c r="BU174" i="103"/>
  <c r="AW174" i="103"/>
  <c r="AK174" i="103"/>
  <c r="BM173" i="103"/>
  <c r="AO173" i="103"/>
  <c r="Q173" i="103"/>
  <c r="BQ172" i="103"/>
  <c r="BE172" i="103"/>
  <c r="AS172" i="103"/>
  <c r="AG172" i="103"/>
  <c r="I172" i="103"/>
  <c r="BU171" i="103"/>
  <c r="AW171" i="103"/>
  <c r="AK171" i="103"/>
  <c r="AV237" i="103"/>
  <c r="P236" i="103"/>
  <c r="BL233" i="103"/>
  <c r="AF232" i="103"/>
  <c r="AV228" i="103"/>
  <c r="P227" i="103"/>
  <c r="BN223" i="103"/>
  <c r="V222" i="103"/>
  <c r="AY221" i="103"/>
  <c r="AR220" i="103"/>
  <c r="AU219" i="103"/>
  <c r="AX218" i="103"/>
  <c r="BN217" i="103"/>
  <c r="AD217" i="103"/>
  <c r="CE216" i="103"/>
  <c r="AU216" i="103"/>
  <c r="BR215" i="103"/>
  <c r="Q215" i="103"/>
  <c r="BV214" i="103"/>
  <c r="BG214" i="103"/>
  <c r="AS214" i="103"/>
  <c r="AG214" i="103"/>
  <c r="I214" i="103"/>
  <c r="BU213" i="103"/>
  <c r="AW213" i="103"/>
  <c r="AK213" i="103"/>
  <c r="BM212" i="103"/>
  <c r="AO212" i="103"/>
  <c r="Q212" i="103"/>
  <c r="BQ211" i="103"/>
  <c r="BE211" i="103"/>
  <c r="AS211" i="103"/>
  <c r="AG211" i="103"/>
  <c r="I211" i="103"/>
  <c r="BU210" i="103"/>
  <c r="AW210" i="103"/>
  <c r="AK210" i="103"/>
  <c r="BM209" i="103"/>
  <c r="AO209" i="103"/>
  <c r="Q209" i="103"/>
  <c r="BQ208" i="103"/>
  <c r="BE208" i="103"/>
  <c r="AS208" i="103"/>
  <c r="AG208" i="103"/>
  <c r="I208" i="103"/>
  <c r="BU207" i="103"/>
  <c r="AW207" i="103"/>
  <c r="AK207" i="103"/>
  <c r="BM206" i="103"/>
  <c r="AO206" i="103"/>
  <c r="Q206" i="103"/>
  <c r="BQ205" i="103"/>
  <c r="BE205" i="103"/>
  <c r="AS205" i="103"/>
  <c r="AG205" i="103"/>
  <c r="I205" i="103"/>
  <c r="BU204" i="103"/>
  <c r="AW204" i="103"/>
  <c r="AK204" i="103"/>
  <c r="BM203" i="103"/>
  <c r="AO203" i="103"/>
  <c r="Q203" i="103"/>
  <c r="BQ202" i="103"/>
  <c r="BE202" i="103"/>
  <c r="AS202" i="103"/>
  <c r="AG202" i="103"/>
  <c r="I202" i="103"/>
  <c r="BU201" i="103"/>
  <c r="AW201" i="103"/>
  <c r="AK201" i="103"/>
  <c r="BM200" i="103"/>
  <c r="AO200" i="103"/>
  <c r="Q200" i="103"/>
  <c r="BQ199" i="103"/>
  <c r="BE199" i="103"/>
  <c r="AS199" i="103"/>
  <c r="AG199" i="103"/>
  <c r="I199" i="103"/>
  <c r="BU198" i="103"/>
  <c r="AW198" i="103"/>
  <c r="AK198" i="103"/>
  <c r="BM197" i="103"/>
  <c r="AO197" i="103"/>
  <c r="Q197" i="103"/>
  <c r="BP196" i="103"/>
  <c r="AR196" i="103"/>
  <c r="AF196" i="103"/>
  <c r="T196" i="103"/>
  <c r="BT195" i="103"/>
  <c r="BH195" i="103"/>
  <c r="Q201" i="67" s="1"/>
  <c r="AV195" i="103"/>
  <c r="AJ195" i="103"/>
  <c r="CJ194" i="103"/>
  <c r="BL194" i="103"/>
  <c r="AZ194" i="103"/>
  <c r="P194" i="103"/>
  <c r="BP193" i="103"/>
  <c r="AR193" i="103"/>
  <c r="AF193" i="103"/>
  <c r="T193" i="103"/>
  <c r="BT192" i="103"/>
  <c r="BH192" i="103"/>
  <c r="AV192" i="103"/>
  <c r="AJ192" i="103"/>
  <c r="CJ191" i="103"/>
  <c r="BL191" i="103"/>
  <c r="AZ191" i="103"/>
  <c r="P191" i="103"/>
  <c r="BP190" i="103"/>
  <c r="AR190" i="103"/>
  <c r="AF190" i="103"/>
  <c r="T190" i="103"/>
  <c r="BT189" i="103"/>
  <c r="BH189" i="103"/>
  <c r="Q194" i="67" s="1"/>
  <c r="AV189" i="103"/>
  <c r="AJ189" i="103"/>
  <c r="CJ188" i="103"/>
  <c r="BL188" i="103"/>
  <c r="AZ188" i="103"/>
  <c r="P188" i="103"/>
  <c r="BP187" i="103"/>
  <c r="AR187" i="103"/>
  <c r="AF187" i="103"/>
  <c r="T187" i="103"/>
  <c r="BT186" i="103"/>
  <c r="BH186" i="103"/>
  <c r="Q191" i="67" s="1"/>
  <c r="AV186" i="103"/>
  <c r="AJ186" i="103"/>
  <c r="CJ185" i="103"/>
  <c r="BL185" i="103"/>
  <c r="AZ185" i="103"/>
  <c r="P185" i="103"/>
  <c r="BP184" i="103"/>
  <c r="AR184" i="103"/>
  <c r="AF184" i="103"/>
  <c r="T184" i="103"/>
  <c r="BT183" i="103"/>
  <c r="BH183" i="103"/>
  <c r="Q188" i="67" s="1"/>
  <c r="AV183" i="103"/>
  <c r="AJ183" i="103"/>
  <c r="CJ182" i="103"/>
  <c r="BL182" i="103"/>
  <c r="AZ182" i="103"/>
  <c r="P182" i="103"/>
  <c r="BP181" i="103"/>
  <c r="AR181" i="103"/>
  <c r="AF181" i="103"/>
  <c r="T181" i="103"/>
  <c r="BT180" i="103"/>
  <c r="BH180" i="103"/>
  <c r="Q185" i="67" s="1"/>
  <c r="AV180" i="103"/>
  <c r="AJ180" i="103"/>
  <c r="CJ179" i="103"/>
  <c r="BL179" i="103"/>
  <c r="AZ179" i="103"/>
  <c r="P179" i="103"/>
  <c r="BP178" i="103"/>
  <c r="AR178" i="103"/>
  <c r="AF178" i="103"/>
  <c r="T178" i="103"/>
  <c r="BT177" i="103"/>
  <c r="BH177" i="103"/>
  <c r="Q182" i="67" s="1"/>
  <c r="AV177" i="103"/>
  <c r="AJ177" i="103"/>
  <c r="CJ176" i="103"/>
  <c r="BL176" i="103"/>
  <c r="AZ176" i="103"/>
  <c r="P176" i="103"/>
  <c r="BP175" i="103"/>
  <c r="AR175" i="103"/>
  <c r="AF175" i="103"/>
  <c r="T175" i="103"/>
  <c r="BT174" i="103"/>
  <c r="BH174" i="103"/>
  <c r="Q179" i="67" s="1"/>
  <c r="AV174" i="103"/>
  <c r="AJ174" i="103"/>
  <c r="CJ173" i="103"/>
  <c r="BL173" i="103"/>
  <c r="AZ173" i="103"/>
  <c r="P173" i="103"/>
  <c r="BP172" i="103"/>
  <c r="AJ237" i="103"/>
  <c r="AZ233" i="103"/>
  <c r="T232" i="103"/>
  <c r="BP229" i="103"/>
  <c r="AJ228" i="103"/>
  <c r="BC223" i="103"/>
  <c r="CE222" i="103"/>
  <c r="AX221" i="103"/>
  <c r="AQ220" i="103"/>
  <c r="AT219" i="103"/>
  <c r="CJ218" i="103"/>
  <c r="BJ217" i="103"/>
  <c r="AT216" i="103"/>
  <c r="BL215" i="103"/>
  <c r="P215" i="103"/>
  <c r="BU214" i="103"/>
  <c r="BE214" i="103"/>
  <c r="AR214" i="103"/>
  <c r="AF214" i="103"/>
  <c r="T214" i="103"/>
  <c r="BT213" i="103"/>
  <c r="BH213" i="103"/>
  <c r="Q219" i="67" s="1"/>
  <c r="AV213" i="103"/>
  <c r="AJ213" i="103"/>
  <c r="CJ212" i="103"/>
  <c r="BL212" i="103"/>
  <c r="AZ212" i="103"/>
  <c r="P212" i="103"/>
  <c r="BP211" i="103"/>
  <c r="AR211" i="103"/>
  <c r="AF211" i="103"/>
  <c r="T211" i="103"/>
  <c r="BT210" i="103"/>
  <c r="BH210" i="103"/>
  <c r="Q216" i="67" s="1"/>
  <c r="AV210" i="103"/>
  <c r="AJ210" i="103"/>
  <c r="CJ209" i="103"/>
  <c r="BL209" i="103"/>
  <c r="AZ209" i="103"/>
  <c r="P209" i="103"/>
  <c r="BP208" i="103"/>
  <c r="AR208" i="103"/>
  <c r="AF208" i="103"/>
  <c r="T208" i="103"/>
  <c r="BT207" i="103"/>
  <c r="BH207" i="103"/>
  <c r="Q213" i="67" s="1"/>
  <c r="AV207" i="103"/>
  <c r="AJ207" i="103"/>
  <c r="CJ206" i="103"/>
  <c r="BL206" i="103"/>
  <c r="AZ206" i="103"/>
  <c r="P206" i="103"/>
  <c r="BP205" i="103"/>
  <c r="AR205" i="103"/>
  <c r="AF205" i="103"/>
  <c r="T205" i="103"/>
  <c r="BT204" i="103"/>
  <c r="BH204" i="103"/>
  <c r="Q210" i="67" s="1"/>
  <c r="AV204" i="103"/>
  <c r="AJ204" i="103"/>
  <c r="CJ203" i="103"/>
  <c r="BL203" i="103"/>
  <c r="AZ203" i="103"/>
  <c r="P203" i="103"/>
  <c r="BP202" i="103"/>
  <c r="AR202" i="103"/>
  <c r="AF202" i="103"/>
  <c r="T202" i="103"/>
  <c r="BT201" i="103"/>
  <c r="BH201" i="103"/>
  <c r="Q207" i="67" s="1"/>
  <c r="AV201" i="103"/>
  <c r="AJ201" i="103"/>
  <c r="CJ200" i="103"/>
  <c r="BL200" i="103"/>
  <c r="AZ200" i="103"/>
  <c r="P200" i="103"/>
  <c r="BP199" i="103"/>
  <c r="AR199" i="103"/>
  <c r="AF199" i="103"/>
  <c r="T199" i="103"/>
  <c r="BT198" i="103"/>
  <c r="BH198" i="103"/>
  <c r="Q204" i="67" s="1"/>
  <c r="AV198" i="103"/>
  <c r="AJ198" i="103"/>
  <c r="CJ197" i="103"/>
  <c r="BL197" i="103"/>
  <c r="AZ197" i="103"/>
  <c r="P197" i="103"/>
  <c r="BO196" i="103"/>
  <c r="BC196" i="103"/>
  <c r="AQ196" i="103"/>
  <c r="AE196" i="103"/>
  <c r="S196" i="103"/>
  <c r="G196" i="103"/>
  <c r="CE195" i="103"/>
  <c r="BS195" i="103"/>
  <c r="BG195" i="103"/>
  <c r="AU195" i="103"/>
  <c r="AI195" i="103"/>
  <c r="BK194" i="103"/>
  <c r="AY194" i="103"/>
  <c r="BO193" i="103"/>
  <c r="BC193" i="103"/>
  <c r="AQ193" i="103"/>
  <c r="AE193" i="103"/>
  <c r="S193" i="103"/>
  <c r="G193" i="103"/>
  <c r="CE192" i="103"/>
  <c r="BS192" i="103"/>
  <c r="AN192" i="103" s="1"/>
  <c r="BG192" i="103"/>
  <c r="AU192" i="103"/>
  <c r="AI192" i="103"/>
  <c r="BK191" i="103"/>
  <c r="AY191" i="103"/>
  <c r="BO190" i="103"/>
  <c r="BC190" i="103"/>
  <c r="AQ190" i="103"/>
  <c r="AE190" i="103"/>
  <c r="S190" i="103"/>
  <c r="G190" i="103"/>
  <c r="CE189" i="103"/>
  <c r="BS189" i="103"/>
  <c r="AN189" i="103" s="1"/>
  <c r="BG189" i="103"/>
  <c r="AU189" i="103"/>
  <c r="AI189" i="103"/>
  <c r="BK188" i="103"/>
  <c r="AY188" i="103"/>
  <c r="BO187" i="103"/>
  <c r="BC187" i="103"/>
  <c r="AQ187" i="103"/>
  <c r="AE187" i="103"/>
  <c r="S187" i="103"/>
  <c r="G187" i="103"/>
  <c r="CE186" i="103"/>
  <c r="BS186" i="103"/>
  <c r="AN186" i="103" s="1"/>
  <c r="BG186" i="103"/>
  <c r="AU186" i="103"/>
  <c r="AI186" i="103"/>
  <c r="BK185" i="103"/>
  <c r="AY185" i="103"/>
  <c r="BO184" i="103"/>
  <c r="BC184" i="103"/>
  <c r="AQ184" i="103"/>
  <c r="AE184" i="103"/>
  <c r="S184" i="103"/>
  <c r="G184" i="103"/>
  <c r="CE183" i="103"/>
  <c r="BS183" i="103"/>
  <c r="BG183" i="103"/>
  <c r="AU183" i="103"/>
  <c r="AI183" i="103"/>
  <c r="BK182" i="103"/>
  <c r="AY182" i="103"/>
  <c r="BO181" i="103"/>
  <c r="BC181" i="103"/>
  <c r="AQ181" i="103"/>
  <c r="AE181" i="103"/>
  <c r="S181" i="103"/>
  <c r="G181" i="103"/>
  <c r="CE180" i="103"/>
  <c r="BS180" i="103"/>
  <c r="BG180" i="103"/>
  <c r="AU180" i="103"/>
  <c r="AI180" i="103"/>
  <c r="BK179" i="103"/>
  <c r="AY179" i="103"/>
  <c r="BO178" i="103"/>
  <c r="BC178" i="103"/>
  <c r="AQ178" i="103"/>
  <c r="AE178" i="103"/>
  <c r="S178" i="103"/>
  <c r="G178" i="103"/>
  <c r="CE177" i="103"/>
  <c r="BS177" i="103"/>
  <c r="BG177" i="103"/>
  <c r="AU177" i="103"/>
  <c r="AI177" i="103"/>
  <c r="BK176" i="103"/>
  <c r="AY176" i="103"/>
  <c r="BO175" i="103"/>
  <c r="BC175" i="103"/>
  <c r="AQ175" i="103"/>
  <c r="AE175" i="103"/>
  <c r="S175" i="103"/>
  <c r="G175" i="103"/>
  <c r="CE174" i="103"/>
  <c r="BS174" i="103"/>
  <c r="AN174" i="103" s="1"/>
  <c r="BG174" i="103"/>
  <c r="AU174" i="103"/>
  <c r="AI174" i="103"/>
  <c r="BK173" i="103"/>
  <c r="AY173" i="103"/>
  <c r="BO172" i="103"/>
  <c r="BC172" i="103"/>
  <c r="AQ172" i="103"/>
  <c r="AE172" i="103"/>
  <c r="S172" i="103"/>
  <c r="BT234" i="103"/>
  <c r="CJ230" i="103"/>
  <c r="BS225" i="103"/>
  <c r="AN225" i="103" s="1"/>
  <c r="AP220" i="103"/>
  <c r="AJ219" i="103"/>
  <c r="T217" i="103"/>
  <c r="AP216" i="103"/>
  <c r="BK215" i="103"/>
  <c r="AJ215" i="103"/>
  <c r="CJ214" i="103"/>
  <c r="BT214" i="103"/>
  <c r="AQ214" i="103"/>
  <c r="AE214" i="103"/>
  <c r="S214" i="103"/>
  <c r="G214" i="103"/>
  <c r="CE213" i="103"/>
  <c r="BS213" i="103"/>
  <c r="AN213" i="103" s="1"/>
  <c r="BG213" i="103"/>
  <c r="AU213" i="103"/>
  <c r="AI213" i="103"/>
  <c r="BK212" i="103"/>
  <c r="AY212" i="103"/>
  <c r="BO211" i="103"/>
  <c r="BC211" i="103"/>
  <c r="AQ211" i="103"/>
  <c r="AE211" i="103"/>
  <c r="S211" i="103"/>
  <c r="G211" i="103"/>
  <c r="CE210" i="103"/>
  <c r="BS210" i="103"/>
  <c r="BG210" i="103"/>
  <c r="AU210" i="103"/>
  <c r="AI210" i="103"/>
  <c r="BK209" i="103"/>
  <c r="AY209" i="103"/>
  <c r="BO208" i="103"/>
  <c r="BC208" i="103"/>
  <c r="AQ208" i="103"/>
  <c r="AE208" i="103"/>
  <c r="S208" i="103"/>
  <c r="G208" i="103"/>
  <c r="CE207" i="103"/>
  <c r="BS207" i="103"/>
  <c r="AN207" i="103" s="1"/>
  <c r="BG207" i="103"/>
  <c r="AU207" i="103"/>
  <c r="AI207" i="103"/>
  <c r="BK206" i="103"/>
  <c r="AY206" i="103"/>
  <c r="BO205" i="103"/>
  <c r="BC205" i="103"/>
  <c r="AQ205" i="103"/>
  <c r="AE205" i="103"/>
  <c r="S205" i="103"/>
  <c r="G205" i="103"/>
  <c r="CE204" i="103"/>
  <c r="BS204" i="103"/>
  <c r="AN204" i="103" s="1"/>
  <c r="BG204" i="103"/>
  <c r="AU204" i="103"/>
  <c r="AI204" i="103"/>
  <c r="BK203" i="103"/>
  <c r="AY203" i="103"/>
  <c r="BO202" i="103"/>
  <c r="BC202" i="103"/>
  <c r="AQ202" i="103"/>
  <c r="AE202" i="103"/>
  <c r="S202" i="103"/>
  <c r="G202" i="103"/>
  <c r="CE201" i="103"/>
  <c r="BS201" i="103"/>
  <c r="AN201" i="103" s="1"/>
  <c r="BG201" i="103"/>
  <c r="AU201" i="103"/>
  <c r="AI201" i="103"/>
  <c r="BK200" i="103"/>
  <c r="AY200" i="103"/>
  <c r="BO199" i="103"/>
  <c r="BC199" i="103"/>
  <c r="AQ199" i="103"/>
  <c r="AE199" i="103"/>
  <c r="S199" i="103"/>
  <c r="G199" i="103"/>
  <c r="CE198" i="103"/>
  <c r="BS198" i="103"/>
  <c r="AN198" i="103" s="1"/>
  <c r="BG198" i="103"/>
  <c r="AU198" i="103"/>
  <c r="AI198" i="103"/>
  <c r="BK197" i="103"/>
  <c r="AY197" i="103"/>
  <c r="BN196" i="103"/>
  <c r="AP196" i="103"/>
  <c r="AD196" i="103"/>
  <c r="BR195" i="103"/>
  <c r="BF195" i="103"/>
  <c r="AT195" i="103"/>
  <c r="AH195" i="103"/>
  <c r="V195" i="103"/>
  <c r="BV194" i="103"/>
  <c r="BJ194" i="103"/>
  <c r="AX194" i="103"/>
  <c r="N194" i="103"/>
  <c r="BN193" i="103"/>
  <c r="AP193" i="103"/>
  <c r="AD193" i="103"/>
  <c r="BR192" i="103"/>
  <c r="BF192" i="103"/>
  <c r="AT192" i="103"/>
  <c r="AH192" i="103"/>
  <c r="V192" i="103"/>
  <c r="BV191" i="103"/>
  <c r="BJ191" i="103"/>
  <c r="AX191" i="103"/>
  <c r="N191" i="103"/>
  <c r="BN190" i="103"/>
  <c r="AP190" i="103"/>
  <c r="AD190" i="103"/>
  <c r="BR189" i="103"/>
  <c r="BF189" i="103"/>
  <c r="AT189" i="103"/>
  <c r="AH189" i="103"/>
  <c r="V189" i="103"/>
  <c r="BV188" i="103"/>
  <c r="BJ188" i="103"/>
  <c r="AX188" i="103"/>
  <c r="N188" i="103"/>
  <c r="BN187" i="103"/>
  <c r="AP187" i="103"/>
  <c r="AD187" i="103"/>
  <c r="BR186" i="103"/>
  <c r="BF186" i="103"/>
  <c r="AT186" i="103"/>
  <c r="AH186" i="103"/>
  <c r="V186" i="103"/>
  <c r="BV185" i="103"/>
  <c r="BJ185" i="103"/>
  <c r="AX185" i="103"/>
  <c r="N185" i="103"/>
  <c r="BN184" i="103"/>
  <c r="AP184" i="103"/>
  <c r="AD184" i="103"/>
  <c r="BR183" i="103"/>
  <c r="BF183" i="103"/>
  <c r="AT183" i="103"/>
  <c r="AH183" i="103"/>
  <c r="V183" i="103"/>
  <c r="BV182" i="103"/>
  <c r="BJ182" i="103"/>
  <c r="AX182" i="103"/>
  <c r="N182" i="103"/>
  <c r="BN181" i="103"/>
  <c r="AP181" i="103"/>
  <c r="AD181" i="103"/>
  <c r="BR180" i="103"/>
  <c r="BF180" i="103"/>
  <c r="AT180" i="103"/>
  <c r="AH180" i="103"/>
  <c r="V180" i="103"/>
  <c r="BV179" i="103"/>
  <c r="BJ179" i="103"/>
  <c r="AX179" i="103"/>
  <c r="N179" i="103"/>
  <c r="BN178" i="103"/>
  <c r="AP178" i="103"/>
  <c r="AD178" i="103"/>
  <c r="BR177" i="103"/>
  <c r="BF177" i="103"/>
  <c r="AT177" i="103"/>
  <c r="AH177" i="103"/>
  <c r="V177" i="103"/>
  <c r="BV176" i="103"/>
  <c r="BJ176" i="103"/>
  <c r="AX176" i="103"/>
  <c r="N176" i="103"/>
  <c r="BN175" i="103"/>
  <c r="AP175" i="103"/>
  <c r="AD175" i="103"/>
  <c r="BR174" i="103"/>
  <c r="BF174" i="103"/>
  <c r="AT174" i="103"/>
  <c r="AH174" i="103"/>
  <c r="V174" i="103"/>
  <c r="BV173" i="103"/>
  <c r="BJ173" i="103"/>
  <c r="AX173" i="103"/>
  <c r="N173" i="103"/>
  <c r="BN172" i="103"/>
  <c r="AP172" i="103"/>
  <c r="AD172" i="103"/>
  <c r="BR171" i="103"/>
  <c r="BF171" i="103"/>
  <c r="AT171" i="103"/>
  <c r="AH171" i="103"/>
  <c r="V171" i="103"/>
  <c r="AR238" i="103"/>
  <c r="BH234" i="103"/>
  <c r="Q241" i="67" s="1"/>
  <c r="AR229" i="103"/>
  <c r="BR225" i="103"/>
  <c r="AQ223" i="103"/>
  <c r="BS222" i="103"/>
  <c r="AF220" i="103"/>
  <c r="CE219" i="103"/>
  <c r="AI219" i="103"/>
  <c r="BC217" i="103"/>
  <c r="S217" i="103"/>
  <c r="BT216" i="103"/>
  <c r="AJ216" i="103"/>
  <c r="BJ215" i="103"/>
  <c r="AH215" i="103"/>
  <c r="N215" i="103"/>
  <c r="BS214" i="103"/>
  <c r="AN214" i="103" s="1"/>
  <c r="BC214" i="103"/>
  <c r="AP214" i="103"/>
  <c r="AD214" i="103"/>
  <c r="BR213" i="103"/>
  <c r="BF213" i="103"/>
  <c r="AT213" i="103"/>
  <c r="AH213" i="103"/>
  <c r="V213" i="103"/>
  <c r="BV212" i="103"/>
  <c r="BJ212" i="103"/>
  <c r="AX212" i="103"/>
  <c r="N212" i="103"/>
  <c r="BN211" i="103"/>
  <c r="AP211" i="103"/>
  <c r="AD211" i="103"/>
  <c r="BR210" i="103"/>
  <c r="BF210" i="103"/>
  <c r="AT210" i="103"/>
  <c r="AH210" i="103"/>
  <c r="V210" i="103"/>
  <c r="BV209" i="103"/>
  <c r="BJ209" i="103"/>
  <c r="AX209" i="103"/>
  <c r="N209" i="103"/>
  <c r="BN208" i="103"/>
  <c r="AP208" i="103"/>
  <c r="AD208" i="103"/>
  <c r="BR207" i="103"/>
  <c r="BF207" i="103"/>
  <c r="AT207" i="103"/>
  <c r="AH207" i="103"/>
  <c r="V207" i="103"/>
  <c r="BV206" i="103"/>
  <c r="BJ206" i="103"/>
  <c r="AX206" i="103"/>
  <c r="N206" i="103"/>
  <c r="BN205" i="103"/>
  <c r="AP205" i="103"/>
  <c r="AD205" i="103"/>
  <c r="BR204" i="103"/>
  <c r="BF204" i="103"/>
  <c r="AT204" i="103"/>
  <c r="AH204" i="103"/>
  <c r="V204" i="103"/>
  <c r="BV203" i="103"/>
  <c r="BJ203" i="103"/>
  <c r="AX203" i="103"/>
  <c r="N203" i="103"/>
  <c r="BN202" i="103"/>
  <c r="AP202" i="103"/>
  <c r="AD202" i="103"/>
  <c r="BR201" i="103"/>
  <c r="BF201" i="103"/>
  <c r="AT201" i="103"/>
  <c r="AH201" i="103"/>
  <c r="V201" i="103"/>
  <c r="BV200" i="103"/>
  <c r="BJ200" i="103"/>
  <c r="AX200" i="103"/>
  <c r="N200" i="103"/>
  <c r="BN199" i="103"/>
  <c r="AP199" i="103"/>
  <c r="AD199" i="103"/>
  <c r="BR198" i="103"/>
  <c r="BF198" i="103"/>
  <c r="AT198" i="103"/>
  <c r="AH198" i="103"/>
  <c r="V198" i="103"/>
  <c r="BV197" i="103"/>
  <c r="BJ197" i="103"/>
  <c r="AX197" i="103"/>
  <c r="N197" i="103"/>
  <c r="BM196" i="103"/>
  <c r="AO196" i="103"/>
  <c r="Q196" i="103"/>
  <c r="BQ195" i="103"/>
  <c r="BE195" i="103"/>
  <c r="AS195" i="103"/>
  <c r="AG195" i="103"/>
  <c r="I195" i="103"/>
  <c r="BU194" i="103"/>
  <c r="AW194" i="103"/>
  <c r="AK194" i="103"/>
  <c r="BM193" i="103"/>
  <c r="AO193" i="103"/>
  <c r="Q193" i="103"/>
  <c r="BQ192" i="103"/>
  <c r="BE192" i="103"/>
  <c r="AS192" i="103"/>
  <c r="AG192" i="103"/>
  <c r="I192" i="103"/>
  <c r="BU191" i="103"/>
  <c r="AW191" i="103"/>
  <c r="AK191" i="103"/>
  <c r="BM190" i="103"/>
  <c r="AO190" i="103"/>
  <c r="Q190" i="103"/>
  <c r="BQ189" i="103"/>
  <c r="BE189" i="103"/>
  <c r="AS189" i="103"/>
  <c r="AG189" i="103"/>
  <c r="I189" i="103"/>
  <c r="BU188" i="103"/>
  <c r="AW188" i="103"/>
  <c r="AK188" i="103"/>
  <c r="BM187" i="103"/>
  <c r="AO187" i="103"/>
  <c r="Q187" i="103"/>
  <c r="BQ186" i="103"/>
  <c r="BE186" i="103"/>
  <c r="AS186" i="103"/>
  <c r="AG186" i="103"/>
  <c r="I186" i="103"/>
  <c r="BU185" i="103"/>
  <c r="AW185" i="103"/>
  <c r="AK185" i="103"/>
  <c r="BM184" i="103"/>
  <c r="AO184" i="103"/>
  <c r="Q184" i="103"/>
  <c r="BQ183" i="103"/>
  <c r="BE183" i="103"/>
  <c r="AS183" i="103"/>
  <c r="AG183" i="103"/>
  <c r="I183" i="103"/>
  <c r="BU182" i="103"/>
  <c r="AW182" i="103"/>
  <c r="AK182" i="103"/>
  <c r="BM181" i="103"/>
  <c r="AO181" i="103"/>
  <c r="Q181" i="103"/>
  <c r="AF238" i="103"/>
  <c r="AV234" i="103"/>
  <c r="P233" i="103"/>
  <c r="BL230" i="103"/>
  <c r="AF229" i="103"/>
  <c r="BG225" i="103"/>
  <c r="AP223" i="103"/>
  <c r="BR222" i="103"/>
  <c r="AE220" i="103"/>
  <c r="AH219" i="103"/>
  <c r="AH218" i="103"/>
  <c r="BS216" i="103"/>
  <c r="AI216" i="103"/>
  <c r="BF215" i="103"/>
  <c r="AG215" i="103"/>
  <c r="BQ214" i="103"/>
  <c r="AO214" i="103"/>
  <c r="Q214" i="103"/>
  <c r="BQ213" i="103"/>
  <c r="BE213" i="103"/>
  <c r="AS213" i="103"/>
  <c r="AG213" i="103"/>
  <c r="I213" i="103"/>
  <c r="BU212" i="103"/>
  <c r="AW212" i="103"/>
  <c r="AK212" i="103"/>
  <c r="BM211" i="103"/>
  <c r="AO211" i="103"/>
  <c r="Q211" i="103"/>
  <c r="BQ210" i="103"/>
  <c r="BE210" i="103"/>
  <c r="AS210" i="103"/>
  <c r="AG210" i="103"/>
  <c r="I210" i="103"/>
  <c r="BU209" i="103"/>
  <c r="AW209" i="103"/>
  <c r="AK209" i="103"/>
  <c r="BM208" i="103"/>
  <c r="AO208" i="103"/>
  <c r="Q208" i="103"/>
  <c r="BQ207" i="103"/>
  <c r="BE207" i="103"/>
  <c r="AS207" i="103"/>
  <c r="AG207" i="103"/>
  <c r="I207" i="103"/>
  <c r="BU206" i="103"/>
  <c r="AW206" i="103"/>
  <c r="AK206" i="103"/>
  <c r="BM205" i="103"/>
  <c r="AO205" i="103"/>
  <c r="Q205" i="103"/>
  <c r="BQ204" i="103"/>
  <c r="BE204" i="103"/>
  <c r="AS204" i="103"/>
  <c r="AG204" i="103"/>
  <c r="I204" i="103"/>
  <c r="BU203" i="103"/>
  <c r="AW203" i="103"/>
  <c r="AK203" i="103"/>
  <c r="BM202" i="103"/>
  <c r="AO202" i="103"/>
  <c r="Q202" i="103"/>
  <c r="BQ201" i="103"/>
  <c r="BE201" i="103"/>
  <c r="AS201" i="103"/>
  <c r="AG201" i="103"/>
  <c r="I201" i="103"/>
  <c r="BU200" i="103"/>
  <c r="AW200" i="103"/>
  <c r="AK200" i="103"/>
  <c r="BM199" i="103"/>
  <c r="AO199" i="103"/>
  <c r="Q199" i="103"/>
  <c r="BQ198" i="103"/>
  <c r="BE198" i="103"/>
  <c r="AS198" i="103"/>
  <c r="AG198" i="103"/>
  <c r="I198" i="103"/>
  <c r="BU197" i="103"/>
  <c r="AW197" i="103"/>
  <c r="AK197" i="103"/>
  <c r="CJ196" i="103"/>
  <c r="BL196" i="103"/>
  <c r="AZ196" i="103"/>
  <c r="P196" i="103"/>
  <c r="BP195" i="103"/>
  <c r="AR195" i="103"/>
  <c r="AF195" i="103"/>
  <c r="T195" i="103"/>
  <c r="BT194" i="103"/>
  <c r="BH194" i="103"/>
  <c r="Q200" i="67" s="1"/>
  <c r="AV194" i="103"/>
  <c r="AJ194" i="103"/>
  <c r="CJ193" i="103"/>
  <c r="BL193" i="103"/>
  <c r="AZ193" i="103"/>
  <c r="P193" i="103"/>
  <c r="BP192" i="103"/>
  <c r="AR192" i="103"/>
  <c r="AF192" i="103"/>
  <c r="T192" i="103"/>
  <c r="BT191" i="103"/>
  <c r="BH191" i="103"/>
  <c r="Q196" i="67" s="1"/>
  <c r="AV191" i="103"/>
  <c r="AJ191" i="103"/>
  <c r="CJ190" i="103"/>
  <c r="BL190" i="103"/>
  <c r="AZ190" i="103"/>
  <c r="P190" i="103"/>
  <c r="BP189" i="103"/>
  <c r="AR189" i="103"/>
  <c r="AF189" i="103"/>
  <c r="T189" i="103"/>
  <c r="BT188" i="103"/>
  <c r="BH188" i="103"/>
  <c r="Q193" i="67" s="1"/>
  <c r="AV188" i="103"/>
  <c r="AJ188" i="103"/>
  <c r="CJ187" i="103"/>
  <c r="BL187" i="103"/>
  <c r="AZ187" i="103"/>
  <c r="P187" i="103"/>
  <c r="BP186" i="103"/>
  <c r="AR186" i="103"/>
  <c r="AF186" i="103"/>
  <c r="T186" i="103"/>
  <c r="BT185" i="103"/>
  <c r="BH185" i="103"/>
  <c r="Q190" i="67" s="1"/>
  <c r="AV185" i="103"/>
  <c r="AJ185" i="103"/>
  <c r="CJ184" i="103"/>
  <c r="BL184" i="103"/>
  <c r="AZ184" i="103"/>
  <c r="P184" i="103"/>
  <c r="BP183" i="103"/>
  <c r="AR183" i="103"/>
  <c r="AF183" i="103"/>
  <c r="T183" i="103"/>
  <c r="BT182" i="103"/>
  <c r="BH182" i="103"/>
  <c r="Q187" i="67" s="1"/>
  <c r="AV182" i="103"/>
  <c r="AJ182" i="103"/>
  <c r="CJ181" i="103"/>
  <c r="BL181" i="103"/>
  <c r="AZ181" i="103"/>
  <c r="P181" i="103"/>
  <c r="BP180" i="103"/>
  <c r="AR180" i="103"/>
  <c r="AF180" i="103"/>
  <c r="T180" i="103"/>
  <c r="BT179" i="103"/>
  <c r="BH179" i="103"/>
  <c r="Q184" i="67" s="1"/>
  <c r="AV179" i="103"/>
  <c r="AJ179" i="103"/>
  <c r="CJ178" i="103"/>
  <c r="BL178" i="103"/>
  <c r="AZ178" i="103"/>
  <c r="P178" i="103"/>
  <c r="BP177" i="103"/>
  <c r="AR177" i="103"/>
  <c r="AF177" i="103"/>
  <c r="T177" i="103"/>
  <c r="BT176" i="103"/>
  <c r="BH176" i="103"/>
  <c r="Q181" i="67" s="1"/>
  <c r="AV176" i="103"/>
  <c r="AJ176" i="103"/>
  <c r="CJ175" i="103"/>
  <c r="BL175" i="103"/>
  <c r="AZ175" i="103"/>
  <c r="P175" i="103"/>
  <c r="BP174" i="103"/>
  <c r="AR174" i="103"/>
  <c r="AF174" i="103"/>
  <c r="T174" i="103"/>
  <c r="BT173" i="103"/>
  <c r="BH173" i="103"/>
  <c r="Q178" i="67" s="1"/>
  <c r="AV173" i="103"/>
  <c r="AJ173" i="103"/>
  <c r="CJ172" i="103"/>
  <c r="BL172" i="103"/>
  <c r="T238" i="103"/>
  <c r="BP235" i="103"/>
  <c r="AJ234" i="103"/>
  <c r="AZ230" i="103"/>
  <c r="T229" i="103"/>
  <c r="BP226" i="103"/>
  <c r="BF225" i="103"/>
  <c r="N224" i="103"/>
  <c r="AE223" i="103"/>
  <c r="BG222" i="103"/>
  <c r="AD220" i="103"/>
  <c r="BT219" i="103"/>
  <c r="AX217" i="103"/>
  <c r="N217" i="103"/>
  <c r="BR216" i="103"/>
  <c r="AH216" i="103"/>
  <c r="CJ215" i="103"/>
  <c r="AZ215" i="103"/>
  <c r="BP214" i="103"/>
  <c r="P214" i="103"/>
  <c r="BP213" i="103"/>
  <c r="AR213" i="103"/>
  <c r="AF213" i="103"/>
  <c r="T213" i="103"/>
  <c r="BT212" i="103"/>
  <c r="BH212" i="103"/>
  <c r="Q218" i="67" s="1"/>
  <c r="AV212" i="103"/>
  <c r="AJ212" i="103"/>
  <c r="CJ211" i="103"/>
  <c r="BL211" i="103"/>
  <c r="AZ211" i="103"/>
  <c r="P211" i="103"/>
  <c r="BP210" i="103"/>
  <c r="AR210" i="103"/>
  <c r="AF210" i="103"/>
  <c r="T210" i="103"/>
  <c r="BT209" i="103"/>
  <c r="BH209" i="103"/>
  <c r="Q215" i="67" s="1"/>
  <c r="AV209" i="103"/>
  <c r="AJ209" i="103"/>
  <c r="CJ208" i="103"/>
  <c r="BL208" i="103"/>
  <c r="AZ208" i="103"/>
  <c r="P208" i="103"/>
  <c r="BP207" i="103"/>
  <c r="AR207" i="103"/>
  <c r="AF207" i="103"/>
  <c r="T207" i="103"/>
  <c r="BT206" i="103"/>
  <c r="BH206" i="103"/>
  <c r="Q212" i="67" s="1"/>
  <c r="AV206" i="103"/>
  <c r="AJ206" i="103"/>
  <c r="CJ205" i="103"/>
  <c r="BL205" i="103"/>
  <c r="AZ205" i="103"/>
  <c r="P205" i="103"/>
  <c r="BP204" i="103"/>
  <c r="AR204" i="103"/>
  <c r="AF204" i="103"/>
  <c r="T204" i="103"/>
  <c r="BT203" i="103"/>
  <c r="BH203" i="103"/>
  <c r="Q209" i="67" s="1"/>
  <c r="AV203" i="103"/>
  <c r="AJ203" i="103"/>
  <c r="CJ202" i="103"/>
  <c r="BL202" i="103"/>
  <c r="AZ202" i="103"/>
  <c r="P202" i="103"/>
  <c r="BP201" i="103"/>
  <c r="AR201" i="103"/>
  <c r="AF201" i="103"/>
  <c r="T201" i="103"/>
  <c r="BT200" i="103"/>
  <c r="BH200" i="103"/>
  <c r="Q206" i="67" s="1"/>
  <c r="AV200" i="103"/>
  <c r="AJ200" i="103"/>
  <c r="CJ199" i="103"/>
  <c r="BL199" i="103"/>
  <c r="AZ199" i="103"/>
  <c r="P199" i="103"/>
  <c r="BP198" i="103"/>
  <c r="AR198" i="103"/>
  <c r="AF198" i="103"/>
  <c r="T198" i="103"/>
  <c r="BT197" i="103"/>
  <c r="BH197" i="103"/>
  <c r="Q203" i="67" s="1"/>
  <c r="AV197" i="103"/>
  <c r="AJ197" i="103"/>
  <c r="BK196" i="103"/>
  <c r="AY196" i="103"/>
  <c r="BO195" i="103"/>
  <c r="BC195" i="103"/>
  <c r="AQ195" i="103"/>
  <c r="AE195" i="103"/>
  <c r="S195" i="103"/>
  <c r="G195" i="103"/>
  <c r="CE194" i="103"/>
  <c r="BS194" i="103"/>
  <c r="AN194" i="103" s="1"/>
  <c r="BG194" i="103"/>
  <c r="AU194" i="103"/>
  <c r="AI194" i="103"/>
  <c r="BK193" i="103"/>
  <c r="AY193" i="103"/>
  <c r="BO192" i="103"/>
  <c r="BC192" i="103"/>
  <c r="AQ192" i="103"/>
  <c r="AE192" i="103"/>
  <c r="S192" i="103"/>
  <c r="G192" i="103"/>
  <c r="CE191" i="103"/>
  <c r="BS191" i="103"/>
  <c r="AN191" i="103" s="1"/>
  <c r="BG191" i="103"/>
  <c r="AU191" i="103"/>
  <c r="AI191" i="103"/>
  <c r="BK190" i="103"/>
  <c r="AY190" i="103"/>
  <c r="BO189" i="103"/>
  <c r="BC189" i="103"/>
  <c r="AQ189" i="103"/>
  <c r="AE189" i="103"/>
  <c r="S189" i="103"/>
  <c r="G189" i="103"/>
  <c r="CE188" i="103"/>
  <c r="BS188" i="103"/>
  <c r="AN188" i="103" s="1"/>
  <c r="BG188" i="103"/>
  <c r="AU188" i="103"/>
  <c r="AI188" i="103"/>
  <c r="BK187" i="103"/>
  <c r="AY187" i="103"/>
  <c r="BO186" i="103"/>
  <c r="BC186" i="103"/>
  <c r="AQ186" i="103"/>
  <c r="AE186" i="103"/>
  <c r="S186" i="103"/>
  <c r="G186" i="103"/>
  <c r="CE185" i="103"/>
  <c r="BS185" i="103"/>
  <c r="AN185" i="103" s="1"/>
  <c r="BG185" i="103"/>
  <c r="AU185" i="103"/>
  <c r="AI185" i="103"/>
  <c r="BK184" i="103"/>
  <c r="AY184" i="103"/>
  <c r="BO183" i="103"/>
  <c r="BC183" i="103"/>
  <c r="AQ183" i="103"/>
  <c r="AE183" i="103"/>
  <c r="S183" i="103"/>
  <c r="G183" i="103"/>
  <c r="CE182" i="103"/>
  <c r="BS182" i="103"/>
  <c r="BG182" i="103"/>
  <c r="AU182" i="103"/>
  <c r="AI182" i="103"/>
  <c r="BK181" i="103"/>
  <c r="AY181" i="103"/>
  <c r="BO180" i="103"/>
  <c r="BC180" i="103"/>
  <c r="AQ180" i="103"/>
  <c r="AE180" i="103"/>
  <c r="S180" i="103"/>
  <c r="G180" i="103"/>
  <c r="CE179" i="103"/>
  <c r="BS179" i="103"/>
  <c r="BG179" i="103"/>
  <c r="AU179" i="103"/>
  <c r="AI179" i="103"/>
  <c r="BK178" i="103"/>
  <c r="AY178" i="103"/>
  <c r="BO177" i="103"/>
  <c r="BC177" i="103"/>
  <c r="AQ177" i="103"/>
  <c r="AE177" i="103"/>
  <c r="S177" i="103"/>
  <c r="G177" i="103"/>
  <c r="CE176" i="103"/>
  <c r="BS176" i="103"/>
  <c r="AN176" i="103" s="1"/>
  <c r="BG176" i="103"/>
  <c r="AU176" i="103"/>
  <c r="AI176" i="103"/>
  <c r="BK175" i="103"/>
  <c r="AY175" i="103"/>
  <c r="BO174" i="103"/>
  <c r="BC174" i="103"/>
  <c r="AQ174" i="103"/>
  <c r="AE174" i="103"/>
  <c r="S174" i="103"/>
  <c r="G174" i="103"/>
  <c r="CE173" i="103"/>
  <c r="BS173" i="103"/>
  <c r="AN173" i="103" s="1"/>
  <c r="BG173" i="103"/>
  <c r="AU173" i="103"/>
  <c r="AI173" i="103"/>
  <c r="BK172" i="103"/>
  <c r="AY172" i="103"/>
  <c r="BG193" i="103"/>
  <c r="AQ188" i="103"/>
  <c r="BG184" i="103"/>
  <c r="AQ179" i="103"/>
  <c r="BM178" i="103"/>
  <c r="AX177" i="103"/>
  <c r="AQ176" i="103"/>
  <c r="AO175" i="103"/>
  <c r="AK173" i="103"/>
  <c r="AR172" i="103"/>
  <c r="T172" i="103"/>
  <c r="BQ171" i="103"/>
  <c r="AX171" i="103"/>
  <c r="AF171" i="103"/>
  <c r="P171" i="103"/>
  <c r="BO170" i="103"/>
  <c r="BC170" i="103"/>
  <c r="AQ170" i="103"/>
  <c r="AE170" i="103"/>
  <c r="S170" i="103"/>
  <c r="G170" i="103"/>
  <c r="CE169" i="103"/>
  <c r="BS169" i="103"/>
  <c r="AN169" i="103" s="1"/>
  <c r="BG169" i="103"/>
  <c r="AU169" i="103"/>
  <c r="AI169" i="103"/>
  <c r="BK168" i="103"/>
  <c r="AY168" i="103"/>
  <c r="BO167" i="103"/>
  <c r="BC167" i="103"/>
  <c r="AQ167" i="103"/>
  <c r="AE167" i="103"/>
  <c r="S167" i="103"/>
  <c r="G167" i="103"/>
  <c r="CE166" i="103"/>
  <c r="BS166" i="103"/>
  <c r="AN166" i="103" s="1"/>
  <c r="BG166" i="103"/>
  <c r="AU166" i="103"/>
  <c r="AI166" i="103"/>
  <c r="BK165" i="103"/>
  <c r="AY165" i="103"/>
  <c r="BO164" i="103"/>
  <c r="BC164" i="103"/>
  <c r="AQ164" i="103"/>
  <c r="AE164" i="103"/>
  <c r="S164" i="103"/>
  <c r="G164" i="103"/>
  <c r="CE163" i="103"/>
  <c r="BS163" i="103"/>
  <c r="AN163" i="103" s="1"/>
  <c r="BG163" i="103"/>
  <c r="AU163" i="103"/>
  <c r="AI163" i="103"/>
  <c r="BK162" i="103"/>
  <c r="AY162" i="103"/>
  <c r="BO161" i="103"/>
  <c r="BC161" i="103"/>
  <c r="AQ161" i="103"/>
  <c r="AE161" i="103"/>
  <c r="S161" i="103"/>
  <c r="G161" i="103"/>
  <c r="CE160" i="103"/>
  <c r="BS160" i="103"/>
  <c r="AN160" i="103" s="1"/>
  <c r="BG160" i="103"/>
  <c r="AU160" i="103"/>
  <c r="AI160" i="103"/>
  <c r="BK159" i="103"/>
  <c r="AY159" i="103"/>
  <c r="BO158" i="103"/>
  <c r="BC158" i="103"/>
  <c r="AQ158" i="103"/>
  <c r="AE158" i="103"/>
  <c r="S158" i="103"/>
  <c r="G158" i="103"/>
  <c r="CE157" i="103"/>
  <c r="BS157" i="103"/>
  <c r="AN157" i="103" s="1"/>
  <c r="BG157" i="103"/>
  <c r="AU157" i="103"/>
  <c r="AI157" i="103"/>
  <c r="BK156" i="103"/>
  <c r="AY156" i="103"/>
  <c r="BO155" i="103"/>
  <c r="BC155" i="103"/>
  <c r="AQ155" i="103"/>
  <c r="AE155" i="103"/>
  <c r="S155" i="103"/>
  <c r="G155" i="103"/>
  <c r="CE154" i="103"/>
  <c r="BS154" i="103"/>
  <c r="AN154" i="103" s="1"/>
  <c r="BG154" i="103"/>
  <c r="AU154" i="103"/>
  <c r="AI154" i="103"/>
  <c r="BK153" i="103"/>
  <c r="AY153" i="103"/>
  <c r="BO152" i="103"/>
  <c r="BC152" i="103"/>
  <c r="AQ152" i="103"/>
  <c r="AE152" i="103"/>
  <c r="S152" i="103"/>
  <c r="G152" i="103"/>
  <c r="CE151" i="103"/>
  <c r="BS151" i="103"/>
  <c r="AN151" i="103" s="1"/>
  <c r="BG151" i="103"/>
  <c r="AU151" i="103"/>
  <c r="AI151" i="103"/>
  <c r="BK150" i="103"/>
  <c r="AY150" i="103"/>
  <c r="BO149" i="103"/>
  <c r="BC149" i="103"/>
  <c r="AQ149" i="103"/>
  <c r="AE149" i="103"/>
  <c r="S149" i="103"/>
  <c r="G149" i="103"/>
  <c r="CE148" i="103"/>
  <c r="BS148" i="103"/>
  <c r="AN148" i="103" s="1"/>
  <c r="BG148" i="103"/>
  <c r="AU148" i="103"/>
  <c r="AI148" i="103"/>
  <c r="BK147" i="103"/>
  <c r="AY147" i="103"/>
  <c r="BO146" i="103"/>
  <c r="BC146" i="103"/>
  <c r="AQ146" i="103"/>
  <c r="AE146" i="103"/>
  <c r="S146" i="103"/>
  <c r="G146" i="103"/>
  <c r="CE145" i="103"/>
  <c r="BS145" i="103"/>
  <c r="AN145" i="103" s="1"/>
  <c r="BG145" i="103"/>
  <c r="AU145" i="103"/>
  <c r="AI145" i="103"/>
  <c r="BK144" i="103"/>
  <c r="AY144" i="103"/>
  <c r="BO143" i="103"/>
  <c r="BC143" i="103"/>
  <c r="AQ143" i="103"/>
  <c r="AE143" i="103"/>
  <c r="S143" i="103"/>
  <c r="G143" i="103"/>
  <c r="CE142" i="103"/>
  <c r="BS142" i="103"/>
  <c r="AN142" i="103" s="1"/>
  <c r="BG142" i="103"/>
  <c r="AU142" i="103"/>
  <c r="AI142" i="103"/>
  <c r="BK141" i="103"/>
  <c r="AY141" i="103"/>
  <c r="BO140" i="103"/>
  <c r="BC140" i="103"/>
  <c r="AQ140" i="103"/>
  <c r="AE140" i="103"/>
  <c r="S140" i="103"/>
  <c r="G140" i="103"/>
  <c r="CE139" i="103"/>
  <c r="BS139" i="103"/>
  <c r="AN139" i="103" s="1"/>
  <c r="BG139" i="103"/>
  <c r="AU139" i="103"/>
  <c r="AI139" i="103"/>
  <c r="BK138" i="103"/>
  <c r="AY138" i="103"/>
  <c r="BO137" i="103"/>
  <c r="BC137" i="103"/>
  <c r="AQ137" i="103"/>
  <c r="AE137" i="103"/>
  <c r="S137" i="103"/>
  <c r="G137" i="103"/>
  <c r="CE136" i="103"/>
  <c r="BS136" i="103"/>
  <c r="AN136" i="103" s="1"/>
  <c r="BG136" i="103"/>
  <c r="AU136" i="103"/>
  <c r="AI136" i="103"/>
  <c r="BK135" i="103"/>
  <c r="AY135" i="103"/>
  <c r="BO134" i="103"/>
  <c r="BC134" i="103"/>
  <c r="AQ134" i="103"/>
  <c r="AE134" i="103"/>
  <c r="S134" i="103"/>
  <c r="G134" i="103"/>
  <c r="CE133" i="103"/>
  <c r="BS133" i="103"/>
  <c r="AN133" i="103" s="1"/>
  <c r="BG133" i="103"/>
  <c r="AU133" i="103"/>
  <c r="AI133" i="103"/>
  <c r="BK132" i="103"/>
  <c r="AY132" i="103"/>
  <c r="BO131" i="103"/>
  <c r="BC131" i="103"/>
  <c r="AQ131" i="103"/>
  <c r="AE131" i="103"/>
  <c r="S131" i="103"/>
  <c r="G131" i="103"/>
  <c r="CE130" i="103"/>
  <c r="BS130" i="103"/>
  <c r="AN130" i="103" s="1"/>
  <c r="BG130" i="103"/>
  <c r="AU130" i="103"/>
  <c r="AU379" i="103" s="1"/>
  <c r="AI130" i="103"/>
  <c r="BK129" i="103"/>
  <c r="AY129" i="103"/>
  <c r="BO128" i="103"/>
  <c r="AQ128" i="103"/>
  <c r="AE128" i="103"/>
  <c r="S128" i="103"/>
  <c r="G128" i="103"/>
  <c r="CE127" i="103"/>
  <c r="BS127" i="103"/>
  <c r="AN127" i="103" s="1"/>
  <c r="BG127" i="103"/>
  <c r="AU193" i="103"/>
  <c r="BK189" i="103"/>
  <c r="AE188" i="103"/>
  <c r="AU184" i="103"/>
  <c r="I180" i="103"/>
  <c r="AK179" i="103"/>
  <c r="BG178" i="103"/>
  <c r="AS177" i="103"/>
  <c r="AP176" i="103"/>
  <c r="CE175" i="103"/>
  <c r="AI175" i="103"/>
  <c r="AE173" i="103"/>
  <c r="AO172" i="103"/>
  <c r="Q172" i="103"/>
  <c r="BP171" i="103"/>
  <c r="AV171" i="103"/>
  <c r="AE171" i="103"/>
  <c r="BN170" i="103"/>
  <c r="AP170" i="103"/>
  <c r="AD170" i="103"/>
  <c r="BR169" i="103"/>
  <c r="BF169" i="103"/>
  <c r="AT169" i="103"/>
  <c r="AH169" i="103"/>
  <c r="V169" i="103"/>
  <c r="BV168" i="103"/>
  <c r="BJ168" i="103"/>
  <c r="AX168" i="103"/>
  <c r="N168" i="103"/>
  <c r="BN167" i="103"/>
  <c r="AP167" i="103"/>
  <c r="AD167" i="103"/>
  <c r="BR166" i="103"/>
  <c r="BF166" i="103"/>
  <c r="AT166" i="103"/>
  <c r="AH166" i="103"/>
  <c r="V166" i="103"/>
  <c r="BV165" i="103"/>
  <c r="BJ165" i="103"/>
  <c r="AX165" i="103"/>
  <c r="N165" i="103"/>
  <c r="BN164" i="103"/>
  <c r="AP164" i="103"/>
  <c r="AD164" i="103"/>
  <c r="BR163" i="103"/>
  <c r="BF163" i="103"/>
  <c r="AT163" i="103"/>
  <c r="AH163" i="103"/>
  <c r="V163" i="103"/>
  <c r="BV162" i="103"/>
  <c r="BJ162" i="103"/>
  <c r="AX162" i="103"/>
  <c r="N162" i="103"/>
  <c r="BN161" i="103"/>
  <c r="AP161" i="103"/>
  <c r="AD161" i="103"/>
  <c r="BR160" i="103"/>
  <c r="BF160" i="103"/>
  <c r="AT160" i="103"/>
  <c r="AH160" i="103"/>
  <c r="V160" i="103"/>
  <c r="BV159" i="103"/>
  <c r="BJ159" i="103"/>
  <c r="AX159" i="103"/>
  <c r="N159" i="103"/>
  <c r="BN158" i="103"/>
  <c r="AP158" i="103"/>
  <c r="AD158" i="103"/>
  <c r="BR157" i="103"/>
  <c r="BF157" i="103"/>
  <c r="AT157" i="103"/>
  <c r="AH157" i="103"/>
  <c r="V157" i="103"/>
  <c r="BV156" i="103"/>
  <c r="BJ156" i="103"/>
  <c r="AX156" i="103"/>
  <c r="N156" i="103"/>
  <c r="BN155" i="103"/>
  <c r="AP155" i="103"/>
  <c r="AD155" i="103"/>
  <c r="BR154" i="103"/>
  <c r="BF154" i="103"/>
  <c r="AT154" i="103"/>
  <c r="AH154" i="103"/>
  <c r="V154" i="103"/>
  <c r="BV153" i="103"/>
  <c r="BJ153" i="103"/>
  <c r="AX153" i="103"/>
  <c r="N153" i="103"/>
  <c r="BN152" i="103"/>
  <c r="AP152" i="103"/>
  <c r="AD152" i="103"/>
  <c r="BR151" i="103"/>
  <c r="BF151" i="103"/>
  <c r="AT151" i="103"/>
  <c r="AH151" i="103"/>
  <c r="V151" i="103"/>
  <c r="BV150" i="103"/>
  <c r="BJ150" i="103"/>
  <c r="AX150" i="103"/>
  <c r="N150" i="103"/>
  <c r="BN149" i="103"/>
  <c r="AP149" i="103"/>
  <c r="AD149" i="103"/>
  <c r="BR148" i="103"/>
  <c r="BF148" i="103"/>
  <c r="AT148" i="103"/>
  <c r="AH148" i="103"/>
  <c r="V148" i="103"/>
  <c r="BV147" i="103"/>
  <c r="BJ147" i="103"/>
  <c r="AX147" i="103"/>
  <c r="N147" i="103"/>
  <c r="BN146" i="103"/>
  <c r="AP146" i="103"/>
  <c r="AD146" i="103"/>
  <c r="BR145" i="103"/>
  <c r="BF145" i="103"/>
  <c r="AT145" i="103"/>
  <c r="AH145" i="103"/>
  <c r="V145" i="103"/>
  <c r="BV144" i="103"/>
  <c r="BJ144" i="103"/>
  <c r="AX144" i="103"/>
  <c r="N144" i="103"/>
  <c r="BN143" i="103"/>
  <c r="AP143" i="103"/>
  <c r="AD143" i="103"/>
  <c r="BR142" i="103"/>
  <c r="BF142" i="103"/>
  <c r="AT142" i="103"/>
  <c r="AH142" i="103"/>
  <c r="V142" i="103"/>
  <c r="BV141" i="103"/>
  <c r="BJ141" i="103"/>
  <c r="AX141" i="103"/>
  <c r="N141" i="103"/>
  <c r="BN140" i="103"/>
  <c r="AP140" i="103"/>
  <c r="AD140" i="103"/>
  <c r="BR139" i="103"/>
  <c r="BF139" i="103"/>
  <c r="AT139" i="103"/>
  <c r="AH139" i="103"/>
  <c r="V139" i="103"/>
  <c r="BV138" i="103"/>
  <c r="BJ138" i="103"/>
  <c r="AX138" i="103"/>
  <c r="N138" i="103"/>
  <c r="BN137" i="103"/>
  <c r="AP137" i="103"/>
  <c r="AD137" i="103"/>
  <c r="BR136" i="103"/>
  <c r="BF136" i="103"/>
  <c r="AT136" i="103"/>
  <c r="AH136" i="103"/>
  <c r="V136" i="103"/>
  <c r="BV135" i="103"/>
  <c r="BJ135" i="103"/>
  <c r="AX135" i="103"/>
  <c r="N135" i="103"/>
  <c r="BN134" i="103"/>
  <c r="AP134" i="103"/>
  <c r="AD134" i="103"/>
  <c r="BR133" i="103"/>
  <c r="BF133" i="103"/>
  <c r="AT133" i="103"/>
  <c r="AH133" i="103"/>
  <c r="V133" i="103"/>
  <c r="BV132" i="103"/>
  <c r="BJ132" i="103"/>
  <c r="AX132" i="103"/>
  <c r="N132" i="103"/>
  <c r="BN131" i="103"/>
  <c r="AP131" i="103"/>
  <c r="AD131" i="103"/>
  <c r="BR130" i="103"/>
  <c r="BF130" i="103"/>
  <c r="AT130" i="103"/>
  <c r="AH130" i="103"/>
  <c r="V130" i="103"/>
  <c r="BV129" i="103"/>
  <c r="BJ129" i="103"/>
  <c r="AX129" i="103"/>
  <c r="N129" i="103"/>
  <c r="BN128" i="103"/>
  <c r="AP128" i="103"/>
  <c r="AD128" i="103"/>
  <c r="BR127" i="103"/>
  <c r="BF127" i="103"/>
  <c r="AT127" i="103"/>
  <c r="AH127" i="103"/>
  <c r="V127" i="103"/>
  <c r="BO194" i="103"/>
  <c r="AI193" i="103"/>
  <c r="CE190" i="103"/>
  <c r="AY189" i="103"/>
  <c r="S188" i="103"/>
  <c r="BO185" i="103"/>
  <c r="AI184" i="103"/>
  <c r="CE181" i="103"/>
  <c r="AE179" i="103"/>
  <c r="AK176" i="103"/>
  <c r="AH175" i="103"/>
  <c r="AG174" i="103"/>
  <c r="AD173" i="103"/>
  <c r="BS172" i="103"/>
  <c r="AN172" i="103" s="1"/>
  <c r="P172" i="103"/>
  <c r="BO171" i="103"/>
  <c r="AU171" i="103"/>
  <c r="AD171" i="103"/>
  <c r="N171" i="103"/>
  <c r="BM170" i="103"/>
  <c r="AO170" i="103"/>
  <c r="Q170" i="103"/>
  <c r="BQ169" i="103"/>
  <c r="BE169" i="103"/>
  <c r="AS169" i="103"/>
  <c r="AG169" i="103"/>
  <c r="I169" i="103"/>
  <c r="BU168" i="103"/>
  <c r="AW168" i="103"/>
  <c r="AK168" i="103"/>
  <c r="BM167" i="103"/>
  <c r="AO167" i="103"/>
  <c r="Q167" i="103"/>
  <c r="BQ166" i="103"/>
  <c r="BE166" i="103"/>
  <c r="AS166" i="103"/>
  <c r="AG166" i="103"/>
  <c r="I166" i="103"/>
  <c r="BU165" i="103"/>
  <c r="AW165" i="103"/>
  <c r="AK165" i="103"/>
  <c r="BM164" i="103"/>
  <c r="AO164" i="103"/>
  <c r="Q164" i="103"/>
  <c r="BQ163" i="103"/>
  <c r="BE163" i="103"/>
  <c r="AS163" i="103"/>
  <c r="AG163" i="103"/>
  <c r="I163" i="103"/>
  <c r="BU162" i="103"/>
  <c r="AW162" i="103"/>
  <c r="AK162" i="103"/>
  <c r="BM161" i="103"/>
  <c r="AO161" i="103"/>
  <c r="Q161" i="103"/>
  <c r="BQ160" i="103"/>
  <c r="BE160" i="103"/>
  <c r="AS160" i="103"/>
  <c r="AG160" i="103"/>
  <c r="I160" i="103"/>
  <c r="BU159" i="103"/>
  <c r="BI159" i="103"/>
  <c r="AW159" i="103"/>
  <c r="AK159" i="103"/>
  <c r="BM158" i="103"/>
  <c r="AO158" i="103"/>
  <c r="Q158" i="103"/>
  <c r="BQ157" i="103"/>
  <c r="BE157" i="103"/>
  <c r="AS157" i="103"/>
  <c r="AG157" i="103"/>
  <c r="I157" i="103"/>
  <c r="BU156" i="103"/>
  <c r="BI156" i="103"/>
  <c r="AW156" i="103"/>
  <c r="AK156" i="103"/>
  <c r="BM155" i="103"/>
  <c r="AO155" i="103"/>
  <c r="Q155" i="103"/>
  <c r="BQ154" i="103"/>
  <c r="BE154" i="103"/>
  <c r="AS154" i="103"/>
  <c r="AG154" i="103"/>
  <c r="I154" i="103"/>
  <c r="BU153" i="103"/>
  <c r="BI153" i="103"/>
  <c r="AW153" i="103"/>
  <c r="AK153" i="103"/>
  <c r="BM152" i="103"/>
  <c r="AO152" i="103"/>
  <c r="Q152" i="103"/>
  <c r="BQ151" i="103"/>
  <c r="BE151" i="103"/>
  <c r="AS151" i="103"/>
  <c r="AG151" i="103"/>
  <c r="I151" i="103"/>
  <c r="BU150" i="103"/>
  <c r="BI150" i="103"/>
  <c r="AW150" i="103"/>
  <c r="AK150" i="103"/>
  <c r="BM149" i="103"/>
  <c r="AO149" i="103"/>
  <c r="Q149" i="103"/>
  <c r="BQ148" i="103"/>
  <c r="BE148" i="103"/>
  <c r="AS148" i="103"/>
  <c r="AG148" i="103"/>
  <c r="I148" i="103"/>
  <c r="BU147" i="103"/>
  <c r="BI147" i="103"/>
  <c r="AW147" i="103"/>
  <c r="AK147" i="103"/>
  <c r="BM146" i="103"/>
  <c r="AO146" i="103"/>
  <c r="Q146" i="103"/>
  <c r="BQ145" i="103"/>
  <c r="BE145" i="103"/>
  <c r="AS145" i="103"/>
  <c r="AG145" i="103"/>
  <c r="I145" i="103"/>
  <c r="BU144" i="103"/>
  <c r="BI144" i="103"/>
  <c r="AW144" i="103"/>
  <c r="AK144" i="103"/>
  <c r="BM143" i="103"/>
  <c r="AO143" i="103"/>
  <c r="Q143" i="103"/>
  <c r="BQ142" i="103"/>
  <c r="BE142" i="103"/>
  <c r="AS142" i="103"/>
  <c r="AG142" i="103"/>
  <c r="I142" i="103"/>
  <c r="BU141" i="103"/>
  <c r="BI141" i="103"/>
  <c r="AW141" i="103"/>
  <c r="AK141" i="103"/>
  <c r="BM140" i="103"/>
  <c r="AO140" i="103"/>
  <c r="Q140" i="103"/>
  <c r="BQ139" i="103"/>
  <c r="BE139" i="103"/>
  <c r="AS139" i="103"/>
  <c r="AG139" i="103"/>
  <c r="I139" i="103"/>
  <c r="BU138" i="103"/>
  <c r="BI138" i="103"/>
  <c r="AW138" i="103"/>
  <c r="AK138" i="103"/>
  <c r="BM137" i="103"/>
  <c r="AO137" i="103"/>
  <c r="Q137" i="103"/>
  <c r="BQ136" i="103"/>
  <c r="BE136" i="103"/>
  <c r="AS136" i="103"/>
  <c r="AG136" i="103"/>
  <c r="I136" i="103"/>
  <c r="BU135" i="103"/>
  <c r="BI135" i="103"/>
  <c r="AW135" i="103"/>
  <c r="AK135" i="103"/>
  <c r="BM134" i="103"/>
  <c r="AO134" i="103"/>
  <c r="Q134" i="103"/>
  <c r="BQ133" i="103"/>
  <c r="BE133" i="103"/>
  <c r="AS133" i="103"/>
  <c r="AG133" i="103"/>
  <c r="I133" i="103"/>
  <c r="BU132" i="103"/>
  <c r="BI132" i="103"/>
  <c r="AW132" i="103"/>
  <c r="AK132" i="103"/>
  <c r="BM131" i="103"/>
  <c r="AO131" i="103"/>
  <c r="Q131" i="103"/>
  <c r="BQ130" i="103"/>
  <c r="BE130" i="103"/>
  <c r="AS130" i="103"/>
  <c r="AG130" i="103"/>
  <c r="I130" i="103"/>
  <c r="BU129" i="103"/>
  <c r="AW129" i="103"/>
  <c r="AK129" i="103"/>
  <c r="BM128" i="103"/>
  <c r="AO128" i="103"/>
  <c r="Q128" i="103"/>
  <c r="BQ127" i="103"/>
  <c r="BE127" i="103"/>
  <c r="AS127" i="103"/>
  <c r="AG127" i="103"/>
  <c r="I127" i="103"/>
  <c r="BC194" i="103"/>
  <c r="BS190" i="103"/>
  <c r="AN190" i="103" s="1"/>
  <c r="G188" i="103"/>
  <c r="BC185" i="103"/>
  <c r="BS181" i="103"/>
  <c r="AN181" i="103" s="1"/>
  <c r="BQ180" i="103"/>
  <c r="AU178" i="103"/>
  <c r="AE176" i="103"/>
  <c r="BU173" i="103"/>
  <c r="BR172" i="103"/>
  <c r="BK171" i="103"/>
  <c r="AS171" i="103"/>
  <c r="CJ170" i="103"/>
  <c r="BL170" i="103"/>
  <c r="AZ170" i="103"/>
  <c r="P170" i="103"/>
  <c r="BP169" i="103"/>
  <c r="AR169" i="103"/>
  <c r="AF169" i="103"/>
  <c r="T169" i="103"/>
  <c r="BT168" i="103"/>
  <c r="BH168" i="103"/>
  <c r="Q173" i="67" s="1"/>
  <c r="AV168" i="103"/>
  <c r="AJ168" i="103"/>
  <c r="CJ167" i="103"/>
  <c r="BL167" i="103"/>
  <c r="AZ167" i="103"/>
  <c r="P167" i="103"/>
  <c r="BP166" i="103"/>
  <c r="AR166" i="103"/>
  <c r="AF166" i="103"/>
  <c r="T166" i="103"/>
  <c r="BT165" i="103"/>
  <c r="BH165" i="103"/>
  <c r="Q170" i="67" s="1"/>
  <c r="AV165" i="103"/>
  <c r="AJ165" i="103"/>
  <c r="CJ164" i="103"/>
  <c r="BL164" i="103"/>
  <c r="AZ164" i="103"/>
  <c r="P164" i="103"/>
  <c r="BP163" i="103"/>
  <c r="AR163" i="103"/>
  <c r="AF163" i="103"/>
  <c r="T163" i="103"/>
  <c r="BT162" i="103"/>
  <c r="BH162" i="103"/>
  <c r="AV162" i="103"/>
  <c r="AJ162" i="103"/>
  <c r="CJ161" i="103"/>
  <c r="BL161" i="103"/>
  <c r="AZ161" i="103"/>
  <c r="P161" i="103"/>
  <c r="BP160" i="103"/>
  <c r="AR160" i="103"/>
  <c r="AF160" i="103"/>
  <c r="T160" i="103"/>
  <c r="BT159" i="103"/>
  <c r="BH159" i="103"/>
  <c r="Q163" i="67" s="1"/>
  <c r="AV159" i="103"/>
  <c r="AJ159" i="103"/>
  <c r="CJ158" i="103"/>
  <c r="BL158" i="103"/>
  <c r="AZ158" i="103"/>
  <c r="P158" i="103"/>
  <c r="BP157" i="103"/>
  <c r="AR157" i="103"/>
  <c r="AF157" i="103"/>
  <c r="T157" i="103"/>
  <c r="BT156" i="103"/>
  <c r="BH156" i="103"/>
  <c r="Q160" i="67" s="1"/>
  <c r="AV156" i="103"/>
  <c r="AJ156" i="103"/>
  <c r="CJ155" i="103"/>
  <c r="BL155" i="103"/>
  <c r="AZ155" i="103"/>
  <c r="P155" i="103"/>
  <c r="BP154" i="103"/>
  <c r="AR154" i="103"/>
  <c r="AF154" i="103"/>
  <c r="T154" i="103"/>
  <c r="BT153" i="103"/>
  <c r="BH153" i="103"/>
  <c r="Q157" i="67" s="1"/>
  <c r="AV153" i="103"/>
  <c r="AJ153" i="103"/>
  <c r="CJ152" i="103"/>
  <c r="BL152" i="103"/>
  <c r="AZ152" i="103"/>
  <c r="P152" i="103"/>
  <c r="BP151" i="103"/>
  <c r="AR151" i="103"/>
  <c r="AF151" i="103"/>
  <c r="T151" i="103"/>
  <c r="BT150" i="103"/>
  <c r="BH150" i="103"/>
  <c r="Q154" i="67" s="1"/>
  <c r="AV150" i="103"/>
  <c r="AJ150" i="103"/>
  <c r="CJ149" i="103"/>
  <c r="BL149" i="103"/>
  <c r="AZ149" i="103"/>
  <c r="AQ194" i="103"/>
  <c r="BG190" i="103"/>
  <c r="AQ185" i="103"/>
  <c r="BG181" i="103"/>
  <c r="BK180" i="103"/>
  <c r="S179" i="103"/>
  <c r="AO178" i="103"/>
  <c r="AG177" i="103"/>
  <c r="AD176" i="103"/>
  <c r="BS175" i="103"/>
  <c r="AN175" i="103" s="1"/>
  <c r="BV174" i="103"/>
  <c r="BO173" i="103"/>
  <c r="S173" i="103"/>
  <c r="BM172" i="103"/>
  <c r="AI172" i="103"/>
  <c r="CE171" i="103"/>
  <c r="BJ171" i="103"/>
  <c r="AR171" i="103"/>
  <c r="BK170" i="103"/>
  <c r="AY170" i="103"/>
  <c r="BO169" i="103"/>
  <c r="BC169" i="103"/>
  <c r="AQ169" i="103"/>
  <c r="AE169" i="103"/>
  <c r="S169" i="103"/>
  <c r="G169" i="103"/>
  <c r="CE168" i="103"/>
  <c r="BS168" i="103"/>
  <c r="AN168" i="103" s="1"/>
  <c r="BG168" i="103"/>
  <c r="AU168" i="103"/>
  <c r="AI168" i="103"/>
  <c r="BK167" i="103"/>
  <c r="AY167" i="103"/>
  <c r="BO166" i="103"/>
  <c r="BC166" i="103"/>
  <c r="AQ166" i="103"/>
  <c r="AE166" i="103"/>
  <c r="S166" i="103"/>
  <c r="G166" i="103"/>
  <c r="CE165" i="103"/>
  <c r="BS165" i="103"/>
  <c r="AN165" i="103" s="1"/>
  <c r="BG165" i="103"/>
  <c r="AU165" i="103"/>
  <c r="AI165" i="103"/>
  <c r="BK164" i="103"/>
  <c r="AY164" i="103"/>
  <c r="BO163" i="103"/>
  <c r="BC163" i="103"/>
  <c r="AQ163" i="103"/>
  <c r="AE163" i="103"/>
  <c r="S163" i="103"/>
  <c r="G163" i="103"/>
  <c r="CE162" i="103"/>
  <c r="BS162" i="103"/>
  <c r="AN162" i="103" s="1"/>
  <c r="BG162" i="103"/>
  <c r="AU162" i="103"/>
  <c r="AI162" i="103"/>
  <c r="BK161" i="103"/>
  <c r="AY161" i="103"/>
  <c r="BO160" i="103"/>
  <c r="BC160" i="103"/>
  <c r="AQ160" i="103"/>
  <c r="AE160" i="103"/>
  <c r="S160" i="103"/>
  <c r="G160" i="103"/>
  <c r="CE159" i="103"/>
  <c r="BS159" i="103"/>
  <c r="AN159" i="103" s="1"/>
  <c r="BG159" i="103"/>
  <c r="AU159" i="103"/>
  <c r="AI159" i="103"/>
  <c r="BK158" i="103"/>
  <c r="AY158" i="103"/>
  <c r="BO157" i="103"/>
  <c r="BC157" i="103"/>
  <c r="AQ157" i="103"/>
  <c r="AE157" i="103"/>
  <c r="S157" i="103"/>
  <c r="G157" i="103"/>
  <c r="CE156" i="103"/>
  <c r="BS156" i="103"/>
  <c r="AN156" i="103" s="1"/>
  <c r="BG156" i="103"/>
  <c r="AU156" i="103"/>
  <c r="AI156" i="103"/>
  <c r="BK155" i="103"/>
  <c r="AY155" i="103"/>
  <c r="BO154" i="103"/>
  <c r="BC154" i="103"/>
  <c r="AQ154" i="103"/>
  <c r="AE154" i="103"/>
  <c r="S154" i="103"/>
  <c r="G154" i="103"/>
  <c r="CE153" i="103"/>
  <c r="BS153" i="103"/>
  <c r="AN153" i="103" s="1"/>
  <c r="BG153" i="103"/>
  <c r="AU153" i="103"/>
  <c r="AI153" i="103"/>
  <c r="BK152" i="103"/>
  <c r="AY152" i="103"/>
  <c r="BO151" i="103"/>
  <c r="BC151" i="103"/>
  <c r="AQ151" i="103"/>
  <c r="AE151" i="103"/>
  <c r="S151" i="103"/>
  <c r="G151" i="103"/>
  <c r="CE150" i="103"/>
  <c r="BS150" i="103"/>
  <c r="AN150" i="103" s="1"/>
  <c r="BG150" i="103"/>
  <c r="AU150" i="103"/>
  <c r="AI150" i="103"/>
  <c r="BK149" i="103"/>
  <c r="AY149" i="103"/>
  <c r="BO148" i="103"/>
  <c r="BC148" i="103"/>
  <c r="AQ148" i="103"/>
  <c r="AE148" i="103"/>
  <c r="S148" i="103"/>
  <c r="G148" i="103"/>
  <c r="CE147" i="103"/>
  <c r="BS147" i="103"/>
  <c r="AN147" i="103" s="1"/>
  <c r="BG147" i="103"/>
  <c r="AU147" i="103"/>
  <c r="AI147" i="103"/>
  <c r="BK146" i="103"/>
  <c r="AY146" i="103"/>
  <c r="BO145" i="103"/>
  <c r="BC145" i="103"/>
  <c r="AQ145" i="103"/>
  <c r="AE145" i="103"/>
  <c r="S145" i="103"/>
  <c r="G145" i="103"/>
  <c r="CE144" i="103"/>
  <c r="BS144" i="103"/>
  <c r="AN144" i="103" s="1"/>
  <c r="BG144" i="103"/>
  <c r="AU144" i="103"/>
  <c r="AI144" i="103"/>
  <c r="BK143" i="103"/>
  <c r="AY143" i="103"/>
  <c r="BO142" i="103"/>
  <c r="BC142" i="103"/>
  <c r="AQ142" i="103"/>
  <c r="AE142" i="103"/>
  <c r="S142" i="103"/>
  <c r="G142" i="103"/>
  <c r="CE141" i="103"/>
  <c r="BS141" i="103"/>
  <c r="AN141" i="103" s="1"/>
  <c r="BG141" i="103"/>
  <c r="AU141" i="103"/>
  <c r="AI141" i="103"/>
  <c r="BK140" i="103"/>
  <c r="AY140" i="103"/>
  <c r="BO139" i="103"/>
  <c r="BC139" i="103"/>
  <c r="AQ139" i="103"/>
  <c r="AE139" i="103"/>
  <c r="S139" i="103"/>
  <c r="G139" i="103"/>
  <c r="CE138" i="103"/>
  <c r="BS138" i="103"/>
  <c r="AN138" i="103" s="1"/>
  <c r="BG138" i="103"/>
  <c r="AU138" i="103"/>
  <c r="AI138" i="103"/>
  <c r="BK137" i="103"/>
  <c r="AY137" i="103"/>
  <c r="BO136" i="103"/>
  <c r="BC136" i="103"/>
  <c r="AQ136" i="103"/>
  <c r="AE136" i="103"/>
  <c r="S136" i="103"/>
  <c r="G136" i="103"/>
  <c r="CE135" i="103"/>
  <c r="BS135" i="103"/>
  <c r="AN135" i="103" s="1"/>
  <c r="AE194" i="103"/>
  <c r="AU190" i="103"/>
  <c r="BK186" i="103"/>
  <c r="AE185" i="103"/>
  <c r="AU181" i="103"/>
  <c r="BE180" i="103"/>
  <c r="AI178" i="103"/>
  <c r="BU176" i="103"/>
  <c r="BR175" i="103"/>
  <c r="V175" i="103"/>
  <c r="BQ174" i="103"/>
  <c r="BN173" i="103"/>
  <c r="BG172" i="103"/>
  <c r="AH172" i="103"/>
  <c r="BH171" i="103"/>
  <c r="Q176" i="67" s="1"/>
  <c r="AQ171" i="103"/>
  <c r="BV170" i="103"/>
  <c r="BJ170" i="103"/>
  <c r="AX170" i="103"/>
  <c r="N170" i="103"/>
  <c r="BN169" i="103"/>
  <c r="AP169" i="103"/>
  <c r="AD169" i="103"/>
  <c r="BR168" i="103"/>
  <c r="BF168" i="103"/>
  <c r="AT168" i="103"/>
  <c r="AH168" i="103"/>
  <c r="V168" i="103"/>
  <c r="BV167" i="103"/>
  <c r="BJ167" i="103"/>
  <c r="AX167" i="103"/>
  <c r="N167" i="103"/>
  <c r="BN166" i="103"/>
  <c r="AP166" i="103"/>
  <c r="AD166" i="103"/>
  <c r="BR165" i="103"/>
  <c r="BF165" i="103"/>
  <c r="AT165" i="103"/>
  <c r="AH165" i="103"/>
  <c r="V165" i="103"/>
  <c r="BV164" i="103"/>
  <c r="BJ164" i="103"/>
  <c r="AX164" i="103"/>
  <c r="N164" i="103"/>
  <c r="BN163" i="103"/>
  <c r="AP163" i="103"/>
  <c r="AD163" i="103"/>
  <c r="BR162" i="103"/>
  <c r="BF162" i="103"/>
  <c r="AT162" i="103"/>
  <c r="AH162" i="103"/>
  <c r="V162" i="103"/>
  <c r="BV161" i="103"/>
  <c r="BJ161" i="103"/>
  <c r="AX161" i="103"/>
  <c r="N161" i="103"/>
  <c r="BN160" i="103"/>
  <c r="AP160" i="103"/>
  <c r="AD160" i="103"/>
  <c r="BR159" i="103"/>
  <c r="BF159" i="103"/>
  <c r="AT159" i="103"/>
  <c r="AH159" i="103"/>
  <c r="V159" i="103"/>
  <c r="BV158" i="103"/>
  <c r="BJ158" i="103"/>
  <c r="AX158" i="103"/>
  <c r="N158" i="103"/>
  <c r="BN157" i="103"/>
  <c r="AP157" i="103"/>
  <c r="AD157" i="103"/>
  <c r="BR156" i="103"/>
  <c r="BF156" i="103"/>
  <c r="AT156" i="103"/>
  <c r="AH156" i="103"/>
  <c r="V156" i="103"/>
  <c r="BV155" i="103"/>
  <c r="BJ155" i="103"/>
  <c r="AX155" i="103"/>
  <c r="N155" i="103"/>
  <c r="BN154" i="103"/>
  <c r="AP154" i="103"/>
  <c r="AD154" i="103"/>
  <c r="BR153" i="103"/>
  <c r="BF153" i="103"/>
  <c r="AT153" i="103"/>
  <c r="AH153" i="103"/>
  <c r="V153" i="103"/>
  <c r="BV152" i="103"/>
  <c r="BJ152" i="103"/>
  <c r="AX152" i="103"/>
  <c r="N152" i="103"/>
  <c r="BN151" i="103"/>
  <c r="AP151" i="103"/>
  <c r="AD151" i="103"/>
  <c r="BR150" i="103"/>
  <c r="BF150" i="103"/>
  <c r="AT150" i="103"/>
  <c r="AH150" i="103"/>
  <c r="V150" i="103"/>
  <c r="BV149" i="103"/>
  <c r="BJ149" i="103"/>
  <c r="AX149" i="103"/>
  <c r="N149" i="103"/>
  <c r="BN148" i="103"/>
  <c r="AP148" i="103"/>
  <c r="AD148" i="103"/>
  <c r="BR147" i="103"/>
  <c r="BF147" i="103"/>
  <c r="AT147" i="103"/>
  <c r="AH147" i="103"/>
  <c r="V147" i="103"/>
  <c r="BV146" i="103"/>
  <c r="BJ146" i="103"/>
  <c r="AX146" i="103"/>
  <c r="N146" i="103"/>
  <c r="BN145" i="103"/>
  <c r="AP145" i="103"/>
  <c r="AD145" i="103"/>
  <c r="BR144" i="103"/>
  <c r="BF144" i="103"/>
  <c r="AT144" i="103"/>
  <c r="AH144" i="103"/>
  <c r="V144" i="103"/>
  <c r="BV143" i="103"/>
  <c r="BJ143" i="103"/>
  <c r="AX143" i="103"/>
  <c r="N143" i="103"/>
  <c r="BN142" i="103"/>
  <c r="AP142" i="103"/>
  <c r="AD142" i="103"/>
  <c r="BR141" i="103"/>
  <c r="BF141" i="103"/>
  <c r="AT141" i="103"/>
  <c r="AH141" i="103"/>
  <c r="V141" i="103"/>
  <c r="BV140" i="103"/>
  <c r="BJ140" i="103"/>
  <c r="AX140" i="103"/>
  <c r="N140" i="103"/>
  <c r="BN139" i="103"/>
  <c r="AP139" i="103"/>
  <c r="AD139" i="103"/>
  <c r="BR138" i="103"/>
  <c r="BF138" i="103"/>
  <c r="AT138" i="103"/>
  <c r="AH138" i="103"/>
  <c r="V138" i="103"/>
  <c r="BV137" i="103"/>
  <c r="BJ137" i="103"/>
  <c r="AX137" i="103"/>
  <c r="N137" i="103"/>
  <c r="BN136" i="103"/>
  <c r="AP136" i="103"/>
  <c r="AD136" i="103"/>
  <c r="BR135" i="103"/>
  <c r="BF135" i="103"/>
  <c r="AT135" i="103"/>
  <c r="AH135" i="103"/>
  <c r="V135" i="103"/>
  <c r="BV134" i="103"/>
  <c r="BJ134" i="103"/>
  <c r="AX134" i="103"/>
  <c r="N134" i="103"/>
  <c r="BN133" i="103"/>
  <c r="AP133" i="103"/>
  <c r="AD133" i="103"/>
  <c r="BR132" i="103"/>
  <c r="BF132" i="103"/>
  <c r="AT132" i="103"/>
  <c r="AH132" i="103"/>
  <c r="V132" i="103"/>
  <c r="BV131" i="103"/>
  <c r="BJ131" i="103"/>
  <c r="AX131" i="103"/>
  <c r="N131" i="103"/>
  <c r="BN130" i="103"/>
  <c r="AP130" i="103"/>
  <c r="AD130" i="103"/>
  <c r="BR129" i="103"/>
  <c r="BF129" i="103"/>
  <c r="AT129" i="103"/>
  <c r="AH129" i="103"/>
  <c r="V129" i="103"/>
  <c r="BV128" i="103"/>
  <c r="BJ128" i="103"/>
  <c r="AX128" i="103"/>
  <c r="N128" i="103"/>
  <c r="BN127" i="103"/>
  <c r="AP127" i="103"/>
  <c r="AD127" i="103"/>
  <c r="S194" i="103"/>
  <c r="BO191" i="103"/>
  <c r="AI190" i="103"/>
  <c r="CE187" i="103"/>
  <c r="AY186" i="103"/>
  <c r="S185" i="103"/>
  <c r="BO182" i="103"/>
  <c r="AI181" i="103"/>
  <c r="AY180" i="103"/>
  <c r="G179" i="103"/>
  <c r="BV177" i="103"/>
  <c r="BO176" i="103"/>
  <c r="S176" i="103"/>
  <c r="BM175" i="103"/>
  <c r="Q175" i="103"/>
  <c r="BK174" i="103"/>
  <c r="BF172" i="103"/>
  <c r="AF172" i="103"/>
  <c r="BG171" i="103"/>
  <c r="BU170" i="103"/>
  <c r="AW170" i="103"/>
  <c r="AK170" i="103"/>
  <c r="BM169" i="103"/>
  <c r="AO169" i="103"/>
  <c r="Q169" i="103"/>
  <c r="BQ168" i="103"/>
  <c r="BE168" i="103"/>
  <c r="AS168" i="103"/>
  <c r="AG168" i="103"/>
  <c r="I168" i="103"/>
  <c r="BU167" i="103"/>
  <c r="AW167" i="103"/>
  <c r="AK167" i="103"/>
  <c r="BM166" i="103"/>
  <c r="AO166" i="103"/>
  <c r="Q166" i="103"/>
  <c r="BQ165" i="103"/>
  <c r="BE165" i="103"/>
  <c r="AS165" i="103"/>
  <c r="AG165" i="103"/>
  <c r="I165" i="103"/>
  <c r="BU164" i="103"/>
  <c r="AW164" i="103"/>
  <c r="AK164" i="103"/>
  <c r="BM163" i="103"/>
  <c r="AO163" i="103"/>
  <c r="Q163" i="103"/>
  <c r="BQ162" i="103"/>
  <c r="BE162" i="103"/>
  <c r="AS162" i="103"/>
  <c r="AG162" i="103"/>
  <c r="I162" i="103"/>
  <c r="BU161" i="103"/>
  <c r="BI161" i="103"/>
  <c r="AW161" i="103"/>
  <c r="AK161" i="103"/>
  <c r="BM160" i="103"/>
  <c r="AO160" i="103"/>
  <c r="Q160" i="103"/>
  <c r="BQ159" i="103"/>
  <c r="BE159" i="103"/>
  <c r="AS159" i="103"/>
  <c r="AG159" i="103"/>
  <c r="I159" i="103"/>
  <c r="BU158" i="103"/>
  <c r="BI158" i="103"/>
  <c r="AW158" i="103"/>
  <c r="AK158" i="103"/>
  <c r="BM157" i="103"/>
  <c r="AO157" i="103"/>
  <c r="Q157" i="103"/>
  <c r="BQ156" i="103"/>
  <c r="BE156" i="103"/>
  <c r="AS156" i="103"/>
  <c r="AG156" i="103"/>
  <c r="I156" i="103"/>
  <c r="BU155" i="103"/>
  <c r="BI155" i="103"/>
  <c r="AW155" i="103"/>
  <c r="AK155" i="103"/>
  <c r="BM154" i="103"/>
  <c r="AO154" i="103"/>
  <c r="Q154" i="103"/>
  <c r="BQ153" i="103"/>
  <c r="BE153" i="103"/>
  <c r="AS153" i="103"/>
  <c r="AG153" i="103"/>
  <c r="I153" i="103"/>
  <c r="BU152" i="103"/>
  <c r="BI152" i="103"/>
  <c r="AW152" i="103"/>
  <c r="AK152" i="103"/>
  <c r="BM151" i="103"/>
  <c r="AO151" i="103"/>
  <c r="Q151" i="103"/>
  <c r="BQ150" i="103"/>
  <c r="BE150" i="103"/>
  <c r="AS150" i="103"/>
  <c r="AG150" i="103"/>
  <c r="I150" i="103"/>
  <c r="BU149" i="103"/>
  <c r="BI149" i="103"/>
  <c r="AW149" i="103"/>
  <c r="AK149" i="103"/>
  <c r="BM148" i="103"/>
  <c r="AO148" i="103"/>
  <c r="Q148" i="103"/>
  <c r="BQ147" i="103"/>
  <c r="BE147" i="103"/>
  <c r="AS147" i="103"/>
  <c r="AG147" i="103"/>
  <c r="I147" i="103"/>
  <c r="BU146" i="103"/>
  <c r="BI146" i="103"/>
  <c r="AW146" i="103"/>
  <c r="AK146" i="103"/>
  <c r="BM145" i="103"/>
  <c r="AO145" i="103"/>
  <c r="Q145" i="103"/>
  <c r="BQ144" i="103"/>
  <c r="BE144" i="103"/>
  <c r="AS144" i="103"/>
  <c r="AG144" i="103"/>
  <c r="I144" i="103"/>
  <c r="BU143" i="103"/>
  <c r="BI143" i="103"/>
  <c r="AW143" i="103"/>
  <c r="AK143" i="103"/>
  <c r="BM142" i="103"/>
  <c r="AO142" i="103"/>
  <c r="Q142" i="103"/>
  <c r="BQ141" i="103"/>
  <c r="BE141" i="103"/>
  <c r="AS141" i="103"/>
  <c r="AG141" i="103"/>
  <c r="I141" i="103"/>
  <c r="BU140" i="103"/>
  <c r="BI140" i="103"/>
  <c r="AW140" i="103"/>
  <c r="AK140" i="103"/>
  <c r="BM139" i="103"/>
  <c r="AO139" i="103"/>
  <c r="Q139" i="103"/>
  <c r="BQ138" i="103"/>
  <c r="BE138" i="103"/>
  <c r="AS138" i="103"/>
  <c r="AG138" i="103"/>
  <c r="I138" i="103"/>
  <c r="BU137" i="103"/>
  <c r="BI137" i="103"/>
  <c r="AW137" i="103"/>
  <c r="AK137" i="103"/>
  <c r="BM136" i="103"/>
  <c r="AO136" i="103"/>
  <c r="Q136" i="103"/>
  <c r="BQ135" i="103"/>
  <c r="BE135" i="103"/>
  <c r="AS135" i="103"/>
  <c r="AG135" i="103"/>
  <c r="I135" i="103"/>
  <c r="BU134" i="103"/>
  <c r="BI134" i="103"/>
  <c r="AW134" i="103"/>
  <c r="AK134" i="103"/>
  <c r="BM133" i="103"/>
  <c r="AO133" i="103"/>
  <c r="Q133" i="103"/>
  <c r="BQ132" i="103"/>
  <c r="BE132" i="103"/>
  <c r="AS132" i="103"/>
  <c r="AG132" i="103"/>
  <c r="I132" i="103"/>
  <c r="BU131" i="103"/>
  <c r="BI131" i="103"/>
  <c r="AW131" i="103"/>
  <c r="AK131" i="103"/>
  <c r="BM130" i="103"/>
  <c r="AO130" i="103"/>
  <c r="Q130" i="103"/>
  <c r="BQ129" i="103"/>
  <c r="BE129" i="103"/>
  <c r="AS129" i="103"/>
  <c r="AG129" i="103"/>
  <c r="I129" i="103"/>
  <c r="BU128" i="103"/>
  <c r="AW128" i="103"/>
  <c r="AK128" i="103"/>
  <c r="G194" i="103"/>
  <c r="BC191" i="103"/>
  <c r="BS187" i="103"/>
  <c r="G185" i="103"/>
  <c r="BC182" i="103"/>
  <c r="AS180" i="103"/>
  <c r="BU179" i="103"/>
  <c r="BQ177" i="103"/>
  <c r="BN176" i="103"/>
  <c r="BG175" i="103"/>
  <c r="BJ174" i="103"/>
  <c r="N174" i="103"/>
  <c r="BC173" i="103"/>
  <c r="G173" i="103"/>
  <c r="G172" i="103"/>
  <c r="BE171" i="103"/>
  <c r="I171" i="103"/>
  <c r="BT170" i="103"/>
  <c r="BH170" i="103"/>
  <c r="Q175" i="67" s="1"/>
  <c r="AV170" i="103"/>
  <c r="AJ170" i="103"/>
  <c r="CJ169" i="103"/>
  <c r="BL169" i="103"/>
  <c r="AZ169" i="103"/>
  <c r="P169" i="103"/>
  <c r="BP168" i="103"/>
  <c r="AR168" i="103"/>
  <c r="AF168" i="103"/>
  <c r="T168" i="103"/>
  <c r="BT167" i="103"/>
  <c r="BH167" i="103"/>
  <c r="Q172" i="67" s="1"/>
  <c r="AV167" i="103"/>
  <c r="AJ167" i="103"/>
  <c r="CJ166" i="103"/>
  <c r="BL166" i="103"/>
  <c r="AZ166" i="103"/>
  <c r="P166" i="103"/>
  <c r="BP165" i="103"/>
  <c r="AR165" i="103"/>
  <c r="AF165" i="103"/>
  <c r="T165" i="103"/>
  <c r="BT164" i="103"/>
  <c r="BH164" i="103"/>
  <c r="Q169" i="67" s="1"/>
  <c r="AV164" i="103"/>
  <c r="AJ164" i="103"/>
  <c r="CJ163" i="103"/>
  <c r="BL163" i="103"/>
  <c r="AZ163" i="103"/>
  <c r="P163" i="103"/>
  <c r="BP162" i="103"/>
  <c r="AR162" i="103"/>
  <c r="AF162" i="103"/>
  <c r="T162" i="103"/>
  <c r="BT161" i="103"/>
  <c r="BH161" i="103"/>
  <c r="Q165" i="67" s="1"/>
  <c r="AV161" i="103"/>
  <c r="AJ161" i="103"/>
  <c r="CJ160" i="103"/>
  <c r="BL160" i="103"/>
  <c r="AZ160" i="103"/>
  <c r="P160" i="103"/>
  <c r="BP159" i="103"/>
  <c r="AR159" i="103"/>
  <c r="AF159" i="103"/>
  <c r="T159" i="103"/>
  <c r="BT158" i="103"/>
  <c r="BH158" i="103"/>
  <c r="Q162" i="67" s="1"/>
  <c r="AV158" i="103"/>
  <c r="AJ158" i="103"/>
  <c r="CJ157" i="103"/>
  <c r="BL157" i="103"/>
  <c r="AZ157" i="103"/>
  <c r="P157" i="103"/>
  <c r="BP156" i="103"/>
  <c r="AR156" i="103"/>
  <c r="AF156" i="103"/>
  <c r="T156" i="103"/>
  <c r="BT155" i="103"/>
  <c r="BH155" i="103"/>
  <c r="Q159" i="67" s="1"/>
  <c r="AV155" i="103"/>
  <c r="AJ155" i="103"/>
  <c r="CJ154" i="103"/>
  <c r="BL154" i="103"/>
  <c r="AZ154" i="103"/>
  <c r="P154" i="103"/>
  <c r="BP153" i="103"/>
  <c r="AR153" i="103"/>
  <c r="AF153" i="103"/>
  <c r="T153" i="103"/>
  <c r="BT152" i="103"/>
  <c r="BH152" i="103"/>
  <c r="Q156" i="67" s="1"/>
  <c r="AV152" i="103"/>
  <c r="AJ152" i="103"/>
  <c r="CJ151" i="103"/>
  <c r="BL151" i="103"/>
  <c r="AZ151" i="103"/>
  <c r="P151" i="103"/>
  <c r="BP150" i="103"/>
  <c r="AR150" i="103"/>
  <c r="AF150" i="103"/>
  <c r="T150" i="103"/>
  <c r="BT149" i="103"/>
  <c r="BH149" i="103"/>
  <c r="Q153" i="67" s="1"/>
  <c r="AV149" i="103"/>
  <c r="AJ149" i="103"/>
  <c r="CJ148" i="103"/>
  <c r="BL148" i="103"/>
  <c r="AZ148" i="103"/>
  <c r="P148" i="103"/>
  <c r="BP147" i="103"/>
  <c r="AR147" i="103"/>
  <c r="AF147" i="103"/>
  <c r="T147" i="103"/>
  <c r="BT146" i="103"/>
  <c r="BH146" i="103"/>
  <c r="Q150" i="67" s="1"/>
  <c r="AV146" i="103"/>
  <c r="AJ146" i="103"/>
  <c r="CJ145" i="103"/>
  <c r="BL145" i="103"/>
  <c r="AZ145" i="103"/>
  <c r="P145" i="103"/>
  <c r="BP144" i="103"/>
  <c r="AR144" i="103"/>
  <c r="AF144" i="103"/>
  <c r="T144" i="103"/>
  <c r="BT143" i="103"/>
  <c r="BH143" i="103"/>
  <c r="Q147" i="67" s="1"/>
  <c r="AV143" i="103"/>
  <c r="AJ143" i="103"/>
  <c r="CJ142" i="103"/>
  <c r="BL142" i="103"/>
  <c r="AZ142" i="103"/>
  <c r="P142" i="103"/>
  <c r="BP141" i="103"/>
  <c r="AR141" i="103"/>
  <c r="AF141" i="103"/>
  <c r="T141" i="103"/>
  <c r="BT140" i="103"/>
  <c r="BH140" i="103"/>
  <c r="Q144" i="67" s="1"/>
  <c r="AV140" i="103"/>
  <c r="AJ140" i="103"/>
  <c r="CJ139" i="103"/>
  <c r="BL139" i="103"/>
  <c r="AZ139" i="103"/>
  <c r="P139" i="103"/>
  <c r="BP138" i="103"/>
  <c r="AR138" i="103"/>
  <c r="AF138" i="103"/>
  <c r="T138" i="103"/>
  <c r="BT137" i="103"/>
  <c r="BH137" i="103"/>
  <c r="Q141" i="67" s="1"/>
  <c r="AV137" i="103"/>
  <c r="AJ137" i="103"/>
  <c r="CJ136" i="103"/>
  <c r="BL136" i="103"/>
  <c r="AZ136" i="103"/>
  <c r="P136" i="103"/>
  <c r="BP135" i="103"/>
  <c r="AR135" i="103"/>
  <c r="AF135" i="103"/>
  <c r="T135" i="103"/>
  <c r="BT134" i="103"/>
  <c r="BH134" i="103"/>
  <c r="Q138" i="67" s="1"/>
  <c r="AV134" i="103"/>
  <c r="AJ134" i="103"/>
  <c r="CJ133" i="103"/>
  <c r="BL133" i="103"/>
  <c r="AZ133" i="103"/>
  <c r="P133" i="103"/>
  <c r="BP132" i="103"/>
  <c r="AR132" i="103"/>
  <c r="AF132" i="103"/>
  <c r="T132" i="103"/>
  <c r="BT131" i="103"/>
  <c r="BH131" i="103"/>
  <c r="AV131" i="103"/>
  <c r="AJ131" i="103"/>
  <c r="CJ130" i="103"/>
  <c r="BL130" i="103"/>
  <c r="AZ130" i="103"/>
  <c r="AQ191" i="103"/>
  <c r="BG187" i="103"/>
  <c r="AQ182" i="103"/>
  <c r="BO179" i="103"/>
  <c r="Q178" i="103"/>
  <c r="BK177" i="103"/>
  <c r="BF175" i="103"/>
  <c r="BE174" i="103"/>
  <c r="I174" i="103"/>
  <c r="CE170" i="103"/>
  <c r="BS170" i="103"/>
  <c r="BG170" i="103"/>
  <c r="AU170" i="103"/>
  <c r="AI170" i="103"/>
  <c r="BK169" i="103"/>
  <c r="AY169" i="103"/>
  <c r="BO168" i="103"/>
  <c r="BC168" i="103"/>
  <c r="AQ168" i="103"/>
  <c r="AE168" i="103"/>
  <c r="S168" i="103"/>
  <c r="G168" i="103"/>
  <c r="CE167" i="103"/>
  <c r="BS167" i="103"/>
  <c r="BG167" i="103"/>
  <c r="AU167" i="103"/>
  <c r="AI167" i="103"/>
  <c r="BK166" i="103"/>
  <c r="AY166" i="103"/>
  <c r="BO165" i="103"/>
  <c r="BC165" i="103"/>
  <c r="AQ165" i="103"/>
  <c r="AE165" i="103"/>
  <c r="S165" i="103"/>
  <c r="G165" i="103"/>
  <c r="CE164" i="103"/>
  <c r="BS164" i="103"/>
  <c r="BG164" i="103"/>
  <c r="AU164" i="103"/>
  <c r="AI164" i="103"/>
  <c r="BK163" i="103"/>
  <c r="AY163" i="103"/>
  <c r="BO162" i="103"/>
  <c r="BC162" i="103"/>
  <c r="AQ162" i="103"/>
  <c r="AE162" i="103"/>
  <c r="S162" i="103"/>
  <c r="G162" i="103"/>
  <c r="CE161" i="103"/>
  <c r="BS161" i="103"/>
  <c r="BG161" i="103"/>
  <c r="AU161" i="103"/>
  <c r="AI161" i="103"/>
  <c r="BK160" i="103"/>
  <c r="AY160" i="103"/>
  <c r="BO159" i="103"/>
  <c r="BC159" i="103"/>
  <c r="AQ159" i="103"/>
  <c r="AE159" i="103"/>
  <c r="S159" i="103"/>
  <c r="G159" i="103"/>
  <c r="CE158" i="103"/>
  <c r="BS158" i="103"/>
  <c r="AN158" i="103" s="1"/>
  <c r="BG158" i="103"/>
  <c r="AU158" i="103"/>
  <c r="AI158" i="103"/>
  <c r="BK157" i="103"/>
  <c r="AY157" i="103"/>
  <c r="BO156" i="103"/>
  <c r="BC156" i="103"/>
  <c r="AQ156" i="103"/>
  <c r="AE156" i="103"/>
  <c r="S156" i="103"/>
  <c r="G156" i="103"/>
  <c r="CE155" i="103"/>
  <c r="BS155" i="103"/>
  <c r="BG155" i="103"/>
  <c r="AU155" i="103"/>
  <c r="AI155" i="103"/>
  <c r="BK154" i="103"/>
  <c r="AY154" i="103"/>
  <c r="BO153" i="103"/>
  <c r="BC153" i="103"/>
  <c r="AQ153" i="103"/>
  <c r="AE153" i="103"/>
  <c r="S153" i="103"/>
  <c r="G153" i="103"/>
  <c r="CE152" i="103"/>
  <c r="BS152" i="103"/>
  <c r="BG152" i="103"/>
  <c r="AU152" i="103"/>
  <c r="AI152" i="103"/>
  <c r="BK151" i="103"/>
  <c r="AY151" i="103"/>
  <c r="BO150" i="103"/>
  <c r="BC150" i="103"/>
  <c r="AQ150" i="103"/>
  <c r="AE150" i="103"/>
  <c r="S150" i="103"/>
  <c r="G150" i="103"/>
  <c r="CE149" i="103"/>
  <c r="BS149" i="103"/>
  <c r="BG149" i="103"/>
  <c r="AU149" i="103"/>
  <c r="AI149" i="103"/>
  <c r="BK148" i="103"/>
  <c r="AY148" i="103"/>
  <c r="BO147" i="103"/>
  <c r="BC147" i="103"/>
  <c r="AQ147" i="103"/>
  <c r="AE147" i="103"/>
  <c r="S147" i="103"/>
  <c r="G147" i="103"/>
  <c r="CE146" i="103"/>
  <c r="BS146" i="103"/>
  <c r="AN146" i="103" s="1"/>
  <c r="BG146" i="103"/>
  <c r="AU146" i="103"/>
  <c r="AI146" i="103"/>
  <c r="BK145" i="103"/>
  <c r="AY145" i="103"/>
  <c r="BO144" i="103"/>
  <c r="BC144" i="103"/>
  <c r="AQ144" i="103"/>
  <c r="AE144" i="103"/>
  <c r="S144" i="103"/>
  <c r="G144" i="103"/>
  <c r="CE143" i="103"/>
  <c r="BS143" i="103"/>
  <c r="AN143" i="103" s="1"/>
  <c r="BG143" i="103"/>
  <c r="AU143" i="103"/>
  <c r="AI143" i="103"/>
  <c r="BK142" i="103"/>
  <c r="AY142" i="103"/>
  <c r="BO141" i="103"/>
  <c r="BC141" i="103"/>
  <c r="AQ141" i="103"/>
  <c r="AE141" i="103"/>
  <c r="S141" i="103"/>
  <c r="G141" i="103"/>
  <c r="CE140" i="103"/>
  <c r="BS140" i="103"/>
  <c r="AN140" i="103" s="1"/>
  <c r="BG140" i="103"/>
  <c r="AU140" i="103"/>
  <c r="AI140" i="103"/>
  <c r="BK139" i="103"/>
  <c r="AY139" i="103"/>
  <c r="BO138" i="103"/>
  <c r="BC138" i="103"/>
  <c r="AQ138" i="103"/>
  <c r="AE138" i="103"/>
  <c r="S138" i="103"/>
  <c r="G138" i="103"/>
  <c r="CE137" i="103"/>
  <c r="BS137" i="103"/>
  <c r="AN137" i="103" s="1"/>
  <c r="BG137" i="103"/>
  <c r="AU137" i="103"/>
  <c r="AI137" i="103"/>
  <c r="BK136" i="103"/>
  <c r="AY136" i="103"/>
  <c r="BO135" i="103"/>
  <c r="BC135" i="103"/>
  <c r="AQ135" i="103"/>
  <c r="AE135" i="103"/>
  <c r="S135" i="103"/>
  <c r="G135" i="103"/>
  <c r="CE134" i="103"/>
  <c r="BS134" i="103"/>
  <c r="AN134" i="103" s="1"/>
  <c r="BG134" i="103"/>
  <c r="AU134" i="103"/>
  <c r="AI134" i="103"/>
  <c r="BK133" i="103"/>
  <c r="AY133" i="103"/>
  <c r="BO132" i="103"/>
  <c r="BC132" i="103"/>
  <c r="AQ132" i="103"/>
  <c r="AE132" i="103"/>
  <c r="S132" i="103"/>
  <c r="G132" i="103"/>
  <c r="CE131" i="103"/>
  <c r="BS131" i="103"/>
  <c r="AN131" i="103" s="1"/>
  <c r="BG131" i="103"/>
  <c r="AU131" i="103"/>
  <c r="AI131" i="103"/>
  <c r="BK130" i="103"/>
  <c r="AY130" i="103"/>
  <c r="BO129" i="103"/>
  <c r="AQ129" i="103"/>
  <c r="AE129" i="103"/>
  <c r="S129" i="103"/>
  <c r="G129" i="103"/>
  <c r="CE128" i="103"/>
  <c r="BS128" i="103"/>
  <c r="AN128" i="103" s="1"/>
  <c r="BG128" i="103"/>
  <c r="AI128" i="103"/>
  <c r="BK192" i="103"/>
  <c r="AE191" i="103"/>
  <c r="AU187" i="103"/>
  <c r="BK183" i="103"/>
  <c r="AE182" i="103"/>
  <c r="AG180" i="103"/>
  <c r="CE178" i="103"/>
  <c r="BJ177" i="103"/>
  <c r="N177" i="103"/>
  <c r="BC176" i="103"/>
  <c r="G176" i="103"/>
  <c r="AY174" i="103"/>
  <c r="AW173" i="103"/>
  <c r="AZ172" i="103"/>
  <c r="BV171" i="103"/>
  <c r="BC171" i="103"/>
  <c r="AJ171" i="103"/>
  <c r="T171" i="103"/>
  <c r="G171" i="103"/>
  <c r="BR170" i="103"/>
  <c r="BF170" i="103"/>
  <c r="AT170" i="103"/>
  <c r="AH170" i="103"/>
  <c r="V170" i="103"/>
  <c r="BV169" i="103"/>
  <c r="BJ169" i="103"/>
  <c r="AX169" i="103"/>
  <c r="N169" i="103"/>
  <c r="BN168" i="103"/>
  <c r="AP168" i="103"/>
  <c r="AD168" i="103"/>
  <c r="BR167" i="103"/>
  <c r="BF167" i="103"/>
  <c r="AT167" i="103"/>
  <c r="AH167" i="103"/>
  <c r="V167" i="103"/>
  <c r="BV166" i="103"/>
  <c r="BJ166" i="103"/>
  <c r="AX166" i="103"/>
  <c r="N166" i="103"/>
  <c r="BN165" i="103"/>
  <c r="AP165" i="103"/>
  <c r="AD165" i="103"/>
  <c r="BR164" i="103"/>
  <c r="BF164" i="103"/>
  <c r="AT164" i="103"/>
  <c r="AH164" i="103"/>
  <c r="V164" i="103"/>
  <c r="BV163" i="103"/>
  <c r="BJ163" i="103"/>
  <c r="AX163" i="103"/>
  <c r="N163" i="103"/>
  <c r="BN162" i="103"/>
  <c r="AP162" i="103"/>
  <c r="AD162" i="103"/>
  <c r="BR161" i="103"/>
  <c r="BF161" i="103"/>
  <c r="AT161" i="103"/>
  <c r="AH161" i="103"/>
  <c r="V161" i="103"/>
  <c r="BV160" i="103"/>
  <c r="BJ160" i="103"/>
  <c r="AX160" i="103"/>
  <c r="N160" i="103"/>
  <c r="BN159" i="103"/>
  <c r="AP159" i="103"/>
  <c r="AD159" i="103"/>
  <c r="BR158" i="103"/>
  <c r="BF158" i="103"/>
  <c r="AT158" i="103"/>
  <c r="AH158" i="103"/>
  <c r="V158" i="103"/>
  <c r="BV157" i="103"/>
  <c r="BJ157" i="103"/>
  <c r="AX157" i="103"/>
  <c r="N157" i="103"/>
  <c r="BN156" i="103"/>
  <c r="AP156" i="103"/>
  <c r="AD156" i="103"/>
  <c r="BR155" i="103"/>
  <c r="BF155" i="103"/>
  <c r="AT155" i="103"/>
  <c r="AH155" i="103"/>
  <c r="V155" i="103"/>
  <c r="BV154" i="103"/>
  <c r="BJ154" i="103"/>
  <c r="AX154" i="103"/>
  <c r="N154" i="103"/>
  <c r="BN153" i="103"/>
  <c r="AP153" i="103"/>
  <c r="AD153" i="103"/>
  <c r="BR152" i="103"/>
  <c r="BF152" i="103"/>
  <c r="AT152" i="103"/>
  <c r="AH152" i="103"/>
  <c r="V152" i="103"/>
  <c r="BV151" i="103"/>
  <c r="BJ151" i="103"/>
  <c r="AX151" i="103"/>
  <c r="N151" i="103"/>
  <c r="BN150" i="103"/>
  <c r="AP150" i="103"/>
  <c r="AD150" i="103"/>
  <c r="BR149" i="103"/>
  <c r="BF149" i="103"/>
  <c r="AT149" i="103"/>
  <c r="AH149" i="103"/>
  <c r="V149" i="103"/>
  <c r="BV148" i="103"/>
  <c r="BJ148" i="103"/>
  <c r="AX148" i="103"/>
  <c r="N148" i="103"/>
  <c r="BN147" i="103"/>
  <c r="AP147" i="103"/>
  <c r="AD147" i="103"/>
  <c r="BR146" i="103"/>
  <c r="BF146" i="103"/>
  <c r="AT146" i="103"/>
  <c r="AH146" i="103"/>
  <c r="V146" i="103"/>
  <c r="BV145" i="103"/>
  <c r="BJ145" i="103"/>
  <c r="AX145" i="103"/>
  <c r="N145" i="103"/>
  <c r="BN144" i="103"/>
  <c r="AP144" i="103"/>
  <c r="AD144" i="103"/>
  <c r="BR143" i="103"/>
  <c r="BF143" i="103"/>
  <c r="AT143" i="103"/>
  <c r="AH143" i="103"/>
  <c r="V143" i="103"/>
  <c r="BV142" i="103"/>
  <c r="BJ142" i="103"/>
  <c r="AX142" i="103"/>
  <c r="N142" i="103"/>
  <c r="BN141" i="103"/>
  <c r="AP141" i="103"/>
  <c r="AD141" i="103"/>
  <c r="BR140" i="103"/>
  <c r="BF140" i="103"/>
  <c r="AT140" i="103"/>
  <c r="AH140" i="103"/>
  <c r="V140" i="103"/>
  <c r="BV139" i="103"/>
  <c r="BJ139" i="103"/>
  <c r="AX139" i="103"/>
  <c r="N139" i="103"/>
  <c r="BN138" i="103"/>
  <c r="AP138" i="103"/>
  <c r="AD138" i="103"/>
  <c r="BR137" i="103"/>
  <c r="BF137" i="103"/>
  <c r="AT137" i="103"/>
  <c r="AH137" i="103"/>
  <c r="V137" i="103"/>
  <c r="BV136" i="103"/>
  <c r="BJ136" i="103"/>
  <c r="AX136" i="103"/>
  <c r="CE193" i="103"/>
  <c r="AY192" i="103"/>
  <c r="S191" i="103"/>
  <c r="BO188" i="103"/>
  <c r="AI187" i="103"/>
  <c r="CE184" i="103"/>
  <c r="AY183" i="103"/>
  <c r="S182" i="103"/>
  <c r="BC179" i="103"/>
  <c r="BE177" i="103"/>
  <c r="I177" i="103"/>
  <c r="AU175" i="103"/>
  <c r="AX174" i="103"/>
  <c r="AQ173" i="103"/>
  <c r="AU172" i="103"/>
  <c r="BT171" i="103"/>
  <c r="AZ171" i="103"/>
  <c r="AI171" i="103"/>
  <c r="S171" i="103"/>
  <c r="BQ170" i="103"/>
  <c r="BE170" i="103"/>
  <c r="AS170" i="103"/>
  <c r="AG170" i="103"/>
  <c r="I170" i="103"/>
  <c r="BU169" i="103"/>
  <c r="AW169" i="103"/>
  <c r="AK169" i="103"/>
  <c r="BM168" i="103"/>
  <c r="AO168" i="103"/>
  <c r="Q168" i="103"/>
  <c r="BQ167" i="103"/>
  <c r="BE167" i="103"/>
  <c r="AS167" i="103"/>
  <c r="AG167" i="103"/>
  <c r="I167" i="103"/>
  <c r="BU166" i="103"/>
  <c r="AW166" i="103"/>
  <c r="AK166" i="103"/>
  <c r="BM165" i="103"/>
  <c r="AO165" i="103"/>
  <c r="Q165" i="103"/>
  <c r="BQ164" i="103"/>
  <c r="BE164" i="103"/>
  <c r="AS164" i="103"/>
  <c r="AG164" i="103"/>
  <c r="I164" i="103"/>
  <c r="BU163" i="103"/>
  <c r="AW163" i="103"/>
  <c r="AK163" i="103"/>
  <c r="BM162" i="103"/>
  <c r="AO162" i="103"/>
  <c r="Q162" i="103"/>
  <c r="BQ161" i="103"/>
  <c r="BE161" i="103"/>
  <c r="AS161" i="103"/>
  <c r="AG161" i="103"/>
  <c r="I161" i="103"/>
  <c r="BU160" i="103"/>
  <c r="BI160" i="103"/>
  <c r="AW160" i="103"/>
  <c r="AK160" i="103"/>
  <c r="BM159" i="103"/>
  <c r="AO159" i="103"/>
  <c r="Q159" i="103"/>
  <c r="BQ158" i="103"/>
  <c r="BE158" i="103"/>
  <c r="AS158" i="103"/>
  <c r="AG158" i="103"/>
  <c r="I158" i="103"/>
  <c r="BU157" i="103"/>
  <c r="BI157" i="103"/>
  <c r="AW157" i="103"/>
  <c r="AK157" i="103"/>
  <c r="BM156" i="103"/>
  <c r="AO156" i="103"/>
  <c r="Q156" i="103"/>
  <c r="BQ155" i="103"/>
  <c r="BE155" i="103"/>
  <c r="AS155" i="103"/>
  <c r="AG155" i="103"/>
  <c r="I155" i="103"/>
  <c r="BU154" i="103"/>
  <c r="BI154" i="103"/>
  <c r="AW154" i="103"/>
  <c r="AK154" i="103"/>
  <c r="BM153" i="103"/>
  <c r="AO153" i="103"/>
  <c r="Q153" i="103"/>
  <c r="BQ152" i="103"/>
  <c r="BE152" i="103"/>
  <c r="AS152" i="103"/>
  <c r="AG152" i="103"/>
  <c r="I152" i="103"/>
  <c r="BU151" i="103"/>
  <c r="BI151" i="103"/>
  <c r="AW151" i="103"/>
  <c r="AK151" i="103"/>
  <c r="BM150" i="103"/>
  <c r="AO150" i="103"/>
  <c r="Q150" i="103"/>
  <c r="BQ149" i="103"/>
  <c r="BE149" i="103"/>
  <c r="AS149" i="103"/>
  <c r="AG149" i="103"/>
  <c r="I149" i="103"/>
  <c r="BU148" i="103"/>
  <c r="BI148" i="103"/>
  <c r="AW148" i="103"/>
  <c r="AK148" i="103"/>
  <c r="BM147" i="103"/>
  <c r="AO147" i="103"/>
  <c r="Q147" i="103"/>
  <c r="BQ146" i="103"/>
  <c r="BE146" i="103"/>
  <c r="AS146" i="103"/>
  <c r="AG146" i="103"/>
  <c r="I146" i="103"/>
  <c r="BU145" i="103"/>
  <c r="BI145" i="103"/>
  <c r="AW145" i="103"/>
  <c r="AK145" i="103"/>
  <c r="BM144" i="103"/>
  <c r="AO144" i="103"/>
  <c r="Q144" i="103"/>
  <c r="BQ143" i="103"/>
  <c r="BE143" i="103"/>
  <c r="AS143" i="103"/>
  <c r="AG143" i="103"/>
  <c r="I143" i="103"/>
  <c r="BU142" i="103"/>
  <c r="BI142" i="103"/>
  <c r="AW142" i="103"/>
  <c r="AK142" i="103"/>
  <c r="BM141" i="103"/>
  <c r="AO141" i="103"/>
  <c r="Q141" i="103"/>
  <c r="BQ140" i="103"/>
  <c r="BE140" i="103"/>
  <c r="AS140" i="103"/>
  <c r="AG140" i="103"/>
  <c r="I140" i="103"/>
  <c r="BU139" i="103"/>
  <c r="BI139" i="103"/>
  <c r="AW139" i="103"/>
  <c r="AK139" i="103"/>
  <c r="BM138" i="103"/>
  <c r="AO138" i="103"/>
  <c r="Q138" i="103"/>
  <c r="BQ137" i="103"/>
  <c r="BE137" i="103"/>
  <c r="AS137" i="103"/>
  <c r="AG137" i="103"/>
  <c r="I137" i="103"/>
  <c r="BU136" i="103"/>
  <c r="BI136" i="103"/>
  <c r="AW136" i="103"/>
  <c r="AK136" i="103"/>
  <c r="BM135" i="103"/>
  <c r="AO135" i="103"/>
  <c r="Q135" i="103"/>
  <c r="BQ134" i="103"/>
  <c r="BE134" i="103"/>
  <c r="AS134" i="103"/>
  <c r="AG134" i="103"/>
  <c r="I134" i="103"/>
  <c r="BU133" i="103"/>
  <c r="BI133" i="103"/>
  <c r="AW133" i="103"/>
  <c r="AK133" i="103"/>
  <c r="BM132" i="103"/>
  <c r="AO132" i="103"/>
  <c r="Q132" i="103"/>
  <c r="BQ131" i="103"/>
  <c r="BE131" i="103"/>
  <c r="AS131" i="103"/>
  <c r="AG131" i="103"/>
  <c r="I131" i="103"/>
  <c r="BU130" i="103"/>
  <c r="AW130" i="103"/>
  <c r="AK130" i="103"/>
  <c r="BM129" i="103"/>
  <c r="AO129" i="103"/>
  <c r="Q129" i="103"/>
  <c r="BQ128" i="103"/>
  <c r="BE128" i="103"/>
  <c r="AS128" i="103"/>
  <c r="AG128" i="103"/>
  <c r="I128" i="103"/>
  <c r="BU127" i="103"/>
  <c r="AW127" i="103"/>
  <c r="AK127" i="103"/>
  <c r="BS193" i="103"/>
  <c r="AN193" i="103" s="1"/>
  <c r="G191" i="103"/>
  <c r="BC188" i="103"/>
  <c r="BS184" i="103"/>
  <c r="G182" i="103"/>
  <c r="AW179" i="103"/>
  <c r="BS178" i="103"/>
  <c r="AN178" i="103" s="1"/>
  <c r="AY177" i="103"/>
  <c r="AW176" i="103"/>
  <c r="AT175" i="103"/>
  <c r="AS174" i="103"/>
  <c r="AP173" i="103"/>
  <c r="CE172" i="103"/>
  <c r="AT172" i="103"/>
  <c r="V172" i="103"/>
  <c r="BS171" i="103"/>
  <c r="AY171" i="103"/>
  <c r="AG171" i="103"/>
  <c r="BP170" i="103"/>
  <c r="AR170" i="103"/>
  <c r="AF170" i="103"/>
  <c r="T170" i="103"/>
  <c r="BT169" i="103"/>
  <c r="BH169" i="103"/>
  <c r="Q174" i="67" s="1"/>
  <c r="AV169" i="103"/>
  <c r="AJ169" i="103"/>
  <c r="CJ168" i="103"/>
  <c r="BL168" i="103"/>
  <c r="AZ168" i="103"/>
  <c r="P168" i="103"/>
  <c r="BP167" i="103"/>
  <c r="AR167" i="103"/>
  <c r="AF167" i="103"/>
  <c r="T167" i="103"/>
  <c r="BT166" i="103"/>
  <c r="BH166" i="103"/>
  <c r="Q171" i="67" s="1"/>
  <c r="AV166" i="103"/>
  <c r="AJ166" i="103"/>
  <c r="CJ165" i="103"/>
  <c r="BL165" i="103"/>
  <c r="AZ165" i="103"/>
  <c r="P165" i="103"/>
  <c r="BP164" i="103"/>
  <c r="AR164" i="103"/>
  <c r="AF164" i="103"/>
  <c r="T164" i="103"/>
  <c r="BT163" i="103"/>
  <c r="BH163" i="103"/>
  <c r="Q168" i="67" s="1"/>
  <c r="AV163" i="103"/>
  <c r="AJ163" i="103"/>
  <c r="CJ162" i="103"/>
  <c r="BL162" i="103"/>
  <c r="AZ162" i="103"/>
  <c r="P162" i="103"/>
  <c r="BP161" i="103"/>
  <c r="AR161" i="103"/>
  <c r="AF161" i="103"/>
  <c r="T161" i="103"/>
  <c r="BT160" i="103"/>
  <c r="BH160" i="103"/>
  <c r="Q164" i="67" s="1"/>
  <c r="AV160" i="103"/>
  <c r="AJ160" i="103"/>
  <c r="CJ159" i="103"/>
  <c r="BL159" i="103"/>
  <c r="AZ159" i="103"/>
  <c r="P159" i="103"/>
  <c r="BP158" i="103"/>
  <c r="AR158" i="103"/>
  <c r="AF158" i="103"/>
  <c r="T158" i="103"/>
  <c r="BT157" i="103"/>
  <c r="BH157" i="103"/>
  <c r="Q161" i="67" s="1"/>
  <c r="AV157" i="103"/>
  <c r="AJ157" i="103"/>
  <c r="CJ156" i="103"/>
  <c r="BL156" i="103"/>
  <c r="AZ156" i="103"/>
  <c r="P156" i="103"/>
  <c r="BP155" i="103"/>
  <c r="AR155" i="103"/>
  <c r="AF155" i="103"/>
  <c r="T155" i="103"/>
  <c r="BT154" i="103"/>
  <c r="BH154" i="103"/>
  <c r="Q158" i="67" s="1"/>
  <c r="AV154" i="103"/>
  <c r="AJ154" i="103"/>
  <c r="CJ153" i="103"/>
  <c r="BL153" i="103"/>
  <c r="AZ153" i="103"/>
  <c r="P153" i="103"/>
  <c r="BP152" i="103"/>
  <c r="AR152" i="103"/>
  <c r="AF152" i="103"/>
  <c r="T152" i="103"/>
  <c r="BT151" i="103"/>
  <c r="BH151" i="103"/>
  <c r="Q155" i="67" s="1"/>
  <c r="AV151" i="103"/>
  <c r="AJ151" i="103"/>
  <c r="CJ150" i="103"/>
  <c r="BL150" i="103"/>
  <c r="AZ150" i="103"/>
  <c r="P150" i="103"/>
  <c r="BP149" i="103"/>
  <c r="AR149" i="103"/>
  <c r="AF149" i="103"/>
  <c r="T149" i="103"/>
  <c r="BT148" i="103"/>
  <c r="BH148" i="103"/>
  <c r="Q152" i="67" s="1"/>
  <c r="AV148" i="103"/>
  <c r="AJ148" i="103"/>
  <c r="CJ147" i="103"/>
  <c r="BL147" i="103"/>
  <c r="AZ147" i="103"/>
  <c r="P147" i="103"/>
  <c r="BP146" i="103"/>
  <c r="AR146" i="103"/>
  <c r="AF146" i="103"/>
  <c r="T146" i="103"/>
  <c r="BT145" i="103"/>
  <c r="BH145" i="103"/>
  <c r="Q149" i="67" s="1"/>
  <c r="AV145" i="103"/>
  <c r="AJ145" i="103"/>
  <c r="CJ144" i="103"/>
  <c r="BL144" i="103"/>
  <c r="AZ144" i="103"/>
  <c r="P144" i="103"/>
  <c r="BP143" i="103"/>
  <c r="AR143" i="103"/>
  <c r="AF143" i="103"/>
  <c r="T143" i="103"/>
  <c r="BT142" i="103"/>
  <c r="BH142" i="103"/>
  <c r="Q146" i="67" s="1"/>
  <c r="AV142" i="103"/>
  <c r="AJ142" i="103"/>
  <c r="CJ141" i="103"/>
  <c r="BL141" i="103"/>
  <c r="AZ141" i="103"/>
  <c r="P141" i="103"/>
  <c r="BP140" i="103"/>
  <c r="AR140" i="103"/>
  <c r="AF140" i="103"/>
  <c r="T140" i="103"/>
  <c r="BT139" i="103"/>
  <c r="BH139" i="103"/>
  <c r="Q143" i="67" s="1"/>
  <c r="AV139" i="103"/>
  <c r="AJ139" i="103"/>
  <c r="CJ138" i="103"/>
  <c r="BL138" i="103"/>
  <c r="AZ138" i="103"/>
  <c r="P138" i="103"/>
  <c r="BP137" i="103"/>
  <c r="AR137" i="103"/>
  <c r="AF137" i="103"/>
  <c r="T137" i="103"/>
  <c r="BT136" i="103"/>
  <c r="BH136" i="103"/>
  <c r="Q140" i="67" s="1"/>
  <c r="AV136" i="103"/>
  <c r="AJ136" i="103"/>
  <c r="CJ135" i="103"/>
  <c r="BL135" i="103"/>
  <c r="AZ135" i="103"/>
  <c r="P135" i="103"/>
  <c r="BP134" i="103"/>
  <c r="AR134" i="103"/>
  <c r="AF134" i="103"/>
  <c r="T134" i="103"/>
  <c r="BT133" i="103"/>
  <c r="BH133" i="103"/>
  <c r="Q137" i="67" s="1"/>
  <c r="AV133" i="103"/>
  <c r="AJ133" i="103"/>
  <c r="CJ132" i="103"/>
  <c r="BL132" i="103"/>
  <c r="AZ132" i="103"/>
  <c r="P132" i="103"/>
  <c r="BP131" i="103"/>
  <c r="AR131" i="103"/>
  <c r="AF131" i="103"/>
  <c r="T131" i="103"/>
  <c r="BT130" i="103"/>
  <c r="BC130" i="103" s="1"/>
  <c r="BH130" i="103"/>
  <c r="Q133" i="67" s="1"/>
  <c r="AJ130" i="103"/>
  <c r="CJ129" i="103"/>
  <c r="BL129" i="103"/>
  <c r="AZ129" i="103"/>
  <c r="P129" i="103"/>
  <c r="AV147" i="103"/>
  <c r="P146" i="103"/>
  <c r="BL143" i="103"/>
  <c r="AF142" i="103"/>
  <c r="AV138" i="103"/>
  <c r="P137" i="103"/>
  <c r="AJ135" i="103"/>
  <c r="CE132" i="103"/>
  <c r="AI132" i="103"/>
  <c r="AH131" i="103"/>
  <c r="V128" i="103"/>
  <c r="BL127" i="103"/>
  <c r="AR127" i="103"/>
  <c r="BT126" i="103"/>
  <c r="BC126" i="103" s="1"/>
  <c r="BH126" i="103"/>
  <c r="Q129" i="67" s="1"/>
  <c r="AJ126" i="103"/>
  <c r="CJ125" i="103"/>
  <c r="BL125" i="103"/>
  <c r="AZ125" i="103"/>
  <c r="P125" i="103"/>
  <c r="BP124" i="103"/>
  <c r="AR124" i="103"/>
  <c r="AF124" i="103"/>
  <c r="T124" i="103"/>
  <c r="BT123" i="103"/>
  <c r="BC123" i="103" s="1"/>
  <c r="BH123" i="103"/>
  <c r="Q126" i="67" s="1"/>
  <c r="AJ123" i="103"/>
  <c r="CJ122" i="103"/>
  <c r="BL122" i="103"/>
  <c r="AZ122" i="103"/>
  <c r="P122" i="103"/>
  <c r="BP121" i="103"/>
  <c r="AR121" i="103"/>
  <c r="AF121" i="103"/>
  <c r="T121" i="103"/>
  <c r="BT120" i="103"/>
  <c r="BC120" i="103" s="1"/>
  <c r="BH120" i="103"/>
  <c r="Q123" i="67" s="1"/>
  <c r="AJ120" i="103"/>
  <c r="CJ119" i="103"/>
  <c r="BL119" i="103"/>
  <c r="AZ119" i="103"/>
  <c r="P119" i="103"/>
  <c r="BP118" i="103"/>
  <c r="AR118" i="103"/>
  <c r="AF118" i="103"/>
  <c r="T118" i="103"/>
  <c r="BT117" i="103"/>
  <c r="BC117" i="103" s="1"/>
  <c r="BH117" i="103"/>
  <c r="Q120" i="67" s="1"/>
  <c r="AJ117" i="103"/>
  <c r="CJ116" i="103"/>
  <c r="BL116" i="103"/>
  <c r="AZ116" i="103"/>
  <c r="P116" i="103"/>
  <c r="BP115" i="103"/>
  <c r="AR115" i="103"/>
  <c r="AF115" i="103"/>
  <c r="T115" i="103"/>
  <c r="BT114" i="103"/>
  <c r="BC114" i="103" s="1"/>
  <c r="BH114" i="103"/>
  <c r="Q117" i="67" s="1"/>
  <c r="AJ114" i="103"/>
  <c r="CJ113" i="103"/>
  <c r="BL113" i="103"/>
  <c r="AZ113" i="103"/>
  <c r="P113" i="103"/>
  <c r="BP112" i="103"/>
  <c r="AR112" i="103"/>
  <c r="AF112" i="103"/>
  <c r="T112" i="103"/>
  <c r="BT111" i="103"/>
  <c r="BC111" i="103" s="1"/>
  <c r="BH111" i="103"/>
  <c r="Q114" i="67" s="1"/>
  <c r="AJ111" i="103"/>
  <c r="CJ110" i="103"/>
  <c r="BL110" i="103"/>
  <c r="AZ110" i="103"/>
  <c r="P110" i="103"/>
  <c r="BP109" i="103"/>
  <c r="AR109" i="103"/>
  <c r="AF109" i="103"/>
  <c r="T109" i="103"/>
  <c r="BT108" i="103"/>
  <c r="BC108" i="103" s="1"/>
  <c r="BH108" i="103"/>
  <c r="Q111" i="67" s="1"/>
  <c r="AJ108" i="103"/>
  <c r="BK107" i="103"/>
  <c r="AY107" i="103"/>
  <c r="BN106" i="103"/>
  <c r="AP106" i="103"/>
  <c r="AD106" i="103"/>
  <c r="BR105" i="103"/>
  <c r="BF105" i="103"/>
  <c r="AT105" i="103"/>
  <c r="AH105" i="103"/>
  <c r="V105" i="103"/>
  <c r="BV104" i="103"/>
  <c r="BJ104" i="103"/>
  <c r="AX104" i="103"/>
  <c r="N104" i="103"/>
  <c r="BN103" i="103"/>
  <c r="AP103" i="103"/>
  <c r="AD103" i="103"/>
  <c r="BR102" i="103"/>
  <c r="BF102" i="103"/>
  <c r="AT102" i="103"/>
  <c r="AH102" i="103"/>
  <c r="V102" i="103"/>
  <c r="BU101" i="103"/>
  <c r="AW101" i="103"/>
  <c r="AK101" i="103"/>
  <c r="BM100" i="103"/>
  <c r="AO100" i="103"/>
  <c r="Q100" i="103"/>
  <c r="BQ99" i="103"/>
  <c r="BE99" i="103"/>
  <c r="AS99" i="103"/>
  <c r="AG99" i="103"/>
  <c r="I99" i="103"/>
  <c r="BU98" i="103"/>
  <c r="BI98" i="103"/>
  <c r="AW98" i="103"/>
  <c r="AK98" i="103"/>
  <c r="BM97" i="103"/>
  <c r="AO97" i="103"/>
  <c r="Q97" i="103"/>
  <c r="BQ96" i="103"/>
  <c r="BE96" i="103"/>
  <c r="AS96" i="103"/>
  <c r="AG96" i="103"/>
  <c r="I96" i="103"/>
  <c r="BU95" i="103"/>
  <c r="BI95" i="103"/>
  <c r="AW95" i="103"/>
  <c r="AK95" i="103"/>
  <c r="BM94" i="103"/>
  <c r="AO94" i="103"/>
  <c r="Q94" i="103"/>
  <c r="BQ93" i="103"/>
  <c r="BE93" i="103"/>
  <c r="AS93" i="103"/>
  <c r="AG93" i="103"/>
  <c r="I93" i="103"/>
  <c r="BU92" i="103"/>
  <c r="BI92" i="103"/>
  <c r="AW92" i="103"/>
  <c r="AK92" i="103"/>
  <c r="BM91" i="103"/>
  <c r="AO91" i="103"/>
  <c r="Q91" i="103"/>
  <c r="BQ90" i="103"/>
  <c r="BE90" i="103"/>
  <c r="AS90" i="103"/>
  <c r="AG90" i="103"/>
  <c r="I90" i="103"/>
  <c r="BU89" i="103"/>
  <c r="BI89" i="103"/>
  <c r="AW89" i="103"/>
  <c r="AK89" i="103"/>
  <c r="BM88" i="103"/>
  <c r="AO88" i="103"/>
  <c r="Q88" i="103"/>
  <c r="BQ87" i="103"/>
  <c r="BE87" i="103"/>
  <c r="AS87" i="103"/>
  <c r="AG87" i="103"/>
  <c r="I87" i="103"/>
  <c r="BU86" i="103"/>
  <c r="BI86" i="103"/>
  <c r="AW86" i="103"/>
  <c r="AK86" i="103"/>
  <c r="CJ85" i="103"/>
  <c r="BL85" i="103"/>
  <c r="AZ85" i="103"/>
  <c r="P85" i="103"/>
  <c r="BP84" i="103"/>
  <c r="AR84" i="103"/>
  <c r="AF84" i="103"/>
  <c r="T84" i="103"/>
  <c r="BT83" i="103"/>
  <c r="BC83" i="103" s="1"/>
  <c r="BH83" i="103"/>
  <c r="Q85" i="67" s="1"/>
  <c r="AJ83" i="103"/>
  <c r="CJ82" i="103"/>
  <c r="BL82" i="103"/>
  <c r="AZ82" i="103"/>
  <c r="BP148" i="103"/>
  <c r="AJ147" i="103"/>
  <c r="AZ143" i="103"/>
  <c r="T142" i="103"/>
  <c r="BP139" i="103"/>
  <c r="AJ138" i="103"/>
  <c r="AI135" i="103"/>
  <c r="AH134" i="103"/>
  <c r="AF133" i="103"/>
  <c r="AD132" i="103"/>
  <c r="AF130" i="103"/>
  <c r="T128" i="103"/>
  <c r="BK127" i="103"/>
  <c r="AQ127" i="103"/>
  <c r="CE126" i="103"/>
  <c r="BS126" i="103"/>
  <c r="AN126" i="103" s="1"/>
  <c r="BG126" i="103"/>
  <c r="AI126" i="103"/>
  <c r="BK125" i="103"/>
  <c r="AY125" i="103"/>
  <c r="BO124" i="103"/>
  <c r="AQ124" i="103"/>
  <c r="AE124" i="103"/>
  <c r="S124" i="103"/>
  <c r="G124" i="103"/>
  <c r="CE123" i="103"/>
  <c r="BS123" i="103"/>
  <c r="AN123" i="103" s="1"/>
  <c r="BG123" i="103"/>
  <c r="AI123" i="103"/>
  <c r="BK122" i="103"/>
  <c r="AY122" i="103"/>
  <c r="BO121" i="103"/>
  <c r="AQ121" i="103"/>
  <c r="AE121" i="103"/>
  <c r="S121" i="103"/>
  <c r="G121" i="103"/>
  <c r="CE120" i="103"/>
  <c r="BS120" i="103"/>
  <c r="AN120" i="103" s="1"/>
  <c r="BG120" i="103"/>
  <c r="AI120" i="103"/>
  <c r="BK119" i="103"/>
  <c r="AY119" i="103"/>
  <c r="BO118" i="103"/>
  <c r="AQ118" i="103"/>
  <c r="AE118" i="103"/>
  <c r="S118" i="103"/>
  <c r="G118" i="103"/>
  <c r="CE117" i="103"/>
  <c r="BS117" i="103"/>
  <c r="AN117" i="103" s="1"/>
  <c r="BG117" i="103"/>
  <c r="AI117" i="103"/>
  <c r="BK116" i="103"/>
  <c r="AY116" i="103"/>
  <c r="BO115" i="103"/>
  <c r="AQ115" i="103"/>
  <c r="AE115" i="103"/>
  <c r="S115" i="103"/>
  <c r="G115" i="103"/>
  <c r="CE114" i="103"/>
  <c r="BS114" i="103"/>
  <c r="AN114" i="103" s="1"/>
  <c r="BG114" i="103"/>
  <c r="AI114" i="103"/>
  <c r="BK113" i="103"/>
  <c r="AY113" i="103"/>
  <c r="BO112" i="103"/>
  <c r="AQ112" i="103"/>
  <c r="AE112" i="103"/>
  <c r="S112" i="103"/>
  <c r="G112" i="103"/>
  <c r="CE111" i="103"/>
  <c r="BS111" i="103"/>
  <c r="AN111" i="103" s="1"/>
  <c r="BG111" i="103"/>
  <c r="AI111" i="103"/>
  <c r="BK110" i="103"/>
  <c r="AY110" i="103"/>
  <c r="BO109" i="103"/>
  <c r="AQ109" i="103"/>
  <c r="AE109" i="103"/>
  <c r="S109" i="103"/>
  <c r="G109" i="103"/>
  <c r="CE108" i="103"/>
  <c r="BS108" i="103"/>
  <c r="AN108" i="103" s="1"/>
  <c r="BG108" i="103"/>
  <c r="AI108" i="103"/>
  <c r="BV107" i="103"/>
  <c r="BJ107" i="103"/>
  <c r="AX107" i="103"/>
  <c r="N107" i="103"/>
  <c r="BM106" i="103"/>
  <c r="AO106" i="103"/>
  <c r="Q106" i="103"/>
  <c r="BQ105" i="103"/>
  <c r="BE105" i="103"/>
  <c r="AS105" i="103"/>
  <c r="AG105" i="103"/>
  <c r="I105" i="103"/>
  <c r="BU104" i="103"/>
  <c r="AW104" i="103"/>
  <c r="AK104" i="103"/>
  <c r="BM103" i="103"/>
  <c r="AO103" i="103"/>
  <c r="Q103" i="103"/>
  <c r="BQ102" i="103"/>
  <c r="BE102" i="103"/>
  <c r="AS102" i="103"/>
  <c r="AG102" i="103"/>
  <c r="I102" i="103"/>
  <c r="BT101" i="103"/>
  <c r="BC101" i="103" s="1"/>
  <c r="BH101" i="103"/>
  <c r="AJ101" i="103"/>
  <c r="CJ100" i="103"/>
  <c r="BL100" i="103"/>
  <c r="AZ100" i="103"/>
  <c r="P100" i="103"/>
  <c r="BP99" i="103"/>
  <c r="AR99" i="103"/>
  <c r="AF99" i="103"/>
  <c r="T99" i="103"/>
  <c r="BT98" i="103"/>
  <c r="BC98" i="103" s="1"/>
  <c r="BH98" i="103"/>
  <c r="Q100" i="67" s="1"/>
  <c r="AJ98" i="103"/>
  <c r="CJ97" i="103"/>
  <c r="BL97" i="103"/>
  <c r="AZ97" i="103"/>
  <c r="P97" i="103"/>
  <c r="BP96" i="103"/>
  <c r="AR96" i="103"/>
  <c r="AF96" i="103"/>
  <c r="T96" i="103"/>
  <c r="BT95" i="103"/>
  <c r="BC95" i="103" s="1"/>
  <c r="BH95" i="103"/>
  <c r="Q97" i="67" s="1"/>
  <c r="AJ95" i="103"/>
  <c r="CJ94" i="103"/>
  <c r="BL94" i="103"/>
  <c r="AZ94" i="103"/>
  <c r="P94" i="103"/>
  <c r="BP93" i="103"/>
  <c r="AR93" i="103"/>
  <c r="AF93" i="103"/>
  <c r="T93" i="103"/>
  <c r="BT92" i="103"/>
  <c r="BC92" i="103" s="1"/>
  <c r="BH92" i="103"/>
  <c r="Q94" i="67" s="1"/>
  <c r="AJ92" i="103"/>
  <c r="CJ91" i="103"/>
  <c r="BL91" i="103"/>
  <c r="AZ91" i="103"/>
  <c r="P91" i="103"/>
  <c r="BP90" i="103"/>
  <c r="AR90" i="103"/>
  <c r="AF90" i="103"/>
  <c r="T90" i="103"/>
  <c r="BT89" i="103"/>
  <c r="BC89" i="103" s="1"/>
  <c r="BH89" i="103"/>
  <c r="Q91" i="67" s="1"/>
  <c r="AJ89" i="103"/>
  <c r="CJ88" i="103"/>
  <c r="BL88" i="103"/>
  <c r="AZ88" i="103"/>
  <c r="P88" i="103"/>
  <c r="BP87" i="103"/>
  <c r="AR87" i="103"/>
  <c r="AF87" i="103"/>
  <c r="T87" i="103"/>
  <c r="BT86" i="103"/>
  <c r="BC86" i="103" s="1"/>
  <c r="BH86" i="103"/>
  <c r="Q88" i="67" s="1"/>
  <c r="AJ86" i="103"/>
  <c r="BK85" i="103"/>
  <c r="AY85" i="103"/>
  <c r="BO84" i="103"/>
  <c r="AQ84" i="103"/>
  <c r="AE84" i="103"/>
  <c r="S84" i="103"/>
  <c r="G84" i="103"/>
  <c r="CE83" i="103"/>
  <c r="BS83" i="103"/>
  <c r="AN83" i="103" s="1"/>
  <c r="BG83" i="103"/>
  <c r="AI83" i="103"/>
  <c r="BK82" i="103"/>
  <c r="AY82" i="103"/>
  <c r="BT144" i="103"/>
  <c r="CJ140" i="103"/>
  <c r="AD135" i="103"/>
  <c r="AE133" i="103"/>
  <c r="BT132" i="103"/>
  <c r="BV130" i="103"/>
  <c r="AE130" i="103"/>
  <c r="CE129" i="103"/>
  <c r="BT128" i="103"/>
  <c r="AT128" i="103"/>
  <c r="P128" i="103"/>
  <c r="BJ127" i="103"/>
  <c r="AO127" i="103"/>
  <c r="G127" i="103"/>
  <c r="BR126" i="103"/>
  <c r="BF126" i="103"/>
  <c r="AT126" i="103"/>
  <c r="AH126" i="103"/>
  <c r="V126" i="103"/>
  <c r="BV125" i="103"/>
  <c r="BJ125" i="103"/>
  <c r="AX125" i="103"/>
  <c r="N125" i="103"/>
  <c r="BN124" i="103"/>
  <c r="AP124" i="103"/>
  <c r="AD124" i="103"/>
  <c r="BR123" i="103"/>
  <c r="BF123" i="103"/>
  <c r="AT123" i="103"/>
  <c r="AH123" i="103"/>
  <c r="V123" i="103"/>
  <c r="BV122" i="103"/>
  <c r="BJ122" i="103"/>
  <c r="AX122" i="103"/>
  <c r="N122" i="103"/>
  <c r="BN121" i="103"/>
  <c r="AP121" i="103"/>
  <c r="AD121" i="103"/>
  <c r="BR120" i="103"/>
  <c r="BF120" i="103"/>
  <c r="AT120" i="103"/>
  <c r="AH120" i="103"/>
  <c r="V120" i="103"/>
  <c r="BV119" i="103"/>
  <c r="BJ119" i="103"/>
  <c r="AX119" i="103"/>
  <c r="N119" i="103"/>
  <c r="BN118" i="103"/>
  <c r="AP118" i="103"/>
  <c r="AD118" i="103"/>
  <c r="BR117" i="103"/>
  <c r="BF117" i="103"/>
  <c r="AT117" i="103"/>
  <c r="AH117" i="103"/>
  <c r="V117" i="103"/>
  <c r="BV116" i="103"/>
  <c r="BJ116" i="103"/>
  <c r="AX116" i="103"/>
  <c r="N116" i="103"/>
  <c r="BN115" i="103"/>
  <c r="AP115" i="103"/>
  <c r="AD115" i="103"/>
  <c r="BR114" i="103"/>
  <c r="BF114" i="103"/>
  <c r="AT114" i="103"/>
  <c r="AH114" i="103"/>
  <c r="V114" i="103"/>
  <c r="BV113" i="103"/>
  <c r="BJ113" i="103"/>
  <c r="AX113" i="103"/>
  <c r="N113" i="103"/>
  <c r="BN112" i="103"/>
  <c r="AP112" i="103"/>
  <c r="AD112" i="103"/>
  <c r="BR111" i="103"/>
  <c r="BF111" i="103"/>
  <c r="AT111" i="103"/>
  <c r="AH111" i="103"/>
  <c r="V111" i="103"/>
  <c r="BV110" i="103"/>
  <c r="BJ110" i="103"/>
  <c r="AX110" i="103"/>
  <c r="N110" i="103"/>
  <c r="BN109" i="103"/>
  <c r="AP109" i="103"/>
  <c r="AD109" i="103"/>
  <c r="BR108" i="103"/>
  <c r="BF108" i="103"/>
  <c r="AT108" i="103"/>
  <c r="AH108" i="103"/>
  <c r="V108" i="103"/>
  <c r="I108" i="103"/>
  <c r="BU107" i="103"/>
  <c r="AW107" i="103"/>
  <c r="AK107" i="103"/>
  <c r="CJ106" i="103"/>
  <c r="BL106" i="103"/>
  <c r="AZ106" i="103"/>
  <c r="P106" i="103"/>
  <c r="BP105" i="103"/>
  <c r="AR105" i="103"/>
  <c r="AF105" i="103"/>
  <c r="T105" i="103"/>
  <c r="BT104" i="103"/>
  <c r="BC104" i="103" s="1"/>
  <c r="BH104" i="103"/>
  <c r="Q107" i="67" s="1"/>
  <c r="AJ104" i="103"/>
  <c r="CJ103" i="103"/>
  <c r="BL103" i="103"/>
  <c r="AZ103" i="103"/>
  <c r="P103" i="103"/>
  <c r="BP102" i="103"/>
  <c r="AR102" i="103"/>
  <c r="AF102" i="103"/>
  <c r="T102" i="103"/>
  <c r="G102" i="103"/>
  <c r="CE101" i="103"/>
  <c r="BS101" i="103"/>
  <c r="AN101" i="103" s="1"/>
  <c r="BG101" i="103"/>
  <c r="AI101" i="103"/>
  <c r="BK100" i="103"/>
  <c r="AY100" i="103"/>
  <c r="BO99" i="103"/>
  <c r="AQ99" i="103"/>
  <c r="AE99" i="103"/>
  <c r="S99" i="103"/>
  <c r="G99" i="103"/>
  <c r="CE98" i="103"/>
  <c r="BS98" i="103"/>
  <c r="AN98" i="103" s="1"/>
  <c r="BG98" i="103"/>
  <c r="AI98" i="103"/>
  <c r="BK97" i="103"/>
  <c r="AY97" i="103"/>
  <c r="BO96" i="103"/>
  <c r="AQ96" i="103"/>
  <c r="AE96" i="103"/>
  <c r="S96" i="103"/>
  <c r="G96" i="103"/>
  <c r="CE95" i="103"/>
  <c r="BS95" i="103"/>
  <c r="AN95" i="103" s="1"/>
  <c r="BG95" i="103"/>
  <c r="AI95" i="103"/>
  <c r="BK94" i="103"/>
  <c r="AY94" i="103"/>
  <c r="BO93" i="103"/>
  <c r="AQ93" i="103"/>
  <c r="AE93" i="103"/>
  <c r="S93" i="103"/>
  <c r="G93" i="103"/>
  <c r="CE92" i="103"/>
  <c r="BS92" i="103"/>
  <c r="AN92" i="103" s="1"/>
  <c r="BG92" i="103"/>
  <c r="AI92" i="103"/>
  <c r="BK91" i="103"/>
  <c r="AY91" i="103"/>
  <c r="BO90" i="103"/>
  <c r="AQ90" i="103"/>
  <c r="AE90" i="103"/>
  <c r="S90" i="103"/>
  <c r="G90" i="103"/>
  <c r="CE89" i="103"/>
  <c r="BS89" i="103"/>
  <c r="AN89" i="103" s="1"/>
  <c r="BG89" i="103"/>
  <c r="AI89" i="103"/>
  <c r="BK88" i="103"/>
  <c r="AY88" i="103"/>
  <c r="BO87" i="103"/>
  <c r="AQ87" i="103"/>
  <c r="AE87" i="103"/>
  <c r="S87" i="103"/>
  <c r="G87" i="103"/>
  <c r="CE86" i="103"/>
  <c r="BS86" i="103"/>
  <c r="AN86" i="103" s="1"/>
  <c r="BG86" i="103"/>
  <c r="AI86" i="103"/>
  <c r="BV85" i="103"/>
  <c r="BJ85" i="103"/>
  <c r="AX85" i="103"/>
  <c r="N85" i="103"/>
  <c r="BN84" i="103"/>
  <c r="AP84" i="103"/>
  <c r="AD84" i="103"/>
  <c r="BR83" i="103"/>
  <c r="BF83" i="103"/>
  <c r="AT83" i="103"/>
  <c r="AH83" i="103"/>
  <c r="V83" i="103"/>
  <c r="BV82" i="103"/>
  <c r="AR148" i="103"/>
  <c r="BH144" i="103"/>
  <c r="Q148" i="67" s="1"/>
  <c r="AR139" i="103"/>
  <c r="BV133" i="103"/>
  <c r="BS132" i="103"/>
  <c r="BR131" i="103"/>
  <c r="V131" i="103"/>
  <c r="BP130" i="103"/>
  <c r="AR129" i="103"/>
  <c r="BR128" i="103"/>
  <c r="AR128" i="103"/>
  <c r="BH127" i="103"/>
  <c r="Q130" i="67" s="1"/>
  <c r="BQ126" i="103"/>
  <c r="BE126" i="103"/>
  <c r="AS126" i="103"/>
  <c r="AG126" i="103"/>
  <c r="I126" i="103"/>
  <c r="BU125" i="103"/>
  <c r="AW125" i="103"/>
  <c r="AK125" i="103"/>
  <c r="BM124" i="103"/>
  <c r="AO124" i="103"/>
  <c r="Q124" i="103"/>
  <c r="BQ123" i="103"/>
  <c r="BE123" i="103"/>
  <c r="AS123" i="103"/>
  <c r="AG123" i="103"/>
  <c r="I123" i="103"/>
  <c r="BU122" i="103"/>
  <c r="AW122" i="103"/>
  <c r="AK122" i="103"/>
  <c r="BM121" i="103"/>
  <c r="AO121" i="103"/>
  <c r="Q121" i="103"/>
  <c r="BQ120" i="103"/>
  <c r="BE120" i="103"/>
  <c r="AS120" i="103"/>
  <c r="AG120" i="103"/>
  <c r="I120" i="103"/>
  <c r="BU119" i="103"/>
  <c r="AW119" i="103"/>
  <c r="AK119" i="103"/>
  <c r="BM118" i="103"/>
  <c r="AO118" i="103"/>
  <c r="Q118" i="103"/>
  <c r="BQ117" i="103"/>
  <c r="BE117" i="103"/>
  <c r="AS117" i="103"/>
  <c r="AG117" i="103"/>
  <c r="I117" i="103"/>
  <c r="BU116" i="103"/>
  <c r="AW116" i="103"/>
  <c r="AK116" i="103"/>
  <c r="BM115" i="103"/>
  <c r="AO115" i="103"/>
  <c r="Q115" i="103"/>
  <c r="BQ114" i="103"/>
  <c r="BE114" i="103"/>
  <c r="AS114" i="103"/>
  <c r="AG114" i="103"/>
  <c r="I114" i="103"/>
  <c r="BU113" i="103"/>
  <c r="AW113" i="103"/>
  <c r="AK113" i="103"/>
  <c r="BM112" i="103"/>
  <c r="AO112" i="103"/>
  <c r="Q112" i="103"/>
  <c r="BQ111" i="103"/>
  <c r="BE111" i="103"/>
  <c r="AS111" i="103"/>
  <c r="AG111" i="103"/>
  <c r="I111" i="103"/>
  <c r="BU110" i="103"/>
  <c r="AW110" i="103"/>
  <c r="AK110" i="103"/>
  <c r="BM109" i="103"/>
  <c r="AO109" i="103"/>
  <c r="Q109" i="103"/>
  <c r="BQ108" i="103"/>
  <c r="BE108" i="103"/>
  <c r="AS108" i="103"/>
  <c r="AG108" i="103"/>
  <c r="BT107" i="103"/>
  <c r="BC107" i="103" s="1"/>
  <c r="BH107" i="103"/>
  <c r="Q110" i="67" s="1"/>
  <c r="AJ107" i="103"/>
  <c r="BK106" i="103"/>
  <c r="AY106" i="103"/>
  <c r="BO105" i="103"/>
  <c r="AQ105" i="103"/>
  <c r="AE105" i="103"/>
  <c r="S105" i="103"/>
  <c r="G105" i="103"/>
  <c r="CE104" i="103"/>
  <c r="BS104" i="103"/>
  <c r="AN104" i="103" s="1"/>
  <c r="BG104" i="103"/>
  <c r="AI104" i="103"/>
  <c r="BK103" i="103"/>
  <c r="AY103" i="103"/>
  <c r="BO102" i="103"/>
  <c r="AQ102" i="103"/>
  <c r="AE102" i="103"/>
  <c r="S102" i="103"/>
  <c r="BR101" i="103"/>
  <c r="BF101" i="103"/>
  <c r="AT101" i="103"/>
  <c r="AH101" i="103"/>
  <c r="V101" i="103"/>
  <c r="BV100" i="103"/>
  <c r="BJ100" i="103"/>
  <c r="AX100" i="103"/>
  <c r="N100" i="103"/>
  <c r="BN99" i="103"/>
  <c r="AP99" i="103"/>
  <c r="AD99" i="103"/>
  <c r="BR98" i="103"/>
  <c r="BF98" i="103"/>
  <c r="AT98" i="103"/>
  <c r="AH98" i="103"/>
  <c r="V98" i="103"/>
  <c r="BV97" i="103"/>
  <c r="BJ97" i="103"/>
  <c r="AX97" i="103"/>
  <c r="N97" i="103"/>
  <c r="BN96" i="103"/>
  <c r="AP96" i="103"/>
  <c r="AD96" i="103"/>
  <c r="BR95" i="103"/>
  <c r="BF95" i="103"/>
  <c r="AT95" i="103"/>
  <c r="AH95" i="103"/>
  <c r="V95" i="103"/>
  <c r="BV94" i="103"/>
  <c r="BJ94" i="103"/>
  <c r="AX94" i="103"/>
  <c r="N94" i="103"/>
  <c r="BN93" i="103"/>
  <c r="AF148" i="103"/>
  <c r="AV144" i="103"/>
  <c r="P143" i="103"/>
  <c r="BL140" i="103"/>
  <c r="AF139" i="103"/>
  <c r="BT135" i="103"/>
  <c r="BR134" i="103"/>
  <c r="V134" i="103"/>
  <c r="BP133" i="103"/>
  <c r="T133" i="103"/>
  <c r="BN132" i="103"/>
  <c r="BL131" i="103"/>
  <c r="P131" i="103"/>
  <c r="BO130" i="103"/>
  <c r="T130" i="103"/>
  <c r="AP129" i="103"/>
  <c r="BP128" i="103"/>
  <c r="T127" i="103"/>
  <c r="BP126" i="103"/>
  <c r="AR126" i="103"/>
  <c r="AF126" i="103"/>
  <c r="T126" i="103"/>
  <c r="BT125" i="103"/>
  <c r="BC125" i="103" s="1"/>
  <c r="BH125" i="103"/>
  <c r="Q128" i="67" s="1"/>
  <c r="AJ125" i="103"/>
  <c r="CJ124" i="103"/>
  <c r="BL124" i="103"/>
  <c r="AZ124" i="103"/>
  <c r="P124" i="103"/>
  <c r="BP123" i="103"/>
  <c r="AR123" i="103"/>
  <c r="AF123" i="103"/>
  <c r="T123" i="103"/>
  <c r="BT122" i="103"/>
  <c r="BC122" i="103" s="1"/>
  <c r="BH122" i="103"/>
  <c r="Q125" i="67" s="1"/>
  <c r="AJ122" i="103"/>
  <c r="CJ121" i="103"/>
  <c r="BL121" i="103"/>
  <c r="AZ121" i="103"/>
  <c r="P121" i="103"/>
  <c r="BP120" i="103"/>
  <c r="AR120" i="103"/>
  <c r="AF120" i="103"/>
  <c r="T120" i="103"/>
  <c r="BT119" i="103"/>
  <c r="BC119" i="103" s="1"/>
  <c r="BH119" i="103"/>
  <c r="Q122" i="67" s="1"/>
  <c r="AJ119" i="103"/>
  <c r="CJ118" i="103"/>
  <c r="BL118" i="103"/>
  <c r="AZ118" i="103"/>
  <c r="P118" i="103"/>
  <c r="BP117" i="103"/>
  <c r="AR117" i="103"/>
  <c r="AF117" i="103"/>
  <c r="T117" i="103"/>
  <c r="BT116" i="103"/>
  <c r="BC116" i="103" s="1"/>
  <c r="BH116" i="103"/>
  <c r="Q119" i="67" s="1"/>
  <c r="AJ116" i="103"/>
  <c r="CJ115" i="103"/>
  <c r="BL115" i="103"/>
  <c r="AZ115" i="103"/>
  <c r="P115" i="103"/>
  <c r="BP114" i="103"/>
  <c r="AR114" i="103"/>
  <c r="AF114" i="103"/>
  <c r="T114" i="103"/>
  <c r="BT113" i="103"/>
  <c r="BH113" i="103"/>
  <c r="Q116" i="67" s="1"/>
  <c r="AJ113" i="103"/>
  <c r="CJ112" i="103"/>
  <c r="BL112" i="103"/>
  <c r="AZ112" i="103"/>
  <c r="P112" i="103"/>
  <c r="BP111" i="103"/>
  <c r="AR111" i="103"/>
  <c r="AF111" i="103"/>
  <c r="T111" i="103"/>
  <c r="BT110" i="103"/>
  <c r="BC110" i="103" s="1"/>
  <c r="BH110" i="103"/>
  <c r="Q113" i="67" s="1"/>
  <c r="AJ110" i="103"/>
  <c r="CJ109" i="103"/>
  <c r="BL109" i="103"/>
  <c r="AZ109" i="103"/>
  <c r="P109" i="103"/>
  <c r="BP108" i="103"/>
  <c r="AR108" i="103"/>
  <c r="AF108" i="103"/>
  <c r="T108" i="103"/>
  <c r="G108" i="103"/>
  <c r="CE107" i="103"/>
  <c r="BS107" i="103"/>
  <c r="AN107" i="103" s="1"/>
  <c r="BG107" i="103"/>
  <c r="AI107" i="103"/>
  <c r="BV106" i="103"/>
  <c r="BJ106" i="103"/>
  <c r="AX106" i="103"/>
  <c r="N106" i="103"/>
  <c r="BN105" i="103"/>
  <c r="AP105" i="103"/>
  <c r="AD105" i="103"/>
  <c r="BR104" i="103"/>
  <c r="BF104" i="103"/>
  <c r="AT104" i="103"/>
  <c r="AH104" i="103"/>
  <c r="V104" i="103"/>
  <c r="BV103" i="103"/>
  <c r="BJ103" i="103"/>
  <c r="AX103" i="103"/>
  <c r="N103" i="103"/>
  <c r="BN102" i="103"/>
  <c r="AP102" i="103"/>
  <c r="AD102" i="103"/>
  <c r="E102" i="103"/>
  <c r="BQ101" i="103"/>
  <c r="BE101" i="103"/>
  <c r="AS101" i="103"/>
  <c r="AG101" i="103"/>
  <c r="I101" i="103"/>
  <c r="BU100" i="103"/>
  <c r="BI100" i="103"/>
  <c r="AW100" i="103"/>
  <c r="AK100" i="103"/>
  <c r="BM99" i="103"/>
  <c r="AO99" i="103"/>
  <c r="Q99" i="103"/>
  <c r="BQ98" i="103"/>
  <c r="BE98" i="103"/>
  <c r="AS98" i="103"/>
  <c r="AG98" i="103"/>
  <c r="I98" i="103"/>
  <c r="BU97" i="103"/>
  <c r="BI97" i="103"/>
  <c r="AW97" i="103"/>
  <c r="AK97" i="103"/>
  <c r="BM96" i="103"/>
  <c r="AO96" i="103"/>
  <c r="Q96" i="103"/>
  <c r="BQ95" i="103"/>
  <c r="BE95" i="103"/>
  <c r="AS95" i="103"/>
  <c r="AG95" i="103"/>
  <c r="I95" i="103"/>
  <c r="BU94" i="103"/>
  <c r="BI94" i="103"/>
  <c r="AW94" i="103"/>
  <c r="AK94" i="103"/>
  <c r="BM93" i="103"/>
  <c r="AO93" i="103"/>
  <c r="Q93" i="103"/>
  <c r="BQ92" i="103"/>
  <c r="BE92" i="103"/>
  <c r="AS92" i="103"/>
  <c r="AG92" i="103"/>
  <c r="I92" i="103"/>
  <c r="BU91" i="103"/>
  <c r="BI91" i="103"/>
  <c r="AW91" i="103"/>
  <c r="AK91" i="103"/>
  <c r="BM90" i="103"/>
  <c r="T148" i="103"/>
  <c r="BP145" i="103"/>
  <c r="AJ144" i="103"/>
  <c r="AZ140" i="103"/>
  <c r="T139" i="103"/>
  <c r="BP136" i="103"/>
  <c r="BN135" i="103"/>
  <c r="BL134" i="103"/>
  <c r="P134" i="103"/>
  <c r="BO133" i="103"/>
  <c r="S133" i="103"/>
  <c r="BH132" i="103"/>
  <c r="Q136" i="67" s="1"/>
  <c r="BK131" i="103"/>
  <c r="BJ130" i="103"/>
  <c r="S130" i="103"/>
  <c r="BT129" i="103"/>
  <c r="AJ129" i="103"/>
  <c r="BL128" i="103"/>
  <c r="S127" i="103"/>
  <c r="BO126" i="103"/>
  <c r="AQ126" i="103"/>
  <c r="AE126" i="103"/>
  <c r="S126" i="103"/>
  <c r="G126" i="103"/>
  <c r="CE125" i="103"/>
  <c r="BS125" i="103"/>
  <c r="BG125" i="103"/>
  <c r="AI125" i="103"/>
  <c r="BK124" i="103"/>
  <c r="AY124" i="103"/>
  <c r="BO123" i="103"/>
  <c r="AQ123" i="103"/>
  <c r="AE123" i="103"/>
  <c r="S123" i="103"/>
  <c r="G123" i="103"/>
  <c r="CE122" i="103"/>
  <c r="BS122" i="103"/>
  <c r="BG122" i="103"/>
  <c r="AI122" i="103"/>
  <c r="BK121" i="103"/>
  <c r="AY121" i="103"/>
  <c r="BO120" i="103"/>
  <c r="AQ120" i="103"/>
  <c r="AE120" i="103"/>
  <c r="S120" i="103"/>
  <c r="G120" i="103"/>
  <c r="CE119" i="103"/>
  <c r="BS119" i="103"/>
  <c r="BG119" i="103"/>
  <c r="AI119" i="103"/>
  <c r="BK118" i="103"/>
  <c r="AY118" i="103"/>
  <c r="BO117" i="103"/>
  <c r="AQ117" i="103"/>
  <c r="AE117" i="103"/>
  <c r="S117" i="103"/>
  <c r="G117" i="103"/>
  <c r="CE116" i="103"/>
  <c r="BS116" i="103"/>
  <c r="BG116" i="103"/>
  <c r="AI116" i="103"/>
  <c r="BK115" i="103"/>
  <c r="AY115" i="103"/>
  <c r="BO114" i="103"/>
  <c r="AQ114" i="103"/>
  <c r="AE114" i="103"/>
  <c r="S114" i="103"/>
  <c r="G114" i="103"/>
  <c r="CE113" i="103"/>
  <c r="BS113" i="103"/>
  <c r="BG113" i="103"/>
  <c r="AI113" i="103"/>
  <c r="BK112" i="103"/>
  <c r="AY112" i="103"/>
  <c r="BO111" i="103"/>
  <c r="AQ111" i="103"/>
  <c r="AE111" i="103"/>
  <c r="S111" i="103"/>
  <c r="G111" i="103"/>
  <c r="CE110" i="103"/>
  <c r="BS110" i="103"/>
  <c r="BG110" i="103"/>
  <c r="AI110" i="103"/>
  <c r="BK109" i="103"/>
  <c r="AY109" i="103"/>
  <c r="BO108" i="103"/>
  <c r="AQ108" i="103"/>
  <c r="AE108" i="103"/>
  <c r="S108" i="103"/>
  <c r="BR107" i="103"/>
  <c r="BF107" i="103"/>
  <c r="AT107" i="103"/>
  <c r="AH107" i="103"/>
  <c r="V107" i="103"/>
  <c r="I107" i="103"/>
  <c r="BU106" i="103"/>
  <c r="AW106" i="103"/>
  <c r="AK106" i="103"/>
  <c r="BM105" i="103"/>
  <c r="AO105" i="103"/>
  <c r="Q105" i="103"/>
  <c r="BQ104" i="103"/>
  <c r="BE104" i="103"/>
  <c r="AS104" i="103"/>
  <c r="AG104" i="103"/>
  <c r="I104" i="103"/>
  <c r="BU103" i="103"/>
  <c r="AW103" i="103"/>
  <c r="AK103" i="103"/>
  <c r="BM102" i="103"/>
  <c r="AO102" i="103"/>
  <c r="Q102" i="103"/>
  <c r="BP101" i="103"/>
  <c r="AR101" i="103"/>
  <c r="AF101" i="103"/>
  <c r="T101" i="103"/>
  <c r="BT100" i="103"/>
  <c r="BC100" i="103" s="1"/>
  <c r="BH100" i="103"/>
  <c r="Q102" i="67" s="1"/>
  <c r="AJ100" i="103"/>
  <c r="CJ99" i="103"/>
  <c r="BL99" i="103"/>
  <c r="AZ99" i="103"/>
  <c r="P99" i="103"/>
  <c r="BP98" i="103"/>
  <c r="AR98" i="103"/>
  <c r="AF98" i="103"/>
  <c r="T98" i="103"/>
  <c r="BT97" i="103"/>
  <c r="BC97" i="103" s="1"/>
  <c r="BH97" i="103"/>
  <c r="Q99" i="67" s="1"/>
  <c r="AJ97" i="103"/>
  <c r="CJ96" i="103"/>
  <c r="BL96" i="103"/>
  <c r="AZ96" i="103"/>
  <c r="P96" i="103"/>
  <c r="BP95" i="103"/>
  <c r="AR95" i="103"/>
  <c r="AF95" i="103"/>
  <c r="T95" i="103"/>
  <c r="BT94" i="103"/>
  <c r="BC94" i="103" s="1"/>
  <c r="BH94" i="103"/>
  <c r="Q96" i="67" s="1"/>
  <c r="AJ94" i="103"/>
  <c r="CJ93" i="103"/>
  <c r="BL93" i="103"/>
  <c r="AZ93" i="103"/>
  <c r="P93" i="103"/>
  <c r="BP92" i="103"/>
  <c r="AR92" i="103"/>
  <c r="AF92" i="103"/>
  <c r="T92" i="103"/>
  <c r="BT91" i="103"/>
  <c r="BC91" i="103" s="1"/>
  <c r="BH91" i="103"/>
  <c r="Q93" i="67" s="1"/>
  <c r="AJ91" i="103"/>
  <c r="CJ90" i="103"/>
  <c r="BL90" i="103"/>
  <c r="AZ90" i="103"/>
  <c r="P90" i="103"/>
  <c r="BP89" i="103"/>
  <c r="AR89" i="103"/>
  <c r="AF89" i="103"/>
  <c r="T89" i="103"/>
  <c r="BT88" i="103"/>
  <c r="BC88" i="103" s="1"/>
  <c r="BH88" i="103"/>
  <c r="Q90" i="67" s="1"/>
  <c r="AJ88" i="103"/>
  <c r="CJ87" i="103"/>
  <c r="BL87" i="103"/>
  <c r="AZ87" i="103"/>
  <c r="P87" i="103"/>
  <c r="BP86" i="103"/>
  <c r="AR86" i="103"/>
  <c r="AF86" i="103"/>
  <c r="T86" i="103"/>
  <c r="CE85" i="103"/>
  <c r="BS85" i="103"/>
  <c r="BG85" i="103"/>
  <c r="AI85" i="103"/>
  <c r="BK84" i="103"/>
  <c r="AY84" i="103"/>
  <c r="BO83" i="103"/>
  <c r="AQ83" i="103"/>
  <c r="AE83" i="103"/>
  <c r="S83" i="103"/>
  <c r="G83" i="103"/>
  <c r="CE82" i="103"/>
  <c r="BS82" i="103"/>
  <c r="BG82" i="103"/>
  <c r="CJ146" i="103"/>
  <c r="BT141" i="103"/>
  <c r="CJ137" i="103"/>
  <c r="BH135" i="103"/>
  <c r="Q139" i="67" s="1"/>
  <c r="BK134" i="103"/>
  <c r="BJ133" i="103"/>
  <c r="N133" i="103"/>
  <c r="BG132" i="103"/>
  <c r="BF131" i="103"/>
  <c r="P130" i="103"/>
  <c r="BS129" i="103"/>
  <c r="AI129" i="103"/>
  <c r="BK128" i="103"/>
  <c r="AJ128" i="103"/>
  <c r="AJ127" i="103"/>
  <c r="Q127" i="103"/>
  <c r="BN126" i="103"/>
  <c r="AP126" i="103"/>
  <c r="AD126" i="103"/>
  <c r="BR125" i="103"/>
  <c r="BF125" i="103"/>
  <c r="AT125" i="103"/>
  <c r="AH125" i="103"/>
  <c r="V125" i="103"/>
  <c r="BV124" i="103"/>
  <c r="BJ124" i="103"/>
  <c r="AX124" i="103"/>
  <c r="N124" i="103"/>
  <c r="BN123" i="103"/>
  <c r="AP123" i="103"/>
  <c r="AD123" i="103"/>
  <c r="BR122" i="103"/>
  <c r="BF122" i="103"/>
  <c r="AT122" i="103"/>
  <c r="AH122" i="103"/>
  <c r="V122" i="103"/>
  <c r="BV121" i="103"/>
  <c r="BJ121" i="103"/>
  <c r="AX121" i="103"/>
  <c r="N121" i="103"/>
  <c r="BN120" i="103"/>
  <c r="AP120" i="103"/>
  <c r="AD120" i="103"/>
  <c r="BR119" i="103"/>
  <c r="BF119" i="103"/>
  <c r="AT119" i="103"/>
  <c r="AH119" i="103"/>
  <c r="V119" i="103"/>
  <c r="BV118" i="103"/>
  <c r="BJ118" i="103"/>
  <c r="AX118" i="103"/>
  <c r="N118" i="103"/>
  <c r="BN117" i="103"/>
  <c r="AP117" i="103"/>
  <c r="AD117" i="103"/>
  <c r="BR116" i="103"/>
  <c r="BF116" i="103"/>
  <c r="AT116" i="103"/>
  <c r="AH116" i="103"/>
  <c r="V116" i="103"/>
  <c r="BV115" i="103"/>
  <c r="BJ115" i="103"/>
  <c r="AX115" i="103"/>
  <c r="N115" i="103"/>
  <c r="BN114" i="103"/>
  <c r="AP114" i="103"/>
  <c r="AD114" i="103"/>
  <c r="BR113" i="103"/>
  <c r="BF113" i="103"/>
  <c r="AT113" i="103"/>
  <c r="AH113" i="103"/>
  <c r="V113" i="103"/>
  <c r="BV112" i="103"/>
  <c r="BJ112" i="103"/>
  <c r="AX112" i="103"/>
  <c r="N112" i="103"/>
  <c r="BN111" i="103"/>
  <c r="AP111" i="103"/>
  <c r="AD111" i="103"/>
  <c r="BR110" i="103"/>
  <c r="BF110" i="103"/>
  <c r="AT110" i="103"/>
  <c r="AH110" i="103"/>
  <c r="V110" i="103"/>
  <c r="BV109" i="103"/>
  <c r="BJ109" i="103"/>
  <c r="AX109" i="103"/>
  <c r="N109" i="103"/>
  <c r="BN108" i="103"/>
  <c r="AP108" i="103"/>
  <c r="AD108" i="103"/>
  <c r="BQ107" i="103"/>
  <c r="BE107" i="103"/>
  <c r="AS107" i="103"/>
  <c r="AG107" i="103"/>
  <c r="BT106" i="103"/>
  <c r="BC106" i="103" s="1"/>
  <c r="BH106" i="103"/>
  <c r="Q109" i="67" s="1"/>
  <c r="AJ106" i="103"/>
  <c r="CJ105" i="103"/>
  <c r="BL105" i="103"/>
  <c r="AZ105" i="103"/>
  <c r="P105" i="103"/>
  <c r="BP104" i="103"/>
  <c r="AR104" i="103"/>
  <c r="AF104" i="103"/>
  <c r="T104" i="103"/>
  <c r="BT103" i="103"/>
  <c r="BC103" i="103" s="1"/>
  <c r="BH103" i="103"/>
  <c r="Q106" i="67" s="1"/>
  <c r="AJ103" i="103"/>
  <c r="CJ102" i="103"/>
  <c r="BL102" i="103"/>
  <c r="AZ102" i="103"/>
  <c r="P102" i="103"/>
  <c r="BO101" i="103"/>
  <c r="AQ101" i="103"/>
  <c r="AE101" i="103"/>
  <c r="S101" i="103"/>
  <c r="G101" i="103"/>
  <c r="CE100" i="103"/>
  <c r="BS100" i="103"/>
  <c r="AN100" i="103" s="1"/>
  <c r="BG100" i="103"/>
  <c r="AI100" i="103"/>
  <c r="BK99" i="103"/>
  <c r="AY99" i="103"/>
  <c r="BO98" i="103"/>
  <c r="AQ98" i="103"/>
  <c r="AE98" i="103"/>
  <c r="S98" i="103"/>
  <c r="G98" i="103"/>
  <c r="CE97" i="103"/>
  <c r="BS97" i="103"/>
  <c r="AN97" i="103" s="1"/>
  <c r="BG97" i="103"/>
  <c r="AI97" i="103"/>
  <c r="BK96" i="103"/>
  <c r="AY96" i="103"/>
  <c r="BO95" i="103"/>
  <c r="AQ95" i="103"/>
  <c r="AE95" i="103"/>
  <c r="S95" i="103"/>
  <c r="G95" i="103"/>
  <c r="CE94" i="103"/>
  <c r="BS94" i="103"/>
  <c r="AN94" i="103" s="1"/>
  <c r="BG94" i="103"/>
  <c r="AI94" i="103"/>
  <c r="BK93" i="103"/>
  <c r="AY93" i="103"/>
  <c r="BO92" i="103"/>
  <c r="AQ92" i="103"/>
  <c r="AE92" i="103"/>
  <c r="S92" i="103"/>
  <c r="G92" i="103"/>
  <c r="CE91" i="103"/>
  <c r="BS91" i="103"/>
  <c r="BG91" i="103"/>
  <c r="AI91" i="103"/>
  <c r="BK90" i="103"/>
  <c r="AY90" i="103"/>
  <c r="BO89" i="103"/>
  <c r="AQ89" i="103"/>
  <c r="AE89" i="103"/>
  <c r="S89" i="103"/>
  <c r="G89" i="103"/>
  <c r="CE88" i="103"/>
  <c r="BS88" i="103"/>
  <c r="BG88" i="103"/>
  <c r="AI88" i="103"/>
  <c r="BK87" i="103"/>
  <c r="AY87" i="103"/>
  <c r="BO86" i="103"/>
  <c r="AQ86" i="103"/>
  <c r="AE86" i="103"/>
  <c r="S86" i="103"/>
  <c r="G86" i="103"/>
  <c r="BR85" i="103"/>
  <c r="BF85" i="103"/>
  <c r="AT85" i="103"/>
  <c r="AH85" i="103"/>
  <c r="V85" i="103"/>
  <c r="BV84" i="103"/>
  <c r="BJ84" i="103"/>
  <c r="AX84" i="103"/>
  <c r="N84" i="103"/>
  <c r="BN83" i="103"/>
  <c r="AP83" i="103"/>
  <c r="AD83" i="103"/>
  <c r="BR82" i="103"/>
  <c r="AR145" i="103"/>
  <c r="BH141" i="103"/>
  <c r="Q145" i="67" s="1"/>
  <c r="AR136" i="103"/>
  <c r="BG135" i="103"/>
  <c r="BF134" i="103"/>
  <c r="AZ131" i="103"/>
  <c r="N130" i="103"/>
  <c r="BP129" i="103"/>
  <c r="AF129" i="103"/>
  <c r="CJ128" i="103"/>
  <c r="BH128" i="103"/>
  <c r="Q131" i="67" s="1"/>
  <c r="AH128" i="103"/>
  <c r="BV127" i="103"/>
  <c r="AZ127" i="103"/>
  <c r="AI127" i="103"/>
  <c r="P127" i="103"/>
  <c r="BM126" i="103"/>
  <c r="AO126" i="103"/>
  <c r="Q126" i="103"/>
  <c r="BQ125" i="103"/>
  <c r="BE125" i="103"/>
  <c r="AS125" i="103"/>
  <c r="AG125" i="103"/>
  <c r="I125" i="103"/>
  <c r="BU124" i="103"/>
  <c r="AW124" i="103"/>
  <c r="AK124" i="103"/>
  <c r="BM123" i="103"/>
  <c r="AO123" i="103"/>
  <c r="Q123" i="103"/>
  <c r="BQ122" i="103"/>
  <c r="BE122" i="103"/>
  <c r="AS122" i="103"/>
  <c r="AG122" i="103"/>
  <c r="I122" i="103"/>
  <c r="BU121" i="103"/>
  <c r="AW121" i="103"/>
  <c r="AK121" i="103"/>
  <c r="BM120" i="103"/>
  <c r="AO120" i="103"/>
  <c r="Q120" i="103"/>
  <c r="BQ119" i="103"/>
  <c r="BE119" i="103"/>
  <c r="AS119" i="103"/>
  <c r="AG119" i="103"/>
  <c r="I119" i="103"/>
  <c r="BU118" i="103"/>
  <c r="AW118" i="103"/>
  <c r="AK118" i="103"/>
  <c r="BM117" i="103"/>
  <c r="AO117" i="103"/>
  <c r="Q117" i="103"/>
  <c r="BQ116" i="103"/>
  <c r="BE116" i="103"/>
  <c r="AS116" i="103"/>
  <c r="AG116" i="103"/>
  <c r="I116" i="103"/>
  <c r="BU115" i="103"/>
  <c r="AW115" i="103"/>
  <c r="AK115" i="103"/>
  <c r="BM114" i="103"/>
  <c r="AO114" i="103"/>
  <c r="Q114" i="103"/>
  <c r="BQ113" i="103"/>
  <c r="BE113" i="103"/>
  <c r="AS113" i="103"/>
  <c r="AG113" i="103"/>
  <c r="I113" i="103"/>
  <c r="BU112" i="103"/>
  <c r="AW112" i="103"/>
  <c r="AK112" i="103"/>
  <c r="BM111" i="103"/>
  <c r="AO111" i="103"/>
  <c r="Q111" i="103"/>
  <c r="BQ110" i="103"/>
  <c r="BE110" i="103"/>
  <c r="AS110" i="103"/>
  <c r="AG110" i="103"/>
  <c r="I110" i="103"/>
  <c r="BU109" i="103"/>
  <c r="AW109" i="103"/>
  <c r="AK109" i="103"/>
  <c r="BM108" i="103"/>
  <c r="AO108" i="103"/>
  <c r="Q108" i="103"/>
  <c r="BP107" i="103"/>
  <c r="AR107" i="103"/>
  <c r="AF107" i="103"/>
  <c r="T107" i="103"/>
  <c r="G107" i="103"/>
  <c r="CE106" i="103"/>
  <c r="BS106" i="103"/>
  <c r="AN106" i="103" s="1"/>
  <c r="BG106" i="103"/>
  <c r="AI106" i="103"/>
  <c r="BK105" i="103"/>
  <c r="AY105" i="103"/>
  <c r="BO104" i="103"/>
  <c r="AQ104" i="103"/>
  <c r="AE104" i="103"/>
  <c r="S104" i="103"/>
  <c r="G104" i="103"/>
  <c r="CE103" i="103"/>
  <c r="BS103" i="103"/>
  <c r="AN103" i="103" s="1"/>
  <c r="BG103" i="103"/>
  <c r="AI103" i="103"/>
  <c r="BK102" i="103"/>
  <c r="AY102" i="103"/>
  <c r="BN101" i="103"/>
  <c r="AP101" i="103"/>
  <c r="AD101" i="103"/>
  <c r="BR100" i="103"/>
  <c r="BF100" i="103"/>
  <c r="AT100" i="103"/>
  <c r="AH100" i="103"/>
  <c r="V100" i="103"/>
  <c r="BV99" i="103"/>
  <c r="BJ99" i="103"/>
  <c r="AX99" i="103"/>
  <c r="N99" i="103"/>
  <c r="BN98" i="103"/>
  <c r="AP98" i="103"/>
  <c r="AD98" i="103"/>
  <c r="BR97" i="103"/>
  <c r="BF97" i="103"/>
  <c r="AT97" i="103"/>
  <c r="AH97" i="103"/>
  <c r="V97" i="103"/>
  <c r="BV96" i="103"/>
  <c r="BJ96" i="103"/>
  <c r="AX96" i="103"/>
  <c r="N96" i="103"/>
  <c r="BN95" i="103"/>
  <c r="AP95" i="103"/>
  <c r="AD95" i="103"/>
  <c r="BR94" i="103"/>
  <c r="BF94" i="103"/>
  <c r="AT94" i="103"/>
  <c r="AH94" i="103"/>
  <c r="V94" i="103"/>
  <c r="BV93" i="103"/>
  <c r="BJ93" i="103"/>
  <c r="AX93" i="103"/>
  <c r="N93" i="103"/>
  <c r="BN92" i="103"/>
  <c r="AP92" i="103"/>
  <c r="AD92" i="103"/>
  <c r="BR91" i="103"/>
  <c r="BF91" i="103"/>
  <c r="AT91" i="103"/>
  <c r="AH91" i="103"/>
  <c r="V91" i="103"/>
  <c r="BV90" i="103"/>
  <c r="BJ90" i="103"/>
  <c r="AX90" i="103"/>
  <c r="N90" i="103"/>
  <c r="BN89" i="103"/>
  <c r="AP89" i="103"/>
  <c r="AD89" i="103"/>
  <c r="BR88" i="103"/>
  <c r="BF88" i="103"/>
  <c r="AT88" i="103"/>
  <c r="AH88" i="103"/>
  <c r="V88" i="103"/>
  <c r="BV87" i="103"/>
  <c r="BJ87" i="103"/>
  <c r="AX87" i="103"/>
  <c r="N87" i="103"/>
  <c r="BN86" i="103"/>
  <c r="AP86" i="103"/>
  <c r="AD86" i="103"/>
  <c r="BQ85" i="103"/>
  <c r="BE85" i="103"/>
  <c r="AS85" i="103"/>
  <c r="AG85" i="103"/>
  <c r="I85" i="103"/>
  <c r="BU84" i="103"/>
  <c r="BI84" i="103"/>
  <c r="AW84" i="103"/>
  <c r="AK84" i="103"/>
  <c r="BM83" i="103"/>
  <c r="AO83" i="103"/>
  <c r="Q83" i="103"/>
  <c r="BQ82" i="103"/>
  <c r="BE82" i="103"/>
  <c r="AS82" i="103"/>
  <c r="AG82" i="103"/>
  <c r="I82" i="103"/>
  <c r="P149" i="103"/>
  <c r="BL146" i="103"/>
  <c r="AF145" i="103"/>
  <c r="AV141" i="103"/>
  <c r="P140" i="103"/>
  <c r="BL137" i="103"/>
  <c r="AF136" i="103"/>
  <c r="AZ134" i="103"/>
  <c r="BC133" i="103"/>
  <c r="G133" i="103"/>
  <c r="AV132" i="103"/>
  <c r="AY131" i="103"/>
  <c r="AX130" i="103"/>
  <c r="BN129" i="103"/>
  <c r="AD129" i="103"/>
  <c r="BF128" i="103"/>
  <c r="AF128" i="103"/>
  <c r="BT127" i="103"/>
  <c r="BC127" i="103" s="1"/>
  <c r="AY127" i="103"/>
  <c r="AF127" i="103"/>
  <c r="BL126" i="103"/>
  <c r="AZ126" i="103"/>
  <c r="P126" i="103"/>
  <c r="BP125" i="103"/>
  <c r="AR125" i="103"/>
  <c r="AF125" i="103"/>
  <c r="T125" i="103"/>
  <c r="BT124" i="103"/>
  <c r="BH124" i="103"/>
  <c r="Q127" i="67" s="1"/>
  <c r="AJ124" i="103"/>
  <c r="CJ123" i="103"/>
  <c r="BL123" i="103"/>
  <c r="AZ123" i="103"/>
  <c r="P123" i="103"/>
  <c r="BP122" i="103"/>
  <c r="AR122" i="103"/>
  <c r="AF122" i="103"/>
  <c r="T122" i="103"/>
  <c r="BT121" i="103"/>
  <c r="BH121" i="103"/>
  <c r="Q124" i="67" s="1"/>
  <c r="AJ121" i="103"/>
  <c r="CJ120" i="103"/>
  <c r="BL120" i="103"/>
  <c r="AZ120" i="103"/>
  <c r="P120" i="103"/>
  <c r="BP119" i="103"/>
  <c r="AR119" i="103"/>
  <c r="AF119" i="103"/>
  <c r="T119" i="103"/>
  <c r="BT118" i="103"/>
  <c r="BH118" i="103"/>
  <c r="Q121" i="67" s="1"/>
  <c r="AJ118" i="103"/>
  <c r="CJ117" i="103"/>
  <c r="BL117" i="103"/>
  <c r="AZ117" i="103"/>
  <c r="P117" i="103"/>
  <c r="BP116" i="103"/>
  <c r="AR116" i="103"/>
  <c r="AF116" i="103"/>
  <c r="T116" i="103"/>
  <c r="BT115" i="103"/>
  <c r="BH115" i="103"/>
  <c r="Q118" i="67" s="1"/>
  <c r="AJ115" i="103"/>
  <c r="CJ114" i="103"/>
  <c r="BL114" i="103"/>
  <c r="AZ114" i="103"/>
  <c r="P114" i="103"/>
  <c r="BP113" i="103"/>
  <c r="AR113" i="103"/>
  <c r="AF113" i="103"/>
  <c r="T113" i="103"/>
  <c r="BT112" i="103"/>
  <c r="BH112" i="103"/>
  <c r="Q115" i="67" s="1"/>
  <c r="AJ112" i="103"/>
  <c r="CJ111" i="103"/>
  <c r="BL111" i="103"/>
  <c r="AZ111" i="103"/>
  <c r="P111" i="103"/>
  <c r="BP110" i="103"/>
  <c r="AR110" i="103"/>
  <c r="AF110" i="103"/>
  <c r="T110" i="103"/>
  <c r="BT109" i="103"/>
  <c r="BH109" i="103"/>
  <c r="Q112" i="67" s="1"/>
  <c r="AJ109" i="103"/>
  <c r="CJ108" i="103"/>
  <c r="BL108" i="103"/>
  <c r="AZ108" i="103"/>
  <c r="P108" i="103"/>
  <c r="BO107" i="103"/>
  <c r="AQ107" i="103"/>
  <c r="AE107" i="103"/>
  <c r="S107" i="103"/>
  <c r="BR106" i="103"/>
  <c r="BF106" i="103"/>
  <c r="AT106" i="103"/>
  <c r="AH106" i="103"/>
  <c r="V106" i="103"/>
  <c r="BV105" i="103"/>
  <c r="BJ105" i="103"/>
  <c r="AX105" i="103"/>
  <c r="N105" i="103"/>
  <c r="BN104" i="103"/>
  <c r="AP104" i="103"/>
  <c r="AD104" i="103"/>
  <c r="BR103" i="103"/>
  <c r="BF103" i="103"/>
  <c r="AT103" i="103"/>
  <c r="AH103" i="103"/>
  <c r="V103" i="103"/>
  <c r="BV102" i="103"/>
  <c r="BJ102" i="103"/>
  <c r="AX102" i="103"/>
  <c r="N102" i="103"/>
  <c r="BM101" i="103"/>
  <c r="AO101" i="103"/>
  <c r="Q101" i="103"/>
  <c r="BQ100" i="103"/>
  <c r="BE100" i="103"/>
  <c r="AS100" i="103"/>
  <c r="AG100" i="103"/>
  <c r="I100" i="103"/>
  <c r="BU99" i="103"/>
  <c r="BI99" i="103"/>
  <c r="AW99" i="103"/>
  <c r="AK99" i="103"/>
  <c r="BM98" i="103"/>
  <c r="AO98" i="103"/>
  <c r="Q98" i="103"/>
  <c r="BQ97" i="103"/>
  <c r="BE97" i="103"/>
  <c r="AS97" i="103"/>
  <c r="AG97" i="103"/>
  <c r="I97" i="103"/>
  <c r="BU96" i="103"/>
  <c r="BI96" i="103"/>
  <c r="AW96" i="103"/>
  <c r="AK96" i="103"/>
  <c r="BM95" i="103"/>
  <c r="AO95" i="103"/>
  <c r="Q95" i="103"/>
  <c r="BQ94" i="103"/>
  <c r="BE94" i="103"/>
  <c r="AS94" i="103"/>
  <c r="AG94" i="103"/>
  <c r="I94" i="103"/>
  <c r="BU93" i="103"/>
  <c r="BI93" i="103"/>
  <c r="AW93" i="103"/>
  <c r="AK93" i="103"/>
  <c r="BM92" i="103"/>
  <c r="AO92" i="103"/>
  <c r="Q92" i="103"/>
  <c r="BQ91" i="103"/>
  <c r="BE91" i="103"/>
  <c r="AS91" i="103"/>
  <c r="AG91" i="103"/>
  <c r="I91" i="103"/>
  <c r="BU90" i="103"/>
  <c r="BI90" i="103"/>
  <c r="AW90" i="103"/>
  <c r="AK90" i="103"/>
  <c r="BM89" i="103"/>
  <c r="AO89" i="103"/>
  <c r="Q89" i="103"/>
  <c r="BQ88" i="103"/>
  <c r="BE88" i="103"/>
  <c r="AS88" i="103"/>
  <c r="AG88" i="103"/>
  <c r="I88" i="103"/>
  <c r="BU87" i="103"/>
  <c r="BI87" i="103"/>
  <c r="AW87" i="103"/>
  <c r="AK87" i="103"/>
  <c r="BM86" i="103"/>
  <c r="AO86" i="103"/>
  <c r="Q86" i="103"/>
  <c r="BP85" i="103"/>
  <c r="AR85" i="103"/>
  <c r="AF85" i="103"/>
  <c r="T85" i="103"/>
  <c r="BT84" i="103"/>
  <c r="BC84" i="103" s="1"/>
  <c r="BH84" i="103"/>
  <c r="Q86" i="67" s="1"/>
  <c r="AJ84" i="103"/>
  <c r="CJ83" i="103"/>
  <c r="BL83" i="103"/>
  <c r="AZ83" i="103"/>
  <c r="P83" i="103"/>
  <c r="BP82" i="103"/>
  <c r="AR82" i="103"/>
  <c r="AF82" i="103"/>
  <c r="T82" i="103"/>
  <c r="AZ146" i="103"/>
  <c r="T145" i="103"/>
  <c r="BP142" i="103"/>
  <c r="AJ141" i="103"/>
  <c r="AZ137" i="103"/>
  <c r="T136" i="103"/>
  <c r="AV135" i="103"/>
  <c r="AY134" i="103"/>
  <c r="AX133" i="103"/>
  <c r="AU132" i="103"/>
  <c r="AT131" i="103"/>
  <c r="G130" i="103"/>
  <c r="BH129" i="103"/>
  <c r="Q132" i="67" s="1"/>
  <c r="BP127" i="103"/>
  <c r="AX127" i="103"/>
  <c r="AE127" i="103"/>
  <c r="N127" i="103"/>
  <c r="CJ126" i="103"/>
  <c r="BK126" i="103"/>
  <c r="AY126" i="103"/>
  <c r="BO125" i="103"/>
  <c r="AQ125" i="103"/>
  <c r="AE125" i="103"/>
  <c r="S125" i="103"/>
  <c r="G125" i="103"/>
  <c r="CE124" i="103"/>
  <c r="BS124" i="103"/>
  <c r="BG124" i="103"/>
  <c r="AI124" i="103"/>
  <c r="BK123" i="103"/>
  <c r="AY123" i="103"/>
  <c r="BO122" i="103"/>
  <c r="AQ122" i="103"/>
  <c r="AE122" i="103"/>
  <c r="S122" i="103"/>
  <c r="G122" i="103"/>
  <c r="CE121" i="103"/>
  <c r="BS121" i="103"/>
  <c r="BG121" i="103"/>
  <c r="AI121" i="103"/>
  <c r="BK120" i="103"/>
  <c r="AY120" i="103"/>
  <c r="BO119" i="103"/>
  <c r="AQ119" i="103"/>
  <c r="AE119" i="103"/>
  <c r="S119" i="103"/>
  <c r="G119" i="103"/>
  <c r="CE118" i="103"/>
  <c r="BS118" i="103"/>
  <c r="BG118" i="103"/>
  <c r="AI118" i="103"/>
  <c r="BK117" i="103"/>
  <c r="AY117" i="103"/>
  <c r="BO116" i="103"/>
  <c r="AQ116" i="103"/>
  <c r="AE116" i="103"/>
  <c r="S116" i="103"/>
  <c r="G116" i="103"/>
  <c r="CE115" i="103"/>
  <c r="BS115" i="103"/>
  <c r="AN115" i="103" s="1"/>
  <c r="BG115" i="103"/>
  <c r="AI115" i="103"/>
  <c r="BK114" i="103"/>
  <c r="AY114" i="103"/>
  <c r="BO113" i="103"/>
  <c r="AQ113" i="103"/>
  <c r="AE113" i="103"/>
  <c r="S113" i="103"/>
  <c r="G113" i="103"/>
  <c r="CE112" i="103"/>
  <c r="BS112" i="103"/>
  <c r="BG112" i="103"/>
  <c r="AI112" i="103"/>
  <c r="BK111" i="103"/>
  <c r="AY111" i="103"/>
  <c r="BO110" i="103"/>
  <c r="AQ110" i="103"/>
  <c r="AE110" i="103"/>
  <c r="S110" i="103"/>
  <c r="G110" i="103"/>
  <c r="CE109" i="103"/>
  <c r="BS109" i="103"/>
  <c r="BG109" i="103"/>
  <c r="AI109" i="103"/>
  <c r="BK108" i="103"/>
  <c r="AY108" i="103"/>
  <c r="BN107" i="103"/>
  <c r="AP107" i="103"/>
  <c r="AD107" i="103"/>
  <c r="BQ106" i="103"/>
  <c r="BE106" i="103"/>
  <c r="AS106" i="103"/>
  <c r="AG106" i="103"/>
  <c r="I106" i="103"/>
  <c r="BU105" i="103"/>
  <c r="AW105" i="103"/>
  <c r="AK105" i="103"/>
  <c r="BM104" i="103"/>
  <c r="AO104" i="103"/>
  <c r="Q104" i="103"/>
  <c r="BQ103" i="103"/>
  <c r="BE103" i="103"/>
  <c r="AS103" i="103"/>
  <c r="AG103" i="103"/>
  <c r="I103" i="103"/>
  <c r="BU102" i="103"/>
  <c r="AW102" i="103"/>
  <c r="AK102" i="103"/>
  <c r="CJ101" i="103"/>
  <c r="BL101" i="103"/>
  <c r="AZ101" i="103"/>
  <c r="P101" i="103"/>
  <c r="BP100" i="103"/>
  <c r="AR100" i="103"/>
  <c r="AF100" i="103"/>
  <c r="T100" i="103"/>
  <c r="BT99" i="103"/>
  <c r="BH99" i="103"/>
  <c r="Q101" i="67" s="1"/>
  <c r="AJ99" i="103"/>
  <c r="CJ98" i="103"/>
  <c r="BL98" i="103"/>
  <c r="AZ98" i="103"/>
  <c r="P98" i="103"/>
  <c r="BP97" i="103"/>
  <c r="AR97" i="103"/>
  <c r="AF97" i="103"/>
  <c r="T97" i="103"/>
  <c r="BT96" i="103"/>
  <c r="BH96" i="103"/>
  <c r="Q98" i="67" s="1"/>
  <c r="AJ96" i="103"/>
  <c r="CJ95" i="103"/>
  <c r="BL95" i="103"/>
  <c r="AZ95" i="103"/>
  <c r="P95" i="103"/>
  <c r="BP94" i="103"/>
  <c r="AR94" i="103"/>
  <c r="AF94" i="103"/>
  <c r="T94" i="103"/>
  <c r="BT93" i="103"/>
  <c r="BC93" i="103" s="1"/>
  <c r="BH93" i="103"/>
  <c r="Q95" i="67" s="1"/>
  <c r="AJ93" i="103"/>
  <c r="CJ92" i="103"/>
  <c r="BL92" i="103"/>
  <c r="AZ92" i="103"/>
  <c r="P92" i="103"/>
  <c r="BP91" i="103"/>
  <c r="AR91" i="103"/>
  <c r="AF91" i="103"/>
  <c r="T91" i="103"/>
  <c r="BT90" i="103"/>
  <c r="BC90" i="103" s="1"/>
  <c r="BH90" i="103"/>
  <c r="Q92" i="67" s="1"/>
  <c r="AJ90" i="103"/>
  <c r="CJ89" i="103"/>
  <c r="BL89" i="103"/>
  <c r="AZ89" i="103"/>
  <c r="P89" i="103"/>
  <c r="BT147" i="103"/>
  <c r="CJ143" i="103"/>
  <c r="BT138" i="103"/>
  <c r="N136" i="103"/>
  <c r="AU135" i="103"/>
  <c r="AT134" i="103"/>
  <c r="AR133" i="103"/>
  <c r="AP132" i="103"/>
  <c r="CJ131" i="103"/>
  <c r="AR130" i="103"/>
  <c r="BG129" i="103"/>
  <c r="AZ128" i="103"/>
  <c r="BO127" i="103"/>
  <c r="BV126" i="103"/>
  <c r="BJ126" i="103"/>
  <c r="AX126" i="103"/>
  <c r="N126" i="103"/>
  <c r="BN125" i="103"/>
  <c r="AP125" i="103"/>
  <c r="AD125" i="103"/>
  <c r="BR124" i="103"/>
  <c r="BF124" i="103"/>
  <c r="AT124" i="103"/>
  <c r="AH124" i="103"/>
  <c r="V124" i="103"/>
  <c r="BV123" i="103"/>
  <c r="BJ123" i="103"/>
  <c r="AX123" i="103"/>
  <c r="N123" i="103"/>
  <c r="BN122" i="103"/>
  <c r="AP122" i="103"/>
  <c r="AD122" i="103"/>
  <c r="BR121" i="103"/>
  <c r="BF121" i="103"/>
  <c r="AT121" i="103"/>
  <c r="AH121" i="103"/>
  <c r="V121" i="103"/>
  <c r="BV120" i="103"/>
  <c r="BJ120" i="103"/>
  <c r="AX120" i="103"/>
  <c r="N120" i="103"/>
  <c r="BN119" i="103"/>
  <c r="AP119" i="103"/>
  <c r="AD119" i="103"/>
  <c r="BR118" i="103"/>
  <c r="BF118" i="103"/>
  <c r="AT118" i="103"/>
  <c r="AH118" i="103"/>
  <c r="V118" i="103"/>
  <c r="BV117" i="103"/>
  <c r="BJ117" i="103"/>
  <c r="AX117" i="103"/>
  <c r="N117" i="103"/>
  <c r="BN116" i="103"/>
  <c r="AP116" i="103"/>
  <c r="AD116" i="103"/>
  <c r="BR115" i="103"/>
  <c r="BF115" i="103"/>
  <c r="AT115" i="103"/>
  <c r="AH115" i="103"/>
  <c r="V115" i="103"/>
  <c r="BV114" i="103"/>
  <c r="BJ114" i="103"/>
  <c r="AX114" i="103"/>
  <c r="N114" i="103"/>
  <c r="BN113" i="103"/>
  <c r="AP113" i="103"/>
  <c r="AD113" i="103"/>
  <c r="BR112" i="103"/>
  <c r="BF112" i="103"/>
  <c r="AT112" i="103"/>
  <c r="AH112" i="103"/>
  <c r="V112" i="103"/>
  <c r="BV111" i="103"/>
  <c r="BJ111" i="103"/>
  <c r="AX111" i="103"/>
  <c r="N111" i="103"/>
  <c r="BN110" i="103"/>
  <c r="AP110" i="103"/>
  <c r="AD110" i="103"/>
  <c r="BR109" i="103"/>
  <c r="BF109" i="103"/>
  <c r="AT109" i="103"/>
  <c r="AH109" i="103"/>
  <c r="V109" i="103"/>
  <c r="BV108" i="103"/>
  <c r="BJ108" i="103"/>
  <c r="AX108" i="103"/>
  <c r="N108" i="103"/>
  <c r="BM107" i="103"/>
  <c r="AO107" i="103"/>
  <c r="Q107" i="103"/>
  <c r="BP106" i="103"/>
  <c r="AR106" i="103"/>
  <c r="AF106" i="103"/>
  <c r="T106" i="103"/>
  <c r="BT105" i="103"/>
  <c r="BH105" i="103"/>
  <c r="Q108" i="67" s="1"/>
  <c r="AJ105" i="103"/>
  <c r="CJ104" i="103"/>
  <c r="BL104" i="103"/>
  <c r="AZ104" i="103"/>
  <c r="P104" i="103"/>
  <c r="BP103" i="103"/>
  <c r="AR103" i="103"/>
  <c r="AF103" i="103"/>
  <c r="T103" i="103"/>
  <c r="BT102" i="103"/>
  <c r="BH102" i="103"/>
  <c r="Q105" i="67" s="1"/>
  <c r="AJ102" i="103"/>
  <c r="BK101" i="103"/>
  <c r="AY101" i="103"/>
  <c r="BO100" i="103"/>
  <c r="AQ100" i="103"/>
  <c r="AE100" i="103"/>
  <c r="S100" i="103"/>
  <c r="G100" i="103"/>
  <c r="CE99" i="103"/>
  <c r="BS99" i="103"/>
  <c r="AN99" i="103" s="1"/>
  <c r="BG99" i="103"/>
  <c r="AI99" i="103"/>
  <c r="BK98" i="103"/>
  <c r="AY98" i="103"/>
  <c r="BO97" i="103"/>
  <c r="AQ97" i="103"/>
  <c r="AE97" i="103"/>
  <c r="S97" i="103"/>
  <c r="G97" i="103"/>
  <c r="CE96" i="103"/>
  <c r="BS96" i="103"/>
  <c r="AN96" i="103" s="1"/>
  <c r="BG96" i="103"/>
  <c r="AI96" i="103"/>
  <c r="BK95" i="103"/>
  <c r="AY95" i="103"/>
  <c r="BO94" i="103"/>
  <c r="AQ94" i="103"/>
  <c r="AE94" i="103"/>
  <c r="S94" i="103"/>
  <c r="G94" i="103"/>
  <c r="CE93" i="103"/>
  <c r="BS93" i="103"/>
  <c r="BG93" i="103"/>
  <c r="AI93" i="103"/>
  <c r="BK92" i="103"/>
  <c r="AY92" i="103"/>
  <c r="BO91" i="103"/>
  <c r="AQ91" i="103"/>
  <c r="AE91" i="103"/>
  <c r="S91" i="103"/>
  <c r="G91" i="103"/>
  <c r="CE90" i="103"/>
  <c r="BS90" i="103"/>
  <c r="BG90" i="103"/>
  <c r="AI90" i="103"/>
  <c r="BK89" i="103"/>
  <c r="AY89" i="103"/>
  <c r="BO88" i="103"/>
  <c r="AQ88" i="103"/>
  <c r="AE88" i="103"/>
  <c r="S88" i="103"/>
  <c r="G88" i="103"/>
  <c r="CE87" i="103"/>
  <c r="BS87" i="103"/>
  <c r="BG87" i="103"/>
  <c r="AI87" i="103"/>
  <c r="BK86" i="103"/>
  <c r="AY86" i="103"/>
  <c r="BN85" i="103"/>
  <c r="AP85" i="103"/>
  <c r="AD85" i="103"/>
  <c r="BR84" i="103"/>
  <c r="BF84" i="103"/>
  <c r="AT84" i="103"/>
  <c r="AH84" i="103"/>
  <c r="V84" i="103"/>
  <c r="BV83" i="103"/>
  <c r="BJ83" i="103"/>
  <c r="AX83" i="103"/>
  <c r="N83" i="103"/>
  <c r="BN82" i="103"/>
  <c r="AP82" i="103"/>
  <c r="BH147" i="103"/>
  <c r="Q151" i="67" s="1"/>
  <c r="AR142" i="103"/>
  <c r="BH138" i="103"/>
  <c r="Q142" i="67" s="1"/>
  <c r="AP135" i="103"/>
  <c r="CJ134" i="103"/>
  <c r="AQ133" i="103"/>
  <c r="AJ132" i="103"/>
  <c r="AQ130" i="103"/>
  <c r="T129" i="103"/>
  <c r="AY128" i="103"/>
  <c r="CJ127" i="103"/>
  <c r="BM127" i="103"/>
  <c r="BU126" i="103"/>
  <c r="AW126" i="103"/>
  <c r="AK126" i="103"/>
  <c r="BM125" i="103"/>
  <c r="AO125" i="103"/>
  <c r="Q125" i="103"/>
  <c r="BQ124" i="103"/>
  <c r="BE124" i="103"/>
  <c r="AS124" i="103"/>
  <c r="AG124" i="103"/>
  <c r="I124" i="103"/>
  <c r="BU123" i="103"/>
  <c r="AW123" i="103"/>
  <c r="AK123" i="103"/>
  <c r="BM122" i="103"/>
  <c r="AO122" i="103"/>
  <c r="Q122" i="103"/>
  <c r="BQ121" i="103"/>
  <c r="BE121" i="103"/>
  <c r="AS121" i="103"/>
  <c r="AG121" i="103"/>
  <c r="I121" i="103"/>
  <c r="BU120" i="103"/>
  <c r="AW120" i="103"/>
  <c r="AK120" i="103"/>
  <c r="BM119" i="103"/>
  <c r="AO119" i="103"/>
  <c r="Q119" i="103"/>
  <c r="BQ118" i="103"/>
  <c r="BE118" i="103"/>
  <c r="AS118" i="103"/>
  <c r="AG118" i="103"/>
  <c r="I118" i="103"/>
  <c r="BU117" i="103"/>
  <c r="AW117" i="103"/>
  <c r="AK117" i="103"/>
  <c r="BM116" i="103"/>
  <c r="AO116" i="103"/>
  <c r="Q116" i="103"/>
  <c r="BQ115" i="103"/>
  <c r="BE115" i="103"/>
  <c r="AS115" i="103"/>
  <c r="AG115" i="103"/>
  <c r="I115" i="103"/>
  <c r="BU114" i="103"/>
  <c r="AW114" i="103"/>
  <c r="AK114" i="103"/>
  <c r="BM113" i="103"/>
  <c r="AO113" i="103"/>
  <c r="Q113" i="103"/>
  <c r="BQ112" i="103"/>
  <c r="BE112" i="103"/>
  <c r="AS112" i="103"/>
  <c r="AG112" i="103"/>
  <c r="I112" i="103"/>
  <c r="BU111" i="103"/>
  <c r="AW111" i="103"/>
  <c r="AK111" i="103"/>
  <c r="BM110" i="103"/>
  <c r="AO110" i="103"/>
  <c r="Q110" i="103"/>
  <c r="BQ109" i="103"/>
  <c r="BE109" i="103"/>
  <c r="AS109" i="103"/>
  <c r="AG109" i="103"/>
  <c r="I109" i="103"/>
  <c r="BU108" i="103"/>
  <c r="AW108" i="103"/>
  <c r="AK108" i="103"/>
  <c r="CJ107" i="103"/>
  <c r="BL107" i="103"/>
  <c r="AZ107" i="103"/>
  <c r="P107" i="103"/>
  <c r="BO106" i="103"/>
  <c r="AQ106" i="103"/>
  <c r="AE106" i="103"/>
  <c r="S106" i="103"/>
  <c r="G106" i="103"/>
  <c r="CE105" i="103"/>
  <c r="BS105" i="103"/>
  <c r="BG105" i="103"/>
  <c r="AI105" i="103"/>
  <c r="BK104" i="103"/>
  <c r="AY104" i="103"/>
  <c r="BO103" i="103"/>
  <c r="AQ103" i="103"/>
  <c r="AE103" i="103"/>
  <c r="S103" i="103"/>
  <c r="G103" i="103"/>
  <c r="CE102" i="103"/>
  <c r="BS102" i="103"/>
  <c r="BG102" i="103"/>
  <c r="AI102" i="103"/>
  <c r="BV101" i="103"/>
  <c r="BJ101" i="103"/>
  <c r="AX101" i="103"/>
  <c r="N101" i="103"/>
  <c r="BN100" i="103"/>
  <c r="AP100" i="103"/>
  <c r="AD100" i="103"/>
  <c r="BR99" i="103"/>
  <c r="BF99" i="103"/>
  <c r="AT99" i="103"/>
  <c r="AH99" i="103"/>
  <c r="V99" i="103"/>
  <c r="BV98" i="103"/>
  <c r="BJ98" i="103"/>
  <c r="AX98" i="103"/>
  <c r="N98" i="103"/>
  <c r="BN97" i="103"/>
  <c r="AP97" i="103"/>
  <c r="AD97" i="103"/>
  <c r="BR96" i="103"/>
  <c r="BF96" i="103"/>
  <c r="AT96" i="103"/>
  <c r="AH96" i="103"/>
  <c r="V96" i="103"/>
  <c r="BV95" i="103"/>
  <c r="BJ95" i="103"/>
  <c r="AX95" i="103"/>
  <c r="N95" i="103"/>
  <c r="BN94" i="103"/>
  <c r="AP94" i="103"/>
  <c r="AD94" i="103"/>
  <c r="BR93" i="103"/>
  <c r="BF93" i="103"/>
  <c r="AT93" i="103"/>
  <c r="AH93" i="103"/>
  <c r="V93" i="103"/>
  <c r="BV92" i="103"/>
  <c r="BJ92" i="103"/>
  <c r="AX92" i="103"/>
  <c r="N92" i="103"/>
  <c r="BN91" i="103"/>
  <c r="AP91" i="103"/>
  <c r="AD91" i="103"/>
  <c r="BR90" i="103"/>
  <c r="BF90" i="103"/>
  <c r="AT90" i="103"/>
  <c r="AH90" i="103"/>
  <c r="V90" i="103"/>
  <c r="BV89" i="103"/>
  <c r="BJ89" i="103"/>
  <c r="AX89" i="103"/>
  <c r="N89" i="103"/>
  <c r="BN88" i="103"/>
  <c r="AP88" i="103"/>
  <c r="AD88" i="103"/>
  <c r="BR87" i="103"/>
  <c r="BF87" i="103"/>
  <c r="AT87" i="103"/>
  <c r="AH87" i="103"/>
  <c r="V87" i="103"/>
  <c r="BV86" i="103"/>
  <c r="BJ86" i="103"/>
  <c r="AX86" i="103"/>
  <c r="N86" i="103"/>
  <c r="BM85" i="103"/>
  <c r="AO85" i="103"/>
  <c r="Q85" i="103"/>
  <c r="BQ84" i="103"/>
  <c r="BE84" i="103"/>
  <c r="AS84" i="103"/>
  <c r="AG84" i="103"/>
  <c r="I84" i="103"/>
  <c r="BU83" i="103"/>
  <c r="BI83" i="103"/>
  <c r="AW83" i="103"/>
  <c r="AK83" i="103"/>
  <c r="BM82" i="103"/>
  <c r="AO82" i="103"/>
  <c r="Q82" i="103"/>
  <c r="BF92" i="103"/>
  <c r="AX91" i="103"/>
  <c r="BJ88" i="103"/>
  <c r="BM87" i="103"/>
  <c r="BQ86" i="103"/>
  <c r="BU85" i="103"/>
  <c r="AE85" i="103"/>
  <c r="AW82" i="103"/>
  <c r="BV81" i="103"/>
  <c r="BJ81" i="103"/>
  <c r="AX81" i="103"/>
  <c r="N81" i="103"/>
  <c r="BN80" i="103"/>
  <c r="AP80" i="103"/>
  <c r="AD80" i="103"/>
  <c r="BR79" i="103"/>
  <c r="BF79" i="103"/>
  <c r="AT79" i="103"/>
  <c r="AH79" i="103"/>
  <c r="V79" i="103"/>
  <c r="BV78" i="103"/>
  <c r="BJ78" i="103"/>
  <c r="AX78" i="103"/>
  <c r="N78" i="103"/>
  <c r="BN77" i="103"/>
  <c r="AP77" i="103"/>
  <c r="AD77" i="103"/>
  <c r="BR76" i="103"/>
  <c r="BF76" i="103"/>
  <c r="AT76" i="103"/>
  <c r="AH76" i="103"/>
  <c r="V76" i="103"/>
  <c r="BV75" i="103"/>
  <c r="BJ75" i="103"/>
  <c r="AX75" i="103"/>
  <c r="N75" i="103"/>
  <c r="BN74" i="103"/>
  <c r="AP74" i="103"/>
  <c r="AD74" i="103"/>
  <c r="BR73" i="103"/>
  <c r="BF73" i="103"/>
  <c r="AT73" i="103"/>
  <c r="AH73" i="103"/>
  <c r="V73" i="103"/>
  <c r="BV72" i="103"/>
  <c r="BJ72" i="103"/>
  <c r="AX72" i="103"/>
  <c r="N72" i="103"/>
  <c r="BN71" i="103"/>
  <c r="AP71" i="103"/>
  <c r="AD71" i="103"/>
  <c r="BR70" i="103"/>
  <c r="BF70" i="103"/>
  <c r="AT70" i="103"/>
  <c r="AH70" i="103"/>
  <c r="V70" i="103"/>
  <c r="BV69" i="103"/>
  <c r="BJ69" i="103"/>
  <c r="AX69" i="103"/>
  <c r="N69" i="103"/>
  <c r="BN68" i="103"/>
  <c r="AP68" i="103"/>
  <c r="AD68" i="103"/>
  <c r="BR67" i="103"/>
  <c r="BF67" i="103"/>
  <c r="AT67" i="103"/>
  <c r="AH67" i="103"/>
  <c r="V67" i="103"/>
  <c r="BV66" i="103"/>
  <c r="BJ66" i="103"/>
  <c r="AX66" i="103"/>
  <c r="N66" i="103"/>
  <c r="BM65" i="103"/>
  <c r="AO65" i="103"/>
  <c r="Q65" i="103"/>
  <c r="BP64" i="103"/>
  <c r="AR64" i="103"/>
  <c r="AF64" i="103"/>
  <c r="T64" i="103"/>
  <c r="BT63" i="103"/>
  <c r="BC63" i="103" s="1"/>
  <c r="BH63" i="103"/>
  <c r="Q64" i="67" s="1"/>
  <c r="AJ63" i="103"/>
  <c r="CJ62" i="103"/>
  <c r="BL62" i="103"/>
  <c r="AZ62" i="103"/>
  <c r="P62" i="103"/>
  <c r="BP61" i="103"/>
  <c r="AR61" i="103"/>
  <c r="AF61" i="103"/>
  <c r="T61" i="103"/>
  <c r="BT60" i="103"/>
  <c r="BC60" i="103" s="1"/>
  <c r="BH60" i="103"/>
  <c r="Q61" i="67" s="1"/>
  <c r="AJ60" i="103"/>
  <c r="CJ59" i="103"/>
  <c r="BL59" i="103"/>
  <c r="AZ59" i="103"/>
  <c r="P59" i="103"/>
  <c r="BP58" i="103"/>
  <c r="AR58" i="103"/>
  <c r="AF58" i="103"/>
  <c r="T58" i="103"/>
  <c r="BT57" i="103"/>
  <c r="BC57" i="103" s="1"/>
  <c r="BH57" i="103"/>
  <c r="Q58" i="67" s="1"/>
  <c r="AJ57" i="103"/>
  <c r="CJ56" i="103"/>
  <c r="BL56" i="103"/>
  <c r="AZ56" i="103"/>
  <c r="P56" i="103"/>
  <c r="BP55" i="103"/>
  <c r="AR55" i="103"/>
  <c r="AF55" i="103"/>
  <c r="T55" i="103"/>
  <c r="BT54" i="103"/>
  <c r="BC54" i="103" s="1"/>
  <c r="BH54" i="103"/>
  <c r="Q55" i="67" s="1"/>
  <c r="AJ54" i="103"/>
  <c r="CJ53" i="103"/>
  <c r="BL53" i="103"/>
  <c r="AZ53" i="103"/>
  <c r="P53" i="103"/>
  <c r="BO52" i="103"/>
  <c r="AQ52" i="103"/>
  <c r="AE52" i="103"/>
  <c r="S52" i="103"/>
  <c r="G52" i="103"/>
  <c r="CE51" i="103"/>
  <c r="BS51" i="103"/>
  <c r="AN51" i="103" s="1"/>
  <c r="BG51" i="103"/>
  <c r="AI51" i="103"/>
  <c r="BK50" i="103"/>
  <c r="AY50" i="103"/>
  <c r="BO49" i="103"/>
  <c r="AQ49" i="103"/>
  <c r="AE49" i="103"/>
  <c r="S49" i="103"/>
  <c r="G49" i="103"/>
  <c r="CE48" i="103"/>
  <c r="BS48" i="103"/>
  <c r="AN48" i="103" s="1"/>
  <c r="BG48" i="103"/>
  <c r="AI48" i="103"/>
  <c r="BV47" i="103"/>
  <c r="BJ47" i="103"/>
  <c r="AX47" i="103"/>
  <c r="N47" i="103"/>
  <c r="BN46" i="103"/>
  <c r="AP46" i="103"/>
  <c r="AD46" i="103"/>
  <c r="BQ45" i="103"/>
  <c r="BE45" i="103"/>
  <c r="AS45" i="103"/>
  <c r="AG45" i="103"/>
  <c r="I45" i="103"/>
  <c r="BU44" i="103"/>
  <c r="BI44" i="103"/>
  <c r="AW44" i="103"/>
  <c r="AK44" i="103"/>
  <c r="BM43" i="103"/>
  <c r="AO43" i="103"/>
  <c r="Q43" i="103"/>
  <c r="BQ42" i="103"/>
  <c r="BE42" i="103"/>
  <c r="AS42" i="103"/>
  <c r="AG42" i="103"/>
  <c r="I42" i="103"/>
  <c r="BU41" i="103"/>
  <c r="AW41" i="103"/>
  <c r="AK41" i="103"/>
  <c r="BM40" i="103"/>
  <c r="AO40" i="103"/>
  <c r="Q40" i="103"/>
  <c r="BQ39" i="103"/>
  <c r="BE39" i="103"/>
  <c r="AS39" i="103"/>
  <c r="AG39" i="103"/>
  <c r="I39" i="103"/>
  <c r="BU38" i="103"/>
  <c r="AW38" i="103"/>
  <c r="AK38" i="103"/>
  <c r="BM37" i="103"/>
  <c r="AO37" i="103"/>
  <c r="Q37" i="103"/>
  <c r="BQ36" i="103"/>
  <c r="AP90" i="103"/>
  <c r="BR89" i="103"/>
  <c r="BI88" i="103"/>
  <c r="T88" i="103"/>
  <c r="BH87" i="103"/>
  <c r="Q89" i="67" s="1"/>
  <c r="Q87" i="103"/>
  <c r="BL86" i="103"/>
  <c r="V86" i="103"/>
  <c r="BT85" i="103"/>
  <c r="BC85" i="103" s="1"/>
  <c r="BS84" i="103"/>
  <c r="AN84" i="103" s="1"/>
  <c r="AG83" i="103"/>
  <c r="BU81" i="103"/>
  <c r="BI81" i="103"/>
  <c r="AW81" i="103"/>
  <c r="AK81" i="103"/>
  <c r="BM80" i="103"/>
  <c r="AO80" i="103"/>
  <c r="Q80" i="103"/>
  <c r="BQ79" i="103"/>
  <c r="BE79" i="103"/>
  <c r="AS79" i="103"/>
  <c r="AG79" i="103"/>
  <c r="I79" i="103"/>
  <c r="BU78" i="103"/>
  <c r="BI78" i="103"/>
  <c r="AW78" i="103"/>
  <c r="AK78" i="103"/>
  <c r="BM77" i="103"/>
  <c r="AO77" i="103"/>
  <c r="Q77" i="103"/>
  <c r="BQ76" i="103"/>
  <c r="BE76" i="103"/>
  <c r="AS76" i="103"/>
  <c r="AG76" i="103"/>
  <c r="I76" i="103"/>
  <c r="BU75" i="103"/>
  <c r="BI75" i="103"/>
  <c r="AW75" i="103"/>
  <c r="AK75" i="103"/>
  <c r="BM74" i="103"/>
  <c r="AO74" i="103"/>
  <c r="Q74" i="103"/>
  <c r="BQ73" i="103"/>
  <c r="BE73" i="103"/>
  <c r="AS73" i="103"/>
  <c r="AG73" i="103"/>
  <c r="I73" i="103"/>
  <c r="BU72" i="103"/>
  <c r="BI72" i="103"/>
  <c r="AW72" i="103"/>
  <c r="AK72" i="103"/>
  <c r="BM71" i="103"/>
  <c r="AO71" i="103"/>
  <c r="Q71" i="103"/>
  <c r="BQ70" i="103"/>
  <c r="BE70" i="103"/>
  <c r="AS70" i="103"/>
  <c r="AG70" i="103"/>
  <c r="I70" i="103"/>
  <c r="BU69" i="103"/>
  <c r="BI69" i="103"/>
  <c r="AW69" i="103"/>
  <c r="AK69" i="103"/>
  <c r="BM68" i="103"/>
  <c r="AO68" i="103"/>
  <c r="Q68" i="103"/>
  <c r="BQ67" i="103"/>
  <c r="BE67" i="103"/>
  <c r="AS67" i="103"/>
  <c r="AG67" i="103"/>
  <c r="I67" i="103"/>
  <c r="BU66" i="103"/>
  <c r="BI66" i="103"/>
  <c r="AW66" i="103"/>
  <c r="AK66" i="103"/>
  <c r="CJ65" i="103"/>
  <c r="BL65" i="103"/>
  <c r="AZ65" i="103"/>
  <c r="P65" i="103"/>
  <c r="BO64" i="103"/>
  <c r="AQ64" i="103"/>
  <c r="AE64" i="103"/>
  <c r="S64" i="103"/>
  <c r="G64" i="103"/>
  <c r="CE63" i="103"/>
  <c r="BS63" i="103"/>
  <c r="AN63" i="103" s="1"/>
  <c r="BG63" i="103"/>
  <c r="AI63" i="103"/>
  <c r="BK62" i="103"/>
  <c r="AY62" i="103"/>
  <c r="BO61" i="103"/>
  <c r="AQ61" i="103"/>
  <c r="AE61" i="103"/>
  <c r="S61" i="103"/>
  <c r="G61" i="103"/>
  <c r="CE60" i="103"/>
  <c r="BS60" i="103"/>
  <c r="AN60" i="103" s="1"/>
  <c r="BG60" i="103"/>
  <c r="AI60" i="103"/>
  <c r="BK59" i="103"/>
  <c r="AY59" i="103"/>
  <c r="BO58" i="103"/>
  <c r="AQ58" i="103"/>
  <c r="AE58" i="103"/>
  <c r="S58" i="103"/>
  <c r="G58" i="103"/>
  <c r="CE57" i="103"/>
  <c r="BS57" i="103"/>
  <c r="AN57" i="103" s="1"/>
  <c r="BG57" i="103"/>
  <c r="AI57" i="103"/>
  <c r="BK56" i="103"/>
  <c r="AY56" i="103"/>
  <c r="BO55" i="103"/>
  <c r="AQ55" i="103"/>
  <c r="AE55" i="103"/>
  <c r="S55" i="103"/>
  <c r="G55" i="103"/>
  <c r="CE54" i="103"/>
  <c r="BS54" i="103"/>
  <c r="AN54" i="103" s="1"/>
  <c r="BG54" i="103"/>
  <c r="AI54" i="103"/>
  <c r="BK53" i="103"/>
  <c r="AY53" i="103"/>
  <c r="BN52" i="103"/>
  <c r="AP52" i="103"/>
  <c r="AD52" i="103"/>
  <c r="BR51" i="103"/>
  <c r="BF51" i="103"/>
  <c r="AT51" i="103"/>
  <c r="AH51" i="103"/>
  <c r="V51" i="103"/>
  <c r="BV50" i="103"/>
  <c r="BJ50" i="103"/>
  <c r="AX50" i="103"/>
  <c r="N50" i="103"/>
  <c r="BN49" i="103"/>
  <c r="AP49" i="103"/>
  <c r="AD49" i="103"/>
  <c r="BR48" i="103"/>
  <c r="BF48" i="103"/>
  <c r="AT48" i="103"/>
  <c r="AH48" i="103"/>
  <c r="V48" i="103"/>
  <c r="I48" i="103"/>
  <c r="BU47" i="103"/>
  <c r="BI47" i="103"/>
  <c r="AW47" i="103"/>
  <c r="AK47" i="103"/>
  <c r="BM46" i="103"/>
  <c r="AO46" i="103"/>
  <c r="Q46" i="103"/>
  <c r="BP45" i="103"/>
  <c r="AR45" i="103"/>
  <c r="AF45" i="103"/>
  <c r="T45" i="103"/>
  <c r="BT44" i="103"/>
  <c r="BC44" i="103" s="1"/>
  <c r="BH44" i="103"/>
  <c r="Q45" i="67" s="1"/>
  <c r="AJ44" i="103"/>
  <c r="CJ43" i="103"/>
  <c r="BL43" i="103"/>
  <c r="AZ43" i="103"/>
  <c r="P43" i="103"/>
  <c r="BP42" i="103"/>
  <c r="AR42" i="103"/>
  <c r="AF42" i="103"/>
  <c r="T42" i="103"/>
  <c r="BT41" i="103"/>
  <c r="BC41" i="103" s="1"/>
  <c r="BH41" i="103"/>
  <c r="Q41" i="67" s="1"/>
  <c r="AJ41" i="103"/>
  <c r="CJ40" i="103"/>
  <c r="BL40" i="103"/>
  <c r="AZ40" i="103"/>
  <c r="P40" i="103"/>
  <c r="BP39" i="103"/>
  <c r="AR39" i="103"/>
  <c r="AF39" i="103"/>
  <c r="T39" i="103"/>
  <c r="BT38" i="103"/>
  <c r="BC38" i="103" s="1"/>
  <c r="BH38" i="103"/>
  <c r="Q38" i="67" s="1"/>
  <c r="AJ38" i="103"/>
  <c r="CJ37" i="103"/>
  <c r="BL37" i="103"/>
  <c r="AZ37" i="103"/>
  <c r="P37" i="103"/>
  <c r="BP36" i="103"/>
  <c r="AR36" i="103"/>
  <c r="AF36" i="103"/>
  <c r="T36" i="103"/>
  <c r="AO90" i="103"/>
  <c r="BQ89" i="103"/>
  <c r="I89" i="103"/>
  <c r="N88" i="103"/>
  <c r="BF86" i="103"/>
  <c r="BO85" i="103"/>
  <c r="BM84" i="103"/>
  <c r="BQ83" i="103"/>
  <c r="AF83" i="103"/>
  <c r="BT81" i="103"/>
  <c r="BC81" i="103" s="1"/>
  <c r="BH81" i="103"/>
  <c r="Q83" i="67" s="1"/>
  <c r="AJ81" i="103"/>
  <c r="CJ80" i="103"/>
  <c r="BL80" i="103"/>
  <c r="AZ80" i="103"/>
  <c r="P80" i="103"/>
  <c r="BP79" i="103"/>
  <c r="AR79" i="103"/>
  <c r="AF79" i="103"/>
  <c r="T79" i="103"/>
  <c r="BT78" i="103"/>
  <c r="BC78" i="103" s="1"/>
  <c r="BH78" i="103"/>
  <c r="Q80" i="67" s="1"/>
  <c r="AJ78" i="103"/>
  <c r="CJ77" i="103"/>
  <c r="BL77" i="103"/>
  <c r="AZ77" i="103"/>
  <c r="P77" i="103"/>
  <c r="BP76" i="103"/>
  <c r="AR76" i="103"/>
  <c r="AF76" i="103"/>
  <c r="T76" i="103"/>
  <c r="BT75" i="103"/>
  <c r="BC75" i="103" s="1"/>
  <c r="BH75" i="103"/>
  <c r="Q77" i="67" s="1"/>
  <c r="AJ75" i="103"/>
  <c r="CJ74" i="103"/>
  <c r="BL74" i="103"/>
  <c r="AZ74" i="103"/>
  <c r="P74" i="103"/>
  <c r="BP73" i="103"/>
  <c r="AR73" i="103"/>
  <c r="AF73" i="103"/>
  <c r="T73" i="103"/>
  <c r="BT72" i="103"/>
  <c r="BC72" i="103" s="1"/>
  <c r="BH72" i="103"/>
  <c r="Q74" i="67" s="1"/>
  <c r="AJ72" i="103"/>
  <c r="CJ71" i="103"/>
  <c r="BL71" i="103"/>
  <c r="AZ71" i="103"/>
  <c r="P71" i="103"/>
  <c r="BP70" i="103"/>
  <c r="AR70" i="103"/>
  <c r="AF70" i="103"/>
  <c r="T70" i="103"/>
  <c r="BT69" i="103"/>
  <c r="BC69" i="103" s="1"/>
  <c r="BH69" i="103"/>
  <c r="Q70" i="67" s="1"/>
  <c r="AJ69" i="103"/>
  <c r="CJ68" i="103"/>
  <c r="BL68" i="103"/>
  <c r="AZ68" i="103"/>
  <c r="P68" i="103"/>
  <c r="BP67" i="103"/>
  <c r="AR67" i="103"/>
  <c r="AF67" i="103"/>
  <c r="T67" i="103"/>
  <c r="BT66" i="103"/>
  <c r="BC66" i="103" s="1"/>
  <c r="BH66" i="103"/>
  <c r="Q67" i="67" s="1"/>
  <c r="AJ66" i="103"/>
  <c r="BK65" i="103"/>
  <c r="AY65" i="103"/>
  <c r="BN64" i="103"/>
  <c r="AP64" i="103"/>
  <c r="AD64" i="103"/>
  <c r="BR63" i="103"/>
  <c r="BF63" i="103"/>
  <c r="AT63" i="103"/>
  <c r="AH63" i="103"/>
  <c r="V63" i="103"/>
  <c r="BV62" i="103"/>
  <c r="BJ62" i="103"/>
  <c r="AX62" i="103"/>
  <c r="N62" i="103"/>
  <c r="BN61" i="103"/>
  <c r="AP61" i="103"/>
  <c r="AD61" i="103"/>
  <c r="BR60" i="103"/>
  <c r="BF60" i="103"/>
  <c r="AT60" i="103"/>
  <c r="AH60" i="103"/>
  <c r="V60" i="103"/>
  <c r="BV59" i="103"/>
  <c r="BJ59" i="103"/>
  <c r="AX59" i="103"/>
  <c r="N59" i="103"/>
  <c r="BN58" i="103"/>
  <c r="AP58" i="103"/>
  <c r="AD58" i="103"/>
  <c r="BR57" i="103"/>
  <c r="BF57" i="103"/>
  <c r="AT57" i="103"/>
  <c r="AH57" i="103"/>
  <c r="V57" i="103"/>
  <c r="BV56" i="103"/>
  <c r="BJ56" i="103"/>
  <c r="AX56" i="103"/>
  <c r="N56" i="103"/>
  <c r="BN55" i="103"/>
  <c r="AP55" i="103"/>
  <c r="AD55" i="103"/>
  <c r="BR54" i="103"/>
  <c r="BF54" i="103"/>
  <c r="AT54" i="103"/>
  <c r="AH54" i="103"/>
  <c r="V54" i="103"/>
  <c r="BV53" i="103"/>
  <c r="BJ53" i="103"/>
  <c r="AX53" i="103"/>
  <c r="N53" i="103"/>
  <c r="BM52" i="103"/>
  <c r="AO52" i="103"/>
  <c r="Q52" i="103"/>
  <c r="BQ51" i="103"/>
  <c r="BE51" i="103"/>
  <c r="AS51" i="103"/>
  <c r="AG51" i="103"/>
  <c r="I51" i="103"/>
  <c r="BU50" i="103"/>
  <c r="BI50" i="103"/>
  <c r="AW50" i="103"/>
  <c r="AK50" i="103"/>
  <c r="BM49" i="103"/>
  <c r="AO49" i="103"/>
  <c r="Q49" i="103"/>
  <c r="BQ48" i="103"/>
  <c r="BE48" i="103"/>
  <c r="AS48" i="103"/>
  <c r="AG48" i="103"/>
  <c r="BT47" i="103"/>
  <c r="BC47" i="103" s="1"/>
  <c r="BH47" i="103"/>
  <c r="Q48" i="67" s="1"/>
  <c r="AJ47" i="103"/>
  <c r="CJ46" i="103"/>
  <c r="BL46" i="103"/>
  <c r="AZ46" i="103"/>
  <c r="P46" i="103"/>
  <c r="BO45" i="103"/>
  <c r="AQ45" i="103"/>
  <c r="AE45" i="103"/>
  <c r="S45" i="103"/>
  <c r="G45" i="103"/>
  <c r="CE44" i="103"/>
  <c r="BS44" i="103"/>
  <c r="AN44" i="103" s="1"/>
  <c r="BG44" i="103"/>
  <c r="AI44" i="103"/>
  <c r="BK43" i="103"/>
  <c r="AY43" i="103"/>
  <c r="BO42" i="103"/>
  <c r="AQ42" i="103"/>
  <c r="AE42" i="103"/>
  <c r="S42" i="103"/>
  <c r="G42" i="103"/>
  <c r="CE41" i="103"/>
  <c r="BS41" i="103"/>
  <c r="AN41" i="103" s="1"/>
  <c r="BG41" i="103"/>
  <c r="AI41" i="103"/>
  <c r="BK40" i="103"/>
  <c r="AY40" i="103"/>
  <c r="BO39" i="103"/>
  <c r="AQ39" i="103"/>
  <c r="AE39" i="103"/>
  <c r="S39" i="103"/>
  <c r="G39" i="103"/>
  <c r="CE38" i="103"/>
  <c r="BS38" i="103"/>
  <c r="AN38" i="103" s="1"/>
  <c r="BG38" i="103"/>
  <c r="AI38" i="103"/>
  <c r="BK37" i="103"/>
  <c r="AY37" i="103"/>
  <c r="BO36" i="103"/>
  <c r="AQ36" i="103"/>
  <c r="AE36" i="103"/>
  <c r="S36" i="103"/>
  <c r="G36" i="103"/>
  <c r="AT92" i="103"/>
  <c r="AD90" i="103"/>
  <c r="BF89" i="103"/>
  <c r="AX88" i="103"/>
  <c r="BE86" i="103"/>
  <c r="P86" i="103"/>
  <c r="BI85" i="103"/>
  <c r="S85" i="103"/>
  <c r="BL84" i="103"/>
  <c r="Q84" i="103"/>
  <c r="BP83" i="103"/>
  <c r="BU82" i="103"/>
  <c r="AT82" i="103"/>
  <c r="G82" i="103"/>
  <c r="CE81" i="103"/>
  <c r="BS81" i="103"/>
  <c r="AN81" i="103" s="1"/>
  <c r="BG81" i="103"/>
  <c r="AI81" i="103"/>
  <c r="BK80" i="103"/>
  <c r="AY80" i="103"/>
  <c r="BO79" i="103"/>
  <c r="AQ79" i="103"/>
  <c r="AE79" i="103"/>
  <c r="S79" i="103"/>
  <c r="G79" i="103"/>
  <c r="CE78" i="103"/>
  <c r="BS78" i="103"/>
  <c r="AN78" i="103" s="1"/>
  <c r="BG78" i="103"/>
  <c r="AI78" i="103"/>
  <c r="BK77" i="103"/>
  <c r="AY77" i="103"/>
  <c r="BO76" i="103"/>
  <c r="AQ76" i="103"/>
  <c r="AE76" i="103"/>
  <c r="S76" i="103"/>
  <c r="G76" i="103"/>
  <c r="CE75" i="103"/>
  <c r="BS75" i="103"/>
  <c r="AN75" i="103" s="1"/>
  <c r="BG75" i="103"/>
  <c r="AI75" i="103"/>
  <c r="BK74" i="103"/>
  <c r="AY74" i="103"/>
  <c r="BO73" i="103"/>
  <c r="AQ73" i="103"/>
  <c r="AE73" i="103"/>
  <c r="S73" i="103"/>
  <c r="G73" i="103"/>
  <c r="CE72" i="103"/>
  <c r="BS72" i="103"/>
  <c r="AN72" i="103" s="1"/>
  <c r="BG72" i="103"/>
  <c r="AI72" i="103"/>
  <c r="BK71" i="103"/>
  <c r="AY71" i="103"/>
  <c r="BO70" i="103"/>
  <c r="AQ70" i="103"/>
  <c r="AE70" i="103"/>
  <c r="S70" i="103"/>
  <c r="G70" i="103"/>
  <c r="CE69" i="103"/>
  <c r="BS69" i="103"/>
  <c r="AN69" i="103" s="1"/>
  <c r="BG69" i="103"/>
  <c r="AI69" i="103"/>
  <c r="BK68" i="103"/>
  <c r="AY68" i="103"/>
  <c r="BO67" i="103"/>
  <c r="AQ67" i="103"/>
  <c r="AE67" i="103"/>
  <c r="S67" i="103"/>
  <c r="G67" i="103"/>
  <c r="CE66" i="103"/>
  <c r="BS66" i="103"/>
  <c r="AN66" i="103" s="1"/>
  <c r="BG66" i="103"/>
  <c r="AI66" i="103"/>
  <c r="BV65" i="103"/>
  <c r="BJ65" i="103"/>
  <c r="AX65" i="103"/>
  <c r="N65" i="103"/>
  <c r="BM64" i="103"/>
  <c r="AO64" i="103"/>
  <c r="Q64" i="103"/>
  <c r="BQ63" i="103"/>
  <c r="BE63" i="103"/>
  <c r="AS63" i="103"/>
  <c r="AG63" i="103"/>
  <c r="I63" i="103"/>
  <c r="BU62" i="103"/>
  <c r="BI62" i="103"/>
  <c r="AW62" i="103"/>
  <c r="AK62" i="103"/>
  <c r="BM61" i="103"/>
  <c r="AO61" i="103"/>
  <c r="Q61" i="103"/>
  <c r="BQ60" i="103"/>
  <c r="BE60" i="103"/>
  <c r="AS60" i="103"/>
  <c r="AG60" i="103"/>
  <c r="I60" i="103"/>
  <c r="BU59" i="103"/>
  <c r="BI59" i="103"/>
  <c r="AW59" i="103"/>
  <c r="AK59" i="103"/>
  <c r="BM58" i="103"/>
  <c r="AO58" i="103"/>
  <c r="Q58" i="103"/>
  <c r="BQ57" i="103"/>
  <c r="BE57" i="103"/>
  <c r="AS57" i="103"/>
  <c r="AG57" i="103"/>
  <c r="I57" i="103"/>
  <c r="BU56" i="103"/>
  <c r="BI56" i="103"/>
  <c r="AW56" i="103"/>
  <c r="AK56" i="103"/>
  <c r="BM55" i="103"/>
  <c r="AO55" i="103"/>
  <c r="Q55" i="103"/>
  <c r="BQ54" i="103"/>
  <c r="BE54" i="103"/>
  <c r="AS54" i="103"/>
  <c r="AG54" i="103"/>
  <c r="I54" i="103"/>
  <c r="BU53" i="103"/>
  <c r="BI53" i="103"/>
  <c r="AW53" i="103"/>
  <c r="AK53" i="103"/>
  <c r="CJ52" i="103"/>
  <c r="BL52" i="103"/>
  <c r="AZ52" i="103"/>
  <c r="P52" i="103"/>
  <c r="BP51" i="103"/>
  <c r="AR51" i="103"/>
  <c r="AF51" i="103"/>
  <c r="T51" i="103"/>
  <c r="BT50" i="103"/>
  <c r="BC50" i="103" s="1"/>
  <c r="BH50" i="103"/>
  <c r="Q51" i="67" s="1"/>
  <c r="AJ50" i="103"/>
  <c r="CJ49" i="103"/>
  <c r="BL49" i="103"/>
  <c r="AZ49" i="103"/>
  <c r="P49" i="103"/>
  <c r="BP48" i="103"/>
  <c r="AR48" i="103"/>
  <c r="AF48" i="103"/>
  <c r="T48" i="103"/>
  <c r="G48" i="103"/>
  <c r="CE47" i="103"/>
  <c r="BS47" i="103"/>
  <c r="AN47" i="103" s="1"/>
  <c r="BG47" i="103"/>
  <c r="AI47" i="103"/>
  <c r="BK46" i="103"/>
  <c r="AY46" i="103"/>
  <c r="BN45" i="103"/>
  <c r="AP45" i="103"/>
  <c r="AD45" i="103"/>
  <c r="BR44" i="103"/>
  <c r="BF44" i="103"/>
  <c r="AT44" i="103"/>
  <c r="AH44" i="103"/>
  <c r="V44" i="103"/>
  <c r="BV43" i="103"/>
  <c r="BJ43" i="103"/>
  <c r="AX43" i="103"/>
  <c r="N43" i="103"/>
  <c r="BN42" i="103"/>
  <c r="AP42" i="103"/>
  <c r="AD42" i="103"/>
  <c r="BR41" i="103"/>
  <c r="BF41" i="103"/>
  <c r="AT41" i="103"/>
  <c r="AH41" i="103"/>
  <c r="V41" i="103"/>
  <c r="BV40" i="103"/>
  <c r="BJ40" i="103"/>
  <c r="AX40" i="103"/>
  <c r="N40" i="103"/>
  <c r="BN39" i="103"/>
  <c r="AP39" i="103"/>
  <c r="AD39" i="103"/>
  <c r="BR38" i="103"/>
  <c r="BF38" i="103"/>
  <c r="AT38" i="103"/>
  <c r="AH38" i="103"/>
  <c r="V38" i="103"/>
  <c r="BV37" i="103"/>
  <c r="BJ37" i="103"/>
  <c r="AX37" i="103"/>
  <c r="N37" i="103"/>
  <c r="BN36" i="103"/>
  <c r="AP36" i="103"/>
  <c r="AD36" i="103"/>
  <c r="AP93" i="103"/>
  <c r="AH92" i="103"/>
  <c r="BE89" i="103"/>
  <c r="AW88" i="103"/>
  <c r="AZ86" i="103"/>
  <c r="BH85" i="103"/>
  <c r="Q87" i="67" s="1"/>
  <c r="BG84" i="103"/>
  <c r="P84" i="103"/>
  <c r="BK83" i="103"/>
  <c r="BT82" i="103"/>
  <c r="BC82" i="103" s="1"/>
  <c r="AQ82" i="103"/>
  <c r="V82" i="103"/>
  <c r="BR81" i="103"/>
  <c r="BF81" i="103"/>
  <c r="AT81" i="103"/>
  <c r="AH81" i="103"/>
  <c r="V81" i="103"/>
  <c r="BV80" i="103"/>
  <c r="BJ80" i="103"/>
  <c r="AX80" i="103"/>
  <c r="N80" i="103"/>
  <c r="BN79" i="103"/>
  <c r="AP79" i="103"/>
  <c r="AD79" i="103"/>
  <c r="BR78" i="103"/>
  <c r="BF78" i="103"/>
  <c r="AT78" i="103"/>
  <c r="AH78" i="103"/>
  <c r="V78" i="103"/>
  <c r="BV77" i="103"/>
  <c r="BJ77" i="103"/>
  <c r="AX77" i="103"/>
  <c r="N77" i="103"/>
  <c r="BN76" i="103"/>
  <c r="AP76" i="103"/>
  <c r="AD76" i="103"/>
  <c r="BR75" i="103"/>
  <c r="BF75" i="103"/>
  <c r="AT75" i="103"/>
  <c r="AH75" i="103"/>
  <c r="V75" i="103"/>
  <c r="BV74" i="103"/>
  <c r="BJ74" i="103"/>
  <c r="AX74" i="103"/>
  <c r="N74" i="103"/>
  <c r="BN73" i="103"/>
  <c r="AP73" i="103"/>
  <c r="AD73" i="103"/>
  <c r="BR72" i="103"/>
  <c r="BF72" i="103"/>
  <c r="AT72" i="103"/>
  <c r="AH72" i="103"/>
  <c r="V72" i="103"/>
  <c r="BV71" i="103"/>
  <c r="BJ71" i="103"/>
  <c r="AX71" i="103"/>
  <c r="N71" i="103"/>
  <c r="BN70" i="103"/>
  <c r="AP70" i="103"/>
  <c r="AD70" i="103"/>
  <c r="BR69" i="103"/>
  <c r="BF69" i="103"/>
  <c r="AT69" i="103"/>
  <c r="AH69" i="103"/>
  <c r="V69" i="103"/>
  <c r="BV68" i="103"/>
  <c r="BJ68" i="103"/>
  <c r="AX68" i="103"/>
  <c r="N68" i="103"/>
  <c r="BN67" i="103"/>
  <c r="AP67" i="103"/>
  <c r="AD67" i="103"/>
  <c r="BR66" i="103"/>
  <c r="BF66" i="103"/>
  <c r="AT66" i="103"/>
  <c r="AH66" i="103"/>
  <c r="V66" i="103"/>
  <c r="BU65" i="103"/>
  <c r="BI65" i="103"/>
  <c r="AW65" i="103"/>
  <c r="AK65" i="103"/>
  <c r="CJ64" i="103"/>
  <c r="BL64" i="103"/>
  <c r="AZ64" i="103"/>
  <c r="P64" i="103"/>
  <c r="BP63" i="103"/>
  <c r="AR63" i="103"/>
  <c r="AF63" i="103"/>
  <c r="T63" i="103"/>
  <c r="BT62" i="103"/>
  <c r="BH62" i="103"/>
  <c r="Q63" i="67" s="1"/>
  <c r="AJ62" i="103"/>
  <c r="CJ61" i="103"/>
  <c r="BL61" i="103"/>
  <c r="AZ61" i="103"/>
  <c r="P61" i="103"/>
  <c r="BP60" i="103"/>
  <c r="AR60" i="103"/>
  <c r="AF60" i="103"/>
  <c r="T60" i="103"/>
  <c r="BT59" i="103"/>
  <c r="BC59" i="103" s="1"/>
  <c r="BH59" i="103"/>
  <c r="Q60" i="67" s="1"/>
  <c r="AJ59" i="103"/>
  <c r="CJ58" i="103"/>
  <c r="BL58" i="103"/>
  <c r="AZ58" i="103"/>
  <c r="P58" i="103"/>
  <c r="BP57" i="103"/>
  <c r="AR57" i="103"/>
  <c r="AF57" i="103"/>
  <c r="T57" i="103"/>
  <c r="BT56" i="103"/>
  <c r="BC56" i="103" s="1"/>
  <c r="BH56" i="103"/>
  <c r="Q57" i="67" s="1"/>
  <c r="AJ56" i="103"/>
  <c r="CJ55" i="103"/>
  <c r="BL55" i="103"/>
  <c r="AZ55" i="103"/>
  <c r="P55" i="103"/>
  <c r="BP54" i="103"/>
  <c r="AR54" i="103"/>
  <c r="AF54" i="103"/>
  <c r="T54" i="103"/>
  <c r="BT53" i="103"/>
  <c r="BC53" i="103" s="1"/>
  <c r="BH53" i="103"/>
  <c r="Q54" i="67" s="1"/>
  <c r="AJ53" i="103"/>
  <c r="BK52" i="103"/>
  <c r="AY52" i="103"/>
  <c r="BO51" i="103"/>
  <c r="AQ51" i="103"/>
  <c r="AE51" i="103"/>
  <c r="S51" i="103"/>
  <c r="G51" i="103"/>
  <c r="CE50" i="103"/>
  <c r="BS50" i="103"/>
  <c r="AN50" i="103" s="1"/>
  <c r="BG50" i="103"/>
  <c r="AI50" i="103"/>
  <c r="BK49" i="103"/>
  <c r="AY49" i="103"/>
  <c r="BO48" i="103"/>
  <c r="AQ48" i="103"/>
  <c r="AE48" i="103"/>
  <c r="S48" i="103"/>
  <c r="BR47" i="103"/>
  <c r="BF47" i="103"/>
  <c r="AT47" i="103"/>
  <c r="AH47" i="103"/>
  <c r="V47" i="103"/>
  <c r="BV46" i="103"/>
  <c r="BJ46" i="103"/>
  <c r="AX46" i="103"/>
  <c r="N46" i="103"/>
  <c r="BM45" i="103"/>
  <c r="AO45" i="103"/>
  <c r="Q45" i="103"/>
  <c r="BQ44" i="103"/>
  <c r="BE44" i="103"/>
  <c r="AS44" i="103"/>
  <c r="AG44" i="103"/>
  <c r="I44" i="103"/>
  <c r="BU43" i="103"/>
  <c r="BI43" i="103"/>
  <c r="AW43" i="103"/>
  <c r="AK43" i="103"/>
  <c r="BM42" i="103"/>
  <c r="AO42" i="103"/>
  <c r="Q42" i="103"/>
  <c r="BQ41" i="103"/>
  <c r="BE41" i="103"/>
  <c r="AS41" i="103"/>
  <c r="AG41" i="103"/>
  <c r="I41" i="103"/>
  <c r="BU40" i="103"/>
  <c r="AW40" i="103"/>
  <c r="AK40" i="103"/>
  <c r="BM39" i="103"/>
  <c r="AO39" i="103"/>
  <c r="Q39" i="103"/>
  <c r="BQ38" i="103"/>
  <c r="BE38" i="103"/>
  <c r="AS38" i="103"/>
  <c r="AG38" i="103"/>
  <c r="I38" i="103"/>
  <c r="BU37" i="103"/>
  <c r="AW37" i="103"/>
  <c r="AK37" i="103"/>
  <c r="BM36" i="103"/>
  <c r="AO36" i="103"/>
  <c r="AD93" i="103"/>
  <c r="V92" i="103"/>
  <c r="N91" i="103"/>
  <c r="I86" i="103"/>
  <c r="BE83" i="103"/>
  <c r="T83" i="103"/>
  <c r="BO82" i="103"/>
  <c r="S82" i="103"/>
  <c r="BQ81" i="103"/>
  <c r="BE81" i="103"/>
  <c r="AS81" i="103"/>
  <c r="AG81" i="103"/>
  <c r="I81" i="103"/>
  <c r="BU80" i="103"/>
  <c r="BI80" i="103"/>
  <c r="AW80" i="103"/>
  <c r="AK80" i="103"/>
  <c r="BM79" i="103"/>
  <c r="AO79" i="103"/>
  <c r="Q79" i="103"/>
  <c r="BQ78" i="103"/>
  <c r="BE78" i="103"/>
  <c r="AS78" i="103"/>
  <c r="AG78" i="103"/>
  <c r="I78" i="103"/>
  <c r="BU77" i="103"/>
  <c r="BI77" i="103"/>
  <c r="AW77" i="103"/>
  <c r="AK77" i="103"/>
  <c r="BM76" i="103"/>
  <c r="AO76" i="103"/>
  <c r="Q76" i="103"/>
  <c r="BQ75" i="103"/>
  <c r="BE75" i="103"/>
  <c r="AS75" i="103"/>
  <c r="AG75" i="103"/>
  <c r="I75" i="103"/>
  <c r="BU74" i="103"/>
  <c r="BI74" i="103"/>
  <c r="AW74" i="103"/>
  <c r="AK74" i="103"/>
  <c r="BM73" i="103"/>
  <c r="AO73" i="103"/>
  <c r="Q73" i="103"/>
  <c r="BQ72" i="103"/>
  <c r="BE72" i="103"/>
  <c r="AS72" i="103"/>
  <c r="AG72" i="103"/>
  <c r="I72" i="103"/>
  <c r="BU71" i="103"/>
  <c r="BI71" i="103"/>
  <c r="AW71" i="103"/>
  <c r="AK71" i="103"/>
  <c r="BM70" i="103"/>
  <c r="AO70" i="103"/>
  <c r="Q70" i="103"/>
  <c r="BQ69" i="103"/>
  <c r="BE69" i="103"/>
  <c r="AS69" i="103"/>
  <c r="AG69" i="103"/>
  <c r="I69" i="103"/>
  <c r="BU68" i="103"/>
  <c r="BI68" i="103"/>
  <c r="AW68" i="103"/>
  <c r="AK68" i="103"/>
  <c r="BM67" i="103"/>
  <c r="AO67" i="103"/>
  <c r="Q67" i="103"/>
  <c r="BQ66" i="103"/>
  <c r="BE66" i="103"/>
  <c r="AS66" i="103"/>
  <c r="AG66" i="103"/>
  <c r="I66" i="103"/>
  <c r="BT65" i="103"/>
  <c r="BC65" i="103" s="1"/>
  <c r="BH65" i="103"/>
  <c r="Q66" i="67" s="1"/>
  <c r="AJ65" i="103"/>
  <c r="BK64" i="103"/>
  <c r="AY64" i="103"/>
  <c r="BO63" i="103"/>
  <c r="AQ63" i="103"/>
  <c r="AE63" i="103"/>
  <c r="S63" i="103"/>
  <c r="G63" i="103"/>
  <c r="CE62" i="103"/>
  <c r="BS62" i="103"/>
  <c r="AN62" i="103" s="1"/>
  <c r="BG62" i="103"/>
  <c r="AI62" i="103"/>
  <c r="BK61" i="103"/>
  <c r="AY61" i="103"/>
  <c r="BO60" i="103"/>
  <c r="AQ60" i="103"/>
  <c r="AE60" i="103"/>
  <c r="S60" i="103"/>
  <c r="G60" i="103"/>
  <c r="CE59" i="103"/>
  <c r="BS59" i="103"/>
  <c r="AN59" i="103" s="1"/>
  <c r="BG59" i="103"/>
  <c r="AI59" i="103"/>
  <c r="BK58" i="103"/>
  <c r="AY58" i="103"/>
  <c r="BO57" i="103"/>
  <c r="AQ57" i="103"/>
  <c r="AE57" i="103"/>
  <c r="S57" i="103"/>
  <c r="G57" i="103"/>
  <c r="CE56" i="103"/>
  <c r="BS56" i="103"/>
  <c r="BG56" i="103"/>
  <c r="AI56" i="103"/>
  <c r="BK55" i="103"/>
  <c r="AY55" i="103"/>
  <c r="BO54" i="103"/>
  <c r="AQ54" i="103"/>
  <c r="AE54" i="103"/>
  <c r="S54" i="103"/>
  <c r="G54" i="103"/>
  <c r="CE53" i="103"/>
  <c r="BS53" i="103"/>
  <c r="BG53" i="103"/>
  <c r="AI53" i="103"/>
  <c r="BV52" i="103"/>
  <c r="BJ52" i="103"/>
  <c r="AX52" i="103"/>
  <c r="N52" i="103"/>
  <c r="BN51" i="103"/>
  <c r="AP51" i="103"/>
  <c r="AD51" i="103"/>
  <c r="BR50" i="103"/>
  <c r="BF50" i="103"/>
  <c r="AT50" i="103"/>
  <c r="AH50" i="103"/>
  <c r="V50" i="103"/>
  <c r="BV49" i="103"/>
  <c r="BJ49" i="103"/>
  <c r="AX49" i="103"/>
  <c r="N49" i="103"/>
  <c r="BN48" i="103"/>
  <c r="AP48" i="103"/>
  <c r="AD48" i="103"/>
  <c r="BQ47" i="103"/>
  <c r="BE47" i="103"/>
  <c r="AS47" i="103"/>
  <c r="AG47" i="103"/>
  <c r="I47" i="103"/>
  <c r="BU46" i="103"/>
  <c r="BI46" i="103"/>
  <c r="AW46" i="103"/>
  <c r="AK46" i="103"/>
  <c r="CJ45" i="103"/>
  <c r="BL45" i="103"/>
  <c r="AZ45" i="103"/>
  <c r="P45" i="103"/>
  <c r="BP44" i="103"/>
  <c r="AR44" i="103"/>
  <c r="AF44" i="103"/>
  <c r="T44" i="103"/>
  <c r="BT43" i="103"/>
  <c r="BC43" i="103" s="1"/>
  <c r="BH43" i="103"/>
  <c r="Q44" i="67" s="1"/>
  <c r="AJ43" i="103"/>
  <c r="CJ42" i="103"/>
  <c r="BL42" i="103"/>
  <c r="AZ42" i="103"/>
  <c r="P42" i="103"/>
  <c r="BP41" i="103"/>
  <c r="AR41" i="103"/>
  <c r="AF41" i="103"/>
  <c r="T41" i="103"/>
  <c r="BT40" i="103"/>
  <c r="BC40" i="103" s="1"/>
  <c r="BH40" i="103"/>
  <c r="Q40" i="67" s="1"/>
  <c r="AJ40" i="103"/>
  <c r="CJ39" i="103"/>
  <c r="BL39" i="103"/>
  <c r="AZ39" i="103"/>
  <c r="P39" i="103"/>
  <c r="BP38" i="103"/>
  <c r="AR38" i="103"/>
  <c r="AF38" i="103"/>
  <c r="T38" i="103"/>
  <c r="BT37" i="103"/>
  <c r="BC37" i="103" s="1"/>
  <c r="BH37" i="103"/>
  <c r="Q37" i="67" s="1"/>
  <c r="AJ37" i="103"/>
  <c r="CJ36" i="103"/>
  <c r="BL36" i="103"/>
  <c r="AZ36" i="103"/>
  <c r="P36" i="103"/>
  <c r="Q90" i="103"/>
  <c r="AP87" i="103"/>
  <c r="AW85" i="103"/>
  <c r="G85" i="103"/>
  <c r="AZ84" i="103"/>
  <c r="BJ82" i="103"/>
  <c r="AK82" i="103"/>
  <c r="BP81" i="103"/>
  <c r="AR81" i="103"/>
  <c r="AF81" i="103"/>
  <c r="T81" i="103"/>
  <c r="BT80" i="103"/>
  <c r="BC80" i="103" s="1"/>
  <c r="BH80" i="103"/>
  <c r="Q82" i="67" s="1"/>
  <c r="AJ80" i="103"/>
  <c r="CJ79" i="103"/>
  <c r="BL79" i="103"/>
  <c r="AZ79" i="103"/>
  <c r="P79" i="103"/>
  <c r="BP78" i="103"/>
  <c r="AR78" i="103"/>
  <c r="AF78" i="103"/>
  <c r="T78" i="103"/>
  <c r="BT77" i="103"/>
  <c r="BC77" i="103" s="1"/>
  <c r="BH77" i="103"/>
  <c r="Q79" i="67" s="1"/>
  <c r="AJ77" i="103"/>
  <c r="CJ76" i="103"/>
  <c r="BL76" i="103"/>
  <c r="AZ76" i="103"/>
  <c r="P76" i="103"/>
  <c r="BP75" i="103"/>
  <c r="AR75" i="103"/>
  <c r="AF75" i="103"/>
  <c r="T75" i="103"/>
  <c r="BT74" i="103"/>
  <c r="BC74" i="103" s="1"/>
  <c r="BH74" i="103"/>
  <c r="Q76" i="67" s="1"/>
  <c r="AJ74" i="103"/>
  <c r="CJ73" i="103"/>
  <c r="BL73" i="103"/>
  <c r="AZ73" i="103"/>
  <c r="P73" i="103"/>
  <c r="BP72" i="103"/>
  <c r="AR72" i="103"/>
  <c r="AF72" i="103"/>
  <c r="T72" i="103"/>
  <c r="BT71" i="103"/>
  <c r="BC71" i="103" s="1"/>
  <c r="BH71" i="103"/>
  <c r="Q73" i="67" s="1"/>
  <c r="AJ71" i="103"/>
  <c r="CJ70" i="103"/>
  <c r="BL70" i="103"/>
  <c r="AZ70" i="103"/>
  <c r="P70" i="103"/>
  <c r="BP69" i="103"/>
  <c r="AR69" i="103"/>
  <c r="AF69" i="103"/>
  <c r="T69" i="103"/>
  <c r="BT68" i="103"/>
  <c r="BC68" i="103" s="1"/>
  <c r="BH68" i="103"/>
  <c r="Q69" i="67" s="1"/>
  <c r="AJ68" i="103"/>
  <c r="CJ67" i="103"/>
  <c r="BL67" i="103"/>
  <c r="AZ67" i="103"/>
  <c r="P67" i="103"/>
  <c r="BP66" i="103"/>
  <c r="AR66" i="103"/>
  <c r="AF66" i="103"/>
  <c r="T66" i="103"/>
  <c r="CE65" i="103"/>
  <c r="BS65" i="103"/>
  <c r="BG65" i="103"/>
  <c r="AI65" i="103"/>
  <c r="BV64" i="103"/>
  <c r="BJ64" i="103"/>
  <c r="AX64" i="103"/>
  <c r="N64" i="103"/>
  <c r="BN63" i="103"/>
  <c r="AP63" i="103"/>
  <c r="AD63" i="103"/>
  <c r="BR62" i="103"/>
  <c r="BF62" i="103"/>
  <c r="AT62" i="103"/>
  <c r="AH62" i="103"/>
  <c r="V62" i="103"/>
  <c r="BV61" i="103"/>
  <c r="BJ61" i="103"/>
  <c r="AX61" i="103"/>
  <c r="N61" i="103"/>
  <c r="BN60" i="103"/>
  <c r="AP60" i="103"/>
  <c r="AD60" i="103"/>
  <c r="BR59" i="103"/>
  <c r="BF59" i="103"/>
  <c r="AT59" i="103"/>
  <c r="AH59" i="103"/>
  <c r="V59" i="103"/>
  <c r="BV58" i="103"/>
  <c r="BJ58" i="103"/>
  <c r="AX58" i="103"/>
  <c r="N58" i="103"/>
  <c r="BN57" i="103"/>
  <c r="AP57" i="103"/>
  <c r="AD57" i="103"/>
  <c r="BR56" i="103"/>
  <c r="BF56" i="103"/>
  <c r="AT56" i="103"/>
  <c r="AH56" i="103"/>
  <c r="V56" i="103"/>
  <c r="BV55" i="103"/>
  <c r="BJ55" i="103"/>
  <c r="AX55" i="103"/>
  <c r="N55" i="103"/>
  <c r="BN54" i="103"/>
  <c r="AP54" i="103"/>
  <c r="AD54" i="103"/>
  <c r="BR53" i="103"/>
  <c r="BF53" i="103"/>
  <c r="AT53" i="103"/>
  <c r="AH53" i="103"/>
  <c r="V53" i="103"/>
  <c r="I53" i="103"/>
  <c r="BU52" i="103"/>
  <c r="BI52" i="103"/>
  <c r="AW52" i="103"/>
  <c r="AK52" i="103"/>
  <c r="BM51" i="103"/>
  <c r="AO51" i="103"/>
  <c r="Q51" i="103"/>
  <c r="BQ50" i="103"/>
  <c r="BE50" i="103"/>
  <c r="AS50" i="103"/>
  <c r="AG50" i="103"/>
  <c r="I50" i="103"/>
  <c r="BU49" i="103"/>
  <c r="BI49" i="103"/>
  <c r="AW49" i="103"/>
  <c r="AK49" i="103"/>
  <c r="BM48" i="103"/>
  <c r="AO48" i="103"/>
  <c r="Q48" i="103"/>
  <c r="BP47" i="103"/>
  <c r="AR47" i="103"/>
  <c r="AF47" i="103"/>
  <c r="T47" i="103"/>
  <c r="BT46" i="103"/>
  <c r="BC46" i="103" s="1"/>
  <c r="BH46" i="103"/>
  <c r="Q47" i="67" s="1"/>
  <c r="AJ46" i="103"/>
  <c r="BK45" i="103"/>
  <c r="AY45" i="103"/>
  <c r="BO44" i="103"/>
  <c r="AQ44" i="103"/>
  <c r="AE44" i="103"/>
  <c r="S44" i="103"/>
  <c r="G44" i="103"/>
  <c r="CE43" i="103"/>
  <c r="BS43" i="103"/>
  <c r="BG43" i="103"/>
  <c r="AI43" i="103"/>
  <c r="BK42" i="103"/>
  <c r="AY42" i="103"/>
  <c r="BO41" i="103"/>
  <c r="AQ41" i="103"/>
  <c r="AE41" i="103"/>
  <c r="S41" i="103"/>
  <c r="G41" i="103"/>
  <c r="CE40" i="103"/>
  <c r="BS40" i="103"/>
  <c r="BG40" i="103"/>
  <c r="AI40" i="103"/>
  <c r="BK39" i="103"/>
  <c r="AY39" i="103"/>
  <c r="BO38" i="103"/>
  <c r="AQ38" i="103"/>
  <c r="AE38" i="103"/>
  <c r="S38" i="103"/>
  <c r="G38" i="103"/>
  <c r="CE37" i="103"/>
  <c r="BS37" i="103"/>
  <c r="BG37" i="103"/>
  <c r="AI37" i="103"/>
  <c r="AT89" i="103"/>
  <c r="AR88" i="103"/>
  <c r="AO87" i="103"/>
  <c r="CJ86" i="103"/>
  <c r="AT86" i="103"/>
  <c r="AY83" i="103"/>
  <c r="I83" i="103"/>
  <c r="BI82" i="103"/>
  <c r="AJ82" i="103"/>
  <c r="P82" i="103"/>
  <c r="BO81" i="103"/>
  <c r="AQ81" i="103"/>
  <c r="AE81" i="103"/>
  <c r="S81" i="103"/>
  <c r="G81" i="103"/>
  <c r="CE80" i="103"/>
  <c r="BS80" i="103"/>
  <c r="AN80" i="103" s="1"/>
  <c r="BG80" i="103"/>
  <c r="AI80" i="103"/>
  <c r="BK79" i="103"/>
  <c r="AY79" i="103"/>
  <c r="BO78" i="103"/>
  <c r="AQ78" i="103"/>
  <c r="AE78" i="103"/>
  <c r="S78" i="103"/>
  <c r="G78" i="103"/>
  <c r="CE77" i="103"/>
  <c r="BS77" i="103"/>
  <c r="AN77" i="103" s="1"/>
  <c r="BG77" i="103"/>
  <c r="AI77" i="103"/>
  <c r="BK76" i="103"/>
  <c r="AY76" i="103"/>
  <c r="BO75" i="103"/>
  <c r="AQ75" i="103"/>
  <c r="AE75" i="103"/>
  <c r="S75" i="103"/>
  <c r="G75" i="103"/>
  <c r="CE74" i="103"/>
  <c r="BS74" i="103"/>
  <c r="AN74" i="103" s="1"/>
  <c r="BG74" i="103"/>
  <c r="AI74" i="103"/>
  <c r="BK73" i="103"/>
  <c r="AY73" i="103"/>
  <c r="BO72" i="103"/>
  <c r="AQ72" i="103"/>
  <c r="AE72" i="103"/>
  <c r="S72" i="103"/>
  <c r="G72" i="103"/>
  <c r="CE71" i="103"/>
  <c r="BS71" i="103"/>
  <c r="AN71" i="103" s="1"/>
  <c r="BG71" i="103"/>
  <c r="AI71" i="103"/>
  <c r="BK70" i="103"/>
  <c r="AY70" i="103"/>
  <c r="BO69" i="103"/>
  <c r="AQ69" i="103"/>
  <c r="AE69" i="103"/>
  <c r="S69" i="103"/>
  <c r="G69" i="103"/>
  <c r="CE68" i="103"/>
  <c r="BS68" i="103"/>
  <c r="AN68" i="103" s="1"/>
  <c r="BG68" i="103"/>
  <c r="AI68" i="103"/>
  <c r="BK67" i="103"/>
  <c r="AY67" i="103"/>
  <c r="BO66" i="103"/>
  <c r="AQ66" i="103"/>
  <c r="AE66" i="103"/>
  <c r="S66" i="103"/>
  <c r="G66" i="103"/>
  <c r="BR65" i="103"/>
  <c r="BF65" i="103"/>
  <c r="AT65" i="103"/>
  <c r="AH65" i="103"/>
  <c r="V65" i="103"/>
  <c r="BU64" i="103"/>
  <c r="BI64" i="103"/>
  <c r="AW64" i="103"/>
  <c r="AK64" i="103"/>
  <c r="BM63" i="103"/>
  <c r="AO63" i="103"/>
  <c r="Q63" i="103"/>
  <c r="BQ62" i="103"/>
  <c r="BE62" i="103"/>
  <c r="AS62" i="103"/>
  <c r="AG62" i="103"/>
  <c r="I62" i="103"/>
  <c r="BU61" i="103"/>
  <c r="BI61" i="103"/>
  <c r="AW61" i="103"/>
  <c r="AK61" i="103"/>
  <c r="BM60" i="103"/>
  <c r="AO60" i="103"/>
  <c r="Q60" i="103"/>
  <c r="BQ59" i="103"/>
  <c r="BE59" i="103"/>
  <c r="AS59" i="103"/>
  <c r="AG59" i="103"/>
  <c r="I59" i="103"/>
  <c r="BU58" i="103"/>
  <c r="BI58" i="103"/>
  <c r="AW58" i="103"/>
  <c r="AK58" i="103"/>
  <c r="BM57" i="103"/>
  <c r="AO57" i="103"/>
  <c r="Q57" i="103"/>
  <c r="BQ56" i="103"/>
  <c r="BE56" i="103"/>
  <c r="AS56" i="103"/>
  <c r="AG56" i="103"/>
  <c r="I56" i="103"/>
  <c r="BU55" i="103"/>
  <c r="BI55" i="103"/>
  <c r="AW55" i="103"/>
  <c r="AK55" i="103"/>
  <c r="BM54" i="103"/>
  <c r="AO54" i="103"/>
  <c r="Q54" i="103"/>
  <c r="BQ53" i="103"/>
  <c r="BE53" i="103"/>
  <c r="AS53" i="103"/>
  <c r="AG53" i="103"/>
  <c r="BT52" i="103"/>
  <c r="BC52" i="103" s="1"/>
  <c r="BH52" i="103"/>
  <c r="Q53" i="67" s="1"/>
  <c r="AJ52" i="103"/>
  <c r="CJ51" i="103"/>
  <c r="BL51" i="103"/>
  <c r="AZ51" i="103"/>
  <c r="P51" i="103"/>
  <c r="BP50" i="103"/>
  <c r="AR50" i="103"/>
  <c r="AF50" i="103"/>
  <c r="T50" i="103"/>
  <c r="BT49" i="103"/>
  <c r="BC49" i="103" s="1"/>
  <c r="BH49" i="103"/>
  <c r="Q50" i="67" s="1"/>
  <c r="AJ49" i="103"/>
  <c r="CJ48" i="103"/>
  <c r="BL48" i="103"/>
  <c r="AZ48" i="103"/>
  <c r="P48" i="103"/>
  <c r="BO47" i="103"/>
  <c r="AQ47" i="103"/>
  <c r="AE47" i="103"/>
  <c r="S47" i="103"/>
  <c r="G47" i="103"/>
  <c r="CE46" i="103"/>
  <c r="BS46" i="103"/>
  <c r="AN46" i="103" s="1"/>
  <c r="BG46" i="103"/>
  <c r="AI46" i="103"/>
  <c r="BV45" i="103"/>
  <c r="BJ45" i="103"/>
  <c r="AX45" i="103"/>
  <c r="N45" i="103"/>
  <c r="BN44" i="103"/>
  <c r="AP44" i="103"/>
  <c r="AD44" i="103"/>
  <c r="BR43" i="103"/>
  <c r="BF43" i="103"/>
  <c r="AT43" i="103"/>
  <c r="AH43" i="103"/>
  <c r="V43" i="103"/>
  <c r="BV42" i="103"/>
  <c r="BJ42" i="103"/>
  <c r="AX42" i="103"/>
  <c r="N42" i="103"/>
  <c r="BN41" i="103"/>
  <c r="AP41" i="103"/>
  <c r="AD41" i="103"/>
  <c r="BR40" i="103"/>
  <c r="BF40" i="103"/>
  <c r="AT40" i="103"/>
  <c r="AH40" i="103"/>
  <c r="V40" i="103"/>
  <c r="BV39" i="103"/>
  <c r="BJ39" i="103"/>
  <c r="AX39" i="103"/>
  <c r="N39" i="103"/>
  <c r="BN38" i="103"/>
  <c r="AP38" i="103"/>
  <c r="AD38" i="103"/>
  <c r="BR37" i="103"/>
  <c r="BF37" i="103"/>
  <c r="AT37" i="103"/>
  <c r="AH37" i="103"/>
  <c r="V37" i="103"/>
  <c r="BV36" i="103"/>
  <c r="BJ36" i="103"/>
  <c r="AX36" i="103"/>
  <c r="N36" i="103"/>
  <c r="AS89" i="103"/>
  <c r="AJ87" i="103"/>
  <c r="AS86" i="103"/>
  <c r="BH82" i="103"/>
  <c r="Q84" i="67" s="1"/>
  <c r="AI82" i="103"/>
  <c r="BN81" i="103"/>
  <c r="AP81" i="103"/>
  <c r="AD81" i="103"/>
  <c r="BR80" i="103"/>
  <c r="BF80" i="103"/>
  <c r="AT80" i="103"/>
  <c r="AH80" i="103"/>
  <c r="V80" i="103"/>
  <c r="BV79" i="103"/>
  <c r="BJ79" i="103"/>
  <c r="AX79" i="103"/>
  <c r="N79" i="103"/>
  <c r="BN78" i="103"/>
  <c r="AP78" i="103"/>
  <c r="AD78" i="103"/>
  <c r="BR77" i="103"/>
  <c r="BF77" i="103"/>
  <c r="AT77" i="103"/>
  <c r="AH77" i="103"/>
  <c r="V77" i="103"/>
  <c r="BV76" i="103"/>
  <c r="BJ76" i="103"/>
  <c r="AX76" i="103"/>
  <c r="N76" i="103"/>
  <c r="BN75" i="103"/>
  <c r="AP75" i="103"/>
  <c r="AD75" i="103"/>
  <c r="BR74" i="103"/>
  <c r="BF74" i="103"/>
  <c r="AT74" i="103"/>
  <c r="AH74" i="103"/>
  <c r="V74" i="103"/>
  <c r="BV73" i="103"/>
  <c r="BJ73" i="103"/>
  <c r="AX73" i="103"/>
  <c r="N73" i="103"/>
  <c r="BN72" i="103"/>
  <c r="AP72" i="103"/>
  <c r="AD72" i="103"/>
  <c r="BR71" i="103"/>
  <c r="BF71" i="103"/>
  <c r="AT71" i="103"/>
  <c r="AH71" i="103"/>
  <c r="V71" i="103"/>
  <c r="BV70" i="103"/>
  <c r="BJ70" i="103"/>
  <c r="AX70" i="103"/>
  <c r="N70" i="103"/>
  <c r="BN69" i="103"/>
  <c r="AP69" i="103"/>
  <c r="AD69" i="103"/>
  <c r="BR68" i="103"/>
  <c r="BF68" i="103"/>
  <c r="AT68" i="103"/>
  <c r="AH68" i="103"/>
  <c r="V68" i="103"/>
  <c r="BV67" i="103"/>
  <c r="BJ67" i="103"/>
  <c r="AX67" i="103"/>
  <c r="N67" i="103"/>
  <c r="BN66" i="103"/>
  <c r="AP66" i="103"/>
  <c r="AD66" i="103"/>
  <c r="BQ65" i="103"/>
  <c r="BE65" i="103"/>
  <c r="AS65" i="103"/>
  <c r="AG65" i="103"/>
  <c r="I65" i="103"/>
  <c r="BT64" i="103"/>
  <c r="BC64" i="103" s="1"/>
  <c r="BH64" i="103"/>
  <c r="Q65" i="67" s="1"/>
  <c r="AJ64" i="103"/>
  <c r="CJ63" i="103"/>
  <c r="BL63" i="103"/>
  <c r="AZ63" i="103"/>
  <c r="P63" i="103"/>
  <c r="BP62" i="103"/>
  <c r="AR62" i="103"/>
  <c r="AF62" i="103"/>
  <c r="T62" i="103"/>
  <c r="BT61" i="103"/>
  <c r="BC61" i="103" s="1"/>
  <c r="BH61" i="103"/>
  <c r="Q62" i="67" s="1"/>
  <c r="AJ61" i="103"/>
  <c r="CJ60" i="103"/>
  <c r="BL60" i="103"/>
  <c r="AZ60" i="103"/>
  <c r="P60" i="103"/>
  <c r="BP59" i="103"/>
  <c r="AR59" i="103"/>
  <c r="AF59" i="103"/>
  <c r="T59" i="103"/>
  <c r="BT58" i="103"/>
  <c r="BC58" i="103" s="1"/>
  <c r="BH58" i="103"/>
  <c r="Q59" i="67" s="1"/>
  <c r="AJ58" i="103"/>
  <c r="CJ57" i="103"/>
  <c r="BL57" i="103"/>
  <c r="AZ57" i="103"/>
  <c r="P57" i="103"/>
  <c r="BP56" i="103"/>
  <c r="AR56" i="103"/>
  <c r="AF56" i="103"/>
  <c r="T56" i="103"/>
  <c r="BT55" i="103"/>
  <c r="BC55" i="103" s="1"/>
  <c r="BH55" i="103"/>
  <c r="Q56" i="67" s="1"/>
  <c r="AJ55" i="103"/>
  <c r="CJ54" i="103"/>
  <c r="BL54" i="103"/>
  <c r="AZ54" i="103"/>
  <c r="P54" i="103"/>
  <c r="BP53" i="103"/>
  <c r="AR53" i="103"/>
  <c r="AF53" i="103"/>
  <c r="T53" i="103"/>
  <c r="G53" i="103"/>
  <c r="CE52" i="103"/>
  <c r="BS52" i="103"/>
  <c r="BG52" i="103"/>
  <c r="AI52" i="103"/>
  <c r="BK51" i="103"/>
  <c r="AY51" i="103"/>
  <c r="BO50" i="103"/>
  <c r="AQ50" i="103"/>
  <c r="AE50" i="103"/>
  <c r="S50" i="103"/>
  <c r="G50" i="103"/>
  <c r="CE49" i="103"/>
  <c r="BS49" i="103"/>
  <c r="BG49" i="103"/>
  <c r="AI49" i="103"/>
  <c r="BK48" i="103"/>
  <c r="AY48" i="103"/>
  <c r="BN47" i="103"/>
  <c r="AP47" i="103"/>
  <c r="AD47" i="103"/>
  <c r="BR46" i="103"/>
  <c r="BF46" i="103"/>
  <c r="AT46" i="103"/>
  <c r="AH46" i="103"/>
  <c r="V46" i="103"/>
  <c r="I46" i="103"/>
  <c r="BU45" i="103"/>
  <c r="BI45" i="103"/>
  <c r="AW45" i="103"/>
  <c r="AK45" i="103"/>
  <c r="BM44" i="103"/>
  <c r="AO44" i="103"/>
  <c r="Q44" i="103"/>
  <c r="BQ43" i="103"/>
  <c r="BE43" i="103"/>
  <c r="AS43" i="103"/>
  <c r="AG43" i="103"/>
  <c r="I43" i="103"/>
  <c r="BU42" i="103"/>
  <c r="BI42" i="103"/>
  <c r="AW42" i="103"/>
  <c r="AK42" i="103"/>
  <c r="BM41" i="103"/>
  <c r="AO41" i="103"/>
  <c r="Q41" i="103"/>
  <c r="BQ40" i="103"/>
  <c r="BE40" i="103"/>
  <c r="AS40" i="103"/>
  <c r="AG40" i="103"/>
  <c r="I40" i="103"/>
  <c r="BU39" i="103"/>
  <c r="AW39" i="103"/>
  <c r="AK39" i="103"/>
  <c r="BM38" i="103"/>
  <c r="AO38" i="103"/>
  <c r="Q38" i="103"/>
  <c r="BQ37" i="103"/>
  <c r="BE37" i="103"/>
  <c r="AS37" i="103"/>
  <c r="AG37" i="103"/>
  <c r="I37" i="103"/>
  <c r="BU36" i="103"/>
  <c r="AW36" i="103"/>
  <c r="AK36" i="103"/>
  <c r="BM35" i="103"/>
  <c r="BN90" i="103"/>
  <c r="AH89" i="103"/>
  <c r="BV88" i="103"/>
  <c r="AK88" i="103"/>
  <c r="AD87" i="103"/>
  <c r="AQ85" i="103"/>
  <c r="CJ84" i="103"/>
  <c r="AO84" i="103"/>
  <c r="BF82" i="103"/>
  <c r="AH82" i="103"/>
  <c r="N82" i="103"/>
  <c r="BM81" i="103"/>
  <c r="AO81" i="103"/>
  <c r="Q81" i="103"/>
  <c r="BQ80" i="103"/>
  <c r="BE80" i="103"/>
  <c r="AS80" i="103"/>
  <c r="AG80" i="103"/>
  <c r="I80" i="103"/>
  <c r="BU79" i="103"/>
  <c r="BI79" i="103"/>
  <c r="AW79" i="103"/>
  <c r="AK79" i="103"/>
  <c r="BM78" i="103"/>
  <c r="AO78" i="103"/>
  <c r="Q78" i="103"/>
  <c r="BQ77" i="103"/>
  <c r="BE77" i="103"/>
  <c r="AS77" i="103"/>
  <c r="AG77" i="103"/>
  <c r="I77" i="103"/>
  <c r="BU76" i="103"/>
  <c r="BI76" i="103"/>
  <c r="AW76" i="103"/>
  <c r="AK76" i="103"/>
  <c r="BM75" i="103"/>
  <c r="AO75" i="103"/>
  <c r="Q75" i="103"/>
  <c r="BQ74" i="103"/>
  <c r="BE74" i="103"/>
  <c r="AS74" i="103"/>
  <c r="AG74" i="103"/>
  <c r="I74" i="103"/>
  <c r="BU73" i="103"/>
  <c r="BI73" i="103"/>
  <c r="AW73" i="103"/>
  <c r="AK73" i="103"/>
  <c r="BM72" i="103"/>
  <c r="AO72" i="103"/>
  <c r="Q72" i="103"/>
  <c r="BQ71" i="103"/>
  <c r="BE71" i="103"/>
  <c r="AS71" i="103"/>
  <c r="AG71" i="103"/>
  <c r="I71" i="103"/>
  <c r="BU70" i="103"/>
  <c r="AW70" i="103"/>
  <c r="AK70" i="103"/>
  <c r="BM69" i="103"/>
  <c r="AO69" i="103"/>
  <c r="Q69" i="103"/>
  <c r="BQ68" i="103"/>
  <c r="BE68" i="103"/>
  <c r="AS68" i="103"/>
  <c r="AG68" i="103"/>
  <c r="I68" i="103"/>
  <c r="BU67" i="103"/>
  <c r="BI67" i="103"/>
  <c r="AW67" i="103"/>
  <c r="AK67" i="103"/>
  <c r="BM66" i="103"/>
  <c r="AO66" i="103"/>
  <c r="Q66" i="103"/>
  <c r="BP65" i="103"/>
  <c r="AR65" i="103"/>
  <c r="AF65" i="103"/>
  <c r="T65" i="103"/>
  <c r="CE64" i="103"/>
  <c r="BS64" i="103"/>
  <c r="BG64" i="103"/>
  <c r="AI64" i="103"/>
  <c r="BK63" i="103"/>
  <c r="AY63" i="103"/>
  <c r="BO62" i="103"/>
  <c r="AQ62" i="103"/>
  <c r="AE62" i="103"/>
  <c r="S62" i="103"/>
  <c r="G62" i="103"/>
  <c r="CE61" i="103"/>
  <c r="BS61" i="103"/>
  <c r="BG61" i="103"/>
  <c r="AI61" i="103"/>
  <c r="BK60" i="103"/>
  <c r="AY60" i="103"/>
  <c r="BO59" i="103"/>
  <c r="AQ59" i="103"/>
  <c r="AE59" i="103"/>
  <c r="S59" i="103"/>
  <c r="G59" i="103"/>
  <c r="CE58" i="103"/>
  <c r="BS58" i="103"/>
  <c r="BG58" i="103"/>
  <c r="AI58" i="103"/>
  <c r="BK57" i="103"/>
  <c r="AY57" i="103"/>
  <c r="BO56" i="103"/>
  <c r="AQ56" i="103"/>
  <c r="AE56" i="103"/>
  <c r="S56" i="103"/>
  <c r="G56" i="103"/>
  <c r="CE55" i="103"/>
  <c r="BS55" i="103"/>
  <c r="BG55" i="103"/>
  <c r="AI55" i="103"/>
  <c r="BK54" i="103"/>
  <c r="AY54" i="103"/>
  <c r="BO53" i="103"/>
  <c r="AQ53" i="103"/>
  <c r="AE53" i="103"/>
  <c r="S53" i="103"/>
  <c r="BR52" i="103"/>
  <c r="BF52" i="103"/>
  <c r="AT52" i="103"/>
  <c r="AH52" i="103"/>
  <c r="V52" i="103"/>
  <c r="BV51" i="103"/>
  <c r="BJ51" i="103"/>
  <c r="AX51" i="103"/>
  <c r="N51" i="103"/>
  <c r="BN50" i="103"/>
  <c r="AP50" i="103"/>
  <c r="AD50" i="103"/>
  <c r="BR49" i="103"/>
  <c r="BF49" i="103"/>
  <c r="AT49" i="103"/>
  <c r="AH49" i="103"/>
  <c r="V49" i="103"/>
  <c r="BV48" i="103"/>
  <c r="BJ48" i="103"/>
  <c r="AX48" i="103"/>
  <c r="N48" i="103"/>
  <c r="BM47" i="103"/>
  <c r="AO47" i="103"/>
  <c r="Q47" i="103"/>
  <c r="BQ46" i="103"/>
  <c r="BE46" i="103"/>
  <c r="AS46" i="103"/>
  <c r="AG46" i="103"/>
  <c r="BT45" i="103"/>
  <c r="BC45" i="103" s="1"/>
  <c r="BH45" i="103"/>
  <c r="Q46" i="67" s="1"/>
  <c r="AJ45" i="103"/>
  <c r="CJ44" i="103"/>
  <c r="BL44" i="103"/>
  <c r="AZ44" i="103"/>
  <c r="P44" i="103"/>
  <c r="BP43" i="103"/>
  <c r="AR43" i="103"/>
  <c r="AF43" i="103"/>
  <c r="T43" i="103"/>
  <c r="BT42" i="103"/>
  <c r="BC42" i="103" s="1"/>
  <c r="BH42" i="103"/>
  <c r="AJ42" i="103"/>
  <c r="CJ41" i="103"/>
  <c r="BL41" i="103"/>
  <c r="AZ41" i="103"/>
  <c r="P41" i="103"/>
  <c r="BP40" i="103"/>
  <c r="AR40" i="103"/>
  <c r="AF40" i="103"/>
  <c r="T40" i="103"/>
  <c r="BT39" i="103"/>
  <c r="BC39" i="103" s="1"/>
  <c r="BH39" i="103"/>
  <c r="Q39" i="67" s="1"/>
  <c r="AJ39" i="103"/>
  <c r="CJ38" i="103"/>
  <c r="BL38" i="103"/>
  <c r="AZ38" i="103"/>
  <c r="P38" i="103"/>
  <c r="BP37" i="103"/>
  <c r="AR37" i="103"/>
  <c r="AF37" i="103"/>
  <c r="T37" i="103"/>
  <c r="BV91" i="103"/>
  <c r="AG89" i="103"/>
  <c r="BU88" i="103"/>
  <c r="AF88" i="103"/>
  <c r="BT87" i="103"/>
  <c r="AH86" i="103"/>
  <c r="AK85" i="103"/>
  <c r="CE84" i="103"/>
  <c r="AS83" i="103"/>
  <c r="AE82" i="103"/>
  <c r="CJ81" i="103"/>
  <c r="BL81" i="103"/>
  <c r="AZ81" i="103"/>
  <c r="P81" i="103"/>
  <c r="BP80" i="103"/>
  <c r="AR80" i="103"/>
  <c r="AF80" i="103"/>
  <c r="T80" i="103"/>
  <c r="BT79" i="103"/>
  <c r="BH79" i="103"/>
  <c r="Q81" i="67" s="1"/>
  <c r="AJ79" i="103"/>
  <c r="CJ78" i="103"/>
  <c r="BL78" i="103"/>
  <c r="AZ78" i="103"/>
  <c r="P78" i="103"/>
  <c r="BP77" i="103"/>
  <c r="AR77" i="103"/>
  <c r="AF77" i="103"/>
  <c r="T77" i="103"/>
  <c r="BT76" i="103"/>
  <c r="BH76" i="103"/>
  <c r="Q78" i="67" s="1"/>
  <c r="AJ76" i="103"/>
  <c r="CJ75" i="103"/>
  <c r="BL75" i="103"/>
  <c r="AZ75" i="103"/>
  <c r="P75" i="103"/>
  <c r="BP74" i="103"/>
  <c r="AR74" i="103"/>
  <c r="AF74" i="103"/>
  <c r="T74" i="103"/>
  <c r="BT73" i="103"/>
  <c r="BH73" i="103"/>
  <c r="Q75" i="67" s="1"/>
  <c r="AJ73" i="103"/>
  <c r="CJ72" i="103"/>
  <c r="BL72" i="103"/>
  <c r="AZ72" i="103"/>
  <c r="P72" i="103"/>
  <c r="BP71" i="103"/>
  <c r="AR71" i="103"/>
  <c r="AF71" i="103"/>
  <c r="T71" i="103"/>
  <c r="BT70" i="103"/>
  <c r="BH70" i="103"/>
  <c r="AJ70" i="103"/>
  <c r="CJ69" i="103"/>
  <c r="BL69" i="103"/>
  <c r="AZ69" i="103"/>
  <c r="P69" i="103"/>
  <c r="BP68" i="103"/>
  <c r="AR68" i="103"/>
  <c r="AF68" i="103"/>
  <c r="T68" i="103"/>
  <c r="BT67" i="103"/>
  <c r="BH67" i="103"/>
  <c r="Q68" i="67" s="1"/>
  <c r="AJ67" i="103"/>
  <c r="CJ66" i="103"/>
  <c r="BL66" i="103"/>
  <c r="AZ66" i="103"/>
  <c r="P66" i="103"/>
  <c r="BO65" i="103"/>
  <c r="AQ65" i="103"/>
  <c r="AE65" i="103"/>
  <c r="S65" i="103"/>
  <c r="BR64" i="103"/>
  <c r="BF64" i="103"/>
  <c r="AT64" i="103"/>
  <c r="AH64" i="103"/>
  <c r="V64" i="103"/>
  <c r="BV63" i="103"/>
  <c r="BJ63" i="103"/>
  <c r="AX63" i="103"/>
  <c r="N63" i="103"/>
  <c r="BN62" i="103"/>
  <c r="AP62" i="103"/>
  <c r="AD62" i="103"/>
  <c r="BR61" i="103"/>
  <c r="BF61" i="103"/>
  <c r="AT61" i="103"/>
  <c r="AH61" i="103"/>
  <c r="V61" i="103"/>
  <c r="BV60" i="103"/>
  <c r="BJ60" i="103"/>
  <c r="AX60" i="103"/>
  <c r="N60" i="103"/>
  <c r="BN59" i="103"/>
  <c r="AP59" i="103"/>
  <c r="AD59" i="103"/>
  <c r="BR58" i="103"/>
  <c r="BF58" i="103"/>
  <c r="AT58" i="103"/>
  <c r="AH58" i="103"/>
  <c r="V58" i="103"/>
  <c r="BV57" i="103"/>
  <c r="BJ57" i="103"/>
  <c r="AX57" i="103"/>
  <c r="N57" i="103"/>
  <c r="BN56" i="103"/>
  <c r="AP56" i="103"/>
  <c r="AD56" i="103"/>
  <c r="BR55" i="103"/>
  <c r="BF55" i="103"/>
  <c r="AT55" i="103"/>
  <c r="AH55" i="103"/>
  <c r="V55" i="103"/>
  <c r="BV54" i="103"/>
  <c r="BJ54" i="103"/>
  <c r="AX54" i="103"/>
  <c r="N54" i="103"/>
  <c r="BN53" i="103"/>
  <c r="AP53" i="103"/>
  <c r="AD53" i="103"/>
  <c r="BQ52" i="103"/>
  <c r="BE52" i="103"/>
  <c r="AS52" i="103"/>
  <c r="AG52" i="103"/>
  <c r="I52" i="103"/>
  <c r="BR92" i="103"/>
  <c r="BJ91" i="103"/>
  <c r="V89" i="103"/>
  <c r="BP88" i="103"/>
  <c r="BN87" i="103"/>
  <c r="BR86" i="103"/>
  <c r="AG86" i="103"/>
  <c r="AJ85" i="103"/>
  <c r="AI84" i="103"/>
  <c r="AR83" i="103"/>
  <c r="AX82" i="103"/>
  <c r="AD82" i="103"/>
  <c r="BK81" i="103"/>
  <c r="AY81" i="103"/>
  <c r="BO80" i="103"/>
  <c r="AQ80" i="103"/>
  <c r="AE80" i="103"/>
  <c r="S80" i="103"/>
  <c r="G80" i="103"/>
  <c r="CE79" i="103"/>
  <c r="BS79" i="103"/>
  <c r="AN79" i="103" s="1"/>
  <c r="BG79" i="103"/>
  <c r="AI79" i="103"/>
  <c r="BK78" i="103"/>
  <c r="AY78" i="103"/>
  <c r="BO77" i="103"/>
  <c r="AQ77" i="103"/>
  <c r="AE77" i="103"/>
  <c r="S77" i="103"/>
  <c r="G77" i="103"/>
  <c r="CE76" i="103"/>
  <c r="BS76" i="103"/>
  <c r="AN76" i="103" s="1"/>
  <c r="BG76" i="103"/>
  <c r="AI76" i="103"/>
  <c r="BK75" i="103"/>
  <c r="AY75" i="103"/>
  <c r="BO74" i="103"/>
  <c r="AQ74" i="103"/>
  <c r="AE74" i="103"/>
  <c r="S74" i="103"/>
  <c r="G74" i="103"/>
  <c r="CE73" i="103"/>
  <c r="BS73" i="103"/>
  <c r="AN73" i="103" s="1"/>
  <c r="BG73" i="103"/>
  <c r="AI73" i="103"/>
  <c r="BK72" i="103"/>
  <c r="AY72" i="103"/>
  <c r="BO71" i="103"/>
  <c r="AQ71" i="103"/>
  <c r="AE71" i="103"/>
  <c r="S71" i="103"/>
  <c r="G71" i="103"/>
  <c r="CE70" i="103"/>
  <c r="BS70" i="103"/>
  <c r="AN70" i="103" s="1"/>
  <c r="BG70" i="103"/>
  <c r="AI70" i="103"/>
  <c r="BK69" i="103"/>
  <c r="AY69" i="103"/>
  <c r="BO68" i="103"/>
  <c r="AQ68" i="103"/>
  <c r="AE68" i="103"/>
  <c r="S68" i="103"/>
  <c r="G68" i="103"/>
  <c r="CE67" i="103"/>
  <c r="BS67" i="103"/>
  <c r="AN67" i="103" s="1"/>
  <c r="BG67" i="103"/>
  <c r="AI67" i="103"/>
  <c r="BK66" i="103"/>
  <c r="AY66" i="103"/>
  <c r="BN65" i="103"/>
  <c r="AP65" i="103"/>
  <c r="AD65" i="103"/>
  <c r="E65" i="103"/>
  <c r="BQ64" i="103"/>
  <c r="BE64" i="103"/>
  <c r="AS64" i="103"/>
  <c r="AG64" i="103"/>
  <c r="I64" i="103"/>
  <c r="BU63" i="103"/>
  <c r="BI63" i="103"/>
  <c r="AW63" i="103"/>
  <c r="AK63" i="103"/>
  <c r="BM62" i="103"/>
  <c r="AO62" i="103"/>
  <c r="Q62" i="103"/>
  <c r="BQ61" i="103"/>
  <c r="BE61" i="103"/>
  <c r="AS61" i="103"/>
  <c r="AG61" i="103"/>
  <c r="I61" i="103"/>
  <c r="BU60" i="103"/>
  <c r="BI60" i="103"/>
  <c r="AW60" i="103"/>
  <c r="AK60" i="103"/>
  <c r="BM59" i="103"/>
  <c r="AO59" i="103"/>
  <c r="Q59" i="103"/>
  <c r="BQ58" i="103"/>
  <c r="BE58" i="103"/>
  <c r="AS58" i="103"/>
  <c r="AG58" i="103"/>
  <c r="I58" i="103"/>
  <c r="BU57" i="103"/>
  <c r="BI57" i="103"/>
  <c r="AW57" i="103"/>
  <c r="AK57" i="103"/>
  <c r="BM56" i="103"/>
  <c r="AO56" i="103"/>
  <c r="Q56" i="103"/>
  <c r="BQ55" i="103"/>
  <c r="BE55" i="103"/>
  <c r="AS55" i="103"/>
  <c r="AG55" i="103"/>
  <c r="I55" i="103"/>
  <c r="BU54" i="103"/>
  <c r="BI54" i="103"/>
  <c r="AW54" i="103"/>
  <c r="AK54" i="103"/>
  <c r="BM53" i="103"/>
  <c r="AO53" i="103"/>
  <c r="Q53" i="103"/>
  <c r="BP52" i="103"/>
  <c r="AR52" i="103"/>
  <c r="AF52" i="103"/>
  <c r="T52" i="103"/>
  <c r="BT51" i="103"/>
  <c r="BC51" i="103" s="1"/>
  <c r="BH51" i="103"/>
  <c r="Q52" i="67" s="1"/>
  <c r="AJ51" i="103"/>
  <c r="CJ50" i="103"/>
  <c r="BL50" i="103"/>
  <c r="AZ50" i="103"/>
  <c r="P50" i="103"/>
  <c r="BP49" i="103"/>
  <c r="AR49" i="103"/>
  <c r="AF49" i="103"/>
  <c r="T49" i="103"/>
  <c r="BT48" i="103"/>
  <c r="BC48" i="103" s="1"/>
  <c r="BH48" i="103"/>
  <c r="Q49" i="67" s="1"/>
  <c r="AJ48" i="103"/>
  <c r="BK47" i="103"/>
  <c r="AY47" i="103"/>
  <c r="BO46" i="103"/>
  <c r="AQ46" i="103"/>
  <c r="AE46" i="103"/>
  <c r="S46" i="103"/>
  <c r="BR45" i="103"/>
  <c r="BF45" i="103"/>
  <c r="AT45" i="103"/>
  <c r="AH45" i="103"/>
  <c r="V45" i="103"/>
  <c r="BV44" i="103"/>
  <c r="BJ44" i="103"/>
  <c r="AX44" i="103"/>
  <c r="N44" i="103"/>
  <c r="BN43" i="103"/>
  <c r="AP43" i="103"/>
  <c r="AD43" i="103"/>
  <c r="BR42" i="103"/>
  <c r="BF42" i="103"/>
  <c r="AT42" i="103"/>
  <c r="AH42" i="103"/>
  <c r="V42" i="103"/>
  <c r="BV41" i="103"/>
  <c r="BJ41" i="103"/>
  <c r="AX41" i="103"/>
  <c r="N41" i="103"/>
  <c r="BN40" i="103"/>
  <c r="AP40" i="103"/>
  <c r="AD40" i="103"/>
  <c r="BR39" i="103"/>
  <c r="BF39" i="103"/>
  <c r="AT39" i="103"/>
  <c r="AH39" i="103"/>
  <c r="V39" i="103"/>
  <c r="BV38" i="103"/>
  <c r="BJ38" i="103"/>
  <c r="AX38" i="103"/>
  <c r="N38" i="103"/>
  <c r="BN37" i="103"/>
  <c r="AP37" i="103"/>
  <c r="AD37" i="103"/>
  <c r="BR36" i="103"/>
  <c r="N11" i="103"/>
  <c r="AX11" i="103"/>
  <c r="BJ11" i="103"/>
  <c r="BV11" i="103"/>
  <c r="V12" i="103"/>
  <c r="AH12" i="103"/>
  <c r="AT12" i="103"/>
  <c r="BF12" i="103"/>
  <c r="BR12" i="103"/>
  <c r="AD13" i="103"/>
  <c r="AP13" i="103"/>
  <c r="BN13" i="103"/>
  <c r="N14" i="103"/>
  <c r="AX14" i="103"/>
  <c r="BJ14" i="103"/>
  <c r="BV14" i="103"/>
  <c r="V15" i="103"/>
  <c r="AH15" i="103"/>
  <c r="AT15" i="103"/>
  <c r="BF15" i="103"/>
  <c r="BR15" i="103"/>
  <c r="AD16" i="103"/>
  <c r="AP16" i="103"/>
  <c r="BN16" i="103"/>
  <c r="N17" i="103"/>
  <c r="AX17" i="103"/>
  <c r="BJ17" i="103"/>
  <c r="BV17" i="103"/>
  <c r="V18" i="103"/>
  <c r="AH18" i="103"/>
  <c r="AT18" i="103"/>
  <c r="BF18" i="103"/>
  <c r="BR18" i="103"/>
  <c r="AD19" i="103"/>
  <c r="AP19" i="103"/>
  <c r="BN19" i="103"/>
  <c r="AY20" i="103"/>
  <c r="BK20" i="103"/>
  <c r="AI21" i="103"/>
  <c r="BG21" i="103"/>
  <c r="BS21" i="103"/>
  <c r="AN21" i="103" s="1"/>
  <c r="CE21" i="103"/>
  <c r="G22" i="103"/>
  <c r="S22" i="103"/>
  <c r="AE22" i="103"/>
  <c r="AQ22" i="103"/>
  <c r="BO22" i="103"/>
  <c r="AY23" i="103"/>
  <c r="BK23" i="103"/>
  <c r="AI24" i="103"/>
  <c r="BG24" i="103"/>
  <c r="BS24" i="103"/>
  <c r="CE24" i="103"/>
  <c r="G25" i="103"/>
  <c r="S25" i="103"/>
  <c r="AE25" i="103"/>
  <c r="AQ25" i="103"/>
  <c r="BO25" i="103"/>
  <c r="AY26" i="103"/>
  <c r="BK26" i="103"/>
  <c r="AI27" i="103"/>
  <c r="BG27" i="103"/>
  <c r="BS27" i="103"/>
  <c r="AN27" i="103" s="1"/>
  <c r="CE27" i="103"/>
  <c r="G28" i="103"/>
  <c r="S28" i="103"/>
  <c r="AE28" i="103"/>
  <c r="AQ28" i="103"/>
  <c r="BO28" i="103"/>
  <c r="AY29" i="103"/>
  <c r="BK29" i="103"/>
  <c r="AI30" i="103"/>
  <c r="BG30" i="103"/>
  <c r="BS30" i="103"/>
  <c r="AN30" i="103" s="1"/>
  <c r="CE30" i="103"/>
  <c r="G31" i="103"/>
  <c r="S31" i="103"/>
  <c r="AE31" i="103"/>
  <c r="AQ31" i="103"/>
  <c r="BO31" i="103"/>
  <c r="AY32" i="103"/>
  <c r="BK32" i="103"/>
  <c r="AI33" i="103"/>
  <c r="BG33" i="103"/>
  <c r="BS33" i="103"/>
  <c r="AN33" i="103" s="1"/>
  <c r="CE33" i="103"/>
  <c r="G34" i="103"/>
  <c r="S34" i="103"/>
  <c r="AE34" i="103"/>
  <c r="AQ34" i="103"/>
  <c r="BO34" i="103"/>
  <c r="AY35" i="103"/>
  <c r="BK35" i="103"/>
  <c r="V36" i="103"/>
  <c r="S40" i="103"/>
  <c r="AI42" i="103"/>
  <c r="BG45" i="103"/>
  <c r="BP46" i="103"/>
  <c r="AY11" i="103"/>
  <c r="BK11" i="103"/>
  <c r="AI12" i="103"/>
  <c r="BG12" i="103"/>
  <c r="BS12" i="103"/>
  <c r="AN12" i="103" s="1"/>
  <c r="CE12" i="103"/>
  <c r="G13" i="103"/>
  <c r="S13" i="103"/>
  <c r="AE13" i="103"/>
  <c r="AQ13" i="103"/>
  <c r="BO13" i="103"/>
  <c r="AY14" i="103"/>
  <c r="BK14" i="103"/>
  <c r="AI15" i="103"/>
  <c r="BG15" i="103"/>
  <c r="BS15" i="103"/>
  <c r="AN15" i="103" s="1"/>
  <c r="CE15" i="103"/>
  <c r="G16" i="103"/>
  <c r="S16" i="103"/>
  <c r="AE16" i="103"/>
  <c r="AQ16" i="103"/>
  <c r="BO16" i="103"/>
  <c r="AY17" i="103"/>
  <c r="BK17" i="103"/>
  <c r="AI18" i="103"/>
  <c r="BG18" i="103"/>
  <c r="BS18" i="103"/>
  <c r="AN18" i="103" s="1"/>
  <c r="CE18" i="103"/>
  <c r="G19" i="103"/>
  <c r="S19" i="103"/>
  <c r="AE19" i="103"/>
  <c r="AQ19" i="103"/>
  <c r="BO19" i="103"/>
  <c r="P20" i="103"/>
  <c r="AZ20" i="103"/>
  <c r="BL20" i="103"/>
  <c r="CJ20" i="103"/>
  <c r="AJ21" i="103"/>
  <c r="BH21" i="103"/>
  <c r="Q21" i="67" s="1"/>
  <c r="BT21" i="103"/>
  <c r="BC21" i="103" s="1"/>
  <c r="T22" i="103"/>
  <c r="AF22" i="103"/>
  <c r="AR22" i="103"/>
  <c r="BP22" i="103"/>
  <c r="P23" i="103"/>
  <c r="AZ23" i="103"/>
  <c r="BL23" i="103"/>
  <c r="CJ23" i="103"/>
  <c r="AJ24" i="103"/>
  <c r="BH24" i="103"/>
  <c r="Q24" i="67" s="1"/>
  <c r="BT24" i="103"/>
  <c r="BC24" i="103" s="1"/>
  <c r="T25" i="103"/>
  <c r="AF25" i="103"/>
  <c r="AR25" i="103"/>
  <c r="BP25" i="103"/>
  <c r="P26" i="103"/>
  <c r="AZ26" i="103"/>
  <c r="BL26" i="103"/>
  <c r="CJ26" i="103"/>
  <c r="AJ27" i="103"/>
  <c r="BH27" i="103"/>
  <c r="Q27" i="67" s="1"/>
  <c r="BT27" i="103"/>
  <c r="BC27" i="103" s="1"/>
  <c r="T28" i="103"/>
  <c r="AF28" i="103"/>
  <c r="AR28" i="103"/>
  <c r="BP28" i="103"/>
  <c r="P29" i="103"/>
  <c r="AZ29" i="103"/>
  <c r="BL29" i="103"/>
  <c r="CJ29" i="103"/>
  <c r="AJ30" i="103"/>
  <c r="BH30" i="103"/>
  <c r="Q30" i="67" s="1"/>
  <c r="BT30" i="103"/>
  <c r="BC30" i="103" s="1"/>
  <c r="T31" i="103"/>
  <c r="AF31" i="103"/>
  <c r="AR31" i="103"/>
  <c r="BP31" i="103"/>
  <c r="P32" i="103"/>
  <c r="AZ32" i="103"/>
  <c r="BL32" i="103"/>
  <c r="CJ32" i="103"/>
  <c r="AJ33" i="103"/>
  <c r="BH33" i="103"/>
  <c r="Q33" i="67" s="1"/>
  <c r="BT33" i="103"/>
  <c r="BC33" i="103" s="1"/>
  <c r="T34" i="103"/>
  <c r="AF34" i="103"/>
  <c r="AR34" i="103"/>
  <c r="BP34" i="103"/>
  <c r="P35" i="103"/>
  <c r="AZ35" i="103"/>
  <c r="BL35" i="103"/>
  <c r="AY36" i="103"/>
  <c r="AE40" i="103"/>
  <c r="AY44" i="103"/>
  <c r="BS45" i="103"/>
  <c r="AN45" i="103" s="1"/>
  <c r="CJ47" i="103"/>
  <c r="P11" i="103"/>
  <c r="AZ11" i="103"/>
  <c r="BL11" i="103"/>
  <c r="CJ11" i="103"/>
  <c r="AJ12" i="103"/>
  <c r="BH12" i="103"/>
  <c r="Q12" i="67" s="1"/>
  <c r="BT12" i="103"/>
  <c r="BC12" i="103" s="1"/>
  <c r="T13" i="103"/>
  <c r="AF13" i="103"/>
  <c r="AR13" i="103"/>
  <c r="BP13" i="103"/>
  <c r="P14" i="103"/>
  <c r="AZ14" i="103"/>
  <c r="BL14" i="103"/>
  <c r="CJ14" i="103"/>
  <c r="AJ15" i="103"/>
  <c r="BH15" i="103"/>
  <c r="Q15" i="67" s="1"/>
  <c r="BT15" i="103"/>
  <c r="BC15" i="103" s="1"/>
  <c r="T16" i="103"/>
  <c r="AF16" i="103"/>
  <c r="AR16" i="103"/>
  <c r="BP16" i="103"/>
  <c r="P17" i="103"/>
  <c r="AZ17" i="103"/>
  <c r="BL17" i="103"/>
  <c r="CJ17" i="103"/>
  <c r="AJ18" i="103"/>
  <c r="BH18" i="103"/>
  <c r="Q18" i="67" s="1"/>
  <c r="BT18" i="103"/>
  <c r="T19" i="103"/>
  <c r="AF19" i="103"/>
  <c r="AR19" i="103"/>
  <c r="BP19" i="103"/>
  <c r="Q20" i="103"/>
  <c r="AO20" i="103"/>
  <c r="BM20" i="103"/>
  <c r="AK21" i="103"/>
  <c r="AW21" i="103"/>
  <c r="BU21" i="103"/>
  <c r="I22" i="103"/>
  <c r="AG22" i="103"/>
  <c r="AS22" i="103"/>
  <c r="BE22" i="103"/>
  <c r="BQ22" i="103"/>
  <c r="Q23" i="103"/>
  <c r="AO23" i="103"/>
  <c r="BM23" i="103"/>
  <c r="AK24" i="103"/>
  <c r="AW24" i="103"/>
  <c r="BU24" i="103"/>
  <c r="I25" i="103"/>
  <c r="AG25" i="103"/>
  <c r="AS25" i="103"/>
  <c r="BE25" i="103"/>
  <c r="BQ25" i="103"/>
  <c r="Q26" i="103"/>
  <c r="AO26" i="103"/>
  <c r="BM26" i="103"/>
  <c r="AK27" i="103"/>
  <c r="AW27" i="103"/>
  <c r="BU27" i="103"/>
  <c r="I28" i="103"/>
  <c r="AG28" i="103"/>
  <c r="AS28" i="103"/>
  <c r="BE28" i="103"/>
  <c r="BQ28" i="103"/>
  <c r="Q29" i="103"/>
  <c r="AO29" i="103"/>
  <c r="BM29" i="103"/>
  <c r="AK30" i="103"/>
  <c r="AW30" i="103"/>
  <c r="BU30" i="103"/>
  <c r="I31" i="103"/>
  <c r="AG31" i="103"/>
  <c r="AS31" i="103"/>
  <c r="BE31" i="103"/>
  <c r="BQ31" i="103"/>
  <c r="Q32" i="103"/>
  <c r="AO32" i="103"/>
  <c r="BM32" i="103"/>
  <c r="AK33" i="103"/>
  <c r="AW33" i="103"/>
  <c r="BU33" i="103"/>
  <c r="I34" i="103"/>
  <c r="AG34" i="103"/>
  <c r="AS34" i="103"/>
  <c r="BE34" i="103"/>
  <c r="BQ34" i="103"/>
  <c r="Q35" i="103"/>
  <c r="AO35" i="103"/>
  <c r="BN35" i="103"/>
  <c r="BE36" i="103"/>
  <c r="G37" i="103"/>
  <c r="AQ40" i="103"/>
  <c r="BK44" i="103"/>
  <c r="CE45" i="103"/>
  <c r="Q11" i="103"/>
  <c r="BM11" i="103"/>
  <c r="AK12" i="103"/>
  <c r="AW12" i="103"/>
  <c r="BU12" i="103"/>
  <c r="I13" i="103"/>
  <c r="AG13" i="103"/>
  <c r="AS13" i="103"/>
  <c r="BE13" i="103"/>
  <c r="BQ13" i="103"/>
  <c r="Q14" i="103"/>
  <c r="AO14" i="103"/>
  <c r="BM14" i="103"/>
  <c r="AK15" i="103"/>
  <c r="AW15" i="103"/>
  <c r="BU15" i="103"/>
  <c r="I16" i="103"/>
  <c r="AG16" i="103"/>
  <c r="AS16" i="103"/>
  <c r="BE16" i="103"/>
  <c r="BQ16" i="103"/>
  <c r="Q17" i="103"/>
  <c r="AO17" i="103"/>
  <c r="BM17" i="103"/>
  <c r="AK18" i="103"/>
  <c r="AW18" i="103"/>
  <c r="BU18" i="103"/>
  <c r="I19" i="103"/>
  <c r="AG19" i="103"/>
  <c r="AS19" i="103"/>
  <c r="BE19" i="103"/>
  <c r="BQ19" i="103"/>
  <c r="AD20" i="103"/>
  <c r="AP20" i="103"/>
  <c r="BN20" i="103"/>
  <c r="N21" i="103"/>
  <c r="AX21" i="103"/>
  <c r="BJ21" i="103"/>
  <c r="BV21" i="103"/>
  <c r="V22" i="103"/>
  <c r="AH22" i="103"/>
  <c r="AT22" i="103"/>
  <c r="BF22" i="103"/>
  <c r="BR22" i="103"/>
  <c r="AD23" i="103"/>
  <c r="AP23" i="103"/>
  <c r="BN23" i="103"/>
  <c r="N24" i="103"/>
  <c r="AX24" i="103"/>
  <c r="BJ24" i="103"/>
  <c r="BV24" i="103"/>
  <c r="V25" i="103"/>
  <c r="AH25" i="103"/>
  <c r="AT25" i="103"/>
  <c r="BF25" i="103"/>
  <c r="BR25" i="103"/>
  <c r="AD26" i="103"/>
  <c r="AP26" i="103"/>
  <c r="BN26" i="103"/>
  <c r="N27" i="103"/>
  <c r="AX27" i="103"/>
  <c r="BJ27" i="103"/>
  <c r="BV27" i="103"/>
  <c r="V28" i="103"/>
  <c r="AH28" i="103"/>
  <c r="AT28" i="103"/>
  <c r="BF28" i="103"/>
  <c r="BR28" i="103"/>
  <c r="AD29" i="103"/>
  <c r="AP29" i="103"/>
  <c r="BN29" i="103"/>
  <c r="N30" i="103"/>
  <c r="AX30" i="103"/>
  <c r="BJ30" i="103"/>
  <c r="BV30" i="103"/>
  <c r="V31" i="103"/>
  <c r="AH31" i="103"/>
  <c r="AT31" i="103"/>
  <c r="BF31" i="103"/>
  <c r="BR31" i="103"/>
  <c r="AD32" i="103"/>
  <c r="AP32" i="103"/>
  <c r="BN32" i="103"/>
  <c r="N33" i="103"/>
  <c r="AX33" i="103"/>
  <c r="BJ33" i="103"/>
  <c r="BV33" i="103"/>
  <c r="V34" i="103"/>
  <c r="AH34" i="103"/>
  <c r="AT34" i="103"/>
  <c r="BF34" i="103"/>
  <c r="BR34" i="103"/>
  <c r="AD35" i="103"/>
  <c r="AP35" i="103"/>
  <c r="BO35" i="103"/>
  <c r="BF36" i="103"/>
  <c r="S37" i="103"/>
  <c r="AI39" i="103"/>
  <c r="BG42" i="103"/>
  <c r="BO43" i="103"/>
  <c r="I49" i="103"/>
  <c r="Q50" i="103"/>
  <c r="AK51" i="103"/>
  <c r="AD11" i="103"/>
  <c r="BN11" i="103"/>
  <c r="N12" i="103"/>
  <c r="AX12" i="103"/>
  <c r="BJ12" i="103"/>
  <c r="BV12" i="103"/>
  <c r="V13" i="103"/>
  <c r="AH13" i="103"/>
  <c r="AT13" i="103"/>
  <c r="BF13" i="103"/>
  <c r="BR13" i="103"/>
  <c r="AD14" i="103"/>
  <c r="AP14" i="103"/>
  <c r="BN14" i="103"/>
  <c r="N15" i="103"/>
  <c r="AX15" i="103"/>
  <c r="BJ15" i="103"/>
  <c r="BV15" i="103"/>
  <c r="V16" i="103"/>
  <c r="AH16" i="103"/>
  <c r="AT16" i="103"/>
  <c r="BF16" i="103"/>
  <c r="BR16" i="103"/>
  <c r="AD17" i="103"/>
  <c r="AP17" i="103"/>
  <c r="BN17" i="103"/>
  <c r="N18" i="103"/>
  <c r="AX18" i="103"/>
  <c r="BJ18" i="103"/>
  <c r="BV18" i="103"/>
  <c r="V19" i="103"/>
  <c r="AH19" i="103"/>
  <c r="AT19" i="103"/>
  <c r="BF19" i="103"/>
  <c r="BR19" i="103"/>
  <c r="G20" i="103"/>
  <c r="S20" i="103"/>
  <c r="AE20" i="103"/>
  <c r="AQ20" i="103"/>
  <c r="BO20" i="103"/>
  <c r="AY21" i="103"/>
  <c r="BK21" i="103"/>
  <c r="AI22" i="103"/>
  <c r="BG22" i="103"/>
  <c r="BS22" i="103"/>
  <c r="AN22" i="103" s="1"/>
  <c r="CE22" i="103"/>
  <c r="G23" i="103"/>
  <c r="S23" i="103"/>
  <c r="AE23" i="103"/>
  <c r="AQ23" i="103"/>
  <c r="BO23" i="103"/>
  <c r="AY24" i="103"/>
  <c r="BK24" i="103"/>
  <c r="AI25" i="103"/>
  <c r="BG25" i="103"/>
  <c r="BS25" i="103"/>
  <c r="AN25" i="103" s="1"/>
  <c r="CE25" i="103"/>
  <c r="G26" i="103"/>
  <c r="S26" i="103"/>
  <c r="AE26" i="103"/>
  <c r="AQ26" i="103"/>
  <c r="BO26" i="103"/>
  <c r="AY27" i="103"/>
  <c r="BK27" i="103"/>
  <c r="AI28" i="103"/>
  <c r="BG28" i="103"/>
  <c r="BS28" i="103"/>
  <c r="AN28" i="103" s="1"/>
  <c r="CE28" i="103"/>
  <c r="G29" i="103"/>
  <c r="S29" i="103"/>
  <c r="AE29" i="103"/>
  <c r="AQ29" i="103"/>
  <c r="BO29" i="103"/>
  <c r="AY30" i="103"/>
  <c r="BK30" i="103"/>
  <c r="AI31" i="103"/>
  <c r="BG31" i="103"/>
  <c r="BS31" i="103"/>
  <c r="CE31" i="103"/>
  <c r="G32" i="103"/>
  <c r="S32" i="103"/>
  <c r="AE32" i="103"/>
  <c r="AQ32" i="103"/>
  <c r="BO32" i="103"/>
  <c r="AY33" i="103"/>
  <c r="BK33" i="103"/>
  <c r="AI34" i="103"/>
  <c r="BG34" i="103"/>
  <c r="BS34" i="103"/>
  <c r="AN34" i="103" s="1"/>
  <c r="CE34" i="103"/>
  <c r="G35" i="103"/>
  <c r="S35" i="103"/>
  <c r="AE35" i="103"/>
  <c r="AQ35" i="103"/>
  <c r="BP35" i="103"/>
  <c r="CE35" i="103"/>
  <c r="I36" i="103"/>
  <c r="AG36" i="103"/>
  <c r="BG36" i="103"/>
  <c r="AE37" i="103"/>
  <c r="AY41" i="103"/>
  <c r="BS42" i="103"/>
  <c r="AN42" i="103" s="1"/>
  <c r="G11" i="103"/>
  <c r="S11" i="103"/>
  <c r="AE11" i="103"/>
  <c r="AQ11" i="103"/>
  <c r="BO11" i="103"/>
  <c r="AY12" i="103"/>
  <c r="BK12" i="103"/>
  <c r="AI13" i="103"/>
  <c r="BG13" i="103"/>
  <c r="BS13" i="103"/>
  <c r="AN13" i="103" s="1"/>
  <c r="CE13" i="103"/>
  <c r="G14" i="103"/>
  <c r="S14" i="103"/>
  <c r="AE14" i="103"/>
  <c r="AQ14" i="103"/>
  <c r="BO14" i="103"/>
  <c r="AY15" i="103"/>
  <c r="BK15" i="103"/>
  <c r="AI16" i="103"/>
  <c r="BG16" i="103"/>
  <c r="BS16" i="103"/>
  <c r="AN16" i="103" s="1"/>
  <c r="CE16" i="103"/>
  <c r="G17" i="103"/>
  <c r="S17" i="103"/>
  <c r="AE17" i="103"/>
  <c r="AQ17" i="103"/>
  <c r="BO17" i="103"/>
  <c r="AY18" i="103"/>
  <c r="BK18" i="103"/>
  <c r="AI19" i="103"/>
  <c r="BG19" i="103"/>
  <c r="BS19" i="103"/>
  <c r="AN19" i="103" s="1"/>
  <c r="CE19" i="103"/>
  <c r="T20" i="103"/>
  <c r="AF20" i="103"/>
  <c r="AR20" i="103"/>
  <c r="BP20" i="103"/>
  <c r="P21" i="103"/>
  <c r="AZ21" i="103"/>
  <c r="BL21" i="103"/>
  <c r="CJ21" i="103"/>
  <c r="AJ22" i="103"/>
  <c r="BH22" i="103"/>
  <c r="Q22" i="67" s="1"/>
  <c r="BT22" i="103"/>
  <c r="BC22" i="103" s="1"/>
  <c r="T23" i="103"/>
  <c r="AF23" i="103"/>
  <c r="AR23" i="103"/>
  <c r="BP23" i="103"/>
  <c r="P24" i="103"/>
  <c r="AZ24" i="103"/>
  <c r="BL24" i="103"/>
  <c r="CJ24" i="103"/>
  <c r="AJ25" i="103"/>
  <c r="BH25" i="103"/>
  <c r="Q25" i="67" s="1"/>
  <c r="BT25" i="103"/>
  <c r="BC25" i="103" s="1"/>
  <c r="T26" i="103"/>
  <c r="AF26" i="103"/>
  <c r="AR26" i="103"/>
  <c r="BP26" i="103"/>
  <c r="P27" i="103"/>
  <c r="AZ27" i="103"/>
  <c r="BL27" i="103"/>
  <c r="CJ27" i="103"/>
  <c r="AJ28" i="103"/>
  <c r="BH28" i="103"/>
  <c r="Q28" i="67" s="1"/>
  <c r="BT28" i="103"/>
  <c r="BC28" i="103" s="1"/>
  <c r="T29" i="103"/>
  <c r="AF29" i="103"/>
  <c r="AR29" i="103"/>
  <c r="BP29" i="103"/>
  <c r="P30" i="103"/>
  <c r="AZ30" i="103"/>
  <c r="BL30" i="103"/>
  <c r="CJ30" i="103"/>
  <c r="AJ31" i="103"/>
  <c r="BH31" i="103"/>
  <c r="Q31" i="67" s="1"/>
  <c r="BT31" i="103"/>
  <c r="T32" i="103"/>
  <c r="AF32" i="103"/>
  <c r="AR32" i="103"/>
  <c r="BP32" i="103"/>
  <c r="P33" i="103"/>
  <c r="AZ33" i="103"/>
  <c r="BL33" i="103"/>
  <c r="CJ33" i="103"/>
  <c r="AJ34" i="103"/>
  <c r="BH34" i="103"/>
  <c r="Q34" i="67" s="1"/>
  <c r="BT34" i="103"/>
  <c r="T35" i="103"/>
  <c r="AF35" i="103"/>
  <c r="AR35" i="103"/>
  <c r="BQ35" i="103"/>
  <c r="AH36" i="103"/>
  <c r="BH36" i="103"/>
  <c r="Q36" i="67" s="1"/>
  <c r="AQ37" i="103"/>
  <c r="BK41" i="103"/>
  <c r="CE42" i="103"/>
  <c r="G46" i="103"/>
  <c r="P47" i="103"/>
  <c r="AG49" i="103"/>
  <c r="AO50" i="103"/>
  <c r="T11" i="103"/>
  <c r="AF11" i="103"/>
  <c r="BP11" i="103"/>
  <c r="P12" i="103"/>
  <c r="AZ12" i="103"/>
  <c r="BL12" i="103"/>
  <c r="CJ12" i="103"/>
  <c r="AJ13" i="103"/>
  <c r="BH13" i="103"/>
  <c r="Q13" i="67" s="1"/>
  <c r="BT13" i="103"/>
  <c r="BC13" i="103" s="1"/>
  <c r="T14" i="103"/>
  <c r="AF14" i="103"/>
  <c r="AR14" i="103"/>
  <c r="BP14" i="103"/>
  <c r="P15" i="103"/>
  <c r="AZ15" i="103"/>
  <c r="BL15" i="103"/>
  <c r="CJ15" i="103"/>
  <c r="AJ16" i="103"/>
  <c r="BH16" i="103"/>
  <c r="Q16" i="67" s="1"/>
  <c r="BT16" i="103"/>
  <c r="BC16" i="103" s="1"/>
  <c r="T17" i="103"/>
  <c r="AF17" i="103"/>
  <c r="AR17" i="103"/>
  <c r="BP17" i="103"/>
  <c r="P18" i="103"/>
  <c r="AZ18" i="103"/>
  <c r="BL18" i="103"/>
  <c r="CJ18" i="103"/>
  <c r="AJ19" i="103"/>
  <c r="BH19" i="103"/>
  <c r="Q19" i="67" s="1"/>
  <c r="BT19" i="103"/>
  <c r="I20" i="103"/>
  <c r="AG20" i="103"/>
  <c r="AS20" i="103"/>
  <c r="BE20" i="103"/>
  <c r="BQ20" i="103"/>
  <c r="Q21" i="103"/>
  <c r="AO21" i="103"/>
  <c r="BM21" i="103"/>
  <c r="AK22" i="103"/>
  <c r="AW22" i="103"/>
  <c r="BU22" i="103"/>
  <c r="I23" i="103"/>
  <c r="AG23" i="103"/>
  <c r="AS23" i="103"/>
  <c r="BE23" i="103"/>
  <c r="BQ23" i="103"/>
  <c r="Q24" i="103"/>
  <c r="AO24" i="103"/>
  <c r="BM24" i="103"/>
  <c r="AK25" i="103"/>
  <c r="AW25" i="103"/>
  <c r="BU25" i="103"/>
  <c r="I26" i="103"/>
  <c r="AG26" i="103"/>
  <c r="AS26" i="103"/>
  <c r="BE26" i="103"/>
  <c r="BQ26" i="103"/>
  <c r="Q27" i="103"/>
  <c r="AO27" i="103"/>
  <c r="BM27" i="103"/>
  <c r="AK28" i="103"/>
  <c r="AW28" i="103"/>
  <c r="BU28" i="103"/>
  <c r="I29" i="103"/>
  <c r="AG29" i="103"/>
  <c r="AS29" i="103"/>
  <c r="BE29" i="103"/>
  <c r="BQ29" i="103"/>
  <c r="Q30" i="103"/>
  <c r="AO30" i="103"/>
  <c r="BM30" i="103"/>
  <c r="AK31" i="103"/>
  <c r="AW31" i="103"/>
  <c r="BU31" i="103"/>
  <c r="I32" i="103"/>
  <c r="AG32" i="103"/>
  <c r="AS32" i="103"/>
  <c r="BE32" i="103"/>
  <c r="BQ32" i="103"/>
  <c r="Q33" i="103"/>
  <c r="AO33" i="103"/>
  <c r="BM33" i="103"/>
  <c r="AK34" i="103"/>
  <c r="AW34" i="103"/>
  <c r="BU34" i="103"/>
  <c r="I35" i="103"/>
  <c r="AG35" i="103"/>
  <c r="AS35" i="103"/>
  <c r="BE35" i="103"/>
  <c r="BR35" i="103"/>
  <c r="AI36" i="103"/>
  <c r="BK36" i="103"/>
  <c r="BG39" i="103"/>
  <c r="BO40" i="103"/>
  <c r="T46" i="103"/>
  <c r="AK48" i="103"/>
  <c r="AS49" i="103"/>
  <c r="AW51" i="103"/>
  <c r="AO12" i="103"/>
  <c r="BM12" i="103"/>
  <c r="AK13" i="103"/>
  <c r="AW13" i="103"/>
  <c r="BU13" i="103"/>
  <c r="I14" i="103"/>
  <c r="AG14" i="103"/>
  <c r="AS14" i="103"/>
  <c r="BE14" i="103"/>
  <c r="BQ14" i="103"/>
  <c r="Q15" i="103"/>
  <c r="AO15" i="103"/>
  <c r="BM15" i="103"/>
  <c r="AK16" i="103"/>
  <c r="AW16" i="103"/>
  <c r="BU16" i="103"/>
  <c r="I17" i="103"/>
  <c r="AG17" i="103"/>
  <c r="AS17" i="103"/>
  <c r="BE17" i="103"/>
  <c r="BQ17" i="103"/>
  <c r="Q18" i="103"/>
  <c r="AO18" i="103"/>
  <c r="BM18" i="103"/>
  <c r="AK19" i="103"/>
  <c r="AW19" i="103"/>
  <c r="BU19" i="103"/>
  <c r="V20" i="103"/>
  <c r="AH20" i="103"/>
  <c r="AT20" i="103"/>
  <c r="BF20" i="103"/>
  <c r="BR20" i="103"/>
  <c r="AD21" i="103"/>
  <c r="AP21" i="103"/>
  <c r="BN21" i="103"/>
  <c r="N22" i="103"/>
  <c r="AX22" i="103"/>
  <c r="BJ22" i="103"/>
  <c r="BV22" i="103"/>
  <c r="V23" i="103"/>
  <c r="AH23" i="103"/>
  <c r="AT23" i="103"/>
  <c r="BF23" i="103"/>
  <c r="BR23" i="103"/>
  <c r="AD24" i="103"/>
  <c r="AP24" i="103"/>
  <c r="BN24" i="103"/>
  <c r="N25" i="103"/>
  <c r="AX25" i="103"/>
  <c r="BJ25" i="103"/>
  <c r="BV25" i="103"/>
  <c r="V26" i="103"/>
  <c r="AH26" i="103"/>
  <c r="AT26" i="103"/>
  <c r="BF26" i="103"/>
  <c r="BR26" i="103"/>
  <c r="AD27" i="103"/>
  <c r="AP27" i="103"/>
  <c r="BN27" i="103"/>
  <c r="N28" i="103"/>
  <c r="AX28" i="103"/>
  <c r="BJ28" i="103"/>
  <c r="BV28" i="103"/>
  <c r="V29" i="103"/>
  <c r="AH29" i="103"/>
  <c r="AT29" i="103"/>
  <c r="BF29" i="103"/>
  <c r="BR29" i="103"/>
  <c r="AD30" i="103"/>
  <c r="AP30" i="103"/>
  <c r="BN30" i="103"/>
  <c r="N31" i="103"/>
  <c r="AX31" i="103"/>
  <c r="BJ31" i="103"/>
  <c r="BV31" i="103"/>
  <c r="V32" i="103"/>
  <c r="AH32" i="103"/>
  <c r="AT32" i="103"/>
  <c r="BF32" i="103"/>
  <c r="BR32" i="103"/>
  <c r="AD33" i="103"/>
  <c r="AP33" i="103"/>
  <c r="BN33" i="103"/>
  <c r="N34" i="103"/>
  <c r="AX34" i="103"/>
  <c r="BJ34" i="103"/>
  <c r="BV34" i="103"/>
  <c r="V35" i="103"/>
  <c r="AH35" i="103"/>
  <c r="AT35" i="103"/>
  <c r="BF35" i="103"/>
  <c r="BS35" i="103"/>
  <c r="AN35" i="103" s="1"/>
  <c r="AJ36" i="103"/>
  <c r="BS36" i="103"/>
  <c r="AY38" i="103"/>
  <c r="BS39" i="103"/>
  <c r="AN39" i="103" s="1"/>
  <c r="AF46" i="103"/>
  <c r="BI51" i="103"/>
  <c r="V11" i="103"/>
  <c r="AH11" i="103"/>
  <c r="AT11" i="103"/>
  <c r="BF11" i="103"/>
  <c r="BR11" i="103"/>
  <c r="AD12" i="103"/>
  <c r="AP12" i="103"/>
  <c r="BN12" i="103"/>
  <c r="N13" i="103"/>
  <c r="AX13" i="103"/>
  <c r="BJ13" i="103"/>
  <c r="BV13" i="103"/>
  <c r="V14" i="103"/>
  <c r="AH14" i="103"/>
  <c r="AT14" i="103"/>
  <c r="BF14" i="103"/>
  <c r="BR14" i="103"/>
  <c r="AD15" i="103"/>
  <c r="AP15" i="103"/>
  <c r="BN15" i="103"/>
  <c r="N16" i="103"/>
  <c r="AX16" i="103"/>
  <c r="BJ16" i="103"/>
  <c r="BV16" i="103"/>
  <c r="V17" i="103"/>
  <c r="AH17" i="103"/>
  <c r="AT17" i="103"/>
  <c r="BF17" i="103"/>
  <c r="BR17" i="103"/>
  <c r="AD18" i="103"/>
  <c r="AP18" i="103"/>
  <c r="BN18" i="103"/>
  <c r="N19" i="103"/>
  <c r="AX19" i="103"/>
  <c r="BJ19" i="103"/>
  <c r="BV19" i="103"/>
  <c r="AI20" i="103"/>
  <c r="BG20" i="103"/>
  <c r="BS20" i="103"/>
  <c r="AN20" i="103" s="1"/>
  <c r="CE20" i="103"/>
  <c r="G21" i="103"/>
  <c r="S21" i="103"/>
  <c r="AE21" i="103"/>
  <c r="AQ21" i="103"/>
  <c r="BO21" i="103"/>
  <c r="AY22" i="103"/>
  <c r="BK22" i="103"/>
  <c r="AI23" i="103"/>
  <c r="BG23" i="103"/>
  <c r="BS23" i="103"/>
  <c r="AN23" i="103" s="1"/>
  <c r="CE23" i="103"/>
  <c r="G24" i="103"/>
  <c r="S24" i="103"/>
  <c r="AE24" i="103"/>
  <c r="AQ24" i="103"/>
  <c r="BO24" i="103"/>
  <c r="AY25" i="103"/>
  <c r="BK25" i="103"/>
  <c r="AI26" i="103"/>
  <c r="BG26" i="103"/>
  <c r="BS26" i="103"/>
  <c r="AN26" i="103" s="1"/>
  <c r="CE26" i="103"/>
  <c r="G27" i="103"/>
  <c r="S27" i="103"/>
  <c r="AE27" i="103"/>
  <c r="AQ27" i="103"/>
  <c r="BO27" i="103"/>
  <c r="AY28" i="103"/>
  <c r="BK28" i="103"/>
  <c r="AI29" i="103"/>
  <c r="BG29" i="103"/>
  <c r="BS29" i="103"/>
  <c r="AN29" i="103" s="1"/>
  <c r="CE29" i="103"/>
  <c r="G30" i="103"/>
  <c r="S30" i="103"/>
  <c r="AE30" i="103"/>
  <c r="AQ30" i="103"/>
  <c r="BO30" i="103"/>
  <c r="AY31" i="103"/>
  <c r="BK31" i="103"/>
  <c r="AI32" i="103"/>
  <c r="BG32" i="103"/>
  <c r="BS32" i="103"/>
  <c r="AN32" i="103" s="1"/>
  <c r="CE32" i="103"/>
  <c r="G33" i="103"/>
  <c r="S33" i="103"/>
  <c r="AE33" i="103"/>
  <c r="AQ33" i="103"/>
  <c r="BO33" i="103"/>
  <c r="AY34" i="103"/>
  <c r="BK34" i="103"/>
  <c r="AI35" i="103"/>
  <c r="BG35" i="103"/>
  <c r="BT35" i="103"/>
  <c r="BC35" i="103" s="1"/>
  <c r="BT36" i="103"/>
  <c r="BC36" i="103" s="1"/>
  <c r="BK38" i="103"/>
  <c r="CE39" i="103"/>
  <c r="G43" i="103"/>
  <c r="AR46" i="103"/>
  <c r="BU51" i="103"/>
  <c r="AI11" i="103"/>
  <c r="BG11" i="103"/>
  <c r="BS11" i="103"/>
  <c r="AN11" i="103" s="1"/>
  <c r="CE11" i="103"/>
  <c r="G12" i="103"/>
  <c r="S12" i="103"/>
  <c r="AE12" i="103"/>
  <c r="AQ12" i="103"/>
  <c r="BO12" i="103"/>
  <c r="AY13" i="103"/>
  <c r="BK13" i="103"/>
  <c r="AI14" i="103"/>
  <c r="BG14" i="103"/>
  <c r="BS14" i="103"/>
  <c r="AN14" i="103" s="1"/>
  <c r="CE14" i="103"/>
  <c r="G15" i="103"/>
  <c r="S15" i="103"/>
  <c r="AE15" i="103"/>
  <c r="AQ15" i="103"/>
  <c r="BO15" i="103"/>
  <c r="AY16" i="103"/>
  <c r="BK16" i="103"/>
  <c r="AI17" i="103"/>
  <c r="BG17" i="103"/>
  <c r="BS17" i="103"/>
  <c r="CE17" i="103"/>
  <c r="G18" i="103"/>
  <c r="S18" i="103"/>
  <c r="AE18" i="103"/>
  <c r="AQ18" i="103"/>
  <c r="BO18" i="103"/>
  <c r="AY19" i="103"/>
  <c r="BK19" i="103"/>
  <c r="AJ20" i="103"/>
  <c r="BH20" i="103"/>
  <c r="Q20" i="67" s="1"/>
  <c r="BT20" i="103"/>
  <c r="BC20" i="103" s="1"/>
  <c r="T21" i="103"/>
  <c r="AF21" i="103"/>
  <c r="AR21" i="103"/>
  <c r="BP21" i="103"/>
  <c r="P22" i="103"/>
  <c r="AZ22" i="103"/>
  <c r="BL22" i="103"/>
  <c r="CJ22" i="103"/>
  <c r="AJ23" i="103"/>
  <c r="BH23" i="103"/>
  <c r="Q23" i="67" s="1"/>
  <c r="BT23" i="103"/>
  <c r="BC23" i="103" s="1"/>
  <c r="T24" i="103"/>
  <c r="AF24" i="103"/>
  <c r="AR24" i="103"/>
  <c r="BP24" i="103"/>
  <c r="P25" i="103"/>
  <c r="AZ25" i="103"/>
  <c r="BL25" i="103"/>
  <c r="CJ25" i="103"/>
  <c r="AJ26" i="103"/>
  <c r="BH26" i="103"/>
  <c r="Q26" i="67" s="1"/>
  <c r="BT26" i="103"/>
  <c r="T27" i="103"/>
  <c r="AF27" i="103"/>
  <c r="AR27" i="103"/>
  <c r="BP27" i="103"/>
  <c r="P28" i="103"/>
  <c r="AZ28" i="103"/>
  <c r="BL28" i="103"/>
  <c r="CJ28" i="103"/>
  <c r="AJ29" i="103"/>
  <c r="BH29" i="103"/>
  <c r="Q29" i="67" s="1"/>
  <c r="BT29" i="103"/>
  <c r="T30" i="103"/>
  <c r="AF30" i="103"/>
  <c r="AR30" i="103"/>
  <c r="BP30" i="103"/>
  <c r="P31" i="103"/>
  <c r="AZ31" i="103"/>
  <c r="BL31" i="103"/>
  <c r="CJ31" i="103"/>
  <c r="AJ32" i="103"/>
  <c r="BH32" i="103"/>
  <c r="Q32" i="67" s="1"/>
  <c r="BT32" i="103"/>
  <c r="BC32" i="103" s="1"/>
  <c r="T33" i="103"/>
  <c r="AF33" i="103"/>
  <c r="AR33" i="103"/>
  <c r="BP33" i="103"/>
  <c r="P34" i="103"/>
  <c r="AZ34" i="103"/>
  <c r="BL34" i="103"/>
  <c r="CJ34" i="103"/>
  <c r="AJ35" i="103"/>
  <c r="BH35" i="103"/>
  <c r="Q35" i="67" s="1"/>
  <c r="BU35" i="103"/>
  <c r="CJ35" i="103"/>
  <c r="Q36" i="103"/>
  <c r="AS36" i="103"/>
  <c r="BO37" i="103"/>
  <c r="S43" i="103"/>
  <c r="AI45" i="103"/>
  <c r="AW48" i="103"/>
  <c r="BE49" i="103"/>
  <c r="BM50" i="103"/>
  <c r="AJ11" i="103"/>
  <c r="BH11" i="103"/>
  <c r="BT11" i="103"/>
  <c r="BC11" i="103" s="1"/>
  <c r="T12" i="103"/>
  <c r="AF12" i="103"/>
  <c r="AR12" i="103"/>
  <c r="BP12" i="103"/>
  <c r="P13" i="103"/>
  <c r="AZ13" i="103"/>
  <c r="BL13" i="103"/>
  <c r="CJ13" i="103"/>
  <c r="AJ14" i="103"/>
  <c r="BH14" i="103"/>
  <c r="Q14" i="67" s="1"/>
  <c r="BT14" i="103"/>
  <c r="BC14" i="103" s="1"/>
  <c r="T15" i="103"/>
  <c r="AF15" i="103"/>
  <c r="AR15" i="103"/>
  <c r="BP15" i="103"/>
  <c r="P16" i="103"/>
  <c r="AZ16" i="103"/>
  <c r="BL16" i="103"/>
  <c r="CJ16" i="103"/>
  <c r="AJ17" i="103"/>
  <c r="BH17" i="103"/>
  <c r="Q17" i="67" s="1"/>
  <c r="BT17" i="103"/>
  <c r="BC17" i="103" s="1"/>
  <c r="T18" i="103"/>
  <c r="AF18" i="103"/>
  <c r="AR18" i="103"/>
  <c r="BP18" i="103"/>
  <c r="P19" i="103"/>
  <c r="AZ19" i="103"/>
  <c r="BL19" i="103"/>
  <c r="CJ19" i="103"/>
  <c r="AK20" i="103"/>
  <c r="AW20" i="103"/>
  <c r="BU20" i="103"/>
  <c r="I21" i="103"/>
  <c r="AG21" i="103"/>
  <c r="AS21" i="103"/>
  <c r="BE21" i="103"/>
  <c r="BQ21" i="103"/>
  <c r="Q22" i="103"/>
  <c r="AO22" i="103"/>
  <c r="BM22" i="103"/>
  <c r="AK23" i="103"/>
  <c r="AW23" i="103"/>
  <c r="BU23" i="103"/>
  <c r="I24" i="103"/>
  <c r="AG24" i="103"/>
  <c r="AS24" i="103"/>
  <c r="BE24" i="103"/>
  <c r="BQ24" i="103"/>
  <c r="Q25" i="103"/>
  <c r="AO25" i="103"/>
  <c r="BM25" i="103"/>
  <c r="AK26" i="103"/>
  <c r="AW26" i="103"/>
  <c r="BU26" i="103"/>
  <c r="I27" i="103"/>
  <c r="AG27" i="103"/>
  <c r="AS27" i="103"/>
  <c r="BE27" i="103"/>
  <c r="BQ27" i="103"/>
  <c r="Q28" i="103"/>
  <c r="AO28" i="103"/>
  <c r="BM28" i="103"/>
  <c r="AK29" i="103"/>
  <c r="AW29" i="103"/>
  <c r="BU29" i="103"/>
  <c r="I30" i="103"/>
  <c r="AG30" i="103"/>
  <c r="AS30" i="103"/>
  <c r="BE30" i="103"/>
  <c r="BQ30" i="103"/>
  <c r="Q31" i="103"/>
  <c r="AO31" i="103"/>
  <c r="BM31" i="103"/>
  <c r="AK32" i="103"/>
  <c r="AW32" i="103"/>
  <c r="BU32" i="103"/>
  <c r="I33" i="103"/>
  <c r="AG33" i="103"/>
  <c r="AS33" i="103"/>
  <c r="BE33" i="103"/>
  <c r="BQ33" i="103"/>
  <c r="Q34" i="103"/>
  <c r="AO34" i="103"/>
  <c r="BM34" i="103"/>
  <c r="AK35" i="103"/>
  <c r="AW35" i="103"/>
  <c r="BV35" i="103"/>
  <c r="AT36" i="103"/>
  <c r="CE36" i="103"/>
  <c r="AE43" i="103"/>
  <c r="AZ47" i="103"/>
  <c r="BI48" i="103"/>
  <c r="BQ49" i="103"/>
  <c r="AK11" i="103"/>
  <c r="AW11" i="103"/>
  <c r="BU11" i="103"/>
  <c r="I12" i="103"/>
  <c r="AG12" i="103"/>
  <c r="AS12" i="103"/>
  <c r="BE12" i="103"/>
  <c r="BQ12" i="103"/>
  <c r="Q13" i="103"/>
  <c r="AO13" i="103"/>
  <c r="BM13" i="103"/>
  <c r="AK14" i="103"/>
  <c r="AW14" i="103"/>
  <c r="BU14" i="103"/>
  <c r="I15" i="103"/>
  <c r="AG15" i="103"/>
  <c r="AS15" i="103"/>
  <c r="BE15" i="103"/>
  <c r="BQ15" i="103"/>
  <c r="Q16" i="103"/>
  <c r="AO16" i="103"/>
  <c r="BM16" i="103"/>
  <c r="AK17" i="103"/>
  <c r="AW17" i="103"/>
  <c r="BU17" i="103"/>
  <c r="I18" i="103"/>
  <c r="AG18" i="103"/>
  <c r="AS18" i="103"/>
  <c r="BE18" i="103"/>
  <c r="BQ18" i="103"/>
  <c r="Q19" i="103"/>
  <c r="AO19" i="103"/>
  <c r="BM19" i="103"/>
  <c r="N20" i="103"/>
  <c r="AX20" i="103"/>
  <c r="BJ20" i="103"/>
  <c r="BV20" i="103"/>
  <c r="V21" i="103"/>
  <c r="AH21" i="103"/>
  <c r="AT21" i="103"/>
  <c r="BF21" i="103"/>
  <c r="BR21" i="103"/>
  <c r="AD22" i="103"/>
  <c r="AP22" i="103"/>
  <c r="BN22" i="103"/>
  <c r="N23" i="103"/>
  <c r="AX23" i="103"/>
  <c r="BJ23" i="103"/>
  <c r="BV23" i="103"/>
  <c r="V24" i="103"/>
  <c r="AH24" i="103"/>
  <c r="AT24" i="103"/>
  <c r="BF24" i="103"/>
  <c r="BR24" i="103"/>
  <c r="AD25" i="103"/>
  <c r="AP25" i="103"/>
  <c r="BN25" i="103"/>
  <c r="N26" i="103"/>
  <c r="AX26" i="103"/>
  <c r="BJ26" i="103"/>
  <c r="BV26" i="103"/>
  <c r="V27" i="103"/>
  <c r="AH27" i="103"/>
  <c r="AT27" i="103"/>
  <c r="BF27" i="103"/>
  <c r="BR27" i="103"/>
  <c r="AD28" i="103"/>
  <c r="AP28" i="103"/>
  <c r="BN28" i="103"/>
  <c r="N29" i="103"/>
  <c r="AX29" i="103"/>
  <c r="BJ29" i="103"/>
  <c r="BV29" i="103"/>
  <c r="V30" i="103"/>
  <c r="AH30" i="103"/>
  <c r="AT30" i="103"/>
  <c r="BF30" i="103"/>
  <c r="BR30" i="103"/>
  <c r="AD31" i="103"/>
  <c r="AP31" i="103"/>
  <c r="BN31" i="103"/>
  <c r="N32" i="103"/>
  <c r="AX32" i="103"/>
  <c r="BJ32" i="103"/>
  <c r="BV32" i="103"/>
  <c r="V33" i="103"/>
  <c r="AH33" i="103"/>
  <c r="AT33" i="103"/>
  <c r="BF33" i="103"/>
  <c r="BR33" i="103"/>
  <c r="AD34" i="103"/>
  <c r="AP34" i="103"/>
  <c r="BN34" i="103"/>
  <c r="N35" i="103"/>
  <c r="AX35" i="103"/>
  <c r="BJ35" i="103"/>
  <c r="G40" i="103"/>
  <c r="AQ43" i="103"/>
  <c r="BL47" i="103"/>
  <c r="BU48" i="103"/>
  <c r="R14" i="17"/>
  <c r="T13" i="17"/>
  <c r="P14" i="17"/>
  <c r="R13" i="17"/>
  <c r="N14" i="17"/>
  <c r="P13" i="17"/>
  <c r="L14" i="17"/>
  <c r="N13" i="17"/>
  <c r="J14" i="17"/>
  <c r="L13" i="17"/>
  <c r="H14" i="17"/>
  <c r="J13" i="17"/>
  <c r="AB14" i="17"/>
  <c r="F13" i="17"/>
  <c r="Z14" i="17"/>
  <c r="AB13" i="17"/>
  <c r="AB15" i="17" s="1"/>
  <c r="V14" i="17"/>
  <c r="H13" i="17"/>
  <c r="X13" i="17"/>
  <c r="O19" i="37"/>
  <c r="N20" i="37"/>
  <c r="J24" i="37"/>
  <c r="I25" i="37"/>
  <c r="H26" i="37"/>
  <c r="G27" i="37"/>
  <c r="P19" i="37"/>
  <c r="O20" i="37"/>
  <c r="K24" i="37"/>
  <c r="J25" i="37"/>
  <c r="I26" i="37"/>
  <c r="H27" i="37"/>
  <c r="P20" i="37"/>
  <c r="L24" i="37"/>
  <c r="K25" i="37"/>
  <c r="J26" i="37"/>
  <c r="I27" i="37"/>
  <c r="E20" i="37"/>
  <c r="M24" i="37"/>
  <c r="L25" i="37"/>
  <c r="K26" i="37"/>
  <c r="J27" i="37"/>
  <c r="F20" i="37"/>
  <c r="N24" i="37"/>
  <c r="M25" i="37"/>
  <c r="L26" i="37"/>
  <c r="K27" i="37"/>
  <c r="G20" i="37"/>
  <c r="O24" i="37"/>
  <c r="N25" i="37"/>
  <c r="M26" i="37"/>
  <c r="L27" i="37"/>
  <c r="H20" i="37"/>
  <c r="P24" i="37"/>
  <c r="O25" i="37"/>
  <c r="N26" i="37"/>
  <c r="M27" i="37"/>
  <c r="I20" i="37"/>
  <c r="E24" i="37"/>
  <c r="P25" i="37"/>
  <c r="O26" i="37"/>
  <c r="N27" i="37"/>
  <c r="O14" i="37"/>
  <c r="J20" i="37"/>
  <c r="F24" i="37"/>
  <c r="E25" i="37"/>
  <c r="P26" i="37"/>
  <c r="O27" i="37"/>
  <c r="O28" i="37"/>
  <c r="P14" i="37"/>
  <c r="K20" i="37"/>
  <c r="G24" i="37"/>
  <c r="F25" i="37"/>
  <c r="E26" i="37"/>
  <c r="P27" i="37"/>
  <c r="P28" i="37"/>
  <c r="L20" i="37"/>
  <c r="H24" i="37"/>
  <c r="G25" i="37"/>
  <c r="F26" i="37"/>
  <c r="E27" i="37"/>
  <c r="M20" i="37"/>
  <c r="I24" i="37"/>
  <c r="H25" i="37"/>
  <c r="G26" i="37"/>
  <c r="F27" i="37"/>
  <c r="U15" i="58"/>
  <c r="N15" i="58" s="1"/>
  <c r="S16" i="58"/>
  <c r="U21" i="58"/>
  <c r="N21" i="58" s="1"/>
  <c r="S22" i="58"/>
  <c r="U27" i="58"/>
  <c r="N27" i="58" s="1"/>
  <c r="S28" i="58"/>
  <c r="U33" i="58"/>
  <c r="N33" i="58" s="1"/>
  <c r="S34" i="58"/>
  <c r="U41" i="58"/>
  <c r="N41" i="58" s="1"/>
  <c r="U16" i="58"/>
  <c r="N16" i="58" s="1"/>
  <c r="S17" i="58"/>
  <c r="U22" i="58"/>
  <c r="N22" i="58" s="1"/>
  <c r="S23" i="58"/>
  <c r="U28" i="58"/>
  <c r="N28" i="58" s="1"/>
  <c r="S29" i="58"/>
  <c r="U34" i="58"/>
  <c r="N34" i="58" s="1"/>
  <c r="S35" i="58"/>
  <c r="V39" i="58"/>
  <c r="S40" i="58"/>
  <c r="V16" i="58"/>
  <c r="T17" i="58"/>
  <c r="X17" i="58" s="1"/>
  <c r="V22" i="58"/>
  <c r="T23" i="58"/>
  <c r="X23" i="58" s="1"/>
  <c r="V28" i="58"/>
  <c r="T29" i="58"/>
  <c r="X29" i="58" s="1"/>
  <c r="V34" i="58"/>
  <c r="T35" i="58"/>
  <c r="X35" i="58" s="1"/>
  <c r="T40" i="58"/>
  <c r="X40" i="58" s="1"/>
  <c r="U11" i="58"/>
  <c r="S12" i="58"/>
  <c r="U17" i="58"/>
  <c r="N17" i="58" s="1"/>
  <c r="S18" i="58"/>
  <c r="U23" i="58"/>
  <c r="N23" i="58" s="1"/>
  <c r="S24" i="58"/>
  <c r="U29" i="58"/>
  <c r="N29" i="58" s="1"/>
  <c r="S30" i="58"/>
  <c r="U35" i="58"/>
  <c r="N35" i="58" s="1"/>
  <c r="S36" i="58"/>
  <c r="U47" i="58"/>
  <c r="N47" i="58" s="1"/>
  <c r="V11" i="58"/>
  <c r="T12" i="58"/>
  <c r="X12" i="58" s="1"/>
  <c r="V17" i="58"/>
  <c r="T18" i="58"/>
  <c r="X18" i="58" s="1"/>
  <c r="V23" i="58"/>
  <c r="T24" i="58"/>
  <c r="X24" i="58" s="1"/>
  <c r="V29" i="58"/>
  <c r="T30" i="58"/>
  <c r="X30" i="58" s="1"/>
  <c r="V35" i="58"/>
  <c r="T36" i="58"/>
  <c r="X36" i="58" s="1"/>
  <c r="S43" i="58"/>
  <c r="U53" i="58"/>
  <c r="N53" i="58" s="1"/>
  <c r="U12" i="58"/>
  <c r="N12" i="58" s="1"/>
  <c r="S13" i="58"/>
  <c r="U18" i="58"/>
  <c r="N18" i="58" s="1"/>
  <c r="S19" i="58"/>
  <c r="U24" i="58"/>
  <c r="N24" i="58" s="1"/>
  <c r="S25" i="58"/>
  <c r="U30" i="58"/>
  <c r="N30" i="58" s="1"/>
  <c r="S31" i="58"/>
  <c r="U36" i="58"/>
  <c r="N36" i="58" s="1"/>
  <c r="S37" i="58"/>
  <c r="S38" i="58"/>
  <c r="S48" i="58"/>
  <c r="U59" i="58"/>
  <c r="N59" i="58" s="1"/>
  <c r="V12" i="58"/>
  <c r="T13" i="58"/>
  <c r="X13" i="58" s="1"/>
  <c r="V18" i="58"/>
  <c r="T19" i="58"/>
  <c r="X19" i="58" s="1"/>
  <c r="V24" i="58"/>
  <c r="T25" i="58"/>
  <c r="X25" i="58" s="1"/>
  <c r="V30" i="58"/>
  <c r="T31" i="58"/>
  <c r="X31" i="58" s="1"/>
  <c r="V36" i="58"/>
  <c r="T37" i="58"/>
  <c r="X37" i="58" s="1"/>
  <c r="T38" i="58"/>
  <c r="X38" i="58" s="1"/>
  <c r="S54" i="58"/>
  <c r="U65" i="58"/>
  <c r="N65" i="58" s="1"/>
  <c r="U13" i="58"/>
  <c r="N13" i="58" s="1"/>
  <c r="S14" i="58"/>
  <c r="U19" i="58"/>
  <c r="N19" i="58" s="1"/>
  <c r="S20" i="58"/>
  <c r="U25" i="58"/>
  <c r="N25" i="58" s="1"/>
  <c r="S26" i="58"/>
  <c r="U31" i="58"/>
  <c r="N31" i="58" s="1"/>
  <c r="S32" i="58"/>
  <c r="U37" i="58"/>
  <c r="N37" i="58" s="1"/>
  <c r="U38" i="58"/>
  <c r="N38" i="58" s="1"/>
  <c r="S42" i="58"/>
  <c r="S60" i="58"/>
  <c r="S375" i="58"/>
  <c r="U374" i="58"/>
  <c r="N374" i="58" s="1"/>
  <c r="S369" i="58"/>
  <c r="U368" i="58"/>
  <c r="N368" i="58" s="1"/>
  <c r="S363" i="58"/>
  <c r="U362" i="58"/>
  <c r="N362" i="58" s="1"/>
  <c r="S357" i="58"/>
  <c r="U356" i="58"/>
  <c r="N356" i="58" s="1"/>
  <c r="T374" i="58"/>
  <c r="X374" i="58" s="1"/>
  <c r="V373" i="58"/>
  <c r="T368" i="58"/>
  <c r="X368" i="58" s="1"/>
  <c r="V367" i="58"/>
  <c r="T362" i="58"/>
  <c r="X362" i="58" s="1"/>
  <c r="V361" i="58"/>
  <c r="T356" i="58"/>
  <c r="X356" i="58" s="1"/>
  <c r="V355" i="58"/>
  <c r="T350" i="58"/>
  <c r="X350" i="58" s="1"/>
  <c r="S374" i="58"/>
  <c r="U373" i="58"/>
  <c r="N373" i="58" s="1"/>
  <c r="S368" i="58"/>
  <c r="U367" i="58"/>
  <c r="N367" i="58" s="1"/>
  <c r="S362" i="58"/>
  <c r="U361" i="58"/>
  <c r="N361" i="58" s="1"/>
  <c r="S356" i="58"/>
  <c r="U355" i="58"/>
  <c r="N355" i="58" s="1"/>
  <c r="S350" i="58"/>
  <c r="T373" i="58"/>
  <c r="X373" i="58" s="1"/>
  <c r="V372" i="58"/>
  <c r="S373" i="58"/>
  <c r="U372" i="58"/>
  <c r="N372" i="58" s="1"/>
  <c r="S367" i="58"/>
  <c r="U366" i="58"/>
  <c r="N366" i="58" s="1"/>
  <c r="S361" i="58"/>
  <c r="U360" i="58"/>
  <c r="N360" i="58" s="1"/>
  <c r="T372" i="58"/>
  <c r="X372" i="58" s="1"/>
  <c r="V371" i="58"/>
  <c r="T366" i="58"/>
  <c r="X366" i="58" s="1"/>
  <c r="V365" i="58"/>
  <c r="T360" i="58"/>
  <c r="X360" i="58" s="1"/>
  <c r="V359" i="58"/>
  <c r="S372" i="58"/>
  <c r="U371" i="58"/>
  <c r="N371" i="58" s="1"/>
  <c r="S366" i="58"/>
  <c r="U365" i="58"/>
  <c r="N365" i="58" s="1"/>
  <c r="S360" i="58"/>
  <c r="U359" i="58"/>
  <c r="N359" i="58" s="1"/>
  <c r="S354" i="58"/>
  <c r="T371" i="58"/>
  <c r="X371" i="58" s="1"/>
  <c r="V370" i="58"/>
  <c r="T365" i="58"/>
  <c r="X365" i="58" s="1"/>
  <c r="V364" i="58"/>
  <c r="T359" i="58"/>
  <c r="X359" i="58" s="1"/>
  <c r="V358" i="58"/>
  <c r="T353" i="58"/>
  <c r="X353" i="58" s="1"/>
  <c r="V352" i="58"/>
  <c r="S371" i="58"/>
  <c r="U370" i="58"/>
  <c r="N370" i="58" s="1"/>
  <c r="S365" i="58"/>
  <c r="U364" i="58"/>
  <c r="N364" i="58" s="1"/>
  <c r="S359" i="58"/>
  <c r="U358" i="58"/>
  <c r="N358" i="58" s="1"/>
  <c r="S353" i="58"/>
  <c r="U352" i="58"/>
  <c r="N352" i="58" s="1"/>
  <c r="V375" i="58"/>
  <c r="T370" i="58"/>
  <c r="X370" i="58" s="1"/>
  <c r="V369" i="58"/>
  <c r="T364" i="58"/>
  <c r="X364" i="58" s="1"/>
  <c r="V363" i="58"/>
  <c r="T358" i="58"/>
  <c r="X358" i="58" s="1"/>
  <c r="V357" i="58"/>
  <c r="T375" i="58"/>
  <c r="X375" i="58" s="1"/>
  <c r="V374" i="58"/>
  <c r="T369" i="58"/>
  <c r="X369" i="58" s="1"/>
  <c r="V368" i="58"/>
  <c r="V351" i="58"/>
  <c r="T347" i="58"/>
  <c r="X347" i="58" s="1"/>
  <c r="V346" i="58"/>
  <c r="T341" i="58"/>
  <c r="X341" i="58" s="1"/>
  <c r="V340" i="58"/>
  <c r="T335" i="58"/>
  <c r="X335" i="58" s="1"/>
  <c r="V334" i="58"/>
  <c r="T329" i="58"/>
  <c r="X329" i="58" s="1"/>
  <c r="V328" i="58"/>
  <c r="T323" i="58"/>
  <c r="X323" i="58" s="1"/>
  <c r="V322" i="58"/>
  <c r="U363" i="58"/>
  <c r="N363" i="58" s="1"/>
  <c r="U351" i="58"/>
  <c r="N351" i="58" s="1"/>
  <c r="S347" i="58"/>
  <c r="U346" i="58"/>
  <c r="N346" i="58" s="1"/>
  <c r="S341" i="58"/>
  <c r="U340" i="58"/>
  <c r="N340" i="58" s="1"/>
  <c r="S335" i="58"/>
  <c r="U334" i="58"/>
  <c r="N334" i="58" s="1"/>
  <c r="S329" i="58"/>
  <c r="U328" i="58"/>
  <c r="N328" i="58" s="1"/>
  <c r="S323" i="58"/>
  <c r="U322" i="58"/>
  <c r="N322" i="58" s="1"/>
  <c r="T363" i="58"/>
  <c r="X363" i="58" s="1"/>
  <c r="T351" i="58"/>
  <c r="X351" i="58" s="1"/>
  <c r="T346" i="58"/>
  <c r="X346" i="58" s="1"/>
  <c r="V345" i="58"/>
  <c r="T340" i="58"/>
  <c r="X340" i="58" s="1"/>
  <c r="V339" i="58"/>
  <c r="T334" i="58"/>
  <c r="X334" i="58" s="1"/>
  <c r="V333" i="58"/>
  <c r="T328" i="58"/>
  <c r="X328" i="58" s="1"/>
  <c r="V327" i="58"/>
  <c r="U375" i="58"/>
  <c r="N375" i="58" s="1"/>
  <c r="T361" i="58"/>
  <c r="X361" i="58" s="1"/>
  <c r="S351" i="58"/>
  <c r="S346" i="58"/>
  <c r="U345" i="58"/>
  <c r="S340" i="58"/>
  <c r="U339" i="58"/>
  <c r="N339" i="58" s="1"/>
  <c r="S334" i="58"/>
  <c r="U333" i="58"/>
  <c r="N333" i="58" s="1"/>
  <c r="S328" i="58"/>
  <c r="U327" i="58"/>
  <c r="N327" i="58" s="1"/>
  <c r="U357" i="58"/>
  <c r="N357" i="58" s="1"/>
  <c r="T345" i="58"/>
  <c r="V344" i="58"/>
  <c r="T339" i="58"/>
  <c r="X339" i="58" s="1"/>
  <c r="V338" i="58"/>
  <c r="T333" i="58"/>
  <c r="X333" i="58" s="1"/>
  <c r="V332" i="58"/>
  <c r="T327" i="58"/>
  <c r="X327" i="58" s="1"/>
  <c r="V326" i="58"/>
  <c r="S370" i="58"/>
  <c r="T357" i="58"/>
  <c r="X357" i="58" s="1"/>
  <c r="S345" i="58"/>
  <c r="U344" i="58"/>
  <c r="N344" i="58" s="1"/>
  <c r="S339" i="58"/>
  <c r="U338" i="58"/>
  <c r="N338" i="58" s="1"/>
  <c r="S333" i="58"/>
  <c r="U332" i="58"/>
  <c r="N332" i="58" s="1"/>
  <c r="S327" i="58"/>
  <c r="U326" i="58"/>
  <c r="N326" i="58" s="1"/>
  <c r="T367" i="58"/>
  <c r="X367" i="58" s="1"/>
  <c r="V354" i="58"/>
  <c r="V349" i="58"/>
  <c r="T344" i="58"/>
  <c r="X344" i="58" s="1"/>
  <c r="V343" i="58"/>
  <c r="T338" i="58"/>
  <c r="X338" i="58" s="1"/>
  <c r="V337" i="58"/>
  <c r="T332" i="58"/>
  <c r="X332" i="58" s="1"/>
  <c r="V331" i="58"/>
  <c r="T326" i="58"/>
  <c r="X326" i="58" s="1"/>
  <c r="V325" i="58"/>
  <c r="T320" i="58"/>
  <c r="X320" i="58" s="1"/>
  <c r="V319" i="58"/>
  <c r="S364" i="58"/>
  <c r="U354" i="58"/>
  <c r="N354" i="58" s="1"/>
  <c r="V353" i="58"/>
  <c r="V350" i="58"/>
  <c r="U349" i="58"/>
  <c r="N349" i="58" s="1"/>
  <c r="S344" i="58"/>
  <c r="U343" i="58"/>
  <c r="N343" i="58" s="1"/>
  <c r="S338" i="58"/>
  <c r="U337" i="58"/>
  <c r="N337" i="58" s="1"/>
  <c r="S332" i="58"/>
  <c r="U331" i="58"/>
  <c r="N331" i="58" s="1"/>
  <c r="S326" i="58"/>
  <c r="U325" i="58"/>
  <c r="N325" i="58" s="1"/>
  <c r="S320" i="58"/>
  <c r="U319" i="58"/>
  <c r="N319" i="58" s="1"/>
  <c r="V362" i="58"/>
  <c r="T355" i="58"/>
  <c r="X355" i="58" s="1"/>
  <c r="T354" i="58"/>
  <c r="X354" i="58" s="1"/>
  <c r="U353" i="58"/>
  <c r="N353" i="58" s="1"/>
  <c r="U350" i="58"/>
  <c r="N350" i="58" s="1"/>
  <c r="T349" i="58"/>
  <c r="X349" i="58" s="1"/>
  <c r="V348" i="58"/>
  <c r="T343" i="58"/>
  <c r="X343" i="58" s="1"/>
  <c r="V342" i="58"/>
  <c r="T337" i="58"/>
  <c r="X337" i="58" s="1"/>
  <c r="V336" i="58"/>
  <c r="T331" i="58"/>
  <c r="X331" i="58" s="1"/>
  <c r="V330" i="58"/>
  <c r="T325" i="58"/>
  <c r="X325" i="58" s="1"/>
  <c r="V356" i="58"/>
  <c r="S348" i="58"/>
  <c r="U347" i="58"/>
  <c r="N347" i="58" s="1"/>
  <c r="S342" i="58"/>
  <c r="U341" i="58"/>
  <c r="N341" i="58" s="1"/>
  <c r="S336" i="58"/>
  <c r="U335" i="58"/>
  <c r="N335" i="58" s="1"/>
  <c r="S330" i="58"/>
  <c r="U329" i="58"/>
  <c r="N329" i="58" s="1"/>
  <c r="S324" i="58"/>
  <c r="V335" i="58"/>
  <c r="V323" i="58"/>
  <c r="T315" i="58"/>
  <c r="V314" i="58"/>
  <c r="T309" i="58"/>
  <c r="X309" i="58" s="1"/>
  <c r="V308" i="58"/>
  <c r="T303" i="58"/>
  <c r="X303" i="58" s="1"/>
  <c r="V302" i="58"/>
  <c r="T297" i="58"/>
  <c r="X297" i="58" s="1"/>
  <c r="V296" i="58"/>
  <c r="T291" i="58"/>
  <c r="X291" i="58" s="1"/>
  <c r="V290" i="58"/>
  <c r="V360" i="58"/>
  <c r="T352" i="58"/>
  <c r="X352" i="58" s="1"/>
  <c r="S343" i="58"/>
  <c r="V324" i="58"/>
  <c r="U323" i="58"/>
  <c r="N323" i="58" s="1"/>
  <c r="V320" i="58"/>
  <c r="S315" i="58"/>
  <c r="U314" i="58"/>
  <c r="N314" i="58" s="1"/>
  <c r="S309" i="58"/>
  <c r="U308" i="58"/>
  <c r="N308" i="58" s="1"/>
  <c r="S303" i="58"/>
  <c r="U302" i="58"/>
  <c r="N302" i="58" s="1"/>
  <c r="S297" i="58"/>
  <c r="U296" i="58"/>
  <c r="N296" i="58" s="1"/>
  <c r="S291" i="58"/>
  <c r="U290" i="58"/>
  <c r="N290" i="58" s="1"/>
  <c r="S352" i="58"/>
  <c r="V329" i="58"/>
  <c r="U324" i="58"/>
  <c r="N324" i="58" s="1"/>
  <c r="U320" i="58"/>
  <c r="N320" i="58" s="1"/>
  <c r="T314" i="58"/>
  <c r="X314" i="58" s="1"/>
  <c r="V313" i="58"/>
  <c r="T308" i="58"/>
  <c r="X308" i="58" s="1"/>
  <c r="V307" i="58"/>
  <c r="T302" i="58"/>
  <c r="X302" i="58" s="1"/>
  <c r="V301" i="58"/>
  <c r="T296" i="58"/>
  <c r="X296" i="58" s="1"/>
  <c r="V295" i="58"/>
  <c r="T290" i="58"/>
  <c r="X290" i="58" s="1"/>
  <c r="V289" i="58"/>
  <c r="U348" i="58"/>
  <c r="N348" i="58" s="1"/>
  <c r="S337" i="58"/>
  <c r="T324" i="58"/>
  <c r="X324" i="58" s="1"/>
  <c r="T322" i="58"/>
  <c r="X322" i="58" s="1"/>
  <c r="S314" i="58"/>
  <c r="U313" i="58"/>
  <c r="N313" i="58" s="1"/>
  <c r="S308" i="58"/>
  <c r="U307" i="58"/>
  <c r="N307" i="58" s="1"/>
  <c r="S302" i="58"/>
  <c r="U301" i="58"/>
  <c r="N301" i="58" s="1"/>
  <c r="S296" i="58"/>
  <c r="U295" i="58"/>
  <c r="N295" i="58" s="1"/>
  <c r="S290" i="58"/>
  <c r="U289" i="58"/>
  <c r="N289" i="58" s="1"/>
  <c r="S358" i="58"/>
  <c r="T348" i="58"/>
  <c r="X348" i="58" s="1"/>
  <c r="S322" i="58"/>
  <c r="V318" i="58"/>
  <c r="T313" i="58"/>
  <c r="X313" i="58" s="1"/>
  <c r="V312" i="58"/>
  <c r="T307" i="58"/>
  <c r="X307" i="58" s="1"/>
  <c r="V306" i="58"/>
  <c r="T301" i="58"/>
  <c r="X301" i="58" s="1"/>
  <c r="V300" i="58"/>
  <c r="T295" i="58"/>
  <c r="X295" i="58" s="1"/>
  <c r="V294" i="58"/>
  <c r="T289" i="58"/>
  <c r="X289" i="58" s="1"/>
  <c r="V288" i="58"/>
  <c r="U369" i="58"/>
  <c r="N369" i="58" s="1"/>
  <c r="U342" i="58"/>
  <c r="N342" i="58" s="1"/>
  <c r="S331" i="58"/>
  <c r="U318" i="58"/>
  <c r="N318" i="58" s="1"/>
  <c r="S313" i="58"/>
  <c r="U312" i="58"/>
  <c r="N312" i="58" s="1"/>
  <c r="S307" i="58"/>
  <c r="U306" i="58"/>
  <c r="N306" i="58" s="1"/>
  <c r="S301" i="58"/>
  <c r="U300" i="58"/>
  <c r="N300" i="58" s="1"/>
  <c r="S295" i="58"/>
  <c r="U294" i="58"/>
  <c r="N294" i="58" s="1"/>
  <c r="T342" i="58"/>
  <c r="X342" i="58" s="1"/>
  <c r="T318" i="58"/>
  <c r="X318" i="58" s="1"/>
  <c r="V317" i="58"/>
  <c r="T312" i="58"/>
  <c r="X312" i="58" s="1"/>
  <c r="V311" i="58"/>
  <c r="T306" i="58"/>
  <c r="X306" i="58" s="1"/>
  <c r="V305" i="58"/>
  <c r="T300" i="58"/>
  <c r="X300" i="58" s="1"/>
  <c r="V299" i="58"/>
  <c r="S355" i="58"/>
  <c r="U336" i="58"/>
  <c r="N336" i="58" s="1"/>
  <c r="S325" i="58"/>
  <c r="V321" i="58"/>
  <c r="T319" i="58"/>
  <c r="X319" i="58" s="1"/>
  <c r="S318" i="58"/>
  <c r="U317" i="58"/>
  <c r="N317" i="58" s="1"/>
  <c r="S312" i="58"/>
  <c r="U311" i="58"/>
  <c r="N311" i="58" s="1"/>
  <c r="S306" i="58"/>
  <c r="U305" i="58"/>
  <c r="N305" i="58" s="1"/>
  <c r="S300" i="58"/>
  <c r="U299" i="58"/>
  <c r="N299" i="58" s="1"/>
  <c r="V366" i="58"/>
  <c r="V347" i="58"/>
  <c r="T336" i="58"/>
  <c r="X336" i="58" s="1"/>
  <c r="U321" i="58"/>
  <c r="N321" i="58" s="1"/>
  <c r="S319" i="58"/>
  <c r="T317" i="58"/>
  <c r="X317" i="58" s="1"/>
  <c r="V316" i="58"/>
  <c r="T311" i="58"/>
  <c r="X311" i="58" s="1"/>
  <c r="V310" i="58"/>
  <c r="T305" i="58"/>
  <c r="X305" i="58" s="1"/>
  <c r="V304" i="58"/>
  <c r="T299" i="58"/>
  <c r="X299" i="58" s="1"/>
  <c r="V298" i="58"/>
  <c r="T293" i="58"/>
  <c r="X293" i="58" s="1"/>
  <c r="V292" i="58"/>
  <c r="U330" i="58"/>
  <c r="N330" i="58" s="1"/>
  <c r="T321" i="58"/>
  <c r="X321" i="58" s="1"/>
  <c r="S317" i="58"/>
  <c r="U316" i="58"/>
  <c r="N316" i="58" s="1"/>
  <c r="S311" i="58"/>
  <c r="U310" i="58"/>
  <c r="N310" i="58" s="1"/>
  <c r="S305" i="58"/>
  <c r="U304" i="58"/>
  <c r="N304" i="58" s="1"/>
  <c r="S299" i="58"/>
  <c r="U298" i="58"/>
  <c r="N298" i="58" s="1"/>
  <c r="S293" i="58"/>
  <c r="V341" i="58"/>
  <c r="T330" i="58"/>
  <c r="X330" i="58" s="1"/>
  <c r="S321" i="58"/>
  <c r="T316" i="58"/>
  <c r="X316" i="58" s="1"/>
  <c r="V315" i="58"/>
  <c r="T310" i="58"/>
  <c r="X310" i="58" s="1"/>
  <c r="V309" i="58"/>
  <c r="T304" i="58"/>
  <c r="X304" i="58" s="1"/>
  <c r="V303" i="58"/>
  <c r="T298" i="58"/>
  <c r="X298" i="58" s="1"/>
  <c r="V297" i="58"/>
  <c r="S349" i="58"/>
  <c r="U315" i="58"/>
  <c r="S304" i="58"/>
  <c r="T285" i="58"/>
  <c r="X285" i="58" s="1"/>
  <c r="V284" i="58"/>
  <c r="T279" i="58"/>
  <c r="X279" i="58" s="1"/>
  <c r="V278" i="58"/>
  <c r="T273" i="58"/>
  <c r="X273" i="58" s="1"/>
  <c r="V272" i="58"/>
  <c r="T267" i="58"/>
  <c r="X267" i="58" s="1"/>
  <c r="V266" i="58"/>
  <c r="T261" i="58"/>
  <c r="X261" i="58" s="1"/>
  <c r="V260" i="58"/>
  <c r="T255" i="58"/>
  <c r="X255" i="58" s="1"/>
  <c r="U309" i="58"/>
  <c r="N309" i="58" s="1"/>
  <c r="S298" i="58"/>
  <c r="S285" i="58"/>
  <c r="U284" i="58"/>
  <c r="S279" i="58"/>
  <c r="U278" i="58"/>
  <c r="N278" i="58" s="1"/>
  <c r="S273" i="58"/>
  <c r="U272" i="58"/>
  <c r="N272" i="58" s="1"/>
  <c r="S267" i="58"/>
  <c r="U266" i="58"/>
  <c r="N266" i="58" s="1"/>
  <c r="S261" i="58"/>
  <c r="U260" i="58"/>
  <c r="N260" i="58" s="1"/>
  <c r="S255" i="58"/>
  <c r="U303" i="58"/>
  <c r="N303" i="58" s="1"/>
  <c r="T294" i="58"/>
  <c r="X294" i="58" s="1"/>
  <c r="T284" i="58"/>
  <c r="V283" i="58"/>
  <c r="T278" i="58"/>
  <c r="X278" i="58" s="1"/>
  <c r="V277" i="58"/>
  <c r="T272" i="58"/>
  <c r="X272" i="58" s="1"/>
  <c r="V271" i="58"/>
  <c r="T266" i="58"/>
  <c r="X266" i="58" s="1"/>
  <c r="V265" i="58"/>
  <c r="T260" i="58"/>
  <c r="X260" i="58" s="1"/>
  <c r="V259" i="58"/>
  <c r="U297" i="58"/>
  <c r="N297" i="58" s="1"/>
  <c r="S294" i="58"/>
  <c r="S284" i="58"/>
  <c r="U283" i="58"/>
  <c r="N283" i="58" s="1"/>
  <c r="S278" i="58"/>
  <c r="U277" i="58"/>
  <c r="N277" i="58" s="1"/>
  <c r="S272" i="58"/>
  <c r="U271" i="58"/>
  <c r="N271" i="58" s="1"/>
  <c r="S266" i="58"/>
  <c r="U265" i="58"/>
  <c r="N265" i="58" s="1"/>
  <c r="S260" i="58"/>
  <c r="U259" i="58"/>
  <c r="N259" i="58" s="1"/>
  <c r="T283" i="58"/>
  <c r="X283" i="58" s="1"/>
  <c r="V282" i="58"/>
  <c r="T277" i="58"/>
  <c r="X277" i="58" s="1"/>
  <c r="V276" i="58"/>
  <c r="T271" i="58"/>
  <c r="X271" i="58" s="1"/>
  <c r="V270" i="58"/>
  <c r="T265" i="58"/>
  <c r="X265" i="58" s="1"/>
  <c r="V264" i="58"/>
  <c r="T259" i="58"/>
  <c r="X259" i="58" s="1"/>
  <c r="V258" i="58"/>
  <c r="U288" i="58"/>
  <c r="N288" i="58" s="1"/>
  <c r="S283" i="58"/>
  <c r="U282" i="58"/>
  <c r="N282" i="58" s="1"/>
  <c r="S277" i="58"/>
  <c r="U276" i="58"/>
  <c r="N276" i="58" s="1"/>
  <c r="S271" i="58"/>
  <c r="U270" i="58"/>
  <c r="N270" i="58" s="1"/>
  <c r="S265" i="58"/>
  <c r="U264" i="58"/>
  <c r="N264" i="58" s="1"/>
  <c r="S259" i="58"/>
  <c r="U258" i="58"/>
  <c r="N258" i="58" s="1"/>
  <c r="V291" i="58"/>
  <c r="T288" i="58"/>
  <c r="X288" i="58" s="1"/>
  <c r="V287" i="58"/>
  <c r="T282" i="58"/>
  <c r="X282" i="58" s="1"/>
  <c r="V281" i="58"/>
  <c r="T276" i="58"/>
  <c r="X276" i="58" s="1"/>
  <c r="V275" i="58"/>
  <c r="T270" i="58"/>
  <c r="X270" i="58" s="1"/>
  <c r="V269" i="58"/>
  <c r="T264" i="58"/>
  <c r="X264" i="58" s="1"/>
  <c r="V263" i="58"/>
  <c r="U292" i="58"/>
  <c r="N292" i="58" s="1"/>
  <c r="U291" i="58"/>
  <c r="N291" i="58" s="1"/>
  <c r="S288" i="58"/>
  <c r="U287" i="58"/>
  <c r="N287" i="58" s="1"/>
  <c r="S282" i="58"/>
  <c r="U281" i="58"/>
  <c r="N281" i="58" s="1"/>
  <c r="S276" i="58"/>
  <c r="U275" i="58"/>
  <c r="N275" i="58" s="1"/>
  <c r="S270" i="58"/>
  <c r="U269" i="58"/>
  <c r="N269" i="58" s="1"/>
  <c r="S264" i="58"/>
  <c r="U263" i="58"/>
  <c r="N263" i="58" s="1"/>
  <c r="S258" i="58"/>
  <c r="T292" i="58"/>
  <c r="X292" i="58" s="1"/>
  <c r="T287" i="58"/>
  <c r="X287" i="58" s="1"/>
  <c r="V286" i="58"/>
  <c r="T281" i="58"/>
  <c r="X281" i="58" s="1"/>
  <c r="V280" i="58"/>
  <c r="T275" i="58"/>
  <c r="X275" i="58" s="1"/>
  <c r="V274" i="58"/>
  <c r="T269" i="58"/>
  <c r="X269" i="58" s="1"/>
  <c r="V268" i="58"/>
  <c r="T263" i="58"/>
  <c r="X263" i="58" s="1"/>
  <c r="V262" i="58"/>
  <c r="T257" i="58"/>
  <c r="X257" i="58" s="1"/>
  <c r="V293" i="58"/>
  <c r="S292" i="58"/>
  <c r="S289" i="58"/>
  <c r="S287" i="58"/>
  <c r="U286" i="58"/>
  <c r="N286" i="58" s="1"/>
  <c r="S281" i="58"/>
  <c r="U280" i="58"/>
  <c r="N280" i="58" s="1"/>
  <c r="S275" i="58"/>
  <c r="U274" i="58"/>
  <c r="N274" i="58" s="1"/>
  <c r="S269" i="58"/>
  <c r="U268" i="58"/>
  <c r="N268" i="58" s="1"/>
  <c r="S263" i="58"/>
  <c r="U262" i="58"/>
  <c r="N262" i="58" s="1"/>
  <c r="S316" i="58"/>
  <c r="U293" i="58"/>
  <c r="N293" i="58" s="1"/>
  <c r="T286" i="58"/>
  <c r="X286" i="58" s="1"/>
  <c r="V285" i="58"/>
  <c r="T280" i="58"/>
  <c r="X280" i="58" s="1"/>
  <c r="V279" i="58"/>
  <c r="T274" i="58"/>
  <c r="X274" i="58" s="1"/>
  <c r="V273" i="58"/>
  <c r="T268" i="58"/>
  <c r="X268" i="58" s="1"/>
  <c r="V267" i="58"/>
  <c r="T262" i="58"/>
  <c r="X262" i="58" s="1"/>
  <c r="V261" i="58"/>
  <c r="T252" i="58"/>
  <c r="X252" i="58" s="1"/>
  <c r="V251" i="58"/>
  <c r="T246" i="58"/>
  <c r="X246" i="58" s="1"/>
  <c r="V245" i="58"/>
  <c r="T240" i="58"/>
  <c r="X240" i="58" s="1"/>
  <c r="V239" i="58"/>
  <c r="T234" i="58"/>
  <c r="X234" i="58" s="1"/>
  <c r="V233" i="58"/>
  <c r="T228" i="58"/>
  <c r="X228" i="58" s="1"/>
  <c r="V227" i="58"/>
  <c r="T222" i="58"/>
  <c r="X222" i="58" s="1"/>
  <c r="V221" i="58"/>
  <c r="S310" i="58"/>
  <c r="S252" i="58"/>
  <c r="U251" i="58"/>
  <c r="N251" i="58" s="1"/>
  <c r="S246" i="58"/>
  <c r="U245" i="58"/>
  <c r="N245" i="58" s="1"/>
  <c r="S240" i="58"/>
  <c r="U239" i="58"/>
  <c r="N239" i="58" s="1"/>
  <c r="S234" i="58"/>
  <c r="U233" i="58"/>
  <c r="N233" i="58" s="1"/>
  <c r="S228" i="58"/>
  <c r="U227" i="58"/>
  <c r="N227" i="58" s="1"/>
  <c r="S222" i="58"/>
  <c r="U221" i="58"/>
  <c r="N221" i="58" s="1"/>
  <c r="T251" i="58"/>
  <c r="X251" i="58" s="1"/>
  <c r="V250" i="58"/>
  <c r="T245" i="58"/>
  <c r="X245" i="58" s="1"/>
  <c r="V244" i="58"/>
  <c r="T239" i="58"/>
  <c r="X239" i="58" s="1"/>
  <c r="V238" i="58"/>
  <c r="T233" i="58"/>
  <c r="X233" i="58" s="1"/>
  <c r="V232" i="58"/>
  <c r="T227" i="58"/>
  <c r="X227" i="58" s="1"/>
  <c r="V226" i="58"/>
  <c r="T221" i="58"/>
  <c r="X221" i="58" s="1"/>
  <c r="S286" i="58"/>
  <c r="S251" i="58"/>
  <c r="U250" i="58"/>
  <c r="N250" i="58" s="1"/>
  <c r="S245" i="58"/>
  <c r="U244" i="58"/>
  <c r="N244" i="58" s="1"/>
  <c r="S239" i="58"/>
  <c r="U238" i="58"/>
  <c r="N238" i="58" s="1"/>
  <c r="S233" i="58"/>
  <c r="U232" i="58"/>
  <c r="N232" i="58" s="1"/>
  <c r="S227" i="58"/>
  <c r="U226" i="58"/>
  <c r="N226" i="58" s="1"/>
  <c r="S221" i="58"/>
  <c r="S280" i="58"/>
  <c r="V257" i="58"/>
  <c r="T250" i="58"/>
  <c r="X250" i="58" s="1"/>
  <c r="V249" i="58"/>
  <c r="T244" i="58"/>
  <c r="X244" i="58" s="1"/>
  <c r="V243" i="58"/>
  <c r="T238" i="58"/>
  <c r="X238" i="58" s="1"/>
  <c r="V237" i="58"/>
  <c r="T232" i="58"/>
  <c r="X232" i="58" s="1"/>
  <c r="V231" i="58"/>
  <c r="T226" i="58"/>
  <c r="X226" i="58" s="1"/>
  <c r="V225" i="58"/>
  <c r="U285" i="58"/>
  <c r="N285" i="58" s="1"/>
  <c r="S274" i="58"/>
  <c r="U257" i="58"/>
  <c r="N257" i="58" s="1"/>
  <c r="S250" i="58"/>
  <c r="U249" i="58"/>
  <c r="N249" i="58" s="1"/>
  <c r="S244" i="58"/>
  <c r="U243" i="58"/>
  <c r="N243" i="58" s="1"/>
  <c r="S238" i="58"/>
  <c r="U237" i="58"/>
  <c r="N237" i="58" s="1"/>
  <c r="S232" i="58"/>
  <c r="U231" i="58"/>
  <c r="N231" i="58" s="1"/>
  <c r="S226" i="58"/>
  <c r="U225" i="58"/>
  <c r="N225" i="58" s="1"/>
  <c r="U279" i="58"/>
  <c r="N279" i="58" s="1"/>
  <c r="S268" i="58"/>
  <c r="S257" i="58"/>
  <c r="V256" i="58"/>
  <c r="V254" i="58"/>
  <c r="T249" i="58"/>
  <c r="X249" i="58" s="1"/>
  <c r="V248" i="58"/>
  <c r="T243" i="58"/>
  <c r="X243" i="58" s="1"/>
  <c r="V242" i="58"/>
  <c r="T237" i="58"/>
  <c r="X237" i="58" s="1"/>
  <c r="V236" i="58"/>
  <c r="T231" i="58"/>
  <c r="X231" i="58" s="1"/>
  <c r="V230" i="58"/>
  <c r="T225" i="58"/>
  <c r="X225" i="58" s="1"/>
  <c r="V224" i="58"/>
  <c r="U273" i="58"/>
  <c r="N273" i="58" s="1"/>
  <c r="S262" i="58"/>
  <c r="T258" i="58"/>
  <c r="X258" i="58" s="1"/>
  <c r="U256" i="58"/>
  <c r="N256" i="58" s="1"/>
  <c r="U254" i="58"/>
  <c r="S249" i="58"/>
  <c r="U248" i="58"/>
  <c r="N248" i="58" s="1"/>
  <c r="S243" i="58"/>
  <c r="U242" i="58"/>
  <c r="N242" i="58" s="1"/>
  <c r="S237" i="58"/>
  <c r="U236" i="58"/>
  <c r="N236" i="58" s="1"/>
  <c r="S231" i="58"/>
  <c r="U230" i="58"/>
  <c r="N230" i="58" s="1"/>
  <c r="S225" i="58"/>
  <c r="U224" i="58"/>
  <c r="N224" i="58" s="1"/>
  <c r="U267" i="58"/>
  <c r="N267" i="58" s="1"/>
  <c r="T256" i="58"/>
  <c r="X256" i="58" s="1"/>
  <c r="T254" i="58"/>
  <c r="V253" i="58"/>
  <c r="T248" i="58"/>
  <c r="X248" i="58" s="1"/>
  <c r="V247" i="58"/>
  <c r="T242" i="58"/>
  <c r="X242" i="58" s="1"/>
  <c r="V241" i="58"/>
  <c r="T236" i="58"/>
  <c r="X236" i="58" s="1"/>
  <c r="V235" i="58"/>
  <c r="T230" i="58"/>
  <c r="X230" i="58" s="1"/>
  <c r="V229" i="58"/>
  <c r="T224" i="58"/>
  <c r="X224" i="58" s="1"/>
  <c r="V223" i="58"/>
  <c r="U261" i="58"/>
  <c r="N261" i="58" s="1"/>
  <c r="S256" i="58"/>
  <c r="S254" i="58"/>
  <c r="U253" i="58"/>
  <c r="N253" i="58" s="1"/>
  <c r="S248" i="58"/>
  <c r="U247" i="58"/>
  <c r="N247" i="58" s="1"/>
  <c r="S242" i="58"/>
  <c r="U241" i="58"/>
  <c r="N241" i="58" s="1"/>
  <c r="S236" i="58"/>
  <c r="U235" i="58"/>
  <c r="N235" i="58" s="1"/>
  <c r="S230" i="58"/>
  <c r="U229" i="58"/>
  <c r="N229" i="58" s="1"/>
  <c r="S224" i="58"/>
  <c r="U255" i="58"/>
  <c r="N255" i="58" s="1"/>
  <c r="S253" i="58"/>
  <c r="U252" i="58"/>
  <c r="N252" i="58" s="1"/>
  <c r="S247" i="58"/>
  <c r="U246" i="58"/>
  <c r="N246" i="58" s="1"/>
  <c r="S241" i="58"/>
  <c r="U240" i="58"/>
  <c r="N240" i="58" s="1"/>
  <c r="S235" i="58"/>
  <c r="U234" i="58"/>
  <c r="N234" i="58" s="1"/>
  <c r="S229" i="58"/>
  <c r="U228" i="58"/>
  <c r="N228" i="58" s="1"/>
  <c r="T253" i="58"/>
  <c r="X253" i="58" s="1"/>
  <c r="S219" i="58"/>
  <c r="U218" i="58"/>
  <c r="N218" i="58" s="1"/>
  <c r="S213" i="58"/>
  <c r="U212" i="58"/>
  <c r="N212" i="58" s="1"/>
  <c r="S207" i="58"/>
  <c r="U206" i="58"/>
  <c r="N206" i="58" s="1"/>
  <c r="S201" i="58"/>
  <c r="U200" i="58"/>
  <c r="N200" i="58" s="1"/>
  <c r="S195" i="58"/>
  <c r="U194" i="58"/>
  <c r="N194" i="58" s="1"/>
  <c r="S189" i="58"/>
  <c r="U188" i="58"/>
  <c r="N188" i="58" s="1"/>
  <c r="T247" i="58"/>
  <c r="X247" i="58" s="1"/>
  <c r="V222" i="58"/>
  <c r="T218" i="58"/>
  <c r="X218" i="58" s="1"/>
  <c r="V217" i="58"/>
  <c r="T212" i="58"/>
  <c r="X212" i="58" s="1"/>
  <c r="V211" i="58"/>
  <c r="T206" i="58"/>
  <c r="X206" i="58" s="1"/>
  <c r="V205" i="58"/>
  <c r="T200" i="58"/>
  <c r="X200" i="58" s="1"/>
  <c r="V199" i="58"/>
  <c r="T194" i="58"/>
  <c r="X194" i="58" s="1"/>
  <c r="V193" i="58"/>
  <c r="T188" i="58"/>
  <c r="X188" i="58" s="1"/>
  <c r="V187" i="58"/>
  <c r="V252" i="58"/>
  <c r="T241" i="58"/>
  <c r="X241" i="58" s="1"/>
  <c r="U222" i="58"/>
  <c r="N222" i="58" s="1"/>
  <c r="S218" i="58"/>
  <c r="U217" i="58"/>
  <c r="N217" i="58" s="1"/>
  <c r="S212" i="58"/>
  <c r="U211" i="58"/>
  <c r="N211" i="58" s="1"/>
  <c r="S206" i="58"/>
  <c r="U205" i="58"/>
  <c r="N205" i="58" s="1"/>
  <c r="S200" i="58"/>
  <c r="U199" i="58"/>
  <c r="N199" i="58" s="1"/>
  <c r="S194" i="58"/>
  <c r="U193" i="58"/>
  <c r="N193" i="58" s="1"/>
  <c r="S188" i="58"/>
  <c r="U187" i="58"/>
  <c r="N187" i="58" s="1"/>
  <c r="V246" i="58"/>
  <c r="T235" i="58"/>
  <c r="X235" i="58" s="1"/>
  <c r="T217" i="58"/>
  <c r="X217" i="58" s="1"/>
  <c r="V216" i="58"/>
  <c r="T211" i="58"/>
  <c r="X211" i="58" s="1"/>
  <c r="V210" i="58"/>
  <c r="T205" i="58"/>
  <c r="X205" i="58" s="1"/>
  <c r="V204" i="58"/>
  <c r="T199" i="58"/>
  <c r="X199" i="58" s="1"/>
  <c r="V198" i="58"/>
  <c r="T193" i="58"/>
  <c r="X193" i="58" s="1"/>
  <c r="V192" i="58"/>
  <c r="T187" i="58"/>
  <c r="X187" i="58" s="1"/>
  <c r="V186" i="58"/>
  <c r="V240" i="58"/>
  <c r="T229" i="58"/>
  <c r="X229" i="58" s="1"/>
  <c r="S217" i="58"/>
  <c r="U216" i="58"/>
  <c r="N216" i="58" s="1"/>
  <c r="S211" i="58"/>
  <c r="U210" i="58"/>
  <c r="N210" i="58" s="1"/>
  <c r="S205" i="58"/>
  <c r="U204" i="58"/>
  <c r="N204" i="58" s="1"/>
  <c r="S199" i="58"/>
  <c r="U198" i="58"/>
  <c r="N198" i="58" s="1"/>
  <c r="S193" i="58"/>
  <c r="U192" i="58"/>
  <c r="S187" i="58"/>
  <c r="U186" i="58"/>
  <c r="N186" i="58" s="1"/>
  <c r="V234" i="58"/>
  <c r="T216" i="58"/>
  <c r="X216" i="58" s="1"/>
  <c r="V215" i="58"/>
  <c r="T210" i="58"/>
  <c r="X210" i="58" s="1"/>
  <c r="V209" i="58"/>
  <c r="T204" i="58"/>
  <c r="X204" i="58" s="1"/>
  <c r="V203" i="58"/>
  <c r="T198" i="58"/>
  <c r="X198" i="58" s="1"/>
  <c r="V197" i="58"/>
  <c r="T192" i="58"/>
  <c r="V191" i="58"/>
  <c r="T186" i="58"/>
  <c r="X186" i="58" s="1"/>
  <c r="V185" i="58"/>
  <c r="V228" i="58"/>
  <c r="U223" i="58"/>
  <c r="S216" i="58"/>
  <c r="U215" i="58"/>
  <c r="N215" i="58" s="1"/>
  <c r="S210" i="58"/>
  <c r="U209" i="58"/>
  <c r="N209" i="58" s="1"/>
  <c r="S204" i="58"/>
  <c r="U203" i="58"/>
  <c r="N203" i="58" s="1"/>
  <c r="S198" i="58"/>
  <c r="U197" i="58"/>
  <c r="N197" i="58" s="1"/>
  <c r="S192" i="58"/>
  <c r="U191" i="58"/>
  <c r="N191" i="58" s="1"/>
  <c r="T223" i="58"/>
  <c r="V220" i="58"/>
  <c r="T215" i="58"/>
  <c r="X215" i="58" s="1"/>
  <c r="V214" i="58"/>
  <c r="T209" i="58"/>
  <c r="X209" i="58" s="1"/>
  <c r="V208" i="58"/>
  <c r="T203" i="58"/>
  <c r="X203" i="58" s="1"/>
  <c r="V202" i="58"/>
  <c r="T197" i="58"/>
  <c r="X197" i="58" s="1"/>
  <c r="V196" i="58"/>
  <c r="T191" i="58"/>
  <c r="X191" i="58" s="1"/>
  <c r="V190" i="58"/>
  <c r="V255" i="58"/>
  <c r="S223" i="58"/>
  <c r="U220" i="58"/>
  <c r="N220" i="58" s="1"/>
  <c r="S215" i="58"/>
  <c r="U214" i="58"/>
  <c r="N214" i="58" s="1"/>
  <c r="S209" i="58"/>
  <c r="U208" i="58"/>
  <c r="N208" i="58" s="1"/>
  <c r="S203" i="58"/>
  <c r="U202" i="58"/>
  <c r="N202" i="58" s="1"/>
  <c r="S197" i="58"/>
  <c r="U196" i="58"/>
  <c r="N196" i="58" s="1"/>
  <c r="S191" i="58"/>
  <c r="U190" i="58"/>
  <c r="N190" i="58" s="1"/>
  <c r="T220" i="58"/>
  <c r="X220" i="58" s="1"/>
  <c r="V219" i="58"/>
  <c r="T214" i="58"/>
  <c r="X214" i="58" s="1"/>
  <c r="V213" i="58"/>
  <c r="T208" i="58"/>
  <c r="X208" i="58" s="1"/>
  <c r="V207" i="58"/>
  <c r="T202" i="58"/>
  <c r="X202" i="58" s="1"/>
  <c r="V201" i="58"/>
  <c r="T196" i="58"/>
  <c r="X196" i="58" s="1"/>
  <c r="V195" i="58"/>
  <c r="T190" i="58"/>
  <c r="X190" i="58" s="1"/>
  <c r="V189" i="58"/>
  <c r="S220" i="58"/>
  <c r="U219" i="58"/>
  <c r="N219" i="58" s="1"/>
  <c r="S214" i="58"/>
  <c r="U213" i="58"/>
  <c r="N213" i="58" s="1"/>
  <c r="S208" i="58"/>
  <c r="U207" i="58"/>
  <c r="N207" i="58" s="1"/>
  <c r="S202" i="58"/>
  <c r="U201" i="58"/>
  <c r="N201" i="58" s="1"/>
  <c r="S196" i="58"/>
  <c r="U195" i="58"/>
  <c r="N195" i="58" s="1"/>
  <c r="S190" i="58"/>
  <c r="V212" i="58"/>
  <c r="T201" i="58"/>
  <c r="X201" i="58" s="1"/>
  <c r="S184" i="58"/>
  <c r="T182" i="58"/>
  <c r="X182" i="58" s="1"/>
  <c r="V181" i="58"/>
  <c r="T176" i="58"/>
  <c r="X176" i="58" s="1"/>
  <c r="V175" i="58"/>
  <c r="T170" i="58"/>
  <c r="X170" i="58" s="1"/>
  <c r="V169" i="58"/>
  <c r="T164" i="58"/>
  <c r="X164" i="58" s="1"/>
  <c r="V163" i="58"/>
  <c r="T158" i="58"/>
  <c r="X158" i="58" s="1"/>
  <c r="V157" i="58"/>
  <c r="T152" i="58"/>
  <c r="X152" i="58" s="1"/>
  <c r="V151" i="58"/>
  <c r="V206" i="58"/>
  <c r="T195" i="58"/>
  <c r="X195" i="58" s="1"/>
  <c r="S182" i="58"/>
  <c r="U181" i="58"/>
  <c r="N181" i="58" s="1"/>
  <c r="S176" i="58"/>
  <c r="U175" i="58"/>
  <c r="N175" i="58" s="1"/>
  <c r="S170" i="58"/>
  <c r="U169" i="58"/>
  <c r="N169" i="58" s="1"/>
  <c r="S164" i="58"/>
  <c r="U163" i="58"/>
  <c r="N163" i="58" s="1"/>
  <c r="S158" i="58"/>
  <c r="U157" i="58"/>
  <c r="N157" i="58" s="1"/>
  <c r="S152" i="58"/>
  <c r="U151" i="58"/>
  <c r="N151" i="58" s="1"/>
  <c r="V200" i="58"/>
  <c r="U189" i="58"/>
  <c r="N189" i="58" s="1"/>
  <c r="T181" i="58"/>
  <c r="X181" i="58" s="1"/>
  <c r="V180" i="58"/>
  <c r="T175" i="58"/>
  <c r="X175" i="58" s="1"/>
  <c r="V174" i="58"/>
  <c r="T169" i="58"/>
  <c r="X169" i="58" s="1"/>
  <c r="V168" i="58"/>
  <c r="T163" i="58"/>
  <c r="X163" i="58" s="1"/>
  <c r="V162" i="58"/>
  <c r="T157" i="58"/>
  <c r="X157" i="58" s="1"/>
  <c r="V156" i="58"/>
  <c r="T151" i="58"/>
  <c r="X151" i="58" s="1"/>
  <c r="V150" i="58"/>
  <c r="V194" i="58"/>
  <c r="T189" i="58"/>
  <c r="X189" i="58" s="1"/>
  <c r="S181" i="58"/>
  <c r="U180" i="58"/>
  <c r="N180" i="58" s="1"/>
  <c r="S175" i="58"/>
  <c r="U174" i="58"/>
  <c r="N174" i="58" s="1"/>
  <c r="S169" i="58"/>
  <c r="U168" i="58"/>
  <c r="N168" i="58" s="1"/>
  <c r="S163" i="58"/>
  <c r="U162" i="58"/>
  <c r="S157" i="58"/>
  <c r="U156" i="58"/>
  <c r="N156" i="58" s="1"/>
  <c r="S151" i="58"/>
  <c r="U150" i="58"/>
  <c r="N150" i="58" s="1"/>
  <c r="U185" i="58"/>
  <c r="N185" i="58" s="1"/>
  <c r="T180" i="58"/>
  <c r="X180" i="58" s="1"/>
  <c r="V179" i="58"/>
  <c r="T174" i="58"/>
  <c r="X174" i="58" s="1"/>
  <c r="V173" i="58"/>
  <c r="T168" i="58"/>
  <c r="X168" i="58" s="1"/>
  <c r="V167" i="58"/>
  <c r="T162" i="58"/>
  <c r="V161" i="58"/>
  <c r="T156" i="58"/>
  <c r="X156" i="58" s="1"/>
  <c r="V155" i="58"/>
  <c r="T150" i="58"/>
  <c r="X150" i="58" s="1"/>
  <c r="V149" i="58"/>
  <c r="T185" i="58"/>
  <c r="X185" i="58" s="1"/>
  <c r="S180" i="58"/>
  <c r="U179" i="58"/>
  <c r="N179" i="58" s="1"/>
  <c r="S174" i="58"/>
  <c r="U173" i="58"/>
  <c r="N173" i="58" s="1"/>
  <c r="S168" i="58"/>
  <c r="U167" i="58"/>
  <c r="N167" i="58" s="1"/>
  <c r="S162" i="58"/>
  <c r="U161" i="58"/>
  <c r="N161" i="58" s="1"/>
  <c r="S156" i="58"/>
  <c r="U155" i="58"/>
  <c r="N155" i="58" s="1"/>
  <c r="S150" i="58"/>
  <c r="U149" i="58"/>
  <c r="N149" i="58" s="1"/>
  <c r="S185" i="58"/>
  <c r="T179" i="58"/>
  <c r="X179" i="58" s="1"/>
  <c r="V178" i="58"/>
  <c r="T173" i="58"/>
  <c r="X173" i="58" s="1"/>
  <c r="V172" i="58"/>
  <c r="T167" i="58"/>
  <c r="X167" i="58" s="1"/>
  <c r="V166" i="58"/>
  <c r="T161" i="58"/>
  <c r="X161" i="58" s="1"/>
  <c r="V160" i="58"/>
  <c r="T155" i="58"/>
  <c r="X155" i="58" s="1"/>
  <c r="V154" i="58"/>
  <c r="V188" i="58"/>
  <c r="S186" i="58"/>
  <c r="S179" i="58"/>
  <c r="U178" i="58"/>
  <c r="N178" i="58" s="1"/>
  <c r="S173" i="58"/>
  <c r="U172" i="58"/>
  <c r="N172" i="58" s="1"/>
  <c r="S167" i="58"/>
  <c r="U166" i="58"/>
  <c r="N166" i="58" s="1"/>
  <c r="S161" i="58"/>
  <c r="U160" i="58"/>
  <c r="N160" i="58" s="1"/>
  <c r="S155" i="58"/>
  <c r="U154" i="58"/>
  <c r="N154" i="58" s="1"/>
  <c r="S149" i="58"/>
  <c r="V183" i="58"/>
  <c r="T178" i="58"/>
  <c r="X178" i="58" s="1"/>
  <c r="V177" i="58"/>
  <c r="T172" i="58"/>
  <c r="X172" i="58" s="1"/>
  <c r="V171" i="58"/>
  <c r="T166" i="58"/>
  <c r="X166" i="58" s="1"/>
  <c r="V165" i="58"/>
  <c r="T160" i="58"/>
  <c r="X160" i="58" s="1"/>
  <c r="V159" i="58"/>
  <c r="T154" i="58"/>
  <c r="X154" i="58" s="1"/>
  <c r="V153" i="58"/>
  <c r="T219" i="58"/>
  <c r="X219" i="58" s="1"/>
  <c r="V184" i="58"/>
  <c r="U183" i="58"/>
  <c r="N183" i="58" s="1"/>
  <c r="S178" i="58"/>
  <c r="U177" i="58"/>
  <c r="N177" i="58" s="1"/>
  <c r="S172" i="58"/>
  <c r="U171" i="58"/>
  <c r="N171" i="58" s="1"/>
  <c r="S166" i="58"/>
  <c r="U165" i="58"/>
  <c r="N165" i="58" s="1"/>
  <c r="S160" i="58"/>
  <c r="U159" i="58"/>
  <c r="N159" i="58" s="1"/>
  <c r="S154" i="58"/>
  <c r="U153" i="58"/>
  <c r="N153" i="58" s="1"/>
  <c r="V218" i="58"/>
  <c r="T207" i="58"/>
  <c r="X207" i="58" s="1"/>
  <c r="T184" i="58"/>
  <c r="X184" i="58" s="1"/>
  <c r="S183" i="58"/>
  <c r="U182" i="58"/>
  <c r="N182" i="58" s="1"/>
  <c r="S177" i="58"/>
  <c r="U176" i="58"/>
  <c r="N176" i="58" s="1"/>
  <c r="S171" i="58"/>
  <c r="U170" i="58"/>
  <c r="N170" i="58" s="1"/>
  <c r="S165" i="58"/>
  <c r="U164" i="58"/>
  <c r="N164" i="58" s="1"/>
  <c r="S159" i="58"/>
  <c r="U158" i="58"/>
  <c r="N158" i="58" s="1"/>
  <c r="S153" i="58"/>
  <c r="U152" i="58"/>
  <c r="N152" i="58" s="1"/>
  <c r="T213" i="58"/>
  <c r="X213" i="58" s="1"/>
  <c r="V182" i="58"/>
  <c r="T171" i="58"/>
  <c r="X171" i="58" s="1"/>
  <c r="U147" i="58"/>
  <c r="N147" i="58" s="1"/>
  <c r="U146" i="58"/>
  <c r="N146" i="58" s="1"/>
  <c r="S141" i="58"/>
  <c r="U140" i="58"/>
  <c r="N140" i="58" s="1"/>
  <c r="S135" i="58"/>
  <c r="U134" i="58"/>
  <c r="N134" i="58" s="1"/>
  <c r="S129" i="58"/>
  <c r="U128" i="58"/>
  <c r="N128" i="58" s="1"/>
  <c r="S123" i="58"/>
  <c r="U122" i="58"/>
  <c r="N122" i="58" s="1"/>
  <c r="S117" i="58"/>
  <c r="U116" i="58"/>
  <c r="N116" i="58" s="1"/>
  <c r="S111" i="58"/>
  <c r="V176" i="58"/>
  <c r="T165" i="58"/>
  <c r="X165" i="58" s="1"/>
  <c r="T147" i="58"/>
  <c r="X147" i="58" s="1"/>
  <c r="T146" i="58"/>
  <c r="X146" i="58" s="1"/>
  <c r="V145" i="58"/>
  <c r="T140" i="58"/>
  <c r="X140" i="58" s="1"/>
  <c r="V139" i="58"/>
  <c r="T134" i="58"/>
  <c r="X134" i="58" s="1"/>
  <c r="V133" i="58"/>
  <c r="T128" i="58"/>
  <c r="X128" i="58" s="1"/>
  <c r="V127" i="58"/>
  <c r="T122" i="58"/>
  <c r="X122" i="58" s="1"/>
  <c r="V121" i="58"/>
  <c r="T116" i="58"/>
  <c r="X116" i="58" s="1"/>
  <c r="V115" i="58"/>
  <c r="V170" i="58"/>
  <c r="T159" i="58"/>
  <c r="X159" i="58" s="1"/>
  <c r="S147" i="58"/>
  <c r="S146" i="58"/>
  <c r="U145" i="58"/>
  <c r="N145" i="58" s="1"/>
  <c r="S140" i="58"/>
  <c r="U139" i="58"/>
  <c r="N139" i="58" s="1"/>
  <c r="S134" i="58"/>
  <c r="U133" i="58"/>
  <c r="N133" i="58" s="1"/>
  <c r="S128" i="58"/>
  <c r="U127" i="58"/>
  <c r="N127" i="58" s="1"/>
  <c r="S122" i="58"/>
  <c r="U121" i="58"/>
  <c r="N121" i="58" s="1"/>
  <c r="S116" i="58"/>
  <c r="U115" i="58"/>
  <c r="N115" i="58" s="1"/>
  <c r="V164" i="58"/>
  <c r="T153" i="58"/>
  <c r="X153" i="58" s="1"/>
  <c r="V148" i="58"/>
  <c r="T145" i="58"/>
  <c r="X145" i="58" s="1"/>
  <c r="V144" i="58"/>
  <c r="T139" i="58"/>
  <c r="X139" i="58" s="1"/>
  <c r="V138" i="58"/>
  <c r="T133" i="58"/>
  <c r="X133" i="58" s="1"/>
  <c r="V132" i="58"/>
  <c r="T127" i="58"/>
  <c r="X127" i="58" s="1"/>
  <c r="V126" i="58"/>
  <c r="T121" i="58"/>
  <c r="X121" i="58" s="1"/>
  <c r="V120" i="58"/>
  <c r="T115" i="58"/>
  <c r="X115" i="58" s="1"/>
  <c r="V114" i="58"/>
  <c r="V158" i="58"/>
  <c r="U148" i="58"/>
  <c r="N148" i="58" s="1"/>
  <c r="S145" i="58"/>
  <c r="U144" i="58"/>
  <c r="N144" i="58" s="1"/>
  <c r="S139" i="58"/>
  <c r="U138" i="58"/>
  <c r="N138" i="58" s="1"/>
  <c r="S133" i="58"/>
  <c r="U132" i="58"/>
  <c r="N132" i="58" s="1"/>
  <c r="S127" i="58"/>
  <c r="U126" i="58"/>
  <c r="N126" i="58" s="1"/>
  <c r="S121" i="58"/>
  <c r="U120" i="58"/>
  <c r="N120" i="58" s="1"/>
  <c r="S115" i="58"/>
  <c r="U114" i="58"/>
  <c r="N114" i="58" s="1"/>
  <c r="V152" i="58"/>
  <c r="T149" i="58"/>
  <c r="X149" i="58" s="1"/>
  <c r="T148" i="58"/>
  <c r="X148" i="58" s="1"/>
  <c r="T144" i="58"/>
  <c r="X144" i="58" s="1"/>
  <c r="V143" i="58"/>
  <c r="T138" i="58"/>
  <c r="X138" i="58" s="1"/>
  <c r="V137" i="58"/>
  <c r="T132" i="58"/>
  <c r="X132" i="58" s="1"/>
  <c r="V131" i="58"/>
  <c r="T126" i="58"/>
  <c r="X126" i="58" s="1"/>
  <c r="V125" i="58"/>
  <c r="T120" i="58"/>
  <c r="X120" i="58" s="1"/>
  <c r="V119" i="58"/>
  <c r="T114" i="58"/>
  <c r="X114" i="58" s="1"/>
  <c r="V113" i="58"/>
  <c r="S148" i="58"/>
  <c r="S144" i="58"/>
  <c r="U143" i="58"/>
  <c r="N143" i="58" s="1"/>
  <c r="S138" i="58"/>
  <c r="U137" i="58"/>
  <c r="N137" i="58" s="1"/>
  <c r="S132" i="58"/>
  <c r="U131" i="58"/>
  <c r="S126" i="58"/>
  <c r="U125" i="58"/>
  <c r="N125" i="58" s="1"/>
  <c r="S120" i="58"/>
  <c r="U119" i="58"/>
  <c r="N119" i="58" s="1"/>
  <c r="T143" i="58"/>
  <c r="X143" i="58" s="1"/>
  <c r="V142" i="58"/>
  <c r="T137" i="58"/>
  <c r="X137" i="58" s="1"/>
  <c r="V136" i="58"/>
  <c r="T131" i="58"/>
  <c r="V130" i="58"/>
  <c r="T125" i="58"/>
  <c r="X125" i="58" s="1"/>
  <c r="V124" i="58"/>
  <c r="T119" i="58"/>
  <c r="X119" i="58" s="1"/>
  <c r="V118" i="58"/>
  <c r="T113" i="58"/>
  <c r="X113" i="58" s="1"/>
  <c r="V112" i="58"/>
  <c r="U184" i="58"/>
  <c r="N184" i="58" s="1"/>
  <c r="S143" i="58"/>
  <c r="U142" i="58"/>
  <c r="N142" i="58" s="1"/>
  <c r="S137" i="58"/>
  <c r="U136" i="58"/>
  <c r="N136" i="58" s="1"/>
  <c r="S131" i="58"/>
  <c r="U130" i="58"/>
  <c r="N130" i="58" s="1"/>
  <c r="S125" i="58"/>
  <c r="U124" i="58"/>
  <c r="N124" i="58" s="1"/>
  <c r="S119" i="58"/>
  <c r="U118" i="58"/>
  <c r="N118" i="58" s="1"/>
  <c r="S113" i="58"/>
  <c r="U112" i="58"/>
  <c r="N112" i="58" s="1"/>
  <c r="T142" i="58"/>
  <c r="X142" i="58" s="1"/>
  <c r="V141" i="58"/>
  <c r="T136" i="58"/>
  <c r="X136" i="58" s="1"/>
  <c r="V135" i="58"/>
  <c r="T130" i="58"/>
  <c r="X130" i="58" s="1"/>
  <c r="V129" i="58"/>
  <c r="T124" i="58"/>
  <c r="X124" i="58" s="1"/>
  <c r="V123" i="58"/>
  <c r="T118" i="58"/>
  <c r="X118" i="58" s="1"/>
  <c r="V117" i="58"/>
  <c r="T183" i="58"/>
  <c r="X183" i="58" s="1"/>
  <c r="S142" i="58"/>
  <c r="U141" i="58"/>
  <c r="N141" i="58" s="1"/>
  <c r="S136" i="58"/>
  <c r="U135" i="58"/>
  <c r="N135" i="58" s="1"/>
  <c r="S130" i="58"/>
  <c r="U129" i="58"/>
  <c r="N129" i="58" s="1"/>
  <c r="S124" i="58"/>
  <c r="U123" i="58"/>
  <c r="N123" i="58" s="1"/>
  <c r="S118" i="58"/>
  <c r="U117" i="58"/>
  <c r="N117" i="58" s="1"/>
  <c r="T177" i="58"/>
  <c r="X177" i="58" s="1"/>
  <c r="V134" i="58"/>
  <c r="T123" i="58"/>
  <c r="X123" i="58" s="1"/>
  <c r="T111" i="58"/>
  <c r="X111" i="58" s="1"/>
  <c r="S107" i="58"/>
  <c r="U106" i="58"/>
  <c r="N106" i="58" s="1"/>
  <c r="S101" i="58"/>
  <c r="U100" i="58"/>
  <c r="N100" i="58" s="1"/>
  <c r="S95" i="58"/>
  <c r="U94" i="58"/>
  <c r="N94" i="58" s="1"/>
  <c r="S89" i="58"/>
  <c r="U88" i="58"/>
  <c r="N88" i="58" s="1"/>
  <c r="S83" i="58"/>
  <c r="U82" i="58"/>
  <c r="N82" i="58" s="1"/>
  <c r="S77" i="58"/>
  <c r="U76" i="58"/>
  <c r="N76" i="58" s="1"/>
  <c r="V128" i="58"/>
  <c r="T117" i="58"/>
  <c r="X117" i="58" s="1"/>
  <c r="T106" i="58"/>
  <c r="X106" i="58" s="1"/>
  <c r="V105" i="58"/>
  <c r="T100" i="58"/>
  <c r="X100" i="58" s="1"/>
  <c r="V99" i="58"/>
  <c r="T94" i="58"/>
  <c r="X94" i="58" s="1"/>
  <c r="V93" i="58"/>
  <c r="T88" i="58"/>
  <c r="X88" i="58" s="1"/>
  <c r="V87" i="58"/>
  <c r="T82" i="58"/>
  <c r="X82" i="58" s="1"/>
  <c r="V81" i="58"/>
  <c r="T76" i="58"/>
  <c r="X76" i="58" s="1"/>
  <c r="V75" i="58"/>
  <c r="V122" i="58"/>
  <c r="U113" i="58"/>
  <c r="N113" i="58" s="1"/>
  <c r="S106" i="58"/>
  <c r="U105" i="58"/>
  <c r="N105" i="58" s="1"/>
  <c r="S100" i="58"/>
  <c r="U99" i="58"/>
  <c r="N99" i="58" s="1"/>
  <c r="S94" i="58"/>
  <c r="U93" i="58"/>
  <c r="N93" i="58" s="1"/>
  <c r="S88" i="58"/>
  <c r="U87" i="58"/>
  <c r="N87" i="58" s="1"/>
  <c r="S82" i="58"/>
  <c r="U81" i="58"/>
  <c r="N81" i="58" s="1"/>
  <c r="V116" i="58"/>
  <c r="V110" i="58"/>
  <c r="T105" i="58"/>
  <c r="X105" i="58" s="1"/>
  <c r="V104" i="58"/>
  <c r="T99" i="58"/>
  <c r="X99" i="58" s="1"/>
  <c r="V98" i="58"/>
  <c r="T93" i="58"/>
  <c r="X93" i="58" s="1"/>
  <c r="V92" i="58"/>
  <c r="T87" i="58"/>
  <c r="X87" i="58" s="1"/>
  <c r="V86" i="58"/>
  <c r="T81" i="58"/>
  <c r="X81" i="58" s="1"/>
  <c r="V80" i="58"/>
  <c r="U110" i="58"/>
  <c r="N110" i="58" s="1"/>
  <c r="S105" i="58"/>
  <c r="U104" i="58"/>
  <c r="N104" i="58" s="1"/>
  <c r="S99" i="58"/>
  <c r="U98" i="58"/>
  <c r="N98" i="58" s="1"/>
  <c r="S93" i="58"/>
  <c r="U92" i="58"/>
  <c r="N92" i="58" s="1"/>
  <c r="S87" i="58"/>
  <c r="U86" i="58"/>
  <c r="N86" i="58" s="1"/>
  <c r="S81" i="58"/>
  <c r="U80" i="58"/>
  <c r="N80" i="58" s="1"/>
  <c r="S75" i="58"/>
  <c r="U74" i="58"/>
  <c r="N74" i="58" s="1"/>
  <c r="T110" i="58"/>
  <c r="X110" i="58" s="1"/>
  <c r="V109" i="58"/>
  <c r="T104" i="58"/>
  <c r="X104" i="58" s="1"/>
  <c r="V103" i="58"/>
  <c r="T98" i="58"/>
  <c r="X98" i="58" s="1"/>
  <c r="V97" i="58"/>
  <c r="T92" i="58"/>
  <c r="X92" i="58" s="1"/>
  <c r="V91" i="58"/>
  <c r="T86" i="58"/>
  <c r="X86" i="58" s="1"/>
  <c r="V85" i="58"/>
  <c r="T80" i="58"/>
  <c r="X80" i="58" s="1"/>
  <c r="V79" i="58"/>
  <c r="T74" i="58"/>
  <c r="X74" i="58" s="1"/>
  <c r="S110" i="58"/>
  <c r="U109" i="58"/>
  <c r="N109" i="58" s="1"/>
  <c r="S104" i="58"/>
  <c r="U103" i="58"/>
  <c r="N103" i="58" s="1"/>
  <c r="S98" i="58"/>
  <c r="U97" i="58"/>
  <c r="N97" i="58" s="1"/>
  <c r="S92" i="58"/>
  <c r="U91" i="58"/>
  <c r="N91" i="58" s="1"/>
  <c r="S86" i="58"/>
  <c r="U85" i="58"/>
  <c r="N85" i="58" s="1"/>
  <c r="S80" i="58"/>
  <c r="U79" i="58"/>
  <c r="N79" i="58" s="1"/>
  <c r="T109" i="58"/>
  <c r="X109" i="58" s="1"/>
  <c r="V108" i="58"/>
  <c r="T103" i="58"/>
  <c r="X103" i="58" s="1"/>
  <c r="V102" i="58"/>
  <c r="T97" i="58"/>
  <c r="X97" i="58" s="1"/>
  <c r="V96" i="58"/>
  <c r="T91" i="58"/>
  <c r="X91" i="58" s="1"/>
  <c r="V90" i="58"/>
  <c r="T85" i="58"/>
  <c r="X85" i="58" s="1"/>
  <c r="V84" i="58"/>
  <c r="T79" i="58"/>
  <c r="X79" i="58" s="1"/>
  <c r="V78" i="58"/>
  <c r="V147" i="58"/>
  <c r="T112" i="58"/>
  <c r="X112" i="58" s="1"/>
  <c r="S109" i="58"/>
  <c r="U108" i="58"/>
  <c r="N108" i="58" s="1"/>
  <c r="S103" i="58"/>
  <c r="U102" i="58"/>
  <c r="N102" i="58" s="1"/>
  <c r="S97" i="58"/>
  <c r="U96" i="58"/>
  <c r="N96" i="58" s="1"/>
  <c r="S91" i="58"/>
  <c r="U90" i="58"/>
  <c r="N90" i="58" s="1"/>
  <c r="S85" i="58"/>
  <c r="U84" i="58"/>
  <c r="N84" i="58" s="1"/>
  <c r="T141" i="58"/>
  <c r="X141" i="58" s="1"/>
  <c r="S112" i="58"/>
  <c r="T108" i="58"/>
  <c r="X108" i="58" s="1"/>
  <c r="V107" i="58"/>
  <c r="T102" i="58"/>
  <c r="X102" i="58" s="1"/>
  <c r="V101" i="58"/>
  <c r="T96" i="58"/>
  <c r="X96" i="58" s="1"/>
  <c r="V95" i="58"/>
  <c r="T90" i="58"/>
  <c r="X90" i="58" s="1"/>
  <c r="V89" i="58"/>
  <c r="T84" i="58"/>
  <c r="X84" i="58" s="1"/>
  <c r="V83" i="58"/>
  <c r="V140" i="58"/>
  <c r="T129" i="58"/>
  <c r="X129" i="58" s="1"/>
  <c r="U111" i="58"/>
  <c r="N111" i="58" s="1"/>
  <c r="T107" i="58"/>
  <c r="X107" i="58" s="1"/>
  <c r="V106" i="58"/>
  <c r="T101" i="58"/>
  <c r="V100" i="58"/>
  <c r="T95" i="58"/>
  <c r="X95" i="58" s="1"/>
  <c r="V94" i="58"/>
  <c r="T89" i="58"/>
  <c r="X89" i="58" s="1"/>
  <c r="V88" i="58"/>
  <c r="T83" i="58"/>
  <c r="X83" i="58" s="1"/>
  <c r="V82" i="58"/>
  <c r="T77" i="58"/>
  <c r="X77" i="58" s="1"/>
  <c r="V76" i="58"/>
  <c r="T71" i="58"/>
  <c r="X71" i="58" s="1"/>
  <c r="V70" i="58"/>
  <c r="T65" i="58"/>
  <c r="X65" i="58" s="1"/>
  <c r="V64" i="58"/>
  <c r="T59" i="58"/>
  <c r="X59" i="58" s="1"/>
  <c r="V58" i="58"/>
  <c r="T53" i="58"/>
  <c r="X53" i="58" s="1"/>
  <c r="V52" i="58"/>
  <c r="T47" i="58"/>
  <c r="X47" i="58" s="1"/>
  <c r="V46" i="58"/>
  <c r="T41" i="58"/>
  <c r="X41" i="58" s="1"/>
  <c r="V40" i="58"/>
  <c r="T135" i="58"/>
  <c r="X135" i="58" s="1"/>
  <c r="S108" i="58"/>
  <c r="U78" i="58"/>
  <c r="N78" i="58" s="1"/>
  <c r="S71" i="58"/>
  <c r="U70" i="58"/>
  <c r="S65" i="58"/>
  <c r="U64" i="58"/>
  <c r="N64" i="58" s="1"/>
  <c r="S59" i="58"/>
  <c r="U58" i="58"/>
  <c r="N58" i="58" s="1"/>
  <c r="S53" i="58"/>
  <c r="U52" i="58"/>
  <c r="N52" i="58" s="1"/>
  <c r="S47" i="58"/>
  <c r="U46" i="58"/>
  <c r="N46" i="58" s="1"/>
  <c r="S41" i="58"/>
  <c r="U40" i="58"/>
  <c r="N40" i="58" s="1"/>
  <c r="S102" i="58"/>
  <c r="T78" i="58"/>
  <c r="X78" i="58" s="1"/>
  <c r="U75" i="58"/>
  <c r="N75" i="58" s="1"/>
  <c r="T70" i="58"/>
  <c r="V69" i="58"/>
  <c r="T64" i="58"/>
  <c r="X64" i="58" s="1"/>
  <c r="V63" i="58"/>
  <c r="T58" i="58"/>
  <c r="X58" i="58" s="1"/>
  <c r="V57" i="58"/>
  <c r="T52" i="58"/>
  <c r="X52" i="58" s="1"/>
  <c r="V51" i="58"/>
  <c r="T46" i="58"/>
  <c r="X46" i="58" s="1"/>
  <c r="V45" i="58"/>
  <c r="U107" i="58"/>
  <c r="N107" i="58" s="1"/>
  <c r="S96" i="58"/>
  <c r="S78" i="58"/>
  <c r="T75" i="58"/>
  <c r="X75" i="58" s="1"/>
  <c r="V74" i="58"/>
  <c r="S70" i="58"/>
  <c r="U69" i="58"/>
  <c r="N69" i="58" s="1"/>
  <c r="S64" i="58"/>
  <c r="U63" i="58"/>
  <c r="N63" i="58" s="1"/>
  <c r="S58" i="58"/>
  <c r="U57" i="58"/>
  <c r="N57" i="58" s="1"/>
  <c r="S52" i="58"/>
  <c r="U51" i="58"/>
  <c r="N51" i="58" s="1"/>
  <c r="S46" i="58"/>
  <c r="U45" i="58"/>
  <c r="N45" i="58" s="1"/>
  <c r="U101" i="58"/>
  <c r="S90" i="58"/>
  <c r="S74" i="58"/>
  <c r="T69" i="58"/>
  <c r="X69" i="58" s="1"/>
  <c r="V68" i="58"/>
  <c r="T63" i="58"/>
  <c r="X63" i="58" s="1"/>
  <c r="V62" i="58"/>
  <c r="T57" i="58"/>
  <c r="X57" i="58" s="1"/>
  <c r="V56" i="58"/>
  <c r="T51" i="58"/>
  <c r="X51" i="58" s="1"/>
  <c r="V50" i="58"/>
  <c r="T45" i="58"/>
  <c r="X45" i="58" s="1"/>
  <c r="V44" i="58"/>
  <c r="T39" i="58"/>
  <c r="X39" i="58" s="1"/>
  <c r="S114" i="58"/>
  <c r="U95" i="58"/>
  <c r="N95" i="58" s="1"/>
  <c r="S84" i="58"/>
  <c r="S76" i="58"/>
  <c r="S69" i="58"/>
  <c r="U68" i="58"/>
  <c r="N68" i="58" s="1"/>
  <c r="S63" i="58"/>
  <c r="U62" i="58"/>
  <c r="N62" i="58" s="1"/>
  <c r="S57" i="58"/>
  <c r="U56" i="58"/>
  <c r="N56" i="58" s="1"/>
  <c r="S51" i="58"/>
  <c r="U50" i="58"/>
  <c r="N50" i="58" s="1"/>
  <c r="S45" i="58"/>
  <c r="U44" i="58"/>
  <c r="N44" i="58" s="1"/>
  <c r="S39" i="58"/>
  <c r="U89" i="58"/>
  <c r="N89" i="58" s="1"/>
  <c r="T68" i="58"/>
  <c r="X68" i="58" s="1"/>
  <c r="V67" i="58"/>
  <c r="T62" i="58"/>
  <c r="X62" i="58" s="1"/>
  <c r="V61" i="58"/>
  <c r="T56" i="58"/>
  <c r="X56" i="58" s="1"/>
  <c r="V55" i="58"/>
  <c r="T50" i="58"/>
  <c r="X50" i="58" s="1"/>
  <c r="V49" i="58"/>
  <c r="T44" i="58"/>
  <c r="X44" i="58" s="1"/>
  <c r="V43" i="58"/>
  <c r="V111" i="58"/>
  <c r="U83" i="58"/>
  <c r="N83" i="58" s="1"/>
  <c r="S79" i="58"/>
  <c r="V73" i="58"/>
  <c r="S68" i="58"/>
  <c r="U67" i="58"/>
  <c r="N67" i="58" s="1"/>
  <c r="S62" i="58"/>
  <c r="U61" i="58"/>
  <c r="N61" i="58" s="1"/>
  <c r="S56" i="58"/>
  <c r="U55" i="58"/>
  <c r="N55" i="58" s="1"/>
  <c r="S50" i="58"/>
  <c r="U49" i="58"/>
  <c r="N49" i="58" s="1"/>
  <c r="S44" i="58"/>
  <c r="U43" i="58"/>
  <c r="N43" i="58" s="1"/>
  <c r="V77" i="58"/>
  <c r="U73" i="58"/>
  <c r="N73" i="58" s="1"/>
  <c r="V72" i="58"/>
  <c r="T67" i="58"/>
  <c r="X67" i="58" s="1"/>
  <c r="V66" i="58"/>
  <c r="T61" i="58"/>
  <c r="X61" i="58" s="1"/>
  <c r="V60" i="58"/>
  <c r="T55" i="58"/>
  <c r="X55" i="58" s="1"/>
  <c r="V54" i="58"/>
  <c r="T49" i="58"/>
  <c r="X49" i="58" s="1"/>
  <c r="V48" i="58"/>
  <c r="T43" i="58"/>
  <c r="X43" i="58" s="1"/>
  <c r="U77" i="58"/>
  <c r="N77" i="58" s="1"/>
  <c r="T73" i="58"/>
  <c r="X73" i="58" s="1"/>
  <c r="U72" i="58"/>
  <c r="N72" i="58" s="1"/>
  <c r="S67" i="58"/>
  <c r="U66" i="58"/>
  <c r="N66" i="58" s="1"/>
  <c r="S61" i="58"/>
  <c r="U60" i="58"/>
  <c r="N60" i="58" s="1"/>
  <c r="S55" i="58"/>
  <c r="U54" i="58"/>
  <c r="N54" i="58" s="1"/>
  <c r="S49" i="58"/>
  <c r="U48" i="58"/>
  <c r="N48" i="58" s="1"/>
  <c r="S73" i="58"/>
  <c r="T72" i="58"/>
  <c r="X72" i="58" s="1"/>
  <c r="V71" i="58"/>
  <c r="T66" i="58"/>
  <c r="X66" i="58" s="1"/>
  <c r="V65" i="58"/>
  <c r="T60" i="58"/>
  <c r="X60" i="58" s="1"/>
  <c r="V59" i="58"/>
  <c r="T54" i="58"/>
  <c r="X54" i="58" s="1"/>
  <c r="V53" i="58"/>
  <c r="T48" i="58"/>
  <c r="X48" i="58" s="1"/>
  <c r="V47" i="58"/>
  <c r="T42" i="58"/>
  <c r="V41" i="58"/>
  <c r="V13" i="58"/>
  <c r="T14" i="58"/>
  <c r="X14" i="58" s="1"/>
  <c r="V19" i="58"/>
  <c r="T20" i="58"/>
  <c r="X20" i="58" s="1"/>
  <c r="V25" i="58"/>
  <c r="T26" i="58"/>
  <c r="X26" i="58" s="1"/>
  <c r="V31" i="58"/>
  <c r="T32" i="58"/>
  <c r="X32" i="58" s="1"/>
  <c r="V37" i="58"/>
  <c r="V38" i="58"/>
  <c r="U42" i="58"/>
  <c r="S66" i="58"/>
  <c r="U14" i="58"/>
  <c r="N14" i="58" s="1"/>
  <c r="S15" i="58"/>
  <c r="U20" i="58"/>
  <c r="N20" i="58" s="1"/>
  <c r="S21" i="58"/>
  <c r="U26" i="58"/>
  <c r="N26" i="58" s="1"/>
  <c r="S27" i="58"/>
  <c r="U32" i="58"/>
  <c r="N32" i="58" s="1"/>
  <c r="S33" i="58"/>
  <c r="V42" i="58"/>
  <c r="S72" i="58"/>
  <c r="V14" i="58"/>
  <c r="T15" i="58"/>
  <c r="X15" i="58" s="1"/>
  <c r="V20" i="58"/>
  <c r="T21" i="58"/>
  <c r="X21" i="58" s="1"/>
  <c r="V26" i="58"/>
  <c r="T27" i="58"/>
  <c r="X27" i="58" s="1"/>
  <c r="V32" i="58"/>
  <c r="T33" i="58"/>
  <c r="X33" i="58" s="1"/>
  <c r="J4" i="36"/>
  <c r="J5" i="36"/>
  <c r="J6" i="36"/>
  <c r="J7" i="36"/>
  <c r="J8" i="36"/>
  <c r="J10" i="36"/>
  <c r="I16" i="37" s="1"/>
  <c r="J11" i="36"/>
  <c r="I17" i="37" s="1"/>
  <c r="J12" i="36"/>
  <c r="I18" i="37" s="1"/>
  <c r="J19" i="36"/>
  <c r="I23" i="37" s="1"/>
  <c r="I33" i="36"/>
  <c r="I34" i="36"/>
  <c r="I35" i="36"/>
  <c r="I36" i="36"/>
  <c r="I39" i="36"/>
  <c r="I40" i="36"/>
  <c r="I41" i="36"/>
  <c r="K4" i="36"/>
  <c r="K5" i="36"/>
  <c r="K6" i="36"/>
  <c r="K7" i="36"/>
  <c r="K8" i="36"/>
  <c r="K10" i="36"/>
  <c r="J16" i="37" s="1"/>
  <c r="K11" i="36"/>
  <c r="J17" i="37" s="1"/>
  <c r="K12" i="36"/>
  <c r="J18" i="37" s="1"/>
  <c r="K19" i="36"/>
  <c r="J23" i="37" s="1"/>
  <c r="J33" i="36"/>
  <c r="J34" i="36"/>
  <c r="J35" i="36"/>
  <c r="J36" i="36"/>
  <c r="J39" i="36"/>
  <c r="J40" i="36"/>
  <c r="J41" i="36"/>
  <c r="L4" i="36"/>
  <c r="L5" i="36"/>
  <c r="L6" i="36"/>
  <c r="L7" i="36"/>
  <c r="L8" i="36"/>
  <c r="L10" i="36"/>
  <c r="K16" i="37" s="1"/>
  <c r="L11" i="36"/>
  <c r="K17" i="37" s="1"/>
  <c r="L12" i="36"/>
  <c r="K18" i="37" s="1"/>
  <c r="L19" i="36"/>
  <c r="K23" i="37" s="1"/>
  <c r="K33" i="36"/>
  <c r="K34" i="36"/>
  <c r="K35" i="36"/>
  <c r="K36" i="36"/>
  <c r="K39" i="36"/>
  <c r="K40" i="36"/>
  <c r="K41" i="36"/>
  <c r="M4" i="36"/>
  <c r="M5" i="36"/>
  <c r="M6" i="36"/>
  <c r="M7" i="36"/>
  <c r="M8" i="36"/>
  <c r="M10" i="36"/>
  <c r="L16" i="37" s="1"/>
  <c r="M11" i="36"/>
  <c r="L17" i="37" s="1"/>
  <c r="M12" i="36"/>
  <c r="L18" i="37" s="1"/>
  <c r="M19" i="36"/>
  <c r="L23" i="37" s="1"/>
  <c r="L33" i="36"/>
  <c r="L34" i="36"/>
  <c r="L35" i="36"/>
  <c r="L36" i="36"/>
  <c r="L39" i="36"/>
  <c r="L40" i="36"/>
  <c r="L41" i="36"/>
  <c r="N4" i="36"/>
  <c r="N5" i="36"/>
  <c r="N6" i="36"/>
  <c r="N7" i="36"/>
  <c r="N8" i="36"/>
  <c r="N10" i="36"/>
  <c r="M16" i="37" s="1"/>
  <c r="N11" i="36"/>
  <c r="M17" i="37" s="1"/>
  <c r="N12" i="36"/>
  <c r="M18" i="37" s="1"/>
  <c r="N19" i="36"/>
  <c r="M23" i="37" s="1"/>
  <c r="M33" i="36"/>
  <c r="M34" i="36"/>
  <c r="M35" i="36"/>
  <c r="M36" i="36"/>
  <c r="M39" i="36"/>
  <c r="M40" i="36"/>
  <c r="M41" i="36"/>
  <c r="O4" i="36"/>
  <c r="O5" i="36"/>
  <c r="O6" i="36"/>
  <c r="O7" i="36"/>
  <c r="O8" i="36"/>
  <c r="O10" i="36"/>
  <c r="N16" i="37" s="1"/>
  <c r="O11" i="36"/>
  <c r="N17" i="37" s="1"/>
  <c r="O12" i="36"/>
  <c r="N18" i="37" s="1"/>
  <c r="O19" i="36"/>
  <c r="N23" i="37" s="1"/>
  <c r="N33" i="36"/>
  <c r="N34" i="36"/>
  <c r="N35" i="36"/>
  <c r="N36" i="36"/>
  <c r="N39" i="36"/>
  <c r="N40" i="36"/>
  <c r="N41" i="36"/>
  <c r="P4" i="36"/>
  <c r="P5" i="36"/>
  <c r="P6" i="36"/>
  <c r="P7" i="36"/>
  <c r="P8" i="36"/>
  <c r="P10" i="36"/>
  <c r="O16" i="37" s="1"/>
  <c r="P11" i="36"/>
  <c r="O17" i="37" s="1"/>
  <c r="P12" i="36"/>
  <c r="O18" i="37" s="1"/>
  <c r="P19" i="36"/>
  <c r="O23" i="37" s="1"/>
  <c r="O33" i="36"/>
  <c r="O34" i="36"/>
  <c r="O35" i="36"/>
  <c r="O36" i="36"/>
  <c r="O39" i="36"/>
  <c r="O40" i="36"/>
  <c r="O41" i="36"/>
  <c r="Q4" i="36"/>
  <c r="Q5" i="36"/>
  <c r="Q6" i="36"/>
  <c r="Q7" i="36"/>
  <c r="Q8" i="36"/>
  <c r="Q10" i="36"/>
  <c r="P16" i="37" s="1"/>
  <c r="Q11" i="36"/>
  <c r="P17" i="37" s="1"/>
  <c r="Q12" i="36"/>
  <c r="P18" i="37" s="1"/>
  <c r="Q19" i="36"/>
  <c r="P23" i="37" s="1"/>
  <c r="P33" i="36"/>
  <c r="P34" i="36"/>
  <c r="P35" i="36"/>
  <c r="P36" i="36"/>
  <c r="P39" i="36"/>
  <c r="P40" i="36"/>
  <c r="P41" i="36"/>
  <c r="F4" i="36"/>
  <c r="F5" i="36"/>
  <c r="F6" i="36"/>
  <c r="F7" i="36"/>
  <c r="F8" i="36"/>
  <c r="F10" i="36"/>
  <c r="E16" i="37" s="1"/>
  <c r="F11" i="36"/>
  <c r="E17" i="37" s="1"/>
  <c r="F12" i="36"/>
  <c r="E18" i="37" s="1"/>
  <c r="F19" i="36"/>
  <c r="E23" i="37" s="1"/>
  <c r="Q33" i="36"/>
  <c r="Q34" i="36"/>
  <c r="Q35" i="36"/>
  <c r="Q36" i="36"/>
  <c r="Q39" i="36"/>
  <c r="Q40" i="36"/>
  <c r="Q41" i="36"/>
  <c r="G4" i="36"/>
  <c r="G5" i="36"/>
  <c r="G6" i="36"/>
  <c r="G7" i="36"/>
  <c r="G8" i="36"/>
  <c r="G10" i="36"/>
  <c r="F16" i="37" s="1"/>
  <c r="G11" i="36"/>
  <c r="F17" i="37" s="1"/>
  <c r="G12" i="36"/>
  <c r="F18" i="37" s="1"/>
  <c r="G19" i="36"/>
  <c r="F23" i="37" s="1"/>
  <c r="F33" i="36"/>
  <c r="F34" i="36"/>
  <c r="F35" i="36"/>
  <c r="F36" i="36"/>
  <c r="F39" i="36"/>
  <c r="F40" i="36"/>
  <c r="H4" i="36"/>
  <c r="H5" i="36"/>
  <c r="H6" i="36"/>
  <c r="H7" i="36"/>
  <c r="H8" i="36"/>
  <c r="H10" i="36"/>
  <c r="G16" i="37" s="1"/>
  <c r="H11" i="36"/>
  <c r="G17" i="37" s="1"/>
  <c r="H12" i="36"/>
  <c r="G18" i="37" s="1"/>
  <c r="H19" i="36"/>
  <c r="G23" i="37" s="1"/>
  <c r="G33" i="36"/>
  <c r="G34" i="36"/>
  <c r="G35" i="36"/>
  <c r="G36" i="36"/>
  <c r="G39" i="36"/>
  <c r="G40" i="36"/>
  <c r="BB315" i="103" l="1"/>
  <c r="Z15" i="17"/>
  <c r="S126" i="23"/>
  <c r="B26" i="62"/>
  <c r="G25" i="62"/>
  <c r="H25" i="62" s="1"/>
  <c r="F25" i="62"/>
  <c r="I25" i="62"/>
  <c r="J25" i="62" s="1"/>
  <c r="D25" i="62"/>
  <c r="E25" i="62"/>
  <c r="C25" i="62"/>
  <c r="AH8" i="17"/>
  <c r="N14" i="37"/>
  <c r="BB314" i="103"/>
  <c r="CD314" i="103" s="1"/>
  <c r="BB313" i="103"/>
  <c r="BB312" i="103"/>
  <c r="CD312" i="103" s="1"/>
  <c r="BB311" i="103"/>
  <c r="CD311" i="103" s="1"/>
  <c r="CF311" i="103" s="1"/>
  <c r="BB310" i="103"/>
  <c r="CD310" i="103" s="1"/>
  <c r="CF310" i="103" s="1"/>
  <c r="BB309" i="103"/>
  <c r="CD309" i="103" s="1"/>
  <c r="BB308" i="103"/>
  <c r="CD308" i="103" s="1"/>
  <c r="CF308" i="103" s="1"/>
  <c r="BB307" i="103"/>
  <c r="CD307" i="103" s="1"/>
  <c r="CF307" i="103" s="1"/>
  <c r="BB306" i="103"/>
  <c r="CD306" i="103" s="1"/>
  <c r="BB305" i="103"/>
  <c r="CD305" i="103" s="1"/>
  <c r="CF305" i="103" s="1"/>
  <c r="Q126" i="23"/>
  <c r="E8" i="17"/>
  <c r="CD284" i="103"/>
  <c r="BX284" i="103" s="1"/>
  <c r="CL388" i="103"/>
  <c r="X15" i="17"/>
  <c r="CK388" i="103"/>
  <c r="A8" i="31"/>
  <c r="B15" i="102"/>
  <c r="C15" i="102" s="1"/>
  <c r="B9" i="31"/>
  <c r="B43" i="31"/>
  <c r="A43" i="31" s="1"/>
  <c r="B128" i="23"/>
  <c r="N128" i="23" s="1"/>
  <c r="V127" i="23"/>
  <c r="S127" i="23"/>
  <c r="J127" i="23"/>
  <c r="D127" i="23"/>
  <c r="K338" i="103"/>
  <c r="K367" i="103"/>
  <c r="K362" i="103"/>
  <c r="K348" i="103"/>
  <c r="K318" i="103"/>
  <c r="K341" i="103"/>
  <c r="K370" i="103"/>
  <c r="K365" i="103"/>
  <c r="K351" i="103"/>
  <c r="K321" i="103"/>
  <c r="K344" i="103"/>
  <c r="K368" i="103"/>
  <c r="K354" i="103"/>
  <c r="K343" i="103"/>
  <c r="K324" i="103"/>
  <c r="K373" i="103"/>
  <c r="K357" i="103"/>
  <c r="K327" i="103"/>
  <c r="K316" i="103"/>
  <c r="K372" i="103"/>
  <c r="K360" i="103"/>
  <c r="K330" i="103"/>
  <c r="K319" i="103"/>
  <c r="K317" i="103"/>
  <c r="K375" i="103"/>
  <c r="K363" i="103"/>
  <c r="K333" i="103"/>
  <c r="K322" i="103"/>
  <c r="K320" i="103"/>
  <c r="K371" i="103"/>
  <c r="K366" i="103"/>
  <c r="K336" i="103"/>
  <c r="K325" i="103"/>
  <c r="K323" i="103"/>
  <c r="K352" i="103"/>
  <c r="K374" i="103"/>
  <c r="K347" i="103"/>
  <c r="K369" i="103"/>
  <c r="K339" i="103"/>
  <c r="K331" i="103"/>
  <c r="K328" i="103"/>
  <c r="K326" i="103"/>
  <c r="K355" i="103"/>
  <c r="K350" i="103"/>
  <c r="K342" i="103"/>
  <c r="K334" i="103"/>
  <c r="K329" i="103"/>
  <c r="K358" i="103"/>
  <c r="K353" i="103"/>
  <c r="K337" i="103"/>
  <c r="K349" i="103"/>
  <c r="K332" i="103"/>
  <c r="K361" i="103"/>
  <c r="K356" i="103"/>
  <c r="K346" i="103"/>
  <c r="K340" i="103"/>
  <c r="K335" i="103"/>
  <c r="K364" i="103"/>
  <c r="K359" i="103"/>
  <c r="AM21" i="22"/>
  <c r="AK29" i="22"/>
  <c r="AM16" i="22"/>
  <c r="AM72" i="22"/>
  <c r="AM216" i="22"/>
  <c r="AK299" i="22"/>
  <c r="AK26" i="22"/>
  <c r="AM13" i="22"/>
  <c r="AM75" i="22"/>
  <c r="AM66" i="22"/>
  <c r="AK42" i="22"/>
  <c r="AK45" i="22"/>
  <c r="AM58" i="22"/>
  <c r="AM52" i="22"/>
  <c r="AK114" i="22"/>
  <c r="AK128" i="22"/>
  <c r="AM130" i="22"/>
  <c r="AM100" i="22"/>
  <c r="AM122" i="22"/>
  <c r="AK173" i="22"/>
  <c r="AM152" i="22"/>
  <c r="AM155" i="22"/>
  <c r="AM158" i="22"/>
  <c r="AM161" i="22"/>
  <c r="AM164" i="22"/>
  <c r="AM167" i="22"/>
  <c r="AM170" i="22"/>
  <c r="AK129" i="22"/>
  <c r="AK226" i="22"/>
  <c r="AK32" i="22"/>
  <c r="AM19" i="22"/>
  <c r="AM24" i="22"/>
  <c r="AK15" i="22"/>
  <c r="AM69" i="22"/>
  <c r="AM44" i="22"/>
  <c r="AK73" i="22"/>
  <c r="AK76" i="22"/>
  <c r="AK79" i="22"/>
  <c r="AK82" i="22"/>
  <c r="AK36" i="22"/>
  <c r="AM37" i="22"/>
  <c r="AK47" i="22"/>
  <c r="AM123" i="22"/>
  <c r="AM94" i="22"/>
  <c r="AK107" i="22"/>
  <c r="AM140" i="22"/>
  <c r="AM116" i="22"/>
  <c r="AK167" i="22"/>
  <c r="AM172" i="22"/>
  <c r="AM227" i="22"/>
  <c r="AM97" i="22"/>
  <c r="AK293" i="22"/>
  <c r="AK312" i="22"/>
  <c r="AK341" i="22"/>
  <c r="AK357" i="22"/>
  <c r="AK35" i="22"/>
  <c r="AK13" i="22"/>
  <c r="AM27" i="22"/>
  <c r="AK18" i="22"/>
  <c r="AK21" i="22"/>
  <c r="AM47" i="22"/>
  <c r="AM89" i="22"/>
  <c r="AM41" i="22"/>
  <c r="AK67" i="22"/>
  <c r="AK70" i="22"/>
  <c r="AK69" i="22"/>
  <c r="AK72" i="22"/>
  <c r="AK75" i="22"/>
  <c r="AK78" i="22"/>
  <c r="AK81" i="22"/>
  <c r="AM86" i="22"/>
  <c r="AM120" i="22"/>
  <c r="AK127" i="22"/>
  <c r="AM99" i="22"/>
  <c r="AM127" i="22"/>
  <c r="AM91" i="22"/>
  <c r="AK104" i="22"/>
  <c r="AM113" i="22"/>
  <c r="AM133" i="22"/>
  <c r="AM136" i="22"/>
  <c r="AM139" i="22"/>
  <c r="AM142" i="22"/>
  <c r="AM145" i="22"/>
  <c r="AM148" i="22"/>
  <c r="AM151" i="22"/>
  <c r="AM154" i="22"/>
  <c r="AM157" i="22"/>
  <c r="AM160" i="22"/>
  <c r="AM166" i="22"/>
  <c r="AM169" i="22"/>
  <c r="AK131" i="22"/>
  <c r="AK134" i="22"/>
  <c r="AK137" i="22"/>
  <c r="AK140" i="22"/>
  <c r="AK143" i="22"/>
  <c r="AK146" i="22"/>
  <c r="AK149" i="22"/>
  <c r="AK152" i="22"/>
  <c r="AK155" i="22"/>
  <c r="AK158" i="22"/>
  <c r="AK161" i="22"/>
  <c r="AK164" i="22"/>
  <c r="AM49" i="22"/>
  <c r="AM40" i="22"/>
  <c r="AM134" i="22"/>
  <c r="AM119" i="22"/>
  <c r="AM215" i="22"/>
  <c r="AK210" i="22"/>
  <c r="AK296" i="22"/>
  <c r="AK16" i="22"/>
  <c r="AM30" i="22"/>
  <c r="AK24" i="22"/>
  <c r="AM14" i="22"/>
  <c r="AM38" i="22"/>
  <c r="AK48" i="22"/>
  <c r="AM51" i="22"/>
  <c r="AM82" i="22"/>
  <c r="AK46" i="22"/>
  <c r="AK56" i="22"/>
  <c r="AK59" i="22"/>
  <c r="AK62" i="22"/>
  <c r="AK65" i="22"/>
  <c r="AK85" i="22"/>
  <c r="AM65" i="22"/>
  <c r="AK88" i="22"/>
  <c r="AM107" i="22"/>
  <c r="AM83" i="22"/>
  <c r="AM117" i="22"/>
  <c r="AK124" i="22"/>
  <c r="AM96" i="22"/>
  <c r="AK106" i="22"/>
  <c r="AM124" i="22"/>
  <c r="AM88" i="22"/>
  <c r="AM85" i="22"/>
  <c r="AM110" i="22"/>
  <c r="AK212" i="22"/>
  <c r="AK197" i="22"/>
  <c r="AM55" i="22"/>
  <c r="AK214" i="22"/>
  <c r="AK311" i="22"/>
  <c r="AK290" i="22"/>
  <c r="AK19" i="22"/>
  <c r="AK22" i="22"/>
  <c r="AM33" i="22"/>
  <c r="AK27" i="22"/>
  <c r="AM17" i="22"/>
  <c r="AM53" i="22"/>
  <c r="AM48" i="22"/>
  <c r="AM79" i="22"/>
  <c r="AK40" i="22"/>
  <c r="AM62" i="22"/>
  <c r="AM104" i="22"/>
  <c r="AM114" i="22"/>
  <c r="AK121" i="22"/>
  <c r="AM93" i="22"/>
  <c r="AK103" i="22"/>
  <c r="AM146" i="22"/>
  <c r="AM121" i="22"/>
  <c r="AM129" i="22"/>
  <c r="AK125" i="22"/>
  <c r="AM106" i="22"/>
  <c r="AM175" i="22"/>
  <c r="AM178" i="22"/>
  <c r="AM181" i="22"/>
  <c r="AM184" i="22"/>
  <c r="AM187" i="22"/>
  <c r="AM190" i="22"/>
  <c r="AM196" i="22"/>
  <c r="AK209" i="22"/>
  <c r="AK194" i="22"/>
  <c r="AK50" i="22"/>
  <c r="AM137" i="22"/>
  <c r="AK170" i="22"/>
  <c r="AK243" i="22"/>
  <c r="AK25" i="22"/>
  <c r="AK30" i="22"/>
  <c r="AM20" i="22"/>
  <c r="AM50" i="22"/>
  <c r="AK55" i="22"/>
  <c r="AK58" i="22"/>
  <c r="AK61" i="22"/>
  <c r="AK64" i="22"/>
  <c r="AM76" i="22"/>
  <c r="AK37" i="22"/>
  <c r="AM80" i="22"/>
  <c r="AM59" i="22"/>
  <c r="AK87" i="22"/>
  <c r="AK90" i="22"/>
  <c r="AK93" i="22"/>
  <c r="AK96" i="22"/>
  <c r="AK99" i="22"/>
  <c r="AM111" i="22"/>
  <c r="AM108" i="22"/>
  <c r="AK118" i="22"/>
  <c r="AM90" i="22"/>
  <c r="AM118" i="22"/>
  <c r="AK122" i="22"/>
  <c r="AM131" i="22"/>
  <c r="AM103" i="22"/>
  <c r="AM149" i="22"/>
  <c r="AM135" i="22"/>
  <c r="AM138" i="22"/>
  <c r="AM141" i="22"/>
  <c r="AM144" i="22"/>
  <c r="AM147" i="22"/>
  <c r="AM150" i="22"/>
  <c r="AM153" i="22"/>
  <c r="AM156" i="22"/>
  <c r="AM159" i="22"/>
  <c r="AM162" i="22"/>
  <c r="AM165" i="22"/>
  <c r="AM168" i="22"/>
  <c r="AM171" i="22"/>
  <c r="AM236" i="22"/>
  <c r="AK206" i="22"/>
  <c r="AK191" i="22"/>
  <c r="AK39" i="22"/>
  <c r="AK111" i="22"/>
  <c r="AM126" i="22"/>
  <c r="AK305" i="22"/>
  <c r="AM329" i="22"/>
  <c r="AM318" i="22"/>
  <c r="AK14" i="22"/>
  <c r="AK51" i="22"/>
  <c r="AM22" i="22"/>
  <c r="AK28" i="22"/>
  <c r="AM15" i="22"/>
  <c r="AK33" i="22"/>
  <c r="AM23" i="22"/>
  <c r="AM73" i="22"/>
  <c r="AM77" i="22"/>
  <c r="AM56" i="22"/>
  <c r="AK66" i="22"/>
  <c r="AK108" i="22"/>
  <c r="AK115" i="22"/>
  <c r="AM105" i="22"/>
  <c r="AM87" i="22"/>
  <c r="AK91" i="22"/>
  <c r="AK94" i="22"/>
  <c r="AK97" i="22"/>
  <c r="AK100" i="22"/>
  <c r="AM115" i="22"/>
  <c r="AK119" i="22"/>
  <c r="AK203" i="22"/>
  <c r="AK188" i="22"/>
  <c r="AM222" i="22"/>
  <c r="AM293" i="22"/>
  <c r="AK17" i="22"/>
  <c r="AM25" i="22"/>
  <c r="AK31" i="22"/>
  <c r="AM18" i="22"/>
  <c r="AM26" i="22"/>
  <c r="AK54" i="22"/>
  <c r="AK57" i="22"/>
  <c r="AK60" i="22"/>
  <c r="AK63" i="22"/>
  <c r="AM63" i="22"/>
  <c r="AK49" i="22"/>
  <c r="AK52" i="22"/>
  <c r="AM70" i="22"/>
  <c r="AM45" i="22"/>
  <c r="AM74" i="22"/>
  <c r="AK44" i="22"/>
  <c r="AK126" i="22"/>
  <c r="AM101" i="22"/>
  <c r="AK84" i="22"/>
  <c r="AK112" i="22"/>
  <c r="AM112" i="22"/>
  <c r="AK116" i="22"/>
  <c r="AK89" i="22"/>
  <c r="AK92" i="22"/>
  <c r="AK95" i="22"/>
  <c r="AK98" i="22"/>
  <c r="AK101" i="22"/>
  <c r="AK169" i="22"/>
  <c r="AK171" i="22"/>
  <c r="AK200" i="22"/>
  <c r="AK185" i="22"/>
  <c r="AK179" i="22"/>
  <c r="AM219" i="22"/>
  <c r="AK302" i="22"/>
  <c r="AM362" i="22"/>
  <c r="AK20" i="22"/>
  <c r="AM28" i="22"/>
  <c r="AK34" i="22"/>
  <c r="AM36" i="22"/>
  <c r="AM29" i="22"/>
  <c r="AM60" i="22"/>
  <c r="AM67" i="22"/>
  <c r="AM42" i="22"/>
  <c r="AK41" i="22"/>
  <c r="AK123" i="22"/>
  <c r="AM98" i="22"/>
  <c r="AK109" i="22"/>
  <c r="AM109" i="22"/>
  <c r="AK113" i="22"/>
  <c r="AK166" i="22"/>
  <c r="AK168" i="22"/>
  <c r="AK182" i="22"/>
  <c r="AK350" i="22"/>
  <c r="AM374" i="22"/>
  <c r="AM31" i="22"/>
  <c r="AM32" i="22"/>
  <c r="AM81" i="22"/>
  <c r="AM57" i="22"/>
  <c r="AM39" i="22"/>
  <c r="AM64" i="22"/>
  <c r="AM68" i="22"/>
  <c r="AK38" i="22"/>
  <c r="AK83" i="22"/>
  <c r="AK86" i="22"/>
  <c r="AK120" i="22"/>
  <c r="AM95" i="22"/>
  <c r="AM143" i="22"/>
  <c r="AK110" i="22"/>
  <c r="AK133" i="22"/>
  <c r="AK136" i="22"/>
  <c r="AK139" i="22"/>
  <c r="AK142" i="22"/>
  <c r="AK145" i="22"/>
  <c r="AK148" i="22"/>
  <c r="AK151" i="22"/>
  <c r="AK154" i="22"/>
  <c r="AK157" i="22"/>
  <c r="AK160" i="22"/>
  <c r="AK176" i="22"/>
  <c r="AK165" i="22"/>
  <c r="AK53" i="22"/>
  <c r="AK174" i="22"/>
  <c r="AK175" i="22"/>
  <c r="AM225" i="22"/>
  <c r="AK287" i="22"/>
  <c r="AK23" i="22"/>
  <c r="AM34" i="22"/>
  <c r="AM35" i="22"/>
  <c r="AM78" i="22"/>
  <c r="AM54" i="22"/>
  <c r="AK68" i="22"/>
  <c r="AK74" i="22"/>
  <c r="AK77" i="22"/>
  <c r="AK80" i="22"/>
  <c r="AM61" i="22"/>
  <c r="AM84" i="22"/>
  <c r="AM46" i="22"/>
  <c r="AK117" i="22"/>
  <c r="AM92" i="22"/>
  <c r="AK105" i="22"/>
  <c r="AM128" i="22"/>
  <c r="AM125" i="22"/>
  <c r="AK130" i="22"/>
  <c r="AK135" i="22"/>
  <c r="AK138" i="22"/>
  <c r="AK141" i="22"/>
  <c r="AK144" i="22"/>
  <c r="AK147" i="22"/>
  <c r="AK150" i="22"/>
  <c r="AK153" i="22"/>
  <c r="AK156" i="22"/>
  <c r="AK159" i="22"/>
  <c r="AK162" i="22"/>
  <c r="AM199" i="22"/>
  <c r="AM202" i="22"/>
  <c r="AM205" i="22"/>
  <c r="AM208" i="22"/>
  <c r="AM211" i="22"/>
  <c r="AM214" i="22"/>
  <c r="AK213" i="22"/>
  <c r="AK177" i="22"/>
  <c r="AK178" i="22"/>
  <c r="AK246" i="22"/>
  <c r="AK229" i="22"/>
  <c r="AM229" i="22"/>
  <c r="AM232" i="22"/>
  <c r="AM235" i="22"/>
  <c r="AM238" i="22"/>
  <c r="AM241" i="22"/>
  <c r="AM244" i="22"/>
  <c r="AM247" i="22"/>
  <c r="AM250" i="22"/>
  <c r="AM253" i="22"/>
  <c r="AK227" i="22"/>
  <c r="AK215" i="22"/>
  <c r="AM296" i="22"/>
  <c r="AK306" i="22"/>
  <c r="AM326" i="22"/>
  <c r="AK309" i="22"/>
  <c r="AM315" i="22"/>
  <c r="AK343" i="22"/>
  <c r="AK328" i="22"/>
  <c r="AM313" i="22"/>
  <c r="AK338" i="22"/>
  <c r="AM375" i="22"/>
  <c r="AM371" i="22"/>
  <c r="AM359" i="22"/>
  <c r="AK354" i="22"/>
  <c r="AM173" i="22"/>
  <c r="AM176" i="22"/>
  <c r="AM179" i="22"/>
  <c r="AM182" i="22"/>
  <c r="AM185" i="22"/>
  <c r="AM188" i="22"/>
  <c r="AM191" i="22"/>
  <c r="AM194" i="22"/>
  <c r="AM197" i="22"/>
  <c r="AK207" i="22"/>
  <c r="AM198" i="22"/>
  <c r="AM201" i="22"/>
  <c r="AM204" i="22"/>
  <c r="AM207" i="22"/>
  <c r="AM210" i="22"/>
  <c r="AM213" i="22"/>
  <c r="AM233" i="22"/>
  <c r="AM174" i="22"/>
  <c r="AM177" i="22"/>
  <c r="AM180" i="22"/>
  <c r="AM183" i="22"/>
  <c r="AM186" i="22"/>
  <c r="AM189" i="22"/>
  <c r="AM192" i="22"/>
  <c r="AM195" i="22"/>
  <c r="AK211" i="22"/>
  <c r="AK172" i="22"/>
  <c r="AK240" i="22"/>
  <c r="AK225" i="22"/>
  <c r="AK223" i="22"/>
  <c r="AM217" i="22"/>
  <c r="AM220" i="22"/>
  <c r="AM223" i="22"/>
  <c r="AM226" i="22"/>
  <c r="AM290" i="22"/>
  <c r="AM332" i="22"/>
  <c r="AK315" i="22"/>
  <c r="AM321" i="22"/>
  <c r="AM319" i="22"/>
  <c r="AK344" i="22"/>
  <c r="AK371" i="22"/>
  <c r="AK353" i="22"/>
  <c r="AM365" i="22"/>
  <c r="AK360" i="22"/>
  <c r="R12" i="103"/>
  <c r="AK204" i="22"/>
  <c r="AM218" i="22"/>
  <c r="AK208" i="22"/>
  <c r="AK237" i="22"/>
  <c r="AK222" i="22"/>
  <c r="AK220" i="22"/>
  <c r="AK254" i="22"/>
  <c r="AM287" i="22"/>
  <c r="AM335" i="22"/>
  <c r="AK318" i="22"/>
  <c r="AM324" i="22"/>
  <c r="AM322" i="22"/>
  <c r="AK373" i="22"/>
  <c r="AM373" i="22"/>
  <c r="AK374" i="22"/>
  <c r="AK356" i="22"/>
  <c r="AM368" i="22"/>
  <c r="AK363" i="22"/>
  <c r="C11" i="58"/>
  <c r="AK201" i="22"/>
  <c r="AK205" i="22"/>
  <c r="AM254" i="22"/>
  <c r="AK234" i="22"/>
  <c r="AK219" i="22"/>
  <c r="AK253" i="22"/>
  <c r="AK217" i="22"/>
  <c r="AK251" i="22"/>
  <c r="AM338" i="22"/>
  <c r="AK321" i="22"/>
  <c r="AM327" i="22"/>
  <c r="AM325" i="22"/>
  <c r="AM354" i="22"/>
  <c r="AK376" i="22"/>
  <c r="AM376" i="22"/>
  <c r="AM349" i="22"/>
  <c r="AK359" i="22"/>
  <c r="AK366" i="22"/>
  <c r="AK198" i="22"/>
  <c r="AK202" i="22"/>
  <c r="AM239" i="22"/>
  <c r="AM242" i="22"/>
  <c r="AM245" i="22"/>
  <c r="AM248" i="22"/>
  <c r="AM251" i="22"/>
  <c r="AK231" i="22"/>
  <c r="AK216" i="22"/>
  <c r="AK250" i="22"/>
  <c r="AK248" i="22"/>
  <c r="AM303" i="22"/>
  <c r="AM306" i="22"/>
  <c r="AM304" i="22"/>
  <c r="AM341" i="22"/>
  <c r="AK324" i="22"/>
  <c r="AM333" i="22"/>
  <c r="AM330" i="22"/>
  <c r="AK307" i="22"/>
  <c r="AM328" i="22"/>
  <c r="AM357" i="22"/>
  <c r="AK352" i="22"/>
  <c r="AM352" i="22"/>
  <c r="AK362" i="22"/>
  <c r="AK369" i="22"/>
  <c r="AK195" i="22"/>
  <c r="AK199" i="22"/>
  <c r="AK196" i="22"/>
  <c r="AK228" i="22"/>
  <c r="AM228" i="22"/>
  <c r="AM231" i="22"/>
  <c r="AM234" i="22"/>
  <c r="AM237" i="22"/>
  <c r="AM240" i="22"/>
  <c r="AM243" i="22"/>
  <c r="AM246" i="22"/>
  <c r="AM249" i="22"/>
  <c r="AM252" i="22"/>
  <c r="AK247" i="22"/>
  <c r="AK245" i="22"/>
  <c r="AK317" i="22"/>
  <c r="AK320" i="22"/>
  <c r="AM300" i="22"/>
  <c r="AM301" i="22"/>
  <c r="AM344" i="22"/>
  <c r="AK347" i="22"/>
  <c r="AM308" i="22"/>
  <c r="AK327" i="22"/>
  <c r="AM336" i="22"/>
  <c r="AK310" i="22"/>
  <c r="AM331" i="22"/>
  <c r="AM360" i="22"/>
  <c r="AK355" i="22"/>
  <c r="AM355" i="22"/>
  <c r="AK365" i="22"/>
  <c r="AK192" i="22"/>
  <c r="AK244" i="22"/>
  <c r="AK242" i="22"/>
  <c r="AM297" i="22"/>
  <c r="AM298" i="22"/>
  <c r="AM311" i="22"/>
  <c r="AK333" i="22"/>
  <c r="AK330" i="22"/>
  <c r="AM339" i="22"/>
  <c r="AM348" i="22"/>
  <c r="AK313" i="22"/>
  <c r="AM334" i="22"/>
  <c r="AM363" i="22"/>
  <c r="AK358" i="22"/>
  <c r="AM358" i="22"/>
  <c r="AK368" i="22"/>
  <c r="AK189" i="22"/>
  <c r="AK190" i="22"/>
  <c r="AK241" i="22"/>
  <c r="AK239" i="22"/>
  <c r="AM294" i="22"/>
  <c r="AK323" i="22"/>
  <c r="AM295" i="22"/>
  <c r="AK326" i="22"/>
  <c r="AM314" i="22"/>
  <c r="AK336" i="22"/>
  <c r="AM351" i="22"/>
  <c r="AM342" i="22"/>
  <c r="AK331" i="22"/>
  <c r="AM337" i="22"/>
  <c r="AM366" i="22"/>
  <c r="AK361" i="22"/>
  <c r="AM361" i="22"/>
  <c r="AK372" i="22"/>
  <c r="AM200" i="22"/>
  <c r="AM203" i="22"/>
  <c r="AM206" i="22"/>
  <c r="AM209" i="22"/>
  <c r="AM212" i="22"/>
  <c r="AK186" i="22"/>
  <c r="AK187" i="22"/>
  <c r="AK238" i="22"/>
  <c r="AK236" i="22"/>
  <c r="AM305" i="22"/>
  <c r="AM291" i="22"/>
  <c r="AM292" i="22"/>
  <c r="AM317" i="22"/>
  <c r="AK339" i="22"/>
  <c r="AM345" i="22"/>
  <c r="AK334" i="22"/>
  <c r="AK319" i="22"/>
  <c r="AM340" i="22"/>
  <c r="AM369" i="22"/>
  <c r="AK364" i="22"/>
  <c r="AM364" i="22"/>
  <c r="AM350" i="22"/>
  <c r="AK375" i="22"/>
  <c r="AM230" i="22"/>
  <c r="AK183" i="22"/>
  <c r="AK184" i="22"/>
  <c r="AM221" i="22"/>
  <c r="AK252" i="22"/>
  <c r="AK235" i="22"/>
  <c r="AK233" i="22"/>
  <c r="AK221" i="22"/>
  <c r="AM302" i="22"/>
  <c r="AM288" i="22"/>
  <c r="AK308" i="22"/>
  <c r="AK286" i="22"/>
  <c r="AK289" i="22"/>
  <c r="AK292" i="22"/>
  <c r="AK295" i="22"/>
  <c r="AK298" i="22"/>
  <c r="AK301" i="22"/>
  <c r="AK304" i="22"/>
  <c r="AM289" i="22"/>
  <c r="AM320" i="22"/>
  <c r="AK342" i="22"/>
  <c r="AM347" i="22"/>
  <c r="AM309" i="22"/>
  <c r="AK337" i="22"/>
  <c r="AK349" i="22"/>
  <c r="AK322" i="22"/>
  <c r="AM343" i="22"/>
  <c r="AM307" i="22"/>
  <c r="AK332" i="22"/>
  <c r="AK367" i="22"/>
  <c r="AM367" i="22"/>
  <c r="AM353" i="22"/>
  <c r="AK348" i="22"/>
  <c r="AK180" i="22"/>
  <c r="AK181" i="22"/>
  <c r="AK249" i="22"/>
  <c r="AK232" i="22"/>
  <c r="AK230" i="22"/>
  <c r="AK218" i="22"/>
  <c r="AM299" i="22"/>
  <c r="AK329" i="22"/>
  <c r="AK288" i="22"/>
  <c r="AK291" i="22"/>
  <c r="AK294" i="22"/>
  <c r="AK297" i="22"/>
  <c r="AK300" i="22"/>
  <c r="AK303" i="22"/>
  <c r="AK314" i="22"/>
  <c r="AM286" i="22"/>
  <c r="AM323" i="22"/>
  <c r="AK345" i="22"/>
  <c r="AM312" i="22"/>
  <c r="AK340" i="22"/>
  <c r="AK325" i="22"/>
  <c r="AM310" i="22"/>
  <c r="AK335" i="22"/>
  <c r="AM372" i="22"/>
  <c r="AK370" i="22"/>
  <c r="AM370" i="22"/>
  <c r="AM356" i="22"/>
  <c r="AK351" i="22"/>
  <c r="AG8" i="17"/>
  <c r="M14" i="37"/>
  <c r="AF8" i="17"/>
  <c r="AE8" i="17"/>
  <c r="AD8" i="17"/>
  <c r="AC8" i="17"/>
  <c r="AB8" i="17"/>
  <c r="AA8" i="17"/>
  <c r="M19" i="62"/>
  <c r="BK272" i="103"/>
  <c r="BL272" i="103"/>
  <c r="K22" i="62"/>
  <c r="M18" i="62"/>
  <c r="K24" i="62"/>
  <c r="BL269" i="103"/>
  <c r="K19" i="62"/>
  <c r="BL271" i="103"/>
  <c r="BK274" i="103"/>
  <c r="K21" i="62"/>
  <c r="K18" i="62"/>
  <c r="K26" i="62"/>
  <c r="BK271" i="103"/>
  <c r="BK276" i="103"/>
  <c r="BL274" i="103"/>
  <c r="M26" i="62"/>
  <c r="M24" i="62"/>
  <c r="BK273" i="103"/>
  <c r="M23" i="62"/>
  <c r="K23" i="62"/>
  <c r="BK270" i="103"/>
  <c r="BL276" i="103"/>
  <c r="M21" i="62"/>
  <c r="M25" i="62"/>
  <c r="K20" i="62"/>
  <c r="BL273" i="103"/>
  <c r="M20" i="62"/>
  <c r="M22" i="62"/>
  <c r="BL275" i="103"/>
  <c r="K25" i="62"/>
  <c r="BK275" i="103"/>
  <c r="BL270" i="103"/>
  <c r="Z8" i="17"/>
  <c r="M14" i="62"/>
  <c r="K14" i="62"/>
  <c r="K15" i="62"/>
  <c r="M17" i="62"/>
  <c r="K16" i="62"/>
  <c r="M15" i="62"/>
  <c r="K17" i="62"/>
  <c r="M16" i="62"/>
  <c r="Y8" i="17"/>
  <c r="X8" i="17"/>
  <c r="I32" i="30"/>
  <c r="I20" i="30"/>
  <c r="I36" i="30"/>
  <c r="W8" i="17"/>
  <c r="I17" i="30"/>
  <c r="I29" i="30"/>
  <c r="I39" i="30"/>
  <c r="I12" i="30"/>
  <c r="V8" i="17"/>
  <c r="I15" i="30"/>
  <c r="I35" i="30"/>
  <c r="I11" i="30"/>
  <c r="U8" i="17"/>
  <c r="I24" i="30"/>
  <c r="I27" i="30"/>
  <c r="I33" i="30"/>
  <c r="T8" i="17"/>
  <c r="I25" i="30"/>
  <c r="I37" i="30"/>
  <c r="I13" i="30"/>
  <c r="I31" i="30"/>
  <c r="I23" i="30"/>
  <c r="I18" i="30"/>
  <c r="I22" i="30"/>
  <c r="I40" i="30"/>
  <c r="I16" i="30"/>
  <c r="I38" i="30"/>
  <c r="I14" i="30"/>
  <c r="I28" i="30"/>
  <c r="I30" i="30"/>
  <c r="M13" i="62"/>
  <c r="K13" i="62"/>
  <c r="F41" i="64"/>
  <c r="S8" i="17"/>
  <c r="H12" i="62"/>
  <c r="I19" i="30"/>
  <c r="I21" i="30"/>
  <c r="BK269" i="103"/>
  <c r="I26" i="30"/>
  <c r="I34" i="30"/>
  <c r="I10" i="30"/>
  <c r="I42" i="30" s="1"/>
  <c r="BV460" i="7"/>
  <c r="BV459" i="7"/>
  <c r="BD384" i="103"/>
  <c r="O167" i="23" s="1"/>
  <c r="P167" i="23" s="1"/>
  <c r="BB223" i="103"/>
  <c r="CD223" i="103" s="1"/>
  <c r="CF223" i="103" s="1"/>
  <c r="I13" i="22"/>
  <c r="E12" i="58"/>
  <c r="Y12" i="58" s="1"/>
  <c r="BB217" i="103"/>
  <c r="CD217" i="103" s="1"/>
  <c r="CF217" i="103" s="1"/>
  <c r="BB154" i="103"/>
  <c r="CD154" i="103" s="1"/>
  <c r="CF154" i="103" s="1"/>
  <c r="BB238" i="103"/>
  <c r="CD238" i="103" s="1"/>
  <c r="CF238" i="103" s="1"/>
  <c r="BB136" i="103"/>
  <c r="CD136" i="103" s="1"/>
  <c r="CF136" i="103" s="1"/>
  <c r="BD66" i="103"/>
  <c r="BB140" i="103"/>
  <c r="CD140" i="103" s="1"/>
  <c r="CF140" i="103" s="1"/>
  <c r="BB142" i="103"/>
  <c r="CD142" i="103" s="1"/>
  <c r="CF142" i="103" s="1"/>
  <c r="BB241" i="103"/>
  <c r="CD241" i="103" s="1"/>
  <c r="CF241" i="103" s="1"/>
  <c r="BB213" i="103"/>
  <c r="CD213" i="103" s="1"/>
  <c r="CF213" i="103" s="1"/>
  <c r="BB248" i="103"/>
  <c r="CD248" i="103" s="1"/>
  <c r="BX248" i="103" s="1"/>
  <c r="BB144" i="103"/>
  <c r="CD144" i="103" s="1"/>
  <c r="BD109" i="103"/>
  <c r="BB249" i="103"/>
  <c r="CD249" i="103" s="1"/>
  <c r="CF249" i="103" s="1"/>
  <c r="BB252" i="103"/>
  <c r="CD252" i="103" s="1"/>
  <c r="CF252" i="103" s="1"/>
  <c r="BD89" i="103"/>
  <c r="BB135" i="103"/>
  <c r="CD135" i="103" s="1"/>
  <c r="BD322" i="103"/>
  <c r="R19" i="62" s="1"/>
  <c r="S19" i="62" s="1"/>
  <c r="BB178" i="103"/>
  <c r="CD178" i="103" s="1"/>
  <c r="CF178" i="103" s="1"/>
  <c r="BB184" i="103"/>
  <c r="CD184" i="103" s="1"/>
  <c r="BX184" i="103" s="1"/>
  <c r="BB187" i="103"/>
  <c r="CD187" i="103" s="1"/>
  <c r="CF187" i="103" s="1"/>
  <c r="BB190" i="103"/>
  <c r="CD190" i="103" s="1"/>
  <c r="CF190" i="103" s="1"/>
  <c r="BB193" i="103"/>
  <c r="CD193" i="103" s="1"/>
  <c r="CF193" i="103" s="1"/>
  <c r="BD47" i="103"/>
  <c r="BD57" i="103"/>
  <c r="BB155" i="103"/>
  <c r="CD155" i="103" s="1"/>
  <c r="CF155" i="103" s="1"/>
  <c r="BD13" i="103"/>
  <c r="CD287" i="103"/>
  <c r="BD208" i="103"/>
  <c r="BB196" i="103"/>
  <c r="CD196" i="103" s="1"/>
  <c r="BX196" i="103" s="1"/>
  <c r="BD69" i="103"/>
  <c r="BB204" i="103"/>
  <c r="CD204" i="103" s="1"/>
  <c r="CF204" i="103" s="1"/>
  <c r="BD193" i="103"/>
  <c r="BB207" i="103"/>
  <c r="CD207" i="103" s="1"/>
  <c r="CF207" i="103" s="1"/>
  <c r="BD190" i="103"/>
  <c r="BB210" i="103"/>
  <c r="CD210" i="103" s="1"/>
  <c r="CF210" i="103" s="1"/>
  <c r="BD184" i="103"/>
  <c r="BD181" i="103"/>
  <c r="BB175" i="103"/>
  <c r="CD175" i="103" s="1"/>
  <c r="BX175" i="103" s="1"/>
  <c r="AM311" i="103"/>
  <c r="R311" i="58" s="1"/>
  <c r="L311" i="58" s="1"/>
  <c r="BD335" i="103"/>
  <c r="BB211" i="103"/>
  <c r="CD211" i="103" s="1"/>
  <c r="BX211" i="103" s="1"/>
  <c r="BB157" i="103"/>
  <c r="CD157" i="103" s="1"/>
  <c r="BD90" i="103"/>
  <c r="BB85" i="103"/>
  <c r="CD85" i="103" s="1"/>
  <c r="BB150" i="103"/>
  <c r="CD150" i="103" s="1"/>
  <c r="BX150" i="103" s="1"/>
  <c r="BB145" i="103"/>
  <c r="CD145" i="103" s="1"/>
  <c r="CF145" i="103" s="1"/>
  <c r="BB235" i="103"/>
  <c r="CD235" i="103" s="1"/>
  <c r="CF235" i="103" s="1"/>
  <c r="AM351" i="103"/>
  <c r="R351" i="58" s="1"/>
  <c r="L351" i="58" s="1"/>
  <c r="CD362" i="103"/>
  <c r="BX362" i="103" s="1"/>
  <c r="BB66" i="103"/>
  <c r="CD66" i="103" s="1"/>
  <c r="BX66" i="103" s="1"/>
  <c r="BB69" i="103"/>
  <c r="CD69" i="103" s="1"/>
  <c r="CF69" i="103" s="1"/>
  <c r="BD87" i="103"/>
  <c r="BB149" i="103"/>
  <c r="CD149" i="103" s="1"/>
  <c r="BX149" i="103" s="1"/>
  <c r="BB232" i="103"/>
  <c r="CD232" i="103" s="1"/>
  <c r="CF232" i="103" s="1"/>
  <c r="BB239" i="103"/>
  <c r="CD239" i="103" s="1"/>
  <c r="BD16" i="103"/>
  <c r="C12" i="22"/>
  <c r="BD60" i="103"/>
  <c r="BB152" i="103"/>
  <c r="CD152" i="103" s="1"/>
  <c r="CF152" i="103" s="1"/>
  <c r="BB220" i="103"/>
  <c r="CD220" i="103" s="1"/>
  <c r="CF220" i="103" s="1"/>
  <c r="BD314" i="103"/>
  <c r="BB229" i="103"/>
  <c r="CD229" i="103" s="1"/>
  <c r="CF229" i="103" s="1"/>
  <c r="AM196" i="103"/>
  <c r="BD307" i="103"/>
  <c r="BD357" i="103"/>
  <c r="BD86" i="103"/>
  <c r="BB139" i="103"/>
  <c r="CD139" i="103" s="1"/>
  <c r="CF139" i="103" s="1"/>
  <c r="BB214" i="103"/>
  <c r="CD214" i="103" s="1"/>
  <c r="CF214" i="103" s="1"/>
  <c r="BD319" i="103"/>
  <c r="R16" i="62" s="1"/>
  <c r="S16" i="62" s="1"/>
  <c r="CD331" i="103"/>
  <c r="CF331" i="103" s="1"/>
  <c r="BD320" i="103"/>
  <c r="R17" i="62" s="1"/>
  <c r="S17" i="62" s="1"/>
  <c r="CD347" i="103"/>
  <c r="CF347" i="103" s="1"/>
  <c r="H14" i="37"/>
  <c r="AM41" i="103"/>
  <c r="AM38" i="103"/>
  <c r="BD107" i="103"/>
  <c r="BB222" i="103"/>
  <c r="CD222" i="103" s="1"/>
  <c r="CF222" i="103" s="1"/>
  <c r="AM218" i="103"/>
  <c r="BB225" i="103"/>
  <c r="CD225" i="103" s="1"/>
  <c r="CF225" i="103" s="1"/>
  <c r="AM44" i="103"/>
  <c r="BD165" i="103"/>
  <c r="BD227" i="103"/>
  <c r="CD345" i="103"/>
  <c r="CF345" i="103" s="1"/>
  <c r="BD62" i="103"/>
  <c r="BD138" i="103"/>
  <c r="BD211" i="103"/>
  <c r="J9" i="36"/>
  <c r="J13" i="36" s="1"/>
  <c r="AM131" i="103"/>
  <c r="AM224" i="103"/>
  <c r="CD359" i="103"/>
  <c r="CF359" i="103" s="1"/>
  <c r="CD373" i="103"/>
  <c r="BX373" i="103" s="1"/>
  <c r="BB78" i="103"/>
  <c r="CD78" i="103" s="1"/>
  <c r="CF78" i="103" s="1"/>
  <c r="BB134" i="103"/>
  <c r="CD134" i="103" s="1"/>
  <c r="CF134" i="103" s="1"/>
  <c r="BB137" i="103"/>
  <c r="CD137" i="103" s="1"/>
  <c r="CF137" i="103" s="1"/>
  <c r="BB143" i="103"/>
  <c r="CD143" i="103" s="1"/>
  <c r="CF143" i="103" s="1"/>
  <c r="AM47" i="103"/>
  <c r="BD67" i="103"/>
  <c r="BD79" i="103"/>
  <c r="BB170" i="103"/>
  <c r="CD170" i="103" s="1"/>
  <c r="BB153" i="103"/>
  <c r="CD153" i="103" s="1"/>
  <c r="CF153" i="103" s="1"/>
  <c r="BB156" i="103"/>
  <c r="CD156" i="103" s="1"/>
  <c r="BB159" i="103"/>
  <c r="CD159" i="103" s="1"/>
  <c r="CF159" i="103" s="1"/>
  <c r="BB218" i="103"/>
  <c r="CD218" i="103" s="1"/>
  <c r="CF218" i="103" s="1"/>
  <c r="BD313" i="103"/>
  <c r="BD327" i="103"/>
  <c r="R24" i="62" s="1"/>
  <c r="S24" i="62" s="1"/>
  <c r="BB94" i="103"/>
  <c r="CD94" i="103" s="1"/>
  <c r="CF94" i="103" s="1"/>
  <c r="BD178" i="103"/>
  <c r="BB221" i="103"/>
  <c r="CD221" i="103" s="1"/>
  <c r="CF221" i="103" s="1"/>
  <c r="BD234" i="103"/>
  <c r="BD351" i="103"/>
  <c r="BB224" i="103"/>
  <c r="CD224" i="103" s="1"/>
  <c r="CF224" i="103" s="1"/>
  <c r="BD231" i="103"/>
  <c r="AM357" i="103"/>
  <c r="R357" i="58" s="1"/>
  <c r="L357" i="58" s="1"/>
  <c r="BD346" i="103"/>
  <c r="BD354" i="103"/>
  <c r="BB81" i="103"/>
  <c r="CD81" i="103" s="1"/>
  <c r="CF81" i="103" s="1"/>
  <c r="BB198" i="103"/>
  <c r="CD198" i="103" s="1"/>
  <c r="CF198" i="103" s="1"/>
  <c r="BB215" i="103"/>
  <c r="CD215" i="103" s="1"/>
  <c r="CF215" i="103" s="1"/>
  <c r="BD225" i="103"/>
  <c r="BD325" i="103"/>
  <c r="R22" i="62" s="1"/>
  <c r="S22" i="62" s="1"/>
  <c r="BD326" i="103"/>
  <c r="R23" i="62" s="1"/>
  <c r="S23" i="62" s="1"/>
  <c r="L14" i="37"/>
  <c r="BB47" i="103"/>
  <c r="CD47" i="103" s="1"/>
  <c r="CF47" i="103" s="1"/>
  <c r="BD55" i="103"/>
  <c r="BD58" i="103"/>
  <c r="BD64" i="103"/>
  <c r="BD102" i="103"/>
  <c r="BB201" i="103"/>
  <c r="CD201" i="103" s="1"/>
  <c r="BD239" i="103"/>
  <c r="BD309" i="103"/>
  <c r="BD366" i="103"/>
  <c r="BD369" i="103"/>
  <c r="BD214" i="103"/>
  <c r="BB122" i="103"/>
  <c r="CD122" i="103" s="1"/>
  <c r="CF122" i="103" s="1"/>
  <c r="BB158" i="103"/>
  <c r="CD158" i="103" s="1"/>
  <c r="BD202" i="103"/>
  <c r="BB231" i="103"/>
  <c r="CD231" i="103" s="1"/>
  <c r="CF231" i="103" s="1"/>
  <c r="BB234" i="103"/>
  <c r="CD234" i="103" s="1"/>
  <c r="BB226" i="103"/>
  <c r="CD226" i="103" s="1"/>
  <c r="BD44" i="103"/>
  <c r="BK382" i="103"/>
  <c r="AP385" i="103"/>
  <c r="AM262" i="103"/>
  <c r="BD321" i="103"/>
  <c r="R18" i="62" s="1"/>
  <c r="S18" i="62" s="1"/>
  <c r="CD334" i="103"/>
  <c r="BX334" i="103" s="1"/>
  <c r="BB148" i="103"/>
  <c r="CD148" i="103" s="1"/>
  <c r="CF148" i="103" s="1"/>
  <c r="BB237" i="103"/>
  <c r="CD237" i="103" s="1"/>
  <c r="BD218" i="103"/>
  <c r="BD240" i="103"/>
  <c r="CD354" i="103"/>
  <c r="L15" i="17"/>
  <c r="BB35" i="103"/>
  <c r="CD35" i="103" s="1"/>
  <c r="CF35" i="103" s="1"/>
  <c r="BB176" i="103"/>
  <c r="CD176" i="103" s="1"/>
  <c r="BX176" i="103" s="1"/>
  <c r="BB240" i="103"/>
  <c r="CD240" i="103" s="1"/>
  <c r="CF240" i="103" s="1"/>
  <c r="AZ384" i="103"/>
  <c r="BD215" i="103"/>
  <c r="BB251" i="103"/>
  <c r="CD251" i="103" s="1"/>
  <c r="CF251" i="103" s="1"/>
  <c r="BR387" i="103"/>
  <c r="CD337" i="103"/>
  <c r="CF337" i="103" s="1"/>
  <c r="BD373" i="103"/>
  <c r="BB107" i="103"/>
  <c r="CD107" i="103" s="1"/>
  <c r="BB205" i="103"/>
  <c r="CD205" i="103" s="1"/>
  <c r="CF205" i="103" s="1"/>
  <c r="BB208" i="103"/>
  <c r="CD208" i="103" s="1"/>
  <c r="BX208" i="103" s="1"/>
  <c r="AM252" i="103"/>
  <c r="AM354" i="103"/>
  <c r="R354" i="58" s="1"/>
  <c r="L354" i="58" s="1"/>
  <c r="BB230" i="103"/>
  <c r="CD230" i="103" s="1"/>
  <c r="BX230" i="103" s="1"/>
  <c r="BB233" i="103"/>
  <c r="CD233" i="103" s="1"/>
  <c r="BD310" i="103"/>
  <c r="BB161" i="103"/>
  <c r="CD161" i="103" s="1"/>
  <c r="CF161" i="103" s="1"/>
  <c r="BB236" i="103"/>
  <c r="CD236" i="103" s="1"/>
  <c r="CF236" i="103" s="1"/>
  <c r="BD317" i="103"/>
  <c r="R14" i="62" s="1"/>
  <c r="S14" i="62" s="1"/>
  <c r="BB56" i="103"/>
  <c r="CD56" i="103" s="1"/>
  <c r="CF56" i="103" s="1"/>
  <c r="BB50" i="103"/>
  <c r="CD50" i="103" s="1"/>
  <c r="AM75" i="103"/>
  <c r="BB162" i="103"/>
  <c r="CD162" i="103" s="1"/>
  <c r="CF162" i="103" s="1"/>
  <c r="BB32" i="103"/>
  <c r="CD32" i="103" s="1"/>
  <c r="CF32" i="103" s="1"/>
  <c r="BB74" i="103"/>
  <c r="CD74" i="103" s="1"/>
  <c r="BB53" i="103"/>
  <c r="CD53" i="103" s="1"/>
  <c r="BX53" i="103" s="1"/>
  <c r="O9" i="36"/>
  <c r="O13" i="36" s="1"/>
  <c r="CD357" i="103"/>
  <c r="CF357" i="103" s="1"/>
  <c r="CD353" i="103"/>
  <c r="CF353" i="103" s="1"/>
  <c r="AM372" i="103"/>
  <c r="R372" i="58" s="1"/>
  <c r="L372" i="58" s="1"/>
  <c r="E41" i="64"/>
  <c r="N9" i="36"/>
  <c r="N13" i="36" s="1"/>
  <c r="CD361" i="103"/>
  <c r="CF361" i="103" s="1"/>
  <c r="CD356" i="103"/>
  <c r="CF356" i="103" s="1"/>
  <c r="BD187" i="103"/>
  <c r="AR385" i="103"/>
  <c r="CD365" i="103"/>
  <c r="BX365" i="103" s="1"/>
  <c r="CD350" i="103"/>
  <c r="CF350" i="103" s="1"/>
  <c r="AM104" i="103"/>
  <c r="BD156" i="103"/>
  <c r="AM314" i="103"/>
  <c r="CD325" i="103"/>
  <c r="CF325" i="103" s="1"/>
  <c r="AM375" i="103"/>
  <c r="BY375" i="103" s="1"/>
  <c r="CA375" i="103" s="1"/>
  <c r="BD84" i="103"/>
  <c r="AM126" i="103"/>
  <c r="BD141" i="103"/>
  <c r="BD144" i="103"/>
  <c r="BB168" i="103"/>
  <c r="CD168" i="103" s="1"/>
  <c r="CF168" i="103" s="1"/>
  <c r="BD166" i="103"/>
  <c r="BD205" i="103"/>
  <c r="BD196" i="103"/>
  <c r="BB216" i="103"/>
  <c r="CD216" i="103" s="1"/>
  <c r="BB243" i="103"/>
  <c r="CD243" i="103" s="1"/>
  <c r="CF243" i="103" s="1"/>
  <c r="AM234" i="103"/>
  <c r="BB41" i="103"/>
  <c r="CD41" i="103" s="1"/>
  <c r="CF41" i="103" s="1"/>
  <c r="BD125" i="103"/>
  <c r="BD126" i="103"/>
  <c r="BB163" i="103"/>
  <c r="CD163" i="103" s="1"/>
  <c r="CF163" i="103" s="1"/>
  <c r="BD224" i="103"/>
  <c r="BD228" i="103"/>
  <c r="AQ385" i="103"/>
  <c r="AM348" i="103"/>
  <c r="R348" i="58" s="1"/>
  <c r="L348" i="58" s="1"/>
  <c r="CD364" i="103"/>
  <c r="CF364" i="103" s="1"/>
  <c r="BD349" i="103"/>
  <c r="BB38" i="103"/>
  <c r="CD38" i="103" s="1"/>
  <c r="BD122" i="103"/>
  <c r="BB166" i="103"/>
  <c r="CD166" i="103" s="1"/>
  <c r="CF166" i="103" s="1"/>
  <c r="AM169" i="103"/>
  <c r="AY382" i="103"/>
  <c r="BD199" i="103"/>
  <c r="BN383" i="103"/>
  <c r="BD248" i="103"/>
  <c r="BD221" i="103"/>
  <c r="BD328" i="103"/>
  <c r="R25" i="62" s="1"/>
  <c r="S25" i="62" s="1"/>
  <c r="CD330" i="103"/>
  <c r="CF330" i="103" s="1"/>
  <c r="BD332" i="103"/>
  <c r="BD329" i="103"/>
  <c r="BD370" i="103"/>
  <c r="BD352" i="103"/>
  <c r="AM89" i="103"/>
  <c r="AM92" i="103"/>
  <c r="AM95" i="103"/>
  <c r="BD119" i="103"/>
  <c r="BD120" i="103"/>
  <c r="BD172" i="103"/>
  <c r="BD245" i="103"/>
  <c r="AM249" i="103"/>
  <c r="AS386" i="103"/>
  <c r="CD346" i="103"/>
  <c r="CF346" i="103" s="1"/>
  <c r="CD367" i="103"/>
  <c r="BD355" i="103"/>
  <c r="AM231" i="103"/>
  <c r="BD51" i="103"/>
  <c r="BD116" i="103"/>
  <c r="BD117" i="103"/>
  <c r="BB100" i="103"/>
  <c r="CD100" i="103" s="1"/>
  <c r="CF100" i="103" s="1"/>
  <c r="BB104" i="103"/>
  <c r="CD104" i="103" s="1"/>
  <c r="AM206" i="103"/>
  <c r="BD242" i="103"/>
  <c r="AM320" i="103"/>
  <c r="R320" i="58" s="1"/>
  <c r="L320" i="58" s="1"/>
  <c r="AX387" i="103"/>
  <c r="CD316" i="103"/>
  <c r="CF316" i="103" s="1"/>
  <c r="CD319" i="103"/>
  <c r="CD322" i="103"/>
  <c r="CF322" i="103" s="1"/>
  <c r="CD333" i="103"/>
  <c r="BD338" i="103"/>
  <c r="BD375" i="103"/>
  <c r="BD358" i="103"/>
  <c r="AM317" i="103"/>
  <c r="R317" i="58" s="1"/>
  <c r="L317" i="58" s="1"/>
  <c r="BB24" i="103"/>
  <c r="CD24" i="103" s="1"/>
  <c r="BB83" i="103"/>
  <c r="CD83" i="103" s="1"/>
  <c r="CF83" i="103" s="1"/>
  <c r="BD113" i="103"/>
  <c r="BD114" i="103"/>
  <c r="BB110" i="103"/>
  <c r="CD110" i="103" s="1"/>
  <c r="CF110" i="103" s="1"/>
  <c r="BB197" i="103"/>
  <c r="CD197" i="103" s="1"/>
  <c r="BX197" i="103" s="1"/>
  <c r="AE383" i="103"/>
  <c r="AQ383" i="103"/>
  <c r="BD212" i="103"/>
  <c r="BB219" i="103"/>
  <c r="CD219" i="103" s="1"/>
  <c r="CF219" i="103" s="1"/>
  <c r="S383" i="103"/>
  <c r="BB244" i="103"/>
  <c r="CD244" i="103" s="1"/>
  <c r="BD252" i="103"/>
  <c r="BD222" i="103"/>
  <c r="CD302" i="103"/>
  <c r="CF302" i="103" s="1"/>
  <c r="AM338" i="103"/>
  <c r="R338" i="58" s="1"/>
  <c r="L338" i="58" s="1"/>
  <c r="AM341" i="103"/>
  <c r="R341" i="58" s="1"/>
  <c r="L341" i="58" s="1"/>
  <c r="AM344" i="103"/>
  <c r="BY344" i="103" s="1"/>
  <c r="CA344" i="103" s="1"/>
  <c r="CD360" i="103"/>
  <c r="BD341" i="103"/>
  <c r="CD366" i="103"/>
  <c r="BD330" i="103"/>
  <c r="CD352" i="103"/>
  <c r="BD63" i="103"/>
  <c r="BD110" i="103"/>
  <c r="BD111" i="103"/>
  <c r="BD124" i="103"/>
  <c r="BB164" i="103"/>
  <c r="CD164" i="103" s="1"/>
  <c r="CF164" i="103" s="1"/>
  <c r="AM151" i="103"/>
  <c r="BB200" i="103"/>
  <c r="CD200" i="103" s="1"/>
  <c r="CF200" i="103" s="1"/>
  <c r="BD209" i="103"/>
  <c r="BB247" i="103"/>
  <c r="CD247" i="103" s="1"/>
  <c r="CF247" i="103" s="1"/>
  <c r="BD236" i="103"/>
  <c r="BD249" i="103"/>
  <c r="BD219" i="103"/>
  <c r="CD299" i="103"/>
  <c r="BE386" i="103"/>
  <c r="CD336" i="103"/>
  <c r="BD364" i="103"/>
  <c r="AM23" i="103"/>
  <c r="AM33" i="103"/>
  <c r="BD53" i="103"/>
  <c r="BB59" i="103"/>
  <c r="CD59" i="103" s="1"/>
  <c r="CF59" i="103" s="1"/>
  <c r="BD72" i="103"/>
  <c r="BD75" i="103"/>
  <c r="BD78" i="103"/>
  <c r="BD81" i="103"/>
  <c r="BD104" i="103"/>
  <c r="AM128" i="103"/>
  <c r="BD108" i="103"/>
  <c r="BB138" i="103"/>
  <c r="CD138" i="103" s="1"/>
  <c r="CF138" i="103" s="1"/>
  <c r="BB167" i="103"/>
  <c r="CD167" i="103" s="1"/>
  <c r="CF167" i="103" s="1"/>
  <c r="BB172" i="103"/>
  <c r="CD172" i="103" s="1"/>
  <c r="CF172" i="103" s="1"/>
  <c r="BB203" i="103"/>
  <c r="CD203" i="103" s="1"/>
  <c r="CF203" i="103" s="1"/>
  <c r="BD206" i="103"/>
  <c r="BO383" i="103"/>
  <c r="BB250" i="103"/>
  <c r="CD250" i="103" s="1"/>
  <c r="CF250" i="103" s="1"/>
  <c r="BD233" i="103"/>
  <c r="BD246" i="103"/>
  <c r="AZ385" i="103"/>
  <c r="CD296" i="103"/>
  <c r="AE385" i="103"/>
  <c r="BD336" i="103"/>
  <c r="CD355" i="103"/>
  <c r="BD367" i="103"/>
  <c r="P15" i="17"/>
  <c r="BB123" i="103"/>
  <c r="CD123" i="103" s="1"/>
  <c r="BD92" i="103"/>
  <c r="BD98" i="103"/>
  <c r="BB141" i="103"/>
  <c r="CD141" i="103" s="1"/>
  <c r="CF141" i="103" s="1"/>
  <c r="BD203" i="103"/>
  <c r="BD230" i="103"/>
  <c r="BL385" i="103"/>
  <c r="CD293" i="103"/>
  <c r="CF293" i="103" s="1"/>
  <c r="CD339" i="103"/>
  <c r="CF339" i="103" s="1"/>
  <c r="BD311" i="103"/>
  <c r="BD339" i="103"/>
  <c r="BD318" i="103"/>
  <c r="R15" i="62" s="1"/>
  <c r="S15" i="62" s="1"/>
  <c r="BD360" i="103"/>
  <c r="I9" i="36"/>
  <c r="I13" i="36" s="1"/>
  <c r="AM66" i="103"/>
  <c r="AM69" i="103"/>
  <c r="AM78" i="103"/>
  <c r="AM81" i="103"/>
  <c r="BB125" i="103"/>
  <c r="CD125" i="103" s="1"/>
  <c r="BB133" i="103"/>
  <c r="CD133" i="103" s="1"/>
  <c r="CF133" i="103" s="1"/>
  <c r="BD115" i="103"/>
  <c r="BB131" i="103"/>
  <c r="AZ381" i="103"/>
  <c r="BE380" i="103"/>
  <c r="BD175" i="103"/>
  <c r="BB209" i="103"/>
  <c r="CD209" i="103" s="1"/>
  <c r="AP383" i="103"/>
  <c r="BD200" i="103"/>
  <c r="CJ385" i="103"/>
  <c r="CD290" i="103"/>
  <c r="AM326" i="103"/>
  <c r="R326" i="58" s="1"/>
  <c r="L326" i="58" s="1"/>
  <c r="BD316" i="103"/>
  <c r="R13" i="62" s="1"/>
  <c r="S13" i="62" s="1"/>
  <c r="CD375" i="103"/>
  <c r="CD370" i="103"/>
  <c r="CD358" i="103"/>
  <c r="R15" i="17"/>
  <c r="AM51" i="103"/>
  <c r="BD105" i="103"/>
  <c r="BD112" i="103"/>
  <c r="BB212" i="103"/>
  <c r="CD212" i="103" s="1"/>
  <c r="BD197" i="103"/>
  <c r="AM366" i="103"/>
  <c r="R366" i="58" s="1"/>
  <c r="L366" i="58" s="1"/>
  <c r="CD342" i="103"/>
  <c r="BI387" i="103"/>
  <c r="BD345" i="103"/>
  <c r="M9" i="36"/>
  <c r="M13" i="36" s="1"/>
  <c r="AM20" i="103"/>
  <c r="AM18" i="103"/>
  <c r="AM12" i="103"/>
  <c r="AS376" i="103"/>
  <c r="BG378" i="103"/>
  <c r="BB88" i="103"/>
  <c r="CD88" i="103" s="1"/>
  <c r="CF88" i="103" s="1"/>
  <c r="BD121" i="103"/>
  <c r="AP381" i="103"/>
  <c r="AM240" i="103"/>
  <c r="AM243" i="103"/>
  <c r="AM246" i="103"/>
  <c r="AM297" i="103"/>
  <c r="R297" i="58" s="1"/>
  <c r="L297" i="58" s="1"/>
  <c r="CD288" i="103"/>
  <c r="CF288" i="103" s="1"/>
  <c r="AU386" i="103"/>
  <c r="CD328" i="103"/>
  <c r="CD320" i="103"/>
  <c r="CF320" i="103" s="1"/>
  <c r="CD372" i="103"/>
  <c r="CF372" i="103" s="1"/>
  <c r="S376" i="58"/>
  <c r="BG376" i="103"/>
  <c r="BG377" i="103"/>
  <c r="BB97" i="103"/>
  <c r="CD97" i="103" s="1"/>
  <c r="BB86" i="103"/>
  <c r="CD86" i="103" s="1"/>
  <c r="BB89" i="103"/>
  <c r="CD89" i="103" s="1"/>
  <c r="BX89" i="103" s="1"/>
  <c r="BB119" i="103"/>
  <c r="CD119" i="103" s="1"/>
  <c r="CF119" i="103" s="1"/>
  <c r="BD123" i="103"/>
  <c r="BD118" i="103"/>
  <c r="AM260" i="103"/>
  <c r="AM294" i="103"/>
  <c r="R294" i="58" s="1"/>
  <c r="L294" i="58" s="1"/>
  <c r="CD285" i="103"/>
  <c r="BX285" i="103" s="1"/>
  <c r="CD292" i="103"/>
  <c r="CF292" i="103" s="1"/>
  <c r="CD332" i="103"/>
  <c r="AM316" i="103"/>
  <c r="R316" i="58" s="1"/>
  <c r="L316" i="58" s="1"/>
  <c r="CD321" i="103"/>
  <c r="CD323" i="103"/>
  <c r="H9" i="36"/>
  <c r="H13" i="36" s="1"/>
  <c r="G9" i="36"/>
  <c r="G13" i="36" s="1"/>
  <c r="AM60" i="103"/>
  <c r="AM63" i="103"/>
  <c r="BB95" i="103"/>
  <c r="CD95" i="103" s="1"/>
  <c r="BB98" i="103"/>
  <c r="CD98" i="103" s="1"/>
  <c r="CF98" i="103" s="1"/>
  <c r="BK379" i="103"/>
  <c r="BB147" i="103"/>
  <c r="CD147" i="103" s="1"/>
  <c r="CF147" i="103" s="1"/>
  <c r="AM172" i="103"/>
  <c r="AM200" i="103"/>
  <c r="AM203" i="103"/>
  <c r="AM291" i="103"/>
  <c r="R291" i="58" s="1"/>
  <c r="L291" i="58" s="1"/>
  <c r="CD289" i="103"/>
  <c r="CF289" i="103" s="1"/>
  <c r="CD335" i="103"/>
  <c r="CF335" i="103" s="1"/>
  <c r="CD326" i="103"/>
  <c r="S389" i="58"/>
  <c r="V380" i="103"/>
  <c r="BB179" i="103"/>
  <c r="CD179" i="103" s="1"/>
  <c r="BB182" i="103"/>
  <c r="CD182" i="103" s="1"/>
  <c r="BB185" i="103"/>
  <c r="CD185" i="103" s="1"/>
  <c r="CF185" i="103" s="1"/>
  <c r="BB188" i="103"/>
  <c r="CD188" i="103" s="1"/>
  <c r="CF188" i="103" s="1"/>
  <c r="BB194" i="103"/>
  <c r="CD194" i="103" s="1"/>
  <c r="CF194" i="103" s="1"/>
  <c r="AM288" i="103"/>
  <c r="R288" i="58" s="1"/>
  <c r="L288" i="58" s="1"/>
  <c r="CD286" i="103"/>
  <c r="CF286" i="103" s="1"/>
  <c r="CD338" i="103"/>
  <c r="CD329" i="103"/>
  <c r="CF329" i="103" s="1"/>
  <c r="CD324" i="103"/>
  <c r="CD374" i="103"/>
  <c r="Q9" i="36"/>
  <c r="Q13" i="36" s="1"/>
  <c r="L9" i="36"/>
  <c r="L13" i="36" s="1"/>
  <c r="BD19" i="103"/>
  <c r="BQ376" i="103"/>
  <c r="BB63" i="103"/>
  <c r="CD63" i="103" s="1"/>
  <c r="AM83" i="103"/>
  <c r="AM98" i="103"/>
  <c r="AX379" i="103"/>
  <c r="AM111" i="103"/>
  <c r="AM114" i="103"/>
  <c r="AM117" i="103"/>
  <c r="AM120" i="103"/>
  <c r="BB114" i="103"/>
  <c r="CD114" i="103" s="1"/>
  <c r="CF114" i="103" s="1"/>
  <c r="BB117" i="103"/>
  <c r="CD117" i="103" s="1"/>
  <c r="BB120" i="103"/>
  <c r="CD120" i="103" s="1"/>
  <c r="AM106" i="103"/>
  <c r="BB171" i="103"/>
  <c r="CD171" i="103" s="1"/>
  <c r="BX171" i="103" s="1"/>
  <c r="AM209" i="103"/>
  <c r="AM208" i="103"/>
  <c r="AM211" i="103"/>
  <c r="BB242" i="103"/>
  <c r="CD242" i="103" s="1"/>
  <c r="AM245" i="103"/>
  <c r="AM230" i="103"/>
  <c r="AM239" i="103"/>
  <c r="AM285" i="103"/>
  <c r="R285" i="58" s="1"/>
  <c r="L285" i="58" s="1"/>
  <c r="CD363" i="103"/>
  <c r="BE376" i="103"/>
  <c r="BB54" i="103"/>
  <c r="CD54" i="103" s="1"/>
  <c r="BB57" i="103"/>
  <c r="CD57" i="103" s="1"/>
  <c r="BB60" i="103"/>
  <c r="CD60" i="103" s="1"/>
  <c r="AW378" i="103"/>
  <c r="AM101" i="103"/>
  <c r="AM123" i="103"/>
  <c r="BB108" i="103"/>
  <c r="CD108" i="103" s="1"/>
  <c r="BB126" i="103"/>
  <c r="CD126" i="103" s="1"/>
  <c r="BB92" i="103"/>
  <c r="CD92" i="103" s="1"/>
  <c r="BD127" i="103"/>
  <c r="BL381" i="103"/>
  <c r="BD168" i="103"/>
  <c r="AM199" i="103"/>
  <c r="BB181" i="103"/>
  <c r="CD181" i="103" s="1"/>
  <c r="BX181" i="103" s="1"/>
  <c r="AM214" i="103"/>
  <c r="BB228" i="103"/>
  <c r="CD228" i="103" s="1"/>
  <c r="CF228" i="103" s="1"/>
  <c r="BB246" i="103"/>
  <c r="CD246" i="103" s="1"/>
  <c r="BB253" i="103"/>
  <c r="CD253" i="103" s="1"/>
  <c r="AM264" i="103"/>
  <c r="AM267" i="103"/>
  <c r="AM270" i="103"/>
  <c r="AM273" i="103"/>
  <c r="CD344" i="103"/>
  <c r="CD327" i="103"/>
  <c r="CF327" i="103" s="1"/>
  <c r="K9" i="36"/>
  <c r="K13" i="36" s="1"/>
  <c r="BB65" i="103"/>
  <c r="CD65" i="103" s="1"/>
  <c r="BB68" i="103"/>
  <c r="CD68" i="103" s="1"/>
  <c r="CF68" i="103" s="1"/>
  <c r="BB91" i="103"/>
  <c r="CD91" i="103" s="1"/>
  <c r="BX91" i="103" s="1"/>
  <c r="BB199" i="103"/>
  <c r="CD199" i="103" s="1"/>
  <c r="CF199" i="103" s="1"/>
  <c r="AM261" i="103"/>
  <c r="CD349" i="103"/>
  <c r="CF349" i="103" s="1"/>
  <c r="AM28" i="103"/>
  <c r="AM25" i="103"/>
  <c r="BB71" i="103"/>
  <c r="CD71" i="103" s="1"/>
  <c r="AM103" i="103"/>
  <c r="BB146" i="103"/>
  <c r="CD146" i="103" s="1"/>
  <c r="BB160" i="103"/>
  <c r="CD160" i="103" s="1"/>
  <c r="CF160" i="103" s="1"/>
  <c r="BD150" i="103"/>
  <c r="BD153" i="103"/>
  <c r="BB151" i="103"/>
  <c r="CD151" i="103" s="1"/>
  <c r="BB169" i="103"/>
  <c r="CD169" i="103" s="1"/>
  <c r="CF169" i="103" s="1"/>
  <c r="CD303" i="103"/>
  <c r="AM265" i="103"/>
  <c r="AM268" i="103"/>
  <c r="AM271" i="103"/>
  <c r="AM283" i="103"/>
  <c r="AM266" i="103"/>
  <c r="AM269" i="103"/>
  <c r="AM275" i="103"/>
  <c r="AM278" i="103"/>
  <c r="CD351" i="103"/>
  <c r="P9" i="36"/>
  <c r="P13" i="36" s="1"/>
  <c r="I376" i="103"/>
  <c r="V377" i="103"/>
  <c r="BB77" i="103"/>
  <c r="CD77" i="103" s="1"/>
  <c r="CF77" i="103" s="1"/>
  <c r="BB165" i="103"/>
  <c r="CD165" i="103" s="1"/>
  <c r="BX165" i="103" s="1"/>
  <c r="BD169" i="103"/>
  <c r="BB174" i="103"/>
  <c r="CD174" i="103" s="1"/>
  <c r="BB177" i="103"/>
  <c r="CD177" i="103" s="1"/>
  <c r="CF177" i="103" s="1"/>
  <c r="BB180" i="103"/>
  <c r="CD180" i="103" s="1"/>
  <c r="CF180" i="103" s="1"/>
  <c r="BB183" i="103"/>
  <c r="CD183" i="103" s="1"/>
  <c r="CF183" i="103" s="1"/>
  <c r="BB186" i="103"/>
  <c r="CD186" i="103" s="1"/>
  <c r="BB189" i="103"/>
  <c r="CD189" i="103" s="1"/>
  <c r="BB192" i="103"/>
  <c r="CD192" i="103" s="1"/>
  <c r="BB195" i="103"/>
  <c r="CD195" i="103" s="1"/>
  <c r="AM259" i="103"/>
  <c r="CD300" i="103"/>
  <c r="AM263" i="103"/>
  <c r="G36" i="37"/>
  <c r="G10" i="37"/>
  <c r="BB206" i="103"/>
  <c r="CD206" i="103" s="1"/>
  <c r="BB191" i="103"/>
  <c r="CD191" i="103" s="1"/>
  <c r="CD297" i="103"/>
  <c r="AM272" i="103"/>
  <c r="AM308" i="103"/>
  <c r="R308" i="58" s="1"/>
  <c r="L308" i="58" s="1"/>
  <c r="CD304" i="103"/>
  <c r="AS387" i="103"/>
  <c r="V377" i="58"/>
  <c r="AT377" i="103"/>
  <c r="AM84" i="103"/>
  <c r="BD73" i="103"/>
  <c r="AM99" i="103"/>
  <c r="AY380" i="103"/>
  <c r="BD151" i="103"/>
  <c r="BD154" i="103"/>
  <c r="BD163" i="103"/>
  <c r="AM227" i="103"/>
  <c r="AM303" i="103"/>
  <c r="R303" i="58" s="1"/>
  <c r="L303" i="58" s="1"/>
  <c r="CD294" i="103"/>
  <c r="CF294" i="103" s="1"/>
  <c r="CD301" i="103"/>
  <c r="AM323" i="103"/>
  <c r="R323" i="58" s="1"/>
  <c r="L323" i="58" s="1"/>
  <c r="F9" i="36"/>
  <c r="E15" i="37" s="1"/>
  <c r="E14" i="37" s="1"/>
  <c r="AM30" i="103"/>
  <c r="BB132" i="103"/>
  <c r="CD132" i="103" s="1"/>
  <c r="AM135" i="103"/>
  <c r="AM138" i="103"/>
  <c r="AM141" i="103"/>
  <c r="AM153" i="103"/>
  <c r="AM156" i="103"/>
  <c r="BN384" i="103"/>
  <c r="AM300" i="103"/>
  <c r="R300" i="58" s="1"/>
  <c r="L300" i="58" s="1"/>
  <c r="CD291" i="103"/>
  <c r="CF291" i="103" s="1"/>
  <c r="CD317" i="103"/>
  <c r="CD318" i="103"/>
  <c r="CD369" i="103"/>
  <c r="G37" i="37"/>
  <c r="G9" i="37"/>
  <c r="CG28" i="103"/>
  <c r="CH28" i="103" s="1"/>
  <c r="BB28" i="103"/>
  <c r="CG25" i="103"/>
  <c r="CH25" i="103" s="1"/>
  <c r="BB25" i="103"/>
  <c r="P36" i="37"/>
  <c r="P10" i="37"/>
  <c r="AG97" i="22"/>
  <c r="BZ96" i="103"/>
  <c r="CB96" i="103" s="1"/>
  <c r="L98" i="67" s="1"/>
  <c r="O36" i="37"/>
  <c r="O10" i="37"/>
  <c r="N36" i="37"/>
  <c r="N10" i="37"/>
  <c r="K14" i="37"/>
  <c r="CG39" i="103"/>
  <c r="CH39" i="103" s="1"/>
  <c r="BB39" i="103"/>
  <c r="CG42" i="103"/>
  <c r="CI42" i="103" s="1"/>
  <c r="BB42" i="103"/>
  <c r="CG45" i="103"/>
  <c r="CH45" i="103" s="1"/>
  <c r="BB45" i="103"/>
  <c r="AM77" i="103"/>
  <c r="AM80" i="103"/>
  <c r="AG95" i="22"/>
  <c r="BZ94" i="103"/>
  <c r="CB94" i="103" s="1"/>
  <c r="L96" i="67" s="1"/>
  <c r="AG98" i="22"/>
  <c r="BZ97" i="103"/>
  <c r="CB97" i="103" s="1"/>
  <c r="L99" i="67" s="1"/>
  <c r="AG101" i="22"/>
  <c r="BZ100" i="103"/>
  <c r="CB100" i="103" s="1"/>
  <c r="L102" i="67" s="1"/>
  <c r="P37" i="37"/>
  <c r="P9" i="37"/>
  <c r="O37" i="37"/>
  <c r="O9" i="37"/>
  <c r="G14" i="37"/>
  <c r="F14" i="37"/>
  <c r="N37" i="37"/>
  <c r="N9" i="37"/>
  <c r="J14" i="37"/>
  <c r="AG40" i="22"/>
  <c r="BZ39" i="103"/>
  <c r="CB39" i="103" s="1"/>
  <c r="L39" i="67" s="1"/>
  <c r="CG90" i="103"/>
  <c r="CH90" i="103" s="1"/>
  <c r="BB90" i="103"/>
  <c r="CG93" i="103"/>
  <c r="CH93" i="103" s="1"/>
  <c r="BB93" i="103"/>
  <c r="M36" i="37"/>
  <c r="M10" i="37"/>
  <c r="I14" i="37"/>
  <c r="AM96" i="103"/>
  <c r="AM94" i="103"/>
  <c r="CG36" i="103"/>
  <c r="CH36" i="103" s="1"/>
  <c r="BB36" i="103"/>
  <c r="AG46" i="22"/>
  <c r="BZ45" i="103"/>
  <c r="CB45" i="103" s="1"/>
  <c r="L46" i="67" s="1"/>
  <c r="CG55" i="103"/>
  <c r="CI55" i="103" s="1"/>
  <c r="BB55" i="103"/>
  <c r="CG58" i="103"/>
  <c r="CH58" i="103" s="1"/>
  <c r="BB58" i="103"/>
  <c r="CG61" i="103"/>
  <c r="CH61" i="103" s="1"/>
  <c r="BB61" i="103"/>
  <c r="CG64" i="103"/>
  <c r="CI64" i="103" s="1"/>
  <c r="BB64" i="103"/>
  <c r="CG49" i="103"/>
  <c r="CH49" i="103" s="1"/>
  <c r="BB49" i="103"/>
  <c r="CG52" i="103"/>
  <c r="CH52" i="103" s="1"/>
  <c r="BB52" i="103"/>
  <c r="L36" i="37"/>
  <c r="L10" i="37"/>
  <c r="AG33" i="22"/>
  <c r="BZ32" i="103"/>
  <c r="CB32" i="103" s="1"/>
  <c r="L32" i="67" s="1"/>
  <c r="AG30" i="22"/>
  <c r="BZ29" i="103"/>
  <c r="CB29" i="103" s="1"/>
  <c r="L29" i="67" s="1"/>
  <c r="AG27" i="22"/>
  <c r="BZ26" i="103"/>
  <c r="CB26" i="103" s="1"/>
  <c r="L26" i="67" s="1"/>
  <c r="AG24" i="22"/>
  <c r="BZ23" i="103"/>
  <c r="CB23" i="103" s="1"/>
  <c r="L23" i="67" s="1"/>
  <c r="CG48" i="103"/>
  <c r="CH48" i="103" s="1"/>
  <c r="BB48" i="103"/>
  <c r="CG51" i="103"/>
  <c r="CH51" i="103" s="1"/>
  <c r="BB51" i="103"/>
  <c r="AG104" i="22"/>
  <c r="BZ103" i="103"/>
  <c r="CB103" i="103" s="1"/>
  <c r="L106" i="67" s="1"/>
  <c r="K36" i="37"/>
  <c r="K10" i="37"/>
  <c r="AG36" i="22"/>
  <c r="BZ35" i="103"/>
  <c r="CB35" i="103" s="1"/>
  <c r="L35" i="67" s="1"/>
  <c r="CG84" i="103"/>
  <c r="CH84" i="103" s="1"/>
  <c r="BB84" i="103"/>
  <c r="M37" i="37"/>
  <c r="M9" i="37"/>
  <c r="AG12" i="22"/>
  <c r="BZ11" i="103"/>
  <c r="CB11" i="103" s="1"/>
  <c r="AM11" i="103"/>
  <c r="AG43" i="22"/>
  <c r="BZ42" i="103"/>
  <c r="CB42" i="103" s="1"/>
  <c r="AG68" i="22"/>
  <c r="BZ67" i="103"/>
  <c r="CB67" i="103" s="1"/>
  <c r="L68" i="67" s="1"/>
  <c r="AG69" i="22"/>
  <c r="BZ68" i="103"/>
  <c r="CB68" i="103" s="1"/>
  <c r="L69" i="67" s="1"/>
  <c r="AG72" i="22"/>
  <c r="BZ71" i="103"/>
  <c r="CB71" i="103" s="1"/>
  <c r="L73" i="67" s="1"/>
  <c r="AG75" i="22"/>
  <c r="BZ74" i="103"/>
  <c r="CB74" i="103" s="1"/>
  <c r="L76" i="67" s="1"/>
  <c r="AG78" i="22"/>
  <c r="BZ77" i="103"/>
  <c r="CC77" i="103" s="1"/>
  <c r="AG81" i="22"/>
  <c r="BZ80" i="103"/>
  <c r="CB80" i="103" s="1"/>
  <c r="L82" i="67" s="1"/>
  <c r="L37" i="37"/>
  <c r="L9" i="37"/>
  <c r="K37" i="37"/>
  <c r="K9" i="37"/>
  <c r="J36" i="37"/>
  <c r="J10" i="37"/>
  <c r="J37" i="37"/>
  <c r="J9" i="37"/>
  <c r="I36" i="37"/>
  <c r="I10" i="37"/>
  <c r="CG23" i="103"/>
  <c r="CH23" i="103" s="1"/>
  <c r="BB23" i="103"/>
  <c r="CG20" i="103"/>
  <c r="CH20" i="103" s="1"/>
  <c r="BB20" i="103"/>
  <c r="AG71" i="22"/>
  <c r="BZ70" i="103"/>
  <c r="CB70" i="103" s="1"/>
  <c r="AG74" i="22"/>
  <c r="BZ73" i="103"/>
  <c r="CC73" i="103" s="1"/>
  <c r="F37" i="37"/>
  <c r="F9" i="37"/>
  <c r="E37" i="37"/>
  <c r="E9" i="37"/>
  <c r="I37" i="37"/>
  <c r="I9" i="37"/>
  <c r="H36" i="37"/>
  <c r="H10" i="37"/>
  <c r="CG17" i="103"/>
  <c r="CH17" i="103" s="1"/>
  <c r="BB17" i="103"/>
  <c r="CG14" i="103"/>
  <c r="CH14" i="103" s="1"/>
  <c r="BB14" i="103"/>
  <c r="CG11" i="103"/>
  <c r="CH11" i="103" s="1"/>
  <c r="BB11" i="103"/>
  <c r="AG77" i="22"/>
  <c r="BZ76" i="103"/>
  <c r="CB76" i="103" s="1"/>
  <c r="L78" i="67" s="1"/>
  <c r="H37" i="37"/>
  <c r="H9" i="37"/>
  <c r="CG16" i="103"/>
  <c r="CH16" i="103" s="1"/>
  <c r="BB16" i="103"/>
  <c r="CG13" i="103"/>
  <c r="CH13" i="103" s="1"/>
  <c r="BB13" i="103"/>
  <c r="CG22" i="103"/>
  <c r="CH22" i="103" s="1"/>
  <c r="BB22" i="103"/>
  <c r="AG60" i="22"/>
  <c r="BZ59" i="103"/>
  <c r="CB59" i="103" s="1"/>
  <c r="L60" i="67" s="1"/>
  <c r="AG63" i="22"/>
  <c r="BZ62" i="103"/>
  <c r="CB62" i="103" s="1"/>
  <c r="L63" i="67" s="1"/>
  <c r="U379" i="58"/>
  <c r="N101" i="58"/>
  <c r="U378" i="58"/>
  <c r="N70" i="58"/>
  <c r="X376" i="58"/>
  <c r="E28" i="67"/>
  <c r="Q29" i="22"/>
  <c r="E34" i="58"/>
  <c r="Y34" i="58" s="1"/>
  <c r="I35" i="22"/>
  <c r="R34" i="103"/>
  <c r="E31" i="58"/>
  <c r="Y31" i="58" s="1"/>
  <c r="I32" i="22"/>
  <c r="R31" i="103"/>
  <c r="E28" i="58"/>
  <c r="Y28" i="58" s="1"/>
  <c r="I29" i="22"/>
  <c r="R28" i="103"/>
  <c r="E25" i="58"/>
  <c r="Y25" i="58" s="1"/>
  <c r="I26" i="22"/>
  <c r="R25" i="103"/>
  <c r="E22" i="58"/>
  <c r="Y22" i="58" s="1"/>
  <c r="I23" i="22"/>
  <c r="R22" i="103"/>
  <c r="O35" i="58"/>
  <c r="C35" i="67"/>
  <c r="Y36" i="22"/>
  <c r="F27" i="58"/>
  <c r="K28" i="22"/>
  <c r="L28" i="22" s="1"/>
  <c r="U27" i="103"/>
  <c r="K24" i="67"/>
  <c r="S25" i="22"/>
  <c r="CG15" i="103"/>
  <c r="CH15" i="103" s="1"/>
  <c r="E44" i="22"/>
  <c r="H43" i="103"/>
  <c r="P23" i="58"/>
  <c r="H23" i="67"/>
  <c r="W24" i="22"/>
  <c r="H35" i="22"/>
  <c r="O34" i="103"/>
  <c r="AI29" i="22"/>
  <c r="Q20" i="58"/>
  <c r="N20" i="67"/>
  <c r="U21" i="22"/>
  <c r="BD33" i="103"/>
  <c r="BD30" i="103"/>
  <c r="BD27" i="103"/>
  <c r="BD24" i="103"/>
  <c r="BD21" i="103"/>
  <c r="O13" i="58"/>
  <c r="C13" i="67"/>
  <c r="Y14" i="22"/>
  <c r="F35" i="58"/>
  <c r="K36" i="22"/>
  <c r="L36" i="22" s="1"/>
  <c r="U35" i="103"/>
  <c r="K32" i="67"/>
  <c r="S33" i="22"/>
  <c r="D24" i="58"/>
  <c r="F25" i="22"/>
  <c r="AG22" i="22"/>
  <c r="BZ21" i="103"/>
  <c r="CB21" i="103" s="1"/>
  <c r="L21" i="67" s="1"/>
  <c r="E36" i="22"/>
  <c r="H35" i="103"/>
  <c r="AI19" i="22"/>
  <c r="Q34" i="58"/>
  <c r="N34" i="67"/>
  <c r="U35" i="22"/>
  <c r="E23" i="67"/>
  <c r="Q24" i="22"/>
  <c r="BD17" i="103"/>
  <c r="BD14" i="103"/>
  <c r="E11" i="58"/>
  <c r="I12" i="22"/>
  <c r="Q376" i="103"/>
  <c r="R11" i="103"/>
  <c r="D17" i="58"/>
  <c r="F18" i="22"/>
  <c r="AG15" i="22"/>
  <c r="BZ14" i="103"/>
  <c r="CB14" i="103" s="1"/>
  <c r="L14" i="67" s="1"/>
  <c r="AZ376" i="103"/>
  <c r="O30" i="58"/>
  <c r="C30" i="67"/>
  <c r="Y31" i="22"/>
  <c r="F22" i="58"/>
  <c r="K23" i="22"/>
  <c r="L23" i="22" s="1"/>
  <c r="U22" i="103"/>
  <c r="AI18" i="22"/>
  <c r="AI39" i="22"/>
  <c r="H45" i="22"/>
  <c r="O44" i="103"/>
  <c r="CG46" i="103"/>
  <c r="CH46" i="103" s="1"/>
  <c r="D50" i="58"/>
  <c r="F51" i="22"/>
  <c r="P67" i="58"/>
  <c r="H68" i="67"/>
  <c r="W68" i="22"/>
  <c r="CG80" i="103"/>
  <c r="CH80" i="103" s="1"/>
  <c r="E54" i="67"/>
  <c r="Q54" i="22"/>
  <c r="Q64" i="58"/>
  <c r="N65" i="67"/>
  <c r="U65" i="22"/>
  <c r="AG73" i="22"/>
  <c r="BZ72" i="103"/>
  <c r="CB72" i="103" s="1"/>
  <c r="L74" i="67" s="1"/>
  <c r="D75" i="58"/>
  <c r="F76" i="22"/>
  <c r="D87" i="67"/>
  <c r="M87" i="67"/>
  <c r="AA86" i="22"/>
  <c r="D38" i="58"/>
  <c r="F39" i="22"/>
  <c r="Q49" i="58"/>
  <c r="N50" i="67"/>
  <c r="U50" i="22"/>
  <c r="E66" i="58"/>
  <c r="Y66" i="58" s="1"/>
  <c r="I67" i="22"/>
  <c r="R66" i="103"/>
  <c r="C43" i="58"/>
  <c r="C44" i="22"/>
  <c r="D54" i="58"/>
  <c r="F55" i="22"/>
  <c r="K63" i="67"/>
  <c r="S63" i="22"/>
  <c r="C65" i="58"/>
  <c r="C66" i="22"/>
  <c r="C65" i="103"/>
  <c r="B61" i="13" s="1"/>
  <c r="AI68" i="22"/>
  <c r="AX378" i="103"/>
  <c r="H74" i="22"/>
  <c r="O73" i="103"/>
  <c r="AI40" i="22"/>
  <c r="AX377" i="103"/>
  <c r="H46" i="22"/>
  <c r="O45" i="103"/>
  <c r="CG47" i="103"/>
  <c r="CH47" i="103" s="1"/>
  <c r="K51" i="67"/>
  <c r="S51" i="22"/>
  <c r="C56" i="58"/>
  <c r="C57" i="22"/>
  <c r="CG66" i="103"/>
  <c r="CI66" i="103" s="1"/>
  <c r="E79" i="22"/>
  <c r="H78" i="103"/>
  <c r="K48" i="67"/>
  <c r="S48" i="22"/>
  <c r="AI59" i="22"/>
  <c r="H65" i="22"/>
  <c r="O64" i="103"/>
  <c r="D67" i="58"/>
  <c r="F68" i="22"/>
  <c r="K77" i="67"/>
  <c r="S76" i="22"/>
  <c r="F78" i="58"/>
  <c r="K79" i="22"/>
  <c r="L79" i="22" s="1"/>
  <c r="U78" i="103"/>
  <c r="E90" i="58"/>
  <c r="Y90" i="58" s="1"/>
  <c r="I91" i="22"/>
  <c r="R90" i="103"/>
  <c r="K41" i="67"/>
  <c r="S42" i="22"/>
  <c r="F44" i="58"/>
  <c r="K45" i="22"/>
  <c r="L45" i="22" s="1"/>
  <c r="U44" i="103"/>
  <c r="H50" i="22"/>
  <c r="O49" i="103"/>
  <c r="E64" i="22"/>
  <c r="H63" i="103"/>
  <c r="D76" i="67"/>
  <c r="M76" i="67"/>
  <c r="AA75" i="22"/>
  <c r="D37" i="67"/>
  <c r="AA38" i="22"/>
  <c r="D40" i="67"/>
  <c r="AA41" i="22"/>
  <c r="D44" i="67"/>
  <c r="M44" i="67"/>
  <c r="AA44" i="22"/>
  <c r="K58" i="67"/>
  <c r="S58" i="22"/>
  <c r="F60" i="58"/>
  <c r="K61" i="22"/>
  <c r="L61" i="22" s="1"/>
  <c r="U60" i="103"/>
  <c r="H72" i="22"/>
  <c r="O71" i="103"/>
  <c r="Q44" i="58"/>
  <c r="N45" i="67"/>
  <c r="U45" i="22"/>
  <c r="P69" i="58"/>
  <c r="H70" i="67"/>
  <c r="W70" i="22"/>
  <c r="E84" i="58"/>
  <c r="Y84" i="58" s="1"/>
  <c r="I85" i="22"/>
  <c r="R84" i="103"/>
  <c r="E43" i="22"/>
  <c r="G377" i="103"/>
  <c r="H42" i="103"/>
  <c r="D51" i="67"/>
  <c r="M51" i="67"/>
  <c r="AA51" i="22"/>
  <c r="E62" i="67"/>
  <c r="Q62" i="22"/>
  <c r="F67" i="58"/>
  <c r="K68" i="22"/>
  <c r="L68" i="22" s="1"/>
  <c r="U67" i="103"/>
  <c r="O75" i="58"/>
  <c r="C77" i="67"/>
  <c r="Y76" i="22"/>
  <c r="H89" i="22"/>
  <c r="O88" i="103"/>
  <c r="BD46" i="103"/>
  <c r="E50" i="67"/>
  <c r="Q50" i="22"/>
  <c r="E56" i="22"/>
  <c r="H55" i="103"/>
  <c r="E68" i="58"/>
  <c r="Y68" i="58" s="1"/>
  <c r="I69" i="22"/>
  <c r="R68" i="103"/>
  <c r="D62" i="58"/>
  <c r="F63" i="22"/>
  <c r="BF378" i="103"/>
  <c r="Q76" i="58"/>
  <c r="N78" i="67"/>
  <c r="U77" i="22"/>
  <c r="BD85" i="103"/>
  <c r="E93" i="67"/>
  <c r="Q92" i="22"/>
  <c r="P105" i="58"/>
  <c r="H108" i="67"/>
  <c r="W106" i="22"/>
  <c r="E98" i="22"/>
  <c r="H97" i="103"/>
  <c r="O105" i="58"/>
  <c r="C108" i="67"/>
  <c r="Y106" i="22"/>
  <c r="AI109" i="22"/>
  <c r="H115" i="22"/>
  <c r="O114" i="103"/>
  <c r="E128" i="67"/>
  <c r="Q126" i="22"/>
  <c r="K96" i="67"/>
  <c r="S95" i="22"/>
  <c r="F97" i="58"/>
  <c r="K98" i="22"/>
  <c r="L98" i="22" s="1"/>
  <c r="U97" i="103"/>
  <c r="CG116" i="103"/>
  <c r="CH116" i="103" s="1"/>
  <c r="F145" i="58"/>
  <c r="K146" i="22"/>
  <c r="L146" i="22" s="1"/>
  <c r="U145" i="103"/>
  <c r="O84" i="58"/>
  <c r="C86" i="67"/>
  <c r="Y85" i="22"/>
  <c r="M95" i="67"/>
  <c r="D95" i="67"/>
  <c r="AA94" i="22"/>
  <c r="E101" i="58"/>
  <c r="I102" i="22"/>
  <c r="Q379" i="103"/>
  <c r="R101" i="103"/>
  <c r="E107" i="67"/>
  <c r="Q105" i="22"/>
  <c r="O109" i="58"/>
  <c r="C112" i="67"/>
  <c r="Y110" i="22"/>
  <c r="AG124" i="22"/>
  <c r="BZ123" i="103"/>
  <c r="CB123" i="103" s="1"/>
  <c r="L126" i="67" s="1"/>
  <c r="D126" i="58"/>
  <c r="F127" i="22"/>
  <c r="D149" i="58"/>
  <c r="F150" i="22"/>
  <c r="H88" i="22"/>
  <c r="O87" i="103"/>
  <c r="E100" i="67"/>
  <c r="Q99" i="22"/>
  <c r="E105" i="22"/>
  <c r="H104" i="103"/>
  <c r="C110" i="58"/>
  <c r="C111" i="22"/>
  <c r="C113" i="58"/>
  <c r="C114" i="22"/>
  <c r="C116" i="58"/>
  <c r="C117" i="22"/>
  <c r="C119" i="58"/>
  <c r="C120" i="22"/>
  <c r="C122" i="58"/>
  <c r="C123" i="22"/>
  <c r="C125" i="58"/>
  <c r="C126" i="22"/>
  <c r="CG92" i="103"/>
  <c r="CH92" i="103" s="1"/>
  <c r="S379" i="103"/>
  <c r="O106" i="58"/>
  <c r="C109" i="67"/>
  <c r="Y107" i="22"/>
  <c r="H110" i="22"/>
  <c r="O109" i="103"/>
  <c r="E123" i="67"/>
  <c r="Q121" i="22"/>
  <c r="D130" i="58"/>
  <c r="F131" i="22"/>
  <c r="P85" i="58"/>
  <c r="H87" i="67"/>
  <c r="W86" i="22"/>
  <c r="D99" i="58"/>
  <c r="F100" i="22"/>
  <c r="AM102" i="22"/>
  <c r="BP379" i="103"/>
  <c r="AN113" i="103"/>
  <c r="P119" i="58"/>
  <c r="H122" i="67"/>
  <c r="W120" i="22"/>
  <c r="O113" i="58"/>
  <c r="C116" i="67"/>
  <c r="Y114" i="22"/>
  <c r="AI101" i="22"/>
  <c r="E109" i="58"/>
  <c r="Y109" i="58" s="1"/>
  <c r="I110" i="22"/>
  <c r="R109" i="103"/>
  <c r="E112" i="58"/>
  <c r="Y112" i="58" s="1"/>
  <c r="I113" i="22"/>
  <c r="R112" i="103"/>
  <c r="E115" i="58"/>
  <c r="Y115" i="58" s="1"/>
  <c r="I116" i="22"/>
  <c r="R115" i="103"/>
  <c r="E118" i="58"/>
  <c r="Y118" i="58" s="1"/>
  <c r="I119" i="22"/>
  <c r="R118" i="103"/>
  <c r="E121" i="58"/>
  <c r="Y121" i="58" s="1"/>
  <c r="I122" i="22"/>
  <c r="R121" i="103"/>
  <c r="E124" i="58"/>
  <c r="Y124" i="58" s="1"/>
  <c r="I125" i="22"/>
  <c r="R124" i="103"/>
  <c r="AG144" i="22"/>
  <c r="BZ143" i="103"/>
  <c r="CB143" i="103" s="1"/>
  <c r="L147" i="67" s="1"/>
  <c r="AM140" i="103"/>
  <c r="AG179" i="22"/>
  <c r="BZ178" i="103"/>
  <c r="CB178" i="103" s="1"/>
  <c r="L183" i="67" s="1"/>
  <c r="AM178" i="103"/>
  <c r="AG199" i="22"/>
  <c r="BZ198" i="103"/>
  <c r="CB198" i="103" s="1"/>
  <c r="L204" i="67" s="1"/>
  <c r="AG175" i="22"/>
  <c r="BZ174" i="103"/>
  <c r="CB174" i="103" s="1"/>
  <c r="L179" i="67" s="1"/>
  <c r="BZ321" i="103"/>
  <c r="CC321" i="103" s="1"/>
  <c r="BZ364" i="103"/>
  <c r="CB364" i="103" s="1"/>
  <c r="T390" i="58"/>
  <c r="T377" i="58"/>
  <c r="X42" i="58"/>
  <c r="X377" i="58" s="1"/>
  <c r="T394" i="58"/>
  <c r="T381" i="58"/>
  <c r="X162" i="58"/>
  <c r="X381" i="58" s="1"/>
  <c r="V382" i="58"/>
  <c r="V385" i="58"/>
  <c r="E25" i="67"/>
  <c r="Q26" i="22"/>
  <c r="AG20" i="22"/>
  <c r="BZ19" i="103"/>
  <c r="CB19" i="103" s="1"/>
  <c r="L19" i="67" s="1"/>
  <c r="O32" i="58"/>
  <c r="C32" i="67"/>
  <c r="Y33" i="22"/>
  <c r="F24" i="58"/>
  <c r="K25" i="22"/>
  <c r="L25" i="22" s="1"/>
  <c r="U24" i="103"/>
  <c r="K21" i="67"/>
  <c r="S22" i="22"/>
  <c r="CG12" i="103"/>
  <c r="CH12" i="103" s="1"/>
  <c r="CG33" i="103"/>
  <c r="CH33" i="103" s="1"/>
  <c r="P20" i="58"/>
  <c r="H20" i="67"/>
  <c r="W21" i="22"/>
  <c r="Q17" i="58"/>
  <c r="N17" i="67"/>
  <c r="U18" i="22"/>
  <c r="BR376" i="103"/>
  <c r="H32" i="22"/>
  <c r="O31" i="103"/>
  <c r="AI26" i="22"/>
  <c r="C17" i="58"/>
  <c r="C18" i="22"/>
  <c r="C14" i="58"/>
  <c r="C15" i="22"/>
  <c r="E33" i="58"/>
  <c r="Y33" i="58" s="1"/>
  <c r="I34" i="22"/>
  <c r="R33" i="103"/>
  <c r="E30" i="58"/>
  <c r="Y30" i="58" s="1"/>
  <c r="I31" i="22"/>
  <c r="R30" i="103"/>
  <c r="E27" i="58"/>
  <c r="Y27" i="58" s="1"/>
  <c r="I28" i="22"/>
  <c r="R27" i="103"/>
  <c r="E24" i="58"/>
  <c r="Y24" i="58" s="1"/>
  <c r="I25" i="22"/>
  <c r="R24" i="103"/>
  <c r="E21" i="58"/>
  <c r="Y21" i="58" s="1"/>
  <c r="I22" i="22"/>
  <c r="R21" i="103"/>
  <c r="D47" i="58"/>
  <c r="F48" i="22"/>
  <c r="F32" i="58"/>
  <c r="K33" i="22"/>
  <c r="L33" i="22" s="1"/>
  <c r="U32" i="103"/>
  <c r="K29" i="67"/>
  <c r="S30" i="22"/>
  <c r="D21" i="58"/>
  <c r="F22" i="22"/>
  <c r="AM15" i="103"/>
  <c r="E33" i="22"/>
  <c r="H32" i="103"/>
  <c r="AI16" i="22"/>
  <c r="Q31" i="58"/>
  <c r="N31" i="67"/>
  <c r="U32" i="22"/>
  <c r="E20" i="67"/>
  <c r="Q21" i="22"/>
  <c r="E17" i="58"/>
  <c r="Y17" i="58" s="1"/>
  <c r="I18" i="22"/>
  <c r="R17" i="103"/>
  <c r="E14" i="58"/>
  <c r="Y14" i="58" s="1"/>
  <c r="I15" i="22"/>
  <c r="R14" i="103"/>
  <c r="D14" i="58"/>
  <c r="F15" i="22"/>
  <c r="O27" i="58"/>
  <c r="C27" i="67"/>
  <c r="Y28" i="22"/>
  <c r="AI15" i="22"/>
  <c r="BV376" i="103"/>
  <c r="AI42" i="22"/>
  <c r="AG51" i="22"/>
  <c r="BZ50" i="103"/>
  <c r="CB50" i="103" s="1"/>
  <c r="L51" i="67" s="1"/>
  <c r="E53" i="58"/>
  <c r="Y53" i="58" s="1"/>
  <c r="I54" i="22"/>
  <c r="R53" i="103"/>
  <c r="P70" i="58"/>
  <c r="H72" i="67"/>
  <c r="W71" i="22"/>
  <c r="AI378" i="103"/>
  <c r="E57" i="67"/>
  <c r="Q57" i="22"/>
  <c r="AG76" i="22"/>
  <c r="BZ75" i="103"/>
  <c r="CB75" i="103" s="1"/>
  <c r="L77" i="67" s="1"/>
  <c r="D78" i="58"/>
  <c r="F79" i="22"/>
  <c r="Q86" i="58"/>
  <c r="N88" i="67"/>
  <c r="U87" i="22"/>
  <c r="AG39" i="22"/>
  <c r="BZ38" i="103"/>
  <c r="CB38" i="103" s="1"/>
  <c r="L38" i="67" s="1"/>
  <c r="D41" i="58"/>
  <c r="F42" i="22"/>
  <c r="Q52" i="58"/>
  <c r="N53" i="67"/>
  <c r="U53" i="22"/>
  <c r="P55" i="58"/>
  <c r="H56" i="67"/>
  <c r="W56" i="22"/>
  <c r="E69" i="58"/>
  <c r="Y69" i="58" s="1"/>
  <c r="I70" i="22"/>
  <c r="R69" i="103"/>
  <c r="E72" i="58"/>
  <c r="Y72" i="58" s="1"/>
  <c r="I73" i="22"/>
  <c r="R72" i="103"/>
  <c r="AG87" i="22"/>
  <c r="BZ86" i="103"/>
  <c r="CB86" i="103" s="1"/>
  <c r="L88" i="67" s="1"/>
  <c r="C46" i="58"/>
  <c r="C47" i="22"/>
  <c r="AG55" i="22"/>
  <c r="BZ54" i="103"/>
  <c r="CB54" i="103" s="1"/>
  <c r="L55" i="67" s="1"/>
  <c r="D57" i="58"/>
  <c r="F58" i="22"/>
  <c r="AI71" i="22"/>
  <c r="BJ378" i="103"/>
  <c r="H77" i="22"/>
  <c r="O76" i="103"/>
  <c r="AI43" i="22"/>
  <c r="BJ377" i="103"/>
  <c r="C59" i="58"/>
  <c r="C60" i="22"/>
  <c r="CG69" i="103"/>
  <c r="CH69" i="103" s="1"/>
  <c r="E82" i="22"/>
  <c r="H81" i="103"/>
  <c r="CG38" i="103"/>
  <c r="CH38" i="103" s="1"/>
  <c r="Q53" i="58"/>
  <c r="N54" i="67"/>
  <c r="U54" i="22"/>
  <c r="AI62" i="22"/>
  <c r="D70" i="58"/>
  <c r="F71" i="22"/>
  <c r="P378" i="103"/>
  <c r="K80" i="67"/>
  <c r="S79" i="22"/>
  <c r="F81" i="58"/>
  <c r="K82" i="22"/>
  <c r="L82" i="22" s="1"/>
  <c r="U81" i="103"/>
  <c r="D36" i="58"/>
  <c r="F37" i="22"/>
  <c r="K45" i="67"/>
  <c r="S45" i="22"/>
  <c r="H53" i="22"/>
  <c r="O52" i="103"/>
  <c r="CG54" i="103"/>
  <c r="CI54" i="103" s="1"/>
  <c r="C66" i="58"/>
  <c r="C67" i="22"/>
  <c r="C66" i="103"/>
  <c r="M79" i="67"/>
  <c r="D79" i="67"/>
  <c r="AA78" i="22"/>
  <c r="H47" i="22"/>
  <c r="O46" i="103"/>
  <c r="L46" i="103" s="1"/>
  <c r="K61" i="67"/>
  <c r="S61" i="22"/>
  <c r="F63" i="58"/>
  <c r="K64" i="22"/>
  <c r="L64" i="22" s="1"/>
  <c r="U63" i="103"/>
  <c r="AI69" i="22"/>
  <c r="H75" i="22"/>
  <c r="O74" i="103"/>
  <c r="E36" i="67"/>
  <c r="Q37" i="22"/>
  <c r="E55" i="58"/>
  <c r="Y55" i="58" s="1"/>
  <c r="I56" i="22"/>
  <c r="R55" i="103"/>
  <c r="P72" i="58"/>
  <c r="H74" i="67"/>
  <c r="W73" i="22"/>
  <c r="S377" i="103"/>
  <c r="E46" i="22"/>
  <c r="H45" i="103"/>
  <c r="O47" i="58"/>
  <c r="C48" i="67"/>
  <c r="Y48" i="22"/>
  <c r="H54" i="22"/>
  <c r="O53" i="103"/>
  <c r="L53" i="103" s="1"/>
  <c r="E65" i="67"/>
  <c r="Q65" i="22"/>
  <c r="K68" i="67"/>
  <c r="S68" i="22"/>
  <c r="F70" i="58"/>
  <c r="K71" i="22"/>
  <c r="L71" i="22" s="1"/>
  <c r="T378" i="103"/>
  <c r="U70" i="103"/>
  <c r="O78" i="58"/>
  <c r="C80" i="67"/>
  <c r="Y79" i="22"/>
  <c r="C89" i="58"/>
  <c r="C90" i="22"/>
  <c r="E53" i="67"/>
  <c r="Q53" i="22"/>
  <c r="E59" i="22"/>
  <c r="H58" i="103"/>
  <c r="BD68" i="103"/>
  <c r="E71" i="58"/>
  <c r="Y71" i="58" s="1"/>
  <c r="I72" i="22"/>
  <c r="R71" i="103"/>
  <c r="E37" i="58"/>
  <c r="Y37" i="58" s="1"/>
  <c r="I38" i="22"/>
  <c r="R37" i="103"/>
  <c r="E40" i="58"/>
  <c r="Y40" i="58" s="1"/>
  <c r="I41" i="22"/>
  <c r="R40" i="103"/>
  <c r="E43" i="58"/>
  <c r="Y43" i="58" s="1"/>
  <c r="I44" i="22"/>
  <c r="R43" i="103"/>
  <c r="E65" i="58"/>
  <c r="Y65" i="58" s="1"/>
  <c r="I66" i="22"/>
  <c r="R65" i="103"/>
  <c r="E69" i="67"/>
  <c r="Q69" i="22"/>
  <c r="BR378" i="103"/>
  <c r="Q79" i="58"/>
  <c r="N81" i="67"/>
  <c r="U80" i="22"/>
  <c r="D85" i="67"/>
  <c r="M85" i="67"/>
  <c r="AA84" i="22"/>
  <c r="E96" i="67"/>
  <c r="Q95" i="22"/>
  <c r="E110" i="58"/>
  <c r="Y110" i="58" s="1"/>
  <c r="I111" i="22"/>
  <c r="R110" i="103"/>
  <c r="E113" i="58"/>
  <c r="Y113" i="58" s="1"/>
  <c r="I114" i="22"/>
  <c r="R113" i="103"/>
  <c r="E116" i="58"/>
  <c r="Y116" i="58" s="1"/>
  <c r="I117" i="22"/>
  <c r="R116" i="103"/>
  <c r="E119" i="58"/>
  <c r="Y119" i="58" s="1"/>
  <c r="I120" i="22"/>
  <c r="R119" i="103"/>
  <c r="E122" i="58"/>
  <c r="Y122" i="58" s="1"/>
  <c r="I123" i="22"/>
  <c r="R122" i="103"/>
  <c r="E125" i="58"/>
  <c r="Y125" i="58" s="1"/>
  <c r="I126" i="22"/>
  <c r="R125" i="103"/>
  <c r="O132" i="58"/>
  <c r="C136" i="67"/>
  <c r="Y133" i="22"/>
  <c r="H84" i="22"/>
  <c r="O83" i="103"/>
  <c r="CG88" i="103"/>
  <c r="CH88" i="103" s="1"/>
  <c r="E101" i="22"/>
  <c r="H100" i="103"/>
  <c r="AI112" i="22"/>
  <c r="H118" i="22"/>
  <c r="O117" i="103"/>
  <c r="AG132" i="22"/>
  <c r="BZ131" i="103"/>
  <c r="CC131" i="103" s="1"/>
  <c r="D89" i="58"/>
  <c r="F90" i="22"/>
  <c r="K99" i="67"/>
  <c r="S98" i="22"/>
  <c r="F100" i="58"/>
  <c r="K101" i="22"/>
  <c r="L101" i="22" s="1"/>
  <c r="U100" i="103"/>
  <c r="C103" i="58"/>
  <c r="C104" i="22"/>
  <c r="C106" i="58"/>
  <c r="C107" i="22"/>
  <c r="CG119" i="103"/>
  <c r="CH119" i="103" s="1"/>
  <c r="D98" i="67"/>
  <c r="M98" i="67"/>
  <c r="AA97" i="22"/>
  <c r="AO379" i="103"/>
  <c r="BD101" i="103"/>
  <c r="O112" i="58"/>
  <c r="C115" i="67"/>
  <c r="Y113" i="22"/>
  <c r="AG127" i="22"/>
  <c r="BZ126" i="103"/>
  <c r="CB126" i="103" s="1"/>
  <c r="L129" i="67" s="1"/>
  <c r="C82" i="58"/>
  <c r="C83" i="22"/>
  <c r="H91" i="22"/>
  <c r="O90" i="103"/>
  <c r="E104" i="67"/>
  <c r="Q102" i="22"/>
  <c r="AD379" i="103"/>
  <c r="E108" i="22"/>
  <c r="H107" i="103"/>
  <c r="Q128" i="58"/>
  <c r="N131" i="67"/>
  <c r="U129" i="22"/>
  <c r="CG95" i="103"/>
  <c r="CH95" i="103" s="1"/>
  <c r="AE379" i="103"/>
  <c r="H113" i="22"/>
  <c r="O112" i="103"/>
  <c r="E126" i="67"/>
  <c r="Q124" i="22"/>
  <c r="BF380" i="103"/>
  <c r="AN82" i="103"/>
  <c r="AG100" i="22"/>
  <c r="BZ99" i="103"/>
  <c r="CB99" i="103" s="1"/>
  <c r="L101" i="67" s="1"/>
  <c r="E102" i="58"/>
  <c r="Y102" i="58" s="1"/>
  <c r="I103" i="22"/>
  <c r="R102" i="103"/>
  <c r="E105" i="58"/>
  <c r="Y105" i="58" s="1"/>
  <c r="I106" i="22"/>
  <c r="R105" i="103"/>
  <c r="E112" i="22"/>
  <c r="H111" i="103"/>
  <c r="AN116" i="103"/>
  <c r="P122" i="58"/>
  <c r="H125" i="67"/>
  <c r="W123" i="22"/>
  <c r="CG127" i="103"/>
  <c r="CH127" i="103" s="1"/>
  <c r="BB127" i="103"/>
  <c r="D134" i="58"/>
  <c r="F135" i="22"/>
  <c r="D99" i="67"/>
  <c r="M99" i="67"/>
  <c r="AA98" i="22"/>
  <c r="E108" i="67"/>
  <c r="Q106" i="22"/>
  <c r="E109" i="22"/>
  <c r="H108" i="103"/>
  <c r="O116" i="58"/>
  <c r="C119" i="67"/>
  <c r="Y117" i="22"/>
  <c r="AG129" i="22"/>
  <c r="BZ128" i="103"/>
  <c r="CB128" i="103" s="1"/>
  <c r="L131" i="67" s="1"/>
  <c r="Q95" i="58"/>
  <c r="N97" i="67"/>
  <c r="U96" i="22"/>
  <c r="AI86" i="22"/>
  <c r="BC99" i="103"/>
  <c r="K108" i="67"/>
  <c r="S106" i="22"/>
  <c r="C108" i="58"/>
  <c r="C109" i="22"/>
  <c r="AI111" i="22"/>
  <c r="H117" i="22"/>
  <c r="O116" i="103"/>
  <c r="H120" i="22"/>
  <c r="O119" i="103"/>
  <c r="H123" i="22"/>
  <c r="O122" i="103"/>
  <c r="AI128" i="22"/>
  <c r="AG202" i="22"/>
  <c r="BZ201" i="103"/>
  <c r="CB201" i="103" s="1"/>
  <c r="L207" i="67" s="1"/>
  <c r="BZ324" i="103"/>
  <c r="CB324" i="103" s="1"/>
  <c r="BZ316" i="103"/>
  <c r="CB316" i="103" s="1"/>
  <c r="BZ346" i="103"/>
  <c r="CB346" i="103" s="1"/>
  <c r="BZ373" i="103"/>
  <c r="CB373" i="103" s="1"/>
  <c r="V379" i="58"/>
  <c r="T393" i="58"/>
  <c r="T380" i="58"/>
  <c r="X131" i="58"/>
  <c r="X380" i="58" s="1"/>
  <c r="U380" i="58"/>
  <c r="N131" i="58"/>
  <c r="S397" i="58"/>
  <c r="S384" i="58"/>
  <c r="Q33" i="58"/>
  <c r="N33" i="67"/>
  <c r="U34" i="22"/>
  <c r="E22" i="67"/>
  <c r="Q23" i="22"/>
  <c r="E19" i="58"/>
  <c r="Y19" i="58" s="1"/>
  <c r="I20" i="22"/>
  <c r="R19" i="103"/>
  <c r="E16" i="58"/>
  <c r="Y16" i="58" s="1"/>
  <c r="I17" i="22"/>
  <c r="R16" i="103"/>
  <c r="E13" i="58"/>
  <c r="Y13" i="58" s="1"/>
  <c r="I14" i="22"/>
  <c r="R13" i="103"/>
  <c r="D19" i="58"/>
  <c r="F20" i="22"/>
  <c r="AG17" i="22"/>
  <c r="BZ16" i="103"/>
  <c r="CB16" i="103" s="1"/>
  <c r="L16" i="67" s="1"/>
  <c r="O29" i="58"/>
  <c r="C29" i="67"/>
  <c r="Y30" i="22"/>
  <c r="F21" i="58"/>
  <c r="K22" i="22"/>
  <c r="L22" i="22" s="1"/>
  <c r="U21" i="103"/>
  <c r="CG30" i="103"/>
  <c r="CH30" i="103" s="1"/>
  <c r="Q14" i="58"/>
  <c r="N14" i="67"/>
  <c r="U15" i="22"/>
  <c r="BF376" i="103"/>
  <c r="O36" i="58"/>
  <c r="C36" i="67"/>
  <c r="Y37" i="22"/>
  <c r="BB33" i="103"/>
  <c r="H29" i="22"/>
  <c r="O28" i="103"/>
  <c r="AI23" i="22"/>
  <c r="P36" i="58"/>
  <c r="H36" i="67"/>
  <c r="W37" i="22"/>
  <c r="E47" i="22"/>
  <c r="H46" i="103"/>
  <c r="F29" i="58"/>
  <c r="K30" i="22"/>
  <c r="L30" i="22" s="1"/>
  <c r="U29" i="103"/>
  <c r="K26" i="67"/>
  <c r="S27" i="22"/>
  <c r="E30" i="22"/>
  <c r="H29" i="103"/>
  <c r="H19" i="22"/>
  <c r="O18" i="103"/>
  <c r="AI13" i="22"/>
  <c r="P39" i="58"/>
  <c r="H39" i="67"/>
  <c r="W40" i="22"/>
  <c r="Q28" i="58"/>
  <c r="N28" i="67"/>
  <c r="U29" i="22"/>
  <c r="K19" i="67"/>
  <c r="S20" i="22"/>
  <c r="D11" i="58"/>
  <c r="P376" i="103"/>
  <c r="F12" i="22"/>
  <c r="O24" i="58"/>
  <c r="C24" i="67"/>
  <c r="Y25" i="22"/>
  <c r="E35" i="22"/>
  <c r="H34" i="103"/>
  <c r="H18" i="22"/>
  <c r="O17" i="103"/>
  <c r="AI12" i="22"/>
  <c r="BJ376" i="103"/>
  <c r="AI45" i="22"/>
  <c r="E56" i="58"/>
  <c r="Y56" i="58" s="1"/>
  <c r="I57" i="22"/>
  <c r="R56" i="103"/>
  <c r="P73" i="58"/>
  <c r="H75" i="67"/>
  <c r="W74" i="22"/>
  <c r="E60" i="67"/>
  <c r="Q60" i="22"/>
  <c r="AG79" i="22"/>
  <c r="BZ78" i="103"/>
  <c r="CB78" i="103" s="1"/>
  <c r="L80" i="67" s="1"/>
  <c r="D81" i="58"/>
  <c r="F82" i="22"/>
  <c r="AG42" i="22"/>
  <c r="BZ41" i="103"/>
  <c r="CB41" i="103" s="1"/>
  <c r="L41" i="67" s="1"/>
  <c r="D44" i="58"/>
  <c r="F45" i="22"/>
  <c r="P58" i="58"/>
  <c r="H59" i="67"/>
  <c r="W59" i="22"/>
  <c r="E75" i="58"/>
  <c r="Y75" i="58" s="1"/>
  <c r="I76" i="22"/>
  <c r="R75" i="103"/>
  <c r="E89" i="67"/>
  <c r="Q88" i="22"/>
  <c r="P49" i="58"/>
  <c r="H50" i="67"/>
  <c r="W50" i="22"/>
  <c r="AG58" i="22"/>
  <c r="BZ57" i="103"/>
  <c r="CB57" i="103" s="1"/>
  <c r="L58" i="67" s="1"/>
  <c r="D60" i="58"/>
  <c r="F61" i="22"/>
  <c r="BV378" i="103"/>
  <c r="AI74" i="22"/>
  <c r="H80" i="22"/>
  <c r="O79" i="103"/>
  <c r="Q37" i="58"/>
  <c r="N37" i="67"/>
  <c r="U38" i="22"/>
  <c r="BV377" i="103"/>
  <c r="AI46" i="22"/>
  <c r="D48" i="58"/>
  <c r="F49" i="22"/>
  <c r="J48" i="103"/>
  <c r="C62" i="58"/>
  <c r="C63" i="22"/>
  <c r="AM67" i="103"/>
  <c r="CG72" i="103"/>
  <c r="CI72" i="103" s="1"/>
  <c r="CG41" i="103"/>
  <c r="CH41" i="103" s="1"/>
  <c r="Q56" i="58"/>
  <c r="N57" i="67"/>
  <c r="U57" i="22"/>
  <c r="AI65" i="22"/>
  <c r="D73" i="58"/>
  <c r="F74" i="22"/>
  <c r="K83" i="67"/>
  <c r="S82" i="22"/>
  <c r="AN36" i="103"/>
  <c r="D39" i="58"/>
  <c r="F40" i="22"/>
  <c r="C47" i="58"/>
  <c r="C48" i="22"/>
  <c r="AI50" i="22"/>
  <c r="CG57" i="103"/>
  <c r="CH57" i="103" s="1"/>
  <c r="C69" i="58"/>
  <c r="C70" i="22"/>
  <c r="M82" i="67"/>
  <c r="D82" i="67"/>
  <c r="AA81" i="22"/>
  <c r="F83" i="58"/>
  <c r="K84" i="22"/>
  <c r="L84" i="22" s="1"/>
  <c r="U83" i="103"/>
  <c r="D55" i="58"/>
  <c r="F56" i="22"/>
  <c r="K64" i="67"/>
  <c r="S64" i="22"/>
  <c r="AI72" i="22"/>
  <c r="H78" i="22"/>
  <c r="O77" i="103"/>
  <c r="E39" i="67"/>
  <c r="Q40" i="22"/>
  <c r="O50" i="58"/>
  <c r="C51" i="67"/>
  <c r="Y51" i="22"/>
  <c r="E58" i="58"/>
  <c r="Y58" i="58" s="1"/>
  <c r="I59" i="22"/>
  <c r="R58" i="103"/>
  <c r="P75" i="58"/>
  <c r="H77" i="67"/>
  <c r="W76" i="22"/>
  <c r="AE377" i="103"/>
  <c r="H57" i="22"/>
  <c r="O56" i="103"/>
  <c r="K72" i="67"/>
  <c r="S71" i="22"/>
  <c r="AF378" i="103"/>
  <c r="F73" i="58"/>
  <c r="K74" i="22"/>
  <c r="L74" i="22" s="1"/>
  <c r="U73" i="103"/>
  <c r="O81" i="58"/>
  <c r="C83" i="67"/>
  <c r="Y82" i="22"/>
  <c r="O38" i="58"/>
  <c r="C38" i="67"/>
  <c r="Y39" i="22"/>
  <c r="M48" i="67"/>
  <c r="D48" i="67"/>
  <c r="AA48" i="22"/>
  <c r="E62" i="22"/>
  <c r="H61" i="103"/>
  <c r="D67" i="67"/>
  <c r="M67" i="67"/>
  <c r="AA67" i="22"/>
  <c r="BD71" i="103"/>
  <c r="E74" i="58"/>
  <c r="Y74" i="58" s="1"/>
  <c r="I75" i="22"/>
  <c r="R74" i="103"/>
  <c r="BD37" i="103"/>
  <c r="BD40" i="103"/>
  <c r="BD43" i="103"/>
  <c r="E47" i="67"/>
  <c r="Q47" i="22"/>
  <c r="E50" i="22"/>
  <c r="H49" i="103"/>
  <c r="BD65" i="103"/>
  <c r="E73" i="67"/>
  <c r="Q72" i="22"/>
  <c r="H87" i="22"/>
  <c r="O86" i="103"/>
  <c r="E99" i="67"/>
  <c r="Q98" i="22"/>
  <c r="AM86" i="103"/>
  <c r="CG91" i="103"/>
  <c r="CH91" i="103" s="1"/>
  <c r="F103" i="58"/>
  <c r="K104" i="22"/>
  <c r="L104" i="22" s="1"/>
  <c r="U103" i="103"/>
  <c r="AI115" i="22"/>
  <c r="H121" i="22"/>
  <c r="O120" i="103"/>
  <c r="CJ380" i="103"/>
  <c r="AG90" i="22"/>
  <c r="BZ89" i="103"/>
  <c r="CB89" i="103" s="1"/>
  <c r="L91" i="67" s="1"/>
  <c r="D92" i="58"/>
  <c r="F93" i="22"/>
  <c r="K102" i="67"/>
  <c r="S101" i="22"/>
  <c r="P109" i="58"/>
  <c r="H112" i="67"/>
  <c r="W110" i="22"/>
  <c r="CG122" i="103"/>
  <c r="CH122" i="103" s="1"/>
  <c r="E131" i="22"/>
  <c r="H130" i="103"/>
  <c r="F82" i="58"/>
  <c r="K83" i="22"/>
  <c r="L83" i="22" s="1"/>
  <c r="U82" i="103"/>
  <c r="C88" i="58"/>
  <c r="C89" i="22"/>
  <c r="D101" i="67"/>
  <c r="M101" i="67"/>
  <c r="AA100" i="22"/>
  <c r="AK102" i="22"/>
  <c r="BM379" i="103"/>
  <c r="O115" i="58"/>
  <c r="C118" i="67"/>
  <c r="Y116" i="22"/>
  <c r="E134" i="22"/>
  <c r="H133" i="103"/>
  <c r="C85" i="58"/>
  <c r="C86" i="22"/>
  <c r="AI88" i="22"/>
  <c r="H94" i="22"/>
  <c r="O93" i="103"/>
  <c r="AP379" i="103"/>
  <c r="F107" i="58"/>
  <c r="K108" i="22"/>
  <c r="L108" i="22" s="1"/>
  <c r="U107" i="103"/>
  <c r="Q85" i="58"/>
  <c r="N87" i="67"/>
  <c r="U86" i="22"/>
  <c r="CG98" i="103"/>
  <c r="CH98" i="103" s="1"/>
  <c r="AQ379" i="103"/>
  <c r="F104" i="58"/>
  <c r="K105" i="22"/>
  <c r="L105" i="22" s="1"/>
  <c r="U104" i="103"/>
  <c r="AI110" i="22"/>
  <c r="H116" i="22"/>
  <c r="O115" i="103"/>
  <c r="E129" i="67"/>
  <c r="Q127" i="22"/>
  <c r="AN85" i="103"/>
  <c r="O88" i="58"/>
  <c r="C90" i="67"/>
  <c r="Y89" i="22"/>
  <c r="E115" i="22"/>
  <c r="H114" i="103"/>
  <c r="AN119" i="103"/>
  <c r="P125" i="58"/>
  <c r="H128" i="67"/>
  <c r="W126" i="22"/>
  <c r="M102" i="67"/>
  <c r="D102" i="67"/>
  <c r="AA101" i="22"/>
  <c r="F108" i="58"/>
  <c r="K109" i="22"/>
  <c r="L109" i="22" s="1"/>
  <c r="U108" i="103"/>
  <c r="O119" i="58"/>
  <c r="C122" i="67"/>
  <c r="Y120" i="22"/>
  <c r="K143" i="67"/>
  <c r="S140" i="22"/>
  <c r="AM139" i="103"/>
  <c r="Q98" i="58"/>
  <c r="N100" i="67"/>
  <c r="U99" i="22"/>
  <c r="V379" i="103"/>
  <c r="AM97" i="103"/>
  <c r="AI114" i="22"/>
  <c r="H126" i="22"/>
  <c r="O125" i="103"/>
  <c r="D128" i="58"/>
  <c r="F129" i="22"/>
  <c r="D88" i="58"/>
  <c r="F89" i="22"/>
  <c r="D97" i="58"/>
  <c r="F98" i="22"/>
  <c r="D100" i="58"/>
  <c r="F101" i="22"/>
  <c r="K133" i="67"/>
  <c r="S131" i="22"/>
  <c r="AG205" i="22"/>
  <c r="BZ204" i="103"/>
  <c r="CB204" i="103" s="1"/>
  <c r="L210" i="67" s="1"/>
  <c r="BZ349" i="103"/>
  <c r="CB349" i="103" s="1"/>
  <c r="AM349" i="103"/>
  <c r="BZ350" i="103"/>
  <c r="CB350" i="103" s="1"/>
  <c r="S395" i="58"/>
  <c r="S382" i="58"/>
  <c r="E41" i="22"/>
  <c r="H40" i="103"/>
  <c r="Q30" i="58"/>
  <c r="N30" i="67"/>
  <c r="U31" i="22"/>
  <c r="D16" i="58"/>
  <c r="F17" i="22"/>
  <c r="AG14" i="22"/>
  <c r="BZ13" i="103"/>
  <c r="CB13" i="103" s="1"/>
  <c r="L13" i="67" s="1"/>
  <c r="O26" i="58"/>
  <c r="C26" i="67"/>
  <c r="Y27" i="22"/>
  <c r="E19" i="22"/>
  <c r="H18" i="103"/>
  <c r="CG37" i="103"/>
  <c r="CH37" i="103" s="1"/>
  <c r="CG27" i="103"/>
  <c r="CH27" i="103" s="1"/>
  <c r="AM22" i="103"/>
  <c r="AI20" i="22"/>
  <c r="AT376" i="103"/>
  <c r="BB30" i="103"/>
  <c r="H26" i="22"/>
  <c r="O25" i="103"/>
  <c r="AG19" i="22"/>
  <c r="BZ18" i="103"/>
  <c r="CB18" i="103" s="1"/>
  <c r="L18" i="67" s="1"/>
  <c r="CE377" i="103"/>
  <c r="O34" i="58"/>
  <c r="C34" i="67"/>
  <c r="Y35" i="22"/>
  <c r="F26" i="58"/>
  <c r="K27" i="22"/>
  <c r="L27" i="22" s="1"/>
  <c r="U26" i="103"/>
  <c r="K23" i="67"/>
  <c r="S24" i="22"/>
  <c r="BO376" i="103"/>
  <c r="E27" i="22"/>
  <c r="H26" i="103"/>
  <c r="H16" i="22"/>
  <c r="O15" i="103"/>
  <c r="AI34" i="22"/>
  <c r="Q25" i="58"/>
  <c r="N25" i="67"/>
  <c r="U26" i="22"/>
  <c r="F19" i="58"/>
  <c r="K20" i="22"/>
  <c r="L20" i="22" s="1"/>
  <c r="U19" i="103"/>
  <c r="K16" i="67"/>
  <c r="S17" i="22"/>
  <c r="O21" i="58"/>
  <c r="C21" i="67"/>
  <c r="Y22" i="22"/>
  <c r="E20" i="22"/>
  <c r="H19" i="103"/>
  <c r="P42" i="58"/>
  <c r="H43" i="67"/>
  <c r="W43" i="22"/>
  <c r="AI377" i="103"/>
  <c r="E32" i="22"/>
  <c r="H31" i="103"/>
  <c r="H15" i="22"/>
  <c r="O14" i="103"/>
  <c r="AX376" i="103"/>
  <c r="Q39" i="58"/>
  <c r="N39" i="67"/>
  <c r="U40" i="22"/>
  <c r="BD56" i="103"/>
  <c r="E59" i="58"/>
  <c r="Y59" i="58" s="1"/>
  <c r="I60" i="22"/>
  <c r="R59" i="103"/>
  <c r="BS378" i="103"/>
  <c r="P76" i="58"/>
  <c r="H78" i="67"/>
  <c r="W77" i="22"/>
  <c r="E63" i="67"/>
  <c r="Q63" i="22"/>
  <c r="O67" i="58"/>
  <c r="C68" i="67"/>
  <c r="Y68" i="22"/>
  <c r="AG82" i="22"/>
  <c r="BZ81" i="103"/>
  <c r="CB81" i="103" s="1"/>
  <c r="L83" i="67" s="1"/>
  <c r="K90" i="67"/>
  <c r="S89" i="22"/>
  <c r="AG45" i="22"/>
  <c r="BZ44" i="103"/>
  <c r="CB44" i="103" s="1"/>
  <c r="L45" i="67" s="1"/>
  <c r="P61" i="58"/>
  <c r="H62" i="67"/>
  <c r="W62" i="22"/>
  <c r="D68" i="67"/>
  <c r="M68" i="67"/>
  <c r="AA68" i="22"/>
  <c r="E78" i="58"/>
  <c r="Y78" i="58" s="1"/>
  <c r="I79" i="22"/>
  <c r="R78" i="103"/>
  <c r="M90" i="67"/>
  <c r="D90" i="67"/>
  <c r="AA89" i="22"/>
  <c r="Q46" i="58"/>
  <c r="N47" i="67"/>
  <c r="U47" i="22"/>
  <c r="P52" i="58"/>
  <c r="H53" i="67"/>
  <c r="W53" i="22"/>
  <c r="AG61" i="22"/>
  <c r="BZ60" i="103"/>
  <c r="CC60" i="103" s="1"/>
  <c r="D63" i="58"/>
  <c r="F64" i="22"/>
  <c r="Q68" i="58"/>
  <c r="N69" i="67"/>
  <c r="U69" i="22"/>
  <c r="AI77" i="22"/>
  <c r="P82" i="58"/>
  <c r="H84" i="67"/>
  <c r="W83" i="22"/>
  <c r="Q40" i="58"/>
  <c r="N40" i="67"/>
  <c r="U41" i="22"/>
  <c r="AG49" i="22"/>
  <c r="BZ48" i="103"/>
  <c r="CC48" i="103" s="1"/>
  <c r="D51" i="58"/>
  <c r="F52" i="22"/>
  <c r="AM70" i="103"/>
  <c r="CG75" i="103"/>
  <c r="CI75" i="103" s="1"/>
  <c r="AM39" i="103"/>
  <c r="CG44" i="103"/>
  <c r="CH44" i="103" s="1"/>
  <c r="E48" i="58"/>
  <c r="Y48" i="58" s="1"/>
  <c r="I49" i="22"/>
  <c r="R48" i="103"/>
  <c r="Q59" i="58"/>
  <c r="N60" i="67"/>
  <c r="U60" i="22"/>
  <c r="AZ378" i="103"/>
  <c r="D76" i="58"/>
  <c r="F77" i="22"/>
  <c r="D42" i="58"/>
  <c r="F43" i="22"/>
  <c r="P377" i="103"/>
  <c r="AI53" i="22"/>
  <c r="CG60" i="103"/>
  <c r="CH60" i="103" s="1"/>
  <c r="C72" i="58"/>
  <c r="C73" i="22"/>
  <c r="C38" i="58"/>
  <c r="C39" i="22"/>
  <c r="C41" i="58"/>
  <c r="C42" i="22"/>
  <c r="AI47" i="22"/>
  <c r="AN55" i="103"/>
  <c r="D58" i="58"/>
  <c r="F59" i="22"/>
  <c r="Q66" i="58"/>
  <c r="N67" i="67"/>
  <c r="U67" i="22"/>
  <c r="AI75" i="22"/>
  <c r="H81" i="22"/>
  <c r="O80" i="103"/>
  <c r="E43" i="67"/>
  <c r="Q43" i="22"/>
  <c r="AD377" i="103"/>
  <c r="E49" i="22"/>
  <c r="H48" i="103"/>
  <c r="D54" i="67"/>
  <c r="M54" i="67"/>
  <c r="AA54" i="22"/>
  <c r="E61" i="58"/>
  <c r="Y61" i="58" s="1"/>
  <c r="I62" i="22"/>
  <c r="R61" i="103"/>
  <c r="E68" i="22"/>
  <c r="H67" i="103"/>
  <c r="P78" i="58"/>
  <c r="H80" i="67"/>
  <c r="W79" i="22"/>
  <c r="AQ377" i="103"/>
  <c r="AI54" i="22"/>
  <c r="H60" i="22"/>
  <c r="O59" i="103"/>
  <c r="AR378" i="103"/>
  <c r="K75" i="67"/>
  <c r="S74" i="22"/>
  <c r="F76" i="58"/>
  <c r="K77" i="22"/>
  <c r="L77" i="22" s="1"/>
  <c r="U76" i="103"/>
  <c r="O41" i="58"/>
  <c r="C41" i="67"/>
  <c r="Y42" i="22"/>
  <c r="E65" i="22"/>
  <c r="H64" i="103"/>
  <c r="M70" i="67"/>
  <c r="D70" i="67"/>
  <c r="AA70" i="22"/>
  <c r="BD74" i="103"/>
  <c r="E77" i="58"/>
  <c r="Y77" i="58" s="1"/>
  <c r="I78" i="22"/>
  <c r="R77" i="103"/>
  <c r="E53" i="22"/>
  <c r="H52" i="103"/>
  <c r="O54" i="58"/>
  <c r="C55" i="67"/>
  <c r="Y55" i="22"/>
  <c r="E76" i="67"/>
  <c r="Q75" i="22"/>
  <c r="H90" i="22"/>
  <c r="O89" i="103"/>
  <c r="E102" i="67"/>
  <c r="Q101" i="22"/>
  <c r="E104" i="22"/>
  <c r="H103" i="103"/>
  <c r="AG135" i="22"/>
  <c r="BZ134" i="103"/>
  <c r="CB134" i="103" s="1"/>
  <c r="L138" i="67" s="1"/>
  <c r="AI84" i="22"/>
  <c r="CG94" i="103"/>
  <c r="CH94" i="103" s="1"/>
  <c r="K106" i="67"/>
  <c r="S104" i="22"/>
  <c r="F106" i="58"/>
  <c r="K107" i="22"/>
  <c r="L107" i="22" s="1"/>
  <c r="U106" i="103"/>
  <c r="Q109" i="58"/>
  <c r="N112" i="67"/>
  <c r="U110" i="22"/>
  <c r="AI118" i="22"/>
  <c r="H124" i="22"/>
  <c r="O123" i="103"/>
  <c r="AG93" i="22"/>
  <c r="BZ92" i="103"/>
  <c r="CB92" i="103" s="1"/>
  <c r="L94" i="67" s="1"/>
  <c r="D95" i="58"/>
  <c r="F96" i="22"/>
  <c r="P112" i="58"/>
  <c r="H115" i="67"/>
  <c r="W113" i="22"/>
  <c r="CG125" i="103"/>
  <c r="CH125" i="103" s="1"/>
  <c r="AT380" i="103"/>
  <c r="K84" i="67"/>
  <c r="S83" i="22"/>
  <c r="F85" i="58"/>
  <c r="K86" i="22"/>
  <c r="L86" i="22" s="1"/>
  <c r="U85" i="103"/>
  <c r="C91" i="58"/>
  <c r="C92" i="22"/>
  <c r="H103" i="22"/>
  <c r="O102" i="103"/>
  <c r="F110" i="58"/>
  <c r="K111" i="22"/>
  <c r="L111" i="22" s="1"/>
  <c r="U110" i="103"/>
  <c r="O118" i="58"/>
  <c r="C121" i="67"/>
  <c r="Y119" i="22"/>
  <c r="CG133" i="103"/>
  <c r="CH133" i="103" s="1"/>
  <c r="AI91" i="22"/>
  <c r="H97" i="22"/>
  <c r="O96" i="103"/>
  <c r="BB101" i="103"/>
  <c r="K110" i="67"/>
  <c r="S108" i="22"/>
  <c r="P88" i="58"/>
  <c r="H90" i="67"/>
  <c r="W89" i="22"/>
  <c r="CG101" i="103"/>
  <c r="CH101" i="103" s="1"/>
  <c r="K107" i="67"/>
  <c r="S105" i="22"/>
  <c r="AI113" i="22"/>
  <c r="H119" i="22"/>
  <c r="O118" i="103"/>
  <c r="H134" i="22"/>
  <c r="O133" i="103"/>
  <c r="E84" i="22"/>
  <c r="H83" i="103"/>
  <c r="O91" i="58"/>
  <c r="C93" i="67"/>
  <c r="Y92" i="22"/>
  <c r="E118" i="22"/>
  <c r="H117" i="103"/>
  <c r="AN122" i="103"/>
  <c r="C92" i="58"/>
  <c r="C93" i="22"/>
  <c r="K111" i="67"/>
  <c r="S109" i="22"/>
  <c r="F111" i="58"/>
  <c r="K112" i="22"/>
  <c r="L112" i="22" s="1"/>
  <c r="U111" i="103"/>
  <c r="F114" i="58"/>
  <c r="K115" i="22"/>
  <c r="L115" i="22" s="1"/>
  <c r="U114" i="103"/>
  <c r="O122" i="58"/>
  <c r="C125" i="67"/>
  <c r="Y123" i="22"/>
  <c r="O125" i="58"/>
  <c r="C128" i="67"/>
  <c r="Y126" i="22"/>
  <c r="Q83" i="58"/>
  <c r="N85" i="67"/>
  <c r="U84" i="22"/>
  <c r="P86" i="58"/>
  <c r="H88" i="67"/>
  <c r="W87" i="22"/>
  <c r="AM100" i="103"/>
  <c r="D103" i="58"/>
  <c r="F104" i="22"/>
  <c r="Q108" i="58"/>
  <c r="N111" i="67"/>
  <c r="U109" i="22"/>
  <c r="AI117" i="22"/>
  <c r="AI120" i="22"/>
  <c r="AI123" i="22"/>
  <c r="D97" i="67"/>
  <c r="M97" i="67"/>
  <c r="AA96" i="22"/>
  <c r="AG208" i="22"/>
  <c r="BZ207" i="103"/>
  <c r="CB207" i="103" s="1"/>
  <c r="L213" i="67" s="1"/>
  <c r="AG221" i="22"/>
  <c r="BZ220" i="103"/>
  <c r="CB220" i="103" s="1"/>
  <c r="L226" i="67" s="1"/>
  <c r="BZ353" i="103"/>
  <c r="CB353" i="103" s="1"/>
  <c r="U377" i="58"/>
  <c r="N42" i="58"/>
  <c r="V378" i="58"/>
  <c r="T392" i="58"/>
  <c r="T379" i="58"/>
  <c r="X101" i="58"/>
  <c r="X379" i="58" s="1"/>
  <c r="V380" i="58"/>
  <c r="U381" i="58"/>
  <c r="N162" i="58"/>
  <c r="V387" i="58"/>
  <c r="F14" i="17"/>
  <c r="H15" i="17" s="1"/>
  <c r="T15" i="17"/>
  <c r="AI36" i="22"/>
  <c r="Q27" i="58"/>
  <c r="N27" i="67"/>
  <c r="U28" i="22"/>
  <c r="D13" i="58"/>
  <c r="F14" i="22"/>
  <c r="P45" i="58"/>
  <c r="H46" i="67"/>
  <c r="W46" i="22"/>
  <c r="O23" i="58"/>
  <c r="C23" i="67"/>
  <c r="Y24" i="22"/>
  <c r="E16" i="22"/>
  <c r="H15" i="103"/>
  <c r="CG24" i="103"/>
  <c r="CI24" i="103" s="1"/>
  <c r="AI17" i="22"/>
  <c r="Q11" i="58"/>
  <c r="N11" i="67"/>
  <c r="U12" i="22"/>
  <c r="AH376" i="103"/>
  <c r="E33" i="67"/>
  <c r="Q34" i="22"/>
  <c r="BB27" i="103"/>
  <c r="H23" i="22"/>
  <c r="O22" i="103"/>
  <c r="D19" i="67"/>
  <c r="AA20" i="22"/>
  <c r="D16" i="67"/>
  <c r="AA17" i="22"/>
  <c r="D13" i="67"/>
  <c r="AA14" i="22"/>
  <c r="D18" i="58"/>
  <c r="F19" i="22"/>
  <c r="AG16" i="22"/>
  <c r="BZ15" i="103"/>
  <c r="CB15" i="103" s="1"/>
  <c r="L15" i="67" s="1"/>
  <c r="O31" i="58"/>
  <c r="C31" i="67"/>
  <c r="Y32" i="22"/>
  <c r="F23" i="58"/>
  <c r="K24" i="22"/>
  <c r="L24" i="22" s="1"/>
  <c r="U23" i="103"/>
  <c r="K20" i="67"/>
  <c r="S21" i="22"/>
  <c r="P34" i="58"/>
  <c r="H34" i="67"/>
  <c r="W35" i="22"/>
  <c r="E24" i="22"/>
  <c r="H23" i="103"/>
  <c r="H13" i="22"/>
  <c r="O12" i="103"/>
  <c r="AI31" i="22"/>
  <c r="Q22" i="58"/>
  <c r="N22" i="67"/>
  <c r="U23" i="22"/>
  <c r="F16" i="58"/>
  <c r="K17" i="22"/>
  <c r="L17" i="22" s="1"/>
  <c r="U16" i="103"/>
  <c r="K13" i="67"/>
  <c r="S14" i="22"/>
  <c r="D35" i="58"/>
  <c r="F36" i="22"/>
  <c r="E17" i="22"/>
  <c r="H16" i="103"/>
  <c r="E29" i="22"/>
  <c r="H28" i="103"/>
  <c r="H12" i="22"/>
  <c r="N376" i="103"/>
  <c r="O11" i="103"/>
  <c r="Q42" i="58"/>
  <c r="N43" i="67"/>
  <c r="U43" i="22"/>
  <c r="AH377" i="103"/>
  <c r="D55" i="67"/>
  <c r="M55" i="67"/>
  <c r="AA55" i="22"/>
  <c r="BD59" i="103"/>
  <c r="E62" i="58"/>
  <c r="Y62" i="58" s="1"/>
  <c r="I63" i="22"/>
  <c r="R62" i="103"/>
  <c r="E69" i="22"/>
  <c r="H68" i="103"/>
  <c r="CE378" i="103"/>
  <c r="P79" i="58"/>
  <c r="H81" i="67"/>
  <c r="W80" i="22"/>
  <c r="AI92" i="22"/>
  <c r="H55" i="22"/>
  <c r="O54" i="103"/>
  <c r="O70" i="58"/>
  <c r="C72" i="67"/>
  <c r="Y71" i="22"/>
  <c r="AJ378" i="103"/>
  <c r="E47" i="58"/>
  <c r="Y47" i="58" s="1"/>
  <c r="I48" i="22"/>
  <c r="R47" i="103"/>
  <c r="E51" i="67"/>
  <c r="Q51" i="22"/>
  <c r="P64" i="58"/>
  <c r="H65" i="67"/>
  <c r="W65" i="22"/>
  <c r="D72" i="67"/>
  <c r="M72" i="67"/>
  <c r="AA71" i="22"/>
  <c r="AK378" i="103"/>
  <c r="D75" i="67"/>
  <c r="M75" i="67"/>
  <c r="AA74" i="22"/>
  <c r="E81" i="58"/>
  <c r="Y81" i="58" s="1"/>
  <c r="I82" i="22"/>
  <c r="R81" i="103"/>
  <c r="AG64" i="22"/>
  <c r="BZ63" i="103"/>
  <c r="CC63" i="103" s="1"/>
  <c r="Q71" i="58"/>
  <c r="N73" i="67"/>
  <c r="U72" i="22"/>
  <c r="AI80" i="22"/>
  <c r="Q43" i="58"/>
  <c r="N44" i="67"/>
  <c r="U44" i="22"/>
  <c r="P46" i="58"/>
  <c r="H47" i="67"/>
  <c r="W47" i="22"/>
  <c r="AG52" i="22"/>
  <c r="BZ51" i="103"/>
  <c r="CB51" i="103" s="1"/>
  <c r="L52" i="67" s="1"/>
  <c r="Q65" i="58"/>
  <c r="N66" i="67"/>
  <c r="U66" i="22"/>
  <c r="AY378" i="103"/>
  <c r="AM73" i="103"/>
  <c r="CG78" i="103"/>
  <c r="CI78" i="103" s="1"/>
  <c r="AM42" i="103"/>
  <c r="BD48" i="103"/>
  <c r="E51" i="58"/>
  <c r="Y51" i="58" s="1"/>
  <c r="I52" i="22"/>
  <c r="R51" i="103"/>
  <c r="Q62" i="58"/>
  <c r="N63" i="67"/>
  <c r="U63" i="22"/>
  <c r="P65" i="58"/>
  <c r="H66" i="67"/>
  <c r="W66" i="22"/>
  <c r="BL378" i="103"/>
  <c r="D79" i="58"/>
  <c r="F80" i="22"/>
  <c r="D45" i="58"/>
  <c r="F46" i="22"/>
  <c r="CG63" i="103"/>
  <c r="CH63" i="103" s="1"/>
  <c r="C75" i="58"/>
  <c r="C76" i="22"/>
  <c r="C44" i="58"/>
  <c r="C45" i="22"/>
  <c r="AN58" i="103"/>
  <c r="D61" i="58"/>
  <c r="F62" i="22"/>
  <c r="Q69" i="58"/>
  <c r="N70" i="67"/>
  <c r="U70" i="22"/>
  <c r="AI78" i="22"/>
  <c r="D84" i="58"/>
  <c r="F85" i="22"/>
  <c r="AP377" i="103"/>
  <c r="E46" i="67"/>
  <c r="Q46" i="22"/>
  <c r="F48" i="58"/>
  <c r="K49" i="22"/>
  <c r="L49" i="22" s="1"/>
  <c r="U48" i="103"/>
  <c r="M57" i="67"/>
  <c r="D57" i="67"/>
  <c r="AA57" i="22"/>
  <c r="BD61" i="103"/>
  <c r="E64" i="58"/>
  <c r="Y64" i="58" s="1"/>
  <c r="I65" i="22"/>
  <c r="R64" i="103"/>
  <c r="E71" i="22"/>
  <c r="G378" i="103"/>
  <c r="H70" i="103"/>
  <c r="P81" i="58"/>
  <c r="H83" i="67"/>
  <c r="W82" i="22"/>
  <c r="D86" i="58"/>
  <c r="F87" i="22"/>
  <c r="C51" i="58"/>
  <c r="C52" i="22"/>
  <c r="AI57" i="22"/>
  <c r="H63" i="22"/>
  <c r="O62" i="103"/>
  <c r="D68" i="58"/>
  <c r="F69" i="22"/>
  <c r="AM71" i="22"/>
  <c r="BP378" i="103"/>
  <c r="K78" i="67"/>
  <c r="S77" i="22"/>
  <c r="F79" i="58"/>
  <c r="K80" i="22"/>
  <c r="L80" i="22" s="1"/>
  <c r="U79" i="103"/>
  <c r="F36" i="58"/>
  <c r="K37" i="22"/>
  <c r="L37" i="22" s="1"/>
  <c r="U36" i="103"/>
  <c r="O44" i="58"/>
  <c r="C45" i="67"/>
  <c r="Y45" i="22"/>
  <c r="H51" i="22"/>
  <c r="O50" i="103"/>
  <c r="D74" i="67"/>
  <c r="M74" i="67"/>
  <c r="AA73" i="22"/>
  <c r="BD77" i="103"/>
  <c r="E80" i="58"/>
  <c r="Y80" i="58" s="1"/>
  <c r="I81" i="22"/>
  <c r="R80" i="103"/>
  <c r="E87" i="58"/>
  <c r="Y87" i="58" s="1"/>
  <c r="I88" i="22"/>
  <c r="R87" i="103"/>
  <c r="D38" i="67"/>
  <c r="AA39" i="22"/>
  <c r="M41" i="67"/>
  <c r="M42" i="67" s="1"/>
  <c r="D41" i="67"/>
  <c r="AA42" i="22"/>
  <c r="M45" i="67"/>
  <c r="D45" i="67"/>
  <c r="AA45" i="22"/>
  <c r="BB46" i="103"/>
  <c r="O57" i="58"/>
  <c r="C58" i="67"/>
  <c r="Y58" i="22"/>
  <c r="H67" i="22"/>
  <c r="O66" i="103"/>
  <c r="E79" i="67"/>
  <c r="Q78" i="22"/>
  <c r="AI87" i="22"/>
  <c r="H93" i="22"/>
  <c r="O92" i="103"/>
  <c r="E107" i="22"/>
  <c r="H106" i="103"/>
  <c r="M111" i="67"/>
  <c r="D111" i="67"/>
  <c r="AA109" i="22"/>
  <c r="M114" i="67"/>
  <c r="D114" i="67"/>
  <c r="AA112" i="22"/>
  <c r="D117" i="67"/>
  <c r="M117" i="67"/>
  <c r="AA115" i="22"/>
  <c r="D120" i="67"/>
  <c r="M120" i="67"/>
  <c r="AA118" i="22"/>
  <c r="M123" i="67"/>
  <c r="D123" i="67"/>
  <c r="AA121" i="22"/>
  <c r="M126" i="67"/>
  <c r="D126" i="67"/>
  <c r="AA124" i="22"/>
  <c r="D129" i="67"/>
  <c r="M129" i="67"/>
  <c r="AA127" i="22"/>
  <c r="CG97" i="103"/>
  <c r="CH97" i="103" s="1"/>
  <c r="K109" i="67"/>
  <c r="S107" i="22"/>
  <c r="Q112" i="58"/>
  <c r="N115" i="67"/>
  <c r="U113" i="22"/>
  <c r="AI121" i="22"/>
  <c r="H127" i="22"/>
  <c r="O126" i="103"/>
  <c r="AG96" i="22"/>
  <c r="BZ95" i="103"/>
  <c r="CB95" i="103" s="1"/>
  <c r="L97" i="67" s="1"/>
  <c r="D98" i="58"/>
  <c r="F99" i="22"/>
  <c r="P115" i="58"/>
  <c r="H118" i="67"/>
  <c r="W116" i="22"/>
  <c r="K87" i="67"/>
  <c r="S86" i="22"/>
  <c r="C94" i="58"/>
  <c r="C95" i="22"/>
  <c r="H106" i="22"/>
  <c r="O105" i="103"/>
  <c r="CG107" i="103"/>
  <c r="CH107" i="103" s="1"/>
  <c r="K113" i="67"/>
  <c r="S111" i="22"/>
  <c r="F113" i="58"/>
  <c r="K114" i="22"/>
  <c r="L114" i="22" s="1"/>
  <c r="U113" i="103"/>
  <c r="BC115" i="103"/>
  <c r="O121" i="58"/>
  <c r="C124" i="67"/>
  <c r="Y122" i="22"/>
  <c r="K130" i="67"/>
  <c r="S128" i="22"/>
  <c r="AI94" i="22"/>
  <c r="H100" i="22"/>
  <c r="O99" i="103"/>
  <c r="BN379" i="103"/>
  <c r="CG104" i="103"/>
  <c r="CH104" i="103" s="1"/>
  <c r="K132" i="67"/>
  <c r="S130" i="22"/>
  <c r="P91" i="58"/>
  <c r="H93" i="67"/>
  <c r="W92" i="22"/>
  <c r="BO379" i="103"/>
  <c r="AI116" i="22"/>
  <c r="H122" i="22"/>
  <c r="O121" i="103"/>
  <c r="AI134" i="22"/>
  <c r="AM133" i="103"/>
  <c r="F86" i="58"/>
  <c r="K87" i="22"/>
  <c r="L87" i="22" s="1"/>
  <c r="U86" i="103"/>
  <c r="O94" i="58"/>
  <c r="C96" i="67"/>
  <c r="Y95" i="22"/>
  <c r="D106" i="67"/>
  <c r="M106" i="67"/>
  <c r="AA104" i="22"/>
  <c r="D109" i="67"/>
  <c r="M109" i="67"/>
  <c r="AA107" i="22"/>
  <c r="CG108" i="103"/>
  <c r="CH108" i="103" s="1"/>
  <c r="E121" i="22"/>
  <c r="H120" i="103"/>
  <c r="AN125" i="103"/>
  <c r="O129" i="58"/>
  <c r="C132" i="67"/>
  <c r="Y130" i="22"/>
  <c r="C95" i="58"/>
  <c r="C96" i="22"/>
  <c r="H104" i="22"/>
  <c r="O103" i="103"/>
  <c r="K114" i="67"/>
  <c r="S112" i="22"/>
  <c r="K117" i="67"/>
  <c r="S115" i="22"/>
  <c r="F117" i="58"/>
  <c r="K118" i="22"/>
  <c r="L118" i="22" s="1"/>
  <c r="U117" i="103"/>
  <c r="F130" i="58"/>
  <c r="K131" i="22"/>
  <c r="L131" i="22" s="1"/>
  <c r="U130" i="103"/>
  <c r="D143" i="58"/>
  <c r="F144" i="22"/>
  <c r="AT379" i="103"/>
  <c r="O107" i="58"/>
  <c r="C110" i="67"/>
  <c r="Y108" i="22"/>
  <c r="P89" i="58"/>
  <c r="H91" i="67"/>
  <c r="W90" i="22"/>
  <c r="P92" i="58"/>
  <c r="H94" i="67"/>
  <c r="W93" i="22"/>
  <c r="D106" i="58"/>
  <c r="F107" i="22"/>
  <c r="Q111" i="58"/>
  <c r="N114" i="67"/>
  <c r="U112" i="22"/>
  <c r="AG159" i="22"/>
  <c r="BZ158" i="103"/>
  <c r="CB158" i="103" s="1"/>
  <c r="L162" i="67" s="1"/>
  <c r="AG182" i="22"/>
  <c r="BZ181" i="103"/>
  <c r="CB181" i="103" s="1"/>
  <c r="L186" i="67" s="1"/>
  <c r="AM181" i="103"/>
  <c r="AG174" i="22"/>
  <c r="BZ173" i="103"/>
  <c r="CB173" i="103" s="1"/>
  <c r="L178" i="67" s="1"/>
  <c r="AG187" i="22"/>
  <c r="BZ186" i="103"/>
  <c r="CB186" i="103" s="1"/>
  <c r="L191" i="67" s="1"/>
  <c r="AM186" i="103"/>
  <c r="AG224" i="22"/>
  <c r="BZ223" i="103"/>
  <c r="CB223" i="103" s="1"/>
  <c r="BZ342" i="103"/>
  <c r="CB342" i="103" s="1"/>
  <c r="BZ356" i="103"/>
  <c r="CB356" i="103" s="1"/>
  <c r="AM368" i="103"/>
  <c r="T397" i="58"/>
  <c r="T384" i="58"/>
  <c r="X254" i="58"/>
  <c r="X384" i="58" s="1"/>
  <c r="U387" i="58"/>
  <c r="N345" i="58"/>
  <c r="T376" i="58"/>
  <c r="AI33" i="22"/>
  <c r="Q24" i="58"/>
  <c r="N24" i="67"/>
  <c r="U25" i="22"/>
  <c r="K18" i="67"/>
  <c r="S19" i="22"/>
  <c r="AG35" i="22"/>
  <c r="BZ34" i="103"/>
  <c r="CC34" i="103" s="1"/>
  <c r="O20" i="58"/>
  <c r="C20" i="67"/>
  <c r="Y21" i="22"/>
  <c r="E13" i="22"/>
  <c r="H12" i="103"/>
  <c r="E34" i="22"/>
  <c r="H33" i="103"/>
  <c r="CG21" i="103"/>
  <c r="CI21" i="103" s="1"/>
  <c r="H20" i="22"/>
  <c r="O19" i="103"/>
  <c r="AI14" i="22"/>
  <c r="V376" i="103"/>
  <c r="E30" i="67"/>
  <c r="Q31" i="22"/>
  <c r="D15" i="58"/>
  <c r="F16" i="22"/>
  <c r="AG13" i="22"/>
  <c r="BZ12" i="103"/>
  <c r="CC12" i="103" s="1"/>
  <c r="CG40" i="103"/>
  <c r="CH40" i="103" s="1"/>
  <c r="O28" i="58"/>
  <c r="C28" i="67"/>
  <c r="Y29" i="22"/>
  <c r="F20" i="58"/>
  <c r="K21" i="22"/>
  <c r="L21" i="22" s="1"/>
  <c r="U20" i="103"/>
  <c r="AQ376" i="103"/>
  <c r="BD11" i="103"/>
  <c r="C36" i="58"/>
  <c r="C37" i="22"/>
  <c r="P31" i="58"/>
  <c r="H31" i="67"/>
  <c r="W32" i="22"/>
  <c r="E21" i="22"/>
  <c r="H20" i="103"/>
  <c r="BN376" i="103"/>
  <c r="H34" i="22"/>
  <c r="O33" i="103"/>
  <c r="AI28" i="22"/>
  <c r="CG43" i="103"/>
  <c r="CI43" i="103" s="1"/>
  <c r="C34" i="58"/>
  <c r="C35" i="22"/>
  <c r="C31" i="58"/>
  <c r="C32" i="22"/>
  <c r="C28" i="58"/>
  <c r="C29" i="22"/>
  <c r="C25" i="58"/>
  <c r="C26" i="22"/>
  <c r="C22" i="58"/>
  <c r="C23" i="22"/>
  <c r="F13" i="58"/>
  <c r="K14" i="22"/>
  <c r="L14" i="22" s="1"/>
  <c r="U13" i="103"/>
  <c r="D32" i="58"/>
  <c r="F33" i="22"/>
  <c r="E14" i="22"/>
  <c r="H13" i="103"/>
  <c r="E26" i="22"/>
  <c r="H25" i="103"/>
  <c r="E19" i="67"/>
  <c r="Q20" i="22"/>
  <c r="Q45" i="58"/>
  <c r="N46" i="67"/>
  <c r="U46" i="22"/>
  <c r="O48" i="58"/>
  <c r="C49" i="67"/>
  <c r="Y49" i="22"/>
  <c r="M58" i="67"/>
  <c r="D58" i="67"/>
  <c r="AA58" i="22"/>
  <c r="E66" i="67"/>
  <c r="Q66" i="22"/>
  <c r="E72" i="22"/>
  <c r="H71" i="103"/>
  <c r="H58" i="22"/>
  <c r="O57" i="103"/>
  <c r="Q72" i="67"/>
  <c r="Q103" i="67" s="1"/>
  <c r="BH378" i="103"/>
  <c r="O73" i="58"/>
  <c r="C75" i="67"/>
  <c r="Y74" i="22"/>
  <c r="E57" i="22"/>
  <c r="H56" i="103"/>
  <c r="M78" i="67"/>
  <c r="D78" i="67"/>
  <c r="AA77" i="22"/>
  <c r="Q89" i="58"/>
  <c r="N91" i="67"/>
  <c r="U90" i="22"/>
  <c r="E38" i="58"/>
  <c r="Y38" i="58" s="1"/>
  <c r="I39" i="22"/>
  <c r="R38" i="103"/>
  <c r="E41" i="58"/>
  <c r="Y41" i="58" s="1"/>
  <c r="I42" i="22"/>
  <c r="R41" i="103"/>
  <c r="Q74" i="58"/>
  <c r="N76" i="67"/>
  <c r="U75" i="22"/>
  <c r="E54" i="58"/>
  <c r="Y54" i="58" s="1"/>
  <c r="I55" i="22"/>
  <c r="R54" i="103"/>
  <c r="P68" i="58"/>
  <c r="H69" i="67"/>
  <c r="W69" i="22"/>
  <c r="BK378" i="103"/>
  <c r="AM76" i="103"/>
  <c r="CG81" i="103"/>
  <c r="CI81" i="103" s="1"/>
  <c r="P37" i="58"/>
  <c r="H37" i="67"/>
  <c r="W38" i="22"/>
  <c r="AY377" i="103"/>
  <c r="AM45" i="103"/>
  <c r="E55" i="67"/>
  <c r="Q55" i="22"/>
  <c r="CJ378" i="103"/>
  <c r="AG80" i="22"/>
  <c r="BZ79" i="103"/>
  <c r="CB79" i="103" s="1"/>
  <c r="L81" i="67" s="1"/>
  <c r="D84" i="67"/>
  <c r="M84" i="67"/>
  <c r="AA83" i="22"/>
  <c r="AZ377" i="103"/>
  <c r="Q50" i="58"/>
  <c r="N51" i="67"/>
  <c r="U51" i="22"/>
  <c r="P53" i="58"/>
  <c r="H54" i="67"/>
  <c r="W54" i="22"/>
  <c r="C78" i="58"/>
  <c r="C79" i="22"/>
  <c r="CG85" i="103"/>
  <c r="CI85" i="103" s="1"/>
  <c r="AN61" i="103"/>
  <c r="D64" i="58"/>
  <c r="F65" i="22"/>
  <c r="Q72" i="58"/>
  <c r="N74" i="67"/>
  <c r="U73" i="22"/>
  <c r="AI81" i="22"/>
  <c r="H38" i="22"/>
  <c r="O37" i="103"/>
  <c r="K49" i="67"/>
  <c r="S49" i="22"/>
  <c r="F51" i="58"/>
  <c r="K52" i="22"/>
  <c r="L52" i="22" s="1"/>
  <c r="U51" i="103"/>
  <c r="M60" i="67"/>
  <c r="D60" i="67"/>
  <c r="AA60" i="22"/>
  <c r="S378" i="103"/>
  <c r="E74" i="22"/>
  <c r="H73" i="103"/>
  <c r="BO377" i="103"/>
  <c r="AI60" i="22"/>
  <c r="D71" i="58"/>
  <c r="F72" i="22"/>
  <c r="K81" i="67"/>
  <c r="S80" i="22"/>
  <c r="K85" i="67"/>
  <c r="S84" i="22"/>
  <c r="K36" i="67"/>
  <c r="S37" i="22"/>
  <c r="F39" i="58"/>
  <c r="K40" i="22"/>
  <c r="L40" i="22" s="1"/>
  <c r="U39" i="103"/>
  <c r="D77" i="67"/>
  <c r="M77" i="67"/>
  <c r="AA76" i="22"/>
  <c r="BD80" i="103"/>
  <c r="O60" i="58"/>
  <c r="C61" i="67"/>
  <c r="Y61" i="22"/>
  <c r="H70" i="22"/>
  <c r="O69" i="103"/>
  <c r="E82" i="67"/>
  <c r="Q81" i="22"/>
  <c r="C84" i="58"/>
  <c r="C85" i="22"/>
  <c r="AI90" i="22"/>
  <c r="H96" i="22"/>
  <c r="O95" i="103"/>
  <c r="P87" i="58"/>
  <c r="H89" i="67"/>
  <c r="W88" i="22"/>
  <c r="CG100" i="103"/>
  <c r="CH100" i="103" s="1"/>
  <c r="Q115" i="58"/>
  <c r="N118" i="67"/>
  <c r="U116" i="22"/>
  <c r="AI124" i="22"/>
  <c r="AG99" i="22"/>
  <c r="BZ98" i="103"/>
  <c r="CB98" i="103" s="1"/>
  <c r="L100" i="67" s="1"/>
  <c r="D101" i="58"/>
  <c r="F102" i="22"/>
  <c r="P379" i="103"/>
  <c r="P118" i="58"/>
  <c r="H121" i="67"/>
  <c r="W119" i="22"/>
  <c r="C97" i="58"/>
  <c r="C98" i="22"/>
  <c r="AI103" i="22"/>
  <c r="K116" i="67"/>
  <c r="S114" i="22"/>
  <c r="F116" i="58"/>
  <c r="K117" i="22"/>
  <c r="L117" i="22" s="1"/>
  <c r="U116" i="103"/>
  <c r="BC118" i="103"/>
  <c r="O124" i="58"/>
  <c r="C127" i="67"/>
  <c r="Y125" i="22"/>
  <c r="Q88" i="58"/>
  <c r="N90" i="67"/>
  <c r="U89" i="22"/>
  <c r="AI97" i="22"/>
  <c r="E85" i="67"/>
  <c r="Q84" i="22"/>
  <c r="AN88" i="103"/>
  <c r="P94" i="58"/>
  <c r="H96" i="67"/>
  <c r="W95" i="22"/>
  <c r="D102" i="58"/>
  <c r="F103" i="22"/>
  <c r="Q110" i="58"/>
  <c r="N113" i="67"/>
  <c r="U111" i="22"/>
  <c r="AI119" i="22"/>
  <c r="H125" i="22"/>
  <c r="O124" i="103"/>
  <c r="K88" i="67"/>
  <c r="S87" i="22"/>
  <c r="F89" i="58"/>
  <c r="K90" i="22"/>
  <c r="L90" i="22" s="1"/>
  <c r="U89" i="103"/>
  <c r="O97" i="58"/>
  <c r="C99" i="67"/>
  <c r="Y98" i="22"/>
  <c r="CG111" i="103"/>
  <c r="CH111" i="103" s="1"/>
  <c r="E124" i="22"/>
  <c r="H123" i="103"/>
  <c r="BC129" i="103"/>
  <c r="F139" i="58"/>
  <c r="K140" i="22"/>
  <c r="L140" i="22" s="1"/>
  <c r="U139" i="103"/>
  <c r="C98" i="58"/>
  <c r="C99" i="22"/>
  <c r="H107" i="22"/>
  <c r="O106" i="103"/>
  <c r="E98" i="67"/>
  <c r="Q97" i="22"/>
  <c r="BF379" i="103"/>
  <c r="P95" i="58"/>
  <c r="H97" i="67"/>
  <c r="W96" i="22"/>
  <c r="P98" i="58"/>
  <c r="H100" i="67"/>
  <c r="W99" i="22"/>
  <c r="AG107" i="22"/>
  <c r="BZ106" i="103"/>
  <c r="CB106" i="103" s="1"/>
  <c r="L109" i="67" s="1"/>
  <c r="Q114" i="58"/>
  <c r="N117" i="67"/>
  <c r="U115" i="22"/>
  <c r="P83" i="58"/>
  <c r="H85" i="67"/>
  <c r="W84" i="22"/>
  <c r="H108" i="22"/>
  <c r="O107" i="103"/>
  <c r="L107" i="103" s="1"/>
  <c r="BC109" i="103"/>
  <c r="BC112" i="103"/>
  <c r="AG177" i="22"/>
  <c r="BZ176" i="103"/>
  <c r="CB176" i="103" s="1"/>
  <c r="L181" i="67" s="1"/>
  <c r="AG214" i="22"/>
  <c r="BZ213" i="103"/>
  <c r="CB213" i="103" s="1"/>
  <c r="L219" i="67" s="1"/>
  <c r="AG190" i="22"/>
  <c r="BZ189" i="103"/>
  <c r="CB189" i="103" s="1"/>
  <c r="L194" i="67" s="1"/>
  <c r="AM189" i="103"/>
  <c r="AM220" i="103"/>
  <c r="AM223" i="103"/>
  <c r="BZ309" i="103"/>
  <c r="CC309" i="103" s="1"/>
  <c r="AM309" i="103"/>
  <c r="BZ345" i="103"/>
  <c r="CC345" i="103" s="1"/>
  <c r="AM342" i="103"/>
  <c r="AM345" i="103"/>
  <c r="BZ359" i="103"/>
  <c r="CB359" i="103" s="1"/>
  <c r="U384" i="58"/>
  <c r="N254" i="58"/>
  <c r="S398" i="58"/>
  <c r="S385" i="58"/>
  <c r="U386" i="58"/>
  <c r="N315" i="58"/>
  <c r="T389" i="58"/>
  <c r="J15" i="17"/>
  <c r="H36" i="22"/>
  <c r="O35" i="103"/>
  <c r="AI30" i="22"/>
  <c r="Q21" i="58"/>
  <c r="N21" i="67"/>
  <c r="U22" i="22"/>
  <c r="C33" i="58"/>
  <c r="C34" i="22"/>
  <c r="C30" i="58"/>
  <c r="C31" i="22"/>
  <c r="C27" i="58"/>
  <c r="C28" i="22"/>
  <c r="C24" i="58"/>
  <c r="C25" i="22"/>
  <c r="C21" i="58"/>
  <c r="C22" i="22"/>
  <c r="F18" i="58"/>
  <c r="K19" i="22"/>
  <c r="L19" i="22" s="1"/>
  <c r="U18" i="103"/>
  <c r="K15" i="67"/>
  <c r="S16" i="22"/>
  <c r="AR376" i="103"/>
  <c r="D34" i="58"/>
  <c r="F35" i="22"/>
  <c r="AN31" i="103"/>
  <c r="CE376" i="103"/>
  <c r="E31" i="22"/>
  <c r="H30" i="103"/>
  <c r="H17" i="22"/>
  <c r="O16" i="103"/>
  <c r="E27" i="67"/>
  <c r="Q28" i="22"/>
  <c r="BB21" i="103"/>
  <c r="BD18" i="103"/>
  <c r="BD15" i="103"/>
  <c r="AO376" i="103"/>
  <c r="BD12" i="103"/>
  <c r="D12" i="58"/>
  <c r="F13" i="22"/>
  <c r="O25" i="58"/>
  <c r="C25" i="67"/>
  <c r="Y26" i="22"/>
  <c r="E18" i="22"/>
  <c r="H17" i="103"/>
  <c r="AE376" i="103"/>
  <c r="P28" i="58"/>
  <c r="H28" i="67"/>
  <c r="W29" i="22"/>
  <c r="E17" i="67"/>
  <c r="Q18" i="22"/>
  <c r="H31" i="22"/>
  <c r="O30" i="103"/>
  <c r="AI25" i="22"/>
  <c r="O18" i="58"/>
  <c r="C18" i="67"/>
  <c r="Y19" i="22"/>
  <c r="D29" i="58"/>
  <c r="F30" i="22"/>
  <c r="P33" i="58"/>
  <c r="H33" i="67"/>
  <c r="W34" i="22"/>
  <c r="E23" i="22"/>
  <c r="H22" i="103"/>
  <c r="E16" i="67"/>
  <c r="Q17" i="22"/>
  <c r="E37" i="67"/>
  <c r="Q38" i="22"/>
  <c r="BF377" i="103"/>
  <c r="O51" i="58"/>
  <c r="C52" i="67"/>
  <c r="Y52" i="22"/>
  <c r="M61" i="67"/>
  <c r="D61" i="67"/>
  <c r="AA61" i="22"/>
  <c r="E75" i="22"/>
  <c r="H74" i="103"/>
  <c r="E84" i="67"/>
  <c r="Q83" i="22"/>
  <c r="C52" i="58"/>
  <c r="C53" i="22"/>
  <c r="AI55" i="22"/>
  <c r="H61" i="22"/>
  <c r="O60" i="103"/>
  <c r="F68" i="58"/>
  <c r="K69" i="22"/>
  <c r="L69" i="22" s="1"/>
  <c r="U68" i="103"/>
  <c r="BT378" i="103"/>
  <c r="O76" i="58"/>
  <c r="C78" i="67"/>
  <c r="Y77" i="22"/>
  <c r="O39" i="58"/>
  <c r="C39" i="67"/>
  <c r="Y40" i="22"/>
  <c r="E60" i="22"/>
  <c r="H59" i="103"/>
  <c r="BU378" i="103"/>
  <c r="M81" i="67"/>
  <c r="D81" i="67"/>
  <c r="AA80" i="22"/>
  <c r="BD38" i="103"/>
  <c r="BD41" i="103"/>
  <c r="E44" i="58"/>
  <c r="Y44" i="58" s="1"/>
  <c r="I45" i="22"/>
  <c r="R44" i="103"/>
  <c r="E51" i="22"/>
  <c r="H50" i="103"/>
  <c r="O55" i="58"/>
  <c r="C56" i="67"/>
  <c r="Y56" i="22"/>
  <c r="E67" i="67"/>
  <c r="Q67" i="22"/>
  <c r="Q77" i="58"/>
  <c r="N79" i="67"/>
  <c r="U78" i="22"/>
  <c r="O87" i="58"/>
  <c r="C89" i="67"/>
  <c r="Y88" i="22"/>
  <c r="E38" i="67"/>
  <c r="Q39" i="22"/>
  <c r="BD54" i="103"/>
  <c r="E57" i="58"/>
  <c r="Y57" i="58" s="1"/>
  <c r="I58" i="22"/>
  <c r="R57" i="103"/>
  <c r="P71" i="58"/>
  <c r="H73" i="67"/>
  <c r="W72" i="22"/>
  <c r="AM79" i="103"/>
  <c r="P40" i="58"/>
  <c r="H40" i="67"/>
  <c r="W41" i="22"/>
  <c r="BK377" i="103"/>
  <c r="M50" i="67"/>
  <c r="D50" i="67"/>
  <c r="AA50" i="22"/>
  <c r="E58" i="67"/>
  <c r="Q58" i="22"/>
  <c r="O68" i="58"/>
  <c r="C69" i="67"/>
  <c r="Y69" i="22"/>
  <c r="AI83" i="22"/>
  <c r="BL377" i="103"/>
  <c r="P56" i="58"/>
  <c r="H57" i="67"/>
  <c r="W57" i="22"/>
  <c r="C81" i="58"/>
  <c r="C82" i="22"/>
  <c r="C86" i="58"/>
  <c r="C87" i="22"/>
  <c r="C86" i="103"/>
  <c r="Q47" i="58"/>
  <c r="N48" i="67"/>
  <c r="U48" i="22"/>
  <c r="P50" i="58"/>
  <c r="H51" i="67"/>
  <c r="W51" i="22"/>
  <c r="AN64" i="103"/>
  <c r="Q75" i="58"/>
  <c r="N77" i="67"/>
  <c r="U76" i="22"/>
  <c r="H41" i="22"/>
  <c r="O40" i="103"/>
  <c r="BN377" i="103"/>
  <c r="K52" i="67"/>
  <c r="S52" i="22"/>
  <c r="D63" i="67"/>
  <c r="M63" i="67"/>
  <c r="AA63" i="22"/>
  <c r="AE378" i="103"/>
  <c r="E77" i="22"/>
  <c r="H76" i="103"/>
  <c r="Q54" i="58"/>
  <c r="N55" i="67"/>
  <c r="U55" i="22"/>
  <c r="AI63" i="22"/>
  <c r="D74" i="58"/>
  <c r="F75" i="22"/>
  <c r="K39" i="67"/>
  <c r="S40" i="22"/>
  <c r="F42" i="58"/>
  <c r="K43" i="22"/>
  <c r="L43" i="22" s="1"/>
  <c r="T377" i="103"/>
  <c r="U42" i="103"/>
  <c r="C48" i="58"/>
  <c r="C49" i="22"/>
  <c r="AI51" i="22"/>
  <c r="C67" i="58"/>
  <c r="C68" i="22"/>
  <c r="M80" i="67"/>
  <c r="D80" i="67"/>
  <c r="AA79" i="22"/>
  <c r="F88" i="58"/>
  <c r="K89" i="22"/>
  <c r="L89" i="22" s="1"/>
  <c r="U88" i="103"/>
  <c r="H48" i="22"/>
  <c r="O47" i="103"/>
  <c r="F55" i="58"/>
  <c r="K56" i="22"/>
  <c r="L56" i="22" s="1"/>
  <c r="U55" i="103"/>
  <c r="O63" i="58"/>
  <c r="C64" i="67"/>
  <c r="Y64" i="22"/>
  <c r="AI67" i="22"/>
  <c r="H73" i="22"/>
  <c r="O72" i="103"/>
  <c r="AI93" i="22"/>
  <c r="H99" i="22"/>
  <c r="O98" i="103"/>
  <c r="Q84" i="58"/>
  <c r="N86" i="67"/>
  <c r="U85" i="22"/>
  <c r="P90" i="58"/>
  <c r="H92" i="67"/>
  <c r="W91" i="22"/>
  <c r="D104" i="58"/>
  <c r="F105" i="22"/>
  <c r="Q118" i="58"/>
  <c r="N121" i="67"/>
  <c r="U119" i="22"/>
  <c r="AI127" i="22"/>
  <c r="AG102" i="22"/>
  <c r="BZ101" i="103"/>
  <c r="CB101" i="103" s="1"/>
  <c r="E111" i="22"/>
  <c r="H110" i="103"/>
  <c r="P121" i="58"/>
  <c r="H124" i="67"/>
  <c r="W122" i="22"/>
  <c r="D83" i="58"/>
  <c r="F84" i="22"/>
  <c r="C100" i="58"/>
  <c r="C101" i="22"/>
  <c r="AI106" i="22"/>
  <c r="D108" i="58"/>
  <c r="F109" i="22"/>
  <c r="J108" i="103"/>
  <c r="K119" i="67"/>
  <c r="S117" i="22"/>
  <c r="F119" i="58"/>
  <c r="K120" i="22"/>
  <c r="L120" i="22" s="1"/>
  <c r="U119" i="103"/>
  <c r="BC121" i="103"/>
  <c r="K140" i="67"/>
  <c r="S137" i="22"/>
  <c r="AM136" i="103"/>
  <c r="Q91" i="58"/>
  <c r="N93" i="67"/>
  <c r="U92" i="22"/>
  <c r="AI100" i="22"/>
  <c r="E108" i="58"/>
  <c r="Y108" i="58" s="1"/>
  <c r="I109" i="22"/>
  <c r="R108" i="103"/>
  <c r="E111" i="58"/>
  <c r="Y111" i="58" s="1"/>
  <c r="I112" i="22"/>
  <c r="R111" i="103"/>
  <c r="E114" i="58"/>
  <c r="Y114" i="58" s="1"/>
  <c r="I115" i="22"/>
  <c r="R114" i="103"/>
  <c r="E117" i="58"/>
  <c r="Y117" i="58" s="1"/>
  <c r="I118" i="22"/>
  <c r="R117" i="103"/>
  <c r="E120" i="58"/>
  <c r="Y120" i="58" s="1"/>
  <c r="I121" i="22"/>
  <c r="R120" i="103"/>
  <c r="E123" i="58"/>
  <c r="Y123" i="58" s="1"/>
  <c r="I124" i="22"/>
  <c r="R123" i="103"/>
  <c r="E126" i="58"/>
  <c r="Y126" i="58" s="1"/>
  <c r="I127" i="22"/>
  <c r="R126" i="103"/>
  <c r="H131" i="22"/>
  <c r="O130" i="103"/>
  <c r="E87" i="22"/>
  <c r="H86" i="103"/>
  <c r="AN91" i="103"/>
  <c r="P97" i="58"/>
  <c r="H99" i="67"/>
  <c r="W98" i="22"/>
  <c r="AN102" i="103"/>
  <c r="D105" i="58"/>
  <c r="F106" i="22"/>
  <c r="Q113" i="58"/>
  <c r="N116" i="67"/>
  <c r="U114" i="22"/>
  <c r="AI122" i="22"/>
  <c r="E127" i="58"/>
  <c r="Y127" i="58" s="1"/>
  <c r="I128" i="22"/>
  <c r="R127" i="103"/>
  <c r="K91" i="67"/>
  <c r="S90" i="22"/>
  <c r="F92" i="58"/>
  <c r="K93" i="22"/>
  <c r="L93" i="22" s="1"/>
  <c r="U92" i="103"/>
  <c r="O100" i="58"/>
  <c r="C102" i="67"/>
  <c r="Y101" i="22"/>
  <c r="CG114" i="103"/>
  <c r="CH114" i="103" s="1"/>
  <c r="E127" i="22"/>
  <c r="H126" i="103"/>
  <c r="K123" i="67"/>
  <c r="S121" i="22"/>
  <c r="F123" i="58"/>
  <c r="K124" i="22"/>
  <c r="L124" i="22" s="1"/>
  <c r="U123" i="103"/>
  <c r="F126" i="58"/>
  <c r="K127" i="22"/>
  <c r="L127" i="22" s="1"/>
  <c r="U126" i="103"/>
  <c r="D131" i="58"/>
  <c r="F132" i="22"/>
  <c r="P380" i="103"/>
  <c r="K152" i="67"/>
  <c r="S149" i="22"/>
  <c r="E101" i="67"/>
  <c r="Q100" i="22"/>
  <c r="BR379" i="103"/>
  <c r="C111" i="58"/>
  <c r="C112" i="22"/>
  <c r="C114" i="58"/>
  <c r="C115" i="22"/>
  <c r="C117" i="58"/>
  <c r="C118" i="22"/>
  <c r="C120" i="58"/>
  <c r="C121" i="22"/>
  <c r="C123" i="58"/>
  <c r="C124" i="22"/>
  <c r="C126" i="58"/>
  <c r="C127" i="22"/>
  <c r="BR380" i="103"/>
  <c r="Q120" i="58"/>
  <c r="N123" i="67"/>
  <c r="U121" i="22"/>
  <c r="Q123" i="58"/>
  <c r="N126" i="67"/>
  <c r="U124" i="22"/>
  <c r="D107" i="67"/>
  <c r="M107" i="67"/>
  <c r="AA105" i="22"/>
  <c r="AM158" i="103"/>
  <c r="AG194" i="22"/>
  <c r="BZ193" i="103"/>
  <c r="CB193" i="103" s="1"/>
  <c r="L199" i="67" s="1"/>
  <c r="AM193" i="103"/>
  <c r="AG193" i="22"/>
  <c r="BZ192" i="103"/>
  <c r="CB192" i="103" s="1"/>
  <c r="AM192" i="103"/>
  <c r="BZ307" i="103"/>
  <c r="CB307" i="103" s="1"/>
  <c r="BZ343" i="103"/>
  <c r="CB343" i="103" s="1"/>
  <c r="BZ370" i="103"/>
  <c r="CB370" i="103" s="1"/>
  <c r="AM370" i="103"/>
  <c r="BZ362" i="103"/>
  <c r="CB362" i="103" s="1"/>
  <c r="S391" i="58"/>
  <c r="S378" i="58"/>
  <c r="S396" i="58"/>
  <c r="S383" i="58"/>
  <c r="T395" i="58"/>
  <c r="T382" i="58"/>
  <c r="X192" i="58"/>
  <c r="X382" i="58" s="1"/>
  <c r="T400" i="58"/>
  <c r="T387" i="58"/>
  <c r="X345" i="58"/>
  <c r="X387" i="58" s="1"/>
  <c r="S390" i="58"/>
  <c r="S377" i="58"/>
  <c r="U376" i="58"/>
  <c r="N11" i="58"/>
  <c r="H33" i="22"/>
  <c r="O32" i="103"/>
  <c r="AI27" i="22"/>
  <c r="AG376" i="103"/>
  <c r="F15" i="58"/>
  <c r="K16" i="22"/>
  <c r="L16" i="22" s="1"/>
  <c r="U15" i="103"/>
  <c r="K12" i="67"/>
  <c r="S13" i="22"/>
  <c r="D31" i="58"/>
  <c r="F32" i="22"/>
  <c r="AG29" i="22"/>
  <c r="BZ28" i="103"/>
  <c r="CC28" i="103" s="1"/>
  <c r="P17" i="58"/>
  <c r="H17" i="67"/>
  <c r="W18" i="22"/>
  <c r="BS376" i="103"/>
  <c r="E28" i="22"/>
  <c r="H27" i="103"/>
  <c r="H14" i="22"/>
  <c r="O13" i="103"/>
  <c r="Q35" i="58"/>
  <c r="N35" i="67"/>
  <c r="U36" i="22"/>
  <c r="E24" i="67"/>
  <c r="Q25" i="22"/>
  <c r="E18" i="58"/>
  <c r="Y18" i="58" s="1"/>
  <c r="I19" i="22"/>
  <c r="R18" i="103"/>
  <c r="E15" i="58"/>
  <c r="Y15" i="58" s="1"/>
  <c r="I16" i="22"/>
  <c r="R15" i="103"/>
  <c r="C35" i="58"/>
  <c r="C36" i="22"/>
  <c r="C32" i="58"/>
  <c r="C33" i="22"/>
  <c r="C29" i="58"/>
  <c r="C30" i="22"/>
  <c r="C26" i="58"/>
  <c r="C27" i="22"/>
  <c r="C23" i="58"/>
  <c r="C24" i="22"/>
  <c r="C20" i="58"/>
  <c r="C21" i="22"/>
  <c r="C20" i="103"/>
  <c r="K17" i="67"/>
  <c r="S18" i="22"/>
  <c r="AM12" i="22"/>
  <c r="BP376" i="103"/>
  <c r="O22" i="58"/>
  <c r="C22" i="67"/>
  <c r="Y23" i="22"/>
  <c r="E15" i="22"/>
  <c r="H14" i="103"/>
  <c r="S376" i="103"/>
  <c r="P25" i="58"/>
  <c r="H25" i="67"/>
  <c r="W26" i="22"/>
  <c r="E14" i="67"/>
  <c r="Q15" i="22"/>
  <c r="E11" i="67"/>
  <c r="Q12" i="22"/>
  <c r="AD376" i="103"/>
  <c r="H28" i="22"/>
  <c r="O27" i="103"/>
  <c r="AI22" i="22"/>
  <c r="C19" i="58"/>
  <c r="C20" i="22"/>
  <c r="C16" i="58"/>
  <c r="C17" i="22"/>
  <c r="C13" i="58"/>
  <c r="C14" i="22"/>
  <c r="E38" i="22"/>
  <c r="H37" i="103"/>
  <c r="O15" i="58"/>
  <c r="C15" i="67"/>
  <c r="Y16" i="22"/>
  <c r="K34" i="67"/>
  <c r="S35" i="22"/>
  <c r="D26" i="58"/>
  <c r="F27" i="22"/>
  <c r="P18" i="58"/>
  <c r="H18" i="67"/>
  <c r="W19" i="22"/>
  <c r="P30" i="58"/>
  <c r="H30" i="67"/>
  <c r="W31" i="22"/>
  <c r="E13" i="67"/>
  <c r="Q14" i="22"/>
  <c r="E40" i="67"/>
  <c r="Q41" i="22"/>
  <c r="BR377" i="103"/>
  <c r="D64" i="67"/>
  <c r="M64" i="67"/>
  <c r="AA64" i="22"/>
  <c r="E78" i="22"/>
  <c r="H77" i="103"/>
  <c r="AI58" i="22"/>
  <c r="H64" i="22"/>
  <c r="O63" i="103"/>
  <c r="CG65" i="103"/>
  <c r="CI65" i="103" s="1"/>
  <c r="K69" i="67"/>
  <c r="S69" i="22"/>
  <c r="F71" i="58"/>
  <c r="K72" i="22"/>
  <c r="L72" i="22" s="1"/>
  <c r="U71" i="103"/>
  <c r="O79" i="58"/>
  <c r="C81" i="67"/>
  <c r="Y80" i="22"/>
  <c r="O42" i="58"/>
  <c r="C43" i="67"/>
  <c r="Y43" i="22"/>
  <c r="AJ377" i="103"/>
  <c r="H49" i="22"/>
  <c r="O48" i="103"/>
  <c r="L48" i="103" s="1"/>
  <c r="E63" i="22"/>
  <c r="H62" i="103"/>
  <c r="C68" i="58"/>
  <c r="C69" i="22"/>
  <c r="C71" i="58"/>
  <c r="C72" i="22"/>
  <c r="H83" i="22"/>
  <c r="O82" i="103"/>
  <c r="E48" i="67"/>
  <c r="Q48" i="22"/>
  <c r="E54" i="22"/>
  <c r="H53" i="103"/>
  <c r="O58" i="58"/>
  <c r="C59" i="67"/>
  <c r="Y59" i="22"/>
  <c r="E70" i="67"/>
  <c r="Q70" i="22"/>
  <c r="Q80" i="58"/>
  <c r="N82" i="67"/>
  <c r="U81" i="22"/>
  <c r="E41" i="67"/>
  <c r="Q42" i="22"/>
  <c r="E60" i="58"/>
  <c r="Y60" i="58" s="1"/>
  <c r="I61" i="22"/>
  <c r="R60" i="103"/>
  <c r="P74" i="58"/>
  <c r="H76" i="67"/>
  <c r="W75" i="22"/>
  <c r="D82" i="58"/>
  <c r="F83" i="22"/>
  <c r="P43" i="58"/>
  <c r="H44" i="67"/>
  <c r="W44" i="22"/>
  <c r="D53" i="67"/>
  <c r="M53" i="67"/>
  <c r="AA53" i="22"/>
  <c r="E61" i="67"/>
  <c r="Q61" i="22"/>
  <c r="O71" i="58"/>
  <c r="C73" i="67"/>
  <c r="Y72" i="22"/>
  <c r="O37" i="58"/>
  <c r="C37" i="67"/>
  <c r="Y38" i="22"/>
  <c r="CJ377" i="103"/>
  <c r="P59" i="58"/>
  <c r="H60" i="67"/>
  <c r="W60" i="22"/>
  <c r="E67" i="58"/>
  <c r="Y67" i="58" s="1"/>
  <c r="I68" i="22"/>
  <c r="R67" i="103"/>
  <c r="H92" i="22"/>
  <c r="O91" i="103"/>
  <c r="O53" i="58"/>
  <c r="C54" i="67"/>
  <c r="Y54" i="22"/>
  <c r="E68" i="67"/>
  <c r="Q68" i="22"/>
  <c r="Q78" i="58"/>
  <c r="N80" i="67"/>
  <c r="U79" i="22"/>
  <c r="AI38" i="22"/>
  <c r="H44" i="22"/>
  <c r="O43" i="103"/>
  <c r="C54" i="58"/>
  <c r="C55" i="22"/>
  <c r="H66" i="22"/>
  <c r="O65" i="103"/>
  <c r="BC67" i="103"/>
  <c r="AQ378" i="103"/>
  <c r="E80" i="22"/>
  <c r="H79" i="103"/>
  <c r="P38" i="58"/>
  <c r="H38" i="67"/>
  <c r="W39" i="22"/>
  <c r="D46" i="58"/>
  <c r="F47" i="22"/>
  <c r="J46" i="103"/>
  <c r="Q57" i="58"/>
  <c r="N58" i="67"/>
  <c r="U58" i="22"/>
  <c r="D77" i="58"/>
  <c r="F78" i="22"/>
  <c r="K43" i="67"/>
  <c r="S43" i="22"/>
  <c r="AF377" i="103"/>
  <c r="F45" i="58"/>
  <c r="K46" i="22"/>
  <c r="L46" i="22" s="1"/>
  <c r="U45" i="103"/>
  <c r="AM59" i="103"/>
  <c r="C70" i="58"/>
  <c r="C71" i="22"/>
  <c r="I378" i="103"/>
  <c r="M83" i="67"/>
  <c r="D83" i="67"/>
  <c r="AA82" i="22"/>
  <c r="C39" i="58"/>
  <c r="C40" i="22"/>
  <c r="C42" i="58"/>
  <c r="C43" i="22"/>
  <c r="I377" i="103"/>
  <c r="K56" i="67"/>
  <c r="S56" i="22"/>
  <c r="F58" i="58"/>
  <c r="K59" i="22"/>
  <c r="L59" i="22" s="1"/>
  <c r="U58" i="103"/>
  <c r="AI70" i="22"/>
  <c r="H76" i="22"/>
  <c r="O75" i="103"/>
  <c r="BB80" i="103"/>
  <c r="AI89" i="22"/>
  <c r="Q87" i="58"/>
  <c r="N89" i="67"/>
  <c r="U88" i="22"/>
  <c r="AI96" i="22"/>
  <c r="H102" i="22"/>
  <c r="N379" i="103"/>
  <c r="O101" i="103"/>
  <c r="CG103" i="103"/>
  <c r="CI103" i="103" s="1"/>
  <c r="BB103" i="103"/>
  <c r="C109" i="58"/>
  <c r="C110" i="22"/>
  <c r="C112" i="58"/>
  <c r="C113" i="22"/>
  <c r="C115" i="58"/>
  <c r="C116" i="22"/>
  <c r="C118" i="58"/>
  <c r="C119" i="22"/>
  <c r="C121" i="58"/>
  <c r="C122" i="22"/>
  <c r="C124" i="58"/>
  <c r="C125" i="22"/>
  <c r="P93" i="58"/>
  <c r="H95" i="67"/>
  <c r="W94" i="22"/>
  <c r="AG105" i="22"/>
  <c r="BZ104" i="103"/>
  <c r="CC104" i="103" s="1"/>
  <c r="E107" i="58"/>
  <c r="Y107" i="58" s="1"/>
  <c r="I108" i="22"/>
  <c r="R107" i="103"/>
  <c r="E113" i="67"/>
  <c r="Q111" i="22"/>
  <c r="Q121" i="58"/>
  <c r="N124" i="67"/>
  <c r="U122" i="22"/>
  <c r="H137" i="22"/>
  <c r="O136" i="103"/>
  <c r="O90" i="58"/>
  <c r="C92" i="67"/>
  <c r="Y91" i="22"/>
  <c r="AZ379" i="103"/>
  <c r="E104" i="58"/>
  <c r="Y104" i="58" s="1"/>
  <c r="I105" i="22"/>
  <c r="R104" i="103"/>
  <c r="E110" i="67"/>
  <c r="Q108" i="22"/>
  <c r="E114" i="22"/>
  <c r="H113" i="103"/>
  <c r="P124" i="58"/>
  <c r="H127" i="67"/>
  <c r="W125" i="22"/>
  <c r="AG84" i="22"/>
  <c r="BZ83" i="103"/>
  <c r="CB83" i="103" s="1"/>
  <c r="L85" i="67" s="1"/>
  <c r="E86" i="58"/>
  <c r="Y86" i="58" s="1"/>
  <c r="I87" i="22"/>
  <c r="R86" i="103"/>
  <c r="AG109" i="22"/>
  <c r="BZ108" i="103"/>
  <c r="CB108" i="103" s="1"/>
  <c r="L111" i="67" s="1"/>
  <c r="D111" i="58"/>
  <c r="F112" i="22"/>
  <c r="K122" i="67"/>
  <c r="S120" i="22"/>
  <c r="F122" i="58"/>
  <c r="K123" i="22"/>
  <c r="L123" i="22" s="1"/>
  <c r="U122" i="103"/>
  <c r="BC124" i="103"/>
  <c r="K131" i="67"/>
  <c r="S129" i="22"/>
  <c r="E83" i="58"/>
  <c r="Y83" i="58" s="1"/>
  <c r="I84" i="22"/>
  <c r="R83" i="103"/>
  <c r="Q94" i="58"/>
  <c r="N96" i="67"/>
  <c r="U95" i="22"/>
  <c r="CG130" i="103"/>
  <c r="CH130" i="103" s="1"/>
  <c r="BB130" i="103"/>
  <c r="E90" i="22"/>
  <c r="H89" i="103"/>
  <c r="P100" i="58"/>
  <c r="H102" i="67"/>
  <c r="W101" i="22"/>
  <c r="AN105" i="103"/>
  <c r="Q116" i="58"/>
  <c r="N119" i="67"/>
  <c r="U117" i="22"/>
  <c r="AI125" i="22"/>
  <c r="O127" i="58"/>
  <c r="C130" i="67"/>
  <c r="Y128" i="22"/>
  <c r="CG83" i="103"/>
  <c r="CH83" i="103" s="1"/>
  <c r="K94" i="67"/>
  <c r="S93" i="22"/>
  <c r="F95" i="58"/>
  <c r="K96" i="22"/>
  <c r="L96" i="22" s="1"/>
  <c r="U95" i="103"/>
  <c r="C104" i="58"/>
  <c r="C105" i="22"/>
  <c r="C107" i="58"/>
  <c r="C108" i="22"/>
  <c r="CG117" i="103"/>
  <c r="CH117" i="103" s="1"/>
  <c r="AI131" i="22"/>
  <c r="AM130" i="103"/>
  <c r="O144" i="58"/>
  <c r="C148" i="67"/>
  <c r="Y145" i="22"/>
  <c r="AG379" i="103"/>
  <c r="AI107" i="22"/>
  <c r="AN109" i="103"/>
  <c r="D112" i="58"/>
  <c r="F113" i="22"/>
  <c r="D115" i="58"/>
  <c r="F116" i="22"/>
  <c r="K126" i="67"/>
  <c r="S124" i="22"/>
  <c r="K129" i="67"/>
  <c r="S127" i="22"/>
  <c r="BL380" i="103"/>
  <c r="E106" i="22"/>
  <c r="H105" i="103"/>
  <c r="AN132" i="103"/>
  <c r="E86" i="67"/>
  <c r="Q85" i="22"/>
  <c r="E88" i="22"/>
  <c r="H87" i="103"/>
  <c r="BG379" i="103"/>
  <c r="E112" i="67"/>
  <c r="Q110" i="22"/>
  <c r="Q126" i="58"/>
  <c r="N129" i="67"/>
  <c r="U127" i="22"/>
  <c r="O86" i="58"/>
  <c r="C88" i="67"/>
  <c r="Y87" i="22"/>
  <c r="O89" i="58"/>
  <c r="C91" i="67"/>
  <c r="Y90" i="22"/>
  <c r="O101" i="58"/>
  <c r="C104" i="67"/>
  <c r="Y102" i="22"/>
  <c r="AJ379" i="103"/>
  <c r="F84" i="58"/>
  <c r="K85" i="22"/>
  <c r="L85" i="22" s="1"/>
  <c r="U84" i="103"/>
  <c r="AG191" i="22"/>
  <c r="BZ190" i="103"/>
  <c r="CB190" i="103" s="1"/>
  <c r="L195" i="67" s="1"/>
  <c r="AM190" i="103"/>
  <c r="AM191" i="103"/>
  <c r="V383" i="58"/>
  <c r="T385" i="58"/>
  <c r="T398" i="58"/>
  <c r="X284" i="58"/>
  <c r="X385" i="58" s="1"/>
  <c r="S386" i="58"/>
  <c r="S399" i="58"/>
  <c r="H30" i="22"/>
  <c r="O29" i="103"/>
  <c r="AI24" i="22"/>
  <c r="C18" i="58"/>
  <c r="C19" i="22"/>
  <c r="C15" i="58"/>
  <c r="C16" i="22"/>
  <c r="C12" i="58"/>
  <c r="C13" i="22"/>
  <c r="F12" i="58"/>
  <c r="K13" i="22"/>
  <c r="L13" i="22" s="1"/>
  <c r="U12" i="103"/>
  <c r="E36" i="58"/>
  <c r="Y36" i="58" s="1"/>
  <c r="I37" i="22"/>
  <c r="R36" i="103"/>
  <c r="D28" i="58"/>
  <c r="F29" i="22"/>
  <c r="AG26" i="22"/>
  <c r="BZ25" i="103"/>
  <c r="CB25" i="103" s="1"/>
  <c r="L25" i="67" s="1"/>
  <c r="P14" i="58"/>
  <c r="H14" i="67"/>
  <c r="W15" i="22"/>
  <c r="P35" i="58"/>
  <c r="H35" i="67"/>
  <c r="W36" i="22"/>
  <c r="E25" i="22"/>
  <c r="H24" i="103"/>
  <c r="BB15" i="103"/>
  <c r="Q32" i="58"/>
  <c r="N32" i="67"/>
  <c r="U33" i="22"/>
  <c r="E21" i="67"/>
  <c r="Q22" i="22"/>
  <c r="F17" i="58"/>
  <c r="K18" i="22"/>
  <c r="L18" i="22" s="1"/>
  <c r="U17" i="103"/>
  <c r="K14" i="67"/>
  <c r="S15" i="22"/>
  <c r="K11" i="67"/>
  <c r="S12" i="22"/>
  <c r="AF376" i="103"/>
  <c r="Q36" i="58"/>
  <c r="N36" i="67"/>
  <c r="U37" i="22"/>
  <c r="AG34" i="22"/>
  <c r="BZ33" i="103"/>
  <c r="CB33" i="103" s="1"/>
  <c r="L33" i="67" s="1"/>
  <c r="E12" i="22"/>
  <c r="G376" i="103"/>
  <c r="H11" i="103"/>
  <c r="CG35" i="103"/>
  <c r="CH35" i="103" s="1"/>
  <c r="P22" i="58"/>
  <c r="H22" i="67"/>
  <c r="W23" i="22"/>
  <c r="E35" i="67"/>
  <c r="Q36" i="22"/>
  <c r="H25" i="22"/>
  <c r="O24" i="103"/>
  <c r="D33" i="67"/>
  <c r="AA34" i="22"/>
  <c r="D30" i="67"/>
  <c r="AA31" i="22"/>
  <c r="D27" i="67"/>
  <c r="AA28" i="22"/>
  <c r="D24" i="67"/>
  <c r="AA25" i="22"/>
  <c r="D21" i="67"/>
  <c r="AA22" i="22"/>
  <c r="O12" i="58"/>
  <c r="C12" i="67"/>
  <c r="Y13" i="22"/>
  <c r="F34" i="58"/>
  <c r="K35" i="22"/>
  <c r="L35" i="22" s="1"/>
  <c r="U34" i="103"/>
  <c r="K31" i="67"/>
  <c r="S32" i="22"/>
  <c r="D23" i="58"/>
  <c r="F24" i="22"/>
  <c r="AG21" i="22"/>
  <c r="BZ20" i="103"/>
  <c r="CB20" i="103" s="1"/>
  <c r="L20" i="67" s="1"/>
  <c r="P15" i="58"/>
  <c r="H15" i="67"/>
  <c r="W16" i="22"/>
  <c r="AM35" i="103"/>
  <c r="P27" i="58"/>
  <c r="H27" i="67"/>
  <c r="W28" i="22"/>
  <c r="BB37" i="103"/>
  <c r="E44" i="67"/>
  <c r="Q44" i="22"/>
  <c r="F49" i="58"/>
  <c r="K50" i="22"/>
  <c r="L50" i="22" s="1"/>
  <c r="U49" i="103"/>
  <c r="C55" i="58"/>
  <c r="C56" i="22"/>
  <c r="CG68" i="103"/>
  <c r="CH68" i="103" s="1"/>
  <c r="E81" i="22"/>
  <c r="H80" i="103"/>
  <c r="AI61" i="22"/>
  <c r="K73" i="67"/>
  <c r="S72" i="22"/>
  <c r="F74" i="58"/>
  <c r="K75" i="22"/>
  <c r="L75" i="22" s="1"/>
  <c r="U74" i="103"/>
  <c r="CG82" i="103"/>
  <c r="CI82" i="103" s="1"/>
  <c r="F37" i="58"/>
  <c r="K38" i="22"/>
  <c r="L38" i="22" s="1"/>
  <c r="U37" i="103"/>
  <c r="Q43" i="67"/>
  <c r="Q71" i="67" s="1"/>
  <c r="BH377" i="103"/>
  <c r="O45" i="58"/>
  <c r="C46" i="67"/>
  <c r="Y46" i="22"/>
  <c r="H52" i="22"/>
  <c r="O51" i="103"/>
  <c r="CG53" i="103"/>
  <c r="CH53" i="103" s="1"/>
  <c r="F65" i="58"/>
  <c r="K66" i="22"/>
  <c r="L66" i="22" s="1"/>
  <c r="U65" i="103"/>
  <c r="C74" i="58"/>
  <c r="C75" i="22"/>
  <c r="Q82" i="58"/>
  <c r="N84" i="67"/>
  <c r="U83" i="22"/>
  <c r="D36" i="67"/>
  <c r="AA37" i="22"/>
  <c r="D39" i="67"/>
  <c r="AA40" i="22"/>
  <c r="D43" i="67"/>
  <c r="M43" i="67"/>
  <c r="AA43" i="22"/>
  <c r="AK377" i="103"/>
  <c r="F53" i="58"/>
  <c r="K54" i="22"/>
  <c r="L54" i="22" s="1"/>
  <c r="U53" i="103"/>
  <c r="O61" i="58"/>
  <c r="C62" i="67"/>
  <c r="Y62" i="22"/>
  <c r="E74" i="67"/>
  <c r="Q73" i="22"/>
  <c r="E45" i="67"/>
  <c r="Q45" i="22"/>
  <c r="E48" i="22"/>
  <c r="H47" i="103"/>
  <c r="O49" i="58"/>
  <c r="C50" i="67"/>
  <c r="Y50" i="22"/>
  <c r="D56" i="67"/>
  <c r="M56" i="67"/>
  <c r="AA56" i="22"/>
  <c r="E63" i="58"/>
  <c r="Y63" i="58" s="1"/>
  <c r="I64" i="22"/>
  <c r="R63" i="103"/>
  <c r="E67" i="22"/>
  <c r="H66" i="103"/>
  <c r="P77" i="58"/>
  <c r="H79" i="67"/>
  <c r="W78" i="22"/>
  <c r="O82" i="58"/>
  <c r="C84" i="67"/>
  <c r="Y83" i="22"/>
  <c r="O46" i="58"/>
  <c r="C47" i="67"/>
  <c r="Y47" i="22"/>
  <c r="E64" i="67"/>
  <c r="Q64" i="22"/>
  <c r="F66" i="58"/>
  <c r="K67" i="22"/>
  <c r="L67" i="22" s="1"/>
  <c r="U66" i="103"/>
  <c r="O74" i="58"/>
  <c r="C76" i="67"/>
  <c r="Y75" i="22"/>
  <c r="O40" i="58"/>
  <c r="C40" i="67"/>
  <c r="Y41" i="22"/>
  <c r="E49" i="67"/>
  <c r="Q49" i="22"/>
  <c r="P62" i="58"/>
  <c r="H63" i="67"/>
  <c r="W63" i="22"/>
  <c r="E70" i="58"/>
  <c r="I71" i="22"/>
  <c r="Q378" i="103"/>
  <c r="R70" i="103"/>
  <c r="O56" i="58"/>
  <c r="C57" i="67"/>
  <c r="Y57" i="22"/>
  <c r="E72" i="67"/>
  <c r="Q71" i="22"/>
  <c r="AD378" i="103"/>
  <c r="Q81" i="58"/>
  <c r="N83" i="67"/>
  <c r="U82" i="22"/>
  <c r="AI41" i="22"/>
  <c r="AM46" i="103"/>
  <c r="D49" i="58"/>
  <c r="F50" i="22"/>
  <c r="C57" i="58"/>
  <c r="C58" i="22"/>
  <c r="BC70" i="103"/>
  <c r="E83" i="22"/>
  <c r="H82" i="103"/>
  <c r="E92" i="67"/>
  <c r="Q91" i="22"/>
  <c r="P41" i="58"/>
  <c r="H41" i="67"/>
  <c r="W42" i="22"/>
  <c r="AG47" i="22"/>
  <c r="BZ46" i="103"/>
  <c r="CC46" i="103" s="1"/>
  <c r="Q60" i="58"/>
  <c r="N61" i="67"/>
  <c r="U61" i="22"/>
  <c r="D80" i="58"/>
  <c r="F81" i="22"/>
  <c r="D37" i="58"/>
  <c r="F38" i="22"/>
  <c r="AR377" i="103"/>
  <c r="K46" i="67"/>
  <c r="S46" i="22"/>
  <c r="Q48" i="58"/>
  <c r="N49" i="67"/>
  <c r="U49" i="22"/>
  <c r="P54" i="58"/>
  <c r="H55" i="67"/>
  <c r="W55" i="22"/>
  <c r="AM62" i="103"/>
  <c r="AG378" i="103"/>
  <c r="C73" i="58"/>
  <c r="C74" i="22"/>
  <c r="AG377" i="103"/>
  <c r="C45" i="58"/>
  <c r="C46" i="22"/>
  <c r="AI48" i="22"/>
  <c r="AM50" i="103"/>
  <c r="K59" i="67"/>
  <c r="S59" i="22"/>
  <c r="F61" i="58"/>
  <c r="K62" i="22"/>
  <c r="L62" i="22" s="1"/>
  <c r="U61" i="103"/>
  <c r="AI73" i="22"/>
  <c r="H79" i="22"/>
  <c r="O78" i="103"/>
  <c r="Q90" i="58"/>
  <c r="N92" i="67"/>
  <c r="U91" i="22"/>
  <c r="AI99" i="22"/>
  <c r="CG106" i="103"/>
  <c r="CI106" i="103" s="1"/>
  <c r="BB106" i="103"/>
  <c r="P96" i="58"/>
  <c r="H98" i="67"/>
  <c r="W97" i="22"/>
  <c r="AY379" i="103"/>
  <c r="E116" i="67"/>
  <c r="Q114" i="22"/>
  <c r="Q124" i="58"/>
  <c r="N127" i="67"/>
  <c r="U125" i="22"/>
  <c r="AG138" i="22"/>
  <c r="BZ137" i="103"/>
  <c r="CB137" i="103" s="1"/>
  <c r="L141" i="67" s="1"/>
  <c r="O93" i="58"/>
  <c r="C95" i="67"/>
  <c r="Y94" i="22"/>
  <c r="BL379" i="103"/>
  <c r="E117" i="22"/>
  <c r="H116" i="103"/>
  <c r="F136" i="58"/>
  <c r="K137" i="22"/>
  <c r="L137" i="22" s="1"/>
  <c r="U136" i="103"/>
  <c r="E89" i="58"/>
  <c r="Y89" i="58" s="1"/>
  <c r="I90" i="22"/>
  <c r="R89" i="103"/>
  <c r="Q103" i="58"/>
  <c r="N106" i="67"/>
  <c r="U104" i="22"/>
  <c r="AG112" i="22"/>
  <c r="BZ111" i="103"/>
  <c r="CB111" i="103" s="1"/>
  <c r="L114" i="67" s="1"/>
  <c r="D114" i="58"/>
  <c r="F115" i="22"/>
  <c r="K125" i="67"/>
  <c r="S123" i="22"/>
  <c r="F125" i="58"/>
  <c r="K126" i="22"/>
  <c r="L126" i="22" s="1"/>
  <c r="U125" i="103"/>
  <c r="D140" i="58"/>
  <c r="F141" i="22"/>
  <c r="BD83" i="103"/>
  <c r="E88" i="67"/>
  <c r="Q87" i="22"/>
  <c r="Q97" i="58"/>
  <c r="N99" i="67"/>
  <c r="U98" i="22"/>
  <c r="P103" i="58"/>
  <c r="H106" i="67"/>
  <c r="W104" i="22"/>
  <c r="AZ380" i="103"/>
  <c r="E93" i="22"/>
  <c r="H92" i="103"/>
  <c r="E111" i="67"/>
  <c r="Q109" i="22"/>
  <c r="Q119" i="58"/>
  <c r="N122" i="67"/>
  <c r="U120" i="22"/>
  <c r="O128" i="58"/>
  <c r="C131" i="67"/>
  <c r="Y129" i="22"/>
  <c r="D87" i="58"/>
  <c r="F88" i="22"/>
  <c r="K97" i="67"/>
  <c r="S96" i="22"/>
  <c r="F98" i="58"/>
  <c r="K99" i="22"/>
  <c r="L99" i="22" s="1"/>
  <c r="U98" i="103"/>
  <c r="AM115" i="103"/>
  <c r="CG120" i="103"/>
  <c r="CH120" i="103" s="1"/>
  <c r="BK380" i="103"/>
  <c r="AS379" i="103"/>
  <c r="AN112" i="103"/>
  <c r="AG116" i="22"/>
  <c r="BZ115" i="103"/>
  <c r="CC115" i="103" s="1"/>
  <c r="D118" i="58"/>
  <c r="F119" i="22"/>
  <c r="H95" i="22"/>
  <c r="O94" i="103"/>
  <c r="E94" i="22"/>
  <c r="H93" i="103"/>
  <c r="BS379" i="103"/>
  <c r="E115" i="67"/>
  <c r="Q113" i="22"/>
  <c r="Q104" i="67"/>
  <c r="Q134" i="67" s="1"/>
  <c r="BH379" i="103"/>
  <c r="P117" i="58"/>
  <c r="H120" i="67"/>
  <c r="W118" i="22"/>
  <c r="AG176" i="22"/>
  <c r="BZ175" i="103"/>
  <c r="CB175" i="103" s="1"/>
  <c r="L180" i="67" s="1"/>
  <c r="AM175" i="103"/>
  <c r="AG186" i="22"/>
  <c r="BZ185" i="103"/>
  <c r="CB185" i="103" s="1"/>
  <c r="L190" i="67" s="1"/>
  <c r="AM185" i="103"/>
  <c r="BZ368" i="103"/>
  <c r="CB368" i="103" s="1"/>
  <c r="T391" i="58"/>
  <c r="T378" i="58"/>
  <c r="X70" i="58"/>
  <c r="X378" i="58" s="1"/>
  <c r="S392" i="58"/>
  <c r="S379" i="58"/>
  <c r="S394" i="58"/>
  <c r="S381" i="58"/>
  <c r="U382" i="58"/>
  <c r="N192" i="58"/>
  <c r="S400" i="58"/>
  <c r="S387" i="58"/>
  <c r="H27" i="22"/>
  <c r="O26" i="103"/>
  <c r="AI21" i="22"/>
  <c r="BU376" i="103"/>
  <c r="D35" i="67"/>
  <c r="AA36" i="22"/>
  <c r="D32" i="67"/>
  <c r="AA33" i="22"/>
  <c r="D29" i="67"/>
  <c r="AA30" i="22"/>
  <c r="D26" i="67"/>
  <c r="AA27" i="22"/>
  <c r="D23" i="67"/>
  <c r="AA24" i="22"/>
  <c r="D20" i="67"/>
  <c r="AA21" i="22"/>
  <c r="O17" i="58"/>
  <c r="C17" i="67"/>
  <c r="Y18" i="22"/>
  <c r="BT376" i="103"/>
  <c r="K33" i="67"/>
  <c r="S34" i="22"/>
  <c r="D25" i="58"/>
  <c r="F26" i="22"/>
  <c r="AG23" i="22"/>
  <c r="BZ22" i="103"/>
  <c r="CC22" i="103" s="1"/>
  <c r="AM19" i="103"/>
  <c r="P11" i="58"/>
  <c r="H11" i="67"/>
  <c r="W12" i="22"/>
  <c r="AI376" i="103"/>
  <c r="P32" i="58"/>
  <c r="H32" i="67"/>
  <c r="W33" i="22"/>
  <c r="E22" i="22"/>
  <c r="H21" i="103"/>
  <c r="E18" i="67"/>
  <c r="Q19" i="22"/>
  <c r="BB12" i="103"/>
  <c r="AG48" i="22"/>
  <c r="BZ47" i="103"/>
  <c r="CC47" i="103" s="1"/>
  <c r="Q29" i="58"/>
  <c r="N29" i="67"/>
  <c r="U30" i="22"/>
  <c r="M49" i="67"/>
  <c r="D49" i="67"/>
  <c r="AA49" i="22"/>
  <c r="F14" i="58"/>
  <c r="K15" i="22"/>
  <c r="L15" i="22" s="1"/>
  <c r="U14" i="103"/>
  <c r="F11" i="58"/>
  <c r="K12" i="22"/>
  <c r="L12" i="22" s="1"/>
  <c r="T376" i="103"/>
  <c r="U11" i="103"/>
  <c r="D33" i="58"/>
  <c r="F34" i="22"/>
  <c r="AG31" i="22"/>
  <c r="BZ30" i="103"/>
  <c r="CC30" i="103" s="1"/>
  <c r="P19" i="58"/>
  <c r="H19" i="67"/>
  <c r="W20" i="22"/>
  <c r="CG32" i="103"/>
  <c r="CH32" i="103" s="1"/>
  <c r="AM27" i="103"/>
  <c r="Q19" i="58"/>
  <c r="N19" i="67"/>
  <c r="U20" i="22"/>
  <c r="D52" i="67"/>
  <c r="M52" i="67"/>
  <c r="AA52" i="22"/>
  <c r="E32" i="67"/>
  <c r="Q33" i="22"/>
  <c r="H22" i="22"/>
  <c r="O21" i="103"/>
  <c r="F31" i="58"/>
  <c r="K32" i="22"/>
  <c r="L32" i="22" s="1"/>
  <c r="U31" i="103"/>
  <c r="K28" i="67"/>
  <c r="S29" i="22"/>
  <c r="D20" i="58"/>
  <c r="F21" i="22"/>
  <c r="P12" i="58"/>
  <c r="H12" i="67"/>
  <c r="W13" i="22"/>
  <c r="AM32" i="103"/>
  <c r="P24" i="58"/>
  <c r="H24" i="67"/>
  <c r="W25" i="22"/>
  <c r="Q18" i="58"/>
  <c r="N18" i="67"/>
  <c r="U19" i="22"/>
  <c r="BB40" i="103"/>
  <c r="K50" i="67"/>
  <c r="S50" i="22"/>
  <c r="F52" i="58"/>
  <c r="K53" i="22"/>
  <c r="L53" i="22" s="1"/>
  <c r="U52" i="103"/>
  <c r="C58" i="58"/>
  <c r="C59" i="22"/>
  <c r="CG71" i="103"/>
  <c r="CI71" i="103" s="1"/>
  <c r="P84" i="58"/>
  <c r="H86" i="67"/>
  <c r="W85" i="22"/>
  <c r="Q55" i="58"/>
  <c r="N56" i="67"/>
  <c r="U56" i="22"/>
  <c r="AI64" i="22"/>
  <c r="D66" i="58"/>
  <c r="F67" i="22"/>
  <c r="K76" i="67"/>
  <c r="S75" i="22"/>
  <c r="F77" i="58"/>
  <c r="K78" i="22"/>
  <c r="L78" i="22" s="1"/>
  <c r="U77" i="103"/>
  <c r="K37" i="67"/>
  <c r="S38" i="22"/>
  <c r="F40" i="58"/>
  <c r="K41" i="22"/>
  <c r="L41" i="22" s="1"/>
  <c r="U40" i="103"/>
  <c r="BT377" i="103"/>
  <c r="AI49" i="22"/>
  <c r="CG56" i="103"/>
  <c r="CH56" i="103" s="1"/>
  <c r="K66" i="67"/>
  <c r="S66" i="22"/>
  <c r="C77" i="58"/>
  <c r="C78" i="22"/>
  <c r="AW377" i="103"/>
  <c r="M46" i="67"/>
  <c r="D46" i="67"/>
  <c r="AA46" i="22"/>
  <c r="K54" i="67"/>
  <c r="S54" i="22"/>
  <c r="F56" i="58"/>
  <c r="K57" i="22"/>
  <c r="L57" i="22" s="1"/>
  <c r="U56" i="103"/>
  <c r="O64" i="58"/>
  <c r="C65" i="67"/>
  <c r="Y65" i="22"/>
  <c r="E77" i="67"/>
  <c r="Q76" i="22"/>
  <c r="H37" i="22"/>
  <c r="O36" i="103"/>
  <c r="O52" i="58"/>
  <c r="C53" i="67"/>
  <c r="Y53" i="22"/>
  <c r="M59" i="67"/>
  <c r="D59" i="67"/>
  <c r="AA59" i="22"/>
  <c r="E70" i="22"/>
  <c r="H69" i="103"/>
  <c r="P80" i="58"/>
  <c r="H82" i="67"/>
  <c r="W81" i="22"/>
  <c r="E39" i="22"/>
  <c r="H38" i="103"/>
  <c r="H56" i="22"/>
  <c r="O55" i="103"/>
  <c r="K67" i="67"/>
  <c r="S67" i="22"/>
  <c r="F69" i="58"/>
  <c r="K70" i="22"/>
  <c r="L70" i="22" s="1"/>
  <c r="U69" i="103"/>
  <c r="O77" i="58"/>
  <c r="C79" i="67"/>
  <c r="Y78" i="22"/>
  <c r="E86" i="22"/>
  <c r="H85" i="103"/>
  <c r="O43" i="58"/>
  <c r="C44" i="67"/>
  <c r="Y44" i="22"/>
  <c r="E52" i="67"/>
  <c r="Q52" i="22"/>
  <c r="E55" i="22"/>
  <c r="H54" i="103"/>
  <c r="AO378" i="103"/>
  <c r="BD70" i="103"/>
  <c r="E73" i="58"/>
  <c r="Y73" i="58" s="1"/>
  <c r="I74" i="22"/>
  <c r="R73" i="103"/>
  <c r="E95" i="67"/>
  <c r="Q94" i="22"/>
  <c r="E39" i="58"/>
  <c r="Y39" i="58" s="1"/>
  <c r="I40" i="22"/>
  <c r="R39" i="103"/>
  <c r="E42" i="58"/>
  <c r="I43" i="22"/>
  <c r="Q377" i="103"/>
  <c r="R42" i="103"/>
  <c r="O59" i="58"/>
  <c r="C60" i="67"/>
  <c r="Y60" i="22"/>
  <c r="AP378" i="103"/>
  <c r="E75" i="67"/>
  <c r="Q74" i="22"/>
  <c r="AI44" i="22"/>
  <c r="AN49" i="103"/>
  <c r="D52" i="58"/>
  <c r="F53" i="22"/>
  <c r="C60" i="58"/>
  <c r="C61" i="22"/>
  <c r="AI66" i="22"/>
  <c r="AM68" i="103"/>
  <c r="BO378" i="103"/>
  <c r="BC73" i="103"/>
  <c r="P44" i="58"/>
  <c r="H45" i="67"/>
  <c r="W45" i="22"/>
  <c r="E49" i="58"/>
  <c r="Y49" i="58" s="1"/>
  <c r="I50" i="22"/>
  <c r="R49" i="103"/>
  <c r="Q63" i="58"/>
  <c r="N64" i="67"/>
  <c r="U64" i="22"/>
  <c r="O66" i="58"/>
  <c r="C67" i="67"/>
  <c r="Y67" i="22"/>
  <c r="AN37" i="103"/>
  <c r="D40" i="58"/>
  <c r="F41" i="22"/>
  <c r="AM43" i="22"/>
  <c r="BP377" i="103"/>
  <c r="Q51" i="58"/>
  <c r="N52" i="67"/>
  <c r="U52" i="22"/>
  <c r="P57" i="58"/>
  <c r="H58" i="67"/>
  <c r="W58" i="22"/>
  <c r="D65" i="58"/>
  <c r="F66" i="22"/>
  <c r="AS378" i="103"/>
  <c r="C76" i="58"/>
  <c r="C77" i="22"/>
  <c r="AS377" i="103"/>
  <c r="D53" i="58"/>
  <c r="F54" i="22"/>
  <c r="J53" i="103"/>
  <c r="K62" i="67"/>
  <c r="S62" i="22"/>
  <c r="F64" i="58"/>
  <c r="K65" i="22"/>
  <c r="L65" i="22" s="1"/>
  <c r="U64" i="103"/>
  <c r="Q67" i="58"/>
  <c r="N68" i="67"/>
  <c r="U68" i="22"/>
  <c r="V378" i="103"/>
  <c r="AI76" i="22"/>
  <c r="H82" i="22"/>
  <c r="O81" i="103"/>
  <c r="Q93" i="58"/>
  <c r="N95" i="67"/>
  <c r="U94" i="22"/>
  <c r="AI102" i="22"/>
  <c r="BJ379" i="103"/>
  <c r="E89" i="22"/>
  <c r="H88" i="103"/>
  <c r="P99" i="58"/>
  <c r="H101" i="67"/>
  <c r="W100" i="22"/>
  <c r="E119" i="67"/>
  <c r="Q117" i="22"/>
  <c r="O96" i="58"/>
  <c r="C98" i="67"/>
  <c r="Y97" i="22"/>
  <c r="CJ379" i="103"/>
  <c r="E120" i="22"/>
  <c r="H119" i="103"/>
  <c r="AN124" i="103"/>
  <c r="H128" i="22"/>
  <c r="O127" i="103"/>
  <c r="E92" i="58"/>
  <c r="Y92" i="58" s="1"/>
  <c r="I93" i="22"/>
  <c r="R92" i="103"/>
  <c r="Q106" i="58"/>
  <c r="N109" i="67"/>
  <c r="U107" i="22"/>
  <c r="AG115" i="22"/>
  <c r="BZ114" i="103"/>
  <c r="CB114" i="103" s="1"/>
  <c r="L117" i="67" s="1"/>
  <c r="D117" i="58"/>
  <c r="F118" i="22"/>
  <c r="K128" i="67"/>
  <c r="S126" i="22"/>
  <c r="E132" i="67"/>
  <c r="Q130" i="22"/>
  <c r="E91" i="67"/>
  <c r="Q90" i="22"/>
  <c r="Q100" i="58"/>
  <c r="N102" i="67"/>
  <c r="U101" i="22"/>
  <c r="P106" i="58"/>
  <c r="H109" i="67"/>
  <c r="W107" i="22"/>
  <c r="M112" i="67"/>
  <c r="D112" i="67"/>
  <c r="AA110" i="22"/>
  <c r="M115" i="67"/>
  <c r="D115" i="67"/>
  <c r="AA113" i="22"/>
  <c r="D118" i="67"/>
  <c r="M118" i="67"/>
  <c r="AA116" i="22"/>
  <c r="D121" i="67"/>
  <c r="M121" i="67"/>
  <c r="AA119" i="22"/>
  <c r="M124" i="67"/>
  <c r="D124" i="67"/>
  <c r="AA122" i="22"/>
  <c r="M127" i="67"/>
  <c r="D127" i="67"/>
  <c r="AA125" i="22"/>
  <c r="D127" i="58"/>
  <c r="F128" i="22"/>
  <c r="H85" i="22"/>
  <c r="O84" i="103"/>
  <c r="E96" i="22"/>
  <c r="H95" i="103"/>
  <c r="E114" i="67"/>
  <c r="Q112" i="22"/>
  <c r="Q122" i="58"/>
  <c r="N125" i="67"/>
  <c r="U123" i="22"/>
  <c r="AG141" i="22"/>
  <c r="BZ140" i="103"/>
  <c r="CB140" i="103" s="1"/>
  <c r="L144" i="67" s="1"/>
  <c r="AN87" i="103"/>
  <c r="D90" i="58"/>
  <c r="F91" i="22"/>
  <c r="K100" i="67"/>
  <c r="S99" i="22"/>
  <c r="F101" i="58"/>
  <c r="K102" i="22"/>
  <c r="L102" i="22" s="1"/>
  <c r="T379" i="103"/>
  <c r="U101" i="103"/>
  <c r="Q107" i="58"/>
  <c r="N110" i="67"/>
  <c r="U108" i="22"/>
  <c r="P110" i="58"/>
  <c r="H113" i="67"/>
  <c r="W111" i="22"/>
  <c r="CG123" i="103"/>
  <c r="CH123" i="103" s="1"/>
  <c r="F148" i="58"/>
  <c r="K149" i="22"/>
  <c r="L149" i="22" s="1"/>
  <c r="U148" i="103"/>
  <c r="E93" i="58"/>
  <c r="Y93" i="58" s="1"/>
  <c r="I94" i="22"/>
  <c r="R93" i="103"/>
  <c r="BE379" i="103"/>
  <c r="Q104" i="58"/>
  <c r="N107" i="67"/>
  <c r="U105" i="22"/>
  <c r="P107" i="58"/>
  <c r="H110" i="67"/>
  <c r="W108" i="22"/>
  <c r="AN118" i="103"/>
  <c r="D121" i="58"/>
  <c r="F122" i="22"/>
  <c r="E97" i="22"/>
  <c r="H96" i="103"/>
  <c r="E100" i="22"/>
  <c r="H99" i="103"/>
  <c r="CE379" i="103"/>
  <c r="O104" i="58"/>
  <c r="C107" i="67"/>
  <c r="Y105" i="22"/>
  <c r="E118" i="67"/>
  <c r="Q116" i="22"/>
  <c r="E85" i="22"/>
  <c r="H84" i="103"/>
  <c r="P111" i="58"/>
  <c r="H114" i="67"/>
  <c r="W112" i="22"/>
  <c r="P114" i="58"/>
  <c r="H117" i="67"/>
  <c r="W115" i="22"/>
  <c r="F142" i="58"/>
  <c r="K143" i="22"/>
  <c r="L143" i="22" s="1"/>
  <c r="U142" i="103"/>
  <c r="AG189" i="22"/>
  <c r="BZ188" i="103"/>
  <c r="CB188" i="103" s="1"/>
  <c r="L193" i="67" s="1"/>
  <c r="AM188" i="103"/>
  <c r="AM198" i="103"/>
  <c r="S393" i="58"/>
  <c r="S380" i="58"/>
  <c r="V381" i="58"/>
  <c r="T396" i="58"/>
  <c r="T383" i="58"/>
  <c r="X223" i="58"/>
  <c r="X383" i="58" s="1"/>
  <c r="V384" i="58"/>
  <c r="U385" i="58"/>
  <c r="N284" i="58"/>
  <c r="V386" i="58"/>
  <c r="V376" i="58"/>
  <c r="N15" i="17"/>
  <c r="E34" i="67"/>
  <c r="Q35" i="22"/>
  <c r="H24" i="22"/>
  <c r="O23" i="103"/>
  <c r="AW376" i="103"/>
  <c r="O14" i="58"/>
  <c r="C14" i="67"/>
  <c r="Y15" i="22"/>
  <c r="Q11" i="67"/>
  <c r="Q42" i="67" s="1"/>
  <c r="BH376" i="103"/>
  <c r="F33" i="58"/>
  <c r="K34" i="22"/>
  <c r="L34" i="22" s="1"/>
  <c r="U33" i="103"/>
  <c r="K30" i="67"/>
  <c r="S31" i="22"/>
  <c r="D22" i="58"/>
  <c r="F23" i="22"/>
  <c r="AM16" i="103"/>
  <c r="P29" i="58"/>
  <c r="H29" i="67"/>
  <c r="W30" i="22"/>
  <c r="E15" i="67"/>
  <c r="Q16" i="22"/>
  <c r="AP376" i="103"/>
  <c r="K47" i="67"/>
  <c r="S47" i="22"/>
  <c r="AI35" i="22"/>
  <c r="Q26" i="58"/>
  <c r="N26" i="67"/>
  <c r="U27" i="22"/>
  <c r="F46" i="58"/>
  <c r="K47" i="22"/>
  <c r="L47" i="22" s="1"/>
  <c r="U46" i="103"/>
  <c r="D34" i="67"/>
  <c r="AA35" i="22"/>
  <c r="D31" i="67"/>
  <c r="AA32" i="22"/>
  <c r="D28" i="67"/>
  <c r="AA29" i="22"/>
  <c r="D25" i="67"/>
  <c r="AA26" i="22"/>
  <c r="D22" i="67"/>
  <c r="AA23" i="22"/>
  <c r="O19" i="58"/>
  <c r="C19" i="67"/>
  <c r="Y20" i="22"/>
  <c r="D30" i="58"/>
  <c r="F31" i="22"/>
  <c r="AG28" i="22"/>
  <c r="BZ27" i="103"/>
  <c r="CC27" i="103" s="1"/>
  <c r="P16" i="58"/>
  <c r="H16" i="67"/>
  <c r="W17" i="22"/>
  <c r="BC29" i="103"/>
  <c r="Q16" i="58"/>
  <c r="N16" i="67"/>
  <c r="U17" i="22"/>
  <c r="E50" i="58"/>
  <c r="Y50" i="58" s="1"/>
  <c r="I51" i="22"/>
  <c r="R50" i="103"/>
  <c r="E29" i="67"/>
  <c r="Q30" i="22"/>
  <c r="D18" i="67"/>
  <c r="AA19" i="22"/>
  <c r="D15" i="67"/>
  <c r="AA16" i="22"/>
  <c r="D12" i="67"/>
  <c r="AA13" i="22"/>
  <c r="BD35" i="103"/>
  <c r="BD32" i="103"/>
  <c r="BD29" i="103"/>
  <c r="BD26" i="103"/>
  <c r="BD23" i="103"/>
  <c r="BD20" i="103"/>
  <c r="CJ376" i="103"/>
  <c r="F28" i="58"/>
  <c r="K29" i="22"/>
  <c r="L29" i="22" s="1"/>
  <c r="U28" i="103"/>
  <c r="K25" i="67"/>
  <c r="S26" i="22"/>
  <c r="BK376" i="103"/>
  <c r="BC34" i="103"/>
  <c r="AM29" i="103"/>
  <c r="P21" i="58"/>
  <c r="H21" i="67"/>
  <c r="W22" i="22"/>
  <c r="Q15" i="58"/>
  <c r="N15" i="67"/>
  <c r="U16" i="22"/>
  <c r="H39" i="22"/>
  <c r="O38" i="103"/>
  <c r="BB43" i="103"/>
  <c r="K53" i="67"/>
  <c r="S53" i="22"/>
  <c r="C61" i="58"/>
  <c r="C62" i="22"/>
  <c r="CG74" i="103"/>
  <c r="CH74" i="103" s="1"/>
  <c r="O85" i="58"/>
  <c r="C87" i="67"/>
  <c r="Y86" i="22"/>
  <c r="Q58" i="58"/>
  <c r="N59" i="67"/>
  <c r="U59" i="22"/>
  <c r="AG67" i="22"/>
  <c r="BZ66" i="103"/>
  <c r="CC66" i="103" s="1"/>
  <c r="D69" i="58"/>
  <c r="F70" i="22"/>
  <c r="K79" i="67"/>
  <c r="S78" i="22"/>
  <c r="F80" i="58"/>
  <c r="K81" i="22"/>
  <c r="L81" i="22" s="1"/>
  <c r="U80" i="103"/>
  <c r="AG85" i="22"/>
  <c r="BZ84" i="103"/>
  <c r="CC84" i="103" s="1"/>
  <c r="K40" i="67"/>
  <c r="S41" i="22"/>
  <c r="F43" i="58"/>
  <c r="K44" i="22"/>
  <c r="L44" i="22" s="1"/>
  <c r="U43" i="103"/>
  <c r="AI52" i="22"/>
  <c r="AM54" i="103"/>
  <c r="CG59" i="103"/>
  <c r="CI59" i="103" s="1"/>
  <c r="C80" i="58"/>
  <c r="C81" i="22"/>
  <c r="BI377" i="103"/>
  <c r="CG50" i="103"/>
  <c r="CH50" i="103" s="1"/>
  <c r="K57" i="67"/>
  <c r="S57" i="22"/>
  <c r="F59" i="58"/>
  <c r="K60" i="22"/>
  <c r="L60" i="22" s="1"/>
  <c r="U59" i="103"/>
  <c r="H68" i="22"/>
  <c r="O67" i="103"/>
  <c r="BB72" i="103"/>
  <c r="E80" i="67"/>
  <c r="Q79" i="22"/>
  <c r="H40" i="22"/>
  <c r="O39" i="103"/>
  <c r="BB44" i="103"/>
  <c r="M62" i="67"/>
  <c r="D62" i="67"/>
  <c r="AA62" i="22"/>
  <c r="E73" i="22"/>
  <c r="H72" i="103"/>
  <c r="C83" i="58"/>
  <c r="C84" i="22"/>
  <c r="E42" i="22"/>
  <c r="H41" i="103"/>
  <c r="C50" i="58"/>
  <c r="C51" i="22"/>
  <c r="H59" i="22"/>
  <c r="O58" i="103"/>
  <c r="K70" i="67"/>
  <c r="S70" i="22"/>
  <c r="F72" i="58"/>
  <c r="K73" i="22"/>
  <c r="L73" i="22" s="1"/>
  <c r="U72" i="103"/>
  <c r="O80" i="58"/>
  <c r="C82" i="67"/>
  <c r="Y81" i="22"/>
  <c r="F38" i="58"/>
  <c r="K39" i="22"/>
  <c r="L39" i="22" s="1"/>
  <c r="U38" i="103"/>
  <c r="M47" i="67"/>
  <c r="D47" i="67"/>
  <c r="AA47" i="22"/>
  <c r="E58" i="22"/>
  <c r="H57" i="103"/>
  <c r="O65" i="58"/>
  <c r="C66" i="67"/>
  <c r="Y66" i="22"/>
  <c r="M69" i="67"/>
  <c r="D69" i="67"/>
  <c r="AA69" i="22"/>
  <c r="AK71" i="22"/>
  <c r="BM378" i="103"/>
  <c r="E76" i="58"/>
  <c r="Y76" i="58" s="1"/>
  <c r="I77" i="22"/>
  <c r="R76" i="103"/>
  <c r="BD36" i="103"/>
  <c r="BD39" i="103"/>
  <c r="AO377" i="103"/>
  <c r="BD42" i="103"/>
  <c r="E45" i="58"/>
  <c r="Y45" i="58" s="1"/>
  <c r="I46" i="22"/>
  <c r="R45" i="103"/>
  <c r="E52" i="22"/>
  <c r="H51" i="103"/>
  <c r="F54" i="58"/>
  <c r="K55" i="22"/>
  <c r="L55" i="22" s="1"/>
  <c r="U54" i="103"/>
  <c r="O62" i="58"/>
  <c r="C63" i="67"/>
  <c r="Y63" i="22"/>
  <c r="D66" i="67"/>
  <c r="M66" i="67"/>
  <c r="AA66" i="22"/>
  <c r="E78" i="67"/>
  <c r="Q77" i="22"/>
  <c r="Q38" i="58"/>
  <c r="N38" i="67"/>
  <c r="U39" i="22"/>
  <c r="AN52" i="103"/>
  <c r="C63" i="58"/>
  <c r="C64" i="22"/>
  <c r="AM71" i="103"/>
  <c r="BC76" i="103"/>
  <c r="E37" i="22"/>
  <c r="H36" i="103"/>
  <c r="BD49" i="103"/>
  <c r="E52" i="58"/>
  <c r="Y52" i="58" s="1"/>
  <c r="I53" i="22"/>
  <c r="R52" i="103"/>
  <c r="E56" i="67"/>
  <c r="Q56" i="22"/>
  <c r="O69" i="58"/>
  <c r="C70" i="67"/>
  <c r="Y70" i="22"/>
  <c r="AN40" i="103"/>
  <c r="D43" i="58"/>
  <c r="F44" i="22"/>
  <c r="P60" i="58"/>
  <c r="H61" i="67"/>
  <c r="W61" i="22"/>
  <c r="AN65" i="103"/>
  <c r="BE378" i="103"/>
  <c r="C79" i="58"/>
  <c r="C80" i="22"/>
  <c r="BE377" i="103"/>
  <c r="P48" i="58"/>
  <c r="H49" i="67"/>
  <c r="W49" i="22"/>
  <c r="AN53" i="103"/>
  <c r="D56" i="58"/>
  <c r="F57" i="22"/>
  <c r="K65" i="67"/>
  <c r="S65" i="22"/>
  <c r="Q70" i="58"/>
  <c r="N72" i="67"/>
  <c r="U71" i="22"/>
  <c r="AH378" i="103"/>
  <c r="AI79" i="22"/>
  <c r="E82" i="58"/>
  <c r="Y82" i="58" s="1"/>
  <c r="I83" i="22"/>
  <c r="R82" i="103"/>
  <c r="Q96" i="58"/>
  <c r="N98" i="67"/>
  <c r="U97" i="22"/>
  <c r="BV379" i="103"/>
  <c r="D107" i="58"/>
  <c r="F108" i="22"/>
  <c r="J107" i="103"/>
  <c r="F129" i="58"/>
  <c r="K130" i="22"/>
  <c r="L130" i="22" s="1"/>
  <c r="U129" i="103"/>
  <c r="E87" i="67"/>
  <c r="Q86" i="22"/>
  <c r="E92" i="22"/>
  <c r="H91" i="103"/>
  <c r="H109" i="22"/>
  <c r="O108" i="103"/>
  <c r="L108" i="103" s="1"/>
  <c r="E122" i="67"/>
  <c r="Q120" i="22"/>
  <c r="F91" i="58"/>
  <c r="K92" i="22"/>
  <c r="L92" i="22" s="1"/>
  <c r="U91" i="103"/>
  <c r="O99" i="58"/>
  <c r="C101" i="67"/>
  <c r="Y100" i="22"/>
  <c r="D105" i="67"/>
  <c r="M105" i="67"/>
  <c r="AA103" i="22"/>
  <c r="D108" i="67"/>
  <c r="M108" i="67"/>
  <c r="AA106" i="22"/>
  <c r="CG110" i="103"/>
  <c r="CI110" i="103" s="1"/>
  <c r="E123" i="22"/>
  <c r="H122" i="103"/>
  <c r="O141" i="58"/>
  <c r="C145" i="67"/>
  <c r="Y142" i="22"/>
  <c r="D89" i="67"/>
  <c r="M89" i="67"/>
  <c r="AA88" i="22"/>
  <c r="E95" i="58"/>
  <c r="Y95" i="58" s="1"/>
  <c r="I96" i="22"/>
  <c r="R95" i="103"/>
  <c r="AG118" i="22"/>
  <c r="BZ117" i="103"/>
  <c r="CB117" i="103" s="1"/>
  <c r="L120" i="67" s="1"/>
  <c r="D120" i="58"/>
  <c r="F121" i="22"/>
  <c r="K149" i="67"/>
  <c r="S146" i="22"/>
  <c r="D86" i="67"/>
  <c r="M86" i="67"/>
  <c r="AA85" i="22"/>
  <c r="E94" i="67"/>
  <c r="Q93" i="22"/>
  <c r="P127" i="58"/>
  <c r="H130" i="67"/>
  <c r="W128" i="22"/>
  <c r="CG86" i="103"/>
  <c r="CI86" i="103" s="1"/>
  <c r="E99" i="22"/>
  <c r="H98" i="103"/>
  <c r="E117" i="67"/>
  <c r="Q115" i="22"/>
  <c r="Q125" i="58"/>
  <c r="N128" i="67"/>
  <c r="U126" i="22"/>
  <c r="P129" i="58"/>
  <c r="H132" i="67"/>
  <c r="W130" i="22"/>
  <c r="AN90" i="103"/>
  <c r="D93" i="58"/>
  <c r="F94" i="22"/>
  <c r="K104" i="67"/>
  <c r="S102" i="22"/>
  <c r="AF379" i="103"/>
  <c r="P113" i="58"/>
  <c r="H116" i="67"/>
  <c r="W114" i="22"/>
  <c r="CG126" i="103"/>
  <c r="CH126" i="103" s="1"/>
  <c r="BD93" i="103"/>
  <c r="E96" i="58"/>
  <c r="Y96" i="58" s="1"/>
  <c r="I97" i="22"/>
  <c r="R96" i="103"/>
  <c r="BQ379" i="103"/>
  <c r="AN121" i="103"/>
  <c r="D124" i="58"/>
  <c r="F125" i="22"/>
  <c r="F127" i="58"/>
  <c r="K128" i="22"/>
  <c r="L128" i="22" s="1"/>
  <c r="U127" i="103"/>
  <c r="AI95" i="22"/>
  <c r="H101" i="22"/>
  <c r="O100" i="103"/>
  <c r="BC102" i="103"/>
  <c r="E103" i="22"/>
  <c r="D110" i="67"/>
  <c r="M110" i="67"/>
  <c r="AA108" i="22"/>
  <c r="E121" i="67"/>
  <c r="Q119" i="22"/>
  <c r="E124" i="67"/>
  <c r="Q122" i="22"/>
  <c r="F93" i="58"/>
  <c r="K94" i="22"/>
  <c r="L94" i="22" s="1"/>
  <c r="U93" i="103"/>
  <c r="F96" i="58"/>
  <c r="K97" i="22"/>
  <c r="L97" i="22" s="1"/>
  <c r="U96" i="103"/>
  <c r="F99" i="58"/>
  <c r="K100" i="22"/>
  <c r="L100" i="22" s="1"/>
  <c r="U99" i="103"/>
  <c r="AG192" i="22"/>
  <c r="BZ191" i="103"/>
  <c r="CB191" i="103" s="1"/>
  <c r="L196" i="67" s="1"/>
  <c r="AG226" i="22"/>
  <c r="BZ225" i="103"/>
  <c r="CB225" i="103" s="1"/>
  <c r="L232" i="67" s="1"/>
  <c r="BZ361" i="103"/>
  <c r="CB361" i="103" s="1"/>
  <c r="BZ367" i="103"/>
  <c r="CB367" i="103" s="1"/>
  <c r="U383" i="58"/>
  <c r="N223" i="58"/>
  <c r="T399" i="58"/>
  <c r="T386" i="58"/>
  <c r="X315" i="58"/>
  <c r="X386" i="58" s="1"/>
  <c r="V15" i="17"/>
  <c r="E31" i="67"/>
  <c r="Q32" i="22"/>
  <c r="H21" i="22"/>
  <c r="O20" i="103"/>
  <c r="D17" i="67"/>
  <c r="AA18" i="22"/>
  <c r="D14" i="67"/>
  <c r="AA15" i="22"/>
  <c r="D11" i="67"/>
  <c r="AA12" i="22"/>
  <c r="AK376" i="103"/>
  <c r="BD34" i="103"/>
  <c r="BD31" i="103"/>
  <c r="BD28" i="103"/>
  <c r="BD25" i="103"/>
  <c r="BD22" i="103"/>
  <c r="O11" i="58"/>
  <c r="C11" i="67"/>
  <c r="Y12" i="22"/>
  <c r="AJ376" i="103"/>
  <c r="F30" i="58"/>
  <c r="K31" i="22"/>
  <c r="L31" i="22" s="1"/>
  <c r="U30" i="103"/>
  <c r="K27" i="67"/>
  <c r="S28" i="22"/>
  <c r="BC18" i="103"/>
  <c r="AM13" i="103"/>
  <c r="AM34" i="103"/>
  <c r="P26" i="58"/>
  <c r="H26" i="67"/>
  <c r="W27" i="22"/>
  <c r="E12" i="67"/>
  <c r="Q13" i="22"/>
  <c r="AI32" i="22"/>
  <c r="Q23" i="58"/>
  <c r="N23" i="67"/>
  <c r="U24" i="22"/>
  <c r="O16" i="58"/>
  <c r="C16" i="67"/>
  <c r="Y17" i="22"/>
  <c r="BD50" i="103"/>
  <c r="K35" i="67"/>
  <c r="S36" i="22"/>
  <c r="D27" i="58"/>
  <c r="F28" i="22"/>
  <c r="AN24" i="103"/>
  <c r="P13" i="58"/>
  <c r="H13" i="67"/>
  <c r="W14" i="22"/>
  <c r="BS377" i="103"/>
  <c r="BC26" i="103"/>
  <c r="AM21" i="103"/>
  <c r="Q13" i="58"/>
  <c r="N13" i="67"/>
  <c r="U14" i="22"/>
  <c r="C49" i="58"/>
  <c r="C50" i="22"/>
  <c r="E26" i="67"/>
  <c r="Q27" i="22"/>
  <c r="AK12" i="22"/>
  <c r="BM376" i="103"/>
  <c r="E35" i="58"/>
  <c r="Y35" i="58" s="1"/>
  <c r="I36" i="22"/>
  <c r="R35" i="103"/>
  <c r="E32" i="58"/>
  <c r="Y32" i="58" s="1"/>
  <c r="I33" i="22"/>
  <c r="R32" i="103"/>
  <c r="E29" i="58"/>
  <c r="Y29" i="58" s="1"/>
  <c r="I30" i="22"/>
  <c r="R29" i="103"/>
  <c r="E26" i="58"/>
  <c r="Y26" i="58" s="1"/>
  <c r="I27" i="22"/>
  <c r="R26" i="103"/>
  <c r="E23" i="58"/>
  <c r="Y23" i="58" s="1"/>
  <c r="I24" i="22"/>
  <c r="R23" i="103"/>
  <c r="E20" i="58"/>
  <c r="Y20" i="58" s="1"/>
  <c r="I21" i="22"/>
  <c r="R20" i="103"/>
  <c r="AN17" i="103"/>
  <c r="BL376" i="103"/>
  <c r="O33" i="58"/>
  <c r="C33" i="67"/>
  <c r="Y34" i="22"/>
  <c r="F25" i="58"/>
  <c r="K26" i="22"/>
  <c r="L26" i="22" s="1"/>
  <c r="U25" i="103"/>
  <c r="K22" i="67"/>
  <c r="S23" i="22"/>
  <c r="BC19" i="103"/>
  <c r="AM14" i="103"/>
  <c r="AY376" i="103"/>
  <c r="BC31" i="103"/>
  <c r="AM26" i="103"/>
  <c r="Q12" i="58"/>
  <c r="N12" i="67"/>
  <c r="U13" i="22"/>
  <c r="H42" i="22"/>
  <c r="O41" i="103"/>
  <c r="C64" i="58"/>
  <c r="C65" i="22"/>
  <c r="AM72" i="103"/>
  <c r="CG77" i="103"/>
  <c r="CH77" i="103" s="1"/>
  <c r="Q61" i="58"/>
  <c r="N62" i="67"/>
  <c r="U62" i="22"/>
  <c r="AG70" i="22"/>
  <c r="BZ69" i="103"/>
  <c r="CC69" i="103" s="1"/>
  <c r="D72" i="58"/>
  <c r="F73" i="22"/>
  <c r="K82" i="67"/>
  <c r="S81" i="22"/>
  <c r="K44" i="67"/>
  <c r="S44" i="22"/>
  <c r="AM57" i="103"/>
  <c r="BC62" i="103"/>
  <c r="C37" i="58"/>
  <c r="C38" i="22"/>
  <c r="C40" i="58"/>
  <c r="C41" i="22"/>
  <c r="BU377" i="103"/>
  <c r="AM48" i="103"/>
  <c r="K60" i="67"/>
  <c r="S60" i="22"/>
  <c r="F62" i="58"/>
  <c r="K63" i="22"/>
  <c r="L63" i="22" s="1"/>
  <c r="U62" i="103"/>
  <c r="H71" i="22"/>
  <c r="N378" i="103"/>
  <c r="O70" i="103"/>
  <c r="BB75" i="103"/>
  <c r="E83" i="67"/>
  <c r="Q82" i="22"/>
  <c r="AI37" i="22"/>
  <c r="H43" i="22"/>
  <c r="N377" i="103"/>
  <c r="O42" i="103"/>
  <c r="F50" i="58"/>
  <c r="K51" i="22"/>
  <c r="L51" i="22" s="1"/>
  <c r="U50" i="103"/>
  <c r="D65" i="67"/>
  <c r="M65" i="67"/>
  <c r="AA65" i="22"/>
  <c r="E76" i="22"/>
  <c r="H75" i="103"/>
  <c r="E45" i="22"/>
  <c r="H44" i="103"/>
  <c r="F47" i="58"/>
  <c r="K48" i="22"/>
  <c r="L48" i="22" s="1"/>
  <c r="U47" i="103"/>
  <c r="C53" i="58"/>
  <c r="C54" i="22"/>
  <c r="AI56" i="22"/>
  <c r="H62" i="22"/>
  <c r="O61" i="103"/>
  <c r="K74" i="67"/>
  <c r="S73" i="22"/>
  <c r="F75" i="58"/>
  <c r="K76" i="22"/>
  <c r="L76" i="22" s="1"/>
  <c r="U75" i="103"/>
  <c r="K38" i="67"/>
  <c r="S39" i="22"/>
  <c r="F41" i="58"/>
  <c r="K42" i="22"/>
  <c r="L42" i="22" s="1"/>
  <c r="U41" i="103"/>
  <c r="E61" i="22"/>
  <c r="H60" i="103"/>
  <c r="D73" i="67"/>
  <c r="M73" i="67"/>
  <c r="AA72" i="22"/>
  <c r="BD76" i="103"/>
  <c r="E79" i="58"/>
  <c r="Y79" i="58" s="1"/>
  <c r="I80" i="22"/>
  <c r="R79" i="103"/>
  <c r="AK43" i="22"/>
  <c r="BM377" i="103"/>
  <c r="BD45" i="103"/>
  <c r="K55" i="67"/>
  <c r="S55" i="22"/>
  <c r="F57" i="58"/>
  <c r="K58" i="22"/>
  <c r="L58" i="22" s="1"/>
  <c r="U57" i="103"/>
  <c r="H69" i="22"/>
  <c r="O68" i="103"/>
  <c r="BN378" i="103"/>
  <c r="E81" i="67"/>
  <c r="Q80" i="22"/>
  <c r="Q92" i="58"/>
  <c r="N94" i="67"/>
  <c r="U93" i="22"/>
  <c r="Q41" i="58"/>
  <c r="N41" i="67"/>
  <c r="U42" i="22"/>
  <c r="P47" i="58"/>
  <c r="H48" i="67"/>
  <c r="W48" i="22"/>
  <c r="P66" i="58"/>
  <c r="H67" i="67"/>
  <c r="W67" i="22"/>
  <c r="AM74" i="103"/>
  <c r="BC79" i="103"/>
  <c r="E40" i="22"/>
  <c r="H39" i="103"/>
  <c r="BD52" i="103"/>
  <c r="E59" i="67"/>
  <c r="Q59" i="22"/>
  <c r="O72" i="58"/>
  <c r="C74" i="67"/>
  <c r="Y73" i="22"/>
  <c r="AN43" i="103"/>
  <c r="E46" i="58"/>
  <c r="Y46" i="58" s="1"/>
  <c r="I47" i="22"/>
  <c r="R46" i="103"/>
  <c r="P63" i="58"/>
  <c r="H64" i="67"/>
  <c r="W64" i="22"/>
  <c r="BQ378" i="103"/>
  <c r="BQ377" i="103"/>
  <c r="P51" i="58"/>
  <c r="H52" i="67"/>
  <c r="W52" i="22"/>
  <c r="AN56" i="103"/>
  <c r="D59" i="58"/>
  <c r="F60" i="22"/>
  <c r="AT378" i="103"/>
  <c r="Q73" i="58"/>
  <c r="N75" i="67"/>
  <c r="U74" i="22"/>
  <c r="AI82" i="22"/>
  <c r="BD82" i="103"/>
  <c r="E85" i="58"/>
  <c r="Y85" i="58" s="1"/>
  <c r="I86" i="22"/>
  <c r="R85" i="103"/>
  <c r="E90" i="67"/>
  <c r="Q89" i="22"/>
  <c r="Q99" i="58"/>
  <c r="N101" i="67"/>
  <c r="U100" i="22"/>
  <c r="P102" i="58"/>
  <c r="H105" i="67"/>
  <c r="W103" i="22"/>
  <c r="AG108" i="22"/>
  <c r="BZ107" i="103"/>
  <c r="CC107" i="103" s="1"/>
  <c r="BB82" i="103"/>
  <c r="E95" i="22"/>
  <c r="H94" i="103"/>
  <c r="O102" i="58"/>
  <c r="C105" i="67"/>
  <c r="Y103" i="22"/>
  <c r="H112" i="22"/>
  <c r="O111" i="103"/>
  <c r="BB116" i="103"/>
  <c r="E125" i="67"/>
  <c r="Q123" i="22"/>
  <c r="AG147" i="22"/>
  <c r="BZ146" i="103"/>
  <c r="CB146" i="103" s="1"/>
  <c r="L150" i="67" s="1"/>
  <c r="K93" i="67"/>
  <c r="S92" i="22"/>
  <c r="F94" i="58"/>
  <c r="K95" i="22"/>
  <c r="L95" i="22" s="1"/>
  <c r="U94" i="103"/>
  <c r="BC96" i="103"/>
  <c r="AM108" i="103"/>
  <c r="BC113" i="103"/>
  <c r="E126" i="22"/>
  <c r="H125" i="103"/>
  <c r="M92" i="67"/>
  <c r="D92" i="67"/>
  <c r="AA91" i="22"/>
  <c r="BD95" i="103"/>
  <c r="E98" i="58"/>
  <c r="Y98" i="58" s="1"/>
  <c r="I99" i="22"/>
  <c r="R98" i="103"/>
  <c r="AG121" i="22"/>
  <c r="BZ120" i="103"/>
  <c r="CB120" i="103" s="1"/>
  <c r="L123" i="67" s="1"/>
  <c r="D123" i="58"/>
  <c r="F124" i="22"/>
  <c r="E97" i="67"/>
  <c r="Q96" i="22"/>
  <c r="AI85" i="22"/>
  <c r="CG89" i="103"/>
  <c r="CH89" i="103" s="1"/>
  <c r="E102" i="22"/>
  <c r="G379" i="103"/>
  <c r="H101" i="103"/>
  <c r="O103" i="58"/>
  <c r="C106" i="67"/>
  <c r="Y104" i="22"/>
  <c r="BB111" i="103"/>
  <c r="E120" i="67"/>
  <c r="Q118" i="22"/>
  <c r="AN129" i="103"/>
  <c r="AN93" i="103"/>
  <c r="D96" i="58"/>
  <c r="F97" i="22"/>
  <c r="AR379" i="103"/>
  <c r="AN110" i="103"/>
  <c r="P116" i="58"/>
  <c r="H119" i="67"/>
  <c r="W117" i="22"/>
  <c r="M93" i="67"/>
  <c r="D93" i="67"/>
  <c r="AA92" i="22"/>
  <c r="BD96" i="103"/>
  <c r="E99" i="58"/>
  <c r="Y99" i="58" s="1"/>
  <c r="I100" i="22"/>
  <c r="R99" i="103"/>
  <c r="AM127" i="103"/>
  <c r="AI98" i="22"/>
  <c r="BC105" i="103"/>
  <c r="AG128" i="22"/>
  <c r="BZ127" i="103"/>
  <c r="CB127" i="103" s="1"/>
  <c r="L130" i="67" s="1"/>
  <c r="H86" i="22"/>
  <c r="O85" i="103"/>
  <c r="BC87" i="103"/>
  <c r="F102" i="58"/>
  <c r="K103" i="22"/>
  <c r="L103" i="22" s="1"/>
  <c r="U102" i="103"/>
  <c r="H111" i="22"/>
  <c r="O110" i="103"/>
  <c r="K92" i="67"/>
  <c r="S91" i="22"/>
  <c r="K95" i="67"/>
  <c r="S94" i="22"/>
  <c r="K98" i="67"/>
  <c r="S97" i="22"/>
  <c r="E122" i="22"/>
  <c r="H121" i="103"/>
  <c r="E125" i="22"/>
  <c r="H124" i="103"/>
  <c r="AG195" i="22"/>
  <c r="BZ194" i="103"/>
  <c r="CB194" i="103" s="1"/>
  <c r="L200" i="67" s="1"/>
  <c r="CD261" i="103"/>
  <c r="CF261" i="103" s="1"/>
  <c r="BZ318" i="103"/>
  <c r="CB318" i="103" s="1"/>
  <c r="AM361" i="103"/>
  <c r="AM364" i="103"/>
  <c r="M94" i="67"/>
  <c r="D94" i="67"/>
  <c r="AA93" i="22"/>
  <c r="BD97" i="103"/>
  <c r="E100" i="58"/>
  <c r="Y100" i="58" s="1"/>
  <c r="I101" i="22"/>
  <c r="R100" i="103"/>
  <c r="E109" i="67"/>
  <c r="Q107" i="22"/>
  <c r="K115" i="67"/>
  <c r="S113" i="22"/>
  <c r="F115" i="58"/>
  <c r="K116" i="22"/>
  <c r="L116" i="22" s="1"/>
  <c r="U115" i="103"/>
  <c r="O123" i="58"/>
  <c r="C126" i="67"/>
  <c r="Y124" i="22"/>
  <c r="O135" i="58"/>
  <c r="C139" i="67"/>
  <c r="Y136" i="22"/>
  <c r="D138" i="58"/>
  <c r="F139" i="22"/>
  <c r="F143" i="58"/>
  <c r="K144" i="22"/>
  <c r="L144" i="22" s="1"/>
  <c r="U143" i="103"/>
  <c r="O148" i="58"/>
  <c r="C152" i="67"/>
  <c r="Y149" i="22"/>
  <c r="D156" i="58"/>
  <c r="F157" i="22"/>
  <c r="F161" i="58"/>
  <c r="K162" i="22"/>
  <c r="L162" i="22" s="1"/>
  <c r="U161" i="103"/>
  <c r="O166" i="58"/>
  <c r="C171" i="67"/>
  <c r="Y167" i="22"/>
  <c r="E183" i="22"/>
  <c r="H182" i="103"/>
  <c r="AS380" i="103"/>
  <c r="C137" i="58"/>
  <c r="C138" i="22"/>
  <c r="D152" i="67"/>
  <c r="M152" i="67"/>
  <c r="AA149" i="22"/>
  <c r="E156" i="58"/>
  <c r="Y156" i="58" s="1"/>
  <c r="I157" i="22"/>
  <c r="R156" i="103"/>
  <c r="CG179" i="103"/>
  <c r="CH179" i="103" s="1"/>
  <c r="AI143" i="22"/>
  <c r="H149" i="22"/>
  <c r="O148" i="103"/>
  <c r="E163" i="67"/>
  <c r="Q160" i="22"/>
  <c r="Q170" i="58"/>
  <c r="N175" i="67"/>
  <c r="U171" i="22"/>
  <c r="P146" i="58"/>
  <c r="H150" i="67"/>
  <c r="W147" i="22"/>
  <c r="P164" i="58"/>
  <c r="H169" i="67"/>
  <c r="W165" i="22"/>
  <c r="D136" i="58"/>
  <c r="F137" i="22"/>
  <c r="F141" i="58"/>
  <c r="K142" i="22"/>
  <c r="L142" i="22" s="1"/>
  <c r="U141" i="103"/>
  <c r="O146" i="58"/>
  <c r="C150" i="67"/>
  <c r="Y147" i="22"/>
  <c r="D154" i="58"/>
  <c r="F155" i="22"/>
  <c r="F159" i="58"/>
  <c r="K160" i="22"/>
  <c r="L160" i="22" s="1"/>
  <c r="U159" i="103"/>
  <c r="O164" i="58"/>
  <c r="C169" i="67"/>
  <c r="Y165" i="22"/>
  <c r="E174" i="22"/>
  <c r="H173" i="103"/>
  <c r="E130" i="58"/>
  <c r="Y130" i="58" s="1"/>
  <c r="I131" i="22"/>
  <c r="R130" i="103"/>
  <c r="C147" i="58"/>
  <c r="C148" i="22"/>
  <c r="D162" i="67"/>
  <c r="M162" i="67"/>
  <c r="AA159" i="22"/>
  <c r="Q135" i="58"/>
  <c r="N139" i="67"/>
  <c r="U136" i="22"/>
  <c r="AI144" i="22"/>
  <c r="H150" i="22"/>
  <c r="O149" i="103"/>
  <c r="E164" i="67"/>
  <c r="Q161" i="22"/>
  <c r="BR381" i="103"/>
  <c r="P153" i="58"/>
  <c r="H157" i="67"/>
  <c r="W154" i="22"/>
  <c r="O150" i="58"/>
  <c r="C154" i="67"/>
  <c r="Y151" i="22"/>
  <c r="D158" i="58"/>
  <c r="F159" i="22"/>
  <c r="F163" i="58"/>
  <c r="K164" i="22"/>
  <c r="L164" i="22" s="1"/>
  <c r="U163" i="103"/>
  <c r="O168" i="58"/>
  <c r="C173" i="67"/>
  <c r="Y169" i="22"/>
  <c r="D132" i="67"/>
  <c r="M132" i="67"/>
  <c r="AA130" i="22"/>
  <c r="M136" i="67"/>
  <c r="D136" i="67"/>
  <c r="AA133" i="22"/>
  <c r="BD137" i="103"/>
  <c r="E140" i="58"/>
  <c r="Y140" i="58" s="1"/>
  <c r="I141" i="22"/>
  <c r="R140" i="103"/>
  <c r="C157" i="58"/>
  <c r="C158" i="22"/>
  <c r="BU381" i="103"/>
  <c r="P184" i="58"/>
  <c r="H189" i="67"/>
  <c r="W185" i="22"/>
  <c r="E131" i="67"/>
  <c r="Q129" i="22"/>
  <c r="Q139" i="58"/>
  <c r="N143" i="67"/>
  <c r="U140" i="22"/>
  <c r="AI148" i="22"/>
  <c r="H154" i="22"/>
  <c r="O153" i="103"/>
  <c r="E169" i="67"/>
  <c r="Q165" i="22"/>
  <c r="P175" i="58"/>
  <c r="H180" i="67"/>
  <c r="W176" i="22"/>
  <c r="CG137" i="103"/>
  <c r="CH137" i="103" s="1"/>
  <c r="E144" i="22"/>
  <c r="H143" i="103"/>
  <c r="CG155" i="103"/>
  <c r="CH155" i="103" s="1"/>
  <c r="E162" i="22"/>
  <c r="H161" i="103"/>
  <c r="D171" i="58"/>
  <c r="F172" i="22"/>
  <c r="P182" i="58"/>
  <c r="H187" i="67"/>
  <c r="W183" i="22"/>
  <c r="S382" i="103"/>
  <c r="AG206" i="22"/>
  <c r="BZ205" i="103"/>
  <c r="CB205" i="103" s="1"/>
  <c r="L211" i="67" s="1"/>
  <c r="K216" i="67"/>
  <c r="S211" i="22"/>
  <c r="H218" i="22"/>
  <c r="O217" i="103"/>
  <c r="K182" i="67"/>
  <c r="S178" i="22"/>
  <c r="AM193" i="22"/>
  <c r="BP382" i="103"/>
  <c r="K201" i="67"/>
  <c r="S196" i="22"/>
  <c r="P216" i="58"/>
  <c r="H222" i="67"/>
  <c r="W217" i="22"/>
  <c r="BQ382" i="103"/>
  <c r="Q204" i="58"/>
  <c r="N210" i="67"/>
  <c r="U205" i="22"/>
  <c r="AI213" i="22"/>
  <c r="Q215" i="58"/>
  <c r="N221" i="67"/>
  <c r="U216" i="22"/>
  <c r="E180" i="67"/>
  <c r="Q176" i="22"/>
  <c r="Q186" i="58"/>
  <c r="N191" i="67"/>
  <c r="U187" i="22"/>
  <c r="AI195" i="22"/>
  <c r="P213" i="58"/>
  <c r="H219" i="67"/>
  <c r="W214" i="22"/>
  <c r="P180" i="58"/>
  <c r="H185" i="67"/>
  <c r="W181" i="22"/>
  <c r="CE382" i="103"/>
  <c r="AG201" i="22"/>
  <c r="BZ200" i="103"/>
  <c r="CC200" i="103" s="1"/>
  <c r="K211" i="67"/>
  <c r="S206" i="22"/>
  <c r="K195" i="67"/>
  <c r="S191" i="22"/>
  <c r="BT382" i="103"/>
  <c r="D236" i="58"/>
  <c r="F237" i="22"/>
  <c r="BD173" i="103"/>
  <c r="BD176" i="103"/>
  <c r="BD179" i="103"/>
  <c r="BD182" i="103"/>
  <c r="BD185" i="103"/>
  <c r="BD188" i="103"/>
  <c r="BD191" i="103"/>
  <c r="BD194" i="103"/>
  <c r="E206" i="67"/>
  <c r="Q201" i="22"/>
  <c r="Q211" i="58"/>
  <c r="N217" i="67"/>
  <c r="U212" i="22"/>
  <c r="Q178" i="58"/>
  <c r="N183" i="67"/>
  <c r="U179" i="22"/>
  <c r="AI187" i="22"/>
  <c r="H193" i="22"/>
  <c r="N382" i="103"/>
  <c r="O192" i="103"/>
  <c r="E201" i="22"/>
  <c r="H200" i="103"/>
  <c r="CG212" i="103"/>
  <c r="CI212" i="103" s="1"/>
  <c r="K206" i="67"/>
  <c r="S201" i="22"/>
  <c r="O231" i="58"/>
  <c r="C238" i="67"/>
  <c r="Y232" i="22"/>
  <c r="K178" i="67"/>
  <c r="S174" i="22"/>
  <c r="K196" i="67"/>
  <c r="S192" i="22"/>
  <c r="M205" i="67"/>
  <c r="D205" i="67"/>
  <c r="AA200" i="22"/>
  <c r="D208" i="67"/>
  <c r="M208" i="67"/>
  <c r="AA203" i="22"/>
  <c r="D211" i="67"/>
  <c r="M211" i="67"/>
  <c r="AA206" i="22"/>
  <c r="M214" i="67"/>
  <c r="D214" i="67"/>
  <c r="AA209" i="22"/>
  <c r="M217" i="67"/>
  <c r="D217" i="67"/>
  <c r="AA212" i="22"/>
  <c r="D220" i="67"/>
  <c r="M220" i="67"/>
  <c r="AA215" i="22"/>
  <c r="D221" i="58"/>
  <c r="F222" i="22"/>
  <c r="E171" i="58"/>
  <c r="Y171" i="58" s="1"/>
  <c r="I172" i="22"/>
  <c r="R171" i="103"/>
  <c r="E174" i="58"/>
  <c r="Y174" i="58" s="1"/>
  <c r="I175" i="22"/>
  <c r="R174" i="103"/>
  <c r="E177" i="58"/>
  <c r="Y177" i="58" s="1"/>
  <c r="I178" i="22"/>
  <c r="R177" i="103"/>
  <c r="E180" i="58"/>
  <c r="Y180" i="58" s="1"/>
  <c r="I181" i="22"/>
  <c r="R180" i="103"/>
  <c r="E183" i="58"/>
  <c r="Y183" i="58" s="1"/>
  <c r="I184" i="22"/>
  <c r="R183" i="103"/>
  <c r="E186" i="58"/>
  <c r="Y186" i="58" s="1"/>
  <c r="I187" i="22"/>
  <c r="R186" i="103"/>
  <c r="E189" i="58"/>
  <c r="Y189" i="58" s="1"/>
  <c r="I190" i="22"/>
  <c r="R189" i="103"/>
  <c r="E192" i="58"/>
  <c r="I193" i="22"/>
  <c r="Q382" i="103"/>
  <c r="R192" i="103"/>
  <c r="E195" i="58"/>
  <c r="Y195" i="58" s="1"/>
  <c r="I196" i="22"/>
  <c r="R195" i="103"/>
  <c r="E207" i="67"/>
  <c r="Q202" i="22"/>
  <c r="Q212" i="58"/>
  <c r="N218" i="67"/>
  <c r="U213" i="22"/>
  <c r="Q173" i="58"/>
  <c r="N178" i="67"/>
  <c r="U174" i="22"/>
  <c r="AI182" i="22"/>
  <c r="H188" i="22"/>
  <c r="O187" i="103"/>
  <c r="E199" i="22"/>
  <c r="H198" i="103"/>
  <c r="CG210" i="103"/>
  <c r="CH210" i="103" s="1"/>
  <c r="K248" i="67"/>
  <c r="S242" i="22"/>
  <c r="K272" i="67"/>
  <c r="S265" i="22"/>
  <c r="BD251" i="103"/>
  <c r="AK255" i="22"/>
  <c r="AJ126" i="23"/>
  <c r="BM384" i="103"/>
  <c r="E243" i="67"/>
  <c r="Q237" i="22"/>
  <c r="Q247" i="58"/>
  <c r="N254" i="67"/>
  <c r="U248" i="22"/>
  <c r="P259" i="58"/>
  <c r="H267" i="67"/>
  <c r="W260" i="22"/>
  <c r="E231" i="22"/>
  <c r="H230" i="103"/>
  <c r="CG242" i="103"/>
  <c r="CH242" i="103" s="1"/>
  <c r="E249" i="22"/>
  <c r="H248" i="103"/>
  <c r="O14" i="62"/>
  <c r="BL256" i="103"/>
  <c r="O259" i="58"/>
  <c r="C267" i="67"/>
  <c r="Y260" i="22"/>
  <c r="Q217" i="58"/>
  <c r="N223" i="67"/>
  <c r="U218" i="22"/>
  <c r="AI226" i="22"/>
  <c r="D231" i="58"/>
  <c r="F232" i="22"/>
  <c r="F236" i="58"/>
  <c r="K237" i="22"/>
  <c r="L237" i="22" s="1"/>
  <c r="U236" i="103"/>
  <c r="O241" i="58"/>
  <c r="C248" i="67"/>
  <c r="Y242" i="22"/>
  <c r="D249" i="58"/>
  <c r="F250" i="22"/>
  <c r="F254" i="58"/>
  <c r="K255" i="22"/>
  <c r="L255" i="22" s="1"/>
  <c r="U126" i="23"/>
  <c r="T384" i="103"/>
  <c r="U254" i="103"/>
  <c r="D268" i="58"/>
  <c r="F269" i="22"/>
  <c r="C7" i="104"/>
  <c r="P217" i="58"/>
  <c r="H223" i="67"/>
  <c r="W218" i="22"/>
  <c r="AS384" i="103"/>
  <c r="O217" i="58"/>
  <c r="C223" i="67"/>
  <c r="Y218" i="22"/>
  <c r="D225" i="58"/>
  <c r="F226" i="22"/>
  <c r="Q233" i="58"/>
  <c r="N240" i="67"/>
  <c r="U234" i="22"/>
  <c r="AI242" i="22"/>
  <c r="H248" i="22"/>
  <c r="O247" i="103"/>
  <c r="CD255" i="103"/>
  <c r="CF255" i="103" s="1"/>
  <c r="P233" i="58"/>
  <c r="H240" i="67"/>
  <c r="W234" i="22"/>
  <c r="P251" i="58"/>
  <c r="H258" i="67"/>
  <c r="W252" i="22"/>
  <c r="AN232" i="103"/>
  <c r="K244" i="67"/>
  <c r="S238" i="22"/>
  <c r="AN250" i="103"/>
  <c r="AM256" i="22"/>
  <c r="AK127" i="23"/>
  <c r="CG219" i="103"/>
  <c r="CH219" i="103" s="1"/>
  <c r="E226" i="22"/>
  <c r="H225" i="103"/>
  <c r="C228" i="58"/>
  <c r="C229" i="22"/>
  <c r="C231" i="58"/>
  <c r="C232" i="22"/>
  <c r="C234" i="58"/>
  <c r="C235" i="22"/>
  <c r="C237" i="58"/>
  <c r="C238" i="22"/>
  <c r="C240" i="58"/>
  <c r="C241" i="22"/>
  <c r="C243" i="58"/>
  <c r="C244" i="22"/>
  <c r="C246" i="58"/>
  <c r="C247" i="22"/>
  <c r="C249" i="58"/>
  <c r="C250" i="22"/>
  <c r="C252" i="58"/>
  <c r="C253" i="22"/>
  <c r="C255" i="58"/>
  <c r="C256" i="22"/>
  <c r="C127" i="23"/>
  <c r="D220" i="58"/>
  <c r="F221" i="22"/>
  <c r="F225" i="58"/>
  <c r="K226" i="22"/>
  <c r="L226" i="22" s="1"/>
  <c r="U225" i="103"/>
  <c r="AI234" i="22"/>
  <c r="H240" i="22"/>
  <c r="O239" i="103"/>
  <c r="E257" i="67"/>
  <c r="Q251" i="22"/>
  <c r="L13" i="62"/>
  <c r="BK255" i="103"/>
  <c r="F273" i="58"/>
  <c r="K274" i="22"/>
  <c r="L274" i="22" s="1"/>
  <c r="U273" i="103"/>
  <c r="E217" i="58"/>
  <c r="Y217" i="58" s="1"/>
  <c r="I218" i="22"/>
  <c r="R217" i="103"/>
  <c r="E220" i="58"/>
  <c r="Y220" i="58" s="1"/>
  <c r="I221" i="22"/>
  <c r="R220" i="103"/>
  <c r="E223" i="58"/>
  <c r="I224" i="22"/>
  <c r="Q383" i="103"/>
  <c r="R223" i="103"/>
  <c r="P234" i="58"/>
  <c r="H241" i="67"/>
  <c r="W235" i="22"/>
  <c r="P252" i="58"/>
  <c r="H259" i="67"/>
  <c r="W253" i="22"/>
  <c r="AY384" i="103"/>
  <c r="K270" i="67"/>
  <c r="S263" i="22"/>
  <c r="AM266" i="22"/>
  <c r="D269" i="58"/>
  <c r="F270" i="22"/>
  <c r="AG273" i="22"/>
  <c r="BZ272" i="103"/>
  <c r="CB272" i="103" s="1"/>
  <c r="K315" i="67"/>
  <c r="S307" i="22"/>
  <c r="AK264" i="22"/>
  <c r="D275" i="67"/>
  <c r="M275" i="67"/>
  <c r="AA268" i="22"/>
  <c r="C277" i="58"/>
  <c r="C278" i="22"/>
  <c r="Q262" i="58"/>
  <c r="N270" i="67"/>
  <c r="U263" i="22"/>
  <c r="L8" i="17"/>
  <c r="Q265" i="58"/>
  <c r="N273" i="67"/>
  <c r="U266" i="22"/>
  <c r="O8" i="17"/>
  <c r="Q268" i="58"/>
  <c r="N276" i="67"/>
  <c r="U269" i="22"/>
  <c r="O29" i="64"/>
  <c r="P29" i="64" s="1"/>
  <c r="R8" i="17"/>
  <c r="C19" i="104"/>
  <c r="Q271" i="58"/>
  <c r="N279" i="67"/>
  <c r="U272" i="22"/>
  <c r="Q274" i="58"/>
  <c r="N282" i="67"/>
  <c r="U275" i="22"/>
  <c r="Q277" i="58"/>
  <c r="N285" i="67"/>
  <c r="U278" i="22"/>
  <c r="Q280" i="58"/>
  <c r="N288" i="67"/>
  <c r="U281" i="22"/>
  <c r="Q283" i="58"/>
  <c r="N291" i="67"/>
  <c r="U284" i="22"/>
  <c r="Q286" i="58"/>
  <c r="N295" i="67"/>
  <c r="U287" i="22"/>
  <c r="Q289" i="58"/>
  <c r="N298" i="67"/>
  <c r="U290" i="22"/>
  <c r="Q292" i="58"/>
  <c r="N301" i="67"/>
  <c r="U293" i="22"/>
  <c r="Q295" i="58"/>
  <c r="N304" i="67"/>
  <c r="U296" i="22"/>
  <c r="Q298" i="58"/>
  <c r="N307" i="67"/>
  <c r="U299" i="22"/>
  <c r="Q301" i="58"/>
  <c r="N310" i="67"/>
  <c r="U302" i="22"/>
  <c r="Q304" i="58"/>
  <c r="N313" i="67"/>
  <c r="U305" i="22"/>
  <c r="E307" i="58"/>
  <c r="Y307" i="58" s="1"/>
  <c r="I308" i="22"/>
  <c r="R307" i="103"/>
  <c r="CG266" i="103"/>
  <c r="CH266" i="103" s="1"/>
  <c r="P280" i="58"/>
  <c r="H288" i="67"/>
  <c r="W281" i="22"/>
  <c r="O271" i="58"/>
  <c r="C279" i="67"/>
  <c r="Y272" i="22"/>
  <c r="F281" i="58"/>
  <c r="K282" i="22"/>
  <c r="L282" i="22" s="1"/>
  <c r="U281" i="103"/>
  <c r="K293" i="67"/>
  <c r="S285" i="22"/>
  <c r="AF385" i="103"/>
  <c r="K296" i="67"/>
  <c r="S288" i="22"/>
  <c r="K299" i="67"/>
  <c r="S291" i="22"/>
  <c r="K302" i="67"/>
  <c r="S294" i="22"/>
  <c r="K305" i="67"/>
  <c r="S297" i="22"/>
  <c r="K308" i="67"/>
  <c r="S300" i="22"/>
  <c r="K311" i="67"/>
  <c r="S303" i="22"/>
  <c r="K314" i="67"/>
  <c r="S306" i="22"/>
  <c r="E310" i="58"/>
  <c r="Y310" i="58" s="1"/>
  <c r="I311" i="22"/>
  <c r="R310" i="103"/>
  <c r="M270" i="67"/>
  <c r="D270" i="67"/>
  <c r="AA263" i="22"/>
  <c r="C272" i="58"/>
  <c r="C273" i="22"/>
  <c r="BQ385" i="103"/>
  <c r="Q263" i="58"/>
  <c r="N271" i="67"/>
  <c r="U264" i="22"/>
  <c r="M8" i="17"/>
  <c r="Q266" i="58"/>
  <c r="N274" i="67"/>
  <c r="U267" i="22"/>
  <c r="P8" i="17"/>
  <c r="Q269" i="58"/>
  <c r="N277" i="67"/>
  <c r="U270" i="22"/>
  <c r="Q272" i="58"/>
  <c r="N280" i="67"/>
  <c r="U273" i="22"/>
  <c r="Q275" i="58"/>
  <c r="N283" i="67"/>
  <c r="U276" i="22"/>
  <c r="Q278" i="58"/>
  <c r="N286" i="67"/>
  <c r="U279" i="22"/>
  <c r="Q281" i="58"/>
  <c r="N289" i="67"/>
  <c r="U282" i="22"/>
  <c r="Q284" i="58"/>
  <c r="N293" i="67"/>
  <c r="U285" i="22"/>
  <c r="AH385" i="103"/>
  <c r="Q287" i="58"/>
  <c r="N296" i="67"/>
  <c r="U288" i="22"/>
  <c r="Q290" i="58"/>
  <c r="N299" i="67"/>
  <c r="U291" i="22"/>
  <c r="Q293" i="58"/>
  <c r="N302" i="67"/>
  <c r="U294" i="22"/>
  <c r="Q296" i="58"/>
  <c r="N305" i="67"/>
  <c r="U297" i="22"/>
  <c r="Q299" i="58"/>
  <c r="N308" i="67"/>
  <c r="U300" i="22"/>
  <c r="Q302" i="58"/>
  <c r="N311" i="67"/>
  <c r="U303" i="22"/>
  <c r="Q305" i="58"/>
  <c r="N314" i="67"/>
  <c r="U306" i="22"/>
  <c r="C309" i="58"/>
  <c r="C310" i="22"/>
  <c r="Q333" i="58"/>
  <c r="N343" i="67"/>
  <c r="U334" i="22"/>
  <c r="P278" i="58"/>
  <c r="H286" i="67"/>
  <c r="W279" i="22"/>
  <c r="BS385" i="103"/>
  <c r="O278" i="58"/>
  <c r="C286" i="67"/>
  <c r="Y279" i="22"/>
  <c r="BT385" i="103"/>
  <c r="E316" i="58"/>
  <c r="Y316" i="58" s="1"/>
  <c r="I317" i="22"/>
  <c r="R316" i="103"/>
  <c r="E274" i="58"/>
  <c r="Y274" i="58" s="1"/>
  <c r="I275" i="22"/>
  <c r="R274" i="103"/>
  <c r="AK278" i="22"/>
  <c r="D289" i="67"/>
  <c r="M289" i="67"/>
  <c r="AA282" i="22"/>
  <c r="AW385" i="103"/>
  <c r="Q261" i="58"/>
  <c r="N269" i="67"/>
  <c r="U262" i="22"/>
  <c r="K8" i="17"/>
  <c r="Q264" i="58"/>
  <c r="N272" i="67"/>
  <c r="U265" i="22"/>
  <c r="N8" i="17"/>
  <c r="Q267" i="58"/>
  <c r="N275" i="67"/>
  <c r="U268" i="22"/>
  <c r="Q8" i="17"/>
  <c r="Q270" i="58"/>
  <c r="N278" i="67"/>
  <c r="U271" i="22"/>
  <c r="Q273" i="58"/>
  <c r="N281" i="67"/>
  <c r="U274" i="22"/>
  <c r="Q276" i="58"/>
  <c r="N284" i="67"/>
  <c r="U277" i="22"/>
  <c r="Q279" i="58"/>
  <c r="N287" i="67"/>
  <c r="U280" i="22"/>
  <c r="Q282" i="58"/>
  <c r="N290" i="67"/>
  <c r="U283" i="22"/>
  <c r="Q285" i="58"/>
  <c r="N294" i="67"/>
  <c r="U286" i="22"/>
  <c r="Q288" i="58"/>
  <c r="N297" i="67"/>
  <c r="U289" i="22"/>
  <c r="Q291" i="58"/>
  <c r="N300" i="67"/>
  <c r="U292" i="22"/>
  <c r="Q294" i="58"/>
  <c r="N303" i="67"/>
  <c r="U295" i="22"/>
  <c r="Q297" i="58"/>
  <c r="N306" i="67"/>
  <c r="U298" i="22"/>
  <c r="Q300" i="58"/>
  <c r="N309" i="67"/>
  <c r="U301" i="22"/>
  <c r="Q303" i="58"/>
  <c r="N312" i="67"/>
  <c r="U304" i="22"/>
  <c r="E315" i="67"/>
  <c r="Q307" i="22"/>
  <c r="C327" i="58"/>
  <c r="C328" i="22"/>
  <c r="E263" i="22"/>
  <c r="H262" i="103"/>
  <c r="CG271" i="103"/>
  <c r="CH271" i="103" s="1"/>
  <c r="BK385" i="103"/>
  <c r="M320" i="67"/>
  <c r="D320" i="67"/>
  <c r="AA312" i="22"/>
  <c r="Q345" i="58"/>
  <c r="N356" i="67"/>
  <c r="U346" i="22"/>
  <c r="AH387" i="103"/>
  <c r="H312" i="22"/>
  <c r="O311" i="103"/>
  <c r="E332" i="67"/>
  <c r="Q323" i="22"/>
  <c r="P333" i="58"/>
  <c r="H343" i="67"/>
  <c r="W334" i="22"/>
  <c r="CE387" i="103"/>
  <c r="CG319" i="103"/>
  <c r="CH319" i="103" s="1"/>
  <c r="E326" i="22"/>
  <c r="H325" i="103"/>
  <c r="BZ338" i="103"/>
  <c r="CB338" i="103" s="1"/>
  <c r="K353" i="67"/>
  <c r="S344" i="22"/>
  <c r="BT387" i="103"/>
  <c r="BZ317" i="103"/>
  <c r="CB317" i="103" s="1"/>
  <c r="K332" i="67"/>
  <c r="S323" i="22"/>
  <c r="E335" i="58"/>
  <c r="Y335" i="58" s="1"/>
  <c r="I336" i="22"/>
  <c r="R335" i="103"/>
  <c r="N163" i="13"/>
  <c r="P163" i="13" s="1"/>
  <c r="AB338" i="103"/>
  <c r="AI367" i="22"/>
  <c r="C313" i="58"/>
  <c r="C314" i="22"/>
  <c r="BU386" i="103"/>
  <c r="D334" i="67"/>
  <c r="M334" i="67"/>
  <c r="AA325" i="22"/>
  <c r="E345" i="67"/>
  <c r="Q336" i="22"/>
  <c r="E323" i="67"/>
  <c r="Q315" i="22"/>
  <c r="Q325" i="58"/>
  <c r="N335" i="67"/>
  <c r="U326" i="22"/>
  <c r="P331" i="58"/>
  <c r="H341" i="67"/>
  <c r="W332" i="22"/>
  <c r="P322" i="58"/>
  <c r="H332" i="67"/>
  <c r="W323" i="22"/>
  <c r="E348" i="58"/>
  <c r="Y348" i="58" s="1"/>
  <c r="I349" i="22"/>
  <c r="R348" i="103"/>
  <c r="H364" i="22"/>
  <c r="O363" i="103"/>
  <c r="M363" i="103" s="1"/>
  <c r="J363" i="103" s="1"/>
  <c r="O310" i="58"/>
  <c r="C319" i="67"/>
  <c r="Y311" i="22"/>
  <c r="AZ386" i="103"/>
  <c r="D318" i="58"/>
  <c r="F319" i="22"/>
  <c r="F323" i="58"/>
  <c r="K324" i="22"/>
  <c r="L324" i="22" s="1"/>
  <c r="U323" i="103"/>
  <c r="O328" i="58"/>
  <c r="C338" i="67"/>
  <c r="Y329" i="22"/>
  <c r="D344" i="67"/>
  <c r="M344" i="67"/>
  <c r="AA335" i="22"/>
  <c r="E342" i="58"/>
  <c r="Y342" i="58" s="1"/>
  <c r="I343" i="22"/>
  <c r="R342" i="103"/>
  <c r="E387" i="103"/>
  <c r="D60" i="53" s="1"/>
  <c r="N174" i="13"/>
  <c r="P174" i="13" s="1"/>
  <c r="AB345" i="103"/>
  <c r="D322" i="67"/>
  <c r="M322" i="67"/>
  <c r="AA314" i="22"/>
  <c r="AK316" i="22"/>
  <c r="BM386" i="103"/>
  <c r="E321" i="58"/>
  <c r="Y321" i="58" s="1"/>
  <c r="I322" i="22"/>
  <c r="R321" i="103"/>
  <c r="N149" i="13"/>
  <c r="P149" i="13" s="1"/>
  <c r="AB324" i="103"/>
  <c r="Q332" i="58"/>
  <c r="N342" i="67"/>
  <c r="U333" i="22"/>
  <c r="AI341" i="22"/>
  <c r="D346" i="58"/>
  <c r="F347" i="22"/>
  <c r="K361" i="67"/>
  <c r="S351" i="22"/>
  <c r="AI370" i="22"/>
  <c r="Q314" i="58"/>
  <c r="N323" i="67"/>
  <c r="U315" i="22"/>
  <c r="AI323" i="22"/>
  <c r="H329" i="22"/>
  <c r="O328" i="103"/>
  <c r="M328" i="103" s="1"/>
  <c r="J328" i="103" s="1"/>
  <c r="CG330" i="103"/>
  <c r="CH330" i="103" s="1"/>
  <c r="E337" i="22"/>
  <c r="H336" i="103"/>
  <c r="E346" i="58"/>
  <c r="Y346" i="58" s="1"/>
  <c r="I347" i="22"/>
  <c r="R346" i="103"/>
  <c r="P320" i="58"/>
  <c r="H330" i="67"/>
  <c r="W321" i="22"/>
  <c r="F330" i="58"/>
  <c r="K331" i="22"/>
  <c r="L331" i="22" s="1"/>
  <c r="U330" i="103"/>
  <c r="O335" i="58"/>
  <c r="C345" i="67"/>
  <c r="Y336" i="22"/>
  <c r="D343" i="58"/>
  <c r="F344" i="22"/>
  <c r="K331" i="67"/>
  <c r="S322" i="22"/>
  <c r="BD334" i="103"/>
  <c r="E337" i="58"/>
  <c r="Y337" i="58" s="1"/>
  <c r="I338" i="22"/>
  <c r="R337" i="103"/>
  <c r="N165" i="13"/>
  <c r="P165" i="13" s="1"/>
  <c r="AB340" i="103"/>
  <c r="E369" i="22"/>
  <c r="H368" i="103"/>
  <c r="BZ351" i="103"/>
  <c r="CB351" i="103" s="1"/>
  <c r="K367" i="67"/>
  <c r="S357" i="22"/>
  <c r="BZ369" i="103"/>
  <c r="CB369" i="103" s="1"/>
  <c r="C353" i="58"/>
  <c r="C354" i="22"/>
  <c r="D375" i="67"/>
  <c r="M375" i="67"/>
  <c r="AA365" i="22"/>
  <c r="E386" i="67"/>
  <c r="AC8" i="68" s="1"/>
  <c r="Q376" i="22"/>
  <c r="E368" i="67"/>
  <c r="Q358" i="22"/>
  <c r="Q368" i="58"/>
  <c r="N379" i="67"/>
  <c r="U369" i="22"/>
  <c r="P350" i="58"/>
  <c r="H361" i="67"/>
  <c r="W351" i="22"/>
  <c r="P368" i="58"/>
  <c r="H379" i="67"/>
  <c r="W369" i="22"/>
  <c r="K386" i="67"/>
  <c r="AC14" i="68" s="1"/>
  <c r="S376" i="22"/>
  <c r="F348" i="58"/>
  <c r="K349" i="22"/>
  <c r="L349" i="22" s="1"/>
  <c r="U348" i="103"/>
  <c r="O353" i="58"/>
  <c r="C364" i="67"/>
  <c r="Y354" i="22"/>
  <c r="D361" i="58"/>
  <c r="F362" i="22"/>
  <c r="F366" i="58"/>
  <c r="K367" i="22"/>
  <c r="L367" i="22" s="1"/>
  <c r="U366" i="103"/>
  <c r="C351" i="58"/>
  <c r="C352" i="22"/>
  <c r="M373" i="67"/>
  <c r="D373" i="67"/>
  <c r="AA363" i="22"/>
  <c r="E381" i="67"/>
  <c r="S8" i="68" s="1"/>
  <c r="Q371" i="22"/>
  <c r="AI351" i="22"/>
  <c r="H357" i="22"/>
  <c r="O356" i="103"/>
  <c r="M356" i="103" s="1"/>
  <c r="J356" i="103" s="1"/>
  <c r="E378" i="67"/>
  <c r="Q368" i="22"/>
  <c r="AM350" i="103"/>
  <c r="CG352" i="103"/>
  <c r="CI352" i="103" s="1"/>
  <c r="E359" i="22"/>
  <c r="H358" i="103"/>
  <c r="K384" i="67"/>
  <c r="Y14" i="68" s="1"/>
  <c r="S374" i="22"/>
  <c r="D350" i="58"/>
  <c r="F351" i="22"/>
  <c r="F355" i="58"/>
  <c r="K356" i="22"/>
  <c r="L356" i="22" s="1"/>
  <c r="U355" i="103"/>
  <c r="O360" i="58"/>
  <c r="C371" i="67"/>
  <c r="Y361" i="22"/>
  <c r="D368" i="58"/>
  <c r="F369" i="22"/>
  <c r="C349" i="58"/>
  <c r="C350" i="22"/>
  <c r="M371" i="67"/>
  <c r="D371" i="67"/>
  <c r="AA361" i="22"/>
  <c r="BD365" i="103"/>
  <c r="E368" i="58"/>
  <c r="Y368" i="58" s="1"/>
  <c r="I369" i="22"/>
  <c r="R368" i="103"/>
  <c r="BD100" i="103"/>
  <c r="K118" i="67"/>
  <c r="S116" i="22"/>
  <c r="F118" i="58"/>
  <c r="K119" i="22"/>
  <c r="L119" i="22" s="1"/>
  <c r="U118" i="103"/>
  <c r="O126" i="58"/>
  <c r="C129" i="67"/>
  <c r="Y127" i="22"/>
  <c r="D137" i="58"/>
  <c r="F138" i="22"/>
  <c r="O130" i="58"/>
  <c r="C133" i="67"/>
  <c r="Y131" i="22"/>
  <c r="AG139" i="22"/>
  <c r="BZ138" i="103"/>
  <c r="CB138" i="103" s="1"/>
  <c r="L142" i="67" s="1"/>
  <c r="K147" i="67"/>
  <c r="S144" i="22"/>
  <c r="AG157" i="22"/>
  <c r="BZ156" i="103"/>
  <c r="CB156" i="103" s="1"/>
  <c r="L160" i="67" s="1"/>
  <c r="K165" i="67"/>
  <c r="S162" i="22"/>
  <c r="C140" i="58"/>
  <c r="C141" i="22"/>
  <c r="D155" i="67"/>
  <c r="M155" i="67"/>
  <c r="AA152" i="22"/>
  <c r="E159" i="58"/>
  <c r="Y159" i="58" s="1"/>
  <c r="I160" i="22"/>
  <c r="R159" i="103"/>
  <c r="Q137" i="58"/>
  <c r="N141" i="67"/>
  <c r="U138" i="22"/>
  <c r="AI146" i="22"/>
  <c r="H152" i="22"/>
  <c r="O151" i="103"/>
  <c r="E167" i="67"/>
  <c r="Q163" i="22"/>
  <c r="AD381" i="103"/>
  <c r="E177" i="22"/>
  <c r="H176" i="103"/>
  <c r="P128" i="58"/>
  <c r="H131" i="67"/>
  <c r="W129" i="22"/>
  <c r="CG135" i="103"/>
  <c r="CI135" i="103" s="1"/>
  <c r="E142" i="22"/>
  <c r="H141" i="103"/>
  <c r="CG153" i="103"/>
  <c r="CH153" i="103" s="1"/>
  <c r="E160" i="22"/>
  <c r="H159" i="103"/>
  <c r="AG137" i="22"/>
  <c r="BZ136" i="103"/>
  <c r="CB136" i="103" s="1"/>
  <c r="L140" i="67" s="1"/>
  <c r="K145" i="67"/>
  <c r="S142" i="22"/>
  <c r="AG155" i="22"/>
  <c r="BZ154" i="103"/>
  <c r="CB154" i="103" s="1"/>
  <c r="L158" i="67" s="1"/>
  <c r="K163" i="67"/>
  <c r="S160" i="22"/>
  <c r="CG173" i="103"/>
  <c r="CH173" i="103" s="1"/>
  <c r="CG191" i="103"/>
  <c r="CH191" i="103" s="1"/>
  <c r="BD130" i="103"/>
  <c r="E133" i="58"/>
  <c r="Y133" i="58" s="1"/>
  <c r="I134" i="22"/>
  <c r="R133" i="103"/>
  <c r="C150" i="58"/>
  <c r="C151" i="22"/>
  <c r="M165" i="67"/>
  <c r="D165" i="67"/>
  <c r="AA162" i="22"/>
  <c r="E130" i="67"/>
  <c r="Q128" i="22"/>
  <c r="Q138" i="58"/>
  <c r="N142" i="67"/>
  <c r="U139" i="22"/>
  <c r="AI147" i="22"/>
  <c r="H153" i="22"/>
  <c r="O152" i="103"/>
  <c r="E168" i="67"/>
  <c r="Q164" i="22"/>
  <c r="Q172" i="58"/>
  <c r="N177" i="67"/>
  <c r="U173" i="22"/>
  <c r="CG142" i="103"/>
  <c r="CH142" i="103" s="1"/>
  <c r="E149" i="22"/>
  <c r="H148" i="103"/>
  <c r="CG160" i="103"/>
  <c r="CH160" i="103" s="1"/>
  <c r="E167" i="22"/>
  <c r="H166" i="103"/>
  <c r="K168" i="67"/>
  <c r="S164" i="22"/>
  <c r="D139" i="67"/>
  <c r="M139" i="67"/>
  <c r="AA136" i="22"/>
  <c r="BD140" i="103"/>
  <c r="E143" i="58"/>
  <c r="Y143" i="58" s="1"/>
  <c r="I144" i="22"/>
  <c r="R143" i="103"/>
  <c r="C160" i="58"/>
  <c r="C161" i="22"/>
  <c r="C163" i="58"/>
  <c r="C164" i="22"/>
  <c r="C166" i="58"/>
  <c r="C167" i="22"/>
  <c r="C169" i="58"/>
  <c r="C170" i="22"/>
  <c r="E135" i="67"/>
  <c r="Q132" i="22"/>
  <c r="AD380" i="103"/>
  <c r="Q142" i="58"/>
  <c r="N146" i="67"/>
  <c r="U143" i="22"/>
  <c r="AI151" i="22"/>
  <c r="H157" i="22"/>
  <c r="O156" i="103"/>
  <c r="E172" i="67"/>
  <c r="Q168" i="22"/>
  <c r="P133" i="58"/>
  <c r="H137" i="67"/>
  <c r="W134" i="22"/>
  <c r="P151" i="58"/>
  <c r="H155" i="67"/>
  <c r="W152" i="22"/>
  <c r="P169" i="58"/>
  <c r="H174" i="67"/>
  <c r="W170" i="22"/>
  <c r="K176" i="67"/>
  <c r="S172" i="22"/>
  <c r="E178" i="22"/>
  <c r="H177" i="103"/>
  <c r="CG189" i="103"/>
  <c r="CH189" i="103" s="1"/>
  <c r="AE382" i="103"/>
  <c r="E196" i="22"/>
  <c r="H195" i="103"/>
  <c r="O200" i="58"/>
  <c r="C206" i="67"/>
  <c r="Y201" i="22"/>
  <c r="D208" i="58"/>
  <c r="F209" i="22"/>
  <c r="F213" i="58"/>
  <c r="K214" i="22"/>
  <c r="L214" i="22" s="1"/>
  <c r="U213" i="103"/>
  <c r="F238" i="58"/>
  <c r="K239" i="22"/>
  <c r="L239" i="22" s="1"/>
  <c r="U238" i="103"/>
  <c r="D175" i="58"/>
  <c r="F176" i="22"/>
  <c r="F180" i="58"/>
  <c r="K181" i="22"/>
  <c r="L181" i="22" s="1"/>
  <c r="U180" i="103"/>
  <c r="O185" i="58"/>
  <c r="C190" i="67"/>
  <c r="Y186" i="22"/>
  <c r="D193" i="58"/>
  <c r="F194" i="22"/>
  <c r="K245" i="67"/>
  <c r="S239" i="22"/>
  <c r="Q207" i="58"/>
  <c r="N213" i="67"/>
  <c r="U208" i="22"/>
  <c r="AI216" i="22"/>
  <c r="E183" i="67"/>
  <c r="Q179" i="22"/>
  <c r="Q189" i="58"/>
  <c r="N194" i="67"/>
  <c r="U190" i="22"/>
  <c r="V382" i="103"/>
  <c r="CG202" i="103"/>
  <c r="CI202" i="103" s="1"/>
  <c r="E209" i="22"/>
  <c r="H208" i="103"/>
  <c r="E176" i="22"/>
  <c r="H175" i="103"/>
  <c r="CG187" i="103"/>
  <c r="CH187" i="103" s="1"/>
  <c r="E194" i="22"/>
  <c r="H193" i="103"/>
  <c r="D203" i="58"/>
  <c r="F204" i="22"/>
  <c r="F208" i="58"/>
  <c r="K209" i="22"/>
  <c r="L209" i="22" s="1"/>
  <c r="U208" i="103"/>
  <c r="O213" i="58"/>
  <c r="C219" i="67"/>
  <c r="Y214" i="22"/>
  <c r="AI218" i="22"/>
  <c r="O237" i="58"/>
  <c r="C244" i="67"/>
  <c r="Y238" i="22"/>
  <c r="F175" i="58"/>
  <c r="K176" i="22"/>
  <c r="L176" i="22" s="1"/>
  <c r="U175" i="103"/>
  <c r="O180" i="58"/>
  <c r="C185" i="67"/>
  <c r="Y181" i="22"/>
  <c r="D188" i="58"/>
  <c r="F189" i="22"/>
  <c r="F193" i="58"/>
  <c r="K194" i="22"/>
  <c r="L194" i="22" s="1"/>
  <c r="U193" i="103"/>
  <c r="C199" i="58"/>
  <c r="C200" i="22"/>
  <c r="C202" i="58"/>
  <c r="C203" i="22"/>
  <c r="C205" i="58"/>
  <c r="C206" i="22"/>
  <c r="C208" i="58"/>
  <c r="C209" i="22"/>
  <c r="C211" i="58"/>
  <c r="C212" i="22"/>
  <c r="C214" i="58"/>
  <c r="C215" i="22"/>
  <c r="E209" i="67"/>
  <c r="Q204" i="22"/>
  <c r="Q214" i="58"/>
  <c r="N220" i="67"/>
  <c r="U215" i="22"/>
  <c r="Q181" i="58"/>
  <c r="N186" i="67"/>
  <c r="U182" i="22"/>
  <c r="AI190" i="22"/>
  <c r="AX382" i="103"/>
  <c r="H196" i="22"/>
  <c r="O195" i="103"/>
  <c r="P208" i="58"/>
  <c r="H214" i="67"/>
  <c r="W209" i="22"/>
  <c r="E221" i="22"/>
  <c r="H220" i="103"/>
  <c r="D198" i="58"/>
  <c r="F199" i="22"/>
  <c r="F203" i="58"/>
  <c r="K204" i="22"/>
  <c r="L204" i="22" s="1"/>
  <c r="U203" i="103"/>
  <c r="O208" i="58"/>
  <c r="C214" i="67"/>
  <c r="Y209" i="22"/>
  <c r="F176" i="58"/>
  <c r="K177" i="22"/>
  <c r="L177" i="22" s="1"/>
  <c r="U176" i="103"/>
  <c r="O181" i="58"/>
  <c r="C186" i="67"/>
  <c r="Y182" i="22"/>
  <c r="D189" i="58"/>
  <c r="F190" i="22"/>
  <c r="F194" i="58"/>
  <c r="K195" i="22"/>
  <c r="L195" i="22" s="1"/>
  <c r="U194" i="103"/>
  <c r="BD171" i="103"/>
  <c r="BD174" i="103"/>
  <c r="BD177" i="103"/>
  <c r="BD180" i="103"/>
  <c r="BD183" i="103"/>
  <c r="BD186" i="103"/>
  <c r="BD189" i="103"/>
  <c r="AO382" i="103"/>
  <c r="BD192" i="103"/>
  <c r="BD195" i="103"/>
  <c r="E210" i="67"/>
  <c r="Q205" i="22"/>
  <c r="E218" i="22"/>
  <c r="H217" i="103"/>
  <c r="Q176" i="58"/>
  <c r="N181" i="67"/>
  <c r="U177" i="22"/>
  <c r="AI185" i="22"/>
  <c r="H191" i="22"/>
  <c r="O190" i="103"/>
  <c r="BN382" i="103"/>
  <c r="P206" i="58"/>
  <c r="H212" i="67"/>
  <c r="W207" i="22"/>
  <c r="D239" i="58"/>
  <c r="F240" i="22"/>
  <c r="F244" i="58"/>
  <c r="K245" i="22"/>
  <c r="L245" i="22" s="1"/>
  <c r="U244" i="103"/>
  <c r="O249" i="58"/>
  <c r="C256" i="67"/>
  <c r="Y250" i="22"/>
  <c r="M12" i="62"/>
  <c r="CJ384" i="103"/>
  <c r="O266" i="58"/>
  <c r="C274" i="67"/>
  <c r="Y267" i="22"/>
  <c r="D263" i="67"/>
  <c r="M263" i="67"/>
  <c r="AA256" i="22"/>
  <c r="AE127" i="23"/>
  <c r="H259" i="22"/>
  <c r="O258" i="103"/>
  <c r="F223" i="58"/>
  <c r="K224" i="22"/>
  <c r="L224" i="22" s="1"/>
  <c r="T383" i="103"/>
  <c r="U223" i="103"/>
  <c r="H229" i="22"/>
  <c r="O228" i="103"/>
  <c r="E246" i="67"/>
  <c r="Q240" i="22"/>
  <c r="Q250" i="58"/>
  <c r="N257" i="67"/>
  <c r="U251" i="22"/>
  <c r="O17" i="62"/>
  <c r="BL259" i="103"/>
  <c r="P238" i="58"/>
  <c r="H245" i="67"/>
  <c r="W239" i="22"/>
  <c r="Q220" i="58"/>
  <c r="N226" i="67"/>
  <c r="U221" i="22"/>
  <c r="V383" i="103"/>
  <c r="AG232" i="22"/>
  <c r="BZ231" i="103"/>
  <c r="CB231" i="103" s="1"/>
  <c r="L238" i="67" s="1"/>
  <c r="K243" i="67"/>
  <c r="S237" i="22"/>
  <c r="AG250" i="22"/>
  <c r="BZ249" i="103"/>
  <c r="CC249" i="103" s="1"/>
  <c r="K262" i="67"/>
  <c r="S255" i="22"/>
  <c r="AA126" i="23"/>
  <c r="AF384" i="103"/>
  <c r="AG272" i="22"/>
  <c r="BZ271" i="103"/>
  <c r="CB271" i="103" s="1"/>
  <c r="CG224" i="103"/>
  <c r="CH224" i="103" s="1"/>
  <c r="K12" i="62"/>
  <c r="BE384" i="103"/>
  <c r="L15" i="62"/>
  <c r="BK257" i="103"/>
  <c r="Q236" i="58"/>
  <c r="N243" i="67"/>
  <c r="U237" i="22"/>
  <c r="AI245" i="22"/>
  <c r="H251" i="22"/>
  <c r="O250" i="103"/>
  <c r="CG258" i="103"/>
  <c r="CH258" i="103" s="1"/>
  <c r="E229" i="22"/>
  <c r="H228" i="103"/>
  <c r="CG240" i="103"/>
  <c r="CH240" i="103" s="1"/>
  <c r="E247" i="22"/>
  <c r="H246" i="103"/>
  <c r="O257" i="58"/>
  <c r="C265" i="67"/>
  <c r="Y258" i="22"/>
  <c r="L18" i="62"/>
  <c r="BK260" i="103"/>
  <c r="E225" i="67"/>
  <c r="Q220" i="22"/>
  <c r="O227" i="58"/>
  <c r="C234" i="67"/>
  <c r="Y228" i="22"/>
  <c r="D235" i="58"/>
  <c r="F236" i="22"/>
  <c r="F240" i="58"/>
  <c r="K241" i="22"/>
  <c r="L241" i="22" s="1"/>
  <c r="U240" i="103"/>
  <c r="O245" i="58"/>
  <c r="C252" i="67"/>
  <c r="Y246" i="22"/>
  <c r="D253" i="58"/>
  <c r="F254" i="22"/>
  <c r="D256" i="58"/>
  <c r="F257" i="22"/>
  <c r="P215" i="58"/>
  <c r="H221" i="67"/>
  <c r="W216" i="22"/>
  <c r="Q258" i="58"/>
  <c r="N266" i="67"/>
  <c r="U259" i="22"/>
  <c r="H8" i="17"/>
  <c r="AM271" i="22"/>
  <c r="K232" i="67"/>
  <c r="S226" i="22"/>
  <c r="Q228" i="58"/>
  <c r="N235" i="67"/>
  <c r="U229" i="22"/>
  <c r="AI237" i="22"/>
  <c r="H243" i="22"/>
  <c r="O242" i="103"/>
  <c r="E260" i="67"/>
  <c r="Q254" i="22"/>
  <c r="D277" i="58"/>
  <c r="F278" i="22"/>
  <c r="BD217" i="103"/>
  <c r="BD220" i="103"/>
  <c r="AO383" i="103"/>
  <c r="BD223" i="103"/>
  <c r="E230" i="22"/>
  <c r="H229" i="103"/>
  <c r="CG241" i="103"/>
  <c r="CH241" i="103" s="1"/>
  <c r="E248" i="22"/>
  <c r="H247" i="103"/>
  <c r="P255" i="58"/>
  <c r="H263" i="67"/>
  <c r="W256" i="22"/>
  <c r="AC127" i="23"/>
  <c r="AM263" i="22"/>
  <c r="D266" i="58"/>
  <c r="F267" i="22"/>
  <c r="AG270" i="22"/>
  <c r="BZ269" i="103"/>
  <c r="CB269" i="103" s="1"/>
  <c r="O282" i="58"/>
  <c r="C290" i="67"/>
  <c r="Y283" i="22"/>
  <c r="O285" i="58"/>
  <c r="C294" i="67"/>
  <c r="Y286" i="22"/>
  <c r="O288" i="58"/>
  <c r="C297" i="67"/>
  <c r="Y289" i="22"/>
  <c r="O291" i="58"/>
  <c r="C300" i="67"/>
  <c r="Y292" i="22"/>
  <c r="O294" i="58"/>
  <c r="C303" i="67"/>
  <c r="Y295" i="22"/>
  <c r="O297" i="58"/>
  <c r="C306" i="67"/>
  <c r="Y298" i="22"/>
  <c r="O300" i="58"/>
  <c r="C309" i="67"/>
  <c r="Y301" i="22"/>
  <c r="O303" i="58"/>
  <c r="C312" i="67"/>
  <c r="Y304" i="22"/>
  <c r="M272" i="67"/>
  <c r="D272" i="67"/>
  <c r="AA265" i="22"/>
  <c r="C274" i="58"/>
  <c r="C275" i="22"/>
  <c r="C330" i="58"/>
  <c r="C331" i="22"/>
  <c r="AI308" i="22"/>
  <c r="CG263" i="103"/>
  <c r="CH263" i="103" s="1"/>
  <c r="P277" i="58"/>
  <c r="H285" i="67"/>
  <c r="W278" i="22"/>
  <c r="O268" i="58"/>
  <c r="C276" i="67"/>
  <c r="Y269" i="22"/>
  <c r="C21" i="104"/>
  <c r="O31" i="64"/>
  <c r="P31" i="64" s="1"/>
  <c r="F278" i="58"/>
  <c r="K279" i="22"/>
  <c r="L279" i="22" s="1"/>
  <c r="U278" i="103"/>
  <c r="K289" i="67"/>
  <c r="S282" i="22"/>
  <c r="AM285" i="22"/>
  <c r="BP385" i="103"/>
  <c r="C269" i="58"/>
  <c r="C270" i="22"/>
  <c r="E307" i="22"/>
  <c r="H306" i="103"/>
  <c r="E306" i="103" s="1"/>
  <c r="N128" i="13" s="1"/>
  <c r="P128" i="13" s="1"/>
  <c r="AT385" i="103"/>
  <c r="P275" i="58"/>
  <c r="H283" i="67"/>
  <c r="W276" i="22"/>
  <c r="CE385" i="103"/>
  <c r="N141" i="13"/>
  <c r="P141" i="13" s="1"/>
  <c r="AB316" i="103"/>
  <c r="F285" i="58"/>
  <c r="K286" i="22"/>
  <c r="L286" i="22" s="1"/>
  <c r="U285" i="103"/>
  <c r="F288" i="58"/>
  <c r="K289" i="22"/>
  <c r="L289" i="22" s="1"/>
  <c r="U288" i="103"/>
  <c r="F291" i="58"/>
  <c r="K292" i="22"/>
  <c r="L292" i="22" s="1"/>
  <c r="U291" i="103"/>
  <c r="F294" i="58"/>
  <c r="K295" i="22"/>
  <c r="L295" i="22" s="1"/>
  <c r="U294" i="103"/>
  <c r="F297" i="58"/>
  <c r="K298" i="22"/>
  <c r="L298" i="22" s="1"/>
  <c r="U297" i="103"/>
  <c r="F300" i="58"/>
  <c r="K301" i="22"/>
  <c r="L301" i="22" s="1"/>
  <c r="U300" i="103"/>
  <c r="F303" i="58"/>
  <c r="K304" i="22"/>
  <c r="L304" i="22" s="1"/>
  <c r="U303" i="103"/>
  <c r="E271" i="58"/>
  <c r="Y271" i="58" s="1"/>
  <c r="I272" i="22"/>
  <c r="R271" i="103"/>
  <c r="AK275" i="22"/>
  <c r="D286" i="67"/>
  <c r="M286" i="67"/>
  <c r="AA279" i="22"/>
  <c r="BI385" i="103"/>
  <c r="CG268" i="103"/>
  <c r="CH268" i="103" s="1"/>
  <c r="P282" i="58"/>
  <c r="H290" i="67"/>
  <c r="W283" i="22"/>
  <c r="P285" i="58"/>
  <c r="H294" i="67"/>
  <c r="W286" i="22"/>
  <c r="P288" i="58"/>
  <c r="H297" i="67"/>
  <c r="W289" i="22"/>
  <c r="P291" i="58"/>
  <c r="H300" i="67"/>
  <c r="W292" i="22"/>
  <c r="P294" i="58"/>
  <c r="H303" i="67"/>
  <c r="W295" i="22"/>
  <c r="P297" i="58"/>
  <c r="H306" i="67"/>
  <c r="W298" i="22"/>
  <c r="P300" i="58"/>
  <c r="H309" i="67"/>
  <c r="W301" i="22"/>
  <c r="P303" i="58"/>
  <c r="H312" i="67"/>
  <c r="W304" i="22"/>
  <c r="C312" i="58"/>
  <c r="C313" i="22"/>
  <c r="E347" i="67"/>
  <c r="Q338" i="22"/>
  <c r="AI309" i="22"/>
  <c r="H315" i="22"/>
  <c r="O314" i="103"/>
  <c r="E335" i="67"/>
  <c r="Q326" i="22"/>
  <c r="CG340" i="103"/>
  <c r="CH340" i="103" s="1"/>
  <c r="P315" i="58"/>
  <c r="H325" i="67"/>
  <c r="W316" i="22"/>
  <c r="AI386" i="103"/>
  <c r="O333" i="58"/>
  <c r="C343" i="67"/>
  <c r="Y334" i="22"/>
  <c r="D341" i="58"/>
  <c r="F342" i="22"/>
  <c r="O346" i="58"/>
  <c r="C357" i="67"/>
  <c r="Y347" i="22"/>
  <c r="F307" i="58"/>
  <c r="K308" i="22"/>
  <c r="L308" i="22" s="1"/>
  <c r="U307" i="103"/>
  <c r="O312" i="58"/>
  <c r="C321" i="67"/>
  <c r="Y313" i="22"/>
  <c r="D320" i="58"/>
  <c r="F321" i="22"/>
  <c r="F325" i="58"/>
  <c r="K326" i="22"/>
  <c r="L326" i="22" s="1"/>
  <c r="U325" i="103"/>
  <c r="M340" i="67"/>
  <c r="D340" i="67"/>
  <c r="AA331" i="22"/>
  <c r="E338" i="58"/>
  <c r="Y338" i="58" s="1"/>
  <c r="I339" i="22"/>
  <c r="R338" i="103"/>
  <c r="N166" i="13"/>
  <c r="P166" i="13" s="1"/>
  <c r="AB341" i="103"/>
  <c r="E348" i="22"/>
  <c r="H347" i="103"/>
  <c r="C316" i="58"/>
  <c r="C317" i="22"/>
  <c r="M337" i="67"/>
  <c r="D337" i="67"/>
  <c r="AA328" i="22"/>
  <c r="E348" i="67"/>
  <c r="Q339" i="22"/>
  <c r="H358" i="22"/>
  <c r="O357" i="103"/>
  <c r="M357" i="103" s="1"/>
  <c r="J357" i="103" s="1"/>
  <c r="H307" i="22"/>
  <c r="O306" i="103"/>
  <c r="E327" i="67"/>
  <c r="Q318" i="22"/>
  <c r="Q328" i="58"/>
  <c r="N338" i="67"/>
  <c r="U329" i="22"/>
  <c r="CG338" i="103"/>
  <c r="CH338" i="103" s="1"/>
  <c r="E345" i="22"/>
  <c r="H344" i="103"/>
  <c r="CG311" i="103"/>
  <c r="CH311" i="103" s="1"/>
  <c r="E318" i="22"/>
  <c r="H317" i="103"/>
  <c r="CG329" i="103"/>
  <c r="CH329" i="103" s="1"/>
  <c r="F332" i="58"/>
  <c r="K333" i="22"/>
  <c r="L333" i="22" s="1"/>
  <c r="U332" i="103"/>
  <c r="O337" i="58"/>
  <c r="C347" i="67"/>
  <c r="Y338" i="22"/>
  <c r="D345" i="58"/>
  <c r="F346" i="22"/>
  <c r="P387" i="103"/>
  <c r="BZ348" i="103"/>
  <c r="CB348" i="103" s="1"/>
  <c r="BL386" i="103"/>
  <c r="K333" i="67"/>
  <c r="S324" i="22"/>
  <c r="D347" i="67"/>
  <c r="M347" i="67"/>
  <c r="AA338" i="22"/>
  <c r="BD342" i="103"/>
  <c r="E345" i="58"/>
  <c r="I346" i="22"/>
  <c r="Q387" i="103"/>
  <c r="R345" i="103"/>
  <c r="H367" i="22"/>
  <c r="O366" i="103"/>
  <c r="M366" i="103" s="1"/>
  <c r="J366" i="103" s="1"/>
  <c r="M326" i="67"/>
  <c r="D326" i="67"/>
  <c r="AA317" i="22"/>
  <c r="E324" i="58"/>
  <c r="Y324" i="58" s="1"/>
  <c r="I325" i="22"/>
  <c r="R324" i="103"/>
  <c r="N152" i="13"/>
  <c r="P152" i="13" s="1"/>
  <c r="AB327" i="103"/>
  <c r="Q335" i="58"/>
  <c r="N345" i="67"/>
  <c r="U336" i="22"/>
  <c r="AI344" i="22"/>
  <c r="Q317" i="58"/>
  <c r="N327" i="67"/>
  <c r="U318" i="22"/>
  <c r="AI326" i="22"/>
  <c r="P344" i="58"/>
  <c r="H354" i="67"/>
  <c r="W345" i="22"/>
  <c r="E357" i="67"/>
  <c r="Q347" i="22"/>
  <c r="E379" i="67"/>
  <c r="Q369" i="22"/>
  <c r="CG309" i="103"/>
  <c r="CH309" i="103" s="1"/>
  <c r="E316" i="22"/>
  <c r="H315" i="103"/>
  <c r="E315" i="103" s="1"/>
  <c r="E386" i="103" s="1"/>
  <c r="G386" i="103"/>
  <c r="CG327" i="103"/>
  <c r="CH327" i="103" s="1"/>
  <c r="K340" i="67"/>
  <c r="S331" i="22"/>
  <c r="AM346" i="22"/>
  <c r="BP387" i="103"/>
  <c r="AI352" i="22"/>
  <c r="E372" i="22"/>
  <c r="H371" i="103"/>
  <c r="O311" i="58"/>
  <c r="C320" i="67"/>
  <c r="Y312" i="22"/>
  <c r="D319" i="58"/>
  <c r="F320" i="22"/>
  <c r="F324" i="58"/>
  <c r="K325" i="22"/>
  <c r="L325" i="22" s="1"/>
  <c r="U324" i="103"/>
  <c r="O329" i="58"/>
  <c r="C339" i="67"/>
  <c r="Y330" i="22"/>
  <c r="D342" i="67"/>
  <c r="M342" i="67"/>
  <c r="AA333" i="22"/>
  <c r="BD337" i="103"/>
  <c r="E340" i="58"/>
  <c r="Y340" i="58" s="1"/>
  <c r="I341" i="22"/>
  <c r="R340" i="103"/>
  <c r="N168" i="13"/>
  <c r="P168" i="13" s="1"/>
  <c r="AB343" i="103"/>
  <c r="BQ387" i="103"/>
  <c r="CG365" i="103"/>
  <c r="CH365" i="103" s="1"/>
  <c r="F371" i="58"/>
  <c r="K372" i="22"/>
  <c r="L372" i="22" s="1"/>
  <c r="U371" i="103"/>
  <c r="D354" i="58"/>
  <c r="F355" i="22"/>
  <c r="F359" i="58"/>
  <c r="K360" i="22"/>
  <c r="L360" i="22" s="1"/>
  <c r="U359" i="103"/>
  <c r="O364" i="58"/>
  <c r="C375" i="67"/>
  <c r="Y365" i="22"/>
  <c r="C356" i="58"/>
  <c r="C357" i="22"/>
  <c r="D378" i="67"/>
  <c r="M378" i="67"/>
  <c r="AA368" i="22"/>
  <c r="H350" i="22"/>
  <c r="O349" i="103"/>
  <c r="M349" i="103" s="1"/>
  <c r="J349" i="103" s="1"/>
  <c r="E371" i="67"/>
  <c r="Q361" i="22"/>
  <c r="P374" i="58"/>
  <c r="H385" i="67"/>
  <c r="AA11" i="68" s="1"/>
  <c r="W375" i="22"/>
  <c r="CG357" i="103"/>
  <c r="E364" i="22"/>
  <c r="H363" i="103"/>
  <c r="D373" i="58"/>
  <c r="F374" i="22"/>
  <c r="K359" i="67"/>
  <c r="S349" i="22"/>
  <c r="K377" i="67"/>
  <c r="S367" i="22"/>
  <c r="C372" i="58"/>
  <c r="C373" i="22"/>
  <c r="C354" i="58"/>
  <c r="C355" i="22"/>
  <c r="D376" i="67"/>
  <c r="M376" i="67"/>
  <c r="AA366" i="22"/>
  <c r="E384" i="67"/>
  <c r="Y8" i="68" s="1"/>
  <c r="Q374" i="22"/>
  <c r="AI354" i="22"/>
  <c r="H360" i="22"/>
  <c r="O359" i="103"/>
  <c r="M359" i="103" s="1"/>
  <c r="J359" i="103" s="1"/>
  <c r="P366" i="58"/>
  <c r="H377" i="67"/>
  <c r="W367" i="22"/>
  <c r="D371" i="58"/>
  <c r="F372" i="22"/>
  <c r="K366" i="67"/>
  <c r="S356" i="22"/>
  <c r="C352" i="58"/>
  <c r="C353" i="22"/>
  <c r="M374" i="67"/>
  <c r="D374" i="67"/>
  <c r="AA364" i="22"/>
  <c r="BD368" i="103"/>
  <c r="E382" i="67"/>
  <c r="U8" i="68" s="1"/>
  <c r="Q372" i="22"/>
  <c r="BT379" i="103"/>
  <c r="AI108" i="22"/>
  <c r="K86" i="67"/>
  <c r="S85" i="22"/>
  <c r="C87" i="58"/>
  <c r="C88" i="22"/>
  <c r="D100" i="67"/>
  <c r="M100" i="67"/>
  <c r="AA99" i="22"/>
  <c r="D110" i="58"/>
  <c r="F111" i="22"/>
  <c r="K121" i="67"/>
  <c r="S119" i="22"/>
  <c r="F121" i="58"/>
  <c r="K122" i="22"/>
  <c r="L122" i="22" s="1"/>
  <c r="U121" i="103"/>
  <c r="O133" i="58"/>
  <c r="C137" i="67"/>
  <c r="Y134" i="22"/>
  <c r="D141" i="58"/>
  <c r="F142" i="22"/>
  <c r="F146" i="58"/>
  <c r="K147" i="22"/>
  <c r="L147" i="22" s="1"/>
  <c r="U146" i="103"/>
  <c r="O151" i="58"/>
  <c r="C155" i="67"/>
  <c r="Y152" i="22"/>
  <c r="D159" i="58"/>
  <c r="F160" i="22"/>
  <c r="F164" i="58"/>
  <c r="K165" i="22"/>
  <c r="L165" i="22" s="1"/>
  <c r="U164" i="103"/>
  <c r="O169" i="58"/>
  <c r="C174" i="67"/>
  <c r="Y170" i="22"/>
  <c r="BQ380" i="103"/>
  <c r="C143" i="58"/>
  <c r="C144" i="22"/>
  <c r="M158" i="67"/>
  <c r="D158" i="67"/>
  <c r="AA155" i="22"/>
  <c r="BD159" i="103"/>
  <c r="E162" i="58"/>
  <c r="I163" i="22"/>
  <c r="Q381" i="103"/>
  <c r="R162" i="103"/>
  <c r="E165" i="58"/>
  <c r="Y165" i="58" s="1"/>
  <c r="I166" i="22"/>
  <c r="R165" i="103"/>
  <c r="E168" i="58"/>
  <c r="Y168" i="58" s="1"/>
  <c r="I169" i="22"/>
  <c r="R168" i="103"/>
  <c r="P171" i="58"/>
  <c r="H176" i="67"/>
  <c r="W172" i="22"/>
  <c r="Q140" i="58"/>
  <c r="N144" i="67"/>
  <c r="U141" i="22"/>
  <c r="AI149" i="22"/>
  <c r="H155" i="22"/>
  <c r="O154" i="103"/>
  <c r="E170" i="67"/>
  <c r="Q166" i="22"/>
  <c r="CG176" i="103"/>
  <c r="CH176" i="103" s="1"/>
  <c r="P131" i="58"/>
  <c r="H135" i="67"/>
  <c r="W132" i="22"/>
  <c r="AI380" i="103"/>
  <c r="P149" i="58"/>
  <c r="H153" i="67"/>
  <c r="W150" i="22"/>
  <c r="P167" i="58"/>
  <c r="H172" i="67"/>
  <c r="W168" i="22"/>
  <c r="O131" i="58"/>
  <c r="C135" i="67"/>
  <c r="Y132" i="22"/>
  <c r="AJ380" i="103"/>
  <c r="D139" i="58"/>
  <c r="F140" i="22"/>
  <c r="F144" i="58"/>
  <c r="K145" i="22"/>
  <c r="L145" i="22" s="1"/>
  <c r="U144" i="103"/>
  <c r="O149" i="58"/>
  <c r="C153" i="67"/>
  <c r="Y150" i="22"/>
  <c r="D157" i="58"/>
  <c r="F158" i="22"/>
  <c r="F162" i="58"/>
  <c r="K163" i="22"/>
  <c r="L163" i="22" s="1"/>
  <c r="T381" i="103"/>
  <c r="U162" i="103"/>
  <c r="O167" i="58"/>
  <c r="C172" i="67"/>
  <c r="Y168" i="22"/>
  <c r="H175" i="22"/>
  <c r="O174" i="103"/>
  <c r="E195" i="22"/>
  <c r="H194" i="103"/>
  <c r="BD133" i="103"/>
  <c r="E136" i="58"/>
  <c r="Y136" i="58" s="1"/>
  <c r="I137" i="22"/>
  <c r="R136" i="103"/>
  <c r="C153" i="58"/>
  <c r="C154" i="22"/>
  <c r="M169" i="67"/>
  <c r="D169" i="67"/>
  <c r="AA165" i="22"/>
  <c r="M172" i="67"/>
  <c r="D172" i="67"/>
  <c r="AA168" i="22"/>
  <c r="D175" i="67"/>
  <c r="M175" i="67"/>
  <c r="AA171" i="22"/>
  <c r="E133" i="67"/>
  <c r="Q131" i="22"/>
  <c r="Q141" i="58"/>
  <c r="N145" i="67"/>
  <c r="U142" i="22"/>
  <c r="AI150" i="22"/>
  <c r="H156" i="22"/>
  <c r="O155" i="103"/>
  <c r="E171" i="67"/>
  <c r="Q167" i="22"/>
  <c r="P138" i="58"/>
  <c r="H142" i="67"/>
  <c r="W139" i="22"/>
  <c r="P156" i="58"/>
  <c r="H160" i="67"/>
  <c r="W157" i="22"/>
  <c r="AI172" i="22"/>
  <c r="O153" i="58"/>
  <c r="C157" i="67"/>
  <c r="Y154" i="22"/>
  <c r="D161" i="58"/>
  <c r="F162" i="22"/>
  <c r="F166" i="58"/>
  <c r="K167" i="22"/>
  <c r="L167" i="22" s="1"/>
  <c r="U166" i="103"/>
  <c r="CG194" i="103"/>
  <c r="CH194" i="103" s="1"/>
  <c r="D142" i="67"/>
  <c r="M142" i="67"/>
  <c r="AA139" i="22"/>
  <c r="BD143" i="103"/>
  <c r="E146" i="58"/>
  <c r="Y146" i="58" s="1"/>
  <c r="I147" i="22"/>
  <c r="R146" i="103"/>
  <c r="D172" i="58"/>
  <c r="F173" i="22"/>
  <c r="AP380" i="103"/>
  <c r="E138" i="67"/>
  <c r="Q135" i="22"/>
  <c r="Q145" i="58"/>
  <c r="N149" i="67"/>
  <c r="U146" i="22"/>
  <c r="AI154" i="22"/>
  <c r="H160" i="22"/>
  <c r="O159" i="103"/>
  <c r="E175" i="67"/>
  <c r="Q171" i="22"/>
  <c r="E129" i="22"/>
  <c r="H128" i="103"/>
  <c r="CG140" i="103"/>
  <c r="CH140" i="103" s="1"/>
  <c r="E147" i="22"/>
  <c r="H146" i="103"/>
  <c r="CG158" i="103"/>
  <c r="CH158" i="103" s="1"/>
  <c r="E165" i="22"/>
  <c r="H164" i="103"/>
  <c r="P185" i="58"/>
  <c r="H190" i="67"/>
  <c r="W186" i="22"/>
  <c r="AQ382" i="103"/>
  <c r="AG209" i="22"/>
  <c r="BZ208" i="103"/>
  <c r="CB208" i="103" s="1"/>
  <c r="L214" i="67" s="1"/>
  <c r="K219" i="67"/>
  <c r="S214" i="22"/>
  <c r="K185" i="67"/>
  <c r="S181" i="22"/>
  <c r="E181" i="58"/>
  <c r="Y181" i="58" s="1"/>
  <c r="I182" i="22"/>
  <c r="R181" i="103"/>
  <c r="E184" i="58"/>
  <c r="Y184" i="58" s="1"/>
  <c r="I185" i="22"/>
  <c r="R184" i="103"/>
  <c r="E187" i="58"/>
  <c r="Y187" i="58" s="1"/>
  <c r="I188" i="22"/>
  <c r="R187" i="103"/>
  <c r="E190" i="58"/>
  <c r="Y190" i="58" s="1"/>
  <c r="I191" i="22"/>
  <c r="R190" i="103"/>
  <c r="E193" i="58"/>
  <c r="Y193" i="58" s="1"/>
  <c r="I194" i="22"/>
  <c r="R193" i="103"/>
  <c r="E196" i="58"/>
  <c r="Y196" i="58" s="1"/>
  <c r="I197" i="22"/>
  <c r="R196" i="103"/>
  <c r="E205" i="67"/>
  <c r="Q200" i="22"/>
  <c r="Q210" i="58"/>
  <c r="N216" i="67"/>
  <c r="U211" i="22"/>
  <c r="O216" i="58"/>
  <c r="C222" i="67"/>
  <c r="Y217" i="22"/>
  <c r="E186" i="67"/>
  <c r="Q182" i="22"/>
  <c r="Q192" i="58"/>
  <c r="N198" i="67"/>
  <c r="U193" i="22"/>
  <c r="AH382" i="103"/>
  <c r="P198" i="58"/>
  <c r="H204" i="67"/>
  <c r="W199" i="22"/>
  <c r="F217" i="58"/>
  <c r="K218" i="22"/>
  <c r="L218" i="22" s="1"/>
  <c r="U217" i="103"/>
  <c r="P183" i="58"/>
  <c r="H188" i="67"/>
  <c r="W184" i="22"/>
  <c r="AG204" i="22"/>
  <c r="BZ203" i="103"/>
  <c r="CB203" i="103" s="1"/>
  <c r="L209" i="67" s="1"/>
  <c r="K214" i="67"/>
  <c r="S209" i="22"/>
  <c r="AG219" i="22"/>
  <c r="BZ218" i="103"/>
  <c r="CB218" i="103" s="1"/>
  <c r="L224" i="67" s="1"/>
  <c r="K180" i="67"/>
  <c r="S176" i="22"/>
  <c r="K199" i="67"/>
  <c r="S194" i="22"/>
  <c r="D176" i="67"/>
  <c r="M176" i="67"/>
  <c r="AA172" i="22"/>
  <c r="D179" i="67"/>
  <c r="M179" i="67"/>
  <c r="AA175" i="22"/>
  <c r="M182" i="67"/>
  <c r="D182" i="67"/>
  <c r="AA178" i="22"/>
  <c r="M185" i="67"/>
  <c r="D185" i="67"/>
  <c r="AA181" i="22"/>
  <c r="D188" i="67"/>
  <c r="M188" i="67"/>
  <c r="AA184" i="22"/>
  <c r="D191" i="67"/>
  <c r="M191" i="67"/>
  <c r="AA187" i="22"/>
  <c r="M194" i="67"/>
  <c r="D194" i="67"/>
  <c r="AA190" i="22"/>
  <c r="D198" i="67"/>
  <c r="M198" i="67"/>
  <c r="AA193" i="22"/>
  <c r="AK382" i="103"/>
  <c r="D201" i="67"/>
  <c r="M201" i="67"/>
  <c r="AA196" i="22"/>
  <c r="E212" i="67"/>
  <c r="Q207" i="22"/>
  <c r="Q184" i="58"/>
  <c r="N189" i="67"/>
  <c r="U185" i="22"/>
  <c r="AI193" i="22"/>
  <c r="BJ382" i="103"/>
  <c r="CG197" i="103"/>
  <c r="CH197" i="103" s="1"/>
  <c r="E204" i="22"/>
  <c r="H203" i="103"/>
  <c r="AM213" i="103"/>
  <c r="CG220" i="103"/>
  <c r="CH220" i="103" s="1"/>
  <c r="K209" i="67"/>
  <c r="S204" i="22"/>
  <c r="D218" i="58"/>
  <c r="F219" i="22"/>
  <c r="F235" i="58"/>
  <c r="K236" i="22"/>
  <c r="L236" i="22" s="1"/>
  <c r="U235" i="103"/>
  <c r="K181" i="67"/>
  <c r="S177" i="22"/>
  <c r="K200" i="67"/>
  <c r="S195" i="22"/>
  <c r="AK193" i="22"/>
  <c r="BM382" i="103"/>
  <c r="E213" i="67"/>
  <c r="Q208" i="22"/>
  <c r="Q179" i="58"/>
  <c r="N184" i="67"/>
  <c r="U180" i="22"/>
  <c r="AI188" i="22"/>
  <c r="H194" i="22"/>
  <c r="O193" i="103"/>
  <c r="E202" i="22"/>
  <c r="H201" i="103"/>
  <c r="CG213" i="103"/>
  <c r="CH213" i="103" s="1"/>
  <c r="AG240" i="22"/>
  <c r="BZ239" i="103"/>
  <c r="CB239" i="103" s="1"/>
  <c r="L246" i="67" s="1"/>
  <c r="K251" i="67"/>
  <c r="S245" i="22"/>
  <c r="C259" i="58"/>
  <c r="C260" i="22"/>
  <c r="F270" i="58"/>
  <c r="K271" i="22"/>
  <c r="L271" i="22" s="1"/>
  <c r="U270" i="103"/>
  <c r="M235" i="67"/>
  <c r="D235" i="67"/>
  <c r="AA229" i="22"/>
  <c r="M238" i="67"/>
  <c r="D238" i="67"/>
  <c r="AA232" i="22"/>
  <c r="D241" i="67"/>
  <c r="M241" i="67"/>
  <c r="AA235" i="22"/>
  <c r="D244" i="67"/>
  <c r="M244" i="67"/>
  <c r="AA238" i="22"/>
  <c r="M247" i="67"/>
  <c r="D247" i="67"/>
  <c r="AA241" i="22"/>
  <c r="M250" i="67"/>
  <c r="D250" i="67"/>
  <c r="AA244" i="22"/>
  <c r="D253" i="67"/>
  <c r="M253" i="67"/>
  <c r="AA247" i="22"/>
  <c r="D256" i="67"/>
  <c r="M256" i="67"/>
  <c r="AA250" i="22"/>
  <c r="M259" i="67"/>
  <c r="D259" i="67"/>
  <c r="AA253" i="22"/>
  <c r="K230" i="67"/>
  <c r="S224" i="22"/>
  <c r="AF383" i="103"/>
  <c r="H232" i="22"/>
  <c r="O231" i="103"/>
  <c r="E249" i="67"/>
  <c r="Q243" i="22"/>
  <c r="Q253" i="58"/>
  <c r="N260" i="67"/>
  <c r="U254" i="22"/>
  <c r="Q256" i="58"/>
  <c r="N264" i="67"/>
  <c r="U257" i="22"/>
  <c r="F8" i="17"/>
  <c r="D222" i="67"/>
  <c r="M222" i="67"/>
  <c r="AA217" i="22"/>
  <c r="D225" i="67"/>
  <c r="M225" i="67"/>
  <c r="AA220" i="22"/>
  <c r="M228" i="67"/>
  <c r="D228" i="67"/>
  <c r="AA223" i="22"/>
  <c r="D232" i="67"/>
  <c r="M232" i="67"/>
  <c r="AA226" i="22"/>
  <c r="CG227" i="103"/>
  <c r="CH227" i="103" s="1"/>
  <c r="E234" i="22"/>
  <c r="H233" i="103"/>
  <c r="CG245" i="103"/>
  <c r="CI245" i="103" s="1"/>
  <c r="E252" i="22"/>
  <c r="H251" i="103"/>
  <c r="Q223" i="58"/>
  <c r="N230" i="67"/>
  <c r="U224" i="22"/>
  <c r="AH383" i="103"/>
  <c r="O226" i="58"/>
  <c r="C233" i="67"/>
  <c r="Y227" i="22"/>
  <c r="D234" i="58"/>
  <c r="F235" i="22"/>
  <c r="F239" i="58"/>
  <c r="K240" i="22"/>
  <c r="L240" i="22" s="1"/>
  <c r="U239" i="103"/>
  <c r="O244" i="58"/>
  <c r="C251" i="67"/>
  <c r="Y245" i="22"/>
  <c r="D252" i="58"/>
  <c r="F253" i="22"/>
  <c r="AM255" i="22"/>
  <c r="AK126" i="23"/>
  <c r="BP384" i="103"/>
  <c r="P220" i="58"/>
  <c r="H226" i="67"/>
  <c r="W221" i="22"/>
  <c r="BQ384" i="103"/>
  <c r="AM277" i="22"/>
  <c r="O220" i="58"/>
  <c r="C226" i="67"/>
  <c r="Y221" i="22"/>
  <c r="E235" i="67"/>
  <c r="Q229" i="22"/>
  <c r="Q239" i="58"/>
  <c r="N246" i="67"/>
  <c r="U240" i="22"/>
  <c r="AI248" i="22"/>
  <c r="H254" i="22"/>
  <c r="O253" i="103"/>
  <c r="H257" i="22"/>
  <c r="O256" i="103"/>
  <c r="E216" i="58"/>
  <c r="Y216" i="58" s="1"/>
  <c r="I217" i="22"/>
  <c r="R216" i="103"/>
  <c r="E219" i="58"/>
  <c r="Y219" i="58" s="1"/>
  <c r="I220" i="22"/>
  <c r="R219" i="103"/>
  <c r="E222" i="58"/>
  <c r="Y222" i="58" s="1"/>
  <c r="I223" i="22"/>
  <c r="R222" i="103"/>
  <c r="E225" i="58"/>
  <c r="Y225" i="58" s="1"/>
  <c r="I226" i="22"/>
  <c r="R225" i="103"/>
  <c r="P236" i="58"/>
  <c r="H243" i="67"/>
  <c r="W237" i="22"/>
  <c r="P254" i="58"/>
  <c r="H262" i="67"/>
  <c r="W255" i="22"/>
  <c r="AC126" i="23"/>
  <c r="AI384" i="103"/>
  <c r="E262" i="22"/>
  <c r="H261" i="103"/>
  <c r="E228" i="67"/>
  <c r="Q223" i="22"/>
  <c r="AN235" i="103"/>
  <c r="K247" i="67"/>
  <c r="S241" i="22"/>
  <c r="AN253" i="103"/>
  <c r="AG257" i="22"/>
  <c r="BZ256" i="103"/>
  <c r="CC256" i="103" s="1"/>
  <c r="CG222" i="103"/>
  <c r="CI222" i="103" s="1"/>
  <c r="D223" i="58"/>
  <c r="F224" i="22"/>
  <c r="P383" i="103"/>
  <c r="Q231" i="58"/>
  <c r="N238" i="67"/>
  <c r="U232" i="22"/>
  <c r="AI240" i="22"/>
  <c r="H246" i="22"/>
  <c r="O245" i="103"/>
  <c r="E264" i="67"/>
  <c r="Q257" i="22"/>
  <c r="CG259" i="103"/>
  <c r="CI259" i="103" s="1"/>
  <c r="AK224" i="22"/>
  <c r="BM383" i="103"/>
  <c r="P237" i="58"/>
  <c r="H244" i="67"/>
  <c r="W238" i="22"/>
  <c r="O13" i="62"/>
  <c r="BL255" i="103"/>
  <c r="O21" i="62"/>
  <c r="BL263" i="103"/>
  <c r="D263" i="58"/>
  <c r="F264" i="22"/>
  <c r="AG267" i="22"/>
  <c r="BZ266" i="103"/>
  <c r="CB266" i="103" s="1"/>
  <c r="L274" i="67" s="1"/>
  <c r="O279" i="58"/>
  <c r="C287" i="67"/>
  <c r="Y280" i="22"/>
  <c r="CG313" i="103"/>
  <c r="CH313" i="103" s="1"/>
  <c r="M269" i="67"/>
  <c r="D269" i="67"/>
  <c r="AA262" i="22"/>
  <c r="C271" i="58"/>
  <c r="C272" i="22"/>
  <c r="P309" i="58"/>
  <c r="H318" i="67"/>
  <c r="W310" i="22"/>
  <c r="L20" i="62"/>
  <c r="BK262" i="103"/>
  <c r="L23" i="62"/>
  <c r="BK265" i="103"/>
  <c r="L26" i="62"/>
  <c r="BK268" i="103"/>
  <c r="CG308" i="103"/>
  <c r="CH308" i="103" s="1"/>
  <c r="CD260" i="103"/>
  <c r="CF260" i="103" s="1"/>
  <c r="P274" i="58"/>
  <c r="H282" i="67"/>
  <c r="W275" i="22"/>
  <c r="AM307" i="103"/>
  <c r="M336" i="67"/>
  <c r="D336" i="67"/>
  <c r="AA327" i="22"/>
  <c r="O265" i="58"/>
  <c r="C273" i="67"/>
  <c r="Y266" i="22"/>
  <c r="F275" i="58"/>
  <c r="K276" i="22"/>
  <c r="L276" i="22" s="1"/>
  <c r="U275" i="103"/>
  <c r="K286" i="67"/>
  <c r="S279" i="22"/>
  <c r="AM282" i="22"/>
  <c r="D285" i="58"/>
  <c r="F286" i="22"/>
  <c r="D288" i="58"/>
  <c r="F289" i="22"/>
  <c r="D291" i="58"/>
  <c r="F292" i="22"/>
  <c r="D294" i="58"/>
  <c r="F295" i="22"/>
  <c r="D297" i="58"/>
  <c r="F298" i="22"/>
  <c r="D300" i="58"/>
  <c r="F301" i="22"/>
  <c r="D303" i="58"/>
  <c r="F304" i="22"/>
  <c r="P312" i="58"/>
  <c r="H321" i="67"/>
  <c r="W313" i="22"/>
  <c r="C266" i="58"/>
  <c r="C267" i="22"/>
  <c r="E285" i="58"/>
  <c r="Y285" i="58" s="1"/>
  <c r="I286" i="22"/>
  <c r="R285" i="103"/>
  <c r="E288" i="58"/>
  <c r="Y288" i="58" s="1"/>
  <c r="I289" i="22"/>
  <c r="R288" i="103"/>
  <c r="E291" i="58"/>
  <c r="Y291" i="58" s="1"/>
  <c r="I292" i="22"/>
  <c r="R291" i="103"/>
  <c r="E294" i="58"/>
  <c r="Y294" i="58" s="1"/>
  <c r="I295" i="22"/>
  <c r="R294" i="103"/>
  <c r="E297" i="58"/>
  <c r="Y297" i="58" s="1"/>
  <c r="I298" i="22"/>
  <c r="R297" i="103"/>
  <c r="E300" i="58"/>
  <c r="Y300" i="58" s="1"/>
  <c r="I301" i="22"/>
  <c r="R300" i="103"/>
  <c r="E303" i="58"/>
  <c r="Y303" i="58" s="1"/>
  <c r="I304" i="22"/>
  <c r="R303" i="103"/>
  <c r="E313" i="58"/>
  <c r="Y313" i="58" s="1"/>
  <c r="I314" i="22"/>
  <c r="R313" i="103"/>
  <c r="L21" i="62"/>
  <c r="BK263" i="103"/>
  <c r="L24" i="62"/>
  <c r="BK266" i="103"/>
  <c r="BF385" i="103"/>
  <c r="P272" i="58"/>
  <c r="H280" i="67"/>
  <c r="W273" i="22"/>
  <c r="E286" i="22"/>
  <c r="H285" i="103"/>
  <c r="E285" i="103" s="1"/>
  <c r="N107" i="13" s="1"/>
  <c r="P107" i="13" s="1"/>
  <c r="E289" i="22"/>
  <c r="H288" i="103"/>
  <c r="E288" i="103" s="1"/>
  <c r="E292" i="22"/>
  <c r="H291" i="103"/>
  <c r="E291" i="103" s="1"/>
  <c r="E295" i="22"/>
  <c r="H294" i="103"/>
  <c r="E294" i="103" s="1"/>
  <c r="E298" i="22"/>
  <c r="H297" i="103"/>
  <c r="E297" i="103" s="1"/>
  <c r="E301" i="22"/>
  <c r="H300" i="103"/>
  <c r="E300" i="103" s="1"/>
  <c r="E304" i="22"/>
  <c r="H303" i="103"/>
  <c r="E303" i="103" s="1"/>
  <c r="C306" i="58"/>
  <c r="C307" i="22"/>
  <c r="F282" i="58"/>
  <c r="K283" i="22"/>
  <c r="L283" i="22" s="1"/>
  <c r="U282" i="103"/>
  <c r="K294" i="67"/>
  <c r="S286" i="22"/>
  <c r="K297" i="67"/>
  <c r="S289" i="22"/>
  <c r="K300" i="67"/>
  <c r="S292" i="22"/>
  <c r="K303" i="67"/>
  <c r="S295" i="22"/>
  <c r="K306" i="67"/>
  <c r="S298" i="22"/>
  <c r="K309" i="67"/>
  <c r="S301" i="22"/>
  <c r="K312" i="67"/>
  <c r="S304" i="22"/>
  <c r="E268" i="58"/>
  <c r="Y268" i="58" s="1"/>
  <c r="I269" i="22"/>
  <c r="C8" i="104"/>
  <c r="R268" i="103"/>
  <c r="AK272" i="22"/>
  <c r="M283" i="67"/>
  <c r="D283" i="67"/>
  <c r="AA276" i="22"/>
  <c r="BU385" i="103"/>
  <c r="D330" i="67"/>
  <c r="M330" i="67"/>
  <c r="AA321" i="22"/>
  <c r="L19" i="62"/>
  <c r="BK261" i="103"/>
  <c r="L22" i="62"/>
  <c r="BK264" i="103"/>
  <c r="L25" i="62"/>
  <c r="BK267" i="103"/>
  <c r="CG265" i="103"/>
  <c r="CH265" i="103" s="1"/>
  <c r="P279" i="58"/>
  <c r="H287" i="67"/>
  <c r="W280" i="22"/>
  <c r="E319" i="58"/>
  <c r="Y319" i="58" s="1"/>
  <c r="I320" i="22"/>
  <c r="R319" i="103"/>
  <c r="E350" i="67"/>
  <c r="Q341" i="22"/>
  <c r="AI312" i="22"/>
  <c r="H318" i="22"/>
  <c r="O317" i="103"/>
  <c r="M317" i="103" s="1"/>
  <c r="J317" i="103" s="1"/>
  <c r="E338" i="67"/>
  <c r="Q329" i="22"/>
  <c r="P336" i="58"/>
  <c r="H346" i="67"/>
  <c r="W337" i="22"/>
  <c r="P346" i="58"/>
  <c r="H357" i="67"/>
  <c r="W347" i="22"/>
  <c r="CG322" i="103"/>
  <c r="CH322" i="103" s="1"/>
  <c r="E329" i="22"/>
  <c r="H328" i="103"/>
  <c r="BZ341" i="103"/>
  <c r="CB341" i="103" s="1"/>
  <c r="K316" i="67"/>
  <c r="S308" i="22"/>
  <c r="BZ320" i="103"/>
  <c r="CB320" i="103" s="1"/>
  <c r="K335" i="67"/>
  <c r="S326" i="22"/>
  <c r="D343" i="67"/>
  <c r="M343" i="67"/>
  <c r="AA334" i="22"/>
  <c r="E341" i="58"/>
  <c r="Y341" i="58" s="1"/>
  <c r="I342" i="22"/>
  <c r="R341" i="103"/>
  <c r="N169" i="13"/>
  <c r="P169" i="13" s="1"/>
  <c r="AB344" i="103"/>
  <c r="H355" i="22"/>
  <c r="O354" i="103"/>
  <c r="M354" i="103" s="1"/>
  <c r="J354" i="103" s="1"/>
  <c r="P370" i="58"/>
  <c r="H381" i="67"/>
  <c r="S11" i="68" s="1"/>
  <c r="W371" i="22"/>
  <c r="C319" i="58"/>
  <c r="C320" i="22"/>
  <c r="H331" i="22"/>
  <c r="O330" i="103"/>
  <c r="E351" i="67"/>
  <c r="Q342" i="22"/>
  <c r="H310" i="22"/>
  <c r="O309" i="103"/>
  <c r="E330" i="67"/>
  <c r="Q321" i="22"/>
  <c r="P334" i="58"/>
  <c r="H344" i="67"/>
  <c r="W335" i="22"/>
  <c r="P325" i="58"/>
  <c r="H335" i="67"/>
  <c r="W326" i="22"/>
  <c r="K342" i="67"/>
  <c r="S333" i="22"/>
  <c r="E376" i="67"/>
  <c r="Q366" i="22"/>
  <c r="O313" i="58"/>
  <c r="C322" i="67"/>
  <c r="Y314" i="22"/>
  <c r="CJ386" i="103"/>
  <c r="D321" i="58"/>
  <c r="F322" i="22"/>
  <c r="F326" i="58"/>
  <c r="K327" i="22"/>
  <c r="L327" i="22" s="1"/>
  <c r="U326" i="103"/>
  <c r="M350" i="67"/>
  <c r="D350" i="67"/>
  <c r="AA341" i="22"/>
  <c r="C308" i="58"/>
  <c r="C309" i="22"/>
  <c r="M329" i="67"/>
  <c r="D329" i="67"/>
  <c r="AA320" i="22"/>
  <c r="BD324" i="103"/>
  <c r="R21" i="62" s="1"/>
  <c r="S21" i="62" s="1"/>
  <c r="E327" i="58"/>
  <c r="Y327" i="58" s="1"/>
  <c r="I328" i="22"/>
  <c r="R327" i="103"/>
  <c r="N155" i="13"/>
  <c r="P155" i="13" s="1"/>
  <c r="AB330" i="103"/>
  <c r="Q338" i="58"/>
  <c r="N348" i="67"/>
  <c r="U339" i="22"/>
  <c r="E318" i="67"/>
  <c r="Q310" i="22"/>
  <c r="Q320" i="58"/>
  <c r="N330" i="67"/>
  <c r="U321" i="22"/>
  <c r="AI329" i="22"/>
  <c r="CG333" i="103"/>
  <c r="CH333" i="103" s="1"/>
  <c r="E340" i="22"/>
  <c r="H339" i="103"/>
  <c r="AU387" i="103"/>
  <c r="S386" i="103"/>
  <c r="P323" i="58"/>
  <c r="H333" i="67"/>
  <c r="W324" i="22"/>
  <c r="F333" i="58"/>
  <c r="K334" i="22"/>
  <c r="L334" i="22" s="1"/>
  <c r="U333" i="103"/>
  <c r="O338" i="58"/>
  <c r="C348" i="67"/>
  <c r="Y339" i="22"/>
  <c r="N175" i="13"/>
  <c r="P175" i="13" s="1"/>
  <c r="AB346" i="103"/>
  <c r="Q352" i="58"/>
  <c r="N363" i="67"/>
  <c r="U353" i="22"/>
  <c r="AN319" i="103"/>
  <c r="K334" i="67"/>
  <c r="S325" i="22"/>
  <c r="D345" i="67"/>
  <c r="M345" i="67"/>
  <c r="AA336" i="22"/>
  <c r="BD340" i="103"/>
  <c r="E343" i="58"/>
  <c r="Y343" i="58" s="1"/>
  <c r="I344" i="22"/>
  <c r="R343" i="103"/>
  <c r="P352" i="58"/>
  <c r="H363" i="67"/>
  <c r="W353" i="22"/>
  <c r="K382" i="67"/>
  <c r="U14" i="68" s="1"/>
  <c r="S372" i="22"/>
  <c r="BZ354" i="103"/>
  <c r="CB354" i="103" s="1"/>
  <c r="K370" i="67"/>
  <c r="S360" i="22"/>
  <c r="N201" i="13"/>
  <c r="P201" i="13" s="1"/>
  <c r="AB372" i="103"/>
  <c r="C359" i="58"/>
  <c r="C360" i="22"/>
  <c r="H371" i="22"/>
  <c r="O370" i="103"/>
  <c r="H353" i="22"/>
  <c r="O352" i="103"/>
  <c r="M352" i="103" s="1"/>
  <c r="J352" i="103" s="1"/>
  <c r="E374" i="67"/>
  <c r="Q364" i="22"/>
  <c r="P353" i="58"/>
  <c r="H364" i="67"/>
  <c r="W354" i="22"/>
  <c r="F351" i="58"/>
  <c r="K352" i="22"/>
  <c r="L352" i="22" s="1"/>
  <c r="U351" i="103"/>
  <c r="O356" i="58"/>
  <c r="C367" i="67"/>
  <c r="Y357" i="22"/>
  <c r="D364" i="58"/>
  <c r="F365" i="22"/>
  <c r="F369" i="58"/>
  <c r="K370" i="22"/>
  <c r="L370" i="22" s="1"/>
  <c r="U369" i="103"/>
  <c r="C375" i="58"/>
  <c r="C376" i="22"/>
  <c r="C357" i="58"/>
  <c r="C358" i="22"/>
  <c r="D379" i="67"/>
  <c r="M379" i="67"/>
  <c r="AA369" i="22"/>
  <c r="Q348" i="58"/>
  <c r="N359" i="67"/>
  <c r="U349" i="22"/>
  <c r="AI357" i="22"/>
  <c r="H363" i="22"/>
  <c r="O362" i="103"/>
  <c r="M362" i="103" s="1"/>
  <c r="J362" i="103" s="1"/>
  <c r="E374" i="22"/>
  <c r="H373" i="103"/>
  <c r="AM353" i="103"/>
  <c r="CG355" i="103"/>
  <c r="CH355" i="103" s="1"/>
  <c r="E362" i="22"/>
  <c r="H361" i="103"/>
  <c r="AN371" i="103"/>
  <c r="AM371" i="103" s="1"/>
  <c r="D353" i="58"/>
  <c r="F354" i="22"/>
  <c r="F358" i="58"/>
  <c r="K359" i="22"/>
  <c r="L359" i="22" s="1"/>
  <c r="U358" i="103"/>
  <c r="O363" i="58"/>
  <c r="C374" i="67"/>
  <c r="Y364" i="22"/>
  <c r="N200" i="13"/>
  <c r="P200" i="13" s="1"/>
  <c r="AB371" i="103"/>
  <c r="C355" i="58"/>
  <c r="C356" i="22"/>
  <c r="D377" i="67"/>
  <c r="M377" i="67"/>
  <c r="AA367" i="22"/>
  <c r="E385" i="67"/>
  <c r="AA8" i="68" s="1"/>
  <c r="Q375" i="22"/>
  <c r="D91" i="58"/>
  <c r="F92" i="22"/>
  <c r="K101" i="67"/>
  <c r="S100" i="22"/>
  <c r="C102" i="58"/>
  <c r="C103" i="22"/>
  <c r="C102" i="103"/>
  <c r="C105" i="58"/>
  <c r="C106" i="22"/>
  <c r="O147" i="58"/>
  <c r="C151" i="67"/>
  <c r="Y148" i="22"/>
  <c r="C90" i="58"/>
  <c r="C91" i="22"/>
  <c r="M104" i="67"/>
  <c r="D104" i="67"/>
  <c r="AA102" i="22"/>
  <c r="AK379" i="103"/>
  <c r="H105" i="22"/>
  <c r="O104" i="103"/>
  <c r="D113" i="58"/>
  <c r="F114" i="22"/>
  <c r="K124" i="67"/>
  <c r="S122" i="22"/>
  <c r="F124" i="58"/>
  <c r="K125" i="22"/>
  <c r="L125" i="22" s="1"/>
  <c r="U124" i="103"/>
  <c r="K146" i="67"/>
  <c r="S143" i="22"/>
  <c r="AG142" i="22"/>
  <c r="BZ141" i="103"/>
  <c r="CB141" i="103" s="1"/>
  <c r="L145" i="67" s="1"/>
  <c r="K150" i="67"/>
  <c r="S147" i="22"/>
  <c r="AG160" i="22"/>
  <c r="BZ159" i="103"/>
  <c r="CB159" i="103" s="1"/>
  <c r="L163" i="67" s="1"/>
  <c r="K169" i="67"/>
  <c r="S165" i="22"/>
  <c r="CG188" i="103"/>
  <c r="CH188" i="103" s="1"/>
  <c r="C146" i="58"/>
  <c r="C147" i="22"/>
  <c r="M161" i="67"/>
  <c r="D161" i="67"/>
  <c r="AA158" i="22"/>
  <c r="AO381" i="103"/>
  <c r="BD162" i="103"/>
  <c r="Q143" i="58"/>
  <c r="N147" i="67"/>
  <c r="U144" i="22"/>
  <c r="AI152" i="22"/>
  <c r="H158" i="22"/>
  <c r="O157" i="103"/>
  <c r="E173" i="67"/>
  <c r="Q169" i="22"/>
  <c r="H178" i="22"/>
  <c r="O177" i="103"/>
  <c r="AU380" i="103"/>
  <c r="CG138" i="103"/>
  <c r="CI138" i="103" s="1"/>
  <c r="E145" i="22"/>
  <c r="H144" i="103"/>
  <c r="AM154" i="103"/>
  <c r="CG156" i="103"/>
  <c r="CH156" i="103" s="1"/>
  <c r="E163" i="22"/>
  <c r="G381" i="103"/>
  <c r="H162" i="103"/>
  <c r="E178" i="58"/>
  <c r="Y178" i="58" s="1"/>
  <c r="I179" i="22"/>
  <c r="R178" i="103"/>
  <c r="AV380" i="103"/>
  <c r="AG140" i="22"/>
  <c r="BZ139" i="103"/>
  <c r="CB139" i="103" s="1"/>
  <c r="L143" i="67" s="1"/>
  <c r="K148" i="67"/>
  <c r="S145" i="22"/>
  <c r="AG158" i="22"/>
  <c r="BZ157" i="103"/>
  <c r="CB157" i="103" s="1"/>
  <c r="L161" i="67" s="1"/>
  <c r="K167" i="67"/>
  <c r="S163" i="22"/>
  <c r="AF381" i="103"/>
  <c r="AI175" i="22"/>
  <c r="D131" i="67"/>
  <c r="M131" i="67"/>
  <c r="AA129" i="22"/>
  <c r="M135" i="67"/>
  <c r="D135" i="67"/>
  <c r="AA132" i="22"/>
  <c r="AK380" i="103"/>
  <c r="BD136" i="103"/>
  <c r="E139" i="58"/>
  <c r="Y139" i="58" s="1"/>
  <c r="I140" i="22"/>
  <c r="R139" i="103"/>
  <c r="C156" i="58"/>
  <c r="C157" i="22"/>
  <c r="E180" i="22"/>
  <c r="H179" i="103"/>
  <c r="E137" i="67"/>
  <c r="Q134" i="22"/>
  <c r="Q144" i="58"/>
  <c r="N148" i="67"/>
  <c r="U145" i="22"/>
  <c r="AI153" i="22"/>
  <c r="H159" i="22"/>
  <c r="O158" i="103"/>
  <c r="E174" i="67"/>
  <c r="Q170" i="22"/>
  <c r="AM143" i="103"/>
  <c r="CG145" i="103"/>
  <c r="CI145" i="103" s="1"/>
  <c r="E152" i="22"/>
  <c r="H151" i="103"/>
  <c r="CG163" i="103"/>
  <c r="CI163" i="103" s="1"/>
  <c r="E170" i="22"/>
  <c r="H169" i="103"/>
  <c r="AN161" i="103"/>
  <c r="K171" i="67"/>
  <c r="S167" i="22"/>
  <c r="C127" i="58"/>
  <c r="C128" i="22"/>
  <c r="C130" i="58"/>
  <c r="C131" i="22"/>
  <c r="M145" i="67"/>
  <c r="D145" i="67"/>
  <c r="AA142" i="22"/>
  <c r="BD146" i="103"/>
  <c r="E149" i="58"/>
  <c r="Y149" i="58" s="1"/>
  <c r="I150" i="22"/>
  <c r="R149" i="103"/>
  <c r="AG173" i="22"/>
  <c r="BZ172" i="103"/>
  <c r="CB172" i="103" s="1"/>
  <c r="L177" i="67" s="1"/>
  <c r="E141" i="67"/>
  <c r="Q138" i="22"/>
  <c r="Q148" i="58"/>
  <c r="N152" i="67"/>
  <c r="U149" i="22"/>
  <c r="AI157" i="22"/>
  <c r="H163" i="22"/>
  <c r="N381" i="103"/>
  <c r="O162" i="103"/>
  <c r="P136" i="58"/>
  <c r="H140" i="67"/>
  <c r="W137" i="22"/>
  <c r="P154" i="58"/>
  <c r="H158" i="67"/>
  <c r="W155" i="22"/>
  <c r="CG174" i="103"/>
  <c r="CI174" i="103" s="1"/>
  <c r="E181" i="22"/>
  <c r="H180" i="103"/>
  <c r="BC382" i="103"/>
  <c r="CG192" i="103"/>
  <c r="F198" i="58"/>
  <c r="K199" i="22"/>
  <c r="L199" i="22" s="1"/>
  <c r="U198" i="103"/>
  <c r="O203" i="58"/>
  <c r="C209" i="67"/>
  <c r="Y204" i="22"/>
  <c r="D211" i="58"/>
  <c r="F212" i="22"/>
  <c r="E226" i="67"/>
  <c r="Q221" i="22"/>
  <c r="D178" i="58"/>
  <c r="F179" i="22"/>
  <c r="F183" i="58"/>
  <c r="K184" i="22"/>
  <c r="L184" i="22" s="1"/>
  <c r="U183" i="103"/>
  <c r="O188" i="58"/>
  <c r="C193" i="67"/>
  <c r="Y189" i="22"/>
  <c r="D196" i="58"/>
  <c r="F197" i="22"/>
  <c r="Q218" i="58"/>
  <c r="N224" i="67"/>
  <c r="U219" i="22"/>
  <c r="E208" i="67"/>
  <c r="Q203" i="22"/>
  <c r="Q213" i="58"/>
  <c r="N219" i="67"/>
  <c r="U214" i="22"/>
  <c r="H174" i="22"/>
  <c r="O173" i="103"/>
  <c r="E189" i="67"/>
  <c r="Q185" i="22"/>
  <c r="AT382" i="103"/>
  <c r="Q195" i="58"/>
  <c r="N201" i="67"/>
  <c r="U196" i="22"/>
  <c r="CG205" i="103"/>
  <c r="CI205" i="103" s="1"/>
  <c r="E212" i="22"/>
  <c r="H211" i="103"/>
  <c r="CG172" i="103"/>
  <c r="CH172" i="103" s="1"/>
  <c r="E179" i="22"/>
  <c r="H178" i="103"/>
  <c r="CG190" i="103"/>
  <c r="CH190" i="103" s="1"/>
  <c r="E197" i="22"/>
  <c r="H196" i="103"/>
  <c r="O198" i="58"/>
  <c r="C204" i="67"/>
  <c r="Y199" i="22"/>
  <c r="D206" i="58"/>
  <c r="F207" i="22"/>
  <c r="F211" i="58"/>
  <c r="K212" i="22"/>
  <c r="L212" i="22" s="1"/>
  <c r="U211" i="103"/>
  <c r="D173" i="58"/>
  <c r="F174" i="22"/>
  <c r="F178" i="58"/>
  <c r="K179" i="22"/>
  <c r="L179" i="22" s="1"/>
  <c r="U178" i="103"/>
  <c r="O183" i="58"/>
  <c r="C188" i="67"/>
  <c r="Y184" i="22"/>
  <c r="D191" i="58"/>
  <c r="F192" i="22"/>
  <c r="F196" i="58"/>
  <c r="K197" i="22"/>
  <c r="L197" i="22" s="1"/>
  <c r="U196" i="103"/>
  <c r="AW382" i="103"/>
  <c r="H199" i="22"/>
  <c r="O198" i="103"/>
  <c r="E215" i="67"/>
  <c r="Q210" i="22"/>
  <c r="Q187" i="58"/>
  <c r="N192" i="67"/>
  <c r="U188" i="22"/>
  <c r="BV382" i="103"/>
  <c r="AI196" i="22"/>
  <c r="P211" i="58"/>
  <c r="H217" i="67"/>
  <c r="W212" i="22"/>
  <c r="H222" i="22"/>
  <c r="O221" i="103"/>
  <c r="D201" i="58"/>
  <c r="F202" i="22"/>
  <c r="F206" i="58"/>
  <c r="K207" i="22"/>
  <c r="L207" i="22" s="1"/>
  <c r="U206" i="103"/>
  <c r="O211" i="58"/>
  <c r="C217" i="67"/>
  <c r="Y212" i="22"/>
  <c r="AI219" i="22"/>
  <c r="D174" i="58"/>
  <c r="F175" i="22"/>
  <c r="F179" i="58"/>
  <c r="K180" i="22"/>
  <c r="L180" i="22" s="1"/>
  <c r="U179" i="103"/>
  <c r="O184" i="58"/>
  <c r="C189" i="67"/>
  <c r="Y185" i="22"/>
  <c r="D192" i="58"/>
  <c r="F193" i="22"/>
  <c r="P382" i="103"/>
  <c r="C197" i="58"/>
  <c r="C198" i="22"/>
  <c r="C197" i="103"/>
  <c r="C200" i="58"/>
  <c r="C201" i="22"/>
  <c r="C203" i="58"/>
  <c r="C204" i="22"/>
  <c r="C206" i="58"/>
  <c r="C207" i="22"/>
  <c r="C209" i="58"/>
  <c r="C210" i="22"/>
  <c r="C212" i="58"/>
  <c r="C213" i="22"/>
  <c r="E216" i="22"/>
  <c r="H215" i="103"/>
  <c r="D177" i="67"/>
  <c r="M177" i="67"/>
  <c r="AA173" i="22"/>
  <c r="D180" i="67"/>
  <c r="M180" i="67"/>
  <c r="AA176" i="22"/>
  <c r="M183" i="67"/>
  <c r="D183" i="67"/>
  <c r="AA179" i="22"/>
  <c r="M186" i="67"/>
  <c r="D186" i="67"/>
  <c r="AA182" i="22"/>
  <c r="D189" i="67"/>
  <c r="M189" i="67"/>
  <c r="AA185" i="22"/>
  <c r="D192" i="67"/>
  <c r="M192" i="67"/>
  <c r="AA188" i="22"/>
  <c r="M195" i="67"/>
  <c r="D195" i="67"/>
  <c r="AA191" i="22"/>
  <c r="D199" i="67"/>
  <c r="M199" i="67"/>
  <c r="AA194" i="22"/>
  <c r="M202" i="67"/>
  <c r="D202" i="67"/>
  <c r="AA197" i="22"/>
  <c r="H200" i="22"/>
  <c r="O199" i="103"/>
  <c r="E216" i="67"/>
  <c r="Q211" i="22"/>
  <c r="Q182" i="58"/>
  <c r="N187" i="67"/>
  <c r="U183" i="22"/>
  <c r="AI191" i="22"/>
  <c r="H197" i="22"/>
  <c r="O196" i="103"/>
  <c r="P209" i="58"/>
  <c r="H215" i="67"/>
  <c r="W210" i="22"/>
  <c r="F220" i="58"/>
  <c r="K221" i="22"/>
  <c r="L221" i="22" s="1"/>
  <c r="U220" i="103"/>
  <c r="D242" i="58"/>
  <c r="F243" i="22"/>
  <c r="F247" i="58"/>
  <c r="K248" i="22"/>
  <c r="L248" i="22" s="1"/>
  <c r="U247" i="103"/>
  <c r="O252" i="58"/>
  <c r="C259" i="67"/>
  <c r="Y253" i="22"/>
  <c r="O255" i="58"/>
  <c r="C263" i="67"/>
  <c r="Y256" i="22"/>
  <c r="AD127" i="23"/>
  <c r="D274" i="58"/>
  <c r="F275" i="22"/>
  <c r="AI259" i="22"/>
  <c r="AR383" i="103"/>
  <c r="C226" i="58"/>
  <c r="C227" i="22"/>
  <c r="C226" i="103"/>
  <c r="AI229" i="22"/>
  <c r="H235" i="22"/>
  <c r="O234" i="103"/>
  <c r="E252" i="67"/>
  <c r="Q246" i="22"/>
  <c r="P241" i="58"/>
  <c r="H248" i="67"/>
  <c r="W242" i="22"/>
  <c r="E258" i="22"/>
  <c r="H257" i="103"/>
  <c r="E268" i="67"/>
  <c r="Q261" i="22"/>
  <c r="E221" i="67"/>
  <c r="Q216" i="22"/>
  <c r="AT383" i="103"/>
  <c r="AG235" i="22"/>
  <c r="BZ234" i="103"/>
  <c r="CB234" i="103" s="1"/>
  <c r="L241" i="67" s="1"/>
  <c r="K246" i="67"/>
  <c r="S240" i="22"/>
  <c r="AG253" i="22"/>
  <c r="BZ252" i="103"/>
  <c r="CB252" i="103" s="1"/>
  <c r="L259" i="67" s="1"/>
  <c r="D255" i="58"/>
  <c r="F256" i="22"/>
  <c r="I127" i="23"/>
  <c r="AM225" i="103"/>
  <c r="E266" i="67"/>
  <c r="Q259" i="22"/>
  <c r="K221" i="67"/>
  <c r="S216" i="22"/>
  <c r="E238" i="67"/>
  <c r="Q232" i="22"/>
  <c r="Q242" i="58"/>
  <c r="N249" i="67"/>
  <c r="U243" i="22"/>
  <c r="AI251" i="22"/>
  <c r="BD216" i="103"/>
  <c r="E232" i="22"/>
  <c r="H231" i="103"/>
  <c r="CG243" i="103"/>
  <c r="CI243" i="103" s="1"/>
  <c r="E250" i="22"/>
  <c r="H249" i="103"/>
  <c r="BG384" i="103"/>
  <c r="O12" i="62"/>
  <c r="BL254" i="103"/>
  <c r="E232" i="67"/>
  <c r="Q226" i="22"/>
  <c r="O230" i="58"/>
  <c r="C237" i="67"/>
  <c r="Y231" i="22"/>
  <c r="D238" i="58"/>
  <c r="F239" i="22"/>
  <c r="F243" i="58"/>
  <c r="K244" i="22"/>
  <c r="L244" i="22" s="1"/>
  <c r="U243" i="103"/>
  <c r="O248" i="58"/>
  <c r="C255" i="67"/>
  <c r="Y249" i="22"/>
  <c r="E259" i="58"/>
  <c r="Y259" i="58" s="1"/>
  <c r="I260" i="22"/>
  <c r="R259" i="103"/>
  <c r="P218" i="58"/>
  <c r="H224" i="67"/>
  <c r="W219" i="22"/>
  <c r="L16" i="62"/>
  <c r="BK258" i="103"/>
  <c r="K284" i="67"/>
  <c r="S277" i="22"/>
  <c r="Q234" i="58"/>
  <c r="N241" i="67"/>
  <c r="U235" i="22"/>
  <c r="AI243" i="22"/>
  <c r="H249" i="22"/>
  <c r="O248" i="103"/>
  <c r="CD256" i="103"/>
  <c r="CF256" i="103" s="1"/>
  <c r="D221" i="67"/>
  <c r="M221" i="67"/>
  <c r="AA216" i="22"/>
  <c r="D224" i="67"/>
  <c r="M224" i="67"/>
  <c r="AA219" i="22"/>
  <c r="M227" i="67"/>
  <c r="D227" i="67"/>
  <c r="AA222" i="22"/>
  <c r="D231" i="67"/>
  <c r="M231" i="67"/>
  <c r="AA225" i="22"/>
  <c r="CG226" i="103"/>
  <c r="CH226" i="103" s="1"/>
  <c r="E233" i="22"/>
  <c r="H232" i="103"/>
  <c r="AM242" i="103"/>
  <c r="CG244" i="103"/>
  <c r="CH244" i="103" s="1"/>
  <c r="E251" i="22"/>
  <c r="H250" i="103"/>
  <c r="O258" i="58"/>
  <c r="C266" i="67"/>
  <c r="Y259" i="22"/>
  <c r="AG264" i="22"/>
  <c r="BZ263" i="103"/>
  <c r="CC263" i="103" s="1"/>
  <c r="O276" i="58"/>
  <c r="C284" i="67"/>
  <c r="Y277" i="22"/>
  <c r="D323" i="67"/>
  <c r="M323" i="67"/>
  <c r="AA315" i="22"/>
  <c r="C268" i="58"/>
  <c r="C269" i="22"/>
  <c r="C6" i="104"/>
  <c r="P271" i="58"/>
  <c r="H279" i="67"/>
  <c r="W272" i="22"/>
  <c r="E285" i="22"/>
  <c r="G385" i="103"/>
  <c r="H284" i="103"/>
  <c r="E284" i="103" s="1"/>
  <c r="E288" i="22"/>
  <c r="H287" i="103"/>
  <c r="E287" i="103" s="1"/>
  <c r="E291" i="22"/>
  <c r="H290" i="103"/>
  <c r="E290" i="103" s="1"/>
  <c r="E294" i="22"/>
  <c r="H293" i="103"/>
  <c r="E293" i="103" s="1"/>
  <c r="E297" i="22"/>
  <c r="H296" i="103"/>
  <c r="E296" i="103" s="1"/>
  <c r="E300" i="22"/>
  <c r="H299" i="103"/>
  <c r="E299" i="103" s="1"/>
  <c r="E303" i="22"/>
  <c r="H302" i="103"/>
  <c r="E302" i="103" s="1"/>
  <c r="E306" i="22"/>
  <c r="H305" i="103"/>
  <c r="E305" i="103" s="1"/>
  <c r="O262" i="58"/>
  <c r="C270" i="67"/>
  <c r="Y263" i="22"/>
  <c r="F272" i="58"/>
  <c r="K273" i="22"/>
  <c r="L273" i="22" s="1"/>
  <c r="U272" i="103"/>
  <c r="K283" i="67"/>
  <c r="S276" i="22"/>
  <c r="AM279" i="22"/>
  <c r="D282" i="58"/>
  <c r="F283" i="22"/>
  <c r="BZ285" i="103"/>
  <c r="CB285" i="103" s="1"/>
  <c r="BZ288" i="103"/>
  <c r="CC288" i="103" s="1"/>
  <c r="BZ291" i="103"/>
  <c r="CB291" i="103" s="1"/>
  <c r="BZ294" i="103"/>
  <c r="CC294" i="103" s="1"/>
  <c r="BZ297" i="103"/>
  <c r="CB297" i="103" s="1"/>
  <c r="BZ300" i="103"/>
  <c r="CB300" i="103" s="1"/>
  <c r="BZ303" i="103"/>
  <c r="CB303" i="103" s="1"/>
  <c r="O306" i="58"/>
  <c r="C315" i="67"/>
  <c r="Y307" i="22"/>
  <c r="E314" i="22"/>
  <c r="H313" i="103"/>
  <c r="E313" i="103" s="1"/>
  <c r="C263" i="58"/>
  <c r="C264" i="22"/>
  <c r="E282" i="58"/>
  <c r="Y282" i="58" s="1"/>
  <c r="I283" i="22"/>
  <c r="R282" i="103"/>
  <c r="BR385" i="103"/>
  <c r="P269" i="58"/>
  <c r="H277" i="67"/>
  <c r="W270" i="22"/>
  <c r="E283" i="22"/>
  <c r="H282" i="103"/>
  <c r="E282" i="103" s="1"/>
  <c r="F279" i="58"/>
  <c r="K280" i="22"/>
  <c r="L280" i="22" s="1"/>
  <c r="U279" i="103"/>
  <c r="K290" i="67"/>
  <c r="S283" i="22"/>
  <c r="E328" i="58"/>
  <c r="Y328" i="58" s="1"/>
  <c r="I329" i="22"/>
  <c r="R328" i="103"/>
  <c r="E265" i="58"/>
  <c r="Y265" i="58" s="1"/>
  <c r="I266" i="22"/>
  <c r="R265" i="103"/>
  <c r="AK269" i="22"/>
  <c r="O37" i="64"/>
  <c r="P37" i="64" s="1"/>
  <c r="C15" i="104"/>
  <c r="M280" i="67"/>
  <c r="D280" i="67"/>
  <c r="AA273" i="22"/>
  <c r="C282" i="58"/>
  <c r="C283" i="22"/>
  <c r="C285" i="58"/>
  <c r="C286" i="22"/>
  <c r="C288" i="58"/>
  <c r="C289" i="22"/>
  <c r="C291" i="58"/>
  <c r="C292" i="22"/>
  <c r="C294" i="58"/>
  <c r="C295" i="22"/>
  <c r="C297" i="58"/>
  <c r="C298" i="22"/>
  <c r="C300" i="58"/>
  <c r="C301" i="22"/>
  <c r="C303" i="58"/>
  <c r="C304" i="22"/>
  <c r="E316" i="67"/>
  <c r="Q308" i="22"/>
  <c r="H336" i="22"/>
  <c r="O335" i="103"/>
  <c r="M335" i="103" s="1"/>
  <c r="J335" i="103" s="1"/>
  <c r="CG262" i="103"/>
  <c r="CH262" i="103" s="1"/>
  <c r="P276" i="58"/>
  <c r="H284" i="67"/>
  <c r="W277" i="22"/>
  <c r="E353" i="67"/>
  <c r="Q344" i="22"/>
  <c r="AI315" i="22"/>
  <c r="H321" i="22"/>
  <c r="O320" i="103"/>
  <c r="M320" i="103" s="1"/>
  <c r="J320" i="103" s="1"/>
  <c r="E332" i="22"/>
  <c r="H331" i="103"/>
  <c r="CG343" i="103"/>
  <c r="CH343" i="103" s="1"/>
  <c r="BG386" i="103"/>
  <c r="P318" i="58"/>
  <c r="H328" i="67"/>
  <c r="W319" i="22"/>
  <c r="F331" i="58"/>
  <c r="K332" i="22"/>
  <c r="L332" i="22" s="1"/>
  <c r="U331" i="103"/>
  <c r="O336" i="58"/>
  <c r="C346" i="67"/>
  <c r="Y337" i="22"/>
  <c r="D344" i="58"/>
  <c r="F345" i="22"/>
  <c r="F310" i="58"/>
  <c r="K311" i="22"/>
  <c r="L311" i="22" s="1"/>
  <c r="U310" i="103"/>
  <c r="O315" i="58"/>
  <c r="C325" i="67"/>
  <c r="Y316" i="22"/>
  <c r="AJ386" i="103"/>
  <c r="D323" i="58"/>
  <c r="F324" i="22"/>
  <c r="F328" i="58"/>
  <c r="K329" i="22"/>
  <c r="L329" i="22" s="1"/>
  <c r="U328" i="103"/>
  <c r="D346" i="67"/>
  <c r="M346" i="67"/>
  <c r="AA337" i="22"/>
  <c r="E344" i="58"/>
  <c r="Y344" i="58" s="1"/>
  <c r="I345" i="22"/>
  <c r="R344" i="103"/>
  <c r="AI348" i="22"/>
  <c r="C322" i="58"/>
  <c r="C323" i="22"/>
  <c r="H334" i="22"/>
  <c r="O333" i="103"/>
  <c r="M333" i="103" s="1"/>
  <c r="J333" i="103" s="1"/>
  <c r="E354" i="67"/>
  <c r="Q345" i="22"/>
  <c r="E370" i="67"/>
  <c r="Q360" i="22"/>
  <c r="AI307" i="22"/>
  <c r="H313" i="22"/>
  <c r="O312" i="103"/>
  <c r="E333" i="67"/>
  <c r="Q324" i="22"/>
  <c r="CG341" i="103"/>
  <c r="CH341" i="103" s="1"/>
  <c r="C347" i="58"/>
  <c r="C348" i="22"/>
  <c r="CG314" i="103"/>
  <c r="CH314" i="103" s="1"/>
  <c r="E321" i="22"/>
  <c r="H320" i="103"/>
  <c r="D330" i="58"/>
  <c r="F331" i="22"/>
  <c r="J330" i="103"/>
  <c r="F335" i="58"/>
  <c r="K336" i="22"/>
  <c r="L336" i="22" s="1"/>
  <c r="U335" i="103"/>
  <c r="O340" i="58"/>
  <c r="C350" i="67"/>
  <c r="Y341" i="22"/>
  <c r="K336" i="67"/>
  <c r="S327" i="22"/>
  <c r="C332" i="58"/>
  <c r="C333" i="22"/>
  <c r="M353" i="67"/>
  <c r="D353" i="67"/>
  <c r="AA344" i="22"/>
  <c r="AK346" i="22"/>
  <c r="BM387" i="103"/>
  <c r="C311" i="58"/>
  <c r="C312" i="22"/>
  <c r="D332" i="67"/>
  <c r="M332" i="67"/>
  <c r="AA323" i="22"/>
  <c r="E340" i="67"/>
  <c r="Q331" i="22"/>
  <c r="Q341" i="58"/>
  <c r="N351" i="67"/>
  <c r="U342" i="22"/>
  <c r="E321" i="67"/>
  <c r="Q313" i="22"/>
  <c r="Q323" i="58"/>
  <c r="N333" i="67"/>
  <c r="U324" i="22"/>
  <c r="BG387" i="103"/>
  <c r="CG312" i="103"/>
  <c r="CH312" i="103" s="1"/>
  <c r="AE386" i="103"/>
  <c r="E319" i="22"/>
  <c r="H318" i="103"/>
  <c r="K343" i="67"/>
  <c r="S334" i="22"/>
  <c r="F309" i="58"/>
  <c r="K310" i="22"/>
  <c r="L310" i="22" s="1"/>
  <c r="U309" i="103"/>
  <c r="O314" i="58"/>
  <c r="C323" i="67"/>
  <c r="Y315" i="22"/>
  <c r="D322" i="58"/>
  <c r="F323" i="22"/>
  <c r="F327" i="58"/>
  <c r="K328" i="22"/>
  <c r="L328" i="22" s="1"/>
  <c r="U327" i="103"/>
  <c r="M348" i="67"/>
  <c r="D348" i="67"/>
  <c r="AA339" i="22"/>
  <c r="BD343" i="103"/>
  <c r="K357" i="67"/>
  <c r="S347" i="22"/>
  <c r="E354" i="22"/>
  <c r="H353" i="103"/>
  <c r="F374" i="58"/>
  <c r="K375" i="22"/>
  <c r="L375" i="22" s="1"/>
  <c r="U374" i="103"/>
  <c r="D357" i="58"/>
  <c r="F358" i="22"/>
  <c r="F362" i="58"/>
  <c r="K363" i="22"/>
  <c r="L363" i="22" s="1"/>
  <c r="U362" i="103"/>
  <c r="O367" i="58"/>
  <c r="C378" i="67"/>
  <c r="Y368" i="22"/>
  <c r="E372" i="58"/>
  <c r="Y372" i="58" s="1"/>
  <c r="I373" i="22"/>
  <c r="R372" i="103"/>
  <c r="N204" i="13"/>
  <c r="P204" i="13" s="1"/>
  <c r="AB375" i="103"/>
  <c r="C362" i="58"/>
  <c r="C363" i="22"/>
  <c r="H374" i="22"/>
  <c r="O373" i="103"/>
  <c r="M373" i="103" s="1"/>
  <c r="J373" i="103" s="1"/>
  <c r="AI350" i="22"/>
  <c r="H356" i="22"/>
  <c r="O355" i="103"/>
  <c r="M355" i="103" s="1"/>
  <c r="J355" i="103" s="1"/>
  <c r="E377" i="67"/>
  <c r="Q367" i="22"/>
  <c r="CG360" i="103"/>
  <c r="CI360" i="103" s="1"/>
  <c r="E367" i="22"/>
  <c r="H366" i="103"/>
  <c r="K362" i="67"/>
  <c r="S352" i="22"/>
  <c r="K380" i="67"/>
  <c r="S370" i="22"/>
  <c r="C360" i="58"/>
  <c r="C361" i="22"/>
  <c r="Q351" i="58"/>
  <c r="N362" i="67"/>
  <c r="U352" i="22"/>
  <c r="AI360" i="22"/>
  <c r="H366" i="22"/>
  <c r="O365" i="103"/>
  <c r="M365" i="103" s="1"/>
  <c r="J365" i="103" s="1"/>
  <c r="P351" i="58"/>
  <c r="H362" i="67"/>
  <c r="W352" i="22"/>
  <c r="P369" i="58"/>
  <c r="H380" i="67"/>
  <c r="W370" i="22"/>
  <c r="D374" i="58"/>
  <c r="F375" i="22"/>
  <c r="K369" i="67"/>
  <c r="S359" i="22"/>
  <c r="E371" i="58"/>
  <c r="Y371" i="58" s="1"/>
  <c r="I372" i="22"/>
  <c r="R371" i="103"/>
  <c r="N203" i="13"/>
  <c r="P203" i="13" s="1"/>
  <c r="AB374" i="103"/>
  <c r="C358" i="58"/>
  <c r="C359" i="22"/>
  <c r="D380" i="67"/>
  <c r="M380" i="67"/>
  <c r="AA370" i="22"/>
  <c r="D96" i="67"/>
  <c r="M96" i="67"/>
  <c r="AA95" i="22"/>
  <c r="BD99" i="103"/>
  <c r="E105" i="67"/>
  <c r="Q103" i="22"/>
  <c r="O110" i="58"/>
  <c r="C113" i="67"/>
  <c r="Y111" i="22"/>
  <c r="F133" i="58"/>
  <c r="K134" i="22"/>
  <c r="L134" i="22" s="1"/>
  <c r="U133" i="103"/>
  <c r="H98" i="22"/>
  <c r="O97" i="103"/>
  <c r="E91" i="22"/>
  <c r="H90" i="103"/>
  <c r="P101" i="58"/>
  <c r="H104" i="67"/>
  <c r="W102" i="22"/>
  <c r="AI379" i="103"/>
  <c r="Q117" i="58"/>
  <c r="N120" i="67"/>
  <c r="U118" i="22"/>
  <c r="AI126" i="22"/>
  <c r="D94" i="58"/>
  <c r="F95" i="22"/>
  <c r="P108" i="58"/>
  <c r="H111" i="67"/>
  <c r="W109" i="22"/>
  <c r="F128" i="58"/>
  <c r="K129" i="22"/>
  <c r="L129" i="22" s="1"/>
  <c r="U128" i="103"/>
  <c r="C93" i="58"/>
  <c r="C94" i="22"/>
  <c r="AW379" i="103"/>
  <c r="AM107" i="103"/>
  <c r="D116" i="58"/>
  <c r="F117" i="22"/>
  <c r="K127" i="67"/>
  <c r="S125" i="22"/>
  <c r="F131" i="58"/>
  <c r="K132" i="22"/>
  <c r="L132" i="22" s="1"/>
  <c r="T380" i="103"/>
  <c r="U131" i="103"/>
  <c r="O136" i="58"/>
  <c r="C140" i="67"/>
  <c r="Y137" i="22"/>
  <c r="D144" i="58"/>
  <c r="F145" i="22"/>
  <c r="F149" i="58"/>
  <c r="K150" i="22"/>
  <c r="L150" i="22" s="1"/>
  <c r="U149" i="103"/>
  <c r="O154" i="58"/>
  <c r="C158" i="67"/>
  <c r="Y155" i="22"/>
  <c r="D162" i="58"/>
  <c r="F163" i="22"/>
  <c r="P381" i="103"/>
  <c r="F167" i="58"/>
  <c r="K168" i="22"/>
  <c r="L168" i="22" s="1"/>
  <c r="U167" i="103"/>
  <c r="E192" i="22"/>
  <c r="H191" i="103"/>
  <c r="E129" i="58"/>
  <c r="Y129" i="58" s="1"/>
  <c r="I130" i="22"/>
  <c r="R129" i="103"/>
  <c r="E132" i="58"/>
  <c r="Y132" i="58" s="1"/>
  <c r="I133" i="22"/>
  <c r="R132" i="103"/>
  <c r="C149" i="58"/>
  <c r="C150" i="22"/>
  <c r="M164" i="67"/>
  <c r="D164" i="67"/>
  <c r="AA161" i="22"/>
  <c r="AK163" i="22"/>
  <c r="BM381" i="103"/>
  <c r="P187" i="58"/>
  <c r="H192" i="67"/>
  <c r="W188" i="22"/>
  <c r="Q146" i="58"/>
  <c r="N150" i="67"/>
  <c r="U147" i="22"/>
  <c r="AI155" i="22"/>
  <c r="H161" i="22"/>
  <c r="O160" i="103"/>
  <c r="BN381" i="103"/>
  <c r="E172" i="22"/>
  <c r="H171" i="103"/>
  <c r="AI178" i="22"/>
  <c r="BG380" i="103"/>
  <c r="P134" i="58"/>
  <c r="H138" i="67"/>
  <c r="W135" i="22"/>
  <c r="P152" i="58"/>
  <c r="H156" i="67"/>
  <c r="W153" i="22"/>
  <c r="S381" i="103"/>
  <c r="P170" i="58"/>
  <c r="H175" i="67"/>
  <c r="W171" i="22"/>
  <c r="Q135" i="67"/>
  <c r="Q166" i="67" s="1"/>
  <c r="BH380" i="103"/>
  <c r="O134" i="58"/>
  <c r="C138" i="67"/>
  <c r="Y135" i="22"/>
  <c r="D142" i="58"/>
  <c r="F143" i="22"/>
  <c r="F147" i="58"/>
  <c r="K148" i="22"/>
  <c r="L148" i="22" s="1"/>
  <c r="U147" i="103"/>
  <c r="O152" i="58"/>
  <c r="C156" i="67"/>
  <c r="Y153" i="22"/>
  <c r="D160" i="58"/>
  <c r="F161" i="22"/>
  <c r="AR381" i="103"/>
  <c r="F165" i="58"/>
  <c r="K166" i="22"/>
  <c r="L166" i="22" s="1"/>
  <c r="U165" i="103"/>
  <c r="O170" i="58"/>
  <c r="C175" i="67"/>
  <c r="Y171" i="22"/>
  <c r="AW380" i="103"/>
  <c r="D138" i="67"/>
  <c r="M138" i="67"/>
  <c r="AA135" i="22"/>
  <c r="BD139" i="103"/>
  <c r="E142" i="58"/>
  <c r="Y142" i="58" s="1"/>
  <c r="I143" i="22"/>
  <c r="R142" i="103"/>
  <c r="C159" i="58"/>
  <c r="C160" i="22"/>
  <c r="E140" i="67"/>
  <c r="Q137" i="22"/>
  <c r="Q147" i="58"/>
  <c r="N151" i="67"/>
  <c r="U148" i="22"/>
  <c r="AI156" i="22"/>
  <c r="H162" i="22"/>
  <c r="O161" i="103"/>
  <c r="P141" i="58"/>
  <c r="H145" i="67"/>
  <c r="W142" i="22"/>
  <c r="P159" i="58"/>
  <c r="H163" i="67"/>
  <c r="W160" i="22"/>
  <c r="P172" i="58"/>
  <c r="H177" i="67"/>
  <c r="W173" i="22"/>
  <c r="F151" i="58"/>
  <c r="K152" i="22"/>
  <c r="L152" i="22" s="1"/>
  <c r="U151" i="103"/>
  <c r="O156" i="58"/>
  <c r="C160" i="67"/>
  <c r="Y157" i="22"/>
  <c r="D164" i="58"/>
  <c r="F165" i="22"/>
  <c r="F169" i="58"/>
  <c r="K170" i="22"/>
  <c r="L170" i="22" s="1"/>
  <c r="U169" i="103"/>
  <c r="C133" i="58"/>
  <c r="C134" i="22"/>
  <c r="M148" i="67"/>
  <c r="D148" i="67"/>
  <c r="AA145" i="22"/>
  <c r="BD149" i="103"/>
  <c r="E152" i="58"/>
  <c r="Y152" i="58" s="1"/>
  <c r="I153" i="22"/>
  <c r="R152" i="103"/>
  <c r="H130" i="22"/>
  <c r="O129" i="103"/>
  <c r="BN380" i="103"/>
  <c r="E144" i="67"/>
  <c r="Q141" i="22"/>
  <c r="Q151" i="58"/>
  <c r="N155" i="67"/>
  <c r="U152" i="22"/>
  <c r="AI160" i="22"/>
  <c r="AX381" i="103"/>
  <c r="H166" i="22"/>
  <c r="O165" i="103"/>
  <c r="E132" i="22"/>
  <c r="G380" i="103"/>
  <c r="H131" i="103"/>
  <c r="CG143" i="103"/>
  <c r="CI143" i="103" s="1"/>
  <c r="E150" i="22"/>
  <c r="H149" i="103"/>
  <c r="AM159" i="103"/>
  <c r="CG161" i="103"/>
  <c r="CI161" i="103" s="1"/>
  <c r="E168" i="22"/>
  <c r="H167" i="103"/>
  <c r="F172" i="58"/>
  <c r="K173" i="22"/>
  <c r="L173" i="22" s="1"/>
  <c r="U172" i="103"/>
  <c r="P188" i="58"/>
  <c r="H193" i="67"/>
  <c r="W189" i="22"/>
  <c r="BO382" i="103"/>
  <c r="K204" i="67"/>
  <c r="S199" i="22"/>
  <c r="AG212" i="22"/>
  <c r="BZ211" i="103"/>
  <c r="CB211" i="103" s="1"/>
  <c r="L217" i="67" s="1"/>
  <c r="K188" i="67"/>
  <c r="S184" i="22"/>
  <c r="AG197" i="22"/>
  <c r="BZ196" i="103"/>
  <c r="CB196" i="103" s="1"/>
  <c r="L202" i="67" s="1"/>
  <c r="Q219" i="58"/>
  <c r="N225" i="67"/>
  <c r="U220" i="22"/>
  <c r="E211" i="67"/>
  <c r="Q206" i="22"/>
  <c r="H177" i="22"/>
  <c r="O176" i="103"/>
  <c r="E192" i="67"/>
  <c r="Q188" i="22"/>
  <c r="BF382" i="103"/>
  <c r="P201" i="58"/>
  <c r="H207" i="67"/>
  <c r="W202" i="22"/>
  <c r="O219" i="58"/>
  <c r="C225" i="67"/>
  <c r="Y220" i="22"/>
  <c r="P186" i="58"/>
  <c r="H191" i="67"/>
  <c r="W187" i="22"/>
  <c r="AG207" i="22"/>
  <c r="BZ206" i="103"/>
  <c r="CB206" i="103" s="1"/>
  <c r="L212" i="67" s="1"/>
  <c r="K217" i="67"/>
  <c r="S212" i="22"/>
  <c r="K183" i="67"/>
  <c r="S179" i="22"/>
  <c r="K202" i="67"/>
  <c r="S197" i="22"/>
  <c r="BU382" i="103"/>
  <c r="H202" i="22"/>
  <c r="O201" i="103"/>
  <c r="E218" i="67"/>
  <c r="Q213" i="22"/>
  <c r="F215" i="58"/>
  <c r="K216" i="22"/>
  <c r="L216" i="22" s="1"/>
  <c r="U215" i="103"/>
  <c r="E184" i="67"/>
  <c r="Q180" i="22"/>
  <c r="Q190" i="58"/>
  <c r="N195" i="67"/>
  <c r="U191" i="22"/>
  <c r="CG200" i="103"/>
  <c r="CI200" i="103" s="1"/>
  <c r="E207" i="22"/>
  <c r="H206" i="103"/>
  <c r="AI222" i="22"/>
  <c r="P196" i="58"/>
  <c r="H202" i="67"/>
  <c r="W197" i="22"/>
  <c r="K212" i="67"/>
  <c r="S207" i="22"/>
  <c r="K184" i="67"/>
  <c r="S180" i="22"/>
  <c r="P225" i="58"/>
  <c r="H232" i="67"/>
  <c r="W226" i="22"/>
  <c r="H203" i="22"/>
  <c r="O202" i="103"/>
  <c r="E219" i="67"/>
  <c r="Q214" i="22"/>
  <c r="E179" i="67"/>
  <c r="Q175" i="22"/>
  <c r="Q185" i="58"/>
  <c r="N190" i="67"/>
  <c r="U186" i="22"/>
  <c r="AI194" i="22"/>
  <c r="CG198" i="103"/>
  <c r="CH198" i="103" s="1"/>
  <c r="E205" i="22"/>
  <c r="H204" i="103"/>
  <c r="AG243" i="22"/>
  <c r="BZ242" i="103"/>
  <c r="CB242" i="103" s="1"/>
  <c r="L249" i="67" s="1"/>
  <c r="K254" i="67"/>
  <c r="S248" i="22"/>
  <c r="AG278" i="22"/>
  <c r="BZ277" i="103"/>
  <c r="CC277" i="103" s="1"/>
  <c r="C256" i="58"/>
  <c r="C257" i="22"/>
  <c r="K278" i="67"/>
  <c r="S271" i="22"/>
  <c r="AM224" i="22"/>
  <c r="BP383" i="103"/>
  <c r="AI232" i="22"/>
  <c r="H238" i="22"/>
  <c r="O237" i="103"/>
  <c r="E255" i="67"/>
  <c r="Q249" i="22"/>
  <c r="L14" i="62"/>
  <c r="BK256" i="103"/>
  <c r="K269" i="67"/>
  <c r="S262" i="22"/>
  <c r="AM228" i="103"/>
  <c r="CG230" i="103"/>
  <c r="CH230" i="103" s="1"/>
  <c r="E237" i="22"/>
  <c r="H236" i="103"/>
  <c r="CG248" i="103"/>
  <c r="CI248" i="103" s="1"/>
  <c r="E255" i="22"/>
  <c r="H126" i="23"/>
  <c r="G384" i="103"/>
  <c r="H254" i="103"/>
  <c r="F257" i="58"/>
  <c r="K258" i="22"/>
  <c r="L258" i="22" s="1"/>
  <c r="U257" i="103"/>
  <c r="E224" i="67"/>
  <c r="Q219" i="22"/>
  <c r="BF383" i="103"/>
  <c r="O229" i="58"/>
  <c r="C236" i="67"/>
  <c r="Y230" i="22"/>
  <c r="D237" i="58"/>
  <c r="F238" i="22"/>
  <c r="F242" i="58"/>
  <c r="K243" i="22"/>
  <c r="L243" i="22" s="1"/>
  <c r="U242" i="103"/>
  <c r="O247" i="58"/>
  <c r="C254" i="67"/>
  <c r="Y248" i="22"/>
  <c r="AG256" i="22"/>
  <c r="AH127" i="23"/>
  <c r="BZ255" i="103"/>
  <c r="CC255" i="103" s="1"/>
  <c r="E258" i="58"/>
  <c r="Y258" i="58" s="1"/>
  <c r="I259" i="22"/>
  <c r="R258" i="103"/>
  <c r="P223" i="58"/>
  <c r="H230" i="67"/>
  <c r="W224" i="22"/>
  <c r="AI383" i="103"/>
  <c r="E228" i="58"/>
  <c r="Y228" i="58" s="1"/>
  <c r="I229" i="22"/>
  <c r="R228" i="103"/>
  <c r="E231" i="58"/>
  <c r="Y231" i="58" s="1"/>
  <c r="I232" i="22"/>
  <c r="R231" i="103"/>
  <c r="E234" i="58"/>
  <c r="Y234" i="58" s="1"/>
  <c r="I235" i="22"/>
  <c r="R234" i="103"/>
  <c r="E237" i="58"/>
  <c r="Y237" i="58" s="1"/>
  <c r="I238" i="22"/>
  <c r="R237" i="103"/>
  <c r="E240" i="58"/>
  <c r="Y240" i="58" s="1"/>
  <c r="I241" i="22"/>
  <c r="R240" i="103"/>
  <c r="E243" i="58"/>
  <c r="Y243" i="58" s="1"/>
  <c r="I244" i="22"/>
  <c r="R243" i="103"/>
  <c r="E246" i="58"/>
  <c r="Y246" i="58" s="1"/>
  <c r="I247" i="22"/>
  <c r="R246" i="103"/>
  <c r="E249" i="58"/>
  <c r="Y249" i="58" s="1"/>
  <c r="I250" i="22"/>
  <c r="R249" i="103"/>
  <c r="E252" i="58"/>
  <c r="Y252" i="58" s="1"/>
  <c r="I253" i="22"/>
  <c r="R252" i="103"/>
  <c r="E255" i="58"/>
  <c r="Y255" i="58" s="1"/>
  <c r="I256" i="22"/>
  <c r="R127" i="23"/>
  <c r="R255" i="103"/>
  <c r="BB258" i="103"/>
  <c r="F218" i="58"/>
  <c r="K219" i="22"/>
  <c r="L219" i="22" s="1"/>
  <c r="U218" i="103"/>
  <c r="O223" i="58"/>
  <c r="C230" i="67"/>
  <c r="Y224" i="22"/>
  <c r="AJ383" i="103"/>
  <c r="E241" i="67"/>
  <c r="Q235" i="22"/>
  <c r="Q245" i="58"/>
  <c r="N252" i="67"/>
  <c r="U246" i="22"/>
  <c r="AI254" i="22"/>
  <c r="AI257" i="22"/>
  <c r="P239" i="58"/>
  <c r="H246" i="67"/>
  <c r="W240" i="22"/>
  <c r="BS384" i="103"/>
  <c r="F258" i="58"/>
  <c r="K259" i="22"/>
  <c r="L259" i="22" s="1"/>
  <c r="U258" i="103"/>
  <c r="E265" i="22"/>
  <c r="H264" i="103"/>
  <c r="AN238" i="103"/>
  <c r="K250" i="67"/>
  <c r="S244" i="22"/>
  <c r="AK260" i="22"/>
  <c r="CG225" i="103"/>
  <c r="CH225" i="103" s="1"/>
  <c r="O218" i="58"/>
  <c r="C224" i="67"/>
  <c r="Y219" i="22"/>
  <c r="AZ383" i="103"/>
  <c r="E233" i="67"/>
  <c r="Q227" i="22"/>
  <c r="Q237" i="58"/>
  <c r="N244" i="67"/>
  <c r="U238" i="22"/>
  <c r="AI246" i="22"/>
  <c r="H252" i="22"/>
  <c r="O251" i="103"/>
  <c r="F260" i="58"/>
  <c r="K261" i="22"/>
  <c r="L261" i="22" s="1"/>
  <c r="U260" i="103"/>
  <c r="P240" i="58"/>
  <c r="H247" i="67"/>
  <c r="W241" i="22"/>
  <c r="AM268" i="22"/>
  <c r="O273" i="58"/>
  <c r="C281" i="67"/>
  <c r="Y274" i="22"/>
  <c r="F283" i="58"/>
  <c r="K284" i="22"/>
  <c r="L284" i="22" s="1"/>
  <c r="U283" i="103"/>
  <c r="F286" i="58"/>
  <c r="K287" i="22"/>
  <c r="L287" i="22" s="1"/>
  <c r="U286" i="103"/>
  <c r="F289" i="58"/>
  <c r="K290" i="22"/>
  <c r="L290" i="22" s="1"/>
  <c r="U289" i="103"/>
  <c r="F292" i="58"/>
  <c r="K293" i="22"/>
  <c r="L293" i="22" s="1"/>
  <c r="U292" i="103"/>
  <c r="F295" i="58"/>
  <c r="K296" i="22"/>
  <c r="L296" i="22" s="1"/>
  <c r="U295" i="103"/>
  <c r="F298" i="58"/>
  <c r="K299" i="22"/>
  <c r="L299" i="22" s="1"/>
  <c r="U298" i="103"/>
  <c r="F301" i="58"/>
  <c r="K302" i="22"/>
  <c r="L302" i="22" s="1"/>
  <c r="U301" i="103"/>
  <c r="F304" i="58"/>
  <c r="K305" i="22"/>
  <c r="L305" i="22" s="1"/>
  <c r="U304" i="103"/>
  <c r="H308" i="22"/>
  <c r="O307" i="103"/>
  <c r="AG386" i="103"/>
  <c r="C265" i="58"/>
  <c r="C266" i="22"/>
  <c r="E284" i="58"/>
  <c r="I285" i="22"/>
  <c r="Q385" i="103"/>
  <c r="R284" i="103"/>
  <c r="E287" i="58"/>
  <c r="Y287" i="58" s="1"/>
  <c r="I288" i="22"/>
  <c r="R287" i="103"/>
  <c r="E290" i="58"/>
  <c r="Y290" i="58" s="1"/>
  <c r="I291" i="22"/>
  <c r="R290" i="103"/>
  <c r="E293" i="58"/>
  <c r="Y293" i="58" s="1"/>
  <c r="I294" i="22"/>
  <c r="R293" i="103"/>
  <c r="E296" i="58"/>
  <c r="Y296" i="58" s="1"/>
  <c r="I297" i="22"/>
  <c r="R296" i="103"/>
  <c r="E299" i="58"/>
  <c r="Y299" i="58" s="1"/>
  <c r="I300" i="22"/>
  <c r="R299" i="103"/>
  <c r="E302" i="58"/>
  <c r="Y302" i="58" s="1"/>
  <c r="I303" i="22"/>
  <c r="R302" i="103"/>
  <c r="E305" i="58"/>
  <c r="Y305" i="58" s="1"/>
  <c r="I306" i="22"/>
  <c r="R305" i="103"/>
  <c r="E271" i="67"/>
  <c r="Q264" i="22"/>
  <c r="E274" i="67"/>
  <c r="Q267" i="22"/>
  <c r="E277" i="67"/>
  <c r="Q270" i="22"/>
  <c r="E280" i="67"/>
  <c r="Q273" i="22"/>
  <c r="E283" i="67"/>
  <c r="Q276" i="22"/>
  <c r="E286" i="67"/>
  <c r="Q279" i="22"/>
  <c r="E289" i="67"/>
  <c r="Q282" i="22"/>
  <c r="E293" i="67"/>
  <c r="Q285" i="22"/>
  <c r="AD385" i="103"/>
  <c r="E296" i="67"/>
  <c r="Q288" i="22"/>
  <c r="E299" i="67"/>
  <c r="Q291" i="22"/>
  <c r="E302" i="67"/>
  <c r="Q294" i="22"/>
  <c r="E305" i="67"/>
  <c r="Q297" i="22"/>
  <c r="E308" i="67"/>
  <c r="Q300" i="22"/>
  <c r="E311" i="67"/>
  <c r="Q303" i="22"/>
  <c r="E314" i="67"/>
  <c r="Q306" i="22"/>
  <c r="P268" i="58"/>
  <c r="H276" i="67"/>
  <c r="W269" i="22"/>
  <c r="C20" i="104"/>
  <c r="O30" i="64"/>
  <c r="P30" i="64" s="1"/>
  <c r="E282" i="22"/>
  <c r="H281" i="103"/>
  <c r="E281" i="103" s="1"/>
  <c r="S385" i="103"/>
  <c r="Q330" i="58"/>
  <c r="N340" i="67"/>
  <c r="U331" i="22"/>
  <c r="F269" i="58"/>
  <c r="K270" i="22"/>
  <c r="L270" i="22" s="1"/>
  <c r="U269" i="103"/>
  <c r="K280" i="67"/>
  <c r="S273" i="22"/>
  <c r="AM276" i="22"/>
  <c r="D279" i="58"/>
  <c r="F280" i="22"/>
  <c r="AG283" i="22"/>
  <c r="BZ282" i="103"/>
  <c r="CC282" i="103" s="1"/>
  <c r="E279" i="58"/>
  <c r="Y279" i="58" s="1"/>
  <c r="I280" i="22"/>
  <c r="R279" i="103"/>
  <c r="AK283" i="22"/>
  <c r="D295" i="67"/>
  <c r="M295" i="67"/>
  <c r="AA287" i="22"/>
  <c r="D298" i="67"/>
  <c r="M298" i="67"/>
  <c r="AA290" i="22"/>
  <c r="M301" i="67"/>
  <c r="D301" i="67"/>
  <c r="AA293" i="22"/>
  <c r="M304" i="67"/>
  <c r="D304" i="67"/>
  <c r="AA296" i="22"/>
  <c r="D307" i="67"/>
  <c r="M307" i="67"/>
  <c r="AA299" i="22"/>
  <c r="D310" i="67"/>
  <c r="M310" i="67"/>
  <c r="AA302" i="22"/>
  <c r="D313" i="67"/>
  <c r="M313" i="67"/>
  <c r="AA305" i="22"/>
  <c r="CG306" i="103"/>
  <c r="CH306" i="103" s="1"/>
  <c r="E269" i="67"/>
  <c r="Q262" i="22"/>
  <c r="E272" i="67"/>
  <c r="Q265" i="22"/>
  <c r="E275" i="67"/>
  <c r="Q268" i="22"/>
  <c r="E278" i="67"/>
  <c r="Q271" i="22"/>
  <c r="E281" i="67"/>
  <c r="Q274" i="22"/>
  <c r="E284" i="67"/>
  <c r="Q277" i="22"/>
  <c r="E287" i="67"/>
  <c r="Q280" i="22"/>
  <c r="E290" i="67"/>
  <c r="Q283" i="22"/>
  <c r="E294" i="67"/>
  <c r="Q286" i="22"/>
  <c r="E297" i="67"/>
  <c r="Q289" i="22"/>
  <c r="E300" i="67"/>
  <c r="Q292" i="22"/>
  <c r="E303" i="67"/>
  <c r="Q295" i="22"/>
  <c r="E306" i="67"/>
  <c r="Q298" i="22"/>
  <c r="E309" i="67"/>
  <c r="Q301" i="22"/>
  <c r="E312" i="67"/>
  <c r="Q304" i="22"/>
  <c r="P266" i="58"/>
  <c r="H274" i="67"/>
  <c r="W267" i="22"/>
  <c r="E280" i="22"/>
  <c r="H279" i="103"/>
  <c r="E279" i="103" s="1"/>
  <c r="C324" i="58"/>
  <c r="C325" i="22"/>
  <c r="K287" i="67"/>
  <c r="S280" i="22"/>
  <c r="AM283" i="22"/>
  <c r="D286" i="58"/>
  <c r="F287" i="22"/>
  <c r="D289" i="58"/>
  <c r="F290" i="22"/>
  <c r="D292" i="58"/>
  <c r="F293" i="22"/>
  <c r="D295" i="58"/>
  <c r="F296" i="22"/>
  <c r="D298" i="58"/>
  <c r="F299" i="22"/>
  <c r="D301" i="58"/>
  <c r="F302" i="22"/>
  <c r="D304" i="58"/>
  <c r="F305" i="22"/>
  <c r="E262" i="58"/>
  <c r="Y262" i="58" s="1"/>
  <c r="I263" i="22"/>
  <c r="R262" i="103"/>
  <c r="AK266" i="22"/>
  <c r="D277" i="67"/>
  <c r="M277" i="67"/>
  <c r="AA270" i="22"/>
  <c r="C279" i="58"/>
  <c r="C280" i="22"/>
  <c r="E270" i="67"/>
  <c r="Q263" i="22"/>
  <c r="E273" i="67"/>
  <c r="Q266" i="22"/>
  <c r="E276" i="67"/>
  <c r="Q269" i="22"/>
  <c r="C12" i="104"/>
  <c r="O27" i="64"/>
  <c r="E279" i="67"/>
  <c r="Q272" i="22"/>
  <c r="E282" i="67"/>
  <c r="Q275" i="22"/>
  <c r="E285" i="67"/>
  <c r="Q278" i="22"/>
  <c r="E288" i="67"/>
  <c r="Q281" i="22"/>
  <c r="E291" i="67"/>
  <c r="Q284" i="22"/>
  <c r="E295" i="67"/>
  <c r="Q287" i="22"/>
  <c r="E298" i="67"/>
  <c r="Q290" i="22"/>
  <c r="E301" i="67"/>
  <c r="Q293" i="22"/>
  <c r="E304" i="67"/>
  <c r="Q296" i="22"/>
  <c r="E307" i="67"/>
  <c r="Q299" i="22"/>
  <c r="E310" i="67"/>
  <c r="Q302" i="22"/>
  <c r="E313" i="67"/>
  <c r="Q305" i="22"/>
  <c r="H261" i="22"/>
  <c r="O260" i="103"/>
  <c r="P273" i="58"/>
  <c r="H281" i="67"/>
  <c r="W274" i="22"/>
  <c r="E347" i="22"/>
  <c r="H346" i="103"/>
  <c r="Q367" i="58"/>
  <c r="N378" i="67"/>
  <c r="U368" i="22"/>
  <c r="Q309" i="58"/>
  <c r="N318" i="67"/>
  <c r="U310" i="22"/>
  <c r="AI318" i="22"/>
  <c r="H324" i="22"/>
  <c r="O323" i="103"/>
  <c r="M323" i="103" s="1"/>
  <c r="J323" i="103" s="1"/>
  <c r="P339" i="58"/>
  <c r="H349" i="67"/>
  <c r="W340" i="22"/>
  <c r="P358" i="58"/>
  <c r="H369" i="67"/>
  <c r="W359" i="22"/>
  <c r="BS386" i="103"/>
  <c r="CG325" i="103"/>
  <c r="CH325" i="103" s="1"/>
  <c r="K341" i="67"/>
  <c r="S332" i="22"/>
  <c r="BZ344" i="103"/>
  <c r="CB344" i="103" s="1"/>
  <c r="P361" i="58"/>
  <c r="H372" i="67"/>
  <c r="W362" i="22"/>
  <c r="K319" i="67"/>
  <c r="S311" i="22"/>
  <c r="AV386" i="103"/>
  <c r="BZ323" i="103"/>
  <c r="CB323" i="103" s="1"/>
  <c r="K338" i="67"/>
  <c r="S329" i="22"/>
  <c r="M349" i="67"/>
  <c r="D349" i="67"/>
  <c r="AA340" i="22"/>
  <c r="AO387" i="103"/>
  <c r="BD344" i="103"/>
  <c r="H349" i="22"/>
  <c r="O348" i="103"/>
  <c r="M348" i="103" s="1"/>
  <c r="J348" i="103" s="1"/>
  <c r="E367" i="67"/>
  <c r="Q357" i="22"/>
  <c r="E308" i="58"/>
  <c r="Y308" i="58" s="1"/>
  <c r="I309" i="22"/>
  <c r="R308" i="103"/>
  <c r="C325" i="58"/>
  <c r="C326" i="22"/>
  <c r="AI331" i="22"/>
  <c r="H337" i="22"/>
  <c r="O336" i="103"/>
  <c r="M336" i="103" s="1"/>
  <c r="J336" i="103" s="1"/>
  <c r="AP387" i="103"/>
  <c r="AI349" i="22"/>
  <c r="AI310" i="22"/>
  <c r="H316" i="22"/>
  <c r="N386" i="103"/>
  <c r="O315" i="103"/>
  <c r="L315" i="103" s="1"/>
  <c r="AB315" i="103" s="1"/>
  <c r="E336" i="67"/>
  <c r="Q327" i="22"/>
  <c r="P337" i="58"/>
  <c r="H347" i="67"/>
  <c r="W338" i="22"/>
  <c r="AQ387" i="103"/>
  <c r="P310" i="58"/>
  <c r="H319" i="67"/>
  <c r="W311" i="22"/>
  <c r="P328" i="58"/>
  <c r="H338" i="67"/>
  <c r="W329" i="22"/>
  <c r="AN330" i="103"/>
  <c r="K345" i="67"/>
  <c r="S336" i="22"/>
  <c r="BL387" i="103"/>
  <c r="E361" i="67"/>
  <c r="Q351" i="22"/>
  <c r="CG374" i="103"/>
  <c r="CH374" i="103" s="1"/>
  <c r="F311" i="58"/>
  <c r="K312" i="22"/>
  <c r="L312" i="22" s="1"/>
  <c r="U311" i="103"/>
  <c r="O316" i="58"/>
  <c r="C326" i="67"/>
  <c r="Y317" i="22"/>
  <c r="D324" i="58"/>
  <c r="F325" i="22"/>
  <c r="F329" i="58"/>
  <c r="K330" i="22"/>
  <c r="L330" i="22" s="1"/>
  <c r="U329" i="103"/>
  <c r="C335" i="58"/>
  <c r="C336" i="22"/>
  <c r="P373" i="58"/>
  <c r="H384" i="67"/>
  <c r="Y11" i="68" s="1"/>
  <c r="W374" i="22"/>
  <c r="C314" i="58"/>
  <c r="C315" i="22"/>
  <c r="D335" i="67"/>
  <c r="M335" i="67"/>
  <c r="AA326" i="22"/>
  <c r="E343" i="67"/>
  <c r="Q334" i="22"/>
  <c r="Q344" i="58"/>
  <c r="N354" i="67"/>
  <c r="U345" i="22"/>
  <c r="K358" i="67"/>
  <c r="S348" i="22"/>
  <c r="E325" i="67"/>
  <c r="Q316" i="22"/>
  <c r="AD386" i="103"/>
  <c r="Q326" i="58"/>
  <c r="N336" i="67"/>
  <c r="U327" i="22"/>
  <c r="CG336" i="103"/>
  <c r="CH336" i="103" s="1"/>
  <c r="E343" i="22"/>
  <c r="H342" i="103"/>
  <c r="P308" i="58"/>
  <c r="H317" i="67"/>
  <c r="W309" i="22"/>
  <c r="AQ386" i="103"/>
  <c r="P326" i="58"/>
  <c r="H336" i="67"/>
  <c r="W327" i="22"/>
  <c r="D331" i="58"/>
  <c r="F332" i="22"/>
  <c r="F336" i="58"/>
  <c r="K337" i="22"/>
  <c r="L337" i="22" s="1"/>
  <c r="U336" i="103"/>
  <c r="O341" i="58"/>
  <c r="C351" i="67"/>
  <c r="Y342" i="22"/>
  <c r="K318" i="67"/>
  <c r="S310" i="22"/>
  <c r="AN322" i="103"/>
  <c r="AM322" i="103" s="1"/>
  <c r="K337" i="67"/>
  <c r="S328" i="22"/>
  <c r="M351" i="67"/>
  <c r="D351" i="67"/>
  <c r="AA342" i="22"/>
  <c r="AI355" i="22"/>
  <c r="CG368" i="103"/>
  <c r="CI368" i="103" s="1"/>
  <c r="K385" i="67"/>
  <c r="AA14" i="68" s="1"/>
  <c r="S375" i="22"/>
  <c r="BZ357" i="103"/>
  <c r="CB357" i="103" s="1"/>
  <c r="K373" i="67"/>
  <c r="S363" i="22"/>
  <c r="BD372" i="103"/>
  <c r="E375" i="58"/>
  <c r="Y375" i="58" s="1"/>
  <c r="I376" i="22"/>
  <c r="R375" i="103"/>
  <c r="N180" i="13"/>
  <c r="P180" i="13" s="1"/>
  <c r="AB351" i="103"/>
  <c r="C365" i="58"/>
  <c r="C366" i="22"/>
  <c r="AI371" i="22"/>
  <c r="AI353" i="22"/>
  <c r="H359" i="22"/>
  <c r="O358" i="103"/>
  <c r="M358" i="103" s="1"/>
  <c r="J358" i="103" s="1"/>
  <c r="E380" i="67"/>
  <c r="Q370" i="22"/>
  <c r="E373" i="22"/>
  <c r="H372" i="103"/>
  <c r="P356" i="58"/>
  <c r="H367" i="67"/>
  <c r="W357" i="22"/>
  <c r="D349" i="58"/>
  <c r="F350" i="22"/>
  <c r="F354" i="58"/>
  <c r="K355" i="22"/>
  <c r="L355" i="22" s="1"/>
  <c r="U354" i="103"/>
  <c r="O359" i="58"/>
  <c r="C370" i="67"/>
  <c r="Y360" i="22"/>
  <c r="D367" i="58"/>
  <c r="F368" i="22"/>
  <c r="N178" i="13"/>
  <c r="P178" i="13" s="1"/>
  <c r="AB349" i="103"/>
  <c r="C363" i="58"/>
  <c r="C364" i="22"/>
  <c r="H372" i="22"/>
  <c r="O371" i="103"/>
  <c r="M371" i="103" s="1"/>
  <c r="J371" i="103" s="1"/>
  <c r="Q354" i="58"/>
  <c r="N365" i="67"/>
  <c r="U355" i="22"/>
  <c r="AI363" i="22"/>
  <c r="H369" i="22"/>
  <c r="O368" i="103"/>
  <c r="M368" i="103" s="1"/>
  <c r="J368" i="103" s="1"/>
  <c r="CG370" i="103"/>
  <c r="CI370" i="103" s="1"/>
  <c r="AM356" i="103"/>
  <c r="CG358" i="103"/>
  <c r="CI358" i="103" s="1"/>
  <c r="E365" i="22"/>
  <c r="H364" i="103"/>
  <c r="AN374" i="103"/>
  <c r="AM374" i="103" s="1"/>
  <c r="O348" i="58"/>
  <c r="C359" i="67"/>
  <c r="Y349" i="22"/>
  <c r="D356" i="58"/>
  <c r="F357" i="22"/>
  <c r="F361" i="58"/>
  <c r="K362" i="22"/>
  <c r="L362" i="22" s="1"/>
  <c r="U361" i="103"/>
  <c r="O366" i="58"/>
  <c r="C377" i="67"/>
  <c r="Y367" i="22"/>
  <c r="BD371" i="103"/>
  <c r="E374" i="58"/>
  <c r="Y374" i="58" s="1"/>
  <c r="I375" i="22"/>
  <c r="R374" i="103"/>
  <c r="N176" i="13"/>
  <c r="P176" i="13" s="1"/>
  <c r="AB347" i="103"/>
  <c r="C361" i="58"/>
  <c r="C362" i="22"/>
  <c r="D85" i="58"/>
  <c r="F86" i="22"/>
  <c r="C96" i="58"/>
  <c r="C97" i="22"/>
  <c r="BU379" i="103"/>
  <c r="AI105" i="22"/>
  <c r="D119" i="58"/>
  <c r="F120" i="22"/>
  <c r="D146" i="58"/>
  <c r="F147" i="22"/>
  <c r="K135" i="67"/>
  <c r="S132" i="22"/>
  <c r="AF380" i="103"/>
  <c r="AG145" i="22"/>
  <c r="BZ144" i="103"/>
  <c r="CB144" i="103" s="1"/>
  <c r="L148" i="67" s="1"/>
  <c r="K153" i="67"/>
  <c r="S150" i="22"/>
  <c r="AG163" i="22"/>
  <c r="BZ162" i="103"/>
  <c r="CB162" i="103" s="1"/>
  <c r="K172" i="67"/>
  <c r="S168" i="22"/>
  <c r="BD129" i="103"/>
  <c r="BD132" i="103"/>
  <c r="E135" i="58"/>
  <c r="Y135" i="58" s="1"/>
  <c r="I136" i="22"/>
  <c r="R135" i="103"/>
  <c r="C152" i="58"/>
  <c r="C153" i="22"/>
  <c r="D168" i="67"/>
  <c r="M168" i="67"/>
  <c r="AA164" i="22"/>
  <c r="M171" i="67"/>
  <c r="D171" i="67"/>
  <c r="AA167" i="22"/>
  <c r="M174" i="67"/>
  <c r="D174" i="67"/>
  <c r="AA170" i="22"/>
  <c r="E142" i="67"/>
  <c r="Q139" i="22"/>
  <c r="Q149" i="58"/>
  <c r="N153" i="67"/>
  <c r="U150" i="22"/>
  <c r="AI158" i="22"/>
  <c r="H164" i="22"/>
  <c r="O163" i="103"/>
  <c r="F171" i="58"/>
  <c r="K172" i="22"/>
  <c r="L172" i="22" s="1"/>
  <c r="U171" i="103"/>
  <c r="E130" i="22"/>
  <c r="H129" i="103"/>
  <c r="BS380" i="103"/>
  <c r="CG141" i="103"/>
  <c r="CI141" i="103" s="1"/>
  <c r="E148" i="22"/>
  <c r="H147" i="103"/>
  <c r="AM157" i="103"/>
  <c r="CG159" i="103"/>
  <c r="CH159" i="103" s="1"/>
  <c r="AE381" i="103"/>
  <c r="E166" i="22"/>
  <c r="H165" i="103"/>
  <c r="BT380" i="103"/>
  <c r="AG143" i="22"/>
  <c r="BZ142" i="103"/>
  <c r="CB142" i="103" s="1"/>
  <c r="L146" i="67" s="1"/>
  <c r="K151" i="67"/>
  <c r="S148" i="22"/>
  <c r="AG161" i="22"/>
  <c r="BZ160" i="103"/>
  <c r="CB160" i="103" s="1"/>
  <c r="L164" i="67" s="1"/>
  <c r="AM163" i="22"/>
  <c r="BP381" i="103"/>
  <c r="K170" i="67"/>
  <c r="S166" i="22"/>
  <c r="BI380" i="103"/>
  <c r="D141" i="67"/>
  <c r="M141" i="67"/>
  <c r="AA138" i="22"/>
  <c r="BD142" i="103"/>
  <c r="E145" i="58"/>
  <c r="Y145" i="58" s="1"/>
  <c r="I146" i="22"/>
  <c r="R145" i="103"/>
  <c r="C162" i="58"/>
  <c r="C163" i="22"/>
  <c r="I381" i="103"/>
  <c r="C165" i="58"/>
  <c r="C166" i="22"/>
  <c r="C168" i="58"/>
  <c r="C169" i="22"/>
  <c r="AN171" i="103"/>
  <c r="P181" i="58"/>
  <c r="H186" i="67"/>
  <c r="W182" i="22"/>
  <c r="H129" i="22"/>
  <c r="O128" i="103"/>
  <c r="E143" i="67"/>
  <c r="Q140" i="22"/>
  <c r="Q150" i="58"/>
  <c r="N154" i="67"/>
  <c r="U151" i="22"/>
  <c r="AI159" i="22"/>
  <c r="H165" i="22"/>
  <c r="O164" i="103"/>
  <c r="E137" i="22"/>
  <c r="H136" i="103"/>
  <c r="AM146" i="103"/>
  <c r="CG148" i="103"/>
  <c r="CI148" i="103" s="1"/>
  <c r="E155" i="22"/>
  <c r="H154" i="103"/>
  <c r="CG166" i="103"/>
  <c r="CH166" i="103" s="1"/>
  <c r="K155" i="67"/>
  <c r="S152" i="22"/>
  <c r="AN164" i="103"/>
  <c r="K174" i="67"/>
  <c r="S170" i="22"/>
  <c r="C136" i="58"/>
  <c r="C137" i="22"/>
  <c r="D151" i="67"/>
  <c r="M151" i="67"/>
  <c r="AA148" i="22"/>
  <c r="BD152" i="103"/>
  <c r="E155" i="58"/>
  <c r="Y155" i="58" s="1"/>
  <c r="I156" i="22"/>
  <c r="R155" i="103"/>
  <c r="E178" i="67"/>
  <c r="Q174" i="22"/>
  <c r="P193" i="58"/>
  <c r="H199" i="67"/>
  <c r="W194" i="22"/>
  <c r="H133" i="22"/>
  <c r="O132" i="103"/>
  <c r="E147" i="67"/>
  <c r="Q144" i="22"/>
  <c r="Q154" i="58"/>
  <c r="N158" i="67"/>
  <c r="U155" i="22"/>
  <c r="AI163" i="22"/>
  <c r="BJ381" i="103"/>
  <c r="H169" i="22"/>
  <c r="O168" i="103"/>
  <c r="M184" i="67"/>
  <c r="D184" i="67"/>
  <c r="AA180" i="22"/>
  <c r="S380" i="103"/>
  <c r="P139" i="58"/>
  <c r="H143" i="67"/>
  <c r="W140" i="22"/>
  <c r="P157" i="58"/>
  <c r="H161" i="67"/>
  <c r="W158" i="22"/>
  <c r="CG177" i="103"/>
  <c r="CI177" i="103" s="1"/>
  <c r="E184" i="22"/>
  <c r="H183" i="103"/>
  <c r="CG195" i="103"/>
  <c r="CI195" i="103" s="1"/>
  <c r="F201" i="58"/>
  <c r="K202" i="22"/>
  <c r="L202" i="22" s="1"/>
  <c r="U201" i="103"/>
  <c r="O206" i="58"/>
  <c r="C212" i="67"/>
  <c r="Y207" i="22"/>
  <c r="D214" i="58"/>
  <c r="F215" i="22"/>
  <c r="O173" i="58"/>
  <c r="C178" i="67"/>
  <c r="Y174" i="22"/>
  <c r="D181" i="58"/>
  <c r="F182" i="22"/>
  <c r="F186" i="58"/>
  <c r="K187" i="22"/>
  <c r="L187" i="22" s="1"/>
  <c r="U186" i="103"/>
  <c r="O191" i="58"/>
  <c r="C196" i="67"/>
  <c r="Y192" i="22"/>
  <c r="E199" i="58"/>
  <c r="Y199" i="58" s="1"/>
  <c r="I200" i="22"/>
  <c r="R199" i="103"/>
  <c r="E202" i="58"/>
  <c r="Y202" i="58" s="1"/>
  <c r="I203" i="22"/>
  <c r="R202" i="103"/>
  <c r="E205" i="58"/>
  <c r="Y205" i="58" s="1"/>
  <c r="I206" i="22"/>
  <c r="R205" i="103"/>
  <c r="E208" i="58"/>
  <c r="Y208" i="58" s="1"/>
  <c r="I209" i="22"/>
  <c r="R208" i="103"/>
  <c r="E211" i="58"/>
  <c r="Y211" i="58" s="1"/>
  <c r="I212" i="22"/>
  <c r="R211" i="103"/>
  <c r="E214" i="58"/>
  <c r="Y214" i="58" s="1"/>
  <c r="I215" i="22"/>
  <c r="R214" i="103"/>
  <c r="D187" i="67"/>
  <c r="M187" i="67"/>
  <c r="AA183" i="22"/>
  <c r="D190" i="67"/>
  <c r="M190" i="67"/>
  <c r="AA186" i="22"/>
  <c r="M193" i="67"/>
  <c r="D193" i="67"/>
  <c r="AA189" i="22"/>
  <c r="M196" i="67"/>
  <c r="D196" i="67"/>
  <c r="AA192" i="22"/>
  <c r="D200" i="67"/>
  <c r="M200" i="67"/>
  <c r="AA195" i="22"/>
  <c r="H198" i="22"/>
  <c r="O197" i="103"/>
  <c r="BB202" i="103"/>
  <c r="E214" i="67"/>
  <c r="Q209" i="22"/>
  <c r="CG217" i="103"/>
  <c r="CI217" i="103" s="1"/>
  <c r="AI174" i="22"/>
  <c r="H180" i="22"/>
  <c r="O179" i="103"/>
  <c r="E195" i="67"/>
  <c r="Q191" i="22"/>
  <c r="BR382" i="103"/>
  <c r="CG208" i="103"/>
  <c r="CH208" i="103" s="1"/>
  <c r="E215" i="22"/>
  <c r="H214" i="103"/>
  <c r="AM173" i="103"/>
  <c r="CG175" i="103"/>
  <c r="CI175" i="103" s="1"/>
  <c r="E182" i="22"/>
  <c r="H181" i="103"/>
  <c r="CG193" i="103"/>
  <c r="CI193" i="103" s="1"/>
  <c r="O201" i="58"/>
  <c r="C207" i="67"/>
  <c r="Y202" i="22"/>
  <c r="D209" i="58"/>
  <c r="F210" i="22"/>
  <c r="F214" i="58"/>
  <c r="K215" i="22"/>
  <c r="L215" i="22" s="1"/>
  <c r="U214" i="103"/>
  <c r="D176" i="58"/>
  <c r="F177" i="22"/>
  <c r="F181" i="58"/>
  <c r="K182" i="22"/>
  <c r="L182" i="22" s="1"/>
  <c r="U181" i="103"/>
  <c r="O186" i="58"/>
  <c r="C191" i="67"/>
  <c r="Y187" i="22"/>
  <c r="D194" i="58"/>
  <c r="F195" i="22"/>
  <c r="C172" i="58"/>
  <c r="C173" i="22"/>
  <c r="C175" i="58"/>
  <c r="C176" i="22"/>
  <c r="C178" i="58"/>
  <c r="C179" i="22"/>
  <c r="C181" i="58"/>
  <c r="C182" i="22"/>
  <c r="C184" i="58"/>
  <c r="C185" i="22"/>
  <c r="C187" i="58"/>
  <c r="C188" i="22"/>
  <c r="C190" i="58"/>
  <c r="C191" i="22"/>
  <c r="C193" i="58"/>
  <c r="C194" i="22"/>
  <c r="C196" i="58"/>
  <c r="C197" i="22"/>
  <c r="AI199" i="22"/>
  <c r="H205" i="22"/>
  <c r="O204" i="103"/>
  <c r="AG216" i="22"/>
  <c r="BZ215" i="103"/>
  <c r="CC215" i="103" s="1"/>
  <c r="E187" i="67"/>
  <c r="Q183" i="22"/>
  <c r="Q193" i="58"/>
  <c r="N199" i="67"/>
  <c r="U194" i="22"/>
  <c r="P214" i="58"/>
  <c r="H220" i="67"/>
  <c r="W215" i="22"/>
  <c r="Q222" i="58"/>
  <c r="N228" i="67"/>
  <c r="U223" i="22"/>
  <c r="D204" i="58"/>
  <c r="F205" i="22"/>
  <c r="F209" i="58"/>
  <c r="K210" i="22"/>
  <c r="L210" i="22" s="1"/>
  <c r="U209" i="103"/>
  <c r="O214" i="58"/>
  <c r="C220" i="67"/>
  <c r="Y215" i="22"/>
  <c r="D177" i="58"/>
  <c r="F178" i="22"/>
  <c r="F182" i="58"/>
  <c r="K183" i="22"/>
  <c r="L183" i="22" s="1"/>
  <c r="U182" i="103"/>
  <c r="O187" i="58"/>
  <c r="C192" i="67"/>
  <c r="Y188" i="22"/>
  <c r="AZ382" i="103"/>
  <c r="D195" i="58"/>
  <c r="F196" i="22"/>
  <c r="K233" i="67"/>
  <c r="S227" i="22"/>
  <c r="AI200" i="22"/>
  <c r="H206" i="22"/>
  <c r="O205" i="103"/>
  <c r="E182" i="67"/>
  <c r="Q178" i="22"/>
  <c r="Q188" i="58"/>
  <c r="N193" i="67"/>
  <c r="U189" i="22"/>
  <c r="AI197" i="22"/>
  <c r="P212" i="58"/>
  <c r="H218" i="67"/>
  <c r="W213" i="22"/>
  <c r="D245" i="58"/>
  <c r="F246" i="22"/>
  <c r="F250" i="58"/>
  <c r="K251" i="22"/>
  <c r="L251" i="22" s="1"/>
  <c r="U250" i="103"/>
  <c r="C229" i="58"/>
  <c r="C230" i="22"/>
  <c r="C232" i="58"/>
  <c r="C233" i="22"/>
  <c r="C235" i="58"/>
  <c r="C236" i="22"/>
  <c r="C238" i="58"/>
  <c r="C239" i="22"/>
  <c r="C241" i="58"/>
  <c r="C242" i="22"/>
  <c r="C244" i="58"/>
  <c r="C245" i="22"/>
  <c r="C247" i="58"/>
  <c r="C248" i="22"/>
  <c r="C250" i="58"/>
  <c r="C251" i="22"/>
  <c r="C253" i="58"/>
  <c r="C254" i="22"/>
  <c r="D224" i="58"/>
  <c r="F225" i="22"/>
  <c r="Q226" i="58"/>
  <c r="N233" i="67"/>
  <c r="U227" i="22"/>
  <c r="AI235" i="22"/>
  <c r="H241" i="22"/>
  <c r="O240" i="103"/>
  <c r="BB245" i="103"/>
  <c r="E258" i="67"/>
  <c r="Q252" i="22"/>
  <c r="AM262" i="22"/>
  <c r="C217" i="58"/>
  <c r="C218" i="22"/>
  <c r="C220" i="58"/>
  <c r="C221" i="22"/>
  <c r="C223" i="58"/>
  <c r="C224" i="22"/>
  <c r="I383" i="103"/>
  <c r="P226" i="58"/>
  <c r="H233" i="67"/>
  <c r="W227" i="22"/>
  <c r="P244" i="58"/>
  <c r="H251" i="67"/>
  <c r="W245" i="22"/>
  <c r="S384" i="103"/>
  <c r="K265" i="67"/>
  <c r="S258" i="22"/>
  <c r="E227" i="67"/>
  <c r="Q222" i="22"/>
  <c r="BR383" i="103"/>
  <c r="AG238" i="22"/>
  <c r="BZ237" i="103"/>
  <c r="CB237" i="103" s="1"/>
  <c r="L244" i="67" s="1"/>
  <c r="K249" i="67"/>
  <c r="S243" i="22"/>
  <c r="AK259" i="22"/>
  <c r="E219" i="22"/>
  <c r="H218" i="103"/>
  <c r="AU383" i="103"/>
  <c r="BD237" i="103"/>
  <c r="BD243" i="103"/>
  <c r="AK256" i="22"/>
  <c r="AJ127" i="23"/>
  <c r="K224" i="67"/>
  <c r="S219" i="22"/>
  <c r="AV383" i="103"/>
  <c r="H227" i="22"/>
  <c r="O226" i="103"/>
  <c r="L226" i="103" s="1"/>
  <c r="E244" i="67"/>
  <c r="Q238" i="22"/>
  <c r="Q248" i="58"/>
  <c r="N255" i="67"/>
  <c r="U249" i="22"/>
  <c r="P260" i="58"/>
  <c r="H268" i="67"/>
  <c r="W261" i="22"/>
  <c r="D223" i="67"/>
  <c r="M223" i="67"/>
  <c r="AA218" i="22"/>
  <c r="M226" i="67"/>
  <c r="D226" i="67"/>
  <c r="AA221" i="22"/>
  <c r="D230" i="67"/>
  <c r="M230" i="67"/>
  <c r="AA224" i="22"/>
  <c r="AK383" i="103"/>
  <c r="CG228" i="103"/>
  <c r="CH228" i="103" s="1"/>
  <c r="E235" i="22"/>
  <c r="H234" i="103"/>
  <c r="CG246" i="103"/>
  <c r="CI246" i="103" s="1"/>
  <c r="E253" i="22"/>
  <c r="H252" i="103"/>
  <c r="CE384" i="103"/>
  <c r="K266" i="67"/>
  <c r="S259" i="22"/>
  <c r="CG264" i="103"/>
  <c r="CH264" i="103" s="1"/>
  <c r="H221" i="22"/>
  <c r="O220" i="103"/>
  <c r="F228" i="58"/>
  <c r="K229" i="22"/>
  <c r="L229" i="22" s="1"/>
  <c r="U228" i="103"/>
  <c r="O233" i="58"/>
  <c r="C240" i="67"/>
  <c r="Y234" i="22"/>
  <c r="D241" i="58"/>
  <c r="F242" i="22"/>
  <c r="F246" i="58"/>
  <c r="K247" i="22"/>
  <c r="L247" i="22" s="1"/>
  <c r="U246" i="103"/>
  <c r="O251" i="58"/>
  <c r="C258" i="67"/>
  <c r="Y252" i="22"/>
  <c r="AG261" i="22"/>
  <c r="BZ260" i="103"/>
  <c r="CB260" i="103" s="1"/>
  <c r="L268" i="67" s="1"/>
  <c r="P221" i="58"/>
  <c r="H227" i="67"/>
  <c r="W222" i="22"/>
  <c r="AY383" i="103"/>
  <c r="E267" i="67"/>
  <c r="Q260" i="22"/>
  <c r="BL383" i="103"/>
  <c r="E236" i="67"/>
  <c r="Q230" i="22"/>
  <c r="Q240" i="58"/>
  <c r="N247" i="67"/>
  <c r="U241" i="22"/>
  <c r="AI249" i="22"/>
  <c r="H255" i="22"/>
  <c r="N126" i="23"/>
  <c r="N384" i="103"/>
  <c r="O254" i="103"/>
  <c r="AM257" i="103"/>
  <c r="AM261" i="22"/>
  <c r="CG229" i="103"/>
  <c r="CH229" i="103" s="1"/>
  <c r="E236" i="22"/>
  <c r="H235" i="103"/>
  <c r="CG247" i="103"/>
  <c r="CH247" i="103" s="1"/>
  <c r="E254" i="22"/>
  <c r="H253" i="103"/>
  <c r="E257" i="22"/>
  <c r="H256" i="103"/>
  <c r="O270" i="58"/>
  <c r="C278" i="67"/>
  <c r="Y271" i="22"/>
  <c r="F280" i="58"/>
  <c r="K281" i="22"/>
  <c r="L281" i="22" s="1"/>
  <c r="U280" i="103"/>
  <c r="K291" i="67"/>
  <c r="S284" i="22"/>
  <c r="K295" i="67"/>
  <c r="S287" i="22"/>
  <c r="K298" i="67"/>
  <c r="S290" i="22"/>
  <c r="K301" i="67"/>
  <c r="S293" i="22"/>
  <c r="K304" i="67"/>
  <c r="S296" i="22"/>
  <c r="K307" i="67"/>
  <c r="S299" i="22"/>
  <c r="K310" i="67"/>
  <c r="S302" i="22"/>
  <c r="K313" i="67"/>
  <c r="S305" i="22"/>
  <c r="P307" i="58"/>
  <c r="H316" i="67"/>
  <c r="W308" i="22"/>
  <c r="C262" i="58"/>
  <c r="C263" i="22"/>
  <c r="E281" i="58"/>
  <c r="Y281" i="58" s="1"/>
  <c r="I282" i="22"/>
  <c r="R281" i="103"/>
  <c r="AK285" i="22"/>
  <c r="BM385" i="103"/>
  <c r="AO385" i="103"/>
  <c r="BD305" i="103"/>
  <c r="E260" i="58"/>
  <c r="Y260" i="58" s="1"/>
  <c r="I261" i="22"/>
  <c r="R260" i="103"/>
  <c r="BB263" i="103"/>
  <c r="CD266" i="103"/>
  <c r="CF266" i="103" s="1"/>
  <c r="CD269" i="103"/>
  <c r="CF269" i="103" s="1"/>
  <c r="CD272" i="103"/>
  <c r="CF272" i="103" s="1"/>
  <c r="CD275" i="103"/>
  <c r="BX275" i="103" s="1"/>
  <c r="CD278" i="103"/>
  <c r="BX278" i="103" s="1"/>
  <c r="CD281" i="103"/>
  <c r="BX281" i="103" s="1"/>
  <c r="P265" i="58"/>
  <c r="H273" i="67"/>
  <c r="W266" i="22"/>
  <c r="O26" i="62"/>
  <c r="BL268" i="103"/>
  <c r="E279" i="22"/>
  <c r="H278" i="103"/>
  <c r="E278" i="103" s="1"/>
  <c r="E311" i="22"/>
  <c r="H310" i="103"/>
  <c r="E310" i="103" s="1"/>
  <c r="F266" i="58"/>
  <c r="K267" i="22"/>
  <c r="L267" i="22" s="1"/>
  <c r="U266" i="103"/>
  <c r="K277" i="67"/>
  <c r="S270" i="22"/>
  <c r="AM273" i="22"/>
  <c r="D276" i="58"/>
  <c r="F277" i="22"/>
  <c r="AG280" i="22"/>
  <c r="BZ279" i="103"/>
  <c r="CB279" i="103" s="1"/>
  <c r="E276" i="58"/>
  <c r="Y276" i="58" s="1"/>
  <c r="I277" i="22"/>
  <c r="R276" i="103"/>
  <c r="AK280" i="22"/>
  <c r="D291" i="67"/>
  <c r="M291" i="67"/>
  <c r="AA284" i="22"/>
  <c r="E325" i="58"/>
  <c r="Y325" i="58" s="1"/>
  <c r="I326" i="22"/>
  <c r="R325" i="103"/>
  <c r="BB264" i="103"/>
  <c r="CD267" i="103"/>
  <c r="CF267" i="103" s="1"/>
  <c r="CD270" i="103"/>
  <c r="CF270" i="103" s="1"/>
  <c r="CD273" i="103"/>
  <c r="CF273" i="103" s="1"/>
  <c r="CD276" i="103"/>
  <c r="CF276" i="103" s="1"/>
  <c r="CD279" i="103"/>
  <c r="CF279" i="103" s="1"/>
  <c r="CD282" i="103"/>
  <c r="BX282" i="103" s="1"/>
  <c r="AN306" i="103"/>
  <c r="M327" i="67"/>
  <c r="D327" i="67"/>
  <c r="AA318" i="22"/>
  <c r="O24" i="62"/>
  <c r="BL266" i="103"/>
  <c r="E277" i="22"/>
  <c r="H276" i="103"/>
  <c r="E276" i="103" s="1"/>
  <c r="CG285" i="103"/>
  <c r="CI285" i="103" s="1"/>
  <c r="CG288" i="103"/>
  <c r="CI288" i="103" s="1"/>
  <c r="CG291" i="103"/>
  <c r="CH291" i="103" s="1"/>
  <c r="CG294" i="103"/>
  <c r="CI294" i="103" s="1"/>
  <c r="CG297" i="103"/>
  <c r="CI297" i="103" s="1"/>
  <c r="CG300" i="103"/>
  <c r="CI300" i="103" s="1"/>
  <c r="CG303" i="103"/>
  <c r="CI303" i="103" s="1"/>
  <c r="AM280" i="22"/>
  <c r="D283" i="58"/>
  <c r="F284" i="22"/>
  <c r="AN286" i="103"/>
  <c r="AN289" i="103"/>
  <c r="AN292" i="103"/>
  <c r="AN295" i="103"/>
  <c r="AN298" i="103"/>
  <c r="AN301" i="103"/>
  <c r="AN304" i="103"/>
  <c r="AK263" i="22"/>
  <c r="D274" i="67"/>
  <c r="M274" i="67"/>
  <c r="AA267" i="22"/>
  <c r="C276" i="58"/>
  <c r="C277" i="22"/>
  <c r="E308" i="22"/>
  <c r="H307" i="103"/>
  <c r="E307" i="103" s="1"/>
  <c r="BB262" i="103"/>
  <c r="BB265" i="103"/>
  <c r="CD268" i="103"/>
  <c r="CF268" i="103" s="1"/>
  <c r="CD271" i="103"/>
  <c r="CF271" i="103" s="1"/>
  <c r="CD274" i="103"/>
  <c r="CF274" i="103" s="1"/>
  <c r="CD277" i="103"/>
  <c r="BX277" i="103" s="1"/>
  <c r="CD280" i="103"/>
  <c r="BX280" i="103" s="1"/>
  <c r="CD283" i="103"/>
  <c r="CF283" i="103" s="1"/>
  <c r="P270" i="58"/>
  <c r="H278" i="67"/>
  <c r="W271" i="22"/>
  <c r="E284" i="22"/>
  <c r="H283" i="103"/>
  <c r="E283" i="103" s="1"/>
  <c r="E287" i="22"/>
  <c r="H286" i="103"/>
  <c r="E286" i="103" s="1"/>
  <c r="E290" i="22"/>
  <c r="H289" i="103"/>
  <c r="E289" i="103" s="1"/>
  <c r="E293" i="22"/>
  <c r="H292" i="103"/>
  <c r="E292" i="103" s="1"/>
  <c r="E296" i="22"/>
  <c r="H295" i="103"/>
  <c r="E295" i="103" s="1"/>
  <c r="E299" i="22"/>
  <c r="H298" i="103"/>
  <c r="E298" i="103" s="1"/>
  <c r="E302" i="22"/>
  <c r="H301" i="103"/>
  <c r="E301" i="103" s="1"/>
  <c r="E305" i="22"/>
  <c r="H304" i="103"/>
  <c r="E304" i="103" s="1"/>
  <c r="AI333" i="22"/>
  <c r="H339" i="22"/>
  <c r="O338" i="103"/>
  <c r="M338" i="103" s="1"/>
  <c r="J338" i="103" s="1"/>
  <c r="F346" i="58"/>
  <c r="K347" i="22"/>
  <c r="L347" i="22" s="1"/>
  <c r="U346" i="103"/>
  <c r="Q312" i="58"/>
  <c r="N321" i="67"/>
  <c r="U313" i="22"/>
  <c r="V386" i="103"/>
  <c r="AI321" i="22"/>
  <c r="H327" i="22"/>
  <c r="O326" i="103"/>
  <c r="M326" i="103" s="1"/>
  <c r="J326" i="103" s="1"/>
  <c r="E335" i="22"/>
  <c r="H334" i="103"/>
  <c r="BZ347" i="103"/>
  <c r="CB347" i="103" s="1"/>
  <c r="E360" i="22"/>
  <c r="H359" i="103"/>
  <c r="CE386" i="103"/>
  <c r="P321" i="58"/>
  <c r="H331" i="67"/>
  <c r="W322" i="22"/>
  <c r="F334" i="58"/>
  <c r="K335" i="22"/>
  <c r="L335" i="22" s="1"/>
  <c r="U334" i="103"/>
  <c r="O339" i="58"/>
  <c r="C349" i="67"/>
  <c r="Y340" i="22"/>
  <c r="AZ387" i="103"/>
  <c r="E363" i="22"/>
  <c r="H362" i="103"/>
  <c r="D308" i="58"/>
  <c r="F309" i="22"/>
  <c r="F313" i="58"/>
  <c r="K314" i="22"/>
  <c r="L314" i="22" s="1"/>
  <c r="U313" i="103"/>
  <c r="Q325" i="67"/>
  <c r="Q355" i="67" s="1"/>
  <c r="BH386" i="103"/>
  <c r="O318" i="58"/>
  <c r="C328" i="67"/>
  <c r="Y319" i="22"/>
  <c r="D326" i="58"/>
  <c r="F327" i="22"/>
  <c r="C331" i="58"/>
  <c r="C332" i="22"/>
  <c r="M352" i="67"/>
  <c r="D352" i="67"/>
  <c r="AA343" i="22"/>
  <c r="P348" i="58"/>
  <c r="H359" i="67"/>
  <c r="W349" i="22"/>
  <c r="BD308" i="103"/>
  <c r="E311" i="58"/>
  <c r="Y311" i="58" s="1"/>
  <c r="I312" i="22"/>
  <c r="R311" i="103"/>
  <c r="C328" i="58"/>
  <c r="C329" i="22"/>
  <c r="AI334" i="22"/>
  <c r="H340" i="22"/>
  <c r="O339" i="103"/>
  <c r="M339" i="103" s="1"/>
  <c r="J339" i="103" s="1"/>
  <c r="P349" i="58"/>
  <c r="H360" i="67"/>
  <c r="W350" i="22"/>
  <c r="AI313" i="22"/>
  <c r="AX386" i="103"/>
  <c r="H319" i="22"/>
  <c r="O318" i="103"/>
  <c r="M318" i="103" s="1"/>
  <c r="J318" i="103" s="1"/>
  <c r="E339" i="67"/>
  <c r="Q330" i="22"/>
  <c r="E333" i="22"/>
  <c r="H332" i="103"/>
  <c r="CG344" i="103"/>
  <c r="CH344" i="103" s="1"/>
  <c r="CG317" i="103"/>
  <c r="CH317" i="103" s="1"/>
  <c r="E324" i="22"/>
  <c r="H323" i="103"/>
  <c r="D333" i="58"/>
  <c r="F334" i="22"/>
  <c r="F338" i="58"/>
  <c r="K339" i="22"/>
  <c r="L339" i="22" s="1"/>
  <c r="U338" i="103"/>
  <c r="O343" i="58"/>
  <c r="C353" i="67"/>
  <c r="Y344" i="22"/>
  <c r="H347" i="22"/>
  <c r="O346" i="103"/>
  <c r="M346" i="103" s="1"/>
  <c r="J346" i="103" s="1"/>
  <c r="K320" i="67"/>
  <c r="S312" i="22"/>
  <c r="K339" i="67"/>
  <c r="S330" i="22"/>
  <c r="C338" i="58"/>
  <c r="C339" i="22"/>
  <c r="CG353" i="103"/>
  <c r="CI353" i="103" s="1"/>
  <c r="C317" i="58"/>
  <c r="C318" i="22"/>
  <c r="M338" i="67"/>
  <c r="D338" i="67"/>
  <c r="AA329" i="22"/>
  <c r="E346" i="67"/>
  <c r="Q337" i="22"/>
  <c r="AT387" i="103"/>
  <c r="AP386" i="103"/>
  <c r="E328" i="67"/>
  <c r="Q319" i="22"/>
  <c r="Q329" i="58"/>
  <c r="N339" i="67"/>
  <c r="U330" i="22"/>
  <c r="P332" i="58"/>
  <c r="H342" i="67"/>
  <c r="W333" i="22"/>
  <c r="D347" i="58"/>
  <c r="F348" i="22"/>
  <c r="BC386" i="103"/>
  <c r="CG315" i="103"/>
  <c r="CI315" i="103" s="1"/>
  <c r="E322" i="22"/>
  <c r="H321" i="103"/>
  <c r="AN331" i="103"/>
  <c r="K346" i="67"/>
  <c r="S337" i="22"/>
  <c r="D307" i="58"/>
  <c r="F308" i="22"/>
  <c r="F312" i="58"/>
  <c r="K313" i="22"/>
  <c r="L313" i="22" s="1"/>
  <c r="U312" i="103"/>
  <c r="O317" i="58"/>
  <c r="C327" i="67"/>
  <c r="Y318" i="22"/>
  <c r="D325" i="58"/>
  <c r="F326" i="22"/>
  <c r="C333" i="58"/>
  <c r="C334" i="22"/>
  <c r="D354" i="67"/>
  <c r="M354" i="67"/>
  <c r="AA345" i="22"/>
  <c r="Q355" i="58"/>
  <c r="N366" i="67"/>
  <c r="U356" i="22"/>
  <c r="D372" i="58"/>
  <c r="F373" i="22"/>
  <c r="O352" i="58"/>
  <c r="C363" i="67"/>
  <c r="Y353" i="22"/>
  <c r="D360" i="58"/>
  <c r="F361" i="22"/>
  <c r="F365" i="58"/>
  <c r="K366" i="22"/>
  <c r="L366" i="22" s="1"/>
  <c r="U365" i="103"/>
  <c r="M381" i="67"/>
  <c r="S16" i="68" s="1"/>
  <c r="D381" i="67"/>
  <c r="AA371" i="22"/>
  <c r="E351" i="58"/>
  <c r="Y351" i="58" s="1"/>
  <c r="I352" i="22"/>
  <c r="R351" i="103"/>
  <c r="N183" i="13"/>
  <c r="P183" i="13" s="1"/>
  <c r="AB354" i="103"/>
  <c r="C368" i="58"/>
  <c r="C369" i="22"/>
  <c r="AI374" i="22"/>
  <c r="Q347" i="58"/>
  <c r="N358" i="67"/>
  <c r="U348" i="22"/>
  <c r="AI356" i="22"/>
  <c r="H362" i="22"/>
  <c r="O361" i="103"/>
  <c r="M361" i="103" s="1"/>
  <c r="J361" i="103" s="1"/>
  <c r="E352" i="22"/>
  <c r="H351" i="103"/>
  <c r="CG363" i="103"/>
  <c r="CH363" i="103" s="1"/>
  <c r="E370" i="22"/>
  <c r="H369" i="103"/>
  <c r="O371" i="58"/>
  <c r="C382" i="67"/>
  <c r="U7" i="68" s="1"/>
  <c r="Y372" i="22"/>
  <c r="K365" i="67"/>
  <c r="S355" i="22"/>
  <c r="E349" i="58"/>
  <c r="Y349" i="58" s="1"/>
  <c r="I350" i="22"/>
  <c r="R349" i="103"/>
  <c r="N181" i="13"/>
  <c r="P181" i="13" s="1"/>
  <c r="AB352" i="103"/>
  <c r="C366" i="58"/>
  <c r="C367" i="22"/>
  <c r="H375" i="22"/>
  <c r="O374" i="103"/>
  <c r="M374" i="103" s="1"/>
  <c r="J374" i="103" s="1"/>
  <c r="Q357" i="58"/>
  <c r="N368" i="67"/>
  <c r="U358" i="22"/>
  <c r="AI366" i="22"/>
  <c r="P354" i="58"/>
  <c r="H365" i="67"/>
  <c r="W355" i="22"/>
  <c r="K372" i="67"/>
  <c r="S362" i="22"/>
  <c r="BD374" i="103"/>
  <c r="E347" i="58"/>
  <c r="Y347" i="58" s="1"/>
  <c r="I348" i="22"/>
  <c r="R347" i="103"/>
  <c r="N179" i="13"/>
  <c r="P179" i="13" s="1"/>
  <c r="AB350" i="103"/>
  <c r="C364" i="58"/>
  <c r="C365" i="22"/>
  <c r="H373" i="22"/>
  <c r="O372" i="103"/>
  <c r="M372" i="103" s="1"/>
  <c r="J372" i="103" s="1"/>
  <c r="C99" i="58"/>
  <c r="C100" i="22"/>
  <c r="D122" i="58"/>
  <c r="F123" i="22"/>
  <c r="AR380" i="103"/>
  <c r="F134" i="58"/>
  <c r="K135" i="22"/>
  <c r="L135" i="22" s="1"/>
  <c r="U134" i="103"/>
  <c r="O139" i="58"/>
  <c r="C143" i="67"/>
  <c r="Y140" i="22"/>
  <c r="D147" i="58"/>
  <c r="F148" i="22"/>
  <c r="F152" i="58"/>
  <c r="K153" i="22"/>
  <c r="L153" i="22" s="1"/>
  <c r="U152" i="103"/>
  <c r="O157" i="58"/>
  <c r="C161" i="67"/>
  <c r="Y158" i="22"/>
  <c r="D165" i="58"/>
  <c r="F166" i="22"/>
  <c r="F170" i="58"/>
  <c r="K171" i="22"/>
  <c r="L171" i="22" s="1"/>
  <c r="U170" i="103"/>
  <c r="BD135" i="103"/>
  <c r="E138" i="58"/>
  <c r="Y138" i="58" s="1"/>
  <c r="I139" i="22"/>
  <c r="R138" i="103"/>
  <c r="C155" i="58"/>
  <c r="C156" i="22"/>
  <c r="E145" i="67"/>
  <c r="Q142" i="22"/>
  <c r="Q152" i="58"/>
  <c r="N156" i="67"/>
  <c r="U153" i="22"/>
  <c r="AI161" i="22"/>
  <c r="H167" i="22"/>
  <c r="O166" i="103"/>
  <c r="O171" i="58"/>
  <c r="C176" i="67"/>
  <c r="Y172" i="22"/>
  <c r="CE380" i="103"/>
  <c r="P137" i="58"/>
  <c r="H141" i="67"/>
  <c r="W138" i="22"/>
  <c r="P155" i="58"/>
  <c r="H159" i="67"/>
  <c r="W156" i="22"/>
  <c r="AQ381" i="103"/>
  <c r="F132" i="58"/>
  <c r="K133" i="22"/>
  <c r="L133" i="22" s="1"/>
  <c r="U132" i="103"/>
  <c r="O137" i="58"/>
  <c r="C141" i="67"/>
  <c r="Y138" i="22"/>
  <c r="D145" i="58"/>
  <c r="F146" i="22"/>
  <c r="F150" i="58"/>
  <c r="K151" i="22"/>
  <c r="L151" i="22" s="1"/>
  <c r="U150" i="103"/>
  <c r="O155" i="58"/>
  <c r="C159" i="67"/>
  <c r="Y156" i="22"/>
  <c r="D163" i="58"/>
  <c r="F164" i="22"/>
  <c r="F168" i="58"/>
  <c r="K169" i="22"/>
  <c r="L169" i="22" s="1"/>
  <c r="U168" i="103"/>
  <c r="C129" i="58"/>
  <c r="C130" i="22"/>
  <c r="BU380" i="103"/>
  <c r="M144" i="67"/>
  <c r="D144" i="67"/>
  <c r="AA141" i="22"/>
  <c r="BD145" i="103"/>
  <c r="E148" i="58"/>
  <c r="Y148" i="58" s="1"/>
  <c r="I149" i="22"/>
  <c r="R148" i="103"/>
  <c r="AG381" i="103"/>
  <c r="H132" i="22"/>
  <c r="N380" i="103"/>
  <c r="O131" i="103"/>
  <c r="E146" i="67"/>
  <c r="Q143" i="22"/>
  <c r="Q153" i="58"/>
  <c r="N157" i="67"/>
  <c r="U154" i="22"/>
  <c r="AI162" i="22"/>
  <c r="H168" i="22"/>
  <c r="O167" i="103"/>
  <c r="P144" i="58"/>
  <c r="H148" i="67"/>
  <c r="W145" i="22"/>
  <c r="P162" i="58"/>
  <c r="H167" i="67"/>
  <c r="W163" i="22"/>
  <c r="AI381" i="103"/>
  <c r="F154" i="58"/>
  <c r="K155" i="22"/>
  <c r="L155" i="22" s="1"/>
  <c r="U154" i="103"/>
  <c r="O159" i="58"/>
  <c r="C163" i="67"/>
  <c r="Y160" i="22"/>
  <c r="D167" i="58"/>
  <c r="F168" i="22"/>
  <c r="C139" i="58"/>
  <c r="C140" i="22"/>
  <c r="D154" i="67"/>
  <c r="M154" i="67"/>
  <c r="AA151" i="22"/>
  <c r="BD155" i="103"/>
  <c r="E158" i="58"/>
  <c r="Y158" i="58" s="1"/>
  <c r="I159" i="22"/>
  <c r="R158" i="103"/>
  <c r="AI130" i="22"/>
  <c r="H136" i="22"/>
  <c r="O135" i="103"/>
  <c r="E150" i="67"/>
  <c r="Q147" i="22"/>
  <c r="Q157" i="58"/>
  <c r="N161" i="67"/>
  <c r="U158" i="22"/>
  <c r="BV381" i="103"/>
  <c r="AI166" i="22"/>
  <c r="C180" i="58"/>
  <c r="C181" i="22"/>
  <c r="BC128" i="103"/>
  <c r="AE380" i="103"/>
  <c r="E135" i="22"/>
  <c r="H134" i="103"/>
  <c r="AM144" i="103"/>
  <c r="CG146" i="103"/>
  <c r="CI146" i="103" s="1"/>
  <c r="E153" i="22"/>
  <c r="H152" i="103"/>
  <c r="AM162" i="103"/>
  <c r="CG164" i="103"/>
  <c r="CI164" i="103" s="1"/>
  <c r="E171" i="22"/>
  <c r="H170" i="103"/>
  <c r="D178" i="67"/>
  <c r="M178" i="67"/>
  <c r="AA174" i="22"/>
  <c r="P173" i="58"/>
  <c r="H178" i="67"/>
  <c r="W174" i="22"/>
  <c r="P191" i="58"/>
  <c r="H196" i="67"/>
  <c r="W192" i="22"/>
  <c r="K207" i="67"/>
  <c r="S202" i="22"/>
  <c r="AG215" i="22"/>
  <c r="BZ214" i="103"/>
  <c r="CB214" i="103" s="1"/>
  <c r="L220" i="67" s="1"/>
  <c r="H225" i="22"/>
  <c r="O224" i="103"/>
  <c r="K191" i="67"/>
  <c r="S187" i="22"/>
  <c r="H201" i="22"/>
  <c r="O200" i="103"/>
  <c r="E217" i="67"/>
  <c r="Q212" i="22"/>
  <c r="P219" i="58"/>
  <c r="H225" i="67"/>
  <c r="W220" i="22"/>
  <c r="AI177" i="22"/>
  <c r="H183" i="22"/>
  <c r="O182" i="103"/>
  <c r="E199" i="67"/>
  <c r="Q194" i="22"/>
  <c r="P204" i="58"/>
  <c r="H210" i="67"/>
  <c r="W205" i="22"/>
  <c r="AG222" i="22"/>
  <c r="BZ221" i="103"/>
  <c r="CB221" i="103" s="1"/>
  <c r="L227" i="67" s="1"/>
  <c r="P189" i="58"/>
  <c r="H194" i="67"/>
  <c r="W190" i="22"/>
  <c r="AG210" i="22"/>
  <c r="BZ209" i="103"/>
  <c r="CB209" i="103" s="1"/>
  <c r="L215" i="67" s="1"/>
  <c r="K220" i="67"/>
  <c r="S215" i="22"/>
  <c r="K186" i="67"/>
  <c r="S182" i="22"/>
  <c r="E215" i="58"/>
  <c r="Y215" i="58" s="1"/>
  <c r="I216" i="22"/>
  <c r="R215" i="103"/>
  <c r="AI202" i="22"/>
  <c r="H208" i="22"/>
  <c r="O207" i="103"/>
  <c r="E190" i="67"/>
  <c r="Q186" i="22"/>
  <c r="Q196" i="58"/>
  <c r="N202" i="67"/>
  <c r="U197" i="22"/>
  <c r="AM201" i="103"/>
  <c r="CG203" i="103"/>
  <c r="CH203" i="103" s="1"/>
  <c r="E210" i="22"/>
  <c r="H209" i="103"/>
  <c r="K215" i="67"/>
  <c r="S210" i="22"/>
  <c r="P222" i="58"/>
  <c r="H228" i="67"/>
  <c r="W223" i="22"/>
  <c r="AN177" i="103"/>
  <c r="K187" i="67"/>
  <c r="S183" i="22"/>
  <c r="BL382" i="103"/>
  <c r="AN195" i="103"/>
  <c r="C173" i="58"/>
  <c r="C174" i="22"/>
  <c r="C176" i="58"/>
  <c r="C177" i="22"/>
  <c r="C179" i="58"/>
  <c r="C180" i="22"/>
  <c r="C182" i="58"/>
  <c r="C183" i="22"/>
  <c r="C185" i="58"/>
  <c r="C186" i="22"/>
  <c r="C188" i="58"/>
  <c r="C189" i="22"/>
  <c r="C191" i="58"/>
  <c r="C192" i="22"/>
  <c r="C194" i="58"/>
  <c r="C195" i="22"/>
  <c r="AI203" i="22"/>
  <c r="H209" i="22"/>
  <c r="O208" i="103"/>
  <c r="E185" i="67"/>
  <c r="Q181" i="22"/>
  <c r="Q191" i="58"/>
  <c r="N196" i="67"/>
  <c r="U192" i="22"/>
  <c r="CG201" i="103"/>
  <c r="CH201" i="103" s="1"/>
  <c r="E208" i="22"/>
  <c r="H207" i="103"/>
  <c r="E230" i="67"/>
  <c r="Q224" i="22"/>
  <c r="AD383" i="103"/>
  <c r="AG246" i="22"/>
  <c r="BZ245" i="103"/>
  <c r="CB245" i="103" s="1"/>
  <c r="L252" i="67" s="1"/>
  <c r="K257" i="67"/>
  <c r="S251" i="22"/>
  <c r="F256" i="58"/>
  <c r="K257" i="22"/>
  <c r="L257" i="22" s="1"/>
  <c r="U256" i="103"/>
  <c r="Q259" i="58"/>
  <c r="N267" i="67"/>
  <c r="U260" i="22"/>
  <c r="I8" i="17"/>
  <c r="AG225" i="22"/>
  <c r="BZ224" i="103"/>
  <c r="CB224" i="103" s="1"/>
  <c r="L231" i="67" s="1"/>
  <c r="Q229" i="58"/>
  <c r="N236" i="67"/>
  <c r="U230" i="22"/>
  <c r="AI238" i="22"/>
  <c r="H244" i="22"/>
  <c r="O243" i="103"/>
  <c r="E262" i="67"/>
  <c r="Q255" i="22"/>
  <c r="Z126" i="23"/>
  <c r="AD384" i="103"/>
  <c r="P263" i="58"/>
  <c r="H271" i="67"/>
  <c r="W264" i="22"/>
  <c r="AG383" i="103"/>
  <c r="CG233" i="103"/>
  <c r="CH233" i="103" s="1"/>
  <c r="E240" i="22"/>
  <c r="H239" i="103"/>
  <c r="CG251" i="103"/>
  <c r="CH251" i="103" s="1"/>
  <c r="AE384" i="103"/>
  <c r="AM258" i="22"/>
  <c r="O263" i="58"/>
  <c r="C271" i="67"/>
  <c r="Y264" i="22"/>
  <c r="E231" i="67"/>
  <c r="Q225" i="22"/>
  <c r="F227" i="58"/>
  <c r="K228" i="22"/>
  <c r="L228" i="22" s="1"/>
  <c r="U227" i="103"/>
  <c r="O232" i="58"/>
  <c r="C239" i="67"/>
  <c r="Y233" i="22"/>
  <c r="D240" i="58"/>
  <c r="F241" i="22"/>
  <c r="F245" i="58"/>
  <c r="K246" i="22"/>
  <c r="L246" i="22" s="1"/>
  <c r="U245" i="103"/>
  <c r="O250" i="58"/>
  <c r="C257" i="67"/>
  <c r="Y251" i="22"/>
  <c r="D267" i="67"/>
  <c r="M267" i="67"/>
  <c r="AA260" i="22"/>
  <c r="BG383" i="103"/>
  <c r="D264" i="67"/>
  <c r="M264" i="67"/>
  <c r="AA257" i="22"/>
  <c r="H260" i="22"/>
  <c r="O259" i="103"/>
  <c r="D216" i="58"/>
  <c r="F217" i="22"/>
  <c r="F221" i="58"/>
  <c r="K222" i="22"/>
  <c r="L222" i="22" s="1"/>
  <c r="U221" i="103"/>
  <c r="Q230" i="67"/>
  <c r="Q261" i="67" s="1"/>
  <c r="BH383" i="103"/>
  <c r="H230" i="22"/>
  <c r="O229" i="103"/>
  <c r="E247" i="67"/>
  <c r="Q241" i="22"/>
  <c r="Q251" i="58"/>
  <c r="N258" i="67"/>
  <c r="U252" i="22"/>
  <c r="V384" i="103"/>
  <c r="P257" i="58"/>
  <c r="H265" i="67"/>
  <c r="W258" i="22"/>
  <c r="D265" i="58"/>
  <c r="F266" i="22"/>
  <c r="AW383" i="103"/>
  <c r="P242" i="58"/>
  <c r="H249" i="67"/>
  <c r="W243" i="22"/>
  <c r="E256" i="22"/>
  <c r="H127" i="23"/>
  <c r="H255" i="103"/>
  <c r="AM259" i="22"/>
  <c r="H224" i="22"/>
  <c r="N383" i="103"/>
  <c r="O223" i="103"/>
  <c r="K235" i="67"/>
  <c r="S229" i="22"/>
  <c r="AN241" i="103"/>
  <c r="K253" i="67"/>
  <c r="S247" i="22"/>
  <c r="D265" i="67"/>
  <c r="M265" i="67"/>
  <c r="AA258" i="22"/>
  <c r="O18" i="62"/>
  <c r="BL260" i="103"/>
  <c r="E217" i="22"/>
  <c r="H216" i="103"/>
  <c r="BK383" i="103"/>
  <c r="E226" i="58"/>
  <c r="Y226" i="58" s="1"/>
  <c r="I227" i="22"/>
  <c r="R226" i="103"/>
  <c r="X226" i="103"/>
  <c r="E229" i="58"/>
  <c r="Y229" i="58" s="1"/>
  <c r="I230" i="22"/>
  <c r="R229" i="103"/>
  <c r="E232" i="58"/>
  <c r="Y232" i="58" s="1"/>
  <c r="I233" i="22"/>
  <c r="R232" i="103"/>
  <c r="E235" i="58"/>
  <c r="Y235" i="58" s="1"/>
  <c r="I236" i="22"/>
  <c r="R235" i="103"/>
  <c r="E238" i="58"/>
  <c r="Y238" i="58" s="1"/>
  <c r="I239" i="22"/>
  <c r="R238" i="103"/>
  <c r="E241" i="58"/>
  <c r="Y241" i="58" s="1"/>
  <c r="I242" i="22"/>
  <c r="R241" i="103"/>
  <c r="E244" i="58"/>
  <c r="Y244" i="58" s="1"/>
  <c r="I245" i="22"/>
  <c r="R244" i="103"/>
  <c r="E247" i="58"/>
  <c r="Y247" i="58" s="1"/>
  <c r="I248" i="22"/>
  <c r="R247" i="103"/>
  <c r="E250" i="58"/>
  <c r="Y250" i="58" s="1"/>
  <c r="I251" i="22"/>
  <c r="R250" i="103"/>
  <c r="E253" i="58"/>
  <c r="Y253" i="58" s="1"/>
  <c r="I254" i="22"/>
  <c r="R253" i="103"/>
  <c r="E256" i="58"/>
  <c r="Y256" i="58" s="1"/>
  <c r="I257" i="22"/>
  <c r="R256" i="103"/>
  <c r="CD259" i="103"/>
  <c r="BX259" i="103" s="1"/>
  <c r="F216" i="58"/>
  <c r="K217" i="22"/>
  <c r="L217" i="22" s="1"/>
  <c r="U216" i="103"/>
  <c r="O221" i="58"/>
  <c r="C227" i="67"/>
  <c r="Y222" i="22"/>
  <c r="CJ383" i="103"/>
  <c r="E239" i="67"/>
  <c r="Q233" i="22"/>
  <c r="Q243" i="58"/>
  <c r="N250" i="67"/>
  <c r="U244" i="22"/>
  <c r="AI252" i="22"/>
  <c r="AX384" i="103"/>
  <c r="C216" i="58"/>
  <c r="C217" i="22"/>
  <c r="C219" i="58"/>
  <c r="C220" i="22"/>
  <c r="C222" i="58"/>
  <c r="C223" i="22"/>
  <c r="C225" i="58"/>
  <c r="C226" i="22"/>
  <c r="P243" i="58"/>
  <c r="H250" i="67"/>
  <c r="W244" i="22"/>
  <c r="F259" i="58"/>
  <c r="K260" i="22"/>
  <c r="L260" i="22" s="1"/>
  <c r="U259" i="103"/>
  <c r="K281" i="67"/>
  <c r="S274" i="22"/>
  <c r="O267" i="58"/>
  <c r="C275" i="67"/>
  <c r="Y268" i="22"/>
  <c r="F277" i="58"/>
  <c r="K278" i="22"/>
  <c r="L278" i="22" s="1"/>
  <c r="U277" i="103"/>
  <c r="K288" i="67"/>
  <c r="S281" i="22"/>
  <c r="AM284" i="22"/>
  <c r="E278" i="58"/>
  <c r="Y278" i="58" s="1"/>
  <c r="I279" i="22"/>
  <c r="R278" i="103"/>
  <c r="AK282" i="22"/>
  <c r="M294" i="67"/>
  <c r="D294" i="67"/>
  <c r="AA286" i="22"/>
  <c r="D297" i="67"/>
  <c r="M297" i="67"/>
  <c r="AA289" i="22"/>
  <c r="D300" i="67"/>
  <c r="M300" i="67"/>
  <c r="AA292" i="22"/>
  <c r="M303" i="67"/>
  <c r="D303" i="67"/>
  <c r="AA295" i="22"/>
  <c r="M306" i="67"/>
  <c r="D306" i="67"/>
  <c r="AA298" i="22"/>
  <c r="D309" i="67"/>
  <c r="M309" i="67"/>
  <c r="AA301" i="22"/>
  <c r="M312" i="67"/>
  <c r="D312" i="67"/>
  <c r="AA304" i="22"/>
  <c r="AK261" i="22"/>
  <c r="BN385" i="103"/>
  <c r="P262" i="58"/>
  <c r="H270" i="67"/>
  <c r="W263" i="22"/>
  <c r="O23" i="62"/>
  <c r="BL265" i="103"/>
  <c r="E276" i="22"/>
  <c r="H275" i="103"/>
  <c r="E275" i="103" s="1"/>
  <c r="BC385" i="103"/>
  <c r="CG284" i="103"/>
  <c r="CG287" i="103"/>
  <c r="CI287" i="103" s="1"/>
  <c r="CG290" i="103"/>
  <c r="CI290" i="103" s="1"/>
  <c r="CG293" i="103"/>
  <c r="CI293" i="103" s="1"/>
  <c r="CG296" i="103"/>
  <c r="CI296" i="103" s="1"/>
  <c r="CG299" i="103"/>
  <c r="CI299" i="103" s="1"/>
  <c r="CG302" i="103"/>
  <c r="CI302" i="103" s="1"/>
  <c r="E344" i="67"/>
  <c r="Q335" i="22"/>
  <c r="F263" i="58"/>
  <c r="K264" i="22"/>
  <c r="L264" i="22" s="1"/>
  <c r="U263" i="103"/>
  <c r="K274" i="67"/>
  <c r="S267" i="22"/>
  <c r="AM270" i="22"/>
  <c r="D273" i="58"/>
  <c r="F274" i="22"/>
  <c r="AG277" i="22"/>
  <c r="BZ276" i="103"/>
  <c r="CB276" i="103" s="1"/>
  <c r="C321" i="58"/>
  <c r="C322" i="22"/>
  <c r="E273" i="58"/>
  <c r="Y273" i="58" s="1"/>
  <c r="I274" i="22"/>
  <c r="R273" i="103"/>
  <c r="AK277" i="22"/>
  <c r="D288" i="67"/>
  <c r="M288" i="67"/>
  <c r="AA281" i="22"/>
  <c r="E274" i="22"/>
  <c r="H273" i="103"/>
  <c r="E273" i="103" s="1"/>
  <c r="CG282" i="103"/>
  <c r="CH282" i="103" s="1"/>
  <c r="N153" i="13"/>
  <c r="P153" i="13" s="1"/>
  <c r="AB328" i="103"/>
  <c r="D280" i="58"/>
  <c r="F281" i="22"/>
  <c r="AG284" i="22"/>
  <c r="BZ283" i="103"/>
  <c r="CC283" i="103" s="1"/>
  <c r="M271" i="67"/>
  <c r="D271" i="67"/>
  <c r="AA264" i="22"/>
  <c r="C273" i="58"/>
  <c r="C274" i="22"/>
  <c r="AI261" i="22"/>
  <c r="P267" i="58"/>
  <c r="H275" i="67"/>
  <c r="W268" i="22"/>
  <c r="E281" i="22"/>
  <c r="H280" i="103"/>
  <c r="E280" i="103" s="1"/>
  <c r="AI336" i="22"/>
  <c r="H342" i="22"/>
  <c r="O341" i="103"/>
  <c r="M341" i="103" s="1"/>
  <c r="J341" i="103" s="1"/>
  <c r="Q346" i="58"/>
  <c r="N357" i="67"/>
  <c r="U347" i="22"/>
  <c r="P355" i="58"/>
  <c r="H366" i="67"/>
  <c r="W356" i="22"/>
  <c r="Q315" i="58"/>
  <c r="N325" i="67"/>
  <c r="U316" i="22"/>
  <c r="AH386" i="103"/>
  <c r="AI324" i="22"/>
  <c r="H330" i="22"/>
  <c r="O329" i="103"/>
  <c r="M329" i="103" s="1"/>
  <c r="J329" i="103" s="1"/>
  <c r="P342" i="58"/>
  <c r="H352" i="67"/>
  <c r="W343" i="22"/>
  <c r="AY387" i="103"/>
  <c r="AI361" i="22"/>
  <c r="E317" i="22"/>
  <c r="H316" i="103"/>
  <c r="CG328" i="103"/>
  <c r="CI328" i="103" s="1"/>
  <c r="K344" i="67"/>
  <c r="S335" i="22"/>
  <c r="AI364" i="22"/>
  <c r="BZ308" i="103"/>
  <c r="CC308" i="103" s="1"/>
  <c r="K322" i="67"/>
  <c r="S314" i="22"/>
  <c r="BT386" i="103"/>
  <c r="BZ326" i="103"/>
  <c r="CB326" i="103" s="1"/>
  <c r="C334" i="58"/>
  <c r="C335" i="22"/>
  <c r="D356" i="67"/>
  <c r="M356" i="67"/>
  <c r="AA346" i="22"/>
  <c r="AK387" i="103"/>
  <c r="M315" i="67"/>
  <c r="D315" i="67"/>
  <c r="AA307" i="22"/>
  <c r="E314" i="58"/>
  <c r="Y314" i="58" s="1"/>
  <c r="I315" i="22"/>
  <c r="R314" i="103"/>
  <c r="N142" i="13"/>
  <c r="P142" i="13" s="1"/>
  <c r="AB317" i="103"/>
  <c r="AI337" i="22"/>
  <c r="H343" i="22"/>
  <c r="O342" i="103"/>
  <c r="M342" i="103" s="1"/>
  <c r="J342" i="103" s="1"/>
  <c r="Q307" i="58"/>
  <c r="N316" i="67"/>
  <c r="U308" i="22"/>
  <c r="AI316" i="22"/>
  <c r="BJ386" i="103"/>
  <c r="H322" i="22"/>
  <c r="O321" i="103"/>
  <c r="M321" i="103" s="1"/>
  <c r="J321" i="103" s="1"/>
  <c r="P340" i="58"/>
  <c r="H350" i="67"/>
  <c r="W341" i="22"/>
  <c r="D348" i="58"/>
  <c r="F349" i="22"/>
  <c r="P313" i="58"/>
  <c r="H322" i="67"/>
  <c r="W314" i="22"/>
  <c r="AY386" i="103"/>
  <c r="AN333" i="103"/>
  <c r="AM333" i="103" s="1"/>
  <c r="K348" i="67"/>
  <c r="S339" i="22"/>
  <c r="D309" i="58"/>
  <c r="F310" i="22"/>
  <c r="F314" i="58"/>
  <c r="K315" i="22"/>
  <c r="L315" i="22" s="1"/>
  <c r="U314" i="103"/>
  <c r="O319" i="58"/>
  <c r="C329" i="67"/>
  <c r="Y320" i="22"/>
  <c r="D327" i="58"/>
  <c r="F328" i="22"/>
  <c r="C341" i="58"/>
  <c r="C342" i="22"/>
  <c r="H348" i="22"/>
  <c r="O347" i="103"/>
  <c r="M347" i="103" s="1"/>
  <c r="J347" i="103" s="1"/>
  <c r="C320" i="58"/>
  <c r="C321" i="22"/>
  <c r="E349" i="67"/>
  <c r="Q340" i="22"/>
  <c r="BF387" i="103"/>
  <c r="CG356" i="103"/>
  <c r="CI356" i="103" s="1"/>
  <c r="H311" i="22"/>
  <c r="O310" i="103"/>
  <c r="E331" i="67"/>
  <c r="Q322" i="22"/>
  <c r="CG339" i="103"/>
  <c r="CH339" i="103" s="1"/>
  <c r="E346" i="22"/>
  <c r="G387" i="103"/>
  <c r="H345" i="103"/>
  <c r="P311" i="58"/>
  <c r="H320" i="67"/>
  <c r="W312" i="22"/>
  <c r="BO386" i="103"/>
  <c r="P329" i="58"/>
  <c r="H339" i="67"/>
  <c r="W330" i="22"/>
  <c r="D334" i="58"/>
  <c r="F335" i="22"/>
  <c r="F339" i="58"/>
  <c r="K340" i="22"/>
  <c r="L340" i="22" s="1"/>
  <c r="U339" i="103"/>
  <c r="O344" i="58"/>
  <c r="C354" i="67"/>
  <c r="Y345" i="22"/>
  <c r="K321" i="67"/>
  <c r="S313" i="22"/>
  <c r="AN325" i="103"/>
  <c r="C336" i="58"/>
  <c r="C337" i="22"/>
  <c r="AW387" i="103"/>
  <c r="AM369" i="103"/>
  <c r="BZ372" i="103"/>
  <c r="CC372" i="103" s="1"/>
  <c r="BZ360" i="103"/>
  <c r="CC360" i="103" s="1"/>
  <c r="K376" i="67"/>
  <c r="S366" i="22"/>
  <c r="M384" i="67"/>
  <c r="Y16" i="68" s="1"/>
  <c r="D384" i="67"/>
  <c r="AA374" i="22"/>
  <c r="E354" i="58"/>
  <c r="Y354" i="58" s="1"/>
  <c r="I355" i="22"/>
  <c r="R354" i="103"/>
  <c r="N186" i="13"/>
  <c r="P186" i="13" s="1"/>
  <c r="AB357" i="103"/>
  <c r="Q350" i="58"/>
  <c r="N361" i="67"/>
  <c r="U351" i="22"/>
  <c r="AI359" i="22"/>
  <c r="H365" i="22"/>
  <c r="O364" i="103"/>
  <c r="M364" i="103" s="1"/>
  <c r="J364" i="103" s="1"/>
  <c r="E376" i="22"/>
  <c r="H375" i="103"/>
  <c r="P359" i="58"/>
  <c r="H370" i="67"/>
  <c r="W360" i="22"/>
  <c r="D352" i="58"/>
  <c r="F353" i="22"/>
  <c r="F357" i="58"/>
  <c r="K358" i="22"/>
  <c r="L358" i="22" s="1"/>
  <c r="U357" i="103"/>
  <c r="O362" i="58"/>
  <c r="C373" i="67"/>
  <c r="Y363" i="22"/>
  <c r="E370" i="58"/>
  <c r="Y370" i="58" s="1"/>
  <c r="I371" i="22"/>
  <c r="R370" i="103"/>
  <c r="N202" i="13"/>
  <c r="P202" i="13" s="1"/>
  <c r="AB373" i="103"/>
  <c r="E352" i="58"/>
  <c r="Y352" i="58" s="1"/>
  <c r="I353" i="22"/>
  <c r="R352" i="103"/>
  <c r="N184" i="13"/>
  <c r="P184" i="13" s="1"/>
  <c r="AB355" i="103"/>
  <c r="C369" i="58"/>
  <c r="C370" i="22"/>
  <c r="AI372" i="22"/>
  <c r="E360" i="67"/>
  <c r="Q350" i="22"/>
  <c r="Q360" i="58"/>
  <c r="N371" i="67"/>
  <c r="U361" i="22"/>
  <c r="AI369" i="22"/>
  <c r="CG373" i="103"/>
  <c r="CI373" i="103" s="1"/>
  <c r="E350" i="22"/>
  <c r="H349" i="103"/>
  <c r="AM359" i="103"/>
  <c r="CG361" i="103"/>
  <c r="CI361" i="103" s="1"/>
  <c r="E368" i="22"/>
  <c r="H367" i="103"/>
  <c r="O351" i="58"/>
  <c r="C362" i="67"/>
  <c r="Y352" i="22"/>
  <c r="D359" i="58"/>
  <c r="F360" i="22"/>
  <c r="F364" i="58"/>
  <c r="K365" i="22"/>
  <c r="L365" i="22" s="1"/>
  <c r="U364" i="103"/>
  <c r="O369" i="58"/>
  <c r="C380" i="67"/>
  <c r="Y370" i="22"/>
  <c r="M383" i="67"/>
  <c r="W16" i="68" s="1"/>
  <c r="D383" i="67"/>
  <c r="AA373" i="22"/>
  <c r="BD347" i="103"/>
  <c r="E350" i="58"/>
  <c r="Y350" i="58" s="1"/>
  <c r="I351" i="22"/>
  <c r="R350" i="103"/>
  <c r="N182" i="13"/>
  <c r="P182" i="13" s="1"/>
  <c r="AB353" i="103"/>
  <c r="C367" i="58"/>
  <c r="C368" i="22"/>
  <c r="H376" i="22"/>
  <c r="O375" i="103"/>
  <c r="M375" i="103" s="1"/>
  <c r="J375" i="103" s="1"/>
  <c r="E136" i="67"/>
  <c r="Q133" i="22"/>
  <c r="Q102" i="58"/>
  <c r="N105" i="67"/>
  <c r="U103" i="22"/>
  <c r="O108" i="58"/>
  <c r="C111" i="67"/>
  <c r="Y109" i="22"/>
  <c r="D125" i="58"/>
  <c r="F126" i="22"/>
  <c r="D129" i="58"/>
  <c r="F130" i="22"/>
  <c r="AM132" i="22"/>
  <c r="BP380" i="103"/>
  <c r="K138" i="67"/>
  <c r="S135" i="22"/>
  <c r="AG148" i="22"/>
  <c r="BZ147" i="103"/>
  <c r="CB147" i="103" s="1"/>
  <c r="L151" i="67" s="1"/>
  <c r="K156" i="67"/>
  <c r="S153" i="22"/>
  <c r="AG166" i="22"/>
  <c r="BZ165" i="103"/>
  <c r="CB165" i="103" s="1"/>
  <c r="L170" i="67" s="1"/>
  <c r="K175" i="67"/>
  <c r="S171" i="22"/>
  <c r="D130" i="67"/>
  <c r="M130" i="67"/>
  <c r="AA128" i="22"/>
  <c r="D133" i="67"/>
  <c r="M133" i="67"/>
  <c r="AA131" i="22"/>
  <c r="M137" i="67"/>
  <c r="D137" i="67"/>
  <c r="AA134" i="22"/>
  <c r="E141" i="58"/>
  <c r="Y141" i="58" s="1"/>
  <c r="I142" i="22"/>
  <c r="R141" i="103"/>
  <c r="C158" i="58"/>
  <c r="C159" i="22"/>
  <c r="E148" i="67"/>
  <c r="Q145" i="22"/>
  <c r="Q155" i="58"/>
  <c r="N159" i="67"/>
  <c r="U156" i="22"/>
  <c r="AI164" i="22"/>
  <c r="H170" i="22"/>
  <c r="O169" i="103"/>
  <c r="CG171" i="103"/>
  <c r="CI171" i="103" s="1"/>
  <c r="E133" i="22"/>
  <c r="H132" i="103"/>
  <c r="AM142" i="103"/>
  <c r="CG144" i="103"/>
  <c r="CI144" i="103" s="1"/>
  <c r="E151" i="22"/>
  <c r="H150" i="103"/>
  <c r="AM160" i="103"/>
  <c r="BC381" i="103"/>
  <c r="CG162" i="103"/>
  <c r="CH162" i="103" s="1"/>
  <c r="E169" i="22"/>
  <c r="H168" i="103"/>
  <c r="K136" i="67"/>
  <c r="S133" i="22"/>
  <c r="AG146" i="22"/>
  <c r="BZ145" i="103"/>
  <c r="CC145" i="103" s="1"/>
  <c r="K154" i="67"/>
  <c r="S151" i="22"/>
  <c r="AG164" i="22"/>
  <c r="BZ163" i="103"/>
  <c r="CC163" i="103" s="1"/>
  <c r="K173" i="67"/>
  <c r="S169" i="22"/>
  <c r="C132" i="58"/>
  <c r="C133" i="22"/>
  <c r="M147" i="67"/>
  <c r="D147" i="67"/>
  <c r="AA144" i="22"/>
  <c r="BD148" i="103"/>
  <c r="E151" i="58"/>
  <c r="Y151" i="58" s="1"/>
  <c r="I152" i="22"/>
  <c r="R151" i="103"/>
  <c r="AS381" i="103"/>
  <c r="K177" i="67"/>
  <c r="S173" i="22"/>
  <c r="AI129" i="22"/>
  <c r="AX380" i="103"/>
  <c r="H135" i="22"/>
  <c r="O134" i="103"/>
  <c r="E149" i="67"/>
  <c r="Q146" i="22"/>
  <c r="Q156" i="58"/>
  <c r="N160" i="67"/>
  <c r="U157" i="22"/>
  <c r="AI165" i="22"/>
  <c r="H171" i="22"/>
  <c r="O170" i="103"/>
  <c r="E140" i="22"/>
  <c r="H139" i="103"/>
  <c r="CG151" i="103"/>
  <c r="CI151" i="103" s="1"/>
  <c r="E158" i="22"/>
  <c r="H157" i="103"/>
  <c r="AU381" i="103"/>
  <c r="CG169" i="103"/>
  <c r="CH169" i="103" s="1"/>
  <c r="AN149" i="103"/>
  <c r="K158" i="67"/>
  <c r="S155" i="22"/>
  <c r="AN167" i="103"/>
  <c r="C142" i="58"/>
  <c r="C143" i="22"/>
  <c r="M157" i="67"/>
  <c r="D157" i="67"/>
  <c r="AA154" i="22"/>
  <c r="BD158" i="103"/>
  <c r="E161" i="58"/>
  <c r="Y161" i="58" s="1"/>
  <c r="I162" i="22"/>
  <c r="R161" i="103"/>
  <c r="E164" i="58"/>
  <c r="Y164" i="58" s="1"/>
  <c r="I165" i="22"/>
  <c r="R164" i="103"/>
  <c r="E167" i="58"/>
  <c r="Y167" i="58" s="1"/>
  <c r="I168" i="22"/>
  <c r="R167" i="103"/>
  <c r="E170" i="58"/>
  <c r="Y170" i="58" s="1"/>
  <c r="I171" i="22"/>
  <c r="R170" i="103"/>
  <c r="Q175" i="58"/>
  <c r="N180" i="67"/>
  <c r="U176" i="22"/>
  <c r="AI133" i="22"/>
  <c r="H139" i="22"/>
  <c r="O138" i="103"/>
  <c r="E153" i="67"/>
  <c r="Q150" i="22"/>
  <c r="Q160" i="58"/>
  <c r="N164" i="67"/>
  <c r="U161" i="22"/>
  <c r="AI169" i="22"/>
  <c r="AQ380" i="103"/>
  <c r="P142" i="58"/>
  <c r="H146" i="67"/>
  <c r="W143" i="22"/>
  <c r="P160" i="58"/>
  <c r="H164" i="67"/>
  <c r="W161" i="22"/>
  <c r="AY381" i="103"/>
  <c r="AM174" i="103"/>
  <c r="CG180" i="103"/>
  <c r="CI180" i="103" s="1"/>
  <c r="E187" i="22"/>
  <c r="H186" i="103"/>
  <c r="D199" i="58"/>
  <c r="F200" i="22"/>
  <c r="F204" i="58"/>
  <c r="K205" i="22"/>
  <c r="L205" i="22" s="1"/>
  <c r="U204" i="103"/>
  <c r="O209" i="58"/>
  <c r="C215" i="67"/>
  <c r="Y210" i="22"/>
  <c r="O176" i="58"/>
  <c r="C181" i="67"/>
  <c r="Y177" i="22"/>
  <c r="D184" i="58"/>
  <c r="F185" i="22"/>
  <c r="F189" i="58"/>
  <c r="K190" i="22"/>
  <c r="L190" i="22" s="1"/>
  <c r="U189" i="103"/>
  <c r="O194" i="58"/>
  <c r="C200" i="67"/>
  <c r="Y195" i="22"/>
  <c r="AI198" i="22"/>
  <c r="H204" i="22"/>
  <c r="O203" i="103"/>
  <c r="E220" i="67"/>
  <c r="Q215" i="22"/>
  <c r="Q171" i="58"/>
  <c r="N176" i="67"/>
  <c r="U172" i="22"/>
  <c r="AI180" i="22"/>
  <c r="H186" i="22"/>
  <c r="O185" i="103"/>
  <c r="E202" i="67"/>
  <c r="Q197" i="22"/>
  <c r="E200" i="22"/>
  <c r="H199" i="103"/>
  <c r="CG211" i="103"/>
  <c r="CI211" i="103" s="1"/>
  <c r="AM176" i="103"/>
  <c r="CG178" i="103"/>
  <c r="CI178" i="103" s="1"/>
  <c r="E185" i="22"/>
  <c r="H184" i="103"/>
  <c r="AM194" i="103"/>
  <c r="CG196" i="103"/>
  <c r="CI196" i="103" s="1"/>
  <c r="F199" i="58"/>
  <c r="K200" i="22"/>
  <c r="L200" i="22" s="1"/>
  <c r="U199" i="103"/>
  <c r="O204" i="58"/>
  <c r="C210" i="67"/>
  <c r="Y205" i="22"/>
  <c r="D212" i="58"/>
  <c r="F213" i="22"/>
  <c r="D179" i="58"/>
  <c r="F180" i="22"/>
  <c r="F184" i="58"/>
  <c r="K185" i="22"/>
  <c r="L185" i="22" s="1"/>
  <c r="U184" i="103"/>
  <c r="O189" i="58"/>
  <c r="C194" i="67"/>
  <c r="Y190" i="22"/>
  <c r="E197" i="58"/>
  <c r="Y197" i="58" s="1"/>
  <c r="I198" i="22"/>
  <c r="R197" i="103"/>
  <c r="E200" i="58"/>
  <c r="Y200" i="58" s="1"/>
  <c r="I201" i="22"/>
  <c r="R200" i="103"/>
  <c r="E203" i="58"/>
  <c r="Y203" i="58" s="1"/>
  <c r="I204" i="22"/>
  <c r="R203" i="103"/>
  <c r="E206" i="58"/>
  <c r="Y206" i="58" s="1"/>
  <c r="I207" i="22"/>
  <c r="R206" i="103"/>
  <c r="E209" i="58"/>
  <c r="Y209" i="58" s="1"/>
  <c r="I210" i="22"/>
  <c r="R209" i="103"/>
  <c r="E212" i="58"/>
  <c r="Y212" i="58" s="1"/>
  <c r="I213" i="22"/>
  <c r="R212" i="103"/>
  <c r="AM215" i="103"/>
  <c r="AI205" i="22"/>
  <c r="H211" i="22"/>
  <c r="O210" i="103"/>
  <c r="E193" i="67"/>
  <c r="Q189" i="22"/>
  <c r="P199" i="58"/>
  <c r="H205" i="67"/>
  <c r="W200" i="22"/>
  <c r="E227" i="22"/>
  <c r="H226" i="103"/>
  <c r="O199" i="58"/>
  <c r="C205" i="67"/>
  <c r="Y200" i="22"/>
  <c r="D207" i="58"/>
  <c r="F208" i="22"/>
  <c r="F212" i="58"/>
  <c r="K213" i="22"/>
  <c r="L213" i="22" s="1"/>
  <c r="U212" i="103"/>
  <c r="AI215" i="22"/>
  <c r="E224" i="22"/>
  <c r="G383" i="103"/>
  <c r="H223" i="103"/>
  <c r="O172" i="58"/>
  <c r="C177" i="67"/>
  <c r="Y173" i="22"/>
  <c r="D180" i="58"/>
  <c r="F181" i="22"/>
  <c r="F185" i="58"/>
  <c r="K186" i="22"/>
  <c r="L186" i="22" s="1"/>
  <c r="U185" i="103"/>
  <c r="O190" i="58"/>
  <c r="C195" i="67"/>
  <c r="Y191" i="22"/>
  <c r="CJ382" i="103"/>
  <c r="D230" i="58"/>
  <c r="F231" i="22"/>
  <c r="Q197" i="58"/>
  <c r="N203" i="67"/>
  <c r="U198" i="22"/>
  <c r="AI206" i="22"/>
  <c r="H212" i="22"/>
  <c r="O211" i="103"/>
  <c r="H173" i="22"/>
  <c r="O172" i="103"/>
  <c r="E188" i="67"/>
  <c r="Q184" i="22"/>
  <c r="Q194" i="58"/>
  <c r="N200" i="67"/>
  <c r="U195" i="22"/>
  <c r="P197" i="58"/>
  <c r="H203" i="67"/>
  <c r="W198" i="22"/>
  <c r="O240" i="58"/>
  <c r="C247" i="67"/>
  <c r="Y241" i="22"/>
  <c r="D248" i="58"/>
  <c r="F249" i="22"/>
  <c r="F253" i="58"/>
  <c r="K254" i="22"/>
  <c r="L254" i="22" s="1"/>
  <c r="U253" i="103"/>
  <c r="K264" i="67"/>
  <c r="S257" i="22"/>
  <c r="Q232" i="58"/>
  <c r="N239" i="67"/>
  <c r="U233" i="22"/>
  <c r="AI241" i="22"/>
  <c r="H247" i="22"/>
  <c r="O246" i="103"/>
  <c r="CD254" i="103"/>
  <c r="BX254" i="103" s="1"/>
  <c r="AS383" i="103"/>
  <c r="P229" i="58"/>
  <c r="H236" i="67"/>
  <c r="W230" i="22"/>
  <c r="P247" i="58"/>
  <c r="H254" i="67"/>
  <c r="W248" i="22"/>
  <c r="BC384" i="103"/>
  <c r="CG254" i="103"/>
  <c r="CH254" i="103" s="1"/>
  <c r="D258" i="58"/>
  <c r="F259" i="22"/>
  <c r="H217" i="22"/>
  <c r="O216" i="103"/>
  <c r="K234" i="67"/>
  <c r="S228" i="22"/>
  <c r="AG241" i="22"/>
  <c r="BZ240" i="103"/>
  <c r="CC240" i="103" s="1"/>
  <c r="K252" i="67"/>
  <c r="S246" i="22"/>
  <c r="CG215" i="103"/>
  <c r="CI215" i="103" s="1"/>
  <c r="E222" i="22"/>
  <c r="H221" i="103"/>
  <c r="BS383" i="103"/>
  <c r="D233" i="67"/>
  <c r="M233" i="67"/>
  <c r="AA227" i="22"/>
  <c r="M236" i="67"/>
  <c r="D236" i="67"/>
  <c r="AA230" i="22"/>
  <c r="M239" i="67"/>
  <c r="D239" i="67"/>
  <c r="AA233" i="22"/>
  <c r="D242" i="67"/>
  <c r="M242" i="67"/>
  <c r="AA236" i="22"/>
  <c r="D245" i="67"/>
  <c r="M245" i="67"/>
  <c r="AA239" i="22"/>
  <c r="M248" i="67"/>
  <c r="D248" i="67"/>
  <c r="AA242" i="22"/>
  <c r="M251" i="67"/>
  <c r="D251" i="67"/>
  <c r="AA245" i="22"/>
  <c r="D254" i="67"/>
  <c r="M254" i="67"/>
  <c r="AA248" i="22"/>
  <c r="D257" i="67"/>
  <c r="M257" i="67"/>
  <c r="AA251" i="22"/>
  <c r="M260" i="67"/>
  <c r="D260" i="67"/>
  <c r="AA254" i="22"/>
  <c r="AN216" i="103"/>
  <c r="K227" i="67"/>
  <c r="S222" i="22"/>
  <c r="BT383" i="103"/>
  <c r="AI227" i="22"/>
  <c r="H233" i="22"/>
  <c r="O232" i="103"/>
  <c r="E250" i="67"/>
  <c r="Q244" i="22"/>
  <c r="Q254" i="58"/>
  <c r="N262" i="67"/>
  <c r="U255" i="22"/>
  <c r="D8" i="17"/>
  <c r="AB126" i="23"/>
  <c r="AH384" i="103"/>
  <c r="O15" i="62"/>
  <c r="BL257" i="103"/>
  <c r="AG269" i="22"/>
  <c r="BZ268" i="103"/>
  <c r="CC268" i="103" s="1"/>
  <c r="BU383" i="103"/>
  <c r="CG231" i="103"/>
  <c r="CH231" i="103" s="1"/>
  <c r="E238" i="22"/>
  <c r="H237" i="103"/>
  <c r="CG249" i="103"/>
  <c r="CI249" i="103" s="1"/>
  <c r="D259" i="58"/>
  <c r="F260" i="22"/>
  <c r="AI221" i="22"/>
  <c r="AX383" i="103"/>
  <c r="D226" i="58"/>
  <c r="F227" i="22"/>
  <c r="J226" i="103"/>
  <c r="F231" i="58"/>
  <c r="K232" i="22"/>
  <c r="L232" i="22" s="1"/>
  <c r="U231" i="103"/>
  <c r="O236" i="58"/>
  <c r="C243" i="67"/>
  <c r="Y237" i="22"/>
  <c r="D244" i="58"/>
  <c r="F245" i="22"/>
  <c r="F249" i="58"/>
  <c r="K250" i="22"/>
  <c r="L250" i="22" s="1"/>
  <c r="U249" i="103"/>
  <c r="O254" i="58"/>
  <c r="C262" i="67"/>
  <c r="Y255" i="22"/>
  <c r="AD126" i="23"/>
  <c r="AJ384" i="103"/>
  <c r="AG266" i="22"/>
  <c r="BZ265" i="103"/>
  <c r="CB265" i="103" s="1"/>
  <c r="L273" i="67" s="1"/>
  <c r="P224" i="58"/>
  <c r="H231" i="67"/>
  <c r="W225" i="22"/>
  <c r="BD226" i="103"/>
  <c r="BD229" i="103"/>
  <c r="BD232" i="103"/>
  <c r="BD235" i="103"/>
  <c r="BD238" i="103"/>
  <c r="BD241" i="103"/>
  <c r="BD244" i="103"/>
  <c r="BD247" i="103"/>
  <c r="BD250" i="103"/>
  <c r="BD253" i="103"/>
  <c r="AK257" i="22"/>
  <c r="K222" i="67"/>
  <c r="S217" i="22"/>
  <c r="E242" i="67"/>
  <c r="Q236" i="22"/>
  <c r="Q246" i="58"/>
  <c r="N253" i="67"/>
  <c r="U247" i="22"/>
  <c r="AI255" i="22"/>
  <c r="BJ384" i="103"/>
  <c r="AI126" i="23"/>
  <c r="P258" i="58"/>
  <c r="H266" i="67"/>
  <c r="W259" i="22"/>
  <c r="CG261" i="103"/>
  <c r="CH261" i="103" s="1"/>
  <c r="CG232" i="103"/>
  <c r="CH232" i="103" s="1"/>
  <c r="E239" i="22"/>
  <c r="H238" i="103"/>
  <c r="AM248" i="103"/>
  <c r="CG250" i="103"/>
  <c r="CH250" i="103" s="1"/>
  <c r="K267" i="67"/>
  <c r="S260" i="22"/>
  <c r="O264" i="58"/>
  <c r="C272" i="67"/>
  <c r="Y265" i="22"/>
  <c r="F274" i="58"/>
  <c r="K275" i="22"/>
  <c r="L275" i="22" s="1"/>
  <c r="U274" i="103"/>
  <c r="K285" i="67"/>
  <c r="S278" i="22"/>
  <c r="AM281" i="22"/>
  <c r="D284" i="58"/>
  <c r="F285" i="22"/>
  <c r="P385" i="103"/>
  <c r="D287" i="58"/>
  <c r="F288" i="22"/>
  <c r="D290" i="58"/>
  <c r="F291" i="22"/>
  <c r="D293" i="58"/>
  <c r="F294" i="22"/>
  <c r="D296" i="58"/>
  <c r="F297" i="22"/>
  <c r="D299" i="58"/>
  <c r="F300" i="22"/>
  <c r="D302" i="58"/>
  <c r="F303" i="22"/>
  <c r="D305" i="58"/>
  <c r="F306" i="22"/>
  <c r="D333" i="67"/>
  <c r="M333" i="67"/>
  <c r="AA324" i="22"/>
  <c r="E275" i="58"/>
  <c r="Y275" i="58" s="1"/>
  <c r="I276" i="22"/>
  <c r="R275" i="103"/>
  <c r="AK279" i="22"/>
  <c r="D290" i="67"/>
  <c r="M290" i="67"/>
  <c r="AA283" i="22"/>
  <c r="H262" i="22"/>
  <c r="O261" i="103"/>
  <c r="H265" i="22"/>
  <c r="O264" i="103"/>
  <c r="H268" i="22"/>
  <c r="O267" i="103"/>
  <c r="H271" i="22"/>
  <c r="O270" i="103"/>
  <c r="H274" i="22"/>
  <c r="O273" i="103"/>
  <c r="H277" i="22"/>
  <c r="O276" i="103"/>
  <c r="H280" i="22"/>
  <c r="O279" i="103"/>
  <c r="H283" i="22"/>
  <c r="O282" i="103"/>
  <c r="H286" i="22"/>
  <c r="O285" i="103"/>
  <c r="H289" i="22"/>
  <c r="O288" i="103"/>
  <c r="H292" i="22"/>
  <c r="O291" i="103"/>
  <c r="H295" i="22"/>
  <c r="O294" i="103"/>
  <c r="H298" i="22"/>
  <c r="O297" i="103"/>
  <c r="H301" i="22"/>
  <c r="O300" i="103"/>
  <c r="H304" i="22"/>
  <c r="O303" i="103"/>
  <c r="O20" i="62"/>
  <c r="BL262" i="103"/>
  <c r="E273" i="22"/>
  <c r="H272" i="103"/>
  <c r="E272" i="103" s="1"/>
  <c r="CG281" i="103"/>
  <c r="CH281" i="103" s="1"/>
  <c r="BO385" i="103"/>
  <c r="CG305" i="103"/>
  <c r="CI305" i="103" s="1"/>
  <c r="K271" i="67"/>
  <c r="S264" i="22"/>
  <c r="AM267" i="22"/>
  <c r="D270" i="58"/>
  <c r="F271" i="22"/>
  <c r="AG274" i="22"/>
  <c r="BZ273" i="103"/>
  <c r="CC273" i="103" s="1"/>
  <c r="E270" i="58"/>
  <c r="Y270" i="58" s="1"/>
  <c r="I271" i="22"/>
  <c r="R270" i="103"/>
  <c r="AK274" i="22"/>
  <c r="M285" i="67"/>
  <c r="D285" i="67"/>
  <c r="AA278" i="22"/>
  <c r="H263" i="22"/>
  <c r="O262" i="103"/>
  <c r="H266" i="22"/>
  <c r="O265" i="103"/>
  <c r="H269" i="22"/>
  <c r="O268" i="103"/>
  <c r="H272" i="22"/>
  <c r="O271" i="103"/>
  <c r="H275" i="22"/>
  <c r="O274" i="103"/>
  <c r="H278" i="22"/>
  <c r="O277" i="103"/>
  <c r="H281" i="22"/>
  <c r="O280" i="103"/>
  <c r="H284" i="22"/>
  <c r="O283" i="103"/>
  <c r="H287" i="22"/>
  <c r="O286" i="103"/>
  <c r="H290" i="22"/>
  <c r="O289" i="103"/>
  <c r="H293" i="22"/>
  <c r="O292" i="103"/>
  <c r="H296" i="22"/>
  <c r="O295" i="103"/>
  <c r="H299" i="22"/>
  <c r="O298" i="103"/>
  <c r="H302" i="22"/>
  <c r="O301" i="103"/>
  <c r="H305" i="22"/>
  <c r="O304" i="103"/>
  <c r="E271" i="22"/>
  <c r="H270" i="103"/>
  <c r="E270" i="103" s="1"/>
  <c r="CG279" i="103"/>
  <c r="CH279" i="103" s="1"/>
  <c r="AG281" i="22"/>
  <c r="BZ280" i="103"/>
  <c r="CB280" i="103" s="1"/>
  <c r="O260" i="58"/>
  <c r="C268" i="67"/>
  <c r="Y261" i="22"/>
  <c r="C270" i="58"/>
  <c r="C271" i="22"/>
  <c r="H264" i="22"/>
  <c r="O263" i="103"/>
  <c r="H267" i="22"/>
  <c r="O266" i="103"/>
  <c r="H270" i="22"/>
  <c r="O269" i="103"/>
  <c r="H273" i="22"/>
  <c r="O272" i="103"/>
  <c r="H276" i="22"/>
  <c r="O275" i="103"/>
  <c r="H279" i="22"/>
  <c r="O278" i="103"/>
  <c r="H282" i="22"/>
  <c r="O281" i="103"/>
  <c r="H285" i="22"/>
  <c r="N385" i="103"/>
  <c r="O284" i="103"/>
  <c r="L284" i="103" s="1"/>
  <c r="H288" i="22"/>
  <c r="O287" i="103"/>
  <c r="H291" i="22"/>
  <c r="O290" i="103"/>
  <c r="H294" i="22"/>
  <c r="O293" i="103"/>
  <c r="H297" i="22"/>
  <c r="O296" i="103"/>
  <c r="H300" i="22"/>
  <c r="O299" i="103"/>
  <c r="H303" i="22"/>
  <c r="O302" i="103"/>
  <c r="H306" i="22"/>
  <c r="O305" i="103"/>
  <c r="C315" i="58"/>
  <c r="C316" i="22"/>
  <c r="I386" i="103"/>
  <c r="P264" i="58"/>
  <c r="H272" i="67"/>
  <c r="W265" i="22"/>
  <c r="O25" i="62"/>
  <c r="BL267" i="103"/>
  <c r="E278" i="22"/>
  <c r="H277" i="103"/>
  <c r="E277" i="103" s="1"/>
  <c r="CG307" i="103"/>
  <c r="CI307" i="103" s="1"/>
  <c r="AI339" i="22"/>
  <c r="H345" i="22"/>
  <c r="O344" i="103"/>
  <c r="M344" i="103" s="1"/>
  <c r="J344" i="103" s="1"/>
  <c r="E357" i="22"/>
  <c r="H356" i="103"/>
  <c r="AT386" i="103"/>
  <c r="Q318" i="58"/>
  <c r="N328" i="67"/>
  <c r="U319" i="22"/>
  <c r="AI327" i="22"/>
  <c r="CG331" i="103"/>
  <c r="CI331" i="103" s="1"/>
  <c r="E338" i="22"/>
  <c r="H337" i="103"/>
  <c r="Q361" i="58"/>
  <c r="N372" i="67"/>
  <c r="U362" i="22"/>
  <c r="P324" i="58"/>
  <c r="H334" i="67"/>
  <c r="W325" i="22"/>
  <c r="D332" i="58"/>
  <c r="F333" i="22"/>
  <c r="F337" i="58"/>
  <c r="K338" i="22"/>
  <c r="L338" i="22" s="1"/>
  <c r="U337" i="103"/>
  <c r="O342" i="58"/>
  <c r="C352" i="67"/>
  <c r="Y343" i="22"/>
  <c r="CG348" i="103"/>
  <c r="CI348" i="103" s="1"/>
  <c r="Q364" i="58"/>
  <c r="N375" i="67"/>
  <c r="U365" i="22"/>
  <c r="D311" i="58"/>
  <c r="F312" i="22"/>
  <c r="F316" i="58"/>
  <c r="K317" i="22"/>
  <c r="L317" i="22" s="1"/>
  <c r="U316" i="103"/>
  <c r="O321" i="58"/>
  <c r="C331" i="67"/>
  <c r="Y322" i="22"/>
  <c r="D329" i="58"/>
  <c r="F330" i="22"/>
  <c r="C337" i="58"/>
  <c r="C338" i="22"/>
  <c r="M318" i="67"/>
  <c r="D318" i="67"/>
  <c r="AA310" i="22"/>
  <c r="E317" i="58"/>
  <c r="Y317" i="58" s="1"/>
  <c r="I318" i="22"/>
  <c r="R317" i="103"/>
  <c r="N145" i="13"/>
  <c r="P145" i="13" s="1"/>
  <c r="AB320" i="103"/>
  <c r="Q331" i="58"/>
  <c r="N341" i="67"/>
  <c r="U332" i="22"/>
  <c r="AI340" i="22"/>
  <c r="H346" i="22"/>
  <c r="N387" i="103"/>
  <c r="O345" i="103"/>
  <c r="Q310" i="58"/>
  <c r="N319" i="67"/>
  <c r="U311" i="22"/>
  <c r="BV386" i="103"/>
  <c r="AI319" i="22"/>
  <c r="H325" i="22"/>
  <c r="O324" i="103"/>
  <c r="M324" i="103" s="1"/>
  <c r="J324" i="103" s="1"/>
  <c r="E336" i="22"/>
  <c r="H335" i="103"/>
  <c r="H361" i="22"/>
  <c r="O360" i="103"/>
  <c r="M360" i="103" s="1"/>
  <c r="J360" i="103" s="1"/>
  <c r="BK386" i="103"/>
  <c r="AM318" i="103"/>
  <c r="CG320" i="103"/>
  <c r="CH320" i="103" s="1"/>
  <c r="E327" i="22"/>
  <c r="H326" i="103"/>
  <c r="D336" i="58"/>
  <c r="F337" i="22"/>
  <c r="F341" i="58"/>
  <c r="K342" i="22"/>
  <c r="L342" i="22" s="1"/>
  <c r="U341" i="103"/>
  <c r="CG346" i="103"/>
  <c r="CH346" i="103" s="1"/>
  <c r="K323" i="67"/>
  <c r="S315" i="22"/>
  <c r="AN327" i="103"/>
  <c r="C344" i="58"/>
  <c r="C345" i="22"/>
  <c r="E306" i="58"/>
  <c r="Y306" i="58" s="1"/>
  <c r="I307" i="22"/>
  <c r="R306" i="103"/>
  <c r="C323" i="58"/>
  <c r="C324" i="22"/>
  <c r="H332" i="22"/>
  <c r="O331" i="103"/>
  <c r="M331" i="103" s="1"/>
  <c r="J331" i="103" s="1"/>
  <c r="E352" i="67"/>
  <c r="Q343" i="22"/>
  <c r="H314" i="22"/>
  <c r="O313" i="103"/>
  <c r="BN386" i="103"/>
  <c r="E334" i="67"/>
  <c r="Q325" i="22"/>
  <c r="P335" i="58"/>
  <c r="H345" i="67"/>
  <c r="W336" i="22"/>
  <c r="S387" i="103"/>
  <c r="CG318" i="103"/>
  <c r="CH318" i="103" s="1"/>
  <c r="E325" i="22"/>
  <c r="H324" i="103"/>
  <c r="AN334" i="103"/>
  <c r="K349" i="67"/>
  <c r="S340" i="22"/>
  <c r="AV387" i="103"/>
  <c r="P347" i="58"/>
  <c r="H358" i="67"/>
  <c r="W348" i="22"/>
  <c r="D310" i="58"/>
  <c r="F311" i="22"/>
  <c r="F315" i="58"/>
  <c r="K316" i="22"/>
  <c r="L316" i="22" s="1"/>
  <c r="T386" i="103"/>
  <c r="U315" i="103"/>
  <c r="O320" i="58"/>
  <c r="C330" i="67"/>
  <c r="Y321" i="22"/>
  <c r="D328" i="58"/>
  <c r="F329" i="22"/>
  <c r="C339" i="58"/>
  <c r="C340" i="22"/>
  <c r="CG347" i="103"/>
  <c r="CH347" i="103" s="1"/>
  <c r="P367" i="58"/>
  <c r="H378" i="67"/>
  <c r="W368" i="22"/>
  <c r="D375" i="58"/>
  <c r="F376" i="22"/>
  <c r="O355" i="58"/>
  <c r="C366" i="67"/>
  <c r="Y356" i="22"/>
  <c r="D363" i="58"/>
  <c r="F364" i="22"/>
  <c r="F368" i="58"/>
  <c r="K369" i="22"/>
  <c r="L369" i="22" s="1"/>
  <c r="U368" i="103"/>
  <c r="M360" i="67"/>
  <c r="D360" i="67"/>
  <c r="AA350" i="22"/>
  <c r="E357" i="58"/>
  <c r="Y357" i="58" s="1"/>
  <c r="I358" i="22"/>
  <c r="R357" i="103"/>
  <c r="N189" i="13"/>
  <c r="P189" i="13" s="1"/>
  <c r="AB360" i="103"/>
  <c r="Q371" i="58"/>
  <c r="N382" i="67"/>
  <c r="U17" i="68" s="1"/>
  <c r="U372" i="22"/>
  <c r="Q353" i="58"/>
  <c r="N364" i="67"/>
  <c r="U354" i="22"/>
  <c r="AI362" i="22"/>
  <c r="H368" i="22"/>
  <c r="O367" i="103"/>
  <c r="M367" i="103" s="1"/>
  <c r="J367" i="103" s="1"/>
  <c r="E355" i="22"/>
  <c r="H354" i="103"/>
  <c r="CG366" i="103"/>
  <c r="CH366" i="103" s="1"/>
  <c r="O374" i="58"/>
  <c r="C385" i="67"/>
  <c r="AA7" i="68" s="1"/>
  <c r="Y375" i="22"/>
  <c r="AN352" i="103"/>
  <c r="K368" i="67"/>
  <c r="S358" i="22"/>
  <c r="E373" i="58"/>
  <c r="Y373" i="58" s="1"/>
  <c r="I374" i="22"/>
  <c r="R373" i="103"/>
  <c r="M358" i="67"/>
  <c r="D358" i="67"/>
  <c r="AA348" i="22"/>
  <c r="E355" i="58"/>
  <c r="Y355" i="58" s="1"/>
  <c r="I356" i="22"/>
  <c r="R355" i="103"/>
  <c r="N187" i="13"/>
  <c r="P187" i="13" s="1"/>
  <c r="AB358" i="103"/>
  <c r="AI375" i="22"/>
  <c r="E363" i="67"/>
  <c r="Q353" i="22"/>
  <c r="Q363" i="58"/>
  <c r="N374" i="67"/>
  <c r="U364" i="22"/>
  <c r="P357" i="58"/>
  <c r="H368" i="67"/>
  <c r="W358" i="22"/>
  <c r="O372" i="58"/>
  <c r="C383" i="67"/>
  <c r="W7" i="68" s="1"/>
  <c r="Y373" i="22"/>
  <c r="K375" i="67"/>
  <c r="S365" i="22"/>
  <c r="M386" i="67"/>
  <c r="AC16" i="68" s="1"/>
  <c r="D386" i="67"/>
  <c r="AA376" i="22"/>
  <c r="BD350" i="103"/>
  <c r="E353" i="58"/>
  <c r="Y353" i="58" s="1"/>
  <c r="I354" i="22"/>
  <c r="R353" i="103"/>
  <c r="N185" i="13"/>
  <c r="P185" i="13" s="1"/>
  <c r="AB356" i="103"/>
  <c r="C370" i="58"/>
  <c r="C371" i="22"/>
  <c r="AI373" i="22"/>
  <c r="E110" i="22"/>
  <c r="H109" i="103"/>
  <c r="P120" i="58"/>
  <c r="H123" i="67"/>
  <c r="W121" i="22"/>
  <c r="K137" i="67"/>
  <c r="S134" i="22"/>
  <c r="E88" i="58"/>
  <c r="Y88" i="58" s="1"/>
  <c r="I89" i="22"/>
  <c r="R88" i="103"/>
  <c r="Q105" i="58"/>
  <c r="N108" i="67"/>
  <c r="U106" i="22"/>
  <c r="O111" i="58"/>
  <c r="C114" i="67"/>
  <c r="Y112" i="22"/>
  <c r="Q131" i="58"/>
  <c r="N135" i="67"/>
  <c r="U132" i="22"/>
  <c r="AH380" i="103"/>
  <c r="D132" i="58"/>
  <c r="F133" i="22"/>
  <c r="F137" i="58"/>
  <c r="K138" i="22"/>
  <c r="L138" i="22" s="1"/>
  <c r="U137" i="103"/>
  <c r="O142" i="58"/>
  <c r="C146" i="67"/>
  <c r="Y143" i="22"/>
  <c r="D150" i="58"/>
  <c r="F151" i="22"/>
  <c r="F155" i="58"/>
  <c r="K156" i="22"/>
  <c r="L156" i="22" s="1"/>
  <c r="U155" i="103"/>
  <c r="O160" i="58"/>
  <c r="C164" i="67"/>
  <c r="Y161" i="22"/>
  <c r="CJ381" i="103"/>
  <c r="D168" i="58"/>
  <c r="F169" i="22"/>
  <c r="D140" i="67"/>
  <c r="M140" i="67"/>
  <c r="AA137" i="22"/>
  <c r="E144" i="58"/>
  <c r="Y144" i="58" s="1"/>
  <c r="I145" i="22"/>
  <c r="R144" i="103"/>
  <c r="C161" i="58"/>
  <c r="C162" i="22"/>
  <c r="C164" i="58"/>
  <c r="C165" i="22"/>
  <c r="C167" i="58"/>
  <c r="C168" i="22"/>
  <c r="C170" i="58"/>
  <c r="C171" i="22"/>
  <c r="E151" i="67"/>
  <c r="Q148" i="22"/>
  <c r="Q158" i="58"/>
  <c r="N162" i="67"/>
  <c r="U159" i="22"/>
  <c r="AI167" i="22"/>
  <c r="P140" i="58"/>
  <c r="H144" i="67"/>
  <c r="W141" i="22"/>
  <c r="P158" i="58"/>
  <c r="H162" i="67"/>
  <c r="W159" i="22"/>
  <c r="BO381" i="103"/>
  <c r="F135" i="58"/>
  <c r="K136" i="22"/>
  <c r="L136" i="22" s="1"/>
  <c r="U135" i="103"/>
  <c r="O140" i="58"/>
  <c r="C144" i="67"/>
  <c r="Y141" i="22"/>
  <c r="D148" i="58"/>
  <c r="F149" i="22"/>
  <c r="F153" i="58"/>
  <c r="K154" i="22"/>
  <c r="L154" i="22" s="1"/>
  <c r="U153" i="103"/>
  <c r="O158" i="58"/>
  <c r="C162" i="67"/>
  <c r="Y159" i="22"/>
  <c r="D166" i="58"/>
  <c r="F167" i="22"/>
  <c r="C171" i="58"/>
  <c r="C172" i="22"/>
  <c r="C135" i="58"/>
  <c r="C136" i="22"/>
  <c r="D150" i="67"/>
  <c r="M150" i="67"/>
  <c r="AA147" i="22"/>
  <c r="E154" i="58"/>
  <c r="Y154" i="58" s="1"/>
  <c r="I155" i="22"/>
  <c r="R154" i="103"/>
  <c r="BE381" i="103"/>
  <c r="AI132" i="22"/>
  <c r="BJ380" i="103"/>
  <c r="H138" i="22"/>
  <c r="O137" i="103"/>
  <c r="E152" i="67"/>
  <c r="Q149" i="22"/>
  <c r="Q159" i="58"/>
  <c r="N163" i="67"/>
  <c r="U160" i="22"/>
  <c r="V381" i="103"/>
  <c r="AI168" i="22"/>
  <c r="P178" i="58"/>
  <c r="H183" i="67"/>
  <c r="W179" i="22"/>
  <c r="P147" i="58"/>
  <c r="H151" i="67"/>
  <c r="W148" i="22"/>
  <c r="BG381" i="103"/>
  <c r="P165" i="58"/>
  <c r="H170" i="67"/>
  <c r="W166" i="22"/>
  <c r="D152" i="58"/>
  <c r="F153" i="22"/>
  <c r="F157" i="58"/>
  <c r="K158" i="22"/>
  <c r="L158" i="22" s="1"/>
  <c r="U157" i="103"/>
  <c r="O162" i="58"/>
  <c r="C167" i="67"/>
  <c r="Y163" i="22"/>
  <c r="AJ381" i="103"/>
  <c r="D170" i="58"/>
  <c r="F171" i="22"/>
  <c r="C145" i="58"/>
  <c r="C146" i="22"/>
  <c r="M160" i="67"/>
  <c r="D160" i="67"/>
  <c r="AA157" i="22"/>
  <c r="BD161" i="103"/>
  <c r="BD164" i="103"/>
  <c r="BD167" i="103"/>
  <c r="BD170" i="103"/>
  <c r="M181" i="67"/>
  <c r="D181" i="67"/>
  <c r="AA177" i="22"/>
  <c r="Q127" i="58"/>
  <c r="N130" i="67"/>
  <c r="U128" i="22"/>
  <c r="AI136" i="22"/>
  <c r="H142" i="22"/>
  <c r="O141" i="103"/>
  <c r="E156" i="67"/>
  <c r="Q153" i="22"/>
  <c r="Q163" i="58"/>
  <c r="N168" i="67"/>
  <c r="U164" i="22"/>
  <c r="BC380" i="103"/>
  <c r="CG131" i="103"/>
  <c r="CH131" i="103" s="1"/>
  <c r="E138" i="22"/>
  <c r="H137" i="103"/>
  <c r="AM147" i="103"/>
  <c r="CG149" i="103"/>
  <c r="CH149" i="103" s="1"/>
  <c r="E156" i="22"/>
  <c r="H155" i="103"/>
  <c r="BK381" i="103"/>
  <c r="AM165" i="103"/>
  <c r="CG167" i="103"/>
  <c r="CI167" i="103" s="1"/>
  <c r="P176" i="58"/>
  <c r="H181" i="67"/>
  <c r="W177" i="22"/>
  <c r="P194" i="58"/>
  <c r="H200" i="67"/>
  <c r="W195" i="22"/>
  <c r="AG200" i="22"/>
  <c r="BZ199" i="103"/>
  <c r="CC199" i="103" s="1"/>
  <c r="K210" i="67"/>
  <c r="S205" i="22"/>
  <c r="AN184" i="103"/>
  <c r="K194" i="67"/>
  <c r="S190" i="22"/>
  <c r="M203" i="67"/>
  <c r="D203" i="67"/>
  <c r="AA198" i="22"/>
  <c r="M206" i="67"/>
  <c r="D206" i="67"/>
  <c r="AA201" i="22"/>
  <c r="D209" i="67"/>
  <c r="M209" i="67"/>
  <c r="AA204" i="22"/>
  <c r="D212" i="67"/>
  <c r="M212" i="67"/>
  <c r="AA207" i="22"/>
  <c r="M215" i="67"/>
  <c r="D215" i="67"/>
  <c r="AA210" i="22"/>
  <c r="M218" i="67"/>
  <c r="D218" i="67"/>
  <c r="AA213" i="22"/>
  <c r="C183" i="58"/>
  <c r="C184" i="22"/>
  <c r="C186" i="58"/>
  <c r="C187" i="22"/>
  <c r="C189" i="58"/>
  <c r="C190" i="22"/>
  <c r="C192" i="58"/>
  <c r="C193" i="22"/>
  <c r="I382" i="103"/>
  <c r="C195" i="58"/>
  <c r="C196" i="22"/>
  <c r="AI201" i="22"/>
  <c r="H207" i="22"/>
  <c r="O206" i="103"/>
  <c r="K226" i="67"/>
  <c r="S221" i="22"/>
  <c r="Q174" i="58"/>
  <c r="N179" i="67"/>
  <c r="U175" i="22"/>
  <c r="AI183" i="22"/>
  <c r="H189" i="22"/>
  <c r="O188" i="103"/>
  <c r="P207" i="58"/>
  <c r="H213" i="67"/>
  <c r="W208" i="22"/>
  <c r="P174" i="58"/>
  <c r="H179" i="67"/>
  <c r="W175" i="22"/>
  <c r="P192" i="58"/>
  <c r="H198" i="67"/>
  <c r="W193" i="22"/>
  <c r="AI382" i="103"/>
  <c r="K205" i="67"/>
  <c r="S200" i="22"/>
  <c r="AG213" i="22"/>
  <c r="BZ212" i="103"/>
  <c r="CC212" i="103" s="1"/>
  <c r="BC383" i="103"/>
  <c r="CG223" i="103"/>
  <c r="AN179" i="103"/>
  <c r="K189" i="67"/>
  <c r="S185" i="22"/>
  <c r="D227" i="58"/>
  <c r="F228" i="22"/>
  <c r="Q199" i="58"/>
  <c r="N205" i="67"/>
  <c r="U200" i="22"/>
  <c r="AI208" i="22"/>
  <c r="H214" i="22"/>
  <c r="O213" i="103"/>
  <c r="H181" i="22"/>
  <c r="O180" i="103"/>
  <c r="E196" i="67"/>
  <c r="Q192" i="22"/>
  <c r="AM204" i="103"/>
  <c r="CG206" i="103"/>
  <c r="CH206" i="103" s="1"/>
  <c r="E213" i="22"/>
  <c r="H212" i="103"/>
  <c r="AG228" i="22"/>
  <c r="BZ227" i="103"/>
  <c r="CB227" i="103" s="1"/>
  <c r="L234" i="67" s="1"/>
  <c r="K218" i="67"/>
  <c r="S213" i="22"/>
  <c r="AI225" i="22"/>
  <c r="AN180" i="103"/>
  <c r="K190" i="67"/>
  <c r="S186" i="22"/>
  <c r="Q200" i="58"/>
  <c r="N206" i="67"/>
  <c r="U201" i="22"/>
  <c r="AI209" i="22"/>
  <c r="H215" i="22"/>
  <c r="O214" i="103"/>
  <c r="H176" i="22"/>
  <c r="O175" i="103"/>
  <c r="E191" i="67"/>
  <c r="Q187" i="22"/>
  <c r="AM202" i="103"/>
  <c r="CG204" i="103"/>
  <c r="CH204" i="103" s="1"/>
  <c r="E211" i="22"/>
  <c r="H210" i="103"/>
  <c r="C215" i="58"/>
  <c r="C216" i="22"/>
  <c r="AG249" i="22"/>
  <c r="BZ248" i="103"/>
  <c r="CC248" i="103" s="1"/>
  <c r="K260" i="67"/>
  <c r="S254" i="22"/>
  <c r="AM257" i="22"/>
  <c r="AK262" i="22"/>
  <c r="L17" i="62"/>
  <c r="BK259" i="103"/>
  <c r="Q235" i="58"/>
  <c r="N242" i="67"/>
  <c r="U236" i="22"/>
  <c r="AI244" i="22"/>
  <c r="H250" i="22"/>
  <c r="O249" i="103"/>
  <c r="CG257" i="103"/>
  <c r="CI257" i="103" s="1"/>
  <c r="F267" i="58"/>
  <c r="K268" i="22"/>
  <c r="L268" i="22" s="1"/>
  <c r="U267" i="103"/>
  <c r="BE383" i="103"/>
  <c r="CG236" i="103"/>
  <c r="CH236" i="103" s="1"/>
  <c r="E243" i="22"/>
  <c r="H242" i="103"/>
  <c r="BO384" i="103"/>
  <c r="AG259" i="22"/>
  <c r="BZ258" i="103"/>
  <c r="CB258" i="103" s="1"/>
  <c r="L266" i="67" s="1"/>
  <c r="H220" i="22"/>
  <c r="O219" i="103"/>
  <c r="F230" i="58"/>
  <c r="K231" i="22"/>
  <c r="L231" i="22" s="1"/>
  <c r="U230" i="103"/>
  <c r="O235" i="58"/>
  <c r="C242" i="67"/>
  <c r="Y236" i="22"/>
  <c r="D243" i="58"/>
  <c r="F244" i="22"/>
  <c r="F248" i="58"/>
  <c r="K249" i="22"/>
  <c r="L249" i="22" s="1"/>
  <c r="U248" i="103"/>
  <c r="O253" i="58"/>
  <c r="C260" i="67"/>
  <c r="Y254" i="22"/>
  <c r="O256" i="58"/>
  <c r="C264" i="67"/>
  <c r="Y257" i="22"/>
  <c r="CE383" i="103"/>
  <c r="AI260" i="22"/>
  <c r="D219" i="58"/>
  <c r="F220" i="22"/>
  <c r="F224" i="58"/>
  <c r="K225" i="22"/>
  <c r="L225" i="22" s="1"/>
  <c r="U224" i="103"/>
  <c r="AI230" i="22"/>
  <c r="H236" i="22"/>
  <c r="O235" i="103"/>
  <c r="E253" i="67"/>
  <c r="Q247" i="22"/>
  <c r="AT384" i="103"/>
  <c r="C218" i="58"/>
  <c r="C219" i="22"/>
  <c r="C221" i="58"/>
  <c r="C222" i="22"/>
  <c r="C224" i="58"/>
  <c r="C225" i="22"/>
  <c r="P227" i="58"/>
  <c r="H234" i="67"/>
  <c r="W228" i="22"/>
  <c r="P245" i="58"/>
  <c r="H252" i="67"/>
  <c r="W246" i="22"/>
  <c r="AG260" i="22"/>
  <c r="BZ259" i="103"/>
  <c r="CC259" i="103" s="1"/>
  <c r="AM274" i="22"/>
  <c r="AI224" i="22"/>
  <c r="BJ383" i="103"/>
  <c r="AN226" i="103"/>
  <c r="K238" i="67"/>
  <c r="S232" i="22"/>
  <c r="AN244" i="103"/>
  <c r="K256" i="67"/>
  <c r="S250" i="22"/>
  <c r="Q262" i="67"/>
  <c r="Q292" i="67" s="1"/>
  <c r="BH384" i="103"/>
  <c r="E220" i="22"/>
  <c r="H219" i="103"/>
  <c r="H258" i="22"/>
  <c r="O257" i="103"/>
  <c r="L257" i="103" s="1"/>
  <c r="F219" i="58"/>
  <c r="K220" i="22"/>
  <c r="L220" i="22" s="1"/>
  <c r="U219" i="103"/>
  <c r="O224" i="58"/>
  <c r="C231" i="67"/>
  <c r="Y225" i="22"/>
  <c r="H228" i="22"/>
  <c r="O227" i="103"/>
  <c r="E245" i="67"/>
  <c r="Q239" i="22"/>
  <c r="Q249" i="58"/>
  <c r="N256" i="67"/>
  <c r="U250" i="22"/>
  <c r="BV384" i="103"/>
  <c r="O16" i="62"/>
  <c r="BL258" i="103"/>
  <c r="F264" i="58"/>
  <c r="K265" i="22"/>
  <c r="L265" i="22" s="1"/>
  <c r="U264" i="103"/>
  <c r="P228" i="58"/>
  <c r="H235" i="67"/>
  <c r="W229" i="22"/>
  <c r="P246" i="58"/>
  <c r="H253" i="67"/>
  <c r="W247" i="22"/>
  <c r="CG256" i="103"/>
  <c r="CH256" i="103" s="1"/>
  <c r="AM260" i="22"/>
  <c r="O261" i="58"/>
  <c r="C269" i="67"/>
  <c r="Y262" i="22"/>
  <c r="F271" i="58"/>
  <c r="K272" i="22"/>
  <c r="L272" i="22" s="1"/>
  <c r="U271" i="103"/>
  <c r="K282" i="67"/>
  <c r="S275" i="22"/>
  <c r="AM278" i="22"/>
  <c r="D281" i="58"/>
  <c r="F282" i="22"/>
  <c r="BZ284" i="103"/>
  <c r="BZ287" i="103"/>
  <c r="CC287" i="103" s="1"/>
  <c r="BZ290" i="103"/>
  <c r="CC290" i="103" s="1"/>
  <c r="BZ293" i="103"/>
  <c r="CC293" i="103" s="1"/>
  <c r="BZ296" i="103"/>
  <c r="CC296" i="103" s="1"/>
  <c r="BZ299" i="103"/>
  <c r="CC299" i="103" s="1"/>
  <c r="BZ302" i="103"/>
  <c r="CC302" i="103" s="1"/>
  <c r="BZ305" i="103"/>
  <c r="CC305" i="103" s="1"/>
  <c r="F308" i="58"/>
  <c r="K309" i="22"/>
  <c r="L309" i="22" s="1"/>
  <c r="U308" i="103"/>
  <c r="E272" i="58"/>
  <c r="Y272" i="58" s="1"/>
  <c r="I273" i="22"/>
  <c r="R272" i="103"/>
  <c r="AK276" i="22"/>
  <c r="D287" i="67"/>
  <c r="M287" i="67"/>
  <c r="AA280" i="22"/>
  <c r="C318" i="58"/>
  <c r="C319" i="22"/>
  <c r="E270" i="22"/>
  <c r="H269" i="103"/>
  <c r="E269" i="103" s="1"/>
  <c r="CG278" i="103"/>
  <c r="CI278" i="103" s="1"/>
  <c r="CG260" i="103"/>
  <c r="CH260" i="103" s="1"/>
  <c r="AM264" i="22"/>
  <c r="D267" i="58"/>
  <c r="F268" i="22"/>
  <c r="AG271" i="22"/>
  <c r="BZ270" i="103"/>
  <c r="CB270" i="103" s="1"/>
  <c r="O283" i="58"/>
  <c r="C291" i="67"/>
  <c r="Y284" i="22"/>
  <c r="O286" i="58"/>
  <c r="C295" i="67"/>
  <c r="Y287" i="22"/>
  <c r="O289" i="58"/>
  <c r="C298" i="67"/>
  <c r="Y290" i="22"/>
  <c r="O292" i="58"/>
  <c r="C301" i="67"/>
  <c r="Y293" i="22"/>
  <c r="O295" i="58"/>
  <c r="C304" i="67"/>
  <c r="Y296" i="22"/>
  <c r="O298" i="58"/>
  <c r="C307" i="67"/>
  <c r="Y299" i="22"/>
  <c r="O301" i="58"/>
  <c r="C310" i="67"/>
  <c r="Y302" i="22"/>
  <c r="O304" i="58"/>
  <c r="C313" i="67"/>
  <c r="Y305" i="22"/>
  <c r="N150" i="13"/>
  <c r="P150" i="13" s="1"/>
  <c r="AB325" i="103"/>
  <c r="E267" i="58"/>
  <c r="Y267" i="58" s="1"/>
  <c r="I268" i="22"/>
  <c r="R267" i="103"/>
  <c r="AK271" i="22"/>
  <c r="M282" i="67"/>
  <c r="D282" i="67"/>
  <c r="AA275" i="22"/>
  <c r="C284" i="58"/>
  <c r="C285" i="22"/>
  <c r="I385" i="103"/>
  <c r="C287" i="58"/>
  <c r="C288" i="22"/>
  <c r="C290" i="58"/>
  <c r="C291" i="22"/>
  <c r="C293" i="58"/>
  <c r="C294" i="22"/>
  <c r="C296" i="58"/>
  <c r="C297" i="22"/>
  <c r="C299" i="58"/>
  <c r="C300" i="22"/>
  <c r="C302" i="58"/>
  <c r="C303" i="22"/>
  <c r="C305" i="58"/>
  <c r="C306" i="22"/>
  <c r="K317" i="67"/>
  <c r="S309" i="22"/>
  <c r="E268" i="22"/>
  <c r="H267" i="103"/>
  <c r="CG276" i="103"/>
  <c r="CI276" i="103" s="1"/>
  <c r="M317" i="67"/>
  <c r="D317" i="67"/>
  <c r="AA309" i="22"/>
  <c r="H333" i="22"/>
  <c r="O332" i="103"/>
  <c r="M332" i="103" s="1"/>
  <c r="J332" i="103" s="1"/>
  <c r="C267" i="58"/>
  <c r="C268" i="22"/>
  <c r="M268" i="67"/>
  <c r="D268" i="67"/>
  <c r="AA261" i="22"/>
  <c r="AX385" i="103"/>
  <c r="P261" i="58"/>
  <c r="H269" i="67"/>
  <c r="W262" i="22"/>
  <c r="O22" i="62"/>
  <c r="BL264" i="103"/>
  <c r="E275" i="22"/>
  <c r="H274" i="103"/>
  <c r="E274" i="103" s="1"/>
  <c r="CG283" i="103"/>
  <c r="CI283" i="103" s="1"/>
  <c r="CG286" i="103"/>
  <c r="CH286" i="103" s="1"/>
  <c r="CG289" i="103"/>
  <c r="CH289" i="103" s="1"/>
  <c r="CG292" i="103"/>
  <c r="CH292" i="103" s="1"/>
  <c r="CG295" i="103"/>
  <c r="CH295" i="103" s="1"/>
  <c r="CG298" i="103"/>
  <c r="CH298" i="103" s="1"/>
  <c r="CG301" i="103"/>
  <c r="CH301" i="103" s="1"/>
  <c r="CG304" i="103"/>
  <c r="CH304" i="103" s="1"/>
  <c r="AI342" i="22"/>
  <c r="AI347" i="22"/>
  <c r="AI358" i="22"/>
  <c r="E319" i="67"/>
  <c r="Q311" i="22"/>
  <c r="BF386" i="103"/>
  <c r="Q321" i="58"/>
  <c r="N331" i="67"/>
  <c r="U322" i="22"/>
  <c r="AI330" i="22"/>
  <c r="P345" i="58"/>
  <c r="H356" i="67"/>
  <c r="W346" i="22"/>
  <c r="AI387" i="103"/>
  <c r="E351" i="22"/>
  <c r="H350" i="103"/>
  <c r="E320" i="22"/>
  <c r="H319" i="103"/>
  <c r="AM329" i="103"/>
  <c r="BZ332" i="103"/>
  <c r="CC332" i="103" s="1"/>
  <c r="K347" i="67"/>
  <c r="S338" i="22"/>
  <c r="O174" i="13"/>
  <c r="Q174" i="13" s="1"/>
  <c r="L387" i="103"/>
  <c r="BZ311" i="103"/>
  <c r="CB311" i="103" s="1"/>
  <c r="K326" i="67"/>
  <c r="S317" i="22"/>
  <c r="BZ329" i="103"/>
  <c r="CC329" i="103" s="1"/>
  <c r="C340" i="58"/>
  <c r="C341" i="22"/>
  <c r="Q349" i="58"/>
  <c r="N360" i="67"/>
  <c r="U350" i="22"/>
  <c r="D321" i="67"/>
  <c r="M321" i="67"/>
  <c r="AA313" i="22"/>
  <c r="E320" i="58"/>
  <c r="Y320" i="58" s="1"/>
  <c r="I321" i="22"/>
  <c r="R320" i="103"/>
  <c r="N148" i="13"/>
  <c r="P148" i="13" s="1"/>
  <c r="AB323" i="103"/>
  <c r="Q334" i="58"/>
  <c r="N344" i="67"/>
  <c r="U335" i="22"/>
  <c r="AI343" i="22"/>
  <c r="Q313" i="58"/>
  <c r="N322" i="67"/>
  <c r="U314" i="22"/>
  <c r="AI322" i="22"/>
  <c r="H328" i="22"/>
  <c r="O327" i="103"/>
  <c r="M327" i="103" s="1"/>
  <c r="J327" i="103" s="1"/>
  <c r="P343" i="58"/>
  <c r="H353" i="67"/>
  <c r="W344" i="22"/>
  <c r="P316" i="58"/>
  <c r="H326" i="67"/>
  <c r="W317" i="22"/>
  <c r="AN336" i="103"/>
  <c r="K351" i="67"/>
  <c r="S342" i="22"/>
  <c r="D312" i="58"/>
  <c r="F313" i="22"/>
  <c r="F317" i="58"/>
  <c r="K318" i="22"/>
  <c r="L318" i="22" s="1"/>
  <c r="U317" i="103"/>
  <c r="O322" i="58"/>
  <c r="C332" i="67"/>
  <c r="Y323" i="22"/>
  <c r="E330" i="58"/>
  <c r="Y330" i="58" s="1"/>
  <c r="I331" i="22"/>
  <c r="R330" i="103"/>
  <c r="N158" i="13"/>
  <c r="P158" i="13" s="1"/>
  <c r="AB333" i="103"/>
  <c r="BD306" i="103"/>
  <c r="E309" i="58"/>
  <c r="Y309" i="58" s="1"/>
  <c r="I310" i="22"/>
  <c r="R309" i="103"/>
  <c r="C326" i="58"/>
  <c r="C327" i="22"/>
  <c r="H335" i="22"/>
  <c r="O334" i="103"/>
  <c r="M334" i="103" s="1"/>
  <c r="J334" i="103" s="1"/>
  <c r="E356" i="67"/>
  <c r="Q346" i="22"/>
  <c r="AD387" i="103"/>
  <c r="AI311" i="22"/>
  <c r="H317" i="22"/>
  <c r="O316" i="103"/>
  <c r="M316" i="103" s="1"/>
  <c r="J316" i="103" s="1"/>
  <c r="E337" i="67"/>
  <c r="Q328" i="22"/>
  <c r="CG342" i="103"/>
  <c r="CH342" i="103" s="1"/>
  <c r="AE387" i="103"/>
  <c r="P314" i="58"/>
  <c r="H323" i="67"/>
  <c r="W315" i="22"/>
  <c r="D337" i="58"/>
  <c r="F338" i="22"/>
  <c r="F342" i="58"/>
  <c r="K343" i="22"/>
  <c r="L343" i="22" s="1"/>
  <c r="U342" i="103"/>
  <c r="AM360" i="103"/>
  <c r="AN310" i="103"/>
  <c r="K325" i="67"/>
  <c r="S316" i="22"/>
  <c r="AF386" i="103"/>
  <c r="AN328" i="103"/>
  <c r="AM328" i="103" s="1"/>
  <c r="C342" i="58"/>
  <c r="C343" i="22"/>
  <c r="N177" i="13"/>
  <c r="P177" i="13" s="1"/>
  <c r="AB348" i="103"/>
  <c r="BZ375" i="103"/>
  <c r="CC375" i="103" s="1"/>
  <c r="BZ363" i="103"/>
  <c r="CB363" i="103" s="1"/>
  <c r="K379" i="67"/>
  <c r="S369" i="22"/>
  <c r="D363" i="67"/>
  <c r="M363" i="67"/>
  <c r="AA353" i="22"/>
  <c r="E360" i="58"/>
  <c r="Y360" i="58" s="1"/>
  <c r="I361" i="22"/>
  <c r="R360" i="103"/>
  <c r="N192" i="13"/>
  <c r="P192" i="13" s="1"/>
  <c r="AB363" i="103"/>
  <c r="Q374" i="58"/>
  <c r="N385" i="67"/>
  <c r="AA17" i="68" s="1"/>
  <c r="U375" i="22"/>
  <c r="Q356" i="58"/>
  <c r="N367" i="67"/>
  <c r="U357" i="22"/>
  <c r="AI365" i="22"/>
  <c r="CG372" i="103"/>
  <c r="CH372" i="103" s="1"/>
  <c r="P362" i="58"/>
  <c r="H373" i="67"/>
  <c r="W363" i="22"/>
  <c r="O347" i="58"/>
  <c r="C358" i="67"/>
  <c r="Y348" i="22"/>
  <c r="D355" i="58"/>
  <c r="F356" i="22"/>
  <c r="F360" i="58"/>
  <c r="K361" i="22"/>
  <c r="L361" i="22" s="1"/>
  <c r="U360" i="103"/>
  <c r="O365" i="58"/>
  <c r="C376" i="67"/>
  <c r="Y366" i="22"/>
  <c r="M361" i="67"/>
  <c r="D361" i="67"/>
  <c r="AA351" i="22"/>
  <c r="E358" i="58"/>
  <c r="Y358" i="58" s="1"/>
  <c r="I359" i="22"/>
  <c r="R358" i="103"/>
  <c r="N190" i="13"/>
  <c r="P190" i="13" s="1"/>
  <c r="AB361" i="103"/>
  <c r="E366" i="67"/>
  <c r="Q356" i="22"/>
  <c r="Q366" i="58"/>
  <c r="N377" i="67"/>
  <c r="U367" i="22"/>
  <c r="E353" i="22"/>
  <c r="H352" i="103"/>
  <c r="AM362" i="103"/>
  <c r="CG364" i="103"/>
  <c r="CI364" i="103" s="1"/>
  <c r="E371" i="22"/>
  <c r="H370" i="103"/>
  <c r="F349" i="58"/>
  <c r="K350" i="22"/>
  <c r="L350" i="22" s="1"/>
  <c r="U349" i="103"/>
  <c r="O354" i="58"/>
  <c r="C365" i="67"/>
  <c r="Y355" i="22"/>
  <c r="D362" i="58"/>
  <c r="F363" i="22"/>
  <c r="F367" i="58"/>
  <c r="K368" i="22"/>
  <c r="L368" i="22" s="1"/>
  <c r="U367" i="103"/>
  <c r="M359" i="67"/>
  <c r="D359" i="67"/>
  <c r="AA349" i="22"/>
  <c r="BD353" i="103"/>
  <c r="E356" i="58"/>
  <c r="Y356" i="58" s="1"/>
  <c r="I357" i="22"/>
  <c r="R356" i="103"/>
  <c r="N188" i="13"/>
  <c r="AB359" i="103"/>
  <c r="AI376" i="22"/>
  <c r="O92" i="58"/>
  <c r="C94" i="67"/>
  <c r="Y93" i="22"/>
  <c r="E103" i="58"/>
  <c r="Y103" i="58" s="1"/>
  <c r="I104" i="22"/>
  <c r="R103" i="103"/>
  <c r="E106" i="58"/>
  <c r="Y106" i="58" s="1"/>
  <c r="I107" i="22"/>
  <c r="R106" i="103"/>
  <c r="E113" i="22"/>
  <c r="H112" i="103"/>
  <c r="P123" i="58"/>
  <c r="H126" i="67"/>
  <c r="W124" i="22"/>
  <c r="Q134" i="58"/>
  <c r="N138" i="67"/>
  <c r="U135" i="22"/>
  <c r="BD88" i="103"/>
  <c r="E91" i="58"/>
  <c r="Y91" i="58" s="1"/>
  <c r="I92" i="22"/>
  <c r="R91" i="103"/>
  <c r="O114" i="58"/>
  <c r="C117" i="67"/>
  <c r="Y115" i="22"/>
  <c r="P132" i="58"/>
  <c r="H136" i="67"/>
  <c r="W133" i="22"/>
  <c r="K141" i="67"/>
  <c r="S138" i="22"/>
  <c r="AG151" i="22"/>
  <c r="BZ150" i="103"/>
  <c r="CC150" i="103" s="1"/>
  <c r="K159" i="67"/>
  <c r="S156" i="22"/>
  <c r="AG169" i="22"/>
  <c r="BZ168" i="103"/>
  <c r="CC168" i="103" s="1"/>
  <c r="D143" i="67"/>
  <c r="M143" i="67"/>
  <c r="AA140" i="22"/>
  <c r="E147" i="58"/>
  <c r="Y147" i="58" s="1"/>
  <c r="I148" i="22"/>
  <c r="R147" i="103"/>
  <c r="H140" i="22"/>
  <c r="O139" i="103"/>
  <c r="E154" i="67"/>
  <c r="Q151" i="22"/>
  <c r="Q161" i="58"/>
  <c r="N165" i="67"/>
  <c r="U162" i="22"/>
  <c r="AI170" i="22"/>
  <c r="E136" i="22"/>
  <c r="H135" i="103"/>
  <c r="AM145" i="103"/>
  <c r="CG147" i="103"/>
  <c r="CI147" i="103" s="1"/>
  <c r="E154" i="22"/>
  <c r="H153" i="103"/>
  <c r="AM163" i="103"/>
  <c r="CG165" i="103"/>
  <c r="CI165" i="103" s="1"/>
  <c r="AG131" i="22"/>
  <c r="BZ130" i="103"/>
  <c r="CC130" i="103" s="1"/>
  <c r="K139" i="67"/>
  <c r="S136" i="22"/>
  <c r="AG149" i="22"/>
  <c r="BZ148" i="103"/>
  <c r="CB148" i="103" s="1"/>
  <c r="L152" i="67" s="1"/>
  <c r="K157" i="67"/>
  <c r="S154" i="22"/>
  <c r="AG167" i="22"/>
  <c r="BZ166" i="103"/>
  <c r="CC166" i="103" s="1"/>
  <c r="CG182" i="103"/>
  <c r="CH182" i="103" s="1"/>
  <c r="C138" i="58"/>
  <c r="C139" i="22"/>
  <c r="D153" i="67"/>
  <c r="M153" i="67"/>
  <c r="AA150" i="22"/>
  <c r="E157" i="58"/>
  <c r="Y157" i="58" s="1"/>
  <c r="I158" i="22"/>
  <c r="R157" i="103"/>
  <c r="BQ381" i="103"/>
  <c r="BV380" i="103"/>
  <c r="AI135" i="22"/>
  <c r="H141" i="22"/>
  <c r="O140" i="103"/>
  <c r="E155" i="67"/>
  <c r="Q152" i="22"/>
  <c r="Q162" i="58"/>
  <c r="N167" i="67"/>
  <c r="U163" i="22"/>
  <c r="AH381" i="103"/>
  <c r="AI171" i="22"/>
  <c r="CG136" i="103"/>
  <c r="CI136" i="103" s="1"/>
  <c r="E143" i="22"/>
  <c r="H142" i="103"/>
  <c r="CG154" i="103"/>
  <c r="CI154" i="103" s="1"/>
  <c r="E161" i="22"/>
  <c r="H160" i="103"/>
  <c r="BS381" i="103"/>
  <c r="AN152" i="103"/>
  <c r="K161" i="67"/>
  <c r="S158" i="22"/>
  <c r="AV381" i="103"/>
  <c r="AN170" i="103"/>
  <c r="E128" i="58"/>
  <c r="Y128" i="58" s="1"/>
  <c r="I129" i="22"/>
  <c r="R128" i="103"/>
  <c r="E131" i="58"/>
  <c r="I132" i="22"/>
  <c r="Q380" i="103"/>
  <c r="R131" i="103"/>
  <c r="C148" i="58"/>
  <c r="C149" i="22"/>
  <c r="D163" i="67"/>
  <c r="M163" i="67"/>
  <c r="AA160" i="22"/>
  <c r="Q130" i="58"/>
  <c r="N133" i="67"/>
  <c r="U131" i="22"/>
  <c r="AI139" i="22"/>
  <c r="H145" i="22"/>
  <c r="O144" i="103"/>
  <c r="E159" i="67"/>
  <c r="Q156" i="22"/>
  <c r="Q166" i="58"/>
  <c r="N171" i="67"/>
  <c r="U167" i="22"/>
  <c r="E172" i="58"/>
  <c r="Y172" i="58" s="1"/>
  <c r="I173" i="22"/>
  <c r="R172" i="103"/>
  <c r="BO380" i="103"/>
  <c r="P145" i="58"/>
  <c r="H149" i="67"/>
  <c r="W146" i="22"/>
  <c r="P163" i="58"/>
  <c r="H168" i="67"/>
  <c r="W164" i="22"/>
  <c r="CG183" i="103"/>
  <c r="CI183" i="103" s="1"/>
  <c r="E190" i="22"/>
  <c r="H189" i="103"/>
  <c r="D202" i="58"/>
  <c r="F203" i="22"/>
  <c r="F207" i="58"/>
  <c r="K208" i="22"/>
  <c r="L208" i="22" s="1"/>
  <c r="U207" i="103"/>
  <c r="O212" i="58"/>
  <c r="C218" i="67"/>
  <c r="Y213" i="22"/>
  <c r="F229" i="58"/>
  <c r="K230" i="22"/>
  <c r="L230" i="22" s="1"/>
  <c r="U229" i="103"/>
  <c r="F174" i="58"/>
  <c r="K175" i="22"/>
  <c r="L175" i="22" s="1"/>
  <c r="U174" i="103"/>
  <c r="O179" i="58"/>
  <c r="C184" i="67"/>
  <c r="Y180" i="22"/>
  <c r="D187" i="58"/>
  <c r="F188" i="22"/>
  <c r="F192" i="58"/>
  <c r="K193" i="22"/>
  <c r="L193" i="22" s="1"/>
  <c r="T382" i="103"/>
  <c r="U192" i="103"/>
  <c r="K236" i="67"/>
  <c r="S230" i="22"/>
  <c r="AG382" i="103"/>
  <c r="AI204" i="22"/>
  <c r="H210" i="22"/>
  <c r="O209" i="103"/>
  <c r="CG214" i="103"/>
  <c r="CH214" i="103" s="1"/>
  <c r="AM221" i="103"/>
  <c r="Q177" i="58"/>
  <c r="N182" i="67"/>
  <c r="U178" i="22"/>
  <c r="AI186" i="22"/>
  <c r="H192" i="22"/>
  <c r="O191" i="103"/>
  <c r="E203" i="22"/>
  <c r="H202" i="103"/>
  <c r="AM212" i="103"/>
  <c r="CG181" i="103"/>
  <c r="CH181" i="103" s="1"/>
  <c r="E188" i="22"/>
  <c r="H187" i="103"/>
  <c r="AU382" i="103"/>
  <c r="D197" i="58"/>
  <c r="F198" i="22"/>
  <c r="F202" i="58"/>
  <c r="K203" i="22"/>
  <c r="L203" i="22" s="1"/>
  <c r="U202" i="103"/>
  <c r="O207" i="58"/>
  <c r="C213" i="67"/>
  <c r="Y208" i="22"/>
  <c r="O228" i="58"/>
  <c r="C235" i="67"/>
  <c r="Y229" i="22"/>
  <c r="O174" i="58"/>
  <c r="C179" i="67"/>
  <c r="Y175" i="22"/>
  <c r="D182" i="58"/>
  <c r="F183" i="22"/>
  <c r="F187" i="58"/>
  <c r="K188" i="22"/>
  <c r="L188" i="22" s="1"/>
  <c r="U187" i="103"/>
  <c r="O192" i="58"/>
  <c r="C198" i="67"/>
  <c r="Y193" i="22"/>
  <c r="AJ382" i="103"/>
  <c r="Q202" i="58"/>
  <c r="N208" i="67"/>
  <c r="U203" i="22"/>
  <c r="AI211" i="22"/>
  <c r="H184" i="22"/>
  <c r="O183" i="103"/>
  <c r="E200" i="67"/>
  <c r="Q195" i="22"/>
  <c r="P202" i="58"/>
  <c r="H208" i="67"/>
  <c r="W203" i="22"/>
  <c r="K223" i="67"/>
  <c r="S218" i="22"/>
  <c r="F197" i="58"/>
  <c r="K198" i="22"/>
  <c r="L198" i="22" s="1"/>
  <c r="U197" i="103"/>
  <c r="O202" i="58"/>
  <c r="C208" i="67"/>
  <c r="Y203" i="22"/>
  <c r="D210" i="58"/>
  <c r="F211" i="22"/>
  <c r="Q225" i="58"/>
  <c r="N232" i="67"/>
  <c r="U226" i="22"/>
  <c r="O175" i="58"/>
  <c r="C180" i="67"/>
  <c r="Y176" i="22"/>
  <c r="D183" i="58"/>
  <c r="F184" i="22"/>
  <c r="F188" i="58"/>
  <c r="K189" i="22"/>
  <c r="L189" i="22" s="1"/>
  <c r="U188" i="103"/>
  <c r="O193" i="58"/>
  <c r="C199" i="67"/>
  <c r="Y194" i="22"/>
  <c r="E198" i="58"/>
  <c r="Y198" i="58" s="1"/>
  <c r="I199" i="22"/>
  <c r="R198" i="103"/>
  <c r="E201" i="58"/>
  <c r="Y201" i="58" s="1"/>
  <c r="I202" i="22"/>
  <c r="R201" i="103"/>
  <c r="E204" i="58"/>
  <c r="Y204" i="58" s="1"/>
  <c r="I205" i="22"/>
  <c r="R204" i="103"/>
  <c r="E207" i="58"/>
  <c r="Y207" i="58" s="1"/>
  <c r="I208" i="22"/>
  <c r="R207" i="103"/>
  <c r="E210" i="58"/>
  <c r="Y210" i="58" s="1"/>
  <c r="I211" i="22"/>
  <c r="R210" i="103"/>
  <c r="E213" i="58"/>
  <c r="Y213" i="58" s="1"/>
  <c r="I214" i="22"/>
  <c r="R213" i="103"/>
  <c r="K242" i="67"/>
  <c r="S236" i="22"/>
  <c r="Q203" i="58"/>
  <c r="N209" i="67"/>
  <c r="U204" i="22"/>
  <c r="AI212" i="22"/>
  <c r="AI173" i="22"/>
  <c r="H179" i="22"/>
  <c r="O178" i="103"/>
  <c r="E194" i="67"/>
  <c r="Q190" i="22"/>
  <c r="P200" i="58"/>
  <c r="H206" i="67"/>
  <c r="W201" i="22"/>
  <c r="AG231" i="22"/>
  <c r="BZ230" i="103"/>
  <c r="CC230" i="103" s="1"/>
  <c r="O243" i="58"/>
  <c r="C250" i="67"/>
  <c r="Y244" i="22"/>
  <c r="D251" i="58"/>
  <c r="F252" i="22"/>
  <c r="E257" i="58"/>
  <c r="Y257" i="58" s="1"/>
  <c r="I258" i="22"/>
  <c r="R257" i="103"/>
  <c r="D262" i="58"/>
  <c r="F263" i="22"/>
  <c r="O222" i="58"/>
  <c r="C228" i="67"/>
  <c r="Y223" i="22"/>
  <c r="E234" i="67"/>
  <c r="Q228" i="22"/>
  <c r="Q238" i="58"/>
  <c r="N245" i="67"/>
  <c r="U239" i="22"/>
  <c r="AI247" i="22"/>
  <c r="H253" i="22"/>
  <c r="O252" i="103"/>
  <c r="H256" i="22"/>
  <c r="N127" i="23"/>
  <c r="O255" i="103"/>
  <c r="D271" i="58"/>
  <c r="F272" i="22"/>
  <c r="BQ383" i="103"/>
  <c r="P232" i="58"/>
  <c r="H239" i="67"/>
  <c r="W233" i="22"/>
  <c r="P250" i="58"/>
  <c r="H257" i="67"/>
  <c r="W251" i="22"/>
  <c r="AM255" i="103"/>
  <c r="K275" i="67"/>
  <c r="S268" i="22"/>
  <c r="AI217" i="22"/>
  <c r="H223" i="22"/>
  <c r="O222" i="103"/>
  <c r="K237" i="67"/>
  <c r="S231" i="22"/>
  <c r="AG244" i="22"/>
  <c r="BZ243" i="103"/>
  <c r="CC243" i="103" s="1"/>
  <c r="K255" i="67"/>
  <c r="S249" i="22"/>
  <c r="K268" i="67"/>
  <c r="S261" i="22"/>
  <c r="CG218" i="103"/>
  <c r="CI218" i="103" s="1"/>
  <c r="E225" i="22"/>
  <c r="H224" i="103"/>
  <c r="C257" i="58"/>
  <c r="C258" i="22"/>
  <c r="AN219" i="103"/>
  <c r="K231" i="67"/>
  <c r="S225" i="22"/>
  <c r="AI233" i="22"/>
  <c r="H239" i="22"/>
  <c r="O238" i="103"/>
  <c r="E256" i="67"/>
  <c r="Q250" i="22"/>
  <c r="L12" i="62"/>
  <c r="BF384" i="103"/>
  <c r="BK254" i="103"/>
  <c r="CG234" i="103"/>
  <c r="CH234" i="103" s="1"/>
  <c r="E241" i="22"/>
  <c r="H240" i="103"/>
  <c r="CG252" i="103"/>
  <c r="CI252" i="103" s="1"/>
  <c r="CG255" i="103"/>
  <c r="CI255" i="103" s="1"/>
  <c r="BV383" i="103"/>
  <c r="D229" i="58"/>
  <c r="F230" i="22"/>
  <c r="F234" i="58"/>
  <c r="K235" i="22"/>
  <c r="L235" i="22" s="1"/>
  <c r="U234" i="103"/>
  <c r="O239" i="58"/>
  <c r="C246" i="67"/>
  <c r="Y240" i="22"/>
  <c r="D247" i="58"/>
  <c r="F248" i="22"/>
  <c r="F252" i="58"/>
  <c r="K253" i="22"/>
  <c r="L253" i="22" s="1"/>
  <c r="U252" i="103"/>
  <c r="BT384" i="103"/>
  <c r="C258" i="58"/>
  <c r="C259" i="22"/>
  <c r="D234" i="67"/>
  <c r="M234" i="67"/>
  <c r="AA228" i="22"/>
  <c r="M237" i="67"/>
  <c r="D237" i="67"/>
  <c r="AA231" i="22"/>
  <c r="M240" i="67"/>
  <c r="D240" i="67"/>
  <c r="AA234" i="22"/>
  <c r="D243" i="67"/>
  <c r="M243" i="67"/>
  <c r="AA237" i="22"/>
  <c r="D246" i="67"/>
  <c r="M246" i="67"/>
  <c r="AA240" i="22"/>
  <c r="M249" i="67"/>
  <c r="D249" i="67"/>
  <c r="AA243" i="22"/>
  <c r="M252" i="67"/>
  <c r="D252" i="67"/>
  <c r="AA246" i="22"/>
  <c r="D255" i="67"/>
  <c r="M255" i="67"/>
  <c r="AA249" i="22"/>
  <c r="D258" i="67"/>
  <c r="M258" i="67"/>
  <c r="AA252" i="22"/>
  <c r="D262" i="67"/>
  <c r="M262" i="67"/>
  <c r="AA255" i="22"/>
  <c r="AE126" i="23"/>
  <c r="AK384" i="103"/>
  <c r="E261" i="58"/>
  <c r="Y261" i="58" s="1"/>
  <c r="I262" i="22"/>
  <c r="R261" i="103"/>
  <c r="K225" i="67"/>
  <c r="S220" i="22"/>
  <c r="H231" i="22"/>
  <c r="O230" i="103"/>
  <c r="E248" i="67"/>
  <c r="Q242" i="22"/>
  <c r="Q252" i="58"/>
  <c r="N259" i="67"/>
  <c r="U253" i="22"/>
  <c r="AM265" i="22"/>
  <c r="AM233" i="103"/>
  <c r="CG235" i="103"/>
  <c r="CI235" i="103" s="1"/>
  <c r="E242" i="22"/>
  <c r="H241" i="103"/>
  <c r="AM251" i="103"/>
  <c r="CG253" i="103"/>
  <c r="CH253" i="103" s="1"/>
  <c r="F268" i="58"/>
  <c r="K269" i="22"/>
  <c r="L269" i="22" s="1"/>
  <c r="C9" i="104"/>
  <c r="U268" i="103"/>
  <c r="K279" i="67"/>
  <c r="S272" i="22"/>
  <c r="AM275" i="22"/>
  <c r="D278" i="58"/>
  <c r="F279" i="22"/>
  <c r="AG282" i="22"/>
  <c r="BZ281" i="103"/>
  <c r="CB281" i="103" s="1"/>
  <c r="E269" i="58"/>
  <c r="Y269" i="58" s="1"/>
  <c r="I270" i="22"/>
  <c r="R269" i="103"/>
  <c r="AK273" i="22"/>
  <c r="M284" i="67"/>
  <c r="D284" i="67"/>
  <c r="AA277" i="22"/>
  <c r="AI262" i="22"/>
  <c r="AI265" i="22"/>
  <c r="AI268" i="22"/>
  <c r="AI271" i="22"/>
  <c r="AI274" i="22"/>
  <c r="AI277" i="22"/>
  <c r="AI280" i="22"/>
  <c r="AI283" i="22"/>
  <c r="AI286" i="22"/>
  <c r="AI289" i="22"/>
  <c r="AI292" i="22"/>
  <c r="AI295" i="22"/>
  <c r="AI298" i="22"/>
  <c r="AI301" i="22"/>
  <c r="AI304" i="22"/>
  <c r="Q306" i="58"/>
  <c r="N315" i="67"/>
  <c r="U307" i="22"/>
  <c r="E322" i="58"/>
  <c r="Y322" i="58" s="1"/>
  <c r="I323" i="22"/>
  <c r="R322" i="103"/>
  <c r="E267" i="22"/>
  <c r="H266" i="103"/>
  <c r="CG275" i="103"/>
  <c r="CH275" i="103" s="1"/>
  <c r="AM282" i="103"/>
  <c r="F306" i="58"/>
  <c r="K307" i="22"/>
  <c r="L307" i="22" s="1"/>
  <c r="U306" i="103"/>
  <c r="D264" i="58"/>
  <c r="F265" i="22"/>
  <c r="AG268" i="22"/>
  <c r="BZ267" i="103"/>
  <c r="CC267" i="103" s="1"/>
  <c r="O280" i="58"/>
  <c r="C288" i="67"/>
  <c r="Y281" i="22"/>
  <c r="E264" i="58"/>
  <c r="Y264" i="58" s="1"/>
  <c r="I265" i="22"/>
  <c r="R264" i="103"/>
  <c r="AK268" i="22"/>
  <c r="D279" i="67"/>
  <c r="M279" i="67"/>
  <c r="AA272" i="22"/>
  <c r="C281" i="58"/>
  <c r="C282" i="22"/>
  <c r="AG385" i="103"/>
  <c r="AI263" i="22"/>
  <c r="AI266" i="22"/>
  <c r="AI269" i="22"/>
  <c r="C14" i="104"/>
  <c r="O36" i="64"/>
  <c r="P36" i="64" s="1"/>
  <c r="AI272" i="22"/>
  <c r="AI275" i="22"/>
  <c r="AI278" i="22"/>
  <c r="AI281" i="22"/>
  <c r="AI284" i="22"/>
  <c r="AI287" i="22"/>
  <c r="AI290" i="22"/>
  <c r="AI293" i="22"/>
  <c r="AI296" i="22"/>
  <c r="AI299" i="22"/>
  <c r="AI302" i="22"/>
  <c r="AI305" i="22"/>
  <c r="E309" i="22"/>
  <c r="H308" i="103"/>
  <c r="E308" i="103" s="1"/>
  <c r="CG273" i="103"/>
  <c r="CH273" i="103" s="1"/>
  <c r="AM280" i="103"/>
  <c r="C264" i="58"/>
  <c r="C265" i="22"/>
  <c r="E283" i="58"/>
  <c r="Y283" i="58" s="1"/>
  <c r="I284" i="22"/>
  <c r="R283" i="103"/>
  <c r="E286" i="58"/>
  <c r="Y286" i="58" s="1"/>
  <c r="I287" i="22"/>
  <c r="R286" i="103"/>
  <c r="E289" i="58"/>
  <c r="Y289" i="58" s="1"/>
  <c r="I290" i="22"/>
  <c r="R289" i="103"/>
  <c r="E292" i="58"/>
  <c r="Y292" i="58" s="1"/>
  <c r="I293" i="22"/>
  <c r="R292" i="103"/>
  <c r="E295" i="58"/>
  <c r="Y295" i="58" s="1"/>
  <c r="I296" i="22"/>
  <c r="R295" i="103"/>
  <c r="E298" i="58"/>
  <c r="Y298" i="58" s="1"/>
  <c r="I299" i="22"/>
  <c r="R298" i="103"/>
  <c r="E301" i="58"/>
  <c r="Y301" i="58" s="1"/>
  <c r="I302" i="22"/>
  <c r="R301" i="103"/>
  <c r="E304" i="58"/>
  <c r="Y304" i="58" s="1"/>
  <c r="I305" i="22"/>
  <c r="R304" i="103"/>
  <c r="AI264" i="22"/>
  <c r="AI267" i="22"/>
  <c r="AI270" i="22"/>
  <c r="AI273" i="22"/>
  <c r="AI276" i="22"/>
  <c r="AI279" i="22"/>
  <c r="AI282" i="22"/>
  <c r="AI285" i="22"/>
  <c r="BJ385" i="103"/>
  <c r="AI288" i="22"/>
  <c r="AI291" i="22"/>
  <c r="AI294" i="22"/>
  <c r="AI297" i="22"/>
  <c r="AI300" i="22"/>
  <c r="AI303" i="22"/>
  <c r="AI306" i="22"/>
  <c r="N144" i="13"/>
  <c r="P144" i="13" s="1"/>
  <c r="AB319" i="103"/>
  <c r="O19" i="62"/>
  <c r="BL261" i="103"/>
  <c r="E272" i="22"/>
  <c r="H271" i="103"/>
  <c r="E271" i="103" s="1"/>
  <c r="CG280" i="103"/>
  <c r="CH280" i="103" s="1"/>
  <c r="Q336" i="58"/>
  <c r="N346" i="67"/>
  <c r="U337" i="22"/>
  <c r="AI345" i="22"/>
  <c r="F347" i="58"/>
  <c r="K348" i="22"/>
  <c r="L348" i="22" s="1"/>
  <c r="U347" i="103"/>
  <c r="Q358" i="58"/>
  <c r="N369" i="67"/>
  <c r="U359" i="22"/>
  <c r="E322" i="67"/>
  <c r="Q314" i="22"/>
  <c r="BR386" i="103"/>
  <c r="Q324" i="58"/>
  <c r="N334" i="67"/>
  <c r="U325" i="22"/>
  <c r="AM332" i="103"/>
  <c r="CG334" i="103"/>
  <c r="CI334" i="103" s="1"/>
  <c r="E341" i="22"/>
  <c r="H340" i="103"/>
  <c r="CG350" i="103"/>
  <c r="CI350" i="103" s="1"/>
  <c r="P327" i="58"/>
  <c r="H337" i="67"/>
  <c r="W328" i="22"/>
  <c r="D335" i="58"/>
  <c r="F336" i="22"/>
  <c r="F340" i="58"/>
  <c r="K341" i="22"/>
  <c r="L341" i="22" s="1"/>
  <c r="U340" i="103"/>
  <c r="O345" i="58"/>
  <c r="C356" i="67"/>
  <c r="Y346" i="22"/>
  <c r="AJ387" i="103"/>
  <c r="D314" i="58"/>
  <c r="F315" i="22"/>
  <c r="F319" i="58"/>
  <c r="K320" i="22"/>
  <c r="L320" i="22" s="1"/>
  <c r="U319" i="103"/>
  <c r="O324" i="58"/>
  <c r="C334" i="67"/>
  <c r="Y325" i="22"/>
  <c r="C343" i="58"/>
  <c r="C344" i="22"/>
  <c r="BU387" i="103"/>
  <c r="M325" i="67"/>
  <c r="D325" i="67"/>
  <c r="AA316" i="22"/>
  <c r="AK386" i="103"/>
  <c r="E323" i="58"/>
  <c r="Y323" i="58" s="1"/>
  <c r="I324" i="22"/>
  <c r="R323" i="103"/>
  <c r="N151" i="13"/>
  <c r="P151" i="13" s="1"/>
  <c r="AB326" i="103"/>
  <c r="Q337" i="58"/>
  <c r="N347" i="67"/>
  <c r="U338" i="22"/>
  <c r="AI346" i="22"/>
  <c r="BJ387" i="103"/>
  <c r="H370" i="22"/>
  <c r="O369" i="103"/>
  <c r="M369" i="103" s="1"/>
  <c r="J369" i="103" s="1"/>
  <c r="Q316" i="58"/>
  <c r="N326" i="67"/>
  <c r="U317" i="22"/>
  <c r="AI325" i="22"/>
  <c r="CG332" i="103"/>
  <c r="CI332" i="103" s="1"/>
  <c r="E339" i="22"/>
  <c r="H338" i="103"/>
  <c r="BK387" i="103"/>
  <c r="O349" i="58"/>
  <c r="C360" i="67"/>
  <c r="Y350" i="22"/>
  <c r="E373" i="67"/>
  <c r="Q363" i="22"/>
  <c r="E312" i="22"/>
  <c r="H311" i="103"/>
  <c r="E311" i="103" s="1"/>
  <c r="AM321" i="103"/>
  <c r="CG323" i="103"/>
  <c r="CI323" i="103" s="1"/>
  <c r="E330" i="22"/>
  <c r="H329" i="103"/>
  <c r="O331" i="58"/>
  <c r="C341" i="67"/>
  <c r="Y332" i="22"/>
  <c r="D339" i="58"/>
  <c r="F340" i="22"/>
  <c r="F344" i="58"/>
  <c r="K345" i="22"/>
  <c r="L345" i="22" s="1"/>
  <c r="U344" i="103"/>
  <c r="E358" i="67"/>
  <c r="Q348" i="22"/>
  <c r="AN312" i="103"/>
  <c r="K327" i="67"/>
  <c r="S318" i="22"/>
  <c r="E333" i="58"/>
  <c r="Y333" i="58" s="1"/>
  <c r="I334" i="22"/>
  <c r="R333" i="103"/>
  <c r="N161" i="13"/>
  <c r="P161" i="13" s="1"/>
  <c r="AB336" i="103"/>
  <c r="E312" i="58"/>
  <c r="Y312" i="58" s="1"/>
  <c r="I313" i="22"/>
  <c r="R312" i="103"/>
  <c r="C329" i="58"/>
  <c r="C330" i="22"/>
  <c r="AI332" i="22"/>
  <c r="H338" i="22"/>
  <c r="O337" i="103"/>
  <c r="M337" i="103" s="1"/>
  <c r="J337" i="103" s="1"/>
  <c r="AI314" i="22"/>
  <c r="H320" i="22"/>
  <c r="O319" i="103"/>
  <c r="M319" i="103" s="1"/>
  <c r="J319" i="103" s="1"/>
  <c r="P338" i="58"/>
  <c r="H348" i="67"/>
  <c r="W339" i="22"/>
  <c r="CG359" i="103"/>
  <c r="CH359" i="103" s="1"/>
  <c r="E310" i="22"/>
  <c r="H309" i="103"/>
  <c r="E309" i="103" s="1"/>
  <c r="CG321" i="103"/>
  <c r="CH321" i="103" s="1"/>
  <c r="E328" i="22"/>
  <c r="H327" i="103"/>
  <c r="AN337" i="103"/>
  <c r="K352" i="67"/>
  <c r="S343" i="22"/>
  <c r="D313" i="58"/>
  <c r="F314" i="22"/>
  <c r="AR386" i="103"/>
  <c r="F318" i="58"/>
  <c r="K319" i="22"/>
  <c r="L319" i="22" s="1"/>
  <c r="U318" i="103"/>
  <c r="O323" i="58"/>
  <c r="C333" i="67"/>
  <c r="Y324" i="22"/>
  <c r="N156" i="13"/>
  <c r="P156" i="13" s="1"/>
  <c r="AB331" i="103"/>
  <c r="C345" i="58"/>
  <c r="C346" i="22"/>
  <c r="I387" i="103"/>
  <c r="O370" i="58"/>
  <c r="C381" i="67"/>
  <c r="S7" i="68" s="1"/>
  <c r="Y371" i="22"/>
  <c r="F353" i="58"/>
  <c r="K354" i="22"/>
  <c r="L354" i="22" s="1"/>
  <c r="U353" i="103"/>
  <c r="O358" i="58"/>
  <c r="C369" i="67"/>
  <c r="Y359" i="22"/>
  <c r="D366" i="58"/>
  <c r="F367" i="22"/>
  <c r="C371" i="58"/>
  <c r="C372" i="22"/>
  <c r="D366" i="67"/>
  <c r="M366" i="67"/>
  <c r="AA356" i="22"/>
  <c r="E363" i="58"/>
  <c r="Y363" i="58" s="1"/>
  <c r="I364" i="22"/>
  <c r="R363" i="103"/>
  <c r="N195" i="13"/>
  <c r="P195" i="13" s="1"/>
  <c r="AB366" i="103"/>
  <c r="E359" i="67"/>
  <c r="Q349" i="22"/>
  <c r="Q359" i="58"/>
  <c r="N370" i="67"/>
  <c r="U360" i="22"/>
  <c r="AI368" i="22"/>
  <c r="CG351" i="103"/>
  <c r="CH351" i="103" s="1"/>
  <c r="E358" i="22"/>
  <c r="H357" i="103"/>
  <c r="AM367" i="103"/>
  <c r="CG369" i="103"/>
  <c r="CH369" i="103" s="1"/>
  <c r="F372" i="58"/>
  <c r="K373" i="22"/>
  <c r="L373" i="22" s="1"/>
  <c r="U372" i="103"/>
  <c r="AN355" i="103"/>
  <c r="K371" i="67"/>
  <c r="S361" i="22"/>
  <c r="M382" i="67"/>
  <c r="U16" i="68" s="1"/>
  <c r="D382" i="67"/>
  <c r="AA372" i="22"/>
  <c r="D364" i="67"/>
  <c r="M364" i="67"/>
  <c r="AA354" i="22"/>
  <c r="E361" i="58"/>
  <c r="Y361" i="58" s="1"/>
  <c r="I362" i="22"/>
  <c r="R361" i="103"/>
  <c r="N193" i="13"/>
  <c r="P193" i="13" s="1"/>
  <c r="AB364" i="103"/>
  <c r="Q372" i="58"/>
  <c r="N383" i="67"/>
  <c r="W17" i="68" s="1"/>
  <c r="U373" i="22"/>
  <c r="E369" i="67"/>
  <c r="Q359" i="22"/>
  <c r="Q369" i="58"/>
  <c r="N380" i="67"/>
  <c r="U370" i="22"/>
  <c r="P372" i="58"/>
  <c r="H383" i="67"/>
  <c r="W11" i="68" s="1"/>
  <c r="W373" i="22"/>
  <c r="P360" i="58"/>
  <c r="H371" i="67"/>
  <c r="W361" i="22"/>
  <c r="F370" i="58"/>
  <c r="K371" i="22"/>
  <c r="L371" i="22" s="1"/>
  <c r="U370" i="103"/>
  <c r="O375" i="58"/>
  <c r="C386" i="67"/>
  <c r="AC7" i="68" s="1"/>
  <c r="Y376" i="22"/>
  <c r="K360" i="67"/>
  <c r="S350" i="22"/>
  <c r="K378" i="67"/>
  <c r="S368" i="22"/>
  <c r="M362" i="67"/>
  <c r="D362" i="67"/>
  <c r="AA352" i="22"/>
  <c r="BD356" i="103"/>
  <c r="E359" i="58"/>
  <c r="Y359" i="58" s="1"/>
  <c r="I360" i="22"/>
  <c r="R359" i="103"/>
  <c r="N191" i="13"/>
  <c r="P191" i="13" s="1"/>
  <c r="AB362" i="103"/>
  <c r="Q370" i="58"/>
  <c r="N381" i="67"/>
  <c r="S17" i="68" s="1"/>
  <c r="U371" i="22"/>
  <c r="C101" i="58"/>
  <c r="C102" i="22"/>
  <c r="I379" i="103"/>
  <c r="AI104" i="22"/>
  <c r="D109" i="58"/>
  <c r="F110" i="22"/>
  <c r="K120" i="67"/>
  <c r="S118" i="22"/>
  <c r="F120" i="58"/>
  <c r="K121" i="22"/>
  <c r="L121" i="22" s="1"/>
  <c r="U120" i="103"/>
  <c r="Q101" i="58"/>
  <c r="N104" i="67"/>
  <c r="U102" i="22"/>
  <c r="AH379" i="103"/>
  <c r="P104" i="58"/>
  <c r="H107" i="67"/>
  <c r="W105" i="22"/>
  <c r="M113" i="67"/>
  <c r="D113" i="67"/>
  <c r="AA111" i="22"/>
  <c r="M116" i="67"/>
  <c r="D116" i="67"/>
  <c r="AA114" i="22"/>
  <c r="D119" i="67"/>
  <c r="M119" i="67"/>
  <c r="AA117" i="22"/>
  <c r="D122" i="67"/>
  <c r="M122" i="67"/>
  <c r="AA120" i="22"/>
  <c r="M125" i="67"/>
  <c r="D125" i="67"/>
  <c r="AA123" i="22"/>
  <c r="M128" i="67"/>
  <c r="D128" i="67"/>
  <c r="AA126" i="22"/>
  <c r="K105" i="67"/>
  <c r="S103" i="22"/>
  <c r="F105" i="58"/>
  <c r="K106" i="22"/>
  <c r="L106" i="22" s="1"/>
  <c r="U105" i="103"/>
  <c r="H114" i="22"/>
  <c r="O113" i="103"/>
  <c r="E127" i="67"/>
  <c r="Q125" i="22"/>
  <c r="E139" i="67"/>
  <c r="Q136" i="22"/>
  <c r="F87" i="58"/>
  <c r="K88" i="22"/>
  <c r="L88" i="22" s="1"/>
  <c r="U87" i="103"/>
  <c r="O95" i="58"/>
  <c r="C97" i="67"/>
  <c r="Y96" i="22"/>
  <c r="BD103" i="103"/>
  <c r="BD106" i="103"/>
  <c r="E116" i="22"/>
  <c r="H115" i="103"/>
  <c r="P126" i="58"/>
  <c r="H129" i="67"/>
  <c r="W127" i="22"/>
  <c r="P135" i="58"/>
  <c r="H139" i="67"/>
  <c r="W136" i="22"/>
  <c r="O83" i="58"/>
  <c r="C85" i="67"/>
  <c r="Y84" i="22"/>
  <c r="D88" i="67"/>
  <c r="M88" i="67"/>
  <c r="AA87" i="22"/>
  <c r="BD91" i="103"/>
  <c r="E94" i="58"/>
  <c r="Y94" i="58" s="1"/>
  <c r="I95" i="22"/>
  <c r="R94" i="103"/>
  <c r="F109" i="58"/>
  <c r="K110" i="22"/>
  <c r="L110" i="22" s="1"/>
  <c r="U109" i="103"/>
  <c r="O117" i="58"/>
  <c r="C120" i="67"/>
  <c r="Y118" i="22"/>
  <c r="D135" i="58"/>
  <c r="F136" i="22"/>
  <c r="F140" i="58"/>
  <c r="K141" i="22"/>
  <c r="L141" i="22" s="1"/>
  <c r="U140" i="103"/>
  <c r="O145" i="58"/>
  <c r="C149" i="67"/>
  <c r="Y146" i="22"/>
  <c r="D153" i="58"/>
  <c r="F154" i="22"/>
  <c r="F158" i="58"/>
  <c r="K159" i="22"/>
  <c r="L159" i="22" s="1"/>
  <c r="U158" i="103"/>
  <c r="O163" i="58"/>
  <c r="C168" i="67"/>
  <c r="Y164" i="22"/>
  <c r="C128" i="58"/>
  <c r="C129" i="22"/>
  <c r="C131" i="58"/>
  <c r="C132" i="22"/>
  <c r="I380" i="103"/>
  <c r="M146" i="67"/>
  <c r="D146" i="67"/>
  <c r="AA143" i="22"/>
  <c r="BD147" i="103"/>
  <c r="E150" i="58"/>
  <c r="Y150" i="58" s="1"/>
  <c r="I151" i="22"/>
  <c r="R150" i="103"/>
  <c r="C177" i="58"/>
  <c r="C178" i="22"/>
  <c r="AI137" i="22"/>
  <c r="H143" i="22"/>
  <c r="O142" i="103"/>
  <c r="E157" i="67"/>
  <c r="Q154" i="22"/>
  <c r="Q164" i="58"/>
  <c r="N169" i="67"/>
  <c r="U165" i="22"/>
  <c r="P143" i="58"/>
  <c r="H147" i="67"/>
  <c r="W144" i="22"/>
  <c r="P161" i="58"/>
  <c r="H165" i="67"/>
  <c r="W162" i="22"/>
  <c r="BB173" i="103"/>
  <c r="D133" i="58"/>
  <c r="F134" i="22"/>
  <c r="F138" i="58"/>
  <c r="K139" i="22"/>
  <c r="L139" i="22" s="1"/>
  <c r="U138" i="103"/>
  <c r="O143" i="58"/>
  <c r="C147" i="67"/>
  <c r="Y144" i="22"/>
  <c r="D151" i="58"/>
  <c r="F152" i="22"/>
  <c r="F156" i="58"/>
  <c r="K157" i="22"/>
  <c r="L157" i="22" s="1"/>
  <c r="U156" i="103"/>
  <c r="O161" i="58"/>
  <c r="C165" i="67"/>
  <c r="Y162" i="22"/>
  <c r="D169" i="58"/>
  <c r="F170" i="22"/>
  <c r="E186" i="22"/>
  <c r="H185" i="103"/>
  <c r="C141" i="58"/>
  <c r="C142" i="22"/>
  <c r="M156" i="67"/>
  <c r="D156" i="67"/>
  <c r="AA153" i="22"/>
  <c r="BD157" i="103"/>
  <c r="E160" i="58"/>
  <c r="Y160" i="58" s="1"/>
  <c r="I161" i="22"/>
  <c r="R160" i="103"/>
  <c r="E175" i="58"/>
  <c r="Y175" i="58" s="1"/>
  <c r="I176" i="22"/>
  <c r="R175" i="103"/>
  <c r="P190" i="58"/>
  <c r="H195" i="67"/>
  <c r="W191" i="22"/>
  <c r="Q129" i="58"/>
  <c r="N132" i="67"/>
  <c r="U130" i="22"/>
  <c r="AI138" i="22"/>
  <c r="H144" i="22"/>
  <c r="O143" i="103"/>
  <c r="E158" i="67"/>
  <c r="Q155" i="22"/>
  <c r="AT381" i="103"/>
  <c r="Q165" i="58"/>
  <c r="N170" i="67"/>
  <c r="U166" i="22"/>
  <c r="P150" i="58"/>
  <c r="H154" i="67"/>
  <c r="W151" i="22"/>
  <c r="CE381" i="103"/>
  <c r="P168" i="58"/>
  <c r="H173" i="67"/>
  <c r="W169" i="22"/>
  <c r="E181" i="67"/>
  <c r="Q177" i="22"/>
  <c r="D155" i="58"/>
  <c r="F156" i="22"/>
  <c r="F160" i="58"/>
  <c r="K161" i="22"/>
  <c r="L161" i="22" s="1"/>
  <c r="U160" i="103"/>
  <c r="Q167" i="67"/>
  <c r="Q197" i="67" s="1"/>
  <c r="BH381" i="103"/>
  <c r="O165" i="58"/>
  <c r="C170" i="67"/>
  <c r="Y166" i="22"/>
  <c r="CG185" i="103"/>
  <c r="CI185" i="103" s="1"/>
  <c r="BD128" i="103"/>
  <c r="AO380" i="103"/>
  <c r="BD131" i="103"/>
  <c r="E134" i="58"/>
  <c r="Y134" i="58" s="1"/>
  <c r="I135" i="22"/>
  <c r="R134" i="103"/>
  <c r="C151" i="58"/>
  <c r="C152" i="22"/>
  <c r="D167" i="67"/>
  <c r="M167" i="67"/>
  <c r="AA163" i="22"/>
  <c r="AK381" i="103"/>
  <c r="M170" i="67"/>
  <c r="D170" i="67"/>
  <c r="AA166" i="22"/>
  <c r="M173" i="67"/>
  <c r="D173" i="67"/>
  <c r="AA169" i="22"/>
  <c r="H172" i="22"/>
  <c r="O171" i="103"/>
  <c r="Q133" i="58"/>
  <c r="N137" i="67"/>
  <c r="U134" i="22"/>
  <c r="AI142" i="22"/>
  <c r="H148" i="22"/>
  <c r="O147" i="103"/>
  <c r="E162" i="67"/>
  <c r="Q159" i="22"/>
  <c r="Q169" i="58"/>
  <c r="N174" i="67"/>
  <c r="U170" i="22"/>
  <c r="CG134" i="103"/>
  <c r="CI134" i="103" s="1"/>
  <c r="E141" i="22"/>
  <c r="H140" i="103"/>
  <c r="AM150" i="103"/>
  <c r="CG152" i="103"/>
  <c r="CI152" i="103" s="1"/>
  <c r="E159" i="22"/>
  <c r="H158" i="103"/>
  <c r="AM168" i="103"/>
  <c r="CG170" i="103"/>
  <c r="CI170" i="103" s="1"/>
  <c r="P179" i="58"/>
  <c r="H184" i="67"/>
  <c r="W180" i="22"/>
  <c r="AG203" i="22"/>
  <c r="BZ202" i="103"/>
  <c r="CC202" i="103" s="1"/>
  <c r="K213" i="67"/>
  <c r="S208" i="22"/>
  <c r="Q216" i="58"/>
  <c r="N222" i="67"/>
  <c r="U217" i="22"/>
  <c r="K179" i="67"/>
  <c r="S175" i="22"/>
  <c r="AN187" i="103"/>
  <c r="K198" i="67"/>
  <c r="S193" i="22"/>
  <c r="AF382" i="103"/>
  <c r="AS382" i="103"/>
  <c r="Q198" i="58"/>
  <c r="N204" i="67"/>
  <c r="U199" i="22"/>
  <c r="AI207" i="22"/>
  <c r="H213" i="22"/>
  <c r="O212" i="103"/>
  <c r="Q180" i="58"/>
  <c r="N185" i="67"/>
  <c r="U181" i="22"/>
  <c r="AI189" i="22"/>
  <c r="H195" i="22"/>
  <c r="O194" i="103"/>
  <c r="P210" i="58"/>
  <c r="H216" i="67"/>
  <c r="W211" i="22"/>
  <c r="AG234" i="22"/>
  <c r="BZ233" i="103"/>
  <c r="CC233" i="103" s="1"/>
  <c r="P177" i="58"/>
  <c r="H182" i="67"/>
  <c r="W178" i="22"/>
  <c r="BG382" i="103"/>
  <c r="P195" i="58"/>
  <c r="H201" i="67"/>
  <c r="W196" i="22"/>
  <c r="AG198" i="22"/>
  <c r="BZ197" i="103"/>
  <c r="CB197" i="103" s="1"/>
  <c r="L203" i="67" s="1"/>
  <c r="K208" i="67"/>
  <c r="S203" i="22"/>
  <c r="D215" i="58"/>
  <c r="F216" i="22"/>
  <c r="AN182" i="103"/>
  <c r="K192" i="67"/>
  <c r="S188" i="22"/>
  <c r="AV382" i="103"/>
  <c r="M204" i="67"/>
  <c r="D204" i="67"/>
  <c r="AA199" i="22"/>
  <c r="M207" i="67"/>
  <c r="D207" i="67"/>
  <c r="AA202" i="22"/>
  <c r="D210" i="67"/>
  <c r="M210" i="67"/>
  <c r="AA205" i="22"/>
  <c r="D213" i="67"/>
  <c r="M213" i="67"/>
  <c r="AA208" i="22"/>
  <c r="M216" i="67"/>
  <c r="D216" i="67"/>
  <c r="AA211" i="22"/>
  <c r="M219" i="67"/>
  <c r="D219" i="67"/>
  <c r="AA214" i="22"/>
  <c r="K239" i="67"/>
  <c r="S233" i="22"/>
  <c r="Q205" i="58"/>
  <c r="N211" i="67"/>
  <c r="U206" i="22"/>
  <c r="AI214" i="22"/>
  <c r="AI181" i="22"/>
  <c r="H187" i="22"/>
  <c r="O186" i="103"/>
  <c r="E198" i="22"/>
  <c r="H197" i="103"/>
  <c r="AM207" i="103"/>
  <c r="CG209" i="103"/>
  <c r="CI209" i="103" s="1"/>
  <c r="K203" i="67"/>
  <c r="S198" i="22"/>
  <c r="AN210" i="103"/>
  <c r="F226" i="58"/>
  <c r="K227" i="22"/>
  <c r="L227" i="22" s="1"/>
  <c r="U226" i="103"/>
  <c r="AN183" i="103"/>
  <c r="K193" i="67"/>
  <c r="S189" i="22"/>
  <c r="BD198" i="103"/>
  <c r="BD201" i="103"/>
  <c r="BD204" i="103"/>
  <c r="BD207" i="103"/>
  <c r="BD210" i="103"/>
  <c r="BD213" i="103"/>
  <c r="Q206" i="58"/>
  <c r="N212" i="67"/>
  <c r="U207" i="22"/>
  <c r="AI176" i="22"/>
  <c r="H182" i="22"/>
  <c r="O181" i="103"/>
  <c r="E198" i="67"/>
  <c r="Q193" i="22"/>
  <c r="AD382" i="103"/>
  <c r="AM205" i="103"/>
  <c r="CG207" i="103"/>
  <c r="CI207" i="103" s="1"/>
  <c r="E214" i="22"/>
  <c r="H213" i="103"/>
  <c r="E222" i="67"/>
  <c r="Q217" i="22"/>
  <c r="AG252" i="22"/>
  <c r="BZ251" i="103"/>
  <c r="CC251" i="103" s="1"/>
  <c r="D254" i="58"/>
  <c r="F255" i="22"/>
  <c r="I126" i="23"/>
  <c r="P384" i="103"/>
  <c r="AK258" i="22"/>
  <c r="E265" i="67"/>
  <c r="Q258" i="22"/>
  <c r="E261" i="22"/>
  <c r="H260" i="103"/>
  <c r="E237" i="67"/>
  <c r="Q231" i="22"/>
  <c r="Q241" i="58"/>
  <c r="N248" i="67"/>
  <c r="U242" i="22"/>
  <c r="AI250" i="22"/>
  <c r="AM258" i="103"/>
  <c r="AG275" i="22"/>
  <c r="BZ274" i="103"/>
  <c r="CB274" i="103" s="1"/>
  <c r="E228" i="22"/>
  <c r="H227" i="103"/>
  <c r="AM237" i="103"/>
  <c r="CG239" i="103"/>
  <c r="CI239" i="103" s="1"/>
  <c r="E246" i="22"/>
  <c r="H245" i="103"/>
  <c r="AI220" i="22"/>
  <c r="H226" i="22"/>
  <c r="O225" i="103"/>
  <c r="D228" i="58"/>
  <c r="F229" i="22"/>
  <c r="F233" i="58"/>
  <c r="K234" i="22"/>
  <c r="L234" i="22" s="1"/>
  <c r="U233" i="103"/>
  <c r="O238" i="58"/>
  <c r="C245" i="67"/>
  <c r="Y239" i="22"/>
  <c r="D246" i="58"/>
  <c r="F247" i="22"/>
  <c r="F251" i="58"/>
  <c r="K252" i="22"/>
  <c r="L252" i="22" s="1"/>
  <c r="U251" i="103"/>
  <c r="C227" i="58"/>
  <c r="C228" i="22"/>
  <c r="C230" i="58"/>
  <c r="C231" i="22"/>
  <c r="C233" i="58"/>
  <c r="C234" i="22"/>
  <c r="C236" i="58"/>
  <c r="C237" i="22"/>
  <c r="C239" i="58"/>
  <c r="C240" i="22"/>
  <c r="C242" i="58"/>
  <c r="C243" i="22"/>
  <c r="C245" i="58"/>
  <c r="C246" i="22"/>
  <c r="C248" i="58"/>
  <c r="C249" i="22"/>
  <c r="C251" i="58"/>
  <c r="C252" i="22"/>
  <c r="C254" i="58"/>
  <c r="C255" i="22"/>
  <c r="C126" i="23"/>
  <c r="I384" i="103"/>
  <c r="Q260" i="58"/>
  <c r="N268" i="67"/>
  <c r="U261" i="22"/>
  <c r="J8" i="17"/>
  <c r="D222" i="58"/>
  <c r="F223" i="22"/>
  <c r="Q227" i="58"/>
  <c r="N234" i="67"/>
  <c r="U228" i="22"/>
  <c r="AI236" i="22"/>
  <c r="H242" i="22"/>
  <c r="O241" i="103"/>
  <c r="E259" i="67"/>
  <c r="Q253" i="22"/>
  <c r="BR384" i="103"/>
  <c r="E259" i="22"/>
  <c r="H258" i="103"/>
  <c r="O275" i="58"/>
  <c r="C283" i="67"/>
  <c r="Y276" i="22"/>
  <c r="P230" i="58"/>
  <c r="H237" i="67"/>
  <c r="W231" i="22"/>
  <c r="P248" i="58"/>
  <c r="H255" i="67"/>
  <c r="W249" i="22"/>
  <c r="Q221" i="58"/>
  <c r="N227" i="67"/>
  <c r="U222" i="22"/>
  <c r="AN229" i="103"/>
  <c r="K241" i="67"/>
  <c r="S235" i="22"/>
  <c r="AN247" i="103"/>
  <c r="K259" i="67"/>
  <c r="S253" i="22"/>
  <c r="F255" i="58"/>
  <c r="K256" i="22"/>
  <c r="L256" i="22" s="1"/>
  <c r="U127" i="23"/>
  <c r="U255" i="103"/>
  <c r="O272" i="58"/>
  <c r="C280" i="67"/>
  <c r="Y273" i="22"/>
  <c r="CG216" i="103"/>
  <c r="CI216" i="103" s="1"/>
  <c r="E223" i="22"/>
  <c r="H222" i="103"/>
  <c r="AW384" i="103"/>
  <c r="AI258" i="22"/>
  <c r="D217" i="58"/>
  <c r="F218" i="22"/>
  <c r="F222" i="58"/>
  <c r="K223" i="22"/>
  <c r="L223" i="22" s="1"/>
  <c r="U222" i="103"/>
  <c r="AI228" i="22"/>
  <c r="H234" i="22"/>
  <c r="O233" i="103"/>
  <c r="E251" i="67"/>
  <c r="Q245" i="22"/>
  <c r="Q255" i="58"/>
  <c r="N263" i="67"/>
  <c r="U256" i="22"/>
  <c r="AB127" i="23"/>
  <c r="P231" i="58"/>
  <c r="H238" i="67"/>
  <c r="W232" i="22"/>
  <c r="P249" i="58"/>
  <c r="H256" i="67"/>
  <c r="W250" i="22"/>
  <c r="D257" i="58"/>
  <c r="F258" i="22"/>
  <c r="J257" i="103"/>
  <c r="F265" i="58"/>
  <c r="K266" i="22"/>
  <c r="L266" i="22" s="1"/>
  <c r="U265" i="103"/>
  <c r="K276" i="67"/>
  <c r="S269" i="22"/>
  <c r="O28" i="64"/>
  <c r="P28" i="64" s="1"/>
  <c r="C13" i="104"/>
  <c r="AM272" i="22"/>
  <c r="D275" i="58"/>
  <c r="F276" i="22"/>
  <c r="AG279" i="22"/>
  <c r="BZ278" i="103"/>
  <c r="CC278" i="103" s="1"/>
  <c r="E266" i="58"/>
  <c r="Y266" i="58" s="1"/>
  <c r="I267" i="22"/>
  <c r="R266" i="103"/>
  <c r="AK270" i="22"/>
  <c r="M281" i="67"/>
  <c r="D281" i="67"/>
  <c r="AA274" i="22"/>
  <c r="C283" i="58"/>
  <c r="C284" i="22"/>
  <c r="C286" i="58"/>
  <c r="C287" i="22"/>
  <c r="C289" i="58"/>
  <c r="C290" i="22"/>
  <c r="C292" i="58"/>
  <c r="C293" i="22"/>
  <c r="C295" i="58"/>
  <c r="C296" i="22"/>
  <c r="C298" i="58"/>
  <c r="C299" i="22"/>
  <c r="C301" i="58"/>
  <c r="C302" i="22"/>
  <c r="C304" i="58"/>
  <c r="C305" i="22"/>
  <c r="O307" i="58"/>
  <c r="C316" i="67"/>
  <c r="Y308" i="22"/>
  <c r="N147" i="13"/>
  <c r="P147" i="13" s="1"/>
  <c r="AB322" i="103"/>
  <c r="E264" i="22"/>
  <c r="H263" i="103"/>
  <c r="CG272" i="103"/>
  <c r="CI272" i="103" s="1"/>
  <c r="AM279" i="103"/>
  <c r="P306" i="58"/>
  <c r="H315" i="67"/>
  <c r="W307" i="22"/>
  <c r="BQ386" i="103"/>
  <c r="D261" i="58"/>
  <c r="F262" i="22"/>
  <c r="AG265" i="22"/>
  <c r="BZ264" i="103"/>
  <c r="CC264" i="103" s="1"/>
  <c r="O277" i="58"/>
  <c r="C285" i="67"/>
  <c r="Y278" i="22"/>
  <c r="AK265" i="22"/>
  <c r="D276" i="67"/>
  <c r="M276" i="67"/>
  <c r="AA269" i="22"/>
  <c r="O32" i="64"/>
  <c r="P32" i="64" s="1"/>
  <c r="C22" i="104"/>
  <c r="C278" i="58"/>
  <c r="C279" i="22"/>
  <c r="AS385" i="103"/>
  <c r="C260" i="58"/>
  <c r="C261" i="22"/>
  <c r="Q308" i="58"/>
  <c r="N317" i="67"/>
  <c r="U309" i="22"/>
  <c r="M339" i="67"/>
  <c r="D339" i="67"/>
  <c r="AA330" i="22"/>
  <c r="CG270" i="103"/>
  <c r="CI270" i="103" s="1"/>
  <c r="AM277" i="103"/>
  <c r="P284" i="58"/>
  <c r="H293" i="67"/>
  <c r="W285" i="22"/>
  <c r="AI385" i="103"/>
  <c r="P287" i="58"/>
  <c r="H296" i="67"/>
  <c r="W288" i="22"/>
  <c r="P290" i="58"/>
  <c r="H299" i="67"/>
  <c r="W291" i="22"/>
  <c r="P293" i="58"/>
  <c r="H302" i="67"/>
  <c r="W294" i="22"/>
  <c r="P296" i="58"/>
  <c r="H305" i="67"/>
  <c r="W297" i="22"/>
  <c r="P299" i="58"/>
  <c r="H308" i="67"/>
  <c r="W300" i="22"/>
  <c r="P302" i="58"/>
  <c r="H311" i="67"/>
  <c r="W303" i="22"/>
  <c r="P305" i="58"/>
  <c r="H314" i="67"/>
  <c r="W306" i="22"/>
  <c r="O284" i="58"/>
  <c r="C293" i="67"/>
  <c r="Y285" i="22"/>
  <c r="AJ385" i="103"/>
  <c r="O287" i="58"/>
  <c r="C296" i="67"/>
  <c r="Y288" i="22"/>
  <c r="O290" i="58"/>
  <c r="C299" i="67"/>
  <c r="Y291" i="22"/>
  <c r="O293" i="58"/>
  <c r="C302" i="67"/>
  <c r="Y294" i="22"/>
  <c r="O296" i="58"/>
  <c r="C305" i="67"/>
  <c r="Y297" i="22"/>
  <c r="O299" i="58"/>
  <c r="C308" i="67"/>
  <c r="Y300" i="22"/>
  <c r="O302" i="58"/>
  <c r="C311" i="67"/>
  <c r="Y303" i="22"/>
  <c r="O305" i="58"/>
  <c r="C314" i="67"/>
  <c r="Y306" i="22"/>
  <c r="C261" i="58"/>
  <c r="C262" i="22"/>
  <c r="C261" i="103"/>
  <c r="E280" i="58"/>
  <c r="Y280" i="58" s="1"/>
  <c r="I281" i="22"/>
  <c r="R280" i="103"/>
  <c r="AK284" i="22"/>
  <c r="BV385" i="103"/>
  <c r="E269" i="22"/>
  <c r="H268" i="103"/>
  <c r="CG277" i="103"/>
  <c r="CI277" i="103" s="1"/>
  <c r="AM284" i="103"/>
  <c r="AM287" i="103"/>
  <c r="AM290" i="103"/>
  <c r="AM293" i="103"/>
  <c r="AM296" i="103"/>
  <c r="AM299" i="103"/>
  <c r="AM302" i="103"/>
  <c r="AM305" i="103"/>
  <c r="Q339" i="58"/>
  <c r="N349" i="67"/>
  <c r="U340" i="22"/>
  <c r="AM347" i="103"/>
  <c r="E326" i="67"/>
  <c r="Q317" i="22"/>
  <c r="Q327" i="58"/>
  <c r="N337" i="67"/>
  <c r="U328" i="22"/>
  <c r="P330" i="58"/>
  <c r="H340" i="67"/>
  <c r="W331" i="22"/>
  <c r="H352" i="22"/>
  <c r="O351" i="103"/>
  <c r="M351" i="103" s="1"/>
  <c r="J351" i="103" s="1"/>
  <c r="CG316" i="103"/>
  <c r="CI316" i="103" s="1"/>
  <c r="E323" i="22"/>
  <c r="H322" i="103"/>
  <c r="BZ335" i="103"/>
  <c r="CC335" i="103" s="1"/>
  <c r="K350" i="67"/>
  <c r="S341" i="22"/>
  <c r="E364" i="67"/>
  <c r="Q354" i="22"/>
  <c r="CG371" i="103"/>
  <c r="CI371" i="103" s="1"/>
  <c r="BZ314" i="103"/>
  <c r="CB314" i="103" s="1"/>
  <c r="K329" i="67"/>
  <c r="S320" i="22"/>
  <c r="N157" i="13"/>
  <c r="P157" i="13" s="1"/>
  <c r="AB332" i="103"/>
  <c r="M357" i="67"/>
  <c r="D357" i="67"/>
  <c r="AA347" i="22"/>
  <c r="P364" i="58"/>
  <c r="H375" i="67"/>
  <c r="W365" i="22"/>
  <c r="C307" i="58"/>
  <c r="C308" i="22"/>
  <c r="AW386" i="103"/>
  <c r="M328" i="67"/>
  <c r="D328" i="67"/>
  <c r="AA319" i="22"/>
  <c r="BD323" i="103"/>
  <c r="R20" i="62" s="1"/>
  <c r="S20" i="62" s="1"/>
  <c r="E326" i="58"/>
  <c r="Y326" i="58" s="1"/>
  <c r="I327" i="22"/>
  <c r="R326" i="103"/>
  <c r="N154" i="13"/>
  <c r="AB329" i="103"/>
  <c r="Q340" i="58"/>
  <c r="N350" i="67"/>
  <c r="U341" i="22"/>
  <c r="BV387" i="103"/>
  <c r="E317" i="67"/>
  <c r="Q309" i="22"/>
  <c r="Q319" i="58"/>
  <c r="N329" i="67"/>
  <c r="U320" i="22"/>
  <c r="AI328" i="22"/>
  <c r="CJ387" i="103"/>
  <c r="P319" i="58"/>
  <c r="H329" i="67"/>
  <c r="W320" i="22"/>
  <c r="AN339" i="103"/>
  <c r="K354" i="67"/>
  <c r="S345" i="22"/>
  <c r="D315" i="58"/>
  <c r="F316" i="22"/>
  <c r="P386" i="103"/>
  <c r="F320" i="58"/>
  <c r="K321" i="22"/>
  <c r="L321" i="22" s="1"/>
  <c r="U320" i="103"/>
  <c r="O325" i="58"/>
  <c r="C335" i="67"/>
  <c r="Y326" i="22"/>
  <c r="BD333" i="103"/>
  <c r="E336" i="58"/>
  <c r="Y336" i="58" s="1"/>
  <c r="I337" i="22"/>
  <c r="R336" i="103"/>
  <c r="N164" i="13"/>
  <c r="P164" i="13" s="1"/>
  <c r="AB339" i="103"/>
  <c r="BE387" i="103"/>
  <c r="M316" i="67"/>
  <c r="D316" i="67"/>
  <c r="AA308" i="22"/>
  <c r="BD312" i="103"/>
  <c r="E315" i="58"/>
  <c r="I316" i="22"/>
  <c r="Q386" i="103"/>
  <c r="R315" i="103"/>
  <c r="N143" i="13"/>
  <c r="P143" i="13" s="1"/>
  <c r="AB318" i="103"/>
  <c r="AI335" i="22"/>
  <c r="H341" i="22"/>
  <c r="O340" i="103"/>
  <c r="M340" i="103" s="1"/>
  <c r="J340" i="103" s="1"/>
  <c r="AI317" i="22"/>
  <c r="H323" i="22"/>
  <c r="O322" i="103"/>
  <c r="M322" i="103" s="1"/>
  <c r="J322" i="103" s="1"/>
  <c r="E334" i="22"/>
  <c r="H333" i="103"/>
  <c r="AM343" i="103"/>
  <c r="CG345" i="103"/>
  <c r="BC387" i="103"/>
  <c r="P317" i="58"/>
  <c r="H327" i="67"/>
  <c r="W318" i="22"/>
  <c r="O332" i="58"/>
  <c r="C342" i="67"/>
  <c r="Y333" i="22"/>
  <c r="D340" i="58"/>
  <c r="F341" i="22"/>
  <c r="F345" i="58"/>
  <c r="K346" i="22"/>
  <c r="L346" i="22" s="1"/>
  <c r="T387" i="103"/>
  <c r="U345" i="103"/>
  <c r="CG362" i="103"/>
  <c r="CI362" i="103" s="1"/>
  <c r="AN313" i="103"/>
  <c r="AM316" i="22"/>
  <c r="BP386" i="103"/>
  <c r="K328" i="67"/>
  <c r="S319" i="22"/>
  <c r="E331" i="58"/>
  <c r="Y331" i="58" s="1"/>
  <c r="I332" i="22"/>
  <c r="R331" i="103"/>
  <c r="N159" i="13"/>
  <c r="P159" i="13" s="1"/>
  <c r="AB334" i="103"/>
  <c r="AG387" i="103"/>
  <c r="K364" i="67"/>
  <c r="S354" i="22"/>
  <c r="BZ366" i="103"/>
  <c r="CB366" i="103" s="1"/>
  <c r="C374" i="58"/>
  <c r="C375" i="22"/>
  <c r="M369" i="67"/>
  <c r="D369" i="67"/>
  <c r="AA359" i="22"/>
  <c r="BD363" i="103"/>
  <c r="E366" i="58"/>
  <c r="Y366" i="58" s="1"/>
  <c r="I367" i="22"/>
  <c r="R366" i="103"/>
  <c r="N198" i="13"/>
  <c r="P198" i="13" s="1"/>
  <c r="AB369" i="103"/>
  <c r="E362" i="67"/>
  <c r="Q352" i="22"/>
  <c r="Q362" i="58"/>
  <c r="N373" i="67"/>
  <c r="U363" i="22"/>
  <c r="AM373" i="103"/>
  <c r="CG375" i="103"/>
  <c r="CI375" i="103" s="1"/>
  <c r="P365" i="58"/>
  <c r="H376" i="67"/>
  <c r="W366" i="22"/>
  <c r="K383" i="67"/>
  <c r="W14" i="68" s="1"/>
  <c r="S373" i="22"/>
  <c r="O350" i="58"/>
  <c r="C361" i="67"/>
  <c r="Y351" i="22"/>
  <c r="D358" i="58"/>
  <c r="F359" i="22"/>
  <c r="F363" i="58"/>
  <c r="K364" i="22"/>
  <c r="L364" i="22" s="1"/>
  <c r="U363" i="103"/>
  <c r="O368" i="58"/>
  <c r="C379" i="67"/>
  <c r="Y369" i="22"/>
  <c r="M385" i="67"/>
  <c r="AA16" i="68" s="1"/>
  <c r="D385" i="67"/>
  <c r="AA375" i="22"/>
  <c r="D367" i="67"/>
  <c r="M367" i="67"/>
  <c r="AA357" i="22"/>
  <c r="BD361" i="103"/>
  <c r="E364" i="58"/>
  <c r="Y364" i="58" s="1"/>
  <c r="I365" i="22"/>
  <c r="R364" i="103"/>
  <c r="N196" i="13"/>
  <c r="P196" i="13" s="1"/>
  <c r="AB367" i="103"/>
  <c r="Q375" i="58"/>
  <c r="N386" i="67"/>
  <c r="AC17" i="68" s="1"/>
  <c r="U376" i="22"/>
  <c r="H351" i="22"/>
  <c r="O350" i="103"/>
  <c r="M350" i="103" s="1"/>
  <c r="J350" i="103" s="1"/>
  <c r="E372" i="67"/>
  <c r="Q362" i="22"/>
  <c r="CG349" i="103"/>
  <c r="CH349" i="103" s="1"/>
  <c r="E356" i="22"/>
  <c r="H355" i="103"/>
  <c r="CG367" i="103"/>
  <c r="CH367" i="103" s="1"/>
  <c r="K381" i="67"/>
  <c r="S14" i="68" s="1"/>
  <c r="S371" i="22"/>
  <c r="F352" i="58"/>
  <c r="K353" i="22"/>
  <c r="L353" i="22" s="1"/>
  <c r="U352" i="103"/>
  <c r="O357" i="58"/>
  <c r="C368" i="67"/>
  <c r="Y358" i="22"/>
  <c r="D365" i="58"/>
  <c r="F366" i="22"/>
  <c r="C373" i="58"/>
  <c r="C374" i="22"/>
  <c r="D365" i="67"/>
  <c r="M365" i="67"/>
  <c r="AA355" i="22"/>
  <c r="BD359" i="103"/>
  <c r="E362" i="58"/>
  <c r="Y362" i="58" s="1"/>
  <c r="I363" i="22"/>
  <c r="R362" i="103"/>
  <c r="N194" i="13"/>
  <c r="P194" i="13" s="1"/>
  <c r="AB365" i="103"/>
  <c r="Q373" i="58"/>
  <c r="N384" i="67"/>
  <c r="Y17" i="68" s="1"/>
  <c r="U374" i="22"/>
  <c r="E128" i="22"/>
  <c r="H127" i="103"/>
  <c r="K89" i="67"/>
  <c r="S88" i="22"/>
  <c r="F90" i="58"/>
  <c r="K91" i="22"/>
  <c r="L91" i="22" s="1"/>
  <c r="U90" i="103"/>
  <c r="O98" i="58"/>
  <c r="C100" i="67"/>
  <c r="Y99" i="22"/>
  <c r="E119" i="22"/>
  <c r="H118" i="103"/>
  <c r="O138" i="58"/>
  <c r="C142" i="67"/>
  <c r="Y139" i="22"/>
  <c r="M91" i="67"/>
  <c r="D91" i="67"/>
  <c r="AA90" i="22"/>
  <c r="BD94" i="103"/>
  <c r="E97" i="58"/>
  <c r="Y97" i="58" s="1"/>
  <c r="I98" i="22"/>
  <c r="R97" i="103"/>
  <c r="E106" i="67"/>
  <c r="Q104" i="22"/>
  <c r="K112" i="67"/>
  <c r="S110" i="22"/>
  <c r="F112" i="58"/>
  <c r="K113" i="22"/>
  <c r="L113" i="22" s="1"/>
  <c r="U112" i="103"/>
  <c r="O120" i="58"/>
  <c r="C123" i="67"/>
  <c r="Y121" i="22"/>
  <c r="AM134" i="103"/>
  <c r="AG136" i="22"/>
  <c r="BZ135" i="103"/>
  <c r="CB135" i="103" s="1"/>
  <c r="L139" i="67" s="1"/>
  <c r="K144" i="67"/>
  <c r="S141" i="22"/>
  <c r="AG154" i="22"/>
  <c r="BZ153" i="103"/>
  <c r="CC153" i="103" s="1"/>
  <c r="K162" i="67"/>
  <c r="S159" i="22"/>
  <c r="AG380" i="103"/>
  <c r="C134" i="58"/>
  <c r="C135" i="22"/>
  <c r="M149" i="67"/>
  <c r="D149" i="67"/>
  <c r="AA146" i="22"/>
  <c r="E153" i="58"/>
  <c r="Y153" i="58" s="1"/>
  <c r="I154" i="22"/>
  <c r="R153" i="103"/>
  <c r="AI140" i="22"/>
  <c r="H146" i="22"/>
  <c r="O145" i="103"/>
  <c r="E160" i="67"/>
  <c r="Q157" i="22"/>
  <c r="Q167" i="58"/>
  <c r="N172" i="67"/>
  <c r="U168" i="22"/>
  <c r="CG132" i="103"/>
  <c r="CI132" i="103" s="1"/>
  <c r="E139" i="22"/>
  <c r="H138" i="103"/>
  <c r="AM148" i="103"/>
  <c r="CG150" i="103"/>
  <c r="CI150" i="103" s="1"/>
  <c r="E157" i="22"/>
  <c r="H156" i="103"/>
  <c r="AM166" i="103"/>
  <c r="CG168" i="103"/>
  <c r="CI168" i="103" s="1"/>
  <c r="C174" i="58"/>
  <c r="C175" i="22"/>
  <c r="AG134" i="22"/>
  <c r="BZ133" i="103"/>
  <c r="CB133" i="103" s="1"/>
  <c r="L137" i="67" s="1"/>
  <c r="K142" i="67"/>
  <c r="S139" i="22"/>
  <c r="AG152" i="22"/>
  <c r="BZ151" i="103"/>
  <c r="CC151" i="103" s="1"/>
  <c r="K160" i="67"/>
  <c r="S157" i="22"/>
  <c r="AG170" i="22"/>
  <c r="BZ169" i="103"/>
  <c r="CB169" i="103" s="1"/>
  <c r="L174" i="67" s="1"/>
  <c r="E173" i="22"/>
  <c r="H172" i="103"/>
  <c r="C144" i="58"/>
  <c r="C145" i="22"/>
  <c r="M159" i="67"/>
  <c r="D159" i="67"/>
  <c r="AA156" i="22"/>
  <c r="BD160" i="103"/>
  <c r="E163" i="58"/>
  <c r="Y163" i="58" s="1"/>
  <c r="I164" i="22"/>
  <c r="R163" i="103"/>
  <c r="E166" i="58"/>
  <c r="Y166" i="58" s="1"/>
  <c r="I167" i="22"/>
  <c r="R166" i="103"/>
  <c r="E169" i="58"/>
  <c r="Y169" i="58" s="1"/>
  <c r="I170" i="22"/>
  <c r="R169" i="103"/>
  <c r="Q132" i="58"/>
  <c r="N136" i="67"/>
  <c r="U133" i="22"/>
  <c r="AI141" i="22"/>
  <c r="H147" i="22"/>
  <c r="O146" i="103"/>
  <c r="E161" i="67"/>
  <c r="Q158" i="22"/>
  <c r="BF381" i="103"/>
  <c r="Q168" i="58"/>
  <c r="N173" i="67"/>
  <c r="U169" i="22"/>
  <c r="AM137" i="103"/>
  <c r="CG139" i="103"/>
  <c r="CI139" i="103" s="1"/>
  <c r="E146" i="22"/>
  <c r="H145" i="103"/>
  <c r="CG157" i="103"/>
  <c r="CI157" i="103" s="1"/>
  <c r="E164" i="22"/>
  <c r="H163" i="103"/>
  <c r="AN155" i="103"/>
  <c r="K164" i="67"/>
  <c r="S161" i="22"/>
  <c r="BT381" i="103"/>
  <c r="E189" i="22"/>
  <c r="H188" i="103"/>
  <c r="AK132" i="22"/>
  <c r="BM380" i="103"/>
  <c r="BD134" i="103"/>
  <c r="E137" i="58"/>
  <c r="Y137" i="58" s="1"/>
  <c r="I138" i="22"/>
  <c r="R137" i="103"/>
  <c r="C154" i="58"/>
  <c r="C155" i="22"/>
  <c r="AW381" i="103"/>
  <c r="E176" i="67"/>
  <c r="Q172" i="22"/>
  <c r="Q136" i="58"/>
  <c r="N140" i="67"/>
  <c r="U137" i="22"/>
  <c r="AI145" i="22"/>
  <c r="H151" i="22"/>
  <c r="O150" i="103"/>
  <c r="E165" i="67"/>
  <c r="Q162" i="22"/>
  <c r="P130" i="58"/>
  <c r="H133" i="67"/>
  <c r="W131" i="22"/>
  <c r="P148" i="58"/>
  <c r="H152" i="67"/>
  <c r="W149" i="22"/>
  <c r="P166" i="58"/>
  <c r="H171" i="67"/>
  <c r="W167" i="22"/>
  <c r="E175" i="22"/>
  <c r="H174" i="103"/>
  <c r="CG186" i="103"/>
  <c r="CI186" i="103" s="1"/>
  <c r="E193" i="22"/>
  <c r="G382" i="103"/>
  <c r="H192" i="103"/>
  <c r="O197" i="58"/>
  <c r="C203" i="67"/>
  <c r="Y198" i="22"/>
  <c r="D205" i="58"/>
  <c r="F206" i="22"/>
  <c r="F210" i="58"/>
  <c r="K211" i="22"/>
  <c r="L211" i="22" s="1"/>
  <c r="U210" i="103"/>
  <c r="O234" i="58"/>
  <c r="C241" i="67"/>
  <c r="Y235" i="22"/>
  <c r="F177" i="58"/>
  <c r="K178" i="22"/>
  <c r="L178" i="22" s="1"/>
  <c r="U177" i="103"/>
  <c r="O182" i="58"/>
  <c r="C187" i="67"/>
  <c r="Y183" i="22"/>
  <c r="D190" i="58"/>
  <c r="F191" i="22"/>
  <c r="AR382" i="103"/>
  <c r="F195" i="58"/>
  <c r="K196" i="22"/>
  <c r="L196" i="22" s="1"/>
  <c r="U195" i="103"/>
  <c r="C198" i="58"/>
  <c r="C199" i="22"/>
  <c r="C201" i="58"/>
  <c r="C202" i="22"/>
  <c r="C204" i="58"/>
  <c r="C205" i="22"/>
  <c r="C207" i="58"/>
  <c r="C208" i="22"/>
  <c r="C210" i="58"/>
  <c r="C211" i="22"/>
  <c r="C213" i="58"/>
  <c r="C214" i="22"/>
  <c r="D233" i="58"/>
  <c r="F234" i="22"/>
  <c r="BE382" i="103"/>
  <c r="Q201" i="58"/>
  <c r="N207" i="67"/>
  <c r="U202" i="22"/>
  <c r="AI210" i="22"/>
  <c r="H216" i="22"/>
  <c r="O215" i="103"/>
  <c r="E177" i="67"/>
  <c r="Q173" i="22"/>
  <c r="Q183" i="58"/>
  <c r="N188" i="67"/>
  <c r="U184" i="22"/>
  <c r="AI192" i="22"/>
  <c r="AM197" i="103"/>
  <c r="CG199" i="103"/>
  <c r="CI199" i="103" s="1"/>
  <c r="E206" i="22"/>
  <c r="H205" i="103"/>
  <c r="O215" i="58"/>
  <c r="C221" i="67"/>
  <c r="Y216" i="22"/>
  <c r="CG184" i="103"/>
  <c r="CI184" i="103" s="1"/>
  <c r="E191" i="22"/>
  <c r="H190" i="103"/>
  <c r="BS382" i="103"/>
  <c r="D200" i="58"/>
  <c r="F201" i="22"/>
  <c r="F205" i="58"/>
  <c r="K206" i="22"/>
  <c r="L206" i="22" s="1"/>
  <c r="U205" i="103"/>
  <c r="O210" i="58"/>
  <c r="C216" i="67"/>
  <c r="Y211" i="22"/>
  <c r="F232" i="58"/>
  <c r="K233" i="22"/>
  <c r="L233" i="22" s="1"/>
  <c r="U232" i="103"/>
  <c r="O177" i="58"/>
  <c r="C182" i="67"/>
  <c r="Y178" i="22"/>
  <c r="D185" i="58"/>
  <c r="F186" i="22"/>
  <c r="F190" i="58"/>
  <c r="K191" i="22"/>
  <c r="L191" i="22" s="1"/>
  <c r="U190" i="103"/>
  <c r="Q198" i="67"/>
  <c r="Q229" i="67" s="1"/>
  <c r="BH382" i="103"/>
  <c r="O195" i="58"/>
  <c r="C201" i="67"/>
  <c r="Y196" i="22"/>
  <c r="E223" i="67"/>
  <c r="Q218" i="22"/>
  <c r="E173" i="58"/>
  <c r="Y173" i="58" s="1"/>
  <c r="I174" i="22"/>
  <c r="R173" i="103"/>
  <c r="E176" i="58"/>
  <c r="Y176" i="58" s="1"/>
  <c r="I177" i="22"/>
  <c r="R176" i="103"/>
  <c r="E179" i="58"/>
  <c r="Y179" i="58" s="1"/>
  <c r="I180" i="22"/>
  <c r="R179" i="103"/>
  <c r="E182" i="58"/>
  <c r="Y182" i="58" s="1"/>
  <c r="I183" i="22"/>
  <c r="R182" i="103"/>
  <c r="E185" i="58"/>
  <c r="Y185" i="58" s="1"/>
  <c r="I186" i="22"/>
  <c r="R185" i="103"/>
  <c r="E188" i="58"/>
  <c r="Y188" i="58" s="1"/>
  <c r="I189" i="22"/>
  <c r="R188" i="103"/>
  <c r="E191" i="58"/>
  <c r="Y191" i="58" s="1"/>
  <c r="I192" i="22"/>
  <c r="R191" i="103"/>
  <c r="E194" i="58"/>
  <c r="Y194" i="58" s="1"/>
  <c r="I195" i="22"/>
  <c r="R194" i="103"/>
  <c r="E203" i="67"/>
  <c r="Q198" i="22"/>
  <c r="Q208" i="58"/>
  <c r="N214" i="67"/>
  <c r="U209" i="22"/>
  <c r="H219" i="22"/>
  <c r="O218" i="103"/>
  <c r="AI184" i="22"/>
  <c r="H190" i="22"/>
  <c r="O189" i="103"/>
  <c r="P205" i="58"/>
  <c r="H211" i="67"/>
  <c r="W206" i="22"/>
  <c r="AG237" i="22"/>
  <c r="BZ236" i="103"/>
  <c r="CB236" i="103" s="1"/>
  <c r="L243" i="67" s="1"/>
  <c r="F200" i="58"/>
  <c r="K201" i="22"/>
  <c r="L201" i="22" s="1"/>
  <c r="U200" i="103"/>
  <c r="O205" i="58"/>
  <c r="C211" i="67"/>
  <c r="Y206" i="22"/>
  <c r="D213" i="58"/>
  <c r="F214" i="22"/>
  <c r="F173" i="58"/>
  <c r="K174" i="22"/>
  <c r="L174" i="22" s="1"/>
  <c r="U173" i="103"/>
  <c r="O178" i="58"/>
  <c r="C183" i="67"/>
  <c r="Y179" i="22"/>
  <c r="D186" i="58"/>
  <c r="F187" i="22"/>
  <c r="F191" i="58"/>
  <c r="K192" i="22"/>
  <c r="L192" i="22" s="1"/>
  <c r="U191" i="103"/>
  <c r="O196" i="58"/>
  <c r="C202" i="67"/>
  <c r="Y197" i="22"/>
  <c r="E204" i="67"/>
  <c r="Q199" i="22"/>
  <c r="Q209" i="58"/>
  <c r="N215" i="67"/>
  <c r="U210" i="22"/>
  <c r="AI179" i="22"/>
  <c r="H185" i="22"/>
  <c r="O184" i="103"/>
  <c r="AP382" i="103"/>
  <c r="E201" i="67"/>
  <c r="Q196" i="22"/>
  <c r="P203" i="58"/>
  <c r="H209" i="67"/>
  <c r="W204" i="22"/>
  <c r="F241" i="58"/>
  <c r="K242" i="22"/>
  <c r="L242" i="22" s="1"/>
  <c r="U241" i="103"/>
  <c r="O246" i="58"/>
  <c r="C253" i="67"/>
  <c r="Y247" i="22"/>
  <c r="AG255" i="22"/>
  <c r="AN384" i="103"/>
  <c r="BZ254" i="103"/>
  <c r="CC254" i="103" s="1"/>
  <c r="D266" i="67"/>
  <c r="M266" i="67"/>
  <c r="AA259" i="22"/>
  <c r="E227" i="58"/>
  <c r="Y227" i="58" s="1"/>
  <c r="I228" i="22"/>
  <c r="R227" i="103"/>
  <c r="E230" i="58"/>
  <c r="Y230" i="58" s="1"/>
  <c r="I231" i="22"/>
  <c r="R230" i="103"/>
  <c r="E233" i="58"/>
  <c r="Y233" i="58" s="1"/>
  <c r="I234" i="22"/>
  <c r="R233" i="103"/>
  <c r="E236" i="58"/>
  <c r="Y236" i="58" s="1"/>
  <c r="I237" i="22"/>
  <c r="R236" i="103"/>
  <c r="E239" i="58"/>
  <c r="Y239" i="58" s="1"/>
  <c r="I240" i="22"/>
  <c r="R239" i="103"/>
  <c r="E242" i="58"/>
  <c r="Y242" i="58" s="1"/>
  <c r="I243" i="22"/>
  <c r="R242" i="103"/>
  <c r="E245" i="58"/>
  <c r="Y245" i="58" s="1"/>
  <c r="I246" i="22"/>
  <c r="R245" i="103"/>
  <c r="E248" i="58"/>
  <c r="Y248" i="58" s="1"/>
  <c r="I249" i="22"/>
  <c r="R248" i="103"/>
  <c r="E251" i="58"/>
  <c r="Y251" i="58" s="1"/>
  <c r="I252" i="22"/>
  <c r="R251" i="103"/>
  <c r="E254" i="58"/>
  <c r="I255" i="22"/>
  <c r="R126" i="23"/>
  <c r="Q384" i="103"/>
  <c r="R254" i="103"/>
  <c r="BB257" i="103"/>
  <c r="O225" i="58"/>
  <c r="C232" i="67"/>
  <c r="Y226" i="22"/>
  <c r="BB227" i="103"/>
  <c r="E240" i="67"/>
  <c r="Q234" i="22"/>
  <c r="Q244" i="58"/>
  <c r="N251" i="67"/>
  <c r="U245" i="22"/>
  <c r="AI253" i="22"/>
  <c r="AI256" i="22"/>
  <c r="AI127" i="23"/>
  <c r="E218" i="58"/>
  <c r="Y218" i="58" s="1"/>
  <c r="I219" i="22"/>
  <c r="R218" i="103"/>
  <c r="E221" i="58"/>
  <c r="Y221" i="58" s="1"/>
  <c r="I222" i="22"/>
  <c r="R221" i="103"/>
  <c r="E224" i="58"/>
  <c r="Y224" i="58" s="1"/>
  <c r="I225" i="22"/>
  <c r="R224" i="103"/>
  <c r="P235" i="58"/>
  <c r="H242" i="67"/>
  <c r="W236" i="22"/>
  <c r="P253" i="58"/>
  <c r="H260" i="67"/>
  <c r="W254" i="22"/>
  <c r="P256" i="58"/>
  <c r="H264" i="67"/>
  <c r="W257" i="22"/>
  <c r="AI223" i="22"/>
  <c r="AG229" i="22"/>
  <c r="BZ228" i="103"/>
  <c r="CB228" i="103" s="1"/>
  <c r="L235" i="67" s="1"/>
  <c r="K240" i="67"/>
  <c r="S234" i="22"/>
  <c r="AG247" i="22"/>
  <c r="BZ246" i="103"/>
  <c r="CC246" i="103" s="1"/>
  <c r="K258" i="67"/>
  <c r="S252" i="22"/>
  <c r="AG263" i="22"/>
  <c r="BZ262" i="103"/>
  <c r="CB262" i="103" s="1"/>
  <c r="L270" i="67" s="1"/>
  <c r="CG221" i="103"/>
  <c r="CI221" i="103" s="1"/>
  <c r="AG384" i="103"/>
  <c r="Q257" i="58"/>
  <c r="N265" i="67"/>
  <c r="U258" i="22"/>
  <c r="G8" i="17"/>
  <c r="AN222" i="103"/>
  <c r="Q230" i="58"/>
  <c r="N237" i="67"/>
  <c r="U231" i="22"/>
  <c r="AI239" i="22"/>
  <c r="H245" i="22"/>
  <c r="O244" i="103"/>
  <c r="E263" i="67"/>
  <c r="Q256" i="22"/>
  <c r="Z127" i="23"/>
  <c r="CG237" i="103"/>
  <c r="CI237" i="103" s="1"/>
  <c r="E244" i="22"/>
  <c r="H243" i="103"/>
  <c r="AM256" i="103"/>
  <c r="D260" i="58"/>
  <c r="F261" i="22"/>
  <c r="Q224" i="58"/>
  <c r="N231" i="67"/>
  <c r="U225" i="22"/>
  <c r="D232" i="58"/>
  <c r="F233" i="22"/>
  <c r="F237" i="58"/>
  <c r="K238" i="22"/>
  <c r="L238" i="22" s="1"/>
  <c r="U237" i="103"/>
  <c r="O242" i="58"/>
  <c r="C249" i="67"/>
  <c r="Y243" i="22"/>
  <c r="D250" i="58"/>
  <c r="F251" i="22"/>
  <c r="K263" i="67"/>
  <c r="S256" i="22"/>
  <c r="AA127" i="23"/>
  <c r="F276" i="58"/>
  <c r="K277" i="22"/>
  <c r="L277" i="22" s="1"/>
  <c r="U276" i="103"/>
  <c r="BU384" i="103"/>
  <c r="AN217" i="103"/>
  <c r="K228" i="67"/>
  <c r="S223" i="22"/>
  <c r="AI231" i="22"/>
  <c r="H237" i="22"/>
  <c r="O236" i="103"/>
  <c r="E254" i="67"/>
  <c r="Q248" i="22"/>
  <c r="E260" i="22"/>
  <c r="H259" i="103"/>
  <c r="O269" i="58"/>
  <c r="C277" i="67"/>
  <c r="Y270" i="22"/>
  <c r="AM236" i="103"/>
  <c r="CG238" i="103"/>
  <c r="CI238" i="103" s="1"/>
  <c r="E245" i="22"/>
  <c r="H244" i="103"/>
  <c r="AM254" i="103"/>
  <c r="AG258" i="22"/>
  <c r="BZ257" i="103"/>
  <c r="CC257" i="103" s="1"/>
  <c r="F261" i="58"/>
  <c r="K262" i="22"/>
  <c r="L262" i="22" s="1"/>
  <c r="U261" i="103"/>
  <c r="F262" i="58"/>
  <c r="K263" i="22"/>
  <c r="L263" i="22" s="1"/>
  <c r="U262" i="103"/>
  <c r="K273" i="67"/>
  <c r="S266" i="22"/>
  <c r="AM269" i="22"/>
  <c r="O38" i="64"/>
  <c r="P38" i="64" s="1"/>
  <c r="C16" i="104"/>
  <c r="D272" i="58"/>
  <c r="F273" i="22"/>
  <c r="AG276" i="22"/>
  <c r="BZ275" i="103"/>
  <c r="CB275" i="103" s="1"/>
  <c r="D306" i="58"/>
  <c r="F307" i="22"/>
  <c r="E341" i="67"/>
  <c r="Q332" i="22"/>
  <c r="E263" i="58"/>
  <c r="Y263" i="58" s="1"/>
  <c r="I264" i="22"/>
  <c r="R263" i="103"/>
  <c r="AK267" i="22"/>
  <c r="D278" i="67"/>
  <c r="M278" i="67"/>
  <c r="AA271" i="22"/>
  <c r="C280" i="58"/>
  <c r="C281" i="22"/>
  <c r="CG269" i="103"/>
  <c r="CH269" i="103" s="1"/>
  <c r="AM276" i="103"/>
  <c r="P283" i="58"/>
  <c r="H291" i="67"/>
  <c r="W284" i="22"/>
  <c r="P286" i="58"/>
  <c r="H295" i="67"/>
  <c r="W287" i="22"/>
  <c r="P289" i="58"/>
  <c r="H298" i="67"/>
  <c r="W290" i="22"/>
  <c r="P292" i="58"/>
  <c r="H301" i="67"/>
  <c r="W293" i="22"/>
  <c r="P295" i="58"/>
  <c r="H304" i="67"/>
  <c r="W296" i="22"/>
  <c r="P298" i="58"/>
  <c r="H307" i="67"/>
  <c r="W299" i="22"/>
  <c r="P301" i="58"/>
  <c r="H310" i="67"/>
  <c r="W302" i="22"/>
  <c r="P304" i="58"/>
  <c r="H313" i="67"/>
  <c r="W305" i="22"/>
  <c r="AG262" i="22"/>
  <c r="BZ261" i="103"/>
  <c r="CC261" i="103" s="1"/>
  <c r="O274" i="58"/>
  <c r="C282" i="67"/>
  <c r="Y275" i="22"/>
  <c r="F284" i="58"/>
  <c r="K285" i="22"/>
  <c r="L285" i="22" s="1"/>
  <c r="T385" i="103"/>
  <c r="U284" i="103"/>
  <c r="F287" i="58"/>
  <c r="K288" i="22"/>
  <c r="L288" i="22" s="1"/>
  <c r="U287" i="103"/>
  <c r="F290" i="58"/>
  <c r="K291" i="22"/>
  <c r="L291" i="22" s="1"/>
  <c r="U290" i="103"/>
  <c r="F293" i="58"/>
  <c r="K294" i="22"/>
  <c r="L294" i="22" s="1"/>
  <c r="U293" i="103"/>
  <c r="F296" i="58"/>
  <c r="K297" i="22"/>
  <c r="L297" i="22" s="1"/>
  <c r="U296" i="103"/>
  <c r="F299" i="58"/>
  <c r="K300" i="22"/>
  <c r="L300" i="22" s="1"/>
  <c r="U299" i="103"/>
  <c r="F302" i="58"/>
  <c r="K303" i="22"/>
  <c r="L303" i="22" s="1"/>
  <c r="U302" i="103"/>
  <c r="F305" i="58"/>
  <c r="K306" i="22"/>
  <c r="L306" i="22" s="1"/>
  <c r="U305" i="103"/>
  <c r="M273" i="67"/>
  <c r="D273" i="67"/>
  <c r="AA266" i="22"/>
  <c r="C275" i="58"/>
  <c r="C276" i="22"/>
  <c r="BE385" i="103"/>
  <c r="V385" i="103"/>
  <c r="CG267" i="103"/>
  <c r="CI267" i="103" s="1"/>
  <c r="AM274" i="103"/>
  <c r="P281" i="58"/>
  <c r="H289" i="67"/>
  <c r="W282" i="22"/>
  <c r="BG385" i="103"/>
  <c r="AU385" i="103"/>
  <c r="O281" i="58"/>
  <c r="C289" i="67"/>
  <c r="Y282" i="22"/>
  <c r="Q293" i="67"/>
  <c r="Q324" i="67" s="1"/>
  <c r="BH385" i="103"/>
  <c r="AV385" i="103"/>
  <c r="E277" i="58"/>
  <c r="Y277" i="58" s="1"/>
  <c r="I278" i="22"/>
  <c r="R277" i="103"/>
  <c r="AK281" i="22"/>
  <c r="M293" i="67"/>
  <c r="D293" i="67"/>
  <c r="AA285" i="22"/>
  <c r="AK385" i="103"/>
  <c r="D296" i="67"/>
  <c r="M296" i="67"/>
  <c r="AA288" i="22"/>
  <c r="D299" i="67"/>
  <c r="M299" i="67"/>
  <c r="AA291" i="22"/>
  <c r="M302" i="67"/>
  <c r="D302" i="67"/>
  <c r="AA294" i="22"/>
  <c r="M305" i="67"/>
  <c r="D305" i="67"/>
  <c r="AA297" i="22"/>
  <c r="D308" i="67"/>
  <c r="M308" i="67"/>
  <c r="AA300" i="22"/>
  <c r="M311" i="67"/>
  <c r="D311" i="67"/>
  <c r="AA303" i="22"/>
  <c r="D314" i="67"/>
  <c r="M314" i="67"/>
  <c r="AA306" i="22"/>
  <c r="E266" i="22"/>
  <c r="H265" i="103"/>
  <c r="CG274" i="103"/>
  <c r="CI274" i="103" s="1"/>
  <c r="AM281" i="103"/>
  <c r="AY385" i="103"/>
  <c r="CG310" i="103"/>
  <c r="CI310" i="103" s="1"/>
  <c r="Q342" i="58"/>
  <c r="N352" i="67"/>
  <c r="U343" i="22"/>
  <c r="V387" i="103"/>
  <c r="E349" i="22"/>
  <c r="H348" i="103"/>
  <c r="H309" i="22"/>
  <c r="O308" i="103"/>
  <c r="E329" i="67"/>
  <c r="Q320" i="22"/>
  <c r="AM335" i="103"/>
  <c r="CG337" i="103"/>
  <c r="CI337" i="103" s="1"/>
  <c r="E344" i="22"/>
  <c r="H343" i="103"/>
  <c r="BS387" i="103"/>
  <c r="O330" i="58"/>
  <c r="C340" i="67"/>
  <c r="Y331" i="22"/>
  <c r="D338" i="58"/>
  <c r="F339" i="22"/>
  <c r="F343" i="58"/>
  <c r="K344" i="22"/>
  <c r="L344" i="22" s="1"/>
  <c r="U343" i="103"/>
  <c r="Q356" i="67"/>
  <c r="Q387" i="67" s="1"/>
  <c r="BH387" i="103"/>
  <c r="E375" i="22"/>
  <c r="H374" i="103"/>
  <c r="O309" i="58"/>
  <c r="C318" i="67"/>
  <c r="Y310" i="22"/>
  <c r="D317" i="58"/>
  <c r="F318" i="22"/>
  <c r="F322" i="58"/>
  <c r="K323" i="22"/>
  <c r="L323" i="22" s="1"/>
  <c r="U322" i="103"/>
  <c r="O327" i="58"/>
  <c r="C337" i="67"/>
  <c r="Y328" i="22"/>
  <c r="E332" i="58"/>
  <c r="Y332" i="58" s="1"/>
  <c r="I333" i="22"/>
  <c r="R332" i="103"/>
  <c r="N160" i="13"/>
  <c r="P160" i="13" s="1"/>
  <c r="AB335" i="103"/>
  <c r="D351" i="58"/>
  <c r="F352" i="22"/>
  <c r="E366" i="22"/>
  <c r="H365" i="103"/>
  <c r="C310" i="58"/>
  <c r="C311" i="22"/>
  <c r="BI386" i="103"/>
  <c r="D331" i="67"/>
  <c r="M331" i="67"/>
  <c r="AA322" i="22"/>
  <c r="E329" i="58"/>
  <c r="Y329" i="58" s="1"/>
  <c r="I330" i="22"/>
  <c r="R329" i="103"/>
  <c r="E342" i="67"/>
  <c r="Q333" i="22"/>
  <c r="Q343" i="58"/>
  <c r="N353" i="67"/>
  <c r="U344" i="22"/>
  <c r="E320" i="67"/>
  <c r="Q312" i="22"/>
  <c r="Q322" i="58"/>
  <c r="N332" i="67"/>
  <c r="U323" i="22"/>
  <c r="CG335" i="103"/>
  <c r="CI335" i="103" s="1"/>
  <c r="E342" i="22"/>
  <c r="H341" i="103"/>
  <c r="AM346" i="103"/>
  <c r="F350" i="58"/>
  <c r="K351" i="22"/>
  <c r="L351" i="22" s="1"/>
  <c r="U350" i="103"/>
  <c r="E315" i="22"/>
  <c r="H314" i="103"/>
  <c r="E314" i="103" s="1"/>
  <c r="AM324" i="103"/>
  <c r="CG326" i="103"/>
  <c r="CI326" i="103" s="1"/>
  <c r="O334" i="58"/>
  <c r="C344" i="67"/>
  <c r="Y335" i="22"/>
  <c r="D342" i="58"/>
  <c r="F343" i="22"/>
  <c r="AR387" i="103"/>
  <c r="AN315" i="103"/>
  <c r="AH126" i="23" s="1"/>
  <c r="K330" i="67"/>
  <c r="S321" i="22"/>
  <c r="M341" i="67"/>
  <c r="D341" i="67"/>
  <c r="AA332" i="22"/>
  <c r="E339" i="58"/>
  <c r="Y339" i="58" s="1"/>
  <c r="I340" i="22"/>
  <c r="R339" i="103"/>
  <c r="N167" i="13"/>
  <c r="P167" i="13" s="1"/>
  <c r="AB342" i="103"/>
  <c r="BD348" i="103"/>
  <c r="M319" i="67"/>
  <c r="D319" i="67"/>
  <c r="AA311" i="22"/>
  <c r="AO386" i="103"/>
  <c r="BD315" i="103"/>
  <c r="R12" i="62" s="1"/>
  <c r="S12" i="62" s="1"/>
  <c r="E318" i="58"/>
  <c r="Y318" i="58" s="1"/>
  <c r="I319" i="22"/>
  <c r="R318" i="103"/>
  <c r="N146" i="13"/>
  <c r="P146" i="13" s="1"/>
  <c r="AB321" i="103"/>
  <c r="AI338" i="22"/>
  <c r="H344" i="22"/>
  <c r="O343" i="103"/>
  <c r="M343" i="103" s="1"/>
  <c r="J343" i="103" s="1"/>
  <c r="BN387" i="103"/>
  <c r="Q311" i="58"/>
  <c r="N320" i="67"/>
  <c r="U312" i="22"/>
  <c r="AI320" i="22"/>
  <c r="H326" i="22"/>
  <c r="O325" i="103"/>
  <c r="M325" i="103" s="1"/>
  <c r="J325" i="103" s="1"/>
  <c r="P341" i="58"/>
  <c r="H351" i="67"/>
  <c r="W342" i="22"/>
  <c r="BO387" i="103"/>
  <c r="E313" i="22"/>
  <c r="H312" i="103"/>
  <c r="E312" i="103" s="1"/>
  <c r="CG324" i="103"/>
  <c r="CI324" i="103" s="1"/>
  <c r="E331" i="22"/>
  <c r="H330" i="103"/>
  <c r="AN340" i="103"/>
  <c r="K356" i="67"/>
  <c r="S346" i="22"/>
  <c r="AF387" i="103"/>
  <c r="O308" i="58"/>
  <c r="C317" i="67"/>
  <c r="Y309" i="22"/>
  <c r="D316" i="58"/>
  <c r="F317" i="22"/>
  <c r="F321" i="58"/>
  <c r="K322" i="22"/>
  <c r="L322" i="22" s="1"/>
  <c r="U321" i="103"/>
  <c r="O326" i="58"/>
  <c r="C336" i="67"/>
  <c r="Y327" i="22"/>
  <c r="BD331" i="103"/>
  <c r="E334" i="58"/>
  <c r="Y334" i="58" s="1"/>
  <c r="I335" i="22"/>
  <c r="R334" i="103"/>
  <c r="N162" i="13"/>
  <c r="P162" i="13" s="1"/>
  <c r="AB337" i="103"/>
  <c r="AM363" i="103"/>
  <c r="O373" i="58"/>
  <c r="C384" i="67"/>
  <c r="Y7" i="68" s="1"/>
  <c r="Y374" i="22"/>
  <c r="F356" i="58"/>
  <c r="K357" i="22"/>
  <c r="L357" i="22" s="1"/>
  <c r="U356" i="103"/>
  <c r="O361" i="58"/>
  <c r="C372" i="67"/>
  <c r="Y362" i="22"/>
  <c r="D369" i="58"/>
  <c r="F370" i="22"/>
  <c r="C350" i="58"/>
  <c r="C351" i="22"/>
  <c r="M372" i="67"/>
  <c r="D372" i="67"/>
  <c r="AA362" i="22"/>
  <c r="E369" i="58"/>
  <c r="Y369" i="58" s="1"/>
  <c r="I370" i="22"/>
  <c r="R369" i="103"/>
  <c r="E383" i="67"/>
  <c r="W8" i="68" s="1"/>
  <c r="Q373" i="22"/>
  <c r="E365" i="67"/>
  <c r="Q355" i="22"/>
  <c r="Q365" i="58"/>
  <c r="N376" i="67"/>
  <c r="U366" i="22"/>
  <c r="P371" i="58"/>
  <c r="H382" i="67"/>
  <c r="U11" i="68" s="1"/>
  <c r="W372" i="22"/>
  <c r="CG354" i="103"/>
  <c r="CH354" i="103" s="1"/>
  <c r="E361" i="22"/>
  <c r="H360" i="103"/>
  <c r="D370" i="58"/>
  <c r="F371" i="22"/>
  <c r="J370" i="103"/>
  <c r="F375" i="58"/>
  <c r="K376" i="22"/>
  <c r="L376" i="22" s="1"/>
  <c r="U375" i="103"/>
  <c r="AN358" i="103"/>
  <c r="K374" i="67"/>
  <c r="S364" i="22"/>
  <c r="C348" i="58"/>
  <c r="C349" i="22"/>
  <c r="M370" i="67"/>
  <c r="D370" i="67"/>
  <c r="AA360" i="22"/>
  <c r="E367" i="58"/>
  <c r="Y367" i="58" s="1"/>
  <c r="I368" i="22"/>
  <c r="R367" i="103"/>
  <c r="N199" i="13"/>
  <c r="P199" i="13" s="1"/>
  <c r="AB370" i="103"/>
  <c r="H354" i="22"/>
  <c r="O353" i="103"/>
  <c r="M353" i="103" s="1"/>
  <c r="J353" i="103" s="1"/>
  <c r="E375" i="67"/>
  <c r="Q365" i="22"/>
  <c r="P375" i="58"/>
  <c r="H386" i="67"/>
  <c r="AC11" i="68" s="1"/>
  <c r="W376" i="22"/>
  <c r="P363" i="58"/>
  <c r="H374" i="67"/>
  <c r="W364" i="22"/>
  <c r="F373" i="58"/>
  <c r="K374" i="22"/>
  <c r="L374" i="22" s="1"/>
  <c r="U373" i="103"/>
  <c r="K363" i="67"/>
  <c r="S353" i="22"/>
  <c r="AN365" i="103"/>
  <c r="AM365" i="103" s="1"/>
  <c r="C346" i="58"/>
  <c r="C347" i="22"/>
  <c r="D368" i="67"/>
  <c r="M368" i="67"/>
  <c r="AA358" i="22"/>
  <c r="BD362" i="103"/>
  <c r="E365" i="58"/>
  <c r="Y365" i="58" s="1"/>
  <c r="I366" i="22"/>
  <c r="R365" i="103"/>
  <c r="N197" i="13"/>
  <c r="P197" i="13" s="1"/>
  <c r="AB368" i="103"/>
  <c r="D59" i="53" l="1"/>
  <c r="L386" i="103"/>
  <c r="B27" i="62"/>
  <c r="I26" i="62"/>
  <c r="J26" i="62" s="1"/>
  <c r="E26" i="62"/>
  <c r="C26" i="62"/>
  <c r="G26" i="62"/>
  <c r="F26" i="62"/>
  <c r="R26" i="62"/>
  <c r="S26" i="62" s="1"/>
  <c r="D26" i="62"/>
  <c r="Y126" i="23"/>
  <c r="Y127" i="23"/>
  <c r="G327" i="22"/>
  <c r="G329" i="22"/>
  <c r="G332" i="22"/>
  <c r="G325" i="22"/>
  <c r="G368" i="22"/>
  <c r="G339" i="22"/>
  <c r="G365" i="22"/>
  <c r="G336" i="22"/>
  <c r="G361" i="22"/>
  <c r="G352" i="22"/>
  <c r="G341" i="22"/>
  <c r="G373" i="22"/>
  <c r="G347" i="22"/>
  <c r="G356" i="22"/>
  <c r="G367" i="22"/>
  <c r="M314" i="103"/>
  <c r="J314" i="103" s="1"/>
  <c r="L314" i="103"/>
  <c r="M313" i="103"/>
  <c r="J313" i="103" s="1"/>
  <c r="L313" i="103"/>
  <c r="M312" i="103"/>
  <c r="J312" i="103" s="1"/>
  <c r="L312" i="103"/>
  <c r="D9" i="17"/>
  <c r="M311" i="103"/>
  <c r="J311" i="103" s="1"/>
  <c r="L311" i="103"/>
  <c r="M310" i="103"/>
  <c r="J310" i="103" s="1"/>
  <c r="L310" i="103"/>
  <c r="M309" i="103"/>
  <c r="J309" i="103" s="1"/>
  <c r="L309" i="103"/>
  <c r="M308" i="103"/>
  <c r="J308" i="103" s="1"/>
  <c r="L308" i="103"/>
  <c r="M307" i="103"/>
  <c r="J307" i="103" s="1"/>
  <c r="L307" i="103"/>
  <c r="M306" i="103"/>
  <c r="J306" i="103" s="1"/>
  <c r="L306" i="103"/>
  <c r="M305" i="103"/>
  <c r="J305" i="103" s="1"/>
  <c r="L305" i="103"/>
  <c r="M304" i="103"/>
  <c r="J304" i="103" s="1"/>
  <c r="L304" i="103"/>
  <c r="M303" i="103"/>
  <c r="J303" i="103" s="1"/>
  <c r="L303" i="103"/>
  <c r="M302" i="103"/>
  <c r="J302" i="103" s="1"/>
  <c r="L302" i="103"/>
  <c r="M301" i="103"/>
  <c r="J301" i="103" s="1"/>
  <c r="L301" i="103"/>
  <c r="M300" i="103"/>
  <c r="J300" i="103" s="1"/>
  <c r="L300" i="103"/>
  <c r="M299" i="103"/>
  <c r="J299" i="103" s="1"/>
  <c r="L299" i="103"/>
  <c r="M298" i="103"/>
  <c r="J298" i="103" s="1"/>
  <c r="L298" i="103"/>
  <c r="M297" i="103"/>
  <c r="J297" i="103" s="1"/>
  <c r="L297" i="103"/>
  <c r="M296" i="103"/>
  <c r="J296" i="103" s="1"/>
  <c r="L296" i="103"/>
  <c r="M295" i="103"/>
  <c r="J295" i="103" s="1"/>
  <c r="L295" i="103"/>
  <c r="M294" i="103"/>
  <c r="J294" i="103" s="1"/>
  <c r="L294" i="103"/>
  <c r="N115" i="13"/>
  <c r="P115" i="13" s="1"/>
  <c r="M293" i="103"/>
  <c r="J293" i="103" s="1"/>
  <c r="L293" i="103"/>
  <c r="N114" i="13"/>
  <c r="P114" i="13" s="1"/>
  <c r="M292" i="103"/>
  <c r="J292" i="103" s="1"/>
  <c r="L292" i="103"/>
  <c r="R314" i="58"/>
  <c r="L314" i="58" s="1"/>
  <c r="AD128" i="23"/>
  <c r="Z128" i="23"/>
  <c r="AE128" i="23"/>
  <c r="AI128" i="23"/>
  <c r="C128" i="23"/>
  <c r="AH128" i="23"/>
  <c r="AC128" i="23"/>
  <c r="AK128" i="23"/>
  <c r="AJ128" i="23"/>
  <c r="AB128" i="23"/>
  <c r="I128" i="23"/>
  <c r="R128" i="23"/>
  <c r="U128" i="23"/>
  <c r="AA128" i="23"/>
  <c r="H128" i="23"/>
  <c r="N113" i="13"/>
  <c r="P113" i="13" s="1"/>
  <c r="M291" i="103"/>
  <c r="J291" i="103" s="1"/>
  <c r="L291" i="103"/>
  <c r="N112" i="13"/>
  <c r="P112" i="13" s="1"/>
  <c r="M290" i="103"/>
  <c r="J290" i="103" s="1"/>
  <c r="L290" i="103"/>
  <c r="N111" i="13"/>
  <c r="P111" i="13" s="1"/>
  <c r="M289" i="103"/>
  <c r="J289" i="103" s="1"/>
  <c r="L289" i="103"/>
  <c r="N110" i="13"/>
  <c r="P110" i="13" s="1"/>
  <c r="M288" i="103"/>
  <c r="J288" i="103" s="1"/>
  <c r="L288" i="103"/>
  <c r="N109" i="13"/>
  <c r="P109" i="13" s="1"/>
  <c r="M287" i="103"/>
  <c r="J287" i="103" s="1"/>
  <c r="L287" i="103"/>
  <c r="N108" i="13"/>
  <c r="P108" i="13" s="1"/>
  <c r="M286" i="103"/>
  <c r="J286" i="103" s="1"/>
  <c r="L286" i="103"/>
  <c r="CF284" i="103"/>
  <c r="M285" i="103"/>
  <c r="J285" i="103" s="1"/>
  <c r="L285" i="103"/>
  <c r="BX286" i="103"/>
  <c r="E385" i="103"/>
  <c r="Q127" i="23"/>
  <c r="AB284" i="103"/>
  <c r="N106" i="13"/>
  <c r="P106" i="13" s="1"/>
  <c r="S181" i="13"/>
  <c r="U178" i="13" s="1"/>
  <c r="V128" i="23"/>
  <c r="S128" i="23"/>
  <c r="J128" i="23"/>
  <c r="D128" i="23"/>
  <c r="B129" i="23"/>
  <c r="Y128" i="23"/>
  <c r="B16" i="102"/>
  <c r="C16" i="102" s="1"/>
  <c r="B10" i="31"/>
  <c r="B44" i="31"/>
  <c r="A44" i="31" s="1"/>
  <c r="A9" i="31"/>
  <c r="G350" i="22"/>
  <c r="G324" i="22"/>
  <c r="G318" i="22"/>
  <c r="G374" i="22"/>
  <c r="G360" i="22"/>
  <c r="G338" i="22"/>
  <c r="G351" i="22"/>
  <c r="G326" i="22"/>
  <c r="G320" i="22"/>
  <c r="G322" i="22"/>
  <c r="G333" i="22"/>
  <c r="G353" i="22"/>
  <c r="G376" i="22"/>
  <c r="G358" i="22"/>
  <c r="G345" i="22"/>
  <c r="G337" i="22"/>
  <c r="G331" i="22"/>
  <c r="G349" i="22"/>
  <c r="G363" i="22"/>
  <c r="G372" i="22"/>
  <c r="G354" i="22"/>
  <c r="G340" i="22"/>
  <c r="G321" i="22"/>
  <c r="G366" i="22"/>
  <c r="G359" i="22"/>
  <c r="G323" i="22"/>
  <c r="G317" i="22"/>
  <c r="G344" i="22"/>
  <c r="G371" i="22"/>
  <c r="G330" i="22"/>
  <c r="G370" i="22"/>
  <c r="G334" i="22"/>
  <c r="G328" i="22"/>
  <c r="G355" i="22"/>
  <c r="G342" i="22"/>
  <c r="G357" i="22"/>
  <c r="G335" i="22"/>
  <c r="G348" i="22"/>
  <c r="G369" i="22"/>
  <c r="G319" i="22"/>
  <c r="G362" i="22"/>
  <c r="G343" i="22"/>
  <c r="G375" i="22"/>
  <c r="G364" i="22"/>
  <c r="T165" i="23"/>
  <c r="D163" i="23"/>
  <c r="C165" i="23"/>
  <c r="AD168" i="23"/>
  <c r="AH97" i="23" s="1"/>
  <c r="W128" i="23"/>
  <c r="D168" i="23"/>
  <c r="T169" i="23"/>
  <c r="D170" i="23"/>
  <c r="I163" i="23"/>
  <c r="Y163" i="23"/>
  <c r="G164" i="23"/>
  <c r="D166" i="23"/>
  <c r="G160" i="23"/>
  <c r="D161" i="23"/>
  <c r="F164" i="23"/>
  <c r="E161" i="23"/>
  <c r="J169" i="23"/>
  <c r="W165" i="23"/>
  <c r="E168" i="23"/>
  <c r="AC167" i="23"/>
  <c r="AG96" i="23" s="1"/>
  <c r="E166" i="23"/>
  <c r="V166" i="23"/>
  <c r="W163" i="23"/>
  <c r="I166" i="23"/>
  <c r="I162" i="23"/>
  <c r="F162" i="23"/>
  <c r="G162" i="23"/>
  <c r="I165" i="23"/>
  <c r="AD170" i="23"/>
  <c r="AH99" i="23" s="1"/>
  <c r="W162" i="23"/>
  <c r="Y164" i="23"/>
  <c r="C170" i="23"/>
  <c r="X165" i="23"/>
  <c r="AD166" i="23"/>
  <c r="AH95" i="23" s="1"/>
  <c r="Y166" i="23"/>
  <c r="H169" i="23"/>
  <c r="J166" i="23"/>
  <c r="I164" i="23"/>
  <c r="AC169" i="23"/>
  <c r="AG98" i="23" s="1"/>
  <c r="AD160" i="23"/>
  <c r="AH89" i="23" s="1"/>
  <c r="C160" i="23"/>
  <c r="I160" i="23"/>
  <c r="V160" i="23"/>
  <c r="W160" i="23"/>
  <c r="J163" i="23"/>
  <c r="J164" i="23"/>
  <c r="AD164" i="23"/>
  <c r="AH93" i="23" s="1"/>
  <c r="G163" i="23"/>
  <c r="W164" i="23"/>
  <c r="H164" i="23"/>
  <c r="AD167" i="23"/>
  <c r="AH96" i="23" s="1"/>
  <c r="AD169" i="23"/>
  <c r="AH98" i="23" s="1"/>
  <c r="X169" i="23"/>
  <c r="V165" i="23"/>
  <c r="F163" i="23"/>
  <c r="X163" i="23"/>
  <c r="T164" i="23"/>
  <c r="E162" i="23"/>
  <c r="W161" i="23"/>
  <c r="AC160" i="23"/>
  <c r="AG89" i="23" s="1"/>
  <c r="H168" i="23"/>
  <c r="AC162" i="23"/>
  <c r="AG91" i="23" s="1"/>
  <c r="T161" i="23"/>
  <c r="W127" i="23"/>
  <c r="T170" i="23"/>
  <c r="W170" i="23"/>
  <c r="X164" i="23"/>
  <c r="AC170" i="23"/>
  <c r="AG99" i="23" s="1"/>
  <c r="Y170" i="23"/>
  <c r="C166" i="23"/>
  <c r="G168" i="23"/>
  <c r="X166" i="23"/>
  <c r="AC163" i="23"/>
  <c r="AG92" i="23" s="1"/>
  <c r="AC168" i="23"/>
  <c r="AG97" i="23" s="1"/>
  <c r="J161" i="23"/>
  <c r="C159" i="23"/>
  <c r="F166" i="23"/>
  <c r="F165" i="23"/>
  <c r="X168" i="23"/>
  <c r="V169" i="23"/>
  <c r="U163" i="23"/>
  <c r="D164" i="23"/>
  <c r="H165" i="23"/>
  <c r="D165" i="23"/>
  <c r="U160" i="23"/>
  <c r="H162" i="23"/>
  <c r="H166" i="23"/>
  <c r="J168" i="23"/>
  <c r="F168" i="23"/>
  <c r="I170" i="23"/>
  <c r="W168" i="23"/>
  <c r="U165" i="23"/>
  <c r="C169" i="23"/>
  <c r="AC166" i="23"/>
  <c r="AG95" i="23" s="1"/>
  <c r="H163" i="23"/>
  <c r="T168" i="23"/>
  <c r="E165" i="23"/>
  <c r="T163" i="23"/>
  <c r="U162" i="23"/>
  <c r="G161" i="23"/>
  <c r="Y161" i="23"/>
  <c r="X161" i="23"/>
  <c r="U161" i="23"/>
  <c r="AB167" i="23"/>
  <c r="I168" i="23"/>
  <c r="AC165" i="23"/>
  <c r="AG94" i="23" s="1"/>
  <c r="G169" i="23"/>
  <c r="Y169" i="23"/>
  <c r="AD163" i="23"/>
  <c r="AH92" i="23" s="1"/>
  <c r="F170" i="23"/>
  <c r="W166" i="23"/>
  <c r="Y162" i="23"/>
  <c r="Y165" i="23"/>
  <c r="E170" i="23"/>
  <c r="V170" i="23"/>
  <c r="G166" i="23"/>
  <c r="AD165" i="23"/>
  <c r="AH94" i="23" s="1"/>
  <c r="F161" i="23"/>
  <c r="E163" i="23"/>
  <c r="AC161" i="23"/>
  <c r="AG90" i="23" s="1"/>
  <c r="E160" i="23"/>
  <c r="T162" i="23"/>
  <c r="V163" i="23"/>
  <c r="V161" i="23"/>
  <c r="E169" i="23"/>
  <c r="J170" i="23"/>
  <c r="U169" i="23"/>
  <c r="I169" i="23"/>
  <c r="T166" i="23"/>
  <c r="F169" i="23"/>
  <c r="H170" i="23"/>
  <c r="U164" i="23"/>
  <c r="G170" i="23"/>
  <c r="W169" i="23"/>
  <c r="U168" i="23"/>
  <c r="J160" i="23"/>
  <c r="H160" i="23"/>
  <c r="D162" i="23"/>
  <c r="I161" i="23"/>
  <c r="Y168" i="23"/>
  <c r="U166" i="23"/>
  <c r="J162" i="23"/>
  <c r="C163" i="23"/>
  <c r="C164" i="23"/>
  <c r="E164" i="23"/>
  <c r="V168" i="23"/>
  <c r="AD161" i="23"/>
  <c r="AH90" i="23" s="1"/>
  <c r="Y160" i="23"/>
  <c r="X162" i="23"/>
  <c r="H161" i="23"/>
  <c r="X160" i="23"/>
  <c r="F160" i="23"/>
  <c r="D169" i="23"/>
  <c r="U170" i="23"/>
  <c r="J165" i="23"/>
  <c r="V162" i="23"/>
  <c r="C162" i="23"/>
  <c r="X170" i="23"/>
  <c r="V164" i="23"/>
  <c r="C168" i="23"/>
  <c r="AC164" i="23"/>
  <c r="AG93" i="23" s="1"/>
  <c r="G165" i="23"/>
  <c r="D160" i="23"/>
  <c r="AD162" i="23"/>
  <c r="AH91" i="23" s="1"/>
  <c r="C161" i="23"/>
  <c r="T160" i="23"/>
  <c r="AA12" i="103"/>
  <c r="D356" i="103"/>
  <c r="D343" i="103"/>
  <c r="D345" i="103"/>
  <c r="D346" i="103"/>
  <c r="D370" i="103"/>
  <c r="D353" i="103"/>
  <c r="D355" i="103"/>
  <c r="D374" i="103"/>
  <c r="D372" i="103"/>
  <c r="D330" i="103"/>
  <c r="D344" i="103"/>
  <c r="D324" i="103"/>
  <c r="D364" i="103"/>
  <c r="D319" i="103"/>
  <c r="D323" i="103"/>
  <c r="D326" i="103"/>
  <c r="D360" i="103"/>
  <c r="D369" i="103"/>
  <c r="D339" i="103"/>
  <c r="D363" i="103"/>
  <c r="D348" i="103"/>
  <c r="D352" i="103"/>
  <c r="D354" i="103"/>
  <c r="D375" i="103"/>
  <c r="D367" i="103"/>
  <c r="D318" i="103"/>
  <c r="D322" i="103"/>
  <c r="D362" i="103"/>
  <c r="D328" i="103"/>
  <c r="D337" i="103"/>
  <c r="D332" i="103"/>
  <c r="D366" i="103"/>
  <c r="D331" i="103"/>
  <c r="D333" i="103"/>
  <c r="D320" i="103"/>
  <c r="D373" i="103"/>
  <c r="D357" i="103"/>
  <c r="D349" i="103"/>
  <c r="D341" i="103"/>
  <c r="D335" i="103"/>
  <c r="D336" i="103"/>
  <c r="K345" i="103"/>
  <c r="D306" i="103"/>
  <c r="D351" i="103"/>
  <c r="D285" i="103"/>
  <c r="D334" i="103"/>
  <c r="D342" i="103"/>
  <c r="D365" i="103"/>
  <c r="D317" i="103"/>
  <c r="D350" i="103"/>
  <c r="D347" i="103"/>
  <c r="D371" i="103"/>
  <c r="D316" i="103"/>
  <c r="D340" i="103"/>
  <c r="D338" i="103"/>
  <c r="D325" i="103"/>
  <c r="D368" i="103"/>
  <c r="D321" i="103"/>
  <c r="D361" i="103"/>
  <c r="D358" i="103"/>
  <c r="D327" i="103"/>
  <c r="J365" i="22"/>
  <c r="J360" i="22"/>
  <c r="AQ244" i="22"/>
  <c r="J205" i="22"/>
  <c r="J129" i="22"/>
  <c r="AQ167" i="22"/>
  <c r="AQ151" i="22"/>
  <c r="AM179" i="103"/>
  <c r="AQ146" i="22"/>
  <c r="AM177" i="103"/>
  <c r="J156" i="22"/>
  <c r="J306" i="22"/>
  <c r="J294" i="22"/>
  <c r="J153" i="22"/>
  <c r="J179" i="22"/>
  <c r="J147" i="22"/>
  <c r="J369" i="22"/>
  <c r="J317" i="22"/>
  <c r="J196" i="22"/>
  <c r="J141" i="22"/>
  <c r="AQ70" i="22"/>
  <c r="J46" i="22"/>
  <c r="AM37" i="103"/>
  <c r="J84" i="22"/>
  <c r="J61" i="22"/>
  <c r="J16" i="22"/>
  <c r="AM58" i="103"/>
  <c r="J17" i="22"/>
  <c r="AM82" i="103"/>
  <c r="J66" i="22"/>
  <c r="J72" i="22"/>
  <c r="R156" i="58"/>
  <c r="L156" i="58" s="1"/>
  <c r="R227" i="58"/>
  <c r="L227" i="58" s="1"/>
  <c r="R264" i="58"/>
  <c r="L264" i="58" s="1"/>
  <c r="R245" i="58"/>
  <c r="L245" i="58" s="1"/>
  <c r="R114" i="58"/>
  <c r="L114" i="58" s="1"/>
  <c r="BY60" i="103"/>
  <c r="CA60" i="103" s="1"/>
  <c r="I61" i="67" s="1"/>
  <c r="BY18" i="103"/>
  <c r="BW18" i="103" s="1"/>
  <c r="R231" i="58"/>
  <c r="L231" i="58" s="1"/>
  <c r="R92" i="58"/>
  <c r="L92" i="58" s="1"/>
  <c r="J366" i="22"/>
  <c r="J192" i="22"/>
  <c r="J335" i="22"/>
  <c r="J222" i="22"/>
  <c r="J252" i="22"/>
  <c r="J240" i="22"/>
  <c r="J228" i="22"/>
  <c r="J364" i="22"/>
  <c r="J173" i="22"/>
  <c r="J331" i="22"/>
  <c r="J210" i="22"/>
  <c r="J198" i="22"/>
  <c r="J171" i="22"/>
  <c r="J371" i="22"/>
  <c r="J355" i="22"/>
  <c r="J251" i="22"/>
  <c r="J239" i="22"/>
  <c r="AQ216" i="22"/>
  <c r="J250" i="22"/>
  <c r="J238" i="22"/>
  <c r="AQ289" i="22"/>
  <c r="J220" i="22"/>
  <c r="J339" i="22"/>
  <c r="J184" i="22"/>
  <c r="J172" i="22"/>
  <c r="J83" i="22"/>
  <c r="AM53" i="103"/>
  <c r="J45" i="22"/>
  <c r="J39" i="22"/>
  <c r="J63" i="22"/>
  <c r="J76" i="22"/>
  <c r="AM116" i="103"/>
  <c r="J120" i="22"/>
  <c r="J54" i="22"/>
  <c r="AQ74" i="22"/>
  <c r="R153" i="58"/>
  <c r="L153" i="58" s="1"/>
  <c r="R272" i="58"/>
  <c r="L272" i="58" s="1"/>
  <c r="R123" i="58"/>
  <c r="L123" i="58" s="1"/>
  <c r="AE112" i="22"/>
  <c r="R20" i="58"/>
  <c r="L20" i="58" s="1"/>
  <c r="R89" i="58"/>
  <c r="L89" i="58" s="1"/>
  <c r="R75" i="58"/>
  <c r="L75" i="58" s="1"/>
  <c r="J211" i="22"/>
  <c r="J146" i="22"/>
  <c r="J332" i="22"/>
  <c r="J135" i="22"/>
  <c r="J334" i="22"/>
  <c r="J299" i="22"/>
  <c r="J287" i="22"/>
  <c r="J148" i="22"/>
  <c r="AQ306" i="22"/>
  <c r="J227" i="22"/>
  <c r="J312" i="22"/>
  <c r="J206" i="22"/>
  <c r="J376" i="22"/>
  <c r="J329" i="22"/>
  <c r="J140" i="22"/>
  <c r="J320" i="22"/>
  <c r="J314" i="22"/>
  <c r="J295" i="22"/>
  <c r="AM253" i="103"/>
  <c r="J182" i="22"/>
  <c r="J166" i="22"/>
  <c r="J131" i="22"/>
  <c r="J157" i="22"/>
  <c r="J30" i="22"/>
  <c r="AM24" i="103"/>
  <c r="J74" i="22"/>
  <c r="AQ31" i="22"/>
  <c r="J118" i="22"/>
  <c r="AQ13" i="22"/>
  <c r="J81" i="22"/>
  <c r="AM85" i="103"/>
  <c r="J15" i="22"/>
  <c r="J22" i="22"/>
  <c r="J34" i="22"/>
  <c r="J116" i="22"/>
  <c r="J67" i="22"/>
  <c r="J26" i="22"/>
  <c r="R141" i="58"/>
  <c r="L141" i="58" s="1"/>
  <c r="R278" i="58"/>
  <c r="L278" i="58" s="1"/>
  <c r="R101" i="58"/>
  <c r="L101" i="58" s="1"/>
  <c r="BY211" i="103"/>
  <c r="CA211" i="103" s="1"/>
  <c r="I217" i="67" s="1"/>
  <c r="R33" i="58"/>
  <c r="L33" i="58" s="1"/>
  <c r="R151" i="58"/>
  <c r="L151" i="58" s="1"/>
  <c r="R169" i="58"/>
  <c r="L169" i="58" s="1"/>
  <c r="R126" i="58"/>
  <c r="L126" i="58" s="1"/>
  <c r="R44" i="58"/>
  <c r="L44" i="58" s="1"/>
  <c r="J319" i="22"/>
  <c r="J180" i="22"/>
  <c r="J370" i="22"/>
  <c r="J189" i="22"/>
  <c r="AM155" i="103"/>
  <c r="J323" i="22"/>
  <c r="J214" i="22"/>
  <c r="J202" i="22"/>
  <c r="AM170" i="103"/>
  <c r="J158" i="22"/>
  <c r="AQ303" i="22"/>
  <c r="AQ213" i="22"/>
  <c r="J303" i="22"/>
  <c r="J291" i="22"/>
  <c r="J143" i="22"/>
  <c r="J150" i="22"/>
  <c r="J349" i="22"/>
  <c r="AQ201" i="22"/>
  <c r="J99" i="22"/>
  <c r="J47" i="22"/>
  <c r="AM40" i="103"/>
  <c r="J87" i="22"/>
  <c r="J105" i="22"/>
  <c r="J19" i="22"/>
  <c r="J65" i="22"/>
  <c r="J75" i="22"/>
  <c r="J20" i="22"/>
  <c r="J44" i="22"/>
  <c r="R138" i="58"/>
  <c r="L138" i="58" s="1"/>
  <c r="R275" i="58"/>
  <c r="L275" i="58" s="1"/>
  <c r="R208" i="58"/>
  <c r="L208" i="58" s="1"/>
  <c r="R98" i="58"/>
  <c r="L98" i="58" s="1"/>
  <c r="R246" i="58"/>
  <c r="L246" i="58" s="1"/>
  <c r="R23" i="58"/>
  <c r="L23" i="58" s="1"/>
  <c r="J340" i="22"/>
  <c r="J330" i="22"/>
  <c r="J219" i="22"/>
  <c r="J237" i="22"/>
  <c r="J138" i="22"/>
  <c r="J363" i="22"/>
  <c r="AM182" i="103"/>
  <c r="AQ333" i="22"/>
  <c r="AQ300" i="22"/>
  <c r="AM244" i="103"/>
  <c r="AQ249" i="22"/>
  <c r="J145" i="22"/>
  <c r="AM216" i="103"/>
  <c r="J207" i="22"/>
  <c r="J168" i="22"/>
  <c r="J315" i="22"/>
  <c r="J236" i="22"/>
  <c r="J159" i="22"/>
  <c r="J375" i="22"/>
  <c r="J235" i="22"/>
  <c r="J133" i="22"/>
  <c r="J344" i="22"/>
  <c r="J217" i="22"/>
  <c r="J338" i="22"/>
  <c r="J336" i="22"/>
  <c r="J221" i="22"/>
  <c r="AM250" i="103"/>
  <c r="J181" i="22"/>
  <c r="J97" i="22"/>
  <c r="AQ28" i="22"/>
  <c r="J55" i="22"/>
  <c r="AQ64" i="22"/>
  <c r="J106" i="22"/>
  <c r="J117" i="22"/>
  <c r="R135" i="58"/>
  <c r="L135" i="58" s="1"/>
  <c r="R269" i="58"/>
  <c r="L269" i="58" s="1"/>
  <c r="AE215" i="22"/>
  <c r="R209" i="58"/>
  <c r="L209" i="58" s="1"/>
  <c r="R83" i="58"/>
  <c r="L83" i="58" s="1"/>
  <c r="R203" i="58"/>
  <c r="L203" i="58" s="1"/>
  <c r="R243" i="58"/>
  <c r="L243" i="58" s="1"/>
  <c r="R218" i="58"/>
  <c r="L218" i="58" s="1"/>
  <c r="J164" i="22"/>
  <c r="J296" i="22"/>
  <c r="AQ297" i="22"/>
  <c r="J155" i="22"/>
  <c r="J356" i="22"/>
  <c r="J215" i="22"/>
  <c r="J203" i="22"/>
  <c r="J304" i="22"/>
  <c r="J292" i="22"/>
  <c r="AM235" i="103"/>
  <c r="J191" i="22"/>
  <c r="J325" i="22"/>
  <c r="J21" i="22"/>
  <c r="J33" i="22"/>
  <c r="J94" i="22"/>
  <c r="J93" i="22"/>
  <c r="J108" i="22"/>
  <c r="J127" i="22"/>
  <c r="J115" i="22"/>
  <c r="J52" i="22"/>
  <c r="J78" i="22"/>
  <c r="J18" i="22"/>
  <c r="J25" i="22"/>
  <c r="J125" i="22"/>
  <c r="J113" i="22"/>
  <c r="J29" i="22"/>
  <c r="R99" i="58"/>
  <c r="L99" i="58" s="1"/>
  <c r="R266" i="58"/>
  <c r="L266" i="58" s="1"/>
  <c r="R103" i="58"/>
  <c r="L103" i="58" s="1"/>
  <c r="R200" i="58"/>
  <c r="L200" i="58" s="1"/>
  <c r="R240" i="58"/>
  <c r="L240" i="58" s="1"/>
  <c r="R234" i="58"/>
  <c r="L234" i="58" s="1"/>
  <c r="R224" i="58"/>
  <c r="L224" i="58" s="1"/>
  <c r="J354" i="22"/>
  <c r="J216" i="22"/>
  <c r="J288" i="22"/>
  <c r="J341" i="22"/>
  <c r="J160" i="22"/>
  <c r="J308" i="22"/>
  <c r="J101" i="22"/>
  <c r="J100" i="22"/>
  <c r="AM56" i="103"/>
  <c r="J80" i="22"/>
  <c r="J51" i="22"/>
  <c r="J64" i="22"/>
  <c r="J58" i="22"/>
  <c r="J82" i="22"/>
  <c r="J41" i="22"/>
  <c r="AQ322" i="22"/>
  <c r="AM113" i="103"/>
  <c r="R30" i="58"/>
  <c r="L30" i="58" s="1"/>
  <c r="BY283" i="103"/>
  <c r="R199" i="58"/>
  <c r="L199" i="58" s="1"/>
  <c r="R106" i="58"/>
  <c r="L106" i="58" s="1"/>
  <c r="AE173" i="22"/>
  <c r="AE129" i="22"/>
  <c r="AE207" i="22"/>
  <c r="R249" i="58"/>
  <c r="L249" i="58" s="1"/>
  <c r="R131" i="58"/>
  <c r="L131" i="58" s="1"/>
  <c r="J186" i="22"/>
  <c r="AQ234" i="22"/>
  <c r="AQ294" i="22"/>
  <c r="J139" i="22"/>
  <c r="J300" i="22"/>
  <c r="J333" i="22"/>
  <c r="J246" i="22"/>
  <c r="J234" i="22"/>
  <c r="J327" i="22"/>
  <c r="J310" i="22"/>
  <c r="AQ291" i="22"/>
  <c r="J204" i="22"/>
  <c r="J165" i="22"/>
  <c r="J245" i="22"/>
  <c r="J233" i="22"/>
  <c r="J244" i="22"/>
  <c r="J232" i="22"/>
  <c r="J130" i="22"/>
  <c r="J343" i="22"/>
  <c r="J218" i="22"/>
  <c r="AM232" i="103"/>
  <c r="J190" i="22"/>
  <c r="J178" i="22"/>
  <c r="J86" i="22"/>
  <c r="J96" i="22"/>
  <c r="J77" i="22"/>
  <c r="J50" i="22"/>
  <c r="AQ29" i="22"/>
  <c r="AQ49" i="22"/>
  <c r="J103" i="22"/>
  <c r="J126" i="22"/>
  <c r="J114" i="22"/>
  <c r="R84" i="58"/>
  <c r="L84" i="58" s="1"/>
  <c r="R263" i="58"/>
  <c r="L263" i="58" s="1"/>
  <c r="R271" i="58"/>
  <c r="L271" i="58" s="1"/>
  <c r="R25" i="58"/>
  <c r="L25" i="58" s="1"/>
  <c r="R81" i="58"/>
  <c r="L81" i="58" s="1"/>
  <c r="R38" i="58"/>
  <c r="L38" i="58" s="1"/>
  <c r="R196" i="58"/>
  <c r="L196" i="58" s="1"/>
  <c r="J368" i="22"/>
  <c r="AQ152" i="22"/>
  <c r="AQ154" i="22"/>
  <c r="J151" i="22"/>
  <c r="J305" i="22"/>
  <c r="J293" i="22"/>
  <c r="AQ131" i="22"/>
  <c r="AQ169" i="22"/>
  <c r="AQ330" i="22"/>
  <c r="AQ288" i="22"/>
  <c r="AQ164" i="22"/>
  <c r="J351" i="22"/>
  <c r="J353" i="22"/>
  <c r="AQ309" i="22"/>
  <c r="J212" i="22"/>
  <c r="J200" i="22"/>
  <c r="J328" i="22"/>
  <c r="J342" i="22"/>
  <c r="J301" i="22"/>
  <c r="J289" i="22"/>
  <c r="J188" i="22"/>
  <c r="J137" i="22"/>
  <c r="AQ250" i="22"/>
  <c r="J134" i="22"/>
  <c r="J322" i="22"/>
  <c r="AM93" i="103"/>
  <c r="J24" i="22"/>
  <c r="J36" i="22"/>
  <c r="AQ116" i="22"/>
  <c r="J90" i="22"/>
  <c r="AQ105" i="22"/>
  <c r="AM102" i="103"/>
  <c r="J124" i="22"/>
  <c r="J112" i="22"/>
  <c r="AQ35" i="22"/>
  <c r="J62" i="22"/>
  <c r="J79" i="22"/>
  <c r="J60" i="22"/>
  <c r="AM119" i="103"/>
  <c r="J57" i="22"/>
  <c r="J56" i="22"/>
  <c r="J73" i="22"/>
  <c r="J28" i="22"/>
  <c r="J122" i="22"/>
  <c r="J110" i="22"/>
  <c r="J32" i="22"/>
  <c r="R268" i="58"/>
  <c r="L268" i="58" s="1"/>
  <c r="R28" i="58"/>
  <c r="L28" i="58" s="1"/>
  <c r="R78" i="58"/>
  <c r="L78" i="58" s="1"/>
  <c r="R104" i="58"/>
  <c r="L104" i="58" s="1"/>
  <c r="R41" i="58"/>
  <c r="L41" i="58" s="1"/>
  <c r="J195" i="22"/>
  <c r="J154" i="22"/>
  <c r="AQ336" i="22"/>
  <c r="J362" i="22"/>
  <c r="J313" i="22"/>
  <c r="J208" i="22"/>
  <c r="J321" i="22"/>
  <c r="J152" i="22"/>
  <c r="AQ361" i="22"/>
  <c r="J297" i="22"/>
  <c r="J347" i="22"/>
  <c r="J311" i="22"/>
  <c r="AM129" i="103"/>
  <c r="AQ108" i="22"/>
  <c r="J53" i="22"/>
  <c r="AQ67" i="22"/>
  <c r="AM118" i="103"/>
  <c r="AM49" i="103"/>
  <c r="J40" i="22"/>
  <c r="J48" i="22"/>
  <c r="AQ61" i="22"/>
  <c r="J59" i="22"/>
  <c r="J14" i="22"/>
  <c r="J38" i="22"/>
  <c r="AQ78" i="22"/>
  <c r="R265" i="58"/>
  <c r="L265" i="58" s="1"/>
  <c r="BY273" i="103"/>
  <c r="CA273" i="103" s="1"/>
  <c r="R69" i="58"/>
  <c r="L69" i="58" s="1"/>
  <c r="J225" i="22"/>
  <c r="J243" i="22"/>
  <c r="AQ252" i="22"/>
  <c r="J161" i="22"/>
  <c r="J324" i="22"/>
  <c r="J357" i="22"/>
  <c r="J358" i="22"/>
  <c r="J213" i="22"/>
  <c r="AM149" i="103"/>
  <c r="AQ373" i="22"/>
  <c r="J254" i="22"/>
  <c r="J242" i="22"/>
  <c r="J136" i="22"/>
  <c r="J309" i="22"/>
  <c r="J253" i="22"/>
  <c r="J241" i="22"/>
  <c r="J345" i="22"/>
  <c r="J223" i="22"/>
  <c r="J187" i="22"/>
  <c r="J175" i="22"/>
  <c r="AM124" i="103"/>
  <c r="AQ23" i="22"/>
  <c r="AM112" i="103"/>
  <c r="AQ47" i="22"/>
  <c r="J68" i="22"/>
  <c r="AQ310" i="22"/>
  <c r="J42" i="22"/>
  <c r="J49" i="22"/>
  <c r="J123" i="22"/>
  <c r="J111" i="22"/>
  <c r="J91" i="22"/>
  <c r="R270" i="58"/>
  <c r="L270" i="58" s="1"/>
  <c r="R239" i="58"/>
  <c r="L239" i="58" s="1"/>
  <c r="R120" i="58"/>
  <c r="L120" i="58" s="1"/>
  <c r="AE261" i="22"/>
  <c r="R66" i="58"/>
  <c r="L66" i="58" s="1"/>
  <c r="R262" i="58"/>
  <c r="L262" i="58" s="1"/>
  <c r="R47" i="58"/>
  <c r="L47" i="58" s="1"/>
  <c r="J170" i="22"/>
  <c r="J367" i="22"/>
  <c r="AQ203" i="22"/>
  <c r="J302" i="22"/>
  <c r="J290" i="22"/>
  <c r="AQ231" i="22"/>
  <c r="J361" i="22"/>
  <c r="J374" i="22"/>
  <c r="J350" i="22"/>
  <c r="J352" i="22"/>
  <c r="J373" i="22"/>
  <c r="J298" i="22"/>
  <c r="J286" i="22"/>
  <c r="J197" i="22"/>
  <c r="J185" i="22"/>
  <c r="J169" i="22"/>
  <c r="J144" i="22"/>
  <c r="J27" i="22"/>
  <c r="J37" i="22"/>
  <c r="AM132" i="103"/>
  <c r="J128" i="22"/>
  <c r="J121" i="22"/>
  <c r="J109" i="22"/>
  <c r="AM88" i="103"/>
  <c r="AM125" i="103"/>
  <c r="J88" i="22"/>
  <c r="AM122" i="103"/>
  <c r="J70" i="22"/>
  <c r="J31" i="22"/>
  <c r="J119" i="22"/>
  <c r="J69" i="22"/>
  <c r="J85" i="22"/>
  <c r="J23" i="22"/>
  <c r="J35" i="22"/>
  <c r="AE262" i="22"/>
  <c r="BY267" i="103"/>
  <c r="CA267" i="103" s="1"/>
  <c r="I275" i="67" s="1"/>
  <c r="R230" i="58"/>
  <c r="L230" i="58" s="1"/>
  <c r="R117" i="58"/>
  <c r="L117" i="58" s="1"/>
  <c r="R63" i="58"/>
  <c r="L63" i="58" s="1"/>
  <c r="R12" i="58"/>
  <c r="L12" i="58" s="1"/>
  <c r="R51" i="58"/>
  <c r="L51" i="58" s="1"/>
  <c r="R95" i="58"/>
  <c r="L95" i="58" s="1"/>
  <c r="R252" i="58"/>
  <c r="L252" i="58" s="1"/>
  <c r="J13" i="22"/>
  <c r="N101" i="13"/>
  <c r="P101" i="13" s="1"/>
  <c r="F42" i="30"/>
  <c r="E42" i="30"/>
  <c r="G42" i="30"/>
  <c r="C42" i="30"/>
  <c r="M283" i="103"/>
  <c r="J283" i="103" s="1"/>
  <c r="L283" i="103"/>
  <c r="N100" i="13"/>
  <c r="P100" i="13" s="1"/>
  <c r="M282" i="103"/>
  <c r="J282" i="103" s="1"/>
  <c r="L282" i="103"/>
  <c r="N99" i="13"/>
  <c r="P99" i="13" s="1"/>
  <c r="L289" i="67"/>
  <c r="M281" i="103"/>
  <c r="J281" i="103" s="1"/>
  <c r="L281" i="103"/>
  <c r="N98" i="13"/>
  <c r="P98" i="13" s="1"/>
  <c r="L288" i="67"/>
  <c r="M280" i="103"/>
  <c r="J280" i="103" s="1"/>
  <c r="L280" i="103"/>
  <c r="L287" i="67"/>
  <c r="M279" i="103"/>
  <c r="J279" i="103" s="1"/>
  <c r="L279" i="103"/>
  <c r="M278" i="103"/>
  <c r="J278" i="103" s="1"/>
  <c r="L278" i="103"/>
  <c r="M277" i="103"/>
  <c r="J277" i="103" s="1"/>
  <c r="L277" i="103"/>
  <c r="N23" i="62"/>
  <c r="N24" i="62"/>
  <c r="N26" i="62"/>
  <c r="N22" i="62"/>
  <c r="N20" i="62"/>
  <c r="N18" i="62"/>
  <c r="N19" i="62"/>
  <c r="N25" i="62"/>
  <c r="N21" i="62"/>
  <c r="L284" i="67"/>
  <c r="N14" i="62"/>
  <c r="N17" i="62"/>
  <c r="M276" i="103"/>
  <c r="J276" i="103" s="1"/>
  <c r="L276" i="103"/>
  <c r="N16" i="62"/>
  <c r="N15" i="62"/>
  <c r="L283" i="67"/>
  <c r="M275" i="103"/>
  <c r="J275" i="103" s="1"/>
  <c r="L275" i="103"/>
  <c r="L282" i="67"/>
  <c r="M274" i="103"/>
  <c r="J274" i="103" s="1"/>
  <c r="L274" i="103"/>
  <c r="M273" i="103"/>
  <c r="J273" i="103" s="1"/>
  <c r="L273" i="103"/>
  <c r="L280" i="67"/>
  <c r="M272" i="103"/>
  <c r="J272" i="103" s="1"/>
  <c r="L272" i="103"/>
  <c r="L279" i="67"/>
  <c r="M271" i="103"/>
  <c r="J271" i="103" s="1"/>
  <c r="L271" i="103"/>
  <c r="L278" i="67"/>
  <c r="M270" i="103"/>
  <c r="J270" i="103" s="1"/>
  <c r="L270" i="103"/>
  <c r="BY262" i="103"/>
  <c r="CA262" i="103" s="1"/>
  <c r="I270" i="67" s="1"/>
  <c r="BY354" i="103"/>
  <c r="BW354" i="103" s="1"/>
  <c r="AE263" i="22"/>
  <c r="BY351" i="103"/>
  <c r="BW351" i="103" s="1"/>
  <c r="N13" i="62"/>
  <c r="F12" i="104"/>
  <c r="G12" i="104" s="1"/>
  <c r="F16" i="104"/>
  <c r="G16" i="104" s="1"/>
  <c r="L277" i="67"/>
  <c r="F15" i="104"/>
  <c r="G15" i="104" s="1"/>
  <c r="D16" i="104"/>
  <c r="D14" i="104"/>
  <c r="F13" i="104"/>
  <c r="G13" i="104" s="1"/>
  <c r="F8" i="104"/>
  <c r="G8" i="104" s="1"/>
  <c r="D15" i="104"/>
  <c r="F9" i="104"/>
  <c r="G9" i="104" s="1"/>
  <c r="CC140" i="103"/>
  <c r="M269" i="103"/>
  <c r="J269" i="103" s="1"/>
  <c r="L269" i="103"/>
  <c r="AA14" i="103"/>
  <c r="BY69" i="103"/>
  <c r="BW69" i="103" s="1"/>
  <c r="CC178" i="103"/>
  <c r="CC74" i="103"/>
  <c r="BY252" i="103"/>
  <c r="CA252" i="103" s="1"/>
  <c r="I259" i="67" s="1"/>
  <c r="CC100" i="103"/>
  <c r="AE253" i="22"/>
  <c r="AE265" i="22"/>
  <c r="AA165" i="103"/>
  <c r="R260" i="58"/>
  <c r="L260" i="58" s="1"/>
  <c r="CI90" i="103"/>
  <c r="AA77" i="103"/>
  <c r="CC204" i="103"/>
  <c r="CC220" i="103"/>
  <c r="G9" i="53"/>
  <c r="J9" i="53" s="1"/>
  <c r="AE39" i="22"/>
  <c r="BY314" i="103"/>
  <c r="BY249" i="103"/>
  <c r="BW249" i="103" s="1"/>
  <c r="AE250" i="22"/>
  <c r="BX235" i="103"/>
  <c r="BY366" i="103"/>
  <c r="BW366" i="103" s="1"/>
  <c r="CC41" i="103"/>
  <c r="CI45" i="103"/>
  <c r="BY265" i="103"/>
  <c r="CA265" i="103" s="1"/>
  <c r="I273" i="67" s="1"/>
  <c r="AE260" i="22"/>
  <c r="CC193" i="103"/>
  <c r="CI120" i="103"/>
  <c r="R206" i="58"/>
  <c r="L206" i="58" s="1"/>
  <c r="BY326" i="103"/>
  <c r="CA326" i="103" s="1"/>
  <c r="R172" i="58"/>
  <c r="L172" i="58" s="1"/>
  <c r="AA202" i="103"/>
  <c r="AA254" i="103"/>
  <c r="AA174" i="103"/>
  <c r="AA273" i="103"/>
  <c r="AE284" i="22"/>
  <c r="BX143" i="103"/>
  <c r="CI30" i="103"/>
  <c r="CC347" i="103"/>
  <c r="CC50" i="103"/>
  <c r="CC92" i="103"/>
  <c r="AA213" i="103"/>
  <c r="CI321" i="103"/>
  <c r="CI244" i="103"/>
  <c r="CI27" i="103"/>
  <c r="CI298" i="103"/>
  <c r="CI155" i="103"/>
  <c r="R128" i="58"/>
  <c r="L128" i="58" s="1"/>
  <c r="G13" i="53"/>
  <c r="J13" i="53" s="1"/>
  <c r="AA184" i="103"/>
  <c r="CC344" i="103"/>
  <c r="BX272" i="103"/>
  <c r="AA155" i="103"/>
  <c r="CI68" i="103"/>
  <c r="AA132" i="103"/>
  <c r="AA260" i="103"/>
  <c r="AA181" i="103"/>
  <c r="CC19" i="103"/>
  <c r="CC137" i="103"/>
  <c r="BY231" i="103"/>
  <c r="BW231" i="103" s="1"/>
  <c r="AA131" i="103"/>
  <c r="AA321" i="103"/>
  <c r="BX142" i="103"/>
  <c r="AA220" i="103"/>
  <c r="AE209" i="22"/>
  <c r="CC356" i="103"/>
  <c r="CI158" i="103"/>
  <c r="CC260" i="103"/>
  <c r="CC192" i="103"/>
  <c r="CI280" i="103"/>
  <c r="CI114" i="103"/>
  <c r="CI172" i="103"/>
  <c r="CF144" i="103"/>
  <c r="BX144" i="103"/>
  <c r="AE232" i="22"/>
  <c r="CC211" i="103"/>
  <c r="CC157" i="103"/>
  <c r="BX249" i="103"/>
  <c r="CC364" i="103"/>
  <c r="BX269" i="103"/>
  <c r="CC128" i="103"/>
  <c r="CI355" i="103"/>
  <c r="CI63" i="103"/>
  <c r="CF239" i="103"/>
  <c r="BX239" i="103"/>
  <c r="CC79" i="103"/>
  <c r="CC354" i="103"/>
  <c r="CI162" i="103"/>
  <c r="CI190" i="103"/>
  <c r="BX187" i="103"/>
  <c r="CI295" i="103"/>
  <c r="CC342" i="103"/>
  <c r="BX322" i="103"/>
  <c r="CI40" i="103"/>
  <c r="CC142" i="103"/>
  <c r="AA38" i="103"/>
  <c r="CC341" i="103"/>
  <c r="AA156" i="103"/>
  <c r="G196" i="58"/>
  <c r="AA102" i="103"/>
  <c r="CC205" i="103"/>
  <c r="CF360" i="103"/>
  <c r="BX360" i="103"/>
  <c r="AE154" i="22"/>
  <c r="CC70" i="103"/>
  <c r="BY92" i="103"/>
  <c r="CA92" i="103" s="1"/>
  <c r="I94" i="67" s="1"/>
  <c r="AE93" i="22"/>
  <c r="CC23" i="103"/>
  <c r="BY272" i="103"/>
  <c r="AA180" i="103"/>
  <c r="CC206" i="103"/>
  <c r="CC303" i="103"/>
  <c r="CC201" i="103"/>
  <c r="AA256" i="103"/>
  <c r="AA205" i="103"/>
  <c r="AA258" i="103"/>
  <c r="CI160" i="103"/>
  <c r="AA346" i="103"/>
  <c r="AA112" i="103"/>
  <c r="AA124" i="103"/>
  <c r="CC317" i="103"/>
  <c r="CI240" i="103"/>
  <c r="CC314" i="103"/>
  <c r="CI271" i="103"/>
  <c r="AA244" i="103"/>
  <c r="CI49" i="103"/>
  <c r="CI36" i="103"/>
  <c r="CC162" i="103"/>
  <c r="CI317" i="103"/>
  <c r="CI140" i="103"/>
  <c r="CI262" i="103"/>
  <c r="CC38" i="103"/>
  <c r="CI189" i="103"/>
  <c r="CC359" i="103"/>
  <c r="BY106" i="103"/>
  <c r="CA106" i="103" s="1"/>
  <c r="I109" i="67" s="1"/>
  <c r="CC207" i="103"/>
  <c r="CC13" i="103"/>
  <c r="G127" i="58"/>
  <c r="C44" i="13"/>
  <c r="CI254" i="103"/>
  <c r="CI319" i="103"/>
  <c r="CI56" i="103"/>
  <c r="AA322" i="103"/>
  <c r="AA140" i="103"/>
  <c r="AA135" i="103"/>
  <c r="AA337" i="103"/>
  <c r="AA122" i="103"/>
  <c r="AA335" i="103"/>
  <c r="CF234" i="103"/>
  <c r="BX234" i="103"/>
  <c r="CF85" i="103"/>
  <c r="BX85" i="103"/>
  <c r="CI213" i="103"/>
  <c r="AA47" i="103"/>
  <c r="CC357" i="103"/>
  <c r="CI341" i="103"/>
  <c r="CC269" i="103"/>
  <c r="CC291" i="103"/>
  <c r="AA142" i="103"/>
  <c r="CC158" i="103"/>
  <c r="AA311" i="103"/>
  <c r="BX225" i="103"/>
  <c r="CI133" i="103"/>
  <c r="CI231" i="103"/>
  <c r="CC231" i="103"/>
  <c r="AA69" i="103"/>
  <c r="CI338" i="103"/>
  <c r="CI122" i="103"/>
  <c r="AA252" i="103"/>
  <c r="CI224" i="103"/>
  <c r="CI261" i="103"/>
  <c r="CC221" i="103"/>
  <c r="CI201" i="103"/>
  <c r="AA189" i="103"/>
  <c r="BX154" i="103"/>
  <c r="AA177" i="103"/>
  <c r="AA24" i="103"/>
  <c r="CF297" i="103"/>
  <c r="BX297" i="103"/>
  <c r="CC139" i="103"/>
  <c r="AA101" i="103"/>
  <c r="BY141" i="103"/>
  <c r="R344" i="58"/>
  <c r="L344" i="58" s="1"/>
  <c r="AA30" i="103"/>
  <c r="CC35" i="103"/>
  <c r="AA350" i="103"/>
  <c r="CI142" i="103"/>
  <c r="CC147" i="103"/>
  <c r="CI173" i="103"/>
  <c r="CC318" i="103"/>
  <c r="AA270" i="103"/>
  <c r="BX161" i="103"/>
  <c r="AA266" i="103"/>
  <c r="AA340" i="103"/>
  <c r="CI108" i="103"/>
  <c r="BX152" i="103"/>
  <c r="CC373" i="103"/>
  <c r="BX140" i="103"/>
  <c r="R211" i="58"/>
  <c r="L211" i="58" s="1"/>
  <c r="BX213" i="103"/>
  <c r="CI100" i="103"/>
  <c r="CF321" i="103"/>
  <c r="BX321" i="103"/>
  <c r="R375" i="58"/>
  <c r="L375" i="58" s="1"/>
  <c r="BY243" i="103"/>
  <c r="CA243" i="103" s="1"/>
  <c r="I250" i="67" s="1"/>
  <c r="BY218" i="103"/>
  <c r="CA218" i="103" s="1"/>
  <c r="I224" i="67" s="1"/>
  <c r="AE244" i="22"/>
  <c r="AA280" i="103"/>
  <c r="AE219" i="22"/>
  <c r="CC266" i="103"/>
  <c r="CC95" i="103"/>
  <c r="CC324" i="103"/>
  <c r="AA308" i="103"/>
  <c r="BY203" i="103"/>
  <c r="CC225" i="103"/>
  <c r="AE204" i="22"/>
  <c r="AA62" i="103"/>
  <c r="CF74" i="103"/>
  <c r="BX74" i="103"/>
  <c r="CI20" i="103"/>
  <c r="BY47" i="103"/>
  <c r="CA47" i="103" s="1"/>
  <c r="I48" i="67" s="1"/>
  <c r="R261" i="58"/>
  <c r="L261" i="58" s="1"/>
  <c r="AE48" i="22"/>
  <c r="AA196" i="103"/>
  <c r="CC146" i="103"/>
  <c r="CC297" i="103"/>
  <c r="AA324" i="103"/>
  <c r="CI268" i="103"/>
  <c r="BY114" i="103"/>
  <c r="CA114" i="103" s="1"/>
  <c r="I117" i="67" s="1"/>
  <c r="N14" i="64"/>
  <c r="N11" i="64"/>
  <c r="N12" i="64"/>
  <c r="AA271" i="103"/>
  <c r="AA243" i="103"/>
  <c r="CF216" i="103"/>
  <c r="BX216" i="103"/>
  <c r="CF170" i="103"/>
  <c r="BX170" i="103"/>
  <c r="CF135" i="103"/>
  <c r="BX135" i="103"/>
  <c r="CI292" i="103"/>
  <c r="BX210" i="103"/>
  <c r="BY38" i="103"/>
  <c r="CA38" i="103" s="1"/>
  <c r="I38" i="67" s="1"/>
  <c r="BX261" i="103"/>
  <c r="AA342" i="103"/>
  <c r="BX310" i="103"/>
  <c r="BX353" i="103"/>
  <c r="CH217" i="103"/>
  <c r="CC138" i="103"/>
  <c r="AA39" i="103"/>
  <c r="BY323" i="103"/>
  <c r="CC14" i="103"/>
  <c r="CI347" i="103"/>
  <c r="CC214" i="103"/>
  <c r="CI312" i="103"/>
  <c r="BX153" i="103"/>
  <c r="CC29" i="103"/>
  <c r="AA199" i="103"/>
  <c r="BY196" i="103"/>
  <c r="BW196" i="103" s="1"/>
  <c r="AA152" i="103"/>
  <c r="CI119" i="103"/>
  <c r="CI187" i="103"/>
  <c r="AA341" i="103"/>
  <c r="AE197" i="22"/>
  <c r="CI46" i="103"/>
  <c r="AA125" i="103"/>
  <c r="BX241" i="103"/>
  <c r="CI263" i="103"/>
  <c r="AA222" i="103"/>
  <c r="AA327" i="103"/>
  <c r="CC188" i="103"/>
  <c r="CI327" i="103"/>
  <c r="CC62" i="103"/>
  <c r="AA87" i="103"/>
  <c r="CI336" i="103"/>
  <c r="CC353" i="103"/>
  <c r="C113" i="13"/>
  <c r="CI309" i="103"/>
  <c r="CI234" i="103"/>
  <c r="CI333" i="103"/>
  <c r="CC76" i="103"/>
  <c r="BY270" i="103"/>
  <c r="CF301" i="103"/>
  <c r="BX301" i="103"/>
  <c r="CF285" i="103"/>
  <c r="CF212" i="103"/>
  <c r="BX212" i="103"/>
  <c r="CF352" i="103"/>
  <c r="BX352" i="103"/>
  <c r="CF287" i="103"/>
  <c r="BX287" i="103"/>
  <c r="R259" i="58"/>
  <c r="L259" i="58" s="1"/>
  <c r="AE274" i="22"/>
  <c r="BY285" i="103"/>
  <c r="BX357" i="103"/>
  <c r="G304" i="58"/>
  <c r="BX339" i="103"/>
  <c r="CC103" i="103"/>
  <c r="CC59" i="103"/>
  <c r="AE266" i="22"/>
  <c r="R273" i="58"/>
  <c r="L273" i="58" s="1"/>
  <c r="CC258" i="103"/>
  <c r="CC108" i="103"/>
  <c r="G201" i="58"/>
  <c r="CI204" i="103"/>
  <c r="CC123" i="103"/>
  <c r="CC175" i="103"/>
  <c r="CC159" i="103"/>
  <c r="AE105" i="22"/>
  <c r="CC326" i="103"/>
  <c r="AA314" i="103"/>
  <c r="CC349" i="103"/>
  <c r="CC156" i="103"/>
  <c r="BY311" i="103"/>
  <c r="AA65" i="103"/>
  <c r="AA313" i="103"/>
  <c r="AA74" i="103"/>
  <c r="AA71" i="103"/>
  <c r="BY78" i="103"/>
  <c r="CA78" i="103" s="1"/>
  <c r="I80" i="67" s="1"/>
  <c r="CI343" i="103"/>
  <c r="BY259" i="103"/>
  <c r="AE79" i="22"/>
  <c r="CC228" i="103"/>
  <c r="CI92" i="103"/>
  <c r="CI38" i="103"/>
  <c r="CI233" i="103"/>
  <c r="AA240" i="103"/>
  <c r="BX359" i="103"/>
  <c r="CI286" i="103"/>
  <c r="CF318" i="103"/>
  <c r="BX318" i="103"/>
  <c r="CF71" i="103"/>
  <c r="BX71" i="103"/>
  <c r="CF342" i="103"/>
  <c r="BX342" i="103"/>
  <c r="CF336" i="103"/>
  <c r="BX336" i="103"/>
  <c r="CF237" i="103"/>
  <c r="BX237" i="103"/>
  <c r="CF156" i="103"/>
  <c r="BX156" i="103"/>
  <c r="CF157" i="103"/>
  <c r="BX157" i="103"/>
  <c r="AA237" i="103"/>
  <c r="BX337" i="103"/>
  <c r="CI130" i="103"/>
  <c r="AA119" i="103"/>
  <c r="R283" i="58"/>
  <c r="L283" i="58" s="1"/>
  <c r="AE107" i="22"/>
  <c r="BY224" i="103"/>
  <c r="BW224" i="103" s="1"/>
  <c r="BY372" i="103"/>
  <c r="BX100" i="103"/>
  <c r="BY357" i="103"/>
  <c r="BY199" i="103"/>
  <c r="CC239" i="103"/>
  <c r="AE225" i="22"/>
  <c r="CI330" i="103"/>
  <c r="G53" i="58"/>
  <c r="AA70" i="103"/>
  <c r="CI88" i="103"/>
  <c r="AE200" i="22"/>
  <c r="CC234" i="103"/>
  <c r="BY200" i="103"/>
  <c r="CA200" i="103" s="1"/>
  <c r="I206" i="67" s="1"/>
  <c r="BX133" i="103"/>
  <c r="AE201" i="22"/>
  <c r="BY240" i="103"/>
  <c r="CI41" i="103"/>
  <c r="G280" i="58"/>
  <c r="CC350" i="103"/>
  <c r="AE241" i="22"/>
  <c r="G193" i="58"/>
  <c r="CC185" i="103"/>
  <c r="AA25" i="103"/>
  <c r="BY316" i="103"/>
  <c r="CA316" i="103" s="1"/>
  <c r="BY30" i="103"/>
  <c r="CA30" i="103" s="1"/>
  <c r="I30" i="67" s="1"/>
  <c r="BX222" i="103"/>
  <c r="CC218" i="103"/>
  <c r="CI117" i="103"/>
  <c r="CC94" i="103"/>
  <c r="CI91" i="103"/>
  <c r="AE31" i="22"/>
  <c r="G189" i="58"/>
  <c r="CC154" i="103"/>
  <c r="AA13" i="103"/>
  <c r="CI329" i="103"/>
  <c r="CF369" i="103"/>
  <c r="BX369" i="103"/>
  <c r="CF174" i="103"/>
  <c r="BX174" i="103"/>
  <c r="CC209" i="103"/>
  <c r="BY266" i="103"/>
  <c r="CI97" i="103"/>
  <c r="BY320" i="103"/>
  <c r="CA320" i="103" s="1"/>
  <c r="AE267" i="22"/>
  <c r="G291" i="58"/>
  <c r="CF246" i="103"/>
  <c r="BX246" i="103"/>
  <c r="CF358" i="103"/>
  <c r="BX358" i="103"/>
  <c r="CF319" i="103"/>
  <c r="BX319" i="103"/>
  <c r="AE212" i="22"/>
  <c r="CC20" i="103"/>
  <c r="AE142" i="22"/>
  <c r="CI107" i="103"/>
  <c r="CC81" i="103"/>
  <c r="BY278" i="103"/>
  <c r="AE279" i="22"/>
  <c r="G292" i="58"/>
  <c r="AE19" i="22"/>
  <c r="BY123" i="103"/>
  <c r="CA123" i="103" s="1"/>
  <c r="I126" i="67" s="1"/>
  <c r="CI95" i="103"/>
  <c r="BY20" i="103"/>
  <c r="CA20" i="103" s="1"/>
  <c r="I20" i="67" s="1"/>
  <c r="CI28" i="103"/>
  <c r="G11" i="53"/>
  <c r="J11" i="53" s="1"/>
  <c r="AE21" i="22"/>
  <c r="AA265" i="103"/>
  <c r="AA66" i="103"/>
  <c r="AE61" i="22"/>
  <c r="BY101" i="103"/>
  <c r="R111" i="58"/>
  <c r="L111" i="58" s="1"/>
  <c r="R60" i="58"/>
  <c r="L60" i="58" s="1"/>
  <c r="AE102" i="22"/>
  <c r="G134" i="58"/>
  <c r="CC86" i="103"/>
  <c r="CI15" i="103"/>
  <c r="CC75" i="103"/>
  <c r="CF158" i="103"/>
  <c r="BX158" i="103"/>
  <c r="CI17" i="103"/>
  <c r="AA309" i="103"/>
  <c r="CB34" i="103"/>
  <c r="L34" i="67" s="1"/>
  <c r="BX69" i="103"/>
  <c r="CC252" i="103"/>
  <c r="AA274" i="103"/>
  <c r="CI23" i="103"/>
  <c r="CC172" i="103"/>
  <c r="AA217" i="103"/>
  <c r="CC111" i="103"/>
  <c r="G58" i="58"/>
  <c r="CC83" i="103"/>
  <c r="AA113" i="103"/>
  <c r="G16" i="58"/>
  <c r="CC18" i="103"/>
  <c r="AA19" i="103"/>
  <c r="BY131" i="103"/>
  <c r="CF89" i="103"/>
  <c r="CC101" i="103"/>
  <c r="BX122" i="103"/>
  <c r="CC67" i="103"/>
  <c r="AE132" i="22"/>
  <c r="CC80" i="103"/>
  <c r="G61" i="58"/>
  <c r="AA60" i="103"/>
  <c r="AA162" i="103"/>
  <c r="CI98" i="103"/>
  <c r="G10" i="53"/>
  <c r="J10" i="53" s="1"/>
  <c r="CC32" i="103"/>
  <c r="CF191" i="103"/>
  <c r="BX191" i="103"/>
  <c r="CF370" i="103"/>
  <c r="BX370" i="103"/>
  <c r="CF201" i="103"/>
  <c r="BX201" i="103"/>
  <c r="BX155" i="103"/>
  <c r="AA212" i="103"/>
  <c r="BX268" i="103"/>
  <c r="AA338" i="103"/>
  <c r="G130" i="58"/>
  <c r="CC143" i="103"/>
  <c r="CF373" i="103"/>
  <c r="AA51" i="103"/>
  <c r="BY208" i="103"/>
  <c r="BY75" i="103"/>
  <c r="CC176" i="103"/>
  <c r="AA355" i="103"/>
  <c r="AA278" i="103"/>
  <c r="AA214" i="103"/>
  <c r="CC368" i="103"/>
  <c r="BX347" i="103"/>
  <c r="AA307" i="103"/>
  <c r="BY138" i="103"/>
  <c r="CA138" i="103" s="1"/>
  <c r="I142" i="67" s="1"/>
  <c r="G21" i="58"/>
  <c r="AE76" i="22"/>
  <c r="BY89" i="103"/>
  <c r="CA89" i="103" s="1"/>
  <c r="I91" i="67" s="1"/>
  <c r="AA277" i="103"/>
  <c r="G16" i="53"/>
  <c r="J16" i="53" s="1"/>
  <c r="CI342" i="103"/>
  <c r="CC307" i="103"/>
  <c r="CC223" i="103"/>
  <c r="AA281" i="103"/>
  <c r="BY297" i="103"/>
  <c r="CI39" i="103"/>
  <c r="AE139" i="22"/>
  <c r="BY275" i="103"/>
  <c r="AE90" i="22"/>
  <c r="BY33" i="103"/>
  <c r="CA33" i="103" s="1"/>
  <c r="I33" i="67" s="1"/>
  <c r="CI256" i="103"/>
  <c r="G288" i="58"/>
  <c r="AA282" i="103"/>
  <c r="BX293" i="103"/>
  <c r="CI13" i="103"/>
  <c r="AE34" i="22"/>
  <c r="BY98" i="103"/>
  <c r="CA98" i="103" s="1"/>
  <c r="I100" i="67" s="1"/>
  <c r="AA90" i="103"/>
  <c r="AA345" i="103"/>
  <c r="AA267" i="103"/>
  <c r="CC98" i="103"/>
  <c r="AE276" i="22"/>
  <c r="AE99" i="22"/>
  <c r="CI304" i="103"/>
  <c r="CC120" i="103"/>
  <c r="AA115" i="103"/>
  <c r="BY288" i="103"/>
  <c r="BY246" i="103"/>
  <c r="CA246" i="103" s="1"/>
  <c r="I253" i="67" s="1"/>
  <c r="CI365" i="103"/>
  <c r="CI301" i="103"/>
  <c r="CC127" i="103"/>
  <c r="CC99" i="103"/>
  <c r="AA41" i="103"/>
  <c r="CI51" i="103"/>
  <c r="AA16" i="103"/>
  <c r="G174" i="58"/>
  <c r="CC173" i="103"/>
  <c r="BX236" i="103"/>
  <c r="CI306" i="103"/>
  <c r="BY151" i="103"/>
  <c r="CA151" i="103" s="1"/>
  <c r="I155" i="67" s="1"/>
  <c r="BX345" i="103"/>
  <c r="G83" i="58"/>
  <c r="AA31" i="103"/>
  <c r="CC11" i="103"/>
  <c r="CC194" i="103"/>
  <c r="G295" i="58"/>
  <c r="CH364" i="103"/>
  <c r="CC351" i="103"/>
  <c r="G225" i="58"/>
  <c r="BX238" i="103"/>
  <c r="AE152" i="22"/>
  <c r="CI14" i="103"/>
  <c r="BY341" i="103"/>
  <c r="BX327" i="103"/>
  <c r="CI322" i="103"/>
  <c r="AA195" i="103"/>
  <c r="CI311" i="103"/>
  <c r="CI265" i="103"/>
  <c r="CF233" i="103"/>
  <c r="BX233" i="103"/>
  <c r="CF303" i="103"/>
  <c r="BX303" i="103"/>
  <c r="CF374" i="103"/>
  <c r="BX374" i="103"/>
  <c r="CF314" i="103"/>
  <c r="BX314" i="103"/>
  <c r="CF195" i="103"/>
  <c r="BX195" i="103"/>
  <c r="CF92" i="103"/>
  <c r="BX92" i="103"/>
  <c r="AA330" i="103"/>
  <c r="BX335" i="103"/>
  <c r="AA316" i="103"/>
  <c r="BX218" i="103"/>
  <c r="CI314" i="103"/>
  <c r="BY104" i="103"/>
  <c r="CB77" i="103"/>
  <c r="L79" i="67" s="1"/>
  <c r="G348" i="58"/>
  <c r="CC362" i="103"/>
  <c r="BY348" i="103"/>
  <c r="CC323" i="103"/>
  <c r="CC272" i="103"/>
  <c r="AE70" i="22"/>
  <c r="BY300" i="103"/>
  <c r="BY239" i="103"/>
  <c r="BX160" i="103"/>
  <c r="AA197" i="103"/>
  <c r="BX307" i="103"/>
  <c r="AA259" i="103"/>
  <c r="BY294" i="103"/>
  <c r="AE271" i="22"/>
  <c r="AE240" i="22"/>
  <c r="AA216" i="103"/>
  <c r="AA374" i="103"/>
  <c r="CH110" i="103"/>
  <c r="CI247" i="103"/>
  <c r="AA139" i="103"/>
  <c r="G63" i="58"/>
  <c r="CI58" i="103"/>
  <c r="BX94" i="103"/>
  <c r="BY230" i="103"/>
  <c r="CA230" i="103" s="1"/>
  <c r="I237" i="67" s="1"/>
  <c r="BY120" i="103"/>
  <c r="CA120" i="103" s="1"/>
  <c r="I123" i="67" s="1"/>
  <c r="CH335" i="103"/>
  <c r="AA127" i="103"/>
  <c r="CC265" i="103"/>
  <c r="CI179" i="103"/>
  <c r="BX83" i="103"/>
  <c r="AA36" i="103"/>
  <c r="AE121" i="22"/>
  <c r="CC316" i="103"/>
  <c r="CC39" i="103"/>
  <c r="CC181" i="103"/>
  <c r="G136" i="58"/>
  <c r="CI227" i="103"/>
  <c r="BX232" i="103"/>
  <c r="BY41" i="103"/>
  <c r="BW41" i="103" s="1"/>
  <c r="AE42" i="22"/>
  <c r="CB47" i="103"/>
  <c r="L48" i="67" s="1"/>
  <c r="G154" i="58"/>
  <c r="CI194" i="103"/>
  <c r="AA187" i="103"/>
  <c r="G164" i="58"/>
  <c r="CC186" i="103"/>
  <c r="BX138" i="103"/>
  <c r="BX291" i="103"/>
  <c r="CF304" i="103"/>
  <c r="BX304" i="103"/>
  <c r="CF192" i="103"/>
  <c r="BX192" i="103"/>
  <c r="CF126" i="103"/>
  <c r="BX126" i="103"/>
  <c r="CF324" i="103"/>
  <c r="BX324" i="103"/>
  <c r="CF95" i="103"/>
  <c r="BX95" i="103"/>
  <c r="CF328" i="103"/>
  <c r="BX328" i="103"/>
  <c r="CF366" i="103"/>
  <c r="BX366" i="103"/>
  <c r="CC343" i="103"/>
  <c r="CF196" i="103"/>
  <c r="G303" i="58"/>
  <c r="CC338" i="103"/>
  <c r="AE268" i="22"/>
  <c r="BX228" i="103"/>
  <c r="CH212" i="103"/>
  <c r="CC42" i="103"/>
  <c r="AA54" i="103"/>
  <c r="BY260" i="103"/>
  <c r="BY261" i="103"/>
  <c r="R267" i="58"/>
  <c r="L267" i="58" s="1"/>
  <c r="AA348" i="103"/>
  <c r="G207" i="58"/>
  <c r="BW375" i="103"/>
  <c r="CI372" i="103"/>
  <c r="CC191" i="103"/>
  <c r="CI188" i="103"/>
  <c r="CI258" i="103"/>
  <c r="BX178" i="103"/>
  <c r="CD368" i="103"/>
  <c r="BX368" i="103" s="1"/>
  <c r="CC78" i="103"/>
  <c r="CI22" i="103"/>
  <c r="BY117" i="103"/>
  <c r="BX137" i="103"/>
  <c r="CI89" i="103"/>
  <c r="CC189" i="103"/>
  <c r="BX139" i="103"/>
  <c r="BX134" i="103"/>
  <c r="CH348" i="103"/>
  <c r="CC271" i="103"/>
  <c r="AA183" i="103"/>
  <c r="AA171" i="103"/>
  <c r="AA37" i="103"/>
  <c r="CI47" i="103"/>
  <c r="CI80" i="103"/>
  <c r="AE118" i="22"/>
  <c r="CH196" i="103"/>
  <c r="CC346" i="103"/>
  <c r="BX166" i="103"/>
  <c r="BX172" i="103"/>
  <c r="AA28" i="103"/>
  <c r="CC16" i="103"/>
  <c r="CC68" i="103"/>
  <c r="BY303" i="103"/>
  <c r="AE231" i="22"/>
  <c r="CC165" i="103"/>
  <c r="CI374" i="103"/>
  <c r="CI289" i="103"/>
  <c r="BX267" i="103"/>
  <c r="G145" i="58"/>
  <c r="CC198" i="103"/>
  <c r="CC348" i="103"/>
  <c r="CI93" i="103"/>
  <c r="BY66" i="103"/>
  <c r="BW66" i="103" s="1"/>
  <c r="BB380" i="103"/>
  <c r="CI253" i="103"/>
  <c r="AA272" i="103"/>
  <c r="AA219" i="103"/>
  <c r="G14" i="53"/>
  <c r="J14" i="53" s="1"/>
  <c r="CI61" i="103"/>
  <c r="AE67" i="22"/>
  <c r="AA116" i="103"/>
  <c r="G19" i="58"/>
  <c r="CI44" i="103"/>
  <c r="G346" i="58"/>
  <c r="AA241" i="103"/>
  <c r="BX136" i="103"/>
  <c r="BX372" i="103"/>
  <c r="G8" i="53"/>
  <c r="J8" i="53" s="1"/>
  <c r="BY44" i="103"/>
  <c r="CA44" i="103" s="1"/>
  <c r="I45" i="67" s="1"/>
  <c r="CI123" i="103"/>
  <c r="BX302" i="103"/>
  <c r="AA75" i="103"/>
  <c r="AE45" i="22"/>
  <c r="CI111" i="103"/>
  <c r="AA372" i="103"/>
  <c r="CC242" i="103"/>
  <c r="BX240" i="103"/>
  <c r="BX350" i="103"/>
  <c r="BX255" i="103"/>
  <c r="CF206" i="103"/>
  <c r="BX206" i="103"/>
  <c r="CF146" i="103"/>
  <c r="BX146" i="103"/>
  <c r="CF65" i="103"/>
  <c r="BX65" i="103"/>
  <c r="CF60" i="103"/>
  <c r="BX60" i="103"/>
  <c r="CF323" i="103"/>
  <c r="BX323" i="103"/>
  <c r="CF86" i="103"/>
  <c r="BX86" i="103"/>
  <c r="CF375" i="103"/>
  <c r="BX375" i="103"/>
  <c r="CF355" i="103"/>
  <c r="BX355" i="103"/>
  <c r="CF367" i="103"/>
  <c r="BX367" i="103"/>
  <c r="CF50" i="103"/>
  <c r="BX50" i="103"/>
  <c r="CF107" i="103"/>
  <c r="BX107" i="103"/>
  <c r="CF354" i="103"/>
  <c r="BX354" i="103"/>
  <c r="CF226" i="103"/>
  <c r="BX226" i="103"/>
  <c r="G374" i="58"/>
  <c r="G128" i="58"/>
  <c r="AA105" i="103"/>
  <c r="G139" i="58"/>
  <c r="BX167" i="103"/>
  <c r="CC300" i="103"/>
  <c r="CD131" i="103"/>
  <c r="BX131" i="103" s="1"/>
  <c r="CC54" i="103"/>
  <c r="CI33" i="103"/>
  <c r="R214" i="58"/>
  <c r="L214" i="58" s="1"/>
  <c r="BY209" i="103"/>
  <c r="CA209" i="103" s="1"/>
  <c r="I215" i="67" s="1"/>
  <c r="CH316" i="103"/>
  <c r="CC369" i="103"/>
  <c r="CI32" i="103"/>
  <c r="AE210" i="22"/>
  <c r="AA370" i="103"/>
  <c r="BX361" i="103"/>
  <c r="BX214" i="103"/>
  <c r="CI340" i="103"/>
  <c r="CH294" i="103"/>
  <c r="CI220" i="103"/>
  <c r="AA121" i="103"/>
  <c r="CC227" i="103"/>
  <c r="BX252" i="103"/>
  <c r="AE247" i="22"/>
  <c r="BY135" i="103"/>
  <c r="BX78" i="103"/>
  <c r="BY126" i="103"/>
  <c r="CA126" i="103" s="1"/>
  <c r="I129" i="67" s="1"/>
  <c r="CH66" i="103"/>
  <c r="G18" i="53"/>
  <c r="J18" i="53" s="1"/>
  <c r="AA158" i="103"/>
  <c r="CC144" i="103"/>
  <c r="BW344" i="103"/>
  <c r="BX266" i="103"/>
  <c r="CF254" i="103"/>
  <c r="CF282" i="103"/>
  <c r="AA59" i="103"/>
  <c r="AE136" i="22"/>
  <c r="AE127" i="22"/>
  <c r="BY269" i="103"/>
  <c r="G310" i="58"/>
  <c r="BX311" i="103"/>
  <c r="BX88" i="103"/>
  <c r="BY23" i="103"/>
  <c r="BY83" i="103"/>
  <c r="CA83" i="103" s="1"/>
  <c r="I85" i="67" s="1"/>
  <c r="CI228" i="103"/>
  <c r="AA56" i="103"/>
  <c r="CI48" i="103"/>
  <c r="BY338" i="103"/>
  <c r="AE270" i="22"/>
  <c r="AE24" i="22"/>
  <c r="AE84" i="22"/>
  <c r="CC361" i="103"/>
  <c r="BX219" i="103"/>
  <c r="CC134" i="103"/>
  <c r="CC370" i="103"/>
  <c r="BX200" i="103"/>
  <c r="BX68" i="103"/>
  <c r="CC21" i="103"/>
  <c r="CC224" i="103"/>
  <c r="G141" i="58"/>
  <c r="BX159" i="103"/>
  <c r="CC141" i="103"/>
  <c r="CI198" i="103"/>
  <c r="CC213" i="103"/>
  <c r="BX364" i="103"/>
  <c r="CC96" i="103"/>
  <c r="G15" i="58"/>
  <c r="BY169" i="103"/>
  <c r="AA109" i="103"/>
  <c r="CC311" i="103"/>
  <c r="CC320" i="103"/>
  <c r="BX177" i="103"/>
  <c r="BX163" i="103"/>
  <c r="BY291" i="103"/>
  <c r="AA42" i="103"/>
  <c r="AE170" i="22"/>
  <c r="BY214" i="103"/>
  <c r="BY84" i="103"/>
  <c r="BW84" i="103" s="1"/>
  <c r="CH331" i="103"/>
  <c r="CB282" i="103"/>
  <c r="G18" i="58"/>
  <c r="CC45" i="103"/>
  <c r="CI116" i="103"/>
  <c r="G350" i="58"/>
  <c r="CH337" i="103"/>
  <c r="CI351" i="103"/>
  <c r="AA163" i="103"/>
  <c r="AA268" i="103"/>
  <c r="AA223" i="103"/>
  <c r="AA136" i="103"/>
  <c r="CB28" i="103"/>
  <c r="L28" i="67" s="1"/>
  <c r="CH134" i="103"/>
  <c r="CB296" i="103"/>
  <c r="CB163" i="103"/>
  <c r="L168" i="67" s="1"/>
  <c r="CH353" i="103"/>
  <c r="CF165" i="103"/>
  <c r="CH243" i="103"/>
  <c r="AA297" i="103"/>
  <c r="AA192" i="103"/>
  <c r="CC197" i="103"/>
  <c r="CH307" i="103"/>
  <c r="CF66" i="103"/>
  <c r="G282" i="58"/>
  <c r="AA357" i="103"/>
  <c r="CH350" i="103"/>
  <c r="BX279" i="103"/>
  <c r="AA238" i="103"/>
  <c r="CF120" i="103"/>
  <c r="BX120" i="103"/>
  <c r="CF363" i="103"/>
  <c r="BX363" i="103"/>
  <c r="CF179" i="103"/>
  <c r="BX179" i="103"/>
  <c r="CF189" i="103"/>
  <c r="BX189" i="103"/>
  <c r="CF351" i="103"/>
  <c r="BX351" i="103"/>
  <c r="CF151" i="103"/>
  <c r="BX151" i="103"/>
  <c r="CF306" i="103"/>
  <c r="BX306" i="103"/>
  <c r="CF108" i="103"/>
  <c r="BX108" i="103"/>
  <c r="CF209" i="103"/>
  <c r="BX209" i="103"/>
  <c r="CF333" i="103"/>
  <c r="BX333" i="103"/>
  <c r="CF317" i="103"/>
  <c r="BX317" i="103"/>
  <c r="CF332" i="103"/>
  <c r="BX332" i="103"/>
  <c r="CF300" i="103"/>
  <c r="BX300" i="103"/>
  <c r="CF344" i="103"/>
  <c r="BX344" i="103"/>
  <c r="CF186" i="103"/>
  <c r="BX186" i="103"/>
  <c r="CF312" i="103"/>
  <c r="BX312" i="103"/>
  <c r="CF253" i="103"/>
  <c r="BX253" i="103"/>
  <c r="CF242" i="103"/>
  <c r="BX242" i="103"/>
  <c r="CF338" i="103"/>
  <c r="BX338" i="103"/>
  <c r="CF326" i="103"/>
  <c r="BX326" i="103"/>
  <c r="CF123" i="103"/>
  <c r="BX123" i="103"/>
  <c r="CF182" i="103"/>
  <c r="BX182" i="103"/>
  <c r="CF125" i="103"/>
  <c r="BX125" i="103"/>
  <c r="CF38" i="103"/>
  <c r="BX38" i="103"/>
  <c r="CF309" i="103"/>
  <c r="BX309" i="103"/>
  <c r="CF24" i="103"/>
  <c r="BX24" i="103"/>
  <c r="CF244" i="103"/>
  <c r="BX244" i="103"/>
  <c r="CF296" i="103"/>
  <c r="BX296" i="103"/>
  <c r="CF117" i="103"/>
  <c r="BX117" i="103"/>
  <c r="CF290" i="103"/>
  <c r="BX290" i="103"/>
  <c r="CF104" i="103"/>
  <c r="BX104" i="103"/>
  <c r="CF299" i="103"/>
  <c r="BX299" i="103"/>
  <c r="CF54" i="103"/>
  <c r="BX54" i="103"/>
  <c r="AA145" i="103"/>
  <c r="BX308" i="103"/>
  <c r="CB290" i="103"/>
  <c r="BX271" i="103"/>
  <c r="CH195" i="103"/>
  <c r="CI153" i="103"/>
  <c r="BX331" i="103"/>
  <c r="CH135" i="103"/>
  <c r="CH352" i="103"/>
  <c r="CF365" i="103"/>
  <c r="BY156" i="103"/>
  <c r="CB309" i="103"/>
  <c r="CH43" i="103"/>
  <c r="CB12" i="103"/>
  <c r="L12" i="67" s="1"/>
  <c r="CI25" i="103"/>
  <c r="CF53" i="103"/>
  <c r="CB321" i="103"/>
  <c r="BY245" i="103"/>
  <c r="BY51" i="103"/>
  <c r="CF91" i="103"/>
  <c r="AE115" i="22"/>
  <c r="CH170" i="103"/>
  <c r="BX224" i="103"/>
  <c r="BX247" i="103"/>
  <c r="CH132" i="103"/>
  <c r="CI320" i="103"/>
  <c r="G281" i="58"/>
  <c r="AA234" i="103"/>
  <c r="CB166" i="103"/>
  <c r="L171" i="67" s="1"/>
  <c r="BY234" i="103"/>
  <c r="BW234" i="103" s="1"/>
  <c r="BX273" i="103"/>
  <c r="CC196" i="103"/>
  <c r="CH211" i="103"/>
  <c r="BX183" i="103"/>
  <c r="AA351" i="103"/>
  <c r="AA310" i="103"/>
  <c r="CC237" i="103"/>
  <c r="G220" i="58"/>
  <c r="G96" i="58"/>
  <c r="G279" i="58"/>
  <c r="CH248" i="103"/>
  <c r="CC208" i="103"/>
  <c r="G285" i="58"/>
  <c r="BX346" i="103"/>
  <c r="BX330" i="103"/>
  <c r="AA285" i="103"/>
  <c r="BX250" i="103"/>
  <c r="CH202" i="103"/>
  <c r="CF230" i="103"/>
  <c r="BX77" i="103"/>
  <c r="G64" i="58"/>
  <c r="BX59" i="103"/>
  <c r="CI11" i="103"/>
  <c r="BX98" i="103"/>
  <c r="AE157" i="22"/>
  <c r="CI94" i="103"/>
  <c r="AA110" i="103"/>
  <c r="CC15" i="103"/>
  <c r="BY271" i="103"/>
  <c r="BY81" i="103"/>
  <c r="CH54" i="103"/>
  <c r="AE246" i="22"/>
  <c r="AE52" i="22"/>
  <c r="CB73" i="103"/>
  <c r="L75" i="67" s="1"/>
  <c r="R18" i="58"/>
  <c r="L18" i="58" s="1"/>
  <c r="AE85" i="22"/>
  <c r="CH55" i="103"/>
  <c r="AA190" i="103"/>
  <c r="CC160" i="103"/>
  <c r="BX162" i="103"/>
  <c r="G371" i="58"/>
  <c r="CI264" i="103"/>
  <c r="CH165" i="103"/>
  <c r="CB287" i="103"/>
  <c r="AE235" i="22"/>
  <c r="CI191" i="103"/>
  <c r="BX188" i="103"/>
  <c r="CC136" i="103"/>
  <c r="CI226" i="103"/>
  <c r="G93" i="58"/>
  <c r="CC285" i="103"/>
  <c r="CI219" i="103"/>
  <c r="BX316" i="103"/>
  <c r="CI104" i="103"/>
  <c r="CD371" i="103"/>
  <c r="BX371" i="103" s="1"/>
  <c r="BY206" i="103"/>
  <c r="G77" i="58"/>
  <c r="CD295" i="103"/>
  <c r="BX295" i="103" s="1"/>
  <c r="AA34" i="103"/>
  <c r="CD298" i="103"/>
  <c r="BX298" i="103" s="1"/>
  <c r="AA27" i="103"/>
  <c r="G48" i="58"/>
  <c r="BX32" i="103"/>
  <c r="BY308" i="103"/>
  <c r="BY263" i="103"/>
  <c r="CI84" i="103"/>
  <c r="AE82" i="22"/>
  <c r="BY264" i="103"/>
  <c r="BY111" i="103"/>
  <c r="G204" i="58"/>
  <c r="AA375" i="103"/>
  <c r="AA312" i="103"/>
  <c r="CC245" i="103"/>
  <c r="CC174" i="103"/>
  <c r="CB151" i="103"/>
  <c r="L155" i="67" s="1"/>
  <c r="G151" i="58"/>
  <c r="CB332" i="103"/>
  <c r="BX270" i="103"/>
  <c r="BX223" i="103"/>
  <c r="BX141" i="103"/>
  <c r="AA275" i="103"/>
  <c r="BX215" i="103"/>
  <c r="BX260" i="103"/>
  <c r="CB277" i="103"/>
  <c r="G300" i="58"/>
  <c r="CI241" i="103"/>
  <c r="G143" i="58"/>
  <c r="BX145" i="103"/>
  <c r="CF197" i="103"/>
  <c r="CI37" i="103"/>
  <c r="G55" i="58"/>
  <c r="BY153" i="103"/>
  <c r="G78" i="58"/>
  <c r="AE272" i="22"/>
  <c r="AE264" i="22"/>
  <c r="BX207" i="103"/>
  <c r="BY25" i="103"/>
  <c r="CI275" i="103"/>
  <c r="BX229" i="103"/>
  <c r="G286" i="58"/>
  <c r="AA226" i="103"/>
  <c r="CC117" i="103"/>
  <c r="BX356" i="103"/>
  <c r="CI318" i="103"/>
  <c r="G171" i="58"/>
  <c r="CC114" i="103"/>
  <c r="CH290" i="103"/>
  <c r="BX217" i="103"/>
  <c r="G297" i="58"/>
  <c r="CI242" i="103"/>
  <c r="CC126" i="103"/>
  <c r="CH71" i="103"/>
  <c r="G24" i="58"/>
  <c r="CF149" i="103"/>
  <c r="BY268" i="103"/>
  <c r="CA268" i="103" s="1"/>
  <c r="I276" i="67" s="1"/>
  <c r="CH72" i="103"/>
  <c r="AE26" i="22"/>
  <c r="BX349" i="103"/>
  <c r="G144" i="58"/>
  <c r="CH150" i="103"/>
  <c r="AA118" i="103"/>
  <c r="AA352" i="103"/>
  <c r="CC367" i="103"/>
  <c r="G307" i="58"/>
  <c r="CH207" i="103"/>
  <c r="AA319" i="103"/>
  <c r="BX114" i="103"/>
  <c r="G142" i="58"/>
  <c r="BX169" i="103"/>
  <c r="BX180" i="103"/>
  <c r="BX164" i="103"/>
  <c r="AA149" i="103"/>
  <c r="CH245" i="103"/>
  <c r="CI101" i="103"/>
  <c r="CC57" i="103"/>
  <c r="G40" i="58"/>
  <c r="AA33" i="103"/>
  <c r="BY317" i="103"/>
  <c r="BW317" i="103" s="1"/>
  <c r="CI16" i="103"/>
  <c r="AA17" i="103"/>
  <c r="CI127" i="103"/>
  <c r="AA68" i="103"/>
  <c r="BX35" i="103"/>
  <c r="AE273" i="22"/>
  <c r="BX47" i="103"/>
  <c r="CH64" i="103"/>
  <c r="AE124" i="22"/>
  <c r="G60" i="58"/>
  <c r="BX329" i="103"/>
  <c r="BB381" i="103"/>
  <c r="CI344" i="103"/>
  <c r="BK384" i="103"/>
  <c r="BK388" i="103" s="1"/>
  <c r="G17" i="53"/>
  <c r="J17" i="53" s="1"/>
  <c r="BX220" i="103"/>
  <c r="BX198" i="103"/>
  <c r="BX320" i="103"/>
  <c r="BX203" i="103"/>
  <c r="CI126" i="103"/>
  <c r="G102" i="58"/>
  <c r="CC203" i="103"/>
  <c r="CC106" i="103"/>
  <c r="CC44" i="103"/>
  <c r="AA57" i="103"/>
  <c r="CI77" i="103"/>
  <c r="CI52" i="103"/>
  <c r="AA72" i="103"/>
  <c r="G80" i="58"/>
  <c r="AA80" i="103"/>
  <c r="BX56" i="103"/>
  <c r="AA21" i="103"/>
  <c r="CC71" i="103"/>
  <c r="CI60" i="103"/>
  <c r="BX81" i="103"/>
  <c r="G68" i="58"/>
  <c r="G81" i="58"/>
  <c r="AA22" i="103"/>
  <c r="CI125" i="103"/>
  <c r="AE269" i="22"/>
  <c r="BX119" i="103"/>
  <c r="BY63" i="103"/>
  <c r="BY12" i="103"/>
  <c r="AA343" i="103"/>
  <c r="BX199" i="103"/>
  <c r="CH362" i="103"/>
  <c r="CH371" i="103"/>
  <c r="CH255" i="103"/>
  <c r="CI137" i="103"/>
  <c r="CB150" i="103"/>
  <c r="L154" i="67" s="1"/>
  <c r="CI366" i="103"/>
  <c r="CI156" i="103"/>
  <c r="BX325" i="103"/>
  <c r="G99" i="58"/>
  <c r="CI363" i="103"/>
  <c r="CH148" i="103"/>
  <c r="AA129" i="103"/>
  <c r="BX294" i="103"/>
  <c r="G159" i="58"/>
  <c r="BX148" i="103"/>
  <c r="BX231" i="103"/>
  <c r="BX41" i="103"/>
  <c r="G37" i="58"/>
  <c r="BY172" i="103"/>
  <c r="BW172" i="103" s="1"/>
  <c r="AA53" i="103"/>
  <c r="AA84" i="103"/>
  <c r="BY227" i="103"/>
  <c r="CC89" i="103"/>
  <c r="AE64" i="22"/>
  <c r="AE13" i="22"/>
  <c r="BY28" i="103"/>
  <c r="BW28" i="103" s="1"/>
  <c r="BY95" i="103"/>
  <c r="CI313" i="103"/>
  <c r="G278" i="58"/>
  <c r="G298" i="58"/>
  <c r="BX243" i="103"/>
  <c r="BX204" i="103"/>
  <c r="CI176" i="103"/>
  <c r="CI260" i="103"/>
  <c r="BX221" i="103"/>
  <c r="CI232" i="103"/>
  <c r="G161" i="58"/>
  <c r="CI229" i="103"/>
  <c r="CI230" i="103"/>
  <c r="AA168" i="103"/>
  <c r="G178" i="58"/>
  <c r="AA279" i="103"/>
  <c r="CI308" i="103"/>
  <c r="BX292" i="103"/>
  <c r="CI210" i="103"/>
  <c r="CC190" i="103"/>
  <c r="BX147" i="103"/>
  <c r="AA44" i="103"/>
  <c r="BC377" i="103"/>
  <c r="AA40" i="103"/>
  <c r="CC97" i="103"/>
  <c r="CB46" i="103"/>
  <c r="L47" i="67" s="1"/>
  <c r="G13" i="58"/>
  <c r="AE228" i="22"/>
  <c r="CI57" i="103"/>
  <c r="CC72" i="103"/>
  <c r="AE29" i="22"/>
  <c r="BY128" i="103"/>
  <c r="AE96" i="22"/>
  <c r="CF181" i="103"/>
  <c r="CI250" i="103"/>
  <c r="CI12" i="103"/>
  <c r="AA360" i="103"/>
  <c r="CB246" i="103"/>
  <c r="L253" i="67" s="1"/>
  <c r="AA138" i="103"/>
  <c r="CI236" i="103"/>
  <c r="CI159" i="103"/>
  <c r="CI251" i="103"/>
  <c r="AA186" i="103"/>
  <c r="BX185" i="103"/>
  <c r="BX288" i="103"/>
  <c r="BX289" i="103"/>
  <c r="G49" i="58"/>
  <c r="CC26" i="103"/>
  <c r="G104" i="58"/>
  <c r="CF132" i="103"/>
  <c r="BX132" i="103"/>
  <c r="BX57" i="103"/>
  <c r="CF57" i="103"/>
  <c r="CF63" i="103"/>
  <c r="BX63" i="103"/>
  <c r="CF97" i="103"/>
  <c r="BX97" i="103"/>
  <c r="CI354" i="103"/>
  <c r="G213" i="58"/>
  <c r="G245" i="58"/>
  <c r="G227" i="58"/>
  <c r="CB251" i="103"/>
  <c r="L258" i="67" s="1"/>
  <c r="CB259" i="103"/>
  <c r="L267" i="67" s="1"/>
  <c r="G129" i="58"/>
  <c r="CH200" i="103"/>
  <c r="CH138" i="103"/>
  <c r="CI53" i="103"/>
  <c r="CH106" i="103"/>
  <c r="S401" i="58"/>
  <c r="CH216" i="103"/>
  <c r="N134" i="67"/>
  <c r="CH323" i="103"/>
  <c r="BX193" i="103"/>
  <c r="CB273" i="103"/>
  <c r="CH360" i="103"/>
  <c r="CB294" i="103"/>
  <c r="CB335" i="103"/>
  <c r="G261" i="58"/>
  <c r="CF211" i="103"/>
  <c r="CH178" i="103"/>
  <c r="G324" i="58"/>
  <c r="CH259" i="103"/>
  <c r="CB66" i="103"/>
  <c r="L67" i="67" s="1"/>
  <c r="CB115" i="103"/>
  <c r="L118" i="67" s="1"/>
  <c r="CH326" i="103"/>
  <c r="CH238" i="103"/>
  <c r="AA261" i="103"/>
  <c r="CH257" i="103"/>
  <c r="G170" i="58"/>
  <c r="CH305" i="103"/>
  <c r="CH249" i="103"/>
  <c r="CH144" i="103"/>
  <c r="CF259" i="103"/>
  <c r="CC276" i="103"/>
  <c r="CH24" i="103"/>
  <c r="BY99" i="103"/>
  <c r="BW99" i="103" s="1"/>
  <c r="CH157" i="103"/>
  <c r="G239" i="58"/>
  <c r="G329" i="58"/>
  <c r="CH252" i="103"/>
  <c r="CB243" i="103"/>
  <c r="L250" i="67" s="1"/>
  <c r="CH183" i="103"/>
  <c r="CH276" i="103"/>
  <c r="G183" i="58"/>
  <c r="CH167" i="103"/>
  <c r="CH215" i="103"/>
  <c r="CH361" i="103"/>
  <c r="CH146" i="103"/>
  <c r="AA276" i="103"/>
  <c r="CH246" i="103"/>
  <c r="AA284" i="103"/>
  <c r="CB256" i="103"/>
  <c r="L264" i="67" s="1"/>
  <c r="CB84" i="103"/>
  <c r="L86" i="67" s="1"/>
  <c r="AA95" i="103"/>
  <c r="CB263" i="103"/>
  <c r="L271" i="67" s="1"/>
  <c r="CH86" i="103"/>
  <c r="CH65" i="103"/>
  <c r="AE100" i="22"/>
  <c r="CH221" i="103"/>
  <c r="G260" i="58"/>
  <c r="CH218" i="103"/>
  <c r="AA160" i="103"/>
  <c r="G132" i="58"/>
  <c r="CH328" i="103"/>
  <c r="CH288" i="103"/>
  <c r="CF278" i="103"/>
  <c r="CB69" i="103"/>
  <c r="L70" i="67" s="1"/>
  <c r="CB48" i="103"/>
  <c r="L49" i="67" s="1"/>
  <c r="CB261" i="103"/>
  <c r="L269" i="67" s="1"/>
  <c r="CB257" i="103"/>
  <c r="L265" i="67" s="1"/>
  <c r="CH375" i="103"/>
  <c r="CB168" i="103"/>
  <c r="L173" i="67" s="1"/>
  <c r="CH299" i="103"/>
  <c r="CH358" i="103"/>
  <c r="CH143" i="103"/>
  <c r="CH145" i="103"/>
  <c r="CH324" i="103"/>
  <c r="CB153" i="103"/>
  <c r="L157" i="67" s="1"/>
  <c r="G251" i="58"/>
  <c r="G233" i="58"/>
  <c r="CB230" i="103"/>
  <c r="L237" i="67" s="1"/>
  <c r="CH147" i="103"/>
  <c r="AA170" i="103"/>
  <c r="CH285" i="103"/>
  <c r="V388" i="58"/>
  <c r="CB63" i="103"/>
  <c r="L64" i="67" s="1"/>
  <c r="BY103" i="103"/>
  <c r="BW103" i="103" s="1"/>
  <c r="CH270" i="103"/>
  <c r="CH272" i="103"/>
  <c r="AN385" i="103"/>
  <c r="AA329" i="103"/>
  <c r="CB375" i="103"/>
  <c r="CB268" i="103"/>
  <c r="AA235" i="103"/>
  <c r="CF184" i="103"/>
  <c r="CB249" i="103"/>
  <c r="L256" i="67" s="1"/>
  <c r="BC376" i="103"/>
  <c r="F15" i="17"/>
  <c r="AD15" i="17" s="1"/>
  <c r="CB60" i="103"/>
  <c r="L61" i="67" s="1"/>
  <c r="AE104" i="22"/>
  <c r="F13" i="36"/>
  <c r="CH139" i="103"/>
  <c r="CF176" i="103"/>
  <c r="CH293" i="103"/>
  <c r="CF171" i="103"/>
  <c r="CH267" i="103"/>
  <c r="CH237" i="103"/>
  <c r="CH152" i="103"/>
  <c r="G138" i="58"/>
  <c r="G337" i="58"/>
  <c r="CF277" i="103"/>
  <c r="CH303" i="103"/>
  <c r="CH175" i="103"/>
  <c r="C389" i="58"/>
  <c r="S388" i="58"/>
  <c r="CH85" i="103"/>
  <c r="CH81" i="103"/>
  <c r="CH21" i="103"/>
  <c r="AQ260" i="22"/>
  <c r="L365" i="67"/>
  <c r="AG355" i="22"/>
  <c r="L333" i="67"/>
  <c r="AG324" i="22"/>
  <c r="AQ295" i="22"/>
  <c r="L377" i="67"/>
  <c r="AG367" i="22"/>
  <c r="AQ247" i="22"/>
  <c r="L300" i="67"/>
  <c r="AG292" i="22"/>
  <c r="R328" i="58"/>
  <c r="L328" i="58" s="1"/>
  <c r="BY328" i="103"/>
  <c r="BW328" i="103" s="1"/>
  <c r="L358" i="67"/>
  <c r="AG348" i="22"/>
  <c r="AQ256" i="22"/>
  <c r="L323" i="67"/>
  <c r="AG315" i="22"/>
  <c r="AQ258" i="22"/>
  <c r="L374" i="67"/>
  <c r="AG364" i="22"/>
  <c r="AQ200" i="22"/>
  <c r="AQ268" i="22"/>
  <c r="AQ376" i="22"/>
  <c r="L354" i="67"/>
  <c r="AG345" i="22"/>
  <c r="AQ241" i="22"/>
  <c r="L368" i="67"/>
  <c r="AG358" i="22"/>
  <c r="AQ262" i="22"/>
  <c r="AQ255" i="22"/>
  <c r="AQ265" i="22"/>
  <c r="AQ279" i="22"/>
  <c r="AQ269" i="22"/>
  <c r="AQ278" i="22"/>
  <c r="AC365" i="58"/>
  <c r="M365" i="58" s="1"/>
  <c r="AB365" i="58"/>
  <c r="K365" i="58" s="1"/>
  <c r="AA365" i="58"/>
  <c r="J365" i="58" s="1"/>
  <c r="Z365" i="58"/>
  <c r="I365" i="58" s="1"/>
  <c r="CH274" i="103"/>
  <c r="E397" i="58"/>
  <c r="E384" i="58"/>
  <c r="Y254" i="58"/>
  <c r="AA242" i="58"/>
  <c r="J242" i="58" s="1"/>
  <c r="Z242" i="58"/>
  <c r="I242" i="58" s="1"/>
  <c r="AC242" i="58"/>
  <c r="M242" i="58" s="1"/>
  <c r="AB242" i="58"/>
  <c r="K242" i="58" s="1"/>
  <c r="AC230" i="58"/>
  <c r="M230" i="58" s="1"/>
  <c r="AB230" i="58"/>
  <c r="K230" i="58" s="1"/>
  <c r="AA230" i="58"/>
  <c r="J230" i="58" s="1"/>
  <c r="Z230" i="58"/>
  <c r="I230" i="58" s="1"/>
  <c r="M189" i="103"/>
  <c r="J189" i="103" s="1"/>
  <c r="L189" i="103"/>
  <c r="F188" i="103"/>
  <c r="AC188" i="103"/>
  <c r="E188" i="103"/>
  <c r="AA362" i="58"/>
  <c r="J362" i="58" s="1"/>
  <c r="Z362" i="58"/>
  <c r="I362" i="58" s="1"/>
  <c r="AC362" i="58"/>
  <c r="M362" i="58" s="1"/>
  <c r="AB362" i="58"/>
  <c r="K362" i="58" s="1"/>
  <c r="R365" i="58"/>
  <c r="L365" i="58" s="1"/>
  <c r="BY365" i="103"/>
  <c r="BW365" i="103" s="1"/>
  <c r="R290" i="58"/>
  <c r="L290" i="58" s="1"/>
  <c r="BY290" i="103"/>
  <c r="R277" i="58"/>
  <c r="L277" i="58" s="1"/>
  <c r="AE278" i="22"/>
  <c r="BY277" i="103"/>
  <c r="AG230" i="22"/>
  <c r="BZ229" i="103"/>
  <c r="CC229" i="103" s="1"/>
  <c r="AM229" i="103"/>
  <c r="M194" i="103"/>
  <c r="J194" i="103" s="1"/>
  <c r="L194" i="103"/>
  <c r="BD380" i="103"/>
  <c r="AB160" i="58"/>
  <c r="K160" i="58" s="1"/>
  <c r="AA160" i="58"/>
  <c r="J160" i="58" s="1"/>
  <c r="Z160" i="58"/>
  <c r="I160" i="58" s="1"/>
  <c r="AC160" i="58"/>
  <c r="M160" i="58" s="1"/>
  <c r="M142" i="103"/>
  <c r="J142" i="103" s="1"/>
  <c r="L142" i="103"/>
  <c r="Z361" i="58"/>
  <c r="I361" i="58" s="1"/>
  <c r="AC361" i="58"/>
  <c r="M361" i="58" s="1"/>
  <c r="AB361" i="58"/>
  <c r="K361" i="58" s="1"/>
  <c r="AA361" i="58"/>
  <c r="J361" i="58" s="1"/>
  <c r="F327" i="103"/>
  <c r="AC327" i="103"/>
  <c r="O400" i="58"/>
  <c r="O387" i="58"/>
  <c r="R251" i="58"/>
  <c r="L251" i="58" s="1"/>
  <c r="AE252" i="22"/>
  <c r="BY251" i="103"/>
  <c r="BW251" i="103" s="1"/>
  <c r="AG153" i="22"/>
  <c r="BZ152" i="103"/>
  <c r="CC152" i="103" s="1"/>
  <c r="F142" i="103"/>
  <c r="AC142" i="103"/>
  <c r="E142" i="103"/>
  <c r="AC360" i="58"/>
  <c r="M360" i="58" s="1"/>
  <c r="Z360" i="58"/>
  <c r="I360" i="58" s="1"/>
  <c r="AB360" i="58"/>
  <c r="K360" i="58" s="1"/>
  <c r="AA360" i="58"/>
  <c r="J360" i="58" s="1"/>
  <c r="Z330" i="58"/>
  <c r="I330" i="58" s="1"/>
  <c r="AA330" i="58"/>
  <c r="J330" i="58" s="1"/>
  <c r="AB330" i="58"/>
  <c r="K330" i="58" s="1"/>
  <c r="AC330" i="58"/>
  <c r="M330" i="58" s="1"/>
  <c r="L320" i="67"/>
  <c r="AG312" i="22"/>
  <c r="AG227" i="22"/>
  <c r="BZ226" i="103"/>
  <c r="CC226" i="103" s="1"/>
  <c r="AN383" i="103"/>
  <c r="AM226" i="103"/>
  <c r="F210" i="103"/>
  <c r="AC210" i="103"/>
  <c r="E210" i="103"/>
  <c r="R204" i="58"/>
  <c r="L204" i="58" s="1"/>
  <c r="AE205" i="22"/>
  <c r="BY204" i="103"/>
  <c r="BW204" i="103" s="1"/>
  <c r="AC88" i="58"/>
  <c r="M88" i="58" s="1"/>
  <c r="AB88" i="58"/>
  <c r="K88" i="58" s="1"/>
  <c r="AA88" i="58"/>
  <c r="J88" i="58" s="1"/>
  <c r="Z88" i="58"/>
  <c r="I88" i="58" s="1"/>
  <c r="CI359" i="103"/>
  <c r="F354" i="103"/>
  <c r="AC354" i="103"/>
  <c r="R318" i="58"/>
  <c r="L318" i="58" s="1"/>
  <c r="BY318" i="103"/>
  <c r="BW318" i="103" s="1"/>
  <c r="F277" i="103"/>
  <c r="AC277" i="103"/>
  <c r="M266" i="103"/>
  <c r="J266" i="103" s="1"/>
  <c r="L266" i="103"/>
  <c r="M265" i="103"/>
  <c r="J265" i="103" s="1"/>
  <c r="L265" i="103"/>
  <c r="AB270" i="58"/>
  <c r="K270" i="58" s="1"/>
  <c r="AC270" i="58"/>
  <c r="M270" i="58" s="1"/>
  <c r="AA270" i="58"/>
  <c r="J270" i="58" s="1"/>
  <c r="Z270" i="58"/>
  <c r="I270" i="58" s="1"/>
  <c r="M267" i="103"/>
  <c r="J267" i="103" s="1"/>
  <c r="L267" i="103"/>
  <c r="F237" i="103"/>
  <c r="AC237" i="103"/>
  <c r="E237" i="103"/>
  <c r="G158" i="58"/>
  <c r="F349" i="103"/>
  <c r="AC349" i="103"/>
  <c r="BB386" i="103"/>
  <c r="CD315" i="103"/>
  <c r="CF315" i="103" s="1"/>
  <c r="Q386" i="58"/>
  <c r="Q399" i="58"/>
  <c r="AQ284" i="22"/>
  <c r="J274" i="22"/>
  <c r="AA255" i="103"/>
  <c r="M243" i="103"/>
  <c r="J243" i="103" s="1"/>
  <c r="L243" i="103"/>
  <c r="F209" i="103"/>
  <c r="AC209" i="103"/>
  <c r="E209" i="103"/>
  <c r="CI203" i="103"/>
  <c r="P394" i="58"/>
  <c r="P381" i="58"/>
  <c r="AA332" i="103"/>
  <c r="Z311" i="58"/>
  <c r="I311" i="58" s="1"/>
  <c r="AC311" i="58"/>
  <c r="M311" i="58" s="1"/>
  <c r="AB311" i="58"/>
  <c r="K311" i="58" s="1"/>
  <c r="AA311" i="58"/>
  <c r="J311" i="58" s="1"/>
  <c r="G331" i="58"/>
  <c r="AC334" i="103"/>
  <c r="F334" i="103"/>
  <c r="G276" i="58"/>
  <c r="BZ295" i="103"/>
  <c r="CC295" i="103" s="1"/>
  <c r="AM295" i="103"/>
  <c r="AC276" i="58"/>
  <c r="M276" i="58" s="1"/>
  <c r="AA276" i="58"/>
  <c r="J276" i="58" s="1"/>
  <c r="Z276" i="58"/>
  <c r="I276" i="58" s="1"/>
  <c r="AB276" i="58"/>
  <c r="K276" i="58" s="1"/>
  <c r="M261" i="67"/>
  <c r="C396" i="58"/>
  <c r="C383" i="58"/>
  <c r="G223" i="58"/>
  <c r="M240" i="103"/>
  <c r="J240" i="103" s="1"/>
  <c r="L240" i="103"/>
  <c r="G253" i="58"/>
  <c r="G241" i="58"/>
  <c r="G229" i="58"/>
  <c r="CH177" i="103"/>
  <c r="AG165" i="22"/>
  <c r="BZ164" i="103"/>
  <c r="CC164" i="103" s="1"/>
  <c r="AM164" i="103"/>
  <c r="AQ132" i="22"/>
  <c r="G363" i="58"/>
  <c r="AA296" i="58"/>
  <c r="J296" i="58" s="1"/>
  <c r="Z296" i="58"/>
  <c r="I296" i="58" s="1"/>
  <c r="AB296" i="58"/>
  <c r="K296" i="58" s="1"/>
  <c r="AC296" i="58"/>
  <c r="M296" i="58" s="1"/>
  <c r="AA255" i="58"/>
  <c r="J255" i="58" s="1"/>
  <c r="AC255" i="58"/>
  <c r="M255" i="58" s="1"/>
  <c r="Z255" i="58"/>
  <c r="I255" i="58" s="1"/>
  <c r="AB255" i="58"/>
  <c r="K255" i="58" s="1"/>
  <c r="AC243" i="58"/>
  <c r="M243" i="58" s="1"/>
  <c r="AB243" i="58"/>
  <c r="K243" i="58" s="1"/>
  <c r="AA243" i="58"/>
  <c r="J243" i="58" s="1"/>
  <c r="Z243" i="58"/>
  <c r="I243" i="58" s="1"/>
  <c r="AC231" i="58"/>
  <c r="M231" i="58" s="1"/>
  <c r="AB231" i="58"/>
  <c r="K231" i="58" s="1"/>
  <c r="AA231" i="58"/>
  <c r="J231" i="58" s="1"/>
  <c r="Z231" i="58"/>
  <c r="I231" i="58" s="1"/>
  <c r="AA258" i="58"/>
  <c r="J258" i="58" s="1"/>
  <c r="Z258" i="58"/>
  <c r="I258" i="58" s="1"/>
  <c r="AC258" i="58"/>
  <c r="M258" i="58" s="1"/>
  <c r="AB258" i="58"/>
  <c r="K258" i="58" s="1"/>
  <c r="F206" i="103"/>
  <c r="AC206" i="103"/>
  <c r="E206" i="103"/>
  <c r="BX190" i="103"/>
  <c r="U380" i="103"/>
  <c r="H134" i="67"/>
  <c r="G360" i="58"/>
  <c r="F320" i="103"/>
  <c r="AC320" i="103"/>
  <c r="O386" i="58"/>
  <c r="O399" i="58"/>
  <c r="Z328" i="58"/>
  <c r="I328" i="58" s="1"/>
  <c r="AB328" i="58"/>
  <c r="K328" i="58" s="1"/>
  <c r="AA328" i="58"/>
  <c r="J328" i="58" s="1"/>
  <c r="AC328" i="58"/>
  <c r="M328" i="58" s="1"/>
  <c r="BI226" i="103"/>
  <c r="W226" i="103"/>
  <c r="Y226" i="103" s="1"/>
  <c r="G203" i="58"/>
  <c r="BX205" i="103"/>
  <c r="G146" i="58"/>
  <c r="M134" i="67"/>
  <c r="G306" i="58"/>
  <c r="G271" i="58"/>
  <c r="H292" i="67"/>
  <c r="Q383" i="58"/>
  <c r="Q396" i="58"/>
  <c r="M229" i="67"/>
  <c r="CH357" i="103"/>
  <c r="CI357" i="103"/>
  <c r="L367" i="67"/>
  <c r="AG357" i="22"/>
  <c r="D324" i="67"/>
  <c r="AC263" i="58"/>
  <c r="M263" i="58" s="1"/>
  <c r="AB263" i="58"/>
  <c r="K263" i="58" s="1"/>
  <c r="AA263" i="58"/>
  <c r="J263" i="58" s="1"/>
  <c r="Z263" i="58"/>
  <c r="I263" i="58" s="1"/>
  <c r="F244" i="103"/>
  <c r="AC244" i="103"/>
  <c r="E244" i="103"/>
  <c r="F259" i="103"/>
  <c r="AC259" i="103"/>
  <c r="E259" i="103"/>
  <c r="Z221" i="58"/>
  <c r="I221" i="58" s="1"/>
  <c r="AB221" i="58"/>
  <c r="K221" i="58" s="1"/>
  <c r="AA221" i="58"/>
  <c r="J221" i="58" s="1"/>
  <c r="AC221" i="58"/>
  <c r="M221" i="58" s="1"/>
  <c r="AC194" i="58"/>
  <c r="M194" i="58" s="1"/>
  <c r="AB194" i="58"/>
  <c r="K194" i="58" s="1"/>
  <c r="AA194" i="58"/>
  <c r="J194" i="58" s="1"/>
  <c r="Z194" i="58"/>
  <c r="I194" i="58" s="1"/>
  <c r="AB182" i="58"/>
  <c r="K182" i="58" s="1"/>
  <c r="AA182" i="58"/>
  <c r="J182" i="58" s="1"/>
  <c r="Z182" i="58"/>
  <c r="I182" i="58" s="1"/>
  <c r="AC182" i="58"/>
  <c r="M182" i="58" s="1"/>
  <c r="M150" i="103"/>
  <c r="J150" i="103" s="1"/>
  <c r="L150" i="103"/>
  <c r="Z97" i="58"/>
  <c r="I97" i="58" s="1"/>
  <c r="AB97" i="58"/>
  <c r="K97" i="58" s="1"/>
  <c r="AA97" i="58"/>
  <c r="J97" i="58" s="1"/>
  <c r="AC97" i="58"/>
  <c r="M97" i="58" s="1"/>
  <c r="F118" i="103"/>
  <c r="AC118" i="103"/>
  <c r="E118" i="103"/>
  <c r="R373" i="58"/>
  <c r="L373" i="58" s="1"/>
  <c r="BY373" i="103"/>
  <c r="BW373" i="103" s="1"/>
  <c r="CG387" i="103"/>
  <c r="CI345" i="103"/>
  <c r="R287" i="58"/>
  <c r="L287" i="58" s="1"/>
  <c r="BY287" i="103"/>
  <c r="AC280" i="58"/>
  <c r="M280" i="58" s="1"/>
  <c r="AB280" i="58"/>
  <c r="K280" i="58" s="1"/>
  <c r="AA280" i="58"/>
  <c r="J280" i="58" s="1"/>
  <c r="Z280" i="58"/>
  <c r="I280" i="58" s="1"/>
  <c r="M225" i="103"/>
  <c r="J225" i="103" s="1"/>
  <c r="L225" i="103"/>
  <c r="F227" i="103"/>
  <c r="AC227" i="103"/>
  <c r="E227" i="103"/>
  <c r="F213" i="103"/>
  <c r="AC213" i="103"/>
  <c r="E213" i="103"/>
  <c r="R168" i="58"/>
  <c r="L168" i="58" s="1"/>
  <c r="AE169" i="22"/>
  <c r="BY168" i="103"/>
  <c r="BW168" i="103" s="1"/>
  <c r="M113" i="103"/>
  <c r="J113" i="103" s="1"/>
  <c r="L113" i="103"/>
  <c r="C392" i="58"/>
  <c r="C379" i="58"/>
  <c r="G101" i="58"/>
  <c r="AB386" i="103"/>
  <c r="R321" i="58"/>
  <c r="L321" i="58" s="1"/>
  <c r="BY321" i="103"/>
  <c r="BW321" i="103" s="1"/>
  <c r="AA298" i="58"/>
  <c r="J298" i="58" s="1"/>
  <c r="AC298" i="58"/>
  <c r="M298" i="58" s="1"/>
  <c r="Z298" i="58"/>
  <c r="I298" i="58" s="1"/>
  <c r="AB298" i="58"/>
  <c r="K298" i="58" s="1"/>
  <c r="AC286" i="58"/>
  <c r="M286" i="58" s="1"/>
  <c r="AB286" i="58"/>
  <c r="K286" i="58" s="1"/>
  <c r="AA286" i="58"/>
  <c r="J286" i="58" s="1"/>
  <c r="Z286" i="58"/>
  <c r="I286" i="58" s="1"/>
  <c r="AC322" i="58"/>
  <c r="M322" i="58" s="1"/>
  <c r="AB322" i="58"/>
  <c r="K322" i="58" s="1"/>
  <c r="AA322" i="58"/>
  <c r="J322" i="58" s="1"/>
  <c r="Z322" i="58"/>
  <c r="I322" i="58" s="1"/>
  <c r="AA261" i="58"/>
  <c r="J261" i="58" s="1"/>
  <c r="Z261" i="58"/>
  <c r="I261" i="58" s="1"/>
  <c r="AC261" i="58"/>
  <c r="M261" i="58" s="1"/>
  <c r="AB261" i="58"/>
  <c r="K261" i="58" s="1"/>
  <c r="M222" i="103"/>
  <c r="J222" i="103" s="1"/>
  <c r="L222" i="103"/>
  <c r="M252" i="103"/>
  <c r="J252" i="103" s="1"/>
  <c r="L252" i="103"/>
  <c r="M178" i="103"/>
  <c r="J178" i="103" s="1"/>
  <c r="L178" i="103"/>
  <c r="CI214" i="103"/>
  <c r="E393" i="58"/>
  <c r="E380" i="58"/>
  <c r="Y131" i="58"/>
  <c r="M140" i="103"/>
  <c r="J140" i="103" s="1"/>
  <c r="L140" i="103"/>
  <c r="CB130" i="103"/>
  <c r="L133" i="67" s="1"/>
  <c r="R145" i="58"/>
  <c r="L145" i="58" s="1"/>
  <c r="AE146" i="22"/>
  <c r="BY145" i="103"/>
  <c r="BW145" i="103" s="1"/>
  <c r="M139" i="103"/>
  <c r="J139" i="103" s="1"/>
  <c r="L139" i="103"/>
  <c r="J92" i="22"/>
  <c r="AA91" i="103"/>
  <c r="K400" i="67"/>
  <c r="K355" i="67"/>
  <c r="G326" i="58"/>
  <c r="G305" i="58"/>
  <c r="G293" i="58"/>
  <c r="CB305" i="103"/>
  <c r="G218" i="58"/>
  <c r="M249" i="103"/>
  <c r="J249" i="103" s="1"/>
  <c r="L249" i="103"/>
  <c r="AA210" i="103"/>
  <c r="AG180" i="22"/>
  <c r="BZ179" i="103"/>
  <c r="CC179" i="103" s="1"/>
  <c r="H229" i="67"/>
  <c r="M206" i="103"/>
  <c r="J206" i="103" s="1"/>
  <c r="L206" i="103"/>
  <c r="F137" i="103"/>
  <c r="AC137" i="103"/>
  <c r="E137" i="103"/>
  <c r="U386" i="103"/>
  <c r="AC275" i="58"/>
  <c r="M275" i="58" s="1"/>
  <c r="AB275" i="58"/>
  <c r="K275" i="58" s="1"/>
  <c r="AA275" i="58"/>
  <c r="J275" i="58" s="1"/>
  <c r="Z275" i="58"/>
  <c r="I275" i="58" s="1"/>
  <c r="Z206" i="58"/>
  <c r="I206" i="58" s="1"/>
  <c r="AC206" i="58"/>
  <c r="M206" i="58" s="1"/>
  <c r="AB206" i="58"/>
  <c r="K206" i="58" s="1"/>
  <c r="AA206" i="58"/>
  <c r="J206" i="58" s="1"/>
  <c r="F186" i="103"/>
  <c r="AC186" i="103"/>
  <c r="E186" i="103"/>
  <c r="M170" i="103"/>
  <c r="J170" i="103" s="1"/>
  <c r="L170" i="103"/>
  <c r="F168" i="103"/>
  <c r="AC168" i="103"/>
  <c r="E168" i="103"/>
  <c r="J142" i="22"/>
  <c r="AA141" i="103"/>
  <c r="CI367" i="103"/>
  <c r="G222" i="58"/>
  <c r="J257" i="22"/>
  <c r="T128" i="23"/>
  <c r="Z247" i="58"/>
  <c r="I247" i="58" s="1"/>
  <c r="AC247" i="58"/>
  <c r="M247" i="58" s="1"/>
  <c r="AB247" i="58"/>
  <c r="K247" i="58" s="1"/>
  <c r="AA247" i="58"/>
  <c r="J247" i="58" s="1"/>
  <c r="AC235" i="58"/>
  <c r="M235" i="58" s="1"/>
  <c r="AB235" i="58"/>
  <c r="K235" i="58" s="1"/>
  <c r="AA235" i="58"/>
  <c r="J235" i="58" s="1"/>
  <c r="Z235" i="58"/>
  <c r="I235" i="58" s="1"/>
  <c r="F255" i="103"/>
  <c r="AC255" i="103"/>
  <c r="E255" i="103"/>
  <c r="G191" i="58"/>
  <c r="G179" i="58"/>
  <c r="G364" i="58"/>
  <c r="F351" i="103"/>
  <c r="AC351" i="103"/>
  <c r="F332" i="103"/>
  <c r="AC332" i="103"/>
  <c r="AA334" i="103"/>
  <c r="F298" i="103"/>
  <c r="AC298" i="103"/>
  <c r="F286" i="103"/>
  <c r="AC286" i="103"/>
  <c r="BZ292" i="103"/>
  <c r="CC292" i="103" s="1"/>
  <c r="AM292" i="103"/>
  <c r="M220" i="103"/>
  <c r="J220" i="103" s="1"/>
  <c r="L220" i="103"/>
  <c r="D261" i="67"/>
  <c r="AA218" i="103"/>
  <c r="M204" i="103"/>
  <c r="J204" i="103" s="1"/>
  <c r="L204" i="103"/>
  <c r="G190" i="58"/>
  <c r="R173" i="58"/>
  <c r="L173" i="58" s="1"/>
  <c r="AE174" i="22"/>
  <c r="BY173" i="103"/>
  <c r="BW173" i="103" s="1"/>
  <c r="M179" i="103"/>
  <c r="J179" i="103" s="1"/>
  <c r="L179" i="103"/>
  <c r="M132" i="103"/>
  <c r="J132" i="103" s="1"/>
  <c r="L132" i="103"/>
  <c r="R146" i="58"/>
  <c r="L146" i="58" s="1"/>
  <c r="AE147" i="22"/>
  <c r="BY146" i="103"/>
  <c r="BW146" i="103" s="1"/>
  <c r="CI149" i="103"/>
  <c r="BZ374" i="103"/>
  <c r="CC374" i="103" s="1"/>
  <c r="CD341" i="103"/>
  <c r="BX341" i="103" s="1"/>
  <c r="BX305" i="103"/>
  <c r="E385" i="58"/>
  <c r="E398" i="58"/>
  <c r="Y284" i="58"/>
  <c r="CI279" i="103"/>
  <c r="J229" i="22"/>
  <c r="AA228" i="103"/>
  <c r="H384" i="103"/>
  <c r="F254" i="103"/>
  <c r="AC254" i="103"/>
  <c r="E254" i="103"/>
  <c r="F204" i="103"/>
  <c r="AC204" i="103"/>
  <c r="E204" i="103"/>
  <c r="CI208" i="103"/>
  <c r="F149" i="103"/>
  <c r="AC149" i="103"/>
  <c r="E149" i="103"/>
  <c r="G133" i="58"/>
  <c r="M161" i="103"/>
  <c r="J161" i="103" s="1"/>
  <c r="L161" i="103"/>
  <c r="AC129" i="58"/>
  <c r="M129" i="58" s="1"/>
  <c r="AB129" i="58"/>
  <c r="K129" i="58" s="1"/>
  <c r="AA129" i="58"/>
  <c r="J129" i="58" s="1"/>
  <c r="Z129" i="58"/>
  <c r="I129" i="58" s="1"/>
  <c r="P392" i="58"/>
  <c r="P379" i="58"/>
  <c r="Z282" i="58"/>
  <c r="I282" i="58" s="1"/>
  <c r="AB282" i="58"/>
  <c r="K282" i="58" s="1"/>
  <c r="AC282" i="58"/>
  <c r="M282" i="58" s="1"/>
  <c r="AA282" i="58"/>
  <c r="J282" i="58" s="1"/>
  <c r="CB288" i="103"/>
  <c r="F302" i="103"/>
  <c r="AC302" i="103"/>
  <c r="F290" i="103"/>
  <c r="AC290" i="103"/>
  <c r="CI291" i="103"/>
  <c r="F196" i="103"/>
  <c r="AC196" i="103"/>
  <c r="E196" i="103"/>
  <c r="R143" i="58"/>
  <c r="L143" i="58" s="1"/>
  <c r="AE144" i="22"/>
  <c r="BY143" i="103"/>
  <c r="BW143" i="103" s="1"/>
  <c r="R154" i="58"/>
  <c r="L154" i="58" s="1"/>
  <c r="AE155" i="22"/>
  <c r="BY154" i="103"/>
  <c r="BW154" i="103" s="1"/>
  <c r="R353" i="58"/>
  <c r="L353" i="58" s="1"/>
  <c r="BY353" i="103"/>
  <c r="BW353" i="103" s="1"/>
  <c r="G359" i="58"/>
  <c r="AA339" i="103"/>
  <c r="L351" i="67"/>
  <c r="AG342" i="22"/>
  <c r="AA303" i="103"/>
  <c r="AA291" i="103"/>
  <c r="P397" i="58"/>
  <c r="P384" i="58"/>
  <c r="BX256" i="103"/>
  <c r="D229" i="67"/>
  <c r="M159" i="103"/>
  <c r="J159" i="103" s="1"/>
  <c r="L159" i="103"/>
  <c r="F371" i="103"/>
  <c r="AC371" i="103"/>
  <c r="F317" i="103"/>
  <c r="AC317" i="103"/>
  <c r="J272" i="22"/>
  <c r="BQ388" i="103"/>
  <c r="AQ48" i="22"/>
  <c r="AN380" i="103"/>
  <c r="BD386" i="103"/>
  <c r="H382" i="103"/>
  <c r="F192" i="103"/>
  <c r="AC192" i="103"/>
  <c r="E192" i="103"/>
  <c r="AC169" i="58"/>
  <c r="M169" i="58" s="1"/>
  <c r="AB169" i="58"/>
  <c r="K169" i="58" s="1"/>
  <c r="AA169" i="58"/>
  <c r="J169" i="58" s="1"/>
  <c r="Z169" i="58"/>
  <c r="I169" i="58" s="1"/>
  <c r="R284" i="58"/>
  <c r="BY284" i="103"/>
  <c r="AA227" i="103"/>
  <c r="E167" i="23"/>
  <c r="D7" i="104"/>
  <c r="K396" i="67"/>
  <c r="K229" i="67"/>
  <c r="J95" i="22"/>
  <c r="AA94" i="103"/>
  <c r="BZ355" i="103"/>
  <c r="CC355" i="103" s="1"/>
  <c r="AM355" i="103"/>
  <c r="AC363" i="58"/>
  <c r="M363" i="58" s="1"/>
  <c r="AB363" i="58"/>
  <c r="K363" i="58" s="1"/>
  <c r="AA363" i="58"/>
  <c r="J363" i="58" s="1"/>
  <c r="Z363" i="58"/>
  <c r="I363" i="58" s="1"/>
  <c r="AC333" i="58"/>
  <c r="M333" i="58" s="1"/>
  <c r="AB333" i="58"/>
  <c r="K333" i="58" s="1"/>
  <c r="AA333" i="58"/>
  <c r="J333" i="58" s="1"/>
  <c r="Z333" i="58"/>
  <c r="I333" i="58" s="1"/>
  <c r="F338" i="103"/>
  <c r="AC338" i="103"/>
  <c r="AC340" i="103"/>
  <c r="F340" i="103"/>
  <c r="J284" i="22"/>
  <c r="AA269" i="58"/>
  <c r="J269" i="58" s="1"/>
  <c r="Z269" i="58"/>
  <c r="I269" i="58" s="1"/>
  <c r="AC269" i="58"/>
  <c r="M269" i="58" s="1"/>
  <c r="AB269" i="58"/>
  <c r="K269" i="58" s="1"/>
  <c r="F241" i="103"/>
  <c r="AC241" i="103"/>
  <c r="E241" i="103"/>
  <c r="Y167" i="23"/>
  <c r="D22" i="104"/>
  <c r="AG220" i="22"/>
  <c r="BZ219" i="103"/>
  <c r="CC219" i="103" s="1"/>
  <c r="AM219" i="103"/>
  <c r="AB213" i="58"/>
  <c r="K213" i="58" s="1"/>
  <c r="AA213" i="58"/>
  <c r="J213" i="58" s="1"/>
  <c r="Z213" i="58"/>
  <c r="I213" i="58" s="1"/>
  <c r="AC213" i="58"/>
  <c r="M213" i="58" s="1"/>
  <c r="Z201" i="58"/>
  <c r="I201" i="58" s="1"/>
  <c r="AC201" i="58"/>
  <c r="M201" i="58" s="1"/>
  <c r="AB201" i="58"/>
  <c r="K201" i="58" s="1"/>
  <c r="AA201" i="58"/>
  <c r="J201" i="58" s="1"/>
  <c r="M183" i="103"/>
  <c r="J183" i="103" s="1"/>
  <c r="L183" i="103"/>
  <c r="R212" i="58"/>
  <c r="L212" i="58" s="1"/>
  <c r="AE213" i="22"/>
  <c r="BY212" i="103"/>
  <c r="BW212" i="103" s="1"/>
  <c r="U382" i="103"/>
  <c r="F112" i="103"/>
  <c r="AC112" i="103"/>
  <c r="E112" i="103"/>
  <c r="F370" i="103"/>
  <c r="AC370" i="103"/>
  <c r="BZ336" i="103"/>
  <c r="CC336" i="103" s="1"/>
  <c r="AM336" i="103"/>
  <c r="AC350" i="103"/>
  <c r="F350" i="103"/>
  <c r="CG383" i="103"/>
  <c r="P395" i="58"/>
  <c r="P382" i="58"/>
  <c r="M188" i="103"/>
  <c r="J188" i="103" s="1"/>
  <c r="L188" i="103"/>
  <c r="AA137" i="103"/>
  <c r="M141" i="103"/>
  <c r="J141" i="103" s="1"/>
  <c r="L141" i="103"/>
  <c r="G12" i="53"/>
  <c r="G135" i="58"/>
  <c r="N166" i="67"/>
  <c r="AA355" i="58"/>
  <c r="J355" i="58" s="1"/>
  <c r="AC355" i="58"/>
  <c r="M355" i="58" s="1"/>
  <c r="Z355" i="58"/>
  <c r="I355" i="58" s="1"/>
  <c r="AB355" i="58"/>
  <c r="K355" i="58" s="1"/>
  <c r="CI269" i="103"/>
  <c r="D19" i="104"/>
  <c r="V167" i="23"/>
  <c r="CI223" i="103"/>
  <c r="AB164" i="58"/>
  <c r="K164" i="58" s="1"/>
  <c r="AA164" i="58"/>
  <c r="J164" i="58" s="1"/>
  <c r="Z164" i="58"/>
  <c r="I164" i="58" s="1"/>
  <c r="AC164" i="58"/>
  <c r="M164" i="58" s="1"/>
  <c r="AA157" i="103"/>
  <c r="R142" i="58"/>
  <c r="L142" i="58" s="1"/>
  <c r="AE143" i="22"/>
  <c r="BY142" i="103"/>
  <c r="BW142" i="103" s="1"/>
  <c r="L336" i="67"/>
  <c r="AG327" i="22"/>
  <c r="AG178" i="22"/>
  <c r="BZ177" i="103"/>
  <c r="CC177" i="103" s="1"/>
  <c r="F170" i="103"/>
  <c r="AC170" i="103"/>
  <c r="E170" i="103"/>
  <c r="R144" i="58"/>
  <c r="L144" i="58" s="1"/>
  <c r="AE145" i="22"/>
  <c r="BY144" i="103"/>
  <c r="BW144" i="103" s="1"/>
  <c r="AC158" i="58"/>
  <c r="M158" i="58" s="1"/>
  <c r="AB158" i="58"/>
  <c r="K158" i="58" s="1"/>
  <c r="AA158" i="58"/>
  <c r="J158" i="58" s="1"/>
  <c r="Z158" i="58"/>
  <c r="I158" i="58" s="1"/>
  <c r="CD343" i="103"/>
  <c r="BX343" i="103" s="1"/>
  <c r="AA298" i="103"/>
  <c r="AA286" i="103"/>
  <c r="BZ289" i="103"/>
  <c r="CC289" i="103" s="1"/>
  <c r="AM289" i="103"/>
  <c r="BZ306" i="103"/>
  <c r="CC306" i="103" s="1"/>
  <c r="F278" i="103"/>
  <c r="AC278" i="103"/>
  <c r="CD263" i="103"/>
  <c r="BX263" i="103" s="1"/>
  <c r="F218" i="103"/>
  <c r="AC218" i="103"/>
  <c r="E218" i="103"/>
  <c r="F214" i="103"/>
  <c r="AC214" i="103"/>
  <c r="E214" i="103"/>
  <c r="AC205" i="58"/>
  <c r="M205" i="58" s="1"/>
  <c r="AB205" i="58"/>
  <c r="K205" i="58" s="1"/>
  <c r="AA205" i="58"/>
  <c r="J205" i="58" s="1"/>
  <c r="Z205" i="58"/>
  <c r="I205" i="58" s="1"/>
  <c r="G165" i="58"/>
  <c r="AC129" i="103"/>
  <c r="F129" i="103"/>
  <c r="E129" i="103"/>
  <c r="CI169" i="103"/>
  <c r="CC366" i="103"/>
  <c r="E355" i="67"/>
  <c r="BZ330" i="103"/>
  <c r="CC330" i="103" s="1"/>
  <c r="AM330" i="103"/>
  <c r="AA308" i="58"/>
  <c r="J308" i="58" s="1"/>
  <c r="Z308" i="58"/>
  <c r="I308" i="58" s="1"/>
  <c r="AB308" i="58"/>
  <c r="K308" i="58" s="1"/>
  <c r="AC308" i="58"/>
  <c r="M308" i="58" s="1"/>
  <c r="CC274" i="103"/>
  <c r="CB255" i="103"/>
  <c r="L263" i="67" s="1"/>
  <c r="R228" i="58"/>
  <c r="L228" i="58" s="1"/>
  <c r="AE229" i="22"/>
  <c r="BY228" i="103"/>
  <c r="BW228" i="103" s="1"/>
  <c r="M237" i="103"/>
  <c r="J237" i="103" s="1"/>
  <c r="L237" i="103"/>
  <c r="G256" i="58"/>
  <c r="AA204" i="103"/>
  <c r="M201" i="103"/>
  <c r="J201" i="103" s="1"/>
  <c r="L201" i="103"/>
  <c r="BG388" i="103"/>
  <c r="AA191" i="103"/>
  <c r="AA318" i="103"/>
  <c r="G322" i="58"/>
  <c r="AM306" i="103"/>
  <c r="AA302" i="103"/>
  <c r="AA290" i="103"/>
  <c r="G268" i="58"/>
  <c r="R242" i="58"/>
  <c r="L242" i="58" s="1"/>
  <c r="AE243" i="22"/>
  <c r="BY242" i="103"/>
  <c r="BW242" i="103" s="1"/>
  <c r="G226" i="58"/>
  <c r="F180" i="103"/>
  <c r="AC180" i="103"/>
  <c r="E180" i="103"/>
  <c r="AA169" i="103"/>
  <c r="CC135" i="103"/>
  <c r="AA179" i="103"/>
  <c r="K395" i="67"/>
  <c r="K197" i="67"/>
  <c r="AV388" i="103"/>
  <c r="BX283" i="103"/>
  <c r="Z219" i="58"/>
  <c r="I219" i="58" s="1"/>
  <c r="AC219" i="58"/>
  <c r="M219" i="58" s="1"/>
  <c r="AB219" i="58"/>
  <c r="K219" i="58" s="1"/>
  <c r="AA219" i="58"/>
  <c r="J219" i="58" s="1"/>
  <c r="Z190" i="58"/>
  <c r="I190" i="58" s="1"/>
  <c r="AC190" i="58"/>
  <c r="M190" i="58" s="1"/>
  <c r="AB190" i="58"/>
  <c r="K190" i="58" s="1"/>
  <c r="AA190" i="58"/>
  <c r="J190" i="58" s="1"/>
  <c r="CI197" i="103"/>
  <c r="CC148" i="103"/>
  <c r="G312" i="58"/>
  <c r="CI281" i="103"/>
  <c r="CC281" i="103"/>
  <c r="G269" i="58"/>
  <c r="AS388" i="103"/>
  <c r="L198" i="67"/>
  <c r="AA334" i="58"/>
  <c r="J334" i="58" s="1"/>
  <c r="Z334" i="58"/>
  <c r="I334" i="58" s="1"/>
  <c r="AC334" i="58"/>
  <c r="M334" i="58" s="1"/>
  <c r="AB334" i="58"/>
  <c r="K334" i="58" s="1"/>
  <c r="R324" i="58"/>
  <c r="L324" i="58" s="1"/>
  <c r="BY324" i="103"/>
  <c r="BW324" i="103" s="1"/>
  <c r="F127" i="103"/>
  <c r="AC127" i="103"/>
  <c r="E127" i="103"/>
  <c r="R343" i="58"/>
  <c r="L343" i="58" s="1"/>
  <c r="BY343" i="103"/>
  <c r="BW343" i="103" s="1"/>
  <c r="D6" i="104"/>
  <c r="C167" i="23"/>
  <c r="AA332" i="58"/>
  <c r="J332" i="58" s="1"/>
  <c r="Z332" i="58"/>
  <c r="I332" i="58" s="1"/>
  <c r="AC332" i="58"/>
  <c r="M332" i="58" s="1"/>
  <c r="AB332" i="58"/>
  <c r="K332" i="58" s="1"/>
  <c r="CD227" i="103"/>
  <c r="BX227" i="103" s="1"/>
  <c r="AB239" i="58"/>
  <c r="K239" i="58" s="1"/>
  <c r="AA239" i="58"/>
  <c r="J239" i="58" s="1"/>
  <c r="Z239" i="58"/>
  <c r="I239" i="58" s="1"/>
  <c r="AC239" i="58"/>
  <c r="M239" i="58" s="1"/>
  <c r="AA227" i="58"/>
  <c r="J227" i="58" s="1"/>
  <c r="Z227" i="58"/>
  <c r="I227" i="58" s="1"/>
  <c r="AC227" i="58"/>
  <c r="M227" i="58" s="1"/>
  <c r="AB227" i="58"/>
  <c r="K227" i="58" s="1"/>
  <c r="J167" i="22"/>
  <c r="AA166" i="103"/>
  <c r="CF150" i="103"/>
  <c r="F355" i="103"/>
  <c r="AC355" i="103"/>
  <c r="BZ313" i="103"/>
  <c r="CC313" i="103" s="1"/>
  <c r="AM313" i="103"/>
  <c r="J267" i="22"/>
  <c r="P126" i="23"/>
  <c r="F158" i="103"/>
  <c r="AC158" i="103"/>
  <c r="E158" i="103"/>
  <c r="M197" i="67"/>
  <c r="C400" i="58"/>
  <c r="C387" i="58"/>
  <c r="G345" i="58"/>
  <c r="F271" i="103"/>
  <c r="AC271" i="103"/>
  <c r="R282" i="58"/>
  <c r="L282" i="58" s="1"/>
  <c r="AE283" i="22"/>
  <c r="BY282" i="103"/>
  <c r="J199" i="22"/>
  <c r="AA198" i="103"/>
  <c r="M144" i="103"/>
  <c r="J144" i="103" s="1"/>
  <c r="L144" i="103"/>
  <c r="AC135" i="103"/>
  <c r="F135" i="103"/>
  <c r="E135" i="103"/>
  <c r="AA91" i="58"/>
  <c r="J91" i="58" s="1"/>
  <c r="AC91" i="58"/>
  <c r="M91" i="58" s="1"/>
  <c r="Z91" i="58"/>
  <c r="I91" i="58" s="1"/>
  <c r="AB91" i="58"/>
  <c r="K91" i="58" s="1"/>
  <c r="BZ310" i="103"/>
  <c r="CC310" i="103" s="1"/>
  <c r="AM310" i="103"/>
  <c r="CI339" i="103"/>
  <c r="CH283" i="103"/>
  <c r="F267" i="103"/>
  <c r="AC267" i="103"/>
  <c r="E267" i="103"/>
  <c r="CC262" i="103"/>
  <c r="J273" i="22"/>
  <c r="CC284" i="103"/>
  <c r="M180" i="103"/>
  <c r="J180" i="103" s="1"/>
  <c r="L180" i="103"/>
  <c r="CH223" i="103"/>
  <c r="CB199" i="103"/>
  <c r="L205" i="67" s="1"/>
  <c r="R165" i="58"/>
  <c r="L165" i="58" s="1"/>
  <c r="AE166" i="22"/>
  <c r="BY165" i="103"/>
  <c r="BW165" i="103" s="1"/>
  <c r="Q393" i="58"/>
  <c r="Q380" i="58"/>
  <c r="G370" i="58"/>
  <c r="G344" i="58"/>
  <c r="AC356" i="103"/>
  <c r="F356" i="103"/>
  <c r="C386" i="58"/>
  <c r="C399" i="58"/>
  <c r="G315" i="58"/>
  <c r="M263" i="103"/>
  <c r="J263" i="103" s="1"/>
  <c r="L263" i="103"/>
  <c r="M262" i="103"/>
  <c r="J262" i="103" s="1"/>
  <c r="L262" i="103"/>
  <c r="M264" i="103"/>
  <c r="J264" i="103" s="1"/>
  <c r="L264" i="103"/>
  <c r="D21" i="104"/>
  <c r="X167" i="23"/>
  <c r="R176" i="58"/>
  <c r="L176" i="58" s="1"/>
  <c r="AE177" i="22"/>
  <c r="BY176" i="103"/>
  <c r="BW176" i="103" s="1"/>
  <c r="J162" i="22"/>
  <c r="AA161" i="103"/>
  <c r="F157" i="103"/>
  <c r="AC157" i="103"/>
  <c r="E157" i="103"/>
  <c r="AA141" i="58"/>
  <c r="J141" i="58" s="1"/>
  <c r="Z141" i="58"/>
  <c r="I141" i="58" s="1"/>
  <c r="AC141" i="58"/>
  <c r="M141" i="58" s="1"/>
  <c r="AB141" i="58"/>
  <c r="K141" i="58" s="1"/>
  <c r="CH373" i="103"/>
  <c r="AC370" i="58"/>
  <c r="M370" i="58" s="1"/>
  <c r="Z370" i="58"/>
  <c r="I370" i="58" s="1"/>
  <c r="AB370" i="58"/>
  <c r="K370" i="58" s="1"/>
  <c r="AA370" i="58"/>
  <c r="J370" i="58" s="1"/>
  <c r="BX276" i="103"/>
  <c r="AC273" i="58"/>
  <c r="M273" i="58" s="1"/>
  <c r="AB273" i="58"/>
  <c r="K273" i="58" s="1"/>
  <c r="AA273" i="58"/>
  <c r="J273" i="58" s="1"/>
  <c r="Z273" i="58"/>
  <c r="I273" i="58" s="1"/>
  <c r="AC216" i="103"/>
  <c r="F216" i="103"/>
  <c r="E216" i="103"/>
  <c r="AG242" i="22"/>
  <c r="BZ241" i="103"/>
  <c r="CC241" i="103" s="1"/>
  <c r="O380" i="103"/>
  <c r="M131" i="103"/>
  <c r="L131" i="103"/>
  <c r="G368" i="58"/>
  <c r="AC362" i="103"/>
  <c r="F362" i="103"/>
  <c r="CD265" i="103"/>
  <c r="BX265" i="103" s="1"/>
  <c r="BZ286" i="103"/>
  <c r="CC286" i="103" s="1"/>
  <c r="AM286" i="103"/>
  <c r="AG128" i="23" s="1"/>
  <c r="F276" i="103"/>
  <c r="AC276" i="103"/>
  <c r="CD264" i="103"/>
  <c r="BX264" i="103" s="1"/>
  <c r="CF281" i="103"/>
  <c r="J261" i="22"/>
  <c r="G262" i="58"/>
  <c r="F253" i="103"/>
  <c r="AC253" i="103"/>
  <c r="E253" i="103"/>
  <c r="G250" i="58"/>
  <c r="G238" i="58"/>
  <c r="M168" i="103"/>
  <c r="J168" i="103" s="1"/>
  <c r="L168" i="103"/>
  <c r="F136" i="103"/>
  <c r="AC136" i="103"/>
  <c r="E136" i="103"/>
  <c r="M128" i="103"/>
  <c r="J128" i="103" s="1"/>
  <c r="L128" i="103"/>
  <c r="AA364" i="103"/>
  <c r="F279" i="103"/>
  <c r="AC279" i="103"/>
  <c r="E324" i="67"/>
  <c r="Z305" i="58"/>
  <c r="I305" i="58" s="1"/>
  <c r="AC305" i="58"/>
  <c r="M305" i="58" s="1"/>
  <c r="AB305" i="58"/>
  <c r="K305" i="58" s="1"/>
  <c r="AA305" i="58"/>
  <c r="J305" i="58" s="1"/>
  <c r="Z293" i="58"/>
  <c r="I293" i="58" s="1"/>
  <c r="AC293" i="58"/>
  <c r="M293" i="58" s="1"/>
  <c r="AB293" i="58"/>
  <c r="K293" i="58" s="1"/>
  <c r="AA293" i="58"/>
  <c r="J293" i="58" s="1"/>
  <c r="C261" i="67"/>
  <c r="AA252" i="58"/>
  <c r="J252" i="58" s="1"/>
  <c r="Z252" i="58"/>
  <c r="I252" i="58" s="1"/>
  <c r="AC252" i="58"/>
  <c r="M252" i="58" s="1"/>
  <c r="AB252" i="58"/>
  <c r="K252" i="58" s="1"/>
  <c r="Z240" i="58"/>
  <c r="I240" i="58" s="1"/>
  <c r="AC240" i="58"/>
  <c r="M240" i="58" s="1"/>
  <c r="AB240" i="58"/>
  <c r="K240" i="58" s="1"/>
  <c r="AA240" i="58"/>
  <c r="J240" i="58" s="1"/>
  <c r="AB228" i="58"/>
  <c r="K228" i="58" s="1"/>
  <c r="AA228" i="58"/>
  <c r="J228" i="58" s="1"/>
  <c r="Z228" i="58"/>
  <c r="I228" i="58" s="1"/>
  <c r="AC228" i="58"/>
  <c r="M228" i="58" s="1"/>
  <c r="M202" i="103"/>
  <c r="J202" i="103" s="1"/>
  <c r="L202" i="103"/>
  <c r="F191" i="103"/>
  <c r="AC191" i="103"/>
  <c r="E191" i="103"/>
  <c r="F393" i="58"/>
  <c r="F380" i="58"/>
  <c r="G362" i="58"/>
  <c r="F318" i="103"/>
  <c r="AC318" i="103"/>
  <c r="CI346" i="103"/>
  <c r="L312" i="67"/>
  <c r="AG304" i="22"/>
  <c r="L294" i="67"/>
  <c r="AG286" i="22"/>
  <c r="AA249" i="103"/>
  <c r="G212" i="58"/>
  <c r="G200" i="58"/>
  <c r="O381" i="103"/>
  <c r="M162" i="103"/>
  <c r="L162" i="103"/>
  <c r="F169" i="103"/>
  <c r="AC169" i="103"/>
  <c r="E169" i="103"/>
  <c r="F179" i="103"/>
  <c r="AC179" i="103"/>
  <c r="E179" i="103"/>
  <c r="F144" i="103"/>
  <c r="AC144" i="103"/>
  <c r="E144" i="103"/>
  <c r="BD381" i="103"/>
  <c r="AA373" i="103"/>
  <c r="F328" i="103"/>
  <c r="AC328" i="103"/>
  <c r="AA319" i="58"/>
  <c r="J319" i="58" s="1"/>
  <c r="AC319" i="58"/>
  <c r="M319" i="58" s="1"/>
  <c r="AB319" i="58"/>
  <c r="K319" i="58" s="1"/>
  <c r="Z319" i="58"/>
  <c r="I319" i="58" s="1"/>
  <c r="CC280" i="103"/>
  <c r="F251" i="103"/>
  <c r="AC251" i="103"/>
  <c r="E251" i="103"/>
  <c r="M231" i="103"/>
  <c r="J231" i="103" s="1"/>
  <c r="L231" i="103"/>
  <c r="CI182" i="103"/>
  <c r="F146" i="103"/>
  <c r="AC146" i="103"/>
  <c r="E146" i="103"/>
  <c r="Z165" i="58"/>
  <c r="I165" i="58" s="1"/>
  <c r="AB165" i="58"/>
  <c r="K165" i="58" s="1"/>
  <c r="AA165" i="58"/>
  <c r="J165" i="58" s="1"/>
  <c r="AC165" i="58"/>
  <c r="M165" i="58" s="1"/>
  <c r="AC347" i="103"/>
  <c r="F347" i="103"/>
  <c r="F341" i="103"/>
  <c r="AC341" i="103"/>
  <c r="R322" i="58"/>
  <c r="L322" i="58" s="1"/>
  <c r="BY322" i="103"/>
  <c r="BW322" i="103" s="1"/>
  <c r="R335" i="58"/>
  <c r="L335" i="58" s="1"/>
  <c r="BY335" i="103"/>
  <c r="BW335" i="103" s="1"/>
  <c r="M324" i="67"/>
  <c r="AG218" i="22"/>
  <c r="BZ217" i="103"/>
  <c r="CC217" i="103" s="1"/>
  <c r="AM217" i="103"/>
  <c r="AG223" i="22"/>
  <c r="BZ222" i="103"/>
  <c r="CC222" i="103" s="1"/>
  <c r="AM222" i="103"/>
  <c r="M184" i="103"/>
  <c r="J184" i="103" s="1"/>
  <c r="L184" i="103"/>
  <c r="R148" i="58"/>
  <c r="L148" i="58" s="1"/>
  <c r="AE149" i="22"/>
  <c r="BY148" i="103"/>
  <c r="BW148" i="103" s="1"/>
  <c r="R347" i="58"/>
  <c r="L347" i="58" s="1"/>
  <c r="BY347" i="103"/>
  <c r="BW347" i="103" s="1"/>
  <c r="R274" i="58"/>
  <c r="L274" i="58" s="1"/>
  <c r="AE275" i="22"/>
  <c r="BY274" i="103"/>
  <c r="U385" i="103"/>
  <c r="AC251" i="58"/>
  <c r="M251" i="58" s="1"/>
  <c r="AB251" i="58"/>
  <c r="K251" i="58" s="1"/>
  <c r="AA251" i="58"/>
  <c r="J251" i="58" s="1"/>
  <c r="Z251" i="58"/>
  <c r="I251" i="58" s="1"/>
  <c r="AN386" i="103"/>
  <c r="BZ315" i="103"/>
  <c r="AM315" i="103"/>
  <c r="AG126" i="23" s="1"/>
  <c r="F374" i="103"/>
  <c r="AC374" i="103"/>
  <c r="CH310" i="103"/>
  <c r="AB218" i="58"/>
  <c r="K218" i="58" s="1"/>
  <c r="AA218" i="58"/>
  <c r="J218" i="58" s="1"/>
  <c r="Z218" i="58"/>
  <c r="I218" i="58" s="1"/>
  <c r="AC218" i="58"/>
  <c r="M218" i="58" s="1"/>
  <c r="J249" i="22"/>
  <c r="AA248" i="103"/>
  <c r="M218" i="103"/>
  <c r="J218" i="103" s="1"/>
  <c r="L218" i="103"/>
  <c r="AB191" i="58"/>
  <c r="K191" i="58" s="1"/>
  <c r="AA191" i="58"/>
  <c r="J191" i="58" s="1"/>
  <c r="AC191" i="58"/>
  <c r="M191" i="58" s="1"/>
  <c r="Z191" i="58"/>
  <c r="I191" i="58" s="1"/>
  <c r="Z179" i="58"/>
  <c r="I179" i="58" s="1"/>
  <c r="AB179" i="58"/>
  <c r="K179" i="58" s="1"/>
  <c r="AC179" i="58"/>
  <c r="M179" i="58" s="1"/>
  <c r="AA179" i="58"/>
  <c r="J179" i="58" s="1"/>
  <c r="F145" i="103"/>
  <c r="AC145" i="103"/>
  <c r="E145" i="103"/>
  <c r="M146" i="103"/>
  <c r="J146" i="103" s="1"/>
  <c r="L146" i="103"/>
  <c r="F138" i="103"/>
  <c r="AC138" i="103"/>
  <c r="E138" i="103"/>
  <c r="M145" i="103"/>
  <c r="J145" i="103" s="1"/>
  <c r="L145" i="103"/>
  <c r="AA333" i="103"/>
  <c r="CI349" i="103"/>
  <c r="CH277" i="103"/>
  <c r="BI261" i="103"/>
  <c r="F222" i="103"/>
  <c r="AC222" i="103"/>
  <c r="E222" i="103"/>
  <c r="F258" i="103"/>
  <c r="AC258" i="103"/>
  <c r="E258" i="103"/>
  <c r="AG184" i="22"/>
  <c r="BZ183" i="103"/>
  <c r="CC183" i="103" s="1"/>
  <c r="AM183" i="103"/>
  <c r="CH209" i="103"/>
  <c r="AG188" i="22"/>
  <c r="BZ187" i="103"/>
  <c r="CC187" i="103" s="1"/>
  <c r="AM187" i="103"/>
  <c r="CB202" i="103"/>
  <c r="L208" i="67" s="1"/>
  <c r="D197" i="67"/>
  <c r="CH185" i="103"/>
  <c r="AB94" i="58"/>
  <c r="K94" i="58" s="1"/>
  <c r="AA94" i="58"/>
  <c r="J94" i="58" s="1"/>
  <c r="Z94" i="58"/>
  <c r="I94" i="58" s="1"/>
  <c r="AC94" i="58"/>
  <c r="M94" i="58" s="1"/>
  <c r="CI369" i="103"/>
  <c r="F311" i="103"/>
  <c r="AC311" i="103"/>
  <c r="CH332" i="103"/>
  <c r="D355" i="67"/>
  <c r="AA295" i="58"/>
  <c r="J295" i="58" s="1"/>
  <c r="AC295" i="58"/>
  <c r="M295" i="58" s="1"/>
  <c r="AB295" i="58"/>
  <c r="K295" i="58" s="1"/>
  <c r="Z295" i="58"/>
  <c r="I295" i="58" s="1"/>
  <c r="R280" i="58"/>
  <c r="L280" i="58" s="1"/>
  <c r="AE281" i="22"/>
  <c r="BY280" i="103"/>
  <c r="CF334" i="103"/>
  <c r="CB267" i="103"/>
  <c r="L275" i="67" s="1"/>
  <c r="M230" i="103"/>
  <c r="J230" i="103" s="1"/>
  <c r="L230" i="103"/>
  <c r="G258" i="58"/>
  <c r="F202" i="103"/>
  <c r="AC202" i="103"/>
  <c r="E202" i="103"/>
  <c r="R221" i="58"/>
  <c r="L221" i="58" s="1"/>
  <c r="AE222" i="22"/>
  <c r="BY221" i="103"/>
  <c r="BW221" i="103" s="1"/>
  <c r="Z128" i="58"/>
  <c r="I128" i="58" s="1"/>
  <c r="AC128" i="58"/>
  <c r="M128" i="58" s="1"/>
  <c r="AB128" i="58"/>
  <c r="K128" i="58" s="1"/>
  <c r="AA128" i="58"/>
  <c r="J128" i="58" s="1"/>
  <c r="CH136" i="103"/>
  <c r="J107" i="22"/>
  <c r="AA106" i="103"/>
  <c r="P188" i="13"/>
  <c r="S175" i="13"/>
  <c r="R360" i="58"/>
  <c r="L360" i="58" s="1"/>
  <c r="BY360" i="103"/>
  <c r="BW360" i="103" s="1"/>
  <c r="AA320" i="58"/>
  <c r="J320" i="58" s="1"/>
  <c r="Z320" i="58"/>
  <c r="I320" i="58" s="1"/>
  <c r="AB320" i="58"/>
  <c r="K320" i="58" s="1"/>
  <c r="AC320" i="58"/>
  <c r="M320" i="58" s="1"/>
  <c r="G340" i="58"/>
  <c r="F274" i="103"/>
  <c r="AC274" i="103"/>
  <c r="G302" i="58"/>
  <c r="G290" i="58"/>
  <c r="CB302" i="103"/>
  <c r="CB284" i="103"/>
  <c r="CG380" i="103"/>
  <c r="BZ352" i="103"/>
  <c r="CC352" i="103" s="1"/>
  <c r="AM352" i="103"/>
  <c r="AN387" i="103"/>
  <c r="AA357" i="58"/>
  <c r="J357" i="58" s="1"/>
  <c r="AC357" i="58"/>
  <c r="M357" i="58" s="1"/>
  <c r="Z357" i="58"/>
  <c r="I357" i="58" s="1"/>
  <c r="AB357" i="58"/>
  <c r="K357" i="58" s="1"/>
  <c r="F386" i="58"/>
  <c r="F399" i="58"/>
  <c r="BZ334" i="103"/>
  <c r="CC334" i="103" s="1"/>
  <c r="AM334" i="103"/>
  <c r="AC337" i="103"/>
  <c r="F337" i="103"/>
  <c r="AA356" i="103"/>
  <c r="CB240" i="103"/>
  <c r="L247" i="67" s="1"/>
  <c r="R215" i="58"/>
  <c r="L215" i="58" s="1"/>
  <c r="AE216" i="22"/>
  <c r="BY215" i="103"/>
  <c r="BW215" i="103" s="1"/>
  <c r="Z203" i="58"/>
  <c r="I203" i="58" s="1"/>
  <c r="AC203" i="58"/>
  <c r="M203" i="58" s="1"/>
  <c r="AB203" i="58"/>
  <c r="K203" i="58" s="1"/>
  <c r="AA203" i="58"/>
  <c r="J203" i="58" s="1"/>
  <c r="CF208" i="103"/>
  <c r="CH180" i="103"/>
  <c r="AG168" i="22"/>
  <c r="BZ167" i="103"/>
  <c r="CC167" i="103" s="1"/>
  <c r="AM167" i="103"/>
  <c r="CG381" i="103"/>
  <c r="AC132" i="103"/>
  <c r="F132" i="103"/>
  <c r="E132" i="103"/>
  <c r="G367" i="58"/>
  <c r="AA367" i="103"/>
  <c r="R371" i="58"/>
  <c r="L371" i="58" s="1"/>
  <c r="BY371" i="103"/>
  <c r="BW371" i="103" s="1"/>
  <c r="G369" i="58"/>
  <c r="G336" i="58"/>
  <c r="CH356" i="103"/>
  <c r="BZ333" i="103"/>
  <c r="CC333" i="103" s="1"/>
  <c r="AQ274" i="22"/>
  <c r="G273" i="58"/>
  <c r="CH287" i="103"/>
  <c r="J279" i="22"/>
  <c r="CI273" i="103"/>
  <c r="G219" i="58"/>
  <c r="AB256" i="58"/>
  <c r="K256" i="58" s="1"/>
  <c r="AA256" i="58"/>
  <c r="J256" i="58" s="1"/>
  <c r="Z256" i="58"/>
  <c r="I256" i="58" s="1"/>
  <c r="AC256" i="58"/>
  <c r="M256" i="58" s="1"/>
  <c r="AA244" i="58"/>
  <c r="J244" i="58" s="1"/>
  <c r="AC244" i="58"/>
  <c r="M244" i="58" s="1"/>
  <c r="AB244" i="58"/>
  <c r="K244" i="58" s="1"/>
  <c r="Z244" i="58"/>
  <c r="I244" i="58" s="1"/>
  <c r="AB232" i="58"/>
  <c r="K232" i="58" s="1"/>
  <c r="Z232" i="58"/>
  <c r="I232" i="58" s="1"/>
  <c r="AA232" i="58"/>
  <c r="J232" i="58" s="1"/>
  <c r="AC232" i="58"/>
  <c r="M232" i="58" s="1"/>
  <c r="F239" i="103"/>
  <c r="AC239" i="103"/>
  <c r="E239" i="103"/>
  <c r="E261" i="67"/>
  <c r="M208" i="103"/>
  <c r="J208" i="103" s="1"/>
  <c r="L208" i="103"/>
  <c r="G188" i="58"/>
  <c r="G176" i="58"/>
  <c r="R201" i="58"/>
  <c r="L201" i="58" s="1"/>
  <c r="AE202" i="22"/>
  <c r="BY201" i="103"/>
  <c r="BW201" i="103" s="1"/>
  <c r="AA215" i="58"/>
  <c r="J215" i="58" s="1"/>
  <c r="Z215" i="58"/>
  <c r="I215" i="58" s="1"/>
  <c r="AC215" i="58"/>
  <c r="M215" i="58" s="1"/>
  <c r="AB215" i="58"/>
  <c r="K215" i="58" s="1"/>
  <c r="AA134" i="103"/>
  <c r="J348" i="22"/>
  <c r="AA347" i="103"/>
  <c r="G366" i="58"/>
  <c r="BZ331" i="103"/>
  <c r="CC331" i="103" s="1"/>
  <c r="AM331" i="103"/>
  <c r="AA323" i="103"/>
  <c r="AA362" i="103"/>
  <c r="F295" i="103"/>
  <c r="AC295" i="103"/>
  <c r="F283" i="103"/>
  <c r="AC283" i="103"/>
  <c r="CD262" i="103"/>
  <c r="BX262" i="103" s="1"/>
  <c r="CH300" i="103"/>
  <c r="J326" i="22"/>
  <c r="AA325" i="103"/>
  <c r="AA253" i="103"/>
  <c r="CC236" i="103"/>
  <c r="G187" i="58"/>
  <c r="G175" i="58"/>
  <c r="F364" i="103"/>
  <c r="AC364" i="103"/>
  <c r="AA375" i="58"/>
  <c r="J375" i="58" s="1"/>
  <c r="Z375" i="58"/>
  <c r="I375" i="58" s="1"/>
  <c r="AC375" i="58"/>
  <c r="M375" i="58" s="1"/>
  <c r="AB375" i="58"/>
  <c r="K375" i="58" s="1"/>
  <c r="CH368" i="103"/>
  <c r="BZ322" i="103"/>
  <c r="CC322" i="103" s="1"/>
  <c r="G335" i="58"/>
  <c r="O396" i="58"/>
  <c r="O383" i="58"/>
  <c r="AA152" i="58"/>
  <c r="J152" i="58" s="1"/>
  <c r="Z152" i="58"/>
  <c r="I152" i="58" s="1"/>
  <c r="AC152" i="58"/>
  <c r="M152" i="58" s="1"/>
  <c r="AB152" i="58"/>
  <c r="K152" i="58" s="1"/>
  <c r="F282" i="103"/>
  <c r="AC282" i="103"/>
  <c r="F299" i="103"/>
  <c r="AC299" i="103"/>
  <c r="F287" i="103"/>
  <c r="AC287" i="103"/>
  <c r="CI282" i="103"/>
  <c r="F232" i="103"/>
  <c r="AC232" i="103"/>
  <c r="E232" i="103"/>
  <c r="J260" i="22"/>
  <c r="F249" i="103"/>
  <c r="AC249" i="103"/>
  <c r="E249" i="103"/>
  <c r="BI197" i="103"/>
  <c r="F211" i="103"/>
  <c r="AC211" i="103"/>
  <c r="E211" i="103"/>
  <c r="CH174" i="103"/>
  <c r="D166" i="67"/>
  <c r="AA144" i="103"/>
  <c r="CI166" i="103"/>
  <c r="G90" i="58"/>
  <c r="F373" i="103"/>
  <c r="AC373" i="103"/>
  <c r="AC343" i="58"/>
  <c r="M343" i="58" s="1"/>
  <c r="AB343" i="58"/>
  <c r="K343" i="58" s="1"/>
  <c r="Z343" i="58"/>
  <c r="I343" i="58" s="1"/>
  <c r="AA343" i="58"/>
  <c r="J343" i="58" s="1"/>
  <c r="G308" i="58"/>
  <c r="AA328" i="103"/>
  <c r="AA300" i="103"/>
  <c r="AA288" i="103"/>
  <c r="M245" i="103"/>
  <c r="J245" i="103" s="1"/>
  <c r="L245" i="103"/>
  <c r="CH222" i="103"/>
  <c r="AA251" i="103"/>
  <c r="R213" i="58"/>
  <c r="L213" i="58" s="1"/>
  <c r="AE214" i="22"/>
  <c r="BY213" i="103"/>
  <c r="BW213" i="103" s="1"/>
  <c r="N229" i="67"/>
  <c r="AA146" i="103"/>
  <c r="F394" i="58"/>
  <c r="F381" i="58"/>
  <c r="AA271" i="58"/>
  <c r="J271" i="58" s="1"/>
  <c r="AC271" i="58"/>
  <c r="M271" i="58" s="1"/>
  <c r="AB271" i="58"/>
  <c r="K271" i="58" s="1"/>
  <c r="Z271" i="58"/>
  <c r="I271" i="58" s="1"/>
  <c r="I386" i="67"/>
  <c r="AC12" i="68" s="1"/>
  <c r="AE376" i="22"/>
  <c r="AQ85" i="22"/>
  <c r="L352" i="67"/>
  <c r="AG343" i="22"/>
  <c r="CD348" i="103"/>
  <c r="BX348" i="103" s="1"/>
  <c r="BB387" i="103"/>
  <c r="D42" i="30" s="1"/>
  <c r="F312" i="103"/>
  <c r="AC312" i="103"/>
  <c r="R333" i="58"/>
  <c r="L333" i="58" s="1"/>
  <c r="BY333" i="103"/>
  <c r="BW333" i="103" s="1"/>
  <c r="AC365" i="103"/>
  <c r="F365" i="103"/>
  <c r="J278" i="22"/>
  <c r="R256" i="58"/>
  <c r="L256" i="58" s="1"/>
  <c r="AE257" i="22"/>
  <c r="BY256" i="103"/>
  <c r="BW256" i="103" s="1"/>
  <c r="J177" i="22"/>
  <c r="AA176" i="103"/>
  <c r="F205" i="103"/>
  <c r="AC205" i="103"/>
  <c r="E205" i="103"/>
  <c r="F333" i="103"/>
  <c r="AC333" i="103"/>
  <c r="J337" i="22"/>
  <c r="AA336" i="103"/>
  <c r="C397" i="58"/>
  <c r="C384" i="58"/>
  <c r="G254" i="58"/>
  <c r="G230" i="58"/>
  <c r="AC260" i="103"/>
  <c r="F260" i="103"/>
  <c r="E260" i="103"/>
  <c r="M355" i="67"/>
  <c r="Z283" i="58"/>
  <c r="I283" i="58" s="1"/>
  <c r="AA283" i="58"/>
  <c r="J283" i="58" s="1"/>
  <c r="AC283" i="58"/>
  <c r="M283" i="58" s="1"/>
  <c r="AB283" i="58"/>
  <c r="K283" i="58" s="1"/>
  <c r="M292" i="67"/>
  <c r="AA224" i="103"/>
  <c r="J258" i="22"/>
  <c r="AC210" i="58"/>
  <c r="M210" i="58" s="1"/>
  <c r="Z210" i="58"/>
  <c r="I210" i="58" s="1"/>
  <c r="AB210" i="58"/>
  <c r="K210" i="58" s="1"/>
  <c r="AA210" i="58"/>
  <c r="J210" i="58" s="1"/>
  <c r="AA198" i="58"/>
  <c r="J198" i="58" s="1"/>
  <c r="AC198" i="58"/>
  <c r="M198" i="58" s="1"/>
  <c r="Z198" i="58"/>
  <c r="I198" i="58" s="1"/>
  <c r="AB198" i="58"/>
  <c r="K198" i="58" s="1"/>
  <c r="C229" i="67"/>
  <c r="F395" i="58"/>
  <c r="F382" i="58"/>
  <c r="F189" i="103"/>
  <c r="AC189" i="103"/>
  <c r="E189" i="103"/>
  <c r="R202" i="58"/>
  <c r="L202" i="58" s="1"/>
  <c r="AE203" i="22"/>
  <c r="BY202" i="103"/>
  <c r="BW202" i="103" s="1"/>
  <c r="M213" i="103"/>
  <c r="J213" i="103" s="1"/>
  <c r="L213" i="103"/>
  <c r="G186" i="58"/>
  <c r="C197" i="67"/>
  <c r="Z154" i="58"/>
  <c r="I154" i="58" s="1"/>
  <c r="AC154" i="58"/>
  <c r="M154" i="58" s="1"/>
  <c r="AB154" i="58"/>
  <c r="K154" i="58" s="1"/>
  <c r="AA154" i="58"/>
  <c r="J154" i="58" s="1"/>
  <c r="BZ327" i="103"/>
  <c r="CC327" i="103" s="1"/>
  <c r="AM327" i="103"/>
  <c r="CC270" i="103"/>
  <c r="R248" i="58"/>
  <c r="L248" i="58" s="1"/>
  <c r="AE249" i="22"/>
  <c r="BY248" i="103"/>
  <c r="BW248" i="103" s="1"/>
  <c r="AA221" i="103"/>
  <c r="J201" i="22"/>
  <c r="AA200" i="103"/>
  <c r="M185" i="103"/>
  <c r="J185" i="103" s="1"/>
  <c r="L185" i="103"/>
  <c r="M203" i="103"/>
  <c r="J203" i="103" s="1"/>
  <c r="L203" i="103"/>
  <c r="R174" i="58"/>
  <c r="L174" i="58" s="1"/>
  <c r="AE175" i="22"/>
  <c r="BY174" i="103"/>
  <c r="BW174" i="103" s="1"/>
  <c r="Z161" i="58"/>
  <c r="I161" i="58" s="1"/>
  <c r="AB161" i="58"/>
  <c r="K161" i="58" s="1"/>
  <c r="AC161" i="58"/>
  <c r="M161" i="58" s="1"/>
  <c r="AA161" i="58"/>
  <c r="J161" i="58" s="1"/>
  <c r="F367" i="103"/>
  <c r="AC367" i="103"/>
  <c r="H387" i="103"/>
  <c r="F345" i="103"/>
  <c r="AC345" i="103"/>
  <c r="CG385" i="103"/>
  <c r="CI284" i="103"/>
  <c r="J230" i="22"/>
  <c r="AA229" i="103"/>
  <c r="AA239" i="103"/>
  <c r="F134" i="103"/>
  <c r="AC134" i="103"/>
  <c r="E134" i="103"/>
  <c r="F323" i="103"/>
  <c r="AC323" i="103"/>
  <c r="AA295" i="103"/>
  <c r="AA283" i="103"/>
  <c r="O41" i="13"/>
  <c r="AC214" i="58"/>
  <c r="M214" i="58" s="1"/>
  <c r="AB214" i="58"/>
  <c r="K214" i="58" s="1"/>
  <c r="AA214" i="58"/>
  <c r="J214" i="58" s="1"/>
  <c r="Z214" i="58"/>
  <c r="I214" i="58" s="1"/>
  <c r="AB202" i="58"/>
  <c r="K202" i="58" s="1"/>
  <c r="AA202" i="58"/>
  <c r="J202" i="58" s="1"/>
  <c r="Z202" i="58"/>
  <c r="I202" i="58" s="1"/>
  <c r="AC202" i="58"/>
  <c r="M202" i="58" s="1"/>
  <c r="R157" i="58"/>
  <c r="L157" i="58" s="1"/>
  <c r="AE158" i="22"/>
  <c r="BY157" i="103"/>
  <c r="BW157" i="103" s="1"/>
  <c r="F342" i="103"/>
  <c r="AC342" i="103"/>
  <c r="O386" i="103"/>
  <c r="M315" i="103"/>
  <c r="F346" i="103"/>
  <c r="AC346" i="103"/>
  <c r="CC279" i="103"/>
  <c r="J263" i="22"/>
  <c r="AA262" i="103"/>
  <c r="J280" i="22"/>
  <c r="CC169" i="103"/>
  <c r="AC90" i="103"/>
  <c r="F90" i="103"/>
  <c r="E90" i="103"/>
  <c r="G358" i="58"/>
  <c r="G311" i="58"/>
  <c r="L309" i="67"/>
  <c r="AG301" i="22"/>
  <c r="AA299" i="103"/>
  <c r="AA287" i="103"/>
  <c r="AA232" i="103"/>
  <c r="M199" i="103"/>
  <c r="J199" i="103" s="1"/>
  <c r="L199" i="103"/>
  <c r="AA211" i="103"/>
  <c r="M173" i="103"/>
  <c r="J173" i="103" s="1"/>
  <c r="L173" i="103"/>
  <c r="M158" i="103"/>
  <c r="J158" i="103" s="1"/>
  <c r="L158" i="103"/>
  <c r="M166" i="67"/>
  <c r="AB178" i="58"/>
  <c r="K178" i="58" s="1"/>
  <c r="AA178" i="58"/>
  <c r="J178" i="58" s="1"/>
  <c r="Z178" i="58"/>
  <c r="I178" i="58" s="1"/>
  <c r="AC178" i="58"/>
  <c r="M178" i="58" s="1"/>
  <c r="M157" i="103"/>
  <c r="J157" i="103" s="1"/>
  <c r="L157" i="103"/>
  <c r="G355" i="58"/>
  <c r="L330" i="67"/>
  <c r="AG321" i="22"/>
  <c r="F300" i="103"/>
  <c r="AC300" i="103"/>
  <c r="F288" i="103"/>
  <c r="AC288" i="103"/>
  <c r="Z300" i="58"/>
  <c r="I300" i="58" s="1"/>
  <c r="AB300" i="58"/>
  <c r="K300" i="58" s="1"/>
  <c r="AA300" i="58"/>
  <c r="J300" i="58" s="1"/>
  <c r="AC300" i="58"/>
  <c r="M300" i="58" s="1"/>
  <c r="Z288" i="58"/>
  <c r="I288" i="58" s="1"/>
  <c r="AC288" i="58"/>
  <c r="M288" i="58" s="1"/>
  <c r="AB288" i="58"/>
  <c r="K288" i="58" s="1"/>
  <c r="AA288" i="58"/>
  <c r="J288" i="58" s="1"/>
  <c r="AC261" i="103"/>
  <c r="E261" i="103"/>
  <c r="AA216" i="58"/>
  <c r="J216" i="58" s="1"/>
  <c r="AC216" i="58"/>
  <c r="M216" i="58" s="1"/>
  <c r="Z216" i="58"/>
  <c r="I216" i="58" s="1"/>
  <c r="AB216" i="58"/>
  <c r="K216" i="58" s="1"/>
  <c r="CI225" i="103"/>
  <c r="AA194" i="103"/>
  <c r="G87" i="58"/>
  <c r="CI325" i="103"/>
  <c r="AA344" i="103"/>
  <c r="L353" i="67"/>
  <c r="AG344" i="22"/>
  <c r="I354" i="67"/>
  <c r="AE345" i="22"/>
  <c r="AB367" i="58"/>
  <c r="K367" i="58" s="1"/>
  <c r="AA367" i="58"/>
  <c r="J367" i="58" s="1"/>
  <c r="Z367" i="58"/>
  <c r="I367" i="58" s="1"/>
  <c r="AC367" i="58"/>
  <c r="M367" i="58" s="1"/>
  <c r="F360" i="103"/>
  <c r="AC360" i="103"/>
  <c r="F314" i="103"/>
  <c r="AC314" i="103"/>
  <c r="CD313" i="103"/>
  <c r="BX313" i="103" s="1"/>
  <c r="BB385" i="103"/>
  <c r="Z166" i="58"/>
  <c r="I166" i="58" s="1"/>
  <c r="AC166" i="58"/>
  <c r="M166" i="58" s="1"/>
  <c r="AB166" i="58"/>
  <c r="K166" i="58" s="1"/>
  <c r="AA166" i="58"/>
  <c r="J166" i="58" s="1"/>
  <c r="J316" i="22"/>
  <c r="R386" i="103"/>
  <c r="AA315" i="103"/>
  <c r="F268" i="103"/>
  <c r="AC268" i="103"/>
  <c r="E268" i="103"/>
  <c r="G242" i="58"/>
  <c r="D397" i="58"/>
  <c r="D384" i="58"/>
  <c r="R207" i="58"/>
  <c r="L207" i="58" s="1"/>
  <c r="AE208" i="22"/>
  <c r="BY207" i="103"/>
  <c r="BW207" i="103" s="1"/>
  <c r="M171" i="103"/>
  <c r="J171" i="103" s="1"/>
  <c r="L171" i="103"/>
  <c r="BZ365" i="103"/>
  <c r="CC365" i="103" s="1"/>
  <c r="K401" i="67"/>
  <c r="K387" i="67"/>
  <c r="Z318" i="58"/>
  <c r="I318" i="58" s="1"/>
  <c r="AB318" i="58"/>
  <c r="K318" i="58" s="1"/>
  <c r="AA318" i="58"/>
  <c r="J318" i="58" s="1"/>
  <c r="AC318" i="58"/>
  <c r="M318" i="58" s="1"/>
  <c r="AC339" i="58"/>
  <c r="M339" i="58" s="1"/>
  <c r="Z339" i="58"/>
  <c r="I339" i="58" s="1"/>
  <c r="AB339" i="58"/>
  <c r="K339" i="58" s="1"/>
  <c r="AA339" i="58"/>
  <c r="J339" i="58" s="1"/>
  <c r="AB329" i="58"/>
  <c r="K329" i="58" s="1"/>
  <c r="Z329" i="58"/>
  <c r="I329" i="58" s="1"/>
  <c r="AC329" i="58"/>
  <c r="M329" i="58" s="1"/>
  <c r="AA329" i="58"/>
  <c r="J329" i="58" s="1"/>
  <c r="AA365" i="103"/>
  <c r="R281" i="58"/>
  <c r="L281" i="58" s="1"/>
  <c r="AE282" i="22"/>
  <c r="BY281" i="103"/>
  <c r="F398" i="58"/>
  <c r="F385" i="58"/>
  <c r="R236" i="58"/>
  <c r="L236" i="58" s="1"/>
  <c r="AE237" i="22"/>
  <c r="BY236" i="103"/>
  <c r="BW236" i="103" s="1"/>
  <c r="M236" i="103"/>
  <c r="J236" i="103" s="1"/>
  <c r="L236" i="103"/>
  <c r="M244" i="103"/>
  <c r="J244" i="103" s="1"/>
  <c r="L244" i="103"/>
  <c r="AC248" i="58"/>
  <c r="M248" i="58" s="1"/>
  <c r="AB248" i="58"/>
  <c r="K248" i="58" s="1"/>
  <c r="AA248" i="58"/>
  <c r="J248" i="58" s="1"/>
  <c r="Z248" i="58"/>
  <c r="I248" i="58" s="1"/>
  <c r="AC236" i="58"/>
  <c r="M236" i="58" s="1"/>
  <c r="AB236" i="58"/>
  <c r="K236" i="58" s="1"/>
  <c r="AA236" i="58"/>
  <c r="J236" i="58" s="1"/>
  <c r="Z236" i="58"/>
  <c r="I236" i="58" s="1"/>
  <c r="F190" i="103"/>
  <c r="AC190" i="103"/>
  <c r="E190" i="103"/>
  <c r="M215" i="103"/>
  <c r="J215" i="103" s="1"/>
  <c r="L215" i="103"/>
  <c r="CH186" i="103"/>
  <c r="AA137" i="58"/>
  <c r="J137" i="58" s="1"/>
  <c r="Z137" i="58"/>
  <c r="I137" i="58" s="1"/>
  <c r="AC137" i="58"/>
  <c r="M137" i="58" s="1"/>
  <c r="AB137" i="58"/>
  <c r="K137" i="58" s="1"/>
  <c r="AA172" i="103"/>
  <c r="CH168" i="103"/>
  <c r="AC364" i="58"/>
  <c r="M364" i="58" s="1"/>
  <c r="AA364" i="58"/>
  <c r="J364" i="58" s="1"/>
  <c r="Z364" i="58"/>
  <c r="I364" i="58" s="1"/>
  <c r="AB364" i="58"/>
  <c r="K364" i="58" s="1"/>
  <c r="U387" i="103"/>
  <c r="CB264" i="103"/>
  <c r="L272" i="67" s="1"/>
  <c r="R279" i="58"/>
  <c r="L279" i="58" s="1"/>
  <c r="AE280" i="22"/>
  <c r="BY279" i="103"/>
  <c r="G283" i="58"/>
  <c r="AC266" i="58"/>
  <c r="M266" i="58" s="1"/>
  <c r="AB266" i="58"/>
  <c r="K266" i="58" s="1"/>
  <c r="AA266" i="58"/>
  <c r="J266" i="58" s="1"/>
  <c r="Z266" i="58"/>
  <c r="I266" i="58" s="1"/>
  <c r="F245" i="103"/>
  <c r="AC245" i="103"/>
  <c r="E245" i="103"/>
  <c r="R205" i="58"/>
  <c r="L205" i="58" s="1"/>
  <c r="AE206" i="22"/>
  <c r="BY205" i="103"/>
  <c r="BW205" i="103" s="1"/>
  <c r="CB233" i="103"/>
  <c r="L240" i="67" s="1"/>
  <c r="G177" i="58"/>
  <c r="F309" i="103"/>
  <c r="AC309" i="103"/>
  <c r="AA312" i="58"/>
  <c r="J312" i="58" s="1"/>
  <c r="AB312" i="58"/>
  <c r="K312" i="58" s="1"/>
  <c r="AC312" i="58"/>
  <c r="M312" i="58" s="1"/>
  <c r="Z312" i="58"/>
  <c r="I312" i="58" s="1"/>
  <c r="CH334" i="103"/>
  <c r="J265" i="22"/>
  <c r="F266" i="103"/>
  <c r="AC266" i="103"/>
  <c r="E266" i="103"/>
  <c r="CH235" i="103"/>
  <c r="D292" i="67"/>
  <c r="F240" i="103"/>
  <c r="AC240" i="103"/>
  <c r="E240" i="103"/>
  <c r="G257" i="58"/>
  <c r="F224" i="103"/>
  <c r="AC224" i="103"/>
  <c r="E224" i="103"/>
  <c r="O395" i="58"/>
  <c r="O382" i="58"/>
  <c r="AG171" i="22"/>
  <c r="BZ170" i="103"/>
  <c r="CC170" i="103" s="1"/>
  <c r="F160" i="103"/>
  <c r="AC160" i="103"/>
  <c r="E160" i="103"/>
  <c r="R163" i="58"/>
  <c r="L163" i="58" s="1"/>
  <c r="AE164" i="22"/>
  <c r="BY163" i="103"/>
  <c r="BW163" i="103" s="1"/>
  <c r="AC106" i="58"/>
  <c r="M106" i="58" s="1"/>
  <c r="AB106" i="58"/>
  <c r="K106" i="58" s="1"/>
  <c r="AA106" i="58"/>
  <c r="J106" i="58" s="1"/>
  <c r="Z106" i="58"/>
  <c r="I106" i="58" s="1"/>
  <c r="R362" i="58"/>
  <c r="L362" i="58" s="1"/>
  <c r="BY362" i="103"/>
  <c r="BW362" i="103" s="1"/>
  <c r="AC309" i="58"/>
  <c r="M309" i="58" s="1"/>
  <c r="Z309" i="58"/>
  <c r="I309" i="58" s="1"/>
  <c r="AA309" i="58"/>
  <c r="J309" i="58" s="1"/>
  <c r="AB309" i="58"/>
  <c r="K309" i="58" s="1"/>
  <c r="CB329" i="103"/>
  <c r="G267" i="58"/>
  <c r="AC272" i="58"/>
  <c r="M272" i="58" s="1"/>
  <c r="AB272" i="58"/>
  <c r="K272" i="58" s="1"/>
  <c r="AA272" i="58"/>
  <c r="J272" i="58" s="1"/>
  <c r="Z272" i="58"/>
  <c r="I272" i="58" s="1"/>
  <c r="CB299" i="103"/>
  <c r="M235" i="103"/>
  <c r="J235" i="103" s="1"/>
  <c r="L235" i="103"/>
  <c r="CB248" i="103"/>
  <c r="L255" i="67" s="1"/>
  <c r="CB212" i="103"/>
  <c r="L218" i="67" s="1"/>
  <c r="F155" i="103"/>
  <c r="AC155" i="103"/>
  <c r="E155" i="103"/>
  <c r="O394" i="58"/>
  <c r="O381" i="58"/>
  <c r="G339" i="58"/>
  <c r="G323" i="58"/>
  <c r="J318" i="22"/>
  <c r="AA317" i="103"/>
  <c r="O385" i="103"/>
  <c r="M284" i="103"/>
  <c r="M261" i="103"/>
  <c r="L261" i="103"/>
  <c r="C292" i="67"/>
  <c r="N292" i="67"/>
  <c r="F221" i="103"/>
  <c r="AC221" i="103"/>
  <c r="E221" i="103"/>
  <c r="CG384" i="103"/>
  <c r="M172" i="103"/>
  <c r="J172" i="103" s="1"/>
  <c r="L172" i="103"/>
  <c r="BB383" i="103"/>
  <c r="CH151" i="103"/>
  <c r="CB145" i="103"/>
  <c r="L149" i="67" s="1"/>
  <c r="F375" i="103"/>
  <c r="AC375" i="103"/>
  <c r="CB360" i="103"/>
  <c r="BZ325" i="103"/>
  <c r="CC325" i="103" s="1"/>
  <c r="M387" i="67"/>
  <c r="CH302" i="103"/>
  <c r="CH284" i="103"/>
  <c r="T167" i="23"/>
  <c r="D12" i="104"/>
  <c r="F207" i="103"/>
  <c r="AC207" i="103"/>
  <c r="E207" i="103"/>
  <c r="CH164" i="103"/>
  <c r="M167" i="103"/>
  <c r="J167" i="103" s="1"/>
  <c r="L167" i="103"/>
  <c r="AB347" i="58"/>
  <c r="K347" i="58" s="1"/>
  <c r="Z347" i="58"/>
  <c r="I347" i="58" s="1"/>
  <c r="AC347" i="58"/>
  <c r="M347" i="58" s="1"/>
  <c r="AA347" i="58"/>
  <c r="J347" i="58" s="1"/>
  <c r="AA369" i="103"/>
  <c r="G338" i="58"/>
  <c r="AC359" i="103"/>
  <c r="F359" i="103"/>
  <c r="CF280" i="103"/>
  <c r="CH297" i="103"/>
  <c r="AC325" i="58"/>
  <c r="M325" i="58" s="1"/>
  <c r="AB325" i="58"/>
  <c r="K325" i="58" s="1"/>
  <c r="Z325" i="58"/>
  <c r="I325" i="58" s="1"/>
  <c r="AA325" i="58"/>
  <c r="J325" i="58" s="1"/>
  <c r="BX274" i="103"/>
  <c r="CF275" i="103"/>
  <c r="AC260" i="58"/>
  <c r="M260" i="58" s="1"/>
  <c r="AB260" i="58"/>
  <c r="K260" i="58" s="1"/>
  <c r="AA260" i="58"/>
  <c r="J260" i="58" s="1"/>
  <c r="Z260" i="58"/>
  <c r="I260" i="58" s="1"/>
  <c r="J282" i="22"/>
  <c r="F234" i="103"/>
  <c r="AC234" i="103"/>
  <c r="E234" i="103"/>
  <c r="G217" i="58"/>
  <c r="G247" i="58"/>
  <c r="G235" i="58"/>
  <c r="CH193" i="103"/>
  <c r="M164" i="103"/>
  <c r="J164" i="103" s="1"/>
  <c r="L164" i="103"/>
  <c r="C394" i="58"/>
  <c r="C381" i="58"/>
  <c r="G162" i="58"/>
  <c r="G361" i="58"/>
  <c r="P27" i="64"/>
  <c r="AC302" i="58"/>
  <c r="M302" i="58" s="1"/>
  <c r="AA302" i="58"/>
  <c r="J302" i="58" s="1"/>
  <c r="Z302" i="58"/>
  <c r="I302" i="58" s="1"/>
  <c r="AB302" i="58"/>
  <c r="K302" i="58" s="1"/>
  <c r="AB290" i="58"/>
  <c r="K290" i="58" s="1"/>
  <c r="Z290" i="58"/>
  <c r="I290" i="58" s="1"/>
  <c r="AA290" i="58"/>
  <c r="J290" i="58" s="1"/>
  <c r="AC290" i="58"/>
  <c r="M290" i="58" s="1"/>
  <c r="AG239" i="22"/>
  <c r="BZ238" i="103"/>
  <c r="CC238" i="103" s="1"/>
  <c r="AM238" i="103"/>
  <c r="BX251" i="103"/>
  <c r="AB249" i="58"/>
  <c r="K249" i="58" s="1"/>
  <c r="AC249" i="58"/>
  <c r="M249" i="58" s="1"/>
  <c r="AA249" i="58"/>
  <c r="J249" i="58" s="1"/>
  <c r="Z249" i="58"/>
  <c r="I249" i="58" s="1"/>
  <c r="AA237" i="58"/>
  <c r="J237" i="58" s="1"/>
  <c r="Z237" i="58"/>
  <c r="I237" i="58" s="1"/>
  <c r="AC237" i="58"/>
  <c r="M237" i="58" s="1"/>
  <c r="AB237" i="58"/>
  <c r="K237" i="58" s="1"/>
  <c r="H261" i="67"/>
  <c r="M176" i="103"/>
  <c r="J176" i="103" s="1"/>
  <c r="L176" i="103"/>
  <c r="F167" i="103"/>
  <c r="AC167" i="103"/>
  <c r="E167" i="103"/>
  <c r="CC133" i="103"/>
  <c r="AC171" i="103"/>
  <c r="F171" i="103"/>
  <c r="E171" i="103"/>
  <c r="G332" i="58"/>
  <c r="G347" i="58"/>
  <c r="G294" i="58"/>
  <c r="J266" i="22"/>
  <c r="R225" i="58"/>
  <c r="L225" i="58" s="1"/>
  <c r="AE226" i="22"/>
  <c r="BY225" i="103"/>
  <c r="BW225" i="103" s="1"/>
  <c r="F257" i="103"/>
  <c r="AC257" i="103"/>
  <c r="E257" i="103"/>
  <c r="G209" i="58"/>
  <c r="G197" i="58"/>
  <c r="AA178" i="103"/>
  <c r="AB149" i="58"/>
  <c r="K149" i="58" s="1"/>
  <c r="AA149" i="58"/>
  <c r="J149" i="58" s="1"/>
  <c r="Z149" i="58"/>
  <c r="I149" i="58" s="1"/>
  <c r="AC149" i="58"/>
  <c r="M149" i="58" s="1"/>
  <c r="CH163" i="103"/>
  <c r="BZ371" i="103"/>
  <c r="CC371" i="103" s="1"/>
  <c r="R307" i="58"/>
  <c r="L307" i="58" s="1"/>
  <c r="BY307" i="103"/>
  <c r="AQ257" i="22"/>
  <c r="J226" i="22"/>
  <c r="AA225" i="103"/>
  <c r="M256" i="103"/>
  <c r="J256" i="103" s="1"/>
  <c r="L256" i="103"/>
  <c r="AA203" i="103"/>
  <c r="BX168" i="103"/>
  <c r="F194" i="103"/>
  <c r="AC194" i="103"/>
  <c r="E194" i="103"/>
  <c r="BC379" i="103"/>
  <c r="L357" i="67"/>
  <c r="AG347" i="22"/>
  <c r="R276" i="58"/>
  <c r="L276" i="58" s="1"/>
  <c r="AE277" i="22"/>
  <c r="BY276" i="103"/>
  <c r="CD257" i="103"/>
  <c r="BX257" i="103" s="1"/>
  <c r="Z188" i="58"/>
  <c r="I188" i="58" s="1"/>
  <c r="AC188" i="58"/>
  <c r="M188" i="58" s="1"/>
  <c r="AB188" i="58"/>
  <c r="K188" i="58" s="1"/>
  <c r="AA188" i="58"/>
  <c r="J188" i="58" s="1"/>
  <c r="AC176" i="58"/>
  <c r="M176" i="58" s="1"/>
  <c r="AB176" i="58"/>
  <c r="K176" i="58" s="1"/>
  <c r="AA176" i="58"/>
  <c r="J176" i="58" s="1"/>
  <c r="Z176" i="58"/>
  <c r="I176" i="58" s="1"/>
  <c r="AG156" i="22"/>
  <c r="BZ155" i="103"/>
  <c r="CC155" i="103" s="1"/>
  <c r="F172" i="103"/>
  <c r="AC172" i="103"/>
  <c r="E172" i="103"/>
  <c r="R166" i="58"/>
  <c r="L166" i="58" s="1"/>
  <c r="AE167" i="22"/>
  <c r="BY166" i="103"/>
  <c r="BW166" i="103" s="1"/>
  <c r="AB336" i="58"/>
  <c r="K336" i="58" s="1"/>
  <c r="AC336" i="58"/>
  <c r="M336" i="58" s="1"/>
  <c r="Z336" i="58"/>
  <c r="I336" i="58" s="1"/>
  <c r="AA336" i="58"/>
  <c r="J336" i="58" s="1"/>
  <c r="D399" i="58"/>
  <c r="D386" i="58"/>
  <c r="P154" i="13"/>
  <c r="R305" i="58"/>
  <c r="L305" i="58" s="1"/>
  <c r="BY305" i="103"/>
  <c r="C324" i="67"/>
  <c r="AG248" i="22"/>
  <c r="BZ247" i="103"/>
  <c r="CC247" i="103" s="1"/>
  <c r="AA245" i="103"/>
  <c r="J176" i="22"/>
  <c r="AA175" i="103"/>
  <c r="C393" i="58"/>
  <c r="C380" i="58"/>
  <c r="G131" i="58"/>
  <c r="R332" i="58"/>
  <c r="L332" i="58" s="1"/>
  <c r="BY332" i="103"/>
  <c r="BW332" i="103" s="1"/>
  <c r="Z304" i="58"/>
  <c r="I304" i="58" s="1"/>
  <c r="AB304" i="58"/>
  <c r="K304" i="58" s="1"/>
  <c r="AA304" i="58"/>
  <c r="J304" i="58" s="1"/>
  <c r="AC304" i="58"/>
  <c r="M304" i="58" s="1"/>
  <c r="AB292" i="58"/>
  <c r="K292" i="58" s="1"/>
  <c r="AA292" i="58"/>
  <c r="J292" i="58" s="1"/>
  <c r="AC292" i="58"/>
  <c r="M292" i="58" s="1"/>
  <c r="Z292" i="58"/>
  <c r="I292" i="58" s="1"/>
  <c r="R233" i="58"/>
  <c r="L233" i="58" s="1"/>
  <c r="AE234" i="22"/>
  <c r="BY233" i="103"/>
  <c r="BW233" i="103" s="1"/>
  <c r="M238" i="103"/>
  <c r="J238" i="103" s="1"/>
  <c r="L238" i="103"/>
  <c r="M209" i="103"/>
  <c r="J209" i="103" s="1"/>
  <c r="L209" i="103"/>
  <c r="Z147" i="58"/>
  <c r="I147" i="58" s="1"/>
  <c r="AB147" i="58"/>
  <c r="K147" i="58" s="1"/>
  <c r="AA147" i="58"/>
  <c r="J147" i="58" s="1"/>
  <c r="AC147" i="58"/>
  <c r="M147" i="58" s="1"/>
  <c r="J104" i="22"/>
  <c r="AA103" i="103"/>
  <c r="AC356" i="58"/>
  <c r="M356" i="58" s="1"/>
  <c r="AB356" i="58"/>
  <c r="K356" i="58" s="1"/>
  <c r="AA356" i="58"/>
  <c r="J356" i="58" s="1"/>
  <c r="Z356" i="58"/>
  <c r="I356" i="58" s="1"/>
  <c r="J359" i="22"/>
  <c r="AA358" i="103"/>
  <c r="E387" i="67"/>
  <c r="H387" i="67"/>
  <c r="G299" i="58"/>
  <c r="G287" i="58"/>
  <c r="G318" i="58"/>
  <c r="O75" i="13"/>
  <c r="AG245" i="22"/>
  <c r="BZ244" i="103"/>
  <c r="CC244" i="103" s="1"/>
  <c r="G224" i="58"/>
  <c r="G195" i="58"/>
  <c r="AG185" i="22"/>
  <c r="BZ184" i="103"/>
  <c r="CC184" i="103" s="1"/>
  <c r="AM184" i="103"/>
  <c r="F324" i="103"/>
  <c r="AC324" i="103"/>
  <c r="AA326" i="103"/>
  <c r="F238" i="103"/>
  <c r="AC238" i="103"/>
  <c r="E238" i="103"/>
  <c r="O397" i="58"/>
  <c r="O384" i="58"/>
  <c r="Q397" i="58"/>
  <c r="Q384" i="58"/>
  <c r="AG217" i="22"/>
  <c r="BZ216" i="103"/>
  <c r="CC216" i="103" s="1"/>
  <c r="H383" i="103"/>
  <c r="AC223" i="103"/>
  <c r="F223" i="103"/>
  <c r="E223" i="103"/>
  <c r="AC212" i="58"/>
  <c r="M212" i="58" s="1"/>
  <c r="AB212" i="58"/>
  <c r="K212" i="58" s="1"/>
  <c r="AA212" i="58"/>
  <c r="J212" i="58" s="1"/>
  <c r="Z212" i="58"/>
  <c r="I212" i="58" s="1"/>
  <c r="AB200" i="58"/>
  <c r="K200" i="58" s="1"/>
  <c r="AA200" i="58"/>
  <c r="J200" i="58" s="1"/>
  <c r="Z200" i="58"/>
  <c r="I200" i="58" s="1"/>
  <c r="AC200" i="58"/>
  <c r="M200" i="58" s="1"/>
  <c r="R160" i="58"/>
  <c r="L160" i="58" s="1"/>
  <c r="AE161" i="22"/>
  <c r="BY160" i="103"/>
  <c r="BW160" i="103" s="1"/>
  <c r="CH171" i="103"/>
  <c r="AC354" i="58"/>
  <c r="M354" i="58" s="1"/>
  <c r="Z354" i="58"/>
  <c r="I354" i="58" s="1"/>
  <c r="AA354" i="58"/>
  <c r="J354" i="58" s="1"/>
  <c r="AB354" i="58"/>
  <c r="K354" i="58" s="1"/>
  <c r="D387" i="67"/>
  <c r="F316" i="103"/>
  <c r="AC316" i="103"/>
  <c r="AC278" i="58"/>
  <c r="M278" i="58" s="1"/>
  <c r="AB278" i="58"/>
  <c r="K278" i="58" s="1"/>
  <c r="AA278" i="58"/>
  <c r="J278" i="58" s="1"/>
  <c r="Z278" i="58"/>
  <c r="I278" i="58" s="1"/>
  <c r="G216" i="58"/>
  <c r="AC253" i="58"/>
  <c r="M253" i="58" s="1"/>
  <c r="AB253" i="58"/>
  <c r="K253" i="58" s="1"/>
  <c r="AA253" i="58"/>
  <c r="J253" i="58" s="1"/>
  <c r="Z253" i="58"/>
  <c r="I253" i="58" s="1"/>
  <c r="AC241" i="58"/>
  <c r="M241" i="58" s="1"/>
  <c r="AB241" i="58"/>
  <c r="K241" i="58" s="1"/>
  <c r="AA241" i="58"/>
  <c r="J241" i="58" s="1"/>
  <c r="Z241" i="58"/>
  <c r="I241" i="58" s="1"/>
  <c r="Z229" i="58"/>
  <c r="I229" i="58" s="1"/>
  <c r="AC229" i="58"/>
  <c r="M229" i="58" s="1"/>
  <c r="AB229" i="58"/>
  <c r="K229" i="58" s="1"/>
  <c r="AA229" i="58"/>
  <c r="J229" i="58" s="1"/>
  <c r="O383" i="103"/>
  <c r="M223" i="103"/>
  <c r="L223" i="103"/>
  <c r="AA207" i="103"/>
  <c r="G185" i="58"/>
  <c r="G173" i="58"/>
  <c r="M200" i="103"/>
  <c r="J200" i="103" s="1"/>
  <c r="L200" i="103"/>
  <c r="M224" i="103"/>
  <c r="J224" i="103" s="1"/>
  <c r="L224" i="103"/>
  <c r="R162" i="58"/>
  <c r="AE163" i="22"/>
  <c r="BY162" i="103"/>
  <c r="CA162" i="103" s="1"/>
  <c r="J149" i="22"/>
  <c r="AA148" i="103"/>
  <c r="M166" i="103"/>
  <c r="J166" i="103" s="1"/>
  <c r="L166" i="103"/>
  <c r="G155" i="58"/>
  <c r="F369" i="103"/>
  <c r="AC369" i="103"/>
  <c r="F321" i="103"/>
  <c r="AC321" i="103"/>
  <c r="G328" i="58"/>
  <c r="AA359" i="103"/>
  <c r="F304" i="103"/>
  <c r="AC304" i="103"/>
  <c r="F292" i="103"/>
  <c r="AC292" i="103"/>
  <c r="AC307" i="103"/>
  <c r="F307" i="103"/>
  <c r="G184" i="58"/>
  <c r="G172" i="58"/>
  <c r="F147" i="103"/>
  <c r="AC147" i="103"/>
  <c r="E147" i="103"/>
  <c r="L167" i="67"/>
  <c r="BD387" i="103"/>
  <c r="G265" i="58"/>
  <c r="J247" i="22"/>
  <c r="AA246" i="103"/>
  <c r="P396" i="58"/>
  <c r="P383" i="58"/>
  <c r="AA167" i="103"/>
  <c r="AB142" i="58"/>
  <c r="K142" i="58" s="1"/>
  <c r="AA142" i="58"/>
  <c r="J142" i="58" s="1"/>
  <c r="Z142" i="58"/>
  <c r="I142" i="58" s="1"/>
  <c r="AC142" i="58"/>
  <c r="M142" i="58" s="1"/>
  <c r="G149" i="58"/>
  <c r="M97" i="103"/>
  <c r="J97" i="103" s="1"/>
  <c r="L97" i="103"/>
  <c r="G263" i="58"/>
  <c r="L306" i="67"/>
  <c r="AG298" i="22"/>
  <c r="F296" i="103"/>
  <c r="AC296" i="103"/>
  <c r="H385" i="103"/>
  <c r="F284" i="103"/>
  <c r="AC284" i="103"/>
  <c r="AC259" i="58"/>
  <c r="M259" i="58" s="1"/>
  <c r="AB259" i="58"/>
  <c r="K259" i="58" s="1"/>
  <c r="AA259" i="58"/>
  <c r="J259" i="58" s="1"/>
  <c r="Z259" i="58"/>
  <c r="I259" i="58" s="1"/>
  <c r="AA257" i="103"/>
  <c r="M221" i="103"/>
  <c r="J221" i="103" s="1"/>
  <c r="L221" i="103"/>
  <c r="F178" i="103"/>
  <c r="AC178" i="103"/>
  <c r="E178" i="103"/>
  <c r="H381" i="103"/>
  <c r="F162" i="103"/>
  <c r="AC162" i="103"/>
  <c r="E162" i="103"/>
  <c r="M104" i="103"/>
  <c r="J104" i="103" s="1"/>
  <c r="L104" i="103"/>
  <c r="CC363" i="103"/>
  <c r="G357" i="58"/>
  <c r="F203" i="103"/>
  <c r="AC203" i="103"/>
  <c r="E203" i="103"/>
  <c r="L378" i="67"/>
  <c r="AG368" i="22"/>
  <c r="BZ358" i="103"/>
  <c r="CC358" i="103" s="1"/>
  <c r="AM358" i="103"/>
  <c r="J255" i="22"/>
  <c r="T126" i="23"/>
  <c r="R384" i="103"/>
  <c r="R302" i="58"/>
  <c r="L302" i="58" s="1"/>
  <c r="BY302" i="103"/>
  <c r="R150" i="58"/>
  <c r="L150" i="58" s="1"/>
  <c r="AE151" i="22"/>
  <c r="BY150" i="103"/>
  <c r="BW150" i="103" s="1"/>
  <c r="R367" i="58"/>
  <c r="L367" i="58" s="1"/>
  <c r="BY367" i="103"/>
  <c r="BW367" i="103" s="1"/>
  <c r="BZ312" i="103"/>
  <c r="CC312" i="103" s="1"/>
  <c r="AM312" i="103"/>
  <c r="R255" i="58"/>
  <c r="L255" i="58" s="1"/>
  <c r="AE256" i="22"/>
  <c r="AG127" i="23"/>
  <c r="BY255" i="103"/>
  <c r="BW255" i="103" s="1"/>
  <c r="AC257" i="58"/>
  <c r="M257" i="58" s="1"/>
  <c r="AB257" i="58"/>
  <c r="K257" i="58" s="1"/>
  <c r="AA257" i="58"/>
  <c r="J257" i="58" s="1"/>
  <c r="Z257" i="58"/>
  <c r="I257" i="58" s="1"/>
  <c r="AC207" i="58"/>
  <c r="M207" i="58" s="1"/>
  <c r="AB207" i="58"/>
  <c r="K207" i="58" s="1"/>
  <c r="AA207" i="58"/>
  <c r="J207" i="58" s="1"/>
  <c r="Z207" i="58"/>
  <c r="I207" i="58" s="1"/>
  <c r="F187" i="103"/>
  <c r="AC187" i="103"/>
  <c r="E187" i="103"/>
  <c r="F153" i="103"/>
  <c r="AC153" i="103"/>
  <c r="E153" i="103"/>
  <c r="G342" i="58"/>
  <c r="P400" i="58"/>
  <c r="P387" i="58"/>
  <c r="J268" i="22"/>
  <c r="M219" i="103"/>
  <c r="J219" i="103" s="1"/>
  <c r="L219" i="103"/>
  <c r="F242" i="103"/>
  <c r="AC242" i="103"/>
  <c r="E242" i="103"/>
  <c r="M175" i="103"/>
  <c r="J175" i="103" s="1"/>
  <c r="L175" i="103"/>
  <c r="F212" i="103"/>
  <c r="AC212" i="103"/>
  <c r="E212" i="103"/>
  <c r="AA144" i="58"/>
  <c r="J144" i="58" s="1"/>
  <c r="Z144" i="58"/>
  <c r="I144" i="58" s="1"/>
  <c r="AC144" i="58"/>
  <c r="M144" i="58" s="1"/>
  <c r="AB144" i="58"/>
  <c r="K144" i="58" s="1"/>
  <c r="AA353" i="58"/>
  <c r="J353" i="58" s="1"/>
  <c r="AC353" i="58"/>
  <c r="M353" i="58" s="1"/>
  <c r="Z353" i="58"/>
  <c r="I353" i="58" s="1"/>
  <c r="AB353" i="58"/>
  <c r="K353" i="58" s="1"/>
  <c r="F326" i="103"/>
  <c r="AC326" i="103"/>
  <c r="O387" i="103"/>
  <c r="M345" i="103"/>
  <c r="AB317" i="58"/>
  <c r="K317" i="58" s="1"/>
  <c r="AA317" i="58"/>
  <c r="J317" i="58" s="1"/>
  <c r="Z317" i="58"/>
  <c r="I317" i="58" s="1"/>
  <c r="AC317" i="58"/>
  <c r="M317" i="58" s="1"/>
  <c r="BB384" i="103"/>
  <c r="M211" i="103"/>
  <c r="J211" i="103" s="1"/>
  <c r="L211" i="103"/>
  <c r="M210" i="103"/>
  <c r="J210" i="103" s="1"/>
  <c r="L210" i="103"/>
  <c r="R194" i="58"/>
  <c r="L194" i="58" s="1"/>
  <c r="AE195" i="22"/>
  <c r="BY194" i="103"/>
  <c r="BW194" i="103" s="1"/>
  <c r="AA170" i="58"/>
  <c r="J170" i="58" s="1"/>
  <c r="Z170" i="58"/>
  <c r="I170" i="58" s="1"/>
  <c r="AC170" i="58"/>
  <c r="M170" i="58" s="1"/>
  <c r="AB170" i="58"/>
  <c r="K170" i="58" s="1"/>
  <c r="AC151" i="58"/>
  <c r="M151" i="58" s="1"/>
  <c r="AB151" i="58"/>
  <c r="K151" i="58" s="1"/>
  <c r="AA151" i="58"/>
  <c r="J151" i="58" s="1"/>
  <c r="Z151" i="58"/>
  <c r="I151" i="58" s="1"/>
  <c r="F275" i="103"/>
  <c r="AC275" i="103"/>
  <c r="AG196" i="22"/>
  <c r="BZ195" i="103"/>
  <c r="CC195" i="103" s="1"/>
  <c r="AM195" i="103"/>
  <c r="AN382" i="103"/>
  <c r="M182" i="103"/>
  <c r="J182" i="103" s="1"/>
  <c r="L182" i="103"/>
  <c r="CG128" i="103"/>
  <c r="CI128" i="103" s="1"/>
  <c r="BB128" i="103"/>
  <c r="M135" i="103"/>
  <c r="J135" i="103" s="1"/>
  <c r="L135" i="103"/>
  <c r="AB351" i="58"/>
  <c r="K351" i="58" s="1"/>
  <c r="AC351" i="58"/>
  <c r="M351" i="58" s="1"/>
  <c r="AA351" i="58"/>
  <c r="J351" i="58" s="1"/>
  <c r="Z351" i="58"/>
  <c r="I351" i="58" s="1"/>
  <c r="AA304" i="103"/>
  <c r="AA292" i="103"/>
  <c r="BD385" i="103"/>
  <c r="R257" i="58"/>
  <c r="L257" i="58" s="1"/>
  <c r="AE258" i="22"/>
  <c r="BY257" i="103"/>
  <c r="BW257" i="103" s="1"/>
  <c r="AA211" i="58"/>
  <c r="J211" i="58" s="1"/>
  <c r="Z211" i="58"/>
  <c r="I211" i="58" s="1"/>
  <c r="AC211" i="58"/>
  <c r="M211" i="58" s="1"/>
  <c r="AB211" i="58"/>
  <c r="K211" i="58" s="1"/>
  <c r="AC199" i="58"/>
  <c r="M199" i="58" s="1"/>
  <c r="AB199" i="58"/>
  <c r="K199" i="58" s="1"/>
  <c r="AA199" i="58"/>
  <c r="J199" i="58" s="1"/>
  <c r="Z199" i="58"/>
  <c r="I199" i="58" s="1"/>
  <c r="AA154" i="103"/>
  <c r="AG172" i="22"/>
  <c r="BZ171" i="103"/>
  <c r="CC171" i="103" s="1"/>
  <c r="AM171" i="103"/>
  <c r="CI131" i="103"/>
  <c r="AA147" i="103"/>
  <c r="G152" i="58"/>
  <c r="AN381" i="103"/>
  <c r="K394" i="67"/>
  <c r="K166" i="67"/>
  <c r="R356" i="58"/>
  <c r="L356" i="58" s="1"/>
  <c r="BY356" i="103"/>
  <c r="BW356" i="103" s="1"/>
  <c r="G314" i="58"/>
  <c r="CD340" i="103"/>
  <c r="BX340" i="103" s="1"/>
  <c r="AC262" i="58"/>
  <c r="M262" i="58" s="1"/>
  <c r="AB262" i="58"/>
  <c r="K262" i="58" s="1"/>
  <c r="AA262" i="58"/>
  <c r="J262" i="58" s="1"/>
  <c r="Z262" i="58"/>
  <c r="I262" i="58" s="1"/>
  <c r="AA279" i="58"/>
  <c r="J279" i="58" s="1"/>
  <c r="Z279" i="58"/>
  <c r="I279" i="58" s="1"/>
  <c r="AC279" i="58"/>
  <c r="M279" i="58" s="1"/>
  <c r="AB279" i="58"/>
  <c r="K279" i="58" s="1"/>
  <c r="M251" i="103"/>
  <c r="J251" i="103" s="1"/>
  <c r="L251" i="103"/>
  <c r="F264" i="103"/>
  <c r="AC264" i="103"/>
  <c r="E264" i="103"/>
  <c r="CD258" i="103"/>
  <c r="BX258" i="103" s="1"/>
  <c r="H380" i="103"/>
  <c r="F131" i="103"/>
  <c r="AC131" i="103"/>
  <c r="E131" i="103"/>
  <c r="J372" i="22"/>
  <c r="AA371" i="103"/>
  <c r="AC372" i="58"/>
  <c r="M372" i="58" s="1"/>
  <c r="AA372" i="58"/>
  <c r="J372" i="58" s="1"/>
  <c r="Z372" i="58"/>
  <c r="I372" i="58" s="1"/>
  <c r="AB372" i="58"/>
  <c r="K372" i="58" s="1"/>
  <c r="AQ283" i="22"/>
  <c r="CC275" i="103"/>
  <c r="F313" i="103"/>
  <c r="AC313" i="103"/>
  <c r="AA296" i="103"/>
  <c r="AM241" i="103"/>
  <c r="M234" i="103"/>
  <c r="J234" i="103" s="1"/>
  <c r="L234" i="103"/>
  <c r="M196" i="103"/>
  <c r="J196" i="103" s="1"/>
  <c r="L196" i="103"/>
  <c r="CH205" i="103"/>
  <c r="AA151" i="103"/>
  <c r="G156" i="58"/>
  <c r="AU388" i="103"/>
  <c r="AA361" i="103"/>
  <c r="G319" i="58"/>
  <c r="AB225" i="58"/>
  <c r="K225" i="58" s="1"/>
  <c r="AC225" i="58"/>
  <c r="M225" i="58" s="1"/>
  <c r="AA225" i="58"/>
  <c r="J225" i="58" s="1"/>
  <c r="Z225" i="58"/>
  <c r="I225" i="58" s="1"/>
  <c r="K397" i="67"/>
  <c r="K261" i="67"/>
  <c r="G259" i="58"/>
  <c r="F201" i="103"/>
  <c r="AC201" i="103"/>
  <c r="E201" i="103"/>
  <c r="AC196" i="58"/>
  <c r="M196" i="58" s="1"/>
  <c r="AB196" i="58"/>
  <c r="K196" i="58" s="1"/>
  <c r="AA196" i="58"/>
  <c r="J196" i="58" s="1"/>
  <c r="Z196" i="58"/>
  <c r="I196" i="58" s="1"/>
  <c r="AA184" i="58"/>
  <c r="J184" i="58" s="1"/>
  <c r="AB184" i="58"/>
  <c r="K184" i="58" s="1"/>
  <c r="Z184" i="58"/>
  <c r="I184" i="58" s="1"/>
  <c r="AC184" i="58"/>
  <c r="M184" i="58" s="1"/>
  <c r="AA128" i="103"/>
  <c r="AC306" i="103"/>
  <c r="F306" i="103"/>
  <c r="L372" i="67"/>
  <c r="AG362" i="22"/>
  <c r="AQ346" i="22"/>
  <c r="AC197" i="103"/>
  <c r="E197" i="103"/>
  <c r="G167" i="23"/>
  <c r="D8" i="104"/>
  <c r="CH199" i="103"/>
  <c r="F174" i="103"/>
  <c r="AC174" i="103"/>
  <c r="E174" i="103"/>
  <c r="R137" i="58"/>
  <c r="L137" i="58" s="1"/>
  <c r="AE138" i="22"/>
  <c r="BY137" i="103"/>
  <c r="BW137" i="103" s="1"/>
  <c r="G373" i="58"/>
  <c r="AC331" i="58"/>
  <c r="M331" i="58" s="1"/>
  <c r="AB331" i="58"/>
  <c r="K331" i="58" s="1"/>
  <c r="Z331" i="58"/>
  <c r="I331" i="58" s="1"/>
  <c r="AA331" i="58"/>
  <c r="J331" i="58" s="1"/>
  <c r="F400" i="58"/>
  <c r="F387" i="58"/>
  <c r="R299" i="58"/>
  <c r="L299" i="58" s="1"/>
  <c r="BY299" i="103"/>
  <c r="F263" i="103"/>
  <c r="AC263" i="103"/>
  <c r="E263" i="103"/>
  <c r="CB278" i="103"/>
  <c r="AG183" i="22"/>
  <c r="BZ182" i="103"/>
  <c r="CC182" i="103" s="1"/>
  <c r="M212" i="103"/>
  <c r="J212" i="103" s="1"/>
  <c r="L212" i="103"/>
  <c r="M143" i="103"/>
  <c r="J143" i="103" s="1"/>
  <c r="L143" i="103"/>
  <c r="AB175" i="58"/>
  <c r="K175" i="58" s="1"/>
  <c r="AA175" i="58"/>
  <c r="J175" i="58" s="1"/>
  <c r="Z175" i="58"/>
  <c r="I175" i="58" s="1"/>
  <c r="AC175" i="58"/>
  <c r="M175" i="58" s="1"/>
  <c r="AA150" i="58"/>
  <c r="J150" i="58" s="1"/>
  <c r="AC150" i="58"/>
  <c r="M150" i="58" s="1"/>
  <c r="AB150" i="58"/>
  <c r="K150" i="58" s="1"/>
  <c r="Z150" i="58"/>
  <c r="I150" i="58" s="1"/>
  <c r="Q379" i="58"/>
  <c r="Q392" i="58"/>
  <c r="Z359" i="58"/>
  <c r="I359" i="58" s="1"/>
  <c r="AC359" i="58"/>
  <c r="M359" i="58" s="1"/>
  <c r="AB359" i="58"/>
  <c r="K359" i="58" s="1"/>
  <c r="AA359" i="58"/>
  <c r="J359" i="58" s="1"/>
  <c r="BZ337" i="103"/>
  <c r="CC337" i="103" s="1"/>
  <c r="AM337" i="103"/>
  <c r="F329" i="103"/>
  <c r="AC329" i="103"/>
  <c r="F308" i="103"/>
  <c r="AC308" i="103"/>
  <c r="Z264" i="58"/>
  <c r="I264" i="58" s="1"/>
  <c r="AB264" i="58"/>
  <c r="K264" i="58" s="1"/>
  <c r="AC264" i="58"/>
  <c r="M264" i="58" s="1"/>
  <c r="AA264" i="58"/>
  <c r="J264" i="58" s="1"/>
  <c r="M191" i="103"/>
  <c r="J191" i="103" s="1"/>
  <c r="L191" i="103"/>
  <c r="Z172" i="58"/>
  <c r="I172" i="58" s="1"/>
  <c r="AC172" i="58"/>
  <c r="M172" i="58" s="1"/>
  <c r="AB172" i="58"/>
  <c r="K172" i="58" s="1"/>
  <c r="AA172" i="58"/>
  <c r="J172" i="58" s="1"/>
  <c r="G148" i="58"/>
  <c r="CH154" i="103"/>
  <c r="N197" i="67"/>
  <c r="AA153" i="103"/>
  <c r="AB103" i="58"/>
  <c r="K103" i="58" s="1"/>
  <c r="AA103" i="58"/>
  <c r="J103" i="58" s="1"/>
  <c r="AC103" i="58"/>
  <c r="M103" i="58" s="1"/>
  <c r="Z103" i="58"/>
  <c r="I103" i="58" s="1"/>
  <c r="F352" i="103"/>
  <c r="AC352" i="103"/>
  <c r="AB358" i="58"/>
  <c r="K358" i="58" s="1"/>
  <c r="AC358" i="58"/>
  <c r="M358" i="58" s="1"/>
  <c r="Z358" i="58"/>
  <c r="I358" i="58" s="1"/>
  <c r="AA358" i="58"/>
  <c r="J358" i="58" s="1"/>
  <c r="BZ328" i="103"/>
  <c r="CC328" i="103" s="1"/>
  <c r="R329" i="58"/>
  <c r="L329" i="58" s="1"/>
  <c r="BY329" i="103"/>
  <c r="BW329" i="103" s="1"/>
  <c r="CH278" i="103"/>
  <c r="AA242" i="103"/>
  <c r="AG181" i="22"/>
  <c r="BZ180" i="103"/>
  <c r="CC180" i="103" s="1"/>
  <c r="AM180" i="103"/>
  <c r="M137" i="103"/>
  <c r="J137" i="103" s="1"/>
  <c r="L137" i="103"/>
  <c r="F109" i="103"/>
  <c r="AC109" i="103"/>
  <c r="E109" i="103"/>
  <c r="J307" i="22"/>
  <c r="AA306" i="103"/>
  <c r="G270" i="58"/>
  <c r="M268" i="103"/>
  <c r="J268" i="103" s="1"/>
  <c r="L268" i="103"/>
  <c r="J271" i="22"/>
  <c r="D398" i="58"/>
  <c r="D385" i="58"/>
  <c r="AM247" i="103"/>
  <c r="AG150" i="22"/>
  <c r="BZ149" i="103"/>
  <c r="CC149" i="103" s="1"/>
  <c r="F139" i="103"/>
  <c r="AC139" i="103"/>
  <c r="E139" i="103"/>
  <c r="F150" i="103"/>
  <c r="AC150" i="103"/>
  <c r="E150" i="103"/>
  <c r="M169" i="103"/>
  <c r="J169" i="103" s="1"/>
  <c r="L169" i="103"/>
  <c r="Z350" i="58"/>
  <c r="I350" i="58" s="1"/>
  <c r="AB350" i="58"/>
  <c r="K350" i="58" s="1"/>
  <c r="AC350" i="58"/>
  <c r="M350" i="58" s="1"/>
  <c r="AA350" i="58"/>
  <c r="J350" i="58" s="1"/>
  <c r="R359" i="58"/>
  <c r="L359" i="58" s="1"/>
  <c r="BY359" i="103"/>
  <c r="BW359" i="103" s="1"/>
  <c r="AC352" i="58"/>
  <c r="M352" i="58" s="1"/>
  <c r="AB352" i="58"/>
  <c r="K352" i="58" s="1"/>
  <c r="Z352" i="58"/>
  <c r="I352" i="58" s="1"/>
  <c r="AA352" i="58"/>
  <c r="J352" i="58" s="1"/>
  <c r="CB372" i="103"/>
  <c r="G341" i="58"/>
  <c r="CB308" i="103"/>
  <c r="G321" i="58"/>
  <c r="M259" i="103"/>
  <c r="J259" i="103" s="1"/>
  <c r="L259" i="103"/>
  <c r="E292" i="67"/>
  <c r="F152" i="103"/>
  <c r="AC152" i="103"/>
  <c r="E152" i="103"/>
  <c r="Z148" i="58"/>
  <c r="I148" i="58" s="1"/>
  <c r="AC148" i="58"/>
  <c r="M148" i="58" s="1"/>
  <c r="AB148" i="58"/>
  <c r="K148" i="58" s="1"/>
  <c r="AA148" i="58"/>
  <c r="J148" i="58" s="1"/>
  <c r="AC349" i="58"/>
  <c r="M349" i="58" s="1"/>
  <c r="AB349" i="58"/>
  <c r="K349" i="58" s="1"/>
  <c r="Z349" i="58"/>
  <c r="I349" i="58" s="1"/>
  <c r="AA349" i="58"/>
  <c r="J349" i="58" s="1"/>
  <c r="CG386" i="103"/>
  <c r="BZ304" i="103"/>
  <c r="CC304" i="103" s="1"/>
  <c r="AM304" i="103"/>
  <c r="J277" i="22"/>
  <c r="AC281" i="58"/>
  <c r="M281" i="58" s="1"/>
  <c r="AB281" i="58"/>
  <c r="K281" i="58" s="1"/>
  <c r="AA281" i="58"/>
  <c r="J281" i="58" s="1"/>
  <c r="Z281" i="58"/>
  <c r="I281" i="58" s="1"/>
  <c r="F235" i="103"/>
  <c r="AC235" i="103"/>
  <c r="E235" i="103"/>
  <c r="O384" i="103"/>
  <c r="M254" i="103"/>
  <c r="L254" i="103"/>
  <c r="G244" i="58"/>
  <c r="G232" i="58"/>
  <c r="M205" i="103"/>
  <c r="J205" i="103" s="1"/>
  <c r="L205" i="103"/>
  <c r="F181" i="103"/>
  <c r="AC181" i="103"/>
  <c r="E181" i="103"/>
  <c r="CD202" i="103"/>
  <c r="BX202" i="103" s="1"/>
  <c r="BB382" i="103"/>
  <c r="J209" i="22"/>
  <c r="AA208" i="103"/>
  <c r="F154" i="103"/>
  <c r="AC154" i="103"/>
  <c r="E154" i="103"/>
  <c r="AC145" i="58"/>
  <c r="M145" i="58" s="1"/>
  <c r="AB145" i="58"/>
  <c r="K145" i="58" s="1"/>
  <c r="AA145" i="58"/>
  <c r="J145" i="58" s="1"/>
  <c r="Z145" i="58"/>
  <c r="I145" i="58" s="1"/>
  <c r="G325" i="58"/>
  <c r="F281" i="103"/>
  <c r="AC281" i="103"/>
  <c r="AB299" i="58"/>
  <c r="K299" i="58" s="1"/>
  <c r="AA299" i="58"/>
  <c r="J299" i="58" s="1"/>
  <c r="Z299" i="58"/>
  <c r="I299" i="58" s="1"/>
  <c r="AC299" i="58"/>
  <c r="M299" i="58" s="1"/>
  <c r="AA287" i="58"/>
  <c r="J287" i="58" s="1"/>
  <c r="Z287" i="58"/>
  <c r="I287" i="58" s="1"/>
  <c r="AC287" i="58"/>
  <c r="M287" i="58" s="1"/>
  <c r="AB287" i="58"/>
  <c r="K287" i="58" s="1"/>
  <c r="AA264" i="103"/>
  <c r="J256" i="22"/>
  <c r="T127" i="23"/>
  <c r="AB246" i="58"/>
  <c r="K246" i="58" s="1"/>
  <c r="AA246" i="58"/>
  <c r="J246" i="58" s="1"/>
  <c r="Z246" i="58"/>
  <c r="I246" i="58" s="1"/>
  <c r="AC246" i="58"/>
  <c r="M246" i="58" s="1"/>
  <c r="AA234" i="58"/>
  <c r="J234" i="58" s="1"/>
  <c r="Z234" i="58"/>
  <c r="I234" i="58" s="1"/>
  <c r="AC234" i="58"/>
  <c r="M234" i="58" s="1"/>
  <c r="AB234" i="58"/>
  <c r="K234" i="58" s="1"/>
  <c r="J259" i="22"/>
  <c r="F236" i="103"/>
  <c r="AC236" i="103"/>
  <c r="E236" i="103"/>
  <c r="CI181" i="103"/>
  <c r="AA366" i="103"/>
  <c r="AC353" i="103"/>
  <c r="F353" i="103"/>
  <c r="AB344" i="58"/>
  <c r="K344" i="58" s="1"/>
  <c r="AA344" i="58"/>
  <c r="J344" i="58" s="1"/>
  <c r="Z344" i="58"/>
  <c r="I344" i="58" s="1"/>
  <c r="AC344" i="58"/>
  <c r="M344" i="58" s="1"/>
  <c r="AC331" i="103"/>
  <c r="F331" i="103"/>
  <c r="Z265" i="58"/>
  <c r="I265" i="58" s="1"/>
  <c r="AA265" i="58"/>
  <c r="J265" i="58" s="1"/>
  <c r="AC265" i="58"/>
  <c r="M265" i="58" s="1"/>
  <c r="AB265" i="58"/>
  <c r="K265" i="58" s="1"/>
  <c r="F250" i="103"/>
  <c r="AC250" i="103"/>
  <c r="E250" i="103"/>
  <c r="G206" i="58"/>
  <c r="M198" i="103"/>
  <c r="J198" i="103" s="1"/>
  <c r="L198" i="103"/>
  <c r="CG382" i="103"/>
  <c r="CI192" i="103"/>
  <c r="F151" i="103"/>
  <c r="AC151" i="103"/>
  <c r="E151" i="103"/>
  <c r="F361" i="103"/>
  <c r="AC361" i="103"/>
  <c r="AG254" i="22"/>
  <c r="BZ253" i="103"/>
  <c r="CC253" i="103" s="1"/>
  <c r="D20" i="104"/>
  <c r="W167" i="23"/>
  <c r="M253" i="103"/>
  <c r="J253" i="103" s="1"/>
  <c r="L253" i="103"/>
  <c r="F233" i="103"/>
  <c r="AC233" i="103"/>
  <c r="E233" i="103"/>
  <c r="AQ264" i="22"/>
  <c r="AA201" i="103"/>
  <c r="CF175" i="103"/>
  <c r="J194" i="22"/>
  <c r="AA193" i="103"/>
  <c r="F164" i="103"/>
  <c r="AC164" i="103"/>
  <c r="E164" i="103"/>
  <c r="F128" i="103"/>
  <c r="AC128" i="103"/>
  <c r="E128" i="103"/>
  <c r="AA363" i="103"/>
  <c r="J346" i="22"/>
  <c r="R387" i="103"/>
  <c r="L379" i="67"/>
  <c r="AG369" i="22"/>
  <c r="BZ340" i="103"/>
  <c r="CC340" i="103" s="1"/>
  <c r="AM340" i="103"/>
  <c r="BZ384" i="103"/>
  <c r="J174" i="22"/>
  <c r="AA173" i="103"/>
  <c r="E386" i="58"/>
  <c r="E399" i="58"/>
  <c r="Y315" i="58"/>
  <c r="O398" i="58"/>
  <c r="O385" i="58"/>
  <c r="R363" i="58"/>
  <c r="L363" i="58" s="1"/>
  <c r="BY363" i="103"/>
  <c r="BW363" i="103" s="1"/>
  <c r="AC343" i="103"/>
  <c r="F343" i="103"/>
  <c r="F243" i="103"/>
  <c r="AC243" i="103"/>
  <c r="E243" i="103"/>
  <c r="AA245" i="58"/>
  <c r="J245" i="58" s="1"/>
  <c r="Z245" i="58"/>
  <c r="I245" i="58" s="1"/>
  <c r="AC245" i="58"/>
  <c r="M245" i="58" s="1"/>
  <c r="AB245" i="58"/>
  <c r="K245" i="58" s="1"/>
  <c r="CB254" i="103"/>
  <c r="CH184" i="103"/>
  <c r="F156" i="103"/>
  <c r="AC156" i="103"/>
  <c r="E156" i="103"/>
  <c r="AB369" i="58"/>
  <c r="K369" i="58" s="1"/>
  <c r="AA369" i="58"/>
  <c r="J369" i="58" s="1"/>
  <c r="Z369" i="58"/>
  <c r="I369" i="58" s="1"/>
  <c r="AC369" i="58"/>
  <c r="M369" i="58" s="1"/>
  <c r="J264" i="22"/>
  <c r="J231" i="22"/>
  <c r="AA230" i="103"/>
  <c r="Z185" i="58"/>
  <c r="I185" i="58" s="1"/>
  <c r="AC185" i="58"/>
  <c r="M185" i="58" s="1"/>
  <c r="AB185" i="58"/>
  <c r="K185" i="58" s="1"/>
  <c r="AA185" i="58"/>
  <c r="J185" i="58" s="1"/>
  <c r="G210" i="58"/>
  <c r="F163" i="103"/>
  <c r="AC163" i="103"/>
  <c r="E163" i="103"/>
  <c r="CF362" i="103"/>
  <c r="AB326" i="58"/>
  <c r="K326" i="58" s="1"/>
  <c r="AA326" i="58"/>
  <c r="J326" i="58" s="1"/>
  <c r="Z326" i="58"/>
  <c r="I326" i="58" s="1"/>
  <c r="AC326" i="58"/>
  <c r="M326" i="58" s="1"/>
  <c r="F322" i="103"/>
  <c r="AC322" i="103"/>
  <c r="R296" i="58"/>
  <c r="L296" i="58" s="1"/>
  <c r="BY296" i="103"/>
  <c r="J281" i="22"/>
  <c r="H324" i="67"/>
  <c r="AA263" i="103"/>
  <c r="M241" i="103"/>
  <c r="J241" i="103" s="1"/>
  <c r="L241" i="103"/>
  <c r="CH239" i="103"/>
  <c r="E229" i="67"/>
  <c r="AG211" i="22"/>
  <c r="BZ210" i="103"/>
  <c r="CC210" i="103" s="1"/>
  <c r="AM210" i="103"/>
  <c r="M186" i="103"/>
  <c r="J186" i="103" s="1"/>
  <c r="L186" i="103"/>
  <c r="F140" i="103"/>
  <c r="AC140" i="103"/>
  <c r="E140" i="103"/>
  <c r="M147" i="103"/>
  <c r="J147" i="103" s="1"/>
  <c r="L147" i="103"/>
  <c r="AA185" i="103"/>
  <c r="CD173" i="103"/>
  <c r="BX173" i="103" s="1"/>
  <c r="F115" i="103"/>
  <c r="AC115" i="103"/>
  <c r="E115" i="103"/>
  <c r="Z301" i="58"/>
  <c r="I301" i="58" s="1"/>
  <c r="AA301" i="58"/>
  <c r="J301" i="58" s="1"/>
  <c r="AC301" i="58"/>
  <c r="M301" i="58" s="1"/>
  <c r="AB301" i="58"/>
  <c r="K301" i="58" s="1"/>
  <c r="AC289" i="58"/>
  <c r="M289" i="58" s="1"/>
  <c r="AB289" i="58"/>
  <c r="K289" i="58" s="1"/>
  <c r="AA289" i="58"/>
  <c r="J289" i="58" s="1"/>
  <c r="Z289" i="58"/>
  <c r="I289" i="58" s="1"/>
  <c r="J262" i="22"/>
  <c r="M255" i="103"/>
  <c r="J255" i="103" s="1"/>
  <c r="L255" i="103"/>
  <c r="J132" i="22"/>
  <c r="R380" i="103"/>
  <c r="AM152" i="103"/>
  <c r="Q394" i="58"/>
  <c r="Q381" i="58"/>
  <c r="AB157" i="58"/>
  <c r="K157" i="58" s="1"/>
  <c r="AA157" i="58"/>
  <c r="J157" i="58" s="1"/>
  <c r="Z157" i="58"/>
  <c r="I157" i="58" s="1"/>
  <c r="AC157" i="58"/>
  <c r="M157" i="58" s="1"/>
  <c r="G296" i="58"/>
  <c r="F269" i="103"/>
  <c r="AC269" i="103"/>
  <c r="CB293" i="103"/>
  <c r="F219" i="103"/>
  <c r="AC219" i="103"/>
  <c r="E219" i="103"/>
  <c r="G221" i="58"/>
  <c r="G215" i="58"/>
  <c r="M214" i="103"/>
  <c r="J214" i="103" s="1"/>
  <c r="L214" i="103"/>
  <c r="CI206" i="103"/>
  <c r="J89" i="22"/>
  <c r="AA88" i="103"/>
  <c r="AA373" i="58"/>
  <c r="J373" i="58" s="1"/>
  <c r="AC373" i="58"/>
  <c r="M373" i="58" s="1"/>
  <c r="Z373" i="58"/>
  <c r="I373" i="58" s="1"/>
  <c r="AB373" i="58"/>
  <c r="K373" i="58" s="1"/>
  <c r="F335" i="103"/>
  <c r="AC335" i="103"/>
  <c r="J276" i="22"/>
  <c r="M232" i="103"/>
  <c r="J232" i="103" s="1"/>
  <c r="L232" i="103"/>
  <c r="AC209" i="58"/>
  <c r="M209" i="58" s="1"/>
  <c r="AB209" i="58"/>
  <c r="K209" i="58" s="1"/>
  <c r="AA209" i="58"/>
  <c r="J209" i="58" s="1"/>
  <c r="Z209" i="58"/>
  <c r="I209" i="58" s="1"/>
  <c r="AA197" i="58"/>
  <c r="J197" i="58" s="1"/>
  <c r="Z197" i="58"/>
  <c r="I197" i="58" s="1"/>
  <c r="AC197" i="58"/>
  <c r="M197" i="58" s="1"/>
  <c r="AB197" i="58"/>
  <c r="K197" i="58" s="1"/>
  <c r="F199" i="103"/>
  <c r="AC199" i="103"/>
  <c r="E199" i="103"/>
  <c r="M134" i="103"/>
  <c r="J134" i="103" s="1"/>
  <c r="L134" i="103"/>
  <c r="AA150" i="103"/>
  <c r="R369" i="58"/>
  <c r="L369" i="58" s="1"/>
  <c r="BY369" i="103"/>
  <c r="BW369" i="103" s="1"/>
  <c r="AA314" i="58"/>
  <c r="J314" i="58" s="1"/>
  <c r="Z314" i="58"/>
  <c r="I314" i="58" s="1"/>
  <c r="AB314" i="58"/>
  <c r="K314" i="58" s="1"/>
  <c r="AC314" i="58"/>
  <c r="M314" i="58" s="1"/>
  <c r="CH296" i="103"/>
  <c r="AB250" i="58"/>
  <c r="K250" i="58" s="1"/>
  <c r="Z250" i="58"/>
  <c r="I250" i="58" s="1"/>
  <c r="AC250" i="58"/>
  <c r="M250" i="58" s="1"/>
  <c r="AA250" i="58"/>
  <c r="J250" i="58" s="1"/>
  <c r="AA238" i="58"/>
  <c r="J238" i="58" s="1"/>
  <c r="AC238" i="58"/>
  <c r="M238" i="58" s="1"/>
  <c r="AB238" i="58"/>
  <c r="K238" i="58" s="1"/>
  <c r="Z238" i="58"/>
  <c r="I238" i="58" s="1"/>
  <c r="G194" i="58"/>
  <c r="G182" i="58"/>
  <c r="M207" i="103"/>
  <c r="J207" i="103" s="1"/>
  <c r="L207" i="103"/>
  <c r="AA138" i="58"/>
  <c r="J138" i="58" s="1"/>
  <c r="Z138" i="58"/>
  <c r="I138" i="58" s="1"/>
  <c r="AC138" i="58"/>
  <c r="M138" i="58" s="1"/>
  <c r="AB138" i="58"/>
  <c r="K138" i="58" s="1"/>
  <c r="CH315" i="103"/>
  <c r="F301" i="103"/>
  <c r="AC301" i="103"/>
  <c r="F289" i="103"/>
  <c r="AC289" i="103"/>
  <c r="BZ301" i="103"/>
  <c r="CC301" i="103" s="1"/>
  <c r="AM301" i="103"/>
  <c r="G181" i="58"/>
  <c r="M197" i="103"/>
  <c r="L197" i="103"/>
  <c r="F183" i="103"/>
  <c r="AC183" i="103"/>
  <c r="E183" i="103"/>
  <c r="AA155" i="58"/>
  <c r="J155" i="58" s="1"/>
  <c r="Z155" i="58"/>
  <c r="I155" i="58" s="1"/>
  <c r="AC155" i="58"/>
  <c r="M155" i="58" s="1"/>
  <c r="AB155" i="58"/>
  <c r="K155" i="58" s="1"/>
  <c r="F372" i="103"/>
  <c r="AC372" i="103"/>
  <c r="M260" i="103"/>
  <c r="J260" i="103" s="1"/>
  <c r="L260" i="103"/>
  <c r="J285" i="22"/>
  <c r="R385" i="103"/>
  <c r="AA236" i="103"/>
  <c r="CH161" i="103"/>
  <c r="M129" i="103"/>
  <c r="J129" i="103" s="1"/>
  <c r="L129" i="103"/>
  <c r="M160" i="103"/>
  <c r="J160" i="103" s="1"/>
  <c r="L160" i="103"/>
  <c r="Z132" i="58"/>
  <c r="I132" i="58" s="1"/>
  <c r="AC132" i="58"/>
  <c r="M132" i="58" s="1"/>
  <c r="AB132" i="58"/>
  <c r="K132" i="58" s="1"/>
  <c r="AA132" i="58"/>
  <c r="J132" i="58" s="1"/>
  <c r="R107" i="58"/>
  <c r="L107" i="58" s="1"/>
  <c r="AE108" i="22"/>
  <c r="BY107" i="103"/>
  <c r="BW107" i="103" s="1"/>
  <c r="AA371" i="58"/>
  <c r="J371" i="58" s="1"/>
  <c r="Z371" i="58"/>
  <c r="I371" i="58" s="1"/>
  <c r="AC371" i="58"/>
  <c r="M371" i="58" s="1"/>
  <c r="AB371" i="58"/>
  <c r="K371" i="58" s="1"/>
  <c r="F366" i="103"/>
  <c r="AC366" i="103"/>
  <c r="AA353" i="103"/>
  <c r="AA331" i="103"/>
  <c r="J283" i="22"/>
  <c r="F305" i="103"/>
  <c r="AC305" i="103"/>
  <c r="F293" i="103"/>
  <c r="AC293" i="103"/>
  <c r="AA250" i="103"/>
  <c r="AA231" i="103"/>
  <c r="F215" i="103"/>
  <c r="AC215" i="103"/>
  <c r="E215" i="103"/>
  <c r="D395" i="58"/>
  <c r="D382" i="58"/>
  <c r="CH192" i="103"/>
  <c r="M177" i="103"/>
  <c r="J177" i="103" s="1"/>
  <c r="L177" i="103"/>
  <c r="G105" i="58"/>
  <c r="G375" i="58"/>
  <c r="J269" i="22"/>
  <c r="AA294" i="103"/>
  <c r="AA233" i="103"/>
  <c r="AA164" i="103"/>
  <c r="G352" i="58"/>
  <c r="AM325" i="103"/>
  <c r="AC277" i="58"/>
  <c r="M277" i="58" s="1"/>
  <c r="AB277" i="58"/>
  <c r="K277" i="58" s="1"/>
  <c r="Z277" i="58"/>
  <c r="I277" i="58" s="1"/>
  <c r="AA277" i="58"/>
  <c r="J277" i="58" s="1"/>
  <c r="AC163" i="58"/>
  <c r="M163" i="58" s="1"/>
  <c r="AB163" i="58"/>
  <c r="K163" i="58" s="1"/>
  <c r="AA163" i="58"/>
  <c r="J163" i="58" s="1"/>
  <c r="Z163" i="58"/>
  <c r="I163" i="58" s="1"/>
  <c r="R258" i="58"/>
  <c r="L258" i="58" s="1"/>
  <c r="AE259" i="22"/>
  <c r="BY258" i="103"/>
  <c r="BW258" i="103" s="1"/>
  <c r="F348" i="103"/>
  <c r="AC348" i="103"/>
  <c r="F265" i="103"/>
  <c r="AC265" i="103"/>
  <c r="E265" i="103"/>
  <c r="AC233" i="58"/>
  <c r="M233" i="58" s="1"/>
  <c r="AB233" i="58"/>
  <c r="K233" i="58" s="1"/>
  <c r="AA233" i="58"/>
  <c r="J233" i="58" s="1"/>
  <c r="Z233" i="58"/>
  <c r="I233" i="58" s="1"/>
  <c r="F330" i="103"/>
  <c r="AC330" i="103"/>
  <c r="R346" i="58"/>
  <c r="L346" i="58" s="1"/>
  <c r="BY346" i="103"/>
  <c r="BW346" i="103" s="1"/>
  <c r="AA224" i="58"/>
  <c r="J224" i="58" s="1"/>
  <c r="Z224" i="58"/>
  <c r="I224" i="58" s="1"/>
  <c r="AC224" i="58"/>
  <c r="M224" i="58" s="1"/>
  <c r="AB224" i="58"/>
  <c r="K224" i="58" s="1"/>
  <c r="AA173" i="58"/>
  <c r="J173" i="58" s="1"/>
  <c r="Z173" i="58"/>
  <c r="I173" i="58" s="1"/>
  <c r="AB173" i="58"/>
  <c r="K173" i="58" s="1"/>
  <c r="AC173" i="58"/>
  <c r="M173" i="58" s="1"/>
  <c r="R197" i="58"/>
  <c r="L197" i="58" s="1"/>
  <c r="AE198" i="22"/>
  <c r="BY197" i="103"/>
  <c r="BW197" i="103" s="1"/>
  <c r="G198" i="58"/>
  <c r="AB153" i="58"/>
  <c r="K153" i="58" s="1"/>
  <c r="AA153" i="58"/>
  <c r="J153" i="58" s="1"/>
  <c r="AC153" i="58"/>
  <c r="M153" i="58" s="1"/>
  <c r="Z153" i="58"/>
  <c r="I153" i="58" s="1"/>
  <c r="G275" i="58"/>
  <c r="R254" i="58"/>
  <c r="AE255" i="22"/>
  <c r="AM384" i="103"/>
  <c r="BY254" i="103"/>
  <c r="J183" i="22"/>
  <c r="AA182" i="103"/>
  <c r="AA188" i="103"/>
  <c r="R134" i="58"/>
  <c r="L134" i="58" s="1"/>
  <c r="AE135" i="22"/>
  <c r="BY134" i="103"/>
  <c r="BW134" i="103" s="1"/>
  <c r="J98" i="22"/>
  <c r="AA97" i="103"/>
  <c r="Z366" i="58"/>
  <c r="I366" i="58" s="1"/>
  <c r="AB366" i="58"/>
  <c r="K366" i="58" s="1"/>
  <c r="AC366" i="58"/>
  <c r="M366" i="58" s="1"/>
  <c r="AA366" i="58"/>
  <c r="J366" i="58" s="1"/>
  <c r="CH345" i="103"/>
  <c r="BZ339" i="103"/>
  <c r="CC339" i="103" s="1"/>
  <c r="AM339" i="103"/>
  <c r="R293" i="58"/>
  <c r="L293" i="58" s="1"/>
  <c r="BY293" i="103"/>
  <c r="P398" i="58"/>
  <c r="P385" i="58"/>
  <c r="G301" i="58"/>
  <c r="G289" i="58"/>
  <c r="M233" i="103"/>
  <c r="J233" i="103" s="1"/>
  <c r="L233" i="103"/>
  <c r="G248" i="58"/>
  <c r="G236" i="58"/>
  <c r="R237" i="58"/>
  <c r="L237" i="58" s="1"/>
  <c r="AE238" i="22"/>
  <c r="BY237" i="103"/>
  <c r="BW237" i="103" s="1"/>
  <c r="M181" i="103"/>
  <c r="J181" i="103" s="1"/>
  <c r="L181" i="103"/>
  <c r="AC134" i="58"/>
  <c r="M134" i="58" s="1"/>
  <c r="AB134" i="58"/>
  <c r="K134" i="58" s="1"/>
  <c r="AA134" i="58"/>
  <c r="J134" i="58" s="1"/>
  <c r="Z134" i="58"/>
  <c r="I134" i="58" s="1"/>
  <c r="F185" i="103"/>
  <c r="AC185" i="103"/>
  <c r="E185" i="103"/>
  <c r="F357" i="103"/>
  <c r="AC357" i="103"/>
  <c r="AA323" i="58"/>
  <c r="J323" i="58" s="1"/>
  <c r="Z323" i="58"/>
  <c r="I323" i="58" s="1"/>
  <c r="AC323" i="58"/>
  <c r="M323" i="58" s="1"/>
  <c r="AB323" i="58"/>
  <c r="K323" i="58" s="1"/>
  <c r="G343" i="58"/>
  <c r="C387" i="67"/>
  <c r="G264" i="58"/>
  <c r="J270" i="22"/>
  <c r="AC204" i="58"/>
  <c r="M204" i="58" s="1"/>
  <c r="Z204" i="58"/>
  <c r="I204" i="58" s="1"/>
  <c r="AB204" i="58"/>
  <c r="K204" i="58" s="1"/>
  <c r="AA204" i="58"/>
  <c r="J204" i="58" s="1"/>
  <c r="R374" i="58"/>
  <c r="L374" i="58" s="1"/>
  <c r="BY374" i="103"/>
  <c r="BW374" i="103" s="1"/>
  <c r="F319" i="103"/>
  <c r="AC319" i="103"/>
  <c r="C398" i="58"/>
  <c r="C385" i="58"/>
  <c r="G284" i="58"/>
  <c r="AC267" i="58"/>
  <c r="M267" i="58" s="1"/>
  <c r="AB267" i="58"/>
  <c r="K267" i="58" s="1"/>
  <c r="AA267" i="58"/>
  <c r="J267" i="58" s="1"/>
  <c r="Z267" i="58"/>
  <c r="I267" i="58" s="1"/>
  <c r="AA269" i="103"/>
  <c r="M227" i="103"/>
  <c r="J227" i="103" s="1"/>
  <c r="L227" i="103"/>
  <c r="C395" i="58"/>
  <c r="C382" i="58"/>
  <c r="G192" i="58"/>
  <c r="R147" i="58"/>
  <c r="L147" i="58" s="1"/>
  <c r="AE148" i="22"/>
  <c r="BY147" i="103"/>
  <c r="BW147" i="103" s="1"/>
  <c r="G167" i="58"/>
  <c r="AA354" i="103"/>
  <c r="AB306" i="58"/>
  <c r="K306" i="58" s="1"/>
  <c r="AA306" i="58"/>
  <c r="J306" i="58" s="1"/>
  <c r="AC306" i="58"/>
  <c r="M306" i="58" s="1"/>
  <c r="Z306" i="58"/>
  <c r="I306" i="58" s="1"/>
  <c r="F270" i="103"/>
  <c r="AC270" i="103"/>
  <c r="F272" i="103"/>
  <c r="AC272" i="103"/>
  <c r="M216" i="103"/>
  <c r="J216" i="103" s="1"/>
  <c r="L216" i="103"/>
  <c r="M246" i="103"/>
  <c r="J246" i="103" s="1"/>
  <c r="L246" i="103"/>
  <c r="AC226" i="103"/>
  <c r="E226" i="103"/>
  <c r="F184" i="103"/>
  <c r="AC184" i="103"/>
  <c r="E184" i="103"/>
  <c r="M138" i="103"/>
  <c r="J138" i="103" s="1"/>
  <c r="L138" i="103"/>
  <c r="AC167" i="58"/>
  <c r="M167" i="58" s="1"/>
  <c r="AA167" i="58"/>
  <c r="J167" i="58" s="1"/>
  <c r="Z167" i="58"/>
  <c r="I167" i="58" s="1"/>
  <c r="AB167" i="58"/>
  <c r="K167" i="58" s="1"/>
  <c r="AA349" i="103"/>
  <c r="G320" i="58"/>
  <c r="G334" i="58"/>
  <c r="N355" i="67"/>
  <c r="F280" i="103"/>
  <c r="AC280" i="103"/>
  <c r="CB283" i="103"/>
  <c r="F273" i="103"/>
  <c r="AC273" i="103"/>
  <c r="J248" i="22"/>
  <c r="AA247" i="103"/>
  <c r="AC226" i="58"/>
  <c r="M226" i="58" s="1"/>
  <c r="AB226" i="58"/>
  <c r="K226" i="58" s="1"/>
  <c r="Z226" i="58"/>
  <c r="I226" i="58" s="1"/>
  <c r="AA226" i="58"/>
  <c r="J226" i="58" s="1"/>
  <c r="M229" i="103"/>
  <c r="J229" i="103" s="1"/>
  <c r="L229" i="103"/>
  <c r="CF248" i="103"/>
  <c r="AA209" i="103"/>
  <c r="G180" i="58"/>
  <c r="H197" i="67"/>
  <c r="G333" i="58"/>
  <c r="G317" i="58"/>
  <c r="AA301" i="103"/>
  <c r="AA289" i="103"/>
  <c r="BZ298" i="103"/>
  <c r="CC298" i="103" s="1"/>
  <c r="AM298" i="103"/>
  <c r="F310" i="103"/>
  <c r="AC310" i="103"/>
  <c r="F256" i="103"/>
  <c r="AC256" i="103"/>
  <c r="E256" i="103"/>
  <c r="F252" i="103"/>
  <c r="AC252" i="103"/>
  <c r="E252" i="103"/>
  <c r="CD245" i="103"/>
  <c r="BX245" i="103" s="1"/>
  <c r="CB215" i="103"/>
  <c r="L221" i="67" s="1"/>
  <c r="Z208" i="58"/>
  <c r="I208" i="58" s="1"/>
  <c r="AC208" i="58"/>
  <c r="M208" i="58" s="1"/>
  <c r="AB208" i="58"/>
  <c r="K208" i="58" s="1"/>
  <c r="AA208" i="58"/>
  <c r="J208" i="58" s="1"/>
  <c r="G168" i="58"/>
  <c r="F165" i="103"/>
  <c r="AC165" i="103"/>
  <c r="E165" i="103"/>
  <c r="CH141" i="103"/>
  <c r="M163" i="103"/>
  <c r="J163" i="103" s="1"/>
  <c r="L163" i="103"/>
  <c r="AB135" i="58"/>
  <c r="K135" i="58" s="1"/>
  <c r="AA135" i="58"/>
  <c r="J135" i="58" s="1"/>
  <c r="Z135" i="58"/>
  <c r="I135" i="58" s="1"/>
  <c r="AC135" i="58"/>
  <c r="M135" i="58" s="1"/>
  <c r="AC374" i="58"/>
  <c r="M374" i="58" s="1"/>
  <c r="AB374" i="58"/>
  <c r="K374" i="58" s="1"/>
  <c r="AA374" i="58"/>
  <c r="J374" i="58" s="1"/>
  <c r="Z374" i="58"/>
  <c r="I374" i="58" s="1"/>
  <c r="CH370" i="103"/>
  <c r="G365" i="58"/>
  <c r="AA206" i="103"/>
  <c r="R159" i="58"/>
  <c r="L159" i="58" s="1"/>
  <c r="AE160" i="22"/>
  <c r="BY159" i="103"/>
  <c r="BW159" i="103" s="1"/>
  <c r="M165" i="103"/>
  <c r="J165" i="103" s="1"/>
  <c r="L165" i="103"/>
  <c r="D394" i="58"/>
  <c r="D381" i="58"/>
  <c r="AA320" i="103"/>
  <c r="C355" i="67"/>
  <c r="AA305" i="103"/>
  <c r="AA293" i="103"/>
  <c r="M248" i="103"/>
  <c r="J248" i="103" s="1"/>
  <c r="L248" i="103"/>
  <c r="BL384" i="103"/>
  <c r="F231" i="103"/>
  <c r="AC231" i="103"/>
  <c r="E231" i="103"/>
  <c r="AA215" i="103"/>
  <c r="AG162" i="22"/>
  <c r="BZ161" i="103"/>
  <c r="CC161" i="103" s="1"/>
  <c r="AM161" i="103"/>
  <c r="AC139" i="58"/>
  <c r="M139" i="58" s="1"/>
  <c r="AB139" i="58"/>
  <c r="K139" i="58" s="1"/>
  <c r="AA139" i="58"/>
  <c r="J139" i="58" s="1"/>
  <c r="Z139" i="58"/>
  <c r="I139" i="58" s="1"/>
  <c r="D134" i="67"/>
  <c r="BI102" i="103"/>
  <c r="B107" i="13"/>
  <c r="AC294" i="103"/>
  <c r="Z313" i="58"/>
  <c r="I313" i="58" s="1"/>
  <c r="AA313" i="58"/>
  <c r="J313" i="58" s="1"/>
  <c r="AC313" i="58"/>
  <c r="M313" i="58" s="1"/>
  <c r="AB313" i="58"/>
  <c r="K313" i="58" s="1"/>
  <c r="AA294" i="58"/>
  <c r="J294" i="58" s="1"/>
  <c r="AC294" i="58"/>
  <c r="M294" i="58" s="1"/>
  <c r="Z294" i="58"/>
  <c r="I294" i="58" s="1"/>
  <c r="AB294" i="58"/>
  <c r="K294" i="58" s="1"/>
  <c r="Z222" i="58"/>
  <c r="I222" i="58" s="1"/>
  <c r="AC222" i="58"/>
  <c r="M222" i="58" s="1"/>
  <c r="AB222" i="58"/>
  <c r="K222" i="58" s="1"/>
  <c r="AA222" i="58"/>
  <c r="J222" i="58" s="1"/>
  <c r="N261" i="67"/>
  <c r="G153" i="58"/>
  <c r="G372" i="58"/>
  <c r="F247" i="103"/>
  <c r="AC247" i="103"/>
  <c r="E247" i="103"/>
  <c r="BD382" i="103"/>
  <c r="G351" i="58"/>
  <c r="AA335" i="58"/>
  <c r="J335" i="58" s="1"/>
  <c r="AB335" i="58"/>
  <c r="K335" i="58" s="1"/>
  <c r="Z335" i="58"/>
  <c r="I335" i="58" s="1"/>
  <c r="AC335" i="58"/>
  <c r="M335" i="58" s="1"/>
  <c r="Q387" i="58"/>
  <c r="Q400" i="58"/>
  <c r="AA316" i="58"/>
  <c r="J316" i="58" s="1"/>
  <c r="AC316" i="58"/>
  <c r="M316" i="58" s="1"/>
  <c r="Z316" i="58"/>
  <c r="I316" i="58" s="1"/>
  <c r="AB316" i="58"/>
  <c r="K316" i="58" s="1"/>
  <c r="CI266" i="103"/>
  <c r="F248" i="103"/>
  <c r="AC248" i="103"/>
  <c r="E248" i="103"/>
  <c r="F198" i="103"/>
  <c r="AC198" i="103"/>
  <c r="E198" i="103"/>
  <c r="AC189" i="58"/>
  <c r="M189" i="58" s="1"/>
  <c r="AB189" i="58"/>
  <c r="K189" i="58" s="1"/>
  <c r="AA189" i="58"/>
  <c r="J189" i="58" s="1"/>
  <c r="Z189" i="58"/>
  <c r="I189" i="58" s="1"/>
  <c r="AA177" i="58"/>
  <c r="J177" i="58" s="1"/>
  <c r="AC177" i="58"/>
  <c r="M177" i="58" s="1"/>
  <c r="Z177" i="58"/>
  <c r="I177" i="58" s="1"/>
  <c r="AB177" i="58"/>
  <c r="K177" i="58" s="1"/>
  <c r="AA143" i="103"/>
  <c r="AG44" i="22"/>
  <c r="BZ43" i="103"/>
  <c r="CC43" i="103" s="1"/>
  <c r="F39" i="103"/>
  <c r="AC39" i="103"/>
  <c r="E39" i="103"/>
  <c r="O377" i="103"/>
  <c r="M42" i="103"/>
  <c r="L42" i="103"/>
  <c r="R72" i="58"/>
  <c r="L72" i="58" s="1"/>
  <c r="AE73" i="22"/>
  <c r="BY72" i="103"/>
  <c r="BW72" i="103" s="1"/>
  <c r="AY388" i="103"/>
  <c r="M100" i="103"/>
  <c r="J100" i="103" s="1"/>
  <c r="L100" i="103"/>
  <c r="BD377" i="103"/>
  <c r="AP388" i="103"/>
  <c r="F159" i="23"/>
  <c r="F96" i="103"/>
  <c r="AC96" i="103"/>
  <c r="E96" i="103"/>
  <c r="F389" i="58"/>
  <c r="F376" i="58"/>
  <c r="E391" i="58"/>
  <c r="E378" i="58"/>
  <c r="Y70" i="58"/>
  <c r="Z12" i="58"/>
  <c r="I12" i="58" s="1"/>
  <c r="H376" i="103"/>
  <c r="F11" i="103"/>
  <c r="AC11" i="103"/>
  <c r="E11" i="103"/>
  <c r="AG110" i="22"/>
  <c r="BZ109" i="103"/>
  <c r="CC109" i="103" s="1"/>
  <c r="AG106" i="22"/>
  <c r="BZ105" i="103"/>
  <c r="CC105" i="103" s="1"/>
  <c r="AB83" i="58"/>
  <c r="K83" i="58" s="1"/>
  <c r="AA83" i="58"/>
  <c r="J83" i="58" s="1"/>
  <c r="Z83" i="58"/>
  <c r="I83" i="58" s="1"/>
  <c r="AC83" i="58"/>
  <c r="M83" i="58" s="1"/>
  <c r="G124" i="58"/>
  <c r="G112" i="58"/>
  <c r="AC65" i="103"/>
  <c r="M65" i="103"/>
  <c r="L65" i="103"/>
  <c r="AB67" i="58"/>
  <c r="K67" i="58" s="1"/>
  <c r="AA67" i="58"/>
  <c r="J67" i="58" s="1"/>
  <c r="Z67" i="58"/>
  <c r="I67" i="58" s="1"/>
  <c r="AC67" i="58"/>
  <c r="M67" i="58" s="1"/>
  <c r="O390" i="58"/>
  <c r="O377" i="58"/>
  <c r="M63" i="103"/>
  <c r="J63" i="103" s="1"/>
  <c r="L63" i="103"/>
  <c r="F27" i="103"/>
  <c r="AC27" i="103"/>
  <c r="E27" i="103"/>
  <c r="CI83" i="103"/>
  <c r="AG92" i="22"/>
  <c r="BZ91" i="103"/>
  <c r="CC91" i="103" s="1"/>
  <c r="F30" i="103"/>
  <c r="AC30" i="103"/>
  <c r="E30" i="103"/>
  <c r="R223" i="58"/>
  <c r="AE224" i="22"/>
  <c r="BY223" i="103"/>
  <c r="CA223" i="103" s="1"/>
  <c r="R189" i="58"/>
  <c r="L189" i="58" s="1"/>
  <c r="AE190" i="22"/>
  <c r="BY189" i="103"/>
  <c r="BW189" i="103" s="1"/>
  <c r="G98" i="58"/>
  <c r="R76" i="58"/>
  <c r="L76" i="58" s="1"/>
  <c r="AE77" i="22"/>
  <c r="BY76" i="103"/>
  <c r="BW76" i="103" s="1"/>
  <c r="G22" i="58"/>
  <c r="G34" i="58"/>
  <c r="CC25" i="103"/>
  <c r="AA120" i="103"/>
  <c r="M66" i="103"/>
  <c r="L66" i="103"/>
  <c r="CI50" i="103"/>
  <c r="AB47" i="58"/>
  <c r="K47" i="58" s="1"/>
  <c r="AA47" i="58"/>
  <c r="J47" i="58" s="1"/>
  <c r="Z47" i="58"/>
  <c r="I47" i="58" s="1"/>
  <c r="AC47" i="58"/>
  <c r="M47" i="58" s="1"/>
  <c r="AB62" i="58"/>
  <c r="K62" i="58" s="1"/>
  <c r="AA62" i="58"/>
  <c r="J62" i="58" s="1"/>
  <c r="Z62" i="58"/>
  <c r="I62" i="58" s="1"/>
  <c r="AC62" i="58"/>
  <c r="M62" i="58" s="1"/>
  <c r="M12" i="103"/>
  <c r="J12" i="103" s="1"/>
  <c r="L12" i="103"/>
  <c r="AG123" i="22"/>
  <c r="BZ122" i="103"/>
  <c r="CC122" i="103" s="1"/>
  <c r="F83" i="103"/>
  <c r="AC83" i="103"/>
  <c r="E83" i="103"/>
  <c r="M96" i="103"/>
  <c r="J96" i="103" s="1"/>
  <c r="L96" i="103"/>
  <c r="F67" i="103"/>
  <c r="AC67" i="103"/>
  <c r="E67" i="103"/>
  <c r="M25" i="103"/>
  <c r="J25" i="103" s="1"/>
  <c r="L25" i="103"/>
  <c r="F18" i="103"/>
  <c r="AC18" i="103"/>
  <c r="E18" i="103"/>
  <c r="L361" i="67"/>
  <c r="AG351" i="22"/>
  <c r="R86" i="58"/>
  <c r="L86" i="58" s="1"/>
  <c r="AE87" i="22"/>
  <c r="BY86" i="103"/>
  <c r="BW86" i="103" s="1"/>
  <c r="M77" i="103"/>
  <c r="J77" i="103" s="1"/>
  <c r="L77" i="103"/>
  <c r="AC56" i="58"/>
  <c r="M56" i="58" s="1"/>
  <c r="AA56" i="58"/>
  <c r="J56" i="58" s="1"/>
  <c r="AB56" i="58"/>
  <c r="K56" i="58" s="1"/>
  <c r="Z56" i="58"/>
  <c r="I56" i="58" s="1"/>
  <c r="L326" i="67"/>
  <c r="AG317" i="22"/>
  <c r="AG117" i="22"/>
  <c r="BZ116" i="103"/>
  <c r="CC116" i="103" s="1"/>
  <c r="AA58" i="103"/>
  <c r="AA55" i="58"/>
  <c r="J55" i="58" s="1"/>
  <c r="Z55" i="58"/>
  <c r="I55" i="58" s="1"/>
  <c r="AC55" i="58"/>
  <c r="M55" i="58" s="1"/>
  <c r="AB55" i="58"/>
  <c r="K55" i="58" s="1"/>
  <c r="G66" i="58"/>
  <c r="AA32" i="103"/>
  <c r="AB21" i="58"/>
  <c r="K21" i="58" s="1"/>
  <c r="AC21" i="58"/>
  <c r="M21" i="58" s="1"/>
  <c r="AA21" i="58"/>
  <c r="J21" i="58" s="1"/>
  <c r="Z21" i="58"/>
  <c r="I21" i="58" s="1"/>
  <c r="AB33" i="58"/>
  <c r="K33" i="58" s="1"/>
  <c r="AC33" i="58"/>
  <c r="M33" i="58" s="1"/>
  <c r="AA33" i="58"/>
  <c r="J33" i="58" s="1"/>
  <c r="Z33" i="58"/>
  <c r="I33" i="58" s="1"/>
  <c r="BR388" i="103"/>
  <c r="L375" i="67"/>
  <c r="AG365" i="22"/>
  <c r="AB115" i="58"/>
  <c r="K115" i="58" s="1"/>
  <c r="AA115" i="58"/>
  <c r="J115" i="58" s="1"/>
  <c r="Z115" i="58"/>
  <c r="I115" i="58" s="1"/>
  <c r="AC115" i="58"/>
  <c r="M115" i="58" s="1"/>
  <c r="AA104" i="103"/>
  <c r="E392" i="58"/>
  <c r="E379" i="58"/>
  <c r="Y101" i="58"/>
  <c r="M64" i="103"/>
  <c r="J64" i="103" s="1"/>
  <c r="L64" i="103"/>
  <c r="AZ388" i="103"/>
  <c r="AN377" i="103"/>
  <c r="CD36" i="103"/>
  <c r="BX36" i="103" s="1"/>
  <c r="I388" i="103"/>
  <c r="F141" i="103"/>
  <c r="AC141" i="103"/>
  <c r="E141" i="103"/>
  <c r="AC368" i="103"/>
  <c r="F368" i="103"/>
  <c r="Z321" i="58"/>
  <c r="I321" i="58" s="1"/>
  <c r="AA321" i="58"/>
  <c r="J321" i="58" s="1"/>
  <c r="AC321" i="58"/>
  <c r="M321" i="58" s="1"/>
  <c r="AB321" i="58"/>
  <c r="K321" i="58" s="1"/>
  <c r="Z348" i="58"/>
  <c r="I348" i="58" s="1"/>
  <c r="AA348" i="58"/>
  <c r="J348" i="58" s="1"/>
  <c r="AB348" i="58"/>
  <c r="K348" i="58" s="1"/>
  <c r="AC348" i="58"/>
  <c r="M348" i="58" s="1"/>
  <c r="G327" i="58"/>
  <c r="G246" i="58"/>
  <c r="G234" i="58"/>
  <c r="O382" i="103"/>
  <c r="M192" i="103"/>
  <c r="L192" i="103"/>
  <c r="M148" i="103"/>
  <c r="J148" i="103" s="1"/>
  <c r="L148" i="103"/>
  <c r="CG87" i="103"/>
  <c r="CI87" i="103" s="1"/>
  <c r="BB87" i="103"/>
  <c r="R14" i="58"/>
  <c r="L14" i="58" s="1"/>
  <c r="AE15" i="22"/>
  <c r="BY14" i="103"/>
  <c r="BW14" i="103" s="1"/>
  <c r="AG18" i="22"/>
  <c r="BZ17" i="103"/>
  <c r="CC17" i="103" s="1"/>
  <c r="AA29" i="58"/>
  <c r="J29" i="58" s="1"/>
  <c r="AC29" i="58"/>
  <c r="M29" i="58" s="1"/>
  <c r="Z29" i="58"/>
  <c r="I29" i="58" s="1"/>
  <c r="AB29" i="58"/>
  <c r="K29" i="58" s="1"/>
  <c r="K393" i="67"/>
  <c r="K134" i="67"/>
  <c r="AB52" i="58"/>
  <c r="K52" i="58" s="1"/>
  <c r="AA52" i="58"/>
  <c r="J52" i="58" s="1"/>
  <c r="Z52" i="58"/>
  <c r="I52" i="58" s="1"/>
  <c r="AC52" i="58"/>
  <c r="M52" i="58" s="1"/>
  <c r="M58" i="103"/>
  <c r="J58" i="103" s="1"/>
  <c r="L58" i="103"/>
  <c r="CD44" i="103"/>
  <c r="BX44" i="103" s="1"/>
  <c r="CH59" i="103"/>
  <c r="CG29" i="103"/>
  <c r="CI29" i="103" s="1"/>
  <c r="BB29" i="103"/>
  <c r="M127" i="103"/>
  <c r="J127" i="103" s="1"/>
  <c r="L127" i="103"/>
  <c r="Z39" i="58"/>
  <c r="I39" i="58" s="1"/>
  <c r="AB39" i="58"/>
  <c r="K39" i="58" s="1"/>
  <c r="AC39" i="58"/>
  <c r="M39" i="58" s="1"/>
  <c r="AA39" i="58"/>
  <c r="J39" i="58" s="1"/>
  <c r="F54" i="103"/>
  <c r="AC54" i="103"/>
  <c r="E54" i="103"/>
  <c r="W159" i="23"/>
  <c r="AI388" i="103"/>
  <c r="R115" i="58"/>
  <c r="L115" i="58" s="1"/>
  <c r="AE116" i="22"/>
  <c r="BY115" i="103"/>
  <c r="BW115" i="103" s="1"/>
  <c r="F47" i="103"/>
  <c r="AC47" i="103"/>
  <c r="E47" i="103"/>
  <c r="M51" i="103"/>
  <c r="J51" i="103" s="1"/>
  <c r="L51" i="103"/>
  <c r="CH82" i="103"/>
  <c r="CD37" i="103"/>
  <c r="BX37" i="103" s="1"/>
  <c r="G388" i="103"/>
  <c r="AC159" i="23"/>
  <c r="K390" i="67"/>
  <c r="K42" i="67"/>
  <c r="Z107" i="58"/>
  <c r="I107" i="58" s="1"/>
  <c r="AC107" i="58"/>
  <c r="M107" i="58" s="1"/>
  <c r="AB107" i="58"/>
  <c r="K107" i="58" s="1"/>
  <c r="AA107" i="58"/>
  <c r="J107" i="58" s="1"/>
  <c r="AC37" i="103"/>
  <c r="F37" i="103"/>
  <c r="E37" i="103"/>
  <c r="G117" i="58"/>
  <c r="AA123" i="58"/>
  <c r="J123" i="58" s="1"/>
  <c r="Z123" i="58"/>
  <c r="I123" i="58" s="1"/>
  <c r="AC123" i="58"/>
  <c r="M123" i="58" s="1"/>
  <c r="AB123" i="58"/>
  <c r="K123" i="58" s="1"/>
  <c r="AC111" i="58"/>
  <c r="M111" i="58" s="1"/>
  <c r="AA111" i="58"/>
  <c r="J111" i="58" s="1"/>
  <c r="Z111" i="58"/>
  <c r="I111" i="58" s="1"/>
  <c r="AB111" i="58"/>
  <c r="K111" i="58" s="1"/>
  <c r="M47" i="103"/>
  <c r="J47" i="103" s="1"/>
  <c r="L47" i="103"/>
  <c r="AA57" i="58"/>
  <c r="J57" i="58" s="1"/>
  <c r="AC57" i="58"/>
  <c r="M57" i="58" s="1"/>
  <c r="AB57" i="58"/>
  <c r="K57" i="58" s="1"/>
  <c r="Z57" i="58"/>
  <c r="I57" i="58" s="1"/>
  <c r="F74" i="103"/>
  <c r="AC74" i="103"/>
  <c r="E74" i="103"/>
  <c r="G27" i="58"/>
  <c r="M35" i="103"/>
  <c r="J35" i="103" s="1"/>
  <c r="L35" i="103"/>
  <c r="N386" i="58"/>
  <c r="N399" i="58"/>
  <c r="R220" i="58"/>
  <c r="L220" i="58" s="1"/>
  <c r="AE221" i="22"/>
  <c r="BY220" i="103"/>
  <c r="BW220" i="103" s="1"/>
  <c r="F25" i="103"/>
  <c r="AC25" i="103"/>
  <c r="E25" i="103"/>
  <c r="T388" i="58"/>
  <c r="F120" i="103"/>
  <c r="AC120" i="103"/>
  <c r="E120" i="103"/>
  <c r="M126" i="103"/>
  <c r="J126" i="103" s="1"/>
  <c r="L126" i="103"/>
  <c r="F106" i="103"/>
  <c r="AC106" i="103"/>
  <c r="E106" i="103"/>
  <c r="M50" i="103"/>
  <c r="J50" i="103" s="1"/>
  <c r="L50" i="103"/>
  <c r="H378" i="103"/>
  <c r="F70" i="103"/>
  <c r="AC70" i="103"/>
  <c r="E70" i="103"/>
  <c r="R42" i="58"/>
  <c r="AE43" i="22"/>
  <c r="BY42" i="103"/>
  <c r="CA42" i="103" s="1"/>
  <c r="M103" i="67"/>
  <c r="F28" i="103"/>
  <c r="AC28" i="103"/>
  <c r="E28" i="103"/>
  <c r="V159" i="23"/>
  <c r="AH388" i="103"/>
  <c r="AA83" i="103"/>
  <c r="AC102" i="103"/>
  <c r="M102" i="103"/>
  <c r="L102" i="103"/>
  <c r="M123" i="103"/>
  <c r="J123" i="103" s="1"/>
  <c r="L123" i="103"/>
  <c r="G38" i="58"/>
  <c r="Z48" i="58"/>
  <c r="I48" i="58" s="1"/>
  <c r="AC48" i="58"/>
  <c r="M48" i="58" s="1"/>
  <c r="AB48" i="58"/>
  <c r="K48" i="58" s="1"/>
  <c r="AA48" i="58"/>
  <c r="J48" i="58" s="1"/>
  <c r="F31" i="103"/>
  <c r="AC31" i="103"/>
  <c r="E31" i="103"/>
  <c r="M93" i="103"/>
  <c r="J93" i="103" s="1"/>
  <c r="L93" i="103"/>
  <c r="G88" i="58"/>
  <c r="AC75" i="58"/>
  <c r="M75" i="58" s="1"/>
  <c r="AB75" i="58"/>
  <c r="K75" i="58" s="1"/>
  <c r="AA75" i="58"/>
  <c r="J75" i="58" s="1"/>
  <c r="Z75" i="58"/>
  <c r="I75" i="58" s="1"/>
  <c r="BF388" i="103"/>
  <c r="AB16" i="58"/>
  <c r="K16" i="58" s="1"/>
  <c r="Z16" i="58"/>
  <c r="I16" i="58" s="1"/>
  <c r="AA16" i="58"/>
  <c r="J16" i="58" s="1"/>
  <c r="AC16" i="58"/>
  <c r="M16" i="58" s="1"/>
  <c r="M116" i="103"/>
  <c r="J116" i="103" s="1"/>
  <c r="L116" i="103"/>
  <c r="G103" i="58"/>
  <c r="AC122" i="58"/>
  <c r="M122" i="58" s="1"/>
  <c r="AB122" i="58"/>
  <c r="K122" i="58" s="1"/>
  <c r="AA122" i="58"/>
  <c r="J122" i="58" s="1"/>
  <c r="Z122" i="58"/>
  <c r="I122" i="58" s="1"/>
  <c r="AA110" i="58"/>
  <c r="J110" i="58" s="1"/>
  <c r="AC110" i="58"/>
  <c r="M110" i="58" s="1"/>
  <c r="Z110" i="58"/>
  <c r="I110" i="58" s="1"/>
  <c r="AB110" i="58"/>
  <c r="K110" i="58" s="1"/>
  <c r="AC40" i="58"/>
  <c r="M40" i="58" s="1"/>
  <c r="Z40" i="58"/>
  <c r="I40" i="58" s="1"/>
  <c r="AA40" i="58"/>
  <c r="J40" i="58" s="1"/>
  <c r="AB40" i="58"/>
  <c r="K40" i="58" s="1"/>
  <c r="F58" i="103"/>
  <c r="AC58" i="103"/>
  <c r="E58" i="103"/>
  <c r="U378" i="103"/>
  <c r="G59" i="58"/>
  <c r="AC72" i="58"/>
  <c r="M72" i="58" s="1"/>
  <c r="AB72" i="58"/>
  <c r="K72" i="58" s="1"/>
  <c r="AA72" i="58"/>
  <c r="J72" i="58" s="1"/>
  <c r="Z72" i="58"/>
  <c r="I72" i="58" s="1"/>
  <c r="H103" i="67"/>
  <c r="AC14" i="58"/>
  <c r="M14" i="58" s="1"/>
  <c r="AB14" i="58"/>
  <c r="K14" i="58" s="1"/>
  <c r="AA14" i="58"/>
  <c r="J14" i="58" s="1"/>
  <c r="Z14" i="58"/>
  <c r="I14" i="58" s="1"/>
  <c r="F32" i="103"/>
  <c r="AC32" i="103"/>
  <c r="E32" i="103"/>
  <c r="G119" i="58"/>
  <c r="F104" i="103"/>
  <c r="AC104" i="103"/>
  <c r="E104" i="103"/>
  <c r="Z68" i="58"/>
  <c r="I68" i="58" s="1"/>
  <c r="AB68" i="58"/>
  <c r="K68" i="58" s="1"/>
  <c r="AC68" i="58"/>
  <c r="M68" i="58" s="1"/>
  <c r="AA68" i="58"/>
  <c r="J68" i="58" s="1"/>
  <c r="AA63" i="103"/>
  <c r="AC90" i="58"/>
  <c r="M90" i="58" s="1"/>
  <c r="AB90" i="58"/>
  <c r="K90" i="58" s="1"/>
  <c r="AA90" i="58"/>
  <c r="J90" i="58" s="1"/>
  <c r="Z90" i="58"/>
  <c r="I90" i="58" s="1"/>
  <c r="M73" i="103"/>
  <c r="J73" i="103" s="1"/>
  <c r="L73" i="103"/>
  <c r="M34" i="103"/>
  <c r="J34" i="103" s="1"/>
  <c r="L34" i="103"/>
  <c r="AA25" i="58"/>
  <c r="J25" i="58" s="1"/>
  <c r="AC25" i="58"/>
  <c r="M25" i="58" s="1"/>
  <c r="AB25" i="58"/>
  <c r="K25" i="58" s="1"/>
  <c r="Z25" i="58"/>
  <c r="I25" i="58" s="1"/>
  <c r="CD11" i="103"/>
  <c r="CF11" i="103" s="1"/>
  <c r="CD51" i="103"/>
  <c r="BX51" i="103" s="1"/>
  <c r="I391" i="103"/>
  <c r="CH42" i="103"/>
  <c r="D13" i="104"/>
  <c r="U167" i="23"/>
  <c r="G214" i="58"/>
  <c r="G202" i="58"/>
  <c r="F195" i="103"/>
  <c r="AC195" i="103"/>
  <c r="E195" i="103"/>
  <c r="E166" i="67"/>
  <c r="G160" i="58"/>
  <c r="E197" i="67"/>
  <c r="AA159" i="58"/>
  <c r="J159" i="58" s="1"/>
  <c r="AC159" i="58"/>
  <c r="M159" i="58" s="1"/>
  <c r="Z159" i="58"/>
  <c r="I159" i="58" s="1"/>
  <c r="AB159" i="58"/>
  <c r="K159" i="58" s="1"/>
  <c r="F358" i="103"/>
  <c r="AC358" i="103"/>
  <c r="AA368" i="103"/>
  <c r="Z342" i="58"/>
  <c r="I342" i="58" s="1"/>
  <c r="AA342" i="58"/>
  <c r="J342" i="58" s="1"/>
  <c r="AB342" i="58"/>
  <c r="K342" i="58" s="1"/>
  <c r="AC342" i="58"/>
  <c r="M342" i="58" s="1"/>
  <c r="AB220" i="58"/>
  <c r="K220" i="58" s="1"/>
  <c r="AC220" i="58"/>
  <c r="M220" i="58" s="1"/>
  <c r="AA220" i="58"/>
  <c r="J220" i="58" s="1"/>
  <c r="Z220" i="58"/>
  <c r="I220" i="58" s="1"/>
  <c r="M239" i="103"/>
  <c r="J239" i="103" s="1"/>
  <c r="L239" i="103"/>
  <c r="P127" i="23"/>
  <c r="AC173" i="103"/>
  <c r="F173" i="103"/>
  <c r="E173" i="103"/>
  <c r="L328" i="67"/>
  <c r="AG319" i="22"/>
  <c r="M85" i="103"/>
  <c r="J85" i="103" s="1"/>
  <c r="L85" i="103"/>
  <c r="AG111" i="22"/>
  <c r="BZ110" i="103"/>
  <c r="CC110" i="103" s="1"/>
  <c r="CD111" i="103"/>
  <c r="BX111" i="103" s="1"/>
  <c r="F75" i="103"/>
  <c r="AC75" i="103"/>
  <c r="E75" i="103"/>
  <c r="CG19" i="103"/>
  <c r="CI19" i="103" s="1"/>
  <c r="BB19" i="103"/>
  <c r="Y159" i="23"/>
  <c r="AK388" i="103"/>
  <c r="N103" i="67"/>
  <c r="AG53" i="22"/>
  <c r="BZ52" i="103"/>
  <c r="CC52" i="103" s="1"/>
  <c r="M39" i="103"/>
  <c r="J39" i="103" s="1"/>
  <c r="L39" i="103"/>
  <c r="R54" i="58"/>
  <c r="L54" i="58" s="1"/>
  <c r="AE55" i="22"/>
  <c r="BY54" i="103"/>
  <c r="BW54" i="103" s="1"/>
  <c r="G76" i="58"/>
  <c r="AA12" i="58"/>
  <c r="J12" i="58" s="1"/>
  <c r="CD12" i="103"/>
  <c r="BX12" i="103" s="1"/>
  <c r="M26" i="103"/>
  <c r="J26" i="103" s="1"/>
  <c r="L26" i="103"/>
  <c r="Z89" i="58"/>
  <c r="I89" i="58" s="1"/>
  <c r="AC89" i="58"/>
  <c r="M89" i="58" s="1"/>
  <c r="AB89" i="58"/>
  <c r="K89" i="58" s="1"/>
  <c r="AA89" i="58"/>
  <c r="J89" i="58" s="1"/>
  <c r="G73" i="58"/>
  <c r="M24" i="103"/>
  <c r="J24" i="103" s="1"/>
  <c r="L24" i="103"/>
  <c r="K391" i="67"/>
  <c r="K71" i="67"/>
  <c r="S388" i="103"/>
  <c r="G29" i="58"/>
  <c r="AC18" i="58"/>
  <c r="M18" i="58" s="1"/>
  <c r="AB18" i="58"/>
  <c r="K18" i="58" s="1"/>
  <c r="Z18" i="58"/>
  <c r="I18" i="58" s="1"/>
  <c r="AA18" i="58"/>
  <c r="J18" i="58" s="1"/>
  <c r="M72" i="103"/>
  <c r="J72" i="103" s="1"/>
  <c r="L72" i="103"/>
  <c r="F390" i="58"/>
  <c r="F377" i="58"/>
  <c r="M60" i="103"/>
  <c r="J60" i="103" s="1"/>
  <c r="L60" i="103"/>
  <c r="AE388" i="103"/>
  <c r="CG118" i="103"/>
  <c r="CI118" i="103" s="1"/>
  <c r="BB118" i="103"/>
  <c r="G97" i="58"/>
  <c r="F33" i="103"/>
  <c r="AC33" i="103"/>
  <c r="E33" i="103"/>
  <c r="R368" i="58"/>
  <c r="L368" i="58" s="1"/>
  <c r="BY368" i="103"/>
  <c r="BW368" i="103" s="1"/>
  <c r="R181" i="58"/>
  <c r="L181" i="58" s="1"/>
  <c r="AE182" i="22"/>
  <c r="BY181" i="103"/>
  <c r="BW181" i="103" s="1"/>
  <c r="D103" i="67"/>
  <c r="AA23" i="103"/>
  <c r="N390" i="58"/>
  <c r="N377" i="58"/>
  <c r="AC77" i="58"/>
  <c r="M77" i="58" s="1"/>
  <c r="AB77" i="58"/>
  <c r="K77" i="58" s="1"/>
  <c r="AA77" i="58"/>
  <c r="J77" i="58" s="1"/>
  <c r="Z77" i="58"/>
  <c r="I77" i="58" s="1"/>
  <c r="D390" i="58"/>
  <c r="D377" i="58"/>
  <c r="M15" i="103"/>
  <c r="J15" i="103" s="1"/>
  <c r="L15" i="103"/>
  <c r="CD30" i="103"/>
  <c r="BX30" i="103" s="1"/>
  <c r="AG86" i="22"/>
  <c r="BZ85" i="103"/>
  <c r="CC85" i="103" s="1"/>
  <c r="M120" i="103"/>
  <c r="J120" i="103" s="1"/>
  <c r="L120" i="103"/>
  <c r="AA45" i="103"/>
  <c r="P391" i="58"/>
  <c r="P378" i="58"/>
  <c r="M114" i="103"/>
  <c r="J114" i="103" s="1"/>
  <c r="L114" i="103"/>
  <c r="F63" i="103"/>
  <c r="AC63" i="103"/>
  <c r="E63" i="103"/>
  <c r="N392" i="58"/>
  <c r="N379" i="58"/>
  <c r="L72" i="67"/>
  <c r="R11" i="58"/>
  <c r="AE12" i="22"/>
  <c r="BY11" i="103"/>
  <c r="CD49" i="103"/>
  <c r="BX49" i="103" s="1"/>
  <c r="CD55" i="103"/>
  <c r="BX55" i="103" s="1"/>
  <c r="CD25" i="103"/>
  <c r="BX25" i="103" s="1"/>
  <c r="C166" i="67"/>
  <c r="H166" i="67"/>
  <c r="J163" i="22"/>
  <c r="R381" i="103"/>
  <c r="G356" i="58"/>
  <c r="D400" i="58"/>
  <c r="D387" i="58"/>
  <c r="AC338" i="58"/>
  <c r="M338" i="58" s="1"/>
  <c r="AB338" i="58"/>
  <c r="K338" i="58" s="1"/>
  <c r="AA338" i="58"/>
  <c r="J338" i="58" s="1"/>
  <c r="Z338" i="58"/>
  <c r="I338" i="58" s="1"/>
  <c r="F228" i="103"/>
  <c r="AC228" i="103"/>
  <c r="E228" i="103"/>
  <c r="M195" i="103"/>
  <c r="J195" i="103" s="1"/>
  <c r="L195" i="103"/>
  <c r="G150" i="58"/>
  <c r="F159" i="103"/>
  <c r="AC159" i="103"/>
  <c r="E159" i="103"/>
  <c r="G353" i="58"/>
  <c r="J275" i="22"/>
  <c r="M187" i="103"/>
  <c r="J187" i="103" s="1"/>
  <c r="L187" i="103"/>
  <c r="AA186" i="58"/>
  <c r="J186" i="58" s="1"/>
  <c r="AC186" i="58"/>
  <c r="M186" i="58" s="1"/>
  <c r="Z186" i="58"/>
  <c r="I186" i="58" s="1"/>
  <c r="AB186" i="58"/>
  <c r="K186" i="58" s="1"/>
  <c r="AC174" i="58"/>
  <c r="M174" i="58" s="1"/>
  <c r="AB174" i="58"/>
  <c r="K174" i="58" s="1"/>
  <c r="AA174" i="58"/>
  <c r="J174" i="58" s="1"/>
  <c r="Z174" i="58"/>
  <c r="I174" i="58" s="1"/>
  <c r="M149" i="103"/>
  <c r="J149" i="103" s="1"/>
  <c r="L149" i="103"/>
  <c r="CG79" i="103"/>
  <c r="CI79" i="103" s="1"/>
  <c r="BB79" i="103"/>
  <c r="AG25" i="22"/>
  <c r="BZ24" i="103"/>
  <c r="CC24" i="103" s="1"/>
  <c r="AB96" i="58"/>
  <c r="K96" i="58" s="1"/>
  <c r="AA96" i="58"/>
  <c r="J96" i="58" s="1"/>
  <c r="Z96" i="58"/>
  <c r="I96" i="58" s="1"/>
  <c r="AC96" i="58"/>
  <c r="M96" i="58" s="1"/>
  <c r="Q391" i="58"/>
  <c r="Q378" i="58"/>
  <c r="CJ388" i="103"/>
  <c r="N398" i="58"/>
  <c r="N385" i="58"/>
  <c r="AG125" i="22"/>
  <c r="BZ124" i="103"/>
  <c r="CC124" i="103" s="1"/>
  <c r="AB49" i="58"/>
  <c r="K49" i="58" s="1"/>
  <c r="AA49" i="58"/>
  <c r="J49" i="58" s="1"/>
  <c r="Z49" i="58"/>
  <c r="I49" i="58" s="1"/>
  <c r="AC49" i="58"/>
  <c r="M49" i="58" s="1"/>
  <c r="F38" i="103"/>
  <c r="AC38" i="103"/>
  <c r="E38" i="103"/>
  <c r="H42" i="67"/>
  <c r="G57" i="58"/>
  <c r="Z63" i="58"/>
  <c r="I63" i="58" s="1"/>
  <c r="AA63" i="58"/>
  <c r="J63" i="58" s="1"/>
  <c r="AC63" i="58"/>
  <c r="M63" i="58" s="1"/>
  <c r="AB63" i="58"/>
  <c r="K63" i="58" s="1"/>
  <c r="F87" i="103"/>
  <c r="AC87" i="103"/>
  <c r="E87" i="103"/>
  <c r="G107" i="58"/>
  <c r="CG124" i="103"/>
  <c r="CI124" i="103" s="1"/>
  <c r="BB124" i="103"/>
  <c r="CB104" i="103"/>
  <c r="L107" i="67" s="1"/>
  <c r="G121" i="58"/>
  <c r="G109" i="58"/>
  <c r="M27" i="103"/>
  <c r="J27" i="103" s="1"/>
  <c r="L27" i="103"/>
  <c r="BI20" i="103"/>
  <c r="AG388" i="103"/>
  <c r="AA86" i="103"/>
  <c r="CG121" i="103"/>
  <c r="CI121" i="103" s="1"/>
  <c r="BB121" i="103"/>
  <c r="G67" i="58"/>
  <c r="D159" i="23"/>
  <c r="AO388" i="103"/>
  <c r="CI35" i="103"/>
  <c r="G84" i="58"/>
  <c r="AA73" i="103"/>
  <c r="AG62" i="22"/>
  <c r="BZ61" i="103"/>
  <c r="CC61" i="103" s="1"/>
  <c r="AC41" i="58"/>
  <c r="M41" i="58" s="1"/>
  <c r="AB41" i="58"/>
  <c r="K41" i="58" s="1"/>
  <c r="AA41" i="58"/>
  <c r="J41" i="58" s="1"/>
  <c r="Z41" i="58"/>
  <c r="I41" i="58" s="1"/>
  <c r="M57" i="103"/>
  <c r="J57" i="103" s="1"/>
  <c r="L57" i="103"/>
  <c r="G11" i="58"/>
  <c r="G25" i="58"/>
  <c r="N400" i="58"/>
  <c r="N387" i="58"/>
  <c r="G51" i="58"/>
  <c r="G75" i="58"/>
  <c r="CH78" i="103"/>
  <c r="F23" i="103"/>
  <c r="AC23" i="103"/>
  <c r="E23" i="103"/>
  <c r="N42" i="67"/>
  <c r="AA117" i="103"/>
  <c r="M133" i="103"/>
  <c r="J133" i="103" s="1"/>
  <c r="L133" i="103"/>
  <c r="F103" i="103"/>
  <c r="AC103" i="103"/>
  <c r="E103" i="103"/>
  <c r="E71" i="67"/>
  <c r="AG56" i="22"/>
  <c r="BZ55" i="103"/>
  <c r="CC55" i="103" s="1"/>
  <c r="AM55" i="103"/>
  <c r="AT388" i="103"/>
  <c r="R349" i="58"/>
  <c r="L349" i="58" s="1"/>
  <c r="BY349" i="103"/>
  <c r="BW349" i="103" s="1"/>
  <c r="M125" i="103"/>
  <c r="J125" i="103" s="1"/>
  <c r="L125" i="103"/>
  <c r="AG120" i="22"/>
  <c r="BZ119" i="103"/>
  <c r="CC119" i="103" s="1"/>
  <c r="AA74" i="58"/>
  <c r="J74" i="58" s="1"/>
  <c r="AC74" i="58"/>
  <c r="M74" i="58" s="1"/>
  <c r="Z74" i="58"/>
  <c r="I74" i="58" s="1"/>
  <c r="AB74" i="58"/>
  <c r="K74" i="58" s="1"/>
  <c r="AA58" i="58"/>
  <c r="J58" i="58" s="1"/>
  <c r="Z58" i="58"/>
  <c r="I58" i="58" s="1"/>
  <c r="AC58" i="58"/>
  <c r="M58" i="58" s="1"/>
  <c r="AB58" i="58"/>
  <c r="K58" i="58" s="1"/>
  <c r="R67" i="58"/>
  <c r="L67" i="58" s="1"/>
  <c r="AE68" i="22"/>
  <c r="BY67" i="103"/>
  <c r="BW67" i="103" s="1"/>
  <c r="AM110" i="103"/>
  <c r="AA111" i="103"/>
  <c r="AG83" i="22"/>
  <c r="BZ82" i="103"/>
  <c r="CC82" i="103" s="1"/>
  <c r="M83" i="103"/>
  <c r="J83" i="103" s="1"/>
  <c r="L83" i="103"/>
  <c r="F45" i="103"/>
  <c r="AC45" i="103"/>
  <c r="E45" i="103"/>
  <c r="C42" i="13"/>
  <c r="M52" i="103"/>
  <c r="J52" i="103" s="1"/>
  <c r="L52" i="103"/>
  <c r="AC24" i="58"/>
  <c r="M24" i="58" s="1"/>
  <c r="AB24" i="58"/>
  <c r="K24" i="58" s="1"/>
  <c r="Z24" i="58"/>
  <c r="I24" i="58" s="1"/>
  <c r="AA24" i="58"/>
  <c r="J24" i="58" s="1"/>
  <c r="G14" i="58"/>
  <c r="R140" i="58"/>
  <c r="L140" i="58" s="1"/>
  <c r="AE141" i="22"/>
  <c r="BY140" i="103"/>
  <c r="BW140" i="103" s="1"/>
  <c r="AB124" i="58"/>
  <c r="K124" i="58" s="1"/>
  <c r="AA124" i="58"/>
  <c r="J124" i="58" s="1"/>
  <c r="Z124" i="58"/>
  <c r="I124" i="58" s="1"/>
  <c r="AC124" i="58"/>
  <c r="M124" i="58" s="1"/>
  <c r="Z112" i="58"/>
  <c r="I112" i="58" s="1"/>
  <c r="AC112" i="58"/>
  <c r="M112" i="58" s="1"/>
  <c r="AB112" i="58"/>
  <c r="K112" i="58" s="1"/>
  <c r="AA112" i="58"/>
  <c r="J112" i="58" s="1"/>
  <c r="AG114" i="22"/>
  <c r="BZ113" i="103"/>
  <c r="CC113" i="103" s="1"/>
  <c r="CI69" i="103"/>
  <c r="H377" i="103"/>
  <c r="F42" i="103"/>
  <c r="AC42" i="103"/>
  <c r="E42" i="103"/>
  <c r="M71" i="103"/>
  <c r="J71" i="103" s="1"/>
  <c r="L71" i="103"/>
  <c r="G56" i="58"/>
  <c r="CD22" i="103"/>
  <c r="BX22" i="103" s="1"/>
  <c r="AN378" i="103"/>
  <c r="AM43" i="103"/>
  <c r="CD39" i="103"/>
  <c r="BX39" i="103" s="1"/>
  <c r="BE388" i="103"/>
  <c r="BZ319" i="103"/>
  <c r="CC319" i="103" s="1"/>
  <c r="F339" i="103"/>
  <c r="AC339" i="103"/>
  <c r="F297" i="103"/>
  <c r="AC297" i="103"/>
  <c r="F285" i="103"/>
  <c r="AC285" i="103"/>
  <c r="AC297" i="58"/>
  <c r="M297" i="58" s="1"/>
  <c r="Z297" i="58"/>
  <c r="I297" i="58" s="1"/>
  <c r="AA297" i="58"/>
  <c r="J297" i="58" s="1"/>
  <c r="AB297" i="58"/>
  <c r="K297" i="58" s="1"/>
  <c r="AC285" i="58"/>
  <c r="M285" i="58" s="1"/>
  <c r="AB285" i="58"/>
  <c r="K285" i="58" s="1"/>
  <c r="AA285" i="58"/>
  <c r="J285" i="58" s="1"/>
  <c r="Z285" i="58"/>
  <c r="I285" i="58" s="1"/>
  <c r="D396" i="58"/>
  <c r="D383" i="58"/>
  <c r="AG236" i="22"/>
  <c r="BZ235" i="103"/>
  <c r="CC235" i="103" s="1"/>
  <c r="M193" i="103"/>
  <c r="J193" i="103" s="1"/>
  <c r="L193" i="103"/>
  <c r="Q395" i="58"/>
  <c r="Q382" i="58"/>
  <c r="AC187" i="58"/>
  <c r="M187" i="58" s="1"/>
  <c r="AB187" i="58"/>
  <c r="K187" i="58" s="1"/>
  <c r="AA187" i="58"/>
  <c r="J187" i="58" s="1"/>
  <c r="Z187" i="58"/>
  <c r="I187" i="58" s="1"/>
  <c r="Z146" i="58"/>
  <c r="I146" i="58" s="1"/>
  <c r="AC146" i="58"/>
  <c r="M146" i="58" s="1"/>
  <c r="AB146" i="58"/>
  <c r="K146" i="58" s="1"/>
  <c r="AA146" i="58"/>
  <c r="J146" i="58" s="1"/>
  <c r="M174" i="103"/>
  <c r="J174" i="103" s="1"/>
  <c r="L174" i="103"/>
  <c r="O393" i="58"/>
  <c r="O380" i="58"/>
  <c r="P393" i="58"/>
  <c r="P380" i="58"/>
  <c r="G354" i="58"/>
  <c r="M228" i="103"/>
  <c r="J228" i="103" s="1"/>
  <c r="L228" i="103"/>
  <c r="F175" i="103"/>
  <c r="AC175" i="103"/>
  <c r="E175" i="103"/>
  <c r="AA159" i="103"/>
  <c r="AB310" i="58"/>
  <c r="K310" i="58" s="1"/>
  <c r="AA310" i="58"/>
  <c r="J310" i="58" s="1"/>
  <c r="AC310" i="58"/>
  <c r="M310" i="58" s="1"/>
  <c r="Z310" i="58"/>
  <c r="I310" i="58" s="1"/>
  <c r="Z307" i="58"/>
  <c r="I307" i="58" s="1"/>
  <c r="AA307" i="58"/>
  <c r="J307" i="58" s="1"/>
  <c r="AC307" i="58"/>
  <c r="M307" i="58" s="1"/>
  <c r="AB307" i="58"/>
  <c r="K307" i="58" s="1"/>
  <c r="G255" i="58"/>
  <c r="G243" i="58"/>
  <c r="G231" i="58"/>
  <c r="Z99" i="58"/>
  <c r="I99" i="58" s="1"/>
  <c r="AB99" i="58"/>
  <c r="K99" i="58" s="1"/>
  <c r="AC99" i="58"/>
  <c r="M99" i="58" s="1"/>
  <c r="AA99" i="58"/>
  <c r="J99" i="58" s="1"/>
  <c r="F125" i="103"/>
  <c r="AC125" i="103"/>
  <c r="E125" i="103"/>
  <c r="R74" i="58"/>
  <c r="L74" i="58" s="1"/>
  <c r="AE75" i="22"/>
  <c r="BY74" i="103"/>
  <c r="BW74" i="103" s="1"/>
  <c r="CG62" i="103"/>
  <c r="CI62" i="103" s="1"/>
  <c r="BB62" i="103"/>
  <c r="AA20" i="58"/>
  <c r="J20" i="58" s="1"/>
  <c r="Z20" i="58"/>
  <c r="I20" i="58" s="1"/>
  <c r="AC20" i="58"/>
  <c r="M20" i="58" s="1"/>
  <c r="AB20" i="58"/>
  <c r="K20" i="58" s="1"/>
  <c r="AC32" i="58"/>
  <c r="M32" i="58" s="1"/>
  <c r="AB32" i="58"/>
  <c r="K32" i="58" s="1"/>
  <c r="AA32" i="58"/>
  <c r="J32" i="58" s="1"/>
  <c r="Z32" i="58"/>
  <c r="I32" i="58" s="1"/>
  <c r="D42" i="67"/>
  <c r="F122" i="103"/>
  <c r="AC122" i="103"/>
  <c r="E122" i="103"/>
  <c r="AC91" i="103"/>
  <c r="F91" i="103"/>
  <c r="E91" i="103"/>
  <c r="AC88" i="103"/>
  <c r="F88" i="103"/>
  <c r="E88" i="103"/>
  <c r="CD40" i="103"/>
  <c r="BX40" i="103" s="1"/>
  <c r="CB30" i="103"/>
  <c r="L30" i="67" s="1"/>
  <c r="P389" i="58"/>
  <c r="P376" i="58"/>
  <c r="BT388" i="103"/>
  <c r="N395" i="58"/>
  <c r="N382" i="58"/>
  <c r="R50" i="58"/>
  <c r="L50" i="58" s="1"/>
  <c r="AE51" i="22"/>
  <c r="BY50" i="103"/>
  <c r="BW50" i="103" s="1"/>
  <c r="R62" i="58"/>
  <c r="L62" i="58" s="1"/>
  <c r="AE63" i="22"/>
  <c r="BY62" i="103"/>
  <c r="BW62" i="103" s="1"/>
  <c r="E103" i="67"/>
  <c r="AC36" i="58"/>
  <c r="M36" i="58" s="1"/>
  <c r="AB36" i="58"/>
  <c r="K36" i="58" s="1"/>
  <c r="Z36" i="58"/>
  <c r="I36" i="58" s="1"/>
  <c r="AA36" i="58"/>
  <c r="J36" i="58" s="1"/>
  <c r="F113" i="103"/>
  <c r="AC113" i="103"/>
  <c r="E113" i="103"/>
  <c r="M136" i="103"/>
  <c r="J136" i="103" s="1"/>
  <c r="L136" i="103"/>
  <c r="CD103" i="103"/>
  <c r="BX103" i="103" s="1"/>
  <c r="F62" i="103"/>
  <c r="AC62" i="103"/>
  <c r="E62" i="103"/>
  <c r="F14" i="103"/>
  <c r="AC14" i="103"/>
  <c r="E14" i="103"/>
  <c r="R193" i="58"/>
  <c r="L193" i="58" s="1"/>
  <c r="AE194" i="22"/>
  <c r="BY193" i="103"/>
  <c r="BW193" i="103" s="1"/>
  <c r="G126" i="58"/>
  <c r="G114" i="58"/>
  <c r="AA126" i="103"/>
  <c r="AC86" i="103"/>
  <c r="E86" i="103"/>
  <c r="Z120" i="58"/>
  <c r="I120" i="58" s="1"/>
  <c r="AC120" i="58"/>
  <c r="M120" i="58" s="1"/>
  <c r="AB120" i="58"/>
  <c r="K120" i="58" s="1"/>
  <c r="AA120" i="58"/>
  <c r="J120" i="58" s="1"/>
  <c r="AC108" i="58"/>
  <c r="M108" i="58" s="1"/>
  <c r="AB108" i="58"/>
  <c r="K108" i="58" s="1"/>
  <c r="AA108" i="58"/>
  <c r="J108" i="58" s="1"/>
  <c r="Z108" i="58"/>
  <c r="I108" i="58" s="1"/>
  <c r="F110" i="103"/>
  <c r="AC110" i="103"/>
  <c r="E110" i="103"/>
  <c r="AA76" i="103"/>
  <c r="M40" i="103"/>
  <c r="J40" i="103" s="1"/>
  <c r="L40" i="103"/>
  <c r="F22" i="103"/>
  <c r="AC22" i="103"/>
  <c r="E22" i="103"/>
  <c r="F17" i="103"/>
  <c r="AC17" i="103"/>
  <c r="E17" i="103"/>
  <c r="G30" i="58"/>
  <c r="T401" i="58"/>
  <c r="CG129" i="103"/>
  <c r="CI129" i="103" s="1"/>
  <c r="BB129" i="103"/>
  <c r="D392" i="58"/>
  <c r="D379" i="58"/>
  <c r="F73" i="103"/>
  <c r="AC73" i="103"/>
  <c r="E73" i="103"/>
  <c r="C376" i="58"/>
  <c r="G95" i="58"/>
  <c r="M105" i="103"/>
  <c r="J105" i="103" s="1"/>
  <c r="L105" i="103"/>
  <c r="M92" i="103"/>
  <c r="J92" i="103" s="1"/>
  <c r="L92" i="103"/>
  <c r="AC87" i="58"/>
  <c r="M87" i="58" s="1"/>
  <c r="AA87" i="58"/>
  <c r="J87" i="58" s="1"/>
  <c r="AB87" i="58"/>
  <c r="K87" i="58" s="1"/>
  <c r="Z87" i="58"/>
  <c r="I87" i="58" s="1"/>
  <c r="R73" i="58"/>
  <c r="L73" i="58" s="1"/>
  <c r="AE74" i="22"/>
  <c r="BY73" i="103"/>
  <c r="BW73" i="103" s="1"/>
  <c r="C103" i="67"/>
  <c r="Q389" i="58"/>
  <c r="Q376" i="58"/>
  <c r="F117" i="103"/>
  <c r="AC117" i="103"/>
  <c r="E117" i="103"/>
  <c r="AC61" i="58"/>
  <c r="M61" i="58" s="1"/>
  <c r="AB61" i="58"/>
  <c r="K61" i="58" s="1"/>
  <c r="AA61" i="58"/>
  <c r="J61" i="58" s="1"/>
  <c r="Z61" i="58"/>
  <c r="I61" i="58" s="1"/>
  <c r="M80" i="103"/>
  <c r="J80" i="103" s="1"/>
  <c r="L80" i="103"/>
  <c r="R39" i="58"/>
  <c r="L39" i="58" s="1"/>
  <c r="AE40" i="22"/>
  <c r="BY39" i="103"/>
  <c r="BW39" i="103" s="1"/>
  <c r="AC59" i="58"/>
  <c r="M59" i="58" s="1"/>
  <c r="AB59" i="58"/>
  <c r="K59" i="58" s="1"/>
  <c r="AA59" i="58"/>
  <c r="J59" i="58" s="1"/>
  <c r="Z59" i="58"/>
  <c r="I59" i="58" s="1"/>
  <c r="AA26" i="103"/>
  <c r="K392" i="67"/>
  <c r="K103" i="67"/>
  <c r="G47" i="58"/>
  <c r="BJ388" i="103"/>
  <c r="AA19" i="58"/>
  <c r="J19" i="58" s="1"/>
  <c r="AB19" i="58"/>
  <c r="K19" i="58" s="1"/>
  <c r="Z19" i="58"/>
  <c r="I19" i="58" s="1"/>
  <c r="AC19" i="58"/>
  <c r="M19" i="58" s="1"/>
  <c r="F111" i="103"/>
  <c r="AC111" i="103"/>
  <c r="E111" i="103"/>
  <c r="G82" i="58"/>
  <c r="AA119" i="58"/>
  <c r="J119" i="58" s="1"/>
  <c r="Z119" i="58"/>
  <c r="I119" i="58" s="1"/>
  <c r="AC119" i="58"/>
  <c r="M119" i="58" s="1"/>
  <c r="AB119" i="58"/>
  <c r="K119" i="58" s="1"/>
  <c r="AA37" i="58"/>
  <c r="J37" i="58" s="1"/>
  <c r="AB37" i="58"/>
  <c r="K37" i="58" s="1"/>
  <c r="Z37" i="58"/>
  <c r="I37" i="58" s="1"/>
  <c r="AC37" i="58"/>
  <c r="M37" i="58" s="1"/>
  <c r="F391" i="58"/>
  <c r="F378" i="58"/>
  <c r="M74" i="103"/>
  <c r="J74" i="103" s="1"/>
  <c r="L74" i="103"/>
  <c r="Z69" i="58"/>
  <c r="I69" i="58" s="1"/>
  <c r="AA69" i="58"/>
  <c r="J69" i="58" s="1"/>
  <c r="AC69" i="58"/>
  <c r="M69" i="58" s="1"/>
  <c r="AB69" i="58"/>
  <c r="K69" i="58" s="1"/>
  <c r="Z17" i="58"/>
  <c r="I17" i="58" s="1"/>
  <c r="AA17" i="58"/>
  <c r="J17" i="58" s="1"/>
  <c r="AC17" i="58"/>
  <c r="M17" i="58" s="1"/>
  <c r="AB17" i="58"/>
  <c r="K17" i="58" s="1"/>
  <c r="G116" i="58"/>
  <c r="AA55" i="103"/>
  <c r="M49" i="103"/>
  <c r="J49" i="103" s="1"/>
  <c r="L49" i="103"/>
  <c r="AB28" i="58"/>
  <c r="K28" i="58" s="1"/>
  <c r="Z28" i="58"/>
  <c r="I28" i="58" s="1"/>
  <c r="AA28" i="58"/>
  <c r="J28" i="58" s="1"/>
  <c r="AC28" i="58"/>
  <c r="M28" i="58" s="1"/>
  <c r="CD48" i="103"/>
  <c r="BX48" i="103" s="1"/>
  <c r="R94" i="58"/>
  <c r="L94" i="58" s="1"/>
  <c r="AE95" i="22"/>
  <c r="BY94" i="103"/>
  <c r="BW94" i="103" s="1"/>
  <c r="G15" i="53"/>
  <c r="K398" i="67"/>
  <c r="K292" i="67"/>
  <c r="G211" i="58"/>
  <c r="G199" i="58"/>
  <c r="M156" i="103"/>
  <c r="J156" i="103" s="1"/>
  <c r="L156" i="103"/>
  <c r="G169" i="58"/>
  <c r="AC143" i="58"/>
  <c r="M143" i="58" s="1"/>
  <c r="AB143" i="58"/>
  <c r="K143" i="58" s="1"/>
  <c r="AA143" i="58"/>
  <c r="J143" i="58" s="1"/>
  <c r="Z143" i="58"/>
  <c r="I143" i="58" s="1"/>
  <c r="M151" i="103"/>
  <c r="J151" i="103" s="1"/>
  <c r="L151" i="103"/>
  <c r="L380" i="67"/>
  <c r="AG370" i="22"/>
  <c r="G313" i="58"/>
  <c r="L348" i="67"/>
  <c r="AG339" i="22"/>
  <c r="AC217" i="58"/>
  <c r="M217" i="58" s="1"/>
  <c r="AB217" i="58"/>
  <c r="K217" i="58" s="1"/>
  <c r="AA217" i="58"/>
  <c r="J217" i="58" s="1"/>
  <c r="Z217" i="58"/>
  <c r="I217" i="58" s="1"/>
  <c r="AG251" i="22"/>
  <c r="BZ250" i="103"/>
  <c r="CC250" i="103" s="1"/>
  <c r="AB195" i="58"/>
  <c r="K195" i="58" s="1"/>
  <c r="AA195" i="58"/>
  <c r="J195" i="58" s="1"/>
  <c r="Z195" i="58"/>
  <c r="I195" i="58" s="1"/>
  <c r="AC195" i="58"/>
  <c r="M195" i="58" s="1"/>
  <c r="F161" i="103"/>
  <c r="AC161" i="103"/>
  <c r="E161" i="103"/>
  <c r="AC94" i="103"/>
  <c r="F94" i="103"/>
  <c r="E94" i="103"/>
  <c r="R57" i="58"/>
  <c r="L57" i="58" s="1"/>
  <c r="AE58" i="22"/>
  <c r="BY57" i="103"/>
  <c r="BW57" i="103" s="1"/>
  <c r="M41" i="103"/>
  <c r="J41" i="103" s="1"/>
  <c r="L41" i="103"/>
  <c r="X159" i="23"/>
  <c r="AJ388" i="103"/>
  <c r="AA98" i="103"/>
  <c r="AG41" i="22"/>
  <c r="BZ40" i="103"/>
  <c r="CC40" i="103" s="1"/>
  <c r="AC36" i="103"/>
  <c r="F36" i="103"/>
  <c r="E36" i="103"/>
  <c r="R29" i="58"/>
  <c r="L29" i="58" s="1"/>
  <c r="AE30" i="22"/>
  <c r="BY29" i="103"/>
  <c r="BW29" i="103" s="1"/>
  <c r="AM319" i="103"/>
  <c r="M81" i="103"/>
  <c r="J81" i="103" s="1"/>
  <c r="L81" i="103"/>
  <c r="R19" i="58"/>
  <c r="L19" i="58" s="1"/>
  <c r="AE20" i="22"/>
  <c r="BY19" i="103"/>
  <c r="BW19" i="103" s="1"/>
  <c r="CD80" i="103"/>
  <c r="BX80" i="103" s="1"/>
  <c r="F77" i="103"/>
  <c r="AC77" i="103"/>
  <c r="E77" i="103"/>
  <c r="AD388" i="103"/>
  <c r="T159" i="23"/>
  <c r="G20" i="58"/>
  <c r="G32" i="58"/>
  <c r="BS388" i="103"/>
  <c r="L373" i="67"/>
  <c r="AG363" i="22"/>
  <c r="L316" i="67"/>
  <c r="AG308" i="22"/>
  <c r="F126" i="103"/>
  <c r="AC126" i="103"/>
  <c r="E126" i="103"/>
  <c r="AM105" i="103"/>
  <c r="F76" i="103"/>
  <c r="AC76" i="103"/>
  <c r="E76" i="103"/>
  <c r="M30" i="103"/>
  <c r="J30" i="103" s="1"/>
  <c r="L30" i="103"/>
  <c r="CE388" i="103"/>
  <c r="M37" i="103"/>
  <c r="J37" i="103" s="1"/>
  <c r="L37" i="103"/>
  <c r="R45" i="58"/>
  <c r="L45" i="58" s="1"/>
  <c r="AE46" i="22"/>
  <c r="BY45" i="103"/>
  <c r="BW45" i="103" s="1"/>
  <c r="F56" i="103"/>
  <c r="AC56" i="103"/>
  <c r="E56" i="103"/>
  <c r="M33" i="103"/>
  <c r="J33" i="103" s="1"/>
  <c r="L33" i="103"/>
  <c r="E12" i="103"/>
  <c r="F12" i="103"/>
  <c r="AC12" i="103"/>
  <c r="L230" i="67"/>
  <c r="CD46" i="103"/>
  <c r="BX46" i="103" s="1"/>
  <c r="AB81" i="58"/>
  <c r="K81" i="58" s="1"/>
  <c r="AA81" i="58"/>
  <c r="J81" i="58" s="1"/>
  <c r="Z81" i="58"/>
  <c r="I81" i="58" s="1"/>
  <c r="AC81" i="58"/>
  <c r="M81" i="58" s="1"/>
  <c r="O391" i="58"/>
  <c r="O378" i="58"/>
  <c r="F68" i="103"/>
  <c r="AC68" i="103"/>
  <c r="E68" i="103"/>
  <c r="CC33" i="103"/>
  <c r="N394" i="58"/>
  <c r="N381" i="58"/>
  <c r="L364" i="67"/>
  <c r="AG354" i="22"/>
  <c r="G72" i="58"/>
  <c r="F26" i="103"/>
  <c r="AC26" i="103"/>
  <c r="E26" i="103"/>
  <c r="L360" i="67"/>
  <c r="AG350" i="22"/>
  <c r="F49" i="103"/>
  <c r="AC49" i="103"/>
  <c r="E49" i="103"/>
  <c r="M56" i="103"/>
  <c r="J56" i="103" s="1"/>
  <c r="L56" i="103"/>
  <c r="P388" i="103"/>
  <c r="E159" i="23"/>
  <c r="F107" i="103"/>
  <c r="AC107" i="103"/>
  <c r="E107" i="103"/>
  <c r="M117" i="103"/>
  <c r="J117" i="103" s="1"/>
  <c r="L117" i="103"/>
  <c r="C122" i="13" s="1"/>
  <c r="E122" i="13" s="1"/>
  <c r="AB65" i="58"/>
  <c r="K65" i="58" s="1"/>
  <c r="AA65" i="58"/>
  <c r="J65" i="58" s="1"/>
  <c r="Z65" i="58"/>
  <c r="I65" i="58" s="1"/>
  <c r="AC65" i="58"/>
  <c r="M65" i="58" s="1"/>
  <c r="AA81" i="103"/>
  <c r="M76" i="103"/>
  <c r="J76" i="103" s="1"/>
  <c r="L76" i="103"/>
  <c r="Z53" i="58"/>
  <c r="I53" i="58" s="1"/>
  <c r="AC53" i="58"/>
  <c r="M53" i="58" s="1"/>
  <c r="AB53" i="58"/>
  <c r="K53" i="58" s="1"/>
  <c r="AA53" i="58"/>
  <c r="J53" i="58" s="1"/>
  <c r="BX110" i="103"/>
  <c r="M87" i="103"/>
  <c r="J87" i="103" s="1"/>
  <c r="L87" i="103"/>
  <c r="F55" i="103"/>
  <c r="AC55" i="103"/>
  <c r="E55" i="103"/>
  <c r="CD14" i="103"/>
  <c r="BX14" i="103" s="1"/>
  <c r="CD20" i="103"/>
  <c r="BX20" i="103" s="1"/>
  <c r="L11" i="67"/>
  <c r="CD64" i="103"/>
  <c r="BX64" i="103" s="1"/>
  <c r="R96" i="58"/>
  <c r="L96" i="58" s="1"/>
  <c r="AE97" i="22"/>
  <c r="BY96" i="103"/>
  <c r="BW96" i="103" s="1"/>
  <c r="CD28" i="103"/>
  <c r="BX28" i="103" s="1"/>
  <c r="E394" i="58"/>
  <c r="E381" i="58"/>
  <c r="Y162" i="58"/>
  <c r="G330" i="58"/>
  <c r="F229" i="103"/>
  <c r="AC229" i="103"/>
  <c r="E229" i="103"/>
  <c r="N12" i="62"/>
  <c r="U383" i="103"/>
  <c r="AC217" i="103"/>
  <c r="F217" i="103"/>
  <c r="E217" i="103"/>
  <c r="F166" i="103"/>
  <c r="AC166" i="103"/>
  <c r="E166" i="103"/>
  <c r="AB133" i="58"/>
  <c r="K133" i="58" s="1"/>
  <c r="AA133" i="58"/>
  <c r="J133" i="58" s="1"/>
  <c r="Z133" i="58"/>
  <c r="I133" i="58" s="1"/>
  <c r="AC133" i="58"/>
  <c r="M133" i="58" s="1"/>
  <c r="R350" i="58"/>
  <c r="L350" i="58" s="1"/>
  <c r="BY350" i="103"/>
  <c r="BW350" i="103" s="1"/>
  <c r="AB274" i="58"/>
  <c r="K274" i="58" s="1"/>
  <c r="AA274" i="58"/>
  <c r="J274" i="58" s="1"/>
  <c r="Z274" i="58"/>
  <c r="I274" i="58" s="1"/>
  <c r="AC274" i="58"/>
  <c r="M274" i="58" s="1"/>
  <c r="G309" i="58"/>
  <c r="N324" i="67"/>
  <c r="G277" i="58"/>
  <c r="F230" i="103"/>
  <c r="AC230" i="103"/>
  <c r="E230" i="103"/>
  <c r="J193" i="22"/>
  <c r="R382" i="103"/>
  <c r="Z183" i="58"/>
  <c r="I183" i="58" s="1"/>
  <c r="AC183" i="58"/>
  <c r="M183" i="58" s="1"/>
  <c r="AB183" i="58"/>
  <c r="K183" i="58" s="1"/>
  <c r="AA183" i="58"/>
  <c r="J183" i="58" s="1"/>
  <c r="AB171" i="58"/>
  <c r="K171" i="58" s="1"/>
  <c r="AA171" i="58"/>
  <c r="J171" i="58" s="1"/>
  <c r="AC171" i="58"/>
  <c r="M171" i="58" s="1"/>
  <c r="Z171" i="58"/>
  <c r="I171" i="58" s="1"/>
  <c r="CB200" i="103"/>
  <c r="L206" i="67" s="1"/>
  <c r="G157" i="58"/>
  <c r="G137" i="58"/>
  <c r="R364" i="58"/>
  <c r="L364" i="58" s="1"/>
  <c r="BY364" i="103"/>
  <c r="BW364" i="103" s="1"/>
  <c r="F124" i="103"/>
  <c r="AC124" i="103"/>
  <c r="E124" i="103"/>
  <c r="R48" i="58"/>
  <c r="L48" i="58" s="1"/>
  <c r="AE49" i="22"/>
  <c r="BY48" i="103"/>
  <c r="BW48" i="103" s="1"/>
  <c r="AG91" i="22"/>
  <c r="BZ90" i="103"/>
  <c r="CC90" i="103" s="1"/>
  <c r="F98" i="103"/>
  <c r="AC98" i="103"/>
  <c r="E98" i="103"/>
  <c r="AC95" i="58"/>
  <c r="M95" i="58" s="1"/>
  <c r="AB95" i="58"/>
  <c r="K95" i="58" s="1"/>
  <c r="AA95" i="58"/>
  <c r="J95" i="58" s="1"/>
  <c r="Z95" i="58"/>
  <c r="I95" i="58" s="1"/>
  <c r="G79" i="58"/>
  <c r="AB76" i="58"/>
  <c r="K76" i="58" s="1"/>
  <c r="AA76" i="58"/>
  <c r="J76" i="58" s="1"/>
  <c r="AC76" i="58"/>
  <c r="M76" i="58" s="1"/>
  <c r="Z76" i="58"/>
  <c r="I76" i="58" s="1"/>
  <c r="G50" i="58"/>
  <c r="F72" i="103"/>
  <c r="AC72" i="103"/>
  <c r="E72" i="103"/>
  <c r="CD72" i="103"/>
  <c r="BX72" i="103" s="1"/>
  <c r="CG34" i="103"/>
  <c r="CI34" i="103" s="1"/>
  <c r="BB34" i="103"/>
  <c r="CB27" i="103"/>
  <c r="L27" i="67" s="1"/>
  <c r="AW388" i="103"/>
  <c r="AG88" i="22"/>
  <c r="BZ87" i="103"/>
  <c r="CC87" i="103" s="1"/>
  <c r="F95" i="103"/>
  <c r="AC95" i="103"/>
  <c r="E95" i="103"/>
  <c r="F119" i="103"/>
  <c r="AC119" i="103"/>
  <c r="E119" i="103"/>
  <c r="AG38" i="22"/>
  <c r="BZ37" i="103"/>
  <c r="CC37" i="103" s="1"/>
  <c r="AA73" i="58"/>
  <c r="J73" i="58" s="1"/>
  <c r="AC73" i="58"/>
  <c r="M73" i="58" s="1"/>
  <c r="Z73" i="58"/>
  <c r="I73" i="58" s="1"/>
  <c r="AB73" i="58"/>
  <c r="K73" i="58" s="1"/>
  <c r="F21" i="103"/>
  <c r="AC21" i="103"/>
  <c r="E21" i="103"/>
  <c r="CB22" i="103"/>
  <c r="L22" i="67" s="1"/>
  <c r="M78" i="103"/>
  <c r="J78" i="103" s="1"/>
  <c r="L78" i="103"/>
  <c r="R35" i="58"/>
  <c r="L35" i="58" s="1"/>
  <c r="AE36" i="22"/>
  <c r="BY35" i="103"/>
  <c r="BW35" i="103" s="1"/>
  <c r="CD15" i="103"/>
  <c r="BX15" i="103" s="1"/>
  <c r="AA89" i="103"/>
  <c r="G118" i="58"/>
  <c r="CH103" i="103"/>
  <c r="M75" i="103"/>
  <c r="J75" i="103" s="1"/>
  <c r="L75" i="103"/>
  <c r="G54" i="58"/>
  <c r="M82" i="103"/>
  <c r="J82" i="103" s="1"/>
  <c r="L82" i="103"/>
  <c r="M32" i="103"/>
  <c r="J32" i="103" s="1"/>
  <c r="L32" i="103"/>
  <c r="R370" i="58"/>
  <c r="L370" i="58" s="1"/>
  <c r="BY370" i="103"/>
  <c r="BW370" i="103" s="1"/>
  <c r="D393" i="58"/>
  <c r="D380" i="58"/>
  <c r="M130" i="103"/>
  <c r="J130" i="103" s="1"/>
  <c r="L130" i="103"/>
  <c r="G100" i="58"/>
  <c r="G86" i="58"/>
  <c r="F50" i="103"/>
  <c r="AC50" i="103"/>
  <c r="E50" i="103"/>
  <c r="CD21" i="103"/>
  <c r="BX21" i="103" s="1"/>
  <c r="CB345" i="103"/>
  <c r="M69" i="103"/>
  <c r="J69" i="103" s="1"/>
  <c r="L69" i="103"/>
  <c r="AC38" i="58"/>
  <c r="M38" i="58" s="1"/>
  <c r="AB38" i="58"/>
  <c r="K38" i="58" s="1"/>
  <c r="AA38" i="58"/>
  <c r="J38" i="58" s="1"/>
  <c r="Z38" i="58"/>
  <c r="I38" i="58" s="1"/>
  <c r="AC13" i="103"/>
  <c r="F13" i="103"/>
  <c r="E13" i="103"/>
  <c r="G28" i="58"/>
  <c r="G36" i="58"/>
  <c r="V388" i="103"/>
  <c r="R133" i="58"/>
  <c r="L133" i="58" s="1"/>
  <c r="AE134" i="22"/>
  <c r="BY133" i="103"/>
  <c r="BW133" i="103" s="1"/>
  <c r="AC64" i="58"/>
  <c r="M64" i="58" s="1"/>
  <c r="AB64" i="58"/>
  <c r="K64" i="58" s="1"/>
  <c r="AA64" i="58"/>
  <c r="J64" i="58" s="1"/>
  <c r="Z64" i="58"/>
  <c r="I64" i="58" s="1"/>
  <c r="M54" i="103"/>
  <c r="J54" i="103" s="1"/>
  <c r="L54" i="103"/>
  <c r="AC16" i="103"/>
  <c r="F16" i="103"/>
  <c r="E16" i="103"/>
  <c r="G91" i="58"/>
  <c r="F52" i="103"/>
  <c r="AC52" i="103"/>
  <c r="E52" i="103"/>
  <c r="CH75" i="103"/>
  <c r="AB78" i="58"/>
  <c r="K78" i="58" s="1"/>
  <c r="AA78" i="58"/>
  <c r="J78" i="58" s="1"/>
  <c r="Z78" i="58"/>
  <c r="I78" i="58" s="1"/>
  <c r="AC78" i="58"/>
  <c r="M78" i="58" s="1"/>
  <c r="R22" i="58"/>
  <c r="L22" i="58" s="1"/>
  <c r="AE23" i="22"/>
  <c r="BY22" i="103"/>
  <c r="BW22" i="103" s="1"/>
  <c r="AA114" i="103"/>
  <c r="F130" i="103"/>
  <c r="AC130" i="103"/>
  <c r="E130" i="103"/>
  <c r="AA49" i="103"/>
  <c r="M79" i="103"/>
  <c r="J79" i="103" s="1"/>
  <c r="L79" i="103"/>
  <c r="D389" i="58"/>
  <c r="D376" i="58"/>
  <c r="M18" i="103"/>
  <c r="J18" i="103" s="1"/>
  <c r="L18" i="103"/>
  <c r="AA108" i="103"/>
  <c r="CD127" i="103"/>
  <c r="BX127" i="103" s="1"/>
  <c r="AA107" i="103"/>
  <c r="CC51" i="103"/>
  <c r="F81" i="103"/>
  <c r="AC81" i="103"/>
  <c r="E81" i="103"/>
  <c r="AA27" i="58"/>
  <c r="J27" i="58" s="1"/>
  <c r="Z27" i="58"/>
  <c r="I27" i="58" s="1"/>
  <c r="AB27" i="58"/>
  <c r="K27" i="58" s="1"/>
  <c r="AC27" i="58"/>
  <c r="M27" i="58" s="1"/>
  <c r="G17" i="58"/>
  <c r="AC121" i="58"/>
  <c r="M121" i="58" s="1"/>
  <c r="AB121" i="58"/>
  <c r="K121" i="58" s="1"/>
  <c r="AA121" i="58"/>
  <c r="J121" i="58" s="1"/>
  <c r="Z121" i="58"/>
  <c r="I121" i="58" s="1"/>
  <c r="AA109" i="58"/>
  <c r="J109" i="58" s="1"/>
  <c r="AC109" i="58"/>
  <c r="M109" i="58" s="1"/>
  <c r="Z109" i="58"/>
  <c r="I109" i="58" s="1"/>
  <c r="AB109" i="58"/>
  <c r="K109" i="58" s="1"/>
  <c r="G43" i="58"/>
  <c r="AC43" i="103"/>
  <c r="F43" i="103"/>
  <c r="E43" i="103"/>
  <c r="CD13" i="103"/>
  <c r="BX13" i="103" s="1"/>
  <c r="AN376" i="103"/>
  <c r="R80" i="58"/>
  <c r="L80" i="58" s="1"/>
  <c r="AE81" i="22"/>
  <c r="BY80" i="103"/>
  <c r="BW80" i="103" s="1"/>
  <c r="G316" i="58"/>
  <c r="M242" i="103"/>
  <c r="J242" i="103" s="1"/>
  <c r="L242" i="103"/>
  <c r="M250" i="103"/>
  <c r="J250" i="103" s="1"/>
  <c r="L250" i="103"/>
  <c r="F208" i="103"/>
  <c r="AC208" i="103"/>
  <c r="E208" i="103"/>
  <c r="G349" i="58"/>
  <c r="AB346" i="58"/>
  <c r="K346" i="58" s="1"/>
  <c r="Z346" i="58"/>
  <c r="I346" i="58" s="1"/>
  <c r="AA346" i="58"/>
  <c r="J346" i="58" s="1"/>
  <c r="AC346" i="58"/>
  <c r="M346" i="58" s="1"/>
  <c r="L327" i="67"/>
  <c r="AG318" i="22"/>
  <c r="F325" i="103"/>
  <c r="AC325" i="103"/>
  <c r="Q385" i="58"/>
  <c r="Q398" i="58"/>
  <c r="G272" i="58"/>
  <c r="G252" i="58"/>
  <c r="G240" i="58"/>
  <c r="G228" i="58"/>
  <c r="U384" i="103"/>
  <c r="W126" i="23"/>
  <c r="BX194" i="103"/>
  <c r="R361" i="58"/>
  <c r="L361" i="58" s="1"/>
  <c r="BY361" i="103"/>
  <c r="BW361" i="103" s="1"/>
  <c r="M110" i="103"/>
  <c r="J110" i="103" s="1"/>
  <c r="L110" i="103"/>
  <c r="CG105" i="103"/>
  <c r="CI105" i="103" s="1"/>
  <c r="BB105" i="103"/>
  <c r="H379" i="103"/>
  <c r="F101" i="103"/>
  <c r="AC101" i="103"/>
  <c r="E101" i="103"/>
  <c r="CG113" i="103"/>
  <c r="CI113" i="103" s="1"/>
  <c r="BB113" i="103"/>
  <c r="F60" i="103"/>
  <c r="AC60" i="103"/>
  <c r="E60" i="103"/>
  <c r="CD75" i="103"/>
  <c r="BX75" i="103" s="1"/>
  <c r="AC23" i="58"/>
  <c r="M23" i="58" s="1"/>
  <c r="Z23" i="58"/>
  <c r="I23" i="58" s="1"/>
  <c r="AA23" i="58"/>
  <c r="J23" i="58" s="1"/>
  <c r="AB23" i="58"/>
  <c r="K23" i="58" s="1"/>
  <c r="Z35" i="58"/>
  <c r="I35" i="58" s="1"/>
  <c r="AA35" i="58"/>
  <c r="J35" i="58" s="1"/>
  <c r="AB35" i="58"/>
  <c r="K35" i="58" s="1"/>
  <c r="AC35" i="58"/>
  <c r="M35" i="58" s="1"/>
  <c r="R34" i="58"/>
  <c r="L34" i="58" s="1"/>
  <c r="AE35" i="22"/>
  <c r="BY34" i="103"/>
  <c r="BW34" i="103" s="1"/>
  <c r="C42" i="67"/>
  <c r="F51" i="103"/>
  <c r="AC51" i="103"/>
  <c r="E51" i="103"/>
  <c r="F57" i="103"/>
  <c r="AC57" i="103"/>
  <c r="E57" i="103"/>
  <c r="CI74" i="103"/>
  <c r="M67" i="103"/>
  <c r="J67" i="103" s="1"/>
  <c r="L67" i="103"/>
  <c r="M23" i="103"/>
  <c r="J23" i="103" s="1"/>
  <c r="L23" i="103"/>
  <c r="R198" i="58"/>
  <c r="L198" i="58" s="1"/>
  <c r="AE199" i="22"/>
  <c r="BY198" i="103"/>
  <c r="BW198" i="103" s="1"/>
  <c r="Z93" i="58"/>
  <c r="I93" i="58" s="1"/>
  <c r="AC93" i="58"/>
  <c r="M93" i="58" s="1"/>
  <c r="AA93" i="58"/>
  <c r="J93" i="58" s="1"/>
  <c r="AB93" i="58"/>
  <c r="K93" i="58" s="1"/>
  <c r="J43" i="22"/>
  <c r="R377" i="103"/>
  <c r="BD378" i="103"/>
  <c r="R185" i="58"/>
  <c r="L185" i="58" s="1"/>
  <c r="AE186" i="22"/>
  <c r="BY185" i="103"/>
  <c r="BW185" i="103" s="1"/>
  <c r="AA93" i="103"/>
  <c r="AG113" i="22"/>
  <c r="BZ112" i="103"/>
  <c r="CC112" i="103" s="1"/>
  <c r="M71" i="67"/>
  <c r="G74" i="58"/>
  <c r="AG133" i="22"/>
  <c r="BZ132" i="103"/>
  <c r="CC132" i="103" s="1"/>
  <c r="R130" i="58"/>
  <c r="L130" i="58" s="1"/>
  <c r="AE131" i="22"/>
  <c r="BY130" i="103"/>
  <c r="BW130" i="103" s="1"/>
  <c r="F89" i="103"/>
  <c r="AC89" i="103"/>
  <c r="E89" i="103"/>
  <c r="Z86" i="58"/>
  <c r="I86" i="58" s="1"/>
  <c r="AB86" i="58"/>
  <c r="K86" i="58" s="1"/>
  <c r="AA86" i="58"/>
  <c r="J86" i="58" s="1"/>
  <c r="AC86" i="58"/>
  <c r="M86" i="58" s="1"/>
  <c r="O379" i="103"/>
  <c r="M101" i="103"/>
  <c r="L101" i="103"/>
  <c r="C391" i="58"/>
  <c r="C378" i="58"/>
  <c r="G70" i="58"/>
  <c r="AA79" i="103"/>
  <c r="AA60" i="58"/>
  <c r="J60" i="58" s="1"/>
  <c r="Z60" i="58"/>
  <c r="I60" i="58" s="1"/>
  <c r="AC60" i="58"/>
  <c r="M60" i="58" s="1"/>
  <c r="AB60" i="58"/>
  <c r="K60" i="58" s="1"/>
  <c r="E42" i="67"/>
  <c r="G123" i="58"/>
  <c r="G111" i="58"/>
  <c r="AB117" i="58"/>
  <c r="K117" i="58" s="1"/>
  <c r="AA117" i="58"/>
  <c r="J117" i="58" s="1"/>
  <c r="Z117" i="58"/>
  <c r="I117" i="58" s="1"/>
  <c r="AC117" i="58"/>
  <c r="M117" i="58" s="1"/>
  <c r="R79" i="58"/>
  <c r="L79" i="58" s="1"/>
  <c r="AE80" i="22"/>
  <c r="BY79" i="103"/>
  <c r="BW79" i="103" s="1"/>
  <c r="AA50" i="103"/>
  <c r="AG32" i="22"/>
  <c r="BZ31" i="103"/>
  <c r="CC31" i="103" s="1"/>
  <c r="AM31" i="103"/>
  <c r="G33" i="58"/>
  <c r="L370" i="67"/>
  <c r="AG360" i="22"/>
  <c r="M106" i="103"/>
  <c r="J106" i="103" s="1"/>
  <c r="L106" i="103"/>
  <c r="AA123" i="103"/>
  <c r="AC54" i="58"/>
  <c r="M54" i="58" s="1"/>
  <c r="AB54" i="58"/>
  <c r="K54" i="58" s="1"/>
  <c r="AA54" i="58"/>
  <c r="J54" i="58" s="1"/>
  <c r="Z54" i="58"/>
  <c r="I54" i="58" s="1"/>
  <c r="F71" i="103"/>
  <c r="AC71" i="103"/>
  <c r="E71" i="103"/>
  <c r="BN388" i="103"/>
  <c r="BD376" i="103"/>
  <c r="CG115" i="103"/>
  <c r="CI115" i="103" s="1"/>
  <c r="BB115" i="103"/>
  <c r="AB80" i="58"/>
  <c r="K80" i="58" s="1"/>
  <c r="Z80" i="58"/>
  <c r="I80" i="58" s="1"/>
  <c r="AA80" i="58"/>
  <c r="J80" i="58" s="1"/>
  <c r="AC80" i="58"/>
  <c r="M80" i="58" s="1"/>
  <c r="AG59" i="22"/>
  <c r="BZ58" i="103"/>
  <c r="CC58" i="103" s="1"/>
  <c r="M22" i="103"/>
  <c r="J22" i="103" s="1"/>
  <c r="L22" i="103"/>
  <c r="M118" i="103"/>
  <c r="J118" i="103" s="1"/>
  <c r="L118" i="103"/>
  <c r="C123" i="13" s="1"/>
  <c r="E123" i="13" s="1"/>
  <c r="AA52" i="103"/>
  <c r="R70" i="58"/>
  <c r="AE71" i="22"/>
  <c r="BY70" i="103"/>
  <c r="CA70" i="103" s="1"/>
  <c r="H71" i="67"/>
  <c r="F114" i="103"/>
  <c r="AC114" i="103"/>
  <c r="E114" i="103"/>
  <c r="M115" i="103"/>
  <c r="J115" i="103" s="1"/>
  <c r="L115" i="103"/>
  <c r="G85" i="58"/>
  <c r="AA130" i="103"/>
  <c r="G62" i="58"/>
  <c r="M17" i="103"/>
  <c r="J17" i="103" s="1"/>
  <c r="L17" i="103"/>
  <c r="M28" i="103"/>
  <c r="J28" i="103" s="1"/>
  <c r="L28" i="103"/>
  <c r="N393" i="58"/>
  <c r="N380" i="58"/>
  <c r="F108" i="103"/>
  <c r="AC108" i="103"/>
  <c r="E108" i="103"/>
  <c r="AC116" i="58"/>
  <c r="M116" i="58" s="1"/>
  <c r="AB116" i="58"/>
  <c r="K116" i="58" s="1"/>
  <c r="AA116" i="58"/>
  <c r="J116" i="58" s="1"/>
  <c r="Z116" i="58"/>
  <c r="I116" i="58" s="1"/>
  <c r="G46" i="58"/>
  <c r="M109" i="103"/>
  <c r="J109" i="103" s="1"/>
  <c r="L109" i="103"/>
  <c r="G125" i="58"/>
  <c r="G113" i="58"/>
  <c r="AA78" i="103"/>
  <c r="AA43" i="103"/>
  <c r="AA31" i="58"/>
  <c r="J31" i="58" s="1"/>
  <c r="AC31" i="58"/>
  <c r="M31" i="58" s="1"/>
  <c r="AB31" i="58"/>
  <c r="K31" i="58" s="1"/>
  <c r="Z31" i="58"/>
  <c r="I31" i="58" s="1"/>
  <c r="AM90" i="103"/>
  <c r="R77" i="58"/>
  <c r="L77" i="58" s="1"/>
  <c r="AE78" i="22"/>
  <c r="BY77" i="103"/>
  <c r="BW77" i="103" s="1"/>
  <c r="F246" i="103"/>
  <c r="AC246" i="103"/>
  <c r="E246" i="103"/>
  <c r="AC220" i="103"/>
  <c r="F220" i="103"/>
  <c r="E220" i="103"/>
  <c r="G208" i="58"/>
  <c r="G166" i="58"/>
  <c r="F262" i="103"/>
  <c r="AC262" i="103"/>
  <c r="E262" i="103"/>
  <c r="J224" i="22"/>
  <c r="R383" i="103"/>
  <c r="I167" i="23"/>
  <c r="D9" i="104"/>
  <c r="G147" i="58"/>
  <c r="R108" i="58"/>
  <c r="L108" i="58" s="1"/>
  <c r="AE109" i="22"/>
  <c r="BY108" i="103"/>
  <c r="BW108" i="103" s="1"/>
  <c r="CD82" i="103"/>
  <c r="BX82" i="103" s="1"/>
  <c r="M68" i="103"/>
  <c r="J68" i="103" s="1"/>
  <c r="L68" i="103"/>
  <c r="O378" i="103"/>
  <c r="M70" i="103"/>
  <c r="L70" i="103"/>
  <c r="BM388" i="103"/>
  <c r="R21" i="58"/>
  <c r="L21" i="58" s="1"/>
  <c r="AE22" i="22"/>
  <c r="BY21" i="103"/>
  <c r="BW21" i="103" s="1"/>
  <c r="R13" i="58"/>
  <c r="L13" i="58" s="1"/>
  <c r="AE14" i="22"/>
  <c r="BY13" i="103"/>
  <c r="BW13" i="103" s="1"/>
  <c r="O389" i="58"/>
  <c r="O376" i="58"/>
  <c r="AG66" i="22"/>
  <c r="BZ65" i="103"/>
  <c r="CC65" i="103" s="1"/>
  <c r="CD43" i="103"/>
  <c r="BX43" i="103" s="1"/>
  <c r="AM17" i="103"/>
  <c r="Z50" i="58"/>
  <c r="I50" i="58" s="1"/>
  <c r="AC50" i="58"/>
  <c r="M50" i="58" s="1"/>
  <c r="AA50" i="58"/>
  <c r="J50" i="58" s="1"/>
  <c r="AB50" i="58"/>
  <c r="K50" i="58" s="1"/>
  <c r="BH388" i="103"/>
  <c r="AA99" i="103"/>
  <c r="U379" i="103"/>
  <c r="M84" i="103"/>
  <c r="J84" i="103" s="1"/>
  <c r="L84" i="103"/>
  <c r="CG73" i="103"/>
  <c r="CI73" i="103" s="1"/>
  <c r="BB73" i="103"/>
  <c r="AG50" i="22"/>
  <c r="BZ49" i="103"/>
  <c r="CC49" i="103" s="1"/>
  <c r="R27" i="58"/>
  <c r="L27" i="58" s="1"/>
  <c r="AE28" i="22"/>
  <c r="BY27" i="103"/>
  <c r="BW27" i="103" s="1"/>
  <c r="AC93" i="103"/>
  <c r="F93" i="103"/>
  <c r="E93" i="103"/>
  <c r="AC82" i="103"/>
  <c r="F82" i="103"/>
  <c r="E82" i="103"/>
  <c r="R46" i="58"/>
  <c r="L46" i="58" s="1"/>
  <c r="AE47" i="22"/>
  <c r="BY46" i="103"/>
  <c r="BW46" i="103" s="1"/>
  <c r="D71" i="67"/>
  <c r="F24" i="103"/>
  <c r="AC24" i="103"/>
  <c r="E24" i="103"/>
  <c r="M29" i="103"/>
  <c r="J29" i="103" s="1"/>
  <c r="L29" i="103"/>
  <c r="C390" i="58"/>
  <c r="C377" i="58"/>
  <c r="G42" i="58"/>
  <c r="R59" i="58"/>
  <c r="L59" i="58" s="1"/>
  <c r="AE60" i="22"/>
  <c r="BY59" i="103"/>
  <c r="BW59" i="103" s="1"/>
  <c r="F79" i="103"/>
  <c r="AC79" i="103"/>
  <c r="E79" i="103"/>
  <c r="M43" i="103"/>
  <c r="J43" i="103" s="1"/>
  <c r="L43" i="103"/>
  <c r="M91" i="103"/>
  <c r="J91" i="103" s="1"/>
  <c r="L91" i="103"/>
  <c r="G23" i="58"/>
  <c r="G35" i="58"/>
  <c r="AC12" i="58"/>
  <c r="M12" i="58" s="1"/>
  <c r="L381" i="67"/>
  <c r="S15" i="68" s="1"/>
  <c r="AG371" i="22"/>
  <c r="R158" i="58"/>
  <c r="L158" i="58" s="1"/>
  <c r="AE159" i="22"/>
  <c r="BY158" i="103"/>
  <c r="BW158" i="103" s="1"/>
  <c r="AG103" i="22"/>
  <c r="BZ102" i="103"/>
  <c r="CC102" i="103" s="1"/>
  <c r="L104" i="67"/>
  <c r="G52" i="58"/>
  <c r="CG112" i="103"/>
  <c r="CI112" i="103" s="1"/>
  <c r="BB112" i="103"/>
  <c r="F123" i="103"/>
  <c r="AC123" i="103"/>
  <c r="E123" i="103"/>
  <c r="AA20" i="103"/>
  <c r="AQ388" i="103"/>
  <c r="H159" i="23"/>
  <c r="AM52" i="103"/>
  <c r="AM91" i="103"/>
  <c r="N71" i="67"/>
  <c r="AA64" i="103"/>
  <c r="P390" i="58"/>
  <c r="P377" i="58"/>
  <c r="AC40" i="103"/>
  <c r="F40" i="103"/>
  <c r="E40" i="103"/>
  <c r="R139" i="58"/>
  <c r="L139" i="58" s="1"/>
  <c r="AE140" i="22"/>
  <c r="BY139" i="103"/>
  <c r="BW139" i="103" s="1"/>
  <c r="F133" i="103"/>
  <c r="AC133" i="103"/>
  <c r="E133" i="103"/>
  <c r="AA29" i="103"/>
  <c r="AC46" i="103"/>
  <c r="F46" i="103"/>
  <c r="E46" i="103"/>
  <c r="L384" i="67"/>
  <c r="Y15" i="68" s="1"/>
  <c r="AG374" i="22"/>
  <c r="L334" i="67"/>
  <c r="AG325" i="22"/>
  <c r="G108" i="58"/>
  <c r="AC105" i="58"/>
  <c r="M105" i="58" s="1"/>
  <c r="AA105" i="58"/>
  <c r="J105" i="58" s="1"/>
  <c r="AB105" i="58"/>
  <c r="K105" i="58" s="1"/>
  <c r="Z105" i="58"/>
  <c r="I105" i="58" s="1"/>
  <c r="M112" i="103"/>
  <c r="J112" i="103" s="1"/>
  <c r="L112" i="103"/>
  <c r="Z71" i="58"/>
  <c r="I71" i="58" s="1"/>
  <c r="AC71" i="58"/>
  <c r="M71" i="58" s="1"/>
  <c r="AB71" i="58"/>
  <c r="K71" i="58" s="1"/>
  <c r="AA71" i="58"/>
  <c r="J71" i="58" s="1"/>
  <c r="G89" i="58"/>
  <c r="R15" i="58"/>
  <c r="L15" i="58" s="1"/>
  <c r="AE16" i="22"/>
  <c r="BY15" i="103"/>
  <c r="BW15" i="103" s="1"/>
  <c r="AC84" i="58"/>
  <c r="M84" i="58" s="1"/>
  <c r="AB84" i="58"/>
  <c r="K84" i="58" s="1"/>
  <c r="AA84" i="58"/>
  <c r="J84" i="58" s="1"/>
  <c r="Z84" i="58"/>
  <c r="I84" i="58" s="1"/>
  <c r="F78" i="103"/>
  <c r="AC78" i="103"/>
  <c r="E78" i="103"/>
  <c r="M45" i="103"/>
  <c r="J45" i="103" s="1"/>
  <c r="L45" i="103"/>
  <c r="G65" i="58"/>
  <c r="J12" i="22"/>
  <c r="R376" i="103"/>
  <c r="CD17" i="103"/>
  <c r="BX17" i="103" s="1"/>
  <c r="CD23" i="103"/>
  <c r="BX23" i="103" s="1"/>
  <c r="CD84" i="103"/>
  <c r="BX84" i="103" s="1"/>
  <c r="CD61" i="103"/>
  <c r="BX61" i="103" s="1"/>
  <c r="AM87" i="103"/>
  <c r="CD93" i="103"/>
  <c r="BX93" i="103" s="1"/>
  <c r="CD45" i="103"/>
  <c r="BX45" i="103" s="1"/>
  <c r="U381" i="103"/>
  <c r="F363" i="103"/>
  <c r="AC363" i="103"/>
  <c r="H386" i="103"/>
  <c r="F315" i="103"/>
  <c r="AC315" i="103"/>
  <c r="F344" i="103"/>
  <c r="AC344" i="103"/>
  <c r="H355" i="67"/>
  <c r="BD383" i="103"/>
  <c r="F396" i="58"/>
  <c r="F383" i="58"/>
  <c r="M152" i="103"/>
  <c r="J152" i="103" s="1"/>
  <c r="L152" i="103"/>
  <c r="AA337" i="58"/>
  <c r="J337" i="58" s="1"/>
  <c r="AC337" i="58"/>
  <c r="M337" i="58" s="1"/>
  <c r="AB337" i="58"/>
  <c r="K337" i="58" s="1"/>
  <c r="Z337" i="58"/>
  <c r="I337" i="58" s="1"/>
  <c r="AB387" i="103"/>
  <c r="K399" i="67"/>
  <c r="K324" i="67"/>
  <c r="F225" i="103"/>
  <c r="AC225" i="103"/>
  <c r="E225" i="103"/>
  <c r="M247" i="103"/>
  <c r="J247" i="103" s="1"/>
  <c r="L247" i="103"/>
  <c r="E395" i="58"/>
  <c r="E382" i="58"/>
  <c r="Y192" i="58"/>
  <c r="AA180" i="58"/>
  <c r="J180" i="58" s="1"/>
  <c r="Z180" i="58"/>
  <c r="I180" i="58" s="1"/>
  <c r="AC180" i="58"/>
  <c r="M180" i="58" s="1"/>
  <c r="AB180" i="58"/>
  <c r="K180" i="58" s="1"/>
  <c r="AC140" i="58"/>
  <c r="M140" i="58" s="1"/>
  <c r="AB140" i="58"/>
  <c r="K140" i="58" s="1"/>
  <c r="AA140" i="58"/>
  <c r="J140" i="58" s="1"/>
  <c r="Z140" i="58"/>
  <c r="I140" i="58" s="1"/>
  <c r="AC156" i="58"/>
  <c r="M156" i="58" s="1"/>
  <c r="AA156" i="58"/>
  <c r="J156" i="58" s="1"/>
  <c r="AB156" i="58"/>
  <c r="K156" i="58" s="1"/>
  <c r="Z156" i="58"/>
  <c r="I156" i="58" s="1"/>
  <c r="F182" i="103"/>
  <c r="AC182" i="103"/>
  <c r="E182" i="103"/>
  <c r="F121" i="103"/>
  <c r="AC121" i="103"/>
  <c r="E121" i="103"/>
  <c r="AG94" i="22"/>
  <c r="BZ93" i="103"/>
  <c r="CC93" i="103" s="1"/>
  <c r="Z98" i="58"/>
  <c r="I98" i="58" s="1"/>
  <c r="AA98" i="58"/>
  <c r="J98" i="58" s="1"/>
  <c r="AB98" i="58"/>
  <c r="K98" i="58" s="1"/>
  <c r="AC98" i="58"/>
  <c r="M98" i="58" s="1"/>
  <c r="CG96" i="103"/>
  <c r="CI96" i="103" s="1"/>
  <c r="BB96" i="103"/>
  <c r="CD116" i="103"/>
  <c r="BX116" i="103" s="1"/>
  <c r="F44" i="103"/>
  <c r="AC44" i="103"/>
  <c r="E44" i="103"/>
  <c r="AB12" i="58"/>
  <c r="K12" i="58" s="1"/>
  <c r="CG26" i="103"/>
  <c r="CI26" i="103" s="1"/>
  <c r="BB26" i="103"/>
  <c r="CG18" i="103"/>
  <c r="CI18" i="103" s="1"/>
  <c r="BB18" i="103"/>
  <c r="M20" i="103"/>
  <c r="L20" i="103"/>
  <c r="Z82" i="58"/>
  <c r="I82" i="58" s="1"/>
  <c r="AC82" i="58"/>
  <c r="M82" i="58" s="1"/>
  <c r="AB82" i="58"/>
  <c r="K82" i="58" s="1"/>
  <c r="AA82" i="58"/>
  <c r="J82" i="58" s="1"/>
  <c r="CG76" i="103"/>
  <c r="CI76" i="103" s="1"/>
  <c r="BB76" i="103"/>
  <c r="M38" i="103"/>
  <c r="J38" i="103" s="1"/>
  <c r="L38" i="103"/>
  <c r="R16" i="58"/>
  <c r="L16" i="58" s="1"/>
  <c r="AE17" i="22"/>
  <c r="BY16" i="103"/>
  <c r="BW16" i="103" s="1"/>
  <c r="F99" i="103"/>
  <c r="AC99" i="103"/>
  <c r="E99" i="103"/>
  <c r="AG119" i="22"/>
  <c r="BZ118" i="103"/>
  <c r="CC118" i="103" s="1"/>
  <c r="F85" i="103"/>
  <c r="AC85" i="103"/>
  <c r="E85" i="103"/>
  <c r="M55" i="103"/>
  <c r="J55" i="103" s="1"/>
  <c r="L55" i="103"/>
  <c r="M36" i="103"/>
  <c r="J36" i="103" s="1"/>
  <c r="L36" i="103"/>
  <c r="U376" i="103"/>
  <c r="BU388" i="103"/>
  <c r="F116" i="103"/>
  <c r="AC116" i="103"/>
  <c r="E116" i="103"/>
  <c r="G45" i="58"/>
  <c r="AA82" i="103"/>
  <c r="J71" i="22"/>
  <c r="R378" i="103"/>
  <c r="C134" i="67"/>
  <c r="CD130" i="103"/>
  <c r="BX130" i="103" s="1"/>
  <c r="G115" i="58"/>
  <c r="F53" i="103"/>
  <c r="AC53" i="103"/>
  <c r="E53" i="103"/>
  <c r="M13" i="103"/>
  <c r="J13" i="103" s="1"/>
  <c r="L13" i="103"/>
  <c r="N389" i="58"/>
  <c r="N376" i="58"/>
  <c r="R192" i="58"/>
  <c r="AE193" i="22"/>
  <c r="BY192" i="103"/>
  <c r="CA192" i="103" s="1"/>
  <c r="AM109" i="103"/>
  <c r="AN379" i="103"/>
  <c r="M98" i="103"/>
  <c r="J98" i="103" s="1"/>
  <c r="L98" i="103"/>
  <c r="AG65" i="22"/>
  <c r="BZ64" i="103"/>
  <c r="CC64" i="103" s="1"/>
  <c r="M16" i="103"/>
  <c r="J16" i="103" s="1"/>
  <c r="L16" i="103"/>
  <c r="R309" i="58"/>
  <c r="L309" i="58" s="1"/>
  <c r="BY309" i="103"/>
  <c r="CG109" i="103"/>
  <c r="CI109" i="103" s="1"/>
  <c r="BB109" i="103"/>
  <c r="M124" i="103"/>
  <c r="J124" i="103" s="1"/>
  <c r="L124" i="103"/>
  <c r="M95" i="103"/>
  <c r="J95" i="103" s="1"/>
  <c r="L95" i="103"/>
  <c r="G31" i="58"/>
  <c r="AC20" i="103"/>
  <c r="E20" i="103"/>
  <c r="M19" i="103"/>
  <c r="J19" i="103" s="1"/>
  <c r="L19" i="103"/>
  <c r="AG126" i="22"/>
  <c r="BZ125" i="103"/>
  <c r="CC125" i="103" s="1"/>
  <c r="M121" i="103"/>
  <c r="J121" i="103" s="1"/>
  <c r="L121" i="103"/>
  <c r="G94" i="58"/>
  <c r="M62" i="103"/>
  <c r="J62" i="103" s="1"/>
  <c r="L62" i="103"/>
  <c r="Q390" i="58"/>
  <c r="Q377" i="58"/>
  <c r="CD27" i="103"/>
  <c r="BX27" i="103" s="1"/>
  <c r="F64" i="103"/>
  <c r="AC64" i="103"/>
  <c r="E64" i="103"/>
  <c r="AC19" i="103"/>
  <c r="F19" i="103"/>
  <c r="E19" i="103"/>
  <c r="BO388" i="103"/>
  <c r="R97" i="58"/>
  <c r="L97" i="58" s="1"/>
  <c r="AE98" i="22"/>
  <c r="BY97" i="103"/>
  <c r="BW97" i="103" s="1"/>
  <c r="AA133" i="103"/>
  <c r="G69" i="58"/>
  <c r="AG37" i="22"/>
  <c r="BZ36" i="103"/>
  <c r="CC36" i="103" s="1"/>
  <c r="AM36" i="103"/>
  <c r="F34" i="103"/>
  <c r="AC34" i="103"/>
  <c r="E34" i="103"/>
  <c r="F29" i="103"/>
  <c r="AC29" i="103"/>
  <c r="E29" i="103"/>
  <c r="AA46" i="103"/>
  <c r="CD33" i="103"/>
  <c r="BX33" i="103" s="1"/>
  <c r="M122" i="103"/>
  <c r="J122" i="103" s="1"/>
  <c r="L122" i="103"/>
  <c r="C49" i="13"/>
  <c r="D391" i="58"/>
  <c r="D378" i="58"/>
  <c r="AC30" i="58"/>
  <c r="M30" i="58" s="1"/>
  <c r="AA30" i="58"/>
  <c r="J30" i="58" s="1"/>
  <c r="AB30" i="58"/>
  <c r="K30" i="58" s="1"/>
  <c r="Z30" i="58"/>
  <c r="I30" i="58" s="1"/>
  <c r="M31" i="103"/>
  <c r="J31" i="103" s="1"/>
  <c r="L31" i="103"/>
  <c r="AC118" i="58"/>
  <c r="M118" i="58" s="1"/>
  <c r="AB118" i="58"/>
  <c r="K118" i="58" s="1"/>
  <c r="AA118" i="58"/>
  <c r="J118" i="58" s="1"/>
  <c r="Z118" i="58"/>
  <c r="I118" i="58" s="1"/>
  <c r="J102" i="22"/>
  <c r="R379" i="103"/>
  <c r="Z66" i="58"/>
  <c r="I66" i="58" s="1"/>
  <c r="AC66" i="58"/>
  <c r="M66" i="58" s="1"/>
  <c r="AB66" i="58"/>
  <c r="K66" i="58" s="1"/>
  <c r="AA66" i="58"/>
  <c r="J66" i="58" s="1"/>
  <c r="G159" i="23"/>
  <c r="Q388" i="103"/>
  <c r="AA35" i="103"/>
  <c r="X388" i="58"/>
  <c r="CD16" i="103"/>
  <c r="BX16" i="103" s="1"/>
  <c r="AM65" i="103"/>
  <c r="Z327" i="58"/>
  <c r="I327" i="58" s="1"/>
  <c r="AC327" i="58"/>
  <c r="M327" i="58" s="1"/>
  <c r="AB327" i="58"/>
  <c r="K327" i="58" s="1"/>
  <c r="AA327" i="58"/>
  <c r="J327" i="58" s="1"/>
  <c r="AA341" i="58"/>
  <c r="J341" i="58" s="1"/>
  <c r="AB341" i="58"/>
  <c r="K341" i="58" s="1"/>
  <c r="Z341" i="58"/>
  <c r="I341" i="58" s="1"/>
  <c r="AC341" i="58"/>
  <c r="M341" i="58" s="1"/>
  <c r="AC268" i="58"/>
  <c r="M268" i="58" s="1"/>
  <c r="AB268" i="58"/>
  <c r="K268" i="58" s="1"/>
  <c r="AA268" i="58"/>
  <c r="J268" i="58" s="1"/>
  <c r="Z268" i="58"/>
  <c r="I268" i="58" s="1"/>
  <c r="F303" i="103"/>
  <c r="AC303" i="103"/>
  <c r="F291" i="103"/>
  <c r="AC291" i="103"/>
  <c r="AB303" i="58"/>
  <c r="K303" i="58" s="1"/>
  <c r="AC303" i="58"/>
  <c r="M303" i="58" s="1"/>
  <c r="Z303" i="58"/>
  <c r="I303" i="58" s="1"/>
  <c r="AA303" i="58"/>
  <c r="J303" i="58" s="1"/>
  <c r="AA291" i="58"/>
  <c r="J291" i="58" s="1"/>
  <c r="Z291" i="58"/>
  <c r="I291" i="58" s="1"/>
  <c r="AC291" i="58"/>
  <c r="M291" i="58" s="1"/>
  <c r="AB291" i="58"/>
  <c r="K291" i="58" s="1"/>
  <c r="G266" i="58"/>
  <c r="AA193" i="58"/>
  <c r="J193" i="58" s="1"/>
  <c r="Z193" i="58"/>
  <c r="I193" i="58" s="1"/>
  <c r="AC193" i="58"/>
  <c r="M193" i="58" s="1"/>
  <c r="AB193" i="58"/>
  <c r="K193" i="58" s="1"/>
  <c r="AC181" i="58"/>
  <c r="M181" i="58" s="1"/>
  <c r="AB181" i="58"/>
  <c r="K181" i="58" s="1"/>
  <c r="AA181" i="58"/>
  <c r="J181" i="58" s="1"/>
  <c r="Z181" i="58"/>
  <c r="I181" i="58" s="1"/>
  <c r="M155" i="103"/>
  <c r="J155" i="103" s="1"/>
  <c r="L155" i="103"/>
  <c r="AC136" i="58"/>
  <c r="M136" i="58" s="1"/>
  <c r="AB136" i="58"/>
  <c r="K136" i="58" s="1"/>
  <c r="AA136" i="58"/>
  <c r="J136" i="58" s="1"/>
  <c r="Z136" i="58"/>
  <c r="I136" i="58" s="1"/>
  <c r="P399" i="58"/>
  <c r="P386" i="58"/>
  <c r="G274" i="58"/>
  <c r="M258" i="103"/>
  <c r="J258" i="103" s="1"/>
  <c r="L258" i="103"/>
  <c r="F193" i="103"/>
  <c r="AC193" i="103"/>
  <c r="E193" i="103"/>
  <c r="F177" i="103"/>
  <c r="AC177" i="103"/>
  <c r="E177" i="103"/>
  <c r="AC176" i="103"/>
  <c r="F176" i="103"/>
  <c r="E176" i="103"/>
  <c r="Z368" i="58"/>
  <c r="I368" i="58" s="1"/>
  <c r="AC368" i="58"/>
  <c r="M368" i="58" s="1"/>
  <c r="AB368" i="58"/>
  <c r="K368" i="58" s="1"/>
  <c r="AA368" i="58"/>
  <c r="J368" i="58" s="1"/>
  <c r="F336" i="103"/>
  <c r="AC336" i="103"/>
  <c r="G249" i="58"/>
  <c r="G237" i="58"/>
  <c r="AG233" i="22"/>
  <c r="BZ232" i="103"/>
  <c r="CC232" i="103" s="1"/>
  <c r="M217" i="103"/>
  <c r="J217" i="103" s="1"/>
  <c r="L217" i="103"/>
  <c r="Z100" i="58"/>
  <c r="I100" i="58" s="1"/>
  <c r="AC100" i="58"/>
  <c r="M100" i="58" s="1"/>
  <c r="AB100" i="58"/>
  <c r="K100" i="58" s="1"/>
  <c r="AA100" i="58"/>
  <c r="J100" i="58" s="1"/>
  <c r="R127" i="58"/>
  <c r="L127" i="58" s="1"/>
  <c r="AE128" i="22"/>
  <c r="BY127" i="103"/>
  <c r="BW127" i="103" s="1"/>
  <c r="AG130" i="22"/>
  <c r="BZ129" i="103"/>
  <c r="CC129" i="103" s="1"/>
  <c r="M111" i="103"/>
  <c r="J111" i="103" s="1"/>
  <c r="L111" i="103"/>
  <c r="CB107" i="103"/>
  <c r="L110" i="67" s="1"/>
  <c r="AB85" i="58"/>
  <c r="K85" i="58" s="1"/>
  <c r="AA85" i="58"/>
  <c r="J85" i="58" s="1"/>
  <c r="AC85" i="58"/>
  <c r="M85" i="58" s="1"/>
  <c r="Z85" i="58"/>
  <c r="I85" i="58" s="1"/>
  <c r="AG57" i="22"/>
  <c r="BZ56" i="103"/>
  <c r="CC56" i="103" s="1"/>
  <c r="M61" i="103"/>
  <c r="J61" i="103" s="1"/>
  <c r="L61" i="103"/>
  <c r="R26" i="58"/>
  <c r="L26" i="58" s="1"/>
  <c r="AE27" i="22"/>
  <c r="BY26" i="103"/>
  <c r="BW26" i="103" s="1"/>
  <c r="AB26" i="58"/>
  <c r="K26" i="58" s="1"/>
  <c r="AA26" i="58"/>
  <c r="J26" i="58" s="1"/>
  <c r="Z26" i="58"/>
  <c r="I26" i="58" s="1"/>
  <c r="AC26" i="58"/>
  <c r="M26" i="58" s="1"/>
  <c r="AG54" i="22"/>
  <c r="BZ53" i="103"/>
  <c r="CC53" i="103" s="1"/>
  <c r="R71" i="58"/>
  <c r="L71" i="58" s="1"/>
  <c r="AE72" i="22"/>
  <c r="BY71" i="103"/>
  <c r="BW71" i="103" s="1"/>
  <c r="F41" i="103"/>
  <c r="AC41" i="103"/>
  <c r="E41" i="103"/>
  <c r="R188" i="58"/>
  <c r="L188" i="58" s="1"/>
  <c r="AE189" i="22"/>
  <c r="BY188" i="103"/>
  <c r="BW188" i="103" s="1"/>
  <c r="AA92" i="58"/>
  <c r="J92" i="58" s="1"/>
  <c r="AC92" i="58"/>
  <c r="M92" i="58" s="1"/>
  <c r="Z92" i="58"/>
  <c r="I92" i="58" s="1"/>
  <c r="AB92" i="58"/>
  <c r="K92" i="58" s="1"/>
  <c r="R68" i="58"/>
  <c r="L68" i="58" s="1"/>
  <c r="AE69" i="22"/>
  <c r="BY68" i="103"/>
  <c r="BW68" i="103" s="1"/>
  <c r="E390" i="58"/>
  <c r="E377" i="58"/>
  <c r="Y42" i="58"/>
  <c r="AA85" i="103"/>
  <c r="M21" i="103"/>
  <c r="J21" i="103" s="1"/>
  <c r="L21" i="103"/>
  <c r="T388" i="103"/>
  <c r="I159" i="23"/>
  <c r="M94" i="103"/>
  <c r="J94" i="103" s="1"/>
  <c r="L94" i="103"/>
  <c r="AA92" i="103"/>
  <c r="CD106" i="103"/>
  <c r="BX106" i="103" s="1"/>
  <c r="F80" i="103"/>
  <c r="AC80" i="103"/>
  <c r="E80" i="103"/>
  <c r="R190" i="58"/>
  <c r="L190" i="58" s="1"/>
  <c r="AE191" i="22"/>
  <c r="BY190" i="103"/>
  <c r="BW190" i="103" s="1"/>
  <c r="O392" i="58"/>
  <c r="O379" i="58"/>
  <c r="F105" i="103"/>
  <c r="AC105" i="103"/>
  <c r="E105" i="103"/>
  <c r="U388" i="58"/>
  <c r="G120" i="58"/>
  <c r="Z126" i="58"/>
  <c r="I126" i="58" s="1"/>
  <c r="AC126" i="58"/>
  <c r="M126" i="58" s="1"/>
  <c r="AB126" i="58"/>
  <c r="K126" i="58" s="1"/>
  <c r="AA126" i="58"/>
  <c r="J126" i="58" s="1"/>
  <c r="Z114" i="58"/>
  <c r="I114" i="58" s="1"/>
  <c r="AA114" i="58"/>
  <c r="J114" i="58" s="1"/>
  <c r="AC114" i="58"/>
  <c r="M114" i="58" s="1"/>
  <c r="AB114" i="58"/>
  <c r="K114" i="58" s="1"/>
  <c r="AM64" i="103"/>
  <c r="R345" i="58"/>
  <c r="BY345" i="103"/>
  <c r="CA345" i="103" s="1"/>
  <c r="C112" i="13"/>
  <c r="AM61" i="103"/>
  <c r="R186" i="58"/>
  <c r="L186" i="58" s="1"/>
  <c r="AE187" i="22"/>
  <c r="BY186" i="103"/>
  <c r="BW186" i="103" s="1"/>
  <c r="M99" i="103"/>
  <c r="J99" i="103" s="1"/>
  <c r="L99" i="103"/>
  <c r="O376" i="103"/>
  <c r="M11" i="103"/>
  <c r="L11" i="103"/>
  <c r="AA15" i="103"/>
  <c r="R100" i="58"/>
  <c r="L100" i="58" s="1"/>
  <c r="AE101" i="22"/>
  <c r="BY100" i="103"/>
  <c r="BW100" i="103" s="1"/>
  <c r="M89" i="103"/>
  <c r="J89" i="103" s="1"/>
  <c r="L89" i="103"/>
  <c r="AA48" i="103"/>
  <c r="G41" i="58"/>
  <c r="AX388" i="103"/>
  <c r="AA61" i="103"/>
  <c r="AB13" i="58"/>
  <c r="K13" i="58" s="1"/>
  <c r="AA13" i="58"/>
  <c r="J13" i="58" s="1"/>
  <c r="AC13" i="58"/>
  <c r="M13" i="58" s="1"/>
  <c r="Z13" i="58"/>
  <c r="I13" i="58" s="1"/>
  <c r="E134" i="67"/>
  <c r="G106" i="58"/>
  <c r="AC100" i="103"/>
  <c r="F100" i="103"/>
  <c r="E100" i="103"/>
  <c r="AC125" i="58"/>
  <c r="M125" i="58" s="1"/>
  <c r="AB125" i="58"/>
  <c r="K125" i="58" s="1"/>
  <c r="AA125" i="58"/>
  <c r="J125" i="58" s="1"/>
  <c r="Z125" i="58"/>
  <c r="I125" i="58" s="1"/>
  <c r="AC113" i="58"/>
  <c r="M113" i="58" s="1"/>
  <c r="AB113" i="58"/>
  <c r="K113" i="58" s="1"/>
  <c r="AA113" i="58"/>
  <c r="J113" i="58" s="1"/>
  <c r="Z113" i="58"/>
  <c r="I113" i="58" s="1"/>
  <c r="AC43" i="58"/>
  <c r="M43" i="58" s="1"/>
  <c r="AB43" i="58"/>
  <c r="K43" i="58" s="1"/>
  <c r="AA43" i="58"/>
  <c r="J43" i="58" s="1"/>
  <c r="Z43" i="58"/>
  <c r="I43" i="58" s="1"/>
  <c r="G122" i="58"/>
  <c r="G110" i="58"/>
  <c r="AC97" i="103"/>
  <c r="F97" i="103"/>
  <c r="E97" i="103"/>
  <c r="M88" i="103"/>
  <c r="J88" i="103" s="1"/>
  <c r="L88" i="103"/>
  <c r="F35" i="103"/>
  <c r="AC35" i="103"/>
  <c r="E35" i="103"/>
  <c r="AB22" i="58"/>
  <c r="K22" i="58" s="1"/>
  <c r="Z22" i="58"/>
  <c r="I22" i="58" s="1"/>
  <c r="AA22" i="58"/>
  <c r="J22" i="58" s="1"/>
  <c r="AC22" i="58"/>
  <c r="M22" i="58" s="1"/>
  <c r="AB34" i="58"/>
  <c r="K34" i="58" s="1"/>
  <c r="Z34" i="58"/>
  <c r="I34" i="58" s="1"/>
  <c r="AA34" i="58"/>
  <c r="J34" i="58" s="1"/>
  <c r="AC34" i="58"/>
  <c r="M34" i="58" s="1"/>
  <c r="M154" i="103"/>
  <c r="J154" i="103" s="1"/>
  <c r="L154" i="103"/>
  <c r="AC168" i="58"/>
  <c r="M168" i="58" s="1"/>
  <c r="AB168" i="58"/>
  <c r="K168" i="58" s="1"/>
  <c r="AA168" i="58"/>
  <c r="J168" i="58" s="1"/>
  <c r="Z168" i="58"/>
  <c r="I168" i="58" s="1"/>
  <c r="AC340" i="58"/>
  <c r="M340" i="58" s="1"/>
  <c r="AB340" i="58"/>
  <c r="K340" i="58" s="1"/>
  <c r="Z340" i="58"/>
  <c r="I340" i="58" s="1"/>
  <c r="AA340" i="58"/>
  <c r="J340" i="58" s="1"/>
  <c r="AA324" i="58"/>
  <c r="J324" i="58" s="1"/>
  <c r="Z324" i="58"/>
  <c r="I324" i="58" s="1"/>
  <c r="AB324" i="58"/>
  <c r="K324" i="58" s="1"/>
  <c r="AC324" i="58"/>
  <c r="M324" i="58" s="1"/>
  <c r="E400" i="58"/>
  <c r="E387" i="58"/>
  <c r="Y345" i="58"/>
  <c r="L359" i="67"/>
  <c r="AG349" i="22"/>
  <c r="M190" i="103"/>
  <c r="J190" i="103" s="1"/>
  <c r="L190" i="103"/>
  <c r="G205" i="58"/>
  <c r="G163" i="58"/>
  <c r="F148" i="103"/>
  <c r="AC148" i="103"/>
  <c r="E148" i="103"/>
  <c r="G140" i="58"/>
  <c r="L362" i="67"/>
  <c r="AG352" i="22"/>
  <c r="N387" i="67"/>
  <c r="E396" i="58"/>
  <c r="E383" i="58"/>
  <c r="Y223" i="58"/>
  <c r="F397" i="58"/>
  <c r="F384" i="58"/>
  <c r="F200" i="103"/>
  <c r="AC200" i="103"/>
  <c r="E200" i="103"/>
  <c r="F143" i="103"/>
  <c r="AC143" i="103"/>
  <c r="E143" i="103"/>
  <c r="M153" i="103"/>
  <c r="J153" i="103" s="1"/>
  <c r="L153" i="103"/>
  <c r="Z130" i="58"/>
  <c r="I130" i="58" s="1"/>
  <c r="AC130" i="58"/>
  <c r="M130" i="58" s="1"/>
  <c r="AB130" i="58"/>
  <c r="K130" i="58" s="1"/>
  <c r="AA130" i="58"/>
  <c r="J130" i="58" s="1"/>
  <c r="AC46" i="58"/>
  <c r="M46" i="58" s="1"/>
  <c r="AB46" i="58"/>
  <c r="K46" i="58" s="1"/>
  <c r="AA46" i="58"/>
  <c r="J46" i="58" s="1"/>
  <c r="Z46" i="58"/>
  <c r="I46" i="58" s="1"/>
  <c r="Z79" i="58"/>
  <c r="I79" i="58" s="1"/>
  <c r="AB79" i="58"/>
  <c r="K79" i="58" s="1"/>
  <c r="AA79" i="58"/>
  <c r="J79" i="58" s="1"/>
  <c r="AC79" i="58"/>
  <c r="M79" i="58" s="1"/>
  <c r="CG31" i="103"/>
  <c r="CI31" i="103" s="1"/>
  <c r="BB31" i="103"/>
  <c r="N396" i="58"/>
  <c r="N383" i="58"/>
  <c r="CG102" i="103"/>
  <c r="CI102" i="103" s="1"/>
  <c r="BB102" i="103"/>
  <c r="AG122" i="22"/>
  <c r="BZ121" i="103"/>
  <c r="CC121" i="103" s="1"/>
  <c r="AM121" i="103"/>
  <c r="Z45" i="58"/>
  <c r="I45" i="58" s="1"/>
  <c r="AA45" i="58"/>
  <c r="J45" i="58" s="1"/>
  <c r="AC45" i="58"/>
  <c r="M45" i="58" s="1"/>
  <c r="AB45" i="58"/>
  <c r="K45" i="58" s="1"/>
  <c r="F84" i="103"/>
  <c r="AC84" i="103"/>
  <c r="E84" i="103"/>
  <c r="AA96" i="103"/>
  <c r="F392" i="58"/>
  <c r="F379" i="58"/>
  <c r="F69" i="103"/>
  <c r="AC69" i="103"/>
  <c r="E69" i="103"/>
  <c r="R32" i="58"/>
  <c r="L32" i="58" s="1"/>
  <c r="AE33" i="22"/>
  <c r="BY32" i="103"/>
  <c r="BW32" i="103" s="1"/>
  <c r="R175" i="58"/>
  <c r="L175" i="58" s="1"/>
  <c r="AE176" i="22"/>
  <c r="BY175" i="103"/>
  <c r="BW175" i="103" s="1"/>
  <c r="F92" i="103"/>
  <c r="AC92" i="103"/>
  <c r="E92" i="103"/>
  <c r="BC378" i="103"/>
  <c r="CG70" i="103"/>
  <c r="BB70" i="103"/>
  <c r="AC66" i="103"/>
  <c r="E66" i="103"/>
  <c r="AA11" i="103"/>
  <c r="AF388" i="103"/>
  <c r="U159" i="23"/>
  <c r="G12" i="58"/>
  <c r="R191" i="58"/>
  <c r="L191" i="58" s="1"/>
  <c r="AE192" i="22"/>
  <c r="BY191" i="103"/>
  <c r="BW191" i="103" s="1"/>
  <c r="Z104" i="58"/>
  <c r="I104" i="58" s="1"/>
  <c r="AA104" i="58"/>
  <c r="J104" i="58" s="1"/>
  <c r="AC104" i="58"/>
  <c r="M104" i="58" s="1"/>
  <c r="AB104" i="58"/>
  <c r="K104" i="58" s="1"/>
  <c r="G39" i="58"/>
  <c r="CG67" i="103"/>
  <c r="CI67" i="103" s="1"/>
  <c r="BB67" i="103"/>
  <c r="G71" i="58"/>
  <c r="C71" i="67"/>
  <c r="BP388" i="103"/>
  <c r="G26" i="58"/>
  <c r="AB15" i="58"/>
  <c r="K15" i="58" s="1"/>
  <c r="AC15" i="58"/>
  <c r="M15" i="58" s="1"/>
  <c r="AA15" i="58"/>
  <c r="J15" i="58" s="1"/>
  <c r="Z15" i="58"/>
  <c r="I15" i="58" s="1"/>
  <c r="AC127" i="58"/>
  <c r="M127" i="58" s="1"/>
  <c r="AB127" i="58"/>
  <c r="K127" i="58" s="1"/>
  <c r="AA127" i="58"/>
  <c r="J127" i="58" s="1"/>
  <c r="Z127" i="58"/>
  <c r="I127" i="58" s="1"/>
  <c r="R136" i="58"/>
  <c r="L136" i="58" s="1"/>
  <c r="AE137" i="22"/>
  <c r="BY136" i="103"/>
  <c r="BW136" i="103" s="1"/>
  <c r="U377" i="103"/>
  <c r="AA44" i="58"/>
  <c r="J44" i="58" s="1"/>
  <c r="Z44" i="58"/>
  <c r="I44" i="58" s="1"/>
  <c r="AB44" i="58"/>
  <c r="K44" i="58" s="1"/>
  <c r="AC44" i="58"/>
  <c r="M44" i="58" s="1"/>
  <c r="F59" i="103"/>
  <c r="AC59" i="103"/>
  <c r="E59" i="103"/>
  <c r="AR388" i="103"/>
  <c r="J159" i="23"/>
  <c r="N397" i="58"/>
  <c r="N384" i="58"/>
  <c r="R342" i="58"/>
  <c r="L342" i="58" s="1"/>
  <c r="BY342" i="103"/>
  <c r="BW342" i="103" s="1"/>
  <c r="AG89" i="22"/>
  <c r="BZ88" i="103"/>
  <c r="CC88" i="103" s="1"/>
  <c r="M103" i="103"/>
  <c r="J103" i="103" s="1"/>
  <c r="L103" i="103"/>
  <c r="G44" i="58"/>
  <c r="Z51" i="58"/>
  <c r="I51" i="58" s="1"/>
  <c r="AA51" i="58"/>
  <c r="J51" i="58" s="1"/>
  <c r="AC51" i="58"/>
  <c r="M51" i="58" s="1"/>
  <c r="AB51" i="58"/>
  <c r="K51" i="58" s="1"/>
  <c r="N388" i="103"/>
  <c r="AD159" i="23"/>
  <c r="AH88" i="23" s="1"/>
  <c r="F15" i="103"/>
  <c r="AC15" i="103"/>
  <c r="E15" i="103"/>
  <c r="G92" i="58"/>
  <c r="CD101" i="103"/>
  <c r="M59" i="103"/>
  <c r="J59" i="103" s="1"/>
  <c r="L59" i="103"/>
  <c r="AA67" i="103"/>
  <c r="F48" i="103"/>
  <c r="AC48" i="103"/>
  <c r="E48" i="103"/>
  <c r="M14" i="103"/>
  <c r="J14" i="103" s="1"/>
  <c r="L14" i="103"/>
  <c r="AA18" i="103"/>
  <c r="M86" i="103"/>
  <c r="L86" i="103"/>
  <c r="F61" i="103"/>
  <c r="AC61" i="103"/>
  <c r="E61" i="103"/>
  <c r="M119" i="103"/>
  <c r="J119" i="103" s="1"/>
  <c r="L119" i="103"/>
  <c r="C124" i="13" s="1"/>
  <c r="E124" i="13" s="1"/>
  <c r="CG99" i="103"/>
  <c r="CI99" i="103" s="1"/>
  <c r="BB99" i="103"/>
  <c r="AC102" i="58"/>
  <c r="M102" i="58" s="1"/>
  <c r="AB102" i="58"/>
  <c r="K102" i="58" s="1"/>
  <c r="AA102" i="58"/>
  <c r="J102" i="58" s="1"/>
  <c r="Z102" i="58"/>
  <c r="I102" i="58" s="1"/>
  <c r="M90" i="103"/>
  <c r="J90" i="103" s="1"/>
  <c r="L90" i="103"/>
  <c r="BD379" i="103"/>
  <c r="CB131" i="103"/>
  <c r="AA100" i="103"/>
  <c r="BV388" i="103"/>
  <c r="R178" i="58"/>
  <c r="L178" i="58" s="1"/>
  <c r="AE179" i="22"/>
  <c r="BY178" i="103"/>
  <c r="BW178" i="103" s="1"/>
  <c r="M44" i="103"/>
  <c r="J44" i="103" s="1"/>
  <c r="L44" i="103"/>
  <c r="E389" i="58"/>
  <c r="E376" i="58"/>
  <c r="Y11" i="58"/>
  <c r="N391" i="58"/>
  <c r="N378" i="58"/>
  <c r="L43" i="67"/>
  <c r="CD52" i="103"/>
  <c r="BX52" i="103" s="1"/>
  <c r="CD58" i="103"/>
  <c r="BX58" i="103" s="1"/>
  <c r="CD90" i="103"/>
  <c r="BX90" i="103" s="1"/>
  <c r="CD42" i="103"/>
  <c r="CF42" i="103" s="1"/>
  <c r="AL129" i="23" l="1"/>
  <c r="H26" i="62"/>
  <c r="B28" i="62"/>
  <c r="F27" i="62"/>
  <c r="G27" i="62"/>
  <c r="H27" i="62" s="1"/>
  <c r="E27" i="62"/>
  <c r="R27" i="62"/>
  <c r="S27" i="62" s="1"/>
  <c r="I27" i="62"/>
  <c r="J27" i="62" s="1"/>
  <c r="C27" i="62"/>
  <c r="D27" i="62"/>
  <c r="K27" i="62"/>
  <c r="M27" i="62"/>
  <c r="L27" i="62"/>
  <c r="O27" i="62"/>
  <c r="D366" i="22"/>
  <c r="Z356" i="103"/>
  <c r="D335" i="22"/>
  <c r="D355" i="22"/>
  <c r="R232" i="58"/>
  <c r="L232" i="58" s="1"/>
  <c r="H232" i="58" s="1"/>
  <c r="AE180" i="22"/>
  <c r="D369" i="22"/>
  <c r="Z352" i="103"/>
  <c r="R132" i="58"/>
  <c r="L132" i="58" s="1"/>
  <c r="H132" i="58" s="1"/>
  <c r="R53" i="58"/>
  <c r="L53" i="58" s="1"/>
  <c r="H53" i="58" s="1"/>
  <c r="D349" i="22"/>
  <c r="R149" i="58"/>
  <c r="L149" i="58" s="1"/>
  <c r="H149" i="58" s="1"/>
  <c r="R56" i="58"/>
  <c r="L56" i="58" s="1"/>
  <c r="D339" i="22"/>
  <c r="D367" i="22"/>
  <c r="Z363" i="103"/>
  <c r="R40" i="58"/>
  <c r="L40" i="58" s="1"/>
  <c r="H40" i="58" s="1"/>
  <c r="R170" i="58"/>
  <c r="L170" i="58" s="1"/>
  <c r="H170" i="58" s="1"/>
  <c r="AE86" i="22"/>
  <c r="R82" i="58"/>
  <c r="L82" i="58" s="1"/>
  <c r="H82" i="58" s="1"/>
  <c r="Z340" i="103"/>
  <c r="D356" i="22"/>
  <c r="Z335" i="103"/>
  <c r="D324" i="22"/>
  <c r="D288" i="103"/>
  <c r="D289" i="22" s="1"/>
  <c r="D293" i="103"/>
  <c r="D289" i="103"/>
  <c r="D286" i="103"/>
  <c r="D290" i="103"/>
  <c r="D284" i="103"/>
  <c r="D287" i="103"/>
  <c r="D291" i="103"/>
  <c r="D292" i="103"/>
  <c r="BW314" i="103"/>
  <c r="O136" i="13"/>
  <c r="AB314" i="103"/>
  <c r="O135" i="13"/>
  <c r="AB313" i="103"/>
  <c r="O134" i="13"/>
  <c r="AB312" i="103"/>
  <c r="CA311" i="103"/>
  <c r="O133" i="13"/>
  <c r="AB311" i="103"/>
  <c r="O132" i="13"/>
  <c r="AB310" i="103"/>
  <c r="BW309" i="103"/>
  <c r="O131" i="13"/>
  <c r="AB309" i="103"/>
  <c r="O130" i="13"/>
  <c r="BW308" i="103"/>
  <c r="AB308" i="103"/>
  <c r="O129" i="13"/>
  <c r="BW307" i="103"/>
  <c r="AB307" i="103"/>
  <c r="O128" i="13"/>
  <c r="AB306" i="103"/>
  <c r="BW305" i="103"/>
  <c r="O127" i="13"/>
  <c r="AB305" i="103"/>
  <c r="O126" i="13"/>
  <c r="AB304" i="103"/>
  <c r="O125" i="13"/>
  <c r="AB303" i="103"/>
  <c r="BW302" i="103"/>
  <c r="O124" i="13"/>
  <c r="AB302" i="103"/>
  <c r="O123" i="13"/>
  <c r="AB301" i="103"/>
  <c r="O122" i="13"/>
  <c r="AB300" i="103"/>
  <c r="O121" i="13"/>
  <c r="BW299" i="103"/>
  <c r="AB299" i="103"/>
  <c r="O120" i="13"/>
  <c r="AB298" i="103"/>
  <c r="O119" i="13"/>
  <c r="AB297" i="103"/>
  <c r="BW296" i="103"/>
  <c r="O118" i="13"/>
  <c r="AB296" i="103"/>
  <c r="O117" i="13"/>
  <c r="AB295" i="103"/>
  <c r="O116" i="13"/>
  <c r="AB294" i="103"/>
  <c r="O115" i="13"/>
  <c r="BW293" i="103"/>
  <c r="AB293" i="103"/>
  <c r="O114" i="13"/>
  <c r="AB292" i="103"/>
  <c r="P128" i="23"/>
  <c r="T129" i="23"/>
  <c r="W129" i="23"/>
  <c r="AG129" i="23"/>
  <c r="O113" i="13"/>
  <c r="AB291" i="103"/>
  <c r="BW290" i="103"/>
  <c r="O112" i="13"/>
  <c r="AB290" i="103"/>
  <c r="O111" i="13"/>
  <c r="AB289" i="103"/>
  <c r="O110" i="13"/>
  <c r="AB288" i="103"/>
  <c r="BW287" i="103"/>
  <c r="O109" i="13"/>
  <c r="AB287" i="103"/>
  <c r="AL128" i="23"/>
  <c r="L385" i="103"/>
  <c r="O108" i="13"/>
  <c r="AB286" i="103"/>
  <c r="CA285" i="103"/>
  <c r="D58" i="53"/>
  <c r="AL127" i="23"/>
  <c r="BA289" i="103"/>
  <c r="BA286" i="103"/>
  <c r="BA288" i="103"/>
  <c r="BA287" i="103"/>
  <c r="O107" i="13"/>
  <c r="AB285" i="103"/>
  <c r="U174" i="13"/>
  <c r="U176" i="13"/>
  <c r="U175" i="13"/>
  <c r="U180" i="13"/>
  <c r="U183" i="13"/>
  <c r="U179" i="13"/>
  <c r="U177" i="13"/>
  <c r="U182" i="13"/>
  <c r="U184" i="13"/>
  <c r="U181" i="13"/>
  <c r="Z323" i="103"/>
  <c r="D341" i="22"/>
  <c r="R85" i="58"/>
  <c r="L85" i="58" s="1"/>
  <c r="H85" i="58" s="1"/>
  <c r="BA284" i="103"/>
  <c r="Q128" i="23"/>
  <c r="D357" i="22"/>
  <c r="D336" i="22"/>
  <c r="B130" i="23"/>
  <c r="Y129" i="23"/>
  <c r="V129" i="23"/>
  <c r="S129" i="23"/>
  <c r="J129" i="23"/>
  <c r="D129" i="23"/>
  <c r="AC129" i="23"/>
  <c r="AE129" i="23"/>
  <c r="N129" i="23"/>
  <c r="H129" i="23"/>
  <c r="AB129" i="23"/>
  <c r="AH129" i="23"/>
  <c r="AD129" i="23"/>
  <c r="AJ129" i="23"/>
  <c r="U129" i="23"/>
  <c r="R129" i="23"/>
  <c r="AK129" i="23"/>
  <c r="C129" i="23"/>
  <c r="Z129" i="23"/>
  <c r="AA129" i="23"/>
  <c r="AI129" i="23"/>
  <c r="I129" i="23"/>
  <c r="B17" i="102"/>
  <c r="C17" i="102" s="1"/>
  <c r="B11" i="31"/>
  <c r="B45" i="31"/>
  <c r="A45" i="31" s="1"/>
  <c r="A10" i="31"/>
  <c r="Z334" i="103"/>
  <c r="BY82" i="103"/>
  <c r="BW82" i="103" s="1"/>
  <c r="Z348" i="103"/>
  <c r="Z338" i="103"/>
  <c r="AE83" i="22"/>
  <c r="Z355" i="103"/>
  <c r="Z368" i="103"/>
  <c r="Z366" i="103"/>
  <c r="R179" i="58"/>
  <c r="L179" i="58" s="1"/>
  <c r="H179" i="58" s="1"/>
  <c r="BY232" i="103"/>
  <c r="BW232" i="103" s="1"/>
  <c r="Z354" i="103"/>
  <c r="AE233" i="22"/>
  <c r="BY132" i="103"/>
  <c r="BW132" i="103" s="1"/>
  <c r="AE133" i="22"/>
  <c r="BY179" i="103"/>
  <c r="BW179" i="103" s="1"/>
  <c r="R49" i="58"/>
  <c r="L49" i="58" s="1"/>
  <c r="H49" i="58" s="1"/>
  <c r="R24" i="58"/>
  <c r="L24" i="58" s="1"/>
  <c r="H24" i="58" s="1"/>
  <c r="R37" i="58"/>
  <c r="L37" i="58" s="1"/>
  <c r="H37" i="58" s="1"/>
  <c r="D359" i="22"/>
  <c r="D307" i="22"/>
  <c r="D334" i="22"/>
  <c r="D319" i="22"/>
  <c r="Z344" i="103"/>
  <c r="D346" i="22"/>
  <c r="BY102" i="103"/>
  <c r="BW102" i="103" s="1"/>
  <c r="D362" i="22"/>
  <c r="D351" i="22"/>
  <c r="Z331" i="103"/>
  <c r="R112" i="58"/>
  <c r="L112" i="58" s="1"/>
  <c r="H112" i="58" s="1"/>
  <c r="D322" i="22"/>
  <c r="D318" i="22"/>
  <c r="G346" i="22"/>
  <c r="D376" i="22"/>
  <c r="D361" i="22"/>
  <c r="D373" i="22"/>
  <c r="D344" i="22"/>
  <c r="Z365" i="103"/>
  <c r="D333" i="22"/>
  <c r="R124" i="58"/>
  <c r="L124" i="58" s="1"/>
  <c r="H124" i="58" s="1"/>
  <c r="AE150" i="22"/>
  <c r="R216" i="58"/>
  <c r="L216" i="58" s="1"/>
  <c r="H216" i="58" s="1"/>
  <c r="AE54" i="22"/>
  <c r="D326" i="22"/>
  <c r="D343" i="22"/>
  <c r="D337" i="22"/>
  <c r="D338" i="22"/>
  <c r="D353" i="22"/>
  <c r="D327" i="22"/>
  <c r="D375" i="22"/>
  <c r="D332" i="22"/>
  <c r="R119" i="58"/>
  <c r="L119" i="58" s="1"/>
  <c r="H119" i="58" s="1"/>
  <c r="AE41" i="22"/>
  <c r="AE171" i="22"/>
  <c r="BY85" i="103"/>
  <c r="BW85" i="103" s="1"/>
  <c r="R253" i="58"/>
  <c r="L253" i="58" s="1"/>
  <c r="H253" i="58" s="1"/>
  <c r="D364" i="22"/>
  <c r="R118" i="58"/>
  <c r="L118" i="58" s="1"/>
  <c r="H118" i="58" s="1"/>
  <c r="R235" i="58"/>
  <c r="L235" i="58" s="1"/>
  <c r="H235" i="58" s="1"/>
  <c r="R177" i="58"/>
  <c r="L177" i="58" s="1"/>
  <c r="H177" i="58" s="1"/>
  <c r="D368" i="22"/>
  <c r="D331" i="22"/>
  <c r="R93" i="58"/>
  <c r="L93" i="58" s="1"/>
  <c r="H93" i="58" s="1"/>
  <c r="R244" i="58"/>
  <c r="L244" i="58" s="1"/>
  <c r="H244" i="58" s="1"/>
  <c r="D286" i="22"/>
  <c r="D342" i="22"/>
  <c r="D329" i="22"/>
  <c r="D340" i="22"/>
  <c r="D320" i="22"/>
  <c r="D354" i="22"/>
  <c r="AE123" i="22"/>
  <c r="AE59" i="22"/>
  <c r="D317" i="22"/>
  <c r="Z349" i="103"/>
  <c r="D370" i="22"/>
  <c r="BY113" i="103"/>
  <c r="BW113" i="103" s="1"/>
  <c r="Z371" i="103"/>
  <c r="D358" i="22"/>
  <c r="Z364" i="103"/>
  <c r="D371" i="22"/>
  <c r="R125" i="58"/>
  <c r="L125" i="58" s="1"/>
  <c r="H125" i="58" s="1"/>
  <c r="BY182" i="103"/>
  <c r="BW182" i="103" s="1"/>
  <c r="R155" i="58"/>
  <c r="L155" i="58" s="1"/>
  <c r="H155" i="58" s="1"/>
  <c r="Z351" i="103"/>
  <c r="D374" i="22"/>
  <c r="D363" i="22"/>
  <c r="D325" i="22"/>
  <c r="D347" i="22"/>
  <c r="D328" i="22"/>
  <c r="D348" i="22"/>
  <c r="D321" i="22"/>
  <c r="Z322" i="103"/>
  <c r="BY53" i="103"/>
  <c r="BW53" i="103" s="1"/>
  <c r="Z337" i="103"/>
  <c r="BY149" i="103"/>
  <c r="BW149" i="103" s="1"/>
  <c r="Z342" i="103"/>
  <c r="BY124" i="103"/>
  <c r="BW124" i="103" s="1"/>
  <c r="BY216" i="103"/>
  <c r="BW216" i="103" s="1"/>
  <c r="Z325" i="103"/>
  <c r="AE125" i="22"/>
  <c r="Z336" i="103"/>
  <c r="AE217" i="22"/>
  <c r="BY40" i="103"/>
  <c r="BW40" i="103" s="1"/>
  <c r="BY170" i="103"/>
  <c r="BW170" i="103" s="1"/>
  <c r="BY253" i="103"/>
  <c r="BW253" i="103" s="1"/>
  <c r="BY119" i="103"/>
  <c r="BW119" i="103" s="1"/>
  <c r="AE254" i="22"/>
  <c r="AE120" i="22"/>
  <c r="AH100" i="23"/>
  <c r="AF160" i="23"/>
  <c r="AJ89" i="23" s="1"/>
  <c r="AF167" i="23"/>
  <c r="AJ96" i="23" s="1"/>
  <c r="AE165" i="23"/>
  <c r="AI94" i="23" s="1"/>
  <c r="AB170" i="23"/>
  <c r="AF168" i="23"/>
  <c r="AJ97" i="23" s="1"/>
  <c r="AF169" i="23"/>
  <c r="AJ98" i="23" s="1"/>
  <c r="O166" i="23"/>
  <c r="P166" i="23" s="1"/>
  <c r="AB160" i="23"/>
  <c r="O160" i="23"/>
  <c r="P160" i="23" s="1"/>
  <c r="AF170" i="23"/>
  <c r="AJ99" i="23" s="1"/>
  <c r="AE166" i="23"/>
  <c r="AI95" i="23" s="1"/>
  <c r="AF166" i="23"/>
  <c r="AJ95" i="23" s="1"/>
  <c r="AE169" i="23"/>
  <c r="AI98" i="23" s="1"/>
  <c r="AE163" i="23"/>
  <c r="AI92" i="23" s="1"/>
  <c r="AA167" i="23"/>
  <c r="AE167" i="23"/>
  <c r="AI96" i="23" s="1"/>
  <c r="AB168" i="23"/>
  <c r="AB162" i="23"/>
  <c r="O162" i="23"/>
  <c r="P162" i="23" s="1"/>
  <c r="AF162" i="23"/>
  <c r="AJ91" i="23" s="1"/>
  <c r="AB161" i="23"/>
  <c r="AE164" i="23"/>
  <c r="AI93" i="23" s="1"/>
  <c r="AF161" i="23"/>
  <c r="AJ90" i="23" s="1"/>
  <c r="AE168" i="23"/>
  <c r="AI97" i="23" s="1"/>
  <c r="AB169" i="23"/>
  <c r="O164" i="23"/>
  <c r="P164" i="23" s="1"/>
  <c r="AE161" i="23"/>
  <c r="AI90" i="23" s="1"/>
  <c r="O170" i="23"/>
  <c r="P170" i="23" s="1"/>
  <c r="AF165" i="23"/>
  <c r="AJ94" i="23" s="1"/>
  <c r="O169" i="23"/>
  <c r="P169" i="23" s="1"/>
  <c r="O165" i="23"/>
  <c r="P165" i="23" s="1"/>
  <c r="AE170" i="23"/>
  <c r="AI99" i="23" s="1"/>
  <c r="O168" i="23"/>
  <c r="P168" i="23" s="1"/>
  <c r="AB163" i="23"/>
  <c r="AB164" i="23"/>
  <c r="AB165" i="23"/>
  <c r="AB166" i="23"/>
  <c r="AE162" i="23"/>
  <c r="AI91" i="23" s="1"/>
  <c r="O161" i="23"/>
  <c r="P161" i="23" s="1"/>
  <c r="AF163" i="23"/>
  <c r="AJ92" i="23" s="1"/>
  <c r="AF164" i="23"/>
  <c r="AJ93" i="23" s="1"/>
  <c r="AE160" i="23"/>
  <c r="AI89" i="23" s="1"/>
  <c r="O163" i="23"/>
  <c r="P163" i="23" s="1"/>
  <c r="Z327" i="103"/>
  <c r="D323" i="22"/>
  <c r="AE114" i="22"/>
  <c r="R113" i="58"/>
  <c r="L113" i="58" s="1"/>
  <c r="H113" i="58" s="1"/>
  <c r="Z343" i="103"/>
  <c r="Z361" i="103"/>
  <c r="Z330" i="103"/>
  <c r="Z367" i="103"/>
  <c r="Z375" i="103"/>
  <c r="Z360" i="103"/>
  <c r="Z317" i="103"/>
  <c r="BY118" i="103"/>
  <c r="BW118" i="103" s="1"/>
  <c r="Z372" i="103"/>
  <c r="K387" i="103"/>
  <c r="Z350" i="103"/>
  <c r="AE103" i="22"/>
  <c r="Z320" i="103"/>
  <c r="Z347" i="103"/>
  <c r="D345" i="22"/>
  <c r="CA283" i="103"/>
  <c r="I291" i="67" s="1"/>
  <c r="Z318" i="103"/>
  <c r="Z333" i="103"/>
  <c r="BY24" i="103"/>
  <c r="BW24" i="103" s="1"/>
  <c r="Z345" i="103"/>
  <c r="BY37" i="103"/>
  <c r="BW37" i="103" s="1"/>
  <c r="AE25" i="22"/>
  <c r="Z358" i="103"/>
  <c r="AE38" i="22"/>
  <c r="BY49" i="103"/>
  <c r="BW49" i="103" s="1"/>
  <c r="AE50" i="22"/>
  <c r="CA18" i="103"/>
  <c r="I18" i="67" s="1"/>
  <c r="D365" i="22"/>
  <c r="D372" i="22"/>
  <c r="Z370" i="103"/>
  <c r="Z369" i="103"/>
  <c r="BY122" i="103"/>
  <c r="BW122" i="103" s="1"/>
  <c r="R122" i="58"/>
  <c r="L122" i="58" s="1"/>
  <c r="H122" i="58" s="1"/>
  <c r="D350" i="22"/>
  <c r="R58" i="58"/>
  <c r="L58" i="58" s="1"/>
  <c r="H58" i="58" s="1"/>
  <c r="Z316" i="103"/>
  <c r="Z328" i="103"/>
  <c r="Z373" i="103"/>
  <c r="BY58" i="103"/>
  <c r="BW58" i="103" s="1"/>
  <c r="BW211" i="103"/>
  <c r="BY93" i="103"/>
  <c r="BW93" i="103" s="1"/>
  <c r="AE94" i="22"/>
  <c r="Z353" i="103"/>
  <c r="Z339" i="103"/>
  <c r="Z341" i="103"/>
  <c r="BY244" i="103"/>
  <c r="BW244" i="103" s="1"/>
  <c r="BW283" i="103"/>
  <c r="AE245" i="22"/>
  <c r="Z319" i="103"/>
  <c r="D352" i="22"/>
  <c r="BY155" i="103"/>
  <c r="BW155" i="103" s="1"/>
  <c r="Z346" i="103"/>
  <c r="BY125" i="103"/>
  <c r="BW125" i="103" s="1"/>
  <c r="AE156" i="22"/>
  <c r="AE126" i="22"/>
  <c r="Z324" i="103"/>
  <c r="Z362" i="103"/>
  <c r="BW60" i="103"/>
  <c r="BW273" i="103"/>
  <c r="Z326" i="103"/>
  <c r="BY112" i="103"/>
  <c r="BW112" i="103" s="1"/>
  <c r="AE113" i="22"/>
  <c r="Z321" i="103"/>
  <c r="R102" i="58"/>
  <c r="L102" i="58" s="1"/>
  <c r="H102" i="58" s="1"/>
  <c r="AE119" i="22"/>
  <c r="BY235" i="103"/>
  <c r="BW235" i="103" s="1"/>
  <c r="D281" i="103"/>
  <c r="D283" i="103"/>
  <c r="Z374" i="103"/>
  <c r="D329" i="103"/>
  <c r="AE236" i="22"/>
  <c r="K117" i="103"/>
  <c r="D282" i="103"/>
  <c r="K119" i="103"/>
  <c r="K118" i="103"/>
  <c r="Z332" i="103"/>
  <c r="D280" i="103"/>
  <c r="BY177" i="103"/>
  <c r="BW177" i="103" s="1"/>
  <c r="D359" i="103"/>
  <c r="AE178" i="22"/>
  <c r="Z357" i="103"/>
  <c r="AE57" i="22"/>
  <c r="BY129" i="103"/>
  <c r="BW129" i="103" s="1"/>
  <c r="AE130" i="22"/>
  <c r="R129" i="58"/>
  <c r="L129" i="58" s="1"/>
  <c r="H129" i="58" s="1"/>
  <c r="BY56" i="103"/>
  <c r="BW56" i="103" s="1"/>
  <c r="AQ223" i="22"/>
  <c r="AQ327" i="22"/>
  <c r="AQ208" i="22"/>
  <c r="AQ348" i="22"/>
  <c r="AQ119" i="22"/>
  <c r="AQ38" i="22"/>
  <c r="AQ62" i="22"/>
  <c r="AQ25" i="22"/>
  <c r="AQ26" i="22"/>
  <c r="AQ150" i="22"/>
  <c r="AQ338" i="22"/>
  <c r="AQ248" i="22"/>
  <c r="AQ16" i="22"/>
  <c r="AQ371" i="22"/>
  <c r="AO345" i="22"/>
  <c r="AQ79" i="22"/>
  <c r="AO42" i="22"/>
  <c r="AQ324" i="22"/>
  <c r="AQ144" i="22"/>
  <c r="AQ33" i="22"/>
  <c r="AQ253" i="22"/>
  <c r="AQ210" i="22"/>
  <c r="AQ315" i="22"/>
  <c r="AQ207" i="22"/>
  <c r="AQ194" i="22"/>
  <c r="AQ221" i="22"/>
  <c r="R70" i="67"/>
  <c r="AQ34" i="22"/>
  <c r="AQ41" i="22"/>
  <c r="AQ120" i="22"/>
  <c r="AQ44" i="22"/>
  <c r="AQ313" i="22"/>
  <c r="AQ364" i="22"/>
  <c r="L386" i="67"/>
  <c r="AC15" i="68" s="1"/>
  <c r="AQ240" i="22"/>
  <c r="AQ65" i="22"/>
  <c r="AQ50" i="22"/>
  <c r="AQ133" i="22"/>
  <c r="AQ125" i="22"/>
  <c r="AQ18" i="22"/>
  <c r="AQ117" i="22"/>
  <c r="AQ245" i="22"/>
  <c r="AQ178" i="22"/>
  <c r="BY88" i="103"/>
  <c r="BW88" i="103" s="1"/>
  <c r="AQ153" i="22"/>
  <c r="AQ73" i="22"/>
  <c r="AQ175" i="22"/>
  <c r="AQ286" i="22"/>
  <c r="AQ161" i="22"/>
  <c r="AO19" i="22"/>
  <c r="AO85" i="22"/>
  <c r="AQ97" i="22"/>
  <c r="AQ135" i="22"/>
  <c r="AQ145" i="22"/>
  <c r="AQ55" i="22"/>
  <c r="AQ69" i="22"/>
  <c r="AQ195" i="22"/>
  <c r="AQ219" i="22"/>
  <c r="AQ160" i="22"/>
  <c r="AQ354" i="22"/>
  <c r="AQ15" i="22"/>
  <c r="AQ292" i="22"/>
  <c r="AQ360" i="22"/>
  <c r="AQ205" i="22"/>
  <c r="AQ299" i="22"/>
  <c r="AQ172" i="22"/>
  <c r="AQ359" i="22"/>
  <c r="AQ314" i="22"/>
  <c r="AQ290" i="22"/>
  <c r="AQ95" i="22"/>
  <c r="AQ104" i="22"/>
  <c r="AQ215" i="22"/>
  <c r="AQ222" i="22"/>
  <c r="AQ304" i="22"/>
  <c r="AQ343" i="22"/>
  <c r="AQ345" i="22"/>
  <c r="AQ179" i="22"/>
  <c r="AQ254" i="22"/>
  <c r="AQ366" i="22"/>
  <c r="AQ168" i="22"/>
  <c r="AQ218" i="22"/>
  <c r="AQ367" i="22"/>
  <c r="AE89" i="22"/>
  <c r="AQ296" i="22"/>
  <c r="L345" i="67"/>
  <c r="AQ246" i="22"/>
  <c r="AQ197" i="22"/>
  <c r="AQ243" i="22"/>
  <c r="AO67" i="22"/>
  <c r="AQ17" i="22"/>
  <c r="AQ363" i="22"/>
  <c r="AQ12" i="22"/>
  <c r="AQ224" i="22"/>
  <c r="AQ369" i="22"/>
  <c r="AQ19" i="22"/>
  <c r="AQ176" i="22"/>
  <c r="AQ318" i="22"/>
  <c r="AO232" i="22"/>
  <c r="AQ54" i="22"/>
  <c r="AQ302" i="22"/>
  <c r="AQ334" i="22"/>
  <c r="AQ191" i="22"/>
  <c r="AQ266" i="22"/>
  <c r="AQ121" i="22"/>
  <c r="AQ159" i="22"/>
  <c r="AQ206" i="22"/>
  <c r="AQ59" i="22"/>
  <c r="AQ32" i="22"/>
  <c r="AQ106" i="22"/>
  <c r="AQ329" i="22"/>
  <c r="AQ239" i="22"/>
  <c r="AQ180" i="22"/>
  <c r="R88" i="58"/>
  <c r="L88" i="58" s="1"/>
  <c r="H88" i="58" s="1"/>
  <c r="AG295" i="22"/>
  <c r="AQ115" i="22"/>
  <c r="AQ198" i="22"/>
  <c r="AQ214" i="22"/>
  <c r="AQ362" i="22"/>
  <c r="AQ301" i="22"/>
  <c r="AQ43" i="22"/>
  <c r="AQ100" i="22"/>
  <c r="AQ99" i="22"/>
  <c r="AQ308" i="22"/>
  <c r="AQ124" i="22"/>
  <c r="AQ298" i="22"/>
  <c r="AQ226" i="22"/>
  <c r="AQ140" i="22"/>
  <c r="AQ39" i="22"/>
  <c r="AQ342" i="22"/>
  <c r="AQ129" i="22"/>
  <c r="AQ138" i="22"/>
  <c r="AO352" i="22"/>
  <c r="AQ92" i="22"/>
  <c r="AQ162" i="22"/>
  <c r="I326" i="67"/>
  <c r="AQ122" i="22"/>
  <c r="AQ113" i="22"/>
  <c r="AQ52" i="22"/>
  <c r="AQ123" i="22"/>
  <c r="AQ110" i="22"/>
  <c r="AE183" i="22"/>
  <c r="AQ196" i="22"/>
  <c r="AQ230" i="22"/>
  <c r="L331" i="67"/>
  <c r="AQ199" i="22"/>
  <c r="AQ187" i="22"/>
  <c r="AQ40" i="22"/>
  <c r="AQ84" i="22"/>
  <c r="AQ82" i="22"/>
  <c r="AQ365" i="22"/>
  <c r="AQ193" i="22"/>
  <c r="AO367" i="22"/>
  <c r="AO355" i="22"/>
  <c r="AQ89" i="22"/>
  <c r="AQ320" i="22"/>
  <c r="AQ217" i="22"/>
  <c r="AQ353" i="22"/>
  <c r="AQ235" i="22"/>
  <c r="AQ147" i="22"/>
  <c r="AQ114" i="22"/>
  <c r="AQ340" i="22"/>
  <c r="R182" i="58"/>
  <c r="L182" i="58" s="1"/>
  <c r="H182" i="58" s="1"/>
  <c r="AQ237" i="22"/>
  <c r="AQ188" i="22"/>
  <c r="AQ287" i="22"/>
  <c r="AQ337" i="22"/>
  <c r="AQ220" i="22"/>
  <c r="AQ293" i="22"/>
  <c r="AQ227" i="22"/>
  <c r="AQ98" i="22"/>
  <c r="AQ45" i="22"/>
  <c r="AQ347" i="22"/>
  <c r="AQ190" i="22"/>
  <c r="AQ192" i="22"/>
  <c r="AQ317" i="22"/>
  <c r="AQ177" i="22"/>
  <c r="AQ81" i="22"/>
  <c r="AQ186" i="22"/>
  <c r="AQ109" i="22"/>
  <c r="AQ189" i="22"/>
  <c r="AO197" i="22"/>
  <c r="AQ325" i="22"/>
  <c r="AQ148" i="22"/>
  <c r="AQ232" i="22"/>
  <c r="AQ182" i="22"/>
  <c r="AQ128" i="22"/>
  <c r="AQ139" i="22"/>
  <c r="AQ319" i="22"/>
  <c r="AQ130" i="22"/>
  <c r="AQ37" i="22"/>
  <c r="AQ91" i="22"/>
  <c r="AQ251" i="22"/>
  <c r="AQ56" i="22"/>
  <c r="BY116" i="103"/>
  <c r="BW116" i="103" s="1"/>
  <c r="AQ181" i="22"/>
  <c r="AQ156" i="22"/>
  <c r="AQ372" i="22"/>
  <c r="AQ171" i="22"/>
  <c r="AQ332" i="22"/>
  <c r="AQ335" i="22"/>
  <c r="AQ311" i="22"/>
  <c r="BY250" i="103"/>
  <c r="BW250" i="103" s="1"/>
  <c r="AQ165" i="22"/>
  <c r="AO100" i="22"/>
  <c r="AQ27" i="22"/>
  <c r="AO29" i="22"/>
  <c r="AQ107" i="22"/>
  <c r="AQ118" i="22"/>
  <c r="L299" i="67"/>
  <c r="AQ339" i="22"/>
  <c r="AQ112" i="22"/>
  <c r="AQ76" i="22"/>
  <c r="AQ155" i="22"/>
  <c r="AQ259" i="22"/>
  <c r="AQ96" i="22"/>
  <c r="AQ163" i="22"/>
  <c r="AQ71" i="22"/>
  <c r="AQ143" i="22"/>
  <c r="AQ355" i="22"/>
  <c r="AQ158" i="22"/>
  <c r="AQ66" i="22"/>
  <c r="AQ211" i="22"/>
  <c r="AQ326" i="22"/>
  <c r="AQ242" i="22"/>
  <c r="AQ42" i="22"/>
  <c r="AQ126" i="22"/>
  <c r="AQ103" i="22"/>
  <c r="AQ88" i="22"/>
  <c r="AQ83" i="22"/>
  <c r="AQ111" i="22"/>
  <c r="AE117" i="22"/>
  <c r="AQ341" i="22"/>
  <c r="AQ305" i="22"/>
  <c r="AQ328" i="22"/>
  <c r="AQ323" i="22"/>
  <c r="AE251" i="22"/>
  <c r="AQ149" i="22"/>
  <c r="AQ204" i="22"/>
  <c r="L296" i="67"/>
  <c r="AQ321" i="22"/>
  <c r="AQ225" i="22"/>
  <c r="AQ370" i="22"/>
  <c r="AO376" i="22"/>
  <c r="AQ68" i="22"/>
  <c r="AQ21" i="22"/>
  <c r="I330" i="67"/>
  <c r="AQ157" i="22"/>
  <c r="AQ77" i="22"/>
  <c r="AQ30" i="22"/>
  <c r="AQ267" i="22"/>
  <c r="AQ80" i="22"/>
  <c r="AQ212" i="22"/>
  <c r="AQ357" i="22"/>
  <c r="I336" i="67"/>
  <c r="AO250" i="22"/>
  <c r="AQ101" i="22"/>
  <c r="AQ63" i="22"/>
  <c r="AQ358" i="22"/>
  <c r="AQ24" i="22"/>
  <c r="AQ20" i="22"/>
  <c r="AQ141" i="22"/>
  <c r="AQ233" i="22"/>
  <c r="AQ53" i="22"/>
  <c r="R116" i="58"/>
  <c r="L116" i="58" s="1"/>
  <c r="H116" i="58" s="1"/>
  <c r="AQ183" i="22"/>
  <c r="AQ185" i="22"/>
  <c r="R250" i="58"/>
  <c r="L250" i="58" s="1"/>
  <c r="H250" i="58" s="1"/>
  <c r="AQ307" i="22"/>
  <c r="AQ356" i="22"/>
  <c r="AQ375" i="22"/>
  <c r="AQ72" i="22"/>
  <c r="AQ238" i="22"/>
  <c r="AQ46" i="22"/>
  <c r="AQ312" i="22"/>
  <c r="AQ22" i="22"/>
  <c r="BW267" i="103"/>
  <c r="AQ173" i="22"/>
  <c r="AQ87" i="22"/>
  <c r="AQ351" i="22"/>
  <c r="AQ350" i="22"/>
  <c r="AQ374" i="22"/>
  <c r="AQ36" i="22"/>
  <c r="AQ93" i="22"/>
  <c r="AQ137" i="22"/>
  <c r="AO235" i="22"/>
  <c r="AQ349" i="22"/>
  <c r="AO225" i="22"/>
  <c r="AQ57" i="22"/>
  <c r="AQ94" i="22"/>
  <c r="AQ236" i="22"/>
  <c r="AQ86" i="22"/>
  <c r="AQ134" i="22"/>
  <c r="AQ184" i="22"/>
  <c r="AQ331" i="22"/>
  <c r="AQ90" i="22"/>
  <c r="AQ58" i="22"/>
  <c r="AQ368" i="22"/>
  <c r="AQ127" i="22"/>
  <c r="L342" i="67"/>
  <c r="AG310" i="22"/>
  <c r="L305" i="67"/>
  <c r="AQ228" i="22"/>
  <c r="AQ166" i="22"/>
  <c r="AQ344" i="22"/>
  <c r="AQ352" i="22"/>
  <c r="AQ174" i="22"/>
  <c r="AQ102" i="22"/>
  <c r="AQ229" i="22"/>
  <c r="AQ60" i="22"/>
  <c r="AQ14" i="22"/>
  <c r="AQ202" i="22"/>
  <c r="AQ51" i="22"/>
  <c r="AQ75" i="22"/>
  <c r="L291" i="67"/>
  <c r="O101" i="13"/>
  <c r="AB283" i="103"/>
  <c r="O100" i="13"/>
  <c r="BW282" i="103"/>
  <c r="L290" i="67"/>
  <c r="AB282" i="103"/>
  <c r="BW281" i="103"/>
  <c r="O99" i="13"/>
  <c r="AB281" i="103"/>
  <c r="BW280" i="103"/>
  <c r="O98" i="13"/>
  <c r="AB280" i="103"/>
  <c r="BW279" i="103"/>
  <c r="O97" i="13"/>
  <c r="AB279" i="103"/>
  <c r="O96" i="13"/>
  <c r="L286" i="67"/>
  <c r="CA278" i="103"/>
  <c r="AB278" i="103"/>
  <c r="L285" i="67"/>
  <c r="BW277" i="103"/>
  <c r="O95" i="13"/>
  <c r="AB277" i="103"/>
  <c r="BW276" i="103"/>
  <c r="AQ277" i="22"/>
  <c r="O94" i="13"/>
  <c r="AB276" i="103"/>
  <c r="CA275" i="103"/>
  <c r="O93" i="13"/>
  <c r="AB275" i="103"/>
  <c r="BW274" i="103"/>
  <c r="O92" i="13"/>
  <c r="AB274" i="103"/>
  <c r="I281" i="67"/>
  <c r="L281" i="67"/>
  <c r="O91" i="13"/>
  <c r="AB273" i="103"/>
  <c r="AQ273" i="22"/>
  <c r="CA272" i="103"/>
  <c r="O90" i="13"/>
  <c r="AB272" i="103"/>
  <c r="O89" i="13"/>
  <c r="AQ272" i="22"/>
  <c r="AB271" i="103"/>
  <c r="BW262" i="103"/>
  <c r="CA351" i="103"/>
  <c r="CA354" i="103"/>
  <c r="O88" i="13"/>
  <c r="CA270" i="103"/>
  <c r="CA69" i="103"/>
  <c r="I70" i="67" s="1"/>
  <c r="AB270" i="103"/>
  <c r="AO70" i="22"/>
  <c r="E6" i="104"/>
  <c r="E15" i="104"/>
  <c r="AQ270" i="22"/>
  <c r="E19" i="104"/>
  <c r="E20" i="104"/>
  <c r="F14" i="104"/>
  <c r="G14" i="104" s="1"/>
  <c r="E16" i="104"/>
  <c r="E21" i="104"/>
  <c r="E22" i="104"/>
  <c r="E13" i="104"/>
  <c r="E7" i="104"/>
  <c r="E14" i="104"/>
  <c r="E9" i="104"/>
  <c r="E8" i="104"/>
  <c r="E12" i="104"/>
  <c r="C29" i="104"/>
  <c r="O87" i="13"/>
  <c r="CA314" i="103"/>
  <c r="BW252" i="103"/>
  <c r="R256" i="67"/>
  <c r="CA249" i="103"/>
  <c r="I256" i="67" s="1"/>
  <c r="BW326" i="103"/>
  <c r="AB269" i="103"/>
  <c r="BA235" i="103"/>
  <c r="CA366" i="103"/>
  <c r="BW265" i="103"/>
  <c r="AE327" i="22"/>
  <c r="H281" i="58"/>
  <c r="BA143" i="103"/>
  <c r="BA68" i="103"/>
  <c r="BA269" i="103"/>
  <c r="BA280" i="103"/>
  <c r="BA114" i="103"/>
  <c r="BA155" i="103"/>
  <c r="BA187" i="103"/>
  <c r="BA248" i="103"/>
  <c r="CA231" i="103"/>
  <c r="I238" i="67" s="1"/>
  <c r="H346" i="58"/>
  <c r="BA271" i="103"/>
  <c r="BA210" i="103"/>
  <c r="BA339" i="103"/>
  <c r="BA272" i="103"/>
  <c r="AG333" i="22"/>
  <c r="R365" i="67"/>
  <c r="AQ261" i="22"/>
  <c r="H291" i="58"/>
  <c r="BA213" i="103"/>
  <c r="BA302" i="103"/>
  <c r="BA249" i="103"/>
  <c r="BA353" i="103"/>
  <c r="BA160" i="103"/>
  <c r="BA162" i="103"/>
  <c r="BA88" i="103"/>
  <c r="BA56" i="103"/>
  <c r="I18" i="53"/>
  <c r="BA100" i="103"/>
  <c r="BA172" i="103"/>
  <c r="BA142" i="103"/>
  <c r="BA225" i="103"/>
  <c r="BA275" i="103"/>
  <c r="BA337" i="103"/>
  <c r="BA140" i="103"/>
  <c r="BA234" i="103"/>
  <c r="H280" i="58"/>
  <c r="BA360" i="103"/>
  <c r="BA91" i="103"/>
  <c r="BA152" i="103"/>
  <c r="BA322" i="103"/>
  <c r="BA71" i="103"/>
  <c r="R362" i="67"/>
  <c r="BA144" i="103"/>
  <c r="BW114" i="103"/>
  <c r="BA347" i="103"/>
  <c r="BA212" i="103"/>
  <c r="R41" i="67"/>
  <c r="BA169" i="103"/>
  <c r="BA74" i="103"/>
  <c r="BA292" i="103"/>
  <c r="BA239" i="103"/>
  <c r="BA362" i="103"/>
  <c r="BA190" i="103"/>
  <c r="BA240" i="103"/>
  <c r="BA122" i="103"/>
  <c r="BW272" i="103"/>
  <c r="BW92" i="103"/>
  <c r="BA321" i="103"/>
  <c r="BA177" i="103"/>
  <c r="BA78" i="103"/>
  <c r="BA297" i="103"/>
  <c r="H350" i="58"/>
  <c r="BA159" i="103"/>
  <c r="BA359" i="103"/>
  <c r="BA154" i="103"/>
  <c r="BA349" i="103"/>
  <c r="BA110" i="103"/>
  <c r="H324" i="58"/>
  <c r="BW106" i="103"/>
  <c r="BA250" i="103"/>
  <c r="AG297" i="22"/>
  <c r="BA254" i="103"/>
  <c r="H296" i="58"/>
  <c r="BA85" i="103"/>
  <c r="BA134" i="103"/>
  <c r="BW30" i="103"/>
  <c r="BA328" i="103"/>
  <c r="BA232" i="103"/>
  <c r="BA268" i="103"/>
  <c r="H288" i="58"/>
  <c r="BA161" i="103"/>
  <c r="BW200" i="103"/>
  <c r="BA251" i="103"/>
  <c r="BW285" i="103"/>
  <c r="H348" i="58"/>
  <c r="BA166" i="103"/>
  <c r="BA361" i="103"/>
  <c r="BA163" i="103"/>
  <c r="BW126" i="103"/>
  <c r="BA167" i="103"/>
  <c r="BW218" i="103"/>
  <c r="AG288" i="22"/>
  <c r="BA261" i="103"/>
  <c r="BA69" i="103"/>
  <c r="BA59" i="103"/>
  <c r="BA50" i="103"/>
  <c r="BA270" i="103"/>
  <c r="L318" i="67"/>
  <c r="H18" i="53"/>
  <c r="BA153" i="103"/>
  <c r="BA236" i="103"/>
  <c r="BW138" i="103"/>
  <c r="BA133" i="103"/>
  <c r="H374" i="58"/>
  <c r="BA279" i="103"/>
  <c r="R238" i="67"/>
  <c r="BA231" i="103"/>
  <c r="BA307" i="103"/>
  <c r="BA32" i="103"/>
  <c r="BA224" i="103"/>
  <c r="BW230" i="103"/>
  <c r="BA291" i="103"/>
  <c r="BA139" i="103"/>
  <c r="BA332" i="103"/>
  <c r="BA318" i="103"/>
  <c r="BA188" i="103"/>
  <c r="BW243" i="103"/>
  <c r="BA308" i="103"/>
  <c r="BA165" i="103"/>
  <c r="BA218" i="103"/>
  <c r="BA233" i="103"/>
  <c r="AE321" i="22"/>
  <c r="BW320" i="103"/>
  <c r="BA141" i="103"/>
  <c r="BA370" i="103"/>
  <c r="CA141" i="103"/>
  <c r="I145" i="67" s="1"/>
  <c r="BW141" i="103"/>
  <c r="BW47" i="103"/>
  <c r="BA83" i="103"/>
  <c r="BW89" i="103"/>
  <c r="CA66" i="103"/>
  <c r="I67" i="67" s="1"/>
  <c r="BA171" i="103"/>
  <c r="BW270" i="103"/>
  <c r="BA193" i="103"/>
  <c r="BA310" i="103"/>
  <c r="BW151" i="103"/>
  <c r="AL130" i="23"/>
  <c r="R67" i="67"/>
  <c r="CA203" i="103"/>
  <c r="I209" i="67" s="1"/>
  <c r="BW203" i="103"/>
  <c r="BA174" i="103"/>
  <c r="BA259" i="103"/>
  <c r="BA222" i="103"/>
  <c r="BW78" i="103"/>
  <c r="BA285" i="103"/>
  <c r="BA135" i="103"/>
  <c r="BA98" i="103"/>
  <c r="BA336" i="103"/>
  <c r="BA156" i="103"/>
  <c r="BA216" i="103"/>
  <c r="H329" i="58"/>
  <c r="H278" i="58"/>
  <c r="CF131" i="103"/>
  <c r="CF380" i="103" s="1"/>
  <c r="BA136" i="103"/>
  <c r="CA196" i="103"/>
  <c r="I202" i="67" s="1"/>
  <c r="CD380" i="103"/>
  <c r="BW33" i="103"/>
  <c r="BA365" i="103"/>
  <c r="BA204" i="103"/>
  <c r="BA158" i="103"/>
  <c r="H307" i="58"/>
  <c r="BA170" i="103"/>
  <c r="BA119" i="103"/>
  <c r="BA126" i="103"/>
  <c r="BA327" i="103"/>
  <c r="BA217" i="103"/>
  <c r="BA369" i="103"/>
  <c r="AE317" i="22"/>
  <c r="BA186" i="103"/>
  <c r="BA179" i="103"/>
  <c r="BA314" i="103"/>
  <c r="BA301" i="103"/>
  <c r="BA194" i="103"/>
  <c r="CA234" i="103"/>
  <c r="I241" i="67" s="1"/>
  <c r="BA329" i="103"/>
  <c r="BA355" i="103"/>
  <c r="BW268" i="103"/>
  <c r="L276" i="67"/>
  <c r="BA132" i="103"/>
  <c r="CD382" i="103"/>
  <c r="N13" i="64"/>
  <c r="BA276" i="103"/>
  <c r="BA146" i="103"/>
  <c r="BW38" i="103"/>
  <c r="BA89" i="103"/>
  <c r="BA189" i="103"/>
  <c r="BA191" i="103"/>
  <c r="BA41" i="103"/>
  <c r="BA364" i="103"/>
  <c r="BA241" i="103"/>
  <c r="BW20" i="103"/>
  <c r="BA330" i="103"/>
  <c r="BA335" i="103"/>
  <c r="BA178" i="103"/>
  <c r="BA331" i="103"/>
  <c r="BW98" i="103"/>
  <c r="CA323" i="103"/>
  <c r="BW323" i="103"/>
  <c r="BW311" i="103"/>
  <c r="BA342" i="103"/>
  <c r="CA41" i="103"/>
  <c r="I41" i="67" s="1"/>
  <c r="BA352" i="103"/>
  <c r="BA228" i="103"/>
  <c r="BA319" i="103"/>
  <c r="CA259" i="103"/>
  <c r="I267" i="67" s="1"/>
  <c r="BW259" i="103"/>
  <c r="BA325" i="103"/>
  <c r="O18" i="13"/>
  <c r="BA157" i="103"/>
  <c r="BA200" i="103"/>
  <c r="BW123" i="103"/>
  <c r="R28" i="67"/>
  <c r="O74" i="13"/>
  <c r="BA282" i="103"/>
  <c r="BW83" i="103"/>
  <c r="BA311" i="103"/>
  <c r="BA267" i="103"/>
  <c r="BA358" i="103"/>
  <c r="BA35" i="103"/>
  <c r="BA209" i="103"/>
  <c r="BA316" i="103"/>
  <c r="BA66" i="103"/>
  <c r="BA273" i="103"/>
  <c r="BA252" i="103"/>
  <c r="BA373" i="103"/>
  <c r="CH99" i="103"/>
  <c r="H282" i="58"/>
  <c r="BA256" i="103"/>
  <c r="BA246" i="103"/>
  <c r="R241" i="67"/>
  <c r="BA201" i="103"/>
  <c r="BA47" i="103"/>
  <c r="CA224" i="103"/>
  <c r="I231" i="67" s="1"/>
  <c r="BW316" i="103"/>
  <c r="BA237" i="103"/>
  <c r="BW278" i="103"/>
  <c r="BA196" i="103"/>
  <c r="CA240" i="103"/>
  <c r="I247" i="67" s="1"/>
  <c r="BW240" i="103"/>
  <c r="CA199" i="103"/>
  <c r="I205" i="67" s="1"/>
  <c r="BW199" i="103"/>
  <c r="CA357" i="103"/>
  <c r="BW357" i="103"/>
  <c r="BA305" i="103"/>
  <c r="BA38" i="103"/>
  <c r="BA108" i="103"/>
  <c r="CA372" i="103"/>
  <c r="BW372" i="103"/>
  <c r="BA244" i="103"/>
  <c r="BA123" i="103"/>
  <c r="BA253" i="103"/>
  <c r="BW275" i="103"/>
  <c r="BA281" i="103"/>
  <c r="BA320" i="103"/>
  <c r="BA247" i="103"/>
  <c r="AG291" i="22"/>
  <c r="CA266" i="103"/>
  <c r="I274" i="67" s="1"/>
  <c r="BW266" i="103"/>
  <c r="BA374" i="103"/>
  <c r="BA214" i="103"/>
  <c r="AG376" i="22"/>
  <c r="BA60" i="103"/>
  <c r="BA147" i="103"/>
  <c r="BA334" i="103"/>
  <c r="BA208" i="103"/>
  <c r="BA65" i="103"/>
  <c r="BA366" i="103"/>
  <c r="CA101" i="103"/>
  <c r="I104" i="67" s="1"/>
  <c r="BW101" i="103"/>
  <c r="BA107" i="103"/>
  <c r="BA192" i="103"/>
  <c r="BA367" i="103"/>
  <c r="BA183" i="103"/>
  <c r="BA363" i="103"/>
  <c r="C153" i="13"/>
  <c r="BA104" i="103"/>
  <c r="BA215" i="103"/>
  <c r="BA185" i="103"/>
  <c r="CA299" i="103"/>
  <c r="C194" i="13"/>
  <c r="C24" i="13"/>
  <c r="C165" i="13"/>
  <c r="BA303" i="103"/>
  <c r="BW246" i="103"/>
  <c r="BA95" i="103"/>
  <c r="BA324" i="103"/>
  <c r="BA195" i="103"/>
  <c r="BA304" i="103"/>
  <c r="CA131" i="103"/>
  <c r="I135" i="67" s="1"/>
  <c r="BW131" i="103"/>
  <c r="BA94" i="103"/>
  <c r="BA293" i="103"/>
  <c r="C110" i="13"/>
  <c r="BA54" i="103"/>
  <c r="BA77" i="103"/>
  <c r="O5" i="13"/>
  <c r="C109" i="13"/>
  <c r="R231" i="67"/>
  <c r="BA97" i="103"/>
  <c r="BA149" i="103"/>
  <c r="BA238" i="103"/>
  <c r="BA356" i="103"/>
  <c r="L303" i="67"/>
  <c r="BA230" i="103"/>
  <c r="BA372" i="103"/>
  <c r="AG322" i="22"/>
  <c r="BA175" i="103"/>
  <c r="BA137" i="103"/>
  <c r="CA341" i="103"/>
  <c r="BW341" i="103"/>
  <c r="BA181" i="103"/>
  <c r="BA255" i="103"/>
  <c r="H303" i="58"/>
  <c r="H300" i="58"/>
  <c r="R101" i="67"/>
  <c r="H228" i="58"/>
  <c r="H343" i="58"/>
  <c r="BW44" i="103"/>
  <c r="CA75" i="103"/>
  <c r="I77" i="67" s="1"/>
  <c r="BW75" i="103"/>
  <c r="R354" i="67"/>
  <c r="R386" i="67"/>
  <c r="CA208" i="103"/>
  <c r="I214" i="67" s="1"/>
  <c r="BW208" i="103"/>
  <c r="CA288" i="103"/>
  <c r="BW288" i="103"/>
  <c r="C33" i="13"/>
  <c r="C184" i="13"/>
  <c r="BA226" i="103"/>
  <c r="BA92" i="103"/>
  <c r="CA297" i="103"/>
  <c r="BW297" i="103"/>
  <c r="C175" i="13"/>
  <c r="O19" i="13"/>
  <c r="O47" i="13"/>
  <c r="O22" i="13"/>
  <c r="BA260" i="103"/>
  <c r="BB377" i="103"/>
  <c r="C97" i="13"/>
  <c r="CD387" i="103"/>
  <c r="CF55" i="103"/>
  <c r="BA55" i="103" s="1"/>
  <c r="BA206" i="103"/>
  <c r="BA375" i="103"/>
  <c r="BW120" i="103"/>
  <c r="CA348" i="103"/>
  <c r="BW348" i="103"/>
  <c r="CA294" i="103"/>
  <c r="BW294" i="103"/>
  <c r="BA53" i="103"/>
  <c r="BA344" i="103"/>
  <c r="BA180" i="103"/>
  <c r="BA229" i="103"/>
  <c r="BA117" i="103"/>
  <c r="BA338" i="103"/>
  <c r="BA306" i="103"/>
  <c r="BA120" i="103"/>
  <c r="BA323" i="103"/>
  <c r="BA350" i="103"/>
  <c r="C129" i="13"/>
  <c r="H371" i="58"/>
  <c r="CI385" i="103"/>
  <c r="BW209" i="103"/>
  <c r="R86" i="67"/>
  <c r="BA326" i="103"/>
  <c r="BA138" i="103"/>
  <c r="CA104" i="103"/>
  <c r="I107" i="67" s="1"/>
  <c r="BW104" i="103"/>
  <c r="H243" i="58"/>
  <c r="O27" i="13"/>
  <c r="BA290" i="103"/>
  <c r="CA239" i="103"/>
  <c r="I246" i="67" s="1"/>
  <c r="BW239" i="103"/>
  <c r="CA84" i="103"/>
  <c r="I86" i="67" s="1"/>
  <c r="CA300" i="103"/>
  <c r="BW300" i="103"/>
  <c r="H354" i="58"/>
  <c r="H318" i="58"/>
  <c r="BA274" i="103"/>
  <c r="H63" i="58"/>
  <c r="C147" i="13"/>
  <c r="CB219" i="103"/>
  <c r="L225" i="67" s="1"/>
  <c r="C151" i="13"/>
  <c r="BA294" i="103"/>
  <c r="CA72" i="103"/>
  <c r="I74" i="67" s="1"/>
  <c r="H372" i="58"/>
  <c r="AG336" i="22"/>
  <c r="BA277" i="103"/>
  <c r="CA62" i="103"/>
  <c r="I63" i="67" s="1"/>
  <c r="BA300" i="103"/>
  <c r="BA150" i="103"/>
  <c r="C159" i="13"/>
  <c r="BA220" i="103"/>
  <c r="BA86" i="103"/>
  <c r="CH26" i="103"/>
  <c r="H297" i="58"/>
  <c r="CA335" i="103"/>
  <c r="BA182" i="103"/>
  <c r="BA243" i="103"/>
  <c r="CA303" i="103"/>
  <c r="BW303" i="103"/>
  <c r="BX380" i="103"/>
  <c r="BX387" i="103"/>
  <c r="C9" i="13"/>
  <c r="O67" i="13"/>
  <c r="BA81" i="103"/>
  <c r="BA207" i="103"/>
  <c r="BA223" i="103"/>
  <c r="CA261" i="103"/>
  <c r="I269" i="67" s="1"/>
  <c r="BW261" i="103"/>
  <c r="CA117" i="103"/>
  <c r="I120" i="67" s="1"/>
  <c r="BW117" i="103"/>
  <c r="O45" i="13"/>
  <c r="AM382" i="103"/>
  <c r="CA260" i="103"/>
  <c r="I268" i="67" s="1"/>
  <c r="BW260" i="103"/>
  <c r="BA199" i="103"/>
  <c r="CB31" i="103"/>
  <c r="L31" i="67" s="1"/>
  <c r="C30" i="13"/>
  <c r="C76" i="13"/>
  <c r="C46" i="13"/>
  <c r="AM383" i="103"/>
  <c r="BA125" i="103"/>
  <c r="BA198" i="103"/>
  <c r="BA148" i="103"/>
  <c r="CA191" i="103"/>
  <c r="I196" i="67" s="1"/>
  <c r="CF368" i="103"/>
  <c r="BA368" i="103" s="1"/>
  <c r="CF23" i="103"/>
  <c r="BA23" i="103" s="1"/>
  <c r="C134" i="13"/>
  <c r="BA296" i="103"/>
  <c r="BA184" i="103"/>
  <c r="C188" i="13"/>
  <c r="C166" i="13"/>
  <c r="O11" i="13"/>
  <c r="CB226" i="103"/>
  <c r="L233" i="67" s="1"/>
  <c r="O6" i="13"/>
  <c r="BA176" i="103"/>
  <c r="CA214" i="103"/>
  <c r="I220" i="67" s="1"/>
  <c r="BW214" i="103"/>
  <c r="BZ387" i="103"/>
  <c r="CA302" i="103"/>
  <c r="BA354" i="103"/>
  <c r="CA291" i="103"/>
  <c r="BW291" i="103"/>
  <c r="AQ142" i="22"/>
  <c r="BA346" i="103"/>
  <c r="H330" i="58"/>
  <c r="CA269" i="103"/>
  <c r="BW269" i="103"/>
  <c r="H365" i="58"/>
  <c r="H227" i="58"/>
  <c r="CA15" i="103"/>
  <c r="I15" i="67" s="1"/>
  <c r="CB112" i="103"/>
  <c r="L115" i="67" s="1"/>
  <c r="R377" i="67"/>
  <c r="O80" i="13"/>
  <c r="H337" i="58"/>
  <c r="C73" i="13"/>
  <c r="CI384" i="103"/>
  <c r="H308" i="58"/>
  <c r="BA197" i="103"/>
  <c r="R202" i="67"/>
  <c r="CA338" i="103"/>
  <c r="BW338" i="103"/>
  <c r="CB113" i="103"/>
  <c r="L116" i="67" s="1"/>
  <c r="BX385" i="103"/>
  <c r="BA278" i="103"/>
  <c r="BA219" i="103"/>
  <c r="CA135" i="103"/>
  <c r="I139" i="67" s="1"/>
  <c r="BW135" i="103"/>
  <c r="CF14" i="103"/>
  <c r="BA14" i="103" s="1"/>
  <c r="CA185" i="103"/>
  <c r="I190" i="67" s="1"/>
  <c r="CB250" i="103"/>
  <c r="L257" i="67" s="1"/>
  <c r="H285" i="58"/>
  <c r="CA194" i="103"/>
  <c r="I200" i="67" s="1"/>
  <c r="CA367" i="103"/>
  <c r="CA169" i="103"/>
  <c r="I174" i="67" s="1"/>
  <c r="BW169" i="103"/>
  <c r="CA136" i="103"/>
  <c r="I140" i="67" s="1"/>
  <c r="C17" i="13"/>
  <c r="C128" i="13"/>
  <c r="BL388" i="103"/>
  <c r="BA151" i="103"/>
  <c r="CA333" i="103"/>
  <c r="BA211" i="103"/>
  <c r="BZ377" i="103"/>
  <c r="CD385" i="103"/>
  <c r="BA145" i="103"/>
  <c r="CA317" i="103"/>
  <c r="CA23" i="103"/>
  <c r="I23" i="67" s="1"/>
  <c r="BW23" i="103"/>
  <c r="C116" i="13"/>
  <c r="C26" i="13"/>
  <c r="CA54" i="103"/>
  <c r="I55" i="67" s="1"/>
  <c r="C131" i="13"/>
  <c r="C152" i="13"/>
  <c r="O50" i="13"/>
  <c r="BA299" i="103"/>
  <c r="BA24" i="103"/>
  <c r="BA309" i="103"/>
  <c r="CI379" i="103"/>
  <c r="C90" i="13"/>
  <c r="CF21" i="103"/>
  <c r="BA21" i="103" s="1"/>
  <c r="C89" i="13"/>
  <c r="C94" i="13"/>
  <c r="C75" i="13"/>
  <c r="H134" i="58"/>
  <c r="BA357" i="103"/>
  <c r="CB125" i="103"/>
  <c r="L128" i="67" s="1"/>
  <c r="BB379" i="103"/>
  <c r="CA279" i="103"/>
  <c r="CA281" i="103"/>
  <c r="CF27" i="103"/>
  <c r="BA27" i="103" s="1"/>
  <c r="AM378" i="103"/>
  <c r="CA202" i="103"/>
  <c r="I208" i="67" s="1"/>
  <c r="BX382" i="103"/>
  <c r="CC378" i="103"/>
  <c r="C86" i="13"/>
  <c r="CF75" i="103"/>
  <c r="BA75" i="103" s="1"/>
  <c r="O57" i="13"/>
  <c r="CF15" i="103"/>
  <c r="BA15" i="103" s="1"/>
  <c r="CA45" i="103"/>
  <c r="I46" i="67" s="1"/>
  <c r="C83" i="13"/>
  <c r="C19" i="13"/>
  <c r="C193" i="13"/>
  <c r="O78" i="13"/>
  <c r="C146" i="13"/>
  <c r="BA221" i="103"/>
  <c r="AM387" i="103"/>
  <c r="C191" i="13"/>
  <c r="C190" i="13"/>
  <c r="CA127" i="103"/>
  <c r="I130" i="67" s="1"/>
  <c r="CB36" i="103"/>
  <c r="L36" i="67" s="1"/>
  <c r="CB149" i="103"/>
  <c r="L153" i="67" s="1"/>
  <c r="CA255" i="103"/>
  <c r="I263" i="67" s="1"/>
  <c r="CA150" i="103"/>
  <c r="I154" i="67" s="1"/>
  <c r="O13" i="13"/>
  <c r="O55" i="13"/>
  <c r="CA145" i="103"/>
  <c r="I149" i="67" s="1"/>
  <c r="CH112" i="103"/>
  <c r="CA79" i="103"/>
  <c r="I81" i="67" s="1"/>
  <c r="CB132" i="103"/>
  <c r="L136" i="67" s="1"/>
  <c r="CB319" i="103"/>
  <c r="C102" i="13"/>
  <c r="BA351" i="103"/>
  <c r="CF313" i="103"/>
  <c r="BA312" i="103"/>
  <c r="BA333" i="103"/>
  <c r="CA245" i="103"/>
  <c r="I252" i="67" s="1"/>
  <c r="BW245" i="103"/>
  <c r="C160" i="13"/>
  <c r="H128" i="58"/>
  <c r="CF51" i="103"/>
  <c r="BA51" i="103" s="1"/>
  <c r="H16" i="58"/>
  <c r="AA381" i="103"/>
  <c r="CI380" i="103"/>
  <c r="O23" i="13"/>
  <c r="C197" i="13"/>
  <c r="CF343" i="103"/>
  <c r="BA343" i="103" s="1"/>
  <c r="CA63" i="103"/>
  <c r="I64" i="67" s="1"/>
  <c r="BW63" i="103"/>
  <c r="CA263" i="103"/>
  <c r="I271" i="67" s="1"/>
  <c r="BW263" i="103"/>
  <c r="CA51" i="103"/>
  <c r="I52" i="67" s="1"/>
  <c r="BW51" i="103"/>
  <c r="CA153" i="103"/>
  <c r="I157" i="67" s="1"/>
  <c r="BW153" i="103"/>
  <c r="CF33" i="103"/>
  <c r="BA33" i="103" s="1"/>
  <c r="CF61" i="103"/>
  <c r="BA61" i="103" s="1"/>
  <c r="C25" i="13"/>
  <c r="CF44" i="103"/>
  <c r="BA44" i="103" s="1"/>
  <c r="CB298" i="103"/>
  <c r="CA257" i="103"/>
  <c r="I265" i="67" s="1"/>
  <c r="CB336" i="103"/>
  <c r="CA271" i="103"/>
  <c r="BW271" i="103"/>
  <c r="CF295" i="103"/>
  <c r="CA296" i="103"/>
  <c r="CA359" i="103"/>
  <c r="C203" i="13"/>
  <c r="CF227" i="103"/>
  <c r="BA227" i="103" s="1"/>
  <c r="CB152" i="103"/>
  <c r="L156" i="67" s="1"/>
  <c r="CF84" i="103"/>
  <c r="BA84" i="103" s="1"/>
  <c r="CH115" i="103"/>
  <c r="H96" i="58"/>
  <c r="CA332" i="103"/>
  <c r="BA164" i="103"/>
  <c r="CA290" i="103"/>
  <c r="CA308" i="103"/>
  <c r="CA81" i="103"/>
  <c r="I83" i="67" s="1"/>
  <c r="BW81" i="103"/>
  <c r="H127" i="58"/>
  <c r="C29" i="13"/>
  <c r="H245" i="58"/>
  <c r="CB182" i="103"/>
  <c r="L187" i="67" s="1"/>
  <c r="H279" i="58"/>
  <c r="BA168" i="103"/>
  <c r="C195" i="13"/>
  <c r="CA25" i="103"/>
  <c r="I25" i="67" s="1"/>
  <c r="BW25" i="103"/>
  <c r="CF371" i="103"/>
  <c r="BA371" i="103" s="1"/>
  <c r="C401" i="58"/>
  <c r="CH73" i="103"/>
  <c r="C5" i="13"/>
  <c r="CA227" i="103"/>
  <c r="I234" i="67" s="1"/>
  <c r="BW227" i="103"/>
  <c r="AO318" i="22"/>
  <c r="R327" i="67"/>
  <c r="H266" i="58"/>
  <c r="CA158" i="103"/>
  <c r="I162" i="67" s="1"/>
  <c r="CF20" i="103"/>
  <c r="BA20" i="103" s="1"/>
  <c r="CA220" i="103"/>
  <c r="I226" i="67" s="1"/>
  <c r="H239" i="58"/>
  <c r="CF348" i="103"/>
  <c r="BA348" i="103" s="1"/>
  <c r="CB322" i="103"/>
  <c r="C200" i="13"/>
  <c r="O16" i="13"/>
  <c r="BA63" i="103"/>
  <c r="CA111" i="103"/>
  <c r="I114" i="67" s="1"/>
  <c r="BW111" i="103"/>
  <c r="R18" i="67"/>
  <c r="C39" i="13"/>
  <c r="H78" i="58"/>
  <c r="CA293" i="103"/>
  <c r="CA305" i="103"/>
  <c r="CA163" i="103"/>
  <c r="I168" i="67" s="1"/>
  <c r="CA201" i="103"/>
  <c r="I207" i="67" s="1"/>
  <c r="CB167" i="103"/>
  <c r="L172" i="67" s="1"/>
  <c r="BA203" i="103"/>
  <c r="CA172" i="103"/>
  <c r="I177" i="67" s="1"/>
  <c r="CA264" i="103"/>
  <c r="I272" i="67" s="1"/>
  <c r="BW264" i="103"/>
  <c r="CA156" i="103"/>
  <c r="I160" i="67" s="1"/>
  <c r="BW156" i="103"/>
  <c r="CF298" i="103"/>
  <c r="CB355" i="103"/>
  <c r="CA128" i="103"/>
  <c r="I131" i="67" s="1"/>
  <c r="BW128" i="103"/>
  <c r="AO173" i="22"/>
  <c r="R177" i="67"/>
  <c r="CA206" i="103"/>
  <c r="I212" i="67" s="1"/>
  <c r="BW206" i="103"/>
  <c r="BA242" i="103"/>
  <c r="CB121" i="103"/>
  <c r="L124" i="67" s="1"/>
  <c r="H80" i="58"/>
  <c r="CA198" i="103"/>
  <c r="I204" i="67" s="1"/>
  <c r="O26" i="13"/>
  <c r="CA95" i="103"/>
  <c r="I97" i="67" s="1"/>
  <c r="BW95" i="103"/>
  <c r="CA28" i="103"/>
  <c r="I28" i="67" s="1"/>
  <c r="AQ209" i="22"/>
  <c r="C127" i="13"/>
  <c r="C48" i="13"/>
  <c r="O32" i="13"/>
  <c r="CA103" i="103"/>
  <c r="I106" i="67" s="1"/>
  <c r="CA12" i="103"/>
  <c r="I12" i="67" s="1"/>
  <c r="BW12" i="103"/>
  <c r="BA317" i="103"/>
  <c r="H39" i="58"/>
  <c r="CA178" i="103"/>
  <c r="I183" i="67" s="1"/>
  <c r="C12" i="13"/>
  <c r="C16" i="13"/>
  <c r="CA35" i="103"/>
  <c r="I35" i="67" s="1"/>
  <c r="CB87" i="103"/>
  <c r="L89" i="67" s="1"/>
  <c r="C78" i="13"/>
  <c r="CB24" i="103"/>
  <c r="L24" i="67" s="1"/>
  <c r="C125" i="13"/>
  <c r="CH19" i="103"/>
  <c r="C27" i="13"/>
  <c r="H333" i="58"/>
  <c r="CH386" i="103"/>
  <c r="O17" i="13"/>
  <c r="CA166" i="103"/>
  <c r="I171" i="67" s="1"/>
  <c r="C179" i="13"/>
  <c r="CI381" i="103"/>
  <c r="CF263" i="103"/>
  <c r="BA263" i="103" s="1"/>
  <c r="C118" i="13"/>
  <c r="O40" i="13"/>
  <c r="O83" i="13"/>
  <c r="AO104" i="22"/>
  <c r="R106" i="67"/>
  <c r="CH109" i="103"/>
  <c r="CF116" i="103"/>
  <c r="BA116" i="103" s="1"/>
  <c r="H147" i="58"/>
  <c r="CF46" i="103"/>
  <c r="BA46" i="103" s="1"/>
  <c r="CF22" i="103"/>
  <c r="BA22" i="103" s="1"/>
  <c r="H160" i="58"/>
  <c r="CF36" i="103"/>
  <c r="BA36" i="103" s="1"/>
  <c r="CB105" i="103"/>
  <c r="L108" i="67" s="1"/>
  <c r="CB333" i="103"/>
  <c r="CB217" i="103"/>
  <c r="L223" i="67" s="1"/>
  <c r="CB310" i="103"/>
  <c r="CA146" i="103"/>
  <c r="I150" i="67" s="1"/>
  <c r="CA190" i="103"/>
  <c r="I195" i="67" s="1"/>
  <c r="E388" i="58"/>
  <c r="CB56" i="103"/>
  <c r="L57" i="67" s="1"/>
  <c r="O76" i="13"/>
  <c r="C58" i="13"/>
  <c r="C31" i="13"/>
  <c r="CI376" i="103"/>
  <c r="CB102" i="103"/>
  <c r="L105" i="67" s="1"/>
  <c r="CA13" i="103"/>
  <c r="I13" i="67" s="1"/>
  <c r="CB58" i="103"/>
  <c r="L59" i="67" s="1"/>
  <c r="CA34" i="103"/>
  <c r="I34" i="67" s="1"/>
  <c r="CA364" i="103"/>
  <c r="CF28" i="103"/>
  <c r="BA28" i="103" s="1"/>
  <c r="CF40" i="103"/>
  <c r="BA40" i="103" s="1"/>
  <c r="CA349" i="103"/>
  <c r="CF49" i="103"/>
  <c r="BA49" i="103" s="1"/>
  <c r="C95" i="13"/>
  <c r="CA115" i="103"/>
  <c r="I118" i="67" s="1"/>
  <c r="CB17" i="103"/>
  <c r="L17" i="67" s="1"/>
  <c r="BX384" i="103"/>
  <c r="CA233" i="103"/>
  <c r="I240" i="67" s="1"/>
  <c r="CA157" i="103"/>
  <c r="I161" i="67" s="1"/>
  <c r="CA215" i="103"/>
  <c r="I221" i="67" s="1"/>
  <c r="CA274" i="103"/>
  <c r="CF264" i="103"/>
  <c r="BA264" i="103" s="1"/>
  <c r="CA165" i="103"/>
  <c r="I170" i="67" s="1"/>
  <c r="CB330" i="103"/>
  <c r="O64" i="13"/>
  <c r="C201" i="13"/>
  <c r="H169" i="58"/>
  <c r="H356" i="58"/>
  <c r="H213" i="58"/>
  <c r="H71" i="58"/>
  <c r="E401" i="58"/>
  <c r="CA342" i="103"/>
  <c r="AA380" i="103"/>
  <c r="CB118" i="103"/>
  <c r="L121" i="67" s="1"/>
  <c r="AA377" i="103"/>
  <c r="AA379" i="103"/>
  <c r="CB90" i="103"/>
  <c r="L92" i="67" s="1"/>
  <c r="CA50" i="103"/>
  <c r="I51" i="67" s="1"/>
  <c r="CI377" i="103"/>
  <c r="CB61" i="103"/>
  <c r="L62" i="67" s="1"/>
  <c r="CB122" i="103"/>
  <c r="L125" i="67" s="1"/>
  <c r="CA76" i="103"/>
  <c r="I78" i="67" s="1"/>
  <c r="CB43" i="103"/>
  <c r="L44" i="67" s="1"/>
  <c r="CF245" i="103"/>
  <c r="CA134" i="103"/>
  <c r="I138" i="67" s="1"/>
  <c r="H233" i="58"/>
  <c r="C99" i="13"/>
  <c r="CB184" i="103"/>
  <c r="L189" i="67" s="1"/>
  <c r="CA225" i="103"/>
  <c r="I232" i="67" s="1"/>
  <c r="H154" i="58"/>
  <c r="CB331" i="103"/>
  <c r="CA324" i="103"/>
  <c r="CA353" i="103"/>
  <c r="CA99" i="103"/>
  <c r="I101" i="67" s="1"/>
  <c r="BC388" i="103"/>
  <c r="C40" i="13"/>
  <c r="C7" i="13"/>
  <c r="BZ382" i="103"/>
  <c r="H60" i="58"/>
  <c r="CA139" i="103"/>
  <c r="I143" i="67" s="1"/>
  <c r="CF127" i="103"/>
  <c r="BA127" i="103" s="1"/>
  <c r="CA74" i="103"/>
  <c r="I76" i="67" s="1"/>
  <c r="C199" i="13"/>
  <c r="CH118" i="103"/>
  <c r="H141" i="58"/>
  <c r="CB110" i="103"/>
  <c r="L113" i="67" s="1"/>
  <c r="O54" i="13"/>
  <c r="CA258" i="103"/>
  <c r="I266" i="67" s="1"/>
  <c r="CH382" i="103"/>
  <c r="CA369" i="103"/>
  <c r="BX381" i="103"/>
  <c r="CB304" i="103"/>
  <c r="CA329" i="103"/>
  <c r="CB155" i="103"/>
  <c r="L159" i="67" s="1"/>
  <c r="H361" i="58"/>
  <c r="C196" i="13"/>
  <c r="C150" i="13"/>
  <c r="O85" i="13"/>
  <c r="CA204" i="103"/>
  <c r="I210" i="67" s="1"/>
  <c r="AA378" i="103"/>
  <c r="H207" i="58"/>
  <c r="CH31" i="103"/>
  <c r="CB53" i="103"/>
  <c r="L54" i="67" s="1"/>
  <c r="CA26" i="103"/>
  <c r="I26" i="67" s="1"/>
  <c r="H18" i="58"/>
  <c r="CF43" i="103"/>
  <c r="BA43" i="103" s="1"/>
  <c r="CA21" i="103"/>
  <c r="I21" i="67" s="1"/>
  <c r="CA361" i="103"/>
  <c r="H349" i="58"/>
  <c r="H144" i="58"/>
  <c r="CH34" i="103"/>
  <c r="CA29" i="103"/>
  <c r="I29" i="67" s="1"/>
  <c r="H220" i="58"/>
  <c r="C43" i="13"/>
  <c r="CH29" i="103"/>
  <c r="CB339" i="103"/>
  <c r="H138" i="58"/>
  <c r="H221" i="58"/>
  <c r="AA382" i="103"/>
  <c r="CC387" i="103"/>
  <c r="O39" i="13"/>
  <c r="CA276" i="103"/>
  <c r="O25" i="13"/>
  <c r="CA256" i="103"/>
  <c r="I264" i="67" s="1"/>
  <c r="CF262" i="103"/>
  <c r="BA262" i="103" s="1"/>
  <c r="AA387" i="103"/>
  <c r="CA251" i="103"/>
  <c r="I258" i="67" s="1"/>
  <c r="CB229" i="103"/>
  <c r="L236" i="67" s="1"/>
  <c r="CF58" i="103"/>
  <c r="BA58" i="103" s="1"/>
  <c r="C11" i="13"/>
  <c r="CA73" i="103"/>
  <c r="I75" i="67" s="1"/>
  <c r="CB55" i="103"/>
  <c r="L56" i="67" s="1"/>
  <c r="H48" i="58"/>
  <c r="H251" i="58"/>
  <c r="BA57" i="103"/>
  <c r="H13" i="58"/>
  <c r="CA27" i="103"/>
  <c r="I27" i="67" s="1"/>
  <c r="H21" i="58"/>
  <c r="H231" i="58"/>
  <c r="CF39" i="103"/>
  <c r="BA39" i="103" s="1"/>
  <c r="CA67" i="103"/>
  <c r="I68" i="67" s="1"/>
  <c r="H77" i="58"/>
  <c r="H159" i="58"/>
  <c r="H83" i="58"/>
  <c r="H261" i="58"/>
  <c r="CA197" i="103"/>
  <c r="I203" i="67" s="1"/>
  <c r="CA107" i="103"/>
  <c r="I110" i="67" s="1"/>
  <c r="AA383" i="103"/>
  <c r="CA363" i="103"/>
  <c r="CA174" i="103"/>
  <c r="I179" i="67" s="1"/>
  <c r="CB327" i="103"/>
  <c r="CB222" i="103"/>
  <c r="L228" i="67" s="1"/>
  <c r="CA322" i="103"/>
  <c r="CF265" i="103"/>
  <c r="BA265" i="103" s="1"/>
  <c r="AA385" i="103"/>
  <c r="CA142" i="103"/>
  <c r="I146" i="67" s="1"/>
  <c r="H201" i="58"/>
  <c r="CB88" i="103"/>
  <c r="L90" i="67" s="1"/>
  <c r="H104" i="58"/>
  <c r="CF106" i="103"/>
  <c r="BA106" i="103" s="1"/>
  <c r="H136" i="58"/>
  <c r="H193" i="58"/>
  <c r="CA57" i="103"/>
  <c r="I58" i="67" s="1"/>
  <c r="H19" i="58"/>
  <c r="CF25" i="103"/>
  <c r="BA25" i="103" s="1"/>
  <c r="O56" i="13"/>
  <c r="CB340" i="103"/>
  <c r="H145" i="58"/>
  <c r="CB328" i="103"/>
  <c r="H260" i="58"/>
  <c r="C185" i="13"/>
  <c r="O82" i="13"/>
  <c r="C170" i="13"/>
  <c r="O34" i="13"/>
  <c r="CA373" i="103"/>
  <c r="AA384" i="103"/>
  <c r="H174" i="58"/>
  <c r="H196" i="58"/>
  <c r="H143" i="58"/>
  <c r="H139" i="58"/>
  <c r="H189" i="58"/>
  <c r="H151" i="58"/>
  <c r="H130" i="58"/>
  <c r="H81" i="58"/>
  <c r="I198" i="67"/>
  <c r="H68" i="58"/>
  <c r="H99" i="58"/>
  <c r="H178" i="58"/>
  <c r="H204" i="58"/>
  <c r="H225" i="58"/>
  <c r="H15" i="58"/>
  <c r="H142" i="58"/>
  <c r="CD99" i="103"/>
  <c r="BX99" i="103" s="1"/>
  <c r="Y376" i="58"/>
  <c r="AA11" i="58"/>
  <c r="AC11" i="58"/>
  <c r="Z11" i="58"/>
  <c r="AB11" i="58"/>
  <c r="AO179" i="22"/>
  <c r="R183" i="67"/>
  <c r="L135" i="67"/>
  <c r="X69" i="103"/>
  <c r="C69" i="103"/>
  <c r="W69" i="103" s="1"/>
  <c r="AB148" i="103"/>
  <c r="C163" i="13"/>
  <c r="AO101" i="22"/>
  <c r="R102" i="67"/>
  <c r="AO191" i="22"/>
  <c r="R195" i="67"/>
  <c r="C14" i="13"/>
  <c r="CA68" i="103"/>
  <c r="I69" i="67" s="1"/>
  <c r="R65" i="58"/>
  <c r="L65" i="58" s="1"/>
  <c r="H65" i="58" s="1"/>
  <c r="AE66" i="22"/>
  <c r="BY65" i="103"/>
  <c r="BW65" i="103" s="1"/>
  <c r="H69" i="58"/>
  <c r="AO140" i="22"/>
  <c r="R143" i="67"/>
  <c r="R91" i="58"/>
  <c r="L91" i="58" s="1"/>
  <c r="H91" i="58" s="1"/>
  <c r="AE92" i="22"/>
  <c r="BY91" i="103"/>
  <c r="BW91" i="103" s="1"/>
  <c r="CA46" i="103"/>
  <c r="I47" i="67" s="1"/>
  <c r="AB93" i="103"/>
  <c r="R17" i="58"/>
  <c r="L17" i="58" s="1"/>
  <c r="H17" i="58" s="1"/>
  <c r="AE18" i="22"/>
  <c r="BY17" i="103"/>
  <c r="BW17" i="103" s="1"/>
  <c r="O388" i="58"/>
  <c r="L378" i="103"/>
  <c r="H166" i="58"/>
  <c r="AB246" i="103"/>
  <c r="C120" i="13"/>
  <c r="AB71" i="103"/>
  <c r="BZ379" i="103"/>
  <c r="AB60" i="103"/>
  <c r="F379" i="103"/>
  <c r="F395" i="103"/>
  <c r="X101" i="103"/>
  <c r="C101" i="103"/>
  <c r="B106" i="13" s="1"/>
  <c r="H240" i="58"/>
  <c r="CA22" i="103"/>
  <c r="I22" i="67" s="1"/>
  <c r="C65" i="13"/>
  <c r="C135" i="13"/>
  <c r="X95" i="103"/>
  <c r="C95" i="103"/>
  <c r="W95" i="103" s="1"/>
  <c r="AO365" i="22"/>
  <c r="R375" i="67"/>
  <c r="H277" i="58"/>
  <c r="CA350" i="103"/>
  <c r="X166" i="103"/>
  <c r="C166" i="103"/>
  <c r="B178" i="13" s="1"/>
  <c r="AB68" i="103"/>
  <c r="AO46" i="22"/>
  <c r="R46" i="67"/>
  <c r="CA19" i="103"/>
  <c r="I19" i="67" s="1"/>
  <c r="C45" i="13"/>
  <c r="AB111" i="103"/>
  <c r="C82" i="13"/>
  <c r="H126" i="58"/>
  <c r="X14" i="103"/>
  <c r="C14" i="103"/>
  <c r="B7" i="13" s="1"/>
  <c r="P388" i="58"/>
  <c r="X88" i="103"/>
  <c r="C88" i="103"/>
  <c r="W88" i="103" s="1"/>
  <c r="X91" i="103"/>
  <c r="C91" i="103"/>
  <c r="W91" i="103" s="1"/>
  <c r="C85" i="13"/>
  <c r="AO68" i="22"/>
  <c r="R68" i="67"/>
  <c r="AB228" i="103"/>
  <c r="H73" i="58"/>
  <c r="AB106" i="103"/>
  <c r="AB37" i="103"/>
  <c r="AG88" i="23"/>
  <c r="AG100" i="23" s="1"/>
  <c r="X47" i="103"/>
  <c r="C47" i="103"/>
  <c r="W47" i="103" s="1"/>
  <c r="C157" i="13"/>
  <c r="C60" i="13"/>
  <c r="X18" i="103"/>
  <c r="C18" i="103"/>
  <c r="B11" i="13" s="1"/>
  <c r="AB248" i="103"/>
  <c r="X247" i="103"/>
  <c r="C247" i="103"/>
  <c r="N62" i="13" s="1"/>
  <c r="C177" i="13"/>
  <c r="X256" i="103"/>
  <c r="C256" i="103"/>
  <c r="N74" i="13" s="1"/>
  <c r="O44" i="13"/>
  <c r="O28" i="13"/>
  <c r="H264" i="58"/>
  <c r="AB265" i="103"/>
  <c r="CB301" i="103"/>
  <c r="AO370" i="22"/>
  <c r="R380" i="67"/>
  <c r="H215" i="58"/>
  <c r="C198" i="13"/>
  <c r="AO364" i="22"/>
  <c r="R374" i="67"/>
  <c r="H325" i="58"/>
  <c r="AB154" i="103"/>
  <c r="O86" i="13"/>
  <c r="AB263" i="103"/>
  <c r="CA356" i="103"/>
  <c r="AO258" i="22"/>
  <c r="R265" i="67"/>
  <c r="M387" i="103"/>
  <c r="J345" i="103"/>
  <c r="X153" i="103"/>
  <c r="C153" i="103"/>
  <c r="W153" i="103" s="1"/>
  <c r="X296" i="103"/>
  <c r="C296" i="103"/>
  <c r="X307" i="103"/>
  <c r="C307" i="103"/>
  <c r="X321" i="103"/>
  <c r="C321" i="103"/>
  <c r="W321" i="103" s="1"/>
  <c r="BW162" i="103"/>
  <c r="R184" i="58"/>
  <c r="L184" i="58" s="1"/>
  <c r="H184" i="58" s="1"/>
  <c r="AE185" i="22"/>
  <c r="BY184" i="103"/>
  <c r="BW184" i="103" s="1"/>
  <c r="H294" i="58"/>
  <c r="AB167" i="103"/>
  <c r="CB238" i="103"/>
  <c r="L245" i="67" s="1"/>
  <c r="G394" i="58"/>
  <c r="G381" i="58"/>
  <c r="L371" i="67"/>
  <c r="AG361" i="22"/>
  <c r="AB221" i="103"/>
  <c r="AB240" i="103"/>
  <c r="G438" i="67"/>
  <c r="H355" i="58"/>
  <c r="AO203" i="22"/>
  <c r="R208" i="67"/>
  <c r="G384" i="58"/>
  <c r="G397" i="58"/>
  <c r="X333" i="103"/>
  <c r="C333" i="103"/>
  <c r="W333" i="103" s="1"/>
  <c r="X211" i="103"/>
  <c r="C211" i="103"/>
  <c r="N23" i="13" s="1"/>
  <c r="P23" i="13" s="1"/>
  <c r="R331" i="58"/>
  <c r="L331" i="58" s="1"/>
  <c r="BY331" i="103"/>
  <c r="BW331" i="103" s="1"/>
  <c r="H188" i="58"/>
  <c r="L293" i="67"/>
  <c r="AG285" i="22"/>
  <c r="H340" i="58"/>
  <c r="H200" i="58"/>
  <c r="X279" i="103"/>
  <c r="C279" i="103"/>
  <c r="H262" i="58"/>
  <c r="CA176" i="103"/>
  <c r="I181" i="67" s="1"/>
  <c r="AB267" i="103"/>
  <c r="AO344" i="22"/>
  <c r="R353" i="67"/>
  <c r="R336" i="58"/>
  <c r="L336" i="58" s="1"/>
  <c r="BY336" i="103"/>
  <c r="BW336" i="103" s="1"/>
  <c r="AB112" i="103"/>
  <c r="X371" i="103"/>
  <c r="C371" i="103"/>
  <c r="W371" i="103" s="1"/>
  <c r="AB149" i="103"/>
  <c r="CB292" i="103"/>
  <c r="X332" i="103"/>
  <c r="C332" i="103"/>
  <c r="W332" i="103" s="1"/>
  <c r="H191" i="58"/>
  <c r="AB213" i="103"/>
  <c r="AB206" i="103"/>
  <c r="CB164" i="103"/>
  <c r="CD386" i="103"/>
  <c r="BX315" i="103"/>
  <c r="H158" i="58"/>
  <c r="O84" i="13"/>
  <c r="X142" i="103"/>
  <c r="C142" i="103"/>
  <c r="W142" i="103" s="1"/>
  <c r="CA365" i="103"/>
  <c r="C55" i="13"/>
  <c r="X15" i="103"/>
  <c r="C15" i="103"/>
  <c r="B8" i="13" s="1"/>
  <c r="CD67" i="103"/>
  <c r="BX67" i="103" s="1"/>
  <c r="C202" i="13"/>
  <c r="AB100" i="103"/>
  <c r="CA186" i="103"/>
  <c r="I191" i="67" s="1"/>
  <c r="AO69" i="22"/>
  <c r="R69" i="67"/>
  <c r="X41" i="103"/>
  <c r="C41" i="103"/>
  <c r="B34" i="13" s="1"/>
  <c r="AO27" i="22"/>
  <c r="R26" i="67"/>
  <c r="X336" i="103"/>
  <c r="C336" i="103"/>
  <c r="W336" i="103" s="1"/>
  <c r="AB177" i="103"/>
  <c r="X29" i="103"/>
  <c r="C29" i="103"/>
  <c r="B22" i="13" s="1"/>
  <c r="AB19" i="103"/>
  <c r="R109" i="58"/>
  <c r="L109" i="58" s="1"/>
  <c r="H109" i="58" s="1"/>
  <c r="AE110" i="22"/>
  <c r="BY109" i="103"/>
  <c r="BW109" i="103" s="1"/>
  <c r="CD96" i="103"/>
  <c r="BX96" i="103" s="1"/>
  <c r="X121" i="103"/>
  <c r="C121" i="103"/>
  <c r="B126" i="13" s="1"/>
  <c r="X225" i="103"/>
  <c r="C225" i="103"/>
  <c r="N40" i="13" s="1"/>
  <c r="X344" i="103"/>
  <c r="C344" i="103"/>
  <c r="W344" i="103" s="1"/>
  <c r="C41" i="13"/>
  <c r="H108" i="58"/>
  <c r="X123" i="103"/>
  <c r="C123" i="103"/>
  <c r="B128" i="13" s="1"/>
  <c r="C22" i="13"/>
  <c r="AO47" i="22"/>
  <c r="R47" i="67"/>
  <c r="X93" i="103"/>
  <c r="C93" i="103"/>
  <c r="W93" i="103" s="1"/>
  <c r="O401" i="58"/>
  <c r="M378" i="103"/>
  <c r="J70" i="103"/>
  <c r="C72" i="13" s="1"/>
  <c r="X262" i="103"/>
  <c r="C262" i="103"/>
  <c r="N80" i="13" s="1"/>
  <c r="R90" i="58"/>
  <c r="L90" i="58" s="1"/>
  <c r="H90" i="58" s="1"/>
  <c r="AE91" i="22"/>
  <c r="BY90" i="103"/>
  <c r="BW90" i="103" s="1"/>
  <c r="C21" i="13"/>
  <c r="BW70" i="103"/>
  <c r="L379" i="103"/>
  <c r="X89" i="103"/>
  <c r="C89" i="103"/>
  <c r="W89" i="103" s="1"/>
  <c r="AO199" i="22"/>
  <c r="R204" i="67"/>
  <c r="C63" i="13"/>
  <c r="H252" i="58"/>
  <c r="AO23" i="22"/>
  <c r="R22" i="67"/>
  <c r="AB50" i="103"/>
  <c r="C84" i="13"/>
  <c r="AO351" i="22"/>
  <c r="R361" i="67"/>
  <c r="X55" i="103"/>
  <c r="C55" i="103"/>
  <c r="W55" i="103" s="1"/>
  <c r="X26" i="103"/>
  <c r="C26" i="103"/>
  <c r="B19" i="13" s="1"/>
  <c r="AO20" i="22"/>
  <c r="R19" i="67"/>
  <c r="X73" i="103"/>
  <c r="C73" i="103"/>
  <c r="W73" i="103" s="1"/>
  <c r="H30" i="58"/>
  <c r="AB113" i="103"/>
  <c r="AO51" i="22"/>
  <c r="R51" i="67"/>
  <c r="P401" i="58"/>
  <c r="X285" i="103"/>
  <c r="C285" i="103"/>
  <c r="W285" i="103" s="1"/>
  <c r="R43" i="58"/>
  <c r="L43" i="58" s="1"/>
  <c r="H43" i="58" s="1"/>
  <c r="AE44" i="22"/>
  <c r="BY43" i="103"/>
  <c r="BW43" i="103" s="1"/>
  <c r="AB103" i="103"/>
  <c r="H75" i="58"/>
  <c r="H107" i="58"/>
  <c r="X159" i="103"/>
  <c r="C159" i="103"/>
  <c r="W159" i="103" s="1"/>
  <c r="X63" i="103"/>
  <c r="C63" i="103"/>
  <c r="W63" i="103" s="1"/>
  <c r="CF30" i="103"/>
  <c r="BA30" i="103" s="1"/>
  <c r="X33" i="103"/>
  <c r="C33" i="103"/>
  <c r="B26" i="13" s="1"/>
  <c r="C74" i="13"/>
  <c r="H76" i="58"/>
  <c r="C121" i="13"/>
  <c r="BW42" i="103"/>
  <c r="H27" i="58"/>
  <c r="X37" i="103"/>
  <c r="C37" i="103"/>
  <c r="C18" i="13"/>
  <c r="C98" i="13"/>
  <c r="AB27" i="103"/>
  <c r="Y378" i="58"/>
  <c r="AB70" i="58"/>
  <c r="AA70" i="58"/>
  <c r="Z70" i="58"/>
  <c r="AC70" i="58"/>
  <c r="X231" i="103"/>
  <c r="C231" i="103"/>
  <c r="N46" i="13" s="1"/>
  <c r="X165" i="103"/>
  <c r="C165" i="103"/>
  <c r="B177" i="13" s="1"/>
  <c r="X185" i="103"/>
  <c r="C185" i="103"/>
  <c r="B197" i="13" s="1"/>
  <c r="AO259" i="22"/>
  <c r="R266" i="67"/>
  <c r="X305" i="103"/>
  <c r="C305" i="103"/>
  <c r="X366" i="103"/>
  <c r="C366" i="103"/>
  <c r="W366" i="103" s="1"/>
  <c r="X183" i="103"/>
  <c r="C183" i="103"/>
  <c r="B195" i="13" s="1"/>
  <c r="R152" i="58"/>
  <c r="L152" i="58" s="1"/>
  <c r="H152" i="58" s="1"/>
  <c r="AE153" i="22"/>
  <c r="BY152" i="103"/>
  <c r="BW152" i="103" s="1"/>
  <c r="AB243" i="103"/>
  <c r="AB151" i="103"/>
  <c r="X281" i="103"/>
  <c r="C281" i="103"/>
  <c r="AB181" i="103"/>
  <c r="AB152" i="103"/>
  <c r="AB150" i="103"/>
  <c r="X109" i="103"/>
  <c r="C109" i="103"/>
  <c r="B114" i="13" s="1"/>
  <c r="X174" i="103"/>
  <c r="C174" i="103"/>
  <c r="B186" i="13" s="1"/>
  <c r="X201" i="103"/>
  <c r="C201" i="103"/>
  <c r="N13" i="13" s="1"/>
  <c r="P13" i="13" s="1"/>
  <c r="O8" i="13"/>
  <c r="AO357" i="22"/>
  <c r="R367" i="67"/>
  <c r="BX383" i="103"/>
  <c r="R312" i="58"/>
  <c r="L312" i="58" s="1"/>
  <c r="H312" i="58" s="1"/>
  <c r="BY312" i="103"/>
  <c r="AO151" i="22"/>
  <c r="R154" i="67"/>
  <c r="AB147" i="103"/>
  <c r="I167" i="67"/>
  <c r="H173" i="58"/>
  <c r="X324" i="103"/>
  <c r="C324" i="103"/>
  <c r="W324" i="103" s="1"/>
  <c r="O21" i="13"/>
  <c r="AO234" i="22"/>
  <c r="R240" i="67"/>
  <c r="H347" i="58"/>
  <c r="CH385" i="103"/>
  <c r="CA362" i="103"/>
  <c r="C183" i="13"/>
  <c r="H311" i="58"/>
  <c r="AQ280" i="22"/>
  <c r="X365" i="103"/>
  <c r="C365" i="103"/>
  <c r="W365" i="103" s="1"/>
  <c r="O60" i="13"/>
  <c r="AB249" i="103"/>
  <c r="H335" i="58"/>
  <c r="O20" i="13"/>
  <c r="H367" i="58"/>
  <c r="X337" i="103"/>
  <c r="C337" i="103"/>
  <c r="W337" i="103" s="1"/>
  <c r="L311" i="67"/>
  <c r="AG303" i="22"/>
  <c r="R187" i="58"/>
  <c r="L187" i="58" s="1"/>
  <c r="H187" i="58" s="1"/>
  <c r="AE188" i="22"/>
  <c r="BY187" i="103"/>
  <c r="BW187" i="103" s="1"/>
  <c r="X138" i="103"/>
  <c r="C138" i="103"/>
  <c r="W138" i="103" s="1"/>
  <c r="AB251" i="103"/>
  <c r="AB169" i="103"/>
  <c r="H212" i="58"/>
  <c r="H362" i="58"/>
  <c r="C133" i="13"/>
  <c r="AO177" i="22"/>
  <c r="R181" i="67"/>
  <c r="O81" i="13"/>
  <c r="AQ285" i="22"/>
  <c r="CC385" i="103"/>
  <c r="X271" i="103"/>
  <c r="C271" i="103"/>
  <c r="CD381" i="103"/>
  <c r="R306" i="58"/>
  <c r="L306" i="58" s="1"/>
  <c r="H306" i="58" s="1"/>
  <c r="BY306" i="103"/>
  <c r="AB218" i="103"/>
  <c r="H135" i="58"/>
  <c r="X241" i="103"/>
  <c r="C241" i="103"/>
  <c r="N56" i="13" s="1"/>
  <c r="X244" i="103"/>
  <c r="C244" i="103"/>
  <c r="N59" i="13" s="1"/>
  <c r="BA205" i="103"/>
  <c r="H331" i="58"/>
  <c r="X237" i="103"/>
  <c r="C237" i="103"/>
  <c r="N52" i="13" s="1"/>
  <c r="AO366" i="22"/>
  <c r="R376" i="67"/>
  <c r="X188" i="103"/>
  <c r="C188" i="103"/>
  <c r="B200" i="13" s="1"/>
  <c r="BA266" i="103"/>
  <c r="X100" i="103"/>
  <c r="C100" i="103"/>
  <c r="W100" i="103" s="1"/>
  <c r="AO187" i="22"/>
  <c r="R191" i="67"/>
  <c r="H237" i="58"/>
  <c r="X291" i="103"/>
  <c r="C291" i="103"/>
  <c r="AB34" i="103"/>
  <c r="X19" i="103"/>
  <c r="C19" i="103"/>
  <c r="B12" i="13" s="1"/>
  <c r="CD112" i="103"/>
  <c r="BX112" i="103" s="1"/>
  <c r="G390" i="58"/>
  <c r="G377" i="58"/>
  <c r="X246" i="103"/>
  <c r="C246" i="103"/>
  <c r="N61" i="13" s="1"/>
  <c r="AB114" i="103"/>
  <c r="I72" i="67"/>
  <c r="X71" i="103"/>
  <c r="C71" i="103"/>
  <c r="W71" i="103" s="1"/>
  <c r="M379" i="103"/>
  <c r="J101" i="103"/>
  <c r="X60" i="103"/>
  <c r="C60" i="103"/>
  <c r="W60" i="103" s="1"/>
  <c r="AB52" i="103"/>
  <c r="X68" i="103"/>
  <c r="C68" i="103"/>
  <c r="W68" i="103" s="1"/>
  <c r="AB76" i="103"/>
  <c r="X111" i="103"/>
  <c r="C111" i="103"/>
  <c r="B116" i="13" s="1"/>
  <c r="H95" i="58"/>
  <c r="AO194" i="22"/>
  <c r="R199" i="67"/>
  <c r="AB62" i="103"/>
  <c r="AB122" i="103"/>
  <c r="H56" i="58"/>
  <c r="AO141" i="22"/>
  <c r="R144" i="67"/>
  <c r="H51" i="58"/>
  <c r="H150" i="58"/>
  <c r="X228" i="103"/>
  <c r="C228" i="103"/>
  <c r="BW11" i="103"/>
  <c r="AO182" i="22"/>
  <c r="R186" i="67"/>
  <c r="CD19" i="103"/>
  <c r="BX19" i="103" s="1"/>
  <c r="H38" i="58"/>
  <c r="I43" i="67"/>
  <c r="X106" i="103"/>
  <c r="C106" i="103"/>
  <c r="B111" i="13" s="1"/>
  <c r="AB54" i="103"/>
  <c r="AO87" i="22"/>
  <c r="R88" i="67"/>
  <c r="L223" i="58"/>
  <c r="AB96" i="103"/>
  <c r="X248" i="103"/>
  <c r="C248" i="103"/>
  <c r="AO160" i="22"/>
  <c r="R163" i="67"/>
  <c r="H168" i="58"/>
  <c r="AB184" i="103"/>
  <c r="AO238" i="22"/>
  <c r="R244" i="67"/>
  <c r="X265" i="103"/>
  <c r="C265" i="103"/>
  <c r="X372" i="103"/>
  <c r="C372" i="103"/>
  <c r="W372" i="103" s="1"/>
  <c r="AB199" i="103"/>
  <c r="R210" i="58"/>
  <c r="L210" i="58" s="1"/>
  <c r="H210" i="58" s="1"/>
  <c r="AE211" i="22"/>
  <c r="BY210" i="103"/>
  <c r="BW210" i="103" s="1"/>
  <c r="AB156" i="103"/>
  <c r="X154" i="103"/>
  <c r="C154" i="103"/>
  <c r="W154" i="103" s="1"/>
  <c r="L384" i="103"/>
  <c r="H270" i="58"/>
  <c r="R180" i="58"/>
  <c r="L180" i="58" s="1"/>
  <c r="H180" i="58" s="1"/>
  <c r="AE181" i="22"/>
  <c r="BY180" i="103"/>
  <c r="BW180" i="103" s="1"/>
  <c r="X263" i="103"/>
  <c r="C263" i="103"/>
  <c r="H259" i="58"/>
  <c r="R171" i="58"/>
  <c r="L171" i="58" s="1"/>
  <c r="H171" i="58" s="1"/>
  <c r="AE172" i="22"/>
  <c r="BY171" i="103"/>
  <c r="BW171" i="103" s="1"/>
  <c r="X369" i="103"/>
  <c r="C369" i="103"/>
  <c r="W369" i="103" s="1"/>
  <c r="AM381" i="103"/>
  <c r="H185" i="58"/>
  <c r="H332" i="58"/>
  <c r="X167" i="103"/>
  <c r="C167" i="103"/>
  <c r="B179" i="13" s="1"/>
  <c r="X359" i="103"/>
  <c r="C359" i="103"/>
  <c r="W359" i="103" s="1"/>
  <c r="AB207" i="103"/>
  <c r="X375" i="103"/>
  <c r="C375" i="103"/>
  <c r="W375" i="103" s="1"/>
  <c r="X221" i="103"/>
  <c r="C221" i="103"/>
  <c r="N33" i="13" s="1"/>
  <c r="P33" i="13" s="1"/>
  <c r="L308" i="67"/>
  <c r="AG300" i="22"/>
  <c r="L339" i="67"/>
  <c r="AG330" i="22"/>
  <c r="AO363" i="22"/>
  <c r="R373" i="67"/>
  <c r="X240" i="103"/>
  <c r="C240" i="103"/>
  <c r="N55" i="13" s="1"/>
  <c r="AQ170" i="22"/>
  <c r="X367" i="103"/>
  <c r="C367" i="103"/>
  <c r="W367" i="103" s="1"/>
  <c r="X364" i="103"/>
  <c r="C364" i="103"/>
  <c r="W364" i="103" s="1"/>
  <c r="CD383" i="103"/>
  <c r="H290" i="58"/>
  <c r="AO222" i="22"/>
  <c r="R227" i="67"/>
  <c r="X341" i="103"/>
  <c r="C341" i="103"/>
  <c r="W341" i="103" s="1"/>
  <c r="X347" i="103"/>
  <c r="C347" i="103"/>
  <c r="W347" i="103" s="1"/>
  <c r="AB146" i="103"/>
  <c r="X362" i="103"/>
  <c r="C362" i="103"/>
  <c r="W362" i="103" s="1"/>
  <c r="L380" i="103"/>
  <c r="H370" i="58"/>
  <c r="BZ385" i="103"/>
  <c r="X267" i="103"/>
  <c r="C267" i="103"/>
  <c r="N85" i="13" s="1"/>
  <c r="CC381" i="103"/>
  <c r="AO243" i="22"/>
  <c r="R249" i="67"/>
  <c r="H256" i="58"/>
  <c r="AO145" i="22"/>
  <c r="R148" i="67"/>
  <c r="J12" i="53"/>
  <c r="X112" i="103"/>
  <c r="C112" i="103"/>
  <c r="B117" i="13" s="1"/>
  <c r="R219" i="58"/>
  <c r="L219" i="58" s="1"/>
  <c r="H219" i="58" s="1"/>
  <c r="AE220" i="22"/>
  <c r="BY219" i="103"/>
  <c r="BW219" i="103" s="1"/>
  <c r="AO155" i="22"/>
  <c r="R158" i="67"/>
  <c r="X149" i="103"/>
  <c r="C149" i="103"/>
  <c r="W149" i="103" s="1"/>
  <c r="AB186" i="103"/>
  <c r="CB179" i="103"/>
  <c r="L184" i="67" s="1"/>
  <c r="H326" i="58"/>
  <c r="G392" i="58"/>
  <c r="G379" i="58"/>
  <c r="AO169" i="22"/>
  <c r="R173" i="67"/>
  <c r="X213" i="103"/>
  <c r="C213" i="103"/>
  <c r="CI387" i="103"/>
  <c r="X206" i="103"/>
  <c r="C206" i="103"/>
  <c r="H363" i="58"/>
  <c r="AB200" i="103"/>
  <c r="X148" i="103"/>
  <c r="C148" i="103"/>
  <c r="W148" i="103" s="1"/>
  <c r="CF52" i="103"/>
  <c r="BA52" i="103" s="1"/>
  <c r="C92" i="13"/>
  <c r="C108" i="13"/>
  <c r="CH67" i="103"/>
  <c r="AO192" i="22"/>
  <c r="R196" i="67"/>
  <c r="CD102" i="103"/>
  <c r="BX102" i="103" s="1"/>
  <c r="H41" i="58"/>
  <c r="C96" i="13"/>
  <c r="CA188" i="103"/>
  <c r="I193" i="67" s="1"/>
  <c r="CA71" i="103"/>
  <c r="I73" i="67" s="1"/>
  <c r="AO128" i="22"/>
  <c r="R130" i="67"/>
  <c r="O29" i="13"/>
  <c r="H249" i="58"/>
  <c r="X177" i="103"/>
  <c r="C177" i="103"/>
  <c r="H274" i="58"/>
  <c r="CA309" i="103"/>
  <c r="CB64" i="103"/>
  <c r="L65" i="67" s="1"/>
  <c r="AB53" i="103"/>
  <c r="AF159" i="23"/>
  <c r="AJ88" i="23" s="1"/>
  <c r="U388" i="103"/>
  <c r="CA16" i="103"/>
  <c r="I16" i="67" s="1"/>
  <c r="CH96" i="103"/>
  <c r="AC386" i="103"/>
  <c r="AB78" i="103"/>
  <c r="AO16" i="22"/>
  <c r="R15" i="67"/>
  <c r="C93" i="13"/>
  <c r="AB24" i="103"/>
  <c r="CB49" i="103"/>
  <c r="AO14" i="22"/>
  <c r="R13" i="67"/>
  <c r="C64" i="13"/>
  <c r="C10" i="13"/>
  <c r="C111" i="13"/>
  <c r="CA130" i="103"/>
  <c r="I133" i="67" s="1"/>
  <c r="CD105" i="103"/>
  <c r="BX105" i="103" s="1"/>
  <c r="AB208" i="103"/>
  <c r="AB81" i="103"/>
  <c r="H28" i="58"/>
  <c r="X50" i="103"/>
  <c r="C50" i="103"/>
  <c r="W50" i="103" s="1"/>
  <c r="AB21" i="103"/>
  <c r="CB37" i="103"/>
  <c r="L37" i="67" s="1"/>
  <c r="CF72" i="103"/>
  <c r="BA72" i="103" s="1"/>
  <c r="H79" i="58"/>
  <c r="X12" i="103"/>
  <c r="C12" i="103"/>
  <c r="B5" i="13" s="1"/>
  <c r="CF80" i="103"/>
  <c r="BA80" i="103" s="1"/>
  <c r="G435" i="67"/>
  <c r="CA94" i="103"/>
  <c r="I96" i="67" s="1"/>
  <c r="H47" i="58"/>
  <c r="Q388" i="58"/>
  <c r="AB17" i="103"/>
  <c r="CA193" i="103"/>
  <c r="I199" i="67" s="1"/>
  <c r="X113" i="103"/>
  <c r="C113" i="103"/>
  <c r="AO75" i="22"/>
  <c r="R76" i="67"/>
  <c r="AB175" i="103"/>
  <c r="X297" i="103"/>
  <c r="C297" i="103"/>
  <c r="CA140" i="103"/>
  <c r="I144" i="67" s="1"/>
  <c r="CB82" i="103"/>
  <c r="X103" i="103"/>
  <c r="C103" i="103"/>
  <c r="AB87" i="103"/>
  <c r="CA11" i="103"/>
  <c r="C8" i="13"/>
  <c r="CG379" i="103"/>
  <c r="CA181" i="103"/>
  <c r="I186" i="67" s="1"/>
  <c r="CF12" i="103"/>
  <c r="BA12" i="103" s="1"/>
  <c r="C32" i="13"/>
  <c r="AB31" i="103"/>
  <c r="AM377" i="103"/>
  <c r="AO116" i="22"/>
  <c r="R118" i="67"/>
  <c r="BZ380" i="103"/>
  <c r="CA86" i="103"/>
  <c r="I88" i="67" s="1"/>
  <c r="AB83" i="103"/>
  <c r="H98" i="58"/>
  <c r="X27" i="103"/>
  <c r="C27" i="103"/>
  <c r="AB39" i="103"/>
  <c r="O63" i="13"/>
  <c r="CA159" i="103"/>
  <c r="I163" i="67" s="1"/>
  <c r="X273" i="103"/>
  <c r="C273" i="103"/>
  <c r="X319" i="103"/>
  <c r="C319" i="103"/>
  <c r="W319" i="103" s="1"/>
  <c r="X357" i="103"/>
  <c r="C357" i="103"/>
  <c r="W357" i="103" s="1"/>
  <c r="CA237" i="103"/>
  <c r="I244" i="67" s="1"/>
  <c r="R325" i="58"/>
  <c r="L325" i="58" s="1"/>
  <c r="BY325" i="103"/>
  <c r="BW325" i="103" s="1"/>
  <c r="C169" i="13"/>
  <c r="X197" i="103"/>
  <c r="J197" i="103"/>
  <c r="W197" i="103" s="1"/>
  <c r="O73" i="13"/>
  <c r="C156" i="13"/>
  <c r="CB210" i="103"/>
  <c r="L216" i="67" s="1"/>
  <c r="X243" i="103"/>
  <c r="C243" i="103"/>
  <c r="CB253" i="103"/>
  <c r="L260" i="67" s="1"/>
  <c r="X151" i="103"/>
  <c r="C151" i="103"/>
  <c r="W151" i="103" s="1"/>
  <c r="H206" i="58"/>
  <c r="X181" i="103"/>
  <c r="C181" i="103"/>
  <c r="M384" i="103"/>
  <c r="J254" i="103"/>
  <c r="O72" i="13" s="1"/>
  <c r="X152" i="103"/>
  <c r="C152" i="103"/>
  <c r="W152" i="103" s="1"/>
  <c r="H321" i="58"/>
  <c r="AO360" i="22"/>
  <c r="R370" i="67"/>
  <c r="X150" i="103"/>
  <c r="C150" i="103"/>
  <c r="W150" i="103" s="1"/>
  <c r="R247" i="58"/>
  <c r="L247" i="58" s="1"/>
  <c r="H247" i="58" s="1"/>
  <c r="AE248" i="22"/>
  <c r="BY247" i="103"/>
  <c r="BW247" i="103" s="1"/>
  <c r="CB180" i="103"/>
  <c r="L185" i="67" s="1"/>
  <c r="O49" i="13"/>
  <c r="CF258" i="103"/>
  <c r="BA258" i="103" s="1"/>
  <c r="CB171" i="103"/>
  <c r="L176" i="67" s="1"/>
  <c r="X326" i="103"/>
  <c r="C326" i="103"/>
  <c r="W326" i="103" s="1"/>
  <c r="AB212" i="103"/>
  <c r="H342" i="58"/>
  <c r="CB312" i="103"/>
  <c r="AB178" i="103"/>
  <c r="X147" i="103"/>
  <c r="C147" i="103"/>
  <c r="W147" i="103" s="1"/>
  <c r="X292" i="103"/>
  <c r="C292" i="103"/>
  <c r="CH384" i="103"/>
  <c r="AB238" i="103"/>
  <c r="AO333" i="22"/>
  <c r="R342" i="67"/>
  <c r="AO167" i="22"/>
  <c r="R171" i="67"/>
  <c r="H197" i="58"/>
  <c r="C176" i="13"/>
  <c r="H323" i="58"/>
  <c r="AB160" i="103"/>
  <c r="O51" i="13"/>
  <c r="X314" i="103"/>
  <c r="C314" i="103"/>
  <c r="X346" i="103"/>
  <c r="C346" i="103"/>
  <c r="W346" i="103" s="1"/>
  <c r="AO158" i="22"/>
  <c r="R161" i="67"/>
  <c r="AO175" i="22"/>
  <c r="R179" i="67"/>
  <c r="AO257" i="22"/>
  <c r="R264" i="67"/>
  <c r="AO334" i="22"/>
  <c r="R343" i="67"/>
  <c r="X249" i="103"/>
  <c r="C249" i="103"/>
  <c r="X287" i="103"/>
  <c r="C287" i="103"/>
  <c r="AB132" i="103"/>
  <c r="H302" i="58"/>
  <c r="T184" i="13"/>
  <c r="T181" i="13"/>
  <c r="T178" i="13"/>
  <c r="T175" i="13"/>
  <c r="T180" i="13"/>
  <c r="T174" i="13"/>
  <c r="T183" i="13"/>
  <c r="T179" i="13"/>
  <c r="T177" i="13"/>
  <c r="T176" i="13"/>
  <c r="T182" i="13"/>
  <c r="CA221" i="103"/>
  <c r="I227" i="67" s="1"/>
  <c r="CA280" i="103"/>
  <c r="CB187" i="103"/>
  <c r="L192" i="67" s="1"/>
  <c r="C155" i="13"/>
  <c r="CA347" i="103"/>
  <c r="X251" i="103"/>
  <c r="C251" i="103"/>
  <c r="N66" i="13" s="1"/>
  <c r="X169" i="103"/>
  <c r="C169" i="103"/>
  <c r="AB136" i="103"/>
  <c r="M380" i="103"/>
  <c r="J131" i="103"/>
  <c r="C140" i="13" s="1"/>
  <c r="CB241" i="103"/>
  <c r="L248" i="67" s="1"/>
  <c r="G386" i="58"/>
  <c r="G399" i="58"/>
  <c r="CA282" i="103"/>
  <c r="X355" i="103"/>
  <c r="C355" i="103"/>
  <c r="W355" i="103" s="1"/>
  <c r="H269" i="58"/>
  <c r="CA242" i="103"/>
  <c r="I249" i="67" s="1"/>
  <c r="O52" i="13"/>
  <c r="X218" i="103"/>
  <c r="C218" i="103"/>
  <c r="N30" i="13" s="1"/>
  <c r="P30" i="13" s="1"/>
  <c r="CA144" i="103"/>
  <c r="I148" i="67" s="1"/>
  <c r="C168" i="13"/>
  <c r="CA154" i="103"/>
  <c r="I158" i="67" s="1"/>
  <c r="CF341" i="103"/>
  <c r="BA341" i="103" s="1"/>
  <c r="CA173" i="103"/>
  <c r="I178" i="67" s="1"/>
  <c r="X351" i="103"/>
  <c r="C351" i="103"/>
  <c r="W351" i="103" s="1"/>
  <c r="CA168" i="103"/>
  <c r="I173" i="67" s="1"/>
  <c r="AB118" i="103"/>
  <c r="H203" i="58"/>
  <c r="X320" i="103"/>
  <c r="C320" i="103"/>
  <c r="W320" i="103" s="1"/>
  <c r="X277" i="103"/>
  <c r="C277" i="103"/>
  <c r="AO205" i="22"/>
  <c r="R210" i="67"/>
  <c r="R226" i="58"/>
  <c r="L226" i="58" s="1"/>
  <c r="H226" i="58" s="1"/>
  <c r="AE227" i="22"/>
  <c r="BY226" i="103"/>
  <c r="BW226" i="103" s="1"/>
  <c r="AO252" i="22"/>
  <c r="R258" i="67"/>
  <c r="B62" i="13"/>
  <c r="AB66" i="103"/>
  <c r="AB97" i="103"/>
  <c r="H106" i="58"/>
  <c r="AO189" i="22"/>
  <c r="R193" i="67"/>
  <c r="AO72" i="22"/>
  <c r="R73" i="67"/>
  <c r="X303" i="103"/>
  <c r="C303" i="103"/>
  <c r="X34" i="103"/>
  <c r="C34" i="103"/>
  <c r="B27" i="13" s="1"/>
  <c r="BW192" i="103"/>
  <c r="AO17" i="22"/>
  <c r="R16" i="67"/>
  <c r="CD76" i="103"/>
  <c r="BX76" i="103" s="1"/>
  <c r="Y382" i="58"/>
  <c r="AC192" i="58"/>
  <c r="Z192" i="58"/>
  <c r="AB192" i="58"/>
  <c r="AA192" i="58"/>
  <c r="F386" i="103"/>
  <c r="F402" i="103"/>
  <c r="X315" i="103"/>
  <c r="C315" i="103"/>
  <c r="N140" i="13" s="1"/>
  <c r="AB40" i="103"/>
  <c r="AB82" i="103"/>
  <c r="H208" i="58"/>
  <c r="X114" i="103"/>
  <c r="C114" i="103"/>
  <c r="B119" i="13" s="1"/>
  <c r="AO131" i="22"/>
  <c r="R133" i="67"/>
  <c r="AB57" i="103"/>
  <c r="AB159" i="23"/>
  <c r="AN388" i="103"/>
  <c r="X52" i="103"/>
  <c r="C52" i="103"/>
  <c r="W52" i="103" s="1"/>
  <c r="AB16" i="103"/>
  <c r="AB13" i="103"/>
  <c r="AB72" i="103"/>
  <c r="AO97" i="22"/>
  <c r="R98" i="67"/>
  <c r="AB107" i="103"/>
  <c r="H72" i="58"/>
  <c r="AB12" i="103"/>
  <c r="X76" i="103"/>
  <c r="C76" i="103"/>
  <c r="W76" i="103" s="1"/>
  <c r="AB161" i="103"/>
  <c r="J15" i="53"/>
  <c r="AO95" i="22"/>
  <c r="R96" i="67"/>
  <c r="Q401" i="58"/>
  <c r="X62" i="103"/>
  <c r="C62" i="103"/>
  <c r="W62" i="103" s="1"/>
  <c r="X122" i="103"/>
  <c r="C122" i="103"/>
  <c r="B127" i="13" s="1"/>
  <c r="AB23" i="103"/>
  <c r="H25" i="58"/>
  <c r="AM376" i="103"/>
  <c r="AB173" i="103"/>
  <c r="AB32" i="103"/>
  <c r="H59" i="58"/>
  <c r="AB25" i="103"/>
  <c r="AB74" i="103"/>
  <c r="X54" i="103"/>
  <c r="C54" i="103"/>
  <c r="W54" i="103" s="1"/>
  <c r="AB141" i="103"/>
  <c r="H34" i="58"/>
  <c r="X96" i="103"/>
  <c r="C96" i="103"/>
  <c r="W96" i="103" s="1"/>
  <c r="H317" i="58"/>
  <c r="X184" i="103"/>
  <c r="C184" i="103"/>
  <c r="G395" i="58"/>
  <c r="G382" i="58"/>
  <c r="BY384" i="103"/>
  <c r="BW254" i="103"/>
  <c r="H275" i="58"/>
  <c r="X348" i="103"/>
  <c r="C348" i="103"/>
  <c r="W348" i="103" s="1"/>
  <c r="H181" i="58"/>
  <c r="X199" i="103"/>
  <c r="C199" i="103"/>
  <c r="N11" i="13" s="1"/>
  <c r="P11" i="13" s="1"/>
  <c r="X335" i="103"/>
  <c r="C335" i="103"/>
  <c r="W335" i="103" s="1"/>
  <c r="AB219" i="103"/>
  <c r="X156" i="103"/>
  <c r="C156" i="103"/>
  <c r="W156" i="103" s="1"/>
  <c r="R304" i="58"/>
  <c r="L304" i="58" s="1"/>
  <c r="H304" i="58" s="1"/>
  <c r="BY304" i="103"/>
  <c r="AB187" i="103"/>
  <c r="H263" i="58"/>
  <c r="L162" i="58"/>
  <c r="H209" i="58"/>
  <c r="X207" i="103"/>
  <c r="C207" i="103"/>
  <c r="H339" i="58"/>
  <c r="AO206" i="22"/>
  <c r="R211" i="67"/>
  <c r="AB190" i="103"/>
  <c r="AO208" i="22"/>
  <c r="R213" i="67"/>
  <c r="AQ271" i="22"/>
  <c r="AO214" i="22"/>
  <c r="R219" i="67"/>
  <c r="X373" i="103"/>
  <c r="C373" i="103"/>
  <c r="W373" i="103" s="1"/>
  <c r="X283" i="103"/>
  <c r="C283" i="103"/>
  <c r="H366" i="58"/>
  <c r="H336" i="58"/>
  <c r="X132" i="103"/>
  <c r="C132" i="103"/>
  <c r="W132" i="103" s="1"/>
  <c r="R334" i="58"/>
  <c r="L334" i="58" s="1"/>
  <c r="BY334" i="103"/>
  <c r="BW334" i="103" s="1"/>
  <c r="R352" i="58"/>
  <c r="L352" i="58" s="1"/>
  <c r="BY352" i="103"/>
  <c r="BW352" i="103" s="1"/>
  <c r="H258" i="58"/>
  <c r="AB258" i="103"/>
  <c r="AO348" i="22"/>
  <c r="R358" i="67"/>
  <c r="X146" i="103"/>
  <c r="C146" i="103"/>
  <c r="W146" i="103" s="1"/>
  <c r="AB158" i="103"/>
  <c r="AB127" i="103"/>
  <c r="AQ282" i="22"/>
  <c r="H322" i="58"/>
  <c r="AQ275" i="22"/>
  <c r="X340" i="103"/>
  <c r="C340" i="103"/>
  <c r="W340" i="103" s="1"/>
  <c r="H359" i="58"/>
  <c r="AB196" i="103"/>
  <c r="Y385" i="58"/>
  <c r="AC284" i="58"/>
  <c r="AB284" i="58"/>
  <c r="AA284" i="58"/>
  <c r="Z284" i="58"/>
  <c r="AO174" i="22"/>
  <c r="R178" i="67"/>
  <c r="H364" i="58"/>
  <c r="AB168" i="103"/>
  <c r="X186" i="103"/>
  <c r="C186" i="103"/>
  <c r="L314" i="67"/>
  <c r="AG306" i="22"/>
  <c r="G437" i="67"/>
  <c r="AB227" i="103"/>
  <c r="G396" i="58"/>
  <c r="G383" i="58"/>
  <c r="R229" i="58"/>
  <c r="L229" i="58" s="1"/>
  <c r="H229" i="58" s="1"/>
  <c r="AE230" i="22"/>
  <c r="BY229" i="103"/>
  <c r="BW229" i="103" s="1"/>
  <c r="CD31" i="103"/>
  <c r="BX31" i="103" s="1"/>
  <c r="AO33" i="22"/>
  <c r="R32" i="67"/>
  <c r="X200" i="103"/>
  <c r="C200" i="103"/>
  <c r="N12" i="13" s="1"/>
  <c r="P12" i="13" s="1"/>
  <c r="H163" i="58"/>
  <c r="AB61" i="103"/>
  <c r="CA32" i="103"/>
  <c r="I32" i="67" s="1"/>
  <c r="AB193" i="103"/>
  <c r="CF16" i="103"/>
  <c r="BA16" i="103" s="1"/>
  <c r="X53" i="103"/>
  <c r="C53" i="103"/>
  <c r="W53" i="103" s="1"/>
  <c r="X20" i="103"/>
  <c r="J20" i="103"/>
  <c r="W20" i="103" s="1"/>
  <c r="AB182" i="103"/>
  <c r="CF45" i="103"/>
  <c r="BA45" i="103" s="1"/>
  <c r="X78" i="103"/>
  <c r="C78" i="103"/>
  <c r="W78" i="103" s="1"/>
  <c r="X40" i="103"/>
  <c r="C40" i="103"/>
  <c r="B33" i="13" s="1"/>
  <c r="H35" i="58"/>
  <c r="X24" i="103"/>
  <c r="C24" i="103"/>
  <c r="X82" i="103"/>
  <c r="C82" i="103"/>
  <c r="W82" i="103" s="1"/>
  <c r="AB108" i="103"/>
  <c r="L70" i="58"/>
  <c r="H74" i="58"/>
  <c r="CH105" i="103"/>
  <c r="X208" i="103"/>
  <c r="C208" i="103"/>
  <c r="N20" i="13" s="1"/>
  <c r="P20" i="13" s="1"/>
  <c r="X81" i="103"/>
  <c r="C81" i="103"/>
  <c r="W81" i="103" s="1"/>
  <c r="AB130" i="103"/>
  <c r="X16" i="103"/>
  <c r="C16" i="103"/>
  <c r="X13" i="103"/>
  <c r="C13" i="103"/>
  <c r="AO371" i="22"/>
  <c r="R381" i="67"/>
  <c r="X21" i="103"/>
  <c r="C21" i="103"/>
  <c r="B14" i="13" s="1"/>
  <c r="H137" i="58"/>
  <c r="H309" i="58"/>
  <c r="AB229" i="103"/>
  <c r="CA96" i="103"/>
  <c r="I98" i="67" s="1"/>
  <c r="H32" i="58"/>
  <c r="BZ383" i="103"/>
  <c r="X17" i="103"/>
  <c r="C17" i="103"/>
  <c r="H255" i="58"/>
  <c r="X175" i="103"/>
  <c r="C175" i="103"/>
  <c r="B187" i="13" s="1"/>
  <c r="X339" i="103"/>
  <c r="C339" i="103"/>
  <c r="W339" i="103" s="1"/>
  <c r="CB119" i="103"/>
  <c r="L122" i="67" s="1"/>
  <c r="G376" i="58"/>
  <c r="G389" i="58"/>
  <c r="H84" i="58"/>
  <c r="X87" i="103"/>
  <c r="C87" i="103"/>
  <c r="W87" i="103" s="1"/>
  <c r="H57" i="58"/>
  <c r="CF111" i="103"/>
  <c r="BA111" i="103" s="1"/>
  <c r="X173" i="103"/>
  <c r="C173" i="103"/>
  <c r="AB195" i="103"/>
  <c r="X31" i="103"/>
  <c r="C31" i="103"/>
  <c r="B24" i="13" s="1"/>
  <c r="L42" i="58"/>
  <c r="AO221" i="22"/>
  <c r="R226" i="67"/>
  <c r="CF37" i="103"/>
  <c r="BA37" i="103" s="1"/>
  <c r="CB116" i="103"/>
  <c r="L119" i="67" s="1"/>
  <c r="X83" i="103"/>
  <c r="C83" i="103"/>
  <c r="W83" i="103" s="1"/>
  <c r="H22" i="58"/>
  <c r="E376" i="103"/>
  <c r="AB11" i="103"/>
  <c r="X39" i="103"/>
  <c r="C39" i="103"/>
  <c r="B32" i="13" s="1"/>
  <c r="H351" i="58"/>
  <c r="CA254" i="103"/>
  <c r="AO347" i="22"/>
  <c r="R357" i="67"/>
  <c r="H375" i="58"/>
  <c r="X289" i="103"/>
  <c r="C289" i="103"/>
  <c r="AB115" i="103"/>
  <c r="AB140" i="103"/>
  <c r="X322" i="103"/>
  <c r="C322" i="103"/>
  <c r="W322" i="103" s="1"/>
  <c r="AB163" i="103"/>
  <c r="R340" i="58"/>
  <c r="L340" i="58" s="1"/>
  <c r="BY340" i="103"/>
  <c r="BW340" i="103" s="1"/>
  <c r="AB235" i="103"/>
  <c r="L317" i="67"/>
  <c r="AG309" i="22"/>
  <c r="AB139" i="103"/>
  <c r="X329" i="103"/>
  <c r="C329" i="103"/>
  <c r="W329" i="103" s="1"/>
  <c r="AO138" i="22"/>
  <c r="R141" i="67"/>
  <c r="H156" i="58"/>
  <c r="R241" i="58"/>
  <c r="L241" i="58" s="1"/>
  <c r="H241" i="58" s="1"/>
  <c r="AE242" i="22"/>
  <c r="BY241" i="103"/>
  <c r="BW241" i="103" s="1"/>
  <c r="E380" i="103"/>
  <c r="D53" i="53" s="1"/>
  <c r="AB131" i="103"/>
  <c r="AB264" i="103"/>
  <c r="CF340" i="103"/>
  <c r="X212" i="103"/>
  <c r="C212" i="103"/>
  <c r="AB203" i="103"/>
  <c r="X178" i="103"/>
  <c r="C178" i="103"/>
  <c r="X304" i="103"/>
  <c r="C304" i="103"/>
  <c r="X238" i="103"/>
  <c r="C238" i="103"/>
  <c r="N53" i="13" s="1"/>
  <c r="G380" i="58"/>
  <c r="G393" i="58"/>
  <c r="AB194" i="103"/>
  <c r="CA307" i="103"/>
  <c r="AB234" i="103"/>
  <c r="X160" i="103"/>
  <c r="C160" i="103"/>
  <c r="W160" i="103" s="1"/>
  <c r="CA205" i="103"/>
  <c r="I211" i="67" s="1"/>
  <c r="AO237" i="22"/>
  <c r="R243" i="67"/>
  <c r="CB365" i="103"/>
  <c r="CA207" i="103"/>
  <c r="I213" i="67" s="1"/>
  <c r="AB268" i="103"/>
  <c r="H358" i="58"/>
  <c r="M386" i="103"/>
  <c r="J315" i="103"/>
  <c r="O140" i="13" s="1"/>
  <c r="CA213" i="103"/>
  <c r="I219" i="67" s="1"/>
  <c r="X299" i="103"/>
  <c r="C299" i="103"/>
  <c r="AB239" i="103"/>
  <c r="AB145" i="103"/>
  <c r="AB144" i="103"/>
  <c r="X136" i="103"/>
  <c r="C136" i="103"/>
  <c r="W136" i="103" s="1"/>
  <c r="G432" i="67"/>
  <c r="AO229" i="22"/>
  <c r="R235" i="67"/>
  <c r="AB129" i="103"/>
  <c r="CB306" i="103"/>
  <c r="E395" i="103"/>
  <c r="E394" i="103"/>
  <c r="E382" i="103"/>
  <c r="D55" i="53" s="1"/>
  <c r="E399" i="103"/>
  <c r="AB192" i="103"/>
  <c r="AB204" i="103"/>
  <c r="X286" i="103"/>
  <c r="C286" i="103"/>
  <c r="AB255" i="103"/>
  <c r="X118" i="103"/>
  <c r="C118" i="103"/>
  <c r="B123" i="13" s="1"/>
  <c r="AO319" i="22"/>
  <c r="R328" i="67"/>
  <c r="R64" i="58"/>
  <c r="L64" i="58" s="1"/>
  <c r="H64" i="58" s="1"/>
  <c r="AE65" i="22"/>
  <c r="BY64" i="103"/>
  <c r="BW64" i="103" s="1"/>
  <c r="BX101" i="103"/>
  <c r="CH102" i="103"/>
  <c r="X97" i="103"/>
  <c r="C97" i="103"/>
  <c r="W97" i="103" s="1"/>
  <c r="BX42" i="103"/>
  <c r="CF101" i="103"/>
  <c r="H26" i="58"/>
  <c r="H12" i="58"/>
  <c r="C162" i="13"/>
  <c r="Y387" i="58"/>
  <c r="Z345" i="58"/>
  <c r="AB345" i="58"/>
  <c r="AC345" i="58"/>
  <c r="AA345" i="58"/>
  <c r="C91" i="13"/>
  <c r="H120" i="58"/>
  <c r="AB105" i="103"/>
  <c r="C57" i="13"/>
  <c r="CH76" i="103"/>
  <c r="CF17" i="103"/>
  <c r="BA17" i="103" s="1"/>
  <c r="C117" i="13"/>
  <c r="R52" i="58"/>
  <c r="L52" i="58" s="1"/>
  <c r="H52" i="58" s="1"/>
  <c r="AE53" i="22"/>
  <c r="BY52" i="103"/>
  <c r="BW52" i="103" s="1"/>
  <c r="H23" i="58"/>
  <c r="CD73" i="103"/>
  <c r="BX73" i="103" s="1"/>
  <c r="CB65" i="103"/>
  <c r="L66" i="67" s="1"/>
  <c r="CF82" i="103"/>
  <c r="BA82" i="103" s="1"/>
  <c r="AB220" i="103"/>
  <c r="H62" i="58"/>
  <c r="C15" i="13"/>
  <c r="AO80" i="22"/>
  <c r="R81" i="67"/>
  <c r="AO186" i="22"/>
  <c r="R190" i="67"/>
  <c r="X57" i="103"/>
  <c r="C57" i="103"/>
  <c r="W57" i="103" s="1"/>
  <c r="AO35" i="22"/>
  <c r="R34" i="67"/>
  <c r="C115" i="13"/>
  <c r="H316" i="58"/>
  <c r="CF13" i="103"/>
  <c r="BA13" i="103" s="1"/>
  <c r="H86" i="58"/>
  <c r="CA370" i="103"/>
  <c r="H54" i="58"/>
  <c r="AB119" i="103"/>
  <c r="X72" i="103"/>
  <c r="C72" i="103"/>
  <c r="W72" i="103" s="1"/>
  <c r="AB230" i="103"/>
  <c r="Y381" i="58"/>
  <c r="Z162" i="58"/>
  <c r="AC162" i="58"/>
  <c r="AA162" i="58"/>
  <c r="AB162" i="58"/>
  <c r="X107" i="103"/>
  <c r="C107" i="103"/>
  <c r="H20" i="58"/>
  <c r="AB94" i="103"/>
  <c r="X161" i="103"/>
  <c r="C161" i="103"/>
  <c r="W161" i="103" s="1"/>
  <c r="G429" i="67"/>
  <c r="AB22" i="103"/>
  <c r="CG376" i="103"/>
  <c r="E377" i="103"/>
  <c r="D50" i="53" s="1"/>
  <c r="AB42" i="103"/>
  <c r="R55" i="58"/>
  <c r="L55" i="58" s="1"/>
  <c r="H55" i="58" s="1"/>
  <c r="AE56" i="22"/>
  <c r="BY55" i="103"/>
  <c r="BW55" i="103" s="1"/>
  <c r="X23" i="103"/>
  <c r="C23" i="103"/>
  <c r="C53" i="13"/>
  <c r="H67" i="58"/>
  <c r="CB124" i="103"/>
  <c r="L127" i="67" s="1"/>
  <c r="C158" i="13"/>
  <c r="O7" i="13"/>
  <c r="L11" i="58"/>
  <c r="C119" i="13"/>
  <c r="C56" i="13"/>
  <c r="AB75" i="103"/>
  <c r="X358" i="103"/>
  <c r="C358" i="103"/>
  <c r="W358" i="103" s="1"/>
  <c r="X32" i="103"/>
  <c r="C32" i="103"/>
  <c r="B25" i="13" s="1"/>
  <c r="AB28" i="103"/>
  <c r="E378" i="103"/>
  <c r="D51" i="53" s="1"/>
  <c r="AB70" i="103"/>
  <c r="X25" i="103"/>
  <c r="C25" i="103"/>
  <c r="B18" i="13" s="1"/>
  <c r="X74" i="103"/>
  <c r="C74" i="103"/>
  <c r="W74" i="103" s="1"/>
  <c r="H234" i="58"/>
  <c r="X141" i="103"/>
  <c r="C141" i="103"/>
  <c r="W141" i="103" s="1"/>
  <c r="Y379" i="58"/>
  <c r="AB101" i="58"/>
  <c r="AA101" i="58"/>
  <c r="Z101" i="58"/>
  <c r="AC101" i="58"/>
  <c r="CA189" i="103"/>
  <c r="I194" i="67" s="1"/>
  <c r="AB30" i="103"/>
  <c r="CB91" i="103"/>
  <c r="L93" i="67" s="1"/>
  <c r="AC376" i="103"/>
  <c r="AO73" i="22"/>
  <c r="R74" i="67"/>
  <c r="AB252" i="103"/>
  <c r="N41" i="13"/>
  <c r="AB226" i="103"/>
  <c r="CA374" i="103"/>
  <c r="H236" i="58"/>
  <c r="R339" i="58"/>
  <c r="L339" i="58" s="1"/>
  <c r="BY339" i="103"/>
  <c r="BW339" i="103" s="1"/>
  <c r="CA346" i="103"/>
  <c r="H352" i="58"/>
  <c r="X219" i="103"/>
  <c r="C219" i="103"/>
  <c r="N31" i="13" s="1"/>
  <c r="P31" i="13" s="1"/>
  <c r="AB128" i="103"/>
  <c r="X361" i="103"/>
  <c r="C361" i="103"/>
  <c r="W361" i="103" s="1"/>
  <c r="CI382" i="103"/>
  <c r="AB250" i="103"/>
  <c r="X353" i="103"/>
  <c r="C353" i="103"/>
  <c r="W353" i="103" s="1"/>
  <c r="AO330" i="22"/>
  <c r="R339" i="67"/>
  <c r="CA137" i="103"/>
  <c r="I141" i="67" s="1"/>
  <c r="X306" i="103"/>
  <c r="C306" i="103"/>
  <c r="G434" i="67"/>
  <c r="X313" i="103"/>
  <c r="C313" i="103"/>
  <c r="AC380" i="103"/>
  <c r="R195" i="58"/>
  <c r="L195" i="58" s="1"/>
  <c r="H195" i="58" s="1"/>
  <c r="AE196" i="22"/>
  <c r="BY195" i="103"/>
  <c r="BW195" i="103" s="1"/>
  <c r="C187" i="13"/>
  <c r="X187" i="103"/>
  <c r="C187" i="103"/>
  <c r="E381" i="103"/>
  <c r="D54" i="53" s="1"/>
  <c r="AB162" i="103"/>
  <c r="C178" i="13"/>
  <c r="E383" i="103"/>
  <c r="D56" i="53" s="1"/>
  <c r="AB223" i="103"/>
  <c r="CB216" i="103"/>
  <c r="L222" i="67" s="1"/>
  <c r="CF257" i="103"/>
  <c r="CB170" i="103"/>
  <c r="L175" i="67" s="1"/>
  <c r="H283" i="58"/>
  <c r="X190" i="103"/>
  <c r="C190" i="103"/>
  <c r="CA236" i="103"/>
  <c r="I243" i="67" s="1"/>
  <c r="X360" i="103"/>
  <c r="C360" i="103"/>
  <c r="W360" i="103" s="1"/>
  <c r="AB90" i="103"/>
  <c r="CH381" i="103"/>
  <c r="O15" i="13"/>
  <c r="CH380" i="103"/>
  <c r="AB205" i="103"/>
  <c r="AB232" i="103"/>
  <c r="X295" i="103"/>
  <c r="C295" i="103"/>
  <c r="CB334" i="103"/>
  <c r="CB352" i="103"/>
  <c r="AB202" i="103"/>
  <c r="X258" i="103"/>
  <c r="C258" i="103"/>
  <c r="X374" i="103"/>
  <c r="C374" i="103"/>
  <c r="W374" i="103" s="1"/>
  <c r="R222" i="58"/>
  <c r="L222" i="58" s="1"/>
  <c r="H222" i="58" s="1"/>
  <c r="AE223" i="22"/>
  <c r="BY222" i="103"/>
  <c r="BW222" i="103" s="1"/>
  <c r="AO336" i="22"/>
  <c r="R345" i="67"/>
  <c r="AQ281" i="22"/>
  <c r="X328" i="103"/>
  <c r="C328" i="103"/>
  <c r="W328" i="103" s="1"/>
  <c r="L381" i="103"/>
  <c r="AB191" i="103"/>
  <c r="AB216" i="103"/>
  <c r="CI386" i="103"/>
  <c r="AB157" i="103"/>
  <c r="X356" i="103"/>
  <c r="C356" i="103"/>
  <c r="W356" i="103" s="1"/>
  <c r="CH383" i="103"/>
  <c r="AQ263" i="22"/>
  <c r="G400" i="58"/>
  <c r="G387" i="58"/>
  <c r="X158" i="103"/>
  <c r="C158" i="103"/>
  <c r="W158" i="103" s="1"/>
  <c r="CC382" i="103"/>
  <c r="X127" i="103"/>
  <c r="C127" i="103"/>
  <c r="BA283" i="103"/>
  <c r="CA228" i="103"/>
  <c r="I235" i="67" s="1"/>
  <c r="R330" i="58"/>
  <c r="L330" i="58" s="1"/>
  <c r="BY330" i="103"/>
  <c r="BW330" i="103" s="1"/>
  <c r="X129" i="103"/>
  <c r="C129" i="103"/>
  <c r="AB214" i="103"/>
  <c r="R289" i="58"/>
  <c r="L289" i="58" s="1"/>
  <c r="H289" i="58" s="1"/>
  <c r="BY289" i="103"/>
  <c r="AB170" i="103"/>
  <c r="R355" i="58"/>
  <c r="L355" i="58" s="1"/>
  <c r="BY355" i="103"/>
  <c r="BW355" i="103" s="1"/>
  <c r="AC382" i="103"/>
  <c r="X196" i="103"/>
  <c r="C196" i="103"/>
  <c r="N8" i="13" s="1"/>
  <c r="P8" i="13" s="1"/>
  <c r="AO147" i="22"/>
  <c r="R150" i="67"/>
  <c r="X168" i="103"/>
  <c r="C168" i="103"/>
  <c r="C149" i="13"/>
  <c r="X227" i="103"/>
  <c r="C227" i="103"/>
  <c r="AO374" i="22"/>
  <c r="R384" i="67"/>
  <c r="CC380" i="103"/>
  <c r="CA318" i="103"/>
  <c r="AO329" i="22"/>
  <c r="R338" i="67"/>
  <c r="X61" i="103"/>
  <c r="C61" i="103"/>
  <c r="W61" i="103" s="1"/>
  <c r="AB92" i="103"/>
  <c r="BW345" i="103"/>
  <c r="AB80" i="103"/>
  <c r="CC377" i="103"/>
  <c r="X193" i="103"/>
  <c r="C193" i="103"/>
  <c r="C164" i="13"/>
  <c r="CA97" i="103"/>
  <c r="I99" i="67" s="1"/>
  <c r="AB64" i="103"/>
  <c r="B13" i="13"/>
  <c r="AB20" i="103"/>
  <c r="L192" i="58"/>
  <c r="H45" i="58"/>
  <c r="C51" i="13"/>
  <c r="CD18" i="103"/>
  <c r="BX18" i="103" s="1"/>
  <c r="AB44" i="103"/>
  <c r="X182" i="103"/>
  <c r="C182" i="103"/>
  <c r="B194" i="13" s="1"/>
  <c r="AB46" i="103"/>
  <c r="AB133" i="103"/>
  <c r="AB79" i="103"/>
  <c r="AO28" i="22"/>
  <c r="R27" i="67"/>
  <c r="AO22" i="22"/>
  <c r="R21" i="67"/>
  <c r="X220" i="103"/>
  <c r="C220" i="103"/>
  <c r="X108" i="103"/>
  <c r="C108" i="103"/>
  <c r="H33" i="58"/>
  <c r="H111" i="58"/>
  <c r="AB51" i="103"/>
  <c r="CD113" i="103"/>
  <c r="BX113" i="103" s="1"/>
  <c r="O65" i="13"/>
  <c r="AB43" i="103"/>
  <c r="D388" i="58"/>
  <c r="X130" i="103"/>
  <c r="C130" i="103"/>
  <c r="C50" i="13"/>
  <c r="CA133" i="103"/>
  <c r="C77" i="13"/>
  <c r="C80" i="13"/>
  <c r="H50" i="58"/>
  <c r="AB217" i="103"/>
  <c r="X229" i="103"/>
  <c r="C229" i="103"/>
  <c r="N44" i="13" s="1"/>
  <c r="C52" i="13"/>
  <c r="R105" i="58"/>
  <c r="AE106" i="22"/>
  <c r="BY105" i="103"/>
  <c r="CA105" i="103" s="1"/>
  <c r="I108" i="67" s="1"/>
  <c r="R319" i="58"/>
  <c r="L319" i="58" s="1"/>
  <c r="H319" i="58" s="1"/>
  <c r="BY319" i="103"/>
  <c r="BW319" i="103" s="1"/>
  <c r="AB36" i="103"/>
  <c r="C34" i="13"/>
  <c r="X94" i="103"/>
  <c r="C94" i="103"/>
  <c r="W94" i="103" s="1"/>
  <c r="CF48" i="103"/>
  <c r="BA48" i="103" s="1"/>
  <c r="AO74" i="22"/>
  <c r="R75" i="67"/>
  <c r="CD129" i="103"/>
  <c r="BX129" i="103" s="1"/>
  <c r="B88" i="13"/>
  <c r="AB86" i="103"/>
  <c r="CD62" i="103"/>
  <c r="BX62" i="103" s="1"/>
  <c r="O43" i="13"/>
  <c r="CB235" i="103"/>
  <c r="L242" i="67" s="1"/>
  <c r="AC377" i="103"/>
  <c r="AB45" i="103"/>
  <c r="R110" i="58"/>
  <c r="L110" i="58" s="1"/>
  <c r="H110" i="58" s="1"/>
  <c r="AE111" i="22"/>
  <c r="BY110" i="103"/>
  <c r="BW110" i="103" s="1"/>
  <c r="C130" i="13"/>
  <c r="C142" i="13"/>
  <c r="C20" i="13"/>
  <c r="CD79" i="103"/>
  <c r="BX79" i="103" s="1"/>
  <c r="CA368" i="103"/>
  <c r="H97" i="58"/>
  <c r="G428" i="67"/>
  <c r="CB52" i="103"/>
  <c r="L53" i="67" s="1"/>
  <c r="X195" i="103"/>
  <c r="C195" i="103"/>
  <c r="N7" i="13" s="1"/>
  <c r="P7" i="13" s="1"/>
  <c r="AB58" i="103"/>
  <c r="AB102" i="103"/>
  <c r="AC378" i="103"/>
  <c r="AB120" i="103"/>
  <c r="H117" i="58"/>
  <c r="C47" i="13"/>
  <c r="CD87" i="103"/>
  <c r="BX87" i="103" s="1"/>
  <c r="H246" i="58"/>
  <c r="AO77" i="22"/>
  <c r="R78" i="67"/>
  <c r="AO190" i="22"/>
  <c r="R194" i="67"/>
  <c r="F392" i="103"/>
  <c r="F376" i="103"/>
  <c r="X11" i="103"/>
  <c r="C11" i="103"/>
  <c r="H153" i="58"/>
  <c r="X310" i="103"/>
  <c r="C310" i="103"/>
  <c r="X280" i="103"/>
  <c r="C280" i="103"/>
  <c r="X272" i="103"/>
  <c r="C272" i="103"/>
  <c r="AO375" i="22"/>
  <c r="R385" i="67"/>
  <c r="H248" i="58"/>
  <c r="AO135" i="22"/>
  <c r="R138" i="67"/>
  <c r="H198" i="58"/>
  <c r="AO108" i="22"/>
  <c r="R110" i="67"/>
  <c r="X301" i="103"/>
  <c r="C301" i="103"/>
  <c r="X115" i="103"/>
  <c r="C115" i="103"/>
  <c r="B120" i="13" s="1"/>
  <c r="X140" i="103"/>
  <c r="C140" i="103"/>
  <c r="W140" i="103" s="1"/>
  <c r="X163" i="103"/>
  <c r="C163" i="103"/>
  <c r="L262" i="67"/>
  <c r="CB384" i="103"/>
  <c r="X343" i="103"/>
  <c r="C343" i="103"/>
  <c r="W343" i="103" s="1"/>
  <c r="AB233" i="103"/>
  <c r="X235" i="103"/>
  <c r="C235" i="103"/>
  <c r="N50" i="13" s="1"/>
  <c r="O77" i="13"/>
  <c r="H341" i="58"/>
  <c r="X139" i="103"/>
  <c r="C139" i="103"/>
  <c r="W139" i="103" s="1"/>
  <c r="R337" i="58"/>
  <c r="L337" i="58" s="1"/>
  <c r="BY337" i="103"/>
  <c r="BW337" i="103" s="1"/>
  <c r="AQ276" i="22"/>
  <c r="F396" i="103"/>
  <c r="F380" i="103"/>
  <c r="X131" i="103"/>
  <c r="C131" i="103"/>
  <c r="B140" i="13" s="1"/>
  <c r="X264" i="103"/>
  <c r="C264" i="103"/>
  <c r="N82" i="13" s="1"/>
  <c r="H314" i="58"/>
  <c r="C144" i="13"/>
  <c r="CB195" i="103"/>
  <c r="X275" i="103"/>
  <c r="C275" i="103"/>
  <c r="AO368" i="22"/>
  <c r="R378" i="67"/>
  <c r="X203" i="103"/>
  <c r="C203" i="103"/>
  <c r="N15" i="13" s="1"/>
  <c r="P15" i="13" s="1"/>
  <c r="AC381" i="103"/>
  <c r="O33" i="13"/>
  <c r="O12" i="13"/>
  <c r="L383" i="103"/>
  <c r="F399" i="103"/>
  <c r="F383" i="103"/>
  <c r="X223" i="103"/>
  <c r="C223" i="103"/>
  <c r="N38" i="13" s="1"/>
  <c r="O53" i="13"/>
  <c r="AB172" i="103"/>
  <c r="X194" i="103"/>
  <c r="C194" i="103"/>
  <c r="N6" i="13" s="1"/>
  <c r="P6" i="13" s="1"/>
  <c r="AB257" i="103"/>
  <c r="AB171" i="103"/>
  <c r="X234" i="103"/>
  <c r="C234" i="103"/>
  <c r="N49" i="13" s="1"/>
  <c r="H338" i="58"/>
  <c r="AB155" i="103"/>
  <c r="X268" i="103"/>
  <c r="C268" i="103"/>
  <c r="N86" i="13" s="1"/>
  <c r="AM379" i="103"/>
  <c r="N79" i="13"/>
  <c r="AB261" i="103"/>
  <c r="X90" i="103"/>
  <c r="C90" i="103"/>
  <c r="W90" i="103" s="1"/>
  <c r="AB134" i="103"/>
  <c r="X282" i="103"/>
  <c r="C282" i="103"/>
  <c r="AO202" i="22"/>
  <c r="R207" i="67"/>
  <c r="X239" i="103"/>
  <c r="C239" i="103"/>
  <c r="N54" i="13" s="1"/>
  <c r="R167" i="58"/>
  <c r="L167" i="58" s="1"/>
  <c r="H167" i="58" s="1"/>
  <c r="AE168" i="22"/>
  <c r="BY167" i="103"/>
  <c r="BW167" i="103" s="1"/>
  <c r="AO216" i="22"/>
  <c r="R221" i="67"/>
  <c r="X311" i="103"/>
  <c r="C311" i="103"/>
  <c r="X145" i="103"/>
  <c r="C145" i="103"/>
  <c r="W145" i="103" s="1"/>
  <c r="X144" i="103"/>
  <c r="C144" i="103"/>
  <c r="W144" i="103" s="1"/>
  <c r="M381" i="103"/>
  <c r="J162" i="103"/>
  <c r="C174" i="13" s="1"/>
  <c r="C180" i="13"/>
  <c r="X276" i="103"/>
  <c r="C276" i="103"/>
  <c r="X216" i="103"/>
  <c r="C216" i="103"/>
  <c r="C192" i="13"/>
  <c r="R313" i="58"/>
  <c r="L313" i="58" s="1"/>
  <c r="H313" i="58" s="1"/>
  <c r="BY313" i="103"/>
  <c r="AO325" i="22"/>
  <c r="R334" i="67"/>
  <c r="AQ136" i="22"/>
  <c r="H268" i="58"/>
  <c r="CB289" i="103"/>
  <c r="AO143" i="22"/>
  <c r="R146" i="67"/>
  <c r="X350" i="103"/>
  <c r="C350" i="103"/>
  <c r="W350" i="103" s="1"/>
  <c r="F382" i="103"/>
  <c r="F398" i="103"/>
  <c r="X192" i="103"/>
  <c r="C192" i="103"/>
  <c r="X290" i="103"/>
  <c r="C290" i="103"/>
  <c r="X204" i="103"/>
  <c r="C204" i="103"/>
  <c r="X298" i="103"/>
  <c r="C298" i="103"/>
  <c r="X255" i="103"/>
  <c r="C255" i="103"/>
  <c r="AB137" i="103"/>
  <c r="R295" i="58"/>
  <c r="L295" i="58" s="1"/>
  <c r="H295" i="58" s="1"/>
  <c r="BY295" i="103"/>
  <c r="AB209" i="103"/>
  <c r="Y384" i="58"/>
  <c r="AC254" i="58"/>
  <c r="AB254" i="58"/>
  <c r="AA254" i="58"/>
  <c r="Z254" i="58"/>
  <c r="CA328" i="103"/>
  <c r="I356" i="67"/>
  <c r="AE346" i="22"/>
  <c r="X105" i="103"/>
  <c r="C105" i="103"/>
  <c r="B110" i="13" s="1"/>
  <c r="AB176" i="103"/>
  <c r="R36" i="58"/>
  <c r="L36" i="58" s="1"/>
  <c r="H36" i="58" s="1"/>
  <c r="AE37" i="22"/>
  <c r="BY36" i="103"/>
  <c r="BW36" i="103" s="1"/>
  <c r="AO98" i="22"/>
  <c r="R99" i="67"/>
  <c r="H94" i="58"/>
  <c r="H115" i="58"/>
  <c r="AB116" i="103"/>
  <c r="G436" i="67"/>
  <c r="X363" i="103"/>
  <c r="C363" i="103"/>
  <c r="W363" i="103" s="1"/>
  <c r="X46" i="103"/>
  <c r="C46" i="103"/>
  <c r="W46" i="103" s="1"/>
  <c r="AO109" i="22"/>
  <c r="R111" i="67"/>
  <c r="H46" i="58"/>
  <c r="H123" i="58"/>
  <c r="X43" i="103"/>
  <c r="C43" i="103"/>
  <c r="W43" i="103" s="1"/>
  <c r="D401" i="58"/>
  <c r="AO134" i="22"/>
  <c r="R137" i="67"/>
  <c r="L356" i="67"/>
  <c r="AG346" i="22"/>
  <c r="X119" i="103"/>
  <c r="C119" i="103"/>
  <c r="X230" i="103"/>
  <c r="C230" i="103"/>
  <c r="N45" i="13" s="1"/>
  <c r="X217" i="103"/>
  <c r="C217" i="103"/>
  <c r="AB126" i="103"/>
  <c r="X36" i="103"/>
  <c r="C36" i="103"/>
  <c r="H199" i="58"/>
  <c r="AO40" i="22"/>
  <c r="R39" i="67"/>
  <c r="C388" i="58"/>
  <c r="X22" i="103"/>
  <c r="C22" i="103"/>
  <c r="B15" i="13" s="1"/>
  <c r="AB110" i="103"/>
  <c r="CC376" i="103"/>
  <c r="AB125" i="103"/>
  <c r="F393" i="103"/>
  <c r="F377" i="103"/>
  <c r="X42" i="103"/>
  <c r="C42" i="103"/>
  <c r="B38" i="13" s="1"/>
  <c r="AB38" i="103"/>
  <c r="H353" i="58"/>
  <c r="AO369" i="22"/>
  <c r="R379" i="67"/>
  <c r="CD118" i="103"/>
  <c r="BX118" i="103" s="1"/>
  <c r="X75" i="103"/>
  <c r="C75" i="103"/>
  <c r="W75" i="103" s="1"/>
  <c r="BZ378" i="103"/>
  <c r="X102" i="103"/>
  <c r="J102" i="103"/>
  <c r="W102" i="103" s="1"/>
  <c r="X28" i="103"/>
  <c r="C28" i="103"/>
  <c r="B21" i="13" s="1"/>
  <c r="F394" i="103"/>
  <c r="F378" i="103"/>
  <c r="X70" i="103"/>
  <c r="C70" i="103"/>
  <c r="B72" i="13" s="1"/>
  <c r="L382" i="103"/>
  <c r="H66" i="58"/>
  <c r="AB67" i="103"/>
  <c r="X30" i="103"/>
  <c r="C30" i="103"/>
  <c r="AB65" i="103"/>
  <c r="H388" i="103"/>
  <c r="R161" i="58"/>
  <c r="L161" i="58" s="1"/>
  <c r="AE162" i="22"/>
  <c r="BY161" i="103"/>
  <c r="BW161" i="103" s="1"/>
  <c r="X252" i="103"/>
  <c r="C252" i="103"/>
  <c r="N67" i="13" s="1"/>
  <c r="AB215" i="103"/>
  <c r="H194" i="58"/>
  <c r="L302" i="67"/>
  <c r="AG294" i="22"/>
  <c r="X128" i="103"/>
  <c r="C128" i="103"/>
  <c r="X250" i="103"/>
  <c r="C250" i="103"/>
  <c r="N65" i="13" s="1"/>
  <c r="L383" i="67"/>
  <c r="W15" i="68" s="1"/>
  <c r="AG373" i="22"/>
  <c r="H148" i="58"/>
  <c r="N9" i="13"/>
  <c r="P9" i="13" s="1"/>
  <c r="AB197" i="103"/>
  <c r="G431" i="67"/>
  <c r="AB242" i="103"/>
  <c r="F397" i="103"/>
  <c r="F381" i="103"/>
  <c r="X162" i="103"/>
  <c r="C162" i="103"/>
  <c r="AC385" i="103"/>
  <c r="H265" i="58"/>
  <c r="H328" i="58"/>
  <c r="M383" i="103"/>
  <c r="J223" i="103"/>
  <c r="O38" i="13" s="1"/>
  <c r="AO161" i="22"/>
  <c r="R164" i="67"/>
  <c r="AC383" i="103"/>
  <c r="H287" i="58"/>
  <c r="X171" i="103"/>
  <c r="C171" i="103"/>
  <c r="AB224" i="103"/>
  <c r="AB245" i="103"/>
  <c r="X323" i="103"/>
  <c r="C323" i="103"/>
  <c r="W323" i="103" s="1"/>
  <c r="AC387" i="103"/>
  <c r="AB260" i="103"/>
  <c r="X205" i="103"/>
  <c r="C205" i="103"/>
  <c r="X312" i="103"/>
  <c r="C312" i="103"/>
  <c r="X232" i="103"/>
  <c r="C232" i="103"/>
  <c r="H175" i="58"/>
  <c r="H273" i="58"/>
  <c r="H369" i="58"/>
  <c r="AO361" i="22"/>
  <c r="R371" i="67"/>
  <c r="X202" i="103"/>
  <c r="C202" i="103"/>
  <c r="X191" i="103"/>
  <c r="C191" i="103"/>
  <c r="R286" i="58"/>
  <c r="L286" i="58" s="1"/>
  <c r="H286" i="58" s="1"/>
  <c r="BY286" i="103"/>
  <c r="H368" i="58"/>
  <c r="X157" i="103"/>
  <c r="C157" i="103"/>
  <c r="W157" i="103" s="1"/>
  <c r="AB135" i="103"/>
  <c r="X214" i="103"/>
  <c r="C214" i="103"/>
  <c r="X170" i="103"/>
  <c r="C170" i="103"/>
  <c r="CI383" i="103"/>
  <c r="BW284" i="103"/>
  <c r="AO354" i="22"/>
  <c r="R364" i="67"/>
  <c r="AO144" i="22"/>
  <c r="R147" i="67"/>
  <c r="E384" i="103"/>
  <c r="AB254" i="103"/>
  <c r="H293" i="58"/>
  <c r="AO322" i="22"/>
  <c r="R331" i="67"/>
  <c r="AB259" i="103"/>
  <c r="H360" i="58"/>
  <c r="CB295" i="103"/>
  <c r="X349" i="103"/>
  <c r="C349" i="103"/>
  <c r="W349" i="103" s="1"/>
  <c r="X327" i="103"/>
  <c r="C327" i="103"/>
  <c r="W327" i="103" s="1"/>
  <c r="AB59" i="103"/>
  <c r="AB48" i="103"/>
  <c r="H92" i="58"/>
  <c r="AO343" i="22"/>
  <c r="R352" i="67"/>
  <c r="BB378" i="103"/>
  <c r="CD70" i="103"/>
  <c r="CF70" i="103" s="1"/>
  <c r="X92" i="103"/>
  <c r="C92" i="103"/>
  <c r="W92" i="103" s="1"/>
  <c r="H140" i="58"/>
  <c r="H205" i="58"/>
  <c r="AB35" i="103"/>
  <c r="L376" i="103"/>
  <c r="C101" i="13"/>
  <c r="X80" i="103"/>
  <c r="C80" i="103"/>
  <c r="W80" i="103" s="1"/>
  <c r="Y377" i="58"/>
  <c r="AA42" i="58"/>
  <c r="AB42" i="58"/>
  <c r="Z42" i="58"/>
  <c r="AC42" i="58"/>
  <c r="CB129" i="103"/>
  <c r="L132" i="67" s="1"/>
  <c r="X176" i="103"/>
  <c r="C176" i="103"/>
  <c r="B188" i="13" s="1"/>
  <c r="X64" i="103"/>
  <c r="C64" i="103"/>
  <c r="W64" i="103" s="1"/>
  <c r="C126" i="13"/>
  <c r="C100" i="13"/>
  <c r="N388" i="58"/>
  <c r="AB85" i="103"/>
  <c r="AB99" i="103"/>
  <c r="CH18" i="103"/>
  <c r="X44" i="103"/>
  <c r="C44" i="103"/>
  <c r="W44" i="103" s="1"/>
  <c r="CB93" i="103"/>
  <c r="L95" i="67" s="1"/>
  <c r="O62" i="13"/>
  <c r="C161" i="13"/>
  <c r="CF93" i="103"/>
  <c r="BA93" i="103" s="1"/>
  <c r="X133" i="103"/>
  <c r="C133" i="103"/>
  <c r="W133" i="103" s="1"/>
  <c r="AO159" i="22"/>
  <c r="R162" i="67"/>
  <c r="X79" i="103"/>
  <c r="C79" i="103"/>
  <c r="W79" i="103" s="1"/>
  <c r="CA108" i="103"/>
  <c r="I111" i="67" s="1"/>
  <c r="CA77" i="103"/>
  <c r="I79" i="67" s="1"/>
  <c r="C114" i="13"/>
  <c r="O159" i="23"/>
  <c r="P159" i="23" s="1"/>
  <c r="BD388" i="103"/>
  <c r="R31" i="58"/>
  <c r="L31" i="58" s="1"/>
  <c r="H31" i="58" s="1"/>
  <c r="AE32" i="22"/>
  <c r="BY31" i="103"/>
  <c r="BW31" i="103" s="1"/>
  <c r="X51" i="103"/>
  <c r="C51" i="103"/>
  <c r="W51" i="103" s="1"/>
  <c r="CH113" i="103"/>
  <c r="AO362" i="22"/>
  <c r="R372" i="67"/>
  <c r="X325" i="103"/>
  <c r="C325" i="103"/>
  <c r="W325" i="103" s="1"/>
  <c r="CA80" i="103"/>
  <c r="I82" i="67" s="1"/>
  <c r="AB98" i="103"/>
  <c r="AB124" i="103"/>
  <c r="H157" i="58"/>
  <c r="CF64" i="103"/>
  <c r="BA64" i="103" s="1"/>
  <c r="AB49" i="103"/>
  <c r="AB56" i="103"/>
  <c r="C23" i="13"/>
  <c r="AB77" i="103"/>
  <c r="AO58" i="22"/>
  <c r="R58" i="67"/>
  <c r="H211" i="58"/>
  <c r="BZ376" i="103"/>
  <c r="CA39" i="103"/>
  <c r="I39" i="67" s="1"/>
  <c r="AB117" i="103"/>
  <c r="CH129" i="103"/>
  <c r="CF103" i="103"/>
  <c r="BA103" i="103" s="1"/>
  <c r="AO63" i="22"/>
  <c r="R63" i="67"/>
  <c r="CH62" i="103"/>
  <c r="H14" i="58"/>
  <c r="X45" i="103"/>
  <c r="C45" i="103"/>
  <c r="W45" i="103" s="1"/>
  <c r="AO350" i="22"/>
  <c r="R360" i="67"/>
  <c r="CD121" i="103"/>
  <c r="BX121" i="103" s="1"/>
  <c r="CD124" i="103"/>
  <c r="BX124" i="103" s="1"/>
  <c r="CH79" i="103"/>
  <c r="CB85" i="103"/>
  <c r="L87" i="67" s="1"/>
  <c r="C87" i="13"/>
  <c r="H202" i="58"/>
  <c r="BX11" i="103"/>
  <c r="AB104" i="103"/>
  <c r="X58" i="103"/>
  <c r="C58" i="103"/>
  <c r="W58" i="103" s="1"/>
  <c r="X120" i="103"/>
  <c r="C120" i="103"/>
  <c r="C54" i="13"/>
  <c r="CH87" i="103"/>
  <c r="M382" i="103"/>
  <c r="J192" i="103"/>
  <c r="O4" i="13" s="1"/>
  <c r="H327" i="58"/>
  <c r="X66" i="103"/>
  <c r="J66" i="103"/>
  <c r="W66" i="103" s="1"/>
  <c r="C59" i="13"/>
  <c r="X65" i="103"/>
  <c r="J65" i="103"/>
  <c r="W65" i="103" s="1"/>
  <c r="AB198" i="103"/>
  <c r="CB161" i="103"/>
  <c r="L165" i="67" s="1"/>
  <c r="R298" i="58"/>
  <c r="L298" i="58" s="1"/>
  <c r="H298" i="58" s="1"/>
  <c r="BY298" i="103"/>
  <c r="H334" i="58"/>
  <c r="O61" i="13"/>
  <c r="X270" i="103"/>
  <c r="C270" i="103"/>
  <c r="O42" i="13"/>
  <c r="O48" i="13"/>
  <c r="R397" i="58"/>
  <c r="R384" i="58"/>
  <c r="L254" i="58"/>
  <c r="AO198" i="22"/>
  <c r="R203" i="67"/>
  <c r="AB164" i="103"/>
  <c r="X233" i="103"/>
  <c r="C233" i="103"/>
  <c r="N48" i="13" s="1"/>
  <c r="AB236" i="103"/>
  <c r="X352" i="103"/>
  <c r="C352" i="103"/>
  <c r="W352" i="103" s="1"/>
  <c r="CB337" i="103"/>
  <c r="O24" i="13"/>
  <c r="O66" i="13"/>
  <c r="CD128" i="103"/>
  <c r="BX128" i="103" s="1"/>
  <c r="AO256" i="22"/>
  <c r="R263" i="67"/>
  <c r="R358" i="58"/>
  <c r="L358" i="58" s="1"/>
  <c r="BY358" i="103"/>
  <c r="BW358" i="103" s="1"/>
  <c r="H357" i="58"/>
  <c r="F401" i="103"/>
  <c r="F385" i="103"/>
  <c r="X284" i="103"/>
  <c r="C284" i="103"/>
  <c r="X316" i="103"/>
  <c r="C316" i="103"/>
  <c r="W316" i="103" s="1"/>
  <c r="CA160" i="103"/>
  <c r="I164" i="67" s="1"/>
  <c r="H299" i="58"/>
  <c r="X172" i="103"/>
  <c r="C172" i="103"/>
  <c r="B184" i="13" s="1"/>
  <c r="X257" i="103"/>
  <c r="C257" i="103"/>
  <c r="BZ381" i="103"/>
  <c r="X261" i="103"/>
  <c r="J261" i="103"/>
  <c r="W261" i="103" s="1"/>
  <c r="X155" i="103"/>
  <c r="C155" i="103"/>
  <c r="W155" i="103" s="1"/>
  <c r="H267" i="58"/>
  <c r="AB266" i="103"/>
  <c r="O59" i="13"/>
  <c r="AA386" i="103"/>
  <c r="X288" i="103"/>
  <c r="C288" i="103"/>
  <c r="X134" i="103"/>
  <c r="C134" i="103"/>
  <c r="W134" i="103" s="1"/>
  <c r="F387" i="103"/>
  <c r="X345" i="103"/>
  <c r="C345" i="103"/>
  <c r="H186" i="58"/>
  <c r="AB189" i="103"/>
  <c r="X260" i="103"/>
  <c r="C260" i="103"/>
  <c r="CA371" i="103"/>
  <c r="X274" i="103"/>
  <c r="C274" i="103"/>
  <c r="CA360" i="103"/>
  <c r="AB222" i="103"/>
  <c r="C154" i="13"/>
  <c r="O30" i="13"/>
  <c r="R315" i="58"/>
  <c r="AM386" i="103"/>
  <c r="BY315" i="103"/>
  <c r="AO323" i="22"/>
  <c r="R332" i="67"/>
  <c r="AB179" i="103"/>
  <c r="AB253" i="103"/>
  <c r="CB286" i="103"/>
  <c r="CC383" i="103"/>
  <c r="H344" i="58"/>
  <c r="X135" i="103"/>
  <c r="C135" i="103"/>
  <c r="W135" i="103" s="1"/>
  <c r="CB313" i="103"/>
  <c r="AB180" i="103"/>
  <c r="H165" i="58"/>
  <c r="X338" i="103"/>
  <c r="C338" i="103"/>
  <c r="W338" i="103" s="1"/>
  <c r="CA284" i="103"/>
  <c r="X317" i="103"/>
  <c r="C317" i="103"/>
  <c r="W317" i="103" s="1"/>
  <c r="CA143" i="103"/>
  <c r="I147" i="67" s="1"/>
  <c r="X302" i="103"/>
  <c r="C302" i="103"/>
  <c r="AC384" i="103"/>
  <c r="H190" i="58"/>
  <c r="C182" i="13"/>
  <c r="X137" i="103"/>
  <c r="C137" i="103"/>
  <c r="W137" i="103" s="1"/>
  <c r="H305" i="58"/>
  <c r="C148" i="13"/>
  <c r="Y380" i="58"/>
  <c r="AB131" i="58"/>
  <c r="AA131" i="58"/>
  <c r="Z131" i="58"/>
  <c r="AC131" i="58"/>
  <c r="CA321" i="103"/>
  <c r="CA287" i="103"/>
  <c r="H146" i="58"/>
  <c r="X209" i="103"/>
  <c r="C209" i="103"/>
  <c r="N21" i="13" s="1"/>
  <c r="P21" i="13" s="1"/>
  <c r="AB210" i="103"/>
  <c r="AB84" i="103"/>
  <c r="AO176" i="22"/>
  <c r="R180" i="67"/>
  <c r="L345" i="58"/>
  <c r="N401" i="58"/>
  <c r="X116" i="103"/>
  <c r="C116" i="103"/>
  <c r="B121" i="13" s="1"/>
  <c r="R87" i="58"/>
  <c r="L87" i="58" s="1"/>
  <c r="H87" i="58" s="1"/>
  <c r="AE88" i="22"/>
  <c r="BY87" i="103"/>
  <c r="BW87" i="103" s="1"/>
  <c r="R388" i="103"/>
  <c r="AE159" i="23"/>
  <c r="AI88" i="23" s="1"/>
  <c r="AO60" i="22"/>
  <c r="R60" i="67"/>
  <c r="AO78" i="22"/>
  <c r="R79" i="67"/>
  <c r="G391" i="58"/>
  <c r="G378" i="58"/>
  <c r="E379" i="103"/>
  <c r="D52" i="53" s="1"/>
  <c r="AB101" i="103"/>
  <c r="H272" i="58"/>
  <c r="AO81" i="22"/>
  <c r="R82" i="67"/>
  <c r="H100" i="58"/>
  <c r="AB95" i="103"/>
  <c r="CD34" i="103"/>
  <c r="BX34" i="103" s="1"/>
  <c r="AO49" i="22"/>
  <c r="R49" i="67"/>
  <c r="AB166" i="103"/>
  <c r="X126" i="103"/>
  <c r="C126" i="103"/>
  <c r="B131" i="13" s="1"/>
  <c r="X110" i="103"/>
  <c r="C110" i="103"/>
  <c r="AB14" i="103"/>
  <c r="X125" i="103"/>
  <c r="C125" i="103"/>
  <c r="B130" i="13" s="1"/>
  <c r="X38" i="103"/>
  <c r="C38" i="103"/>
  <c r="B31" i="13" s="1"/>
  <c r="H214" i="58"/>
  <c r="AB47" i="103"/>
  <c r="AO15" i="22"/>
  <c r="R14" i="67"/>
  <c r="CG377" i="103"/>
  <c r="AB18" i="103"/>
  <c r="X67" i="103"/>
  <c r="C67" i="103"/>
  <c r="W67" i="103" s="1"/>
  <c r="I230" i="67"/>
  <c r="F388" i="58"/>
  <c r="L377" i="103"/>
  <c r="AB247" i="103"/>
  <c r="X294" i="103"/>
  <c r="C294" i="103"/>
  <c r="AB256" i="103"/>
  <c r="H320" i="58"/>
  <c r="AO148" i="22"/>
  <c r="R151" i="67"/>
  <c r="G398" i="58"/>
  <c r="G385" i="58"/>
  <c r="CH387" i="103"/>
  <c r="BA345" i="103"/>
  <c r="X330" i="103"/>
  <c r="C330" i="103"/>
  <c r="W330" i="103" s="1"/>
  <c r="X215" i="103"/>
  <c r="C215" i="103"/>
  <c r="Y386" i="58"/>
  <c r="AC315" i="58"/>
  <c r="Z315" i="58"/>
  <c r="AA315" i="58"/>
  <c r="AB315" i="58"/>
  <c r="X308" i="103"/>
  <c r="C308" i="103"/>
  <c r="H373" i="58"/>
  <c r="X242" i="103"/>
  <c r="C242" i="103"/>
  <c r="AB153" i="103"/>
  <c r="H224" i="58"/>
  <c r="CD384" i="103"/>
  <c r="M385" i="103"/>
  <c r="J284" i="103"/>
  <c r="X224" i="103"/>
  <c r="C224" i="103"/>
  <c r="X245" i="103"/>
  <c r="C245" i="103"/>
  <c r="H242" i="58"/>
  <c r="X342" i="103"/>
  <c r="C342" i="103"/>
  <c r="W342" i="103" s="1"/>
  <c r="AO249" i="22"/>
  <c r="R255" i="67"/>
  <c r="AB211" i="103"/>
  <c r="AO372" i="22"/>
  <c r="R382" i="67"/>
  <c r="R183" i="58"/>
  <c r="L183" i="58" s="1"/>
  <c r="H183" i="58" s="1"/>
  <c r="AE184" i="22"/>
  <c r="BY183" i="103"/>
  <c r="BW183" i="103" s="1"/>
  <c r="BZ386" i="103"/>
  <c r="CC315" i="103"/>
  <c r="AO149" i="22"/>
  <c r="R152" i="67"/>
  <c r="R217" i="58"/>
  <c r="L217" i="58" s="1"/>
  <c r="H217" i="58" s="1"/>
  <c r="AE218" i="22"/>
  <c r="BY217" i="103"/>
  <c r="BW217" i="103" s="1"/>
  <c r="R310" i="58"/>
  <c r="L310" i="58" s="1"/>
  <c r="H310" i="58" s="1"/>
  <c r="BY310" i="103"/>
  <c r="AO213" i="22"/>
  <c r="R218" i="67"/>
  <c r="G433" i="67"/>
  <c r="AM385" i="103"/>
  <c r="L297" i="67"/>
  <c r="AG289" i="22"/>
  <c r="H133" i="58"/>
  <c r="F400" i="103"/>
  <c r="F384" i="103"/>
  <c r="X254" i="103"/>
  <c r="C254" i="103"/>
  <c r="N72" i="13" s="1"/>
  <c r="H218" i="58"/>
  <c r="X259" i="103"/>
  <c r="C259" i="103"/>
  <c r="H271" i="58"/>
  <c r="H276" i="58"/>
  <c r="AB142" i="103"/>
  <c r="CC384" i="103"/>
  <c r="AB143" i="103"/>
  <c r="X86" i="103"/>
  <c r="J86" i="103"/>
  <c r="W86" i="103" s="1"/>
  <c r="X59" i="103"/>
  <c r="C59" i="103"/>
  <c r="W59" i="103" s="1"/>
  <c r="AA376" i="103"/>
  <c r="CG378" i="103"/>
  <c r="CI70" i="103"/>
  <c r="CI378" i="103" s="1"/>
  <c r="AB69" i="103"/>
  <c r="X84" i="103"/>
  <c r="C84" i="103"/>
  <c r="W84" i="103" s="1"/>
  <c r="X143" i="103"/>
  <c r="C143" i="103"/>
  <c r="W143" i="103" s="1"/>
  <c r="M376" i="103"/>
  <c r="J11" i="103"/>
  <c r="R61" i="58"/>
  <c r="L61" i="58" s="1"/>
  <c r="H61" i="58" s="1"/>
  <c r="AE62" i="22"/>
  <c r="BY61" i="103"/>
  <c r="BW61" i="103" s="1"/>
  <c r="CF90" i="103"/>
  <c r="BA90" i="103" s="1"/>
  <c r="X48" i="103"/>
  <c r="C48" i="103"/>
  <c r="W48" i="103" s="1"/>
  <c r="AB15" i="103"/>
  <c r="H44" i="58"/>
  <c r="AO137" i="22"/>
  <c r="R140" i="67"/>
  <c r="CH70" i="103"/>
  <c r="CA175" i="103"/>
  <c r="I180" i="67" s="1"/>
  <c r="R121" i="58"/>
  <c r="L121" i="58" s="1"/>
  <c r="H121" i="58" s="1"/>
  <c r="AE122" i="22"/>
  <c r="BY121" i="103"/>
  <c r="BW121" i="103" s="1"/>
  <c r="Y383" i="58"/>
  <c r="AC223" i="58"/>
  <c r="AB223" i="58"/>
  <c r="AA223" i="58"/>
  <c r="Z223" i="58"/>
  <c r="X35" i="103"/>
  <c r="C35" i="103"/>
  <c r="CA100" i="103"/>
  <c r="I102" i="67" s="1"/>
  <c r="O388" i="103"/>
  <c r="AB41" i="103"/>
  <c r="CB232" i="103"/>
  <c r="AB29" i="103"/>
  <c r="CD109" i="103"/>
  <c r="BX109" i="103" s="1"/>
  <c r="C6" i="13"/>
  <c r="CF130" i="103"/>
  <c r="BA130" i="103" s="1"/>
  <c r="X85" i="103"/>
  <c r="C85" i="103"/>
  <c r="W85" i="103" s="1"/>
  <c r="X99" i="103"/>
  <c r="C99" i="103"/>
  <c r="W99" i="103" s="1"/>
  <c r="CD26" i="103"/>
  <c r="BX26" i="103" s="1"/>
  <c r="AB121" i="103"/>
  <c r="AB225" i="103"/>
  <c r="H89" i="58"/>
  <c r="AB123" i="103"/>
  <c r="CA59" i="103"/>
  <c r="I60" i="67" s="1"/>
  <c r="AB262" i="103"/>
  <c r="CD115" i="103"/>
  <c r="BX115" i="103" s="1"/>
  <c r="AB89" i="103"/>
  <c r="AC379" i="103"/>
  <c r="C81" i="13"/>
  <c r="AO36" i="22"/>
  <c r="R35" i="67"/>
  <c r="X98" i="103"/>
  <c r="C98" i="103"/>
  <c r="W98" i="103" s="1"/>
  <c r="CA48" i="103"/>
  <c r="I49" i="67" s="1"/>
  <c r="X124" i="103"/>
  <c r="C124" i="103"/>
  <c r="B129" i="13" s="1"/>
  <c r="AB55" i="103"/>
  <c r="X49" i="103"/>
  <c r="C49" i="103"/>
  <c r="W49" i="103" s="1"/>
  <c r="AB26" i="103"/>
  <c r="X56" i="103"/>
  <c r="C56" i="103"/>
  <c r="W56" i="103" s="1"/>
  <c r="X77" i="103"/>
  <c r="C77" i="103"/>
  <c r="W77" i="103" s="1"/>
  <c r="AO30" i="22"/>
  <c r="R29" i="67"/>
  <c r="CB40" i="103"/>
  <c r="L40" i="67" s="1"/>
  <c r="X117" i="103"/>
  <c r="C117" i="103"/>
  <c r="AB73" i="103"/>
  <c r="H114" i="58"/>
  <c r="C145" i="13"/>
  <c r="AB88" i="103"/>
  <c r="AB91" i="103"/>
  <c r="C186" i="13"/>
  <c r="CH121" i="103"/>
  <c r="CH124" i="103"/>
  <c r="CC379" i="103"/>
  <c r="AB159" i="103"/>
  <c r="AB63" i="103"/>
  <c r="AB33" i="103"/>
  <c r="H29" i="58"/>
  <c r="AO55" i="22"/>
  <c r="R55" i="67"/>
  <c r="BB376" i="103"/>
  <c r="X104" i="103"/>
  <c r="C104" i="103"/>
  <c r="H103" i="58"/>
  <c r="C28" i="13"/>
  <c r="G427" i="67"/>
  <c r="C132" i="13"/>
  <c r="CD29" i="103"/>
  <c r="BX29" i="103" s="1"/>
  <c r="G430" i="67"/>
  <c r="CA14" i="103"/>
  <c r="I14" i="67" s="1"/>
  <c r="X368" i="103"/>
  <c r="C368" i="103"/>
  <c r="W368" i="103" s="1"/>
  <c r="C79" i="13"/>
  <c r="BW223" i="103"/>
  <c r="CB109" i="103"/>
  <c r="L112" i="67" s="1"/>
  <c r="F401" i="58"/>
  <c r="M377" i="103"/>
  <c r="J42" i="103"/>
  <c r="C38" i="13" s="1"/>
  <c r="X198" i="103"/>
  <c r="C198" i="103"/>
  <c r="AB231" i="103"/>
  <c r="AB165" i="103"/>
  <c r="CA147" i="103"/>
  <c r="I151" i="67" s="1"/>
  <c r="AB185" i="103"/>
  <c r="C189" i="13"/>
  <c r="X293" i="103"/>
  <c r="C293" i="103"/>
  <c r="AB183" i="103"/>
  <c r="R301" i="58"/>
  <c r="L301" i="58" s="1"/>
  <c r="H301" i="58" s="1"/>
  <c r="BY301" i="103"/>
  <c r="C143" i="13"/>
  <c r="X269" i="103"/>
  <c r="C269" i="103"/>
  <c r="CF173" i="103"/>
  <c r="X164" i="103"/>
  <c r="C164" i="103"/>
  <c r="O68" i="13"/>
  <c r="O10" i="13"/>
  <c r="X331" i="103"/>
  <c r="C331" i="103"/>
  <c r="W331" i="103" s="1"/>
  <c r="X236" i="103"/>
  <c r="C236" i="103"/>
  <c r="N51" i="13" s="1"/>
  <c r="CF202" i="103"/>
  <c r="CF382" i="103" s="1"/>
  <c r="C181" i="13"/>
  <c r="AB109" i="103"/>
  <c r="AB174" i="103"/>
  <c r="AB201" i="103"/>
  <c r="CH128" i="103"/>
  <c r="AO195" i="22"/>
  <c r="R200" i="67"/>
  <c r="O31" i="13"/>
  <c r="CB358" i="103"/>
  <c r="H172" i="58"/>
  <c r="CB244" i="103"/>
  <c r="L251" i="67" s="1"/>
  <c r="CB247" i="103"/>
  <c r="L254" i="67" s="1"/>
  <c r="CB371" i="103"/>
  <c r="AO226" i="22"/>
  <c r="R232" i="67"/>
  <c r="R238" i="58"/>
  <c r="L238" i="58" s="1"/>
  <c r="H238" i="58" s="1"/>
  <c r="AE239" i="22"/>
  <c r="BY238" i="103"/>
  <c r="BW238" i="103" s="1"/>
  <c r="CB325" i="103"/>
  <c r="AO164" i="22"/>
  <c r="R168" i="67"/>
  <c r="H257" i="58"/>
  <c r="X266" i="103"/>
  <c r="C266" i="103"/>
  <c r="X309" i="103"/>
  <c r="C309" i="103"/>
  <c r="X300" i="103"/>
  <c r="C300" i="103"/>
  <c r="C167" i="13"/>
  <c r="CA248" i="103"/>
  <c r="I255" i="67" s="1"/>
  <c r="R327" i="58"/>
  <c r="L327" i="58" s="1"/>
  <c r="BY327" i="103"/>
  <c r="BW327" i="103" s="1"/>
  <c r="X189" i="103"/>
  <c r="C189" i="103"/>
  <c r="H230" i="58"/>
  <c r="H176" i="58"/>
  <c r="CB183" i="103"/>
  <c r="L188" i="67" s="1"/>
  <c r="X222" i="103"/>
  <c r="C222" i="103"/>
  <c r="AB138" i="103"/>
  <c r="CB315" i="103"/>
  <c r="CA148" i="103"/>
  <c r="I152" i="67" s="1"/>
  <c r="O46" i="13"/>
  <c r="X179" i="103"/>
  <c r="C179" i="103"/>
  <c r="B191" i="13" s="1"/>
  <c r="X318" i="103"/>
  <c r="C318" i="103"/>
  <c r="W318" i="103" s="1"/>
  <c r="O14" i="13"/>
  <c r="X253" i="103"/>
  <c r="C253" i="103"/>
  <c r="N68" i="13" s="1"/>
  <c r="AO166" i="22"/>
  <c r="R170" i="67"/>
  <c r="AM380" i="103"/>
  <c r="CA343" i="103"/>
  <c r="X180" i="103"/>
  <c r="C180" i="103"/>
  <c r="B192" i="13" s="1"/>
  <c r="X278" i="103"/>
  <c r="C278" i="103"/>
  <c r="CB177" i="103"/>
  <c r="L182" i="67" s="1"/>
  <c r="X370" i="103"/>
  <c r="C370" i="103"/>
  <c r="W370" i="103" s="1"/>
  <c r="CA212" i="103"/>
  <c r="I218" i="67" s="1"/>
  <c r="AB241" i="103"/>
  <c r="L284" i="58"/>
  <c r="CB374" i="103"/>
  <c r="C141" i="13"/>
  <c r="R292" i="58"/>
  <c r="L292" i="58" s="1"/>
  <c r="H292" i="58" s="1"/>
  <c r="BY292" i="103"/>
  <c r="AO146" i="22"/>
  <c r="R149" i="67"/>
  <c r="AB244" i="103"/>
  <c r="R164" i="58"/>
  <c r="L164" i="58" s="1"/>
  <c r="H164" i="58" s="1"/>
  <c r="AE165" i="22"/>
  <c r="BY164" i="103"/>
  <c r="BW164" i="103" s="1"/>
  <c r="X334" i="103"/>
  <c r="C334" i="103"/>
  <c r="W334" i="103" s="1"/>
  <c r="O58" i="13"/>
  <c r="AB237" i="103"/>
  <c r="X354" i="103"/>
  <c r="C354" i="103"/>
  <c r="W354" i="103" s="1"/>
  <c r="X210" i="103"/>
  <c r="C210" i="103"/>
  <c r="CA277" i="103"/>
  <c r="AB188" i="103"/>
  <c r="AL126" i="23" l="1"/>
  <c r="S147" i="13"/>
  <c r="S141" i="13"/>
  <c r="C17" i="104"/>
  <c r="O40" i="64"/>
  <c r="P40" i="64" s="1"/>
  <c r="B29" i="62"/>
  <c r="G28" i="62"/>
  <c r="H28" i="62" s="1"/>
  <c r="I28" i="62"/>
  <c r="J28" i="62" s="1"/>
  <c r="E28" i="62"/>
  <c r="D28" i="62"/>
  <c r="C28" i="62"/>
  <c r="F28" i="62"/>
  <c r="R28" i="62"/>
  <c r="S28" i="62" s="1"/>
  <c r="K28" i="62"/>
  <c r="M28" i="62"/>
  <c r="O28" i="62"/>
  <c r="L28" i="62"/>
  <c r="N27" i="62"/>
  <c r="D294" i="22"/>
  <c r="R308" i="67"/>
  <c r="AO114" i="22"/>
  <c r="AO310" i="22"/>
  <c r="AO306" i="22"/>
  <c r="AO180" i="22"/>
  <c r="AO288" i="22"/>
  <c r="D293" i="22"/>
  <c r="R84" i="67"/>
  <c r="D292" i="22"/>
  <c r="AO150" i="22"/>
  <c r="AO103" i="22"/>
  <c r="AO133" i="22"/>
  <c r="R305" i="67"/>
  <c r="D288" i="22"/>
  <c r="AO120" i="22"/>
  <c r="R187" i="67"/>
  <c r="AO308" i="22"/>
  <c r="I320" i="67"/>
  <c r="D285" i="22"/>
  <c r="R260" i="67"/>
  <c r="R54" i="67"/>
  <c r="AO303" i="22"/>
  <c r="D291" i="22"/>
  <c r="AO171" i="22"/>
  <c r="AO233" i="22"/>
  <c r="I294" i="67"/>
  <c r="D287" i="22"/>
  <c r="AO41" i="22"/>
  <c r="AO294" i="22"/>
  <c r="AO309" i="22"/>
  <c r="D290" i="22"/>
  <c r="R323" i="67"/>
  <c r="AO315" i="22"/>
  <c r="AE312" i="22"/>
  <c r="W314" i="103"/>
  <c r="Y314" i="103" s="1"/>
  <c r="N136" i="13"/>
  <c r="BA313" i="103"/>
  <c r="BW313" i="103"/>
  <c r="W313" i="103"/>
  <c r="Y313" i="103" s="1"/>
  <c r="N135" i="13"/>
  <c r="BW312" i="103"/>
  <c r="R318" i="67"/>
  <c r="W312" i="103"/>
  <c r="Y312" i="103" s="1"/>
  <c r="N134" i="13"/>
  <c r="W311" i="103"/>
  <c r="Y311" i="103" s="1"/>
  <c r="N133" i="13"/>
  <c r="BW310" i="103"/>
  <c r="W310" i="103"/>
  <c r="Y310" i="103" s="1"/>
  <c r="N132" i="13"/>
  <c r="R317" i="67"/>
  <c r="R316" i="67"/>
  <c r="W309" i="103"/>
  <c r="Y309" i="103" s="1"/>
  <c r="N131" i="13"/>
  <c r="W308" i="103"/>
  <c r="Y308" i="103" s="1"/>
  <c r="N130" i="13"/>
  <c r="R314" i="67"/>
  <c r="W307" i="103"/>
  <c r="Y307" i="103" s="1"/>
  <c r="N129" i="13"/>
  <c r="W306" i="103"/>
  <c r="Y306" i="103" s="1"/>
  <c r="BW306" i="103"/>
  <c r="W305" i="103"/>
  <c r="Y305" i="103" s="1"/>
  <c r="N127" i="13"/>
  <c r="BW304" i="103"/>
  <c r="W304" i="103"/>
  <c r="Y304" i="103" s="1"/>
  <c r="N126" i="13"/>
  <c r="R311" i="67"/>
  <c r="W303" i="103"/>
  <c r="Y303" i="103" s="1"/>
  <c r="N125" i="13"/>
  <c r="AO300" i="22"/>
  <c r="W302" i="103"/>
  <c r="Y302" i="103" s="1"/>
  <c r="N124" i="13"/>
  <c r="BW301" i="103"/>
  <c r="W301" i="103"/>
  <c r="Y301" i="103" s="1"/>
  <c r="N123" i="13"/>
  <c r="W300" i="103"/>
  <c r="Y300" i="103" s="1"/>
  <c r="N122" i="13"/>
  <c r="W299" i="103"/>
  <c r="Y299" i="103" s="1"/>
  <c r="N121" i="13"/>
  <c r="AO297" i="22"/>
  <c r="BA298" i="103"/>
  <c r="BW298" i="103"/>
  <c r="W298" i="103"/>
  <c r="Y298" i="103" s="1"/>
  <c r="N120" i="13"/>
  <c r="W297" i="103"/>
  <c r="Y297" i="103" s="1"/>
  <c r="N119" i="13"/>
  <c r="W296" i="103"/>
  <c r="Y296" i="103" s="1"/>
  <c r="N118" i="13"/>
  <c r="BA295" i="103"/>
  <c r="BW295" i="103"/>
  <c r="R302" i="67"/>
  <c r="W295" i="103"/>
  <c r="Y295" i="103" s="1"/>
  <c r="N117" i="13"/>
  <c r="W294" i="103"/>
  <c r="Y294" i="103" s="1"/>
  <c r="N116" i="13"/>
  <c r="W293" i="103"/>
  <c r="Y293" i="103" s="1"/>
  <c r="W292" i="103"/>
  <c r="Y292" i="103" s="1"/>
  <c r="BW292" i="103"/>
  <c r="W291" i="103"/>
  <c r="Y291" i="103" s="1"/>
  <c r="AO291" i="22"/>
  <c r="R299" i="67"/>
  <c r="W290" i="103"/>
  <c r="Y290" i="103" s="1"/>
  <c r="W289" i="103"/>
  <c r="Y289" i="103" s="1"/>
  <c r="BW289" i="103"/>
  <c r="R296" i="67"/>
  <c r="W288" i="103"/>
  <c r="Y288" i="103" s="1"/>
  <c r="W287" i="103"/>
  <c r="Y287" i="103" s="1"/>
  <c r="W286" i="103"/>
  <c r="Y286" i="103" s="1"/>
  <c r="AE286" i="22"/>
  <c r="BW286" i="103"/>
  <c r="C25" i="104"/>
  <c r="AB385" i="103"/>
  <c r="C24" i="104"/>
  <c r="O34" i="64"/>
  <c r="P34" i="64" s="1"/>
  <c r="O35" i="64"/>
  <c r="P35" i="64" s="1"/>
  <c r="O106" i="13"/>
  <c r="S113" i="13" s="1"/>
  <c r="U185" i="13"/>
  <c r="S184" i="13" s="1"/>
  <c r="CA40" i="103"/>
  <c r="I40" i="67" s="1"/>
  <c r="R40" i="67"/>
  <c r="AO83" i="22"/>
  <c r="CA82" i="103"/>
  <c r="I84" i="67" s="1"/>
  <c r="Q129" i="23"/>
  <c r="R175" i="67"/>
  <c r="AO54" i="22"/>
  <c r="R239" i="67"/>
  <c r="CA232" i="103"/>
  <c r="I239" i="67" s="1"/>
  <c r="AO254" i="22"/>
  <c r="CA53" i="103"/>
  <c r="I54" i="67" s="1"/>
  <c r="CA170" i="103"/>
  <c r="I175" i="67" s="1"/>
  <c r="R122" i="67"/>
  <c r="CA85" i="103"/>
  <c r="I87" i="67" s="1"/>
  <c r="B12" i="31"/>
  <c r="B46" i="31"/>
  <c r="A46" i="31" s="1"/>
  <c r="A11" i="31"/>
  <c r="B18" i="102"/>
  <c r="C18" i="102" s="1"/>
  <c r="P129" i="23"/>
  <c r="V130" i="23"/>
  <c r="S130" i="23"/>
  <c r="J130" i="23"/>
  <c r="D130" i="23"/>
  <c r="B131" i="23"/>
  <c r="Y130" i="23"/>
  <c r="AA130" i="23"/>
  <c r="AK130" i="23"/>
  <c r="H130" i="23"/>
  <c r="AI130" i="23"/>
  <c r="AC130" i="23"/>
  <c r="U130" i="23"/>
  <c r="R130" i="23"/>
  <c r="AE130" i="23"/>
  <c r="AJ130" i="23"/>
  <c r="C130" i="23"/>
  <c r="AH130" i="23"/>
  <c r="AB130" i="23"/>
  <c r="N130" i="23"/>
  <c r="Z130" i="23"/>
  <c r="AD130" i="23"/>
  <c r="I130" i="23"/>
  <c r="T130" i="23"/>
  <c r="W130" i="23"/>
  <c r="AG130" i="23"/>
  <c r="R136" i="67"/>
  <c r="R153" i="67"/>
  <c r="CA149" i="103"/>
  <c r="I153" i="67" s="1"/>
  <c r="CA119" i="103"/>
  <c r="I122" i="67" s="1"/>
  <c r="AO183" i="22"/>
  <c r="CA182" i="103"/>
  <c r="I187" i="67" s="1"/>
  <c r="CA132" i="103"/>
  <c r="I136" i="67" s="1"/>
  <c r="CA113" i="103"/>
  <c r="I116" i="67" s="1"/>
  <c r="R116" i="67"/>
  <c r="CA253" i="103"/>
  <c r="I260" i="67" s="1"/>
  <c r="R184" i="67"/>
  <c r="CA179" i="103"/>
  <c r="I184" i="67" s="1"/>
  <c r="R105" i="67"/>
  <c r="CA102" i="103"/>
  <c r="I105" i="67" s="1"/>
  <c r="CA37" i="103"/>
  <c r="I37" i="67" s="1"/>
  <c r="R87" i="67"/>
  <c r="AO282" i="22"/>
  <c r="AO59" i="22"/>
  <c r="R222" i="67"/>
  <c r="AO283" i="22"/>
  <c r="AO236" i="22"/>
  <c r="AO217" i="22"/>
  <c r="G119" i="22"/>
  <c r="AO245" i="22"/>
  <c r="AO119" i="22"/>
  <c r="AO251" i="22"/>
  <c r="D282" i="22"/>
  <c r="AO61" i="22"/>
  <c r="AG160" i="23"/>
  <c r="G26" i="36" s="1"/>
  <c r="G18" i="36" s="1"/>
  <c r="F22" i="37" s="1"/>
  <c r="AO89" i="22"/>
  <c r="AO130" i="22"/>
  <c r="G120" i="22"/>
  <c r="AO50" i="22"/>
  <c r="AO126" i="22"/>
  <c r="AO25" i="22"/>
  <c r="R127" i="67"/>
  <c r="CA216" i="103"/>
  <c r="I222" i="67" s="1"/>
  <c r="AO113" i="22"/>
  <c r="R57" i="67"/>
  <c r="AO125" i="22"/>
  <c r="CA124" i="103"/>
  <c r="I127" i="67" s="1"/>
  <c r="AO117" i="22"/>
  <c r="D387" i="103"/>
  <c r="C37" i="53" s="1"/>
  <c r="G118" i="22"/>
  <c r="AO156" i="22"/>
  <c r="AO123" i="22"/>
  <c r="AO86" i="22"/>
  <c r="R275" i="67"/>
  <c r="R182" i="67"/>
  <c r="AO94" i="22"/>
  <c r="AO274" i="22"/>
  <c r="AO212" i="22"/>
  <c r="AO38" i="22"/>
  <c r="AG168" i="23"/>
  <c r="O26" i="36" s="1"/>
  <c r="O18" i="36" s="1"/>
  <c r="N22" i="37" s="1"/>
  <c r="AG162" i="23"/>
  <c r="I26" i="36" s="1"/>
  <c r="I18" i="36" s="1"/>
  <c r="H22" i="37" s="1"/>
  <c r="AG167" i="23"/>
  <c r="AF96" i="23" s="1"/>
  <c r="R95" i="67"/>
  <c r="AO178" i="22"/>
  <c r="AG165" i="23"/>
  <c r="L26" i="36" s="1"/>
  <c r="L18" i="36" s="1"/>
  <c r="K22" i="37" s="1"/>
  <c r="R37" i="67"/>
  <c r="AG163" i="23"/>
  <c r="J26" i="36" s="1"/>
  <c r="J18" i="36" s="1"/>
  <c r="I22" i="37" s="1"/>
  <c r="AG170" i="23"/>
  <c r="Q26" i="36" s="1"/>
  <c r="Q18" i="36" s="1"/>
  <c r="P22" i="37" s="1"/>
  <c r="AG164" i="23"/>
  <c r="K26" i="36" s="1"/>
  <c r="K18" i="36" s="1"/>
  <c r="J22" i="37" s="1"/>
  <c r="AG166" i="23"/>
  <c r="M26" i="36" s="1"/>
  <c r="M18" i="36" s="1"/>
  <c r="L22" i="37" s="1"/>
  <c r="AJ100" i="23"/>
  <c r="AG161" i="23"/>
  <c r="H26" i="36" s="1"/>
  <c r="H18" i="36" s="1"/>
  <c r="G22" i="37" s="1"/>
  <c r="AA169" i="23"/>
  <c r="AG169" i="23"/>
  <c r="P26" i="36" s="1"/>
  <c r="P18" i="36" s="1"/>
  <c r="O22" i="37" s="1"/>
  <c r="AA163" i="23"/>
  <c r="AA168" i="23"/>
  <c r="AA160" i="23"/>
  <c r="F37" i="53"/>
  <c r="AI100" i="23"/>
  <c r="AA164" i="23"/>
  <c r="AA165" i="23"/>
  <c r="AA170" i="23"/>
  <c r="AA161" i="23"/>
  <c r="AA166" i="23"/>
  <c r="AA162" i="23"/>
  <c r="CA177" i="103"/>
  <c r="I182" i="67" s="1"/>
  <c r="CA93" i="103"/>
  <c r="I95" i="67" s="1"/>
  <c r="CA155" i="103"/>
  <c r="I159" i="67" s="1"/>
  <c r="R115" i="67"/>
  <c r="R159" i="67"/>
  <c r="Z359" i="103"/>
  <c r="Z387" i="103" s="1"/>
  <c r="CA112" i="103"/>
  <c r="I115" i="67" s="1"/>
  <c r="R125" i="67"/>
  <c r="CA122" i="103"/>
  <c r="I125" i="67" s="1"/>
  <c r="R251" i="67"/>
  <c r="CA118" i="103"/>
  <c r="I121" i="67" s="1"/>
  <c r="R121" i="67"/>
  <c r="R170" i="23"/>
  <c r="R24" i="67"/>
  <c r="CA24" i="103"/>
  <c r="I24" i="67" s="1"/>
  <c r="AO284" i="22"/>
  <c r="CA49" i="103"/>
  <c r="I50" i="67" s="1"/>
  <c r="R50" i="67"/>
  <c r="R132" i="67"/>
  <c r="CA129" i="103"/>
  <c r="I132" i="67" s="1"/>
  <c r="R291" i="67"/>
  <c r="R61" i="67"/>
  <c r="AO57" i="22"/>
  <c r="CA58" i="103"/>
  <c r="I59" i="67" s="1"/>
  <c r="R59" i="67"/>
  <c r="D283" i="22"/>
  <c r="R128" i="67"/>
  <c r="CA244" i="103"/>
  <c r="I251" i="67" s="1"/>
  <c r="CA125" i="103"/>
  <c r="I128" i="67" s="1"/>
  <c r="D330" i="22"/>
  <c r="R281" i="67"/>
  <c r="R217" i="67"/>
  <c r="Z329" i="103"/>
  <c r="R257" i="67"/>
  <c r="R242" i="67"/>
  <c r="CA250" i="103"/>
  <c r="I257" i="67" s="1"/>
  <c r="CA235" i="103"/>
  <c r="I242" i="67" s="1"/>
  <c r="D203" i="103"/>
  <c r="D200" i="103"/>
  <c r="D360" i="22"/>
  <c r="D211" i="103"/>
  <c r="D196" i="103"/>
  <c r="CA88" i="103"/>
  <c r="I90" i="67" s="1"/>
  <c r="D209" i="103"/>
  <c r="D195" i="103"/>
  <c r="D219" i="103"/>
  <c r="D218" i="103"/>
  <c r="D201" i="103"/>
  <c r="D199" i="103"/>
  <c r="R290" i="67"/>
  <c r="D221" i="103"/>
  <c r="D284" i="22"/>
  <c r="CA56" i="103"/>
  <c r="I57" i="67" s="1"/>
  <c r="D194" i="103"/>
  <c r="R90" i="67"/>
  <c r="D281" i="22"/>
  <c r="R119" i="67"/>
  <c r="D197" i="103"/>
  <c r="CA116" i="103"/>
  <c r="I119" i="67" s="1"/>
  <c r="D208" i="103"/>
  <c r="L338" i="67"/>
  <c r="AG305" i="22"/>
  <c r="L341" i="67"/>
  <c r="L319" i="67"/>
  <c r="I314" i="67"/>
  <c r="AO209" i="22"/>
  <c r="AO124" i="22"/>
  <c r="AO312" i="22"/>
  <c r="L366" i="67"/>
  <c r="I302" i="67"/>
  <c r="AO170" i="22"/>
  <c r="I311" i="67"/>
  <c r="AO317" i="22"/>
  <c r="AO324" i="22"/>
  <c r="AO90" i="22"/>
  <c r="AO31" i="22"/>
  <c r="AO253" i="22"/>
  <c r="AG341" i="22"/>
  <c r="L343" i="67"/>
  <c r="AO26" i="22"/>
  <c r="AE318" i="22"/>
  <c r="AO204" i="22"/>
  <c r="AO93" i="22"/>
  <c r="I323" i="67"/>
  <c r="I380" i="67"/>
  <c r="L340" i="67"/>
  <c r="AE291" i="22"/>
  <c r="I370" i="67"/>
  <c r="L329" i="67"/>
  <c r="I378" i="67"/>
  <c r="AO99" i="22"/>
  <c r="AO39" i="22"/>
  <c r="AO244" i="22"/>
  <c r="I332" i="67"/>
  <c r="I305" i="67"/>
  <c r="AO247" i="22"/>
  <c r="AO142" i="22"/>
  <c r="AO115" i="22"/>
  <c r="I365" i="67"/>
  <c r="AO280" i="22"/>
  <c r="I384" i="67"/>
  <c r="Y12" i="68" s="1"/>
  <c r="AO52" i="22"/>
  <c r="AO286" i="22"/>
  <c r="I362" i="67"/>
  <c r="R284" i="67"/>
  <c r="AE330" i="22"/>
  <c r="AG328" i="22"/>
  <c r="AE350" i="22"/>
  <c r="AO45" i="22"/>
  <c r="AO266" i="22"/>
  <c r="AO263" i="22"/>
  <c r="AO268" i="22"/>
  <c r="AE362" i="22"/>
  <c r="I352" i="67"/>
  <c r="I342" i="67"/>
  <c r="I343" i="67"/>
  <c r="AO34" i="22"/>
  <c r="AO139" i="22"/>
  <c r="AO219" i="22"/>
  <c r="AO201" i="22"/>
  <c r="I377" i="67"/>
  <c r="AO281" i="22"/>
  <c r="I334" i="67"/>
  <c r="I374" i="67"/>
  <c r="L346" i="67"/>
  <c r="AO84" i="22"/>
  <c r="AO278" i="22"/>
  <c r="I375" i="67"/>
  <c r="AO136" i="22"/>
  <c r="R215" i="67"/>
  <c r="AO79" i="22"/>
  <c r="AO321" i="22"/>
  <c r="AO107" i="22"/>
  <c r="L349" i="67"/>
  <c r="I364" i="67"/>
  <c r="L332" i="67"/>
  <c r="L307" i="67"/>
  <c r="I345" i="67"/>
  <c r="I308" i="67"/>
  <c r="AO231" i="22"/>
  <c r="AO127" i="22"/>
  <c r="AO327" i="22"/>
  <c r="AO275" i="22"/>
  <c r="R289" i="67"/>
  <c r="I290" i="67"/>
  <c r="I289" i="67"/>
  <c r="R287" i="67"/>
  <c r="I288" i="67"/>
  <c r="R288" i="67"/>
  <c r="I287" i="67"/>
  <c r="N97" i="13"/>
  <c r="N96" i="13"/>
  <c r="I286" i="67"/>
  <c r="R285" i="67"/>
  <c r="N95" i="13"/>
  <c r="I285" i="67"/>
  <c r="N94" i="13"/>
  <c r="I284" i="67"/>
  <c r="AO277" i="22"/>
  <c r="N93" i="13"/>
  <c r="I283" i="67"/>
  <c r="AO276" i="22"/>
  <c r="R282" i="67"/>
  <c r="N92" i="13"/>
  <c r="I282" i="67"/>
  <c r="N91" i="13"/>
  <c r="N90" i="13"/>
  <c r="I280" i="67"/>
  <c r="R270" i="67"/>
  <c r="AO273" i="22"/>
  <c r="AE355" i="22"/>
  <c r="AE352" i="22"/>
  <c r="N89" i="13"/>
  <c r="I279" i="67"/>
  <c r="N88" i="13"/>
  <c r="I278" i="67"/>
  <c r="AO271" i="22"/>
  <c r="R259" i="67"/>
  <c r="N87" i="13"/>
  <c r="I277" i="67"/>
  <c r="F7" i="104"/>
  <c r="G7" i="104" s="1"/>
  <c r="D29" i="104"/>
  <c r="E25" i="104"/>
  <c r="AE315" i="22"/>
  <c r="R336" i="67"/>
  <c r="R273" i="67"/>
  <c r="AE367" i="22"/>
  <c r="G181" i="13"/>
  <c r="I175" i="13" s="1"/>
  <c r="AG331" i="22"/>
  <c r="R117" i="67"/>
  <c r="R30" i="67"/>
  <c r="BA131" i="103"/>
  <c r="BA380" i="103" s="1"/>
  <c r="AE323" i="22"/>
  <c r="AE370" i="22"/>
  <c r="R280" i="67"/>
  <c r="R94" i="67"/>
  <c r="R278" i="67"/>
  <c r="R80" i="67"/>
  <c r="AE333" i="22"/>
  <c r="R109" i="67"/>
  <c r="R206" i="67"/>
  <c r="R142" i="67"/>
  <c r="R224" i="67"/>
  <c r="AE300" i="22"/>
  <c r="AG340" i="22"/>
  <c r="R33" i="67"/>
  <c r="AG320" i="22"/>
  <c r="R294" i="67"/>
  <c r="R52" i="67"/>
  <c r="R333" i="67"/>
  <c r="AE374" i="22"/>
  <c r="R129" i="67"/>
  <c r="B168" i="13"/>
  <c r="D168" i="13" s="1"/>
  <c r="R237" i="67"/>
  <c r="R145" i="67"/>
  <c r="R283" i="67"/>
  <c r="AE334" i="22"/>
  <c r="CH377" i="103"/>
  <c r="R250" i="67"/>
  <c r="L393" i="58"/>
  <c r="T7" i="65" s="1"/>
  <c r="AG311" i="22"/>
  <c r="AG329" i="22"/>
  <c r="R38" i="67"/>
  <c r="R209" i="67"/>
  <c r="R330" i="67"/>
  <c r="R91" i="67"/>
  <c r="AO48" i="22"/>
  <c r="R48" i="67"/>
  <c r="AO152" i="22"/>
  <c r="R155" i="67"/>
  <c r="R326" i="67"/>
  <c r="AE336" i="22"/>
  <c r="R174" i="67"/>
  <c r="I299" i="67"/>
  <c r="R100" i="67"/>
  <c r="B97" i="13"/>
  <c r="AG334" i="22"/>
  <c r="R320" i="67"/>
  <c r="L292" i="67"/>
  <c r="R276" i="67"/>
  <c r="AO269" i="22"/>
  <c r="B59" i="13"/>
  <c r="R85" i="67"/>
  <c r="I339" i="67"/>
  <c r="B51" i="13"/>
  <c r="AE368" i="22"/>
  <c r="AE365" i="22"/>
  <c r="AE297" i="22"/>
  <c r="I333" i="67"/>
  <c r="AE324" i="22"/>
  <c r="AO21" i="22"/>
  <c r="R20" i="67"/>
  <c r="AO210" i="22"/>
  <c r="L337" i="67"/>
  <c r="R126" i="67"/>
  <c r="AE306" i="22"/>
  <c r="AO260" i="22"/>
  <c r="R267" i="67"/>
  <c r="AG299" i="22"/>
  <c r="AO373" i="22"/>
  <c r="R383" i="67"/>
  <c r="I383" i="67"/>
  <c r="W12" i="68" s="1"/>
  <c r="AE373" i="22"/>
  <c r="AO279" i="22"/>
  <c r="R286" i="67"/>
  <c r="AO358" i="22"/>
  <c r="R368" i="67"/>
  <c r="I368" i="67"/>
  <c r="AE358" i="22"/>
  <c r="AO200" i="22"/>
  <c r="R205" i="67"/>
  <c r="AO241" i="22"/>
  <c r="R247" i="67"/>
  <c r="R253" i="67"/>
  <c r="R45" i="67"/>
  <c r="Y66" i="103"/>
  <c r="AL66" i="103" s="1"/>
  <c r="AE364" i="22"/>
  <c r="AO267" i="22"/>
  <c r="R274" i="67"/>
  <c r="Y261" i="103"/>
  <c r="AG356" i="22"/>
  <c r="AO102" i="22"/>
  <c r="R104" i="67"/>
  <c r="L350" i="67"/>
  <c r="AE360" i="22"/>
  <c r="Y79" i="103"/>
  <c r="AL79" i="103" s="1"/>
  <c r="Y316" i="103"/>
  <c r="AL316" i="103" s="1"/>
  <c r="AE325" i="22"/>
  <c r="I327" i="67"/>
  <c r="R135" i="67"/>
  <c r="AO132" i="22"/>
  <c r="Y87" i="103"/>
  <c r="B65" i="13"/>
  <c r="AE303" i="22"/>
  <c r="AO298" i="22"/>
  <c r="R306" i="67"/>
  <c r="AG323" i="22"/>
  <c r="I306" i="67"/>
  <c r="AE298" i="22"/>
  <c r="AG337" i="22"/>
  <c r="AO342" i="22"/>
  <c r="R351" i="67"/>
  <c r="AO76" i="22"/>
  <c r="R77" i="67"/>
  <c r="I351" i="67"/>
  <c r="AE342" i="22"/>
  <c r="Y73" i="103"/>
  <c r="AL73" i="103" s="1"/>
  <c r="R214" i="67"/>
  <c r="AO289" i="22"/>
  <c r="R297" i="67"/>
  <c r="I297" i="67"/>
  <c r="AE289" i="22"/>
  <c r="I309" i="67"/>
  <c r="AE301" i="22"/>
  <c r="AE294" i="22"/>
  <c r="AO240" i="22"/>
  <c r="R246" i="67"/>
  <c r="Y351" i="103"/>
  <c r="AL351" i="103" s="1"/>
  <c r="AO295" i="22"/>
  <c r="R303" i="67"/>
  <c r="I303" i="67"/>
  <c r="AE295" i="22"/>
  <c r="AO105" i="22"/>
  <c r="R107" i="67"/>
  <c r="AO349" i="22"/>
  <c r="R359" i="67"/>
  <c r="AE349" i="22"/>
  <c r="I359" i="67"/>
  <c r="AO301" i="22"/>
  <c r="R309" i="67"/>
  <c r="AO121" i="22"/>
  <c r="R123" i="67"/>
  <c r="Y156" i="103"/>
  <c r="AL156" i="103" s="1"/>
  <c r="AO261" i="22"/>
  <c r="R268" i="67"/>
  <c r="Y372" i="103"/>
  <c r="AL372" i="103" s="1"/>
  <c r="AO304" i="22"/>
  <c r="R312" i="67"/>
  <c r="Y342" i="103"/>
  <c r="AL342" i="103" s="1"/>
  <c r="Y360" i="103"/>
  <c r="AL360" i="103" s="1"/>
  <c r="AO118" i="22"/>
  <c r="R120" i="67"/>
  <c r="I312" i="67"/>
  <c r="AE304" i="22"/>
  <c r="AO262" i="22"/>
  <c r="R269" i="67"/>
  <c r="Y98" i="103"/>
  <c r="AL98" i="103" s="1"/>
  <c r="CF386" i="103"/>
  <c r="Y100" i="103"/>
  <c r="AL100" i="103" s="1"/>
  <c r="CA187" i="103"/>
  <c r="I192" i="67" s="1"/>
  <c r="AO270" i="22"/>
  <c r="R277" i="67"/>
  <c r="AO215" i="22"/>
  <c r="R220" i="67"/>
  <c r="BA387" i="103"/>
  <c r="H42" i="30" s="1"/>
  <c r="B151" i="13"/>
  <c r="D151" i="13" s="1"/>
  <c r="Y75" i="103"/>
  <c r="AL75" i="103" s="1"/>
  <c r="BB388" i="103"/>
  <c r="AO292" i="22"/>
  <c r="R300" i="67"/>
  <c r="AA388" i="103"/>
  <c r="Y327" i="103"/>
  <c r="AE354" i="22"/>
  <c r="R139" i="67"/>
  <c r="I300" i="67"/>
  <c r="AE292" i="22"/>
  <c r="B162" i="13"/>
  <c r="D162" i="13" s="1"/>
  <c r="Y333" i="103"/>
  <c r="AL333" i="103" s="1"/>
  <c r="B93" i="13"/>
  <c r="CH378" i="103"/>
  <c r="CF62" i="103"/>
  <c r="BA62" i="103" s="1"/>
  <c r="AO339" i="22"/>
  <c r="R348" i="67"/>
  <c r="AO24" i="22"/>
  <c r="R23" i="67"/>
  <c r="CH376" i="103"/>
  <c r="CF383" i="103"/>
  <c r="AE339" i="22"/>
  <c r="I348" i="67"/>
  <c r="Y154" i="103"/>
  <c r="AL154" i="103" s="1"/>
  <c r="Y71" i="103"/>
  <c r="AL71" i="103" s="1"/>
  <c r="CF385" i="103"/>
  <c r="Y55" i="103"/>
  <c r="CA184" i="103"/>
  <c r="I189" i="67" s="1"/>
  <c r="Y88" i="103"/>
  <c r="CA195" i="103"/>
  <c r="I201" i="67" s="1"/>
  <c r="CA180" i="103"/>
  <c r="I185" i="67" s="1"/>
  <c r="Y138" i="103"/>
  <c r="AL138" i="103" s="1"/>
  <c r="Y336" i="103"/>
  <c r="Y354" i="103"/>
  <c r="AL354" i="103" s="1"/>
  <c r="CA31" i="103"/>
  <c r="I31" i="67" s="1"/>
  <c r="CA238" i="103"/>
  <c r="I245" i="67" s="1"/>
  <c r="Y65" i="103"/>
  <c r="Y145" i="103"/>
  <c r="AL145" i="103" s="1"/>
  <c r="Y94" i="103"/>
  <c r="AL94" i="103" s="1"/>
  <c r="CA229" i="103"/>
  <c r="I236" i="67" s="1"/>
  <c r="Y319" i="103"/>
  <c r="Y58" i="103"/>
  <c r="Y45" i="103"/>
  <c r="AL45" i="103" s="1"/>
  <c r="Y43" i="103"/>
  <c r="Y139" i="103"/>
  <c r="AL139" i="103" s="1"/>
  <c r="B152" i="13"/>
  <c r="D152" i="13" s="1"/>
  <c r="CA310" i="103"/>
  <c r="Y338" i="103"/>
  <c r="AL338" i="103" s="1"/>
  <c r="CA241" i="103"/>
  <c r="I248" i="67" s="1"/>
  <c r="L313" i="67"/>
  <c r="Y159" i="103"/>
  <c r="AL159" i="103" s="1"/>
  <c r="AO157" i="22"/>
  <c r="R160" i="67"/>
  <c r="B91" i="13"/>
  <c r="CF34" i="103"/>
  <c r="BA34" i="103" s="1"/>
  <c r="AO207" i="22"/>
  <c r="R212" i="67"/>
  <c r="AO265" i="22"/>
  <c r="R272" i="67"/>
  <c r="AO112" i="22"/>
  <c r="R114" i="67"/>
  <c r="CB385" i="103"/>
  <c r="CA355" i="103"/>
  <c r="CF384" i="103"/>
  <c r="CA64" i="103"/>
  <c r="I65" i="67" s="1"/>
  <c r="R157" i="67"/>
  <c r="AO154" i="22"/>
  <c r="F403" i="103"/>
  <c r="AG332" i="22"/>
  <c r="CA43" i="103"/>
  <c r="I44" i="67" s="1"/>
  <c r="AO13" i="22"/>
  <c r="R12" i="67"/>
  <c r="I317" i="67"/>
  <c r="AE309" i="22"/>
  <c r="Y59" i="103"/>
  <c r="AL59" i="103" s="1"/>
  <c r="AO96" i="22"/>
  <c r="R97" i="67"/>
  <c r="AO129" i="22"/>
  <c r="R131" i="67"/>
  <c r="B90" i="13"/>
  <c r="BZ388" i="103"/>
  <c r="Y158" i="103"/>
  <c r="AL158" i="103" s="1"/>
  <c r="CF96" i="103"/>
  <c r="BA96" i="103" s="1"/>
  <c r="AO228" i="22"/>
  <c r="R234" i="67"/>
  <c r="AO272" i="22"/>
  <c r="R279" i="67"/>
  <c r="CF87" i="103"/>
  <c r="BA87" i="103" s="1"/>
  <c r="CF387" i="103"/>
  <c r="AO264" i="22"/>
  <c r="R271" i="67"/>
  <c r="Y328" i="103"/>
  <c r="AL328" i="103" s="1"/>
  <c r="R25" i="67"/>
  <c r="B147" i="13"/>
  <c r="D147" i="13" s="1"/>
  <c r="Y63" i="103"/>
  <c r="AL63" i="103" s="1"/>
  <c r="CA331" i="103"/>
  <c r="AO64" i="22"/>
  <c r="R64" i="67"/>
  <c r="AO246" i="22"/>
  <c r="R252" i="67"/>
  <c r="CB387" i="103"/>
  <c r="Y361" i="103"/>
  <c r="AL361" i="103" s="1"/>
  <c r="Y146" i="103"/>
  <c r="AL146" i="103" s="1"/>
  <c r="CA226" i="103"/>
  <c r="I233" i="67" s="1"/>
  <c r="AO82" i="22"/>
  <c r="R83" i="67"/>
  <c r="Y370" i="103"/>
  <c r="AL370" i="103" s="1"/>
  <c r="I360" i="67"/>
  <c r="I372" i="67"/>
  <c r="R387" i="58"/>
  <c r="Y80" i="103"/>
  <c r="AL80" i="103" s="1"/>
  <c r="Y161" i="103"/>
  <c r="Y348" i="103"/>
  <c r="AL348" i="103" s="1"/>
  <c r="Y64" i="103"/>
  <c r="Y363" i="103"/>
  <c r="AL363" i="103" s="1"/>
  <c r="CA222" i="103"/>
  <c r="I228" i="67" s="1"/>
  <c r="Y160" i="103"/>
  <c r="AL160" i="103" s="1"/>
  <c r="CA340" i="103"/>
  <c r="CA325" i="103"/>
  <c r="BW380" i="103"/>
  <c r="B75" i="13"/>
  <c r="AE343" i="22"/>
  <c r="B43" i="13"/>
  <c r="Y326" i="103"/>
  <c r="AL326" i="103" s="1"/>
  <c r="CA152" i="103"/>
  <c r="I156" i="67" s="1"/>
  <c r="Y149" i="103"/>
  <c r="CA306" i="103"/>
  <c r="BY383" i="103"/>
  <c r="Y137" i="103"/>
  <c r="AL137" i="103" s="1"/>
  <c r="Y374" i="103"/>
  <c r="AL374" i="103" s="1"/>
  <c r="CF105" i="103"/>
  <c r="BA105" i="103" s="1"/>
  <c r="Y321" i="103"/>
  <c r="AL321" i="103" s="1"/>
  <c r="CA65" i="103"/>
  <c r="I66" i="67" s="1"/>
  <c r="Y69" i="103"/>
  <c r="AL69" i="103" s="1"/>
  <c r="L134" i="67"/>
  <c r="CF118" i="103"/>
  <c r="BA118" i="103" s="1"/>
  <c r="Y353" i="103"/>
  <c r="AL353" i="103" s="1"/>
  <c r="Y329" i="103"/>
  <c r="AL329" i="103" s="1"/>
  <c r="Y152" i="103"/>
  <c r="Y285" i="103"/>
  <c r="BA245" i="103"/>
  <c r="BA383" i="103" s="1"/>
  <c r="CA109" i="103"/>
  <c r="I112" i="67" s="1"/>
  <c r="CA91" i="103"/>
  <c r="I93" i="67" s="1"/>
  <c r="Y144" i="103"/>
  <c r="AL144" i="103" s="1"/>
  <c r="Y140" i="103"/>
  <c r="AL140" i="103" s="1"/>
  <c r="L42" i="67"/>
  <c r="CA219" i="103"/>
  <c r="I225" i="67" s="1"/>
  <c r="CI388" i="103"/>
  <c r="CA247" i="103"/>
  <c r="I254" i="67" s="1"/>
  <c r="Y89" i="103"/>
  <c r="AL89" i="103" s="1"/>
  <c r="Y56" i="103"/>
  <c r="Y356" i="103"/>
  <c r="AL356" i="103" s="1"/>
  <c r="Y53" i="103"/>
  <c r="CF31" i="103"/>
  <c r="BA31" i="103" s="1"/>
  <c r="Y50" i="103"/>
  <c r="AL50" i="103" s="1"/>
  <c r="Y347" i="103"/>
  <c r="AL347" i="103" s="1"/>
  <c r="Y369" i="103"/>
  <c r="AL369" i="103" s="1"/>
  <c r="Y365" i="103"/>
  <c r="AL365" i="103" s="1"/>
  <c r="Y344" i="103"/>
  <c r="AL344" i="103" s="1"/>
  <c r="AO62" i="22"/>
  <c r="R62" i="67"/>
  <c r="L385" i="67"/>
  <c r="AA15" i="68" s="1"/>
  <c r="AG375" i="22"/>
  <c r="Y318" i="103"/>
  <c r="AL318" i="103" s="1"/>
  <c r="BI222" i="103"/>
  <c r="W222" i="103"/>
  <c r="Y222" i="103" s="1"/>
  <c r="AO239" i="22"/>
  <c r="R245" i="67"/>
  <c r="CA301" i="103"/>
  <c r="CF29" i="103"/>
  <c r="BA29" i="103" s="1"/>
  <c r="CF109" i="103"/>
  <c r="BA109" i="103" s="1"/>
  <c r="CA61" i="103"/>
  <c r="I62" i="67" s="1"/>
  <c r="AB380" i="58"/>
  <c r="K131" i="58"/>
  <c r="Y317" i="103"/>
  <c r="AL317" i="103" s="1"/>
  <c r="R386" i="58"/>
  <c r="R399" i="58"/>
  <c r="L315" i="58"/>
  <c r="CA358" i="103"/>
  <c r="L347" i="67"/>
  <c r="AG338" i="22"/>
  <c r="Y51" i="103"/>
  <c r="AL51" i="103" s="1"/>
  <c r="Y44" i="103"/>
  <c r="AL44" i="103" s="1"/>
  <c r="AA377" i="58"/>
  <c r="J42" i="58"/>
  <c r="Y92" i="103"/>
  <c r="AL92" i="103" s="1"/>
  <c r="Y349" i="103"/>
  <c r="AL349" i="103" s="1"/>
  <c r="BI191" i="103"/>
  <c r="W191" i="103"/>
  <c r="Y191" i="103" s="1"/>
  <c r="AL191" i="103" s="1"/>
  <c r="BI232" i="103"/>
  <c r="W232" i="103"/>
  <c r="Y232" i="103" s="1"/>
  <c r="Y102" i="103"/>
  <c r="BI119" i="103"/>
  <c r="W119" i="103"/>
  <c r="Y119" i="103" s="1"/>
  <c r="BI216" i="103"/>
  <c r="W216" i="103"/>
  <c r="Y216" i="103" s="1"/>
  <c r="CA167" i="103"/>
  <c r="I172" i="67" s="1"/>
  <c r="Y90" i="103"/>
  <c r="BW105" i="103"/>
  <c r="BY379" i="103"/>
  <c r="BY387" i="103"/>
  <c r="BI227" i="103"/>
  <c r="W227" i="103"/>
  <c r="Y227" i="103" s="1"/>
  <c r="AL227" i="103" s="1"/>
  <c r="CA330" i="103"/>
  <c r="B203" i="13"/>
  <c r="AC379" i="58"/>
  <c r="M101" i="58"/>
  <c r="B77" i="13"/>
  <c r="BI107" i="103"/>
  <c r="W107" i="103"/>
  <c r="Y107" i="103" s="1"/>
  <c r="AL107" i="103" s="1"/>
  <c r="Y57" i="103"/>
  <c r="AL57" i="103" s="1"/>
  <c r="CF73" i="103"/>
  <c r="BA73" i="103" s="1"/>
  <c r="CH379" i="103"/>
  <c r="B149" i="13"/>
  <c r="D149" i="13" s="1"/>
  <c r="Y78" i="103"/>
  <c r="AL78" i="103" s="1"/>
  <c r="AA385" i="58"/>
  <c r="J284" i="58"/>
  <c r="B167" i="13"/>
  <c r="D167" i="13" s="1"/>
  <c r="AO255" i="22"/>
  <c r="BW384" i="103"/>
  <c r="R262" i="67"/>
  <c r="AA159" i="23"/>
  <c r="AM388" i="103"/>
  <c r="B170" i="13"/>
  <c r="D170" i="13" s="1"/>
  <c r="B84" i="13"/>
  <c r="C13" i="13"/>
  <c r="BI277" i="103"/>
  <c r="W277" i="103"/>
  <c r="B89" i="13"/>
  <c r="B49" i="13"/>
  <c r="Y367" i="103"/>
  <c r="AL367" i="103" s="1"/>
  <c r="Y359" i="103"/>
  <c r="AL359" i="103" s="1"/>
  <c r="BI263" i="103"/>
  <c r="W263" i="103"/>
  <c r="Y263" i="103" s="1"/>
  <c r="BI188" i="103"/>
  <c r="W188" i="103"/>
  <c r="Y188" i="103" s="1"/>
  <c r="AL188" i="103" s="1"/>
  <c r="Y337" i="103"/>
  <c r="Y324" i="103"/>
  <c r="AL324" i="103" s="1"/>
  <c r="AO71" i="22"/>
  <c r="BW378" i="103"/>
  <c r="R72" i="67"/>
  <c r="BI18" i="103"/>
  <c r="W18" i="103"/>
  <c r="Y18" i="103" s="1"/>
  <c r="AL18" i="103" s="1"/>
  <c r="I361" i="67"/>
  <c r="AE351" i="22"/>
  <c r="B95" i="13"/>
  <c r="Z376" i="58"/>
  <c r="I11" i="58"/>
  <c r="Y49" i="103"/>
  <c r="BI35" i="103"/>
  <c r="W35" i="103"/>
  <c r="Y35" i="103" s="1"/>
  <c r="AL35" i="103" s="1"/>
  <c r="BI259" i="103"/>
  <c r="W259" i="103"/>
  <c r="Y259" i="103" s="1"/>
  <c r="Y134" i="103"/>
  <c r="AL134" i="103" s="1"/>
  <c r="Y155" i="103"/>
  <c r="Y352" i="103"/>
  <c r="W120" i="103"/>
  <c r="Y120" i="103" s="1"/>
  <c r="AL120" i="103" s="1"/>
  <c r="BI120" i="103"/>
  <c r="B55" i="13"/>
  <c r="AB384" i="103"/>
  <c r="BI171" i="103"/>
  <c r="W171" i="103"/>
  <c r="Y171" i="103" s="1"/>
  <c r="BI128" i="103"/>
  <c r="W128" i="103"/>
  <c r="Y128" i="103" s="1"/>
  <c r="AL128" i="103" s="1"/>
  <c r="B63" i="13"/>
  <c r="B146" i="13"/>
  <c r="D146" i="13" s="1"/>
  <c r="C382" i="103"/>
  <c r="BI192" i="103"/>
  <c r="W192" i="103"/>
  <c r="BI275" i="103"/>
  <c r="W275" i="103"/>
  <c r="C107" i="13"/>
  <c r="CF79" i="103"/>
  <c r="BA79" i="103" s="1"/>
  <c r="B41" i="13"/>
  <c r="I137" i="67"/>
  <c r="B47" i="13"/>
  <c r="B60" i="13"/>
  <c r="N47" i="13"/>
  <c r="Z379" i="58"/>
  <c r="I101" i="58"/>
  <c r="AB378" i="103"/>
  <c r="CG388" i="103"/>
  <c r="B124" i="13"/>
  <c r="BX379" i="103"/>
  <c r="BA101" i="103"/>
  <c r="I316" i="67"/>
  <c r="AE308" i="22"/>
  <c r="I262" i="67"/>
  <c r="CA384" i="103"/>
  <c r="BI13" i="103"/>
  <c r="W13" i="103"/>
  <c r="Y13" i="103" s="1"/>
  <c r="AL13" i="103" s="1"/>
  <c r="AB385" i="58"/>
  <c r="K284" i="58"/>
  <c r="Y62" i="103"/>
  <c r="AL62" i="103" s="1"/>
  <c r="Y76" i="103"/>
  <c r="AL76" i="103" s="1"/>
  <c r="B53" i="13"/>
  <c r="CF76" i="103"/>
  <c r="BA76" i="103" s="1"/>
  <c r="Y355" i="103"/>
  <c r="BI103" i="103"/>
  <c r="W103" i="103"/>
  <c r="Y103" i="103" s="1"/>
  <c r="AL103" i="103" s="1"/>
  <c r="BI113" i="103"/>
  <c r="W113" i="103"/>
  <c r="Y113" i="103" s="1"/>
  <c r="BI12" i="103"/>
  <c r="W12" i="103"/>
  <c r="Y12" i="103" s="1"/>
  <c r="AL12" i="103" s="1"/>
  <c r="W206" i="103"/>
  <c r="Y206" i="103" s="1"/>
  <c r="AL206" i="103" s="1"/>
  <c r="BI206" i="103"/>
  <c r="W267" i="103"/>
  <c r="Y267" i="103" s="1"/>
  <c r="BI267" i="103"/>
  <c r="BI244" i="103"/>
  <c r="W244" i="103"/>
  <c r="Y244" i="103" s="1"/>
  <c r="BI185" i="103"/>
  <c r="W185" i="103"/>
  <c r="Y185" i="103" s="1"/>
  <c r="AL185" i="103" s="1"/>
  <c r="BY378" i="103"/>
  <c r="BX386" i="103"/>
  <c r="BA315" i="103"/>
  <c r="L301" i="67"/>
  <c r="AG293" i="22"/>
  <c r="AO337" i="22"/>
  <c r="R346" i="67"/>
  <c r="AO163" i="22"/>
  <c r="BW381" i="103"/>
  <c r="R167" i="67"/>
  <c r="AC376" i="58"/>
  <c r="M11" i="58"/>
  <c r="BI210" i="103"/>
  <c r="W210" i="103"/>
  <c r="Y210" i="103" s="1"/>
  <c r="BI164" i="103"/>
  <c r="W164" i="103"/>
  <c r="Y164" i="103" s="1"/>
  <c r="AO224" i="22"/>
  <c r="BW383" i="103"/>
  <c r="R230" i="67"/>
  <c r="BI215" i="103"/>
  <c r="W215" i="103"/>
  <c r="Y215" i="103" s="1"/>
  <c r="AL215" i="103" s="1"/>
  <c r="L400" i="58"/>
  <c r="AO7" i="65" s="1"/>
  <c r="L387" i="58"/>
  <c r="N22" i="13"/>
  <c r="P22" i="13" s="1"/>
  <c r="I293" i="67"/>
  <c r="AE285" i="22"/>
  <c r="L322" i="67"/>
  <c r="AG314" i="22"/>
  <c r="G147" i="13"/>
  <c r="L304" i="67"/>
  <c r="AG296" i="22"/>
  <c r="D57" i="53"/>
  <c r="F6" i="104"/>
  <c r="G6" i="104" s="1"/>
  <c r="I338" i="67"/>
  <c r="AE329" i="22"/>
  <c r="W255" i="103"/>
  <c r="Y255" i="103" s="1"/>
  <c r="BI255" i="103"/>
  <c r="X382" i="103"/>
  <c r="W276" i="103"/>
  <c r="BI276" i="103"/>
  <c r="B164" i="13"/>
  <c r="D164" i="13" s="1"/>
  <c r="W163" i="103"/>
  <c r="Y163" i="103" s="1"/>
  <c r="AL163" i="103" s="1"/>
  <c r="BI163" i="103"/>
  <c r="B40" i="13"/>
  <c r="AB383" i="103"/>
  <c r="I357" i="67"/>
  <c r="AE347" i="22"/>
  <c r="AA379" i="58"/>
  <c r="J101" i="58"/>
  <c r="BI23" i="103"/>
  <c r="W23" i="103"/>
  <c r="Y23" i="103" s="1"/>
  <c r="AL23" i="103" s="1"/>
  <c r="CD379" i="103"/>
  <c r="W173" i="103"/>
  <c r="Y173" i="103" s="1"/>
  <c r="AL173" i="103" s="1"/>
  <c r="BI173" i="103"/>
  <c r="BI17" i="103"/>
  <c r="W17" i="103"/>
  <c r="Y17" i="103" s="1"/>
  <c r="Y82" i="103"/>
  <c r="AC385" i="58"/>
  <c r="M284" i="58"/>
  <c r="BI283" i="103"/>
  <c r="W283" i="103"/>
  <c r="Y335" i="103"/>
  <c r="AL335" i="103" s="1"/>
  <c r="B74" i="13"/>
  <c r="Y320" i="103"/>
  <c r="AL320" i="103" s="1"/>
  <c r="B145" i="13"/>
  <c r="D145" i="13" s="1"/>
  <c r="Y147" i="103"/>
  <c r="AL147" i="103" s="1"/>
  <c r="W243" i="103"/>
  <c r="Y243" i="103" s="1"/>
  <c r="AL243" i="103" s="1"/>
  <c r="BI243" i="103"/>
  <c r="Y357" i="103"/>
  <c r="AL357" i="103" s="1"/>
  <c r="BI27" i="103"/>
  <c r="W27" i="103"/>
  <c r="Y27" i="103" s="1"/>
  <c r="AL27" i="103" s="1"/>
  <c r="I318" i="67"/>
  <c r="AE310" i="22"/>
  <c r="Y148" i="103"/>
  <c r="AL148" i="103" s="1"/>
  <c r="AO220" i="22"/>
  <c r="R225" i="67"/>
  <c r="B155" i="13"/>
  <c r="D155" i="13" s="1"/>
  <c r="B50" i="13"/>
  <c r="AO12" i="22"/>
  <c r="BW376" i="103"/>
  <c r="R11" i="67"/>
  <c r="BI109" i="103"/>
  <c r="W109" i="103"/>
  <c r="Y109" i="103" s="1"/>
  <c r="B160" i="13"/>
  <c r="D160" i="13" s="1"/>
  <c r="B118" i="13"/>
  <c r="Y93" i="103"/>
  <c r="BI41" i="103"/>
  <c r="W41" i="103"/>
  <c r="Y41" i="103" s="1"/>
  <c r="AL41" i="103" s="1"/>
  <c r="BI15" i="103"/>
  <c r="W15" i="103"/>
  <c r="Y15" i="103" s="1"/>
  <c r="AL15" i="103" s="1"/>
  <c r="CA336" i="103"/>
  <c r="BY381" i="103"/>
  <c r="Y153" i="103"/>
  <c r="AL153" i="103" s="1"/>
  <c r="N81" i="13"/>
  <c r="Y91" i="103"/>
  <c r="C379" i="103"/>
  <c r="BI101" i="103"/>
  <c r="W101" i="103"/>
  <c r="AO66" i="22"/>
  <c r="R66" i="67"/>
  <c r="B157" i="13"/>
  <c r="D157" i="13" s="1"/>
  <c r="AA376" i="58"/>
  <c r="J11" i="58"/>
  <c r="H161" i="58"/>
  <c r="Z383" i="58"/>
  <c r="I223" i="58"/>
  <c r="J376" i="103"/>
  <c r="J392" i="103"/>
  <c r="BI245" i="103"/>
  <c r="W245" i="103"/>
  <c r="Y245" i="103" s="1"/>
  <c r="AL245" i="103" s="1"/>
  <c r="BI110" i="103"/>
  <c r="W110" i="103"/>
  <c r="Y110" i="103" s="1"/>
  <c r="W209" i="103"/>
  <c r="Y209" i="103" s="1"/>
  <c r="AL209" i="103" s="1"/>
  <c r="BI209" i="103"/>
  <c r="BI260" i="103"/>
  <c r="W260" i="103"/>
  <c r="Y260" i="103" s="1"/>
  <c r="CF124" i="103"/>
  <c r="BA124" i="103" s="1"/>
  <c r="B100" i="13"/>
  <c r="CD378" i="103"/>
  <c r="BX70" i="103"/>
  <c r="BI170" i="103"/>
  <c r="W170" i="103"/>
  <c r="Y170" i="103" s="1"/>
  <c r="C381" i="103"/>
  <c r="BI162" i="103"/>
  <c r="W162" i="103"/>
  <c r="BY380" i="103"/>
  <c r="BI36" i="103"/>
  <c r="W36" i="103"/>
  <c r="Y36" i="103" s="1"/>
  <c r="L201" i="67"/>
  <c r="L229" i="67" s="1"/>
  <c r="CB382" i="103"/>
  <c r="BI235" i="103"/>
  <c r="W235" i="103"/>
  <c r="Y235" i="103" s="1"/>
  <c r="B54" i="13"/>
  <c r="L105" i="58"/>
  <c r="R392" i="58"/>
  <c r="R379" i="58"/>
  <c r="W130" i="103"/>
  <c r="Y130" i="103" s="1"/>
  <c r="AL130" i="103" s="1"/>
  <c r="BI130" i="103"/>
  <c r="B94" i="13"/>
  <c r="BI168" i="103"/>
  <c r="W168" i="103"/>
  <c r="Y168" i="103" s="1"/>
  <c r="AL168" i="103" s="1"/>
  <c r="B182" i="13"/>
  <c r="AO340" i="22"/>
  <c r="R349" i="67"/>
  <c r="AB379" i="58"/>
  <c r="K101" i="58"/>
  <c r="L389" i="58"/>
  <c r="L376" i="58"/>
  <c r="AB381" i="58"/>
  <c r="K162" i="58"/>
  <c r="I381" i="67"/>
  <c r="S12" i="68" s="1"/>
  <c r="AE371" i="22"/>
  <c r="N73" i="13"/>
  <c r="N4" i="13"/>
  <c r="AB380" i="103"/>
  <c r="BI39" i="103"/>
  <c r="W39" i="103"/>
  <c r="Y39" i="103" s="1"/>
  <c r="AL39" i="103" s="1"/>
  <c r="BI16" i="103"/>
  <c r="W16" i="103"/>
  <c r="Y16" i="103" s="1"/>
  <c r="AL16" i="103" s="1"/>
  <c r="BI207" i="103"/>
  <c r="W207" i="103"/>
  <c r="Y207" i="103" s="1"/>
  <c r="AL207" i="103" s="1"/>
  <c r="L394" i="58"/>
  <c r="W7" i="65" s="1"/>
  <c r="L381" i="58"/>
  <c r="B16" i="13"/>
  <c r="C386" i="103"/>
  <c r="W315" i="103"/>
  <c r="L84" i="67"/>
  <c r="L103" i="67" s="1"/>
  <c r="CB378" i="103"/>
  <c r="BI167" i="103"/>
  <c r="W167" i="103"/>
  <c r="Y167" i="103" s="1"/>
  <c r="O9" i="13"/>
  <c r="S11" i="13" s="1"/>
  <c r="U9" i="13" s="1"/>
  <c r="BI248" i="103"/>
  <c r="W248" i="103"/>
  <c r="Y248" i="103" s="1"/>
  <c r="AL248" i="103" s="1"/>
  <c r="BI106" i="103"/>
  <c r="W106" i="103"/>
  <c r="Y106" i="103" s="1"/>
  <c r="AL106" i="103" s="1"/>
  <c r="BY376" i="103"/>
  <c r="B48" i="13"/>
  <c r="W246" i="103"/>
  <c r="Y246" i="103" s="1"/>
  <c r="AL246" i="103" s="1"/>
  <c r="BI246" i="103"/>
  <c r="B20" i="13"/>
  <c r="B108" i="13"/>
  <c r="AO91" i="22"/>
  <c r="R92" i="67"/>
  <c r="BI225" i="103"/>
  <c r="W225" i="103"/>
  <c r="Y225" i="103" s="1"/>
  <c r="AL225" i="103" s="1"/>
  <c r="W279" i="103"/>
  <c r="BI279" i="103"/>
  <c r="X379" i="103"/>
  <c r="Y388" i="58"/>
  <c r="L335" i="67"/>
  <c r="AG326" i="22"/>
  <c r="L398" i="58"/>
  <c r="AI7" i="65" s="1"/>
  <c r="L385" i="58"/>
  <c r="R398" i="58"/>
  <c r="I353" i="67"/>
  <c r="AE344" i="22"/>
  <c r="CF26" i="103"/>
  <c r="BA26" i="103" s="1"/>
  <c r="AA383" i="58"/>
  <c r="J223" i="58"/>
  <c r="M388" i="103"/>
  <c r="AQ316" i="22"/>
  <c r="CC386" i="103"/>
  <c r="BA202" i="103"/>
  <c r="BA382" i="103" s="1"/>
  <c r="AO88" i="22"/>
  <c r="R89" i="67"/>
  <c r="R400" i="58"/>
  <c r="N34" i="13"/>
  <c r="P34" i="13" s="1"/>
  <c r="CA298" i="103"/>
  <c r="B79" i="13"/>
  <c r="AO32" i="22"/>
  <c r="R31" i="67"/>
  <c r="B101" i="13"/>
  <c r="W176" i="103"/>
  <c r="Y176" i="103" s="1"/>
  <c r="AL176" i="103" s="1"/>
  <c r="BI176" i="103"/>
  <c r="B144" i="13"/>
  <c r="BI205" i="103"/>
  <c r="W205" i="103"/>
  <c r="Y205" i="103" s="1"/>
  <c r="AL205" i="103" s="1"/>
  <c r="X381" i="103"/>
  <c r="Z384" i="58"/>
  <c r="I254" i="58"/>
  <c r="CA295" i="103"/>
  <c r="BI239" i="103"/>
  <c r="W239" i="103"/>
  <c r="Y239" i="103" s="1"/>
  <c r="AL239" i="103" s="1"/>
  <c r="W234" i="103"/>
  <c r="Y234" i="103" s="1"/>
  <c r="AL234" i="103" s="1"/>
  <c r="BI234" i="103"/>
  <c r="C376" i="103"/>
  <c r="BI11" i="103"/>
  <c r="W11" i="103"/>
  <c r="BI195" i="103"/>
  <c r="W195" i="103"/>
  <c r="Y195" i="103" s="1"/>
  <c r="CF18" i="103"/>
  <c r="BI193" i="103"/>
  <c r="W193" i="103"/>
  <c r="Y193" i="103" s="1"/>
  <c r="AL193" i="103" s="1"/>
  <c r="BI127" i="103"/>
  <c r="W127" i="103"/>
  <c r="Y127" i="103" s="1"/>
  <c r="AL127" i="103" s="1"/>
  <c r="W258" i="103"/>
  <c r="Y258" i="103" s="1"/>
  <c r="BI258" i="103"/>
  <c r="BI190" i="103"/>
  <c r="W190" i="103"/>
  <c r="Y190" i="103" s="1"/>
  <c r="AL190" i="103" s="1"/>
  <c r="AO196" i="22"/>
  <c r="R201" i="67"/>
  <c r="CA339" i="103"/>
  <c r="R376" i="58"/>
  <c r="AO56" i="22"/>
  <c r="R56" i="67"/>
  <c r="AA381" i="58"/>
  <c r="J162" i="58"/>
  <c r="AO53" i="22"/>
  <c r="R53" i="67"/>
  <c r="BA257" i="103"/>
  <c r="BA384" i="103" s="1"/>
  <c r="BI178" i="103"/>
  <c r="W178" i="103"/>
  <c r="Y178" i="103" s="1"/>
  <c r="AL178" i="103" s="1"/>
  <c r="AO341" i="22"/>
  <c r="R350" i="67"/>
  <c r="G401" i="58"/>
  <c r="BI24" i="103"/>
  <c r="W24" i="103"/>
  <c r="Y24" i="103" s="1"/>
  <c r="BI186" i="103"/>
  <c r="W186" i="103"/>
  <c r="Y186" i="103" s="1"/>
  <c r="AL186" i="103" s="1"/>
  <c r="AO353" i="22"/>
  <c r="R363" i="67"/>
  <c r="R381" i="58"/>
  <c r="CA304" i="103"/>
  <c r="BI199" i="103"/>
  <c r="W199" i="103"/>
  <c r="Y199" i="103" s="1"/>
  <c r="AL199" i="103" s="1"/>
  <c r="X386" i="103"/>
  <c r="W169" i="103"/>
  <c r="Y169" i="103" s="1"/>
  <c r="AL169" i="103" s="1"/>
  <c r="BI169" i="103"/>
  <c r="B141" i="13"/>
  <c r="BI177" i="103"/>
  <c r="W177" i="103"/>
  <c r="Y177" i="103" s="1"/>
  <c r="W228" i="103"/>
  <c r="Y228" i="103" s="1"/>
  <c r="AL228" i="103" s="1"/>
  <c r="BI228" i="103"/>
  <c r="B78" i="13"/>
  <c r="BI183" i="103"/>
  <c r="W183" i="103"/>
  <c r="Y183" i="103" s="1"/>
  <c r="BI165" i="103"/>
  <c r="W165" i="103"/>
  <c r="Y165" i="103" s="1"/>
  <c r="AL165" i="103" s="1"/>
  <c r="CA90" i="103"/>
  <c r="I92" i="67" s="1"/>
  <c r="BI29" i="103"/>
  <c r="W29" i="103"/>
  <c r="Y29" i="103" s="1"/>
  <c r="AL29" i="103" s="1"/>
  <c r="L169" i="67"/>
  <c r="L197" i="67" s="1"/>
  <c r="CB381" i="103"/>
  <c r="B158" i="13"/>
  <c r="D158" i="13" s="1"/>
  <c r="J387" i="103"/>
  <c r="BI256" i="103"/>
  <c r="W256" i="103"/>
  <c r="Y256" i="103" s="1"/>
  <c r="AO92" i="22"/>
  <c r="R93" i="67"/>
  <c r="BI278" i="103"/>
  <c r="W278" i="103"/>
  <c r="R385" i="58"/>
  <c r="BI189" i="103"/>
  <c r="W189" i="103"/>
  <c r="Y189" i="103" s="1"/>
  <c r="AL189" i="103" s="1"/>
  <c r="L369" i="67"/>
  <c r="AG359" i="22"/>
  <c r="Y77" i="103"/>
  <c r="AL77" i="103" s="1"/>
  <c r="CB376" i="103"/>
  <c r="Y99" i="103"/>
  <c r="AL99" i="103" s="1"/>
  <c r="L239" i="67"/>
  <c r="L261" i="67" s="1"/>
  <c r="CB383" i="103"/>
  <c r="AB383" i="58"/>
  <c r="K223" i="58"/>
  <c r="Y143" i="103"/>
  <c r="AL143" i="103" s="1"/>
  <c r="BI224" i="103"/>
  <c r="W224" i="103"/>
  <c r="Y224" i="103" s="1"/>
  <c r="AL224" i="103" s="1"/>
  <c r="AB386" i="58"/>
  <c r="K315" i="58"/>
  <c r="Y330" i="103"/>
  <c r="CA87" i="103"/>
  <c r="I89" i="67" s="1"/>
  <c r="I371" i="67"/>
  <c r="AE361" i="22"/>
  <c r="C385" i="103"/>
  <c r="W284" i="103"/>
  <c r="L397" i="58"/>
  <c r="AF7" i="65" s="1"/>
  <c r="L384" i="58"/>
  <c r="CF121" i="103"/>
  <c r="BA121" i="103" s="1"/>
  <c r="L388" i="103"/>
  <c r="N77" i="13"/>
  <c r="BI202" i="103"/>
  <c r="W202" i="103"/>
  <c r="Y202" i="103" s="1"/>
  <c r="AL202" i="103" s="1"/>
  <c r="N60" i="13"/>
  <c r="W252" i="103"/>
  <c r="Y252" i="103" s="1"/>
  <c r="AL252" i="103" s="1"/>
  <c r="BI252" i="103"/>
  <c r="AA384" i="58"/>
  <c r="J254" i="58"/>
  <c r="J397" i="103"/>
  <c r="J381" i="103"/>
  <c r="X376" i="103"/>
  <c r="B81" i="13"/>
  <c r="Y61" i="103"/>
  <c r="CA289" i="103"/>
  <c r="N17" i="13"/>
  <c r="P17" i="13" s="1"/>
  <c r="AC388" i="103"/>
  <c r="Y141" i="103"/>
  <c r="AL141" i="103" s="1"/>
  <c r="R389" i="58"/>
  <c r="CA55" i="103"/>
  <c r="I56" i="67" s="1"/>
  <c r="AC381" i="58"/>
  <c r="M162" i="58"/>
  <c r="CA52" i="103"/>
  <c r="I53" i="67" s="1"/>
  <c r="BX377" i="103"/>
  <c r="BA42" i="103"/>
  <c r="AO65" i="22"/>
  <c r="R65" i="67"/>
  <c r="Y136" i="103"/>
  <c r="AL136" i="103" s="1"/>
  <c r="L376" i="67"/>
  <c r="AG366" i="22"/>
  <c r="AB376" i="103"/>
  <c r="L390" i="58"/>
  <c r="K7" i="65" s="1"/>
  <c r="L377" i="58"/>
  <c r="G388" i="58"/>
  <c r="Y20" i="103"/>
  <c r="AL20" i="103" s="1"/>
  <c r="N5" i="13"/>
  <c r="P5" i="13" s="1"/>
  <c r="CA352" i="103"/>
  <c r="R394" i="58"/>
  <c r="B150" i="13"/>
  <c r="D150" i="13" s="1"/>
  <c r="B6" i="13"/>
  <c r="W114" i="103"/>
  <c r="Y114" i="103" s="1"/>
  <c r="AL114" i="103" s="1"/>
  <c r="BI114" i="103"/>
  <c r="AO193" i="22"/>
  <c r="BW382" i="103"/>
  <c r="R198" i="67"/>
  <c r="B190" i="13"/>
  <c r="J400" i="103"/>
  <c r="J384" i="103"/>
  <c r="B10" i="13"/>
  <c r="B80" i="13"/>
  <c r="CF102" i="103"/>
  <c r="BA102" i="103" s="1"/>
  <c r="Y341" i="103"/>
  <c r="AL341" i="103" s="1"/>
  <c r="AO181" i="22"/>
  <c r="R185" i="67"/>
  <c r="Y60" i="103"/>
  <c r="AL60" i="103" s="1"/>
  <c r="BI19" i="103"/>
  <c r="W19" i="103"/>
  <c r="Y19" i="103" s="1"/>
  <c r="AL19" i="103" s="1"/>
  <c r="W237" i="103"/>
  <c r="Y237" i="103" s="1"/>
  <c r="AL237" i="103" s="1"/>
  <c r="BI237" i="103"/>
  <c r="B159" i="13"/>
  <c r="D159" i="13" s="1"/>
  <c r="BI33" i="103"/>
  <c r="W33" i="103"/>
  <c r="Y33" i="103" s="1"/>
  <c r="AL33" i="103" s="1"/>
  <c r="AO44" i="22"/>
  <c r="R44" i="67"/>
  <c r="BI121" i="103"/>
  <c r="W121" i="103"/>
  <c r="Y121" i="103" s="1"/>
  <c r="BI180" i="103"/>
  <c r="W180" i="103"/>
  <c r="Y180" i="103" s="1"/>
  <c r="W179" i="103"/>
  <c r="Y179" i="103" s="1"/>
  <c r="BI179" i="103"/>
  <c r="Y334" i="103"/>
  <c r="BI266" i="103"/>
  <c r="W266" i="103"/>
  <c r="Y266" i="103" s="1"/>
  <c r="BA173" i="103"/>
  <c r="BA381" i="103" s="1"/>
  <c r="CF381" i="103"/>
  <c r="Y368" i="103"/>
  <c r="AL368" i="103" s="1"/>
  <c r="BI104" i="103"/>
  <c r="W104" i="103"/>
  <c r="Y104" i="103" s="1"/>
  <c r="AL104" i="103" s="1"/>
  <c r="BI124" i="103"/>
  <c r="W124" i="103"/>
  <c r="Y124" i="103" s="1"/>
  <c r="AC383" i="58"/>
  <c r="M223" i="58"/>
  <c r="Y86" i="103"/>
  <c r="AL86" i="103" s="1"/>
  <c r="CA183" i="103"/>
  <c r="I188" i="67" s="1"/>
  <c r="AA386" i="58"/>
  <c r="J315" i="58"/>
  <c r="Y135" i="103"/>
  <c r="AL135" i="103" s="1"/>
  <c r="BI274" i="103"/>
  <c r="W274" i="103"/>
  <c r="B201" i="13"/>
  <c r="X385" i="103"/>
  <c r="B109" i="13"/>
  <c r="Y325" i="103"/>
  <c r="Y133" i="103"/>
  <c r="AL133" i="103" s="1"/>
  <c r="B87" i="13"/>
  <c r="C4" i="13"/>
  <c r="BI214" i="103"/>
  <c r="W214" i="103"/>
  <c r="Y214" i="103" s="1"/>
  <c r="AL214" i="103" s="1"/>
  <c r="Y157" i="103"/>
  <c r="AL157" i="103" s="1"/>
  <c r="C61" i="13"/>
  <c r="C378" i="103"/>
  <c r="BI70" i="103"/>
  <c r="BI378" i="103" s="1"/>
  <c r="W70" i="103"/>
  <c r="Y46" i="103"/>
  <c r="AL46" i="103" s="1"/>
  <c r="AB384" i="58"/>
  <c r="K254" i="58"/>
  <c r="BI204" i="103"/>
  <c r="W204" i="103"/>
  <c r="Y204" i="103" s="1"/>
  <c r="AL204" i="103" s="1"/>
  <c r="Y350" i="103"/>
  <c r="AL350" i="103" s="1"/>
  <c r="W264" i="103"/>
  <c r="Y264" i="103" s="1"/>
  <c r="BI264" i="103"/>
  <c r="CA337" i="103"/>
  <c r="BI115" i="103"/>
  <c r="W115" i="103"/>
  <c r="Y115" i="103" s="1"/>
  <c r="AL115" i="103" s="1"/>
  <c r="F388" i="103"/>
  <c r="BI229" i="103"/>
  <c r="W229" i="103"/>
  <c r="Y229" i="103" s="1"/>
  <c r="W108" i="103"/>
  <c r="Y108" i="103" s="1"/>
  <c r="AL108" i="103" s="1"/>
  <c r="BI108" i="103"/>
  <c r="AB381" i="103"/>
  <c r="B133" i="13"/>
  <c r="BI32" i="103"/>
  <c r="W32" i="103"/>
  <c r="Y32" i="103" s="1"/>
  <c r="AL32" i="103" s="1"/>
  <c r="Z381" i="58"/>
  <c r="I162" i="58"/>
  <c r="CD377" i="103"/>
  <c r="AO242" i="22"/>
  <c r="R248" i="67"/>
  <c r="B148" i="13"/>
  <c r="D148" i="13" s="1"/>
  <c r="D49" i="53"/>
  <c r="E388" i="103"/>
  <c r="R377" i="58"/>
  <c r="B135" i="13"/>
  <c r="Y373" i="103"/>
  <c r="AL373" i="103" s="1"/>
  <c r="BI184" i="103"/>
  <c r="W184" i="103"/>
  <c r="Y184" i="103" s="1"/>
  <c r="Y54" i="103"/>
  <c r="AL54" i="103" s="1"/>
  <c r="BY382" i="103"/>
  <c r="AO227" i="22"/>
  <c r="R233" i="67"/>
  <c r="BI251" i="103"/>
  <c r="W251" i="103"/>
  <c r="Y251" i="103" s="1"/>
  <c r="AL251" i="103" s="1"/>
  <c r="Y346" i="103"/>
  <c r="AL346" i="103" s="1"/>
  <c r="AO248" i="22"/>
  <c r="R254" i="67"/>
  <c r="W273" i="103"/>
  <c r="BI273" i="103"/>
  <c r="R380" i="58"/>
  <c r="B83" i="13"/>
  <c r="BI221" i="103"/>
  <c r="W221" i="103"/>
  <c r="Y221" i="103" s="1"/>
  <c r="AL221" i="103" s="1"/>
  <c r="CA171" i="103"/>
  <c r="I176" i="67" s="1"/>
  <c r="B165" i="13"/>
  <c r="D165" i="13" s="1"/>
  <c r="BI265" i="103"/>
  <c r="W265" i="103"/>
  <c r="Y265" i="103" s="1"/>
  <c r="B98" i="13"/>
  <c r="B58" i="13"/>
  <c r="Y68" i="103"/>
  <c r="AL68" i="103" s="1"/>
  <c r="AO188" i="22"/>
  <c r="R192" i="67"/>
  <c r="N58" i="13"/>
  <c r="Y366" i="103"/>
  <c r="AL366" i="103" s="1"/>
  <c r="W231" i="103"/>
  <c r="Y231" i="103" s="1"/>
  <c r="AL231" i="103" s="1"/>
  <c r="BI231" i="103"/>
  <c r="N18" i="13"/>
  <c r="Y371" i="103"/>
  <c r="AL371" i="103" s="1"/>
  <c r="AO332" i="22"/>
  <c r="R341" i="67"/>
  <c r="L310" i="67"/>
  <c r="AG302" i="22"/>
  <c r="Y47" i="103"/>
  <c r="AL47" i="103" s="1"/>
  <c r="Y95" i="103"/>
  <c r="AL95" i="103" s="1"/>
  <c r="CF99" i="103"/>
  <c r="BA340" i="103"/>
  <c r="AO328" i="22"/>
  <c r="R337" i="67"/>
  <c r="L382" i="67"/>
  <c r="U15" i="68" s="1"/>
  <c r="AG372" i="22"/>
  <c r="BI198" i="103"/>
  <c r="W198" i="103"/>
  <c r="Y198" i="103" s="1"/>
  <c r="AL198" i="103" s="1"/>
  <c r="Y85" i="103"/>
  <c r="Y48" i="103"/>
  <c r="AL48" i="103" s="1"/>
  <c r="Y84" i="103"/>
  <c r="AL84" i="103" s="1"/>
  <c r="AO184" i="22"/>
  <c r="R188" i="67"/>
  <c r="Z386" i="58"/>
  <c r="I315" i="58"/>
  <c r="BI38" i="103"/>
  <c r="W38" i="103"/>
  <c r="Y38" i="103" s="1"/>
  <c r="AL38" i="103" s="1"/>
  <c r="AB379" i="103"/>
  <c r="I296" i="67"/>
  <c r="AE288" i="22"/>
  <c r="BI257" i="103"/>
  <c r="W257" i="103"/>
  <c r="Y257" i="103" s="1"/>
  <c r="BX376" i="103"/>
  <c r="BA11" i="103"/>
  <c r="B52" i="13"/>
  <c r="N78" i="13"/>
  <c r="N39" i="13"/>
  <c r="BI30" i="103"/>
  <c r="W30" i="103"/>
  <c r="Y30" i="103" s="1"/>
  <c r="AL30" i="103" s="1"/>
  <c r="X378" i="103"/>
  <c r="B115" i="13"/>
  <c r="BI105" i="103"/>
  <c r="W105" i="103"/>
  <c r="Y105" i="103" s="1"/>
  <c r="AC384" i="58"/>
  <c r="M254" i="58"/>
  <c r="BI268" i="103"/>
  <c r="W268" i="103"/>
  <c r="AO338" i="22"/>
  <c r="R347" i="67"/>
  <c r="B39" i="13"/>
  <c r="L395" i="58"/>
  <c r="Z7" i="65" s="1"/>
  <c r="L382" i="58"/>
  <c r="I328" i="67"/>
  <c r="AE319" i="22"/>
  <c r="BI196" i="103"/>
  <c r="W196" i="103"/>
  <c r="Y196" i="103" s="1"/>
  <c r="AL196" i="103" s="1"/>
  <c r="B166" i="13"/>
  <c r="D166" i="13" s="1"/>
  <c r="N14" i="13"/>
  <c r="P14" i="13" s="1"/>
  <c r="I385" i="67"/>
  <c r="AA12" i="68" s="1"/>
  <c r="AE375" i="22"/>
  <c r="AA387" i="58"/>
  <c r="J345" i="58"/>
  <c r="L315" i="67"/>
  <c r="AG307" i="22"/>
  <c r="B175" i="13"/>
  <c r="B4" i="13"/>
  <c r="R390" i="58"/>
  <c r="L391" i="58"/>
  <c r="N7" i="65" s="1"/>
  <c r="L378" i="58"/>
  <c r="B180" i="13"/>
  <c r="CA334" i="103"/>
  <c r="B9" i="13"/>
  <c r="AA382" i="58"/>
  <c r="J192" i="58"/>
  <c r="BI218" i="103"/>
  <c r="W218" i="103"/>
  <c r="Y218" i="103" s="1"/>
  <c r="AL218" i="103" s="1"/>
  <c r="B169" i="13"/>
  <c r="D169" i="13" s="1"/>
  <c r="L321" i="67"/>
  <c r="AG313" i="22"/>
  <c r="BI181" i="103"/>
  <c r="W181" i="103"/>
  <c r="Y181" i="103" s="1"/>
  <c r="AL181" i="103" s="1"/>
  <c r="Y197" i="103"/>
  <c r="AL197" i="103" s="1"/>
  <c r="B198" i="13"/>
  <c r="BI112" i="103"/>
  <c r="W112" i="103"/>
  <c r="Y112" i="103" s="1"/>
  <c r="Y364" i="103"/>
  <c r="AL364" i="103" s="1"/>
  <c r="AO172" i="22"/>
  <c r="R176" i="67"/>
  <c r="J379" i="103"/>
  <c r="J395" i="103"/>
  <c r="B156" i="13"/>
  <c r="D156" i="13" s="1"/>
  <c r="B161" i="13"/>
  <c r="D161" i="13" s="1"/>
  <c r="BI37" i="103"/>
  <c r="W37" i="103"/>
  <c r="Y37" i="103" s="1"/>
  <c r="BI262" i="103"/>
  <c r="W262" i="103"/>
  <c r="Y262" i="103" s="1"/>
  <c r="B189" i="13"/>
  <c r="B163" i="13"/>
  <c r="D163" i="13" s="1"/>
  <c r="BI247" i="103"/>
  <c r="W247" i="103"/>
  <c r="Y247" i="103" s="1"/>
  <c r="N43" i="13"/>
  <c r="BI14" i="103"/>
  <c r="W14" i="103"/>
  <c r="Y14" i="103" s="1"/>
  <c r="AL14" i="103" s="1"/>
  <c r="B56" i="13"/>
  <c r="AO18" i="22"/>
  <c r="R17" i="67"/>
  <c r="CB380" i="103"/>
  <c r="BI269" i="103"/>
  <c r="W269" i="103"/>
  <c r="W117" i="103"/>
  <c r="Y117" i="103" s="1"/>
  <c r="AL117" i="103" s="1"/>
  <c r="BI117" i="103"/>
  <c r="AO122" i="22"/>
  <c r="R124" i="67"/>
  <c r="C384" i="103"/>
  <c r="BI254" i="103"/>
  <c r="W254" i="103"/>
  <c r="J401" i="103"/>
  <c r="J385" i="103"/>
  <c r="BI242" i="103"/>
  <c r="W242" i="103"/>
  <c r="Y242" i="103" s="1"/>
  <c r="AL242" i="103" s="1"/>
  <c r="AC386" i="58"/>
  <c r="M315" i="58"/>
  <c r="B86" i="13"/>
  <c r="I331" i="67"/>
  <c r="AE322" i="22"/>
  <c r="CF128" i="103"/>
  <c r="BA128" i="103" s="1"/>
  <c r="BI233" i="103"/>
  <c r="W233" i="103"/>
  <c r="Y233" i="103" s="1"/>
  <c r="AL233" i="103" s="1"/>
  <c r="J382" i="103"/>
  <c r="J398" i="103"/>
  <c r="CD376" i="103"/>
  <c r="B28" i="13"/>
  <c r="AO162" i="22"/>
  <c r="R165" i="67"/>
  <c r="C377" i="103"/>
  <c r="W42" i="103"/>
  <c r="BI22" i="103"/>
  <c r="W22" i="103"/>
  <c r="Y22" i="103" s="1"/>
  <c r="AL22" i="103" s="1"/>
  <c r="BI217" i="103"/>
  <c r="W217" i="103"/>
  <c r="Y217" i="103" s="1"/>
  <c r="W282" i="103"/>
  <c r="BI282" i="103"/>
  <c r="B183" i="13"/>
  <c r="W203" i="103"/>
  <c r="Y203" i="103" s="1"/>
  <c r="AL203" i="103" s="1"/>
  <c r="BI203" i="103"/>
  <c r="C380" i="103"/>
  <c r="W131" i="103"/>
  <c r="BI272" i="103"/>
  <c r="W272" i="103"/>
  <c r="AO111" i="22"/>
  <c r="R113" i="67"/>
  <c r="B29" i="13"/>
  <c r="B142" i="13"/>
  <c r="R382" i="58"/>
  <c r="N26" i="13"/>
  <c r="P26" i="13" s="1"/>
  <c r="L363" i="67"/>
  <c r="AG353" i="22"/>
  <c r="B174" i="13"/>
  <c r="B23" i="13"/>
  <c r="Y74" i="103"/>
  <c r="AL74" i="103" s="1"/>
  <c r="Y358" i="103"/>
  <c r="AC387" i="58"/>
  <c r="M345" i="58"/>
  <c r="B153" i="13"/>
  <c r="D153" i="13" s="1"/>
  <c r="W212" i="103"/>
  <c r="Y212" i="103" s="1"/>
  <c r="AL212" i="103" s="1"/>
  <c r="BI212" i="103"/>
  <c r="Y322" i="103"/>
  <c r="AL322" i="103" s="1"/>
  <c r="Y339" i="103"/>
  <c r="Y81" i="103"/>
  <c r="AL81" i="103" s="1"/>
  <c r="R378" i="58"/>
  <c r="BI40" i="103"/>
  <c r="W40" i="103"/>
  <c r="Y40" i="103" s="1"/>
  <c r="Y340" i="103"/>
  <c r="AO335" i="22"/>
  <c r="R344" i="67"/>
  <c r="B112" i="13"/>
  <c r="Y52" i="103"/>
  <c r="AB382" i="58"/>
  <c r="K192" i="58"/>
  <c r="B99" i="13"/>
  <c r="I358" i="67"/>
  <c r="AE348" i="22"/>
  <c r="T185" i="13"/>
  <c r="W249" i="103"/>
  <c r="Y249" i="103" s="1"/>
  <c r="AL249" i="103" s="1"/>
  <c r="BI249" i="103"/>
  <c r="B85" i="13"/>
  <c r="L50" i="67"/>
  <c r="L71" i="67" s="1"/>
  <c r="CB377" i="103"/>
  <c r="Y362" i="103"/>
  <c r="AL362" i="103" s="1"/>
  <c r="Y375" i="103"/>
  <c r="AL375" i="103" s="1"/>
  <c r="L396" i="58"/>
  <c r="AC7" i="65" s="1"/>
  <c r="L383" i="58"/>
  <c r="L380" i="58"/>
  <c r="BI241" i="103"/>
  <c r="W241" i="103"/>
  <c r="Y241" i="103" s="1"/>
  <c r="N64" i="13"/>
  <c r="BI201" i="103"/>
  <c r="W201" i="103"/>
  <c r="Y201" i="103" s="1"/>
  <c r="AL201" i="103" s="1"/>
  <c r="AC378" i="58"/>
  <c r="M70" i="58"/>
  <c r="W123" i="103"/>
  <c r="Y123" i="103" s="1"/>
  <c r="AL123" i="103" s="1"/>
  <c r="BI123" i="103"/>
  <c r="I376" i="67"/>
  <c r="AE366" i="22"/>
  <c r="BI211" i="103"/>
  <c r="W211" i="103"/>
  <c r="Y211" i="103" s="1"/>
  <c r="AL211" i="103" s="1"/>
  <c r="N83" i="13"/>
  <c r="AG159" i="23"/>
  <c r="B64" i="13"/>
  <c r="CA17" i="103"/>
  <c r="I17" i="67" s="1"/>
  <c r="L166" i="67"/>
  <c r="CA327" i="103"/>
  <c r="CA292" i="103"/>
  <c r="J393" i="103"/>
  <c r="J377" i="103"/>
  <c r="CA121" i="103"/>
  <c r="I124" i="67" s="1"/>
  <c r="X384" i="103"/>
  <c r="AC380" i="58"/>
  <c r="M131" i="58"/>
  <c r="BY386" i="103"/>
  <c r="BW315" i="103"/>
  <c r="C387" i="103"/>
  <c r="W345" i="103"/>
  <c r="N10" i="13"/>
  <c r="P10" i="13" s="1"/>
  <c r="B122" i="13"/>
  <c r="B45" i="13"/>
  <c r="AC377" i="58"/>
  <c r="M42" i="58"/>
  <c r="B44" i="13"/>
  <c r="AO285" i="22"/>
  <c r="R293" i="67"/>
  <c r="O79" i="13"/>
  <c r="S79" i="13" s="1"/>
  <c r="CA161" i="103"/>
  <c r="I165" i="67" s="1"/>
  <c r="X377" i="103"/>
  <c r="AO37" i="22"/>
  <c r="R36" i="67"/>
  <c r="CA313" i="103"/>
  <c r="C383" i="103"/>
  <c r="BI223" i="103"/>
  <c r="W223" i="103"/>
  <c r="X380" i="103"/>
  <c r="CA110" i="103"/>
  <c r="I113" i="67" s="1"/>
  <c r="AO320" i="22"/>
  <c r="R329" i="67"/>
  <c r="N29" i="13"/>
  <c r="P29" i="13" s="1"/>
  <c r="BI220" i="103"/>
  <c r="W220" i="103"/>
  <c r="Y220" i="103" s="1"/>
  <c r="AL220" i="103" s="1"/>
  <c r="R395" i="58"/>
  <c r="BI129" i="103"/>
  <c r="W129" i="103"/>
  <c r="Y129" i="103" s="1"/>
  <c r="L344" i="67"/>
  <c r="AG335" i="22"/>
  <c r="N32" i="13"/>
  <c r="P32" i="13" s="1"/>
  <c r="AB387" i="58"/>
  <c r="K345" i="58"/>
  <c r="N16" i="13"/>
  <c r="P16" i="13" s="1"/>
  <c r="B134" i="13"/>
  <c r="J402" i="103"/>
  <c r="J386" i="103"/>
  <c r="BI238" i="103"/>
  <c r="W238" i="103"/>
  <c r="Y238" i="103" s="1"/>
  <c r="BI31" i="103"/>
  <c r="W31" i="103"/>
  <c r="Y31" i="103" s="1"/>
  <c r="BI21" i="103"/>
  <c r="W21" i="103"/>
  <c r="Y21" i="103" s="1"/>
  <c r="AL21" i="103" s="1"/>
  <c r="R391" i="58"/>
  <c r="B57" i="13"/>
  <c r="N42" i="13"/>
  <c r="B185" i="13"/>
  <c r="Z382" i="58"/>
  <c r="I192" i="58"/>
  <c r="BI34" i="103"/>
  <c r="W34" i="103"/>
  <c r="Y34" i="103" s="1"/>
  <c r="AL34" i="103" s="1"/>
  <c r="S45" i="13"/>
  <c r="BI213" i="103"/>
  <c r="W213" i="103"/>
  <c r="Y213" i="103" s="1"/>
  <c r="AL213" i="103" s="1"/>
  <c r="AO211" i="22"/>
  <c r="R216" i="67"/>
  <c r="R383" i="58"/>
  <c r="CB379" i="103"/>
  <c r="BI271" i="103"/>
  <c r="W271" i="103"/>
  <c r="B193" i="13"/>
  <c r="AO153" i="22"/>
  <c r="R156" i="67"/>
  <c r="Z378" i="58"/>
  <c r="I70" i="58"/>
  <c r="AO110" i="22"/>
  <c r="R112" i="67"/>
  <c r="B102" i="13"/>
  <c r="Y142" i="103"/>
  <c r="AL142" i="103" s="1"/>
  <c r="N25" i="13"/>
  <c r="P25" i="13" s="1"/>
  <c r="AO185" i="22"/>
  <c r="R189" i="67"/>
  <c r="I367" i="67"/>
  <c r="AE357" i="22"/>
  <c r="BI236" i="103"/>
  <c r="W236" i="103"/>
  <c r="Y236" i="103" s="1"/>
  <c r="AL236" i="103" s="1"/>
  <c r="AO165" i="22"/>
  <c r="R169" i="67"/>
  <c r="BI253" i="103"/>
  <c r="W253" i="103"/>
  <c r="Y253" i="103" s="1"/>
  <c r="L325" i="67"/>
  <c r="AG316" i="22"/>
  <c r="CB386" i="103"/>
  <c r="CA164" i="103"/>
  <c r="Y331" i="103"/>
  <c r="CF115" i="103"/>
  <c r="BA115" i="103" s="1"/>
  <c r="CA217" i="103"/>
  <c r="I223" i="67" s="1"/>
  <c r="Y67" i="103"/>
  <c r="AL67" i="103" s="1"/>
  <c r="BI116" i="103"/>
  <c r="W116" i="103"/>
  <c r="Y116" i="103" s="1"/>
  <c r="Z380" i="58"/>
  <c r="I131" i="58"/>
  <c r="L295" i="67"/>
  <c r="AG287" i="22"/>
  <c r="CA315" i="103"/>
  <c r="X387" i="103"/>
  <c r="BI172" i="103"/>
  <c r="W172" i="103"/>
  <c r="Y172" i="103" s="1"/>
  <c r="AL172" i="103" s="1"/>
  <c r="Z377" i="58"/>
  <c r="I42" i="58"/>
  <c r="C88" i="13"/>
  <c r="G79" i="13" s="1"/>
  <c r="I81" i="13" s="1"/>
  <c r="BY385" i="103"/>
  <c r="CA286" i="103"/>
  <c r="Y323" i="103"/>
  <c r="AL323" i="103" s="1"/>
  <c r="J399" i="103"/>
  <c r="J383" i="103"/>
  <c r="N57" i="13"/>
  <c r="C62" i="13"/>
  <c r="BI28" i="103"/>
  <c r="W28" i="103"/>
  <c r="Y28" i="103" s="1"/>
  <c r="AL28" i="103" s="1"/>
  <c r="BI230" i="103"/>
  <c r="W230" i="103"/>
  <c r="Y230" i="103" s="1"/>
  <c r="AL230" i="103" s="1"/>
  <c r="CA36" i="103"/>
  <c r="I36" i="67" s="1"/>
  <c r="L298" i="67"/>
  <c r="AG290" i="22"/>
  <c r="N75" i="13"/>
  <c r="X383" i="103"/>
  <c r="Y343" i="103"/>
  <c r="AL343" i="103" s="1"/>
  <c r="BI280" i="103"/>
  <c r="W280" i="103"/>
  <c r="B125" i="13"/>
  <c r="I379" i="67"/>
  <c r="AE369" i="22"/>
  <c r="CF129" i="103"/>
  <c r="BA129" i="103" s="1"/>
  <c r="CA319" i="103"/>
  <c r="CF113" i="103"/>
  <c r="BA113" i="103" s="1"/>
  <c r="B42" i="13"/>
  <c r="B82" i="13"/>
  <c r="AO356" i="22"/>
  <c r="R366" i="67"/>
  <c r="N28" i="13"/>
  <c r="P28" i="13" s="1"/>
  <c r="AO223" i="22"/>
  <c r="R228" i="67"/>
  <c r="B92" i="13"/>
  <c r="AB377" i="103"/>
  <c r="B96" i="13"/>
  <c r="Y72" i="103"/>
  <c r="AL72" i="103" s="1"/>
  <c r="Z387" i="58"/>
  <c r="I345" i="58"/>
  <c r="Y97" i="103"/>
  <c r="AL97" i="103" s="1"/>
  <c r="AB382" i="103"/>
  <c r="B154" i="13"/>
  <c r="Y83" i="103"/>
  <c r="AL83" i="103" s="1"/>
  <c r="BI175" i="103"/>
  <c r="W175" i="103"/>
  <c r="Y175" i="103" s="1"/>
  <c r="AL175" i="103" s="1"/>
  <c r="AO230" i="22"/>
  <c r="R236" i="67"/>
  <c r="B132" i="13"/>
  <c r="N76" i="13"/>
  <c r="Y132" i="103"/>
  <c r="Y96" i="103"/>
  <c r="AL96" i="103" s="1"/>
  <c r="B76" i="13"/>
  <c r="R393" i="58"/>
  <c r="AC382" i="58"/>
  <c r="M192" i="58"/>
  <c r="J396" i="103"/>
  <c r="J380" i="103"/>
  <c r="N24" i="13"/>
  <c r="P24" i="13" s="1"/>
  <c r="Y150" i="103"/>
  <c r="AL150" i="103" s="1"/>
  <c r="Y151" i="103"/>
  <c r="AL151" i="103" s="1"/>
  <c r="AO326" i="22"/>
  <c r="R335" i="67"/>
  <c r="I11" i="67"/>
  <c r="B17" i="13"/>
  <c r="W240" i="103"/>
  <c r="Y240" i="103" s="1"/>
  <c r="AL240" i="103" s="1"/>
  <c r="BI240" i="103"/>
  <c r="CA210" i="103"/>
  <c r="I216" i="67" s="1"/>
  <c r="R396" i="58"/>
  <c r="B181" i="13"/>
  <c r="BI174" i="103"/>
  <c r="W174" i="103"/>
  <c r="Y174" i="103" s="1"/>
  <c r="AL174" i="103" s="1"/>
  <c r="BI281" i="103"/>
  <c r="W281" i="103"/>
  <c r="AA378" i="58"/>
  <c r="J70" i="58"/>
  <c r="AO43" i="22"/>
  <c r="BW377" i="103"/>
  <c r="R43" i="67"/>
  <c r="B46" i="13"/>
  <c r="C106" i="13"/>
  <c r="N63" i="13"/>
  <c r="W166" i="103"/>
  <c r="Y166" i="103" s="1"/>
  <c r="AL166" i="103" s="1"/>
  <c r="BI166" i="103"/>
  <c r="AO218" i="22"/>
  <c r="R223" i="67"/>
  <c r="BI125" i="103"/>
  <c r="W125" i="103"/>
  <c r="Y125" i="103" s="1"/>
  <c r="W126" i="103"/>
  <c r="Y126" i="103" s="1"/>
  <c r="AL126" i="103" s="1"/>
  <c r="BI126" i="103"/>
  <c r="AA380" i="58"/>
  <c r="J131" i="58"/>
  <c r="I382" i="67"/>
  <c r="U12" i="68" s="1"/>
  <c r="AE372" i="22"/>
  <c r="N84" i="13"/>
  <c r="AO359" i="22"/>
  <c r="R369" i="67"/>
  <c r="B176" i="13"/>
  <c r="W270" i="103"/>
  <c r="BI270" i="103"/>
  <c r="AB377" i="58"/>
  <c r="K42" i="58"/>
  <c r="BI250" i="103"/>
  <c r="W250" i="103"/>
  <c r="Y250" i="103" s="1"/>
  <c r="N27" i="13"/>
  <c r="P27" i="13" s="1"/>
  <c r="AO168" i="22"/>
  <c r="R172" i="67"/>
  <c r="B143" i="13"/>
  <c r="BI194" i="103"/>
  <c r="W194" i="103"/>
  <c r="Y194" i="103" s="1"/>
  <c r="AL194" i="103" s="1"/>
  <c r="BI182" i="103"/>
  <c r="W182" i="103"/>
  <c r="Y182" i="103" s="1"/>
  <c r="AO346" i="22"/>
  <c r="BW387" i="103"/>
  <c r="R356" i="67"/>
  <c r="AO331" i="22"/>
  <c r="R340" i="67"/>
  <c r="BI187" i="103"/>
  <c r="W187" i="103"/>
  <c r="Y187" i="103" s="1"/>
  <c r="BI219" i="103"/>
  <c r="W219" i="103"/>
  <c r="Y219" i="103" s="1"/>
  <c r="BI25" i="103"/>
  <c r="W25" i="103"/>
  <c r="Y25" i="103" s="1"/>
  <c r="AL25" i="103" s="1"/>
  <c r="BI118" i="103"/>
  <c r="W118" i="103"/>
  <c r="Y118" i="103" s="1"/>
  <c r="BI208" i="103"/>
  <c r="W208" i="103"/>
  <c r="Y208" i="103" s="1"/>
  <c r="AL208" i="103" s="1"/>
  <c r="B113" i="13"/>
  <c r="W200" i="103"/>
  <c r="Y200" i="103" s="1"/>
  <c r="AL200" i="103" s="1"/>
  <c r="BI200" i="103"/>
  <c r="Z385" i="58"/>
  <c r="I284" i="58"/>
  <c r="B202" i="13"/>
  <c r="B199" i="13"/>
  <c r="BI122" i="103"/>
  <c r="W122" i="103"/>
  <c r="Y122" i="103" s="1"/>
  <c r="N19" i="13"/>
  <c r="P19" i="13" s="1"/>
  <c r="B196" i="13"/>
  <c r="CF19" i="103"/>
  <c r="BA19" i="103" s="1"/>
  <c r="W111" i="103"/>
  <c r="Y111" i="103" s="1"/>
  <c r="AL111" i="103" s="1"/>
  <c r="BI111" i="103"/>
  <c r="CF112" i="103"/>
  <c r="BA112" i="103" s="1"/>
  <c r="I373" i="67"/>
  <c r="AE363" i="22"/>
  <c r="CA312" i="103"/>
  <c r="AB378" i="58"/>
  <c r="K70" i="58"/>
  <c r="BY377" i="103"/>
  <c r="BI26" i="103"/>
  <c r="W26" i="103"/>
  <c r="Y26" i="103" s="1"/>
  <c r="AL26" i="103" s="1"/>
  <c r="J394" i="103"/>
  <c r="J378" i="103"/>
  <c r="CF67" i="103"/>
  <c r="BA67" i="103" s="1"/>
  <c r="Y332" i="103"/>
  <c r="AL332" i="103" s="1"/>
  <c r="B30" i="13"/>
  <c r="B73" i="13"/>
  <c r="AB376" i="58"/>
  <c r="K11" i="58"/>
  <c r="CC388" i="103" l="1"/>
  <c r="T148" i="13"/>
  <c r="T142" i="13"/>
  <c r="T150" i="13"/>
  <c r="T147" i="13"/>
  <c r="T144" i="13"/>
  <c r="T143" i="13"/>
  <c r="T141" i="13"/>
  <c r="T140" i="13"/>
  <c r="T146" i="13"/>
  <c r="T149" i="13"/>
  <c r="T145" i="13"/>
  <c r="U141" i="13"/>
  <c r="U150" i="13"/>
  <c r="U145" i="13"/>
  <c r="U149" i="13"/>
  <c r="U140" i="13"/>
  <c r="U144" i="13"/>
  <c r="U147" i="13"/>
  <c r="U143" i="13"/>
  <c r="U148" i="13"/>
  <c r="U142" i="13"/>
  <c r="U146" i="13"/>
  <c r="D17" i="104"/>
  <c r="N28" i="62"/>
  <c r="B30" i="62"/>
  <c r="I29" i="62"/>
  <c r="J29" i="62" s="1"/>
  <c r="G29" i="62"/>
  <c r="D29" i="62"/>
  <c r="E29" i="62"/>
  <c r="R29" i="62"/>
  <c r="S29" i="62" s="1"/>
  <c r="C29" i="62"/>
  <c r="F29" i="62"/>
  <c r="K29" i="62"/>
  <c r="L29" i="62"/>
  <c r="M29" i="62"/>
  <c r="O29" i="62"/>
  <c r="AO314" i="22"/>
  <c r="AO293" i="22"/>
  <c r="AO302" i="22"/>
  <c r="AO307" i="22"/>
  <c r="AO311" i="22"/>
  <c r="AO299" i="22"/>
  <c r="AO290" i="22"/>
  <c r="AO305" i="22"/>
  <c r="AO313" i="22"/>
  <c r="R322" i="67"/>
  <c r="R321" i="67"/>
  <c r="R319" i="67"/>
  <c r="AL311" i="103"/>
  <c r="AL309" i="103"/>
  <c r="R315" i="67"/>
  <c r="AL308" i="103"/>
  <c r="AL307" i="103"/>
  <c r="R313" i="67"/>
  <c r="AL305" i="103"/>
  <c r="R310" i="67"/>
  <c r="AL303" i="103"/>
  <c r="AL302" i="103"/>
  <c r="AL300" i="103"/>
  <c r="R307" i="67"/>
  <c r="AL299" i="103"/>
  <c r="BA385" i="103"/>
  <c r="C18" i="104"/>
  <c r="AL297" i="103"/>
  <c r="AL296" i="103"/>
  <c r="O39" i="64"/>
  <c r="P39" i="64" s="1"/>
  <c r="R304" i="67"/>
  <c r="AO296" i="22"/>
  <c r="R301" i="67"/>
  <c r="AL294" i="103"/>
  <c r="S107" i="13"/>
  <c r="AL293" i="103"/>
  <c r="G11" i="13"/>
  <c r="I4" i="13" s="1"/>
  <c r="AL314" i="103"/>
  <c r="R298" i="67"/>
  <c r="AL291" i="103"/>
  <c r="AL290" i="103"/>
  <c r="BW385" i="103"/>
  <c r="AL288" i="103"/>
  <c r="R295" i="67"/>
  <c r="AO287" i="22"/>
  <c r="AL287" i="103"/>
  <c r="S73" i="13"/>
  <c r="T80" i="13" s="1"/>
  <c r="AL285" i="103"/>
  <c r="R185" i="13"/>
  <c r="R184" i="13"/>
  <c r="S185" i="13"/>
  <c r="AL40" i="103"/>
  <c r="G113" i="13"/>
  <c r="I108" i="13" s="1"/>
  <c r="AL82" i="103"/>
  <c r="AL232" i="103"/>
  <c r="D25" i="104"/>
  <c r="D24" i="104"/>
  <c r="AL149" i="103"/>
  <c r="Q130" i="23"/>
  <c r="U112" i="13"/>
  <c r="U115" i="13"/>
  <c r="U108" i="13"/>
  <c r="U106" i="13"/>
  <c r="U110" i="13"/>
  <c r="U114" i="13"/>
  <c r="U109" i="13"/>
  <c r="U116" i="13"/>
  <c r="U107" i="13"/>
  <c r="U113" i="13"/>
  <c r="U111" i="13"/>
  <c r="AL170" i="103"/>
  <c r="AL132" i="103"/>
  <c r="AL85" i="103"/>
  <c r="AL182" i="103"/>
  <c r="AL124" i="103"/>
  <c r="AL53" i="103"/>
  <c r="AF97" i="23"/>
  <c r="AN97" i="23" s="1"/>
  <c r="AL113" i="103"/>
  <c r="P130" i="23"/>
  <c r="AL102" i="103"/>
  <c r="AF92" i="23"/>
  <c r="AL92" i="23" s="1"/>
  <c r="AL37" i="103"/>
  <c r="AL177" i="103"/>
  <c r="AL119" i="103"/>
  <c r="B132" i="23"/>
  <c r="Y131" i="23"/>
  <c r="V131" i="23"/>
  <c r="S131" i="23"/>
  <c r="J131" i="23"/>
  <c r="D131" i="23"/>
  <c r="AJ131" i="23"/>
  <c r="Z131" i="23"/>
  <c r="N131" i="23"/>
  <c r="AD131" i="23"/>
  <c r="H131" i="23"/>
  <c r="AC131" i="23"/>
  <c r="C131" i="23"/>
  <c r="R131" i="23"/>
  <c r="AB131" i="23"/>
  <c r="AI131" i="23"/>
  <c r="AK131" i="23"/>
  <c r="AE131" i="23"/>
  <c r="U131" i="23"/>
  <c r="I131" i="23"/>
  <c r="AH131" i="23"/>
  <c r="AA131" i="23"/>
  <c r="W131" i="23"/>
  <c r="AL131" i="23"/>
  <c r="AG131" i="23"/>
  <c r="T131" i="23"/>
  <c r="B13" i="31"/>
  <c r="B47" i="31"/>
  <c r="A47" i="31" s="1"/>
  <c r="A12" i="31"/>
  <c r="B19" i="102"/>
  <c r="C19" i="102" s="1"/>
  <c r="AL253" i="103"/>
  <c r="AL179" i="103"/>
  <c r="AF89" i="23"/>
  <c r="AN89" i="23" s="1"/>
  <c r="AF91" i="23"/>
  <c r="AN91" i="23" s="1"/>
  <c r="AF95" i="23"/>
  <c r="AN95" i="23" s="1"/>
  <c r="AF94" i="23"/>
  <c r="AM94" i="23" s="1"/>
  <c r="AL93" i="103"/>
  <c r="AL216" i="103"/>
  <c r="N26" i="36"/>
  <c r="N18" i="36" s="1"/>
  <c r="M22" i="37" s="1"/>
  <c r="D220" i="22"/>
  <c r="D195" i="22"/>
  <c r="D197" i="22"/>
  <c r="D212" i="22"/>
  <c r="D210" i="22"/>
  <c r="D222" i="22"/>
  <c r="D201" i="22"/>
  <c r="D204" i="22"/>
  <c r="D196" i="22"/>
  <c r="D209" i="22"/>
  <c r="D200" i="22"/>
  <c r="Q170" i="23"/>
  <c r="S170" i="23" s="1"/>
  <c r="D202" i="22"/>
  <c r="D198" i="22"/>
  <c r="D219" i="22"/>
  <c r="AL112" i="103"/>
  <c r="AF93" i="23"/>
  <c r="AN93" i="23" s="1"/>
  <c r="AF99" i="23"/>
  <c r="AM99" i="23" s="1"/>
  <c r="AF98" i="23"/>
  <c r="AM98" i="23" s="1"/>
  <c r="AF90" i="23"/>
  <c r="AM90" i="23" s="1"/>
  <c r="L163" i="23"/>
  <c r="L169" i="23"/>
  <c r="L165" i="23"/>
  <c r="L170" i="23"/>
  <c r="L167" i="23"/>
  <c r="L164" i="23"/>
  <c r="L161" i="23"/>
  <c r="L166" i="23"/>
  <c r="L160" i="23"/>
  <c r="L168" i="23"/>
  <c r="L162" i="23"/>
  <c r="AL122" i="103"/>
  <c r="AL155" i="103"/>
  <c r="AL118" i="103"/>
  <c r="AL24" i="103"/>
  <c r="AL129" i="103"/>
  <c r="AL49" i="103"/>
  <c r="AL58" i="103"/>
  <c r="AL250" i="103"/>
  <c r="AL244" i="103"/>
  <c r="AL235" i="103"/>
  <c r="AL125" i="103"/>
  <c r="AL88" i="103"/>
  <c r="AL56" i="103"/>
  <c r="D222" i="103"/>
  <c r="D193" i="103"/>
  <c r="D149" i="103"/>
  <c r="D151" i="103"/>
  <c r="D140" i="103"/>
  <c r="D159" i="103"/>
  <c r="D154" i="103"/>
  <c r="D137" i="103"/>
  <c r="D160" i="103"/>
  <c r="D217" i="103"/>
  <c r="D198" i="103"/>
  <c r="D214" i="103"/>
  <c r="D210" i="103"/>
  <c r="D161" i="103"/>
  <c r="D215" i="103"/>
  <c r="AL116" i="103"/>
  <c r="D213" i="103"/>
  <c r="D204" i="103"/>
  <c r="D138" i="103"/>
  <c r="D143" i="103"/>
  <c r="D156" i="103"/>
  <c r="D153" i="103"/>
  <c r="D207" i="103"/>
  <c r="D144" i="103"/>
  <c r="D202" i="103"/>
  <c r="D142" i="103"/>
  <c r="D216" i="103"/>
  <c r="D212" i="103"/>
  <c r="D220" i="103"/>
  <c r="D157" i="103"/>
  <c r="D152" i="103"/>
  <c r="D148" i="103"/>
  <c r="D146" i="103"/>
  <c r="D136" i="103"/>
  <c r="D150" i="103"/>
  <c r="D147" i="103"/>
  <c r="D139" i="103"/>
  <c r="D205" i="103"/>
  <c r="D158" i="103"/>
  <c r="D141" i="103"/>
  <c r="D155" i="103"/>
  <c r="O367" i="67"/>
  <c r="O359" i="67"/>
  <c r="O372" i="67"/>
  <c r="O326" i="67"/>
  <c r="AC327" i="22"/>
  <c r="O142" i="67"/>
  <c r="AC352" i="22"/>
  <c r="AC74" i="22"/>
  <c r="O81" i="67"/>
  <c r="O82" i="67"/>
  <c r="AC60" i="22"/>
  <c r="I366" i="67"/>
  <c r="AC345" i="22"/>
  <c r="O91" i="67"/>
  <c r="I335" i="67"/>
  <c r="O70" i="67"/>
  <c r="O46" i="67"/>
  <c r="AC138" i="22"/>
  <c r="I350" i="67"/>
  <c r="AC146" i="22"/>
  <c r="AC343" i="22"/>
  <c r="O150" i="67"/>
  <c r="O380" i="67"/>
  <c r="O339" i="67"/>
  <c r="I341" i="67"/>
  <c r="O348" i="67"/>
  <c r="I315" i="67"/>
  <c r="O381" i="67"/>
  <c r="S18" i="68" s="1"/>
  <c r="O64" i="67"/>
  <c r="I319" i="67"/>
  <c r="O51" i="67"/>
  <c r="O364" i="67"/>
  <c r="O162" i="67"/>
  <c r="O343" i="67"/>
  <c r="O383" i="67"/>
  <c r="W18" i="68" s="1"/>
  <c r="O148" i="67"/>
  <c r="AC157" i="22"/>
  <c r="O144" i="67"/>
  <c r="AC364" i="22"/>
  <c r="O143" i="67"/>
  <c r="O365" i="67"/>
  <c r="O77" i="67"/>
  <c r="O100" i="67"/>
  <c r="O67" i="67"/>
  <c r="Y283" i="103"/>
  <c r="Y282" i="103"/>
  <c r="AL282" i="103" s="1"/>
  <c r="Y281" i="103"/>
  <c r="Y280" i="103"/>
  <c r="Y279" i="103"/>
  <c r="Y278" i="103"/>
  <c r="G45" i="13"/>
  <c r="I49" i="13" s="1"/>
  <c r="Y277" i="103"/>
  <c r="Y276" i="103"/>
  <c r="Y275" i="103"/>
  <c r="Y274" i="103"/>
  <c r="S39" i="13"/>
  <c r="T48" i="13" s="1"/>
  <c r="Y273" i="103"/>
  <c r="G5" i="13"/>
  <c r="H8" i="13" s="1"/>
  <c r="Y272" i="103"/>
  <c r="G107" i="13"/>
  <c r="H117" i="13" s="1"/>
  <c r="Y271" i="103"/>
  <c r="I181" i="13"/>
  <c r="I179" i="13"/>
  <c r="I183" i="13"/>
  <c r="I176" i="13"/>
  <c r="I182" i="13"/>
  <c r="I292" i="67"/>
  <c r="I177" i="13"/>
  <c r="I174" i="13"/>
  <c r="I180" i="13"/>
  <c r="I178" i="13"/>
  <c r="I184" i="13"/>
  <c r="Y270" i="103"/>
  <c r="G175" i="13"/>
  <c r="H175" i="13" s="1"/>
  <c r="AE356" i="22"/>
  <c r="I78" i="13"/>
  <c r="U13" i="13"/>
  <c r="I72" i="13"/>
  <c r="I82" i="13"/>
  <c r="I73" i="13"/>
  <c r="I76" i="13"/>
  <c r="I79" i="13"/>
  <c r="I77" i="13"/>
  <c r="I83" i="13"/>
  <c r="F82" i="13" s="1"/>
  <c r="I74" i="13"/>
  <c r="I80" i="13"/>
  <c r="I75" i="13"/>
  <c r="AL61" i="103"/>
  <c r="U4" i="13"/>
  <c r="U10" i="13"/>
  <c r="U5" i="13"/>
  <c r="U8" i="13"/>
  <c r="U11" i="13"/>
  <c r="U14" i="13"/>
  <c r="U6" i="13"/>
  <c r="U12" i="13"/>
  <c r="U7" i="13"/>
  <c r="E17" i="104"/>
  <c r="E24" i="104"/>
  <c r="Y269" i="103"/>
  <c r="E29" i="104"/>
  <c r="O149" i="67"/>
  <c r="AL241" i="103"/>
  <c r="AL340" i="103"/>
  <c r="O352" i="67"/>
  <c r="AL187" i="103"/>
  <c r="AE341" i="22"/>
  <c r="AL261" i="103"/>
  <c r="P19" i="62"/>
  <c r="Q19" i="62" s="1"/>
  <c r="AL184" i="103"/>
  <c r="AC159" i="22"/>
  <c r="AL289" i="103"/>
  <c r="AC80" i="22"/>
  <c r="AC317" i="22"/>
  <c r="AL327" i="103"/>
  <c r="O75" i="67"/>
  <c r="O362" i="67"/>
  <c r="AC90" i="22"/>
  <c r="AC145" i="22"/>
  <c r="O60" i="67"/>
  <c r="AL331" i="103"/>
  <c r="AE332" i="22"/>
  <c r="AL219" i="103"/>
  <c r="AE326" i="22"/>
  <c r="AL325" i="103"/>
  <c r="AL229" i="103"/>
  <c r="AL301" i="103"/>
  <c r="AL91" i="103"/>
  <c r="AC70" i="22"/>
  <c r="AC357" i="22"/>
  <c r="AC140" i="22"/>
  <c r="AC354" i="22"/>
  <c r="AC141" i="22"/>
  <c r="AE307" i="22"/>
  <c r="AL238" i="103"/>
  <c r="AE311" i="22"/>
  <c r="AL310" i="103"/>
  <c r="CA378" i="103"/>
  <c r="AL87" i="103"/>
  <c r="AC349" i="22"/>
  <c r="AL247" i="103"/>
  <c r="CA383" i="103"/>
  <c r="AL355" i="103"/>
  <c r="AL330" i="103"/>
  <c r="AC373" i="22"/>
  <c r="AC334" i="22"/>
  <c r="O374" i="67"/>
  <c r="AL31" i="103"/>
  <c r="AC147" i="22"/>
  <c r="O160" i="67"/>
  <c r="AL358" i="103"/>
  <c r="L355" i="67"/>
  <c r="AC67" i="22"/>
  <c r="AL336" i="103"/>
  <c r="O96" i="67"/>
  <c r="AC95" i="22"/>
  <c r="I261" i="67"/>
  <c r="AC371" i="22"/>
  <c r="AC64" i="22"/>
  <c r="CH388" i="103"/>
  <c r="CF378" i="103"/>
  <c r="AC339" i="22"/>
  <c r="AL222" i="103"/>
  <c r="AC355" i="22"/>
  <c r="AL109" i="103"/>
  <c r="CD388" i="103"/>
  <c r="AL298" i="103"/>
  <c r="AC99" i="22"/>
  <c r="I71" i="67"/>
  <c r="AC76" i="22"/>
  <c r="AC330" i="22"/>
  <c r="AL306" i="103"/>
  <c r="AL195" i="103"/>
  <c r="AC51" i="22"/>
  <c r="AL180" i="103"/>
  <c r="AL339" i="103"/>
  <c r="AL43" i="103"/>
  <c r="AC81" i="22"/>
  <c r="I229" i="67"/>
  <c r="O141" i="67"/>
  <c r="AL226" i="103"/>
  <c r="AC46" i="22"/>
  <c r="AC139" i="22"/>
  <c r="L387" i="67"/>
  <c r="AL167" i="103"/>
  <c r="R394" i="67"/>
  <c r="I103" i="67"/>
  <c r="AC362" i="22"/>
  <c r="AC370" i="22"/>
  <c r="AL295" i="103"/>
  <c r="CA376" i="103"/>
  <c r="AL64" i="103"/>
  <c r="AL313" i="103"/>
  <c r="O354" i="67"/>
  <c r="L324" i="67"/>
  <c r="AL152" i="103"/>
  <c r="AB388" i="58"/>
  <c r="CF379" i="103"/>
  <c r="AL52" i="103"/>
  <c r="O336" i="67"/>
  <c r="AL105" i="103"/>
  <c r="AL65" i="103"/>
  <c r="R391" i="67"/>
  <c r="R71" i="67"/>
  <c r="D154" i="13"/>
  <c r="G141" i="13"/>
  <c r="O68" i="67"/>
  <c r="AC68" i="22"/>
  <c r="I395" i="58"/>
  <c r="Z9" i="65" s="1"/>
  <c r="I382" i="58"/>
  <c r="H192" i="58"/>
  <c r="W387" i="103"/>
  <c r="Y345" i="103"/>
  <c r="W377" i="103"/>
  <c r="Y42" i="103"/>
  <c r="G32" i="53"/>
  <c r="L55" i="53"/>
  <c r="H55" i="53"/>
  <c r="G55" i="53"/>
  <c r="P20" i="62"/>
  <c r="Q20" i="62" s="1"/>
  <c r="AL262" i="103"/>
  <c r="AL161" i="103"/>
  <c r="CF377" i="103"/>
  <c r="O69" i="67"/>
  <c r="AC69" i="22"/>
  <c r="O33" i="67"/>
  <c r="AC34" i="22"/>
  <c r="O145" i="67"/>
  <c r="AC142" i="22"/>
  <c r="O259" i="67"/>
  <c r="AC253" i="22"/>
  <c r="O79" i="67"/>
  <c r="AC78" i="22"/>
  <c r="G60" i="53"/>
  <c r="L60" i="53"/>
  <c r="G37" i="53"/>
  <c r="H37" i="53" s="1"/>
  <c r="H60" i="53"/>
  <c r="I313" i="67"/>
  <c r="AE305" i="22"/>
  <c r="J394" i="58"/>
  <c r="W10" i="65" s="1"/>
  <c r="J381" i="58"/>
  <c r="O241" i="67"/>
  <c r="AC235" i="22"/>
  <c r="O255" i="67"/>
  <c r="AC249" i="22"/>
  <c r="O133" i="67"/>
  <c r="AC131" i="22"/>
  <c r="W379" i="103"/>
  <c r="Y101" i="103"/>
  <c r="O41" i="67"/>
  <c r="AC42" i="22"/>
  <c r="I147" i="13"/>
  <c r="I141" i="13"/>
  <c r="I150" i="13"/>
  <c r="I144" i="13"/>
  <c r="I146" i="13"/>
  <c r="I140" i="13"/>
  <c r="I149" i="13"/>
  <c r="I143" i="13"/>
  <c r="I148" i="13"/>
  <c r="I142" i="13"/>
  <c r="I145" i="13"/>
  <c r="I151" i="13"/>
  <c r="AL164" i="103"/>
  <c r="P25" i="62"/>
  <c r="Q25" i="62" s="1"/>
  <c r="AL267" i="103"/>
  <c r="O13" i="67"/>
  <c r="AC14" i="22"/>
  <c r="CA380" i="103"/>
  <c r="D32" i="53"/>
  <c r="C55" i="53"/>
  <c r="O18" i="67"/>
  <c r="AC19" i="22"/>
  <c r="AL337" i="103"/>
  <c r="O25" i="67"/>
  <c r="AC26" i="22"/>
  <c r="O333" i="67"/>
  <c r="AC324" i="22"/>
  <c r="O177" i="67"/>
  <c r="AC173" i="22"/>
  <c r="D37" i="53"/>
  <c r="C60" i="53"/>
  <c r="O76" i="67"/>
  <c r="AC75" i="22"/>
  <c r="C50" i="53"/>
  <c r="D27" i="53"/>
  <c r="O240" i="67"/>
  <c r="AC234" i="22"/>
  <c r="G35" i="53"/>
  <c r="L58" i="53"/>
  <c r="H58" i="53"/>
  <c r="G58" i="53"/>
  <c r="O30" i="67"/>
  <c r="AC31" i="22"/>
  <c r="K384" i="58"/>
  <c r="K397" i="58"/>
  <c r="AF8" i="65" s="1"/>
  <c r="M396" i="58"/>
  <c r="AC11" i="65" s="1"/>
  <c r="M383" i="58"/>
  <c r="O140" i="67"/>
  <c r="AC137" i="22"/>
  <c r="K386" i="58"/>
  <c r="K399" i="58"/>
  <c r="AL8" i="65" s="1"/>
  <c r="O170" i="67"/>
  <c r="AC166" i="22"/>
  <c r="O235" i="67"/>
  <c r="AC229" i="22"/>
  <c r="I307" i="67"/>
  <c r="AE299" i="22"/>
  <c r="O213" i="67"/>
  <c r="AC208" i="22"/>
  <c r="I396" i="58"/>
  <c r="AC9" i="65" s="1"/>
  <c r="I383" i="58"/>
  <c r="H223" i="58"/>
  <c r="BI379" i="103"/>
  <c r="O368" i="67"/>
  <c r="AC358" i="22"/>
  <c r="M398" i="58"/>
  <c r="AI11" i="65" s="1"/>
  <c r="M385" i="58"/>
  <c r="O23" i="67"/>
  <c r="AC24" i="22"/>
  <c r="O385" i="67"/>
  <c r="AA18" i="68" s="1"/>
  <c r="AC375" i="22"/>
  <c r="AL55" i="103"/>
  <c r="I166" i="67"/>
  <c r="O123" i="67"/>
  <c r="AC121" i="22"/>
  <c r="I369" i="67"/>
  <c r="AE359" i="22"/>
  <c r="I321" i="67"/>
  <c r="AE313" i="22"/>
  <c r="R401" i="67"/>
  <c r="R387" i="67"/>
  <c r="O98" i="67"/>
  <c r="AC97" i="22"/>
  <c r="I295" i="67"/>
  <c r="AE287" i="22"/>
  <c r="O243" i="67"/>
  <c r="AC237" i="22"/>
  <c r="O21" i="67"/>
  <c r="AC22" i="22"/>
  <c r="K400" i="58"/>
  <c r="AO8" i="65" s="1"/>
  <c r="K387" i="58"/>
  <c r="AO316" i="22"/>
  <c r="BW386" i="103"/>
  <c r="R325" i="67"/>
  <c r="O207" i="67"/>
  <c r="AC202" i="22"/>
  <c r="O332" i="67"/>
  <c r="AC323" i="22"/>
  <c r="O14" i="67"/>
  <c r="AC15" i="22"/>
  <c r="O375" i="67"/>
  <c r="AC365" i="22"/>
  <c r="O97" i="67"/>
  <c r="AC96" i="22"/>
  <c r="O32" i="67"/>
  <c r="AC33" i="22"/>
  <c r="O351" i="67"/>
  <c r="AC342" i="22"/>
  <c r="L159" i="23"/>
  <c r="X388" i="103"/>
  <c r="W385" i="103"/>
  <c r="Y284" i="103"/>
  <c r="O130" i="67"/>
  <c r="AC128" i="22"/>
  <c r="O246" i="67"/>
  <c r="AC240" i="22"/>
  <c r="O211" i="67"/>
  <c r="AC206" i="22"/>
  <c r="O232" i="67"/>
  <c r="AC226" i="22"/>
  <c r="AN96" i="23"/>
  <c r="AM96" i="23"/>
  <c r="AL96" i="23"/>
  <c r="AK96" i="23"/>
  <c r="O215" i="67"/>
  <c r="AC210" i="22"/>
  <c r="D29" i="53"/>
  <c r="C52" i="53"/>
  <c r="O190" i="67"/>
  <c r="AC186" i="22"/>
  <c r="O212" i="67"/>
  <c r="AC207" i="22"/>
  <c r="O193" i="67"/>
  <c r="AC189" i="22"/>
  <c r="AL90" i="103"/>
  <c r="O196" i="67"/>
  <c r="AC192" i="22"/>
  <c r="L386" i="58"/>
  <c r="L399" i="58"/>
  <c r="AL7" i="65" s="1"/>
  <c r="O171" i="67"/>
  <c r="AC167" i="22"/>
  <c r="K376" i="58"/>
  <c r="K389" i="58"/>
  <c r="O206" i="67"/>
  <c r="AC201" i="22"/>
  <c r="O200" i="67"/>
  <c r="AC195" i="22"/>
  <c r="J391" i="58"/>
  <c r="N10" i="65" s="1"/>
  <c r="J378" i="58"/>
  <c r="O155" i="67"/>
  <c r="AC152" i="22"/>
  <c r="O99" i="67"/>
  <c r="AC98" i="22"/>
  <c r="O237" i="67"/>
  <c r="AC231" i="22"/>
  <c r="O219" i="67"/>
  <c r="AC214" i="22"/>
  <c r="W383" i="103"/>
  <c r="Y223" i="103"/>
  <c r="O126" i="67"/>
  <c r="AC124" i="22"/>
  <c r="O224" i="67"/>
  <c r="AC219" i="22"/>
  <c r="P15" i="62"/>
  <c r="Q15" i="62" s="1"/>
  <c r="X129" i="23"/>
  <c r="AL257" i="103"/>
  <c r="I399" i="58"/>
  <c r="AL9" i="65" s="1"/>
  <c r="I386" i="58"/>
  <c r="H315" i="58"/>
  <c r="O48" i="67"/>
  <c r="AC48" i="22"/>
  <c r="O118" i="67"/>
  <c r="AC116" i="22"/>
  <c r="O47" i="67"/>
  <c r="AC47" i="22"/>
  <c r="O139" i="67"/>
  <c r="AC136" i="22"/>
  <c r="P24" i="62"/>
  <c r="Q24" i="62" s="1"/>
  <c r="AL266" i="103"/>
  <c r="I363" i="67"/>
  <c r="AE353" i="22"/>
  <c r="CA387" i="103"/>
  <c r="O208" i="67"/>
  <c r="AC203" i="22"/>
  <c r="C58" i="53"/>
  <c r="D35" i="53"/>
  <c r="O231" i="67"/>
  <c r="AC225" i="22"/>
  <c r="AL183" i="103"/>
  <c r="O183" i="67"/>
  <c r="AC179" i="22"/>
  <c r="W376" i="103"/>
  <c r="Y11" i="103"/>
  <c r="O338" i="67"/>
  <c r="AC329" i="22"/>
  <c r="L379" i="58"/>
  <c r="H105" i="58"/>
  <c r="L392" i="58"/>
  <c r="Q7" i="65" s="1"/>
  <c r="AL110" i="103"/>
  <c r="O250" i="67"/>
  <c r="AC244" i="22"/>
  <c r="O221" i="67"/>
  <c r="AC216" i="22"/>
  <c r="AL210" i="103"/>
  <c r="X131" i="23"/>
  <c r="P17" i="62"/>
  <c r="Q17" i="62" s="1"/>
  <c r="AL259" i="103"/>
  <c r="I389" i="58"/>
  <c r="I376" i="58"/>
  <c r="H11" i="58"/>
  <c r="R392" i="67"/>
  <c r="R103" i="67"/>
  <c r="AL292" i="103"/>
  <c r="R398" i="67"/>
  <c r="R292" i="67"/>
  <c r="I340" i="67"/>
  <c r="AE331" i="22"/>
  <c r="O328" i="67"/>
  <c r="AC319" i="22"/>
  <c r="H51" i="53"/>
  <c r="G51" i="53"/>
  <c r="G28" i="53"/>
  <c r="L51" i="53"/>
  <c r="O154" i="67"/>
  <c r="AC151" i="22"/>
  <c r="I400" i="58"/>
  <c r="AO9" i="65" s="1"/>
  <c r="I387" i="58"/>
  <c r="H345" i="58"/>
  <c r="I325" i="67"/>
  <c r="AE316" i="22"/>
  <c r="CA386" i="103"/>
  <c r="I169" i="67"/>
  <c r="I197" i="67" s="1"/>
  <c r="CA381" i="103"/>
  <c r="I391" i="58"/>
  <c r="N9" i="65" s="1"/>
  <c r="I378" i="58"/>
  <c r="H70" i="58"/>
  <c r="O226" i="67"/>
  <c r="AC221" i="22"/>
  <c r="BI383" i="103"/>
  <c r="O386" i="67"/>
  <c r="AC18" i="68" s="1"/>
  <c r="AC376" i="22"/>
  <c r="O256" i="67"/>
  <c r="AC250" i="22"/>
  <c r="M397" i="58"/>
  <c r="AF11" i="65" s="1"/>
  <c r="M384" i="58"/>
  <c r="P23" i="62"/>
  <c r="Q23" i="62" s="1"/>
  <c r="AL265" i="103"/>
  <c r="W378" i="103"/>
  <c r="Y70" i="103"/>
  <c r="BA99" i="103"/>
  <c r="AL121" i="103"/>
  <c r="BA377" i="103"/>
  <c r="R388" i="58"/>
  <c r="BI376" i="103"/>
  <c r="AL36" i="103"/>
  <c r="BX378" i="103"/>
  <c r="BX388" i="103" s="1"/>
  <c r="BA70" i="103"/>
  <c r="O151" i="67"/>
  <c r="AC148" i="22"/>
  <c r="J392" i="58"/>
  <c r="Q10" i="65" s="1"/>
  <c r="J379" i="58"/>
  <c r="CA385" i="103"/>
  <c r="AL352" i="103"/>
  <c r="Z388" i="58"/>
  <c r="O234" i="67"/>
  <c r="AC228" i="22"/>
  <c r="O360" i="67"/>
  <c r="AC350" i="22"/>
  <c r="O73" i="67"/>
  <c r="AC72" i="22"/>
  <c r="C56" i="53"/>
  <c r="D33" i="53"/>
  <c r="H50" i="53"/>
  <c r="G50" i="53"/>
  <c r="G27" i="53"/>
  <c r="L50" i="53"/>
  <c r="F26" i="36"/>
  <c r="F18" i="36" s="1"/>
  <c r="E22" i="37" s="1"/>
  <c r="AF88" i="23"/>
  <c r="S178" i="13"/>
  <c r="R178" i="13"/>
  <c r="S179" i="13"/>
  <c r="R179" i="13"/>
  <c r="O218" i="67"/>
  <c r="AC213" i="22"/>
  <c r="O120" i="67"/>
  <c r="AC118" i="22"/>
  <c r="J395" i="58"/>
  <c r="Z10" i="65" s="1"/>
  <c r="J382" i="58"/>
  <c r="CA379" i="103"/>
  <c r="O204" i="67"/>
  <c r="AC199" i="22"/>
  <c r="O238" i="67"/>
  <c r="AC232" i="22"/>
  <c r="O55" i="67"/>
  <c r="AC55" i="22"/>
  <c r="I347" i="67"/>
  <c r="AE338" i="22"/>
  <c r="O137" i="67"/>
  <c r="AC134" i="22"/>
  <c r="L54" i="53"/>
  <c r="H54" i="53"/>
  <c r="G54" i="53"/>
  <c r="G31" i="53"/>
  <c r="O147" i="67"/>
  <c r="AC144" i="22"/>
  <c r="O174" i="67"/>
  <c r="AC170" i="22"/>
  <c r="I349" i="67"/>
  <c r="AE340" i="22"/>
  <c r="D26" i="53"/>
  <c r="C49" i="53"/>
  <c r="C388" i="103"/>
  <c r="W386" i="103"/>
  <c r="Y315" i="103"/>
  <c r="O173" i="67"/>
  <c r="AC169" i="22"/>
  <c r="O252" i="67"/>
  <c r="AC246" i="22"/>
  <c r="I392" i="58"/>
  <c r="Q9" i="65" s="1"/>
  <c r="I379" i="58"/>
  <c r="H101" i="58"/>
  <c r="O131" i="67"/>
  <c r="AC129" i="22"/>
  <c r="O94" i="67"/>
  <c r="AC93" i="22"/>
  <c r="O327" i="67"/>
  <c r="AC318" i="22"/>
  <c r="I398" i="58"/>
  <c r="AI9" i="65" s="1"/>
  <c r="I385" i="58"/>
  <c r="H284" i="58"/>
  <c r="K390" i="58"/>
  <c r="K8" i="65" s="1"/>
  <c r="K377" i="58"/>
  <c r="O26" i="67"/>
  <c r="AC27" i="22"/>
  <c r="O74" i="67"/>
  <c r="AC73" i="22"/>
  <c r="O353" i="67"/>
  <c r="AC344" i="22"/>
  <c r="O28" i="67"/>
  <c r="AC29" i="22"/>
  <c r="I322" i="67"/>
  <c r="AE314" i="22"/>
  <c r="M393" i="58"/>
  <c r="T11" i="65" s="1"/>
  <c r="M380" i="58"/>
  <c r="O373" i="67"/>
  <c r="AC363" i="22"/>
  <c r="W380" i="103"/>
  <c r="Y131" i="103"/>
  <c r="G73" i="13"/>
  <c r="G74" i="13" s="1"/>
  <c r="I134" i="67"/>
  <c r="O377" i="67"/>
  <c r="AC367" i="22"/>
  <c r="D28" i="53"/>
  <c r="C51" i="53"/>
  <c r="R396" i="67"/>
  <c r="R229" i="67"/>
  <c r="O20" i="67"/>
  <c r="AC21" i="22"/>
  <c r="I298" i="67"/>
  <c r="AE290" i="22"/>
  <c r="K396" i="58"/>
  <c r="AC8" i="65" s="1"/>
  <c r="K383" i="58"/>
  <c r="O29" i="67"/>
  <c r="AC30" i="22"/>
  <c r="O191" i="67"/>
  <c r="AC187" i="22"/>
  <c r="O199" i="67"/>
  <c r="AC194" i="22"/>
  <c r="I304" i="67"/>
  <c r="AE296" i="22"/>
  <c r="O358" i="67"/>
  <c r="AC348" i="22"/>
  <c r="C59" i="53"/>
  <c r="D36" i="53"/>
  <c r="O16" i="67"/>
  <c r="AC17" i="22"/>
  <c r="K394" i="58"/>
  <c r="W8" i="65" s="1"/>
  <c r="K381" i="58"/>
  <c r="O157" i="67"/>
  <c r="AC154" i="22"/>
  <c r="AL17" i="103"/>
  <c r="P13" i="62"/>
  <c r="Q13" i="62" s="1"/>
  <c r="X127" i="23"/>
  <c r="AL255" i="103"/>
  <c r="M389" i="58"/>
  <c r="M376" i="58"/>
  <c r="O12" i="67"/>
  <c r="AC13" i="22"/>
  <c r="O138" i="67"/>
  <c r="AC135" i="22"/>
  <c r="O35" i="67"/>
  <c r="AC36" i="22"/>
  <c r="P21" i="62"/>
  <c r="Q21" i="62" s="1"/>
  <c r="AL263" i="103"/>
  <c r="J390" i="58"/>
  <c r="K10" i="65" s="1"/>
  <c r="J377" i="58"/>
  <c r="K380" i="58"/>
  <c r="K393" i="58"/>
  <c r="T8" i="65" s="1"/>
  <c r="O371" i="67"/>
  <c r="AC361" i="22"/>
  <c r="O179" i="67"/>
  <c r="AC175" i="22"/>
  <c r="O247" i="67"/>
  <c r="AC241" i="22"/>
  <c r="I390" i="58"/>
  <c r="K9" i="65" s="1"/>
  <c r="I377" i="58"/>
  <c r="H42" i="58"/>
  <c r="I393" i="58"/>
  <c r="T9" i="65" s="1"/>
  <c r="I380" i="58"/>
  <c r="H131" i="58"/>
  <c r="O146" i="67"/>
  <c r="AC143" i="22"/>
  <c r="D30" i="53"/>
  <c r="C53" i="53"/>
  <c r="W384" i="103"/>
  <c r="Y254" i="103"/>
  <c r="P22" i="62"/>
  <c r="Q22" i="62" s="1"/>
  <c r="AL264" i="103"/>
  <c r="J399" i="58"/>
  <c r="AL10" i="65" s="1"/>
  <c r="J386" i="58"/>
  <c r="O107" i="67"/>
  <c r="AC105" i="22"/>
  <c r="O244" i="67"/>
  <c r="AC238" i="22"/>
  <c r="J397" i="58"/>
  <c r="AF10" i="65" s="1"/>
  <c r="J384" i="58"/>
  <c r="O194" i="67"/>
  <c r="AC190" i="22"/>
  <c r="I397" i="58"/>
  <c r="AF9" i="65" s="1"/>
  <c r="I384" i="58"/>
  <c r="H254" i="58"/>
  <c r="O181" i="67"/>
  <c r="AC177" i="22"/>
  <c r="O253" i="67"/>
  <c r="AC247" i="22"/>
  <c r="J389" i="58"/>
  <c r="J376" i="58"/>
  <c r="O152" i="67"/>
  <c r="AC149" i="22"/>
  <c r="O330" i="67"/>
  <c r="AC321" i="22"/>
  <c r="AC388" i="58"/>
  <c r="BA386" i="103"/>
  <c r="O78" i="67"/>
  <c r="AC77" i="22"/>
  <c r="AL171" i="103"/>
  <c r="J385" i="58"/>
  <c r="J398" i="58"/>
  <c r="AI10" i="65" s="1"/>
  <c r="O58" i="67"/>
  <c r="AC58" i="22"/>
  <c r="J393" i="58"/>
  <c r="T10" i="65" s="1"/>
  <c r="J380" i="58"/>
  <c r="L53" i="53"/>
  <c r="H53" i="53"/>
  <c r="G53" i="53"/>
  <c r="G30" i="53"/>
  <c r="U46" i="13"/>
  <c r="U40" i="13"/>
  <c r="U48" i="13"/>
  <c r="U45" i="13"/>
  <c r="U42" i="13"/>
  <c r="U39" i="13"/>
  <c r="U44" i="13"/>
  <c r="U38" i="13"/>
  <c r="U47" i="13"/>
  <c r="U43" i="13"/>
  <c r="U41" i="13"/>
  <c r="I301" i="67"/>
  <c r="AE293" i="22"/>
  <c r="O217" i="67"/>
  <c r="AC212" i="22"/>
  <c r="AL217" i="103"/>
  <c r="BI384" i="103"/>
  <c r="CA382" i="103"/>
  <c r="R166" i="67"/>
  <c r="I344" i="67"/>
  <c r="AE335" i="22"/>
  <c r="O202" i="67"/>
  <c r="AC197" i="22"/>
  <c r="AL334" i="103"/>
  <c r="U81" i="13"/>
  <c r="U77" i="13"/>
  <c r="U75" i="13"/>
  <c r="U80" i="13"/>
  <c r="U74" i="13"/>
  <c r="U82" i="13"/>
  <c r="U79" i="13"/>
  <c r="U76" i="13"/>
  <c r="U73" i="13"/>
  <c r="U78" i="13"/>
  <c r="U72" i="13"/>
  <c r="O19" i="67"/>
  <c r="AC20" i="22"/>
  <c r="M381" i="58"/>
  <c r="M394" i="58"/>
  <c r="W11" i="65" s="1"/>
  <c r="AL286" i="103"/>
  <c r="O195" i="67"/>
  <c r="AC191" i="22"/>
  <c r="CF376" i="103"/>
  <c r="O39" i="67"/>
  <c r="AC40" i="22"/>
  <c r="AA388" i="58"/>
  <c r="O63" i="67"/>
  <c r="AC63" i="22"/>
  <c r="BA379" i="103"/>
  <c r="O370" i="67"/>
  <c r="AC360" i="22"/>
  <c r="O110" i="67"/>
  <c r="AC108" i="22"/>
  <c r="O45" i="67"/>
  <c r="AC45" i="22"/>
  <c r="I310" i="67"/>
  <c r="AE302" i="22"/>
  <c r="O114" i="67"/>
  <c r="AC112" i="22"/>
  <c r="O180" i="67"/>
  <c r="AC176" i="22"/>
  <c r="O164" i="67"/>
  <c r="AC161" i="22"/>
  <c r="I337" i="67"/>
  <c r="AE328" i="22"/>
  <c r="M391" i="58"/>
  <c r="N11" i="65" s="1"/>
  <c r="M378" i="58"/>
  <c r="M400" i="58"/>
  <c r="AO11" i="65" s="1"/>
  <c r="M387" i="58"/>
  <c r="O209" i="67"/>
  <c r="AC204" i="22"/>
  <c r="M386" i="58"/>
  <c r="M399" i="58"/>
  <c r="AL11" i="65" s="1"/>
  <c r="D34" i="53"/>
  <c r="C57" i="53"/>
  <c r="O203" i="67"/>
  <c r="AC198" i="22"/>
  <c r="G39" i="13"/>
  <c r="O227" i="67"/>
  <c r="AC222" i="22"/>
  <c r="O357" i="67"/>
  <c r="AC347" i="22"/>
  <c r="O111" i="67"/>
  <c r="AC109" i="22"/>
  <c r="O379" i="67"/>
  <c r="AC369" i="22"/>
  <c r="X128" i="23"/>
  <c r="P14" i="62"/>
  <c r="Q14" i="62" s="1"/>
  <c r="AL256" i="103"/>
  <c r="J396" i="58"/>
  <c r="AC10" i="65" s="1"/>
  <c r="J383" i="58"/>
  <c r="BY388" i="103"/>
  <c r="H7" i="65"/>
  <c r="BA18" i="103"/>
  <c r="BA376" i="103" s="1"/>
  <c r="W381" i="103"/>
  <c r="Y162" i="103"/>
  <c r="X132" i="23"/>
  <c r="P18" i="62"/>
  <c r="Q18" i="62" s="1"/>
  <c r="AL260" i="103"/>
  <c r="I346" i="67"/>
  <c r="AE337" i="22"/>
  <c r="R390" i="67"/>
  <c r="R42" i="67"/>
  <c r="O178" i="67"/>
  <c r="AC174" i="22"/>
  <c r="R397" i="67"/>
  <c r="R261" i="67"/>
  <c r="O158" i="67"/>
  <c r="AC155" i="22"/>
  <c r="O378" i="67"/>
  <c r="AC368" i="22"/>
  <c r="O52" i="67"/>
  <c r="AC52" i="22"/>
  <c r="I329" i="67"/>
  <c r="AE320" i="22"/>
  <c r="O34" i="67"/>
  <c r="AC35" i="22"/>
  <c r="G36" i="53"/>
  <c r="L59" i="53"/>
  <c r="H59" i="53"/>
  <c r="G59" i="53"/>
  <c r="K382" i="58"/>
  <c r="K395" i="58"/>
  <c r="Z8" i="65" s="1"/>
  <c r="O22" i="67"/>
  <c r="AC23" i="22"/>
  <c r="G29" i="53"/>
  <c r="H52" i="53"/>
  <c r="G52" i="53"/>
  <c r="L52" i="53"/>
  <c r="O186" i="67"/>
  <c r="AC182" i="22"/>
  <c r="J400" i="58"/>
  <c r="AO10" i="65" s="1"/>
  <c r="J387" i="58"/>
  <c r="C10" i="104"/>
  <c r="Y268" i="103"/>
  <c r="O86" i="67"/>
  <c r="AC85" i="22"/>
  <c r="O382" i="67"/>
  <c r="U18" i="68" s="1"/>
  <c r="AC372" i="22"/>
  <c r="O384" i="67"/>
  <c r="Y18" i="68" s="1"/>
  <c r="AC374" i="22"/>
  <c r="I394" i="58"/>
  <c r="W9" i="65" s="1"/>
  <c r="I381" i="58"/>
  <c r="H162" i="58"/>
  <c r="O361" i="67"/>
  <c r="AC351" i="22"/>
  <c r="O161" i="67"/>
  <c r="AC158" i="22"/>
  <c r="O61" i="67"/>
  <c r="AC61" i="22"/>
  <c r="L57" i="53"/>
  <c r="H57" i="53"/>
  <c r="G57" i="53"/>
  <c r="G34" i="53"/>
  <c r="O117" i="67"/>
  <c r="AC115" i="22"/>
  <c r="F41" i="36"/>
  <c r="AB388" i="103"/>
  <c r="O101" i="67"/>
  <c r="AC100" i="22"/>
  <c r="O102" i="67"/>
  <c r="AC101" i="22"/>
  <c r="O205" i="67"/>
  <c r="AC200" i="22"/>
  <c r="O109" i="67"/>
  <c r="AC107" i="22"/>
  <c r="K392" i="58"/>
  <c r="Q8" i="65" s="1"/>
  <c r="K379" i="58"/>
  <c r="BI381" i="103"/>
  <c r="O15" i="67"/>
  <c r="AC16" i="22"/>
  <c r="O345" i="67"/>
  <c r="AC336" i="22"/>
  <c r="AL304" i="103"/>
  <c r="O168" i="67"/>
  <c r="AC164" i="22"/>
  <c r="AL312" i="103"/>
  <c r="O106" i="67"/>
  <c r="AC104" i="22"/>
  <c r="K398" i="58"/>
  <c r="AI8" i="65" s="1"/>
  <c r="K385" i="58"/>
  <c r="W382" i="103"/>
  <c r="Y192" i="103"/>
  <c r="O334" i="67"/>
  <c r="AC325" i="22"/>
  <c r="O80" i="67"/>
  <c r="AC79" i="22"/>
  <c r="AO106" i="22"/>
  <c r="R108" i="67"/>
  <c r="BW379" i="103"/>
  <c r="O214" i="67"/>
  <c r="AC209" i="22"/>
  <c r="K378" i="58"/>
  <c r="K391" i="58"/>
  <c r="N8" i="65" s="1"/>
  <c r="M395" i="58"/>
  <c r="Z11" i="65" s="1"/>
  <c r="M382" i="58"/>
  <c r="O342" i="67"/>
  <c r="AC333" i="22"/>
  <c r="O129" i="67"/>
  <c r="AC127" i="22"/>
  <c r="O163" i="67"/>
  <c r="AC160" i="22"/>
  <c r="O376" i="67"/>
  <c r="AC366" i="22"/>
  <c r="I42" i="67"/>
  <c r="O85" i="67"/>
  <c r="AC84" i="22"/>
  <c r="L56" i="53"/>
  <c r="G33" i="53"/>
  <c r="H56" i="53"/>
  <c r="G56" i="53"/>
  <c r="M377" i="58"/>
  <c r="M390" i="58"/>
  <c r="K11" i="65" s="1"/>
  <c r="O83" i="67"/>
  <c r="AC82" i="22"/>
  <c r="O249" i="67"/>
  <c r="AC243" i="22"/>
  <c r="O38" i="67"/>
  <c r="AC39" i="22"/>
  <c r="O49" i="67"/>
  <c r="AC49" i="22"/>
  <c r="P18" i="13"/>
  <c r="S5" i="13"/>
  <c r="O258" i="67"/>
  <c r="AC252" i="22"/>
  <c r="O210" i="67"/>
  <c r="AC205" i="22"/>
  <c r="O220" i="67"/>
  <c r="AC215" i="22"/>
  <c r="O88" i="67"/>
  <c r="AC87" i="22"/>
  <c r="CA377" i="103"/>
  <c r="R401" i="58"/>
  <c r="CB388" i="103"/>
  <c r="J403" i="103"/>
  <c r="AL319" i="103"/>
  <c r="X130" i="23"/>
  <c r="P16" i="62"/>
  <c r="Q16" i="62" s="1"/>
  <c r="AL258" i="103"/>
  <c r="O331" i="67"/>
  <c r="AC322" i="22"/>
  <c r="D31" i="53"/>
  <c r="C54" i="53"/>
  <c r="H49" i="53"/>
  <c r="G49" i="53"/>
  <c r="G26" i="53"/>
  <c r="L49" i="53"/>
  <c r="J388" i="103"/>
  <c r="O27" i="67"/>
  <c r="AC28" i="22"/>
  <c r="R395" i="67"/>
  <c r="R197" i="67"/>
  <c r="BI382" i="103"/>
  <c r="M392" i="58"/>
  <c r="Q11" i="65" s="1"/>
  <c r="M379" i="58"/>
  <c r="T151" i="13" l="1"/>
  <c r="U151" i="13"/>
  <c r="N29" i="62"/>
  <c r="H29" i="62"/>
  <c r="B31" i="62"/>
  <c r="G30" i="62"/>
  <c r="H30" i="62" s="1"/>
  <c r="C30" i="62"/>
  <c r="D30" i="62"/>
  <c r="F30" i="62"/>
  <c r="E30" i="62"/>
  <c r="R30" i="62"/>
  <c r="S30" i="62" s="1"/>
  <c r="I30" i="62"/>
  <c r="J30" i="62" s="1"/>
  <c r="O30" i="62"/>
  <c r="M30" i="62"/>
  <c r="L30" i="62"/>
  <c r="K30" i="62"/>
  <c r="AC294" i="22"/>
  <c r="AC245" i="22"/>
  <c r="AC286" i="22"/>
  <c r="O308" i="67"/>
  <c r="O320" i="67"/>
  <c r="O260" i="67"/>
  <c r="O239" i="67"/>
  <c r="AC288" i="22"/>
  <c r="O309" i="67"/>
  <c r="O116" i="67"/>
  <c r="O303" i="67"/>
  <c r="AC303" i="22"/>
  <c r="O312" i="67"/>
  <c r="O115" i="67"/>
  <c r="O54" i="67"/>
  <c r="O84" i="67"/>
  <c r="O297" i="67"/>
  <c r="AC103" i="22"/>
  <c r="AC217" i="22"/>
  <c r="O127" i="67"/>
  <c r="AC306" i="22"/>
  <c r="O184" i="67"/>
  <c r="O159" i="67"/>
  <c r="O95" i="67"/>
  <c r="O187" i="67"/>
  <c r="AC41" i="22"/>
  <c r="AC291" i="22"/>
  <c r="O125" i="67"/>
  <c r="O87" i="67"/>
  <c r="AC292" i="22"/>
  <c r="O305" i="67"/>
  <c r="AC308" i="22"/>
  <c r="AC120" i="22"/>
  <c r="O136" i="67"/>
  <c r="O306" i="67"/>
  <c r="AC309" i="22"/>
  <c r="AC126" i="22"/>
  <c r="O182" i="67"/>
  <c r="O175" i="67"/>
  <c r="O242" i="67"/>
  <c r="O37" i="67"/>
  <c r="O153" i="67"/>
  <c r="AC310" i="22"/>
  <c r="AC312" i="22"/>
  <c r="O316" i="67"/>
  <c r="O318" i="67"/>
  <c r="O317" i="67"/>
  <c r="O314" i="67"/>
  <c r="O311" i="67"/>
  <c r="AC304" i="22"/>
  <c r="AC300" i="22"/>
  <c r="AC301" i="22"/>
  <c r="AC298" i="22"/>
  <c r="AC297" i="22"/>
  <c r="AC295" i="22"/>
  <c r="I10" i="13"/>
  <c r="I8" i="13"/>
  <c r="I14" i="13"/>
  <c r="I5" i="13"/>
  <c r="I11" i="13"/>
  <c r="I6" i="13"/>
  <c r="I12" i="13"/>
  <c r="I9" i="13"/>
  <c r="I15" i="13"/>
  <c r="G14" i="13" s="1"/>
  <c r="I7" i="13"/>
  <c r="I13" i="13"/>
  <c r="AC315" i="22"/>
  <c r="O302" i="67"/>
  <c r="O323" i="67"/>
  <c r="T111" i="13"/>
  <c r="T116" i="13"/>
  <c r="T115" i="13"/>
  <c r="T107" i="13"/>
  <c r="T106" i="13"/>
  <c r="T110" i="13"/>
  <c r="T109" i="13"/>
  <c r="T112" i="13"/>
  <c r="T113" i="13"/>
  <c r="T114" i="13"/>
  <c r="T108" i="13"/>
  <c r="O300" i="67"/>
  <c r="R399" i="67"/>
  <c r="O299" i="67"/>
  <c r="R324" i="67"/>
  <c r="AC289" i="22"/>
  <c r="D18" i="104"/>
  <c r="T75" i="13"/>
  <c r="T77" i="13"/>
  <c r="T81" i="13"/>
  <c r="T72" i="13"/>
  <c r="T78" i="13"/>
  <c r="T73" i="13"/>
  <c r="T76" i="13"/>
  <c r="T79" i="13"/>
  <c r="T82" i="13"/>
  <c r="T74" i="13"/>
  <c r="O296" i="67"/>
  <c r="O294" i="67"/>
  <c r="O40" i="67"/>
  <c r="I114" i="13"/>
  <c r="I106" i="13"/>
  <c r="I111" i="13"/>
  <c r="S182" i="13"/>
  <c r="I117" i="13"/>
  <c r="F116" i="13" s="1"/>
  <c r="I109" i="13"/>
  <c r="I115" i="13"/>
  <c r="I112" i="13"/>
  <c r="I110" i="13"/>
  <c r="I116" i="13"/>
  <c r="I107" i="13"/>
  <c r="I113" i="13"/>
  <c r="AC83" i="22"/>
  <c r="AC233" i="22"/>
  <c r="AC150" i="22"/>
  <c r="AC125" i="22"/>
  <c r="AC133" i="22"/>
  <c r="AC171" i="22"/>
  <c r="AC86" i="22"/>
  <c r="AC183" i="22"/>
  <c r="AC114" i="22"/>
  <c r="AK97" i="23"/>
  <c r="AL97" i="23"/>
  <c r="AM97" i="23"/>
  <c r="AC54" i="22"/>
  <c r="AM92" i="23"/>
  <c r="Q131" i="23"/>
  <c r="U117" i="13"/>
  <c r="O105" i="67"/>
  <c r="AC236" i="22"/>
  <c r="AN99" i="23"/>
  <c r="AC178" i="22"/>
  <c r="AN92" i="23"/>
  <c r="AC94" i="22"/>
  <c r="AC38" i="22"/>
  <c r="AK92" i="23"/>
  <c r="O122" i="67"/>
  <c r="AC156" i="22"/>
  <c r="AC123" i="22"/>
  <c r="AC254" i="22"/>
  <c r="AN94" i="23"/>
  <c r="AK94" i="23"/>
  <c r="AL94" i="23"/>
  <c r="AK93" i="23"/>
  <c r="AL93" i="23"/>
  <c r="AM93" i="23"/>
  <c r="AL89" i="23"/>
  <c r="AK89" i="23"/>
  <c r="AM89" i="23"/>
  <c r="AK99" i="23"/>
  <c r="AC180" i="22"/>
  <c r="AL99" i="23"/>
  <c r="B48" i="31"/>
  <c r="A48" i="31" s="1"/>
  <c r="A13" i="31"/>
  <c r="B20" i="102"/>
  <c r="C20" i="102" s="1"/>
  <c r="B14" i="31"/>
  <c r="P131" i="23"/>
  <c r="V132" i="23"/>
  <c r="S132" i="23"/>
  <c r="J132" i="23"/>
  <c r="D132" i="23"/>
  <c r="B133" i="23"/>
  <c r="Y132" i="23"/>
  <c r="AD132" i="23"/>
  <c r="AI132" i="23"/>
  <c r="AA132" i="23"/>
  <c r="U132" i="23"/>
  <c r="AC132" i="23"/>
  <c r="AE132" i="23"/>
  <c r="AK132" i="23"/>
  <c r="Z132" i="23"/>
  <c r="AH132" i="23"/>
  <c r="AJ132" i="23"/>
  <c r="R132" i="23"/>
  <c r="AB132" i="23"/>
  <c r="C132" i="23"/>
  <c r="I132" i="23"/>
  <c r="N132" i="23"/>
  <c r="H132" i="23"/>
  <c r="AG132" i="23"/>
  <c r="T132" i="23"/>
  <c r="W132" i="23"/>
  <c r="AL132" i="23"/>
  <c r="AM91" i="23"/>
  <c r="AL91" i="23"/>
  <c r="AK91" i="23"/>
  <c r="O222" i="67"/>
  <c r="AC113" i="22"/>
  <c r="AK95" i="23"/>
  <c r="AL95" i="23"/>
  <c r="AM95" i="23"/>
  <c r="O128" i="67"/>
  <c r="D147" i="22"/>
  <c r="D157" i="22"/>
  <c r="D161" i="22"/>
  <c r="D144" i="22"/>
  <c r="AN98" i="23"/>
  <c r="D158" i="22"/>
  <c r="D205" i="22"/>
  <c r="D160" i="22"/>
  <c r="AC59" i="22"/>
  <c r="AK98" i="23"/>
  <c r="D156" i="22"/>
  <c r="D221" i="22"/>
  <c r="D214" i="22"/>
  <c r="D141" i="22"/>
  <c r="O50" i="67"/>
  <c r="D138" i="22"/>
  <c r="AL98" i="23"/>
  <c r="D142" i="22"/>
  <c r="D213" i="22"/>
  <c r="O119" i="67"/>
  <c r="D152" i="22"/>
  <c r="O132" i="67"/>
  <c r="D153" i="22"/>
  <c r="D159" i="22"/>
  <c r="D217" i="22"/>
  <c r="D216" i="22"/>
  <c r="D150" i="22"/>
  <c r="O24" i="67"/>
  <c r="O257" i="67"/>
  <c r="D206" i="22"/>
  <c r="D143" i="22"/>
  <c r="D162" i="22"/>
  <c r="D194" i="22"/>
  <c r="O251" i="67"/>
  <c r="D139" i="22"/>
  <c r="D140" i="22"/>
  <c r="D203" i="22"/>
  <c r="D211" i="22"/>
  <c r="D223" i="22"/>
  <c r="O121" i="67"/>
  <c r="D149" i="22"/>
  <c r="D148" i="22"/>
  <c r="D145" i="22"/>
  <c r="D215" i="22"/>
  <c r="O57" i="67"/>
  <c r="D155" i="22"/>
  <c r="D151" i="22"/>
  <c r="D208" i="22"/>
  <c r="D199" i="22"/>
  <c r="AC89" i="22"/>
  <c r="D137" i="22"/>
  <c r="D154" i="22"/>
  <c r="D218" i="22"/>
  <c r="AN90" i="23"/>
  <c r="AK90" i="23"/>
  <c r="AL90" i="23"/>
  <c r="AC25" i="22"/>
  <c r="AC119" i="22"/>
  <c r="AC50" i="22"/>
  <c r="AC130" i="22"/>
  <c r="Q37" i="36"/>
  <c r="Q38" i="36" s="1"/>
  <c r="O90" i="67"/>
  <c r="AC57" i="22"/>
  <c r="AC251" i="22"/>
  <c r="O59" i="67"/>
  <c r="AC117" i="22"/>
  <c r="AL281" i="103"/>
  <c r="AL280" i="103"/>
  <c r="D206" i="103"/>
  <c r="D145" i="103"/>
  <c r="AL279" i="103"/>
  <c r="O31" i="67"/>
  <c r="O108" i="67"/>
  <c r="AC296" i="22"/>
  <c r="O341" i="67"/>
  <c r="O233" i="67"/>
  <c r="O189" i="67"/>
  <c r="O62" i="67"/>
  <c r="AC53" i="22"/>
  <c r="O89" i="67"/>
  <c r="O93" i="67"/>
  <c r="O349" i="67"/>
  <c r="O307" i="67"/>
  <c r="O310" i="67"/>
  <c r="O269" i="67"/>
  <c r="AC220" i="22"/>
  <c r="O185" i="67"/>
  <c r="O340" i="67"/>
  <c r="O319" i="67"/>
  <c r="O236" i="67"/>
  <c r="O172" i="67"/>
  <c r="O112" i="67"/>
  <c r="O346" i="67"/>
  <c r="O192" i="67"/>
  <c r="O201" i="67"/>
  <c r="O366" i="67"/>
  <c r="AC328" i="22"/>
  <c r="O65" i="67"/>
  <c r="O245" i="67"/>
  <c r="O350" i="67"/>
  <c r="O298" i="67"/>
  <c r="O322" i="67"/>
  <c r="O228" i="67"/>
  <c r="O369" i="67"/>
  <c r="O254" i="67"/>
  <c r="AC326" i="22"/>
  <c r="O248" i="67"/>
  <c r="U21" i="70"/>
  <c r="AE21" i="70"/>
  <c r="S21" i="70"/>
  <c r="Y21" i="70"/>
  <c r="Q21" i="70"/>
  <c r="I21" i="70"/>
  <c r="M21" i="70"/>
  <c r="W21" i="70"/>
  <c r="K21" i="70"/>
  <c r="AL283" i="103"/>
  <c r="I41" i="13"/>
  <c r="I48" i="13"/>
  <c r="I39" i="13"/>
  <c r="I47" i="13"/>
  <c r="I38" i="13"/>
  <c r="I44" i="13"/>
  <c r="I42" i="13"/>
  <c r="I45" i="13"/>
  <c r="I46" i="13"/>
  <c r="I40" i="13"/>
  <c r="I43" i="13"/>
  <c r="AL278" i="103"/>
  <c r="AL276" i="103"/>
  <c r="AL277" i="103"/>
  <c r="AL275" i="103"/>
  <c r="T44" i="13"/>
  <c r="T38" i="13"/>
  <c r="T45" i="13"/>
  <c r="T40" i="13"/>
  <c r="T46" i="13"/>
  <c r="T41" i="13"/>
  <c r="T39" i="13"/>
  <c r="T43" i="13"/>
  <c r="T47" i="13"/>
  <c r="AL272" i="103"/>
  <c r="AL274" i="103"/>
  <c r="T42" i="13"/>
  <c r="H10" i="13"/>
  <c r="H14" i="13"/>
  <c r="H115" i="13"/>
  <c r="AL273" i="103"/>
  <c r="AL271" i="103"/>
  <c r="H5" i="13"/>
  <c r="H11" i="13"/>
  <c r="H6" i="13"/>
  <c r="H12" i="13"/>
  <c r="H9" i="13"/>
  <c r="H15" i="13"/>
  <c r="G8" i="13" s="1"/>
  <c r="H7" i="13"/>
  <c r="H13" i="13"/>
  <c r="H4" i="13"/>
  <c r="H109" i="13"/>
  <c r="H107" i="13"/>
  <c r="H116" i="13"/>
  <c r="H111" i="13"/>
  <c r="P31" i="62"/>
  <c r="Q31" i="62" s="1"/>
  <c r="H106" i="13"/>
  <c r="H112" i="13"/>
  <c r="H113" i="13"/>
  <c r="H110" i="13"/>
  <c r="H108" i="13"/>
  <c r="H114" i="13"/>
  <c r="P30" i="62"/>
  <c r="Q30" i="62" s="1"/>
  <c r="H178" i="13"/>
  <c r="H177" i="13"/>
  <c r="H181" i="13"/>
  <c r="H184" i="13"/>
  <c r="H176" i="13"/>
  <c r="H182" i="13"/>
  <c r="H179" i="13"/>
  <c r="H183" i="13"/>
  <c r="H174" i="13"/>
  <c r="H180" i="13"/>
  <c r="P29" i="62"/>
  <c r="Q29" i="62" s="1"/>
  <c r="AL269" i="103"/>
  <c r="AL270" i="103"/>
  <c r="I185" i="13"/>
  <c r="F185" i="13" s="1"/>
  <c r="P28" i="62"/>
  <c r="Q28" i="62" s="1"/>
  <c r="AC242" i="22"/>
  <c r="AC341" i="22"/>
  <c r="U15" i="13"/>
  <c r="S15" i="13" s="1"/>
  <c r="G82" i="13"/>
  <c r="F83" i="13"/>
  <c r="G83" i="13"/>
  <c r="AC188" i="22"/>
  <c r="AC62" i="22"/>
  <c r="AC239" i="22"/>
  <c r="P27" i="62"/>
  <c r="Q27" i="62" s="1"/>
  <c r="O337" i="67"/>
  <c r="AC356" i="22"/>
  <c r="AC196" i="22"/>
  <c r="AF133" i="23"/>
  <c r="AC262" i="22"/>
  <c r="AC185" i="22"/>
  <c r="AC290" i="22"/>
  <c r="O225" i="67"/>
  <c r="AC230" i="22"/>
  <c r="AC88" i="22"/>
  <c r="AC92" i="22"/>
  <c r="AC311" i="22"/>
  <c r="I387" i="67"/>
  <c r="AC332" i="22"/>
  <c r="O335" i="67"/>
  <c r="AC359" i="22"/>
  <c r="AC248" i="22"/>
  <c r="AC331" i="22"/>
  <c r="L401" i="58"/>
  <c r="AC302" i="22"/>
  <c r="AC299" i="22"/>
  <c r="AC32" i="22"/>
  <c r="L388" i="58"/>
  <c r="AC337" i="22"/>
  <c r="AC110" i="22"/>
  <c r="AC181" i="22"/>
  <c r="AC223" i="22"/>
  <c r="CA388" i="103"/>
  <c r="AC168" i="22"/>
  <c r="AC340" i="22"/>
  <c r="BW388" i="103"/>
  <c r="O304" i="67"/>
  <c r="O44" i="67"/>
  <c r="AC44" i="22"/>
  <c r="AC106" i="22"/>
  <c r="O315" i="67"/>
  <c r="AC307" i="22"/>
  <c r="O53" i="67"/>
  <c r="CF388" i="103"/>
  <c r="AC227" i="22"/>
  <c r="BA378" i="103"/>
  <c r="BA388" i="103" s="1"/>
  <c r="AC314" i="22"/>
  <c r="AC65" i="22"/>
  <c r="AC66" i="22"/>
  <c r="O66" i="67"/>
  <c r="I324" i="67"/>
  <c r="O156" i="67"/>
  <c r="AC153" i="22"/>
  <c r="E54" i="53"/>
  <c r="F54" i="53" s="1"/>
  <c r="R134" i="67"/>
  <c r="R393" i="67"/>
  <c r="H394" i="58"/>
  <c r="H381" i="58"/>
  <c r="I59" i="53"/>
  <c r="J59" i="53" s="1"/>
  <c r="AF100" i="23"/>
  <c r="AN88" i="23"/>
  <c r="AM88" i="23"/>
  <c r="AK88" i="23"/>
  <c r="AL88" i="23"/>
  <c r="O113" i="67"/>
  <c r="AC111" i="22"/>
  <c r="O92" i="67"/>
  <c r="AC91" i="22"/>
  <c r="F60" i="53"/>
  <c r="E60" i="53"/>
  <c r="E55" i="53"/>
  <c r="F55" i="53" s="1"/>
  <c r="M60" i="53"/>
  <c r="J60" i="53"/>
  <c r="I60" i="53"/>
  <c r="I31" i="53"/>
  <c r="J31" i="53" s="1"/>
  <c r="O329" i="67"/>
  <c r="AC320" i="22"/>
  <c r="H393" i="58"/>
  <c r="H380" i="58"/>
  <c r="H398" i="58"/>
  <c r="AI19" i="65" s="1"/>
  <c r="H385" i="58"/>
  <c r="O124" i="67"/>
  <c r="AC122" i="22"/>
  <c r="I37" i="53"/>
  <c r="J37" i="53" s="1"/>
  <c r="E37" i="53"/>
  <c r="I32" i="53"/>
  <c r="J32" i="53" s="1"/>
  <c r="O270" i="67"/>
  <c r="AC263" i="22"/>
  <c r="C27" i="104"/>
  <c r="P26" i="62"/>
  <c r="Q26" i="62" s="1"/>
  <c r="AL268" i="103"/>
  <c r="Q13" i="64"/>
  <c r="S13" i="64" s="1"/>
  <c r="O223" i="67"/>
  <c r="AC218" i="22"/>
  <c r="Y386" i="103"/>
  <c r="AL315" i="103"/>
  <c r="O363" i="67"/>
  <c r="AC353" i="22"/>
  <c r="BI388" i="103"/>
  <c r="Y383" i="103"/>
  <c r="AL223" i="103"/>
  <c r="R400" i="67"/>
  <c r="R355" i="67"/>
  <c r="I27" i="53"/>
  <c r="J27" i="53" s="1"/>
  <c r="O268" i="67"/>
  <c r="AC261" i="22"/>
  <c r="AF132" i="23"/>
  <c r="H45" i="13"/>
  <c r="H39" i="13"/>
  <c r="H48" i="13"/>
  <c r="H42" i="13"/>
  <c r="H44" i="13"/>
  <c r="H38" i="13"/>
  <c r="H47" i="13"/>
  <c r="H41" i="13"/>
  <c r="H49" i="13"/>
  <c r="H43" i="13"/>
  <c r="H40" i="13"/>
  <c r="H46" i="13"/>
  <c r="U83" i="13"/>
  <c r="O344" i="67"/>
  <c r="AC335" i="22"/>
  <c r="H397" i="58"/>
  <c r="AF19" i="65" s="1"/>
  <c r="H384" i="58"/>
  <c r="K59" i="53"/>
  <c r="M59" i="53" s="1"/>
  <c r="K169" i="23"/>
  <c r="I355" i="67"/>
  <c r="O216" i="67"/>
  <c r="AC211" i="22"/>
  <c r="K56" i="53"/>
  <c r="M56" i="53" s="1"/>
  <c r="K166" i="23"/>
  <c r="E52" i="53"/>
  <c r="F52" i="53" s="1"/>
  <c r="O56" i="67"/>
  <c r="AC56" i="22"/>
  <c r="E50" i="53"/>
  <c r="F50" i="53" s="1"/>
  <c r="H395" i="58"/>
  <c r="Z19" i="65" s="1"/>
  <c r="H382" i="58"/>
  <c r="O321" i="67"/>
  <c r="AC313" i="22"/>
  <c r="G110" i="13"/>
  <c r="F110" i="13"/>
  <c r="G111" i="13"/>
  <c r="F111" i="13"/>
  <c r="H390" i="58"/>
  <c r="H377" i="58"/>
  <c r="O271" i="67"/>
  <c r="AC264" i="22"/>
  <c r="M388" i="58"/>
  <c r="I50" i="53"/>
  <c r="J50" i="53" s="1"/>
  <c r="Y378" i="103"/>
  <c r="AL70" i="103"/>
  <c r="O301" i="67"/>
  <c r="AC293" i="22"/>
  <c r="O188" i="67"/>
  <c r="AC184" i="22"/>
  <c r="H399" i="58"/>
  <c r="H386" i="58"/>
  <c r="K401" i="58"/>
  <c r="H8" i="65"/>
  <c r="I29" i="53"/>
  <c r="J29" i="53" s="1"/>
  <c r="H396" i="58"/>
  <c r="AC19" i="65" s="1"/>
  <c r="H383" i="58"/>
  <c r="H148" i="13"/>
  <c r="H142" i="13"/>
  <c r="G142" i="13"/>
  <c r="H147" i="13"/>
  <c r="H141" i="13"/>
  <c r="H150" i="13"/>
  <c r="H144" i="13"/>
  <c r="H146" i="13"/>
  <c r="H140" i="13"/>
  <c r="H149" i="13"/>
  <c r="H143" i="13"/>
  <c r="H145" i="13"/>
  <c r="O176" i="67"/>
  <c r="AC172" i="22"/>
  <c r="M401" i="58"/>
  <c r="H11" i="65"/>
  <c r="I36" i="53"/>
  <c r="J36" i="53" s="1"/>
  <c r="H392" i="58"/>
  <c r="H379" i="58"/>
  <c r="K51" i="53"/>
  <c r="M51" i="53" s="1"/>
  <c r="K161" i="23"/>
  <c r="K388" i="58"/>
  <c r="I55" i="53"/>
  <c r="J55" i="53" s="1"/>
  <c r="J388" i="58"/>
  <c r="E59" i="53"/>
  <c r="F59" i="53" s="1"/>
  <c r="Y380" i="103"/>
  <c r="AL131" i="103"/>
  <c r="O275" i="67"/>
  <c r="AC268" i="22"/>
  <c r="Y379" i="103"/>
  <c r="AL101" i="103"/>
  <c r="O313" i="67"/>
  <c r="AC305" i="22"/>
  <c r="E36" i="37"/>
  <c r="E10" i="37"/>
  <c r="Y381" i="103"/>
  <c r="AL162" i="103"/>
  <c r="O295" i="67"/>
  <c r="AC287" i="22"/>
  <c r="U49" i="13"/>
  <c r="J401" i="58"/>
  <c r="H10" i="65"/>
  <c r="Y384" i="103"/>
  <c r="X126" i="23"/>
  <c r="P12" i="62"/>
  <c r="AL254" i="103"/>
  <c r="O263" i="67"/>
  <c r="AC256" i="22"/>
  <c r="AF127" i="23"/>
  <c r="K53" i="53"/>
  <c r="M53" i="53" s="1"/>
  <c r="K163" i="23"/>
  <c r="O36" i="67"/>
  <c r="AC37" i="22"/>
  <c r="O273" i="67"/>
  <c r="AC266" i="22"/>
  <c r="H389" i="58"/>
  <c r="H376" i="58"/>
  <c r="I35" i="53"/>
  <c r="J35" i="53" s="1"/>
  <c r="O265" i="67"/>
  <c r="AC258" i="22"/>
  <c r="AF129" i="23"/>
  <c r="K52" i="53"/>
  <c r="M52" i="53" s="1"/>
  <c r="K162" i="23"/>
  <c r="Y382" i="103"/>
  <c r="AL192" i="103"/>
  <c r="K54" i="53"/>
  <c r="M54" i="53" s="1"/>
  <c r="K164" i="23"/>
  <c r="K57" i="53"/>
  <c r="M57" i="53" s="1"/>
  <c r="K167" i="23"/>
  <c r="E51" i="53"/>
  <c r="F51" i="53" s="1"/>
  <c r="I33" i="53"/>
  <c r="J33" i="53" s="1"/>
  <c r="H391" i="58"/>
  <c r="H378" i="58"/>
  <c r="H400" i="58"/>
  <c r="H387" i="58"/>
  <c r="I51" i="53"/>
  <c r="J51" i="53" s="1"/>
  <c r="I388" i="58"/>
  <c r="E58" i="53"/>
  <c r="F58" i="53" s="1"/>
  <c r="Y385" i="103"/>
  <c r="AL284" i="103"/>
  <c r="I58" i="53"/>
  <c r="J58" i="53" s="1"/>
  <c r="O347" i="67"/>
  <c r="AC338" i="22"/>
  <c r="Y387" i="103"/>
  <c r="AL345" i="103"/>
  <c r="I56" i="53"/>
  <c r="J56" i="53" s="1"/>
  <c r="K55" i="53"/>
  <c r="M55" i="53" s="1"/>
  <c r="K165" i="23"/>
  <c r="G48" i="13"/>
  <c r="F48" i="13"/>
  <c r="F49" i="13"/>
  <c r="G49" i="13"/>
  <c r="O264" i="67"/>
  <c r="AC257" i="22"/>
  <c r="AF128" i="23"/>
  <c r="E57" i="53"/>
  <c r="F57" i="53" s="1"/>
  <c r="I28" i="53"/>
  <c r="J28" i="53" s="1"/>
  <c r="S176" i="13"/>
  <c r="E56" i="53"/>
  <c r="F56" i="53" s="1"/>
  <c r="I401" i="58"/>
  <c r="H9" i="65"/>
  <c r="O274" i="67"/>
  <c r="AC267" i="22"/>
  <c r="K58" i="53"/>
  <c r="M58" i="53" s="1"/>
  <c r="K168" i="23"/>
  <c r="O169" i="67"/>
  <c r="AC165" i="22"/>
  <c r="Y377" i="103"/>
  <c r="AL42" i="103"/>
  <c r="K60" i="53"/>
  <c r="K170" i="23"/>
  <c r="K63" i="53"/>
  <c r="I49" i="53"/>
  <c r="J49" i="53" s="1"/>
  <c r="I52" i="53"/>
  <c r="J52" i="53" s="1"/>
  <c r="I34" i="53"/>
  <c r="J34" i="53" s="1"/>
  <c r="O272" i="67"/>
  <c r="AC265" i="22"/>
  <c r="E53" i="53"/>
  <c r="F53" i="53" s="1"/>
  <c r="E49" i="53"/>
  <c r="F49" i="53" s="1"/>
  <c r="O267" i="67"/>
  <c r="AC260" i="22"/>
  <c r="AF131" i="23"/>
  <c r="Y376" i="103"/>
  <c r="AL11" i="103"/>
  <c r="G151" i="13"/>
  <c r="F151" i="13"/>
  <c r="G150" i="13"/>
  <c r="F150" i="13"/>
  <c r="K50" i="53"/>
  <c r="M50" i="53" s="1"/>
  <c r="K160" i="23"/>
  <c r="O266" i="67"/>
  <c r="AC259" i="22"/>
  <c r="AF130" i="23"/>
  <c r="T12" i="13"/>
  <c r="T6" i="13"/>
  <c r="T14" i="13"/>
  <c r="T11" i="13"/>
  <c r="T8" i="13"/>
  <c r="T5" i="13"/>
  <c r="T10" i="13"/>
  <c r="T4" i="13"/>
  <c r="T9" i="13"/>
  <c r="T13" i="13"/>
  <c r="T7" i="13"/>
  <c r="I57" i="53"/>
  <c r="J57" i="53" s="1"/>
  <c r="I53" i="53"/>
  <c r="J53" i="53" s="1"/>
  <c r="I30" i="53"/>
  <c r="J30" i="53" s="1"/>
  <c r="O17" i="67"/>
  <c r="AC18" i="22"/>
  <c r="I26" i="53"/>
  <c r="J26" i="53" s="1"/>
  <c r="I54" i="53"/>
  <c r="J54" i="53" s="1"/>
  <c r="K49" i="53"/>
  <c r="M49" i="53" s="1"/>
  <c r="K159" i="23"/>
  <c r="W388" i="103"/>
  <c r="O165" i="67"/>
  <c r="AC162" i="22"/>
  <c r="O290" i="67"/>
  <c r="AC283" i="22"/>
  <c r="S151" i="13" l="1"/>
  <c r="R151" i="13"/>
  <c r="R150" i="13"/>
  <c r="S150" i="13"/>
  <c r="S145" i="13"/>
  <c r="R145" i="13"/>
  <c r="S144" i="13"/>
  <c r="R144" i="13"/>
  <c r="N30" i="62"/>
  <c r="B32" i="62"/>
  <c r="C31" i="62"/>
  <c r="R31" i="62"/>
  <c r="S31" i="62" s="1"/>
  <c r="D31" i="62"/>
  <c r="I31" i="62"/>
  <c r="J31" i="62" s="1"/>
  <c r="F31" i="62"/>
  <c r="G31" i="62"/>
  <c r="H31" i="62" s="1"/>
  <c r="E31" i="62"/>
  <c r="K31" i="62"/>
  <c r="M31" i="62"/>
  <c r="O31" i="62"/>
  <c r="L31" i="62"/>
  <c r="AA21" i="70"/>
  <c r="F15" i="13"/>
  <c r="G15" i="13"/>
  <c r="F14" i="13"/>
  <c r="T117" i="13"/>
  <c r="T83" i="13"/>
  <c r="R77" i="13" s="1"/>
  <c r="G116" i="13"/>
  <c r="F117" i="13"/>
  <c r="G117" i="13"/>
  <c r="Q132" i="23"/>
  <c r="S116" i="13"/>
  <c r="S117" i="13"/>
  <c r="R117" i="13"/>
  <c r="R116" i="13"/>
  <c r="A14" i="31"/>
  <c r="B21" i="102"/>
  <c r="C21" i="102" s="1"/>
  <c r="B15" i="31"/>
  <c r="B49" i="31"/>
  <c r="A49" i="31" s="1"/>
  <c r="P132" i="23"/>
  <c r="B134" i="23"/>
  <c r="Y133" i="23"/>
  <c r="V133" i="23"/>
  <c r="S133" i="23"/>
  <c r="J133" i="23"/>
  <c r="D133" i="23"/>
  <c r="AJ133" i="23"/>
  <c r="AD133" i="23"/>
  <c r="I133" i="23"/>
  <c r="H133" i="23"/>
  <c r="AE133" i="23"/>
  <c r="Z133" i="23"/>
  <c r="AH133" i="23"/>
  <c r="AB133" i="23"/>
  <c r="AI133" i="23"/>
  <c r="AK133" i="23"/>
  <c r="R133" i="23"/>
  <c r="AA133" i="23"/>
  <c r="N133" i="23"/>
  <c r="AC133" i="23"/>
  <c r="U133" i="23"/>
  <c r="C133" i="23"/>
  <c r="W133" i="23"/>
  <c r="T133" i="23"/>
  <c r="AG133" i="23"/>
  <c r="AL133" i="23"/>
  <c r="X133" i="23"/>
  <c r="D146" i="22"/>
  <c r="D207" i="22"/>
  <c r="O288" i="67"/>
  <c r="O289" i="67"/>
  <c r="AC280" i="22"/>
  <c r="AC281" i="22"/>
  <c r="AC282" i="22"/>
  <c r="Q17" i="36"/>
  <c r="P8" i="37"/>
  <c r="O287" i="67"/>
  <c r="AC272" i="22"/>
  <c r="O291" i="67"/>
  <c r="AC271" i="22"/>
  <c r="O280" i="67"/>
  <c r="O277" i="67"/>
  <c r="O283" i="67"/>
  <c r="AC278" i="22"/>
  <c r="O284" i="67"/>
  <c r="AC275" i="22"/>
  <c r="O286" i="67"/>
  <c r="AC284" i="22"/>
  <c r="AC21" i="70"/>
  <c r="O21" i="70"/>
  <c r="O285" i="67"/>
  <c r="AC277" i="22"/>
  <c r="AC279" i="22"/>
  <c r="AC276" i="22"/>
  <c r="AC273" i="22"/>
  <c r="T49" i="13"/>
  <c r="R42" i="13" s="1"/>
  <c r="O282" i="67"/>
  <c r="AC274" i="22"/>
  <c r="O279" i="67"/>
  <c r="O281" i="67"/>
  <c r="G9" i="13"/>
  <c r="F9" i="13"/>
  <c r="F8" i="13"/>
  <c r="H185" i="13"/>
  <c r="F178" i="13" s="1"/>
  <c r="G185" i="13"/>
  <c r="F184" i="13"/>
  <c r="G184" i="13"/>
  <c r="O278" i="67"/>
  <c r="AC270" i="22"/>
  <c r="G80" i="13"/>
  <c r="R14" i="13"/>
  <c r="S14" i="13"/>
  <c r="R15" i="13"/>
  <c r="E18" i="104"/>
  <c r="H401" i="58"/>
  <c r="O198" i="67"/>
  <c r="AC193" i="22"/>
  <c r="AL382" i="103"/>
  <c r="O104" i="67"/>
  <c r="AC102" i="22"/>
  <c r="AL379" i="103"/>
  <c r="C9" i="53"/>
  <c r="I115" i="26"/>
  <c r="I103" i="26"/>
  <c r="I91" i="26"/>
  <c r="I79" i="26"/>
  <c r="I67" i="26"/>
  <c r="I55" i="26"/>
  <c r="I43" i="26"/>
  <c r="I31" i="26"/>
  <c r="I19" i="26"/>
  <c r="I7" i="26"/>
  <c r="H115" i="26"/>
  <c r="J115" i="26" s="1"/>
  <c r="H103" i="26"/>
  <c r="J103" i="26" s="1"/>
  <c r="H91" i="26"/>
  <c r="J91" i="26" s="1"/>
  <c r="H79" i="26"/>
  <c r="J79" i="26" s="1"/>
  <c r="H67" i="26"/>
  <c r="J67" i="26" s="1"/>
  <c r="H55" i="26"/>
  <c r="J55" i="26" s="1"/>
  <c r="H43" i="26"/>
  <c r="J43" i="26" s="1"/>
  <c r="H31" i="26"/>
  <c r="J31" i="26" s="1"/>
  <c r="H19" i="26"/>
  <c r="J19" i="26" s="1"/>
  <c r="H7" i="26"/>
  <c r="J7" i="26" s="1"/>
  <c r="G115" i="26"/>
  <c r="G103" i="26"/>
  <c r="G91" i="26"/>
  <c r="G79" i="26"/>
  <c r="G67" i="26"/>
  <c r="G55" i="26"/>
  <c r="G43" i="26"/>
  <c r="G31" i="26"/>
  <c r="G19" i="26"/>
  <c r="G7" i="26"/>
  <c r="E29" i="25"/>
  <c r="F115" i="26"/>
  <c r="F103" i="26"/>
  <c r="F91" i="26"/>
  <c r="F79" i="26"/>
  <c r="F67" i="26"/>
  <c r="F55" i="26"/>
  <c r="F43" i="26"/>
  <c r="F31" i="26"/>
  <c r="F19" i="26"/>
  <c r="F7" i="26"/>
  <c r="M161" i="23"/>
  <c r="O325" i="67"/>
  <c r="AC316" i="22"/>
  <c r="AL386" i="103"/>
  <c r="C13" i="53"/>
  <c r="I29" i="25"/>
  <c r="I119" i="26"/>
  <c r="I107" i="26"/>
  <c r="I95" i="26"/>
  <c r="I83" i="26"/>
  <c r="I71" i="26"/>
  <c r="I59" i="26"/>
  <c r="I47" i="26"/>
  <c r="I35" i="26"/>
  <c r="I23" i="26"/>
  <c r="I11" i="26"/>
  <c r="H119" i="26"/>
  <c r="J119" i="26" s="1"/>
  <c r="H107" i="26"/>
  <c r="J107" i="26" s="1"/>
  <c r="H95" i="26"/>
  <c r="J95" i="26" s="1"/>
  <c r="H83" i="26"/>
  <c r="J83" i="26" s="1"/>
  <c r="H71" i="26"/>
  <c r="J71" i="26" s="1"/>
  <c r="H59" i="26"/>
  <c r="J59" i="26" s="1"/>
  <c r="H47" i="26"/>
  <c r="J47" i="26" s="1"/>
  <c r="H35" i="26"/>
  <c r="J35" i="26" s="1"/>
  <c r="H23" i="26"/>
  <c r="J23" i="26" s="1"/>
  <c r="H11" i="26"/>
  <c r="J11" i="26" s="1"/>
  <c r="G119" i="26"/>
  <c r="G107" i="26"/>
  <c r="G95" i="26"/>
  <c r="G83" i="26"/>
  <c r="G71" i="26"/>
  <c r="G59" i="26"/>
  <c r="G47" i="26"/>
  <c r="G35" i="26"/>
  <c r="G23" i="26"/>
  <c r="G11" i="26"/>
  <c r="F119" i="26"/>
  <c r="F107" i="26"/>
  <c r="F95" i="26"/>
  <c r="F83" i="26"/>
  <c r="F71" i="26"/>
  <c r="F59" i="26"/>
  <c r="F47" i="26"/>
  <c r="F35" i="26"/>
  <c r="F23" i="26"/>
  <c r="F11" i="26"/>
  <c r="M165" i="23"/>
  <c r="C10" i="53"/>
  <c r="F116" i="26"/>
  <c r="F104" i="26"/>
  <c r="F92" i="26"/>
  <c r="F80" i="26"/>
  <c r="F68" i="26"/>
  <c r="F56" i="26"/>
  <c r="F44" i="26"/>
  <c r="F32" i="26"/>
  <c r="F20" i="26"/>
  <c r="F8" i="26"/>
  <c r="F29" i="25"/>
  <c r="I116" i="26"/>
  <c r="I104" i="26"/>
  <c r="I92" i="26"/>
  <c r="I80" i="26"/>
  <c r="I68" i="26"/>
  <c r="I56" i="26"/>
  <c r="I44" i="26"/>
  <c r="I32" i="26"/>
  <c r="I20" i="26"/>
  <c r="I8" i="26"/>
  <c r="H116" i="26"/>
  <c r="J116" i="26" s="1"/>
  <c r="H104" i="26"/>
  <c r="J104" i="26" s="1"/>
  <c r="H92" i="26"/>
  <c r="J92" i="26" s="1"/>
  <c r="H80" i="26"/>
  <c r="J80" i="26" s="1"/>
  <c r="H68" i="26"/>
  <c r="J68" i="26" s="1"/>
  <c r="H56" i="26"/>
  <c r="J56" i="26" s="1"/>
  <c r="H44" i="26"/>
  <c r="J44" i="26" s="1"/>
  <c r="H32" i="26"/>
  <c r="J32" i="26" s="1"/>
  <c r="H20" i="26"/>
  <c r="J20" i="26" s="1"/>
  <c r="H8" i="26"/>
  <c r="J8" i="26" s="1"/>
  <c r="G116" i="26"/>
  <c r="G104" i="26"/>
  <c r="G92" i="26"/>
  <c r="G80" i="26"/>
  <c r="G68" i="26"/>
  <c r="G56" i="26"/>
  <c r="G44" i="26"/>
  <c r="G32" i="26"/>
  <c r="G20" i="26"/>
  <c r="G8" i="26"/>
  <c r="M162" i="23"/>
  <c r="C17" i="53"/>
  <c r="G123" i="26"/>
  <c r="G111" i="26"/>
  <c r="G99" i="26"/>
  <c r="G87" i="26"/>
  <c r="G75" i="26"/>
  <c r="G63" i="26"/>
  <c r="G51" i="26"/>
  <c r="G39" i="26"/>
  <c r="G27" i="26"/>
  <c r="G15" i="26"/>
  <c r="F123" i="26"/>
  <c r="F111" i="26"/>
  <c r="F99" i="26"/>
  <c r="F87" i="26"/>
  <c r="F75" i="26"/>
  <c r="F63" i="26"/>
  <c r="F51" i="26"/>
  <c r="F39" i="26"/>
  <c r="F27" i="26"/>
  <c r="F15" i="26"/>
  <c r="M29" i="25"/>
  <c r="I123" i="26"/>
  <c r="I111" i="26"/>
  <c r="I99" i="26"/>
  <c r="I87" i="26"/>
  <c r="I75" i="26"/>
  <c r="I63" i="26"/>
  <c r="I51" i="26"/>
  <c r="I39" i="26"/>
  <c r="I27" i="26"/>
  <c r="I15" i="26"/>
  <c r="H123" i="26"/>
  <c r="J123" i="26" s="1"/>
  <c r="H111" i="26"/>
  <c r="J111" i="26" s="1"/>
  <c r="H99" i="26"/>
  <c r="J99" i="26" s="1"/>
  <c r="H87" i="26"/>
  <c r="J87" i="26" s="1"/>
  <c r="H75" i="26"/>
  <c r="J75" i="26" s="1"/>
  <c r="H63" i="26"/>
  <c r="J63" i="26" s="1"/>
  <c r="H51" i="26"/>
  <c r="J51" i="26" s="1"/>
  <c r="H39" i="26"/>
  <c r="J39" i="26" s="1"/>
  <c r="H27" i="26"/>
  <c r="J27" i="26" s="1"/>
  <c r="H15" i="26"/>
  <c r="J15" i="26" s="1"/>
  <c r="M169" i="23"/>
  <c r="AL19" i="65"/>
  <c r="AK19" i="65"/>
  <c r="C7" i="53"/>
  <c r="I113" i="26"/>
  <c r="I101" i="26"/>
  <c r="I89" i="26"/>
  <c r="I77" i="26"/>
  <c r="I65" i="26"/>
  <c r="I53" i="26"/>
  <c r="I41" i="26"/>
  <c r="I29" i="26"/>
  <c r="I17" i="26"/>
  <c r="I5" i="26"/>
  <c r="H113" i="26"/>
  <c r="J113" i="26" s="1"/>
  <c r="H101" i="26"/>
  <c r="J101" i="26" s="1"/>
  <c r="H89" i="26"/>
  <c r="J89" i="26" s="1"/>
  <c r="H77" i="26"/>
  <c r="J77" i="26" s="1"/>
  <c r="H65" i="26"/>
  <c r="J65" i="26" s="1"/>
  <c r="H53" i="26"/>
  <c r="J53" i="26" s="1"/>
  <c r="H41" i="26"/>
  <c r="J41" i="26" s="1"/>
  <c r="H29" i="26"/>
  <c r="J29" i="26" s="1"/>
  <c r="H17" i="26"/>
  <c r="J17" i="26" s="1"/>
  <c r="H5" i="26"/>
  <c r="J5" i="26" s="1"/>
  <c r="G113" i="26"/>
  <c r="G101" i="26"/>
  <c r="G89" i="26"/>
  <c r="G77" i="26"/>
  <c r="G65" i="26"/>
  <c r="G53" i="26"/>
  <c r="G41" i="26"/>
  <c r="G29" i="26"/>
  <c r="G17" i="26"/>
  <c r="G5" i="26"/>
  <c r="F113" i="26"/>
  <c r="F101" i="26"/>
  <c r="F89" i="26"/>
  <c r="F77" i="26"/>
  <c r="F65" i="26"/>
  <c r="F53" i="26"/>
  <c r="F41" i="26"/>
  <c r="F29" i="26"/>
  <c r="F17" i="26"/>
  <c r="F5" i="26"/>
  <c r="C29" i="25"/>
  <c r="M159" i="23"/>
  <c r="Y388" i="103"/>
  <c r="O43" i="67"/>
  <c r="AC43" i="22"/>
  <c r="AL377" i="103"/>
  <c r="S49" i="13"/>
  <c r="R49" i="13"/>
  <c r="S48" i="13"/>
  <c r="R48" i="13"/>
  <c r="C8" i="53"/>
  <c r="D29" i="25"/>
  <c r="I114" i="26"/>
  <c r="I102" i="26"/>
  <c r="I90" i="26"/>
  <c r="I78" i="26"/>
  <c r="I66" i="26"/>
  <c r="I54" i="26"/>
  <c r="I42" i="26"/>
  <c r="I30" i="26"/>
  <c r="I18" i="26"/>
  <c r="I6" i="26"/>
  <c r="H114" i="26"/>
  <c r="J114" i="26" s="1"/>
  <c r="H102" i="26"/>
  <c r="J102" i="26" s="1"/>
  <c r="H90" i="26"/>
  <c r="J90" i="26" s="1"/>
  <c r="H78" i="26"/>
  <c r="J78" i="26" s="1"/>
  <c r="H66" i="26"/>
  <c r="J66" i="26" s="1"/>
  <c r="H54" i="26"/>
  <c r="J54" i="26" s="1"/>
  <c r="H42" i="26"/>
  <c r="J42" i="26" s="1"/>
  <c r="H30" i="26"/>
  <c r="J30" i="26" s="1"/>
  <c r="H18" i="26"/>
  <c r="J18" i="26" s="1"/>
  <c r="H6" i="26"/>
  <c r="J6" i="26" s="1"/>
  <c r="G114" i="26"/>
  <c r="G102" i="26"/>
  <c r="G90" i="26"/>
  <c r="G78" i="26"/>
  <c r="G66" i="26"/>
  <c r="G54" i="26"/>
  <c r="G42" i="26"/>
  <c r="G30" i="26"/>
  <c r="G18" i="26"/>
  <c r="G6" i="26"/>
  <c r="F114" i="26"/>
  <c r="F102" i="26"/>
  <c r="F90" i="26"/>
  <c r="F78" i="26"/>
  <c r="F66" i="26"/>
  <c r="F54" i="26"/>
  <c r="F42" i="26"/>
  <c r="F30" i="26"/>
  <c r="F18" i="26"/>
  <c r="F6" i="26"/>
  <c r="M160" i="23"/>
  <c r="E44" i="13"/>
  <c r="E89" i="13"/>
  <c r="E86" i="13"/>
  <c r="E78" i="13"/>
  <c r="E42" i="13"/>
  <c r="E95" i="13"/>
  <c r="E97" i="13"/>
  <c r="E73" i="13"/>
  <c r="E43" i="13"/>
  <c r="E76" i="13"/>
  <c r="E46" i="13"/>
  <c r="E90" i="13"/>
  <c r="E48" i="13"/>
  <c r="E99" i="13"/>
  <c r="E39" i="13"/>
  <c r="E94" i="13"/>
  <c r="E102" i="13"/>
  <c r="E75" i="13"/>
  <c r="E49" i="13"/>
  <c r="E83" i="13"/>
  <c r="E58" i="13"/>
  <c r="E40" i="13"/>
  <c r="E52" i="13"/>
  <c r="E87" i="13"/>
  <c r="E65" i="13"/>
  <c r="E72" i="13"/>
  <c r="E54" i="13"/>
  <c r="E57" i="13"/>
  <c r="E85" i="13"/>
  <c r="E60" i="13"/>
  <c r="E53" i="13"/>
  <c r="E77" i="13"/>
  <c r="E45" i="13"/>
  <c r="E51" i="13"/>
  <c r="E100" i="13"/>
  <c r="E80" i="13"/>
  <c r="E81" i="13"/>
  <c r="E91" i="13"/>
  <c r="E50" i="13"/>
  <c r="E63" i="13"/>
  <c r="E93" i="13"/>
  <c r="E101" i="13"/>
  <c r="E55" i="13"/>
  <c r="E64" i="13"/>
  <c r="E47" i="13"/>
  <c r="E38" i="13"/>
  <c r="E84" i="13"/>
  <c r="E56" i="13"/>
  <c r="E96" i="13"/>
  <c r="E41" i="13"/>
  <c r="E59" i="13"/>
  <c r="E98" i="13"/>
  <c r="E79" i="13"/>
  <c r="E82" i="13"/>
  <c r="E92" i="13"/>
  <c r="E74" i="13"/>
  <c r="E61" i="13"/>
  <c r="E62" i="13"/>
  <c r="G46" i="13"/>
  <c r="E88" i="13"/>
  <c r="G42" i="13"/>
  <c r="F42" i="13"/>
  <c r="F43" i="13"/>
  <c r="G43" i="13"/>
  <c r="O356" i="67"/>
  <c r="AC346" i="22"/>
  <c r="AL387" i="103"/>
  <c r="O293" i="67"/>
  <c r="AC285" i="22"/>
  <c r="AL385" i="103"/>
  <c r="AO19" i="65"/>
  <c r="AN19" i="65"/>
  <c r="E113" i="13"/>
  <c r="E134" i="13"/>
  <c r="D107" i="13"/>
  <c r="E128" i="13"/>
  <c r="E116" i="13"/>
  <c r="E125" i="13"/>
  <c r="E112" i="13"/>
  <c r="E129" i="13"/>
  <c r="E110" i="13"/>
  <c r="E109" i="13"/>
  <c r="E127" i="13"/>
  <c r="E131" i="13"/>
  <c r="E118" i="13"/>
  <c r="D130" i="13"/>
  <c r="D117" i="13"/>
  <c r="E132" i="13"/>
  <c r="E133" i="13"/>
  <c r="E117" i="13"/>
  <c r="E111" i="13"/>
  <c r="E135" i="13"/>
  <c r="E126" i="13"/>
  <c r="D123" i="13"/>
  <c r="D120" i="13"/>
  <c r="E121" i="13"/>
  <c r="E120" i="13"/>
  <c r="D126" i="13"/>
  <c r="D106" i="13"/>
  <c r="E108" i="13"/>
  <c r="D129" i="13"/>
  <c r="E115" i="13"/>
  <c r="D119" i="13"/>
  <c r="D111" i="13"/>
  <c r="D114" i="13"/>
  <c r="E130" i="13"/>
  <c r="D116" i="13"/>
  <c r="E119" i="13"/>
  <c r="D128" i="13"/>
  <c r="E114" i="13"/>
  <c r="D110" i="13"/>
  <c r="D131" i="13"/>
  <c r="D121" i="13"/>
  <c r="D127" i="13"/>
  <c r="D108" i="13"/>
  <c r="D125" i="13"/>
  <c r="D112" i="13"/>
  <c r="D109" i="13"/>
  <c r="D135" i="13"/>
  <c r="D133" i="13"/>
  <c r="D122" i="13"/>
  <c r="D132" i="13"/>
  <c r="D113" i="13"/>
  <c r="D115" i="13"/>
  <c r="E107" i="13"/>
  <c r="D124" i="13"/>
  <c r="D118" i="13"/>
  <c r="D134" i="13"/>
  <c r="G108" i="13"/>
  <c r="E106" i="13"/>
  <c r="C18" i="53"/>
  <c r="I124" i="26"/>
  <c r="I112" i="26"/>
  <c r="I100" i="26"/>
  <c r="I88" i="26"/>
  <c r="I76" i="26"/>
  <c r="I64" i="26"/>
  <c r="I52" i="26"/>
  <c r="I40" i="26"/>
  <c r="I28" i="26"/>
  <c r="I16" i="26"/>
  <c r="H124" i="26"/>
  <c r="J124" i="26" s="1"/>
  <c r="H112" i="26"/>
  <c r="J112" i="26" s="1"/>
  <c r="H100" i="26"/>
  <c r="J100" i="26" s="1"/>
  <c r="H88" i="26"/>
  <c r="J88" i="26" s="1"/>
  <c r="H76" i="26"/>
  <c r="J76" i="26" s="1"/>
  <c r="H64" i="26"/>
  <c r="J64" i="26" s="1"/>
  <c r="H52" i="26"/>
  <c r="J52" i="26" s="1"/>
  <c r="H40" i="26"/>
  <c r="J40" i="26" s="1"/>
  <c r="H28" i="26"/>
  <c r="J28" i="26" s="1"/>
  <c r="H16" i="26"/>
  <c r="J16" i="26" s="1"/>
  <c r="G124" i="26"/>
  <c r="G112" i="26"/>
  <c r="G100" i="26"/>
  <c r="G88" i="26"/>
  <c r="G76" i="26"/>
  <c r="G64" i="26"/>
  <c r="G52" i="26"/>
  <c r="G40" i="26"/>
  <c r="G28" i="26"/>
  <c r="G16" i="26"/>
  <c r="N29" i="25"/>
  <c r="F124" i="26"/>
  <c r="F112" i="26"/>
  <c r="F100" i="26"/>
  <c r="F88" i="26"/>
  <c r="F76" i="26"/>
  <c r="F64" i="26"/>
  <c r="F52" i="26"/>
  <c r="F40" i="26"/>
  <c r="F28" i="26"/>
  <c r="F16" i="26"/>
  <c r="M170" i="23"/>
  <c r="C16" i="53"/>
  <c r="I122" i="26"/>
  <c r="I110" i="26"/>
  <c r="I98" i="26"/>
  <c r="I86" i="26"/>
  <c r="I74" i="26"/>
  <c r="I62" i="26"/>
  <c r="I50" i="26"/>
  <c r="I38" i="26"/>
  <c r="I26" i="26"/>
  <c r="I14" i="26"/>
  <c r="H122" i="26"/>
  <c r="J122" i="26" s="1"/>
  <c r="H110" i="26"/>
  <c r="J110" i="26" s="1"/>
  <c r="H98" i="26"/>
  <c r="J98" i="26" s="1"/>
  <c r="H86" i="26"/>
  <c r="J86" i="26" s="1"/>
  <c r="H74" i="26"/>
  <c r="J74" i="26" s="1"/>
  <c r="H62" i="26"/>
  <c r="J62" i="26" s="1"/>
  <c r="H50" i="26"/>
  <c r="J50" i="26" s="1"/>
  <c r="H38" i="26"/>
  <c r="J38" i="26" s="1"/>
  <c r="H26" i="26"/>
  <c r="J26" i="26" s="1"/>
  <c r="H14" i="26"/>
  <c r="J14" i="26" s="1"/>
  <c r="G122" i="26"/>
  <c r="G110" i="26"/>
  <c r="G98" i="26"/>
  <c r="G86" i="26"/>
  <c r="G74" i="26"/>
  <c r="G62" i="26"/>
  <c r="G50" i="26"/>
  <c r="G38" i="26"/>
  <c r="G26" i="26"/>
  <c r="G14" i="26"/>
  <c r="F122" i="26"/>
  <c r="F110" i="26"/>
  <c r="F98" i="26"/>
  <c r="F86" i="26"/>
  <c r="F74" i="26"/>
  <c r="F62" i="26"/>
  <c r="F50" i="26"/>
  <c r="F38" i="26"/>
  <c r="F26" i="26"/>
  <c r="F14" i="26"/>
  <c r="L29" i="25"/>
  <c r="M168" i="23"/>
  <c r="S83" i="13"/>
  <c r="R83" i="13"/>
  <c r="S82" i="13"/>
  <c r="R82" i="13"/>
  <c r="O276" i="67"/>
  <c r="AC269" i="22"/>
  <c r="C23" i="104"/>
  <c r="O33" i="64"/>
  <c r="E151" i="13"/>
  <c r="Q23" i="13"/>
  <c r="Q13" i="13"/>
  <c r="Q27" i="13"/>
  <c r="Q5" i="13"/>
  <c r="E160" i="13"/>
  <c r="E165" i="13"/>
  <c r="Q16" i="13"/>
  <c r="Q19" i="13"/>
  <c r="Q32" i="13"/>
  <c r="Q6" i="13"/>
  <c r="Q18" i="13"/>
  <c r="E166" i="13"/>
  <c r="Q25" i="13"/>
  <c r="Q22" i="13"/>
  <c r="E147" i="13"/>
  <c r="E170" i="13"/>
  <c r="E159" i="13"/>
  <c r="E152" i="13"/>
  <c r="E153" i="13"/>
  <c r="Q34" i="13"/>
  <c r="E146" i="13"/>
  <c r="Q17" i="13"/>
  <c r="Q26" i="13"/>
  <c r="E150" i="13"/>
  <c r="Q11" i="13"/>
  <c r="E140" i="13"/>
  <c r="E141" i="13"/>
  <c r="Q12" i="13"/>
  <c r="Q21" i="13"/>
  <c r="Q10" i="13"/>
  <c r="E144" i="13"/>
  <c r="E156" i="13"/>
  <c r="E164" i="13"/>
  <c r="E157" i="13"/>
  <c r="Q33" i="13"/>
  <c r="E167" i="13"/>
  <c r="Q30" i="13"/>
  <c r="E148" i="13"/>
  <c r="Q31" i="13"/>
  <c r="Q29" i="13"/>
  <c r="Q8" i="13"/>
  <c r="E169" i="13"/>
  <c r="E155" i="13"/>
  <c r="E168" i="13"/>
  <c r="Q20" i="13"/>
  <c r="E162" i="13"/>
  <c r="E163" i="13"/>
  <c r="Q15" i="13"/>
  <c r="E149" i="13"/>
  <c r="Q28" i="13"/>
  <c r="Q14" i="13"/>
  <c r="E145" i="13"/>
  <c r="Q24" i="13"/>
  <c r="E154" i="13"/>
  <c r="E142" i="13"/>
  <c r="Q7" i="13"/>
  <c r="E158" i="13"/>
  <c r="E161" i="13"/>
  <c r="E143" i="13"/>
  <c r="D140" i="13"/>
  <c r="G148" i="13"/>
  <c r="D142" i="13"/>
  <c r="Q9" i="13"/>
  <c r="D141" i="13"/>
  <c r="D144" i="13"/>
  <c r="D143" i="13"/>
  <c r="O262" i="67"/>
  <c r="AC255" i="22"/>
  <c r="AF126" i="23"/>
  <c r="AL384" i="103"/>
  <c r="T15" i="13"/>
  <c r="Q12" i="62"/>
  <c r="O135" i="67"/>
  <c r="AC132" i="22"/>
  <c r="AL380" i="103"/>
  <c r="O167" i="67"/>
  <c r="AC163" i="22"/>
  <c r="AL381" i="103"/>
  <c r="C11" i="53"/>
  <c r="G29" i="25"/>
  <c r="I117" i="26"/>
  <c r="I105" i="26"/>
  <c r="I93" i="26"/>
  <c r="I81" i="26"/>
  <c r="I69" i="26"/>
  <c r="I57" i="26"/>
  <c r="I45" i="26"/>
  <c r="I33" i="26"/>
  <c r="I21" i="26"/>
  <c r="I9" i="26"/>
  <c r="H117" i="26"/>
  <c r="J117" i="26" s="1"/>
  <c r="H105" i="26"/>
  <c r="J105" i="26" s="1"/>
  <c r="H93" i="26"/>
  <c r="J93" i="26" s="1"/>
  <c r="H81" i="26"/>
  <c r="J81" i="26" s="1"/>
  <c r="H69" i="26"/>
  <c r="J69" i="26" s="1"/>
  <c r="H57" i="26"/>
  <c r="J57" i="26" s="1"/>
  <c r="H45" i="26"/>
  <c r="J45" i="26" s="1"/>
  <c r="H33" i="26"/>
  <c r="J33" i="26" s="1"/>
  <c r="H21" i="26"/>
  <c r="J21" i="26" s="1"/>
  <c r="H9" i="26"/>
  <c r="J9" i="26" s="1"/>
  <c r="G117" i="26"/>
  <c r="G105" i="26"/>
  <c r="G93" i="26"/>
  <c r="G81" i="26"/>
  <c r="G69" i="26"/>
  <c r="G57" i="26"/>
  <c r="G45" i="26"/>
  <c r="G33" i="26"/>
  <c r="G21" i="26"/>
  <c r="G9" i="26"/>
  <c r="F117" i="26"/>
  <c r="F105" i="26"/>
  <c r="F93" i="26"/>
  <c r="F81" i="26"/>
  <c r="F69" i="26"/>
  <c r="F57" i="26"/>
  <c r="F45" i="26"/>
  <c r="F33" i="26"/>
  <c r="F21" i="26"/>
  <c r="F9" i="26"/>
  <c r="M163" i="23"/>
  <c r="O230" i="67"/>
  <c r="AC224" i="22"/>
  <c r="AL383" i="103"/>
  <c r="O11" i="67"/>
  <c r="AC12" i="22"/>
  <c r="AL376" i="103"/>
  <c r="H388" i="58"/>
  <c r="C15" i="53"/>
  <c r="I121" i="26"/>
  <c r="I109" i="26"/>
  <c r="I97" i="26"/>
  <c r="I85" i="26"/>
  <c r="I73" i="26"/>
  <c r="I61" i="26"/>
  <c r="I49" i="26"/>
  <c r="I37" i="26"/>
  <c r="I25" i="26"/>
  <c r="I13" i="26"/>
  <c r="H121" i="26"/>
  <c r="J121" i="26" s="1"/>
  <c r="H109" i="26"/>
  <c r="J109" i="26" s="1"/>
  <c r="H97" i="26"/>
  <c r="J97" i="26" s="1"/>
  <c r="H85" i="26"/>
  <c r="J85" i="26" s="1"/>
  <c r="H73" i="26"/>
  <c r="J73" i="26" s="1"/>
  <c r="H61" i="26"/>
  <c r="J61" i="26" s="1"/>
  <c r="H49" i="26"/>
  <c r="J49" i="26" s="1"/>
  <c r="H37" i="26"/>
  <c r="J37" i="26" s="1"/>
  <c r="H25" i="26"/>
  <c r="J25" i="26" s="1"/>
  <c r="H13" i="26"/>
  <c r="J13" i="26" s="1"/>
  <c r="G121" i="26"/>
  <c r="G109" i="26"/>
  <c r="G97" i="26"/>
  <c r="G85" i="26"/>
  <c r="G73" i="26"/>
  <c r="G61" i="26"/>
  <c r="G49" i="26"/>
  <c r="G37" i="26"/>
  <c r="G25" i="26"/>
  <c r="G13" i="26"/>
  <c r="K29" i="25"/>
  <c r="F121" i="26"/>
  <c r="F109" i="26"/>
  <c r="F97" i="26"/>
  <c r="F85" i="26"/>
  <c r="F73" i="26"/>
  <c r="F61" i="26"/>
  <c r="F49" i="26"/>
  <c r="F37" i="26"/>
  <c r="F25" i="26"/>
  <c r="F13" i="26"/>
  <c r="Q14" i="64"/>
  <c r="S14" i="64" s="1"/>
  <c r="M167" i="23"/>
  <c r="D27" i="104"/>
  <c r="E76" i="18"/>
  <c r="S76" i="18" s="1"/>
  <c r="C12" i="53"/>
  <c r="H118" i="26"/>
  <c r="J118" i="26" s="1"/>
  <c r="H106" i="26"/>
  <c r="J106" i="26" s="1"/>
  <c r="H94" i="26"/>
  <c r="J94" i="26" s="1"/>
  <c r="H82" i="26"/>
  <c r="J82" i="26" s="1"/>
  <c r="H70" i="26"/>
  <c r="J70" i="26" s="1"/>
  <c r="H58" i="26"/>
  <c r="J58" i="26" s="1"/>
  <c r="H46" i="26"/>
  <c r="J46" i="26" s="1"/>
  <c r="H34" i="26"/>
  <c r="J34" i="26" s="1"/>
  <c r="H22" i="26"/>
  <c r="J22" i="26" s="1"/>
  <c r="H10" i="26"/>
  <c r="J10" i="26" s="1"/>
  <c r="G118" i="26"/>
  <c r="G106" i="26"/>
  <c r="G94" i="26"/>
  <c r="G82" i="26"/>
  <c r="G70" i="26"/>
  <c r="G58" i="26"/>
  <c r="G46" i="26"/>
  <c r="G34" i="26"/>
  <c r="G22" i="26"/>
  <c r="G10" i="26"/>
  <c r="H29" i="25"/>
  <c r="F118" i="26"/>
  <c r="F106" i="26"/>
  <c r="F94" i="26"/>
  <c r="F82" i="26"/>
  <c r="F70" i="26"/>
  <c r="F58" i="26"/>
  <c r="F46" i="26"/>
  <c r="F34" i="26"/>
  <c r="F22" i="26"/>
  <c r="F10" i="26"/>
  <c r="I118" i="26"/>
  <c r="I106" i="26"/>
  <c r="I94" i="26"/>
  <c r="I82" i="26"/>
  <c r="I70" i="26"/>
  <c r="I58" i="26"/>
  <c r="I46" i="26"/>
  <c r="I34" i="26"/>
  <c r="I22" i="26"/>
  <c r="I10" i="26"/>
  <c r="M164" i="23"/>
  <c r="O72" i="67"/>
  <c r="AC71" i="22"/>
  <c r="AL378" i="103"/>
  <c r="C14" i="53"/>
  <c r="I120" i="26"/>
  <c r="I108" i="26"/>
  <c r="I96" i="26"/>
  <c r="I84" i="26"/>
  <c r="I72" i="26"/>
  <c r="I60" i="26"/>
  <c r="I48" i="26"/>
  <c r="I36" i="26"/>
  <c r="I24" i="26"/>
  <c r="I12" i="26"/>
  <c r="H120" i="26"/>
  <c r="J120" i="26" s="1"/>
  <c r="H108" i="26"/>
  <c r="J108" i="26" s="1"/>
  <c r="H96" i="26"/>
  <c r="J96" i="26" s="1"/>
  <c r="H84" i="26"/>
  <c r="J84" i="26" s="1"/>
  <c r="H72" i="26"/>
  <c r="J72" i="26" s="1"/>
  <c r="H60" i="26"/>
  <c r="J60" i="26" s="1"/>
  <c r="H48" i="26"/>
  <c r="J48" i="26" s="1"/>
  <c r="H36" i="26"/>
  <c r="J36" i="26" s="1"/>
  <c r="H24" i="26"/>
  <c r="J24" i="26" s="1"/>
  <c r="H12" i="26"/>
  <c r="J12" i="26" s="1"/>
  <c r="G120" i="26"/>
  <c r="G108" i="26"/>
  <c r="G96" i="26"/>
  <c r="G84" i="26"/>
  <c r="G72" i="26"/>
  <c r="G60" i="26"/>
  <c r="G48" i="26"/>
  <c r="G36" i="26"/>
  <c r="G24" i="26"/>
  <c r="G12" i="26"/>
  <c r="F120" i="26"/>
  <c r="F108" i="26"/>
  <c r="F96" i="26"/>
  <c r="F84" i="26"/>
  <c r="F72" i="26"/>
  <c r="F60" i="26"/>
  <c r="F48" i="26"/>
  <c r="F36" i="26"/>
  <c r="F24" i="26"/>
  <c r="F12" i="26"/>
  <c r="J29" i="25"/>
  <c r="M166" i="23"/>
  <c r="P140" i="13" l="1"/>
  <c r="D315" i="103" s="1"/>
  <c r="D316" i="22" s="1"/>
  <c r="Q140" i="13"/>
  <c r="K315" i="103" s="1"/>
  <c r="S142" i="13"/>
  <c r="S148" i="13"/>
  <c r="N31" i="62"/>
  <c r="B33" i="62"/>
  <c r="C32" i="62"/>
  <c r="E32" i="62"/>
  <c r="R32" i="62"/>
  <c r="S32" i="62" s="1"/>
  <c r="I32" i="62"/>
  <c r="J32" i="62" s="1"/>
  <c r="F32" i="62"/>
  <c r="D32" i="62"/>
  <c r="G32" i="62"/>
  <c r="H32" i="62" s="1"/>
  <c r="M32" i="62"/>
  <c r="O32" i="62"/>
  <c r="L32" i="62"/>
  <c r="K32" i="62"/>
  <c r="P32" i="62"/>
  <c r="Q136" i="13"/>
  <c r="Q135" i="13"/>
  <c r="Q134" i="13"/>
  <c r="Q133" i="13"/>
  <c r="Q132" i="13"/>
  <c r="Q131" i="13"/>
  <c r="Q130" i="13"/>
  <c r="Q129" i="13"/>
  <c r="Q128" i="13"/>
  <c r="Q127" i="13"/>
  <c r="Q126" i="13"/>
  <c r="Q125" i="13"/>
  <c r="Q124" i="13"/>
  <c r="Q123" i="13"/>
  <c r="Q122" i="13"/>
  <c r="E12" i="13"/>
  <c r="Q121" i="13"/>
  <c r="E20" i="13"/>
  <c r="E27" i="13"/>
  <c r="E29" i="13"/>
  <c r="E31" i="13"/>
  <c r="E13" i="13"/>
  <c r="E22" i="13"/>
  <c r="E34" i="13"/>
  <c r="E14" i="13"/>
  <c r="Q120" i="13"/>
  <c r="Q119" i="13"/>
  <c r="E11" i="13"/>
  <c r="E18" i="13"/>
  <c r="E24" i="13"/>
  <c r="E26" i="13"/>
  <c r="E21" i="13"/>
  <c r="E5" i="13"/>
  <c r="E33" i="13"/>
  <c r="E8" i="13"/>
  <c r="E25" i="13"/>
  <c r="E9" i="13"/>
  <c r="E32" i="13"/>
  <c r="E7" i="13"/>
  <c r="E10" i="13"/>
  <c r="E16" i="13"/>
  <c r="E6" i="13"/>
  <c r="E30" i="13"/>
  <c r="E15" i="13"/>
  <c r="E19" i="13"/>
  <c r="E4" i="13"/>
  <c r="E23" i="13"/>
  <c r="E17" i="13"/>
  <c r="G12" i="13"/>
  <c r="E28" i="13"/>
  <c r="Q118" i="13"/>
  <c r="Q117" i="13"/>
  <c r="Q116" i="13"/>
  <c r="S110" i="13"/>
  <c r="R111" i="13"/>
  <c r="S111" i="13"/>
  <c r="R110" i="13"/>
  <c r="Q115" i="13"/>
  <c r="S76" i="13"/>
  <c r="R76" i="13"/>
  <c r="S77" i="13"/>
  <c r="Q114" i="13"/>
  <c r="Q113" i="13"/>
  <c r="Q112" i="13"/>
  <c r="G114" i="13"/>
  <c r="Q111" i="13"/>
  <c r="Q110" i="13"/>
  <c r="Q109" i="13"/>
  <c r="Q108" i="13"/>
  <c r="Q107" i="13"/>
  <c r="Q133" i="23"/>
  <c r="S114" i="13"/>
  <c r="Q106" i="13"/>
  <c r="V134" i="23"/>
  <c r="S134" i="23"/>
  <c r="J134" i="23"/>
  <c r="D134" i="23"/>
  <c r="B135" i="23"/>
  <c r="Y134" i="23"/>
  <c r="AC134" i="23"/>
  <c r="U134" i="23"/>
  <c r="N134" i="23"/>
  <c r="AK134" i="23"/>
  <c r="AE134" i="23"/>
  <c r="AI134" i="23"/>
  <c r="AD134" i="23"/>
  <c r="R134" i="23"/>
  <c r="AA134" i="23"/>
  <c r="AB134" i="23"/>
  <c r="Z134" i="23"/>
  <c r="C134" i="23"/>
  <c r="AH134" i="23"/>
  <c r="AJ134" i="23"/>
  <c r="H134" i="23"/>
  <c r="I134" i="23"/>
  <c r="AG134" i="23"/>
  <c r="T134" i="23"/>
  <c r="W134" i="23"/>
  <c r="AL134" i="23"/>
  <c r="X134" i="23"/>
  <c r="AF134" i="23"/>
  <c r="P133" i="23"/>
  <c r="B22" i="102"/>
  <c r="C22" i="102" s="1"/>
  <c r="B16" i="31"/>
  <c r="B50" i="31"/>
  <c r="A50" i="31" s="1"/>
  <c r="A15" i="31"/>
  <c r="Z164" i="23"/>
  <c r="Z169" i="23"/>
  <c r="Z165" i="23"/>
  <c r="Z160" i="23"/>
  <c r="Z163" i="23"/>
  <c r="Z168" i="23"/>
  <c r="Z166" i="23"/>
  <c r="Z170" i="23"/>
  <c r="Z161" i="23"/>
  <c r="Z162" i="23"/>
  <c r="P21" i="37"/>
  <c r="Q28" i="36"/>
  <c r="K154" i="103"/>
  <c r="K120" i="103"/>
  <c r="K152" i="103"/>
  <c r="K153" i="103"/>
  <c r="K148" i="103"/>
  <c r="K205" i="103"/>
  <c r="K194" i="103"/>
  <c r="K102" i="103"/>
  <c r="D116" i="103"/>
  <c r="D124" i="103"/>
  <c r="K128" i="103"/>
  <c r="K111" i="103"/>
  <c r="K77" i="103"/>
  <c r="K91" i="103"/>
  <c r="K83" i="103"/>
  <c r="K100" i="103"/>
  <c r="K46" i="103"/>
  <c r="K93" i="103"/>
  <c r="K149" i="103"/>
  <c r="K208" i="103"/>
  <c r="K155" i="103"/>
  <c r="K137" i="103"/>
  <c r="K220" i="103"/>
  <c r="D110" i="103"/>
  <c r="D126" i="103"/>
  <c r="K103" i="103"/>
  <c r="K127" i="103"/>
  <c r="K123" i="103"/>
  <c r="K96" i="103"/>
  <c r="K67" i="103"/>
  <c r="K61" i="103"/>
  <c r="K92" i="103"/>
  <c r="K76" i="103"/>
  <c r="D122" i="103"/>
  <c r="K195" i="103"/>
  <c r="K159" i="103"/>
  <c r="K147" i="103"/>
  <c r="K222" i="103"/>
  <c r="K207" i="103"/>
  <c r="D108" i="103"/>
  <c r="D105" i="103"/>
  <c r="D101" i="103"/>
  <c r="D112" i="103"/>
  <c r="D102" i="103"/>
  <c r="K63" i="103"/>
  <c r="K54" i="103"/>
  <c r="K58" i="103"/>
  <c r="K43" i="103"/>
  <c r="K84" i="103"/>
  <c r="K134" i="103"/>
  <c r="K133" i="103"/>
  <c r="K146" i="103"/>
  <c r="K135" i="103"/>
  <c r="K144" i="103"/>
  <c r="K204" i="103"/>
  <c r="D127" i="103"/>
  <c r="K109" i="103"/>
  <c r="D121" i="103"/>
  <c r="D125" i="103"/>
  <c r="K129" i="103"/>
  <c r="K45" i="103"/>
  <c r="K89" i="103"/>
  <c r="K70" i="103"/>
  <c r="K97" i="103"/>
  <c r="K87" i="103"/>
  <c r="K214" i="103"/>
  <c r="D134" i="103"/>
  <c r="K145" i="103"/>
  <c r="K160" i="103"/>
  <c r="K198" i="103"/>
  <c r="K143" i="103"/>
  <c r="K156" i="103"/>
  <c r="D117" i="103"/>
  <c r="D123" i="103"/>
  <c r="K115" i="103"/>
  <c r="K113" i="103"/>
  <c r="K108" i="103"/>
  <c r="K94" i="103"/>
  <c r="K79" i="103"/>
  <c r="K69" i="103"/>
  <c r="K52" i="103"/>
  <c r="K48" i="103"/>
  <c r="K110" i="103"/>
  <c r="D135" i="103"/>
  <c r="K212" i="103"/>
  <c r="K196" i="103"/>
  <c r="K209" i="103"/>
  <c r="K150" i="103"/>
  <c r="K151" i="103"/>
  <c r="D128" i="103"/>
  <c r="K114" i="103"/>
  <c r="K116" i="103"/>
  <c r="K126" i="103"/>
  <c r="K86" i="103"/>
  <c r="K60" i="103"/>
  <c r="K78" i="103"/>
  <c r="K85" i="103"/>
  <c r="K88" i="103"/>
  <c r="K99" i="103"/>
  <c r="D132" i="103"/>
  <c r="K136" i="103"/>
  <c r="K217" i="103"/>
  <c r="K200" i="103"/>
  <c r="K161" i="103"/>
  <c r="K193" i="103"/>
  <c r="D130" i="103"/>
  <c r="D111" i="103"/>
  <c r="D115" i="103"/>
  <c r="K122" i="103"/>
  <c r="K82" i="103"/>
  <c r="K98" i="103"/>
  <c r="K56" i="103"/>
  <c r="K50" i="103"/>
  <c r="K64" i="103"/>
  <c r="K197" i="103"/>
  <c r="K202" i="103"/>
  <c r="K219" i="103"/>
  <c r="K132" i="103"/>
  <c r="K138" i="103"/>
  <c r="K215" i="103"/>
  <c r="K101" i="103"/>
  <c r="D104" i="103"/>
  <c r="K125" i="103"/>
  <c r="D118" i="103"/>
  <c r="K104" i="103"/>
  <c r="K66" i="103"/>
  <c r="K42" i="103"/>
  <c r="K55" i="103"/>
  <c r="K44" i="103"/>
  <c r="K74" i="103"/>
  <c r="D119" i="103"/>
  <c r="K80" i="103"/>
  <c r="D133" i="103"/>
  <c r="K216" i="103"/>
  <c r="K139" i="103"/>
  <c r="K131" i="103"/>
  <c r="K210" i="103"/>
  <c r="K201" i="103"/>
  <c r="D107" i="103"/>
  <c r="D109" i="103"/>
  <c r="K121" i="103"/>
  <c r="K105" i="103"/>
  <c r="K65" i="103"/>
  <c r="K51" i="103"/>
  <c r="K49" i="103"/>
  <c r="K62" i="103"/>
  <c r="K47" i="103"/>
  <c r="K206" i="103"/>
  <c r="K112" i="103"/>
  <c r="K140" i="103"/>
  <c r="K218" i="103"/>
  <c r="K199" i="103"/>
  <c r="K213" i="103"/>
  <c r="K211" i="103"/>
  <c r="D129" i="103"/>
  <c r="D120" i="103"/>
  <c r="D106" i="103"/>
  <c r="K130" i="103"/>
  <c r="K124" i="103"/>
  <c r="K72" i="103"/>
  <c r="K68" i="103"/>
  <c r="K75" i="103"/>
  <c r="K81" i="103"/>
  <c r="K71" i="103"/>
  <c r="K221" i="103"/>
  <c r="K73" i="103"/>
  <c r="D131" i="103"/>
  <c r="K203" i="103"/>
  <c r="K158" i="103"/>
  <c r="K141" i="103"/>
  <c r="K157" i="103"/>
  <c r="K142" i="103"/>
  <c r="D113" i="103"/>
  <c r="D103" i="103"/>
  <c r="D114" i="103"/>
  <c r="K106" i="103"/>
  <c r="K107" i="103"/>
  <c r="K90" i="103"/>
  <c r="K59" i="103"/>
  <c r="K57" i="103"/>
  <c r="K53" i="103"/>
  <c r="K95" i="103"/>
  <c r="Q101" i="13"/>
  <c r="Q100" i="13"/>
  <c r="Q99" i="13"/>
  <c r="S42" i="13"/>
  <c r="R43" i="13"/>
  <c r="S43" i="13"/>
  <c r="Q98" i="13"/>
  <c r="Q97" i="13"/>
  <c r="Q96" i="13"/>
  <c r="Q95" i="13"/>
  <c r="Q94" i="13"/>
  <c r="Q93" i="13"/>
  <c r="D7" i="13"/>
  <c r="D11" i="13"/>
  <c r="D5" i="13"/>
  <c r="D28" i="13"/>
  <c r="D12" i="13"/>
  <c r="D19" i="13"/>
  <c r="D13" i="13"/>
  <c r="D21" i="13"/>
  <c r="D10" i="13"/>
  <c r="D29" i="13"/>
  <c r="D17" i="13"/>
  <c r="D18" i="13"/>
  <c r="D20" i="13"/>
  <c r="D31" i="13"/>
  <c r="D26" i="13"/>
  <c r="D9" i="13"/>
  <c r="D24" i="13"/>
  <c r="D22" i="13"/>
  <c r="D30" i="13"/>
  <c r="D27" i="13"/>
  <c r="D15" i="13"/>
  <c r="D6" i="13"/>
  <c r="D32" i="13"/>
  <c r="D14" i="13"/>
  <c r="D23" i="13"/>
  <c r="D33" i="13"/>
  <c r="D4" i="13"/>
  <c r="D25" i="13"/>
  <c r="G6" i="13"/>
  <c r="D34" i="13"/>
  <c r="D16" i="13"/>
  <c r="D8" i="13"/>
  <c r="F179" i="13"/>
  <c r="G179" i="13"/>
  <c r="G178" i="13"/>
  <c r="E190" i="13"/>
  <c r="E176" i="13"/>
  <c r="E183" i="13"/>
  <c r="E201" i="13"/>
  <c r="E194" i="13"/>
  <c r="Q92" i="13"/>
  <c r="E175" i="13"/>
  <c r="E192" i="13"/>
  <c r="E177" i="13"/>
  <c r="E186" i="13"/>
  <c r="E197" i="13"/>
  <c r="E174" i="13"/>
  <c r="E191" i="13"/>
  <c r="E182" i="13"/>
  <c r="E200" i="13"/>
  <c r="E193" i="13"/>
  <c r="E178" i="13"/>
  <c r="E203" i="13"/>
  <c r="E184" i="13"/>
  <c r="E180" i="13"/>
  <c r="E185" i="13"/>
  <c r="E179" i="13"/>
  <c r="E202" i="13"/>
  <c r="E196" i="13"/>
  <c r="G182" i="13"/>
  <c r="E189" i="13"/>
  <c r="E188" i="13"/>
  <c r="E199" i="13"/>
  <c r="E187" i="13"/>
  <c r="E195" i="13"/>
  <c r="E181" i="13"/>
  <c r="E198" i="13"/>
  <c r="Q91" i="13"/>
  <c r="S12" i="13"/>
  <c r="Q4" i="13"/>
  <c r="Q90" i="13"/>
  <c r="Q89" i="13"/>
  <c r="Q88" i="13"/>
  <c r="Q87" i="13"/>
  <c r="N166" i="23"/>
  <c r="M32" i="36"/>
  <c r="M31" i="36" s="1"/>
  <c r="L7" i="37" s="1"/>
  <c r="N167" i="23"/>
  <c r="N32" i="36"/>
  <c r="N31" i="36" s="1"/>
  <c r="M7" i="37" s="1"/>
  <c r="O390" i="67"/>
  <c r="H427" i="67" s="1"/>
  <c r="I427" i="67" s="1"/>
  <c r="O42" i="67"/>
  <c r="I11" i="53"/>
  <c r="H11" i="53"/>
  <c r="R9" i="13"/>
  <c r="S8" i="13"/>
  <c r="R8" i="13"/>
  <c r="S9" i="13"/>
  <c r="O398" i="67"/>
  <c r="H435" i="67" s="1"/>
  <c r="I435" i="67" s="1"/>
  <c r="O292" i="67"/>
  <c r="N168" i="23"/>
  <c r="O32" i="36"/>
  <c r="O31" i="36" s="1"/>
  <c r="N7" i="37" s="1"/>
  <c r="H8" i="53"/>
  <c r="I8" i="53"/>
  <c r="I17" i="53"/>
  <c r="H17" i="53"/>
  <c r="N164" i="23"/>
  <c r="K32" i="36"/>
  <c r="K31" i="36" s="1"/>
  <c r="J7" i="37" s="1"/>
  <c r="O397" i="67"/>
  <c r="H434" i="67" s="1"/>
  <c r="I434" i="67" s="1"/>
  <c r="O261" i="67"/>
  <c r="O395" i="67"/>
  <c r="H432" i="67" s="1"/>
  <c r="I432" i="67" s="1"/>
  <c r="O197" i="67"/>
  <c r="N162" i="23"/>
  <c r="I32" i="36"/>
  <c r="I31" i="36" s="1"/>
  <c r="H7" i="37" s="1"/>
  <c r="I9" i="53"/>
  <c r="H9" i="53"/>
  <c r="Q15" i="64"/>
  <c r="S15" i="64" s="1"/>
  <c r="E27" i="104"/>
  <c r="I13" i="53"/>
  <c r="H13" i="53"/>
  <c r="O392" i="67"/>
  <c r="H429" i="67" s="1"/>
  <c r="I429" i="67" s="1"/>
  <c r="O103" i="67"/>
  <c r="D61" i="13"/>
  <c r="D88" i="13"/>
  <c r="D38" i="13"/>
  <c r="D90" i="13"/>
  <c r="D97" i="13"/>
  <c r="D72" i="13"/>
  <c r="D93" i="13"/>
  <c r="D65" i="13"/>
  <c r="D75" i="13"/>
  <c r="D62" i="13"/>
  <c r="D59" i="13"/>
  <c r="D91" i="13"/>
  <c r="D51" i="13"/>
  <c r="D43" i="13"/>
  <c r="D58" i="13"/>
  <c r="D46" i="13"/>
  <c r="D60" i="13"/>
  <c r="D79" i="13"/>
  <c r="D83" i="13"/>
  <c r="D39" i="13"/>
  <c r="D64" i="13"/>
  <c r="D100" i="13"/>
  <c r="D85" i="13"/>
  <c r="D49" i="13"/>
  <c r="D44" i="13"/>
  <c r="D54" i="13"/>
  <c r="D96" i="13"/>
  <c r="D94" i="13"/>
  <c r="D42" i="13"/>
  <c r="D74" i="13"/>
  <c r="D95" i="13"/>
  <c r="D82" i="13"/>
  <c r="D57" i="13"/>
  <c r="D47" i="13"/>
  <c r="D56" i="13"/>
  <c r="D55" i="13"/>
  <c r="D102" i="13"/>
  <c r="D99" i="13"/>
  <c r="D84" i="13"/>
  <c r="D86" i="13"/>
  <c r="D52" i="13"/>
  <c r="D73" i="13"/>
  <c r="D78" i="13"/>
  <c r="D92" i="13"/>
  <c r="D50" i="13"/>
  <c r="D76" i="13"/>
  <c r="D87" i="13"/>
  <c r="D101" i="13"/>
  <c r="D89" i="13"/>
  <c r="D41" i="13"/>
  <c r="D40" i="13"/>
  <c r="D77" i="13"/>
  <c r="D98" i="13"/>
  <c r="D63" i="13"/>
  <c r="D53" i="13"/>
  <c r="D48" i="13"/>
  <c r="D81" i="13"/>
  <c r="D45" i="13"/>
  <c r="D80" i="13"/>
  <c r="G40" i="13"/>
  <c r="N159" i="23"/>
  <c r="F32" i="36"/>
  <c r="F31" i="36" s="1"/>
  <c r="E7" i="37" s="1"/>
  <c r="N163" i="23"/>
  <c r="J32" i="36"/>
  <c r="J31" i="36" s="1"/>
  <c r="I7" i="37" s="1"/>
  <c r="O399" i="67"/>
  <c r="H436" i="67" s="1"/>
  <c r="I436" i="67" s="1"/>
  <c r="O324" i="67"/>
  <c r="Q64" i="13"/>
  <c r="Q55" i="13"/>
  <c r="Q67" i="13"/>
  <c r="Q56" i="13"/>
  <c r="Q40" i="13"/>
  <c r="Q54" i="13"/>
  <c r="Q50" i="13"/>
  <c r="Q47" i="13"/>
  <c r="Q45" i="13"/>
  <c r="Q41" i="13"/>
  <c r="Q57" i="13"/>
  <c r="Q39" i="13"/>
  <c r="Q38" i="13"/>
  <c r="Q65" i="13"/>
  <c r="Q59" i="13"/>
  <c r="Q60" i="13"/>
  <c r="Q44" i="13"/>
  <c r="Q66" i="13"/>
  <c r="Q62" i="13"/>
  <c r="Q58" i="13"/>
  <c r="Q48" i="13"/>
  <c r="Q52" i="13"/>
  <c r="Q46" i="13"/>
  <c r="Q61" i="13"/>
  <c r="Q53" i="13"/>
  <c r="Q51" i="13"/>
  <c r="Q68" i="13"/>
  <c r="Q49" i="13"/>
  <c r="Q43" i="13"/>
  <c r="Q42" i="13"/>
  <c r="Q63" i="13"/>
  <c r="S46" i="13"/>
  <c r="O29" i="25"/>
  <c r="O30" i="25" s="1"/>
  <c r="I15" i="53"/>
  <c r="H15" i="53"/>
  <c r="Q83" i="13"/>
  <c r="Q78" i="13"/>
  <c r="Q75" i="13"/>
  <c r="Q82" i="13"/>
  <c r="Q85" i="13"/>
  <c r="Q74" i="13"/>
  <c r="Q80" i="13"/>
  <c r="Q76" i="13"/>
  <c r="Q77" i="13"/>
  <c r="Q86" i="13"/>
  <c r="Q84" i="13"/>
  <c r="Q81" i="13"/>
  <c r="Q73" i="13"/>
  <c r="Q72" i="13"/>
  <c r="S80" i="13"/>
  <c r="Q79" i="13"/>
  <c r="O391" i="67"/>
  <c r="H428" i="67" s="1"/>
  <c r="I428" i="67" s="1"/>
  <c r="O71" i="67"/>
  <c r="O393" i="67"/>
  <c r="H430" i="67" s="1"/>
  <c r="I430" i="67" s="1"/>
  <c r="O134" i="67"/>
  <c r="H14" i="53"/>
  <c r="I14" i="53"/>
  <c r="O394" i="67"/>
  <c r="H431" i="67" s="1"/>
  <c r="I431" i="67" s="1"/>
  <c r="O166" i="67"/>
  <c r="I16" i="53"/>
  <c r="H16" i="53"/>
  <c r="N160" i="23"/>
  <c r="G32" i="36"/>
  <c r="G31" i="36" s="1"/>
  <c r="F7" i="37" s="1"/>
  <c r="N169" i="23"/>
  <c r="P32" i="36"/>
  <c r="P31" i="36" s="1"/>
  <c r="O7" i="37" s="1"/>
  <c r="O400" i="67"/>
  <c r="H437" i="67" s="1"/>
  <c r="I437" i="67" s="1"/>
  <c r="O355" i="67"/>
  <c r="H12" i="53"/>
  <c r="I12" i="53"/>
  <c r="N170" i="23"/>
  <c r="Q32" i="36"/>
  <c r="Q31" i="36" s="1"/>
  <c r="P7" i="37" s="1"/>
  <c r="O401" i="67"/>
  <c r="H438" i="67" s="1"/>
  <c r="I438" i="67" s="1"/>
  <c r="O387" i="67"/>
  <c r="I10" i="53"/>
  <c r="H10" i="53"/>
  <c r="H32" i="36"/>
  <c r="H31" i="36" s="1"/>
  <c r="G7" i="37" s="1"/>
  <c r="N161" i="23"/>
  <c r="Z159" i="23"/>
  <c r="AL388" i="103"/>
  <c r="Z167" i="23"/>
  <c r="D23" i="104"/>
  <c r="P33" i="64"/>
  <c r="P41" i="64" s="1"/>
  <c r="O41" i="64"/>
  <c r="N165" i="23"/>
  <c r="L32" i="36"/>
  <c r="L31" i="36" s="1"/>
  <c r="K7" i="37" s="1"/>
  <c r="O396" i="67"/>
  <c r="H433" i="67" s="1"/>
  <c r="I433" i="67" s="1"/>
  <c r="O229" i="67"/>
  <c r="I7" i="53"/>
  <c r="H7" i="53"/>
  <c r="D386" i="103" l="1"/>
  <c r="Q169" i="23" s="1"/>
  <c r="K386" i="103"/>
  <c r="G316" i="22"/>
  <c r="Z315" i="103"/>
  <c r="N32" i="62"/>
  <c r="Q32" i="62"/>
  <c r="B34" i="62"/>
  <c r="D33" i="62"/>
  <c r="G33" i="62"/>
  <c r="H33" i="62" s="1"/>
  <c r="F33" i="62"/>
  <c r="C33" i="62"/>
  <c r="I33" i="62"/>
  <c r="J33" i="62" s="1"/>
  <c r="E33" i="62"/>
  <c r="M33" i="62"/>
  <c r="K33" i="62"/>
  <c r="L33" i="62"/>
  <c r="O33" i="62"/>
  <c r="R33" i="62"/>
  <c r="S33" i="62" s="1"/>
  <c r="P33" i="62"/>
  <c r="Q33" i="62" s="1"/>
  <c r="G90" i="22"/>
  <c r="Z154" i="103"/>
  <c r="G102" i="22"/>
  <c r="Z195" i="103"/>
  <c r="Z220" i="103"/>
  <c r="G49" i="22"/>
  <c r="G138" i="22"/>
  <c r="D125" i="22"/>
  <c r="G222" i="22"/>
  <c r="G127" i="22"/>
  <c r="D134" i="22"/>
  <c r="G93" i="22"/>
  <c r="G201" i="22"/>
  <c r="D104" i="22"/>
  <c r="G202" i="22"/>
  <c r="G206" i="22"/>
  <c r="G136" i="22"/>
  <c r="D106" i="22"/>
  <c r="D105" i="22"/>
  <c r="Z206" i="103"/>
  <c r="Z118" i="103"/>
  <c r="K24" i="103"/>
  <c r="G25" i="22" s="1"/>
  <c r="K32" i="103"/>
  <c r="G33" i="22" s="1"/>
  <c r="K41" i="103"/>
  <c r="K303" i="103"/>
  <c r="K30" i="103"/>
  <c r="K15" i="103"/>
  <c r="K29" i="103"/>
  <c r="K304" i="103"/>
  <c r="K285" i="103"/>
  <c r="K293" i="103"/>
  <c r="K11" i="103"/>
  <c r="K40" i="103"/>
  <c r="K20" i="103"/>
  <c r="G21" i="22" s="1"/>
  <c r="K305" i="103"/>
  <c r="K286" i="103"/>
  <c r="K26" i="103"/>
  <c r="K12" i="103"/>
  <c r="K38" i="103"/>
  <c r="K306" i="103"/>
  <c r="K287" i="103"/>
  <c r="K22" i="103"/>
  <c r="K28" i="103"/>
  <c r="K36" i="103"/>
  <c r="K307" i="103"/>
  <c r="K288" i="103"/>
  <c r="Z288" i="103" s="1"/>
  <c r="K37" i="103"/>
  <c r="K33" i="103"/>
  <c r="K34" i="103"/>
  <c r="K308" i="103"/>
  <c r="K289" i="103"/>
  <c r="Z289" i="103" s="1"/>
  <c r="K13" i="103"/>
  <c r="K31" i="103"/>
  <c r="K27" i="103"/>
  <c r="K309" i="103"/>
  <c r="K294" i="103"/>
  <c r="K23" i="103"/>
  <c r="K25" i="103"/>
  <c r="K299" i="103"/>
  <c r="K310" i="103"/>
  <c r="K290" i="103"/>
  <c r="K295" i="103"/>
  <c r="K17" i="103"/>
  <c r="K18" i="103"/>
  <c r="K19" i="103"/>
  <c r="K311" i="103"/>
  <c r="K291" i="103"/>
  <c r="K296" i="103"/>
  <c r="K14" i="103"/>
  <c r="K297" i="103"/>
  <c r="K300" i="103"/>
  <c r="K312" i="103"/>
  <c r="K292" i="103"/>
  <c r="K35" i="103"/>
  <c r="K39" i="103"/>
  <c r="K298" i="103"/>
  <c r="K301" i="103"/>
  <c r="K313" i="103"/>
  <c r="K284" i="103"/>
  <c r="K16" i="103"/>
  <c r="K21" i="103"/>
  <c r="K302" i="103"/>
  <c r="K314" i="103"/>
  <c r="P136" i="13"/>
  <c r="P135" i="13"/>
  <c r="P134" i="13"/>
  <c r="P133" i="13"/>
  <c r="P132" i="13"/>
  <c r="P131" i="13"/>
  <c r="P130" i="13"/>
  <c r="P129" i="13"/>
  <c r="P127" i="13"/>
  <c r="P126" i="13"/>
  <c r="P125" i="13"/>
  <c r="P124" i="13"/>
  <c r="P123" i="13"/>
  <c r="P122" i="13"/>
  <c r="P121" i="13"/>
  <c r="P120" i="13"/>
  <c r="P119" i="13"/>
  <c r="P118" i="13"/>
  <c r="P117" i="13"/>
  <c r="P116" i="13"/>
  <c r="P95" i="13"/>
  <c r="P77" i="13"/>
  <c r="S108" i="13"/>
  <c r="P93" i="13"/>
  <c r="P87" i="13"/>
  <c r="P76" i="13"/>
  <c r="P84" i="13"/>
  <c r="P74" i="13"/>
  <c r="P82" i="13"/>
  <c r="P94" i="13"/>
  <c r="S74" i="13"/>
  <c r="P81" i="13"/>
  <c r="P88" i="13"/>
  <c r="P92" i="13"/>
  <c r="P96" i="13"/>
  <c r="P97" i="13"/>
  <c r="P75" i="13"/>
  <c r="P89" i="13"/>
  <c r="P85" i="13"/>
  <c r="P86" i="13"/>
  <c r="P90" i="13"/>
  <c r="P78" i="13"/>
  <c r="P80" i="13"/>
  <c r="P79" i="13"/>
  <c r="P72" i="13"/>
  <c r="P73" i="13"/>
  <c r="P83" i="13"/>
  <c r="P91" i="13"/>
  <c r="Q134" i="23"/>
  <c r="Z205" i="103"/>
  <c r="Z221" i="103"/>
  <c r="G155" i="22"/>
  <c r="Z200" i="103"/>
  <c r="Z137" i="103"/>
  <c r="B23" i="102"/>
  <c r="C23" i="102" s="1"/>
  <c r="B17" i="31"/>
  <c r="B51" i="31"/>
  <c r="A51" i="31" s="1"/>
  <c r="A16" i="31"/>
  <c r="P134" i="23"/>
  <c r="B136" i="23"/>
  <c r="Y135" i="23"/>
  <c r="V135" i="23"/>
  <c r="S135" i="23"/>
  <c r="J135" i="23"/>
  <c r="D135" i="23"/>
  <c r="AB135" i="23"/>
  <c r="I135" i="23"/>
  <c r="AH135" i="23"/>
  <c r="Z135" i="23"/>
  <c r="AC135" i="23"/>
  <c r="AD135" i="23"/>
  <c r="H135" i="23"/>
  <c r="AI135" i="23"/>
  <c r="U135" i="23"/>
  <c r="AA135" i="23"/>
  <c r="N135" i="23"/>
  <c r="AJ135" i="23"/>
  <c r="AK135" i="23"/>
  <c r="C135" i="23"/>
  <c r="AE135" i="23"/>
  <c r="R135" i="23"/>
  <c r="W135" i="23"/>
  <c r="AG135" i="23"/>
  <c r="T135" i="23"/>
  <c r="AL135" i="23"/>
  <c r="X135" i="23"/>
  <c r="AF135" i="23"/>
  <c r="G66" i="22"/>
  <c r="G115" i="22"/>
  <c r="Z150" i="103"/>
  <c r="Z201" i="103"/>
  <c r="G210" i="22"/>
  <c r="G54" i="22"/>
  <c r="G158" i="22"/>
  <c r="G73" i="22"/>
  <c r="G141" i="22"/>
  <c r="G56" i="22"/>
  <c r="G133" i="22"/>
  <c r="D112" i="22"/>
  <c r="G89" i="22"/>
  <c r="Z151" i="103"/>
  <c r="G109" i="22"/>
  <c r="G146" i="22"/>
  <c r="G110" i="22"/>
  <c r="G44" i="22"/>
  <c r="G208" i="22"/>
  <c r="G128" i="22"/>
  <c r="G47" i="22"/>
  <c r="G101" i="22"/>
  <c r="G60" i="22"/>
  <c r="G67" i="22"/>
  <c r="G79" i="22"/>
  <c r="G91" i="22"/>
  <c r="Z203" i="103"/>
  <c r="G48" i="22"/>
  <c r="G211" i="22"/>
  <c r="G105" i="22"/>
  <c r="G198" i="22"/>
  <c r="G61" i="22"/>
  <c r="G197" i="22"/>
  <c r="D124" i="22"/>
  <c r="G215" i="22"/>
  <c r="G64" i="22"/>
  <c r="G160" i="22"/>
  <c r="D111" i="22"/>
  <c r="G92" i="22"/>
  <c r="G149" i="22"/>
  <c r="G113" i="22"/>
  <c r="G104" i="22"/>
  <c r="G131" i="22"/>
  <c r="G84" i="22"/>
  <c r="G207" i="22"/>
  <c r="G108" i="22"/>
  <c r="D132" i="22"/>
  <c r="D121" i="22"/>
  <c r="G63" i="22"/>
  <c r="G132" i="22"/>
  <c r="D119" i="22"/>
  <c r="G65" i="22"/>
  <c r="G87" i="22"/>
  <c r="G213" i="22"/>
  <c r="D118" i="22"/>
  <c r="G88" i="22"/>
  <c r="D103" i="22"/>
  <c r="G196" i="22"/>
  <c r="G78" i="22"/>
  <c r="G154" i="22"/>
  <c r="G114" i="22"/>
  <c r="D127" i="22"/>
  <c r="G107" i="22"/>
  <c r="G74" i="22"/>
  <c r="D130" i="22"/>
  <c r="G50" i="22"/>
  <c r="G140" i="22"/>
  <c r="G126" i="22"/>
  <c r="G194" i="22"/>
  <c r="Z126" i="103"/>
  <c r="Z135" i="103"/>
  <c r="G98" i="22"/>
  <c r="G205" i="22"/>
  <c r="D113" i="22"/>
  <c r="D123" i="22"/>
  <c r="G112" i="22"/>
  <c r="G153" i="22"/>
  <c r="G142" i="22"/>
  <c r="G86" i="22"/>
  <c r="D128" i="22"/>
  <c r="Z147" i="103"/>
  <c r="D115" i="22"/>
  <c r="G52" i="22"/>
  <c r="G217" i="22"/>
  <c r="G51" i="22"/>
  <c r="G162" i="22"/>
  <c r="G117" i="22"/>
  <c r="G111" i="22"/>
  <c r="G71" i="22"/>
  <c r="G145" i="22"/>
  <c r="D102" i="22"/>
  <c r="G77" i="22"/>
  <c r="G221" i="22"/>
  <c r="G129" i="22"/>
  <c r="G121" i="22"/>
  <c r="G220" i="22"/>
  <c r="G195" i="22"/>
  <c r="G148" i="22"/>
  <c r="G57" i="22"/>
  <c r="G58" i="22"/>
  <c r="G59" i="22"/>
  <c r="G116" i="22"/>
  <c r="Z202" i="103"/>
  <c r="D114" i="22"/>
  <c r="G72" i="22"/>
  <c r="G212" i="22"/>
  <c r="G81" i="22"/>
  <c r="G99" i="22"/>
  <c r="G218" i="22"/>
  <c r="D129" i="22"/>
  <c r="G53" i="22"/>
  <c r="G157" i="22"/>
  <c r="G46" i="22"/>
  <c r="G147" i="22"/>
  <c r="D109" i="22"/>
  <c r="G62" i="22"/>
  <c r="G156" i="22"/>
  <c r="D117" i="22"/>
  <c r="G159" i="22"/>
  <c r="G203" i="22"/>
  <c r="G55" i="22"/>
  <c r="G82" i="22"/>
  <c r="G214" i="22"/>
  <c r="G122" i="22"/>
  <c r="D120" i="22"/>
  <c r="G83" i="22"/>
  <c r="G137" i="22"/>
  <c r="G70" i="22"/>
  <c r="G144" i="22"/>
  <c r="G68" i="22"/>
  <c r="Z208" i="103"/>
  <c r="G103" i="22"/>
  <c r="G43" i="22"/>
  <c r="G223" i="22"/>
  <c r="Z158" i="103"/>
  <c r="G76" i="22"/>
  <c r="G200" i="22"/>
  <c r="D110" i="22"/>
  <c r="G75" i="22"/>
  <c r="G216" i="22"/>
  <c r="G123" i="22"/>
  <c r="D133" i="22"/>
  <c r="G80" i="22"/>
  <c r="G199" i="22"/>
  <c r="D126" i="22"/>
  <c r="G135" i="22"/>
  <c r="G97" i="22"/>
  <c r="Z149" i="103"/>
  <c r="G125" i="22"/>
  <c r="D135" i="22"/>
  <c r="Z209" i="103"/>
  <c r="G96" i="22"/>
  <c r="G143" i="22"/>
  <c r="G69" i="22"/>
  <c r="G219" i="22"/>
  <c r="D108" i="22"/>
  <c r="G45" i="22"/>
  <c r="Z138" i="103"/>
  <c r="G100" i="22"/>
  <c r="G95" i="22"/>
  <c r="G161" i="22"/>
  <c r="D122" i="22"/>
  <c r="G85" i="22"/>
  <c r="G124" i="22"/>
  <c r="G94" i="22"/>
  <c r="Z103" i="103"/>
  <c r="Z141" i="103"/>
  <c r="Z161" i="103"/>
  <c r="Z144" i="103"/>
  <c r="Z101" i="103"/>
  <c r="Z216" i="103"/>
  <c r="Z114" i="103"/>
  <c r="D136" i="22"/>
  <c r="Z120" i="103"/>
  <c r="Z153" i="103"/>
  <c r="Z204" i="103"/>
  <c r="Z152" i="103"/>
  <c r="Z193" i="103"/>
  <c r="Z139" i="103"/>
  <c r="Z131" i="103"/>
  <c r="Z212" i="103"/>
  <c r="Z117" i="103"/>
  <c r="G151" i="22"/>
  <c r="Z194" i="103"/>
  <c r="Z222" i="103"/>
  <c r="Z124" i="103"/>
  <c r="G152" i="22"/>
  <c r="Z127" i="103"/>
  <c r="Z140" i="103"/>
  <c r="Z157" i="103"/>
  <c r="Z145" i="103"/>
  <c r="Z111" i="103"/>
  <c r="Z207" i="103"/>
  <c r="Z115" i="103"/>
  <c r="Z210" i="103"/>
  <c r="Z129" i="103"/>
  <c r="Z133" i="103"/>
  <c r="Z130" i="103"/>
  <c r="D131" i="22"/>
  <c r="Z112" i="103"/>
  <c r="Z219" i="103"/>
  <c r="D380" i="103"/>
  <c r="Q163" i="23" s="1"/>
  <c r="Z125" i="103"/>
  <c r="Z198" i="103"/>
  <c r="Z122" i="103"/>
  <c r="Z132" i="103"/>
  <c r="Z134" i="103"/>
  <c r="Z199" i="103"/>
  <c r="Z215" i="103"/>
  <c r="Z109" i="103"/>
  <c r="G150" i="22"/>
  <c r="D116" i="22"/>
  <c r="G139" i="22"/>
  <c r="Z107" i="103"/>
  <c r="Z142" i="103"/>
  <c r="Z110" i="103"/>
  <c r="Z218" i="103"/>
  <c r="Z160" i="103"/>
  <c r="K379" i="103"/>
  <c r="G209" i="22"/>
  <c r="Z105" i="103"/>
  <c r="Z146" i="103"/>
  <c r="Z155" i="103"/>
  <c r="Z108" i="103"/>
  <c r="G106" i="22"/>
  <c r="Z217" i="103"/>
  <c r="Z156" i="103"/>
  <c r="D379" i="103"/>
  <c r="Z211" i="103"/>
  <c r="Z116" i="103"/>
  <c r="Z113" i="103"/>
  <c r="Z128" i="103"/>
  <c r="Z123" i="103"/>
  <c r="Z214" i="103"/>
  <c r="G204" i="22"/>
  <c r="G130" i="22"/>
  <c r="Z106" i="103"/>
  <c r="Z196" i="103"/>
  <c r="Z143" i="103"/>
  <c r="Z104" i="103"/>
  <c r="Z159" i="103"/>
  <c r="Z102" i="103"/>
  <c r="D107" i="22"/>
  <c r="Z121" i="103"/>
  <c r="K378" i="103"/>
  <c r="K380" i="103"/>
  <c r="Z136" i="103"/>
  <c r="G134" i="22"/>
  <c r="Z119" i="103"/>
  <c r="Z197" i="103"/>
  <c r="K377" i="103"/>
  <c r="Z148" i="103"/>
  <c r="Z213" i="103"/>
  <c r="D84" i="103"/>
  <c r="D88" i="103"/>
  <c r="K271" i="103"/>
  <c r="K182" i="103"/>
  <c r="D16" i="103"/>
  <c r="D35" i="103"/>
  <c r="K181" i="103"/>
  <c r="K256" i="103"/>
  <c r="K253" i="103"/>
  <c r="K244" i="103"/>
  <c r="K252" i="103"/>
  <c r="D44" i="103"/>
  <c r="D82" i="103"/>
  <c r="D94" i="103"/>
  <c r="D62" i="103"/>
  <c r="D42" i="103"/>
  <c r="K176" i="103"/>
  <c r="K188" i="103"/>
  <c r="K189" i="103"/>
  <c r="D11" i="103"/>
  <c r="D33" i="103"/>
  <c r="D12" i="103"/>
  <c r="K279" i="103"/>
  <c r="D32" i="103"/>
  <c r="K267" i="103"/>
  <c r="K236" i="103"/>
  <c r="K250" i="103"/>
  <c r="K240" i="103"/>
  <c r="D45" i="103"/>
  <c r="D97" i="103"/>
  <c r="D58" i="103"/>
  <c r="D47" i="103"/>
  <c r="D86" i="103"/>
  <c r="K177" i="103"/>
  <c r="K170" i="103"/>
  <c r="K171" i="103"/>
  <c r="D40" i="103"/>
  <c r="D38" i="103"/>
  <c r="D18" i="103"/>
  <c r="K280" i="103"/>
  <c r="K261" i="103"/>
  <c r="K264" i="103"/>
  <c r="K238" i="103"/>
  <c r="K223" i="103"/>
  <c r="K249" i="103"/>
  <c r="D87" i="103"/>
  <c r="D100" i="103"/>
  <c r="D48" i="103"/>
  <c r="D55" i="103"/>
  <c r="D65" i="103"/>
  <c r="K272" i="103"/>
  <c r="K179" i="103"/>
  <c r="K164" i="103"/>
  <c r="D30" i="103"/>
  <c r="D27" i="103"/>
  <c r="D14" i="103"/>
  <c r="K262" i="103"/>
  <c r="D50" i="103"/>
  <c r="K257" i="103"/>
  <c r="K246" i="103"/>
  <c r="K224" i="103"/>
  <c r="D99" i="103"/>
  <c r="D59" i="103"/>
  <c r="D53" i="103"/>
  <c r="D89" i="103"/>
  <c r="K269" i="103"/>
  <c r="K192" i="103"/>
  <c r="K184" i="103"/>
  <c r="K162" i="103"/>
  <c r="K178" i="103"/>
  <c r="D21" i="103"/>
  <c r="D25" i="103"/>
  <c r="K275" i="103"/>
  <c r="K187" i="103"/>
  <c r="K254" i="103"/>
  <c r="K260" i="103"/>
  <c r="K231" i="103"/>
  <c r="K242" i="103"/>
  <c r="D78" i="103"/>
  <c r="D85" i="103"/>
  <c r="D60" i="103"/>
  <c r="D83" i="103"/>
  <c r="D63" i="103"/>
  <c r="K190" i="103"/>
  <c r="K185" i="103"/>
  <c r="D39" i="103"/>
  <c r="D24" i="103"/>
  <c r="K255" i="103"/>
  <c r="K265" i="103"/>
  <c r="K237" i="103"/>
  <c r="K226" i="103"/>
  <c r="D49" i="103"/>
  <c r="D74" i="103"/>
  <c r="D51" i="103"/>
  <c r="D98" i="103"/>
  <c r="D66" i="103"/>
  <c r="K273" i="103"/>
  <c r="K167" i="103"/>
  <c r="K174" i="103"/>
  <c r="D13" i="103"/>
  <c r="D36" i="103"/>
  <c r="K276" i="103"/>
  <c r="K281" i="103"/>
  <c r="K234" i="103"/>
  <c r="D92" i="103"/>
  <c r="K263" i="103"/>
  <c r="K233" i="103"/>
  <c r="K230" i="103"/>
  <c r="D79" i="103"/>
  <c r="D54" i="103"/>
  <c r="D61" i="103"/>
  <c r="D68" i="103"/>
  <c r="D73" i="103"/>
  <c r="K173" i="103"/>
  <c r="K165" i="103"/>
  <c r="D22" i="103"/>
  <c r="D17" i="103"/>
  <c r="K282" i="103"/>
  <c r="K241" i="103"/>
  <c r="K266" i="103"/>
  <c r="K243" i="103"/>
  <c r="K232" i="103"/>
  <c r="D52" i="103"/>
  <c r="D90" i="103"/>
  <c r="D80" i="103"/>
  <c r="D43" i="103"/>
  <c r="D69" i="103"/>
  <c r="K186" i="103"/>
  <c r="K168" i="103"/>
  <c r="K180" i="103"/>
  <c r="D15" i="103"/>
  <c r="D34" i="103"/>
  <c r="D28" i="103"/>
  <c r="K277" i="103"/>
  <c r="K283" i="103"/>
  <c r="K268" i="103"/>
  <c r="K248" i="103"/>
  <c r="K247" i="103"/>
  <c r="K235" i="103"/>
  <c r="D57" i="103"/>
  <c r="D76" i="103"/>
  <c r="D93" i="103"/>
  <c r="D81" i="103"/>
  <c r="D91" i="103"/>
  <c r="K169" i="103"/>
  <c r="K172" i="103"/>
  <c r="K163" i="103"/>
  <c r="D23" i="103"/>
  <c r="D37" i="103"/>
  <c r="D20" i="103"/>
  <c r="K245" i="103"/>
  <c r="K259" i="103"/>
  <c r="K227" i="103"/>
  <c r="K251" i="103"/>
  <c r="K239" i="103"/>
  <c r="D67" i="103"/>
  <c r="D71" i="103"/>
  <c r="D72" i="103"/>
  <c r="D77" i="103"/>
  <c r="D70" i="103"/>
  <c r="K270" i="103"/>
  <c r="K183" i="103"/>
  <c r="K191" i="103"/>
  <c r="K274" i="103"/>
  <c r="D41" i="103"/>
  <c r="D29" i="103"/>
  <c r="D26" i="103"/>
  <c r="K278" i="103"/>
  <c r="D75" i="103"/>
  <c r="K258" i="103"/>
  <c r="K228" i="103"/>
  <c r="K229" i="103"/>
  <c r="K225" i="103"/>
  <c r="D96" i="103"/>
  <c r="D56" i="103"/>
  <c r="D46" i="103"/>
  <c r="D64" i="103"/>
  <c r="D95" i="103"/>
  <c r="K175" i="103"/>
  <c r="K166" i="103"/>
  <c r="D31" i="103"/>
  <c r="D19" i="103"/>
  <c r="P40" i="13"/>
  <c r="P67" i="13"/>
  <c r="P62" i="13"/>
  <c r="P55" i="13"/>
  <c r="P53" i="13"/>
  <c r="P60" i="13"/>
  <c r="P65" i="13"/>
  <c r="P47" i="13"/>
  <c r="P46" i="13"/>
  <c r="P38" i="13"/>
  <c r="P58" i="13"/>
  <c r="P61" i="13"/>
  <c r="P48" i="13"/>
  <c r="P64" i="13"/>
  <c r="P51" i="13"/>
  <c r="P41" i="13"/>
  <c r="P43" i="13"/>
  <c r="P68" i="13"/>
  <c r="P50" i="13"/>
  <c r="S40" i="13"/>
  <c r="P56" i="13"/>
  <c r="P49" i="13"/>
  <c r="P42" i="13"/>
  <c r="P59" i="13"/>
  <c r="P45" i="13"/>
  <c r="P63" i="13"/>
  <c r="P54" i="13"/>
  <c r="P66" i="13"/>
  <c r="P57" i="13"/>
  <c r="P52" i="13"/>
  <c r="P44" i="13"/>
  <c r="P39" i="13"/>
  <c r="D187" i="13"/>
  <c r="D180" i="13"/>
  <c r="D184" i="13"/>
  <c r="D176" i="13"/>
  <c r="D191" i="13"/>
  <c r="D196" i="13"/>
  <c r="D188" i="13"/>
  <c r="D198" i="13"/>
  <c r="D199" i="13"/>
  <c r="D177" i="13"/>
  <c r="G176" i="13"/>
  <c r="D182" i="13"/>
  <c r="D194" i="13"/>
  <c r="D189" i="13"/>
  <c r="D174" i="13"/>
  <c r="D195" i="13"/>
  <c r="D203" i="13"/>
  <c r="D185" i="13"/>
  <c r="D186" i="13"/>
  <c r="D201" i="13"/>
  <c r="D190" i="13"/>
  <c r="D197" i="13"/>
  <c r="D183" i="13"/>
  <c r="D175" i="13"/>
  <c r="D179" i="13"/>
  <c r="D193" i="13"/>
  <c r="D192" i="13"/>
  <c r="D178" i="13"/>
  <c r="D181" i="13"/>
  <c r="D200" i="13"/>
  <c r="D202" i="13"/>
  <c r="E23" i="104"/>
  <c r="N400" i="67"/>
  <c r="L400" i="67"/>
  <c r="H400" i="67"/>
  <c r="E400" i="67"/>
  <c r="C400" i="67"/>
  <c r="C419" i="67"/>
  <c r="C437" i="67" s="1"/>
  <c r="E437" i="67" s="1"/>
  <c r="F437" i="67" s="1"/>
  <c r="I400" i="67"/>
  <c r="H394" i="67"/>
  <c r="E394" i="67"/>
  <c r="C394" i="67"/>
  <c r="N394" i="67"/>
  <c r="L394" i="67"/>
  <c r="C413" i="67"/>
  <c r="C431" i="67" s="1"/>
  <c r="E431" i="67" s="1"/>
  <c r="F431" i="67" s="1"/>
  <c r="I394" i="67"/>
  <c r="O42" i="37"/>
  <c r="O40" i="37"/>
  <c r="O39" i="37"/>
  <c r="O35" i="37"/>
  <c r="H391" i="67"/>
  <c r="E391" i="67"/>
  <c r="C391" i="67"/>
  <c r="N391" i="67"/>
  <c r="M391" i="67"/>
  <c r="L391" i="67"/>
  <c r="C410" i="67"/>
  <c r="C428" i="67" s="1"/>
  <c r="E428" i="67" s="1"/>
  <c r="F428" i="67" s="1"/>
  <c r="I391" i="67"/>
  <c r="I39" i="37"/>
  <c r="I35" i="37"/>
  <c r="L396" i="67"/>
  <c r="H396" i="67"/>
  <c r="E396" i="67"/>
  <c r="C396" i="67"/>
  <c r="N396" i="67"/>
  <c r="C415" i="67"/>
  <c r="C433" i="67" s="1"/>
  <c r="E433" i="67" s="1"/>
  <c r="F433" i="67" s="1"/>
  <c r="I396" i="67"/>
  <c r="F39" i="37"/>
  <c r="F35" i="37"/>
  <c r="E39" i="37"/>
  <c r="E35" i="37"/>
  <c r="N398" i="67"/>
  <c r="L398" i="67"/>
  <c r="H398" i="67"/>
  <c r="E398" i="67"/>
  <c r="C398" i="67"/>
  <c r="C417" i="67"/>
  <c r="C435" i="67" s="1"/>
  <c r="E435" i="67" s="1"/>
  <c r="F435" i="67" s="1"/>
  <c r="I398" i="67"/>
  <c r="K39" i="37"/>
  <c r="K35" i="37"/>
  <c r="P42" i="37"/>
  <c r="P41" i="37"/>
  <c r="P40" i="37"/>
  <c r="P39" i="37"/>
  <c r="P33" i="37"/>
  <c r="P34" i="37" s="1"/>
  <c r="P35" i="37"/>
  <c r="G39" i="37"/>
  <c r="G35" i="37"/>
  <c r="H395" i="67"/>
  <c r="E395" i="67"/>
  <c r="C395" i="67"/>
  <c r="L395" i="67"/>
  <c r="N395" i="67"/>
  <c r="C414" i="67"/>
  <c r="C432" i="67" s="1"/>
  <c r="E432" i="67" s="1"/>
  <c r="F432" i="67" s="1"/>
  <c r="I395" i="67"/>
  <c r="N39" i="37"/>
  <c r="N35" i="37"/>
  <c r="N397" i="67"/>
  <c r="L397" i="67"/>
  <c r="H397" i="67"/>
  <c r="E397" i="67"/>
  <c r="C397" i="67"/>
  <c r="C416" i="67"/>
  <c r="C434" i="67" s="1"/>
  <c r="E434" i="67" s="1"/>
  <c r="F434" i="67" s="1"/>
  <c r="I397" i="67"/>
  <c r="P4" i="13"/>
  <c r="S6" i="13"/>
  <c r="E390" i="67"/>
  <c r="C390" i="67"/>
  <c r="N390" i="67"/>
  <c r="L390" i="67"/>
  <c r="K427" i="67"/>
  <c r="H390" i="67"/>
  <c r="C409" i="67"/>
  <c r="I390" i="67"/>
  <c r="J39" i="37"/>
  <c r="J35" i="37"/>
  <c r="M39" i="37"/>
  <c r="M35" i="37"/>
  <c r="N401" i="67"/>
  <c r="L401" i="67"/>
  <c r="H401" i="67"/>
  <c r="C401" i="67"/>
  <c r="E401" i="67"/>
  <c r="C420" i="67"/>
  <c r="C438" i="67" s="1"/>
  <c r="E438" i="67" s="1"/>
  <c r="F438" i="67" s="1"/>
  <c r="I401" i="67"/>
  <c r="N399" i="67"/>
  <c r="L399" i="67"/>
  <c r="H399" i="67"/>
  <c r="E399" i="67"/>
  <c r="C399" i="67"/>
  <c r="C418" i="67"/>
  <c r="C436" i="67" s="1"/>
  <c r="E436" i="67" s="1"/>
  <c r="F436" i="67" s="1"/>
  <c r="I399" i="67"/>
  <c r="H392" i="67"/>
  <c r="E392" i="67"/>
  <c r="C392" i="67"/>
  <c r="N392" i="67"/>
  <c r="M392" i="67"/>
  <c r="L392" i="67"/>
  <c r="C411" i="67"/>
  <c r="C429" i="67" s="1"/>
  <c r="E429" i="67" s="1"/>
  <c r="F429" i="67" s="1"/>
  <c r="I392" i="67"/>
  <c r="H393" i="67"/>
  <c r="E393" i="67"/>
  <c r="C393" i="67"/>
  <c r="N393" i="67"/>
  <c r="L393" i="67"/>
  <c r="C412" i="67"/>
  <c r="C430" i="67" s="1"/>
  <c r="E430" i="67" s="1"/>
  <c r="F430" i="67" s="1"/>
  <c r="I393" i="67"/>
  <c r="H39" i="37"/>
  <c r="H35" i="37"/>
  <c r="L39" i="37"/>
  <c r="L35" i="37"/>
  <c r="Z386" i="103" l="1"/>
  <c r="C36" i="53"/>
  <c r="E36" i="53" s="1"/>
  <c r="R169" i="23"/>
  <c r="S169" i="23" s="1"/>
  <c r="P37" i="36" s="1"/>
  <c r="P38" i="36" s="1"/>
  <c r="F36" i="53"/>
  <c r="H36" i="53" s="1"/>
  <c r="N33" i="62"/>
  <c r="B35" i="62"/>
  <c r="E34" i="62"/>
  <c r="G34" i="62"/>
  <c r="H34" i="62" s="1"/>
  <c r="C34" i="62"/>
  <c r="F34" i="62"/>
  <c r="D34" i="62"/>
  <c r="I34" i="62"/>
  <c r="J34" i="62" s="1"/>
  <c r="O34" i="62"/>
  <c r="L34" i="62"/>
  <c r="K34" i="62"/>
  <c r="M34" i="62"/>
  <c r="R34" i="62"/>
  <c r="S34" i="62" s="1"/>
  <c r="P34" i="62"/>
  <c r="Q34" i="62" s="1"/>
  <c r="G289" i="22"/>
  <c r="G306" i="22"/>
  <c r="G16" i="22"/>
  <c r="G36" i="22"/>
  <c r="G296" i="22"/>
  <c r="G309" i="22"/>
  <c r="G13" i="22"/>
  <c r="G31" i="22"/>
  <c r="G290" i="22"/>
  <c r="G293" i="22"/>
  <c r="G291" i="22"/>
  <c r="G35" i="22"/>
  <c r="G27" i="22"/>
  <c r="G304" i="22"/>
  <c r="G313" i="22"/>
  <c r="G311" i="22"/>
  <c r="G34" i="22"/>
  <c r="Z286" i="103"/>
  <c r="G42" i="22"/>
  <c r="G301" i="22"/>
  <c r="G300" i="22"/>
  <c r="G38" i="22"/>
  <c r="G303" i="22"/>
  <c r="G26" i="22"/>
  <c r="G22" i="22"/>
  <c r="G15" i="22"/>
  <c r="G24" i="22"/>
  <c r="G308" i="22"/>
  <c r="G41" i="22"/>
  <c r="G17" i="22"/>
  <c r="G297" i="22"/>
  <c r="G295" i="22"/>
  <c r="G37" i="22"/>
  <c r="G12" i="22"/>
  <c r="Z284" i="103"/>
  <c r="Z291" i="103"/>
  <c r="G310" i="22"/>
  <c r="G29" i="22"/>
  <c r="G294" i="22"/>
  <c r="G40" i="22"/>
  <c r="G18" i="22"/>
  <c r="G298" i="22"/>
  <c r="G314" i="22"/>
  <c r="G312" i="22"/>
  <c r="G28" i="22"/>
  <c r="G23" i="22"/>
  <c r="G286" i="22"/>
  <c r="G237" i="22"/>
  <c r="G302" i="22"/>
  <c r="G20" i="22"/>
  <c r="G32" i="22"/>
  <c r="Z287" i="103"/>
  <c r="G305" i="22"/>
  <c r="G39" i="22"/>
  <c r="G299" i="22"/>
  <c r="G19" i="22"/>
  <c r="G14" i="22"/>
  <c r="Z306" i="103"/>
  <c r="G30" i="22"/>
  <c r="Z290" i="103"/>
  <c r="Z292" i="103"/>
  <c r="G288" i="22"/>
  <c r="G287" i="22"/>
  <c r="Z285" i="103"/>
  <c r="G285" i="22"/>
  <c r="G292" i="22"/>
  <c r="G307" i="22"/>
  <c r="Z293" i="103"/>
  <c r="K385" i="103"/>
  <c r="F35" i="53" s="1"/>
  <c r="H35" i="53" s="1"/>
  <c r="K376" i="103"/>
  <c r="F26" i="53" s="1"/>
  <c r="H26" i="53" s="1"/>
  <c r="D272" i="103"/>
  <c r="D268" i="103"/>
  <c r="D264" i="103"/>
  <c r="D295" i="103"/>
  <c r="D301" i="103"/>
  <c r="D307" i="103"/>
  <c r="D313" i="103"/>
  <c r="D267" i="103"/>
  <c r="D256" i="103"/>
  <c r="D308" i="103"/>
  <c r="G315" i="22"/>
  <c r="D271" i="103"/>
  <c r="D266" i="103"/>
  <c r="D296" i="103"/>
  <c r="D302" i="103"/>
  <c r="D273" i="103"/>
  <c r="Z273" i="103" s="1"/>
  <c r="D257" i="103"/>
  <c r="D258" i="22" s="1"/>
  <c r="D258" i="103"/>
  <c r="Z258" i="103" s="1"/>
  <c r="D303" i="103"/>
  <c r="D314" i="103"/>
  <c r="D265" i="103"/>
  <c r="D279" i="103"/>
  <c r="D269" i="103"/>
  <c r="D297" i="103"/>
  <c r="D309" i="103"/>
  <c r="D255" i="103"/>
  <c r="D278" i="103"/>
  <c r="D275" i="103"/>
  <c r="D274" i="103"/>
  <c r="D298" i="103"/>
  <c r="D304" i="103"/>
  <c r="D310" i="103"/>
  <c r="D254" i="103"/>
  <c r="D270" i="103"/>
  <c r="D259" i="103"/>
  <c r="D305" i="103"/>
  <c r="D261" i="103"/>
  <c r="D263" i="103"/>
  <c r="D277" i="103"/>
  <c r="D299" i="103"/>
  <c r="D311" i="103"/>
  <c r="D262" i="103"/>
  <c r="D263" i="22" s="1"/>
  <c r="D294" i="103"/>
  <c r="D260" i="103"/>
  <c r="D276" i="103"/>
  <c r="D300" i="103"/>
  <c r="D312" i="103"/>
  <c r="C30" i="53"/>
  <c r="E30" i="53" s="1"/>
  <c r="P135" i="23"/>
  <c r="Q135" i="23"/>
  <c r="V136" i="23"/>
  <c r="S136" i="23"/>
  <c r="J136" i="23"/>
  <c r="D136" i="23"/>
  <c r="B137" i="23"/>
  <c r="Y136" i="23"/>
  <c r="C136" i="23"/>
  <c r="AC136" i="23"/>
  <c r="AH136" i="23"/>
  <c r="AE136" i="23"/>
  <c r="AD136" i="23"/>
  <c r="Z136" i="23"/>
  <c r="R136" i="23"/>
  <c r="AA136" i="23"/>
  <c r="H136" i="23"/>
  <c r="AK136" i="23"/>
  <c r="AI136" i="23"/>
  <c r="I136" i="23"/>
  <c r="AB136" i="23"/>
  <c r="AJ136" i="23"/>
  <c r="U136" i="23"/>
  <c r="N136" i="23"/>
  <c r="W136" i="23"/>
  <c r="AL136" i="23"/>
  <c r="AG136" i="23"/>
  <c r="T136" i="23"/>
  <c r="X136" i="23"/>
  <c r="AF136" i="23"/>
  <c r="B18" i="31"/>
  <c r="B52" i="31"/>
  <c r="A52" i="31" s="1"/>
  <c r="A17" i="31"/>
  <c r="B24" i="102"/>
  <c r="C24" i="102" s="1"/>
  <c r="G246" i="22"/>
  <c r="Z36" i="103"/>
  <c r="Z48" i="103"/>
  <c r="G275" i="22"/>
  <c r="Z81" i="103"/>
  <c r="Z15" i="103"/>
  <c r="G244" i="22"/>
  <c r="D50" i="22"/>
  <c r="D64" i="22"/>
  <c r="Z21" i="103"/>
  <c r="G247" i="22"/>
  <c r="D56" i="22"/>
  <c r="D41" i="22"/>
  <c r="G251" i="22"/>
  <c r="D36" i="22"/>
  <c r="G169" i="22"/>
  <c r="G238" i="22"/>
  <c r="G171" i="22"/>
  <c r="Z19" i="103"/>
  <c r="G226" i="22"/>
  <c r="G271" i="22"/>
  <c r="D21" i="22"/>
  <c r="D58" i="22"/>
  <c r="G187" i="22"/>
  <c r="G242" i="22"/>
  <c r="Z61" i="103"/>
  <c r="G175" i="22"/>
  <c r="D86" i="22"/>
  <c r="G185" i="22"/>
  <c r="D88" i="22"/>
  <c r="G178" i="22"/>
  <c r="Z32" i="103"/>
  <c r="D95" i="22"/>
  <c r="D57" i="22"/>
  <c r="G227" i="22"/>
  <c r="D63" i="22"/>
  <c r="Z31" i="103"/>
  <c r="G230" i="22"/>
  <c r="Z70" i="103"/>
  <c r="D38" i="22"/>
  <c r="G236" i="22"/>
  <c r="Z282" i="103"/>
  <c r="D55" i="22"/>
  <c r="G168" i="22"/>
  <c r="Z78" i="103"/>
  <c r="K382" i="103"/>
  <c r="F32" i="53" s="1"/>
  <c r="H32" i="53" s="1"/>
  <c r="Z14" i="103"/>
  <c r="G250" i="22"/>
  <c r="G280" i="22"/>
  <c r="D83" i="22"/>
  <c r="Z88" i="103"/>
  <c r="D74" i="22"/>
  <c r="G163" i="22"/>
  <c r="G229" i="22"/>
  <c r="D78" i="22"/>
  <c r="Z23" i="103"/>
  <c r="G248" i="22"/>
  <c r="D80" i="22"/>
  <c r="G274" i="22"/>
  <c r="G243" i="22"/>
  <c r="D28" i="22"/>
  <c r="G224" i="22"/>
  <c r="Z12" i="103"/>
  <c r="D45" i="22"/>
  <c r="D85" i="22"/>
  <c r="G192" i="22"/>
  <c r="G179" i="22"/>
  <c r="G167" i="22"/>
  <c r="D73" i="22"/>
  <c r="G164" i="22"/>
  <c r="G249" i="22"/>
  <c r="D70" i="22"/>
  <c r="D18" i="22"/>
  <c r="G231" i="22"/>
  <c r="D25" i="22"/>
  <c r="G232" i="22"/>
  <c r="D31" i="22"/>
  <c r="G239" i="22"/>
  <c r="D87" i="22"/>
  <c r="Z33" i="103"/>
  <c r="G253" i="22"/>
  <c r="D17" i="22"/>
  <c r="G176" i="22"/>
  <c r="D76" i="22"/>
  <c r="D72" i="22"/>
  <c r="G173" i="22"/>
  <c r="G269" i="22"/>
  <c r="D44" i="22"/>
  <c r="Z22" i="103"/>
  <c r="G234" i="22"/>
  <c r="D40" i="22"/>
  <c r="D90" i="22"/>
  <c r="G165" i="22"/>
  <c r="Z47" i="103"/>
  <c r="D12" i="22"/>
  <c r="G245" i="22"/>
  <c r="G267" i="22"/>
  <c r="Z96" i="103"/>
  <c r="D77" i="22"/>
  <c r="D69" i="22"/>
  <c r="D61" i="22"/>
  <c r="D51" i="22"/>
  <c r="D101" i="22"/>
  <c r="G183" i="22"/>
  <c r="Z67" i="103"/>
  <c r="G170" i="22"/>
  <c r="Z80" i="103"/>
  <c r="G166" i="22"/>
  <c r="D67" i="22"/>
  <c r="G186" i="22"/>
  <c r="D54" i="22"/>
  <c r="G180" i="22"/>
  <c r="Z58" i="103"/>
  <c r="G190" i="22"/>
  <c r="G254" i="22"/>
  <c r="D94" i="22"/>
  <c r="G172" i="22"/>
  <c r="D27" i="22"/>
  <c r="G240" i="22"/>
  <c r="D91" i="22"/>
  <c r="G174" i="22"/>
  <c r="D93" i="22"/>
  <c r="D99" i="22"/>
  <c r="G191" i="22"/>
  <c r="G188" i="22"/>
  <c r="Z59" i="103"/>
  <c r="G273" i="22"/>
  <c r="G281" i="22"/>
  <c r="D98" i="22"/>
  <c r="G189" i="22"/>
  <c r="D84" i="22"/>
  <c r="D14" i="22"/>
  <c r="D96" i="22"/>
  <c r="D30" i="22"/>
  <c r="G252" i="22"/>
  <c r="D29" i="22"/>
  <c r="Z52" i="103"/>
  <c r="G235" i="22"/>
  <c r="D52" i="22"/>
  <c r="D100" i="22"/>
  <c r="Z18" i="103"/>
  <c r="Z45" i="103"/>
  <c r="G177" i="22"/>
  <c r="G182" i="22"/>
  <c r="G181" i="22"/>
  <c r="D43" i="22"/>
  <c r="G184" i="22"/>
  <c r="D65" i="22"/>
  <c r="D42" i="22"/>
  <c r="G228" i="22"/>
  <c r="Z91" i="103"/>
  <c r="D35" i="22"/>
  <c r="G233" i="22"/>
  <c r="Z281" i="103"/>
  <c r="D75" i="22"/>
  <c r="D26" i="22"/>
  <c r="G225" i="22"/>
  <c r="Z65" i="103"/>
  <c r="Z38" i="103"/>
  <c r="G241" i="22"/>
  <c r="G258" i="22"/>
  <c r="F30" i="53"/>
  <c r="H30" i="53" s="1"/>
  <c r="E128" i="23"/>
  <c r="F128" i="23" s="1"/>
  <c r="G128" i="23" s="1"/>
  <c r="G256" i="22"/>
  <c r="R162" i="23"/>
  <c r="G259" i="22"/>
  <c r="F28" i="53"/>
  <c r="H28" i="53" s="1"/>
  <c r="G261" i="22"/>
  <c r="G265" i="22"/>
  <c r="G264" i="22"/>
  <c r="K126" i="23"/>
  <c r="L126" i="23" s="1"/>
  <c r="M126" i="23" s="1"/>
  <c r="G262" i="22"/>
  <c r="F27" i="53"/>
  <c r="H27" i="53" s="1"/>
  <c r="C29" i="53"/>
  <c r="E29" i="53" s="1"/>
  <c r="G257" i="22"/>
  <c r="G263" i="22"/>
  <c r="E132" i="23"/>
  <c r="F132" i="23" s="1"/>
  <c r="G132" i="23" s="1"/>
  <c r="G260" i="22"/>
  <c r="E127" i="23"/>
  <c r="F127" i="23" s="1"/>
  <c r="G127" i="23" s="1"/>
  <c r="F29" i="53"/>
  <c r="H29" i="53" s="1"/>
  <c r="Z77" i="103"/>
  <c r="D81" i="22"/>
  <c r="Z53" i="103"/>
  <c r="D68" i="22"/>
  <c r="Q162" i="23"/>
  <c r="G255" i="22"/>
  <c r="K133" i="23"/>
  <c r="L133" i="23" s="1"/>
  <c r="M133" i="23" s="1"/>
  <c r="R160" i="23"/>
  <c r="Z66" i="103"/>
  <c r="K135" i="23"/>
  <c r="L135" i="23" s="1"/>
  <c r="M135" i="23" s="1"/>
  <c r="D59" i="22"/>
  <c r="D79" i="22"/>
  <c r="D71" i="22"/>
  <c r="D89" i="22"/>
  <c r="G270" i="22"/>
  <c r="Z30" i="103"/>
  <c r="Z24" i="103"/>
  <c r="Z17" i="103"/>
  <c r="E126" i="23"/>
  <c r="F126" i="23" s="1"/>
  <c r="G126" i="23" s="1"/>
  <c r="Z72" i="103"/>
  <c r="Z69" i="103"/>
  <c r="G279" i="22"/>
  <c r="D62" i="22"/>
  <c r="Z71" i="103"/>
  <c r="Z20" i="103"/>
  <c r="Z87" i="103"/>
  <c r="G272" i="22"/>
  <c r="D33" i="22"/>
  <c r="Z57" i="103"/>
  <c r="D20" i="22"/>
  <c r="Z94" i="103"/>
  <c r="K134" i="23"/>
  <c r="L134" i="23" s="1"/>
  <c r="M134" i="23" s="1"/>
  <c r="Z50" i="103"/>
  <c r="D49" i="22"/>
  <c r="Z83" i="103"/>
  <c r="K129" i="23"/>
  <c r="L129" i="23" s="1"/>
  <c r="M129" i="23" s="1"/>
  <c r="G277" i="22"/>
  <c r="G276" i="22"/>
  <c r="Z29" i="103"/>
  <c r="D53" i="22"/>
  <c r="Z28" i="103"/>
  <c r="Z41" i="103"/>
  <c r="D39" i="22"/>
  <c r="D82" i="22"/>
  <c r="Z34" i="103"/>
  <c r="D66" i="22"/>
  <c r="Z55" i="103"/>
  <c r="Z25" i="103"/>
  <c r="Z63" i="103"/>
  <c r="D22" i="22"/>
  <c r="Z49" i="103"/>
  <c r="D92" i="22"/>
  <c r="Z64" i="103"/>
  <c r="G282" i="22"/>
  <c r="D46" i="22"/>
  <c r="Z26" i="103"/>
  <c r="D60" i="22"/>
  <c r="K128" i="23"/>
  <c r="L128" i="23" s="1"/>
  <c r="M128" i="23" s="1"/>
  <c r="E131" i="23"/>
  <c r="F131" i="23" s="1"/>
  <c r="G131" i="23" s="1"/>
  <c r="Z99" i="103"/>
  <c r="Z280" i="103"/>
  <c r="D19" i="22"/>
  <c r="Z92" i="103"/>
  <c r="Z51" i="103"/>
  <c r="Z90" i="103"/>
  <c r="Z97" i="103"/>
  <c r="E135" i="23"/>
  <c r="F135" i="23" s="1"/>
  <c r="G135" i="23" s="1"/>
  <c r="G278" i="22"/>
  <c r="D97" i="22"/>
  <c r="Z60" i="103"/>
  <c r="Z13" i="103"/>
  <c r="R161" i="23"/>
  <c r="Z100" i="103"/>
  <c r="D15" i="22"/>
  <c r="Z76" i="103"/>
  <c r="Z27" i="103"/>
  <c r="Z68" i="103"/>
  <c r="Z283" i="103"/>
  <c r="G284" i="22"/>
  <c r="Z39" i="103"/>
  <c r="K131" i="23"/>
  <c r="L131" i="23" s="1"/>
  <c r="M131" i="23" s="1"/>
  <c r="D16" i="22"/>
  <c r="D37" i="22"/>
  <c r="Z93" i="103"/>
  <c r="Z42" i="103"/>
  <c r="Z73" i="103"/>
  <c r="R163" i="23"/>
  <c r="S163" i="23" s="1"/>
  <c r="Z380" i="103"/>
  <c r="Z56" i="103"/>
  <c r="Z35" i="103"/>
  <c r="Z16" i="103"/>
  <c r="D48" i="22"/>
  <c r="Z11" i="103"/>
  <c r="D23" i="22"/>
  <c r="Z75" i="103"/>
  <c r="K132" i="23"/>
  <c r="L132" i="23" s="1"/>
  <c r="M132" i="23" s="1"/>
  <c r="E133" i="23"/>
  <c r="F133" i="23" s="1"/>
  <c r="G133" i="23" s="1"/>
  <c r="Z43" i="103"/>
  <c r="K136" i="23"/>
  <c r="Z89" i="103"/>
  <c r="Z54" i="103"/>
  <c r="K127" i="23"/>
  <c r="L127" i="23" s="1"/>
  <c r="M127" i="23" s="1"/>
  <c r="G193" i="22"/>
  <c r="Z37" i="103"/>
  <c r="Z82" i="103"/>
  <c r="G283" i="22"/>
  <c r="D13" i="22"/>
  <c r="Z84" i="103"/>
  <c r="Z44" i="103"/>
  <c r="Z79" i="103"/>
  <c r="E134" i="23"/>
  <c r="F134" i="23" s="1"/>
  <c r="G134" i="23" s="1"/>
  <c r="Z379" i="103"/>
  <c r="D24" i="22"/>
  <c r="E130" i="23"/>
  <c r="F130" i="23" s="1"/>
  <c r="G130" i="23" s="1"/>
  <c r="D377" i="103"/>
  <c r="Z62" i="103"/>
  <c r="Z74" i="103"/>
  <c r="G268" i="22"/>
  <c r="Z46" i="103"/>
  <c r="D47" i="22"/>
  <c r="K130" i="23"/>
  <c r="L130" i="23" s="1"/>
  <c r="M130" i="23" s="1"/>
  <c r="K384" i="103"/>
  <c r="K381" i="103"/>
  <c r="D181" i="103"/>
  <c r="D162" i="103"/>
  <c r="D164" i="103"/>
  <c r="D234" i="103"/>
  <c r="D223" i="103"/>
  <c r="D225" i="103"/>
  <c r="D227" i="103"/>
  <c r="K137" i="23"/>
  <c r="Z86" i="103"/>
  <c r="D167" i="103"/>
  <c r="D177" i="103"/>
  <c r="D172" i="103"/>
  <c r="Z40" i="103"/>
  <c r="D241" i="103"/>
  <c r="D231" i="103"/>
  <c r="D183" i="103"/>
  <c r="G266" i="22"/>
  <c r="D163" i="103"/>
  <c r="D182" i="103"/>
  <c r="D168" i="103"/>
  <c r="D224" i="103"/>
  <c r="D232" i="103"/>
  <c r="K383" i="103"/>
  <c r="E129" i="23"/>
  <c r="F129" i="23" s="1"/>
  <c r="G129" i="23" s="1"/>
  <c r="D171" i="103"/>
  <c r="D170" i="103"/>
  <c r="D229" i="103"/>
  <c r="D235" i="103"/>
  <c r="D250" i="103"/>
  <c r="D185" i="103"/>
  <c r="D175" i="103"/>
  <c r="D34" i="22"/>
  <c r="D237" i="103"/>
  <c r="D253" i="103"/>
  <c r="D245" i="103"/>
  <c r="D180" i="103"/>
  <c r="D178" i="103"/>
  <c r="D165" i="103"/>
  <c r="D242" i="103"/>
  <c r="D228" i="103"/>
  <c r="D32" i="22"/>
  <c r="D243" i="103"/>
  <c r="D378" i="103"/>
  <c r="D189" i="103"/>
  <c r="D187" i="103"/>
  <c r="D251" i="103"/>
  <c r="D226" i="103"/>
  <c r="Z98" i="103"/>
  <c r="Z95" i="103"/>
  <c r="D190" i="103"/>
  <c r="D376" i="103"/>
  <c r="D186" i="103"/>
  <c r="D239" i="103"/>
  <c r="D236" i="103"/>
  <c r="D179" i="103"/>
  <c r="D188" i="103"/>
  <c r="D174" i="103"/>
  <c r="D176" i="103"/>
  <c r="D248" i="103"/>
  <c r="D249" i="103"/>
  <c r="D238" i="103"/>
  <c r="D252" i="103"/>
  <c r="D192" i="103"/>
  <c r="Z85" i="103"/>
  <c r="D169" i="103"/>
  <c r="D173" i="103"/>
  <c r="D184" i="103"/>
  <c r="D230" i="103"/>
  <c r="D233" i="103"/>
  <c r="D240" i="103"/>
  <c r="D166" i="103"/>
  <c r="D191" i="103"/>
  <c r="D244" i="103"/>
  <c r="D246" i="103"/>
  <c r="D247" i="103"/>
  <c r="O13" i="70"/>
  <c r="O25" i="70" s="1"/>
  <c r="O16" i="70"/>
  <c r="O28" i="70" s="1"/>
  <c r="AA13" i="70"/>
  <c r="AA25" i="70" s="1"/>
  <c r="AE16" i="70"/>
  <c r="AE28" i="70" s="1"/>
  <c r="K15" i="70"/>
  <c r="K27" i="70" s="1"/>
  <c r="AC15" i="70"/>
  <c r="AC27" i="70" s="1"/>
  <c r="Y13" i="70"/>
  <c r="Y25" i="70" s="1"/>
  <c r="U13" i="70"/>
  <c r="U25" i="70" s="1"/>
  <c r="Q20" i="70"/>
  <c r="Q30" i="70" s="1"/>
  <c r="AE20" i="70"/>
  <c r="AE30" i="70" s="1"/>
  <c r="AA20" i="70"/>
  <c r="AA30" i="70" s="1"/>
  <c r="AE15" i="70"/>
  <c r="AE27" i="70" s="1"/>
  <c r="W19" i="70"/>
  <c r="W29" i="70" s="1"/>
  <c r="Y16" i="70"/>
  <c r="Y28" i="70" s="1"/>
  <c r="U16" i="70"/>
  <c r="U28" i="70" s="1"/>
  <c r="K13" i="70"/>
  <c r="K25" i="70" s="1"/>
  <c r="Q15" i="70"/>
  <c r="Q27" i="70" s="1"/>
  <c r="I13" i="70"/>
  <c r="I25" i="70" s="1"/>
  <c r="AC20" i="70"/>
  <c r="AC30" i="70" s="1"/>
  <c r="AA16" i="70"/>
  <c r="AA28" i="70" s="1"/>
  <c r="M19" i="70"/>
  <c r="M29" i="70" s="1"/>
  <c r="AA15" i="70"/>
  <c r="AA27" i="70" s="1"/>
  <c r="Y20" i="70"/>
  <c r="Y30" i="70" s="1"/>
  <c r="U20" i="70"/>
  <c r="U30" i="70" s="1"/>
  <c r="K16" i="70"/>
  <c r="K28" i="70" s="1"/>
  <c r="I19" i="70"/>
  <c r="I29" i="70" s="1"/>
  <c r="S19" i="70"/>
  <c r="S29" i="70" s="1"/>
  <c r="Y15" i="70"/>
  <c r="Y27" i="70" s="1"/>
  <c r="Q13" i="70"/>
  <c r="Q25" i="70" s="1"/>
  <c r="Q19" i="70"/>
  <c r="Q29" i="70" s="1"/>
  <c r="M20" i="70"/>
  <c r="M30" i="70" s="1"/>
  <c r="W13" i="70"/>
  <c r="W25" i="70" s="1"/>
  <c r="Q16" i="70"/>
  <c r="Q28" i="70" s="1"/>
  <c r="I16" i="70"/>
  <c r="I28" i="70" s="1"/>
  <c r="W16" i="70"/>
  <c r="W28" i="70" s="1"/>
  <c r="S15" i="70"/>
  <c r="S27" i="70" s="1"/>
  <c r="AC19" i="70"/>
  <c r="AC29" i="70" s="1"/>
  <c r="O19" i="70"/>
  <c r="O29" i="70" s="1"/>
  <c r="M15" i="70"/>
  <c r="M27" i="70" s="1"/>
  <c r="W20" i="70"/>
  <c r="W30" i="70" s="1"/>
  <c r="S20" i="70"/>
  <c r="S30" i="70" s="1"/>
  <c r="U15" i="70"/>
  <c r="U27" i="70" s="1"/>
  <c r="O20" i="70"/>
  <c r="O30" i="70" s="1"/>
  <c r="AE19" i="70"/>
  <c r="AE29" i="70" s="1"/>
  <c r="I20" i="70"/>
  <c r="I30" i="70" s="1"/>
  <c r="W15" i="70"/>
  <c r="W27" i="70" s="1"/>
  <c r="K19" i="70"/>
  <c r="K29" i="70" s="1"/>
  <c r="O15" i="70"/>
  <c r="O27" i="70" s="1"/>
  <c r="M13" i="70"/>
  <c r="M25" i="70" s="1"/>
  <c r="AA19" i="70"/>
  <c r="AA29" i="70" s="1"/>
  <c r="I15" i="70"/>
  <c r="I27" i="70" s="1"/>
  <c r="S13" i="70"/>
  <c r="S25" i="70" s="1"/>
  <c r="U19" i="70"/>
  <c r="U29" i="70" s="1"/>
  <c r="AC13" i="70"/>
  <c r="AC25" i="70" s="1"/>
  <c r="M16" i="70"/>
  <c r="M28" i="70" s="1"/>
  <c r="AE13" i="70"/>
  <c r="AE25" i="70" s="1"/>
  <c r="S16" i="70"/>
  <c r="S28" i="70" s="1"/>
  <c r="Y19" i="70"/>
  <c r="Y29" i="70" s="1"/>
  <c r="K20" i="70"/>
  <c r="K30" i="70" s="1"/>
  <c r="AC16" i="70"/>
  <c r="AC28" i="70" s="1"/>
  <c r="N410" i="67"/>
  <c r="I12" i="70"/>
  <c r="I24" i="70" s="1"/>
  <c r="N415" i="67"/>
  <c r="S12" i="70"/>
  <c r="N416" i="67"/>
  <c r="U12" i="70"/>
  <c r="N414" i="67"/>
  <c r="Q12" i="70"/>
  <c r="N419" i="67"/>
  <c r="AA12" i="70"/>
  <c r="N421" i="67"/>
  <c r="AE12" i="70"/>
  <c r="N417" i="67"/>
  <c r="W12" i="70"/>
  <c r="N420" i="67"/>
  <c r="AC12" i="70"/>
  <c r="C427" i="67"/>
  <c r="E427" i="67" s="1"/>
  <c r="F427" i="67" s="1"/>
  <c r="C421" i="67"/>
  <c r="N411" i="67"/>
  <c r="K12" i="70"/>
  <c r="K24" i="70" s="1"/>
  <c r="N413" i="67"/>
  <c r="O12" i="70"/>
  <c r="N412" i="67"/>
  <c r="M12" i="70"/>
  <c r="M24" i="70" s="1"/>
  <c r="N418" i="67"/>
  <c r="Y12" i="70"/>
  <c r="D259" i="22" l="1"/>
  <c r="O8" i="37"/>
  <c r="O33" i="37" s="1"/>
  <c r="O34" i="37" s="1"/>
  <c r="P17" i="36"/>
  <c r="N34" i="62"/>
  <c r="B36" i="62"/>
  <c r="G35" i="62"/>
  <c r="H35" i="62" s="1"/>
  <c r="I35" i="62"/>
  <c r="J35" i="62" s="1"/>
  <c r="C35" i="62"/>
  <c r="F35" i="62"/>
  <c r="E35" i="62"/>
  <c r="D35" i="62"/>
  <c r="M35" i="62"/>
  <c r="K35" i="62"/>
  <c r="O35" i="62"/>
  <c r="L35" i="62"/>
  <c r="R35" i="62"/>
  <c r="S35" i="62" s="1"/>
  <c r="P35" i="62"/>
  <c r="Z257" i="103"/>
  <c r="Z308" i="103"/>
  <c r="D313" i="22"/>
  <c r="Z259" i="103"/>
  <c r="Z269" i="103"/>
  <c r="V169" i="22"/>
  <c r="D277" i="22"/>
  <c r="D266" i="22"/>
  <c r="Z256" i="103"/>
  <c r="D301" i="22"/>
  <c r="Z279" i="103"/>
  <c r="D261" i="22"/>
  <c r="D311" i="22"/>
  <c r="Z267" i="103"/>
  <c r="Z294" i="103"/>
  <c r="D305" i="22"/>
  <c r="D304" i="22"/>
  <c r="D314" i="22"/>
  <c r="Z262" i="103"/>
  <c r="D299" i="22"/>
  <c r="D308" i="22"/>
  <c r="Z311" i="103"/>
  <c r="D275" i="22"/>
  <c r="D302" i="22"/>
  <c r="Z177" i="103"/>
  <c r="D300" i="22"/>
  <c r="D276" i="22"/>
  <c r="D274" i="22"/>
  <c r="D296" i="22"/>
  <c r="Z277" i="103"/>
  <c r="D279" i="22"/>
  <c r="Z302" i="103"/>
  <c r="Z264" i="103"/>
  <c r="D271" i="22"/>
  <c r="D264" i="22"/>
  <c r="D256" i="22"/>
  <c r="D297" i="22"/>
  <c r="Z268" i="103"/>
  <c r="D262" i="22"/>
  <c r="D310" i="22"/>
  <c r="Z266" i="103"/>
  <c r="Z272" i="103"/>
  <c r="Z305" i="103"/>
  <c r="D298" i="22"/>
  <c r="Z271" i="103"/>
  <c r="Z274" i="103"/>
  <c r="Z275" i="103"/>
  <c r="Z270" i="103"/>
  <c r="Z276" i="103"/>
  <c r="D280" i="22"/>
  <c r="Z309" i="103"/>
  <c r="Z261" i="103"/>
  <c r="D267" i="22"/>
  <c r="D273" i="22"/>
  <c r="D260" i="22"/>
  <c r="M12" i="64"/>
  <c r="E136" i="23"/>
  <c r="F136" i="23" s="1"/>
  <c r="G136" i="23" s="1"/>
  <c r="D270" i="22"/>
  <c r="Z260" i="103"/>
  <c r="D268" i="22"/>
  <c r="Z263" i="103"/>
  <c r="R159" i="23"/>
  <c r="Z255" i="103"/>
  <c r="D269" i="22"/>
  <c r="D272" i="22"/>
  <c r="D306" i="22"/>
  <c r="D303" i="22"/>
  <c r="D265" i="22"/>
  <c r="Z278" i="103"/>
  <c r="D278" i="22"/>
  <c r="R168" i="23"/>
  <c r="Z295" i="103"/>
  <c r="E137" i="23"/>
  <c r="O137" i="23" s="1"/>
  <c r="Z297" i="103"/>
  <c r="D312" i="22"/>
  <c r="Z312" i="103"/>
  <c r="Z301" i="103"/>
  <c r="D384" i="103"/>
  <c r="Q167" i="23" s="1"/>
  <c r="Z296" i="103"/>
  <c r="Z310" i="103"/>
  <c r="Z303" i="103"/>
  <c r="Z304" i="103"/>
  <c r="Z254" i="103"/>
  <c r="D257" i="22"/>
  <c r="Z265" i="103"/>
  <c r="D255" i="22"/>
  <c r="Z313" i="103"/>
  <c r="Z298" i="103"/>
  <c r="D309" i="22"/>
  <c r="Z299" i="103"/>
  <c r="D315" i="22"/>
  <c r="Z314" i="103"/>
  <c r="C28" i="104" s="1"/>
  <c r="D385" i="103"/>
  <c r="C35" i="53" s="1"/>
  <c r="E35" i="53" s="1"/>
  <c r="D295" i="22"/>
  <c r="Z300" i="103"/>
  <c r="Z307" i="103"/>
  <c r="Q136" i="23"/>
  <c r="P136" i="23"/>
  <c r="L136" i="23"/>
  <c r="M136" i="23" s="1"/>
  <c r="B19" i="31"/>
  <c r="B53" i="31"/>
  <c r="A53" i="31" s="1"/>
  <c r="A18" i="31"/>
  <c r="B25" i="102"/>
  <c r="C25" i="102" s="1"/>
  <c r="B138" i="23"/>
  <c r="Y137" i="23"/>
  <c r="V137" i="23"/>
  <c r="S137" i="23"/>
  <c r="J137" i="23"/>
  <c r="D137" i="23"/>
  <c r="AB137" i="23"/>
  <c r="U137" i="23"/>
  <c r="AD137" i="23"/>
  <c r="I137" i="23"/>
  <c r="L137" i="23" s="1"/>
  <c r="M137" i="23" s="1"/>
  <c r="H137" i="23"/>
  <c r="AA137" i="23"/>
  <c r="N137" i="23"/>
  <c r="AI137" i="23"/>
  <c r="AC137" i="23"/>
  <c r="AH137" i="23"/>
  <c r="C137" i="23"/>
  <c r="AK137" i="23"/>
  <c r="AJ137" i="23"/>
  <c r="R137" i="23"/>
  <c r="Z137" i="23"/>
  <c r="AE137" i="23"/>
  <c r="AG137" i="23"/>
  <c r="W137" i="23"/>
  <c r="T137" i="23"/>
  <c r="AL137" i="23"/>
  <c r="X137" i="23"/>
  <c r="AF137" i="23"/>
  <c r="S162" i="23"/>
  <c r="I37" i="36" s="1"/>
  <c r="I38" i="36" s="1"/>
  <c r="H8" i="37" s="1"/>
  <c r="H33" i="37" s="1"/>
  <c r="H34" i="37" s="1"/>
  <c r="AJ139" i="22"/>
  <c r="AN250" i="22"/>
  <c r="R165" i="23"/>
  <c r="D243" i="22"/>
  <c r="D248" i="22"/>
  <c r="D382" i="103"/>
  <c r="C32" i="53" s="1"/>
  <c r="E32" i="53" s="1"/>
  <c r="Z228" i="103"/>
  <c r="Z250" i="103"/>
  <c r="D226" i="22"/>
  <c r="D247" i="22"/>
  <c r="D230" i="22"/>
  <c r="D192" i="22"/>
  <c r="D250" i="22"/>
  <c r="D179" i="22"/>
  <c r="D171" i="22"/>
  <c r="D232" i="22"/>
  <c r="D165" i="22"/>
  <c r="Z166" i="103"/>
  <c r="D249" i="22"/>
  <c r="Z226" i="103"/>
  <c r="D172" i="22"/>
  <c r="D242" i="22"/>
  <c r="Z162" i="103"/>
  <c r="D235" i="22"/>
  <c r="D241" i="22"/>
  <c r="Z251" i="103"/>
  <c r="Z180" i="103"/>
  <c r="Z181" i="103"/>
  <c r="Z252" i="103"/>
  <c r="D234" i="22"/>
  <c r="Z174" i="103"/>
  <c r="D188" i="22"/>
  <c r="D246" i="22"/>
  <c r="Z172" i="103"/>
  <c r="AR243" i="22"/>
  <c r="D236" i="22"/>
  <c r="D231" i="22"/>
  <c r="D189" i="22"/>
  <c r="D190" i="22"/>
  <c r="Z253" i="103"/>
  <c r="D233" i="22"/>
  <c r="D178" i="22"/>
  <c r="D224" i="22"/>
  <c r="Z165" i="103"/>
  <c r="D177" i="22"/>
  <c r="D185" i="22"/>
  <c r="D180" i="22"/>
  <c r="D238" i="22"/>
  <c r="Z224" i="103"/>
  <c r="D168" i="22"/>
  <c r="D245" i="22"/>
  <c r="Z173" i="103"/>
  <c r="D237" i="22"/>
  <c r="D169" i="22"/>
  <c r="D239" i="22"/>
  <c r="D170" i="22"/>
  <c r="Z239" i="103"/>
  <c r="D244" i="22"/>
  <c r="D176" i="22"/>
  <c r="D183" i="22"/>
  <c r="D191" i="22"/>
  <c r="D184" i="22"/>
  <c r="Z186" i="103"/>
  <c r="D186" i="22"/>
  <c r="D164" i="22"/>
  <c r="D228" i="22"/>
  <c r="AJ209" i="22"/>
  <c r="AL214" i="22"/>
  <c r="AB112" i="22"/>
  <c r="AN263" i="22"/>
  <c r="AL110" i="22"/>
  <c r="AP174" i="22"/>
  <c r="AL170" i="22"/>
  <c r="R308" i="22"/>
  <c r="AH207" i="22"/>
  <c r="R247" i="22"/>
  <c r="V167" i="22"/>
  <c r="AF157" i="22"/>
  <c r="V373" i="22"/>
  <c r="AN152" i="22"/>
  <c r="AB375" i="22"/>
  <c r="AL308" i="22"/>
  <c r="AN37" i="22"/>
  <c r="Z169" i="22"/>
  <c r="AL86" i="22"/>
  <c r="AH267" i="22"/>
  <c r="T32" i="22"/>
  <c r="AP204" i="22"/>
  <c r="AF262" i="22"/>
  <c r="AN93" i="22"/>
  <c r="AJ181" i="22"/>
  <c r="X89" i="22"/>
  <c r="AL73" i="22"/>
  <c r="AJ353" i="22"/>
  <c r="V97" i="22"/>
  <c r="R209" i="22"/>
  <c r="X293" i="22"/>
  <c r="T278" i="22"/>
  <c r="V31" i="22"/>
  <c r="R64" i="22"/>
  <c r="AN203" i="22"/>
  <c r="V228" i="22"/>
  <c r="AL245" i="22"/>
  <c r="AB235" i="22"/>
  <c r="AH17" i="22"/>
  <c r="AB139" i="22"/>
  <c r="V110" i="22"/>
  <c r="AN74" i="22"/>
  <c r="AB181" i="22"/>
  <c r="AN149" i="22"/>
  <c r="AH169" i="22"/>
  <c r="X23" i="22"/>
  <c r="Z248" i="22"/>
  <c r="X19" i="22"/>
  <c r="AN339" i="22"/>
  <c r="R150" i="22"/>
  <c r="R246" i="22"/>
  <c r="AL152" i="22"/>
  <c r="AB292" i="22"/>
  <c r="AH182" i="22"/>
  <c r="AL262" i="22"/>
  <c r="T56" i="22"/>
  <c r="AR87" i="22"/>
  <c r="R326" i="22"/>
  <c r="R130" i="22"/>
  <c r="V139" i="22"/>
  <c r="Z355" i="22"/>
  <c r="Z31" i="22"/>
  <c r="V109" i="22"/>
  <c r="X169" i="22"/>
  <c r="AJ64" i="22"/>
  <c r="AL279" i="22"/>
  <c r="AD224" i="22"/>
  <c r="T319" i="22"/>
  <c r="AH253" i="22"/>
  <c r="Z126" i="22"/>
  <c r="AJ194" i="22"/>
  <c r="T168" i="22"/>
  <c r="AJ59" i="22"/>
  <c r="AL98" i="22"/>
  <c r="R167" i="23"/>
  <c r="Q159" i="23"/>
  <c r="Q160" i="23"/>
  <c r="S160" i="23" s="1"/>
  <c r="R166" i="23"/>
  <c r="F31" i="53"/>
  <c r="H31" i="53" s="1"/>
  <c r="C28" i="53"/>
  <c r="E28" i="53" s="1"/>
  <c r="Z183" i="103"/>
  <c r="O126" i="23"/>
  <c r="J37" i="36"/>
  <c r="J38" i="36" s="1"/>
  <c r="J17" i="36" s="1"/>
  <c r="I21" i="37" s="1"/>
  <c r="Z168" i="103"/>
  <c r="R301" i="22"/>
  <c r="Z151" i="22"/>
  <c r="AR345" i="22"/>
  <c r="V336" i="22"/>
  <c r="Z356" i="22"/>
  <c r="AH100" i="22"/>
  <c r="AJ100" i="22"/>
  <c r="AN63" i="22"/>
  <c r="X45" i="22"/>
  <c r="R177" i="22"/>
  <c r="AJ55" i="22"/>
  <c r="AJ274" i="22"/>
  <c r="V120" i="22"/>
  <c r="V213" i="22"/>
  <c r="AN354" i="22"/>
  <c r="AJ323" i="22"/>
  <c r="T253" i="22"/>
  <c r="AB33" i="22"/>
  <c r="Z374" i="22"/>
  <c r="AR42" i="22"/>
  <c r="AP13" i="22"/>
  <c r="AL123" i="22"/>
  <c r="T185" i="22"/>
  <c r="AR253" i="22"/>
  <c r="AN206" i="22"/>
  <c r="T348" i="22"/>
  <c r="AJ127" i="22"/>
  <c r="X306" i="22"/>
  <c r="AH191" i="22"/>
  <c r="AP152" i="22"/>
  <c r="AB136" i="22"/>
  <c r="T318" i="22"/>
  <c r="AL375" i="22"/>
  <c r="AL374" i="22"/>
  <c r="AL297" i="22"/>
  <c r="R328" i="22"/>
  <c r="AN356" i="22"/>
  <c r="AR369" i="22"/>
  <c r="Z328" i="22"/>
  <c r="X22" i="22"/>
  <c r="T148" i="22"/>
  <c r="AH179" i="22"/>
  <c r="X158" i="22"/>
  <c r="Z97" i="22"/>
  <c r="V319" i="22"/>
  <c r="Z363" i="22"/>
  <c r="Z182" i="22"/>
  <c r="AR137" i="22"/>
  <c r="T71" i="22"/>
  <c r="Z229" i="22"/>
  <c r="AH35" i="22"/>
  <c r="T91" i="22"/>
  <c r="Z112" i="22"/>
  <c r="Z152" i="22"/>
  <c r="R148" i="22"/>
  <c r="Z46" i="22"/>
  <c r="T341" i="22"/>
  <c r="X63" i="22"/>
  <c r="AH15" i="22"/>
  <c r="AD316" i="22"/>
  <c r="X177" i="22"/>
  <c r="Z293" i="22"/>
  <c r="Z281" i="22"/>
  <c r="AP289" i="22"/>
  <c r="R235" i="22"/>
  <c r="V184" i="22"/>
  <c r="AN282" i="22"/>
  <c r="T192" i="22"/>
  <c r="AL37" i="22"/>
  <c r="AL225" i="22"/>
  <c r="AL39" i="22"/>
  <c r="AL176" i="22"/>
  <c r="AL366" i="22"/>
  <c r="AR252" i="22"/>
  <c r="R259" i="22"/>
  <c r="V356" i="22"/>
  <c r="Z143" i="22"/>
  <c r="AH273" i="22"/>
  <c r="AR219" i="22"/>
  <c r="R22" i="22"/>
  <c r="Z330" i="22"/>
  <c r="AR144" i="22"/>
  <c r="V197" i="22"/>
  <c r="V193" i="22"/>
  <c r="X214" i="22"/>
  <c r="AB295" i="22"/>
  <c r="R43" i="22"/>
  <c r="R212" i="22"/>
  <c r="T97" i="22"/>
  <c r="AJ349" i="22"/>
  <c r="AB219" i="22"/>
  <c r="T162" i="22"/>
  <c r="X146" i="22"/>
  <c r="AH176" i="22"/>
  <c r="AJ244" i="22"/>
  <c r="T322" i="22"/>
  <c r="R291" i="22"/>
  <c r="AF274" i="22"/>
  <c r="AN262" i="22"/>
  <c r="R304" i="22"/>
  <c r="AR322" i="22"/>
  <c r="AB141" i="22"/>
  <c r="AR166" i="22"/>
  <c r="AP292" i="22"/>
  <c r="Z315" i="22"/>
  <c r="X97" i="22"/>
  <c r="AL93" i="22"/>
  <c r="AL58" i="22"/>
  <c r="AL219" i="22"/>
  <c r="AL143" i="22"/>
  <c r="AL136" i="22"/>
  <c r="AN133" i="22"/>
  <c r="T338" i="22"/>
  <c r="AD37" i="22"/>
  <c r="AH285" i="22"/>
  <c r="AD207" i="22"/>
  <c r="AJ49" i="22"/>
  <c r="R361" i="22"/>
  <c r="AR27" i="22"/>
  <c r="AL43" i="22"/>
  <c r="R168" i="22"/>
  <c r="AR29" i="22"/>
  <c r="X32" i="22"/>
  <c r="T243" i="22"/>
  <c r="AF265" i="22"/>
  <c r="AF209" i="22"/>
  <c r="T272" i="22"/>
  <c r="R179" i="22"/>
  <c r="AH251" i="22"/>
  <c r="Z205" i="22"/>
  <c r="AH88" i="22"/>
  <c r="AH236" i="22"/>
  <c r="T247" i="22"/>
  <c r="AF312" i="22"/>
  <c r="AH371" i="22"/>
  <c r="AR278" i="22"/>
  <c r="AH348" i="22"/>
  <c r="AP77" i="22"/>
  <c r="V45" i="22"/>
  <c r="AB37" i="22"/>
  <c r="Z116" i="22"/>
  <c r="AF143" i="22"/>
  <c r="AH310" i="22"/>
  <c r="AF69" i="22"/>
  <c r="AF188" i="22"/>
  <c r="V279" i="22"/>
  <c r="Z90" i="22"/>
  <c r="V82" i="22"/>
  <c r="AH94" i="22"/>
  <c r="AH350" i="22"/>
  <c r="AF140" i="22"/>
  <c r="AP258" i="22"/>
  <c r="T30" i="22"/>
  <c r="Z125" i="22"/>
  <c r="V85" i="22"/>
  <c r="AR162" i="22"/>
  <c r="AR340" i="22"/>
  <c r="AR38" i="22"/>
  <c r="AP195" i="22"/>
  <c r="AB233" i="22"/>
  <c r="T285" i="22"/>
  <c r="V268" i="22"/>
  <c r="AR54" i="22"/>
  <c r="AF175" i="22"/>
  <c r="AF58" i="22"/>
  <c r="AF91" i="22"/>
  <c r="V370" i="22"/>
  <c r="T128" i="22"/>
  <c r="AH106" i="22"/>
  <c r="AF327" i="22"/>
  <c r="AF186" i="22"/>
  <c r="AP50" i="22"/>
  <c r="AR263" i="22"/>
  <c r="AJ123" i="22"/>
  <c r="AR108" i="22"/>
  <c r="AH343" i="22"/>
  <c r="AH111" i="22"/>
  <c r="AF87" i="22"/>
  <c r="AP238" i="22"/>
  <c r="AF169" i="22"/>
  <c r="AF181" i="22"/>
  <c r="AH91" i="22"/>
  <c r="AF156" i="22"/>
  <c r="AR299" i="22"/>
  <c r="Z246" i="22"/>
  <c r="AP303" i="22"/>
  <c r="AH156" i="22"/>
  <c r="AP137" i="22"/>
  <c r="AR364" i="22"/>
  <c r="R270" i="22"/>
  <c r="AF44" i="22"/>
  <c r="AR133" i="22"/>
  <c r="AJ140" i="22"/>
  <c r="AJ344" i="22"/>
  <c r="AL272" i="22"/>
  <c r="AB183" i="22"/>
  <c r="V334" i="22"/>
  <c r="T354" i="22"/>
  <c r="AD318" i="22"/>
  <c r="AP347" i="22"/>
  <c r="AD175" i="22"/>
  <c r="AJ241" i="22"/>
  <c r="Z264" i="22"/>
  <c r="AH79" i="22"/>
  <c r="AP376" i="22"/>
  <c r="R27" i="22"/>
  <c r="R77" i="22"/>
  <c r="T261" i="22"/>
  <c r="AB237" i="22"/>
  <c r="AJ221" i="22"/>
  <c r="X318" i="22"/>
  <c r="V28" i="22"/>
  <c r="AB345" i="22"/>
  <c r="AH150" i="22"/>
  <c r="AB350" i="22"/>
  <c r="AR245" i="22"/>
  <c r="AP169" i="22"/>
  <c r="AL257" i="22"/>
  <c r="AF281" i="22"/>
  <c r="AF17" i="22"/>
  <c r="AP96" i="22"/>
  <c r="AF339" i="22"/>
  <c r="AP354" i="22"/>
  <c r="AP274" i="22"/>
  <c r="AJ133" i="22"/>
  <c r="AF203" i="22"/>
  <c r="AR88" i="22"/>
  <c r="AF81" i="22"/>
  <c r="AR171" i="22"/>
  <c r="AF66" i="22"/>
  <c r="AB18" i="22"/>
  <c r="X360" i="22"/>
  <c r="AH165" i="22"/>
  <c r="AF30" i="22"/>
  <c r="AF117" i="22"/>
  <c r="AF229" i="22"/>
  <c r="AP41" i="22"/>
  <c r="Z329" i="22"/>
  <c r="X178" i="22"/>
  <c r="AF199" i="22"/>
  <c r="AP225" i="22"/>
  <c r="AP352" i="22"/>
  <c r="AF304" i="22"/>
  <c r="AH332" i="22"/>
  <c r="T376" i="22"/>
  <c r="AJ116" i="22"/>
  <c r="AH80" i="22"/>
  <c r="AH57" i="22"/>
  <c r="AF217" i="22"/>
  <c r="AH113" i="22"/>
  <c r="AP143" i="22"/>
  <c r="AH256" i="22"/>
  <c r="X81" i="22"/>
  <c r="AR102" i="22"/>
  <c r="AF46" i="22"/>
  <c r="AR85" i="22"/>
  <c r="AP130" i="22"/>
  <c r="AF242" i="22"/>
  <c r="V178" i="22"/>
  <c r="V12" i="22"/>
  <c r="AR346" i="22"/>
  <c r="AF15" i="22"/>
  <c r="AF373" i="22"/>
  <c r="AP14" i="22"/>
  <c r="AR211" i="22"/>
  <c r="AP17" i="22"/>
  <c r="AH59" i="22"/>
  <c r="AF125" i="22"/>
  <c r="AR376" i="22"/>
  <c r="Z324" i="22"/>
  <c r="AP119" i="22"/>
  <c r="AH54" i="22"/>
  <c r="AP297" i="22"/>
  <c r="AP235" i="22"/>
  <c r="AJ177" i="22"/>
  <c r="AP160" i="22"/>
  <c r="AF120" i="22"/>
  <c r="AB268" i="22"/>
  <c r="AB318" i="22"/>
  <c r="X294" i="22"/>
  <c r="R197" i="22"/>
  <c r="X17" i="22"/>
  <c r="AB161" i="22"/>
  <c r="AD65" i="22"/>
  <c r="AF306" i="22"/>
  <c r="AD299" i="22"/>
  <c r="X349" i="22"/>
  <c r="R137" i="22"/>
  <c r="AH24" i="22"/>
  <c r="AH219" i="22"/>
  <c r="AR16" i="22"/>
  <c r="AH34" i="22"/>
  <c r="AL260" i="22"/>
  <c r="AB310" i="22"/>
  <c r="R185" i="22"/>
  <c r="AJ282" i="22"/>
  <c r="T52" i="22"/>
  <c r="AJ316" i="22"/>
  <c r="AR239" i="22"/>
  <c r="T150" i="22"/>
  <c r="AR258" i="22"/>
  <c r="AP213" i="22"/>
  <c r="T112" i="22"/>
  <c r="AH18" i="22"/>
  <c r="AF74" i="22"/>
  <c r="AH125" i="22"/>
  <c r="AH328" i="22"/>
  <c r="AP135" i="22"/>
  <c r="R167" i="22"/>
  <c r="AR208" i="22"/>
  <c r="AR119" i="22"/>
  <c r="AH114" i="22"/>
  <c r="AH354" i="22"/>
  <c r="AF202" i="22"/>
  <c r="AR282" i="22"/>
  <c r="T321" i="22"/>
  <c r="AJ273" i="22"/>
  <c r="AH117" i="22"/>
  <c r="AP367" i="22"/>
  <c r="AH38" i="22"/>
  <c r="AF180" i="22"/>
  <c r="AP217" i="22"/>
  <c r="X105" i="22"/>
  <c r="R184" i="22"/>
  <c r="AF35" i="22"/>
  <c r="AF174" i="22"/>
  <c r="AF194" i="22"/>
  <c r="AF54" i="22"/>
  <c r="AH305" i="22"/>
  <c r="AJ98" i="22"/>
  <c r="Z96" i="22"/>
  <c r="AH365" i="22"/>
  <c r="AH25" i="22"/>
  <c r="AF63" i="22"/>
  <c r="AR284" i="22"/>
  <c r="AP114" i="22"/>
  <c r="AB258" i="22"/>
  <c r="R164" i="22"/>
  <c r="AR366" i="22"/>
  <c r="AF131" i="22"/>
  <c r="AF166" i="22"/>
  <c r="AP182" i="22"/>
  <c r="AP74" i="22"/>
  <c r="AR210" i="22"/>
  <c r="Z54" i="22"/>
  <c r="AH369" i="22"/>
  <c r="AF177" i="22"/>
  <c r="AF358" i="22"/>
  <c r="AF168" i="22"/>
  <c r="AJ218" i="22"/>
  <c r="AP291" i="22"/>
  <c r="AR20" i="22"/>
  <c r="AH138" i="22"/>
  <c r="AH318" i="22"/>
  <c r="AH269" i="22"/>
  <c r="AP375" i="22"/>
  <c r="AF254" i="22"/>
  <c r="AP263" i="22"/>
  <c r="AH242" i="22"/>
  <c r="Z115" i="22"/>
  <c r="AP25" i="22"/>
  <c r="AP93" i="22"/>
  <c r="AL190" i="22"/>
  <c r="AB127" i="22"/>
  <c r="V79" i="22"/>
  <c r="X222" i="22"/>
  <c r="X113" i="22"/>
  <c r="AB355" i="22"/>
  <c r="AD82" i="22"/>
  <c r="AP123" i="22"/>
  <c r="AD323" i="22"/>
  <c r="R263" i="22"/>
  <c r="AN268" i="22"/>
  <c r="V130" i="22"/>
  <c r="V142" i="22"/>
  <c r="X69" i="22"/>
  <c r="Z289" i="22"/>
  <c r="AR147" i="22"/>
  <c r="X47" i="22"/>
  <c r="AN316" i="22"/>
  <c r="AR155" i="22"/>
  <c r="AJ91" i="22"/>
  <c r="T256" i="22"/>
  <c r="AF130" i="22"/>
  <c r="T59" i="22"/>
  <c r="AR57" i="22"/>
  <c r="AF162" i="22"/>
  <c r="AJ289" i="22"/>
  <c r="AF213" i="22"/>
  <c r="AH248" i="22"/>
  <c r="AF144" i="22"/>
  <c r="AF355" i="22"/>
  <c r="AH331" i="22"/>
  <c r="AJ255" i="22"/>
  <c r="T343" i="22"/>
  <c r="AF301" i="22"/>
  <c r="AH288" i="22"/>
  <c r="AP42" i="22"/>
  <c r="AP68" i="22"/>
  <c r="AR170" i="22"/>
  <c r="AR142" i="22"/>
  <c r="AJ358" i="22"/>
  <c r="AR52" i="22"/>
  <c r="AR110" i="22"/>
  <c r="AF138" i="22"/>
  <c r="AP251" i="22"/>
  <c r="AP310" i="22"/>
  <c r="AR174" i="22"/>
  <c r="V250" i="22"/>
  <c r="AR283" i="22"/>
  <c r="AF41" i="22"/>
  <c r="AR267" i="22"/>
  <c r="AF291" i="22"/>
  <c r="AR275" i="22"/>
  <c r="AB316" i="22"/>
  <c r="AJ337" i="22"/>
  <c r="AR331" i="22"/>
  <c r="AF128" i="22"/>
  <c r="AR117" i="22"/>
  <c r="AF103" i="22"/>
  <c r="Z188" i="22"/>
  <c r="AJ85" i="22"/>
  <c r="T89" i="22"/>
  <c r="AH347" i="22"/>
  <c r="AF59" i="22"/>
  <c r="AH50" i="22"/>
  <c r="AP319" i="22"/>
  <c r="AP226" i="22"/>
  <c r="AH271" i="22"/>
  <c r="V136" i="22"/>
  <c r="AR125" i="22"/>
  <c r="AP309" i="22"/>
  <c r="AF191" i="22"/>
  <c r="AP15" i="22"/>
  <c r="AB91" i="22"/>
  <c r="AF218" i="22"/>
  <c r="AJ130" i="22"/>
  <c r="AP267" i="22"/>
  <c r="AF252" i="22"/>
  <c r="AB374" i="22"/>
  <c r="AP16" i="22"/>
  <c r="AR59" i="22"/>
  <c r="AP148" i="22"/>
  <c r="AR367" i="22"/>
  <c r="AP110" i="22"/>
  <c r="AH306" i="22"/>
  <c r="AR193" i="22"/>
  <c r="X254" i="22"/>
  <c r="R15" i="22"/>
  <c r="X60" i="22"/>
  <c r="X194" i="22"/>
  <c r="AJ27" i="22"/>
  <c r="AB360" i="22"/>
  <c r="AR223" i="22"/>
  <c r="AD80" i="22"/>
  <c r="AD114" i="22"/>
  <c r="Z86" i="22"/>
  <c r="AJ77" i="22"/>
  <c r="Z295" i="22"/>
  <c r="AR39" i="22"/>
  <c r="AP273" i="22"/>
  <c r="Z139" i="22"/>
  <c r="Z147" i="22"/>
  <c r="AH19" i="22"/>
  <c r="AB113" i="22"/>
  <c r="Z361" i="22"/>
  <c r="X264" i="22"/>
  <c r="AF289" i="22"/>
  <c r="AP97" i="22"/>
  <c r="AB248" i="22"/>
  <c r="AR113" i="22"/>
  <c r="AP229" i="22"/>
  <c r="V253" i="22"/>
  <c r="AF94" i="22"/>
  <c r="AH376" i="22"/>
  <c r="AF20" i="22"/>
  <c r="AP28" i="22"/>
  <c r="AP72" i="22"/>
  <c r="Z98" i="22"/>
  <c r="AB95" i="22"/>
  <c r="AH233" i="22"/>
  <c r="AR293" i="22"/>
  <c r="AR48" i="22"/>
  <c r="AP35" i="22"/>
  <c r="AP98" i="22"/>
  <c r="AB71" i="22"/>
  <c r="AP301" i="22"/>
  <c r="AH363" i="22"/>
  <c r="AR237" i="22"/>
  <c r="AF60" i="22"/>
  <c r="AP171" i="22"/>
  <c r="AH341" i="22"/>
  <c r="T39" i="22"/>
  <c r="T200" i="22"/>
  <c r="AH245" i="22"/>
  <c r="AH122" i="22"/>
  <c r="AH41" i="22"/>
  <c r="AP259" i="22"/>
  <c r="AP348" i="22"/>
  <c r="AB254" i="22"/>
  <c r="AJ328" i="22"/>
  <c r="AR326" i="22"/>
  <c r="AH308" i="22"/>
  <c r="AR269" i="22"/>
  <c r="AH346" i="22"/>
  <c r="R315" i="22"/>
  <c r="AF64" i="22"/>
  <c r="V232" i="22"/>
  <c r="AH301" i="22"/>
  <c r="AF224" i="22"/>
  <c r="AF245" i="22"/>
  <c r="AP86" i="22"/>
  <c r="Z291" i="22"/>
  <c r="V190" i="22"/>
  <c r="V96" i="22"/>
  <c r="AF216" i="22"/>
  <c r="AR296" i="22"/>
  <c r="AD352" i="22"/>
  <c r="AF277" i="22"/>
  <c r="T99" i="22"/>
  <c r="AF356" i="22"/>
  <c r="AD315" i="22"/>
  <c r="Z360" i="22"/>
  <c r="R305" i="22"/>
  <c r="Z136" i="22"/>
  <c r="AF84" i="22"/>
  <c r="AR301" i="22"/>
  <c r="R159" i="22"/>
  <c r="V94" i="22"/>
  <c r="X193" i="22"/>
  <c r="R41" i="22"/>
  <c r="X332" i="22"/>
  <c r="V342" i="22"/>
  <c r="AP154" i="22"/>
  <c r="AP194" i="22"/>
  <c r="Z132" i="22"/>
  <c r="AR323" i="22"/>
  <c r="AF323" i="22"/>
  <c r="V195" i="22"/>
  <c r="AR111" i="22"/>
  <c r="AH333" i="22"/>
  <c r="AF283" i="22"/>
  <c r="AP233" i="22"/>
  <c r="AP166" i="22"/>
  <c r="V99" i="22"/>
  <c r="AN278" i="22"/>
  <c r="AH180" i="22"/>
  <c r="AR251" i="22"/>
  <c r="AH183" i="22"/>
  <c r="AR280" i="22"/>
  <c r="AP187" i="22"/>
  <c r="AJ12" i="22"/>
  <c r="Z138" i="22"/>
  <c r="AR50" i="22"/>
  <c r="AR227" i="22"/>
  <c r="AH239" i="22"/>
  <c r="AP254" i="22"/>
  <c r="AF303" i="22"/>
  <c r="AF31" i="22"/>
  <c r="X271" i="22"/>
  <c r="AH370" i="22"/>
  <c r="AR56" i="22"/>
  <c r="AH327" i="22"/>
  <c r="AP109" i="22"/>
  <c r="AP57" i="22"/>
  <c r="AJ99" i="22"/>
  <c r="R191" i="22"/>
  <c r="AF164" i="22"/>
  <c r="AR26" i="22"/>
  <c r="AH317" i="22"/>
  <c r="AP38" i="22"/>
  <c r="X201" i="22"/>
  <c r="R205" i="22"/>
  <c r="R176" i="22"/>
  <c r="AR106" i="22"/>
  <c r="AH89" i="22"/>
  <c r="AF324" i="22"/>
  <c r="AP370" i="22"/>
  <c r="Z272" i="22"/>
  <c r="AJ182" i="22"/>
  <c r="AB366" i="22"/>
  <c r="AP269" i="22"/>
  <c r="AF226" i="22"/>
  <c r="AF56" i="22"/>
  <c r="AF116" i="22"/>
  <c r="R13" i="22"/>
  <c r="AH298" i="22"/>
  <c r="AF197" i="22"/>
  <c r="AB242" i="22"/>
  <c r="AF249" i="22"/>
  <c r="AP340" i="22"/>
  <c r="AP155" i="22"/>
  <c r="T324" i="22"/>
  <c r="AP83" i="22"/>
  <c r="AH171" i="22"/>
  <c r="AP122" i="22"/>
  <c r="AD184" i="22"/>
  <c r="AD70" i="22"/>
  <c r="AD235" i="22"/>
  <c r="AB154" i="22"/>
  <c r="T100" i="22"/>
  <c r="V359" i="22"/>
  <c r="Z280" i="22"/>
  <c r="R332" i="22"/>
  <c r="AB126" i="22"/>
  <c r="AB262" i="22"/>
  <c r="T216" i="22"/>
  <c r="T356" i="22"/>
  <c r="Z157" i="22"/>
  <c r="AB276" i="22"/>
  <c r="AR89" i="22"/>
  <c r="AP363" i="22"/>
  <c r="R267" i="22"/>
  <c r="AH292" i="22"/>
  <c r="AP167" i="22"/>
  <c r="R224" i="22"/>
  <c r="AH168" i="22"/>
  <c r="AR332" i="22"/>
  <c r="AR71" i="22"/>
  <c r="AP351" i="22"/>
  <c r="AP183" i="22"/>
  <c r="X123" i="22"/>
  <c r="AH48" i="22"/>
  <c r="AF221" i="22"/>
  <c r="AR311" i="22"/>
  <c r="AF97" i="22"/>
  <c r="AP40" i="22"/>
  <c r="AH356" i="22"/>
  <c r="Z114" i="22"/>
  <c r="R84" i="22"/>
  <c r="AR123" i="22"/>
  <c r="AR272" i="22"/>
  <c r="AF282" i="22"/>
  <c r="AF230" i="22"/>
  <c r="AP283" i="22"/>
  <c r="X283" i="22"/>
  <c r="V74" i="22"/>
  <c r="AF178" i="22"/>
  <c r="AR233" i="22"/>
  <c r="AF214" i="22"/>
  <c r="AH329" i="22"/>
  <c r="AP245" i="22"/>
  <c r="AH201" i="22"/>
  <c r="AJ200" i="22"/>
  <c r="AF75" i="22"/>
  <c r="AR132" i="22"/>
  <c r="AF187" i="22"/>
  <c r="AP306" i="22"/>
  <c r="T23" i="22"/>
  <c r="Z236" i="22"/>
  <c r="AF86" i="22"/>
  <c r="AR32" i="22"/>
  <c r="AR338" i="22"/>
  <c r="AF51" i="22"/>
  <c r="AP308" i="22"/>
  <c r="AR308" i="22"/>
  <c r="AB106" i="22"/>
  <c r="Z17" i="22"/>
  <c r="AH217" i="22"/>
  <c r="AH181" i="22"/>
  <c r="AP374" i="22"/>
  <c r="AF238" i="22"/>
  <c r="AJ19" i="22"/>
  <c r="AR270" i="22"/>
  <c r="AR74" i="22"/>
  <c r="AB58" i="22"/>
  <c r="AF135" i="22"/>
  <c r="AP71" i="22"/>
  <c r="AF147" i="22"/>
  <c r="AR146" i="22"/>
  <c r="AR281" i="22"/>
  <c r="AR273" i="22"/>
  <c r="AP165" i="22"/>
  <c r="AP63" i="22"/>
  <c r="AR130" i="22"/>
  <c r="AJ23" i="22"/>
  <c r="AH148" i="22"/>
  <c r="AR232" i="22"/>
  <c r="AB205" i="22"/>
  <c r="AR307" i="22"/>
  <c r="AD138" i="22"/>
  <c r="AD42" i="22"/>
  <c r="X152" i="22"/>
  <c r="V375" i="22"/>
  <c r="R273" i="22"/>
  <c r="AR159" i="22"/>
  <c r="V296" i="22"/>
  <c r="T342" i="22"/>
  <c r="AJ285" i="22"/>
  <c r="Z32" i="22"/>
  <c r="X244" i="22"/>
  <c r="T215" i="22"/>
  <c r="V65" i="22"/>
  <c r="AR92" i="22"/>
  <c r="AF343" i="22"/>
  <c r="AH206" i="22"/>
  <c r="AR313" i="22"/>
  <c r="AF184" i="22"/>
  <c r="T353" i="22"/>
  <c r="AH321" i="22"/>
  <c r="AR163" i="22"/>
  <c r="AF148" i="22"/>
  <c r="AP216" i="22"/>
  <c r="AP205" i="22"/>
  <c r="AB353" i="22"/>
  <c r="V173" i="22"/>
  <c r="AH130" i="22"/>
  <c r="AH184" i="22"/>
  <c r="AR37" i="22"/>
  <c r="AF362" i="22"/>
  <c r="AF196" i="22"/>
  <c r="T365" i="22"/>
  <c r="Z35" i="22"/>
  <c r="AR34" i="22"/>
  <c r="AP132" i="22"/>
  <c r="AH133" i="22"/>
  <c r="AF365" i="22"/>
  <c r="AP69" i="22"/>
  <c r="AH200" i="22"/>
  <c r="AH71" i="22"/>
  <c r="AR218" i="22"/>
  <c r="AR180" i="22"/>
  <c r="AF77" i="22"/>
  <c r="AP325" i="22"/>
  <c r="AH373" i="22"/>
  <c r="V366" i="22"/>
  <c r="AN43" i="22"/>
  <c r="AF38" i="22"/>
  <c r="AR91" i="22"/>
  <c r="AH345" i="22"/>
  <c r="AP81" i="22"/>
  <c r="AF105" i="22"/>
  <c r="X159" i="22"/>
  <c r="AF163" i="22"/>
  <c r="AR188" i="22"/>
  <c r="AR122" i="22"/>
  <c r="AR94" i="22"/>
  <c r="AP47" i="22"/>
  <c r="Z100" i="22"/>
  <c r="AB198" i="22"/>
  <c r="AH110" i="22"/>
  <c r="AR156" i="22"/>
  <c r="AP315" i="22"/>
  <c r="AP203" i="22"/>
  <c r="AR183" i="22"/>
  <c r="AB73" i="22"/>
  <c r="AH336" i="22"/>
  <c r="AH30" i="22"/>
  <c r="AB41" i="22"/>
  <c r="AF133" i="22"/>
  <c r="AF111" i="22"/>
  <c r="AF28" i="22"/>
  <c r="Z41" i="22"/>
  <c r="AP131" i="22"/>
  <c r="AR260" i="22"/>
  <c r="AP37" i="22"/>
  <c r="AP350" i="22"/>
  <c r="V277" i="22"/>
  <c r="T370" i="22"/>
  <c r="V220" i="22"/>
  <c r="AF273" i="22"/>
  <c r="AR286" i="22"/>
  <c r="V61" i="22"/>
  <c r="AN132" i="22"/>
  <c r="AR287" i="22"/>
  <c r="AF369" i="22"/>
  <c r="AD143" i="22"/>
  <c r="R370" i="22"/>
  <c r="AR177" i="22"/>
  <c r="R211" i="22"/>
  <c r="V320" i="22"/>
  <c r="R99" i="22"/>
  <c r="Z177" i="22"/>
  <c r="AR348" i="22"/>
  <c r="AH143" i="22"/>
  <c r="X308" i="22"/>
  <c r="AB370" i="22"/>
  <c r="Z69" i="22"/>
  <c r="AF123" i="22"/>
  <c r="AP156" i="22"/>
  <c r="X104" i="22"/>
  <c r="AR320" i="22"/>
  <c r="AP366" i="22"/>
  <c r="AB200" i="22"/>
  <c r="AP90" i="22"/>
  <c r="AP67" i="22"/>
  <c r="AR268" i="22"/>
  <c r="AP199" i="22"/>
  <c r="AP198" i="22"/>
  <c r="AJ297" i="22"/>
  <c r="Z77" i="22"/>
  <c r="AF275" i="22"/>
  <c r="AR220" i="22"/>
  <c r="AF256" i="22"/>
  <c r="AP179" i="22"/>
  <c r="AP253" i="22"/>
  <c r="X314" i="22"/>
  <c r="AJ75" i="22"/>
  <c r="AH349" i="22"/>
  <c r="AH153" i="22"/>
  <c r="AF137" i="22"/>
  <c r="AP59" i="22"/>
  <c r="AP138" i="22"/>
  <c r="T317" i="22"/>
  <c r="R54" i="22"/>
  <c r="AF14" i="22"/>
  <c r="AH83" i="22"/>
  <c r="AH126" i="22"/>
  <c r="AP364" i="22"/>
  <c r="AH289" i="22"/>
  <c r="T187" i="22"/>
  <c r="AJ144" i="22"/>
  <c r="AH32" i="22"/>
  <c r="AF47" i="22"/>
  <c r="AF108" i="22"/>
  <c r="AP344" i="22"/>
  <c r="Z239" i="22"/>
  <c r="X192" i="22"/>
  <c r="AH227" i="22"/>
  <c r="AR341" i="22"/>
  <c r="AF192" i="22"/>
  <c r="AP70" i="22"/>
  <c r="AP120" i="22"/>
  <c r="AB60" i="22"/>
  <c r="Z237" i="22"/>
  <c r="AF182" i="22"/>
  <c r="AP197" i="22"/>
  <c r="AH319" i="22"/>
  <c r="AP222" i="22"/>
  <c r="AF109" i="22"/>
  <c r="AJ95" i="22"/>
  <c r="AF205" i="22"/>
  <c r="AF167" i="22"/>
  <c r="AP146" i="22"/>
  <c r="AR62" i="22"/>
  <c r="AP103" i="22"/>
  <c r="AF280" i="22"/>
  <c r="Z148" i="22"/>
  <c r="AF350" i="22"/>
  <c r="V16" i="22"/>
  <c r="AP224" i="22"/>
  <c r="AP372" i="22"/>
  <c r="AF272" i="22"/>
  <c r="AP246" i="22"/>
  <c r="AP247" i="22"/>
  <c r="T120" i="22"/>
  <c r="AJ310" i="22"/>
  <c r="V68" i="22"/>
  <c r="Z192" i="22"/>
  <c r="AF321" i="22"/>
  <c r="AD81" i="22"/>
  <c r="AD229" i="22"/>
  <c r="AB307" i="22"/>
  <c r="T129" i="22"/>
  <c r="T360" i="22"/>
  <c r="T236" i="22"/>
  <c r="V248" i="22"/>
  <c r="AJ364" i="22"/>
  <c r="V256" i="22"/>
  <c r="R144" i="22"/>
  <c r="X346" i="22"/>
  <c r="R161" i="22"/>
  <c r="AH39" i="22"/>
  <c r="AR241" i="22"/>
  <c r="AP237" i="22"/>
  <c r="AR217" i="22"/>
  <c r="AR359" i="22"/>
  <c r="AF325" i="22"/>
  <c r="AJ18" i="22"/>
  <c r="AH344" i="22"/>
  <c r="AR134" i="22"/>
  <c r="AH297" i="22"/>
  <c r="AF333" i="22"/>
  <c r="AP89" i="22"/>
  <c r="AR291" i="22"/>
  <c r="AR107" i="22"/>
  <c r="AH230" i="22"/>
  <c r="AR356" i="22"/>
  <c r="AR181" i="22"/>
  <c r="AP117" i="22"/>
  <c r="AH323" i="22"/>
  <c r="Z343" i="22"/>
  <c r="T54" i="22"/>
  <c r="AR53" i="22"/>
  <c r="AH103" i="22"/>
  <c r="AF222" i="22"/>
  <c r="AF53" i="22"/>
  <c r="AP282" i="22"/>
  <c r="AB253" i="22"/>
  <c r="AF154" i="22"/>
  <c r="AF190" i="22"/>
  <c r="AR290" i="22"/>
  <c r="AR242" i="22"/>
  <c r="AP94" i="22"/>
  <c r="AP300" i="22"/>
  <c r="X330" i="22"/>
  <c r="X278" i="22"/>
  <c r="AF160" i="22"/>
  <c r="AF295" i="22"/>
  <c r="AF126" i="22"/>
  <c r="AP60" i="22"/>
  <c r="Z195" i="22"/>
  <c r="V102" i="22"/>
  <c r="AF50" i="22"/>
  <c r="AF198" i="22"/>
  <c r="AF73" i="22"/>
  <c r="AP221" i="22"/>
  <c r="AP357" i="22"/>
  <c r="T190" i="22"/>
  <c r="AB259" i="22"/>
  <c r="AH123" i="22"/>
  <c r="AP99" i="22"/>
  <c r="AR103" i="22"/>
  <c r="AP20" i="22"/>
  <c r="AH56" i="22"/>
  <c r="AP150" i="22"/>
  <c r="AF243" i="22"/>
  <c r="AF113" i="22"/>
  <c r="AP365" i="22"/>
  <c r="T93" i="22"/>
  <c r="AF330" i="22"/>
  <c r="AR150" i="22"/>
  <c r="T273" i="22"/>
  <c r="AH320" i="22"/>
  <c r="Z133" i="22"/>
  <c r="AD286" i="22"/>
  <c r="AP102" i="22"/>
  <c r="AJ369" i="22"/>
  <c r="AJ82" i="22"/>
  <c r="T179" i="22"/>
  <c r="V58" i="22"/>
  <c r="AP276" i="22"/>
  <c r="AP116" i="22"/>
  <c r="V226" i="22"/>
  <c r="AR167" i="22"/>
  <c r="AP161" i="22"/>
  <c r="X274" i="22"/>
  <c r="AP280" i="22"/>
  <c r="AF171" i="22"/>
  <c r="AR329" i="22"/>
  <c r="AR277" i="22"/>
  <c r="AR337" i="22"/>
  <c r="T220" i="22"/>
  <c r="AN273" i="22"/>
  <c r="AR114" i="22"/>
  <c r="AH334" i="22"/>
  <c r="AR86" i="22"/>
  <c r="V254" i="22"/>
  <c r="AH108" i="22"/>
  <c r="T306" i="22"/>
  <c r="AL319" i="22"/>
  <c r="Z108" i="22"/>
  <c r="AB39" i="22"/>
  <c r="R262" i="22"/>
  <c r="Z117" i="22"/>
  <c r="V341" i="22"/>
  <c r="AJ118" i="22"/>
  <c r="AJ325" i="22"/>
  <c r="AJ86" i="22"/>
  <c r="AJ295" i="22"/>
  <c r="R313" i="22"/>
  <c r="AF260" i="22"/>
  <c r="X354" i="22"/>
  <c r="AH208" i="22"/>
  <c r="AR249" i="22"/>
  <c r="V295" i="22"/>
  <c r="AJ374" i="22"/>
  <c r="AH140" i="22"/>
  <c r="AF279" i="22"/>
  <c r="X273" i="22"/>
  <c r="R37" i="22"/>
  <c r="AB348" i="22"/>
  <c r="AR204" i="22"/>
  <c r="T227" i="22"/>
  <c r="Z243" i="22"/>
  <c r="T127" i="22"/>
  <c r="AJ376" i="22"/>
  <c r="T14" i="22"/>
  <c r="V338" i="22"/>
  <c r="T171" i="22"/>
  <c r="T158" i="22"/>
  <c r="T208" i="22"/>
  <c r="AB103" i="22"/>
  <c r="AJ365" i="22"/>
  <c r="AH20" i="22"/>
  <c r="AN315" i="22"/>
  <c r="AJ69" i="22"/>
  <c r="AF118" i="22"/>
  <c r="Z308" i="22"/>
  <c r="AJ234" i="22"/>
  <c r="Z160" i="22"/>
  <c r="R36" i="22"/>
  <c r="V206" i="22"/>
  <c r="V164" i="22"/>
  <c r="AB351" i="22"/>
  <c r="AB77" i="22"/>
  <c r="Z207" i="22"/>
  <c r="AH77" i="22"/>
  <c r="X259" i="22"/>
  <c r="V229" i="22"/>
  <c r="R183" i="22"/>
  <c r="V237" i="22"/>
  <c r="AH222" i="22"/>
  <c r="AH97" i="22"/>
  <c r="AB149" i="22"/>
  <c r="AJ137" i="22"/>
  <c r="R109" i="22"/>
  <c r="T199" i="22"/>
  <c r="Z15" i="22"/>
  <c r="V349" i="22"/>
  <c r="AP107" i="22"/>
  <c r="AN281" i="22"/>
  <c r="AJ168" i="22"/>
  <c r="R186" i="22"/>
  <c r="Z354" i="22"/>
  <c r="AB289" i="22"/>
  <c r="V87" i="22"/>
  <c r="V51" i="22"/>
  <c r="AP333" i="22"/>
  <c r="AJ359" i="22"/>
  <c r="AJ166" i="22"/>
  <c r="AJ367" i="22"/>
  <c r="X121" i="22"/>
  <c r="AP177" i="22"/>
  <c r="AR126" i="22"/>
  <c r="AR120" i="22"/>
  <c r="AR256" i="22"/>
  <c r="AF292" i="22"/>
  <c r="AN279" i="22"/>
  <c r="AP54" i="22"/>
  <c r="V221" i="22"/>
  <c r="AR314" i="22"/>
  <c r="AF12" i="22"/>
  <c r="T101" i="22"/>
  <c r="X51" i="22"/>
  <c r="T242" i="22"/>
  <c r="AJ169" i="22"/>
  <c r="AP84" i="22"/>
  <c r="V119" i="22"/>
  <c r="X329" i="22"/>
  <c r="AJ67" i="22"/>
  <c r="AB306" i="22"/>
  <c r="T78" i="22"/>
  <c r="AN18" i="22"/>
  <c r="AF215" i="22"/>
  <c r="Z120" i="22"/>
  <c r="X173" i="22"/>
  <c r="AF212" i="22"/>
  <c r="X144" i="22"/>
  <c r="X289" i="22"/>
  <c r="AN370" i="22"/>
  <c r="V315" i="22"/>
  <c r="AB98" i="22"/>
  <c r="AH264" i="22"/>
  <c r="V240" i="22"/>
  <c r="AJ201" i="22"/>
  <c r="X323" i="22"/>
  <c r="R187" i="22"/>
  <c r="R55" i="22"/>
  <c r="AB167" i="22"/>
  <c r="AB369" i="22"/>
  <c r="V41" i="22"/>
  <c r="AH209" i="22"/>
  <c r="AH22" i="22"/>
  <c r="AH241" i="22"/>
  <c r="V345" i="22"/>
  <c r="R278" i="22"/>
  <c r="T193" i="22"/>
  <c r="R61" i="22"/>
  <c r="Z284" i="22"/>
  <c r="AB48" i="22"/>
  <c r="V122" i="22"/>
  <c r="T47" i="22"/>
  <c r="AH139" i="22"/>
  <c r="AB243" i="22"/>
  <c r="R376" i="22"/>
  <c r="X175" i="22"/>
  <c r="AJ51" i="22"/>
  <c r="AB186" i="22"/>
  <c r="AP105" i="22"/>
  <c r="AJ302" i="22"/>
  <c r="Z68" i="22"/>
  <c r="X336" i="22"/>
  <c r="V274" i="22"/>
  <c r="AP219" i="22"/>
  <c r="AJ314" i="22"/>
  <c r="AJ161" i="22"/>
  <c r="V159" i="22"/>
  <c r="X126" i="22"/>
  <c r="AB287" i="22"/>
  <c r="T331" i="22"/>
  <c r="X200" i="22"/>
  <c r="AH216" i="22"/>
  <c r="T167" i="22"/>
  <c r="X117" i="22"/>
  <c r="T184" i="22"/>
  <c r="X57" i="22"/>
  <c r="V98" i="22"/>
  <c r="AJ238" i="22"/>
  <c r="AN258" i="22"/>
  <c r="Z142" i="22"/>
  <c r="T228" i="22"/>
  <c r="AB133" i="22"/>
  <c r="AD93" i="22"/>
  <c r="AJ281" i="22"/>
  <c r="Z285" i="22"/>
  <c r="V302" i="22"/>
  <c r="AF228" i="22"/>
  <c r="V246" i="22"/>
  <c r="AP22" i="22"/>
  <c r="AP232" i="22"/>
  <c r="AR12" i="22"/>
  <c r="AF151" i="22"/>
  <c r="AF251" i="22"/>
  <c r="AP180" i="22"/>
  <c r="Z350" i="22"/>
  <c r="AF98" i="22"/>
  <c r="AR265" i="22"/>
  <c r="AJ213" i="22"/>
  <c r="T70" i="22"/>
  <c r="T357" i="22"/>
  <c r="R147" i="22"/>
  <c r="Z164" i="22"/>
  <c r="AH132" i="22"/>
  <c r="X210" i="22"/>
  <c r="AB70" i="22"/>
  <c r="R250" i="22"/>
  <c r="AH147" i="22"/>
  <c r="AR361" i="22"/>
  <c r="V21" i="22"/>
  <c r="X62" i="22"/>
  <c r="T244" i="22"/>
  <c r="T19" i="22"/>
  <c r="R320" i="22"/>
  <c r="V108" i="22"/>
  <c r="R225" i="22"/>
  <c r="AJ370" i="22"/>
  <c r="V77" i="22"/>
  <c r="V235" i="22"/>
  <c r="R63" i="22"/>
  <c r="V181" i="22"/>
  <c r="AH31" i="22"/>
  <c r="AN169" i="22"/>
  <c r="AH128" i="22"/>
  <c r="V54" i="22"/>
  <c r="AR315" i="22"/>
  <c r="X301" i="22"/>
  <c r="AJ165" i="22"/>
  <c r="Z165" i="22"/>
  <c r="AB245" i="22"/>
  <c r="X334" i="22"/>
  <c r="V310" i="22"/>
  <c r="V211" i="22"/>
  <c r="R24" i="22"/>
  <c r="X291" i="22"/>
  <c r="AH95" i="22"/>
  <c r="R295" i="22"/>
  <c r="T347" i="22"/>
  <c r="AP124" i="22"/>
  <c r="AF253" i="22"/>
  <c r="AH121" i="22"/>
  <c r="AP270" i="22"/>
  <c r="AL46" i="22"/>
  <c r="AB97" i="22"/>
  <c r="T325" i="22"/>
  <c r="AB163" i="22"/>
  <c r="V275" i="22"/>
  <c r="AB221" i="22"/>
  <c r="T323" i="22"/>
  <c r="T352" i="22"/>
  <c r="T271" i="22"/>
  <c r="X231" i="22"/>
  <c r="Z244" i="22"/>
  <c r="R72" i="22"/>
  <c r="R236" i="22"/>
  <c r="R93" i="22"/>
  <c r="AH145" i="22"/>
  <c r="AJ251" i="22"/>
  <c r="V144" i="22"/>
  <c r="AJ202" i="22"/>
  <c r="AF99" i="22"/>
  <c r="Z339" i="22"/>
  <c r="T211" i="22"/>
  <c r="AJ334" i="22"/>
  <c r="T346" i="22"/>
  <c r="X182" i="22"/>
  <c r="X197" i="22"/>
  <c r="AL259" i="22"/>
  <c r="AF302" i="22"/>
  <c r="V309" i="22"/>
  <c r="AN259" i="22"/>
  <c r="AJ57" i="22"/>
  <c r="R28" i="22"/>
  <c r="T151" i="22"/>
  <c r="AP159" i="22"/>
  <c r="AF78" i="22"/>
  <c r="AR178" i="22"/>
  <c r="AR43" i="22"/>
  <c r="AR165" i="22"/>
  <c r="AH362" i="22"/>
  <c r="AP313" i="22"/>
  <c r="AF195" i="22"/>
  <c r="T53" i="22"/>
  <c r="AB24" i="22"/>
  <c r="Z166" i="22"/>
  <c r="X48" i="22"/>
  <c r="V153" i="22"/>
  <c r="Z300" i="22"/>
  <c r="R119" i="22"/>
  <c r="AJ141" i="22"/>
  <c r="V281" i="22"/>
  <c r="R363" i="22"/>
  <c r="V272" i="22"/>
  <c r="R139" i="22"/>
  <c r="T213" i="22"/>
  <c r="V284" i="22"/>
  <c r="AR105" i="22"/>
  <c r="Z51" i="22"/>
  <c r="V135" i="22"/>
  <c r="AF204" i="22"/>
  <c r="AP264" i="22"/>
  <c r="AJ132" i="22"/>
  <c r="AB59" i="22"/>
  <c r="V312" i="22"/>
  <c r="Z311" i="22"/>
  <c r="V236" i="22"/>
  <c r="R117" i="22"/>
  <c r="AJ305" i="22"/>
  <c r="AB79" i="22"/>
  <c r="AJ39" i="22"/>
  <c r="AR365" i="22"/>
  <c r="AJ109" i="22"/>
  <c r="AB231" i="22"/>
  <c r="X55" i="22"/>
  <c r="AL97" i="22"/>
  <c r="Z53" i="22"/>
  <c r="Z14" i="22"/>
  <c r="AH154" i="22"/>
  <c r="AL316" i="22"/>
  <c r="Z370" i="22"/>
  <c r="AB85" i="22"/>
  <c r="AF93" i="22"/>
  <c r="AJ160" i="22"/>
  <c r="AP121" i="22"/>
  <c r="R189" i="22"/>
  <c r="AB54" i="22"/>
  <c r="R174" i="22"/>
  <c r="AL131" i="22"/>
  <c r="X38" i="22"/>
  <c r="AH137" i="22"/>
  <c r="AJ217" i="22"/>
  <c r="AN193" i="22"/>
  <c r="R330" i="22"/>
  <c r="AR95" i="22"/>
  <c r="AN235" i="22"/>
  <c r="Z334" i="22"/>
  <c r="V263" i="22"/>
  <c r="X228" i="22"/>
  <c r="AJ37" i="22"/>
  <c r="AH283" i="22"/>
  <c r="AN256" i="22"/>
  <c r="AB187" i="22"/>
  <c r="T183" i="22"/>
  <c r="R218" i="22"/>
  <c r="T260" i="22"/>
  <c r="AB28" i="22"/>
  <c r="AB376" i="22"/>
  <c r="AH360" i="22"/>
  <c r="AF72" i="22"/>
  <c r="X98" i="22"/>
  <c r="Z40" i="22"/>
  <c r="R277" i="22"/>
  <c r="AP51" i="22"/>
  <c r="AF145" i="22"/>
  <c r="AF233" i="22"/>
  <c r="AF176" i="22"/>
  <c r="AF149" i="22"/>
  <c r="AR136" i="22"/>
  <c r="V131" i="22"/>
  <c r="T122" i="22"/>
  <c r="Z63" i="22"/>
  <c r="AP318" i="22"/>
  <c r="AH141" i="22"/>
  <c r="V66" i="22"/>
  <c r="Z318" i="22"/>
  <c r="Z186" i="22"/>
  <c r="X328" i="22"/>
  <c r="V30" i="22"/>
  <c r="AR226" i="22"/>
  <c r="AJ35" i="22"/>
  <c r="T204" i="22"/>
  <c r="AJ346" i="22"/>
  <c r="Z81" i="22"/>
  <c r="AB277" i="22"/>
  <c r="R123" i="22"/>
  <c r="AH282" i="22"/>
  <c r="V174" i="22"/>
  <c r="AB312" i="22"/>
  <c r="AP286" i="22"/>
  <c r="Z145" i="22"/>
  <c r="AH231" i="22"/>
  <c r="X107" i="22"/>
  <c r="Z194" i="22"/>
  <c r="AR58" i="22"/>
  <c r="T182" i="22"/>
  <c r="AH238" i="22"/>
  <c r="V91" i="22"/>
  <c r="V170" i="22"/>
  <c r="V179" i="22"/>
  <c r="AB157" i="22"/>
  <c r="AB56" i="22"/>
  <c r="T48" i="22"/>
  <c r="V303" i="22"/>
  <c r="AH72" i="22"/>
  <c r="Z162" i="22"/>
  <c r="R254" i="22"/>
  <c r="V314" i="22"/>
  <c r="R85" i="22"/>
  <c r="R83" i="22"/>
  <c r="Z369" i="22"/>
  <c r="T68" i="22"/>
  <c r="X161" i="22"/>
  <c r="AH101" i="22"/>
  <c r="R141" i="22"/>
  <c r="R339" i="22"/>
  <c r="X33" i="22"/>
  <c r="R307" i="22"/>
  <c r="X317" i="22"/>
  <c r="V14" i="22"/>
  <c r="AP129" i="22"/>
  <c r="V113" i="22"/>
  <c r="AL317" i="22"/>
  <c r="X35" i="22"/>
  <c r="V216" i="22"/>
  <c r="V233" i="22"/>
  <c r="X64" i="22"/>
  <c r="X181" i="22"/>
  <c r="X36" i="22"/>
  <c r="AF23" i="22"/>
  <c r="AH223" i="22"/>
  <c r="AH159" i="22"/>
  <c r="T87" i="22"/>
  <c r="T186" i="22"/>
  <c r="AP80" i="22"/>
  <c r="AH66" i="22"/>
  <c r="AF43" i="22"/>
  <c r="AH185" i="22"/>
  <c r="AF189" i="22"/>
  <c r="AP158" i="22"/>
  <c r="R35" i="22"/>
  <c r="AB303" i="22"/>
  <c r="T125" i="22"/>
  <c r="T369" i="22"/>
  <c r="T104" i="22"/>
  <c r="T197" i="22"/>
  <c r="Z253" i="22"/>
  <c r="Z119" i="22"/>
  <c r="R210" i="22"/>
  <c r="AB34" i="22"/>
  <c r="AB301" i="22"/>
  <c r="AP26" i="22"/>
  <c r="X50" i="22"/>
  <c r="R227" i="22"/>
  <c r="X369" i="22"/>
  <c r="AH268" i="22"/>
  <c r="V37" i="22"/>
  <c r="V106" i="22"/>
  <c r="AH23" i="22"/>
  <c r="X185" i="22"/>
  <c r="AR298" i="22"/>
  <c r="V19" i="22"/>
  <c r="AH213" i="22"/>
  <c r="Z52" i="22"/>
  <c r="Z200" i="22"/>
  <c r="AJ70" i="22"/>
  <c r="Z20" i="22"/>
  <c r="AJ224" i="22"/>
  <c r="AP45" i="22"/>
  <c r="V128" i="22"/>
  <c r="T90" i="22"/>
  <c r="AR319" i="22"/>
  <c r="V56" i="22"/>
  <c r="AF263" i="22"/>
  <c r="R289" i="22"/>
  <c r="AB25" i="22"/>
  <c r="AJ171" i="22"/>
  <c r="V171" i="22"/>
  <c r="T135" i="22"/>
  <c r="AJ24" i="22"/>
  <c r="V160" i="22"/>
  <c r="AR158" i="22"/>
  <c r="T67" i="22"/>
  <c r="X348" i="22"/>
  <c r="R60" i="22"/>
  <c r="T282" i="22"/>
  <c r="Z262" i="22"/>
  <c r="R374" i="22"/>
  <c r="AB55" i="22"/>
  <c r="V255" i="22"/>
  <c r="Z12" i="22"/>
  <c r="T229" i="22"/>
  <c r="AJ87" i="22"/>
  <c r="AH255" i="22"/>
  <c r="T86" i="22"/>
  <c r="AB159" i="22"/>
  <c r="T293" i="22"/>
  <c r="V20" i="22"/>
  <c r="AJ257" i="22"/>
  <c r="AJ47" i="22"/>
  <c r="AL168" i="22"/>
  <c r="X345" i="22"/>
  <c r="R79" i="22"/>
  <c r="AF370" i="22"/>
  <c r="AF286" i="22"/>
  <c r="AR149" i="22"/>
  <c r="R58" i="22"/>
  <c r="Z27" i="22"/>
  <c r="AP368" i="22"/>
  <c r="AP134" i="22"/>
  <c r="AF211" i="22"/>
  <c r="AR259" i="22"/>
  <c r="X241" i="22"/>
  <c r="AP322" i="22"/>
  <c r="AD146" i="22"/>
  <c r="X139" i="22"/>
  <c r="AR206" i="22"/>
  <c r="AB135" i="22"/>
  <c r="V198" i="22"/>
  <c r="X153" i="22"/>
  <c r="AL269" i="22"/>
  <c r="Z23" i="22"/>
  <c r="AJ350" i="22"/>
  <c r="AB46" i="22"/>
  <c r="AR349" i="22"/>
  <c r="X37" i="22"/>
  <c r="AB250" i="22"/>
  <c r="AR28" i="22"/>
  <c r="AB78" i="22"/>
  <c r="V353" i="22"/>
  <c r="Z72" i="22"/>
  <c r="AJ162" i="22"/>
  <c r="AB63" i="22"/>
  <c r="AL282" i="22"/>
  <c r="X300" i="22"/>
  <c r="V301" i="22"/>
  <c r="R349" i="22"/>
  <c r="AJ63" i="22"/>
  <c r="V313" i="22"/>
  <c r="AJ110" i="22"/>
  <c r="AR72" i="22"/>
  <c r="AB327" i="22"/>
  <c r="Z49" i="22"/>
  <c r="R149" i="22"/>
  <c r="Z61" i="22"/>
  <c r="AN270" i="22"/>
  <c r="V92" i="22"/>
  <c r="AR82" i="22"/>
  <c r="T296" i="22"/>
  <c r="T13" i="22"/>
  <c r="V354" i="22"/>
  <c r="V25" i="22"/>
  <c r="AB343" i="22"/>
  <c r="R108" i="22"/>
  <c r="V196" i="22"/>
  <c r="T268" i="22"/>
  <c r="AB279" i="22"/>
  <c r="AR143" i="22"/>
  <c r="R34" i="22"/>
  <c r="T231" i="22"/>
  <c r="Z105" i="22"/>
  <c r="R158" i="22"/>
  <c r="R31" i="22"/>
  <c r="Z140" i="22"/>
  <c r="AH205" i="22"/>
  <c r="X370" i="22"/>
  <c r="AJ26" i="22"/>
  <c r="T257" i="22"/>
  <c r="AR343" i="22"/>
  <c r="AF231" i="22"/>
  <c r="T314" i="22"/>
  <c r="R91" i="22"/>
  <c r="AB151" i="22"/>
  <c r="R101" i="22"/>
  <c r="R364" i="22"/>
  <c r="AB285" i="22"/>
  <c r="AR22" i="22"/>
  <c r="V152" i="22"/>
  <c r="AP118" i="22"/>
  <c r="V137" i="22"/>
  <c r="AJ190" i="22"/>
  <c r="AJ72" i="22"/>
  <c r="Z322" i="22"/>
  <c r="V84" i="22"/>
  <c r="R258" i="22"/>
  <c r="AF79" i="22"/>
  <c r="V141" i="22"/>
  <c r="AP39" i="22"/>
  <c r="Z36" i="22"/>
  <c r="AR279" i="22"/>
  <c r="AH120" i="22"/>
  <c r="V47" i="22"/>
  <c r="T33" i="22"/>
  <c r="Z22" i="22"/>
  <c r="AP141" i="22"/>
  <c r="AP30" i="22"/>
  <c r="AR375" i="22"/>
  <c r="AR248" i="22"/>
  <c r="AH220" i="22"/>
  <c r="AP55" i="22"/>
  <c r="AP115" i="22"/>
  <c r="AN277" i="22"/>
  <c r="Z190" i="22"/>
  <c r="V332" i="22"/>
  <c r="R16" i="22"/>
  <c r="Z221" i="22"/>
  <c r="AJ103" i="22"/>
  <c r="AH197" i="22"/>
  <c r="AR81" i="22"/>
  <c r="X277" i="22"/>
  <c r="X220" i="22"/>
  <c r="AB173" i="22"/>
  <c r="AJ259" i="22"/>
  <c r="AJ124" i="22"/>
  <c r="R226" i="22"/>
  <c r="AH186" i="22"/>
  <c r="T280" i="22"/>
  <c r="AH175" i="22"/>
  <c r="AJ357" i="22"/>
  <c r="AP209" i="22"/>
  <c r="AH14" i="22"/>
  <c r="X347" i="22"/>
  <c r="Z13" i="22"/>
  <c r="T334" i="22"/>
  <c r="AR131" i="22"/>
  <c r="Z372" i="22"/>
  <c r="AJ300" i="22"/>
  <c r="V13" i="22"/>
  <c r="AJ278" i="22"/>
  <c r="AR73" i="22"/>
  <c r="AR238" i="22"/>
  <c r="AR68" i="22"/>
  <c r="AR45" i="22"/>
  <c r="AR317" i="22"/>
  <c r="AB107" i="22"/>
  <c r="AH281" i="22"/>
  <c r="R47" i="22"/>
  <c r="Z251" i="22"/>
  <c r="V22" i="22"/>
  <c r="X24" i="22"/>
  <c r="AJ324" i="22"/>
  <c r="X70" i="22"/>
  <c r="Z321" i="22"/>
  <c r="AH63" i="22"/>
  <c r="AB297" i="22"/>
  <c r="T25" i="22"/>
  <c r="AB208" i="22"/>
  <c r="R121" i="22"/>
  <c r="V361" i="22"/>
  <c r="AB368" i="22"/>
  <c r="AJ152" i="22"/>
  <c r="X76" i="22"/>
  <c r="V44" i="22"/>
  <c r="AR203" i="22"/>
  <c r="AB115" i="22"/>
  <c r="Z344" i="22"/>
  <c r="V32" i="22"/>
  <c r="Z277" i="22"/>
  <c r="R50" i="22"/>
  <c r="V324" i="22"/>
  <c r="AR321" i="22"/>
  <c r="X235" i="22"/>
  <c r="T248" i="22"/>
  <c r="Z85" i="22"/>
  <c r="R207" i="22"/>
  <c r="X298" i="22"/>
  <c r="X101" i="22"/>
  <c r="AJ307" i="22"/>
  <c r="R112" i="22"/>
  <c r="Z171" i="22"/>
  <c r="AB21" i="22"/>
  <c r="AB80" i="22"/>
  <c r="AB144" i="22"/>
  <c r="AH53" i="22"/>
  <c r="AR274" i="22"/>
  <c r="AR247" i="22"/>
  <c r="AH364" i="22"/>
  <c r="V26" i="22"/>
  <c r="Z181" i="22"/>
  <c r="AP19" i="22"/>
  <c r="AP128" i="22"/>
  <c r="AF368" i="22"/>
  <c r="AF179" i="22"/>
  <c r="AH357" i="22"/>
  <c r="AR276" i="22"/>
  <c r="AB270" i="22"/>
  <c r="Z185" i="22"/>
  <c r="T16" i="22"/>
  <c r="X355" i="22"/>
  <c r="Z218" i="22"/>
  <c r="R253" i="22"/>
  <c r="AR93" i="22"/>
  <c r="AB332" i="22"/>
  <c r="AJ33" i="22"/>
  <c r="AH215" i="22"/>
  <c r="T339" i="22"/>
  <c r="V83" i="22"/>
  <c r="T233" i="22"/>
  <c r="AB42" i="22"/>
  <c r="T295" i="22"/>
  <c r="AH177" i="22"/>
  <c r="Z212" i="22"/>
  <c r="Z155" i="22"/>
  <c r="Z58" i="22"/>
  <c r="AL271" i="22"/>
  <c r="AH16" i="22"/>
  <c r="AR250" i="22"/>
  <c r="R20" i="22"/>
  <c r="V224" i="22"/>
  <c r="AR371" i="22"/>
  <c r="AL132" i="22"/>
  <c r="AJ256" i="22"/>
  <c r="AH51" i="22"/>
  <c r="AJ231" i="22"/>
  <c r="AR19" i="22"/>
  <c r="AB225" i="22"/>
  <c r="AR336" i="22"/>
  <c r="AR312" i="22"/>
  <c r="AR182" i="22"/>
  <c r="AB119" i="22"/>
  <c r="X124" i="22"/>
  <c r="T140" i="22"/>
  <c r="AJ312" i="22"/>
  <c r="AB75" i="22"/>
  <c r="X34" i="22"/>
  <c r="AJ313" i="22"/>
  <c r="AF26" i="22"/>
  <c r="Z376" i="22"/>
  <c r="X80" i="22"/>
  <c r="R240" i="22"/>
  <c r="Z332" i="22"/>
  <c r="Z255" i="22"/>
  <c r="AJ14" i="22"/>
  <c r="X325" i="22"/>
  <c r="V53" i="22"/>
  <c r="AJ239" i="22"/>
  <c r="X217" i="22"/>
  <c r="AP104" i="22"/>
  <c r="AR169" i="22"/>
  <c r="V333" i="22"/>
  <c r="AB281" i="22"/>
  <c r="AH250" i="22"/>
  <c r="AR215" i="22"/>
  <c r="Z113" i="22"/>
  <c r="AB20" i="22"/>
  <c r="AN264" i="22"/>
  <c r="V35" i="22"/>
  <c r="AR70" i="22"/>
  <c r="T36" i="22"/>
  <c r="V204" i="22"/>
  <c r="R237" i="22"/>
  <c r="T137" i="22"/>
  <c r="AB168" i="22"/>
  <c r="AN12" i="22"/>
  <c r="X199" i="22"/>
  <c r="X286" i="22"/>
  <c r="AF134" i="22"/>
  <c r="V293" i="22"/>
  <c r="X79" i="22"/>
  <c r="AR44" i="22"/>
  <c r="AP243" i="22"/>
  <c r="AH315" i="22"/>
  <c r="AF71" i="22"/>
  <c r="AH355" i="22"/>
  <c r="V80" i="22"/>
  <c r="AB241" i="22"/>
  <c r="Z94" i="22"/>
  <c r="AF315" i="22"/>
  <c r="AH324" i="22"/>
  <c r="AF354" i="22"/>
  <c r="AF255" i="22"/>
  <c r="AB336" i="22"/>
  <c r="AB29" i="22"/>
  <c r="T40" i="22"/>
  <c r="AB117" i="22"/>
  <c r="AB27" i="22"/>
  <c r="R125" i="22"/>
  <c r="R316" i="22"/>
  <c r="AB76" i="22"/>
  <c r="Z341" i="22"/>
  <c r="T84" i="22"/>
  <c r="Z366" i="22"/>
  <c r="AB165" i="22"/>
  <c r="X368" i="22"/>
  <c r="R249" i="22"/>
  <c r="T57" i="22"/>
  <c r="AJ263" i="22"/>
  <c r="X75" i="22"/>
  <c r="AB317" i="22"/>
  <c r="R351" i="22"/>
  <c r="AR240" i="22"/>
  <c r="AJ155" i="22"/>
  <c r="R116" i="22"/>
  <c r="AB150" i="22"/>
  <c r="T121" i="22"/>
  <c r="AP349" i="22"/>
  <c r="Z156" i="22"/>
  <c r="X203" i="22"/>
  <c r="X282" i="22"/>
  <c r="X253" i="22"/>
  <c r="AJ142" i="22"/>
  <c r="AJ15" i="22"/>
  <c r="AJ247" i="22"/>
  <c r="AB40" i="22"/>
  <c r="AH146" i="22"/>
  <c r="AH90" i="22"/>
  <c r="AR175" i="22"/>
  <c r="V55" i="22"/>
  <c r="AJ354" i="22"/>
  <c r="AJ243" i="22"/>
  <c r="R122" i="22"/>
  <c r="T276" i="22"/>
  <c r="X303" i="22"/>
  <c r="AF29" i="22"/>
  <c r="AR194" i="22"/>
  <c r="R347" i="22"/>
  <c r="AJ16" i="22"/>
  <c r="T305" i="22"/>
  <c r="AJ108" i="22"/>
  <c r="AJ280" i="22"/>
  <c r="AF240" i="22"/>
  <c r="R251" i="22"/>
  <c r="R231" i="22"/>
  <c r="AJ115" i="22"/>
  <c r="AN261" i="22"/>
  <c r="V291" i="22"/>
  <c r="AR212" i="22"/>
  <c r="AJ32" i="22"/>
  <c r="AJ268" i="22"/>
  <c r="AB272" i="22"/>
  <c r="AB367" i="22"/>
  <c r="AJ43" i="22"/>
  <c r="AH62" i="22"/>
  <c r="Z299" i="22"/>
  <c r="T332" i="22"/>
  <c r="R329" i="22"/>
  <c r="V70" i="22"/>
  <c r="Z235" i="22"/>
  <c r="V344" i="22"/>
  <c r="AH144" i="22"/>
  <c r="AP136" i="22"/>
  <c r="Z340" i="22"/>
  <c r="X350" i="22"/>
  <c r="R70" i="22"/>
  <c r="R113" i="22"/>
  <c r="R165" i="22"/>
  <c r="Z127" i="22"/>
  <c r="X42" i="22"/>
  <c r="AR78" i="22"/>
  <c r="AP240" i="22"/>
  <c r="AR157" i="22"/>
  <c r="AP52" i="22"/>
  <c r="T218" i="22"/>
  <c r="AL267" i="22"/>
  <c r="X171" i="22"/>
  <c r="AR55" i="22"/>
  <c r="AR339" i="22"/>
  <c r="R162" i="22"/>
  <c r="Z21" i="22"/>
  <c r="AR31" i="22"/>
  <c r="Z39" i="22"/>
  <c r="AB111" i="22"/>
  <c r="AB142" i="22"/>
  <c r="V194" i="22"/>
  <c r="R296" i="22"/>
  <c r="AR17" i="22"/>
  <c r="Z38" i="22"/>
  <c r="Z326" i="22"/>
  <c r="AL281" i="22"/>
  <c r="AH74" i="22"/>
  <c r="AH84" i="22"/>
  <c r="AD163" i="22"/>
  <c r="AL249" i="22"/>
  <c r="AN128" i="22"/>
  <c r="AL244" i="22"/>
  <c r="AN299" i="22"/>
  <c r="V189" i="22"/>
  <c r="AB61" i="22"/>
  <c r="AN61" i="22"/>
  <c r="AL69" i="22"/>
  <c r="AN126" i="22"/>
  <c r="AN178" i="22"/>
  <c r="AL357" i="22"/>
  <c r="AR292" i="22"/>
  <c r="V63" i="22"/>
  <c r="AL38" i="22"/>
  <c r="AN137" i="22"/>
  <c r="AL95" i="22"/>
  <c r="AL343" i="22"/>
  <c r="AN201" i="22"/>
  <c r="Z357" i="22"/>
  <c r="AJ114" i="22"/>
  <c r="AN371" i="22"/>
  <c r="AL31" i="22"/>
  <c r="AL226" i="22"/>
  <c r="AL352" i="22"/>
  <c r="AN309" i="22"/>
  <c r="AN269" i="22"/>
  <c r="AF136" i="22"/>
  <c r="AN141" i="22"/>
  <c r="AN54" i="22"/>
  <c r="AN308" i="22"/>
  <c r="AN187" i="22"/>
  <c r="AN125" i="22"/>
  <c r="R155" i="22"/>
  <c r="T69" i="22"/>
  <c r="AL174" i="22"/>
  <c r="AN99" i="22"/>
  <c r="AL140" i="22"/>
  <c r="AN247" i="22"/>
  <c r="AL130" i="22"/>
  <c r="AJ270" i="22"/>
  <c r="X77" i="22"/>
  <c r="AL52" i="22"/>
  <c r="AN80" i="22"/>
  <c r="AL101" i="22"/>
  <c r="AJ34" i="22"/>
  <c r="AH124" i="22"/>
  <c r="AP176" i="22"/>
  <c r="AB300" i="22"/>
  <c r="AH28" i="22"/>
  <c r="AB257" i="22"/>
  <c r="AB224" i="22"/>
  <c r="AH52" i="22"/>
  <c r="AJ250" i="22"/>
  <c r="T230" i="22"/>
  <c r="AJ245" i="22"/>
  <c r="AB346" i="22"/>
  <c r="V52" i="22"/>
  <c r="V76" i="22"/>
  <c r="X295" i="22"/>
  <c r="R78" i="22"/>
  <c r="T287" i="22"/>
  <c r="AP142" i="22"/>
  <c r="T309" i="22"/>
  <c r="T340" i="22"/>
  <c r="X106" i="22"/>
  <c r="AB176" i="22"/>
  <c r="AR362" i="22"/>
  <c r="AF250" i="22"/>
  <c r="T361" i="22"/>
  <c r="T22" i="22"/>
  <c r="AB140" i="22"/>
  <c r="R62" i="22"/>
  <c r="AP207" i="22"/>
  <c r="AN163" i="22"/>
  <c r="AF284" i="22"/>
  <c r="R199" i="22"/>
  <c r="AB263" i="22"/>
  <c r="Z219" i="22"/>
  <c r="AH118" i="22"/>
  <c r="AR127" i="22"/>
  <c r="AJ58" i="22"/>
  <c r="AJ311" i="22"/>
  <c r="X102" i="22"/>
  <c r="AR84" i="22"/>
  <c r="AL122" i="22"/>
  <c r="AN42" i="22"/>
  <c r="AN75" i="22"/>
  <c r="AN138" i="22"/>
  <c r="AN218" i="22"/>
  <c r="V148" i="22"/>
  <c r="Z130" i="22"/>
  <c r="AN188" i="22"/>
  <c r="AL35" i="22"/>
  <c r="AL194" i="22"/>
  <c r="AL206" i="22"/>
  <c r="AN147" i="22"/>
  <c r="R219" i="22"/>
  <c r="AR98" i="22"/>
  <c r="AL332" i="22"/>
  <c r="AL91" i="22"/>
  <c r="AN221" i="22"/>
  <c r="AN219" i="22"/>
  <c r="AL294" i="22"/>
  <c r="AR49" i="22"/>
  <c r="AR51" i="22"/>
  <c r="AL120" i="22"/>
  <c r="AL72" i="22"/>
  <c r="AN155" i="22"/>
  <c r="AN249" i="22"/>
  <c r="AN358" i="22"/>
  <c r="R255" i="22"/>
  <c r="V78" i="22"/>
  <c r="AN82" i="22"/>
  <c r="AN101" i="22"/>
  <c r="AL171" i="22"/>
  <c r="AN361" i="22"/>
  <c r="AL305" i="22"/>
  <c r="AL280" i="22"/>
  <c r="AJ113" i="22"/>
  <c r="AN111" i="22"/>
  <c r="AN131" i="22"/>
  <c r="AL207" i="22"/>
  <c r="AN374" i="22"/>
  <c r="AL361" i="22"/>
  <c r="AB170" i="22"/>
  <c r="AH257" i="22"/>
  <c r="AL234" i="22"/>
  <c r="AN198" i="22"/>
  <c r="AN167" i="22"/>
  <c r="R82" i="22"/>
  <c r="AH13" i="22"/>
  <c r="AF88" i="22"/>
  <c r="AJ330" i="22"/>
  <c r="X312" i="22"/>
  <c r="X237" i="22"/>
  <c r="AH82" i="22"/>
  <c r="Z232" i="22"/>
  <c r="AJ342" i="22"/>
  <c r="AJ306" i="22"/>
  <c r="AB178" i="22"/>
  <c r="R353" i="22"/>
  <c r="AR195" i="22"/>
  <c r="V49" i="22"/>
  <c r="T297" i="22"/>
  <c r="V362" i="22"/>
  <c r="X258" i="22"/>
  <c r="AF225" i="22"/>
  <c r="AL274" i="22"/>
  <c r="T66" i="22"/>
  <c r="AH155" i="22"/>
  <c r="AH167" i="22"/>
  <c r="T153" i="22"/>
  <c r="V351" i="22"/>
  <c r="R166" i="22"/>
  <c r="Z227" i="22"/>
  <c r="AN280" i="22"/>
  <c r="AB45" i="22"/>
  <c r="V230" i="22"/>
  <c r="AB153" i="22"/>
  <c r="AH26" i="22"/>
  <c r="AB196" i="22"/>
  <c r="AJ341" i="22"/>
  <c r="T165" i="22"/>
  <c r="AL278" i="22"/>
  <c r="AJ333" i="22"/>
  <c r="X96" i="22"/>
  <c r="AR288" i="22"/>
  <c r="X270" i="22"/>
  <c r="R292" i="22"/>
  <c r="AL135" i="22"/>
  <c r="AN124" i="22"/>
  <c r="AN331" i="22"/>
  <c r="AN287" i="22"/>
  <c r="AL328" i="22"/>
  <c r="T310" i="22"/>
  <c r="X25" i="22"/>
  <c r="AN68" i="22"/>
  <c r="AL67" i="22"/>
  <c r="AL251" i="22"/>
  <c r="AN338" i="22"/>
  <c r="AN222" i="22"/>
  <c r="AR201" i="22"/>
  <c r="V104" i="22"/>
  <c r="AL41" i="22"/>
  <c r="AN95" i="22"/>
  <c r="AL353" i="22"/>
  <c r="AN158" i="22"/>
  <c r="AL318" i="22"/>
  <c r="V317" i="22"/>
  <c r="Z50" i="22"/>
  <c r="AL172" i="22"/>
  <c r="AN52" i="22"/>
  <c r="AL360" i="22"/>
  <c r="AL250" i="22"/>
  <c r="AN177" i="22"/>
  <c r="AN265" i="22"/>
  <c r="AB68" i="22"/>
  <c r="AL221" i="22"/>
  <c r="AL121" i="22"/>
  <c r="AL359" i="22"/>
  <c r="AN290" i="22"/>
  <c r="AL223" i="22"/>
  <c r="AR294" i="22"/>
  <c r="AJ62" i="22"/>
  <c r="AL53" i="22"/>
  <c r="AN127" i="22"/>
  <c r="AL362" i="22"/>
  <c r="AN328" i="22"/>
  <c r="AN122" i="22"/>
  <c r="T221" i="22"/>
  <c r="AH75" i="22"/>
  <c r="AN114" i="22"/>
  <c r="AL49" i="22"/>
  <c r="AL354" i="22"/>
  <c r="AR184" i="22"/>
  <c r="AB92" i="22"/>
  <c r="T88" i="22"/>
  <c r="AR30" i="22"/>
  <c r="AJ345" i="22"/>
  <c r="X114" i="22"/>
  <c r="R214" i="22"/>
  <c r="R312" i="22"/>
  <c r="AB121" i="22"/>
  <c r="Z129" i="22"/>
  <c r="R348" i="22"/>
  <c r="T74" i="22"/>
  <c r="AL80" i="22"/>
  <c r="V17" i="22"/>
  <c r="R140" i="22"/>
  <c r="X313" i="22"/>
  <c r="AF271" i="22"/>
  <c r="T291" i="22"/>
  <c r="Z373" i="22"/>
  <c r="AR344" i="22"/>
  <c r="AH202" i="22"/>
  <c r="AF90" i="22"/>
  <c r="R266" i="22"/>
  <c r="V299" i="22"/>
  <c r="R193" i="22"/>
  <c r="AJ372" i="22"/>
  <c r="AB232" i="22"/>
  <c r="AN271" i="22"/>
  <c r="Z325" i="22"/>
  <c r="AP212" i="22"/>
  <c r="AH127" i="22"/>
  <c r="X204" i="22"/>
  <c r="Z249" i="22"/>
  <c r="Z226" i="22"/>
  <c r="R369" i="22"/>
  <c r="X52" i="22"/>
  <c r="AR36" i="22"/>
  <c r="AP261" i="22"/>
  <c r="Z342" i="22"/>
  <c r="AL283" i="22"/>
  <c r="AN45" i="22"/>
  <c r="AN91" i="22"/>
  <c r="AN229" i="22"/>
  <c r="AL290" i="22"/>
  <c r="AL201" i="22"/>
  <c r="AB197" i="22"/>
  <c r="T174" i="22"/>
  <c r="AL237" i="22"/>
  <c r="AN26" i="22"/>
  <c r="AL158" i="22"/>
  <c r="AL345" i="22"/>
  <c r="AL191" i="22"/>
  <c r="AB114" i="22"/>
  <c r="AJ60" i="22"/>
  <c r="AN191" i="22"/>
  <c r="AL45" i="22"/>
  <c r="AN350" i="22"/>
  <c r="AN197" i="22"/>
  <c r="AN209" i="22"/>
  <c r="AR360" i="22"/>
  <c r="X93" i="22"/>
  <c r="AL33" i="22"/>
  <c r="AL154" i="22"/>
  <c r="AL325" i="22"/>
  <c r="AN200" i="22"/>
  <c r="AN150" i="22"/>
  <c r="X342" i="22"/>
  <c r="AJ237" i="22"/>
  <c r="AL68" i="22"/>
  <c r="AL195" i="22"/>
  <c r="AL166" i="22"/>
  <c r="AL293" i="22"/>
  <c r="AN182" i="22"/>
  <c r="AB214" i="22"/>
  <c r="Z79" i="22"/>
  <c r="AN123" i="22"/>
  <c r="AL222" i="22"/>
  <c r="AL197" i="22"/>
  <c r="AN368" i="22"/>
  <c r="AL248" i="22"/>
  <c r="AJ266" i="22"/>
  <c r="T95" i="22"/>
  <c r="AL51" i="22"/>
  <c r="AL32" i="22"/>
  <c r="AL333" i="22"/>
  <c r="AH322" i="22"/>
  <c r="Z137" i="22"/>
  <c r="T163" i="22"/>
  <c r="AB299" i="22"/>
  <c r="Z270" i="22"/>
  <c r="Z348" i="22"/>
  <c r="V340" i="22"/>
  <c r="X309" i="22"/>
  <c r="AJ40" i="22"/>
  <c r="T149" i="22"/>
  <c r="AR352" i="22"/>
  <c r="V138" i="22"/>
  <c r="AH277" i="22"/>
  <c r="R142" i="22"/>
  <c r="Z309" i="22"/>
  <c r="T320" i="22"/>
  <c r="Z213" i="22"/>
  <c r="V210" i="22"/>
  <c r="V331" i="22"/>
  <c r="T217" i="22"/>
  <c r="R25" i="22"/>
  <c r="T31" i="22"/>
  <c r="AB269" i="22"/>
  <c r="AH221" i="22"/>
  <c r="AJ332" i="22"/>
  <c r="Z110" i="22"/>
  <c r="AR23" i="22"/>
  <c r="X88" i="22"/>
  <c r="Z106" i="22"/>
  <c r="AR24" i="22"/>
  <c r="AJ97" i="22"/>
  <c r="AJ183" i="22"/>
  <c r="AJ249" i="22"/>
  <c r="T254" i="22"/>
  <c r="R310" i="22"/>
  <c r="AH214" i="22"/>
  <c r="R334" i="22"/>
  <c r="AP29" i="22"/>
  <c r="AB244" i="22"/>
  <c r="R96" i="22"/>
  <c r="AL177" i="22"/>
  <c r="AL85" i="22"/>
  <c r="AL310" i="22"/>
  <c r="AL326" i="22"/>
  <c r="AN97" i="22"/>
  <c r="X196" i="22"/>
  <c r="X26" i="22"/>
  <c r="AL128" i="22"/>
  <c r="AN373" i="22"/>
  <c r="AN164" i="22"/>
  <c r="AN151" i="22"/>
  <c r="AN329" i="22"/>
  <c r="X371" i="22"/>
  <c r="X110" i="22"/>
  <c r="AN146" i="22"/>
  <c r="AN159" i="22"/>
  <c r="AN324" i="22"/>
  <c r="AN246" i="22"/>
  <c r="AL309" i="22"/>
  <c r="AR35" i="22"/>
  <c r="AJ29" i="22"/>
  <c r="AN113" i="22"/>
  <c r="AN83" i="22"/>
  <c r="AL348" i="22"/>
  <c r="AN194" i="22"/>
  <c r="AL364" i="22"/>
  <c r="AB358" i="22"/>
  <c r="X86" i="22"/>
  <c r="AN78" i="22"/>
  <c r="AN130" i="22"/>
  <c r="AL139" i="22"/>
  <c r="AN204" i="22"/>
  <c r="AL334" i="22"/>
  <c r="V231" i="22"/>
  <c r="T75" i="22"/>
  <c r="AN70" i="22"/>
  <c r="AF25" i="22"/>
  <c r="AP95" i="22"/>
  <c r="T130" i="22"/>
  <c r="AJ248" i="22"/>
  <c r="AH102" i="22"/>
  <c r="Z208" i="22"/>
  <c r="V129" i="22"/>
  <c r="V183" i="22"/>
  <c r="T266" i="22"/>
  <c r="X205" i="22"/>
  <c r="AF107" i="22"/>
  <c r="AH166" i="22"/>
  <c r="AJ329" i="22"/>
  <c r="R222" i="22"/>
  <c r="AJ352" i="22"/>
  <c r="AB81" i="22"/>
  <c r="AL94" i="22"/>
  <c r="AN51" i="22"/>
  <c r="R192" i="22"/>
  <c r="Z316" i="22"/>
  <c r="AP34" i="22"/>
  <c r="AJ283" i="22"/>
  <c r="X246" i="22"/>
  <c r="AH78" i="22"/>
  <c r="Z118" i="22"/>
  <c r="R269" i="22"/>
  <c r="AB129" i="22"/>
  <c r="R71" i="22"/>
  <c r="AJ185" i="22"/>
  <c r="AL224" i="22"/>
  <c r="AH58" i="22"/>
  <c r="AB123" i="22"/>
  <c r="V343" i="22"/>
  <c r="AH266" i="22"/>
  <c r="Z312" i="22"/>
  <c r="AB371" i="22"/>
  <c r="R232" i="22"/>
  <c r="Z149" i="22"/>
  <c r="AB145" i="22"/>
  <c r="AB19" i="22"/>
  <c r="AL55" i="22"/>
  <c r="AL337" i="22"/>
  <c r="AN142" i="22"/>
  <c r="AN135" i="22"/>
  <c r="AN305" i="22"/>
  <c r="AJ175" i="22"/>
  <c r="AJ90" i="22"/>
  <c r="AL240" i="22"/>
  <c r="AN13" i="22"/>
  <c r="AL146" i="22"/>
  <c r="AL347" i="22"/>
  <c r="AL148" i="22"/>
  <c r="AJ253" i="22"/>
  <c r="X252" i="22"/>
  <c r="AL368" i="22"/>
  <c r="AL19" i="22"/>
  <c r="AL312" i="22"/>
  <c r="AN85" i="22"/>
  <c r="AL211" i="22"/>
  <c r="AH198" i="22"/>
  <c r="AR90" i="22"/>
  <c r="AL81" i="22"/>
  <c r="AN208" i="22"/>
  <c r="AN317" i="22"/>
  <c r="AN330" i="22"/>
  <c r="V238" i="22"/>
  <c r="X138" i="22"/>
  <c r="V260" i="22"/>
  <c r="AL109" i="22"/>
  <c r="AN341" i="22"/>
  <c r="AL157" i="22"/>
  <c r="AL350" i="22"/>
  <c r="R213" i="22"/>
  <c r="X338" i="22"/>
  <c r="X359" i="22"/>
  <c r="AN90" i="22"/>
  <c r="AN319" i="22"/>
  <c r="AL218" i="22"/>
  <c r="AL159" i="22"/>
  <c r="AP145" i="22"/>
  <c r="AR197" i="22"/>
  <c r="V289" i="22"/>
  <c r="T196" i="22"/>
  <c r="AJ93" i="22"/>
  <c r="T235" i="22"/>
  <c r="V125" i="22"/>
  <c r="AR304" i="22"/>
  <c r="AH247" i="22"/>
  <c r="X166" i="22"/>
  <c r="T81" i="22"/>
  <c r="AB177" i="22"/>
  <c r="AR63" i="22"/>
  <c r="V118" i="22"/>
  <c r="AJ339" i="22"/>
  <c r="AJ340" i="22"/>
  <c r="AJ373" i="22"/>
  <c r="R336" i="22"/>
  <c r="V182" i="22"/>
  <c r="Z134" i="22"/>
  <c r="Z73" i="22"/>
  <c r="R215" i="22"/>
  <c r="T170" i="22"/>
  <c r="Z33" i="22"/>
  <c r="AJ360" i="22"/>
  <c r="AR192" i="22"/>
  <c r="AH203" i="22"/>
  <c r="T15" i="22"/>
  <c r="AH234" i="22"/>
  <c r="R135" i="22"/>
  <c r="AH109" i="22"/>
  <c r="X43" i="22"/>
  <c r="R154" i="22"/>
  <c r="Z276" i="22"/>
  <c r="X267" i="22"/>
  <c r="AJ321" i="22"/>
  <c r="AB274" i="22"/>
  <c r="AP61" i="22"/>
  <c r="X227" i="22"/>
  <c r="X240" i="22"/>
  <c r="AN233" i="22"/>
  <c r="AN64" i="22"/>
  <c r="AN166" i="22"/>
  <c r="AN295" i="22"/>
  <c r="AN156" i="22"/>
  <c r="AB182" i="22"/>
  <c r="AB13" i="22"/>
  <c r="AL62" i="22"/>
  <c r="AN66" i="22"/>
  <c r="AL129" i="22"/>
  <c r="AN363" i="22"/>
  <c r="AB128" i="22"/>
  <c r="AB286" i="22"/>
  <c r="AJ227" i="22"/>
  <c r="AL65" i="22"/>
  <c r="AN143" i="22"/>
  <c r="AL313" i="22"/>
  <c r="AL212" i="22"/>
  <c r="X362" i="22"/>
  <c r="AF232" i="22"/>
  <c r="AB373" i="22"/>
  <c r="AL349" i="22"/>
  <c r="AL57" i="22"/>
  <c r="AL238" i="22"/>
  <c r="AL302" i="22"/>
  <c r="AR173" i="22"/>
  <c r="T111" i="22"/>
  <c r="X262" i="22"/>
  <c r="AL367" i="22"/>
  <c r="AL16" i="22"/>
  <c r="AL376" i="22"/>
  <c r="AN174" i="22"/>
  <c r="Z256" i="22"/>
  <c r="R75" i="22"/>
  <c r="T358" i="22"/>
  <c r="AL164" i="22"/>
  <c r="AN35" i="22"/>
  <c r="AN215" i="22"/>
  <c r="AL175" i="22"/>
  <c r="AJ188" i="22"/>
  <c r="X292" i="22"/>
  <c r="AP339" i="22"/>
  <c r="AL30" i="22"/>
  <c r="AN157" i="22"/>
  <c r="AL286" i="22"/>
  <c r="AF309" i="22"/>
  <c r="AF62" i="22"/>
  <c r="V105" i="22"/>
  <c r="AF241" i="22"/>
  <c r="V245" i="22"/>
  <c r="AH96" i="22"/>
  <c r="AJ208" i="22"/>
  <c r="R241" i="22"/>
  <c r="AR154" i="22"/>
  <c r="R126" i="22"/>
  <c r="T136" i="22"/>
  <c r="T58" i="22"/>
  <c r="AJ73" i="22"/>
  <c r="AJ159" i="22"/>
  <c r="AR187" i="22"/>
  <c r="AJ167" i="22"/>
  <c r="AB249" i="22"/>
  <c r="AH76" i="22"/>
  <c r="AB52" i="22"/>
  <c r="X319" i="22"/>
  <c r="T123" i="22"/>
  <c r="T144" i="22"/>
  <c r="X131" i="22"/>
  <c r="Z238" i="22"/>
  <c r="Z333" i="22"/>
  <c r="AJ262" i="22"/>
  <c r="R325" i="22"/>
  <c r="V234" i="22"/>
  <c r="AL163" i="22"/>
  <c r="AB216" i="22"/>
  <c r="R19" i="22"/>
  <c r="Z78" i="22"/>
  <c r="R265" i="22"/>
  <c r="AJ96" i="22"/>
  <c r="X206" i="22"/>
  <c r="T239" i="22"/>
  <c r="Z159" i="22"/>
  <c r="X44" i="22"/>
  <c r="T173" i="22"/>
  <c r="X218" i="22"/>
  <c r="AL59" i="22"/>
  <c r="AL25" i="22"/>
  <c r="AN136" i="22"/>
  <c r="AL306" i="22"/>
  <c r="AR140" i="22"/>
  <c r="Z345" i="22"/>
  <c r="R153" i="22"/>
  <c r="AN239" i="22"/>
  <c r="AL113" i="22"/>
  <c r="AN179" i="22"/>
  <c r="AL199" i="22"/>
  <c r="X343" i="22"/>
  <c r="AB82" i="22"/>
  <c r="Z144" i="22"/>
  <c r="AN351" i="22"/>
  <c r="AL66" i="22"/>
  <c r="AN207" i="22"/>
  <c r="AL311" i="22"/>
  <c r="R287" i="22"/>
  <c r="T37" i="22"/>
  <c r="AJ292" i="22"/>
  <c r="AL112" i="22"/>
  <c r="AL22" i="22"/>
  <c r="AN213" i="22"/>
  <c r="AL288" i="22"/>
  <c r="Z224" i="22"/>
  <c r="AL264" i="22"/>
  <c r="R242" i="22"/>
  <c r="AL27" i="22"/>
  <c r="AN84" i="22"/>
  <c r="AL331" i="22"/>
  <c r="AN334" i="22"/>
  <c r="AP358" i="22"/>
  <c r="T265" i="22"/>
  <c r="AJ197" i="22"/>
  <c r="AN72" i="22"/>
  <c r="AN345" i="22"/>
  <c r="AN369" i="22"/>
  <c r="AN199" i="22"/>
  <c r="AJ149" i="22"/>
  <c r="V93" i="22"/>
  <c r="AR139" i="22"/>
  <c r="AL183" i="22"/>
  <c r="AL48" i="22"/>
  <c r="AN312" i="22"/>
  <c r="AF208" i="22"/>
  <c r="AH65" i="22"/>
  <c r="R17" i="22"/>
  <c r="AJ288" i="22"/>
  <c r="AH272" i="22"/>
  <c r="AR80" i="22"/>
  <c r="AJ347" i="22"/>
  <c r="X65" i="22"/>
  <c r="AR342" i="22"/>
  <c r="T226" i="22"/>
  <c r="AJ192" i="22"/>
  <c r="T237" i="22"/>
  <c r="T270" i="22"/>
  <c r="AH163" i="22"/>
  <c r="AH243" i="22"/>
  <c r="AR202" i="22"/>
  <c r="AJ327" i="22"/>
  <c r="AJ121" i="22"/>
  <c r="X229" i="22"/>
  <c r="AL256" i="22"/>
  <c r="AP295" i="22"/>
  <c r="AH43" i="22"/>
  <c r="AP304" i="22"/>
  <c r="T64" i="22"/>
  <c r="AH224" i="22"/>
  <c r="AH105" i="22"/>
  <c r="R285" i="22"/>
  <c r="Z167" i="22"/>
  <c r="R105" i="22"/>
  <c r="AB175" i="22"/>
  <c r="AF261" i="22"/>
  <c r="X226" i="22"/>
  <c r="R221" i="22"/>
  <c r="AJ41" i="22"/>
  <c r="T143" i="22"/>
  <c r="R318" i="22"/>
  <c r="V358" i="22"/>
  <c r="X94" i="22"/>
  <c r="AJ119" i="22"/>
  <c r="AJ17" i="22"/>
  <c r="AN175" i="22"/>
  <c r="AN55" i="22"/>
  <c r="AN327" i="22"/>
  <c r="AL104" i="22"/>
  <c r="AR160" i="22"/>
  <c r="AH21" i="22"/>
  <c r="T189" i="22"/>
  <c r="AN86" i="22"/>
  <c r="AL26" i="22"/>
  <c r="AN217" i="22"/>
  <c r="AL182" i="22"/>
  <c r="AJ235" i="22"/>
  <c r="AF48" i="22"/>
  <c r="V371" i="22"/>
  <c r="AN49" i="22"/>
  <c r="AN96" i="22"/>
  <c r="AN348" i="22"/>
  <c r="AN325" i="22"/>
  <c r="T152" i="22"/>
  <c r="R204" i="22"/>
  <c r="V307" i="22"/>
  <c r="AN27" i="22"/>
  <c r="AL78" i="22"/>
  <c r="AN176" i="22"/>
  <c r="AN186" i="22"/>
  <c r="AP342" i="22"/>
  <c r="AR21" i="22"/>
  <c r="AJ368" i="22"/>
  <c r="AN58" i="22"/>
  <c r="AN104" i="22"/>
  <c r="AN195" i="22"/>
  <c r="AL299" i="22"/>
  <c r="AB236" i="22"/>
  <c r="AP82" i="22"/>
  <c r="Z305" i="22"/>
  <c r="AL54" i="22"/>
  <c r="AN15" i="22"/>
  <c r="AN307" i="22"/>
  <c r="AL107" i="22"/>
  <c r="V176" i="22"/>
  <c r="R52" i="22"/>
  <c r="AF235" i="22"/>
  <c r="AN30" i="22"/>
  <c r="AL20" i="22"/>
  <c r="AL324" i="22"/>
  <c r="AB335" i="22"/>
  <c r="V50" i="22"/>
  <c r="R44" i="22"/>
  <c r="AH151" i="22"/>
  <c r="AB164" i="22"/>
  <c r="X266" i="22"/>
  <c r="X239" i="22"/>
  <c r="X302" i="22"/>
  <c r="AF61" i="22"/>
  <c r="AH260" i="22"/>
  <c r="Z290" i="22"/>
  <c r="AN274" i="22"/>
  <c r="X179" i="22"/>
  <c r="AJ21" i="22"/>
  <c r="AR69" i="22"/>
  <c r="AF132" i="22"/>
  <c r="AJ52" i="22"/>
  <c r="T60" i="22"/>
  <c r="AJ186" i="22"/>
  <c r="V283" i="22"/>
  <c r="T106" i="22"/>
  <c r="AJ271" i="22"/>
  <c r="AB26" i="22"/>
  <c r="AJ105" i="22"/>
  <c r="AJ148" i="22"/>
  <c r="AB344" i="22"/>
  <c r="AB320" i="22"/>
  <c r="R171" i="22"/>
  <c r="X285" i="22"/>
  <c r="T246" i="22"/>
  <c r="V156" i="22"/>
  <c r="T139" i="22"/>
  <c r="R290" i="22"/>
  <c r="AN276" i="22"/>
  <c r="V36" i="22"/>
  <c r="AR234" i="22"/>
  <c r="AR112" i="22"/>
  <c r="AH212" i="22"/>
  <c r="R371" i="22"/>
  <c r="AB188" i="22"/>
  <c r="AD12" i="22"/>
  <c r="AN29" i="22"/>
  <c r="AN25" i="22"/>
  <c r="AL307" i="22"/>
  <c r="AN196" i="22"/>
  <c r="R173" i="22"/>
  <c r="R128" i="22"/>
  <c r="AH240" i="22"/>
  <c r="AL216" i="22"/>
  <c r="AN24" i="22"/>
  <c r="AN311" i="22"/>
  <c r="AN243" i="22"/>
  <c r="X357" i="22"/>
  <c r="Z168" i="22"/>
  <c r="R229" i="22"/>
  <c r="AN252" i="22"/>
  <c r="AN44" i="22"/>
  <c r="AN375" i="22"/>
  <c r="AN210" i="22"/>
  <c r="AJ232" i="22"/>
  <c r="Z304" i="22"/>
  <c r="AL117" i="22"/>
  <c r="AN32" i="22"/>
  <c r="AL363" i="22"/>
  <c r="AL338" i="22"/>
  <c r="AL181" i="22"/>
  <c r="X275" i="22"/>
  <c r="AB84" i="22"/>
  <c r="AN16" i="22"/>
  <c r="AN77" i="22"/>
  <c r="AL231" i="22"/>
  <c r="AN357" i="22"/>
  <c r="AN238" i="22"/>
  <c r="V257" i="22"/>
  <c r="AF39" i="22"/>
  <c r="AL79" i="22"/>
  <c r="AL36" i="22"/>
  <c r="AN300" i="22"/>
  <c r="AN226" i="22"/>
  <c r="AN322" i="22"/>
  <c r="X132" i="22"/>
  <c r="T73" i="22"/>
  <c r="AL14" i="22"/>
  <c r="AN65" i="22"/>
  <c r="AN19" i="22"/>
  <c r="AF49" i="22"/>
  <c r="T21" i="22"/>
  <c r="Z174" i="22"/>
  <c r="X281" i="22"/>
  <c r="AJ301" i="22"/>
  <c r="V369" i="22"/>
  <c r="R298" i="22"/>
  <c r="AL144" i="22"/>
  <c r="AN46" i="22"/>
  <c r="AL24" i="22"/>
  <c r="T252" i="22"/>
  <c r="AB363" i="22"/>
  <c r="X186" i="22"/>
  <c r="AL149" i="22"/>
  <c r="T105" i="22"/>
  <c r="AL303" i="22"/>
  <c r="AN323" i="22"/>
  <c r="R333" i="22"/>
  <c r="R132" i="22"/>
  <c r="X356" i="22"/>
  <c r="AL64" i="22"/>
  <c r="AN161" i="22"/>
  <c r="AL169" i="22"/>
  <c r="AL236" i="22"/>
  <c r="AB171" i="22"/>
  <c r="X255" i="22"/>
  <c r="R169" i="22"/>
  <c r="AL327" i="22"/>
  <c r="AN100" i="22"/>
  <c r="AN248" i="22"/>
  <c r="AN173" i="22"/>
  <c r="AL204" i="22"/>
  <c r="X163" i="22"/>
  <c r="Z279" i="22"/>
  <c r="AL180" i="22"/>
  <c r="AN79" i="22"/>
  <c r="AN310" i="22"/>
  <c r="AL301" i="22"/>
  <c r="AL321" i="22"/>
  <c r="X189" i="22"/>
  <c r="AJ79" i="22"/>
  <c r="AL137" i="22"/>
  <c r="AR199" i="22"/>
  <c r="AB64" i="22"/>
  <c r="V328" i="22"/>
  <c r="V89" i="22"/>
  <c r="V325" i="22"/>
  <c r="AL96" i="22"/>
  <c r="T175" i="22"/>
  <c r="AF100" i="22"/>
  <c r="AB372" i="22"/>
  <c r="T109" i="22"/>
  <c r="V209" i="22"/>
  <c r="AF124" i="22"/>
  <c r="AN20" i="22"/>
  <c r="AB148" i="22"/>
  <c r="Z150" i="22"/>
  <c r="AJ126" i="22"/>
  <c r="AJ68" i="22"/>
  <c r="Z319" i="22"/>
  <c r="X30" i="22"/>
  <c r="AJ22" i="22"/>
  <c r="AJ308" i="22"/>
  <c r="Z204" i="22"/>
  <c r="AB130" i="22"/>
  <c r="AB238" i="22"/>
  <c r="Z56" i="22"/>
  <c r="X191" i="22"/>
  <c r="Z337" i="22"/>
  <c r="X120" i="22"/>
  <c r="Z359" i="22"/>
  <c r="AB72" i="22"/>
  <c r="AH204" i="22"/>
  <c r="AB105" i="22"/>
  <c r="AP355" i="22"/>
  <c r="X250" i="22"/>
  <c r="AF76" i="22"/>
  <c r="AR205" i="22"/>
  <c r="AF207" i="22"/>
  <c r="AR161" i="22"/>
  <c r="AL70" i="22"/>
  <c r="V42" i="22"/>
  <c r="AB12" i="22"/>
  <c r="V146" i="22"/>
  <c r="T62" i="22"/>
  <c r="AB90" i="22"/>
  <c r="T375" i="22"/>
  <c r="Z211" i="22"/>
  <c r="R115" i="22"/>
  <c r="AL261" i="22"/>
  <c r="AJ54" i="22"/>
  <c r="R114" i="22"/>
  <c r="AB122" i="22"/>
  <c r="AN367" i="22"/>
  <c r="AN237" i="22"/>
  <c r="AL60" i="22"/>
  <c r="AN23" i="22"/>
  <c r="Z193" i="22"/>
  <c r="V115" i="22"/>
  <c r="AN326" i="22"/>
  <c r="X202" i="22"/>
  <c r="AN314" i="22"/>
  <c r="AN296" i="22"/>
  <c r="Z179" i="22"/>
  <c r="Z60" i="22"/>
  <c r="V368" i="22"/>
  <c r="AL243" i="22"/>
  <c r="AL82" i="22"/>
  <c r="AN227" i="22"/>
  <c r="AN116" i="22"/>
  <c r="AJ189" i="22"/>
  <c r="T344" i="22"/>
  <c r="T202" i="22"/>
  <c r="AN103" i="22"/>
  <c r="AL124" i="22"/>
  <c r="AL210" i="22"/>
  <c r="AL153" i="22"/>
  <c r="T198" i="22"/>
  <c r="AR151" i="22"/>
  <c r="X320" i="22"/>
  <c r="AL126" i="22"/>
  <c r="AL29" i="22"/>
  <c r="AN342" i="22"/>
  <c r="AN293" i="22"/>
  <c r="X315" i="22"/>
  <c r="AR189" i="22"/>
  <c r="Z296" i="22"/>
  <c r="AN119" i="22"/>
  <c r="AP200" i="22"/>
  <c r="Z74" i="22"/>
  <c r="AB322" i="22"/>
  <c r="AB321" i="22"/>
  <c r="V149" i="22"/>
  <c r="AN376" i="22"/>
  <c r="T240" i="22"/>
  <c r="V95" i="22"/>
  <c r="AB147" i="22"/>
  <c r="V121" i="22"/>
  <c r="AR198" i="22"/>
  <c r="AB162" i="22"/>
  <c r="AL365" i="22"/>
  <c r="AB304" i="22"/>
  <c r="T51" i="22"/>
  <c r="V252" i="22"/>
  <c r="AB86" i="22"/>
  <c r="V311" i="22"/>
  <c r="AN60" i="22"/>
  <c r="V143" i="22"/>
  <c r="V177" i="22"/>
  <c r="AJ178" i="22"/>
  <c r="X27" i="22"/>
  <c r="X184" i="22"/>
  <c r="AH190" i="22"/>
  <c r="AD269" i="22"/>
  <c r="Z87" i="22"/>
  <c r="T55" i="22"/>
  <c r="V180" i="22"/>
  <c r="AH226" i="22"/>
  <c r="AB338" i="22"/>
  <c r="T77" i="22"/>
  <c r="AB255" i="22"/>
  <c r="AH129" i="22"/>
  <c r="V59" i="22"/>
  <c r="AH229" i="22"/>
  <c r="V39" i="22"/>
  <c r="AR141" i="22"/>
  <c r="AL106" i="22"/>
  <c r="AB192" i="22"/>
  <c r="AB65" i="22"/>
  <c r="AH262" i="22"/>
  <c r="V27" i="22"/>
  <c r="AJ315" i="22"/>
  <c r="AP278" i="22"/>
  <c r="AJ198" i="22"/>
  <c r="V33" i="22"/>
  <c r="X100" i="22"/>
  <c r="R163" i="22"/>
  <c r="T45" i="22"/>
  <c r="AJ143" i="22"/>
  <c r="AL239" i="22"/>
  <c r="AN340" i="22"/>
  <c r="AL74" i="22"/>
  <c r="AN353" i="22"/>
  <c r="AD285" i="22"/>
  <c r="V271" i="22"/>
  <c r="AN214" i="22"/>
  <c r="T250" i="22"/>
  <c r="AL372" i="22"/>
  <c r="AL92" i="22"/>
  <c r="X223" i="22"/>
  <c r="R45" i="22"/>
  <c r="R335" i="22"/>
  <c r="AL40" i="22"/>
  <c r="AN41" i="22"/>
  <c r="AL330" i="22"/>
  <c r="AN332" i="22"/>
  <c r="Z331" i="22"/>
  <c r="AH47" i="22"/>
  <c r="AR96" i="22"/>
  <c r="AN38" i="22"/>
  <c r="AN291" i="22"/>
  <c r="AL342" i="22"/>
  <c r="AL358" i="22"/>
  <c r="R354" i="22"/>
  <c r="R201" i="22"/>
  <c r="AB146" i="22"/>
  <c r="AL50" i="22"/>
  <c r="AN47" i="22"/>
  <c r="AN240" i="22"/>
  <c r="AL296" i="22"/>
  <c r="AJ176" i="22"/>
  <c r="AB35" i="22"/>
  <c r="AJ228" i="22"/>
  <c r="AL371" i="22"/>
  <c r="AJ252" i="22"/>
  <c r="AR333" i="22"/>
  <c r="AJ246" i="22"/>
  <c r="R32" i="22"/>
  <c r="AR129" i="22"/>
  <c r="AN360" i="22"/>
  <c r="T132" i="22"/>
  <c r="X72" i="22"/>
  <c r="R245" i="22"/>
  <c r="T107" i="22"/>
  <c r="R228" i="22"/>
  <c r="R66" i="22"/>
  <c r="AN40" i="22"/>
  <c r="AR190" i="22"/>
  <c r="AB331" i="22"/>
  <c r="AJ269" i="22"/>
  <c r="V86" i="22"/>
  <c r="X133" i="22"/>
  <c r="AN14" i="22"/>
  <c r="AB191" i="22"/>
  <c r="T255" i="22"/>
  <c r="Z231" i="22"/>
  <c r="AF96" i="22"/>
  <c r="AB284" i="22"/>
  <c r="AF67" i="22"/>
  <c r="AN120" i="22"/>
  <c r="AB282" i="22"/>
  <c r="Z131" i="22"/>
  <c r="Z259" i="22"/>
  <c r="T65" i="22"/>
  <c r="X236" i="22"/>
  <c r="Z71" i="22"/>
  <c r="AL15" i="22"/>
  <c r="R120" i="22"/>
  <c r="V140" i="22"/>
  <c r="R261" i="22"/>
  <c r="X112" i="22"/>
  <c r="T161" i="22"/>
  <c r="AL28" i="22"/>
  <c r="X188" i="22"/>
  <c r="T38" i="22"/>
  <c r="AJ254" i="22"/>
  <c r="T44" i="22"/>
  <c r="R283" i="22"/>
  <c r="R357" i="22"/>
  <c r="V241" i="22"/>
  <c r="V114" i="22"/>
  <c r="R365" i="22"/>
  <c r="X341" i="22"/>
  <c r="X339" i="22"/>
  <c r="Z170" i="22"/>
  <c r="AH284" i="22"/>
  <c r="AN171" i="22"/>
  <c r="AL289" i="22"/>
  <c r="AL161" i="22"/>
  <c r="AN56" i="22"/>
  <c r="R311" i="22"/>
  <c r="AN313" i="22"/>
  <c r="AD193" i="22"/>
  <c r="AN286" i="22"/>
  <c r="AL185" i="22"/>
  <c r="AB278" i="22"/>
  <c r="AJ20" i="22"/>
  <c r="Z163" i="22"/>
  <c r="AN98" i="22"/>
  <c r="AN36" i="22"/>
  <c r="AL241" i="22"/>
  <c r="AN154" i="22"/>
  <c r="AJ174" i="22"/>
  <c r="AB96" i="22"/>
  <c r="AH210" i="22"/>
  <c r="AN92" i="22"/>
  <c r="AN117" i="22"/>
  <c r="AL351" i="22"/>
  <c r="AL304" i="22"/>
  <c r="AJ272" i="22"/>
  <c r="Z66" i="22"/>
  <c r="R275" i="22"/>
  <c r="AL103" i="22"/>
  <c r="AL61" i="22"/>
  <c r="AL213" i="22"/>
  <c r="AL341" i="22"/>
  <c r="AL276" i="22"/>
  <c r="AH174" i="22"/>
  <c r="T177" i="22"/>
  <c r="AN181" i="22"/>
  <c r="AP298" i="22"/>
  <c r="R234" i="22"/>
  <c r="R343" i="22"/>
  <c r="AB347" i="22"/>
  <c r="X290" i="22"/>
  <c r="AN184" i="22"/>
  <c r="X168" i="22"/>
  <c r="T108" i="22"/>
  <c r="V261" i="22"/>
  <c r="V185" i="22"/>
  <c r="AB220" i="22"/>
  <c r="R317" i="22"/>
  <c r="AL300" i="22"/>
  <c r="AJ157" i="22"/>
  <c r="AH194" i="22"/>
  <c r="Z353" i="22"/>
  <c r="AJ81" i="22"/>
  <c r="V165" i="22"/>
  <c r="AL252" i="22"/>
  <c r="X190" i="22"/>
  <c r="AH69" i="22"/>
  <c r="AJ356" i="22"/>
  <c r="X172" i="22"/>
  <c r="V157" i="22"/>
  <c r="Z64" i="22"/>
  <c r="AN189" i="22"/>
  <c r="X272" i="22"/>
  <c r="V265" i="22"/>
  <c r="AB247" i="22"/>
  <c r="AB152" i="22"/>
  <c r="AL266" i="22"/>
  <c r="AR77" i="22"/>
  <c r="AL167" i="22"/>
  <c r="AB226" i="22"/>
  <c r="AJ187" i="22"/>
  <c r="AB364" i="22"/>
  <c r="V285" i="22"/>
  <c r="R188" i="22"/>
  <c r="AN87" i="22"/>
  <c r="Z161" i="22"/>
  <c r="T96" i="22"/>
  <c r="T363" i="22"/>
  <c r="AH157" i="22"/>
  <c r="T349" i="22"/>
  <c r="AP279" i="22"/>
  <c r="AF42" i="22"/>
  <c r="AJ204" i="22"/>
  <c r="V322" i="22"/>
  <c r="X265" i="22"/>
  <c r="AB137" i="22"/>
  <c r="AH131" i="22"/>
  <c r="AL178" i="22"/>
  <c r="AN185" i="22"/>
  <c r="AN76" i="22"/>
  <c r="AL141" i="22"/>
  <c r="AR300" i="22"/>
  <c r="AN343" i="22"/>
  <c r="AN67" i="22"/>
  <c r="AL227" i="22"/>
  <c r="AL355" i="22"/>
  <c r="Z197" i="22"/>
  <c r="X176" i="22"/>
  <c r="AD102" i="22"/>
  <c r="AN62" i="22"/>
  <c r="AL340" i="22"/>
  <c r="AN349" i="22"/>
  <c r="AL217" i="22"/>
  <c r="Z173" i="22"/>
  <c r="AJ13" i="22"/>
  <c r="T264" i="22"/>
  <c r="AL320" i="22"/>
  <c r="AN21" i="22"/>
  <c r="AL370" i="22"/>
  <c r="AN170" i="22"/>
  <c r="AB354" i="22"/>
  <c r="Z24" i="22"/>
  <c r="X326" i="22"/>
  <c r="AL138" i="22"/>
  <c r="AL116" i="22"/>
  <c r="AL336" i="22"/>
  <c r="AN355" i="22"/>
  <c r="Z176" i="22"/>
  <c r="AH60" i="22"/>
  <c r="AJ184" i="22"/>
  <c r="AH134" i="22"/>
  <c r="AH276" i="22"/>
  <c r="AR228" i="22"/>
  <c r="AJ102" i="22"/>
  <c r="AB99" i="22"/>
  <c r="Z307" i="22"/>
  <c r="AN112" i="22"/>
  <c r="T219" i="22"/>
  <c r="R157" i="22"/>
  <c r="R324" i="22"/>
  <c r="X49" i="22"/>
  <c r="AR61" i="22"/>
  <c r="X221" i="22"/>
  <c r="AN366" i="22"/>
  <c r="AB185" i="22"/>
  <c r="X95" i="22"/>
  <c r="X251" i="22"/>
  <c r="Z123" i="22"/>
  <c r="T156" i="22"/>
  <c r="AL127" i="22"/>
  <c r="AJ170" i="22"/>
  <c r="Z292" i="22"/>
  <c r="AB228" i="22"/>
  <c r="X74" i="22"/>
  <c r="Z302" i="22"/>
  <c r="X154" i="22"/>
  <c r="AN105" i="22"/>
  <c r="AR324" i="22"/>
  <c r="AF115" i="22"/>
  <c r="R230" i="22"/>
  <c r="AJ309" i="22"/>
  <c r="Z222" i="22"/>
  <c r="AL102" i="22"/>
  <c r="AN107" i="22"/>
  <c r="AB218" i="22"/>
  <c r="R323" i="22"/>
  <c r="X84" i="22"/>
  <c r="V247" i="22"/>
  <c r="AJ319" i="22"/>
  <c r="Z234" i="22"/>
  <c r="V376" i="22"/>
  <c r="Z19" i="22"/>
  <c r="R284" i="22"/>
  <c r="X40" i="22"/>
  <c r="AB275" i="22"/>
  <c r="AN190" i="22"/>
  <c r="AN306" i="22"/>
  <c r="AL228" i="22"/>
  <c r="AN59" i="22"/>
  <c r="Z111" i="22"/>
  <c r="AL77" i="22"/>
  <c r="AL295" i="22"/>
  <c r="AL134" i="22"/>
  <c r="AN272" i="22"/>
  <c r="AP112" i="22"/>
  <c r="AN57" i="22"/>
  <c r="AN73" i="22"/>
  <c r="AL114" i="22"/>
  <c r="AL323" i="22"/>
  <c r="AL162" i="22"/>
  <c r="AJ304" i="22"/>
  <c r="AH116" i="22"/>
  <c r="AD71" i="22"/>
  <c r="AN106" i="22"/>
  <c r="AN31" i="22"/>
  <c r="AL200" i="22"/>
  <c r="AN318" i="22"/>
  <c r="AR214" i="22"/>
  <c r="R95" i="22"/>
  <c r="AB296" i="22"/>
  <c r="AN109" i="22"/>
  <c r="AL23" i="22"/>
  <c r="AN183" i="22"/>
  <c r="AN364" i="22"/>
  <c r="R256" i="22"/>
  <c r="Z365" i="22"/>
  <c r="T286" i="22"/>
  <c r="AP210" i="22"/>
  <c r="X103" i="22"/>
  <c r="X296" i="22"/>
  <c r="AH193" i="22"/>
  <c r="R143" i="22"/>
  <c r="AR104" i="22"/>
  <c r="AL220" i="22"/>
  <c r="T133" i="22"/>
  <c r="Z216" i="22"/>
  <c r="V244" i="22"/>
  <c r="X232" i="22"/>
  <c r="AB311" i="22"/>
  <c r="X316" i="22"/>
  <c r="AL315" i="22"/>
  <c r="AR64" i="22"/>
  <c r="AH87" i="22"/>
  <c r="AJ279" i="22"/>
  <c r="AJ172" i="22"/>
  <c r="Z273" i="22"/>
  <c r="AL232" i="22"/>
  <c r="X324" i="22"/>
  <c r="AP48" i="22"/>
  <c r="AR186" i="22"/>
  <c r="AB124" i="22"/>
  <c r="AH249" i="22"/>
  <c r="T191" i="22"/>
  <c r="AL99" i="22"/>
  <c r="X363" i="22"/>
  <c r="X207" i="22"/>
  <c r="T330" i="22"/>
  <c r="X73" i="22"/>
  <c r="AR115" i="22"/>
  <c r="X130" i="22"/>
  <c r="AN89" i="22"/>
  <c r="AB204" i="22"/>
  <c r="R129" i="22"/>
  <c r="AJ107" i="22"/>
  <c r="AF139" i="22"/>
  <c r="AP266" i="22"/>
  <c r="AN257" i="22"/>
  <c r="T372" i="22"/>
  <c r="Z88" i="22"/>
  <c r="AD43" i="22"/>
  <c r="AH104" i="22"/>
  <c r="AR310" i="22"/>
  <c r="AN144" i="22"/>
  <c r="AL156" i="22"/>
  <c r="AL119" i="22"/>
  <c r="AN53" i="22"/>
  <c r="AJ136" i="22"/>
  <c r="AL56" i="22"/>
  <c r="AL230" i="22"/>
  <c r="AN180" i="22"/>
  <c r="AP327" i="22"/>
  <c r="AB101" i="22"/>
  <c r="AL105" i="22"/>
  <c r="AN118" i="22"/>
  <c r="AN192" i="22"/>
  <c r="AN289" i="22"/>
  <c r="AN304" i="22"/>
  <c r="X305" i="22"/>
  <c r="AH99" i="22"/>
  <c r="AD255" i="22"/>
  <c r="AN110" i="22"/>
  <c r="AL335" i="22"/>
  <c r="AN245" i="22"/>
  <c r="AL291" i="22"/>
  <c r="V347" i="22"/>
  <c r="AH81" i="22"/>
  <c r="AD132" i="22"/>
  <c r="AL189" i="22"/>
  <c r="AL83" i="22"/>
  <c r="AL314" i="22"/>
  <c r="AN244" i="22"/>
  <c r="X333" i="22"/>
  <c r="Z18" i="22"/>
  <c r="V191" i="22"/>
  <c r="AB229" i="22"/>
  <c r="T18" i="22"/>
  <c r="R300" i="22"/>
  <c r="AH73" i="22"/>
  <c r="R286" i="22"/>
  <c r="T50" i="22"/>
  <c r="Z278" i="22"/>
  <c r="Z206" i="22"/>
  <c r="AR225" i="22"/>
  <c r="Z101" i="22"/>
  <c r="Z310" i="22"/>
  <c r="X242" i="22"/>
  <c r="T176" i="22"/>
  <c r="AN160" i="22"/>
  <c r="AJ318" i="22"/>
  <c r="R309" i="22"/>
  <c r="AB102" i="22"/>
  <c r="R76" i="22"/>
  <c r="Z84" i="22"/>
  <c r="AL142" i="22"/>
  <c r="AJ153" i="22"/>
  <c r="AB104" i="22"/>
  <c r="V335" i="22"/>
  <c r="AJ71" i="22"/>
  <c r="AJ375" i="22"/>
  <c r="AJ31" i="22"/>
  <c r="AN232" i="22"/>
  <c r="AR229" i="22"/>
  <c r="V43" i="22"/>
  <c r="R280" i="22"/>
  <c r="V23" i="22"/>
  <c r="AJ180" i="22"/>
  <c r="X61" i="22"/>
  <c r="AL179" i="22"/>
  <c r="AJ293" i="22"/>
  <c r="AH45" i="22"/>
  <c r="R206" i="22"/>
  <c r="AH135" i="22"/>
  <c r="X156" i="22"/>
  <c r="AN148" i="22"/>
  <c r="Z371" i="22"/>
  <c r="X122" i="22"/>
  <c r="AB280" i="22"/>
  <c r="AB32" i="22"/>
  <c r="AB109" i="22"/>
  <c r="X299" i="22"/>
  <c r="AP268" i="22"/>
  <c r="X310" i="22"/>
  <c r="X71" i="22"/>
  <c r="V352" i="22"/>
  <c r="AL76" i="22"/>
  <c r="AB294" i="22"/>
  <c r="Z267" i="22"/>
  <c r="Z254" i="22"/>
  <c r="AN301" i="22"/>
  <c r="AN162" i="22"/>
  <c r="AN115" i="22"/>
  <c r="AB291" i="22"/>
  <c r="AL34" i="22"/>
  <c r="AL160" i="22"/>
  <c r="AL208" i="22"/>
  <c r="AP262" i="22"/>
  <c r="T367" i="22"/>
  <c r="AN303" i="22"/>
  <c r="AN320" i="22"/>
  <c r="AN216" i="22"/>
  <c r="AN335" i="22"/>
  <c r="AN302" i="22"/>
  <c r="AB252" i="22"/>
  <c r="T20" i="22"/>
  <c r="AL100" i="22"/>
  <c r="AL47" i="22"/>
  <c r="AN121" i="22"/>
  <c r="AN365" i="22"/>
  <c r="AL356" i="22"/>
  <c r="X263" i="22"/>
  <c r="R12" i="22"/>
  <c r="AN129" i="22"/>
  <c r="AN88" i="22"/>
  <c r="AL87" i="22"/>
  <c r="AL287" i="22"/>
  <c r="AN205" i="22"/>
  <c r="AJ355" i="22"/>
  <c r="AB83" i="22"/>
  <c r="AN33" i="22"/>
  <c r="X53" i="22"/>
  <c r="AH199" i="22"/>
  <c r="AB260" i="22"/>
  <c r="AH232" i="22"/>
  <c r="Z274" i="22"/>
  <c r="AR101" i="22"/>
  <c r="X141" i="22"/>
  <c r="R38" i="22"/>
  <c r="AL265" i="22"/>
  <c r="AH49" i="22"/>
  <c r="T328" i="22"/>
  <c r="AH189" i="22"/>
  <c r="V158" i="22"/>
  <c r="AN202" i="22"/>
  <c r="R322" i="22"/>
  <c r="Z351" i="22"/>
  <c r="V192" i="22"/>
  <c r="AB143" i="22"/>
  <c r="V202" i="22"/>
  <c r="AL89" i="22"/>
  <c r="R172" i="22"/>
  <c r="V215" i="22"/>
  <c r="AL273" i="22"/>
  <c r="Z209" i="22"/>
  <c r="AP201" i="22"/>
  <c r="AN275" i="22"/>
  <c r="AN321" i="22"/>
  <c r="AJ104" i="22"/>
  <c r="AF269" i="22"/>
  <c r="R239" i="22"/>
  <c r="T85" i="22"/>
  <c r="R244" i="22"/>
  <c r="T83" i="22"/>
  <c r="AL196" i="22"/>
  <c r="AB264" i="22"/>
  <c r="AB155" i="22"/>
  <c r="AB201" i="22"/>
  <c r="V259" i="22"/>
  <c r="T169" i="22"/>
  <c r="AL202" i="22"/>
  <c r="Z245" i="22"/>
  <c r="V249" i="22"/>
  <c r="Z275" i="22"/>
  <c r="AH98" i="22"/>
  <c r="AP272" i="22"/>
  <c r="AJ276" i="22"/>
  <c r="V75" i="22"/>
  <c r="X376" i="22"/>
  <c r="AJ163" i="22"/>
  <c r="AR370" i="22"/>
  <c r="AL186" i="22"/>
  <c r="AB266" i="22"/>
  <c r="AB209" i="22"/>
  <c r="AJ211" i="22"/>
  <c r="AL242" i="22"/>
  <c r="AL203" i="22"/>
  <c r="AN234" i="22"/>
  <c r="R196" i="22"/>
  <c r="AN223" i="22"/>
  <c r="AN168" i="22"/>
  <c r="AL150" i="22"/>
  <c r="X248" i="22"/>
  <c r="X209" i="22"/>
  <c r="AL108" i="22"/>
  <c r="AN108" i="22"/>
  <c r="AL145" i="22"/>
  <c r="AL298" i="22"/>
  <c r="AN231" i="22"/>
  <c r="AJ222" i="22"/>
  <c r="AF152" i="22"/>
  <c r="AL18" i="22"/>
  <c r="AL118" i="22"/>
  <c r="AN344" i="22"/>
  <c r="AL147" i="22"/>
  <c r="AL188" i="22"/>
  <c r="V175" i="22"/>
  <c r="AN102" i="22"/>
  <c r="AL151" i="22"/>
  <c r="AL21" i="22"/>
  <c r="AL339" i="22"/>
  <c r="AL247" i="22"/>
  <c r="AN333" i="22"/>
  <c r="T166" i="22"/>
  <c r="V290" i="22"/>
  <c r="AL90" i="22"/>
  <c r="Z196" i="22"/>
  <c r="R53" i="22"/>
  <c r="AB329" i="22"/>
  <c r="AH55" i="22"/>
  <c r="Z233" i="22"/>
  <c r="V276" i="22"/>
  <c r="Z103" i="22"/>
  <c r="AR79" i="22"/>
  <c r="AJ156" i="22"/>
  <c r="Z313" i="22"/>
  <c r="AR351" i="22"/>
  <c r="Z83" i="22"/>
  <c r="X249" i="22"/>
  <c r="T118" i="22"/>
  <c r="Z303" i="22"/>
  <c r="AJ277" i="22"/>
  <c r="AJ46" i="22"/>
  <c r="Z247" i="22"/>
  <c r="X353" i="22"/>
  <c r="AN298" i="22"/>
  <c r="R344" i="22"/>
  <c r="AB251" i="22"/>
  <c r="R131" i="22"/>
  <c r="R100" i="22"/>
  <c r="AJ267" i="22"/>
  <c r="AP228" i="22"/>
  <c r="AN292" i="22"/>
  <c r="AR325" i="22"/>
  <c r="V126" i="22"/>
  <c r="X164" i="22"/>
  <c r="X279" i="22"/>
  <c r="AJ290" i="22"/>
  <c r="V367" i="22"/>
  <c r="AN241" i="22"/>
  <c r="T269" i="22"/>
  <c r="X125" i="22"/>
  <c r="V350" i="22"/>
  <c r="AB215" i="22"/>
  <c r="T232" i="22"/>
  <c r="AN359" i="22"/>
  <c r="T302" i="22"/>
  <c r="X233" i="22"/>
  <c r="AB273" i="22"/>
  <c r="T355" i="22"/>
  <c r="AR305" i="22"/>
  <c r="R88" i="22"/>
  <c r="R271" i="22"/>
  <c r="Z320" i="22"/>
  <c r="V300" i="22"/>
  <c r="V288" i="22"/>
  <c r="R178" i="22"/>
  <c r="AN254" i="22"/>
  <c r="AL13" i="22"/>
  <c r="AN347" i="22"/>
  <c r="V207" i="22"/>
  <c r="R39" i="22"/>
  <c r="X247" i="22"/>
  <c r="AL292" i="22"/>
  <c r="T307" i="22"/>
  <c r="AN297" i="22"/>
  <c r="AN251" i="22"/>
  <c r="Z266" i="22"/>
  <c r="T292" i="22"/>
  <c r="T359" i="22"/>
  <c r="AN39" i="22"/>
  <c r="AL42" i="22"/>
  <c r="AN153" i="22"/>
  <c r="AL173" i="22"/>
  <c r="AJ338" i="22"/>
  <c r="AH279" i="22"/>
  <c r="AR152" i="22"/>
  <c r="AL44" i="22"/>
  <c r="AN50" i="22"/>
  <c r="AL215" i="22"/>
  <c r="AL209" i="22"/>
  <c r="AL133" i="22"/>
  <c r="T311" i="22"/>
  <c r="T28" i="22"/>
  <c r="AL75" i="22"/>
  <c r="AN253" i="22"/>
  <c r="AL369" i="22"/>
  <c r="AL233" i="22"/>
  <c r="AL229" i="22"/>
  <c r="X109" i="22"/>
  <c r="R42" i="22"/>
  <c r="AL187" i="22"/>
  <c r="AP244" i="22"/>
  <c r="T238" i="22"/>
  <c r="V162" i="22"/>
  <c r="R49" i="22"/>
  <c r="X366" i="22"/>
  <c r="AN140" i="22"/>
  <c r="AJ286" i="22"/>
  <c r="X21" i="22"/>
  <c r="AB134" i="22"/>
  <c r="AF210" i="22"/>
  <c r="X195" i="22"/>
  <c r="AH70" i="22"/>
  <c r="AN17" i="22"/>
  <c r="X150" i="22"/>
  <c r="AF52" i="22"/>
  <c r="X187" i="22"/>
  <c r="V297" i="22"/>
  <c r="AB132" i="22"/>
  <c r="X28" i="22"/>
  <c r="T315" i="22"/>
  <c r="AJ50" i="22"/>
  <c r="V166" i="22"/>
  <c r="T206" i="22"/>
  <c r="T289" i="22"/>
  <c r="T43" i="22"/>
  <c r="R238" i="22"/>
  <c r="AR148" i="22"/>
  <c r="AJ287" i="22"/>
  <c r="Z202" i="22"/>
  <c r="T61" i="22"/>
  <c r="AB199" i="22"/>
  <c r="X216" i="22"/>
  <c r="X307" i="22"/>
  <c r="AJ303" i="22"/>
  <c r="R190" i="22"/>
  <c r="AB326" i="22"/>
  <c r="AL275" i="22"/>
  <c r="X136" i="22"/>
  <c r="AD346" i="22"/>
  <c r="V38" i="22"/>
  <c r="R94" i="22"/>
  <c r="X149" i="22"/>
  <c r="R87" i="22"/>
  <c r="AJ299" i="22"/>
  <c r="R274" i="22"/>
  <c r="R175" i="22"/>
  <c r="T147" i="22"/>
  <c r="T102" i="22"/>
  <c r="AB179" i="22"/>
  <c r="X211" i="22"/>
  <c r="R195" i="22"/>
  <c r="T138" i="22"/>
  <c r="T160" i="22"/>
  <c r="AJ129" i="22"/>
  <c r="T34" i="22"/>
  <c r="R342" i="22"/>
  <c r="Z187" i="22"/>
  <c r="X243" i="22"/>
  <c r="T249" i="22"/>
  <c r="AJ122" i="22"/>
  <c r="AR176" i="22"/>
  <c r="X321" i="22"/>
  <c r="Z230" i="22"/>
  <c r="AP321" i="22"/>
  <c r="T304" i="22"/>
  <c r="V321" i="22"/>
  <c r="Z271" i="22"/>
  <c r="V273" i="22"/>
  <c r="V103" i="22"/>
  <c r="R319" i="22"/>
  <c r="AB211" i="22"/>
  <c r="AF200" i="22"/>
  <c r="R358" i="22"/>
  <c r="Z172" i="22"/>
  <c r="AB356" i="22"/>
  <c r="V101" i="22"/>
  <c r="AN139" i="22"/>
  <c r="AL63" i="22"/>
  <c r="AL373" i="22"/>
  <c r="AN145" i="22"/>
  <c r="AB23" i="22"/>
  <c r="AJ106" i="22"/>
  <c r="Z121" i="22"/>
  <c r="AR118" i="22"/>
  <c r="AB288" i="22"/>
  <c r="V337" i="22"/>
  <c r="AL155" i="22"/>
  <c r="R233" i="22"/>
  <c r="AR354" i="22"/>
  <c r="AH161" i="22"/>
  <c r="AB193" i="22"/>
  <c r="X322" i="22"/>
  <c r="AH160" i="22"/>
  <c r="AN228" i="22"/>
  <c r="V357" i="22"/>
  <c r="AJ215" i="22"/>
  <c r="AR221" i="22"/>
  <c r="AH235" i="22"/>
  <c r="AH259" i="22"/>
  <c r="AB340" i="22"/>
  <c r="AN212" i="22"/>
  <c r="AJ61" i="22"/>
  <c r="T259" i="22"/>
  <c r="AB100" i="22"/>
  <c r="AP317" i="22"/>
  <c r="AB334" i="22"/>
  <c r="Z352" i="22"/>
  <c r="R260" i="22"/>
  <c r="AB265" i="22"/>
  <c r="AR235" i="22"/>
  <c r="AJ260" i="22"/>
  <c r="V282" i="22"/>
  <c r="AL125" i="22"/>
  <c r="AL192" i="22"/>
  <c r="AN211" i="22"/>
  <c r="AN294" i="22"/>
  <c r="V100" i="22"/>
  <c r="AJ89" i="22"/>
  <c r="Z368" i="22"/>
  <c r="AR306" i="22"/>
  <c r="AB131" i="22"/>
  <c r="AL253" i="22"/>
  <c r="R303" i="22"/>
  <c r="X213" i="22"/>
  <c r="AR13" i="22"/>
  <c r="AR179" i="22"/>
  <c r="AB222" i="22"/>
  <c r="AB202" i="22"/>
  <c r="AN352" i="22"/>
  <c r="AH164" i="22"/>
  <c r="AR357" i="22"/>
  <c r="V264" i="22"/>
  <c r="AB308" i="22"/>
  <c r="AB138" i="22"/>
  <c r="Z335" i="22"/>
  <c r="AL205" i="22"/>
  <c r="V62" i="22"/>
  <c r="AJ265" i="22"/>
  <c r="T164" i="22"/>
  <c r="AB239" i="22"/>
  <c r="AL184" i="22"/>
  <c r="V154" i="22"/>
  <c r="X145" i="22"/>
  <c r="AP265" i="22"/>
  <c r="R26" i="22"/>
  <c r="AJ80" i="22"/>
  <c r="X365" i="22"/>
  <c r="X165" i="22"/>
  <c r="AN22" i="22"/>
  <c r="AN288" i="22"/>
  <c r="AL88" i="22"/>
  <c r="AJ320" i="22"/>
  <c r="T12" i="22"/>
  <c r="Z252" i="22"/>
  <c r="R164" i="23"/>
  <c r="Z178" i="22"/>
  <c r="T277" i="22"/>
  <c r="R92" i="22"/>
  <c r="T308" i="22"/>
  <c r="AH107" i="22"/>
  <c r="Z220" i="22"/>
  <c r="AL329" i="22"/>
  <c r="AB195" i="22"/>
  <c r="R293" i="22"/>
  <c r="AF34" i="22"/>
  <c r="V308" i="22"/>
  <c r="Z214" i="22"/>
  <c r="AB213" i="22"/>
  <c r="AN94" i="22"/>
  <c r="AB227" i="22"/>
  <c r="V372" i="22"/>
  <c r="AP21" i="22"/>
  <c r="AJ225" i="22"/>
  <c r="X87" i="22"/>
  <c r="AJ233" i="22"/>
  <c r="AN362" i="22"/>
  <c r="X46" i="22"/>
  <c r="AR244" i="22"/>
  <c r="X143" i="22"/>
  <c r="X54" i="22"/>
  <c r="AN337" i="22"/>
  <c r="Z199" i="22"/>
  <c r="V222" i="22"/>
  <c r="T203" i="22"/>
  <c r="T116" i="22"/>
  <c r="R23" i="22"/>
  <c r="AP241" i="22"/>
  <c r="Z347" i="22"/>
  <c r="AN81" i="22"/>
  <c r="AN134" i="22"/>
  <c r="AN34" i="22"/>
  <c r="AR368" i="22"/>
  <c r="AH85" i="22"/>
  <c r="F33" i="53"/>
  <c r="H33" i="53" s="1"/>
  <c r="Z153" i="22"/>
  <c r="Z187" i="103"/>
  <c r="AR60" i="22"/>
  <c r="Z294" i="22"/>
  <c r="X31" i="22"/>
  <c r="AB357" i="22"/>
  <c r="Z102" i="22"/>
  <c r="V330" i="22"/>
  <c r="AN230" i="22"/>
  <c r="Z48" i="22"/>
  <c r="R268" i="22"/>
  <c r="R111" i="22"/>
  <c r="R252" i="22"/>
  <c r="Z62" i="22"/>
  <c r="AB342" i="22"/>
  <c r="AL344" i="22"/>
  <c r="AF21" i="22"/>
  <c r="V155" i="22"/>
  <c r="T26" i="22"/>
  <c r="R133" i="22"/>
  <c r="V212" i="22"/>
  <c r="AH280" i="22"/>
  <c r="AN172" i="22"/>
  <c r="Z338" i="22"/>
  <c r="T300" i="22"/>
  <c r="T251" i="22"/>
  <c r="Z228" i="22"/>
  <c r="V134" i="22"/>
  <c r="AN225" i="22"/>
  <c r="X162" i="22"/>
  <c r="X90" i="22"/>
  <c r="X224" i="22"/>
  <c r="AH275" i="22"/>
  <c r="AN242" i="22"/>
  <c r="Z364" i="22"/>
  <c r="AF129" i="22"/>
  <c r="AN236" i="22"/>
  <c r="R46" i="22"/>
  <c r="AL115" i="22"/>
  <c r="AL284" i="22"/>
  <c r="AJ196" i="22"/>
  <c r="Z92" i="22"/>
  <c r="AR246" i="22"/>
  <c r="AF244" i="22"/>
  <c r="T224" i="22"/>
  <c r="AJ146" i="22"/>
  <c r="X327" i="22"/>
  <c r="AN28" i="22"/>
  <c r="AB203" i="22"/>
  <c r="R180" i="22"/>
  <c r="T126" i="22"/>
  <c r="T209" i="22"/>
  <c r="AH112" i="22"/>
  <c r="Z191" i="22"/>
  <c r="AL235" i="22"/>
  <c r="AB190" i="22"/>
  <c r="X140" i="22"/>
  <c r="R65" i="22"/>
  <c r="V214" i="22"/>
  <c r="T142" i="22"/>
  <c r="AR355" i="22"/>
  <c r="AL322" i="22"/>
  <c r="X68" i="22"/>
  <c r="V40" i="22"/>
  <c r="AB240" i="22"/>
  <c r="Z260" i="22"/>
  <c r="V199" i="22"/>
  <c r="AN336" i="22"/>
  <c r="T274" i="22"/>
  <c r="X116" i="22"/>
  <c r="R272" i="22"/>
  <c r="R346" i="22"/>
  <c r="AL165" i="22"/>
  <c r="AB261" i="22"/>
  <c r="AJ147" i="22"/>
  <c r="AN48" i="22"/>
  <c r="R264" i="22"/>
  <c r="AL246" i="22"/>
  <c r="R327" i="22"/>
  <c r="V217" i="22"/>
  <c r="AJ242" i="22"/>
  <c r="Z82" i="22"/>
  <c r="AB271" i="22"/>
  <c r="AR15" i="22"/>
  <c r="R362" i="22"/>
  <c r="R21" i="22"/>
  <c r="T368" i="22"/>
  <c r="AL84" i="22"/>
  <c r="X119" i="22"/>
  <c r="Z314" i="22"/>
  <c r="V24" i="22"/>
  <c r="R345" i="22"/>
  <c r="AH61" i="22"/>
  <c r="T290" i="22"/>
  <c r="AL17" i="22"/>
  <c r="AJ131" i="22"/>
  <c r="AB189" i="22"/>
  <c r="T303" i="22"/>
  <c r="R294" i="22"/>
  <c r="X18" i="22"/>
  <c r="AP170" i="22"/>
  <c r="AN69" i="22"/>
  <c r="AB89" i="22"/>
  <c r="AP64" i="22"/>
  <c r="X261" i="22"/>
  <c r="X135" i="22"/>
  <c r="AJ207" i="22"/>
  <c r="R355" i="22"/>
  <c r="AJ322" i="22"/>
  <c r="AB93" i="22"/>
  <c r="AF102" i="22"/>
  <c r="AB38" i="22"/>
  <c r="AN165" i="22"/>
  <c r="AN220" i="22"/>
  <c r="T281" i="22"/>
  <c r="AR289" i="22"/>
  <c r="AL254" i="22"/>
  <c r="AL111" i="22"/>
  <c r="AJ351" i="22"/>
  <c r="D240" i="22"/>
  <c r="D187" i="22"/>
  <c r="Z175" i="103"/>
  <c r="O133" i="23"/>
  <c r="Z185" i="103"/>
  <c r="Z163" i="103"/>
  <c r="Z234" i="103"/>
  <c r="Z182" i="103"/>
  <c r="O128" i="23"/>
  <c r="Z169" i="103"/>
  <c r="Z243" i="103"/>
  <c r="K388" i="103"/>
  <c r="K392" i="103" s="1"/>
  <c r="K396" i="103" s="1"/>
  <c r="K400" i="103" s="1"/>
  <c r="F34" i="53"/>
  <c r="H34" i="53" s="1"/>
  <c r="Q161" i="23"/>
  <c r="S161" i="23" s="1"/>
  <c r="O135" i="23"/>
  <c r="Z184" i="103"/>
  <c r="O131" i="23"/>
  <c r="AD87" i="22"/>
  <c r="AD127" i="22"/>
  <c r="AD110" i="22"/>
  <c r="AD325" i="22"/>
  <c r="AD270" i="22"/>
  <c r="AD281" i="22"/>
  <c r="AH374" i="22"/>
  <c r="AD354" i="22"/>
  <c r="AD219" i="22"/>
  <c r="AD79" i="22"/>
  <c r="AR65" i="22"/>
  <c r="AP287" i="22"/>
  <c r="AD368" i="22"/>
  <c r="AD260" i="22"/>
  <c r="AD375" i="22"/>
  <c r="AP56" i="22"/>
  <c r="AH314" i="22"/>
  <c r="AB16" i="22"/>
  <c r="AD213" i="22"/>
  <c r="AD83" i="22"/>
  <c r="AD95" i="22"/>
  <c r="AP191" i="22"/>
  <c r="AD107" i="22"/>
  <c r="AD309" i="22"/>
  <c r="AP211" i="22"/>
  <c r="AP249" i="22"/>
  <c r="AD287" i="22"/>
  <c r="AD221" i="22"/>
  <c r="AD220" i="22"/>
  <c r="AP230" i="22"/>
  <c r="AH304" i="22"/>
  <c r="AD350" i="22"/>
  <c r="AD298" i="22"/>
  <c r="AF332" i="22"/>
  <c r="AP275" i="22"/>
  <c r="AD125" i="22"/>
  <c r="AD73" i="22"/>
  <c r="AD53" i="22"/>
  <c r="AH366" i="22"/>
  <c r="AF257" i="22"/>
  <c r="AD342" i="22"/>
  <c r="AD252" i="22"/>
  <c r="AR316" i="22"/>
  <c r="AH196" i="22"/>
  <c r="AD166" i="22"/>
  <c r="AD103" i="22"/>
  <c r="AD294" i="22"/>
  <c r="AF346" i="22"/>
  <c r="AN346" i="22"/>
  <c r="AD54" i="22"/>
  <c r="AD236" i="22"/>
  <c r="AH302" i="22"/>
  <c r="AF220" i="22"/>
  <c r="T145" i="22"/>
  <c r="AH67" i="22"/>
  <c r="V201" i="22"/>
  <c r="T94" i="22"/>
  <c r="AN255" i="22"/>
  <c r="AH33" i="22"/>
  <c r="T210" i="22"/>
  <c r="T366" i="22"/>
  <c r="AB333" i="22"/>
  <c r="T275" i="22"/>
  <c r="R97" i="22"/>
  <c r="R200" i="22"/>
  <c r="AN71" i="22"/>
  <c r="V365" i="22"/>
  <c r="R223" i="22"/>
  <c r="T180" i="22"/>
  <c r="AP231" i="22"/>
  <c r="V329" i="22"/>
  <c r="AJ154" i="22"/>
  <c r="R30" i="22"/>
  <c r="AJ348" i="22"/>
  <c r="AP139" i="22"/>
  <c r="T283" i="22"/>
  <c r="AR14" i="22"/>
  <c r="Z286" i="22"/>
  <c r="V147" i="22"/>
  <c r="T201" i="22"/>
  <c r="AJ331" i="22"/>
  <c r="Z265" i="22"/>
  <c r="T195" i="22"/>
  <c r="AP76" i="22"/>
  <c r="AD276" i="22"/>
  <c r="AD78" i="22"/>
  <c r="AD76" i="22"/>
  <c r="AD366" i="22"/>
  <c r="AH372" i="22"/>
  <c r="AD347" i="22"/>
  <c r="AD195" i="22"/>
  <c r="AF307" i="22"/>
  <c r="AF322" i="22"/>
  <c r="AD218" i="22"/>
  <c r="X66" i="22"/>
  <c r="AD303" i="22"/>
  <c r="AD376" i="22"/>
  <c r="AD360" i="22"/>
  <c r="AD104" i="22"/>
  <c r="AP332" i="22"/>
  <c r="AP73" i="22"/>
  <c r="V132" i="22"/>
  <c r="AD101" i="22"/>
  <c r="AD137" i="22"/>
  <c r="AP66" i="22"/>
  <c r="AP206" i="22"/>
  <c r="AD41" i="22"/>
  <c r="AD209" i="22"/>
  <c r="AD139" i="22"/>
  <c r="AF360" i="22"/>
  <c r="AD284" i="22"/>
  <c r="AD243" i="22"/>
  <c r="AD88" i="22"/>
  <c r="AD334" i="22"/>
  <c r="AF36" i="22"/>
  <c r="AD28" i="22"/>
  <c r="AD112" i="22"/>
  <c r="AD343" i="22"/>
  <c r="AF92" i="22"/>
  <c r="AD263" i="22"/>
  <c r="AD155" i="22"/>
  <c r="AD34" i="22"/>
  <c r="AP153" i="22"/>
  <c r="AF40" i="22"/>
  <c r="AD164" i="22"/>
  <c r="AD119" i="22"/>
  <c r="AP242" i="22"/>
  <c r="AR168" i="22"/>
  <c r="AD92" i="22"/>
  <c r="AD322" i="22"/>
  <c r="AP285" i="22"/>
  <c r="AF223" i="22"/>
  <c r="AD122" i="22"/>
  <c r="AD348" i="22"/>
  <c r="AD254" i="22"/>
  <c r="AF326" i="22"/>
  <c r="AP371" i="22"/>
  <c r="Z76" i="22"/>
  <c r="X147" i="22"/>
  <c r="R356" i="22"/>
  <c r="T80" i="22"/>
  <c r="AJ371" i="22"/>
  <c r="X91" i="22"/>
  <c r="T327" i="22"/>
  <c r="AJ336" i="22"/>
  <c r="AB125" i="22"/>
  <c r="AN267" i="22"/>
  <c r="T124" i="22"/>
  <c r="R352" i="22"/>
  <c r="X276" i="22"/>
  <c r="AN224" i="22"/>
  <c r="AB160" i="22"/>
  <c r="Z298" i="22"/>
  <c r="X230" i="22"/>
  <c r="Z29" i="22"/>
  <c r="AJ223" i="22"/>
  <c r="R127" i="22"/>
  <c r="Z268" i="22"/>
  <c r="R103" i="22"/>
  <c r="R321" i="22"/>
  <c r="AP157" i="22"/>
  <c r="AB361" i="22"/>
  <c r="Z327" i="22"/>
  <c r="R14" i="22"/>
  <c r="AB315" i="22"/>
  <c r="R350" i="22"/>
  <c r="X151" i="22"/>
  <c r="AJ236" i="22"/>
  <c r="AD133" i="22"/>
  <c r="AP178" i="22"/>
  <c r="AP46" i="22"/>
  <c r="AD183" i="22"/>
  <c r="AP162" i="22"/>
  <c r="AD160" i="22"/>
  <c r="AD246" i="22"/>
  <c r="AF248" i="22"/>
  <c r="AD46" i="22"/>
  <c r="AD361" i="22"/>
  <c r="AD177" i="22"/>
  <c r="AH309" i="22"/>
  <c r="AD124" i="22"/>
  <c r="AD100" i="22"/>
  <c r="AF320" i="22"/>
  <c r="AP220" i="22"/>
  <c r="AF165" i="22"/>
  <c r="AJ48" i="22"/>
  <c r="AD118" i="22"/>
  <c r="AD359" i="22"/>
  <c r="AD51" i="22"/>
  <c r="AF83" i="22"/>
  <c r="AD16" i="22"/>
  <c r="AD201" i="22"/>
  <c r="AD291" i="22"/>
  <c r="AF342" i="22"/>
  <c r="AD353" i="22"/>
  <c r="AD13" i="22"/>
  <c r="AP248" i="22"/>
  <c r="AH335" i="22"/>
  <c r="AR185" i="22"/>
  <c r="AD149" i="22"/>
  <c r="AD84" i="22"/>
  <c r="AP168" i="22"/>
  <c r="AF106" i="22"/>
  <c r="AD267" i="22"/>
  <c r="AD250" i="22"/>
  <c r="AD17" i="22"/>
  <c r="AH293" i="22"/>
  <c r="AF89" i="22"/>
  <c r="AD204" i="22"/>
  <c r="AH316" i="22"/>
  <c r="AF348" i="22"/>
  <c r="T41" i="22"/>
  <c r="AD105" i="22"/>
  <c r="AD312" i="22"/>
  <c r="AF341" i="22"/>
  <c r="AP186" i="22"/>
  <c r="AD337" i="22"/>
  <c r="AF331" i="22"/>
  <c r="AF337" i="22"/>
  <c r="AF310" i="22"/>
  <c r="AF119" i="22"/>
  <c r="R59" i="22"/>
  <c r="AR33" i="22"/>
  <c r="T222" i="22"/>
  <c r="AN285" i="22"/>
  <c r="AR374" i="22"/>
  <c r="R40" i="22"/>
  <c r="V145" i="22"/>
  <c r="V81" i="22"/>
  <c r="T92" i="22"/>
  <c r="AR135" i="22"/>
  <c r="AJ65" i="22"/>
  <c r="AB293" i="22"/>
  <c r="R51" i="22"/>
  <c r="AJ219" i="22"/>
  <c r="AH225" i="22"/>
  <c r="AB22" i="22"/>
  <c r="R181" i="22"/>
  <c r="R68" i="22"/>
  <c r="X288" i="22"/>
  <c r="AJ151" i="22"/>
  <c r="R331" i="22"/>
  <c r="AB207" i="22"/>
  <c r="AJ226" i="22"/>
  <c r="AR350" i="22"/>
  <c r="R69" i="22"/>
  <c r="T373" i="22"/>
  <c r="Z269" i="22"/>
  <c r="X269" i="22"/>
  <c r="AH152" i="22"/>
  <c r="AR109" i="22"/>
  <c r="AP18" i="22"/>
  <c r="AD358" i="22"/>
  <c r="AD150" i="22"/>
  <c r="AD35" i="22"/>
  <c r="AF363" i="22"/>
  <c r="AD52" i="22"/>
  <c r="AD44" i="22"/>
  <c r="AF80" i="22"/>
  <c r="AD339" i="22"/>
  <c r="AD68" i="22"/>
  <c r="AD279" i="22"/>
  <c r="AR236" i="22"/>
  <c r="AF344" i="22"/>
  <c r="AD117" i="22"/>
  <c r="AF353" i="22"/>
  <c r="AP359" i="22"/>
  <c r="AP343" i="22"/>
  <c r="AD280" i="22"/>
  <c r="AD302" i="22"/>
  <c r="AD176" i="22"/>
  <c r="AH326" i="22"/>
  <c r="AF150" i="22"/>
  <c r="AF287" i="22"/>
  <c r="AD24" i="22"/>
  <c r="AD310" i="22"/>
  <c r="AR261" i="22"/>
  <c r="AD266" i="22"/>
  <c r="AD39" i="22"/>
  <c r="AD292" i="22"/>
  <c r="AP190" i="22"/>
  <c r="V360" i="22"/>
  <c r="AF313" i="22"/>
  <c r="AD351" i="22"/>
  <c r="AP305" i="22"/>
  <c r="AF185" i="22"/>
  <c r="AD211" i="22"/>
  <c r="AD94" i="22"/>
  <c r="AD227" i="22"/>
  <c r="AF361" i="22"/>
  <c r="R220" i="22"/>
  <c r="AD187" i="22"/>
  <c r="AP53" i="22"/>
  <c r="AP336" i="22"/>
  <c r="R134" i="22"/>
  <c r="AD121" i="22"/>
  <c r="AD47" i="22"/>
  <c r="AP163" i="22"/>
  <c r="AP87" i="22"/>
  <c r="AD109" i="22"/>
  <c r="AD205" i="22"/>
  <c r="AD69" i="22"/>
  <c r="AD371" i="22"/>
  <c r="AF376" i="22"/>
  <c r="AB206" i="22"/>
  <c r="AB184" i="22"/>
  <c r="AL285" i="22"/>
  <c r="Z67" i="22"/>
  <c r="R279" i="22"/>
  <c r="V69" i="22"/>
  <c r="R198" i="22"/>
  <c r="AF278" i="22"/>
  <c r="AF338" i="22"/>
  <c r="AP331" i="22"/>
  <c r="AD321" i="22"/>
  <c r="AH294" i="22"/>
  <c r="AD108" i="22"/>
  <c r="AD283" i="22"/>
  <c r="AF68" i="22"/>
  <c r="AP208" i="22"/>
  <c r="AD77" i="22"/>
  <c r="AP256" i="22"/>
  <c r="V15" i="22"/>
  <c r="AH375" i="22"/>
  <c r="AD45" i="22"/>
  <c r="AD36" i="22"/>
  <c r="AD317" i="22"/>
  <c r="AF352" i="22"/>
  <c r="AD56" i="22"/>
  <c r="AD232" i="22"/>
  <c r="AD194" i="22"/>
  <c r="AP111" i="22"/>
  <c r="AH86" i="22"/>
  <c r="AD31" i="22"/>
  <c r="AD234" i="22"/>
  <c r="AD140" i="22"/>
  <c r="AR230" i="22"/>
  <c r="AD182" i="22"/>
  <c r="AF293" i="22"/>
  <c r="AP293" i="22"/>
  <c r="AP108" i="22"/>
  <c r="AH46" i="22"/>
  <c r="AD369" i="22"/>
  <c r="AD314" i="22"/>
  <c r="AD57" i="22"/>
  <c r="AH119" i="22"/>
  <c r="AD256" i="22"/>
  <c r="AD332" i="22"/>
  <c r="AH313" i="22"/>
  <c r="AP281" i="22"/>
  <c r="AJ220" i="22"/>
  <c r="AD120" i="22"/>
  <c r="AP185" i="22"/>
  <c r="AP329" i="22"/>
  <c r="AR327" i="22"/>
  <c r="AD161" i="22"/>
  <c r="AD188" i="22"/>
  <c r="AP92" i="22"/>
  <c r="AF227" i="22"/>
  <c r="AD278" i="22"/>
  <c r="AD151" i="22"/>
  <c r="AD244" i="22"/>
  <c r="AP218" i="22"/>
  <c r="AF317" i="22"/>
  <c r="T351" i="22"/>
  <c r="X67" i="22"/>
  <c r="AH228" i="22"/>
  <c r="AR75" i="22"/>
  <c r="X212" i="22"/>
  <c r="AR309" i="22"/>
  <c r="T336" i="22"/>
  <c r="AJ76" i="22"/>
  <c r="R372" i="22"/>
  <c r="R282" i="22"/>
  <c r="T29" i="22"/>
  <c r="T262" i="22"/>
  <c r="Z37" i="22"/>
  <c r="V225" i="22"/>
  <c r="V107" i="22"/>
  <c r="T49" i="22"/>
  <c r="R194" i="22"/>
  <c r="V267" i="22"/>
  <c r="V243" i="22"/>
  <c r="Z107" i="22"/>
  <c r="AP335" i="22"/>
  <c r="AF314" i="22"/>
  <c r="AP144" i="22"/>
  <c r="AF300" i="22"/>
  <c r="AD66" i="22"/>
  <c r="AF65" i="22"/>
  <c r="AD225" i="22"/>
  <c r="AD186" i="22"/>
  <c r="AD206" i="22"/>
  <c r="AR66" i="22"/>
  <c r="AD142" i="22"/>
  <c r="AD130" i="22"/>
  <c r="AD319" i="22"/>
  <c r="AP337" i="22"/>
  <c r="AD251" i="22"/>
  <c r="AD152" i="22"/>
  <c r="AD306" i="22"/>
  <c r="AF122" i="22"/>
  <c r="AD338" i="22"/>
  <c r="AD247" i="22"/>
  <c r="AD106" i="22"/>
  <c r="AF347" i="22"/>
  <c r="AF57" i="22"/>
  <c r="AF335" i="22"/>
  <c r="AD174" i="22"/>
  <c r="AH307" i="22"/>
  <c r="AF259" i="22"/>
  <c r="AD156" i="22"/>
  <c r="AD228" i="22"/>
  <c r="AP326" i="22"/>
  <c r="AP49" i="22"/>
  <c r="AD264" i="22"/>
  <c r="AD208" i="22"/>
  <c r="AD168" i="22"/>
  <c r="AH338" i="22"/>
  <c r="AH358" i="22"/>
  <c r="AD326" i="22"/>
  <c r="AD240" i="22"/>
  <c r="AP296" i="22"/>
  <c r="AF37" i="22"/>
  <c r="AB324" i="22"/>
  <c r="AD214" i="22"/>
  <c r="AF288" i="22"/>
  <c r="AR285" i="22"/>
  <c r="AD277" i="22"/>
  <c r="AF305" i="22"/>
  <c r="AD198" i="22"/>
  <c r="AD362" i="22"/>
  <c r="AP277" i="22"/>
  <c r="AD18" i="22"/>
  <c r="AD344" i="22"/>
  <c r="AD61" i="22"/>
  <c r="AF371" i="22"/>
  <c r="AF114" i="22"/>
  <c r="AJ158" i="22"/>
  <c r="R107" i="22"/>
  <c r="V219" i="22"/>
  <c r="AL12" i="22"/>
  <c r="AL193" i="22"/>
  <c r="T157" i="22"/>
  <c r="X20" i="22"/>
  <c r="T46" i="22"/>
  <c r="AB15" i="22"/>
  <c r="X148" i="22"/>
  <c r="AB74" i="22"/>
  <c r="R366" i="22"/>
  <c r="AR216" i="22"/>
  <c r="R276" i="22"/>
  <c r="T117" i="22"/>
  <c r="T113" i="22"/>
  <c r="AH142" i="22"/>
  <c r="AB31" i="22"/>
  <c r="X297" i="22"/>
  <c r="AB51" i="22"/>
  <c r="Z362" i="22"/>
  <c r="AB49" i="22"/>
  <c r="AJ28" i="22"/>
  <c r="AB339" i="22"/>
  <c r="V205" i="22"/>
  <c r="AJ120" i="22"/>
  <c r="AP307" i="22"/>
  <c r="AD15" i="22"/>
  <c r="AF375" i="22"/>
  <c r="AD191" i="22"/>
  <c r="AD153" i="22"/>
  <c r="AR254" i="22"/>
  <c r="AD248" i="22"/>
  <c r="AD226" i="22"/>
  <c r="AD113" i="22"/>
  <c r="AH291" i="22"/>
  <c r="AD50" i="22"/>
  <c r="AD55" i="22"/>
  <c r="AD230" i="22"/>
  <c r="AP65" i="22"/>
  <c r="AF290" i="22"/>
  <c r="AD40" i="22"/>
  <c r="AP172" i="22"/>
  <c r="AP27" i="22"/>
  <c r="AD259" i="22"/>
  <c r="AD170" i="22"/>
  <c r="AD355" i="22"/>
  <c r="AD67" i="22"/>
  <c r="AF16" i="22"/>
  <c r="AD223" i="22"/>
  <c r="AP193" i="22"/>
  <c r="AP44" i="22"/>
  <c r="AH188" i="22"/>
  <c r="AF359" i="22"/>
  <c r="AD58" i="22"/>
  <c r="AP43" i="22"/>
  <c r="AP369" i="22"/>
  <c r="AD258" i="22"/>
  <c r="AD21" i="22"/>
  <c r="AD222" i="22"/>
  <c r="AP62" i="22"/>
  <c r="AR328" i="22"/>
  <c r="AD72" i="22"/>
  <c r="AD134" i="22"/>
  <c r="AD345" i="22"/>
  <c r="AP360" i="22"/>
  <c r="AD313" i="22"/>
  <c r="AD26" i="22"/>
  <c r="AF366" i="22"/>
  <c r="AF374" i="22"/>
  <c r="AD265" i="22"/>
  <c r="AD20" i="22"/>
  <c r="AD63" i="22"/>
  <c r="AP188" i="22"/>
  <c r="AF345" i="22"/>
  <c r="AD274" i="22"/>
  <c r="AD38" i="22"/>
  <c r="AD141" i="22"/>
  <c r="AD60" i="22"/>
  <c r="T114" i="22"/>
  <c r="R367" i="22"/>
  <c r="X16" i="22"/>
  <c r="V348" i="22"/>
  <c r="X335" i="22"/>
  <c r="AL277" i="22"/>
  <c r="T335" i="22"/>
  <c r="AH187" i="22"/>
  <c r="X219" i="22"/>
  <c r="AB108" i="22"/>
  <c r="T298" i="22"/>
  <c r="AB88" i="22"/>
  <c r="T345" i="22"/>
  <c r="AR358" i="22"/>
  <c r="Z75" i="22"/>
  <c r="Z95" i="22"/>
  <c r="Z57" i="22"/>
  <c r="AB305" i="22"/>
  <c r="V60" i="22"/>
  <c r="AR124" i="22"/>
  <c r="AL258" i="22"/>
  <c r="AL346" i="22"/>
  <c r="V46" i="22"/>
  <c r="AB110" i="22"/>
  <c r="X280" i="22"/>
  <c r="AJ125" i="22"/>
  <c r="AJ317" i="22"/>
  <c r="V318" i="22"/>
  <c r="AH170" i="22"/>
  <c r="V67" i="22"/>
  <c r="X15" i="22"/>
  <c r="V269" i="22"/>
  <c r="AD307" i="22"/>
  <c r="AD29" i="22"/>
  <c r="AD181" i="22"/>
  <c r="AD89" i="22"/>
  <c r="V306" i="22"/>
  <c r="AD300" i="22"/>
  <c r="AD216" i="22"/>
  <c r="AD336" i="22"/>
  <c r="AD25" i="22"/>
  <c r="AF285" i="22"/>
  <c r="AD200" i="22"/>
  <c r="AH340" i="22"/>
  <c r="AP330" i="22"/>
  <c r="AD75" i="22"/>
  <c r="AD27" i="22"/>
  <c r="AH359" i="22"/>
  <c r="AR172" i="22"/>
  <c r="AD272" i="22"/>
  <c r="AD290" i="22"/>
  <c r="AD99" i="22"/>
  <c r="AF311" i="22"/>
  <c r="Z217" i="22"/>
  <c r="AD199" i="22"/>
  <c r="AH296" i="22"/>
  <c r="AF153" i="22"/>
  <c r="AJ212" i="22"/>
  <c r="AD341" i="22"/>
  <c r="AD144" i="22"/>
  <c r="AP346" i="22"/>
  <c r="AP126" i="22"/>
  <c r="AD268" i="22"/>
  <c r="AD295" i="22"/>
  <c r="AD331" i="22"/>
  <c r="AP255" i="22"/>
  <c r="AR295" i="22"/>
  <c r="AD14" i="22"/>
  <c r="AD192" i="22"/>
  <c r="AP12" i="22"/>
  <c r="AP362" i="22"/>
  <c r="AD158" i="22"/>
  <c r="AD304" i="22"/>
  <c r="AP311" i="22"/>
  <c r="AH300" i="22"/>
  <c r="AD129" i="22"/>
  <c r="AD32" i="22"/>
  <c r="AD329" i="22"/>
  <c r="AP32" i="22"/>
  <c r="AR372" i="22"/>
  <c r="AD257" i="22"/>
  <c r="AD237" i="22"/>
  <c r="AH290" i="22"/>
  <c r="AP125" i="22"/>
  <c r="Z44" i="22"/>
  <c r="X268" i="22"/>
  <c r="V72" i="22"/>
  <c r="X374" i="22"/>
  <c r="AB210" i="22"/>
  <c r="AR40" i="22"/>
  <c r="X245" i="22"/>
  <c r="AF24" i="22"/>
  <c r="T141" i="22"/>
  <c r="R18" i="22"/>
  <c r="AL263" i="22"/>
  <c r="V298" i="22"/>
  <c r="T284" i="22"/>
  <c r="X215" i="22"/>
  <c r="AH64" i="22"/>
  <c r="AF219" i="22"/>
  <c r="T72" i="22"/>
  <c r="X157" i="22"/>
  <c r="AB47" i="22"/>
  <c r="AH258" i="22"/>
  <c r="AB319" i="22"/>
  <c r="V88" i="22"/>
  <c r="AR330" i="22"/>
  <c r="X83" i="22"/>
  <c r="AH158" i="22"/>
  <c r="AF268" i="22"/>
  <c r="AJ258" i="22"/>
  <c r="R314" i="22"/>
  <c r="R138" i="22"/>
  <c r="X287" i="22"/>
  <c r="X59" i="22"/>
  <c r="AF206" i="22"/>
  <c r="R90" i="22"/>
  <c r="AD210" i="22"/>
  <c r="AD357" i="22"/>
  <c r="AP78" i="22"/>
  <c r="AP227" i="22"/>
  <c r="AP196" i="22"/>
  <c r="AD189" i="22"/>
  <c r="AF141" i="22"/>
  <c r="AD202" i="22"/>
  <c r="AD212" i="22"/>
  <c r="AF328" i="22"/>
  <c r="AD311" i="22"/>
  <c r="AD173" i="22"/>
  <c r="AJ205" i="22"/>
  <c r="Z336" i="22"/>
  <c r="AH339" i="22"/>
  <c r="AD330" i="22"/>
  <c r="AD308" i="22"/>
  <c r="AD197" i="22"/>
  <c r="AP361" i="22"/>
  <c r="AP91" i="22"/>
  <c r="AD62" i="22"/>
  <c r="AD273" i="22"/>
  <c r="AD215" i="22"/>
  <c r="AD169" i="22"/>
  <c r="AD370" i="22"/>
  <c r="AR196" i="22"/>
  <c r="AD49" i="22"/>
  <c r="AD372" i="22"/>
  <c r="AP353" i="22"/>
  <c r="AF336" i="22"/>
  <c r="AD165" i="22"/>
  <c r="AD96" i="22"/>
  <c r="AH353" i="22"/>
  <c r="AP36" i="22"/>
  <c r="AF316" i="22"/>
  <c r="AD241" i="22"/>
  <c r="AD115" i="22"/>
  <c r="AP314" i="22"/>
  <c r="AF55" i="22"/>
  <c r="AD324" i="22"/>
  <c r="AD239" i="22"/>
  <c r="AP181" i="22"/>
  <c r="AP175" i="22"/>
  <c r="AD320" i="22"/>
  <c r="AD365" i="22"/>
  <c r="AD180" i="22"/>
  <c r="AP239" i="22"/>
  <c r="AR262" i="22"/>
  <c r="AD242" i="22"/>
  <c r="AD178" i="22"/>
  <c r="AF357" i="22"/>
  <c r="AR302" i="22"/>
  <c r="AD271" i="22"/>
  <c r="AD374" i="22"/>
  <c r="AP328" i="22"/>
  <c r="AP202" i="22"/>
  <c r="R73" i="22"/>
  <c r="AD245" i="22"/>
  <c r="AD154" i="22"/>
  <c r="AD145" i="22"/>
  <c r="AP294" i="22"/>
  <c r="X99" i="22"/>
  <c r="AB217" i="22"/>
  <c r="AB246" i="22"/>
  <c r="AP31" i="22"/>
  <c r="V188" i="22"/>
  <c r="AF264" i="22"/>
  <c r="Z141" i="22"/>
  <c r="AH173" i="22"/>
  <c r="Z349" i="22"/>
  <c r="T371" i="22"/>
  <c r="AH27" i="22"/>
  <c r="AH278" i="22"/>
  <c r="V292" i="22"/>
  <c r="X160" i="22"/>
  <c r="R337" i="22"/>
  <c r="X142" i="22"/>
  <c r="AP79" i="22"/>
  <c r="R338" i="22"/>
  <c r="T329" i="22"/>
  <c r="Z242" i="22"/>
  <c r="V355" i="22"/>
  <c r="T24" i="22"/>
  <c r="AN284" i="22"/>
  <c r="T63" i="22"/>
  <c r="T223" i="22"/>
  <c r="Z215" i="22"/>
  <c r="AF266" i="22"/>
  <c r="AR363" i="22"/>
  <c r="X225" i="22"/>
  <c r="V168" i="22"/>
  <c r="AH68" i="22"/>
  <c r="V116" i="22"/>
  <c r="T258" i="22"/>
  <c r="AP23" i="22"/>
  <c r="AF193" i="22"/>
  <c r="AH342" i="22"/>
  <c r="AF101" i="22"/>
  <c r="AR83" i="22"/>
  <c r="T134" i="22"/>
  <c r="X129" i="22"/>
  <c r="AP236" i="22"/>
  <c r="AF22" i="22"/>
  <c r="AR334" i="22"/>
  <c r="AF236" i="22"/>
  <c r="AH172" i="22"/>
  <c r="V364" i="22"/>
  <c r="AJ66" i="22"/>
  <c r="X92" i="22"/>
  <c r="AJ214" i="22"/>
  <c r="R306" i="22"/>
  <c r="T82" i="22"/>
  <c r="V172" i="22"/>
  <c r="R56" i="22"/>
  <c r="AL268" i="22"/>
  <c r="AJ36" i="22"/>
  <c r="AJ135" i="22"/>
  <c r="R48" i="22"/>
  <c r="Z30" i="22"/>
  <c r="AJ206" i="22"/>
  <c r="Z128" i="22"/>
  <c r="AF201" i="22"/>
  <c r="T350" i="22"/>
  <c r="V71" i="22"/>
  <c r="AP373" i="22"/>
  <c r="X13" i="22"/>
  <c r="Z42" i="22"/>
  <c r="T159" i="22"/>
  <c r="V223" i="22"/>
  <c r="AB223" i="22"/>
  <c r="AF82" i="22"/>
  <c r="X127" i="22"/>
  <c r="R202" i="22"/>
  <c r="AB352" i="22"/>
  <c r="T205" i="22"/>
  <c r="V151" i="22"/>
  <c r="R182" i="22"/>
  <c r="T178" i="22"/>
  <c r="X361" i="22"/>
  <c r="V18" i="22"/>
  <c r="AH246" i="22"/>
  <c r="X198" i="22"/>
  <c r="R86" i="22"/>
  <c r="Z135" i="22"/>
  <c r="AB362" i="22"/>
  <c r="V111" i="22"/>
  <c r="AJ42" i="22"/>
  <c r="V227" i="22"/>
  <c r="R243" i="22"/>
  <c r="Z109" i="22"/>
  <c r="AB44" i="22"/>
  <c r="AP257" i="22"/>
  <c r="R160" i="22"/>
  <c r="AD335" i="22"/>
  <c r="AF340" i="22"/>
  <c r="AD217" i="22"/>
  <c r="AD249" i="22"/>
  <c r="AD238" i="22"/>
  <c r="AD90" i="22"/>
  <c r="AD373" i="22"/>
  <c r="AF351" i="22"/>
  <c r="AD48" i="22"/>
  <c r="AD305" i="22"/>
  <c r="AD74" i="22"/>
  <c r="Z16" i="22"/>
  <c r="R124" i="22"/>
  <c r="AJ264" i="22"/>
  <c r="AP288" i="22"/>
  <c r="AH178" i="22"/>
  <c r="AR264" i="22"/>
  <c r="AR266" i="22"/>
  <c r="AP100" i="22"/>
  <c r="X29" i="22"/>
  <c r="T312" i="22"/>
  <c r="AP101" i="22"/>
  <c r="AR353" i="22"/>
  <c r="AR224" i="22"/>
  <c r="AR255" i="22"/>
  <c r="AP250" i="22"/>
  <c r="Z225" i="22"/>
  <c r="V305" i="22"/>
  <c r="Z65" i="22"/>
  <c r="Z261" i="22"/>
  <c r="AR209" i="22"/>
  <c r="AB57" i="22"/>
  <c r="AR222" i="22"/>
  <c r="AJ275" i="22"/>
  <c r="AR231" i="22"/>
  <c r="X12" i="22"/>
  <c r="V339" i="22"/>
  <c r="AR164" i="22"/>
  <c r="AJ38" i="22"/>
  <c r="Z180" i="22"/>
  <c r="X115" i="22"/>
  <c r="AF173" i="22"/>
  <c r="AJ343" i="22"/>
  <c r="AN372" i="22"/>
  <c r="Z189" i="22"/>
  <c r="X358" i="22"/>
  <c r="V346" i="22"/>
  <c r="Z146" i="22"/>
  <c r="X311" i="22"/>
  <c r="T181" i="22"/>
  <c r="AF247" i="22"/>
  <c r="AJ145" i="22"/>
  <c r="X14" i="22"/>
  <c r="AJ30" i="22"/>
  <c r="X372" i="22"/>
  <c r="Z158" i="22"/>
  <c r="T301" i="22"/>
  <c r="V124" i="22"/>
  <c r="X284" i="22"/>
  <c r="V270" i="22"/>
  <c r="X351" i="22"/>
  <c r="AR100" i="22"/>
  <c r="AR99" i="22"/>
  <c r="Z306" i="22"/>
  <c r="X170" i="22"/>
  <c r="R33" i="22"/>
  <c r="AJ74" i="22"/>
  <c r="V150" i="22"/>
  <c r="AJ229" i="22"/>
  <c r="AJ128" i="22"/>
  <c r="R203" i="22"/>
  <c r="AF110" i="22"/>
  <c r="AH368" i="22"/>
  <c r="AD172" i="22"/>
  <c r="AD363" i="22"/>
  <c r="AD136" i="22"/>
  <c r="AD288" i="22"/>
  <c r="AD131" i="22"/>
  <c r="AP341" i="22"/>
  <c r="AD297" i="22"/>
  <c r="AD159" i="22"/>
  <c r="AD275" i="22"/>
  <c r="AD86" i="22"/>
  <c r="AB314" i="22"/>
  <c r="Z47" i="22"/>
  <c r="AF170" i="22"/>
  <c r="V251" i="22"/>
  <c r="AP252" i="22"/>
  <c r="AF161" i="22"/>
  <c r="AH352" i="22"/>
  <c r="AF158" i="22"/>
  <c r="AB116" i="22"/>
  <c r="V57" i="22"/>
  <c r="AJ193" i="22"/>
  <c r="AP323" i="22"/>
  <c r="AH295" i="22"/>
  <c r="AF318" i="22"/>
  <c r="AF349" i="22"/>
  <c r="AP24" i="22"/>
  <c r="V286" i="22"/>
  <c r="AJ361" i="22"/>
  <c r="AJ56" i="22"/>
  <c r="Z257" i="22"/>
  <c r="T267" i="22"/>
  <c r="AB66" i="22"/>
  <c r="V161" i="22"/>
  <c r="Z55" i="22"/>
  <c r="T154" i="22"/>
  <c r="AB212" i="22"/>
  <c r="Z323" i="22"/>
  <c r="V316" i="22"/>
  <c r="AL71" i="22"/>
  <c r="AR297" i="22"/>
  <c r="AL198" i="22"/>
  <c r="AH12" i="22"/>
  <c r="X331" i="22"/>
  <c r="AB328" i="22"/>
  <c r="AB234" i="22"/>
  <c r="Z223" i="22"/>
  <c r="Z34" i="22"/>
  <c r="AP215" i="22"/>
  <c r="Z122" i="22"/>
  <c r="AJ179" i="22"/>
  <c r="AB256" i="22"/>
  <c r="R216" i="22"/>
  <c r="AR145" i="22"/>
  <c r="AB341" i="22"/>
  <c r="AH265" i="22"/>
  <c r="R340" i="22"/>
  <c r="R360" i="22"/>
  <c r="Z104" i="22"/>
  <c r="AH263" i="22"/>
  <c r="R118" i="22"/>
  <c r="X82" i="22"/>
  <c r="AH42" i="22"/>
  <c r="R288" i="22"/>
  <c r="AJ210" i="22"/>
  <c r="AP173" i="22"/>
  <c r="Z317" i="22"/>
  <c r="V90" i="22"/>
  <c r="T207" i="22"/>
  <c r="AB290" i="22"/>
  <c r="R257" i="22"/>
  <c r="X352" i="22"/>
  <c r="AH337" i="22"/>
  <c r="AF155" i="22"/>
  <c r="AD91" i="22"/>
  <c r="AD356" i="22"/>
  <c r="AD97" i="22"/>
  <c r="AD23" i="22"/>
  <c r="AD179" i="22"/>
  <c r="AP302" i="22"/>
  <c r="AF329" i="22"/>
  <c r="AP299" i="22"/>
  <c r="AD282" i="22"/>
  <c r="AD340" i="22"/>
  <c r="AH361" i="22"/>
  <c r="X128" i="22"/>
  <c r="AB36" i="22"/>
  <c r="V64" i="22"/>
  <c r="AJ164" i="22"/>
  <c r="AF85" i="22"/>
  <c r="T313" i="22"/>
  <c r="X58" i="22"/>
  <c r="X340" i="22"/>
  <c r="AB30" i="22"/>
  <c r="AJ284" i="22"/>
  <c r="AH270" i="22"/>
  <c r="V278" i="22"/>
  <c r="Z287" i="22"/>
  <c r="X256" i="22"/>
  <c r="V203" i="22"/>
  <c r="AJ230" i="22"/>
  <c r="AF19" i="22"/>
  <c r="AB120" i="22"/>
  <c r="X337" i="22"/>
  <c r="V29" i="22"/>
  <c r="X373" i="22"/>
  <c r="AJ112" i="22"/>
  <c r="R297" i="22"/>
  <c r="AJ25" i="22"/>
  <c r="AB330" i="22"/>
  <c r="AF270" i="22"/>
  <c r="AJ335" i="22"/>
  <c r="AB166" i="22"/>
  <c r="Z124" i="22"/>
  <c r="AB87" i="22"/>
  <c r="X41" i="22"/>
  <c r="R248" i="22"/>
  <c r="T131" i="22"/>
  <c r="Z367" i="22"/>
  <c r="AJ138" i="22"/>
  <c r="AF127" i="22"/>
  <c r="R67" i="22"/>
  <c r="T234" i="22"/>
  <c r="R302" i="22"/>
  <c r="Z283" i="22"/>
  <c r="Z184" i="22"/>
  <c r="AR97" i="22"/>
  <c r="R102" i="22"/>
  <c r="R145" i="22"/>
  <c r="R299" i="22"/>
  <c r="AR213" i="22"/>
  <c r="AF319" i="22"/>
  <c r="AF372" i="22"/>
  <c r="AR335" i="22"/>
  <c r="AF297" i="22"/>
  <c r="AB172" i="22"/>
  <c r="AD167" i="22"/>
  <c r="AD367" i="22"/>
  <c r="AD128" i="22"/>
  <c r="AP106" i="22"/>
  <c r="AD253" i="22"/>
  <c r="AP290" i="22"/>
  <c r="AF172" i="22"/>
  <c r="AD135" i="22"/>
  <c r="X118" i="22"/>
  <c r="AB169" i="22"/>
  <c r="AH299" i="22"/>
  <c r="AF32" i="22"/>
  <c r="AF258" i="22"/>
  <c r="AF367" i="22"/>
  <c r="AF237" i="22"/>
  <c r="AJ101" i="22"/>
  <c r="T212" i="22"/>
  <c r="AP140" i="22"/>
  <c r="AF18" i="22"/>
  <c r="AF33" i="22"/>
  <c r="AF159" i="22"/>
  <c r="AR25" i="22"/>
  <c r="AJ44" i="22"/>
  <c r="V218" i="22"/>
  <c r="Z201" i="22"/>
  <c r="AJ191" i="22"/>
  <c r="AH195" i="22"/>
  <c r="R281" i="22"/>
  <c r="AJ195" i="22"/>
  <c r="Z175" i="22"/>
  <c r="T294" i="22"/>
  <c r="AP284" i="22"/>
  <c r="R152" i="22"/>
  <c r="AJ92" i="22"/>
  <c r="X208" i="22"/>
  <c r="V294" i="22"/>
  <c r="AR303" i="22"/>
  <c r="AR121" i="22"/>
  <c r="AH40" i="22"/>
  <c r="AR207" i="22"/>
  <c r="AJ291" i="22"/>
  <c r="V73" i="22"/>
  <c r="X344" i="22"/>
  <c r="T76" i="22"/>
  <c r="AB359" i="22"/>
  <c r="X260" i="22"/>
  <c r="AL270" i="22"/>
  <c r="X137" i="22"/>
  <c r="AR76" i="22"/>
  <c r="R104" i="22"/>
  <c r="AF276" i="22"/>
  <c r="AB283" i="22"/>
  <c r="AB53" i="22"/>
  <c r="AR116" i="22"/>
  <c r="AB50" i="22"/>
  <c r="Z358" i="22"/>
  <c r="AH136" i="22"/>
  <c r="Z45" i="22"/>
  <c r="Z346" i="22"/>
  <c r="X155" i="22"/>
  <c r="AR347" i="22"/>
  <c r="AL255" i="22"/>
  <c r="T337" i="22"/>
  <c r="AR373" i="22"/>
  <c r="AF13" i="22"/>
  <c r="V287" i="22"/>
  <c r="AB267" i="22"/>
  <c r="AR191" i="22"/>
  <c r="AD64" i="22"/>
  <c r="AD157" i="22"/>
  <c r="AP113" i="22"/>
  <c r="AP214" i="22"/>
  <c r="R359" i="22"/>
  <c r="AD293" i="22"/>
  <c r="AD328" i="22"/>
  <c r="AD116" i="22"/>
  <c r="AD22" i="22"/>
  <c r="AD296" i="22"/>
  <c r="AD85" i="22"/>
  <c r="AP223" i="22"/>
  <c r="AD261" i="22"/>
  <c r="AJ203" i="22"/>
  <c r="AH330" i="22"/>
  <c r="AF239" i="22"/>
  <c r="AH325" i="22"/>
  <c r="AR18" i="22"/>
  <c r="AH92" i="22"/>
  <c r="V34" i="22"/>
  <c r="AJ261" i="22"/>
  <c r="Z89" i="22"/>
  <c r="AH261" i="22"/>
  <c r="V208" i="22"/>
  <c r="T188" i="22"/>
  <c r="AR128" i="22"/>
  <c r="X85" i="22"/>
  <c r="T172" i="22"/>
  <c r="T299" i="22"/>
  <c r="Z210" i="22"/>
  <c r="AB365" i="22"/>
  <c r="AB313" i="22"/>
  <c r="AJ216" i="22"/>
  <c r="T333" i="22"/>
  <c r="R373" i="22"/>
  <c r="AJ111" i="22"/>
  <c r="T42" i="22"/>
  <c r="AP260" i="22"/>
  <c r="Z301" i="22"/>
  <c r="AH237" i="22"/>
  <c r="R57" i="22"/>
  <c r="AB180" i="22"/>
  <c r="AH93" i="22"/>
  <c r="R156" i="22"/>
  <c r="V242" i="22"/>
  <c r="AR46" i="22"/>
  <c r="V163" i="22"/>
  <c r="AB67" i="22"/>
  <c r="AR138" i="22"/>
  <c r="AP85" i="22"/>
  <c r="V363" i="22"/>
  <c r="AB323" i="22"/>
  <c r="Z43" i="22"/>
  <c r="Z198" i="22"/>
  <c r="AP127" i="22"/>
  <c r="T214" i="22"/>
  <c r="AB158" i="22"/>
  <c r="AF121" i="22"/>
  <c r="AJ117" i="22"/>
  <c r="AB337" i="22"/>
  <c r="R208" i="22"/>
  <c r="V48" i="22"/>
  <c r="R106" i="22"/>
  <c r="AJ199" i="22"/>
  <c r="R98" i="22"/>
  <c r="AP184" i="22"/>
  <c r="AD289" i="22"/>
  <c r="AP192" i="22"/>
  <c r="AP189" i="22"/>
  <c r="X134" i="22"/>
  <c r="AD111" i="22"/>
  <c r="AD233" i="22"/>
  <c r="AD98" i="22"/>
  <c r="AD148" i="22"/>
  <c r="AD185" i="22"/>
  <c r="AD171" i="22"/>
  <c r="AD262" i="22"/>
  <c r="AF364" i="22"/>
  <c r="AH44" i="22"/>
  <c r="AR257" i="22"/>
  <c r="AR41" i="22"/>
  <c r="AB94" i="22"/>
  <c r="X364" i="22"/>
  <c r="AP164" i="22"/>
  <c r="AP151" i="22"/>
  <c r="AH37" i="22"/>
  <c r="AF234" i="22"/>
  <c r="AR153" i="22"/>
  <c r="V280" i="22"/>
  <c r="T155" i="22"/>
  <c r="AJ78" i="22"/>
  <c r="X174" i="22"/>
  <c r="T146" i="22"/>
  <c r="Z241" i="22"/>
  <c r="T279" i="22"/>
  <c r="V266" i="22"/>
  <c r="AB298" i="22"/>
  <c r="AH29" i="22"/>
  <c r="V200" i="22"/>
  <c r="AF246" i="22"/>
  <c r="V323" i="22"/>
  <c r="Z28" i="22"/>
  <c r="AB325" i="22"/>
  <c r="AJ296" i="22"/>
  <c r="AJ88" i="22"/>
  <c r="AB43" i="22"/>
  <c r="AJ298" i="22"/>
  <c r="AJ134" i="22"/>
  <c r="Z297" i="22"/>
  <c r="V112" i="22"/>
  <c r="T374" i="22"/>
  <c r="T241" i="22"/>
  <c r="T316" i="22"/>
  <c r="AB309" i="22"/>
  <c r="AJ326" i="22"/>
  <c r="AR47" i="22"/>
  <c r="T98" i="22"/>
  <c r="X167" i="22"/>
  <c r="AJ94" i="22"/>
  <c r="Z240" i="22"/>
  <c r="AB156" i="22"/>
  <c r="R110" i="22"/>
  <c r="AH244" i="22"/>
  <c r="Z80" i="22"/>
  <c r="T119" i="22"/>
  <c r="Z183" i="22"/>
  <c r="T115" i="22"/>
  <c r="X257" i="22"/>
  <c r="AB69" i="22"/>
  <c r="V239" i="22"/>
  <c r="AF70" i="22"/>
  <c r="AJ53" i="22"/>
  <c r="X238" i="22"/>
  <c r="T362" i="22"/>
  <c r="AD123" i="22"/>
  <c r="AF308" i="22"/>
  <c r="AP88" i="22"/>
  <c r="AD327" i="22"/>
  <c r="AP334" i="22"/>
  <c r="AF183" i="22"/>
  <c r="AF299" i="22"/>
  <c r="AD162" i="22"/>
  <c r="AD30" i="22"/>
  <c r="AD203" i="22"/>
  <c r="AD147" i="22"/>
  <c r="AD301" i="22"/>
  <c r="R151" i="22"/>
  <c r="X78" i="22"/>
  <c r="AH311" i="22"/>
  <c r="AF334" i="22"/>
  <c r="AH254" i="22"/>
  <c r="AH162" i="22"/>
  <c r="AH367" i="22"/>
  <c r="V326" i="22"/>
  <c r="T263" i="22"/>
  <c r="AR271" i="22"/>
  <c r="AP149" i="22"/>
  <c r="AH351" i="22"/>
  <c r="AR200" i="22"/>
  <c r="AF298" i="22"/>
  <c r="AF45" i="22"/>
  <c r="X375" i="22"/>
  <c r="V117" i="22"/>
  <c r="AN283" i="22"/>
  <c r="AR318" i="22"/>
  <c r="AJ362" i="22"/>
  <c r="X39" i="22"/>
  <c r="T288" i="22"/>
  <c r="AB194" i="22"/>
  <c r="V123" i="22"/>
  <c r="R146" i="22"/>
  <c r="AN266" i="22"/>
  <c r="AP345" i="22"/>
  <c r="T79" i="22"/>
  <c r="V127" i="22"/>
  <c r="T364" i="22"/>
  <c r="R29" i="22"/>
  <c r="AJ84" i="22"/>
  <c r="AH149" i="22"/>
  <c r="X56" i="22"/>
  <c r="Z99" i="22"/>
  <c r="T17" i="22"/>
  <c r="AH192" i="22"/>
  <c r="T225" i="22"/>
  <c r="R74" i="22"/>
  <c r="AJ294" i="22"/>
  <c r="Z26" i="22"/>
  <c r="V374" i="22"/>
  <c r="R81" i="22"/>
  <c r="AP324" i="22"/>
  <c r="R341" i="22"/>
  <c r="Z203" i="22"/>
  <c r="Z93" i="22"/>
  <c r="AF112" i="22"/>
  <c r="AJ240" i="22"/>
  <c r="X180" i="22"/>
  <c r="Z154" i="22"/>
  <c r="T194" i="22"/>
  <c r="Z59" i="22"/>
  <c r="R375" i="22"/>
  <c r="AF104" i="22"/>
  <c r="AB14" i="22"/>
  <c r="Z263" i="22"/>
  <c r="AJ83" i="22"/>
  <c r="T27" i="22"/>
  <c r="V327" i="22"/>
  <c r="AP316" i="22"/>
  <c r="AD196" i="22"/>
  <c r="AD59" i="22"/>
  <c r="AD364" i="22"/>
  <c r="AH303" i="22"/>
  <c r="AP133" i="22"/>
  <c r="AD190" i="22"/>
  <c r="X183" i="22"/>
  <c r="AD126" i="22"/>
  <c r="AD33" i="22"/>
  <c r="AP356" i="22"/>
  <c r="AF146" i="22"/>
  <c r="V186" i="22"/>
  <c r="AF142" i="22"/>
  <c r="AP33" i="22"/>
  <c r="AP58" i="22"/>
  <c r="AH218" i="22"/>
  <c r="AF95" i="22"/>
  <c r="AF27" i="22"/>
  <c r="AH252" i="22"/>
  <c r="V304" i="22"/>
  <c r="AP234" i="22"/>
  <c r="AF294" i="22"/>
  <c r="AH312" i="22"/>
  <c r="AH286" i="22"/>
  <c r="AH211" i="22"/>
  <c r="X304" i="22"/>
  <c r="V262" i="22"/>
  <c r="V187" i="22"/>
  <c r="AJ366" i="22"/>
  <c r="AH115" i="22"/>
  <c r="AJ173" i="22"/>
  <c r="AP312" i="22"/>
  <c r="Z25" i="22"/>
  <c r="AB230" i="22"/>
  <c r="AB62" i="22"/>
  <c r="T103" i="22"/>
  <c r="AF267" i="22"/>
  <c r="Z282" i="22"/>
  <c r="Z258" i="22"/>
  <c r="AH36" i="22"/>
  <c r="AR67" i="22"/>
  <c r="AB118" i="22"/>
  <c r="AB174" i="22"/>
  <c r="T110" i="22"/>
  <c r="R80" i="22"/>
  <c r="Z288" i="22"/>
  <c r="AJ45" i="22"/>
  <c r="X234" i="22"/>
  <c r="AB349" i="22"/>
  <c r="X367" i="22"/>
  <c r="V133" i="22"/>
  <c r="Z70" i="22"/>
  <c r="V258" i="22"/>
  <c r="AB17" i="22"/>
  <c r="R89" i="22"/>
  <c r="R217" i="22"/>
  <c r="AP271" i="22"/>
  <c r="R136" i="22"/>
  <c r="T35" i="22"/>
  <c r="AJ150" i="22"/>
  <c r="Z375" i="22"/>
  <c r="T326" i="22"/>
  <c r="X108" i="22"/>
  <c r="X111" i="22"/>
  <c r="R170" i="22"/>
  <c r="T245" i="22"/>
  <c r="R368" i="22"/>
  <c r="AJ363" i="22"/>
  <c r="AB302" i="22"/>
  <c r="Z91" i="22"/>
  <c r="AH274" i="22"/>
  <c r="AD19" i="22"/>
  <c r="AF296" i="22"/>
  <c r="AH287" i="22"/>
  <c r="AD349" i="22"/>
  <c r="AP320" i="22"/>
  <c r="AP147" i="22"/>
  <c r="Z250" i="22"/>
  <c r="AN260" i="22"/>
  <c r="AD231" i="22"/>
  <c r="AD333" i="22"/>
  <c r="AP338" i="22"/>
  <c r="AP75" i="22"/>
  <c r="Z192" i="103"/>
  <c r="Z382" i="103" s="1"/>
  <c r="C27" i="53"/>
  <c r="E27" i="53" s="1"/>
  <c r="D193" i="22"/>
  <c r="O132" i="23"/>
  <c r="C26" i="53"/>
  <c r="E26" i="53" s="1"/>
  <c r="D251" i="22"/>
  <c r="Z225" i="103"/>
  <c r="Z229" i="103"/>
  <c r="D166" i="22"/>
  <c r="O127" i="23"/>
  <c r="Z191" i="103"/>
  <c r="Z164" i="103"/>
  <c r="Z249" i="103"/>
  <c r="Z231" i="103"/>
  <c r="Z170" i="103"/>
  <c r="Z178" i="103"/>
  <c r="D229" i="22"/>
  <c r="Z227" i="103"/>
  <c r="Z237" i="103"/>
  <c r="Z236" i="103"/>
  <c r="Z377" i="103"/>
  <c r="Z378" i="103"/>
  <c r="Z171" i="103"/>
  <c r="Z376" i="103"/>
  <c r="Z176" i="103"/>
  <c r="D252" i="22"/>
  <c r="D182" i="22"/>
  <c r="D181" i="22"/>
  <c r="Z233" i="103"/>
  <c r="Z223" i="103"/>
  <c r="Z242" i="103"/>
  <c r="Z245" i="103"/>
  <c r="Z246" i="103"/>
  <c r="O130" i="23"/>
  <c r="Z190" i="103"/>
  <c r="Z247" i="103"/>
  <c r="Z230" i="103"/>
  <c r="Z189" i="103"/>
  <c r="Z188" i="103"/>
  <c r="O134" i="23"/>
  <c r="Z232" i="103"/>
  <c r="D225" i="22"/>
  <c r="D227" i="22"/>
  <c r="D163" i="22"/>
  <c r="D167" i="22"/>
  <c r="Z241" i="103"/>
  <c r="Z240" i="103"/>
  <c r="Z248" i="103"/>
  <c r="O129" i="23"/>
  <c r="D253" i="22"/>
  <c r="D173" i="22"/>
  <c r="Z244" i="103"/>
  <c r="D175" i="22"/>
  <c r="Z179" i="103"/>
  <c r="D383" i="103"/>
  <c r="D254" i="22"/>
  <c r="Z238" i="103"/>
  <c r="D174" i="22"/>
  <c r="Z235" i="103"/>
  <c r="D381" i="103"/>
  <c r="Z167" i="103"/>
  <c r="K31" i="70"/>
  <c r="I31" i="70"/>
  <c r="M31" i="70"/>
  <c r="W24" i="70"/>
  <c r="W31" i="70" s="1"/>
  <c r="W23" i="70"/>
  <c r="O24" i="70"/>
  <c r="O31" i="70" s="1"/>
  <c r="O23" i="70"/>
  <c r="S24" i="70"/>
  <c r="S31" i="70" s="1"/>
  <c r="S23" i="70"/>
  <c r="AC24" i="70"/>
  <c r="AC31" i="70" s="1"/>
  <c r="AC23" i="70"/>
  <c r="AA24" i="70"/>
  <c r="AA31" i="70" s="1"/>
  <c r="AA23" i="70"/>
  <c r="AE24" i="70"/>
  <c r="AE31" i="70" s="1"/>
  <c r="AE23" i="70"/>
  <c r="Q24" i="70"/>
  <c r="Q31" i="70" s="1"/>
  <c r="Q23" i="70"/>
  <c r="Y24" i="70"/>
  <c r="Y31" i="70" s="1"/>
  <c r="Y23" i="70"/>
  <c r="U24" i="70"/>
  <c r="U31" i="70" s="1"/>
  <c r="U23" i="70"/>
  <c r="O21" i="37" l="1"/>
  <c r="O41" i="37" s="1"/>
  <c r="P28" i="36"/>
  <c r="N35" i="62"/>
  <c r="Q35" i="62"/>
  <c r="B37" i="62"/>
  <c r="C36" i="62"/>
  <c r="G36" i="62"/>
  <c r="H36" i="62" s="1"/>
  <c r="D36" i="62"/>
  <c r="I36" i="62"/>
  <c r="J36" i="62" s="1"/>
  <c r="E36" i="62"/>
  <c r="F36" i="62"/>
  <c r="K36" i="62"/>
  <c r="M36" i="62"/>
  <c r="O36" i="62"/>
  <c r="L36" i="62"/>
  <c r="R36" i="62"/>
  <c r="S36" i="62" s="1"/>
  <c r="P36" i="62"/>
  <c r="Q36" i="62" s="1"/>
  <c r="C34" i="53"/>
  <c r="E34" i="53" s="1"/>
  <c r="O136" i="23"/>
  <c r="M11" i="64"/>
  <c r="S159" i="23"/>
  <c r="Z384" i="103"/>
  <c r="Z385" i="103"/>
  <c r="N74" i="18" s="1"/>
  <c r="Q168" i="23"/>
  <c r="S168" i="23" s="1"/>
  <c r="O37" i="36" s="1"/>
  <c r="O38" i="36" s="1"/>
  <c r="N8" i="37" s="1"/>
  <c r="N33" i="37" s="1"/>
  <c r="N34" i="37" s="1"/>
  <c r="Q165" i="23"/>
  <c r="S165" i="23" s="1"/>
  <c r="L37" i="36" s="1"/>
  <c r="L38" i="36" s="1"/>
  <c r="K8" i="37" s="1"/>
  <c r="K33" i="37" s="1"/>
  <c r="K34" i="37" s="1"/>
  <c r="P137" i="23"/>
  <c r="Q137" i="23"/>
  <c r="V138" i="23"/>
  <c r="S138" i="23"/>
  <c r="J138" i="23"/>
  <c r="D138" i="23"/>
  <c r="B139" i="23"/>
  <c r="Y138" i="23"/>
  <c r="AJ138" i="23"/>
  <c r="AE138" i="23"/>
  <c r="AH138" i="23"/>
  <c r="Z138" i="23"/>
  <c r="AC138" i="23"/>
  <c r="AD138" i="23"/>
  <c r="U138" i="23"/>
  <c r="AI138" i="23"/>
  <c r="AB138" i="23"/>
  <c r="I138" i="23"/>
  <c r="R138" i="23"/>
  <c r="C138" i="23"/>
  <c r="AK138" i="23"/>
  <c r="H138" i="23"/>
  <c r="AA138" i="23"/>
  <c r="N138" i="23"/>
  <c r="W138" i="23"/>
  <c r="AG138" i="23"/>
  <c r="T138" i="23"/>
  <c r="AL138" i="23"/>
  <c r="X138" i="23"/>
  <c r="AF138" i="23"/>
  <c r="E138" i="23"/>
  <c r="K138" i="23"/>
  <c r="B54" i="31"/>
  <c r="A54" i="31" s="1"/>
  <c r="A19" i="31"/>
  <c r="B26" i="102"/>
  <c r="C26" i="102" s="1"/>
  <c r="B20" i="31"/>
  <c r="F137" i="23"/>
  <c r="G137" i="23" s="1"/>
  <c r="S167" i="23"/>
  <c r="N37" i="36" s="1"/>
  <c r="N38" i="36" s="1"/>
  <c r="M8" i="37" s="1"/>
  <c r="M33" i="37" s="1"/>
  <c r="M34" i="37" s="1"/>
  <c r="G37" i="36"/>
  <c r="G38" i="36" s="1"/>
  <c r="F8" i="37" s="1"/>
  <c r="F33" i="37" s="1"/>
  <c r="F34" i="37" s="1"/>
  <c r="C33" i="53"/>
  <c r="E33" i="53" s="1"/>
  <c r="C31" i="53"/>
  <c r="E31" i="53" s="1"/>
  <c r="J28" i="36"/>
  <c r="I8" i="37"/>
  <c r="I33" i="37" s="1"/>
  <c r="I34" i="37" s="1"/>
  <c r="I17" i="36"/>
  <c r="H21" i="37" s="1"/>
  <c r="H41" i="37" s="1"/>
  <c r="F37" i="36"/>
  <c r="F38" i="36" s="1"/>
  <c r="H37" i="36"/>
  <c r="H38" i="36" s="1"/>
  <c r="H17" i="36" s="1"/>
  <c r="H28" i="36" s="1"/>
  <c r="Z383" i="103"/>
  <c r="Z381" i="103"/>
  <c r="D388" i="103"/>
  <c r="Q164" i="23"/>
  <c r="S164" i="23" s="1"/>
  <c r="Q166" i="23"/>
  <c r="S166" i="23" s="1"/>
  <c r="I19" i="37"/>
  <c r="I41" i="37"/>
  <c r="N36" i="62" l="1"/>
  <c r="B38" i="62"/>
  <c r="I37" i="62"/>
  <c r="J37" i="62" s="1"/>
  <c r="F37" i="62"/>
  <c r="D37" i="62"/>
  <c r="E37" i="62"/>
  <c r="C37" i="62"/>
  <c r="G37" i="62"/>
  <c r="H37" i="62" s="1"/>
  <c r="M37" i="62"/>
  <c r="K37" i="62"/>
  <c r="O37" i="62"/>
  <c r="L37" i="62"/>
  <c r="R37" i="62"/>
  <c r="S37" i="62" s="1"/>
  <c r="P37" i="62"/>
  <c r="Q37" i="62" s="1"/>
  <c r="D28" i="104"/>
  <c r="O17" i="36"/>
  <c r="N21" i="37" s="1"/>
  <c r="N41" i="37" s="1"/>
  <c r="Q138" i="23"/>
  <c r="L138" i="23"/>
  <c r="M138" i="23" s="1"/>
  <c r="P138" i="23"/>
  <c r="F138" i="23"/>
  <c r="G138" i="23" s="1"/>
  <c r="O138" i="23"/>
  <c r="B140" i="23"/>
  <c r="Y139" i="23"/>
  <c r="V139" i="23"/>
  <c r="S139" i="23"/>
  <c r="J139" i="23"/>
  <c r="D139" i="23"/>
  <c r="AE139" i="23"/>
  <c r="AB139" i="23"/>
  <c r="U139" i="23"/>
  <c r="H139" i="23"/>
  <c r="N139" i="23"/>
  <c r="AA139" i="23"/>
  <c r="AD139" i="23"/>
  <c r="Z139" i="23"/>
  <c r="AC139" i="23"/>
  <c r="AJ139" i="23"/>
  <c r="R139" i="23"/>
  <c r="AI139" i="23"/>
  <c r="AH139" i="23"/>
  <c r="AK139" i="23"/>
  <c r="C139" i="23"/>
  <c r="I139" i="23"/>
  <c r="AG139" i="23"/>
  <c r="AL139" i="23"/>
  <c r="T139" i="23"/>
  <c r="W139" i="23"/>
  <c r="X139" i="23"/>
  <c r="AF139" i="23"/>
  <c r="K139" i="23"/>
  <c r="E139" i="23"/>
  <c r="A20" i="31"/>
  <c r="B27" i="102"/>
  <c r="C27" i="102" s="1"/>
  <c r="B21" i="31"/>
  <c r="B55" i="31"/>
  <c r="A55" i="31" s="1"/>
  <c r="G17" i="36"/>
  <c r="H19" i="37"/>
  <c r="H40" i="37" s="1"/>
  <c r="I28" i="36"/>
  <c r="N17" i="36"/>
  <c r="M21" i="37" s="1"/>
  <c r="M19" i="37" s="1"/>
  <c r="L17" i="36"/>
  <c r="K21" i="37" s="1"/>
  <c r="G21" i="37"/>
  <c r="G19" i="37" s="1"/>
  <c r="G8" i="37"/>
  <c r="G33" i="37" s="1"/>
  <c r="G34" i="37" s="1"/>
  <c r="M37" i="36"/>
  <c r="M38" i="36" s="1"/>
  <c r="M17" i="36" s="1"/>
  <c r="M28" i="36" s="1"/>
  <c r="K37" i="36"/>
  <c r="K38" i="36" s="1"/>
  <c r="J8" i="37" s="1"/>
  <c r="J33" i="37" s="1"/>
  <c r="J34" i="37" s="1"/>
  <c r="F17" i="36"/>
  <c r="E8" i="37"/>
  <c r="E33" i="37" s="1"/>
  <c r="E34" i="37" s="1"/>
  <c r="Z388" i="103"/>
  <c r="I28" i="37"/>
  <c r="I42" i="37" s="1"/>
  <c r="I40" i="37"/>
  <c r="N37" i="62" l="1"/>
  <c r="B39" i="62"/>
  <c r="E38" i="62"/>
  <c r="I38" i="62"/>
  <c r="J38" i="62" s="1"/>
  <c r="F38" i="62"/>
  <c r="D38" i="62"/>
  <c r="G38" i="62"/>
  <c r="H38" i="62" s="1"/>
  <c r="C38" i="62"/>
  <c r="M38" i="62"/>
  <c r="L38" i="62"/>
  <c r="O38" i="62"/>
  <c r="K38" i="62"/>
  <c r="R38" i="62"/>
  <c r="S38" i="62" s="1"/>
  <c r="P38" i="62"/>
  <c r="O28" i="36"/>
  <c r="N19" i="37"/>
  <c r="N28" i="37" s="1"/>
  <c r="N42" i="37" s="1"/>
  <c r="E28" i="104"/>
  <c r="Q139" i="23"/>
  <c r="P139" i="23"/>
  <c r="F139" i="23"/>
  <c r="G139" i="23" s="1"/>
  <c r="O139" i="23"/>
  <c r="V140" i="23"/>
  <c r="S140" i="23"/>
  <c r="J140" i="23"/>
  <c r="D140" i="23"/>
  <c r="B141" i="23"/>
  <c r="Y140" i="23"/>
  <c r="C140" i="23"/>
  <c r="AH140" i="23"/>
  <c r="AE140" i="23"/>
  <c r="AJ140" i="23"/>
  <c r="Z140" i="23"/>
  <c r="I140" i="23"/>
  <c r="U140" i="23"/>
  <c r="AD140" i="23"/>
  <c r="R140" i="23"/>
  <c r="AC140" i="23"/>
  <c r="AA140" i="23"/>
  <c r="AB140" i="23"/>
  <c r="AK140" i="23"/>
  <c r="N140" i="23"/>
  <c r="H140" i="23"/>
  <c r="AI140" i="23"/>
  <c r="W140" i="23"/>
  <c r="T140" i="23"/>
  <c r="AL140" i="23"/>
  <c r="AG140" i="23"/>
  <c r="X140" i="23"/>
  <c r="AF140" i="23"/>
  <c r="E140" i="23"/>
  <c r="K140" i="23"/>
  <c r="L139" i="23"/>
  <c r="M139" i="23" s="1"/>
  <c r="B28" i="102"/>
  <c r="C28" i="102" s="1"/>
  <c r="B22" i="31"/>
  <c r="B56" i="31"/>
  <c r="A56" i="31" s="1"/>
  <c r="A21" i="31"/>
  <c r="G28" i="36"/>
  <c r="F21" i="37"/>
  <c r="H28" i="37"/>
  <c r="H42" i="37" s="1"/>
  <c r="N28" i="36"/>
  <c r="M41" i="37"/>
  <c r="L28" i="36"/>
  <c r="F28" i="36"/>
  <c r="E21" i="37"/>
  <c r="G41" i="37"/>
  <c r="L21" i="37"/>
  <c r="K17" i="36"/>
  <c r="K28" i="36" s="1"/>
  <c r="L8" i="37"/>
  <c r="L33" i="37" s="1"/>
  <c r="L34" i="37" s="1"/>
  <c r="M28" i="37"/>
  <c r="M42" i="37" s="1"/>
  <c r="M40" i="37"/>
  <c r="G28" i="37"/>
  <c r="G42" i="37" s="1"/>
  <c r="G40" i="37"/>
  <c r="K19" i="37"/>
  <c r="K41" i="37"/>
  <c r="N38" i="62" l="1"/>
  <c r="Q38" i="62"/>
  <c r="B40" i="62"/>
  <c r="C39" i="62"/>
  <c r="D39" i="62"/>
  <c r="F39" i="62"/>
  <c r="G39" i="62"/>
  <c r="H39" i="62" s="1"/>
  <c r="E39" i="62"/>
  <c r="I39" i="62"/>
  <c r="J39" i="62" s="1"/>
  <c r="M39" i="62"/>
  <c r="K39" i="62"/>
  <c r="L39" i="62"/>
  <c r="O39" i="62"/>
  <c r="R39" i="62"/>
  <c r="S39" i="62" s="1"/>
  <c r="P39" i="62"/>
  <c r="Q39" i="62" s="1"/>
  <c r="N40" i="37"/>
  <c r="L140" i="23"/>
  <c r="M140" i="23" s="1"/>
  <c r="P140" i="23"/>
  <c r="Q140" i="23"/>
  <c r="B29" i="102"/>
  <c r="C29" i="102" s="1"/>
  <c r="B23" i="31"/>
  <c r="B57" i="31"/>
  <c r="A57" i="31" s="1"/>
  <c r="A22" i="31"/>
  <c r="B142" i="23"/>
  <c r="V141" i="23"/>
  <c r="S141" i="23"/>
  <c r="J141" i="23"/>
  <c r="D141" i="23"/>
  <c r="AK141" i="23"/>
  <c r="I141" i="23"/>
  <c r="N141" i="23"/>
  <c r="H141" i="23"/>
  <c r="AE141" i="23"/>
  <c r="U141" i="23"/>
  <c r="Y141" i="23"/>
  <c r="AC141" i="23"/>
  <c r="Z141" i="23"/>
  <c r="R141" i="23"/>
  <c r="C141" i="23"/>
  <c r="AI141" i="23"/>
  <c r="AH141" i="23"/>
  <c r="AA141" i="23"/>
  <c r="AJ141" i="23"/>
  <c r="AD141" i="23"/>
  <c r="AB141" i="23"/>
  <c r="AG141" i="23"/>
  <c r="T141" i="23"/>
  <c r="W141" i="23"/>
  <c r="AL141" i="23"/>
  <c r="X141" i="23"/>
  <c r="AF141" i="23"/>
  <c r="E141" i="23"/>
  <c r="K141" i="23"/>
  <c r="F140" i="23"/>
  <c r="G140" i="23" s="1"/>
  <c r="O140" i="23"/>
  <c r="F41" i="37"/>
  <c r="F19" i="37"/>
  <c r="E41" i="37"/>
  <c r="E19" i="37"/>
  <c r="L41" i="37"/>
  <c r="L19" i="37"/>
  <c r="J21" i="37"/>
  <c r="K28" i="37"/>
  <c r="K42" i="37" s="1"/>
  <c r="K40" i="37"/>
  <c r="N39" i="62" l="1"/>
  <c r="B41" i="62"/>
  <c r="G40" i="62"/>
  <c r="H40" i="62" s="1"/>
  <c r="E40" i="62"/>
  <c r="C40" i="62"/>
  <c r="F40" i="62"/>
  <c r="I40" i="62"/>
  <c r="J40" i="62" s="1"/>
  <c r="D40" i="62"/>
  <c r="M40" i="62"/>
  <c r="K40" i="62"/>
  <c r="O40" i="62"/>
  <c r="L40" i="62"/>
  <c r="R40" i="62"/>
  <c r="S40" i="62" s="1"/>
  <c r="P40" i="62"/>
  <c r="Q40" i="62" s="1"/>
  <c r="Q141" i="23"/>
  <c r="L141" i="23"/>
  <c r="M141" i="23" s="1"/>
  <c r="F141" i="23"/>
  <c r="G141" i="23" s="1"/>
  <c r="O141" i="23"/>
  <c r="B143" i="23"/>
  <c r="V142" i="23"/>
  <c r="S142" i="23"/>
  <c r="D142" i="23"/>
  <c r="J142" i="23"/>
  <c r="AK142" i="23"/>
  <c r="I142" i="23"/>
  <c r="AH142" i="23"/>
  <c r="AB142" i="23"/>
  <c r="N142" i="23"/>
  <c r="H142" i="23"/>
  <c r="C142" i="23"/>
  <c r="AE142" i="23"/>
  <c r="AD142" i="23"/>
  <c r="R142" i="23"/>
  <c r="Y142" i="23"/>
  <c r="AA142" i="23"/>
  <c r="AC142" i="23"/>
  <c r="U142" i="23"/>
  <c r="Z142" i="23"/>
  <c r="AI142" i="23"/>
  <c r="AJ142" i="23"/>
  <c r="T142" i="23"/>
  <c r="AG142" i="23"/>
  <c r="W142" i="23"/>
  <c r="AL142" i="23"/>
  <c r="X142" i="23"/>
  <c r="AF142" i="23"/>
  <c r="K142" i="23"/>
  <c r="E142" i="23"/>
  <c r="P141" i="23"/>
  <c r="B24" i="31"/>
  <c r="B58" i="31"/>
  <c r="A58" i="31" s="1"/>
  <c r="A23" i="31"/>
  <c r="B30" i="102"/>
  <c r="C30" i="102" s="1"/>
  <c r="F28" i="37"/>
  <c r="F42" i="37" s="1"/>
  <c r="F40" i="37"/>
  <c r="E40" i="37"/>
  <c r="E28" i="37"/>
  <c r="E42" i="37" s="1"/>
  <c r="J19" i="37"/>
  <c r="J41" i="37"/>
  <c r="L40" i="37"/>
  <c r="L28" i="37"/>
  <c r="L42" i="37" s="1"/>
  <c r="N40" i="62" l="1"/>
  <c r="B42" i="62"/>
  <c r="E41" i="62"/>
  <c r="C41" i="62"/>
  <c r="I41" i="62"/>
  <c r="J41" i="62" s="1"/>
  <c r="F41" i="62"/>
  <c r="G41" i="62"/>
  <c r="H41" i="62" s="1"/>
  <c r="D41" i="62"/>
  <c r="K41" i="62"/>
  <c r="O41" i="62"/>
  <c r="L41" i="62"/>
  <c r="M41" i="62"/>
  <c r="R41" i="62"/>
  <c r="S41" i="62" s="1"/>
  <c r="P41" i="62"/>
  <c r="Q41" i="62" s="1"/>
  <c r="Q142" i="23"/>
  <c r="F142" i="23"/>
  <c r="G142" i="23" s="1"/>
  <c r="O142" i="23"/>
  <c r="B25" i="31"/>
  <c r="B59" i="31"/>
  <c r="A59" i="31" s="1"/>
  <c r="A24" i="31"/>
  <c r="B31" i="102"/>
  <c r="C31" i="102" s="1"/>
  <c r="B144" i="23"/>
  <c r="S143" i="23"/>
  <c r="D143" i="23"/>
  <c r="V143" i="23"/>
  <c r="J143" i="23"/>
  <c r="AB143" i="23"/>
  <c r="N143" i="23"/>
  <c r="AD143" i="23"/>
  <c r="AI143" i="23"/>
  <c r="Y143" i="23"/>
  <c r="U143" i="23"/>
  <c r="C143" i="23"/>
  <c r="I143" i="23"/>
  <c r="Z143" i="23"/>
  <c r="H143" i="23"/>
  <c r="AH143" i="23"/>
  <c r="R143" i="23"/>
  <c r="AA143" i="23"/>
  <c r="AJ143" i="23"/>
  <c r="AC143" i="23"/>
  <c r="AK143" i="23"/>
  <c r="AE143" i="23"/>
  <c r="T143" i="23"/>
  <c r="W143" i="23"/>
  <c r="AG143" i="23"/>
  <c r="AL143" i="23"/>
  <c r="X143" i="23"/>
  <c r="AF143" i="23"/>
  <c r="E143" i="23"/>
  <c r="K143" i="23"/>
  <c r="P142" i="23"/>
  <c r="L142" i="23"/>
  <c r="M142" i="23" s="1"/>
  <c r="J40" i="37"/>
  <c r="J28" i="37"/>
  <c r="J42" i="37" s="1"/>
  <c r="N41" i="62" l="1"/>
  <c r="I42" i="62"/>
  <c r="J42" i="62" s="1"/>
  <c r="G42" i="62"/>
  <c r="C42" i="62"/>
  <c r="F42" i="62"/>
  <c r="E42" i="62"/>
  <c r="D42" i="62"/>
  <c r="L42" i="62"/>
  <c r="K42" i="62"/>
  <c r="O42" i="62"/>
  <c r="M42" i="62"/>
  <c r="R42" i="62"/>
  <c r="S42" i="62" s="1"/>
  <c r="P42" i="62"/>
  <c r="L143" i="23"/>
  <c r="M143" i="23" s="1"/>
  <c r="B145" i="23"/>
  <c r="J144" i="23"/>
  <c r="S144" i="23"/>
  <c r="V144" i="23"/>
  <c r="D144" i="23"/>
  <c r="AK144" i="23"/>
  <c r="H144" i="23"/>
  <c r="I144" i="23"/>
  <c r="Y144" i="23"/>
  <c r="R144" i="23"/>
  <c r="AH144" i="23"/>
  <c r="AB144" i="23"/>
  <c r="N144" i="23"/>
  <c r="AD144" i="23"/>
  <c r="AC144" i="23"/>
  <c r="C144" i="23"/>
  <c r="AE144" i="23"/>
  <c r="U144" i="23"/>
  <c r="Z144" i="23"/>
  <c r="AA144" i="23"/>
  <c r="AJ144" i="23"/>
  <c r="AI144" i="23"/>
  <c r="W144" i="23"/>
  <c r="T144" i="23"/>
  <c r="AG144" i="23"/>
  <c r="AL144" i="23"/>
  <c r="X144" i="23"/>
  <c r="AF144" i="23"/>
  <c r="K144" i="23"/>
  <c r="E144" i="23"/>
  <c r="Q143" i="23"/>
  <c r="B60" i="31"/>
  <c r="A60" i="31" s="1"/>
  <c r="A25" i="31"/>
  <c r="B32" i="102"/>
  <c r="C32" i="102" s="1"/>
  <c r="B26" i="31"/>
  <c r="P143" i="23"/>
  <c r="F143" i="23"/>
  <c r="G143" i="23" s="1"/>
  <c r="O143" i="23"/>
  <c r="Q144" i="23" l="1"/>
  <c r="Q44" i="62"/>
  <c r="Q45" i="62"/>
  <c r="N42" i="62"/>
  <c r="N45" i="62"/>
  <c r="N44" i="62"/>
  <c r="H45" i="62"/>
  <c r="H44" i="62"/>
  <c r="E44" i="62"/>
  <c r="E45" i="62"/>
  <c r="H42" i="62"/>
  <c r="J44" i="62"/>
  <c r="J45" i="62"/>
  <c r="Q42" i="62"/>
  <c r="S44" i="62"/>
  <c r="S45" i="62"/>
  <c r="P144" i="23"/>
  <c r="L144" i="23"/>
  <c r="M144" i="23" s="1"/>
  <c r="F144" i="23"/>
  <c r="G144" i="23" s="1"/>
  <c r="O144" i="23"/>
  <c r="A26" i="31"/>
  <c r="B33" i="102"/>
  <c r="C33" i="102" s="1"/>
  <c r="B27" i="31"/>
  <c r="B61" i="31"/>
  <c r="A61" i="31" s="1"/>
  <c r="B146" i="23"/>
  <c r="J145" i="23"/>
  <c r="V145" i="23"/>
  <c r="D145" i="23"/>
  <c r="S145" i="23"/>
  <c r="AK145" i="23"/>
  <c r="AI145" i="23"/>
  <c r="Z145" i="23"/>
  <c r="AA145" i="23"/>
  <c r="C145" i="23"/>
  <c r="AD145" i="23"/>
  <c r="AH145" i="23"/>
  <c r="AE145" i="23"/>
  <c r="I145" i="23"/>
  <c r="AC145" i="23"/>
  <c r="AB145" i="23"/>
  <c r="H145" i="23"/>
  <c r="N145" i="23"/>
  <c r="Y145" i="23"/>
  <c r="AJ145" i="23"/>
  <c r="U145" i="23"/>
  <c r="R145" i="23"/>
  <c r="T145" i="23"/>
  <c r="AG145" i="23"/>
  <c r="AL145" i="23"/>
  <c r="W145" i="23"/>
  <c r="X145" i="23"/>
  <c r="AF145" i="23"/>
  <c r="E145" i="23"/>
  <c r="K145" i="23"/>
  <c r="Q145" i="23" l="1"/>
  <c r="B34" i="102"/>
  <c r="C34" i="102" s="1"/>
  <c r="B28" i="31"/>
  <c r="B62" i="31"/>
  <c r="A62" i="31" s="1"/>
  <c r="A27" i="31"/>
  <c r="B147" i="23"/>
  <c r="V146" i="23"/>
  <c r="D146" i="23"/>
  <c r="J146" i="23"/>
  <c r="S146" i="23"/>
  <c r="Y146" i="23"/>
  <c r="R146" i="23"/>
  <c r="H146" i="23"/>
  <c r="N146" i="23"/>
  <c r="AE146" i="23"/>
  <c r="AI146" i="23"/>
  <c r="AB146" i="23"/>
  <c r="C146" i="23"/>
  <c r="U146" i="23"/>
  <c r="AD146" i="23"/>
  <c r="AC146" i="23"/>
  <c r="AA146" i="23"/>
  <c r="AH146" i="23"/>
  <c r="Z146" i="23"/>
  <c r="AK146" i="23"/>
  <c r="AJ146" i="23"/>
  <c r="I146" i="23"/>
  <c r="W146" i="23"/>
  <c r="AG146" i="23"/>
  <c r="T146" i="23"/>
  <c r="AL146" i="23"/>
  <c r="X146" i="23"/>
  <c r="AF146" i="23"/>
  <c r="E146" i="23"/>
  <c r="K146" i="23"/>
  <c r="P145" i="23"/>
  <c r="L145" i="23"/>
  <c r="M145" i="23" s="1"/>
  <c r="F145" i="23"/>
  <c r="G145" i="23" s="1"/>
  <c r="O145" i="23"/>
  <c r="L146" i="23" l="1"/>
  <c r="M146" i="23" s="1"/>
  <c r="P146" i="23"/>
  <c r="Q146" i="23"/>
  <c r="F146" i="23"/>
  <c r="G146" i="23" s="1"/>
  <c r="O146" i="23"/>
  <c r="B148" i="23"/>
  <c r="S147" i="23"/>
  <c r="J147" i="23"/>
  <c r="D147" i="23"/>
  <c r="V147" i="23"/>
  <c r="AK147" i="23"/>
  <c r="AI147" i="23"/>
  <c r="Z147" i="23"/>
  <c r="I147" i="23"/>
  <c r="AE147" i="23"/>
  <c r="AA147" i="23"/>
  <c r="AH147" i="23"/>
  <c r="C147" i="23"/>
  <c r="H147" i="23"/>
  <c r="AC147" i="23"/>
  <c r="AJ147" i="23"/>
  <c r="AD147" i="23"/>
  <c r="U147" i="23"/>
  <c r="AB147" i="23"/>
  <c r="N147" i="23"/>
  <c r="Y147" i="23"/>
  <c r="R147" i="23"/>
  <c r="W147" i="23"/>
  <c r="AG147" i="23"/>
  <c r="T147" i="23"/>
  <c r="AL147" i="23"/>
  <c r="X147" i="23"/>
  <c r="AF147" i="23"/>
  <c r="E147" i="23"/>
  <c r="K147" i="23"/>
  <c r="B35" i="102"/>
  <c r="C35" i="102" s="1"/>
  <c r="B29" i="31"/>
  <c r="B63" i="31"/>
  <c r="A63" i="31" s="1"/>
  <c r="A28" i="31"/>
  <c r="Q147" i="23" l="1"/>
  <c r="F147" i="23"/>
  <c r="G147" i="23" s="1"/>
  <c r="O147" i="23"/>
  <c r="B30" i="31"/>
  <c r="B64" i="31"/>
  <c r="A64" i="31" s="1"/>
  <c r="A29" i="31"/>
  <c r="B36" i="102"/>
  <c r="C36" i="102" s="1"/>
  <c r="P147" i="23"/>
  <c r="B149" i="23"/>
  <c r="J148" i="23"/>
  <c r="V148" i="23"/>
  <c r="S148" i="23"/>
  <c r="D148" i="23"/>
  <c r="AB148" i="23"/>
  <c r="AK148" i="23"/>
  <c r="AJ148" i="23"/>
  <c r="AE148" i="23"/>
  <c r="AI148" i="23"/>
  <c r="I148" i="23"/>
  <c r="Z148" i="23"/>
  <c r="AA148" i="23"/>
  <c r="C148" i="23"/>
  <c r="AH148" i="23"/>
  <c r="U148" i="23"/>
  <c r="AD148" i="23"/>
  <c r="Y148" i="23"/>
  <c r="R148" i="23"/>
  <c r="AC148" i="23"/>
  <c r="H148" i="23"/>
  <c r="N148" i="23"/>
  <c r="T148" i="23"/>
  <c r="AG148" i="23"/>
  <c r="W148" i="23"/>
  <c r="AL148" i="23"/>
  <c r="X148" i="23"/>
  <c r="AF148" i="23"/>
  <c r="K148" i="23"/>
  <c r="E148" i="23"/>
  <c r="L147" i="23"/>
  <c r="M147" i="23" s="1"/>
  <c r="P148" i="23" l="1"/>
  <c r="L148" i="23"/>
  <c r="M148" i="23" s="1"/>
  <c r="Q148" i="23"/>
  <c r="B150" i="23"/>
  <c r="V149" i="23"/>
  <c r="S149" i="23"/>
  <c r="D149" i="23"/>
  <c r="J149" i="23"/>
  <c r="AH149" i="23"/>
  <c r="I149" i="23"/>
  <c r="Z149" i="23"/>
  <c r="AE149" i="23"/>
  <c r="AC149" i="23"/>
  <c r="C149" i="23"/>
  <c r="AJ149" i="23"/>
  <c r="AI149" i="23"/>
  <c r="N149" i="23"/>
  <c r="H149" i="23"/>
  <c r="AD149" i="23"/>
  <c r="AB149" i="23"/>
  <c r="U149" i="23"/>
  <c r="AK149" i="23"/>
  <c r="AA149" i="23"/>
  <c r="R149" i="23"/>
  <c r="Y149" i="23"/>
  <c r="W149" i="23"/>
  <c r="AG149" i="23"/>
  <c r="AL149" i="23"/>
  <c r="T149" i="23"/>
  <c r="X149" i="23"/>
  <c r="AF149" i="23"/>
  <c r="K149" i="23"/>
  <c r="E149" i="23"/>
  <c r="B31" i="31"/>
  <c r="B32" i="31" s="1"/>
  <c r="B65" i="31"/>
  <c r="A65" i="31" s="1"/>
  <c r="A30" i="31"/>
  <c r="B37" i="102"/>
  <c r="C37" i="102" s="1"/>
  <c r="F148" i="23"/>
  <c r="G148" i="23" s="1"/>
  <c r="O148" i="23"/>
  <c r="P149" i="23" l="1"/>
  <c r="Q149" i="23"/>
  <c r="F149" i="23"/>
  <c r="G149" i="23" s="1"/>
  <c r="O149" i="23"/>
  <c r="B66" i="31"/>
  <c r="A66" i="31" s="1"/>
  <c r="A31" i="31"/>
  <c r="B38" i="102"/>
  <c r="C38" i="102" s="1"/>
  <c r="L149" i="23"/>
  <c r="M149" i="23" s="1"/>
  <c r="B151" i="23"/>
  <c r="D150" i="23"/>
  <c r="V150" i="23"/>
  <c r="S150" i="23"/>
  <c r="J150" i="23"/>
  <c r="H150" i="23"/>
  <c r="AC150" i="23"/>
  <c r="I150" i="23"/>
  <c r="AJ150" i="23"/>
  <c r="AI150" i="23"/>
  <c r="AE150" i="23"/>
  <c r="AH150" i="23"/>
  <c r="Y150" i="23"/>
  <c r="AK150" i="23"/>
  <c r="Z150" i="23"/>
  <c r="R150" i="23"/>
  <c r="AD150" i="23"/>
  <c r="C150" i="23"/>
  <c r="AA150" i="23"/>
  <c r="N150" i="23"/>
  <c r="AB150" i="23"/>
  <c r="U150" i="23"/>
  <c r="AG150" i="23"/>
  <c r="T150" i="23"/>
  <c r="AL150" i="23"/>
  <c r="W150" i="23"/>
  <c r="X150" i="23"/>
  <c r="AF150" i="23"/>
  <c r="K150" i="23"/>
  <c r="E150" i="23"/>
  <c r="L150" i="23" l="1"/>
  <c r="M150" i="23" s="1"/>
  <c r="A32" i="31"/>
  <c r="B39" i="102"/>
  <c r="C39" i="102" s="1"/>
  <c r="B33" i="31"/>
  <c r="B67" i="31"/>
  <c r="A67" i="31" s="1"/>
  <c r="Q150" i="23"/>
  <c r="B152" i="23"/>
  <c r="J151" i="23"/>
  <c r="V151" i="23"/>
  <c r="D151" i="23"/>
  <c r="S151" i="23"/>
  <c r="AA151" i="23"/>
  <c r="AJ151" i="23"/>
  <c r="Y151" i="23"/>
  <c r="U151" i="23"/>
  <c r="N151" i="23"/>
  <c r="I151" i="23"/>
  <c r="AB151" i="23"/>
  <c r="AI151" i="23"/>
  <c r="AC151" i="23"/>
  <c r="C151" i="23"/>
  <c r="AH151" i="23"/>
  <c r="H151" i="23"/>
  <c r="Z151" i="23"/>
  <c r="AD151" i="23"/>
  <c r="R151" i="23"/>
  <c r="AE151" i="23"/>
  <c r="AK151" i="23"/>
  <c r="W151" i="23"/>
  <c r="T151" i="23"/>
  <c r="AG151" i="23"/>
  <c r="AL151" i="23"/>
  <c r="X151" i="23"/>
  <c r="AF151" i="23"/>
  <c r="K151" i="23"/>
  <c r="E151" i="23"/>
  <c r="F150" i="23"/>
  <c r="G150" i="23" s="1"/>
  <c r="O150" i="23"/>
  <c r="P150" i="23"/>
  <c r="L151" i="23" l="1"/>
  <c r="M151" i="23" s="1"/>
  <c r="Q151" i="23"/>
  <c r="O151" i="23"/>
  <c r="B153" i="23"/>
  <c r="V152" i="23"/>
  <c r="D152" i="23"/>
  <c r="S152" i="23"/>
  <c r="J152" i="23"/>
  <c r="AB152" i="23"/>
  <c r="AA152" i="23"/>
  <c r="AK152" i="23"/>
  <c r="AD152" i="23"/>
  <c r="AJ152" i="23"/>
  <c r="I152" i="23"/>
  <c r="R152" i="23"/>
  <c r="Z152" i="23"/>
  <c r="AE152" i="23"/>
  <c r="AI152" i="23"/>
  <c r="C152" i="23"/>
  <c r="AC152" i="23"/>
  <c r="U152" i="23"/>
  <c r="H152" i="23"/>
  <c r="N152" i="23"/>
  <c r="AH152" i="23"/>
  <c r="Y152" i="23"/>
  <c r="W152" i="23"/>
  <c r="AG152" i="23"/>
  <c r="T152" i="23"/>
  <c r="AL152" i="23"/>
  <c r="E152" i="23"/>
  <c r="X152" i="23"/>
  <c r="AF152" i="23"/>
  <c r="K152" i="23"/>
  <c r="P151" i="23"/>
  <c r="F151" i="23"/>
  <c r="G151" i="23" s="1"/>
  <c r="B34" i="31"/>
  <c r="B68" i="31"/>
  <c r="A68" i="31" s="1"/>
  <c r="A33" i="31"/>
  <c r="B69" i="31" l="1"/>
  <c r="A69" i="31" s="1"/>
  <c r="B35" i="31"/>
  <c r="B36" i="31" s="1"/>
  <c r="A34" i="31"/>
  <c r="Q152" i="23"/>
  <c r="O152" i="23"/>
  <c r="L152" i="23"/>
  <c r="M152" i="23" s="1"/>
  <c r="F152" i="23"/>
  <c r="G152" i="23" s="1"/>
  <c r="P152" i="23"/>
  <c r="B154" i="23"/>
  <c r="D153" i="23"/>
  <c r="V153" i="23"/>
  <c r="J153" i="23"/>
  <c r="S153" i="23"/>
  <c r="Y153" i="23"/>
  <c r="AK153" i="23"/>
  <c r="R153" i="23"/>
  <c r="I153" i="23"/>
  <c r="N153" i="23"/>
  <c r="C153" i="23"/>
  <c r="AB153" i="23"/>
  <c r="AA153" i="23"/>
  <c r="AH153" i="23"/>
  <c r="U153" i="23"/>
  <c r="AI153" i="23"/>
  <c r="AD153" i="23"/>
  <c r="Z153" i="23"/>
  <c r="AE153" i="23"/>
  <c r="AJ153" i="23"/>
  <c r="H153" i="23"/>
  <c r="AC153" i="23"/>
  <c r="T153" i="23"/>
  <c r="AG153" i="23"/>
  <c r="W153" i="23"/>
  <c r="AL153" i="23"/>
  <c r="E153" i="23"/>
  <c r="X153" i="23"/>
  <c r="AF153" i="23"/>
  <c r="K153" i="23"/>
  <c r="A36" i="31" l="1"/>
  <c r="B71" i="31"/>
  <c r="O153" i="23"/>
  <c r="Q153" i="23"/>
  <c r="L153" i="23"/>
  <c r="M153" i="23" s="1"/>
  <c r="B70" i="31"/>
  <c r="A35" i="31"/>
  <c r="J11" i="64" s="1"/>
  <c r="B155" i="23"/>
  <c r="B156" i="23" s="1"/>
  <c r="J154" i="23"/>
  <c r="V154" i="23"/>
  <c r="D154" i="23"/>
  <c r="S154" i="23"/>
  <c r="U154" i="23"/>
  <c r="AJ154" i="23"/>
  <c r="R154" i="23"/>
  <c r="AD154" i="23"/>
  <c r="AK154" i="23"/>
  <c r="Y154" i="23"/>
  <c r="AA154" i="23"/>
  <c r="AH154" i="23"/>
  <c r="N154" i="23"/>
  <c r="AE154" i="23"/>
  <c r="AI154" i="23"/>
  <c r="I154" i="23"/>
  <c r="AB154" i="23"/>
  <c r="AC154" i="23"/>
  <c r="H154" i="23"/>
  <c r="Z154" i="23"/>
  <c r="C154" i="23"/>
  <c r="T154" i="23"/>
  <c r="W154" i="23"/>
  <c r="AG154" i="23"/>
  <c r="AL154" i="23"/>
  <c r="E154" i="23"/>
  <c r="X154" i="23"/>
  <c r="AF154" i="23"/>
  <c r="K154" i="23"/>
  <c r="F153" i="23"/>
  <c r="G153" i="23" s="1"/>
  <c r="P153" i="23"/>
  <c r="AJ156" i="23" l="1"/>
  <c r="AE156" i="23"/>
  <c r="U156" i="23"/>
  <c r="C156" i="23"/>
  <c r="AI156" i="23"/>
  <c r="AA156" i="23"/>
  <c r="J156" i="23"/>
  <c r="AK156" i="23"/>
  <c r="AH156" i="23"/>
  <c r="D156" i="23"/>
  <c r="AD156" i="23"/>
  <c r="N156" i="23"/>
  <c r="Z156" i="23"/>
  <c r="V156" i="23"/>
  <c r="H156" i="23"/>
  <c r="AC156" i="23"/>
  <c r="S156" i="23"/>
  <c r="I156" i="23"/>
  <c r="AB156" i="23"/>
  <c r="R156" i="23"/>
  <c r="T156" i="23"/>
  <c r="W156" i="23"/>
  <c r="Y156" i="23"/>
  <c r="AG156" i="23"/>
  <c r="AL156" i="23"/>
  <c r="X156" i="23"/>
  <c r="AF156" i="23"/>
  <c r="K156" i="23"/>
  <c r="E156" i="23"/>
  <c r="A71" i="31"/>
  <c r="K11" i="64"/>
  <c r="A70" i="31"/>
  <c r="K12" i="64" s="1"/>
  <c r="Q154" i="23"/>
  <c r="L154" i="23"/>
  <c r="M154" i="23" s="1"/>
  <c r="J155" i="23"/>
  <c r="V155" i="23"/>
  <c r="D155" i="23"/>
  <c r="S155" i="23"/>
  <c r="N155" i="23"/>
  <c r="AA155" i="23"/>
  <c r="I155" i="23"/>
  <c r="Y155" i="23"/>
  <c r="AK155" i="23"/>
  <c r="AC155" i="23"/>
  <c r="AB155" i="23"/>
  <c r="AE155" i="23"/>
  <c r="R155" i="23"/>
  <c r="U155" i="23"/>
  <c r="AH155" i="23"/>
  <c r="C155" i="23"/>
  <c r="AD155" i="23"/>
  <c r="AJ155" i="23"/>
  <c r="Z155" i="23"/>
  <c r="H155" i="23"/>
  <c r="AI155" i="23"/>
  <c r="AL155" i="23"/>
  <c r="T155" i="23"/>
  <c r="W155" i="23"/>
  <c r="AG155" i="23"/>
  <c r="E155" i="23"/>
  <c r="X155" i="23"/>
  <c r="AF155" i="23"/>
  <c r="K155" i="23"/>
  <c r="O154" i="23"/>
  <c r="P154" i="23"/>
  <c r="F154" i="23"/>
  <c r="G154" i="23" s="1"/>
  <c r="Q156" i="23" l="1"/>
  <c r="J12" i="64"/>
  <c r="F156" i="23"/>
  <c r="G156" i="23" s="1"/>
  <c r="O156" i="23"/>
  <c r="L156" i="23"/>
  <c r="M156" i="23" s="1"/>
  <c r="P156" i="23"/>
  <c r="Q155" i="23"/>
  <c r="P155" i="23"/>
  <c r="F155" i="23"/>
  <c r="G155" i="23" s="1"/>
  <c r="L155" i="23"/>
  <c r="M155" i="23" s="1"/>
  <c r="O155" i="23"/>
</calcChain>
</file>

<file path=xl/comments1.xml><?xml version="1.0" encoding="utf-8"?>
<comments xmlns="http://schemas.openxmlformats.org/spreadsheetml/2006/main">
  <authors>
    <author>c9120348</author>
  </authors>
  <commentList>
    <comment ref="C8" authorId="0" shapeId="0">
      <text>
        <r>
          <rPr>
            <sz val="8"/>
            <color indexed="81"/>
            <rFont val="Tahoma"/>
            <family val="2"/>
          </rPr>
          <t>SE INSERTA LA FECHA DEL REPORTE A GENERAR</t>
        </r>
      </text>
    </comment>
    <comment ref="D12" authorId="0" shapeId="0">
      <text>
        <r>
          <rPr>
            <sz val="8"/>
            <color indexed="81"/>
            <rFont val="Tahoma"/>
            <family val="2"/>
          </rPr>
          <t xml:space="preserve">SE INSERTA LA FECHA </t>
        </r>
        <r>
          <rPr>
            <b/>
            <sz val="8"/>
            <color indexed="81"/>
            <rFont val="Tahoma"/>
            <family val="2"/>
          </rPr>
          <t>PRIMER</t>
        </r>
        <r>
          <rPr>
            <sz val="8"/>
            <color indexed="81"/>
            <rFont val="Tahoma"/>
            <family val="2"/>
          </rPr>
          <t xml:space="preserve"> DIA DEL MES REPORTE A GENERAR DE OCENSA</t>
        </r>
      </text>
    </comment>
    <comment ref="D13" authorId="0" shapeId="0">
      <text>
        <r>
          <rPr>
            <sz val="8"/>
            <color indexed="81"/>
            <rFont val="Tahoma"/>
            <family val="2"/>
          </rPr>
          <t xml:space="preserve">SE INSERTA LA FECHA </t>
        </r>
        <r>
          <rPr>
            <b/>
            <sz val="8"/>
            <color indexed="81"/>
            <rFont val="Tahoma"/>
            <family val="2"/>
          </rPr>
          <t>ULTIMO</t>
        </r>
        <r>
          <rPr>
            <sz val="8"/>
            <color indexed="81"/>
            <rFont val="Tahoma"/>
            <family val="2"/>
          </rPr>
          <t xml:space="preserve">  DIA DEL MES REPORTE A GENERAR DE OCENSA</t>
        </r>
      </text>
    </comment>
  </commentList>
</comments>
</file>

<file path=xl/comments2.xml><?xml version="1.0" encoding="utf-8"?>
<comments xmlns="http://schemas.openxmlformats.org/spreadsheetml/2006/main">
  <authors>
    <author>OP senior</author>
    <author>Ricardo León Ramírez (Stork Technical Services)</author>
  </authors>
  <commentList>
    <comment ref="J1" authorId="0" shapeId="0">
      <text>
        <r>
          <rPr>
            <b/>
            <sz val="9"/>
            <color indexed="81"/>
            <rFont val="Tahoma"/>
            <family val="2"/>
          </rPr>
          <t>Sumar al horometro actual 99930 horas acumuladas del ultimo MOH (10-12-2010)</t>
        </r>
      </text>
    </comment>
    <comment ref="U1" authorId="1" shapeId="0">
      <text>
        <r>
          <rPr>
            <sz val="9"/>
            <color indexed="81"/>
            <rFont val="Tahoma"/>
            <family val="2"/>
          </rPr>
          <t xml:space="preserve">08-Nov-2022. Se cambio Multilin SR-489. No paso las pruebas de inyeccion secundaria , a 31-12-202 queda con un hometro 632441,12Mwh  se debe sumar los años siguientes.
</t>
        </r>
      </text>
    </comment>
    <comment ref="V1" authorId="1" shapeId="0">
      <text>
        <r>
          <rPr>
            <sz val="9"/>
            <color indexed="81"/>
            <rFont val="Tahoma"/>
            <family val="2"/>
          </rPr>
          <t xml:space="preserve">08-Nov-2022. Se cambio Multilin SR-489. No paso las pruebas de inyeccion secundaria , a 31-12-202 queda con un hometro 335273,29Mvar  se debe sumar los años siguientes.
</t>
        </r>
      </text>
    </comment>
    <comment ref="AE163" authorId="1" shapeId="0">
      <text>
        <r>
          <rPr>
            <b/>
            <sz val="9"/>
            <color indexed="81"/>
            <rFont val="Tahoma"/>
            <family val="2"/>
          </rPr>
          <t xml:space="preserve">En el matenimiento de multilin se perdio el acumulado Mwh </t>
        </r>
        <r>
          <rPr>
            <b/>
            <sz val="9"/>
            <color indexed="81"/>
            <rFont val="Tahoma"/>
            <family val="2"/>
          </rPr>
          <t>35604,2</t>
        </r>
      </text>
    </comment>
    <comment ref="AF163" authorId="1" shapeId="0">
      <text>
        <r>
          <rPr>
            <b/>
            <sz val="9"/>
            <color indexed="81"/>
            <rFont val="Tahoma"/>
            <family val="2"/>
          </rPr>
          <t>En el matenimiento de multilin se perdio el acumulado Mvar 25381,3</t>
        </r>
      </text>
    </comment>
  </commentList>
</comments>
</file>

<file path=xl/comments3.xml><?xml version="1.0" encoding="utf-8"?>
<comments xmlns="http://schemas.openxmlformats.org/spreadsheetml/2006/main">
  <authors>
    <author>Ricardo León Ramírez (Stork Technical Services)</author>
  </authors>
  <commentList>
    <comment ref="F294" authorId="0" shapeId="0">
      <text>
        <r>
          <rPr>
            <sz val="9"/>
            <color indexed="81"/>
            <rFont val="Tahoma"/>
            <family val="2"/>
          </rPr>
          <t xml:space="preserve">Fuera de sincronismo
</t>
        </r>
      </text>
    </comment>
    <comment ref="H294" authorId="0" shapeId="0">
      <text>
        <r>
          <rPr>
            <b/>
            <sz val="9"/>
            <color indexed="81"/>
            <rFont val="Tahoma"/>
            <family val="2"/>
          </rPr>
          <t>Fuera de sincronismo</t>
        </r>
        <r>
          <rPr>
            <sz val="9"/>
            <color indexed="81"/>
            <rFont val="Tahoma"/>
            <family val="2"/>
          </rPr>
          <t xml:space="preserve">
</t>
        </r>
      </text>
    </comment>
  </commentList>
</comments>
</file>

<file path=xl/comments4.xml><?xml version="1.0" encoding="utf-8"?>
<comments xmlns="http://schemas.openxmlformats.org/spreadsheetml/2006/main">
  <authors>
    <author>Ricardo León Ramírez (Stork)</author>
    <author>Gonzalo Coronado Nuñez (Stork Masa)</author>
  </authors>
  <commentList>
    <comment ref="AH157" authorId="0" shapeId="0">
      <text>
        <r>
          <rPr>
            <b/>
            <sz val="9"/>
            <color indexed="81"/>
            <rFont val="Tahoma"/>
            <family val="2"/>
          </rPr>
          <t>Ricardo León Ramírez (Stork):</t>
        </r>
        <r>
          <rPr>
            <sz val="9"/>
            <color indexed="81"/>
            <rFont val="Tahoma"/>
            <family val="2"/>
          </rPr>
          <t xml:space="preserve">
Por favor digite aquí el valor del ultimo mes recibido.(generalmente es el del mes anterior al informe)</t>
        </r>
      </text>
    </comment>
    <comment ref="AH159" authorId="1" shapeId="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60" authorId="1" shapeId="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61" authorId="1" shapeId="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62" authorId="1" shapeId="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63" authorId="1" shapeId="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64" authorId="1" shapeId="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65" authorId="1" shapeId="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66" authorId="1" shapeId="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67" authorId="1" shapeId="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68" authorId="1" shapeId="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69" authorId="1" shapeId="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 ref="AH170" authorId="1" shapeId="0">
      <text>
        <r>
          <rPr>
            <b/>
            <sz val="9"/>
            <color indexed="81"/>
            <rFont val="Tahoma"/>
            <family val="2"/>
          </rPr>
          <t>Gonzalo Coronado Nuñez (Stork Masa):</t>
        </r>
        <r>
          <rPr>
            <sz val="9"/>
            <color indexed="81"/>
            <rFont val="Tahoma"/>
            <family val="2"/>
          </rPr>
          <t xml:space="preserve">
Por favor digite aquí el valor del ultimo mes recibido.(generalmente es el del mes anterior al informe)</t>
        </r>
      </text>
    </comment>
  </commentList>
</comments>
</file>

<file path=xl/comments5.xml><?xml version="1.0" encoding="utf-8"?>
<comments xmlns="http://schemas.openxmlformats.org/spreadsheetml/2006/main">
  <authors>
    <author>c9120348</author>
  </authors>
  <commentList>
    <comment ref="AE10" authorId="0" shapeId="0">
      <text>
        <r>
          <rPr>
            <b/>
            <sz val="8"/>
            <color indexed="81"/>
            <rFont val="Tahoma"/>
            <family val="2"/>
          </rPr>
          <t>c9120348:</t>
        </r>
        <r>
          <rPr>
            <sz val="8"/>
            <color indexed="81"/>
            <rFont val="Tahoma"/>
            <family val="2"/>
          </rPr>
          <t xml:space="preserve">
La S/E JT no tiene medidor de energía dedicado, no podemos tomar el dato para esta.
</t>
        </r>
      </text>
    </comment>
    <comment ref="M11" authorId="0" shapeId="0">
      <text>
        <r>
          <rPr>
            <b/>
            <sz val="8"/>
            <color indexed="81"/>
            <rFont val="Tahoma"/>
            <family val="2"/>
          </rPr>
          <t>c9120348:</t>
        </r>
        <r>
          <rPr>
            <sz val="8"/>
            <color indexed="81"/>
            <rFont val="Tahoma"/>
            <family val="2"/>
          </rPr>
          <t xml:space="preserve">
No tiene medidor de energia.
</t>
        </r>
      </text>
    </comment>
  </commentList>
</comments>
</file>

<file path=xl/comments6.xml><?xml version="1.0" encoding="utf-8"?>
<comments xmlns="http://schemas.openxmlformats.org/spreadsheetml/2006/main">
  <authors>
    <author>Admin</author>
    <author>Jorge Enrique Santos Jimenez (Wood Group Colombia)</author>
  </authors>
  <commentList>
    <comment ref="C33" authorId="0" shapeId="0">
      <text>
        <r>
          <rPr>
            <sz val="8"/>
            <color indexed="81"/>
            <rFont val="Tahoma"/>
            <family val="2"/>
          </rPr>
          <t>Establece cuanta energia contenida en el gas se requiere para generar un kWh de energia electrica</t>
        </r>
      </text>
    </comment>
    <comment ref="I34" authorId="1" shapeId="0">
      <text>
        <r>
          <rPr>
            <b/>
            <sz val="9"/>
            <color indexed="81"/>
            <rFont val="Tahoma"/>
            <family val="2"/>
          </rPr>
          <t>Valor constante de energia/ (BTU/KW) el denominador es el heat rate</t>
        </r>
        <r>
          <rPr>
            <sz val="9"/>
            <color indexed="81"/>
            <rFont val="Tahoma"/>
            <family val="2"/>
          </rPr>
          <t xml:space="preserve">
</t>
        </r>
      </text>
    </comment>
    <comment ref="J34" authorId="1" shapeId="0">
      <text>
        <r>
          <rPr>
            <b/>
            <sz val="9"/>
            <color indexed="81"/>
            <rFont val="Tahoma"/>
            <family val="2"/>
          </rPr>
          <t>Valor constante de energia/ (BTU/KW) el denominador es el heat rate</t>
        </r>
        <r>
          <rPr>
            <sz val="9"/>
            <color indexed="81"/>
            <rFont val="Tahoma"/>
            <family val="2"/>
          </rPr>
          <t xml:space="preserve">
</t>
        </r>
      </text>
    </comment>
  </commentList>
</comments>
</file>

<file path=xl/comments7.xml><?xml version="1.0" encoding="utf-8"?>
<comments xmlns="http://schemas.openxmlformats.org/spreadsheetml/2006/main">
  <authors>
    <author>Admin</author>
    <author>Gonzalo Coronado Nuñez (Stork Masa)</author>
  </authors>
  <commentList>
    <comment ref="M8" authorId="0" shapeId="0">
      <text>
        <r>
          <rPr>
            <sz val="9"/>
            <color indexed="81"/>
            <rFont val="Tahoma"/>
            <family val="2"/>
          </rPr>
          <t xml:space="preserve">Este es el valor real de consumo sin embargo por el tema comercial con Ocensa es del 12%
</t>
        </r>
      </text>
    </comment>
    <comment ref="P8" authorId="0" shapeId="0">
      <text>
        <r>
          <rPr>
            <sz val="9"/>
            <color indexed="81"/>
            <rFont val="Tahoma"/>
            <family val="2"/>
          </rPr>
          <t xml:space="preserve">Este es el valor real de consumo sin embargo por el tema comercial con Ocensa es del 12%
</t>
        </r>
      </text>
    </comment>
    <comment ref="S8" authorId="0" shapeId="0">
      <text>
        <r>
          <rPr>
            <sz val="9"/>
            <color indexed="81"/>
            <rFont val="Tahoma"/>
            <family val="2"/>
          </rPr>
          <t xml:space="preserve">Este es el valor real de consumo sin embargo por el tema comercial con Ocensa es del 12%
</t>
        </r>
      </text>
    </comment>
    <comment ref="V8" authorId="0" shapeId="0">
      <text>
        <r>
          <rPr>
            <sz val="9"/>
            <color indexed="81"/>
            <rFont val="Tahoma"/>
            <family val="2"/>
          </rPr>
          <t xml:space="preserve">Este es el valor real de consumo sin embargo por el tema comercial con Ocensa es del 12%
</t>
        </r>
      </text>
    </comment>
    <comment ref="Y8" authorId="0" shapeId="0">
      <text>
        <r>
          <rPr>
            <sz val="9"/>
            <color indexed="81"/>
            <rFont val="Tahoma"/>
            <family val="2"/>
          </rPr>
          <t xml:space="preserve">Este es el valor real de consumo sin embargo por el tema comercial con Ocensa es del 12%
</t>
        </r>
      </text>
    </comment>
    <comment ref="AE8" authorId="0" shapeId="0">
      <text>
        <r>
          <rPr>
            <sz val="9"/>
            <color indexed="81"/>
            <rFont val="Tahoma"/>
            <family val="2"/>
          </rPr>
          <t xml:space="preserve">Este es el valor real de consumo sin embargo por el tema comercial con Ocensa es del 12%
</t>
        </r>
      </text>
    </comment>
    <comment ref="AH8" authorId="0" shapeId="0">
      <text>
        <r>
          <rPr>
            <sz val="9"/>
            <color indexed="81"/>
            <rFont val="Tahoma"/>
            <family val="2"/>
          </rPr>
          <t xml:space="preserve">Este es el valor real de consumo sin embargo por el tema comercial con Ocensa es del 12%
</t>
        </r>
      </text>
    </comment>
    <comment ref="AK8" authorId="0" shapeId="0">
      <text>
        <r>
          <rPr>
            <sz val="9"/>
            <color indexed="81"/>
            <rFont val="Tahoma"/>
            <family val="2"/>
          </rPr>
          <t xml:space="preserve">Este es el valor real de consumo sin embargo por el tema comercial con Ocensa es del 12%
</t>
        </r>
      </text>
    </comment>
    <comment ref="AN8" authorId="0" shapeId="0">
      <text>
        <r>
          <rPr>
            <sz val="9"/>
            <color indexed="81"/>
            <rFont val="Tahoma"/>
            <family val="2"/>
          </rPr>
          <t xml:space="preserve">Este es el valor real de consumo sin embargo por el tema comercial con Ocensa es del 12%
</t>
        </r>
      </text>
    </comment>
    <comment ref="F20" authorId="1" shapeId="0">
      <text>
        <r>
          <rPr>
            <sz val="9"/>
            <color indexed="81"/>
            <rFont val="Tahoma"/>
            <family val="2"/>
          </rPr>
          <t xml:space="preserve">Se le debe sumar la energía del US-G-8005
</t>
        </r>
      </text>
    </comment>
    <comment ref="F21" authorId="1" shapeId="0">
      <text>
        <r>
          <rPr>
            <sz val="9"/>
            <color indexed="81"/>
            <rFont val="Tahoma"/>
            <family val="2"/>
          </rPr>
          <t xml:space="preserve">En estos momentos como el transformador US-TR-8005 se encuentra abierto se debe sumar. También se debe restar los auxiliares de los turbogeneradores.
</t>
        </r>
      </text>
    </comment>
    <comment ref="AH21" authorId="1" shapeId="0">
      <text>
        <r>
          <rPr>
            <b/>
            <sz val="9"/>
            <color indexed="81"/>
            <rFont val="Tahoma"/>
            <family val="2"/>
          </rPr>
          <t>De acuerdo a formula</t>
        </r>
        <r>
          <rPr>
            <sz val="9"/>
            <color indexed="81"/>
            <rFont val="Tahoma"/>
            <family val="2"/>
          </rPr>
          <t xml:space="preserve">
</t>
        </r>
      </text>
    </comment>
    <comment ref="AK21" authorId="1" shapeId="0">
      <text>
        <r>
          <rPr>
            <b/>
            <sz val="9"/>
            <color indexed="81"/>
            <rFont val="Tahoma"/>
            <family val="2"/>
          </rPr>
          <t>De acuerdo a formula</t>
        </r>
        <r>
          <rPr>
            <sz val="9"/>
            <color indexed="81"/>
            <rFont val="Tahoma"/>
            <family val="2"/>
          </rPr>
          <t xml:space="preserve">
</t>
        </r>
      </text>
    </comment>
    <comment ref="AN21" authorId="1" shapeId="0">
      <text>
        <r>
          <rPr>
            <b/>
            <sz val="9"/>
            <color indexed="81"/>
            <rFont val="Tahoma"/>
            <family val="2"/>
          </rPr>
          <t>De acuerdo a formula</t>
        </r>
        <r>
          <rPr>
            <sz val="9"/>
            <color indexed="81"/>
            <rFont val="Tahoma"/>
            <family val="2"/>
          </rPr>
          <t xml:space="preserve">
</t>
        </r>
      </text>
    </comment>
  </commentList>
</comments>
</file>

<file path=xl/comments8.xml><?xml version="1.0" encoding="utf-8"?>
<comments xmlns="http://schemas.openxmlformats.org/spreadsheetml/2006/main">
  <authors>
    <author>c9120348</author>
    <author>Ricardo León Ramírez (Stork Technical Services)</author>
    <author>Gonzalo Coronado Nuñez (Stork Masa)</author>
    <author>Ricardo León Ramírez (Stork)</author>
  </authors>
  <commentList>
    <comment ref="O7" authorId="0" shapeId="0">
      <text>
        <r>
          <rPr>
            <b/>
            <sz val="8"/>
            <color indexed="81"/>
            <rFont val="Tahoma"/>
            <family val="2"/>
          </rPr>
          <t>c9120348:</t>
        </r>
        <r>
          <rPr>
            <sz val="8"/>
            <color indexed="81"/>
            <rFont val="Tahoma"/>
            <family val="2"/>
          </rPr>
          <t xml:space="preserve">
Maximo consumo
 anual</t>
        </r>
      </text>
    </comment>
    <comment ref="E21" authorId="1" shapeId="0">
      <text>
        <r>
          <rPr>
            <sz val="9"/>
            <color indexed="81"/>
            <rFont val="Tahoma"/>
            <family val="2"/>
          </rPr>
          <t>PPP 25-03 al 08-04</t>
        </r>
      </text>
    </comment>
    <comment ref="F21" authorId="2" shapeId="0">
      <text>
        <r>
          <rPr>
            <sz val="9"/>
            <color indexed="81"/>
            <rFont val="Tahoma"/>
            <family val="2"/>
          </rPr>
          <t>PPP 25-03 al 08-04</t>
        </r>
      </text>
    </comment>
    <comment ref="J22" authorId="2" shapeId="0">
      <text>
        <r>
          <rPr>
            <sz val="9"/>
            <color indexed="81"/>
            <rFont val="Tahoma"/>
            <family val="2"/>
          </rPr>
          <t>Mantto KTB-2701 27000 Hrs 01 al 07</t>
        </r>
      </text>
    </comment>
    <comment ref="M22" authorId="2" shapeId="0">
      <text>
        <r>
          <rPr>
            <b/>
            <sz val="9"/>
            <color indexed="81"/>
            <rFont val="Tahoma"/>
            <family val="2"/>
          </rPr>
          <t>Gonzalo Coronado Nuñez (Stork Masa):</t>
        </r>
        <r>
          <rPr>
            <sz val="9"/>
            <color indexed="81"/>
            <rFont val="Tahoma"/>
            <family val="2"/>
          </rPr>
          <t xml:space="preserve">
Dia 27-11-2016 a las 12:29 Problemas unidades Fuel gas por falla torres de secado compresores aire de instrumentos, parada turbinas de reinyección planta de gas y Demag 2. Turbogeneradores conmutaron a diesel.
</t>
        </r>
      </text>
    </comment>
    <comment ref="H23" authorId="2" shapeId="0">
      <text>
        <r>
          <rPr>
            <sz val="9"/>
            <color indexed="81"/>
            <rFont val="Tahoma"/>
            <family val="2"/>
          </rPr>
          <t>Sale KM-2101(4 veces)
Sale KM-2501 (3 veces)</t>
        </r>
      </text>
    </comment>
    <comment ref="N23" authorId="2" shapeId="0">
      <text>
        <r>
          <rPr>
            <sz val="9"/>
            <color indexed="81"/>
            <rFont val="Tahoma"/>
            <family val="2"/>
          </rPr>
          <t>Blackout de Generación 13-12</t>
        </r>
      </text>
    </comment>
    <comment ref="C24" authorId="3" shapeId="0">
      <text>
        <r>
          <rPr>
            <sz val="9"/>
            <color indexed="81"/>
            <rFont val="Tahoma"/>
            <family val="2"/>
          </rPr>
          <t xml:space="preserve">PPP ENERO 10 al 26
</t>
        </r>
      </text>
    </comment>
    <comment ref="F24" authorId="3" shapeId="0">
      <text>
        <r>
          <rPr>
            <sz val="9"/>
            <color indexed="81"/>
            <rFont val="Tahoma"/>
            <family val="2"/>
          </rPr>
          <t>MOH US-GT-8001 12-03 al 16-04</t>
        </r>
      </text>
    </comment>
    <comment ref="M24" authorId="3" shapeId="0">
      <text>
        <r>
          <rPr>
            <sz val="9"/>
            <color indexed="81"/>
            <rFont val="Tahoma"/>
            <family val="2"/>
          </rPr>
          <t>MOH US-GT-8002 del 20-11 al 13-12</t>
        </r>
      </text>
    </comment>
    <comment ref="G25" authorId="3" shapeId="0">
      <text>
        <r>
          <rPr>
            <sz val="9"/>
            <color indexed="81"/>
            <rFont val="Tahoma"/>
            <family val="2"/>
          </rPr>
          <t>MOH KTB-2701 del 16-05 al 05-06</t>
        </r>
      </text>
    </comment>
  </commentList>
</comments>
</file>

<file path=xl/comments9.xml><?xml version="1.0" encoding="utf-8"?>
<comments xmlns="http://schemas.openxmlformats.org/spreadsheetml/2006/main">
  <authors>
    <author>Administrador</author>
    <author>Ricardo León Ramírez (Stork)</author>
  </authors>
  <commentList>
    <comment ref="C29" authorId="0" shapeId="0">
      <text>
        <r>
          <rPr>
            <b/>
            <sz val="18"/>
            <color indexed="81"/>
            <rFont val="Tahoma"/>
            <family val="2"/>
          </rPr>
          <t>KM-2101  
EL KM-1101 SE ENCUENTRA F/S</t>
        </r>
      </text>
    </comment>
    <comment ref="C65" authorId="0" shapeId="0">
      <text>
        <r>
          <rPr>
            <b/>
            <sz val="18"/>
            <color indexed="81"/>
            <rFont val="Tahoma"/>
            <family val="2"/>
          </rPr>
          <t>US-TR-8002</t>
        </r>
      </text>
    </comment>
    <comment ref="C77" authorId="0" shapeId="0">
      <text>
        <r>
          <rPr>
            <b/>
            <sz val="18"/>
            <color indexed="81"/>
            <rFont val="Tahoma"/>
            <family val="2"/>
          </rPr>
          <t>US-TR-8004/3</t>
        </r>
      </text>
    </comment>
    <comment ref="C89" authorId="0" shapeId="0">
      <text>
        <r>
          <rPr>
            <b/>
            <sz val="8"/>
            <color indexed="81"/>
            <rFont val="Tahoma"/>
            <family val="2"/>
          </rPr>
          <t>Valores muy bajos, no se registran en el multilin</t>
        </r>
        <r>
          <rPr>
            <sz val="8"/>
            <color indexed="81"/>
            <rFont val="Tahoma"/>
            <family val="2"/>
          </rPr>
          <t xml:space="preserve">
</t>
        </r>
      </text>
    </comment>
    <comment ref="C101" authorId="0" shapeId="0">
      <text>
        <r>
          <rPr>
            <b/>
            <sz val="8"/>
            <color indexed="81"/>
            <rFont val="Tahoma"/>
            <family val="2"/>
          </rPr>
          <t>KM-2501, VALOR SOLAMENTE DEL MOTOR DEL COMPRESOR DE GAS ACIDO</t>
        </r>
        <r>
          <rPr>
            <sz val="8"/>
            <color indexed="81"/>
            <rFont val="Tahoma"/>
            <family val="2"/>
          </rPr>
          <t xml:space="preserve">
</t>
        </r>
      </text>
    </comment>
    <comment ref="C113" authorId="0" shapeId="0">
      <text>
        <r>
          <rPr>
            <b/>
            <sz val="8"/>
            <color indexed="81"/>
            <rFont val="Tahoma"/>
            <family val="2"/>
          </rPr>
          <t>Valores muy bajos, no se registran en el multilin</t>
        </r>
      </text>
    </comment>
    <comment ref="C125" authorId="0" shapeId="0">
      <text>
        <r>
          <rPr>
            <b/>
            <sz val="8"/>
            <color indexed="81"/>
            <rFont val="Tahoma"/>
            <family val="2"/>
          </rPr>
          <t>No se lleva esta informacion debido a que el multilin registra cero (0) consumo muy bajo</t>
        </r>
      </text>
    </comment>
    <comment ref="L149" authorId="1" shapeId="0">
      <text>
        <r>
          <rPr>
            <b/>
            <sz val="9"/>
            <color indexed="81"/>
            <rFont val="Tahoma"/>
            <family val="2"/>
          </rPr>
          <t>Ricardo León Ramírez (Stork):</t>
        </r>
        <r>
          <rPr>
            <sz val="9"/>
            <color indexed="81"/>
            <rFont val="Tahoma"/>
            <family val="2"/>
          </rPr>
          <t xml:space="preserve">
29-06-18/Se levanta generador, la Facilidad esta fuera de línea por decomisionamiento</t>
        </r>
      </text>
    </comment>
    <comment ref="L173" authorId="1" shapeId="0">
      <text>
        <r>
          <rPr>
            <b/>
            <sz val="9"/>
            <color indexed="81"/>
            <rFont val="Tahoma"/>
            <family val="2"/>
          </rPr>
          <t>Ricardo León Ramírez (Stork):</t>
        </r>
        <r>
          <rPr>
            <sz val="9"/>
            <color indexed="81"/>
            <rFont val="Tahoma"/>
            <family val="2"/>
          </rPr>
          <t xml:space="preserve">
29-06-18/Se levanta generador, la Facilidad esta fuera de línea por decomisionamiento</t>
        </r>
      </text>
    </comment>
  </commentList>
</comments>
</file>

<file path=xl/comments10.xml><?xml version="1.0" encoding="utf-8"?>
<comments xmlns="http://schemas.openxmlformats.org/spreadsheetml/2006/main">
  <authors>
    <author>Admin</author>
    <author>Diana Marelvy Jara Garzon</author>
  </authors>
  <commentList>
    <comment ref="G1" authorId="0" shapeId="0">
      <text>
        <r>
          <rPr>
            <b/>
            <sz val="9"/>
            <color indexed="81"/>
            <rFont val="Tahoma"/>
            <family val="2"/>
          </rPr>
          <t xml:space="preserve">Ceco de generacion PR1059-O, dividido en 17  procesos. (20que tienen cecos-gx,pozos, los que tienen cero)
</t>
        </r>
      </text>
    </comment>
    <comment ref="B6" authorId="1" shapeId="0">
      <text>
        <r>
          <rPr>
            <b/>
            <sz val="9"/>
            <color indexed="81"/>
            <rFont val="Tahoma"/>
            <family val="2"/>
          </rPr>
          <t xml:space="preserve">Diana Marelvy Jara Garzon:
</t>
        </r>
        <r>
          <rPr>
            <sz val="10"/>
            <color indexed="81"/>
            <rFont val="Tahoma"/>
            <family val="2"/>
          </rPr>
          <t>Se Entiende Activo como : la suma de campos definidos dentro de cada Gerencia.</t>
        </r>
      </text>
    </comment>
    <comment ref="F21" authorId="0" shapeId="0">
      <text>
        <r>
          <rPr>
            <sz val="9"/>
            <color indexed="81"/>
            <rFont val="Tahoma"/>
            <family val="2"/>
          </rPr>
          <t xml:space="preserve">Proyecto de recuperación de condensados.
</t>
        </r>
      </text>
    </comment>
  </commentList>
</comments>
</file>

<file path=xl/comments11.xml><?xml version="1.0" encoding="utf-8"?>
<comments xmlns="http://schemas.openxmlformats.org/spreadsheetml/2006/main">
  <authors>
    <author>Gonzalo Coronado Nuñez (Stork Masa)</author>
    <author>Ricardo León Ramírez (Stork)</author>
    <author>Ricardo León Ramírez (Stork Technical Services)</author>
  </authors>
  <commentList>
    <comment ref="B8" authorId="0" shapeId="0">
      <text>
        <r>
          <rPr>
            <b/>
            <sz val="9"/>
            <color indexed="81"/>
            <rFont val="Tahoma"/>
            <family val="2"/>
          </rPr>
          <t>Edwing Gómez (Stork Masa):</t>
        </r>
        <r>
          <rPr>
            <sz val="9"/>
            <color indexed="81"/>
            <rFont val="Tahoma"/>
            <family val="2"/>
          </rPr>
          <t xml:space="preserve">
Cambiar la fecha del mes que se requiera para el cálculo
</t>
        </r>
      </text>
    </comment>
    <comment ref="M8" authorId="1" shapeId="0">
      <text>
        <r>
          <rPr>
            <b/>
            <sz val="9"/>
            <color indexed="81"/>
            <rFont val="Tahoma"/>
            <family val="2"/>
          </rPr>
          <t xml:space="preserve">Ricardo León Ramírez (Stork):
</t>
        </r>
        <r>
          <rPr>
            <sz val="9"/>
            <color indexed="81"/>
            <rFont val="Tahoma"/>
            <family val="2"/>
          </rPr>
          <t>La energia de este ceco ya se esta teniendo en cuenta en el ceco PR1013(SEPARACIÓN - Sistema Separación T2). 
Por lo que no se debe tener en cuenta en el total.</t>
        </r>
      </text>
    </comment>
    <comment ref="O9" authorId="1" shapeId="0">
      <text>
        <r>
          <rPr>
            <b/>
            <sz val="9"/>
            <color indexed="81"/>
            <rFont val="Tahoma"/>
            <family val="2"/>
          </rPr>
          <t>Cambiar numero del ceco por PR4182</t>
        </r>
      </text>
    </comment>
    <comment ref="F389" authorId="2" shapeId="0">
      <text>
        <r>
          <rPr>
            <b/>
            <sz val="9"/>
            <color indexed="81"/>
            <rFont val="Tahoma"/>
            <family val="2"/>
          </rPr>
          <t xml:space="preserve">Gonzalo Coronado Nuñez (Stork Masa):
</t>
        </r>
        <r>
          <rPr>
            <sz val="9"/>
            <color indexed="81"/>
            <rFont val="Tahoma"/>
            <family val="2"/>
          </rPr>
          <t>Energía de la URG y VRU de Separación.
Se descuenta del proceso de separación.
Se calcula por tiempos de 24 horas y depende del número de dias del mes 30 o 31.</t>
        </r>
      </text>
    </comment>
    <comment ref="G389" authorId="2" shapeId="0">
      <text>
        <r>
          <rPr>
            <b/>
            <sz val="9"/>
            <color indexed="81"/>
            <rFont val="Tahoma"/>
            <family val="2"/>
          </rPr>
          <t xml:space="preserve">Gonzalo Coronado Nuñez (Stork Masa):
</t>
        </r>
        <r>
          <rPr>
            <sz val="9"/>
            <color indexed="81"/>
            <rFont val="Tahoma"/>
            <family val="2"/>
          </rPr>
          <t xml:space="preserve">No hay equipos asociados al sistema que tengan consumo.
</t>
        </r>
      </text>
    </comment>
    <comment ref="J389" authorId="2" shapeId="0">
      <text>
        <r>
          <rPr>
            <b/>
            <sz val="9"/>
            <color indexed="81"/>
            <rFont val="Tahoma"/>
            <family val="2"/>
          </rPr>
          <t xml:space="preserve">Gonzalo Coronado Nuñez (Stork Masa):
</t>
        </r>
        <r>
          <rPr>
            <sz val="9"/>
            <color indexed="81"/>
            <rFont val="Tahoma"/>
            <family val="2"/>
          </rPr>
          <t xml:space="preserve">No hay equipos asociados al sistema que tengan consumo.
</t>
        </r>
      </text>
    </comment>
    <comment ref="O389" authorId="2" shapeId="0">
      <text>
        <r>
          <rPr>
            <b/>
            <sz val="9"/>
            <color indexed="81"/>
            <rFont val="Tahoma"/>
            <family val="2"/>
          </rPr>
          <t xml:space="preserve">Gonzalo Coronado Nuñez (Stork Masa):
</t>
        </r>
        <r>
          <rPr>
            <sz val="9"/>
            <color indexed="81"/>
            <rFont val="Tahoma"/>
            <family val="2"/>
          </rPr>
          <t>A la energía del contador de la subestación principal, se debe restar la unit, aires acondicionados, Compresor de nitrogeno y aire de instrumentos. También se le suma el porcentaje para cada ceco.</t>
        </r>
      </text>
    </comment>
    <comment ref="F410" authorId="0" shapeId="0">
      <text>
        <r>
          <rPr>
            <b/>
            <sz val="9"/>
            <color indexed="81"/>
            <rFont val="Tahoma"/>
            <family val="2"/>
          </rPr>
          <t>Gonzalo Coronado Nuñez (Stork Masa):</t>
        </r>
        <r>
          <rPr>
            <sz val="9"/>
            <color indexed="81"/>
            <rFont val="Tahoma"/>
            <family val="2"/>
          </rPr>
          <t xml:space="preserve">
Dato tomado con las corrientes desde MCC. Trenes 1 y 2 de Separación de Crudo X24X31</t>
        </r>
      </text>
    </comment>
    <comment ref="H410" authorId="0" shapeId="0">
      <text>
        <r>
          <rPr>
            <b/>
            <sz val="9"/>
            <color indexed="81"/>
            <rFont val="Tahoma"/>
            <family val="2"/>
          </rPr>
          <t>Gonzalo Coronado Nuñez (Stork Masa):</t>
        </r>
        <r>
          <rPr>
            <sz val="9"/>
            <color indexed="81"/>
            <rFont val="Tahoma"/>
            <family val="2"/>
          </rPr>
          <t xml:space="preserve">
Dato tomado corrientes MCC-8007. X24X31
</t>
        </r>
      </text>
    </comment>
    <comment ref="F411" authorId="0" shapeId="0">
      <text>
        <r>
          <rPr>
            <b/>
            <sz val="9"/>
            <color indexed="81"/>
            <rFont val="Tahoma"/>
            <family val="2"/>
          </rPr>
          <t xml:space="preserve">Gonzalo Coronado Nuñez (Stork Masa):
</t>
        </r>
        <r>
          <rPr>
            <sz val="9"/>
            <color indexed="81"/>
            <rFont val="Tahoma"/>
            <family val="2"/>
          </rPr>
          <t xml:space="preserve">Dato tomado con las corrientes desde MCC. Trenes 1 y 2 de Separación de Crudo X24X30
</t>
        </r>
      </text>
    </comment>
    <comment ref="H411" authorId="0" shapeId="0">
      <text>
        <r>
          <rPr>
            <b/>
            <sz val="9"/>
            <color indexed="81"/>
            <rFont val="Tahoma"/>
            <family val="2"/>
          </rPr>
          <t>Gonzalo Coronado Nuñez (Stork Masa):</t>
        </r>
        <r>
          <rPr>
            <sz val="9"/>
            <color indexed="81"/>
            <rFont val="Tahoma"/>
            <family val="2"/>
          </rPr>
          <t xml:space="preserve">
Dato tomado corrientes MCC-8007. X24X31</t>
        </r>
      </text>
    </comment>
    <comment ref="D425" authorId="2" shapeId="0">
      <text>
        <r>
          <rPr>
            <b/>
            <sz val="9"/>
            <color indexed="81"/>
            <rFont val="Tahoma"/>
            <family val="2"/>
          </rPr>
          <t xml:space="preserve">Gonzalo Coronado Nuñez (Stork Masa):
</t>
        </r>
        <r>
          <rPr>
            <sz val="9"/>
            <color indexed="81"/>
            <rFont val="Tahoma"/>
            <family val="2"/>
          </rPr>
          <t xml:space="preserve">Este porcentaje se saca estimando la energía que aporta al proceso general de la planta .
</t>
        </r>
      </text>
    </comment>
  </commentList>
</comments>
</file>

<file path=xl/comments12.xml><?xml version="1.0" encoding="utf-8"?>
<comments xmlns="http://schemas.openxmlformats.org/spreadsheetml/2006/main">
  <authors>
    <author>Gonzalo Coronado Nuñez (Stork Masa)</author>
  </authors>
  <commentList>
    <comment ref="I9" authorId="0" shapeId="0">
      <text>
        <r>
          <rPr>
            <sz val="9"/>
            <color indexed="81"/>
            <rFont val="Tahoma"/>
            <family val="2"/>
          </rPr>
          <t>TRATAMIENTO
Estación de tratamiento CPF Cupiagua</t>
        </r>
      </text>
    </comment>
    <comment ref="J9" authorId="0" shapeId="0">
      <text>
        <r>
          <rPr>
            <sz val="9"/>
            <color indexed="81"/>
            <rFont val="Tahoma"/>
            <family val="2"/>
          </rPr>
          <t xml:space="preserve">
TRATAMIENTO
Facilidades de compresión</t>
        </r>
      </text>
    </comment>
    <comment ref="L9" authorId="0" shapeId="0">
      <text>
        <r>
          <rPr>
            <b/>
            <sz val="9"/>
            <color indexed="81"/>
            <rFont val="Tahoma"/>
            <family val="2"/>
          </rPr>
          <t>Gonzalo Coronado Nuñez (Stork Masa):</t>
        </r>
        <r>
          <rPr>
            <sz val="9"/>
            <color indexed="81"/>
            <rFont val="Tahoma"/>
            <family val="2"/>
          </rPr>
          <t xml:space="preserve">
</t>
        </r>
        <r>
          <rPr>
            <b/>
            <sz val="9"/>
            <color indexed="81"/>
            <rFont val="Tahoma"/>
            <family val="2"/>
          </rPr>
          <t>PLANTA DE GAS PR4181</t>
        </r>
        <r>
          <rPr>
            <sz val="9"/>
            <color indexed="81"/>
            <rFont val="Tahoma"/>
            <family val="2"/>
          </rPr>
          <t xml:space="preserve">
</t>
        </r>
        <r>
          <rPr>
            <b/>
            <sz val="9"/>
            <color indexed="81"/>
            <rFont val="Tahoma"/>
            <family val="2"/>
          </rPr>
          <t xml:space="preserve">PR4183: </t>
        </r>
        <r>
          <rPr>
            <sz val="9"/>
            <color indexed="81"/>
            <rFont val="Tahoma"/>
            <family val="2"/>
          </rPr>
          <t xml:space="preserve">Sistema de separación y tratamiento
</t>
        </r>
        <r>
          <rPr>
            <b/>
            <sz val="9"/>
            <color indexed="81"/>
            <rFont val="Tahoma"/>
            <family val="2"/>
          </rPr>
          <t>PR4184:</t>
        </r>
        <r>
          <rPr>
            <sz val="9"/>
            <color indexed="81"/>
            <rFont val="Tahoma"/>
            <family val="2"/>
          </rPr>
          <t xml:space="preserve"> Sistema de Compresión</t>
        </r>
      </text>
    </comment>
    <comment ref="M9" authorId="0" shapeId="0">
      <text>
        <r>
          <rPr>
            <b/>
            <sz val="9"/>
            <color indexed="81"/>
            <rFont val="Tahoma"/>
            <family val="2"/>
          </rPr>
          <t>Gonzalo Coronado Nuñez (Stork Masa):</t>
        </r>
        <r>
          <rPr>
            <sz val="9"/>
            <color indexed="81"/>
            <rFont val="Tahoma"/>
            <family val="2"/>
          </rPr>
          <t xml:space="preserve">
Areas administrivas</t>
        </r>
      </text>
    </comment>
  </commentList>
</comments>
</file>

<file path=xl/comments13.xml><?xml version="1.0" encoding="utf-8"?>
<comments xmlns="http://schemas.openxmlformats.org/spreadsheetml/2006/main">
  <authors>
    <author>Admin</author>
    <author>Gonzalo Coronado Nuñez (Stork Masa)</author>
  </authors>
  <commentList>
    <comment ref="G5" authorId="0" shapeId="0">
      <text>
        <r>
          <rPr>
            <b/>
            <sz val="9"/>
            <color indexed="81"/>
            <rFont val="Tahoma"/>
            <family val="2"/>
          </rPr>
          <t>Corte 25 del mes
1 -25/Enero/2016</t>
        </r>
      </text>
    </comment>
    <comment ref="I6" authorId="1" shapeId="0">
      <text>
        <r>
          <rPr>
            <b/>
            <sz val="9"/>
            <color indexed="81"/>
            <rFont val="Tahoma"/>
            <family val="2"/>
          </rPr>
          <t>Corte 23 de Enero a 23 de Febrero 2017</t>
        </r>
      </text>
    </comment>
    <comment ref="K6" authorId="1" shapeId="0">
      <text>
        <r>
          <rPr>
            <b/>
            <sz val="9"/>
            <color indexed="81"/>
            <rFont val="Tahoma"/>
            <family val="2"/>
          </rPr>
          <t>De 20 de Febrero a 21 a Marzo 2017</t>
        </r>
      </text>
    </comment>
    <comment ref="L6" authorId="0" shapeId="0">
      <text>
        <r>
          <rPr>
            <sz val="9"/>
            <color indexed="81"/>
            <rFont val="Tahoma"/>
            <family val="2"/>
          </rPr>
          <t>22-Mar-2017 a 21-Abr-2017</t>
        </r>
      </text>
    </comment>
    <comment ref="O10" authorId="0" shapeId="0">
      <text>
        <r>
          <rPr>
            <sz val="9"/>
            <color indexed="81"/>
            <rFont val="Tahoma"/>
            <family val="2"/>
          </rPr>
          <t xml:space="preserve">De acuerdo a lo informado por los Ingenieros de procesos  Jaime Pinzón y Luis Carlos
</t>
        </r>
      </text>
    </comment>
    <comment ref="O13" authorId="0" shapeId="0">
      <text>
        <r>
          <rPr>
            <sz val="9"/>
            <color indexed="81"/>
            <rFont val="Tahoma"/>
            <family val="2"/>
          </rPr>
          <t xml:space="preserve">De acuerdo a lo informado por los Ingenieros de procesos  Jaime Pinzón y Luis Carlos
</t>
        </r>
      </text>
    </comment>
    <comment ref="E16" authorId="0" shapeId="0">
      <text>
        <r>
          <rPr>
            <sz val="9"/>
            <color indexed="81"/>
            <rFont val="Tahoma"/>
            <family val="2"/>
          </rPr>
          <t>Bombas batching  &amp; la bomba de  crudo fuera de especificaciones.
90 horas de funcionamiento al mes  - 3 horas diarias</t>
        </r>
      </text>
    </comment>
    <comment ref="O24" authorId="0" shapeId="0">
      <text>
        <r>
          <rPr>
            <sz val="9"/>
            <color indexed="81"/>
            <rFont val="Tahoma"/>
            <family val="2"/>
          </rPr>
          <t>Se coloca el valor de marzo de 2017 - porque es el último valor que se tiene por factura</t>
        </r>
        <r>
          <rPr>
            <sz val="9"/>
            <color indexed="81"/>
            <rFont val="Tahoma"/>
            <family val="2"/>
          </rPr>
          <t xml:space="preserve">
</t>
        </r>
      </text>
    </comment>
    <comment ref="O25" authorId="0" shapeId="0">
      <text>
        <r>
          <rPr>
            <sz val="9"/>
            <color indexed="81"/>
            <rFont val="Tahoma"/>
            <family val="2"/>
          </rPr>
          <t>Se coloca el valor de marzo de 2017 - porque es el último valor que se tiene por factura</t>
        </r>
      </text>
    </comment>
  </commentList>
</comments>
</file>

<file path=xl/comments14.xml><?xml version="1.0" encoding="utf-8"?>
<comments xmlns="http://schemas.openxmlformats.org/spreadsheetml/2006/main">
  <authors>
    <author>cupgas1</author>
    <author xml:space="preserve"> </author>
    <author>lll</author>
    <author>c9121786</author>
    <author>Hugo Prada Perez (Stork Masa)</author>
  </authors>
  <commentList>
    <comment ref="D4" authorId="0" shapeId="0">
      <text>
        <r>
          <rPr>
            <b/>
            <sz val="8"/>
            <color indexed="81"/>
            <rFont val="Tahoma"/>
            <family val="2"/>
          </rPr>
          <t>cupgas1:
Se cambiaro 168 pares de filtros AIRGUARD por DONALSON</t>
        </r>
      </text>
    </comment>
    <comment ref="E4" authorId="1" shapeId="0">
      <text>
        <r>
          <rPr>
            <b/>
            <sz val="8"/>
            <color indexed="81"/>
            <rFont val="Tahoma"/>
            <family val="2"/>
          </rPr>
          <t xml:space="preserve"> :</t>
        </r>
        <r>
          <rPr>
            <sz val="8"/>
            <color indexed="81"/>
            <rFont val="Tahoma"/>
            <family val="2"/>
          </rPr>
          <t xml:space="preserve">
Cambio realizado en IMM  oct-nov</t>
        </r>
      </text>
    </comment>
    <comment ref="D5" authorId="2" shapeId="0">
      <text>
        <r>
          <rPr>
            <b/>
            <sz val="8"/>
            <color indexed="81"/>
            <rFont val="Tahoma"/>
            <family val="2"/>
          </rPr>
          <t>lll:</t>
        </r>
        <r>
          <rPr>
            <sz val="8"/>
            <color indexed="81"/>
            <rFont val="Tahoma"/>
            <family val="2"/>
          </rPr>
          <t xml:space="preserve">
Se cambiaron 168 pares Donalson</t>
        </r>
      </text>
    </comment>
    <comment ref="E5" authorId="2" shapeId="0">
      <text>
        <r>
          <rPr>
            <b/>
            <sz val="8"/>
            <color indexed="81"/>
            <rFont val="Tahoma"/>
            <family val="2"/>
          </rPr>
          <t>lll:</t>
        </r>
        <r>
          <rPr>
            <sz val="8"/>
            <color indexed="81"/>
            <rFont val="Tahoma"/>
            <family val="2"/>
          </rPr>
          <t xml:space="preserve">
Se cambiaron 168 pares Donalson</t>
        </r>
      </text>
    </comment>
    <comment ref="D6" authorId="0" shapeId="0">
      <text>
        <r>
          <rPr>
            <b/>
            <sz val="8"/>
            <color indexed="81"/>
            <rFont val="Tahoma"/>
            <family val="2"/>
          </rPr>
          <t>cupgas1:</t>
        </r>
        <r>
          <rPr>
            <sz val="8"/>
            <color indexed="81"/>
            <rFont val="Tahoma"/>
            <family val="2"/>
          </rPr>
          <t xml:space="preserve">
Se cambiarón 168 pares</t>
        </r>
      </text>
    </comment>
    <comment ref="E6" authorId="2" shapeId="0">
      <text>
        <r>
          <rPr>
            <b/>
            <sz val="8"/>
            <color indexed="81"/>
            <rFont val="Tahoma"/>
            <family val="2"/>
          </rPr>
          <t>lll:</t>
        </r>
        <r>
          <rPr>
            <sz val="8"/>
            <color indexed="81"/>
            <rFont val="Tahoma"/>
            <family val="2"/>
          </rPr>
          <t xml:space="preserve">
Se cambiaron 168 pares Donalson</t>
        </r>
      </text>
    </comment>
    <comment ref="C7" authorId="0" shapeId="0">
      <text>
        <r>
          <rPr>
            <b/>
            <sz val="8"/>
            <color indexed="81"/>
            <rFont val="Tahoma"/>
            <family val="2"/>
          </rPr>
          <t>cupgas1:</t>
        </r>
        <r>
          <rPr>
            <sz val="8"/>
            <color indexed="81"/>
            <rFont val="Tahoma"/>
            <family val="2"/>
          </rPr>
          <t xml:space="preserve">
Se cambiarón 168 pares</t>
        </r>
      </text>
    </comment>
    <comment ref="E7" authorId="1" shapeId="0">
      <text>
        <r>
          <rPr>
            <b/>
            <sz val="8"/>
            <color indexed="81"/>
            <rFont val="Tahoma"/>
            <family val="2"/>
          </rPr>
          <t xml:space="preserve"> :</t>
        </r>
        <r>
          <rPr>
            <sz val="8"/>
            <color indexed="81"/>
            <rFont val="Tahoma"/>
            <family val="2"/>
          </rPr>
          <t xml:space="preserve">
Cambio realizado en IMM  oct-nov</t>
        </r>
      </text>
    </comment>
    <comment ref="B8" authorId="0" shapeId="0">
      <text>
        <r>
          <rPr>
            <b/>
            <sz val="8"/>
            <color indexed="81"/>
            <rFont val="Tahoma"/>
            <family val="2"/>
          </rPr>
          <t>cupgas1:</t>
        </r>
        <r>
          <rPr>
            <sz val="8"/>
            <color indexed="81"/>
            <rFont val="Tahoma"/>
            <family val="2"/>
          </rPr>
          <t xml:space="preserve">
Se cambiarón 54 pares</t>
        </r>
      </text>
    </comment>
    <comment ref="C8" authorId="0" shapeId="0">
      <text>
        <r>
          <rPr>
            <b/>
            <sz val="8"/>
            <color indexed="81"/>
            <rFont val="Tahoma"/>
            <family val="2"/>
          </rPr>
          <t>cupgas1:</t>
        </r>
        <r>
          <rPr>
            <sz val="8"/>
            <color indexed="81"/>
            <rFont val="Tahoma"/>
            <family val="2"/>
          </rPr>
          <t xml:space="preserve">
Se cambiarón 110 pares</t>
        </r>
      </text>
    </comment>
    <comment ref="D8" authorId="2" shapeId="0">
      <text>
        <r>
          <rPr>
            <b/>
            <sz val="8"/>
            <color indexed="81"/>
            <rFont val="Tahoma"/>
            <family val="2"/>
          </rPr>
          <t>lll:</t>
        </r>
        <r>
          <rPr>
            <sz val="8"/>
            <color indexed="81"/>
            <rFont val="Tahoma"/>
            <family val="2"/>
          </rPr>
          <t xml:space="preserve">
Se cambiaron 168 pares Donalson</t>
        </r>
      </text>
    </comment>
    <comment ref="E8" authorId="2" shapeId="0">
      <text>
        <r>
          <rPr>
            <b/>
            <sz val="8"/>
            <color indexed="81"/>
            <rFont val="Tahoma"/>
            <family val="2"/>
          </rPr>
          <t>lll:</t>
        </r>
        <r>
          <rPr>
            <sz val="8"/>
            <color indexed="81"/>
            <rFont val="Tahoma"/>
            <family val="2"/>
          </rPr>
          <t xml:space="preserve">
Se cambiaron 168 pares Donalson</t>
        </r>
      </text>
    </comment>
    <comment ref="B9" authorId="0" shapeId="0">
      <text>
        <r>
          <rPr>
            <b/>
            <sz val="8"/>
            <color indexed="81"/>
            <rFont val="Tahoma"/>
            <family val="2"/>
          </rPr>
          <t>cupgas1:</t>
        </r>
        <r>
          <rPr>
            <sz val="8"/>
            <color indexed="81"/>
            <rFont val="Tahoma"/>
            <family val="2"/>
          </rPr>
          <t xml:space="preserve">
Se cambiarón 79 pares</t>
        </r>
      </text>
    </comment>
    <comment ref="C9" authorId="0" shapeId="0">
      <text>
        <r>
          <rPr>
            <b/>
            <sz val="8"/>
            <color indexed="81"/>
            <rFont val="Tahoma"/>
            <family val="2"/>
          </rPr>
          <t>cupgas1:</t>
        </r>
        <r>
          <rPr>
            <sz val="8"/>
            <color indexed="81"/>
            <rFont val="Tahoma"/>
            <family val="2"/>
          </rPr>
          <t xml:space="preserve">
Se cambiarón 48 pares</t>
        </r>
      </text>
    </comment>
    <comment ref="D9" authorId="0" shapeId="0">
      <text>
        <r>
          <rPr>
            <b/>
            <sz val="8"/>
            <color indexed="81"/>
            <rFont val="Tahoma"/>
            <family val="2"/>
          </rPr>
          <t>cupgas1:</t>
        </r>
        <r>
          <rPr>
            <sz val="8"/>
            <color indexed="81"/>
            <rFont val="Tahoma"/>
            <family val="2"/>
          </rPr>
          <t xml:space="preserve">
Se cambiarón 110 pares</t>
        </r>
      </text>
    </comment>
    <comment ref="E9" authorId="2" shapeId="0">
      <text>
        <r>
          <rPr>
            <b/>
            <sz val="8"/>
            <color indexed="81"/>
            <rFont val="Tahoma"/>
            <family val="2"/>
          </rPr>
          <t>lll:</t>
        </r>
        <r>
          <rPr>
            <sz val="8"/>
            <color indexed="81"/>
            <rFont val="Tahoma"/>
            <family val="2"/>
          </rPr>
          <t xml:space="preserve">
Se cambiaron 168 pares</t>
        </r>
      </text>
    </comment>
    <comment ref="K20" authorId="3" shapeId="0">
      <text>
        <r>
          <rPr>
            <b/>
            <sz val="10"/>
            <color indexed="81"/>
            <rFont val="Tahoma"/>
            <family val="2"/>
          </rPr>
          <t xml:space="preserve">ESTA PENDIENTE CAMBIAR UNA TERCERA PARTE DE LOS FILTROS, PARTE INFERIOR
</t>
        </r>
      </text>
    </comment>
    <comment ref="K21" authorId="4" shapeId="0">
      <text>
        <r>
          <rPr>
            <b/>
            <sz val="9"/>
            <color indexed="81"/>
            <rFont val="Tahoma"/>
            <family val="2"/>
          </rPr>
          <t xml:space="preserve"> SE CAMBIAN EL RESTO DE FILTROS.</t>
        </r>
      </text>
    </comment>
    <comment ref="K24" authorId="3" shapeId="0">
      <text>
        <r>
          <rPr>
            <b/>
            <sz val="10"/>
            <color indexed="81"/>
            <rFont val="Tahoma"/>
            <family val="2"/>
          </rPr>
          <t xml:space="preserve">ESTA PENDIENTE CAMBIAR UNA TERCERA PARTE DE LOS FILTROS, PARTE INFERIOR
</t>
        </r>
        <r>
          <rPr>
            <sz val="10"/>
            <color indexed="81"/>
            <rFont val="Tahoma"/>
            <family val="2"/>
          </rPr>
          <t xml:space="preserve">
</t>
        </r>
      </text>
    </comment>
    <comment ref="K25" authorId="4" shapeId="0">
      <text>
        <r>
          <rPr>
            <b/>
            <sz val="9"/>
            <color indexed="81"/>
            <rFont val="Tahoma"/>
            <family val="2"/>
          </rPr>
          <t>SE CAMBIAN EL RESTO DE FILTROS.</t>
        </r>
      </text>
    </comment>
  </commentList>
</comments>
</file>

<file path=xl/comments15.xml><?xml version="1.0" encoding="utf-8"?>
<comments xmlns="http://schemas.openxmlformats.org/spreadsheetml/2006/main">
  <authors>
    <author>c9120348</author>
  </authors>
  <commentList>
    <comment ref="L19" authorId="0" shapeId="0">
      <text>
        <r>
          <rPr>
            <b/>
            <sz val="8"/>
            <color indexed="81"/>
            <rFont val="Tahoma"/>
            <family val="2"/>
          </rPr>
          <t>c9120348:</t>
        </r>
        <r>
          <rPr>
            <sz val="8"/>
            <color indexed="81"/>
            <rFont val="Tahoma"/>
            <family val="2"/>
          </rPr>
          <t xml:space="preserve">
ultimo mes recibido.(generalmente es el del mes anterior al informe)</t>
        </r>
      </text>
    </comment>
  </commentList>
</comments>
</file>

<file path=xl/sharedStrings.xml><?xml version="1.0" encoding="utf-8"?>
<sst xmlns="http://schemas.openxmlformats.org/spreadsheetml/2006/main" count="3692" uniqueCount="1505">
  <si>
    <t>REPORTE BALANCE DE ENERGIA Y CONSUMOS DE COMBUSTIBLE CPF CUPIAGUA</t>
  </si>
  <si>
    <t xml:space="preserve">Fecha Inicio </t>
  </si>
  <si>
    <t xml:space="preserve">Fecha Final </t>
  </si>
  <si>
    <r>
      <t xml:space="preserve">Fecha </t>
    </r>
    <r>
      <rPr>
        <b/>
        <sz val="10"/>
        <color indexed="8"/>
        <rFont val="Arial"/>
        <family val="2"/>
      </rPr>
      <t>Actual</t>
    </r>
  </si>
  <si>
    <t>Fecha</t>
  </si>
  <si>
    <t>US-G-8001</t>
  </si>
  <si>
    <t>US-G-8002</t>
  </si>
  <si>
    <t>TOTALES</t>
  </si>
  <si>
    <t>GAS</t>
  </si>
  <si>
    <t xml:space="preserve"> Consumo        mmsfsd</t>
  </si>
  <si>
    <t xml:space="preserve"> Consumo        galones</t>
  </si>
  <si>
    <t>Mwh</t>
  </si>
  <si>
    <t xml:space="preserve">Horas Operación </t>
  </si>
  <si>
    <t xml:space="preserve">MP-KM 2101 </t>
  </si>
  <si>
    <t>DATE</t>
  </si>
  <si>
    <t xml:space="preserve"> MVar</t>
  </si>
  <si>
    <t xml:space="preserve">Real Net Heating Value:   </t>
  </si>
  <si>
    <t>Btu/scft (14.65psia,  60°F)</t>
  </si>
  <si>
    <t>Dia de reporte</t>
  </si>
  <si>
    <t>Dia</t>
  </si>
  <si>
    <t>Mw/Dia</t>
  </si>
  <si>
    <t>Total Mes</t>
  </si>
  <si>
    <r>
      <t xml:space="preserve">Contadores Alimentadores a Shipping (OCENSA) </t>
    </r>
    <r>
      <rPr>
        <b/>
        <sz val="12"/>
        <color indexed="60"/>
        <rFont val="Arial"/>
        <family val="2"/>
      </rPr>
      <t>ULTIMO DIA DEL MES</t>
    </r>
  </si>
  <si>
    <t>Mes</t>
  </si>
  <si>
    <t>Barra A</t>
  </si>
  <si>
    <t>Barra B</t>
  </si>
  <si>
    <t>TOTAL AÑO</t>
  </si>
  <si>
    <t>Consumo</t>
  </si>
  <si>
    <t>******</t>
  </si>
  <si>
    <t xml:space="preserve"> </t>
  </si>
  <si>
    <t xml:space="preserve">Calculo de consumo de gas para los turbogeneradores PG5371PA </t>
  </si>
  <si>
    <t>Datos del diseño (condiciones ISO)</t>
  </si>
  <si>
    <t>Valor</t>
  </si>
  <si>
    <t>Unidad</t>
  </si>
  <si>
    <t xml:space="preserve">Potencia </t>
  </si>
  <si>
    <t>KW</t>
  </si>
  <si>
    <t xml:space="preserve">Heat rate </t>
  </si>
  <si>
    <t>Btu/KWh</t>
  </si>
  <si>
    <r>
      <t>Consumo de calor  x 10</t>
    </r>
    <r>
      <rPr>
        <b/>
        <vertAlign val="superscript"/>
        <sz val="10"/>
        <color indexed="8"/>
        <rFont val="Calibri"/>
        <family val="2"/>
      </rPr>
      <t>-6</t>
    </r>
  </si>
  <si>
    <t>Btu/h</t>
  </si>
  <si>
    <r>
      <t>Flujo de escape x10</t>
    </r>
    <r>
      <rPr>
        <b/>
        <vertAlign val="superscript"/>
        <sz val="10"/>
        <color indexed="8"/>
        <rFont val="Calibri"/>
        <family val="2"/>
      </rPr>
      <t>-3</t>
    </r>
  </si>
  <si>
    <t>Kg/h</t>
  </si>
  <si>
    <t>Condiciones Reales</t>
  </si>
  <si>
    <t>Doc referencia</t>
  </si>
  <si>
    <t>Comentario</t>
  </si>
  <si>
    <t>Correccion por tempertura de aire ingreso a turbina</t>
  </si>
  <si>
    <t>516HA127 Rev A</t>
  </si>
  <si>
    <t>80F</t>
  </si>
  <si>
    <t>Correcion por degradacion del la eficiencia</t>
  </si>
  <si>
    <t>Y9057 Rev 0</t>
  </si>
  <si>
    <t>Correccion por perdidas en la entrada del compresor</t>
  </si>
  <si>
    <t>516HA126 Rev A</t>
  </si>
  <si>
    <t>1.25" vacio</t>
  </si>
  <si>
    <t>Correccion por perdidas de escape</t>
  </si>
  <si>
    <t>2" Presion</t>
  </si>
  <si>
    <t>Carga % del Nominal</t>
  </si>
  <si>
    <t>Carga KW</t>
  </si>
  <si>
    <r>
      <t>Consumo de calor a condiciones rales x 10</t>
    </r>
    <r>
      <rPr>
        <vertAlign val="superscript"/>
        <sz val="10"/>
        <color indexed="9"/>
        <rFont val="Calibri"/>
        <family val="2"/>
      </rPr>
      <t>-6</t>
    </r>
    <r>
      <rPr>
        <sz val="10"/>
        <color indexed="9"/>
        <rFont val="Calibri"/>
        <family val="2"/>
      </rPr>
      <t xml:space="preserve"> BTU/h</t>
    </r>
  </si>
  <si>
    <t>Consumo de calor a condiciones rales DIA</t>
  </si>
  <si>
    <t>Consumo de gas dia Cupiagua x10-6 SCF</t>
  </si>
  <si>
    <t>Interpolacion</t>
  </si>
  <si>
    <t>Consumo gas dia G-8001</t>
  </si>
  <si>
    <t>Consumo gas dia G-8002</t>
  </si>
  <si>
    <t>Indice Cup 8001</t>
  </si>
  <si>
    <t>Indice Cup 8002</t>
  </si>
  <si>
    <t>Consumo de gas dia Cup-8001 x10-6 SCF</t>
  </si>
  <si>
    <t>Cupiagua 8001</t>
  </si>
  <si>
    <t>Carga</t>
  </si>
  <si>
    <t xml:space="preserve">Gas </t>
  </si>
  <si>
    <t>Cupiagua 8002</t>
  </si>
  <si>
    <t>REPORTE BALANCE DE ENERGIA</t>
  </si>
  <si>
    <t>CUPIAGUA</t>
  </si>
  <si>
    <t>HORAS F/S MES</t>
  </si>
  <si>
    <t>US-G-8005</t>
  </si>
  <si>
    <t xml:space="preserve">GENERACION CUPIAGUA </t>
  </si>
  <si>
    <t>US-GT-8001</t>
  </si>
  <si>
    <t>Totales año</t>
  </si>
  <si>
    <t xml:space="preserve">  Formato: VSM-F-031</t>
  </si>
  <si>
    <t>ECOPETROL S.A.</t>
  </si>
  <si>
    <t>GESTION DE RECURSOS 
ENERGÉTICOS</t>
  </si>
  <si>
    <t>Para el proceso de compra de energía y con el objeto de contar con la mejor información disponible agradecemos diligenciar el siguiente formato el cual se refiere específicamente a sus comentarios sobre nuestra valoración de los pronósticos de consumo y precio de la energía.
Departamento de Gestión de Recursos Energéticos</t>
  </si>
  <si>
    <t>DATOS GENERALES</t>
  </si>
  <si>
    <t>CENTRO DE CONSUMO</t>
  </si>
  <si>
    <r>
      <t xml:space="preserve">UBICACIÓN DEL CENTRO DE CONSUMO: </t>
    </r>
    <r>
      <rPr>
        <b/>
        <sz val="11"/>
        <color indexed="8"/>
        <rFont val="Calibri"/>
        <family val="2"/>
      </rPr>
      <t>Cupiagua</t>
    </r>
  </si>
  <si>
    <t>DEPARTAMENTO</t>
  </si>
  <si>
    <t>MUNICIPIO</t>
  </si>
  <si>
    <t>Casanare</t>
  </si>
  <si>
    <t>Aguazul</t>
  </si>
  <si>
    <t>DIRECCIÓN</t>
  </si>
  <si>
    <t>CPF-Cupiagua</t>
  </si>
  <si>
    <t>TIPO DE USUARIO:</t>
  </si>
  <si>
    <t>REGULADO</t>
  </si>
  <si>
    <t>NO  REGULADO</t>
  </si>
  <si>
    <t>AUTOGENERADOR</t>
  </si>
  <si>
    <t>X</t>
  </si>
  <si>
    <t>OPERADOR DE RED</t>
  </si>
  <si>
    <t>NIVEL DE TENSIÓN: Ej: Nivel I: &lt; 1 kV/ Nivel II: &gt;1 kV &lt; 30 kV. / Nivel III: &gt;30 kV &lt; 57.5 kV /Nivel IV: &gt; 57.5 kV</t>
  </si>
  <si>
    <t>II</t>
  </si>
  <si>
    <t>TIPO</t>
  </si>
  <si>
    <t>CECO</t>
  </si>
  <si>
    <t>OI</t>
  </si>
  <si>
    <t>CEGE</t>
  </si>
  <si>
    <t>CUENTA MAYOR</t>
  </si>
  <si>
    <t>QUIEN(ES) PAGA(N) LA ENERGÍA EN EL CENTRO DE CONSUMO?</t>
  </si>
  <si>
    <t>ECOPETROL (ECP)</t>
  </si>
  <si>
    <t>ASOC (ASOC; MAN2)</t>
  </si>
  <si>
    <t>MANDATO (MDTO)</t>
  </si>
  <si>
    <t>Asociación</t>
  </si>
  <si>
    <t>RESPONSABLES DEL FORMATO</t>
  </si>
  <si>
    <t>Empresa</t>
  </si>
  <si>
    <t>EXTENSIÓN</t>
  </si>
  <si>
    <t>NOMBRE</t>
  </si>
  <si>
    <t>CARGO</t>
  </si>
  <si>
    <t>ECOPETROL</t>
  </si>
  <si>
    <t>DATOS DE ENERGÍA REGULADA Y NO REGULADA</t>
  </si>
  <si>
    <t>PRECIO PROMEDIO ($/kWh)</t>
  </si>
  <si>
    <t>CONSUMO PROMEDIO (kWh-Mes)</t>
  </si>
  <si>
    <t>VALOR DE FACTURA PROMEDIO (SIN ALUMBRADO PÚBLICO)</t>
  </si>
  <si>
    <t>SERVICIO DE TELEMEDIDA 
(Cargo fijo en $)</t>
  </si>
  <si>
    <t>PORCENTAJE DE ALUMBRADO PÚBLICO (%)</t>
  </si>
  <si>
    <t>en $</t>
  </si>
  <si>
    <t>El Operador de Red es igual al comercializador? (Llenar solo UNR)</t>
  </si>
  <si>
    <t>SI</t>
  </si>
  <si>
    <t>NO</t>
  </si>
  <si>
    <t>PROYECCION DE PRECIO Y DEMANDA</t>
  </si>
  <si>
    <t>Espera cambios en su consumo normal de energía debido a proyectos nuevos, mejoras en su sistema u otros? Detallar.</t>
  </si>
  <si>
    <t xml:space="preserve">Usuario No Regulado: Llenar los datos de acuerdo a las sugerencias de precio de PGR. Mercado Regulado: poner el valor de la factura + IPP proyectado para el siguiente año.  Autogeneración: </t>
  </si>
  <si>
    <t>AUTOGENERACIÓN</t>
  </si>
  <si>
    <t xml:space="preserve">Combustible  Utilizado: </t>
  </si>
  <si>
    <t>Eficiencia :</t>
  </si>
  <si>
    <t>%</t>
  </si>
  <si>
    <t>MES</t>
  </si>
  <si>
    <t>Cantidad Generada (Q)  kWh-mes</t>
  </si>
  <si>
    <t>Cantidad Consumida por planta generadora (Q2) kWh -mes</t>
  </si>
  <si>
    <t>Tarifa de Autogen. (P)</t>
  </si>
  <si>
    <t>Tarifa de Transferencia Oficial (P2)</t>
  </si>
  <si>
    <t>P X Q2 (Mes $)</t>
  </si>
  <si>
    <t>Estimado Transferencias 
((Q-Q2)X4%)X P2</t>
  </si>
  <si>
    <t>$/kWh</t>
  </si>
  <si>
    <t>$</t>
  </si>
  <si>
    <t>BASE PRESUPUESTAL USUARIO REGULADO Y NO REGULADO.</t>
  </si>
  <si>
    <t>Periodo</t>
  </si>
  <si>
    <t>Cantidad (Q)</t>
  </si>
  <si>
    <t>Precio (P)</t>
  </si>
  <si>
    <t>=</t>
  </si>
  <si>
    <t>P X Q (Mes $)</t>
  </si>
  <si>
    <t>P X Q (Año $)</t>
  </si>
  <si>
    <t>Anterior</t>
  </si>
  <si>
    <t>kWh al mes</t>
  </si>
  <si>
    <t xml:space="preserve">Actual </t>
  </si>
  <si>
    <t>20XX</t>
  </si>
  <si>
    <t>Firma del Responsable(s)(centro de consumo y presupusto):</t>
  </si>
  <si>
    <t>Cualquier inquietud comunicarse a con: Eduardo Mejia ó Carolina Castellanos; ó puede escribirnos a _pgr@ecopetrol.com.co</t>
  </si>
  <si>
    <t xml:space="preserve"> mmsfs- mes</t>
  </si>
  <si>
    <t xml:space="preserve">       Gas 100 %,      </t>
  </si>
  <si>
    <t>PLANILLA PARA GENERAR REPORTES</t>
  </si>
  <si>
    <t xml:space="preserve">CONSUMO OCENSA </t>
  </si>
  <si>
    <t>INICIO MES</t>
  </si>
  <si>
    <t>FINAL MES</t>
  </si>
  <si>
    <t>AUXILIARES GENERADORES</t>
  </si>
  <si>
    <t>S/E TREN 1</t>
  </si>
  <si>
    <t>S/E TREN 2</t>
  </si>
  <si>
    <t>S/E P/PAL</t>
  </si>
  <si>
    <t>S/E CRUDO OCENSA</t>
  </si>
  <si>
    <t>Mvarh</t>
  </si>
  <si>
    <t>US-G-8006</t>
  </si>
  <si>
    <t xml:space="preserve"> S/E CRUDO OCENSA</t>
  </si>
  <si>
    <t xml:space="preserve"> S/E REINYECCION</t>
  </si>
  <si>
    <t xml:space="preserve"> S/E TREN 1</t>
  </si>
  <si>
    <t xml:space="preserve"> S/E TREN 2</t>
  </si>
  <si>
    <t xml:space="preserve"> S/E PRINCIPAL</t>
  </si>
  <si>
    <t>DIA  MWH</t>
  </si>
  <si>
    <t>MES  MWH</t>
  </si>
  <si>
    <t>AÑO  MWH</t>
  </si>
  <si>
    <t>CONSUMO GAS  mmsfsd</t>
  </si>
  <si>
    <t>ENE</t>
  </si>
  <si>
    <t>FEB</t>
  </si>
  <si>
    <t>MAR</t>
  </si>
  <si>
    <t>ABR</t>
  </si>
  <si>
    <t>MAY</t>
  </si>
  <si>
    <t>GEN DIESEL</t>
  </si>
  <si>
    <t>JUN</t>
  </si>
  <si>
    <t>JUL</t>
  </si>
  <si>
    <t>AGO</t>
  </si>
  <si>
    <t>SEP</t>
  </si>
  <si>
    <t>OCT</t>
  </si>
  <si>
    <t>NOV</t>
  </si>
  <si>
    <t>DIC</t>
  </si>
  <si>
    <t>GEN GAS</t>
  </si>
  <si>
    <t xml:space="preserve">GENERACION </t>
  </si>
  <si>
    <t>CONSUMOS DE ENERGIA Y GAS</t>
  </si>
  <si>
    <t xml:space="preserve">US-GT-8002    </t>
  </si>
  <si>
    <t>US -G-8005</t>
  </si>
  <si>
    <t>US -G -8006</t>
  </si>
  <si>
    <t>EF-GENPERIM-3</t>
  </si>
  <si>
    <t xml:space="preserve">KM-2501 </t>
  </si>
  <si>
    <t>S/E REINYECCION</t>
  </si>
  <si>
    <t>S/E PRINCIPAL</t>
  </si>
  <si>
    <t>S/E PLANTA DE GAS Y JT</t>
  </si>
  <si>
    <t>S/E GAS VENTAS</t>
  </si>
  <si>
    <t xml:space="preserve"> Consumo        (diesel)</t>
  </si>
  <si>
    <t xml:space="preserve">MP-KM-2101 </t>
  </si>
  <si>
    <t xml:space="preserve"> S/E GAS VENTAS</t>
  </si>
  <si>
    <t>Notas:</t>
  </si>
  <si>
    <t>CONSUMO DIESEL gl</t>
  </si>
  <si>
    <t xml:space="preserve">KM- 2501 (GAS ACIDO) </t>
  </si>
  <si>
    <t>PRECAUSION:</t>
  </si>
  <si>
    <t>CONSUMO</t>
  </si>
  <si>
    <t>PARA REPORTE DIARIO</t>
  </si>
  <si>
    <t xml:space="preserve">US-TR-8044 MWH </t>
  </si>
  <si>
    <t>PROMEDIO</t>
  </si>
  <si>
    <t>CRUDO OCENSA</t>
  </si>
  <si>
    <t>REINYECCION</t>
  </si>
  <si>
    <t>TREN 1</t>
  </si>
  <si>
    <t>TREN 2</t>
  </si>
  <si>
    <t>P/PAL</t>
  </si>
  <si>
    <t>GAS Y JT</t>
  </si>
  <si>
    <t>GAS VENTAS</t>
  </si>
  <si>
    <t>En la hoja de CONTADORES digitar los tomados de los MULTILIN a las 24:00 Horas</t>
  </si>
  <si>
    <t>1.-     Para generar OCENSA digitar en las casillas amarillas la fecha de inicio del mes y la del final del mes.</t>
  </si>
  <si>
    <t>PROM</t>
  </si>
  <si>
    <t>TOTALES GAS</t>
  </si>
  <si>
    <t>TOTALES DIESEL</t>
  </si>
  <si>
    <t>AÑO / MES</t>
  </si>
  <si>
    <t>US-GT-8002</t>
  </si>
  <si>
    <t>SEGUIMIENTO A CONSUMO DE ENERGÍA VPR / SON</t>
  </si>
  <si>
    <t>GERENCIA</t>
  </si>
  <si>
    <t>SUPERINT</t>
  </si>
  <si>
    <t>CAMPO/PROCESO</t>
  </si>
  <si>
    <t>AÑO</t>
  </si>
  <si>
    <t>AUTOGENERADA DIRECTA (Mwh)</t>
  </si>
  <si>
    <t>COSTO UNITARIO ($/Kwh)</t>
  </si>
  <si>
    <t>BARRILES FLUIDO ASOCIADOS (BLS) (PRODUCCION)</t>
  </si>
  <si>
    <t>AUTOGENERADA CONTRATADA (Mwh)</t>
  </si>
  <si>
    <t>COSTO UNITARIO (kwh)</t>
  </si>
  <si>
    <t>NO REGULADA (Mwh)</t>
  </si>
  <si>
    <t>BARRILES FLUIDO ASOCIADOS (BLS)</t>
  </si>
  <si>
    <t>REGULADA (Mwh)</t>
  </si>
  <si>
    <t xml:space="preserve">BARRILES FLUIDO ASOCIADOS (BLS) (PRODUCCION)  </t>
  </si>
  <si>
    <t>GEN 8001 (WG)</t>
  </si>
  <si>
    <t>GEN 8002 (WG)</t>
  </si>
  <si>
    <t>GEN 8005 (WG)</t>
  </si>
  <si>
    <t>GEN 8006 (WG)</t>
  </si>
  <si>
    <t>GEN PERIMETRALES (WG)</t>
  </si>
  <si>
    <t>GEN DE RESPALDO NW  (PTS)</t>
  </si>
  <si>
    <t>PANELES SOLARES (WG POZOS)</t>
  </si>
  <si>
    <t>GEN PRINCIPAL XL   (PTS)</t>
  </si>
  <si>
    <t>GEN DE RESPALDO XL (PTS)</t>
  </si>
  <si>
    <t>NO APLICA PARA LA SON</t>
  </si>
  <si>
    <t>ENERCA (ALVARO CUTA)</t>
  </si>
  <si>
    <t>GNO</t>
  </si>
  <si>
    <t>SON</t>
  </si>
  <si>
    <t>TRATAMIENTO / SEPARACIÓN  TREN UNO (Tratamiento de Gas / Deshidratación - Regeneración glycol)</t>
  </si>
  <si>
    <t>TRATAMIENTO / SEPARACIÓN  TREN DOS (Tratamiento de Gas / Deshidratación - Regeneración glycol)</t>
  </si>
  <si>
    <t>TRATAMIENTO / DEMAG</t>
  </si>
  <si>
    <t>ALMACENAMIENTO BOMBEO y MEDICION (DESPACHO)</t>
  </si>
  <si>
    <t>COMPRESION/REINYECCIÓN TREN1, TREN2 Y TREN 3</t>
  </si>
  <si>
    <t>CARGAS ESENCIALES DE CPF   CARGAS UTILITARIOS DE CPF (Teas, Nitrogeno, Aire Instr., e industrial, Osmosis, Sist. Contra incendio, Gas combustible, Drenaje abierto y cerrado, Sistema inyeccion quimicos, Diesel, Sistemas de agua potable y aguas residuales , etc)</t>
  </si>
  <si>
    <t>AUXILIARES DE GENERACION, COMPRESOR AIRE DE INSTRUMENTOS K6503</t>
  </si>
  <si>
    <t>PLANTA DE GAS (GAS VENTAS)</t>
  </si>
  <si>
    <t>PLANTA DE GAS (GAS ACIDO)</t>
  </si>
  <si>
    <t>PLANTA DE GAS (UNIDAD JOULE THOMPSON)</t>
  </si>
  <si>
    <t>PLANTA DE GAS (ESENCIALES DE PLANTA DE GAS)</t>
  </si>
  <si>
    <t>FACILIDAD NW (TRATAMIENTO)</t>
  </si>
  <si>
    <t>FACILIDAD NW (DESPACHO O TRANSFERENCIA)</t>
  </si>
  <si>
    <t>FACILIDAD NW (INYECCION)</t>
  </si>
  <si>
    <t>FACILIDAD NW (ESENCIALES) ALUMBRADO AUXILIARES DE GENERACIÓN, UPS, ETC.</t>
  </si>
  <si>
    <t>FACILIDAD XL (TRATAMIENTO)</t>
  </si>
  <si>
    <t>FACILIDAD XL (DESPACHO O TRANSFERENCIA)</t>
  </si>
  <si>
    <t>FACILIDAD XL (INYECCION)</t>
  </si>
  <si>
    <t>FACILIDAD XL (ESENCIALES)</t>
  </si>
  <si>
    <t>POZOS (EXTRACCIÓN)</t>
  </si>
  <si>
    <t>US-TR-8002</t>
  </si>
  <si>
    <t>US-TR-8003 / 4</t>
  </si>
  <si>
    <t>STORK TECHNICAL SERVICES</t>
  </si>
  <si>
    <t>7.-     Para generar EL CONSUMO ANUAL A. Eléctrica de Ecopetrol donde se encuentra los consumos totales desde inicio operación CPF CUP.</t>
  </si>
  <si>
    <t xml:space="preserve">Todos los reportes quedaran en la carpeta REPORTES DIARIOS en "ARCHIVO DIARIO Y MENSUAL" para ser enviados vía correo. </t>
  </si>
  <si>
    <t>INFORMACIÓN BÁSICA DE LA INSTALACIÓN</t>
  </si>
  <si>
    <t>Cupiagua</t>
  </si>
  <si>
    <t>TIPO INSTALACIÓN</t>
  </si>
  <si>
    <t xml:space="preserve">Estación de producción </t>
  </si>
  <si>
    <t>VICEPRESIDENCIA</t>
  </si>
  <si>
    <t>VPR</t>
  </si>
  <si>
    <t>ZONA GEOGRÁFICA</t>
  </si>
  <si>
    <t>Llanos</t>
  </si>
  <si>
    <t>INFORMACIÓN DE LAS FUENTES DE SUMINISTRO</t>
  </si>
  <si>
    <t>FUENTES DE SUMINISTRO
INDISPONIBILIDAD ANUAL (FOR)</t>
  </si>
  <si>
    <t>TAG</t>
  </si>
  <si>
    <t>Capacidad
[MW]</t>
  </si>
  <si>
    <t>[horas]</t>
  </si>
  <si>
    <t>[%]</t>
  </si>
  <si>
    <t>[p.u.]</t>
  </si>
  <si>
    <t>Generador a gas</t>
  </si>
  <si>
    <t>FUENTES DE SUMINISTRO - REGISTRO DE EVENTOS POR SALIDAS NO PROGRAMADAS</t>
  </si>
  <si>
    <t>EVENTO</t>
  </si>
  <si>
    <t>FUENTE</t>
  </si>
  <si>
    <t>Fecha Inicio</t>
  </si>
  <si>
    <t>Hora Inicio</t>
  </si>
  <si>
    <t>Fecha Fin</t>
  </si>
  <si>
    <t>Hora Fin</t>
  </si>
  <si>
    <t>Indisponibilidad
[horas]</t>
  </si>
  <si>
    <t>Observaciones</t>
  </si>
  <si>
    <t>Tipo de instalación</t>
  </si>
  <si>
    <t>VRP</t>
  </si>
  <si>
    <t>VIT</t>
  </si>
  <si>
    <t>VIN</t>
  </si>
  <si>
    <t>VIF</t>
  </si>
  <si>
    <t>Zona Geográfica</t>
  </si>
  <si>
    <t>Tipo de fuente</t>
  </si>
  <si>
    <t>Estación de bombeo</t>
  </si>
  <si>
    <t>GEC</t>
  </si>
  <si>
    <t>GRB</t>
  </si>
  <si>
    <t>GOT</t>
  </si>
  <si>
    <t>ICP</t>
  </si>
  <si>
    <t>DSC</t>
  </si>
  <si>
    <t>Centro</t>
  </si>
  <si>
    <t>Operador de red</t>
  </si>
  <si>
    <t>GRO</t>
  </si>
  <si>
    <t>GRC</t>
  </si>
  <si>
    <t>GPO</t>
  </si>
  <si>
    <t>Generador diesel</t>
  </si>
  <si>
    <t>Estación de almacenamiento</t>
  </si>
  <si>
    <t>SCI</t>
  </si>
  <si>
    <t>GPT</t>
  </si>
  <si>
    <t>Norte</t>
  </si>
  <si>
    <t>Motor de combustión interna</t>
  </si>
  <si>
    <t>Estación de refinación</t>
  </si>
  <si>
    <t>SCO</t>
  </si>
  <si>
    <t>Oriente</t>
  </si>
  <si>
    <t>Cogenerador</t>
  </si>
  <si>
    <t>Puerto</t>
  </si>
  <si>
    <t>SOH</t>
  </si>
  <si>
    <t>Sur</t>
  </si>
  <si>
    <t>SOM</t>
  </si>
  <si>
    <t>SOP</t>
  </si>
  <si>
    <t>SOR</t>
  </si>
  <si>
    <t>8.-     Para generar EL SEGUIMIENTO CONSUMO ENERGIA. Eléctrica de Ecopetrol CPF CUP.</t>
  </si>
  <si>
    <t>9.-     Para generar EL REGISTRO DE INDISPONIBILIDAD . Eléctrica de Ecopetrol CPF CUP.</t>
  </si>
  <si>
    <r>
      <t>GEN     (</t>
    </r>
    <r>
      <rPr>
        <b/>
        <sz val="8"/>
        <color theme="1"/>
        <rFont val="Calibri"/>
        <family val="2"/>
        <scheme val="minor"/>
      </rPr>
      <t>CONTRATADA</t>
    </r>
    <r>
      <rPr>
        <b/>
        <sz val="11"/>
        <color theme="1"/>
        <rFont val="Calibri"/>
        <family val="2"/>
        <scheme val="minor"/>
      </rPr>
      <t>)</t>
    </r>
  </si>
  <si>
    <t>CPF Cupiagua</t>
  </si>
  <si>
    <t>D/H</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</si>
  <si>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</si>
  <si>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</si>
  <si>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</si>
  <si>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</si>
  <si>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</si>
  <si>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</si>
  <si>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</si>
  <si>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</si>
  <si>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</si>
  <si>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</si>
  <si>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</si>
  <si>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</si>
  <si>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</si>
  <si>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</si>
  <si>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</si>
  <si>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</si>
  <si>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</si>
  <si>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</si>
  <si>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</si>
  <si>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</si>
  <si>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</si>
  <si>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</si>
  <si>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</si>
  <si>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</si>
  <si>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10.-   Para generar CURVA DURACION. Se encuentra los datos de potencia hora-hora, Eléctrica de Ecopetrol CPF CUP.</t>
  </si>
  <si>
    <t xml:space="preserve"> y guardar en archivos "DIARIO ENERO" (mes que se este guardando)</t>
  </si>
  <si>
    <t>FACILIDAD NW</t>
  </si>
  <si>
    <t xml:space="preserve">GENERACION (Mw/Dia) </t>
  </si>
  <si>
    <t xml:space="preserve">Y CONSUMO DE COMBUSTIBLE </t>
  </si>
  <si>
    <t>GAS [GTA28]</t>
  </si>
  <si>
    <t>DIESEL  [GEN. 0102]</t>
  </si>
  <si>
    <t>Generación Total Dia</t>
  </si>
  <si>
    <t>MWH</t>
  </si>
  <si>
    <t>TOTALES Glnes  DIESEL</t>
  </si>
  <si>
    <t xml:space="preserve">GT-8001 Glnes DIESEL     </t>
  </si>
  <si>
    <t xml:space="preserve">GT-8002 Glnes DIESEL     </t>
  </si>
  <si>
    <t xml:space="preserve">G-8005 Glnes DIESEL     </t>
  </si>
  <si>
    <t xml:space="preserve">G-8006 Glnes DIESEL     </t>
  </si>
  <si>
    <t>US - GT - 8001</t>
  </si>
  <si>
    <t>MWATTS</t>
  </si>
  <si>
    <t>MVARS</t>
  </si>
  <si>
    <t>VOLT</t>
  </si>
  <si>
    <t>FRECUENCIA</t>
  </si>
  <si>
    <t>VIB_INPUT_2</t>
  </si>
  <si>
    <t>VIB_INPUT_4</t>
  </si>
  <si>
    <t>VIB_INPUT_5</t>
  </si>
  <si>
    <t>PRESION DESCARGA COMPRESOR</t>
  </si>
  <si>
    <t>TEMPERAT DESCARGA COMPRESOR</t>
  </si>
  <si>
    <t>TEMPERAT  ACEITE</t>
  </si>
  <si>
    <t>PRESION  ACEITE  LUBRICACION</t>
  </si>
  <si>
    <t>PRSION DESCARGA BOMBA LUB.</t>
  </si>
  <si>
    <t>PRESION SITEMA HIDRAULICO</t>
  </si>
  <si>
    <t>PRESION ACEITE DE CONTROL</t>
  </si>
  <si>
    <t>PRESION AIRE ATOMIZACION</t>
  </si>
  <si>
    <t>TEMPERAT AIRE ATOMIZACION</t>
  </si>
  <si>
    <t>PRESION AGUA ENFRIAMIENTO</t>
  </si>
  <si>
    <t>WHLSPC_STG_1</t>
  </si>
  <si>
    <t>EXHAUST_TEMP</t>
  </si>
  <si>
    <t>FECHA</t>
  </si>
  <si>
    <t>HORA</t>
  </si>
  <si>
    <t>Generador</t>
  </si>
  <si>
    <t>(DF)</t>
  </si>
  <si>
    <t>(DPF)</t>
  </si>
  <si>
    <t>Compresor</t>
  </si>
  <si>
    <t>Turbina</t>
  </si>
  <si>
    <t>(CPD)</t>
  </si>
  <si>
    <t>(CTD)</t>
  </si>
  <si>
    <t>(LTTH1)</t>
  </si>
  <si>
    <t>GSV</t>
  </si>
  <si>
    <t>(TTWS1AO2)</t>
  </si>
  <si>
    <t>(TTWS1AO3)</t>
  </si>
  <si>
    <t>(TTWS1FO2)</t>
  </si>
  <si>
    <t>(TTWS1FO3)</t>
  </si>
  <si>
    <t>(TTXM)</t>
  </si>
  <si>
    <t>Mw</t>
  </si>
  <si>
    <t>Mvar</t>
  </si>
  <si>
    <t>Kv</t>
  </si>
  <si>
    <t>Hz</t>
  </si>
  <si>
    <t>PF</t>
  </si>
  <si>
    <t>mm/s</t>
  </si>
  <si>
    <t>Bar</t>
  </si>
  <si>
    <t>°C</t>
  </si>
  <si>
    <t>psig</t>
  </si>
  <si>
    <t>US - GT - 8002</t>
  </si>
  <si>
    <t>GEN_MWATTS</t>
  </si>
  <si>
    <t xml:space="preserve">VIB_INPUT_6 </t>
  </si>
  <si>
    <t>VIB_INPUT_7</t>
  </si>
  <si>
    <t>VIB_INPUT_8</t>
  </si>
  <si>
    <t>VIB_INPUT_9</t>
  </si>
  <si>
    <t>VIB_INPUT_10</t>
  </si>
  <si>
    <t>MAX_VIBRATN</t>
  </si>
  <si>
    <t>GEN_BRG1_MET</t>
  </si>
  <si>
    <t>GEN_BRG2_MET</t>
  </si>
  <si>
    <t>RED_BULL_MET</t>
  </si>
  <si>
    <t>RED_PIN_MET</t>
  </si>
  <si>
    <t>BTRGT</t>
  </si>
  <si>
    <t>COMP_DISCH_P</t>
  </si>
  <si>
    <t>TMP_CTRL_REF</t>
  </si>
  <si>
    <t>COMP_DISCH_T</t>
  </si>
  <si>
    <t>CTIF1A</t>
  </si>
  <si>
    <t>GEN_FREQNCY</t>
  </si>
  <si>
    <t>POWER_FACTOR</t>
  </si>
  <si>
    <t>PRM_COLD_AIR</t>
  </si>
  <si>
    <t>PRM_HOT_AIR</t>
  </si>
  <si>
    <t>SEC_COLD_AIR</t>
  </si>
  <si>
    <t>GEN_STATOR</t>
  </si>
  <si>
    <t>DVOLT</t>
  </si>
  <si>
    <t>GEN_MVARS</t>
  </si>
  <si>
    <t>VIB_INPUT_1</t>
  </si>
  <si>
    <t>DEXV</t>
  </si>
  <si>
    <t>DEXI</t>
  </si>
  <si>
    <t>DAMP</t>
  </si>
  <si>
    <t>P2_PRESSURE</t>
  </si>
  <si>
    <t>FSR_CONTROL</t>
  </si>
  <si>
    <t>TURB_BRG1_LO</t>
  </si>
  <si>
    <t>TURB_BRG2_LO</t>
  </si>
  <si>
    <t>THRST_BRG_LO</t>
  </si>
  <si>
    <t>GEN_BRG1_LO</t>
  </si>
  <si>
    <t>GEN_BRG2_LO</t>
  </si>
  <si>
    <t>RED_GEAR_LO (PUNTO E DRENAJE)</t>
  </si>
  <si>
    <t>LUBE_HDR_TMP</t>
  </si>
  <si>
    <t>TNH_RPM</t>
  </si>
  <si>
    <t>WHLSPC_STG_2</t>
  </si>
  <si>
    <t>EXHAUST_TC1</t>
  </si>
  <si>
    <t>EXHAUST_TC2</t>
  </si>
  <si>
    <t>EXHAUST_TC3</t>
  </si>
  <si>
    <t>EXHAUST_TC4</t>
  </si>
  <si>
    <t>EXHAUST_TC5</t>
  </si>
  <si>
    <t>EXHAUST_TC6</t>
  </si>
  <si>
    <t>EXHAUST_TC7</t>
  </si>
  <si>
    <t>EXHAUST_TC8</t>
  </si>
  <si>
    <t>EXHAUST_TC9</t>
  </si>
  <si>
    <t>EXHAUST_TC10</t>
  </si>
  <si>
    <t>EXHAUST_TC11</t>
  </si>
  <si>
    <t>EXHAUST_TC12</t>
  </si>
  <si>
    <t>EXHAUST_TC13</t>
  </si>
  <si>
    <t>EXH_SPREAD_1</t>
  </si>
  <si>
    <t>ALLWD_SPREAD</t>
  </si>
  <si>
    <t>SEC_HOT_AIR</t>
  </si>
  <si>
    <t>IGV</t>
  </si>
  <si>
    <t>Caj.Red.T.</t>
  </si>
  <si>
    <t>Caj.Red.G</t>
  </si>
  <si>
    <t>Gener.Caj.R</t>
  </si>
  <si>
    <t>Generadr</t>
  </si>
  <si>
    <t>(BB_MAX)</t>
  </si>
  <si>
    <t>(BTGJ1)</t>
  </si>
  <si>
    <t>(BTGJ2)</t>
  </si>
  <si>
    <t>(BTRGH1)</t>
  </si>
  <si>
    <t>(BTRGH2)</t>
  </si>
  <si>
    <t>(BTRGL1)</t>
  </si>
  <si>
    <t>(BTRGL2)</t>
  </si>
  <si>
    <t>(BT-RGT-1)</t>
  </si>
  <si>
    <t>deg C</t>
  </si>
  <si>
    <t>°T Ambte</t>
  </si>
  <si>
    <t>(DTGPC1)</t>
  </si>
  <si>
    <t>(DTGPC2)</t>
  </si>
  <si>
    <t>(DTGPH1)</t>
  </si>
  <si>
    <t>(DTGSC1)</t>
  </si>
  <si>
    <t>(DTGS1)</t>
  </si>
  <si>
    <t>(DTGS2)</t>
  </si>
  <si>
    <t>(DTGS3)</t>
  </si>
  <si>
    <t>(DTGS4)</t>
  </si>
  <si>
    <t>(DTGS5)</t>
  </si>
  <si>
    <t>(DTGS6)</t>
  </si>
  <si>
    <t>Generd</t>
  </si>
  <si>
    <t>Excton</t>
  </si>
  <si>
    <t>Presion Gas</t>
  </si>
  <si>
    <t>(LTB1D)</t>
  </si>
  <si>
    <t>(LTB2D)</t>
  </si>
  <si>
    <t>(LTBT1D)</t>
  </si>
  <si>
    <t>(LTG1D)</t>
  </si>
  <si>
    <t>(LTG2D)</t>
  </si>
  <si>
    <t>(LTRGD1)</t>
  </si>
  <si>
    <t>(TTWS2AO1)</t>
  </si>
  <si>
    <t>(TTWS2AO2)</t>
  </si>
  <si>
    <t>(TTWS2FO2)</t>
  </si>
  <si>
    <t>(TTWS2FO3)</t>
  </si>
  <si>
    <t>(TTXD1_1)</t>
  </si>
  <si>
    <t>(TTXD1_2)</t>
  </si>
  <si>
    <t>(TTXD1_3)</t>
  </si>
  <si>
    <t>(TTXD1_4)</t>
  </si>
  <si>
    <t>(TTXD1_5)</t>
  </si>
  <si>
    <t>(TTXD1_6)</t>
  </si>
  <si>
    <t>(TTXD1_7)</t>
  </si>
  <si>
    <t>(TTXD1_8)</t>
  </si>
  <si>
    <t>(TTXD1_9)</t>
  </si>
  <si>
    <t>(TTXD1_10)</t>
  </si>
  <si>
    <t>(TTXD1_11)</t>
  </si>
  <si>
    <t>(TTXD1_12)</t>
  </si>
  <si>
    <t>(TTXD1_13)</t>
  </si>
  <si>
    <t>(TTXSP1)</t>
  </si>
  <si>
    <t>(TTXSPL)</t>
  </si>
  <si>
    <t>(DTGSH1)</t>
  </si>
  <si>
    <t>(IGV)</t>
  </si>
  <si>
    <t>Horas</t>
  </si>
  <si>
    <t>(TTRX)</t>
  </si>
  <si>
    <t>Vdc</t>
  </si>
  <si>
    <t>Amp</t>
  </si>
  <si>
    <t>rpm</t>
  </si>
  <si>
    <t>dga</t>
  </si>
  <si>
    <t>Horometro</t>
  </si>
  <si>
    <t>95 Alarma                              y                                 111 Disparo</t>
  </si>
  <si>
    <t>95 Alarma                              y                                      100 Disparo</t>
  </si>
  <si>
    <t>96 Alarma                                y                                         101 Disparo</t>
  </si>
  <si>
    <t>95 Alarma                      y                             100 Disparo</t>
  </si>
  <si>
    <t>95 Alarma                          y                                  101 Disparo</t>
  </si>
  <si>
    <t>95 Alarma                          y                                    100 Disparo</t>
  </si>
  <si>
    <t>95 Alarma     y       100 Disparo</t>
  </si>
  <si>
    <t>Referencia</t>
  </si>
  <si>
    <t>115 Alarma                          y                                    135 Disparo</t>
  </si>
  <si>
    <t>116 Alarma                         y                                         135 Disparo</t>
  </si>
  <si>
    <t>115 Alarma                         y                                         136 Disparo</t>
  </si>
  <si>
    <t>115 Alarma                          y                                         135 Disparo</t>
  </si>
  <si>
    <t>115 Alarma                        y                                         136 Disparo</t>
  </si>
  <si>
    <t>115 Alarma                         y                                       136 Disparo</t>
  </si>
  <si>
    <t>65 Alarma    y                     80 Disparo</t>
  </si>
  <si>
    <t>82 Alarma</t>
  </si>
  <si>
    <t>110 Alarma</t>
  </si>
  <si>
    <t>93 Alarma</t>
  </si>
  <si>
    <t>68Alarma               y                                72 Disparo</t>
  </si>
  <si>
    <t>AMPERIOS</t>
  </si>
  <si>
    <t>20.7 Mw  Nominal</t>
  </si>
  <si>
    <t xml:space="preserve"> 12.7 Alarma            y                           25.4 Disparo</t>
  </si>
  <si>
    <t xml:space="preserve"> 12.7 Alarma                        y                                25.4 Disparo</t>
  </si>
  <si>
    <t xml:space="preserve"> 12.7 Alarma               y                         25.4 Disparo</t>
  </si>
  <si>
    <t xml:space="preserve"> 7.6 Alarma                   y                         12.7 Disparo</t>
  </si>
  <si>
    <t xml:space="preserve"> 7.6 Alarma                      y                          12.7 Disparo</t>
  </si>
  <si>
    <t xml:space="preserve">  3.9 Alarma             y                         5.9 Disparo</t>
  </si>
  <si>
    <t xml:space="preserve"> 3.9 Alarma                   y                          5.9 Disparo</t>
  </si>
  <si>
    <t xml:space="preserve"> 3.9 Alarma                 y                                   5.9 Disparo</t>
  </si>
  <si>
    <t>&gt; 3.45</t>
  </si>
  <si>
    <t>Disparo Gen.                58.2-- 5seg                      y                                   56.4 -- 0.5 seg.</t>
  </si>
  <si>
    <t xml:space="preserve"> Referencia  0.8</t>
  </si>
  <si>
    <t xml:space="preserve">13.8 Normal   </t>
  </si>
  <si>
    <t>Alarma Vib</t>
  </si>
  <si>
    <t>Trip Vib</t>
  </si>
  <si>
    <t>TEMP MAX</t>
  </si>
  <si>
    <t>ALARMA</t>
  </si>
  <si>
    <t>Mw-Max</t>
  </si>
  <si>
    <t>MW</t>
  </si>
  <si>
    <t>MW-MAX</t>
  </si>
  <si>
    <t>MVAR</t>
  </si>
  <si>
    <t>Gene Total Mvarh</t>
  </si>
  <si>
    <t>US-GT 8001 Mvarh</t>
  </si>
  <si>
    <t>US-GT 8002 Mvarh</t>
  </si>
  <si>
    <t>US-GT 8001 Mwh</t>
  </si>
  <si>
    <t>US-GT 8002 Mwh</t>
  </si>
  <si>
    <t>Heat-Rate (BTU/KW-hra)</t>
  </si>
  <si>
    <t>Eficiencia Térmica</t>
  </si>
  <si>
    <t>G-8005   Mwh</t>
  </si>
  <si>
    <t>G-8006    Mwh</t>
  </si>
  <si>
    <t>G-8005   Mvarh</t>
  </si>
  <si>
    <t>G-8006    Mvarh</t>
  </si>
  <si>
    <t>GEN GAL DIESEL 8001</t>
  </si>
  <si>
    <t>GEN GAL DIESEL 8002</t>
  </si>
  <si>
    <t>GEN GAL DIESEL 8005</t>
  </si>
  <si>
    <t>GEN GAL DIESEL 8006</t>
  </si>
  <si>
    <t>US-GT 8001  Mwh</t>
  </si>
  <si>
    <t>Consumo        galones</t>
  </si>
  <si>
    <t>Consumo        mmsfsd</t>
  </si>
  <si>
    <t>US-G-8005       Mwh</t>
  </si>
  <si>
    <t>US-G-8006     Mwh</t>
  </si>
  <si>
    <t>GEN TOTAL Mwh</t>
  </si>
  <si>
    <t>GEN TOTAL Mvarh</t>
  </si>
  <si>
    <t>CONSUMO GAS  8001</t>
  </si>
  <si>
    <t>CONSUMO GAS  8002</t>
  </si>
  <si>
    <t>CONSUMO TOTAL  GAS</t>
  </si>
  <si>
    <t>US-G-8005  Mvarh</t>
  </si>
  <si>
    <t>US-GT 8001  Mvarh</t>
  </si>
  <si>
    <t>US-G-8006  Mvarh</t>
  </si>
  <si>
    <t>Poder Calorífico VALOR CALCULADO</t>
  </si>
  <si>
    <t>BTU/ft3</t>
  </si>
  <si>
    <t>Poder Calorífico VALOR CALCULADO  BTU/ft3</t>
  </si>
  <si>
    <t>Modelo de Costos de Generacion Electrica GDP ECOPETROL</t>
  </si>
  <si>
    <t>Tablas de Costos e Indicadores de Desempeño - Mensuales</t>
  </si>
  <si>
    <t>Tabla 1A - Métricas de Desempeño - CPF-Cupiagua</t>
  </si>
  <si>
    <t>Item No.</t>
  </si>
  <si>
    <t>Concepto</t>
  </si>
  <si>
    <t>Unidades</t>
  </si>
  <si>
    <t>Enero</t>
  </si>
  <si>
    <t>Febrero</t>
  </si>
  <si>
    <t>Marzo</t>
  </si>
  <si>
    <t>Abril</t>
  </si>
  <si>
    <t>Mayo</t>
  </si>
  <si>
    <t>Junio</t>
  </si>
  <si>
    <t>Julio</t>
  </si>
  <si>
    <t>Agosto</t>
  </si>
  <si>
    <t>Septiembre</t>
  </si>
  <si>
    <t>Octubre</t>
  </si>
  <si>
    <t>Noviembre</t>
  </si>
  <si>
    <t>Diciembre</t>
  </si>
  <si>
    <t>MW (mes)</t>
  </si>
  <si>
    <t>MMBtu/mes</t>
  </si>
  <si>
    <t>Tabla 1B - Elementos de Costos &amp; Gastos - CPF-Cupiagua</t>
  </si>
  <si>
    <t>TOTAL COSTOS FIJOS</t>
  </si>
  <si>
    <t xml:space="preserve">Personal para la operación de generación </t>
  </si>
  <si>
    <t>COP/mes</t>
  </si>
  <si>
    <t>TOTAL COSTOS VARIABLES</t>
  </si>
  <si>
    <t>COSTO TOTAL DE GENERACION</t>
  </si>
  <si>
    <t>Tabla 1C -Indicadores Desempeño Generación Electrica - CPF-Cupiagua</t>
  </si>
  <si>
    <t xml:space="preserve">Indicadores Técnicos </t>
  </si>
  <si>
    <t xml:space="preserve">      Consumo Especifico Neto</t>
  </si>
  <si>
    <t>Btu/kWh</t>
  </si>
  <si>
    <t xml:space="preserve">Eficiencia Termica </t>
  </si>
  <si>
    <t xml:space="preserve">Factor de Carga </t>
  </si>
  <si>
    <t xml:space="preserve">Disponibilidad Mensual </t>
  </si>
  <si>
    <t xml:space="preserve">Confiabilidad Mensual </t>
  </si>
  <si>
    <t>Indicadores Financieros en COP</t>
  </si>
  <si>
    <t>Costo Fijo Total</t>
  </si>
  <si>
    <t>COP/MW mes</t>
  </si>
  <si>
    <t>Costo Variable Total</t>
  </si>
  <si>
    <t>Costo de Combustible</t>
  </si>
  <si>
    <t>Costo Total de Generación  COP/kWh</t>
  </si>
  <si>
    <t>COP/kWh</t>
  </si>
  <si>
    <t>Costos Fijos (COP/mes)</t>
  </si>
  <si>
    <t xml:space="preserve">Descripción </t>
  </si>
  <si>
    <t xml:space="preserve">Costo Total </t>
  </si>
  <si>
    <t>% Tiempo</t>
  </si>
  <si>
    <t>3 Tecnicos Senior en turno 14X7</t>
  </si>
  <si>
    <t>Supervisor Operaciones</t>
  </si>
  <si>
    <t>Ing. Confiabilidad</t>
  </si>
  <si>
    <t>HSE</t>
  </si>
  <si>
    <t>Ing. CMMS</t>
  </si>
  <si>
    <t>SUBTOTAL</t>
  </si>
  <si>
    <t>Generales &amp; Administración Profesional ECP</t>
  </si>
  <si>
    <t>Costos admistracion ECP</t>
  </si>
  <si>
    <t>Mantenimientos Mayores (HH) (HGPI, CCI)</t>
  </si>
  <si>
    <t>Horas Hombre Mes-Mes</t>
  </si>
  <si>
    <t>Depreciacion</t>
  </si>
  <si>
    <t>Valor de depreciacion</t>
  </si>
  <si>
    <t>TOTAL COSTO FIJO</t>
  </si>
  <si>
    <t>Costos Variables (COP/mes)</t>
  </si>
  <si>
    <t>Cantidad</t>
  </si>
  <si>
    <t>Costo Seguros Sector Electrico Ley 99</t>
  </si>
  <si>
    <t>Relaciono pagos realizados por  temas de transferencias del sector eléctrico ley 99.</t>
  </si>
  <si>
    <t>Costo Consumo de Gas (MMBTU es US$ 0.24)</t>
  </si>
  <si>
    <t>Costo Consumo de Diésel (Planta COTU)  1 Galon</t>
  </si>
  <si>
    <t xml:space="preserve">Costo Consumo de aceite Lubricante  (DTE-832) </t>
  </si>
  <si>
    <t>Costo Mantenimiento HH MDD Generación</t>
  </si>
  <si>
    <t>Sistema generación (Data Ellipse)</t>
  </si>
  <si>
    <t>Costo Mantenimiento Repuestos MDD Generación</t>
  </si>
  <si>
    <t>Costo Mantenimiento &amp; Reparaciones Externas</t>
  </si>
  <si>
    <t>Requerimientos de mantenimiento y reparciones externas</t>
  </si>
  <si>
    <t>Costo Servicios de Asistencia Técnica Externa</t>
  </si>
  <si>
    <t>Requerimientos de asistencia tecnica</t>
  </si>
  <si>
    <t>Mejoramientos &amp; Otras Inversiones Ocasionales</t>
  </si>
  <si>
    <t>Inversiones Ocasionales</t>
  </si>
  <si>
    <t>Reposicion de aceite Galones Galones- Mes (DTE-832)</t>
  </si>
  <si>
    <t>Galones- Mes (DTE-832)</t>
  </si>
  <si>
    <t>Consumo de Diésel (Galones)</t>
  </si>
  <si>
    <t>Galones - Mes (Diesel)</t>
  </si>
  <si>
    <t>Dólar Tasa Representativa Mercado (Pesos)</t>
  </si>
  <si>
    <t>TRM Dólar</t>
  </si>
  <si>
    <t>TOTAL COSTO VARIABLE</t>
  </si>
  <si>
    <t>METRICAS DE DESEMPEÑO TECNICO</t>
  </si>
  <si>
    <t>DESCRIPCIÓN</t>
  </si>
  <si>
    <t>Energia Neta Generada (MWh/mes)</t>
  </si>
  <si>
    <t>Energia Electrica Neta Generada Mes</t>
  </si>
  <si>
    <t>Energia Electrica Generada  (MWh/mes)</t>
  </si>
  <si>
    <t>Energia electrica Total Generada Mes</t>
  </si>
  <si>
    <t>Energia de Auxiliares (MWh/mes)</t>
  </si>
  <si>
    <t>Energia consumida por auxiliares Mes</t>
  </si>
  <si>
    <r>
      <t>Poder Calorico del Gas (Btu/ft</t>
    </r>
    <r>
      <rPr>
        <b/>
        <sz val="10"/>
        <color theme="1"/>
        <rFont val="Calibri"/>
        <family val="2"/>
      </rPr>
      <t>³</t>
    </r>
    <r>
      <rPr>
        <b/>
        <sz val="8.1999999999999993"/>
        <color theme="1"/>
        <rFont val="Calibri"/>
        <family val="2"/>
      </rPr>
      <t>)</t>
    </r>
  </si>
  <si>
    <t xml:space="preserve">Poder Calorifico de gas </t>
  </si>
  <si>
    <r>
      <t>Energia Gas para generar kW (MMBtu</t>
    </r>
    <r>
      <rPr>
        <b/>
        <sz val="8.1999999999999993"/>
        <color theme="1"/>
        <rFont val="Calibri"/>
        <family val="2"/>
      </rPr>
      <t>)</t>
    </r>
  </si>
  <si>
    <t xml:space="preserve">Constante Energia </t>
  </si>
  <si>
    <t>Potencia 2 Turbogeneradores MW</t>
  </si>
  <si>
    <t>Potencia 20 MW X 2 Turbogeneradores</t>
  </si>
  <si>
    <t>Consumo de Gas Combustible Mes (MMSCFD)</t>
  </si>
  <si>
    <t>Consumo de gas combustible Mes</t>
  </si>
  <si>
    <t>Consumo de  Combustible (Energia MMBtu/mes)</t>
  </si>
  <si>
    <t>Consumo de Combustible Mes MMBTU</t>
  </si>
  <si>
    <t xml:space="preserve">Horas Mes </t>
  </si>
  <si>
    <t xml:space="preserve">Horas del mes </t>
  </si>
  <si>
    <t>Suministra equipo Confiabilidad</t>
  </si>
  <si>
    <t>Disponibilidad Mensual</t>
  </si>
  <si>
    <t>Etiquetas de columna</t>
  </si>
  <si>
    <t>Valores</t>
  </si>
  <si>
    <t>Total general</t>
  </si>
  <si>
    <t>Ene</t>
  </si>
  <si>
    <t>Feb</t>
  </si>
  <si>
    <t>Mar</t>
  </si>
  <si>
    <t>Abr</t>
  </si>
  <si>
    <t>May</t>
  </si>
  <si>
    <t>Jun</t>
  </si>
  <si>
    <t>Jul</t>
  </si>
  <si>
    <t>Ago</t>
  </si>
  <si>
    <t>Sep</t>
  </si>
  <si>
    <t>Oct</t>
  </si>
  <si>
    <t>Nov</t>
  </si>
  <si>
    <t>Dic</t>
  </si>
  <si>
    <t>Etiquetas de fila</t>
  </si>
  <si>
    <t>STORK - ECOPETROL</t>
  </si>
  <si>
    <t>MODELO DE COSTOS DE GENERACION ELECTRICA CUPIAGUA</t>
  </si>
  <si>
    <t>INSTRUCCIONES DE USO</t>
  </si>
  <si>
    <r>
      <t xml:space="preserve">1. En la hoja </t>
    </r>
    <r>
      <rPr>
        <b/>
        <sz val="16"/>
        <color theme="1"/>
        <rFont val="Calibri"/>
        <family val="2"/>
        <scheme val="minor"/>
      </rPr>
      <t xml:space="preserve">Datos Mes, </t>
    </r>
    <r>
      <rPr>
        <sz val="16"/>
        <color theme="1"/>
        <rFont val="Calibri"/>
        <family val="2"/>
        <scheme val="minor"/>
      </rPr>
      <t>en las celdas resaltadas en color azul, se deben introducir los datos requeridos para cada una de las plantas de MASA en el mes evaluado. Los links o vínculos incluidos, permiten una rápida navegación por el Modelo y la localización de las áreas o secciones deseadas dentro de cada hoja del libro.</t>
    </r>
  </si>
  <si>
    <r>
      <t xml:space="preserve">2. La hoja </t>
    </r>
    <r>
      <rPr>
        <b/>
        <sz val="16"/>
        <color theme="1"/>
        <rFont val="Calibri"/>
        <family val="2"/>
        <scheme val="minor"/>
      </rPr>
      <t xml:space="preserve">Resultados Mes &amp; Acum. </t>
    </r>
    <r>
      <rPr>
        <sz val="16"/>
        <color theme="1"/>
        <rFont val="Calibri"/>
        <family val="2"/>
        <scheme val="minor"/>
      </rPr>
      <t>realiza los cálculos y presenta resultados correspondientes al mes evaluado, y el acumulado anual hasta dicho mes. Para cada una de las plantas de MASA (TES y TEO), y para el consolidado total de ambas plantas, se muestran los Resultados en forma de Tablas en las áreas o secciones siguientes:
• Métricas de Desempeño
• Elementos de Costos &amp; Gastos
• Key Performance Indices (KPIs)                                                                                                                                                                                    Los resultados se detallan para cada mes, incluyendo el acumulado anual en la columna situada inmediatamente a la derecha del mes correspondiente, asi como los Promedios Anuales (Mínimo, Promedio y Máximo).</t>
    </r>
  </si>
  <si>
    <r>
      <t xml:space="preserve">3. La hoja </t>
    </r>
    <r>
      <rPr>
        <b/>
        <sz val="16"/>
        <color theme="1"/>
        <rFont val="Calibri"/>
        <family val="2"/>
        <scheme val="minor"/>
      </rPr>
      <t>Gráficos Mes &amp; Acum.</t>
    </r>
    <r>
      <rPr>
        <sz val="16"/>
        <color theme="1"/>
        <rFont val="Calibri"/>
        <family val="2"/>
        <scheme val="minor"/>
      </rPr>
      <t xml:space="preserve"> incluye gráficos representativos de los resultados obtenidos en la hoja Resultados Mes &amp; Acum. 
Para cada una de las plantas de MASA (TES Y TEO) y para el Total Plantas, se presentan Gráficos representativos de:
• Métricas de Desempeño
• Elementos de Costos &amp; Gastos
• Key Performance Indices (KPIs)
</t>
    </r>
  </si>
  <si>
    <t>Definición de Costos de Generación de Electricidad  GDP</t>
  </si>
  <si>
    <t>Ítem No.</t>
  </si>
  <si>
    <t>Costos Fijos</t>
  </si>
  <si>
    <t>La generación de energía eléctrica para el CPF-Cupiagua esta operada  por : -3 Técnicos Senior en turno 14X7, con una asignación del 60% del tiempo para actividades de generación y 40% para requerimientos del sistema de distribución. Se contemplan los costos en porcentaje del personal requerido para las actividades de generación (HSE, Supervisor, Confiabilidad, CMMS, etc.)</t>
  </si>
  <si>
    <t xml:space="preserve">Generales &amp; Administración Operación </t>
  </si>
  <si>
    <t>Pendiente definir por el Ing. Rafael.</t>
  </si>
  <si>
    <t>Generales &amp; Administración Mantenimiento</t>
  </si>
  <si>
    <t>Horas Hombre de Mantenimiento</t>
  </si>
  <si>
    <t>Costo de Horas Hombre utilizadas en el mantenimiento de los sistemas asociados a la generación de energía eléctrica (Eléctrico, mecánico, instrumentación, mantenimiento predictivo, planeación)</t>
  </si>
  <si>
    <t>Seguros, Impuestos</t>
  </si>
  <si>
    <t>Depreciación</t>
  </si>
  <si>
    <t>Disminución periódica del valor de un bien material. Esta depreciación puede derivarse de tres razones principales: depreciación física, funcional y obsolescencia.</t>
  </si>
  <si>
    <t>Otros Costos Fijos</t>
  </si>
  <si>
    <t>Costos Variables</t>
  </si>
  <si>
    <t>Servicios de Asistencia Técnica Externa</t>
  </si>
  <si>
    <t xml:space="preserve">Costos asociados a soportes tecnicos externos </t>
  </si>
  <si>
    <t>Consumo de Gas</t>
  </si>
  <si>
    <t>N/A</t>
  </si>
  <si>
    <t>Consumo de Diésel (cotu)</t>
  </si>
  <si>
    <t>Costo del combustible para la operación de las turbinas y generadores de emergencia.</t>
  </si>
  <si>
    <t>Aceite de Lubricacion, Químicos &amp; Otros Insumos</t>
  </si>
  <si>
    <t>Costos asociados a la reposicion de aceite, refrigerante u otro insumo utilizado en la operación de los turbogenradores.</t>
  </si>
  <si>
    <t>Mantenimiento &amp; Reparaciones Externas</t>
  </si>
  <si>
    <t>Costo por mantenimientos y/o reparaciones en talleres  externos.</t>
  </si>
  <si>
    <t>Mantenimientos Mayores (HH) (HGPI, CCI, OVH)</t>
  </si>
  <si>
    <t>Costo de Horas Hombre utilizadas en los mantenimientos mayores de los turbogeneradores (CCI, HGPI, OVH)</t>
  </si>
  <si>
    <t>Repuestos</t>
  </si>
  <si>
    <t>Costo por repuestos, equipos y/o partes utilizados para el mantenimiento de los sistemas asociados a la generacion de energia electrica</t>
  </si>
  <si>
    <t>Ley 99 &amp; Otros Costos Ambientales &amp; Regulatorios</t>
  </si>
  <si>
    <t>Otros Costos  Variables</t>
  </si>
  <si>
    <t>Metricas Desempeño Tecnico</t>
  </si>
  <si>
    <t>MWh (mes)</t>
  </si>
  <si>
    <t>Energía Neta Generada (MWh/mes)</t>
  </si>
  <si>
    <t>Consumo de Combustible (MMBtu/mes)</t>
  </si>
  <si>
    <t>Horas de Salidas Programadas (horas/mes)</t>
  </si>
  <si>
    <t>Horas de Salidas Correctivas (horas/mes)</t>
  </si>
  <si>
    <t xml:space="preserve">Tasa Cambio Mensual </t>
  </si>
  <si>
    <t>(COP/US$)</t>
  </si>
  <si>
    <t>Modelo de Costos de Generación de Electricidad</t>
  </si>
  <si>
    <t>HOJA ENTRADA DE DATOS MENSUALES POR PLANTA</t>
  </si>
  <si>
    <t>COSTOS FIJOS (en COP/mes)</t>
  </si>
  <si>
    <t>Personal</t>
  </si>
  <si>
    <t>Generales &amp; Administración (G&amp;A)</t>
  </si>
  <si>
    <t>Capacitación &amp; Entrenamiento de Personal</t>
  </si>
  <si>
    <t>Uniformes &amp; Elementos de Protección Personal</t>
  </si>
  <si>
    <t>Logística &amp; Transporte</t>
  </si>
  <si>
    <t>Seguros</t>
  </si>
  <si>
    <t>Impuestos al Patrimonio, ICA &amp; Otros</t>
  </si>
  <si>
    <t>Depreciaciones &amp; Amorizaciones</t>
  </si>
  <si>
    <t>Contrato de O&amp;M</t>
  </si>
  <si>
    <t>Otros Costos &amp; Gastos Fijos</t>
  </si>
  <si>
    <t>COSTOS VARIABLES (en COP/mes)</t>
  </si>
  <si>
    <t>Transporte de Gas</t>
  </si>
  <si>
    <t>Otros Costos de Gas Combustible</t>
  </si>
  <si>
    <t>Mantenimiento &amp; Repaciones Menores</t>
  </si>
  <si>
    <t>Lubricantes, Quimicos &amp; Otros Insumos</t>
  </si>
  <si>
    <t>Overhauls (Reparaciones Mayores)</t>
  </si>
  <si>
    <t>Otros Costos &amp; Gastos Variables</t>
  </si>
  <si>
    <t>Horas de Salidas Forzadas (horas/mes)</t>
  </si>
  <si>
    <t>TASA DE CAMBIO MENSUAL (COP/US$)</t>
  </si>
  <si>
    <t>Codigo de Colores de Celdas</t>
  </si>
  <si>
    <t>Celdas de Datos de Entrada</t>
  </si>
  <si>
    <t>Celdas de Resultados</t>
  </si>
  <si>
    <t>Resultados Mes &amp; Acum'!A1</t>
  </si>
  <si>
    <t>Cupiagua N° 1</t>
  </si>
  <si>
    <t>Cupiagua N° 2</t>
  </si>
  <si>
    <t>DIA</t>
  </si>
  <si>
    <t>Gonzalo Coronado Nuñez</t>
  </si>
  <si>
    <t>E-mail</t>
  </si>
  <si>
    <t>OBSERVACIONES</t>
  </si>
  <si>
    <t>ALIMENTADORES Y CARGAS</t>
  </si>
  <si>
    <t>GEN DIA</t>
  </si>
  <si>
    <t>GEN MES</t>
  </si>
  <si>
    <t>GEN AÑO</t>
  </si>
  <si>
    <t>GENERACIÓN VS PRODUCCIÓN</t>
  </si>
  <si>
    <t>PRODUCCIÓN</t>
  </si>
  <si>
    <t>ENERGÍA</t>
  </si>
  <si>
    <t>PROD. EQUIVALENTE (BEPD)</t>
  </si>
  <si>
    <t>ENERGÍA REACTIVA
(MWh/día)</t>
  </si>
  <si>
    <t>CRUDO</t>
  </si>
  <si>
    <t>TOTAL CUP</t>
  </si>
  <si>
    <t>AGUA PRODUCIDA</t>
  </si>
  <si>
    <t>ENERGÍA MAX</t>
  </si>
  <si>
    <t>ENERGÍA MIN</t>
  </si>
  <si>
    <t>PROMEDIO POTENCIA ACTIVA</t>
  </si>
  <si>
    <t>PROMEDIO POTENCIA REACT</t>
  </si>
  <si>
    <t>Bbls</t>
  </si>
  <si>
    <t>Perdida de llama por ajuste sistema aceite hidráulico</t>
  </si>
  <si>
    <t>Suma de ene-16</t>
  </si>
  <si>
    <t>Suma de feb-16</t>
  </si>
  <si>
    <t>DISPONIBLE</t>
  </si>
  <si>
    <t>Se da parada normal a la unidad para revisar la válvula 20FG.</t>
  </si>
  <si>
    <t>Suma de mar-16</t>
  </si>
  <si>
    <t>Luis Carlos Morales</t>
  </si>
  <si>
    <t>OPERADOR CUSIANA</t>
  </si>
  <si>
    <t>OPERADOR CUPIAGUA</t>
  </si>
  <si>
    <t>Jose Perez</t>
  </si>
  <si>
    <t>CPF    CUSIANA</t>
  </si>
  <si>
    <t>CPF    CUPIAGUA</t>
  </si>
  <si>
    <t>MODO DE OPERACIÓN</t>
  </si>
  <si>
    <t>ISOCH</t>
  </si>
  <si>
    <t>DROOP</t>
  </si>
  <si>
    <t>G-7108</t>
  </si>
  <si>
    <t xml:space="preserve">CUSIANA                                                 </t>
  </si>
  <si>
    <t xml:space="preserve">CUPIAGUA                                             </t>
  </si>
  <si>
    <t>KV =</t>
  </si>
  <si>
    <t>P1-KM-24101 (DEMAG A )</t>
  </si>
  <si>
    <t>MP-KM-2101 (DEMAG 2)</t>
  </si>
  <si>
    <t>P1-KM-24201 (DEMAG B )</t>
  </si>
  <si>
    <t xml:space="preserve"> S/E 20,   OCENSA "A"</t>
  </si>
  <si>
    <t xml:space="preserve"> S/E 20,   OCENSA "B"</t>
  </si>
  <si>
    <t>P-60007 C   (WEIR C)</t>
  </si>
  <si>
    <t>P-60007 D   (WEIR D)</t>
  </si>
  <si>
    <t>P-60007 E   (WEIR E)</t>
  </si>
  <si>
    <t>Línea Aérea (llenadero)</t>
  </si>
  <si>
    <t xml:space="preserve"> S/E PLANTA GAS Y JT </t>
  </si>
  <si>
    <t>Planta (Sub/10, Sub/14, SWG)</t>
  </si>
  <si>
    <t xml:space="preserve">CUSIANA                                                </t>
  </si>
  <si>
    <t>APERTURA</t>
  </si>
  <si>
    <t>NORMALIDAD</t>
  </si>
  <si>
    <t>PROTECCION OPERADA</t>
  </si>
  <si>
    <t>Ricardo León Ramírez</t>
  </si>
  <si>
    <t>ENERGÍA ACTIVA (DIA)</t>
  </si>
  <si>
    <t>TOTAL CUS</t>
  </si>
  <si>
    <t>MVARH</t>
  </si>
  <si>
    <t>PRODUCCIÓN MAX   DE AGUA</t>
  </si>
  <si>
    <t>PRODUCCIÓN MAX      DE AGUA</t>
  </si>
  <si>
    <t>PRODUCCIÓN MIN    DE AGUA</t>
  </si>
  <si>
    <t>COMENTARIOS CUSIANA</t>
  </si>
  <si>
    <t>COMENTARIOS CUPIAGUA</t>
  </si>
  <si>
    <t>Intensidad Energética</t>
  </si>
  <si>
    <t>GEN CUP</t>
  </si>
  <si>
    <t>GEN NW</t>
  </si>
  <si>
    <t>GEN XL</t>
  </si>
  <si>
    <t>GEN POZOS</t>
  </si>
  <si>
    <t>IE_GDP</t>
  </si>
  <si>
    <t>IE_CPF</t>
  </si>
  <si>
    <t>IE_META</t>
  </si>
  <si>
    <t>GT1</t>
  </si>
  <si>
    <t>GT2</t>
  </si>
  <si>
    <t>poder calorifico GT1/GT2</t>
  </si>
  <si>
    <t>Meta</t>
  </si>
  <si>
    <t xml:space="preserve">Consumo gas mmscfd </t>
  </si>
  <si>
    <t>Energía generada</t>
  </si>
  <si>
    <t>Heat rate GT1</t>
  </si>
  <si>
    <t>Heat rate GT2</t>
  </si>
  <si>
    <t>FACTOR DE PRODUCCIÓN NETA</t>
  </si>
  <si>
    <t xml:space="preserve">Formula: </t>
  </si>
  <si>
    <t xml:space="preserve"> NOF = ( EEgen / Tserv * CAPinst) X 100</t>
  </si>
  <si>
    <t>SISTEMA</t>
  </si>
  <si>
    <t>Energía Eléctrica generada (MWh)</t>
  </si>
  <si>
    <t>Tiempo de servicio (hrs)</t>
  </si>
  <si>
    <t>Capacidad instalada</t>
  </si>
  <si>
    <t>Generación del mes</t>
  </si>
  <si>
    <t>Tiempo del mes (hrs)</t>
  </si>
  <si>
    <t>INTENSIDAD ENERGETICA</t>
  </si>
  <si>
    <t>HEAT RATE</t>
  </si>
  <si>
    <t xml:space="preserve">  COMENTARIOS Y DESCRIPCIÓN DE OTRAS MANIOBRAS Y ACTIVIDADES REALIZADAS</t>
  </si>
  <si>
    <t>CARGA  (MW)</t>
  </si>
  <si>
    <t>AMP</t>
  </si>
  <si>
    <t>TENSION (KV)</t>
  </si>
  <si>
    <t xml:space="preserve">  COMENTARIOS Y DESCRIPCIÓN DE OPERACIONES, CORRECTIVOS  Y ACTIVIDADES REALIZADAS </t>
  </si>
  <si>
    <t xml:space="preserve"> COMENTARIOS Y DESCRIPCIÓN DE OTRAS MANIOBRAS Y ACTIVIDADES REALIZADAS</t>
  </si>
  <si>
    <t>CUPIAGUA                         AGUA PRODUCIDA</t>
  </si>
  <si>
    <t>US-G-8005  Mwh/Dia</t>
  </si>
  <si>
    <t>US-GT-8002  Mwh/Dia</t>
  </si>
  <si>
    <t>US-GT-8001  Mwh/Dia</t>
  </si>
  <si>
    <t>US-G-8006  Mwh/Dia</t>
  </si>
  <si>
    <t>TOTAL</t>
  </si>
  <si>
    <t>PR 4182</t>
  </si>
  <si>
    <t>PR 0433</t>
  </si>
  <si>
    <r>
      <rPr>
        <b/>
        <sz val="12"/>
        <color indexed="12"/>
        <rFont val="Arial"/>
        <family val="2"/>
      </rPr>
      <t>PLANTA  GAS</t>
    </r>
    <r>
      <rPr>
        <b/>
        <sz val="10"/>
        <color indexed="12"/>
        <rFont val="Arial"/>
        <family val="2"/>
      </rPr>
      <t xml:space="preserve">              Mwh/Dia</t>
    </r>
  </si>
  <si>
    <r>
      <rPr>
        <b/>
        <sz val="12"/>
        <color indexed="12"/>
        <rFont val="Arial"/>
        <family val="2"/>
      </rPr>
      <t>AREA  ADMIN</t>
    </r>
    <r>
      <rPr>
        <b/>
        <sz val="10"/>
        <color indexed="12"/>
        <rFont val="Arial"/>
        <family val="2"/>
      </rPr>
      <t xml:space="preserve">              Mwh/Dia</t>
    </r>
  </si>
  <si>
    <t>PR 4202</t>
  </si>
  <si>
    <t>PR 4155</t>
  </si>
  <si>
    <t>PR 4143</t>
  </si>
  <si>
    <t>PR 4152</t>
  </si>
  <si>
    <t>KM-2501   HOROMETRO                     SOFT START</t>
  </si>
  <si>
    <t>KM-2501                                  Mvar</t>
  </si>
  <si>
    <t xml:space="preserve">KM-2501                                       MWH </t>
  </si>
  <si>
    <t xml:space="preserve"> S-E PPAL                                     US-MCC-8007    MWH </t>
  </si>
  <si>
    <t>MP-KM-2101               HOROMETRO</t>
  </si>
  <si>
    <t>US-G-8005                HOROMETRO</t>
  </si>
  <si>
    <t>US-G-8005                        MVar</t>
  </si>
  <si>
    <t xml:space="preserve">US-G-8005                     MWH </t>
  </si>
  <si>
    <t xml:space="preserve">US-TR-8015                         MWH </t>
  </si>
  <si>
    <t xml:space="preserve">US-TR-8002                         MWH </t>
  </si>
  <si>
    <t xml:space="preserve">US-TR-8003                               MWH </t>
  </si>
  <si>
    <t xml:space="preserve">US-G-8002                       MWH </t>
  </si>
  <si>
    <t>US-G-8002                             MVar</t>
  </si>
  <si>
    <t>US-G-8002                                   HOROMETRO</t>
  </si>
  <si>
    <t>US-G-8002                                    MEDIDOR DE DIESEL</t>
  </si>
  <si>
    <t xml:space="preserve">US-G-8001                                MWH </t>
  </si>
  <si>
    <t>US-G-8001                              MVar</t>
  </si>
  <si>
    <t>US-G-8001                                     HOROMETRO</t>
  </si>
  <si>
    <t>US-G-8001                                MEDIDOR DE DIESEL</t>
  </si>
  <si>
    <t xml:space="preserve">US-TR-8004                   MWH </t>
  </si>
  <si>
    <t xml:space="preserve">US-TR-8011                   MWH </t>
  </si>
  <si>
    <t>US-MCC-8007</t>
  </si>
  <si>
    <t>US-MCC-8009</t>
  </si>
  <si>
    <t>CONSUMO DIA CUS</t>
  </si>
  <si>
    <t>PRODUCCIÓN MAX DE CRUDO</t>
  </si>
  <si>
    <t>PRODUCCIÓN MIN CRUDO</t>
  </si>
  <si>
    <t>Debray Molano</t>
  </si>
  <si>
    <t>GENERADOR</t>
  </si>
  <si>
    <t>PR 4181</t>
  </si>
  <si>
    <t>Factor de producción G1</t>
  </si>
  <si>
    <t>Factor de producción G2</t>
  </si>
  <si>
    <t>Factor de producción Sistema</t>
  </si>
  <si>
    <t>CRUDO + NGL's</t>
  </si>
  <si>
    <t>GAS VENTAS + GLP</t>
  </si>
  <si>
    <t>U1-G-80001</t>
  </si>
  <si>
    <t>U1-G-80002</t>
  </si>
  <si>
    <t>U1-G-80003</t>
  </si>
  <si>
    <t>G-80005</t>
  </si>
  <si>
    <t>Disparo por señal falsa L45TRIP</t>
  </si>
  <si>
    <t>3.-     Para generar PRODUCCION VS ENERGIA favor digitar la fecha en la casilla amarilla  luego pulsar PRODUCCION VS ENERGIA</t>
  </si>
  <si>
    <t>11.-   Para generar ECOPETROL MENSUAL verificar que se encuentre digitadas las casillas amarillas, luego pulsar GAS ECOPETROL MENSUAL.</t>
  </si>
  <si>
    <t>12.-.  Para generar TOTAL POR AREAS verificar que se encuentre digitadas las casillas amarillas, luego pulsar TOTAL POR AREAS. (Para Ing. Rafael Sanabria) mensualmente</t>
  </si>
  <si>
    <t xml:space="preserve">13.-   Para generar EL ARCHIVO TOTAL ANUAL-MENSUAL donde se encuentra el resumen anual este se envía a Charly 5 mensualmente.   </t>
  </si>
  <si>
    <t>ABIERTO=0  CERRADO=1</t>
  </si>
  <si>
    <t>US-TR-8005 Q7</t>
  </si>
  <si>
    <t>CARGA ESEN DISTRIB</t>
  </si>
  <si>
    <t>carga esenciales RESTO</t>
  </si>
  <si>
    <t>AREA  ADMIN              Mwh/Dia</t>
  </si>
  <si>
    <r>
      <rPr>
        <b/>
        <sz val="12"/>
        <color indexed="12"/>
        <rFont val="Arial"/>
        <family val="2"/>
      </rPr>
      <t>DISTRIBUCION</t>
    </r>
    <r>
      <rPr>
        <b/>
        <sz val="10"/>
        <color indexed="12"/>
        <rFont val="Arial"/>
        <family val="2"/>
      </rPr>
      <t xml:space="preserve"> Mwh/Dia</t>
    </r>
  </si>
  <si>
    <t>Falla acople y  bomba hidraulica, presion 0 PSI</t>
  </si>
  <si>
    <t>CONSUMO DIA CUP</t>
  </si>
  <si>
    <t>CECO EMISOR</t>
  </si>
  <si>
    <t>CECO RECEPTOR</t>
  </si>
  <si>
    <t>PLANEADO</t>
  </si>
  <si>
    <t>REAL</t>
  </si>
  <si>
    <t>JULIO</t>
  </si>
  <si>
    <t>AGOSTO</t>
  </si>
  <si>
    <t>kWh</t>
  </si>
  <si>
    <t>PR4182</t>
  </si>
  <si>
    <t>Energía Autogenerada</t>
  </si>
  <si>
    <t>PR4181</t>
  </si>
  <si>
    <t>Planta de Gas</t>
  </si>
  <si>
    <t>PR4152</t>
  </si>
  <si>
    <t xml:space="preserve">Estacion Almacenamiento Ocensa/CPF  </t>
  </si>
  <si>
    <t>Estación de tratamiento</t>
  </si>
  <si>
    <t>PR4155</t>
  </si>
  <si>
    <t>Facilidad de compresión</t>
  </si>
  <si>
    <t>PR4202</t>
  </si>
  <si>
    <t>Áreas administrativas</t>
  </si>
  <si>
    <t>PR 4142</t>
  </si>
  <si>
    <t>Estación XL Cupiagua Sur</t>
  </si>
  <si>
    <t>PR0433</t>
  </si>
  <si>
    <t>Distribucción de energía</t>
  </si>
  <si>
    <t>REAL d Verd</t>
  </si>
  <si>
    <t>DISTRIBUCION Mwh/Dia</t>
  </si>
  <si>
    <r>
      <rPr>
        <b/>
        <sz val="12"/>
        <color indexed="12"/>
        <rFont val="Arial"/>
        <family val="2"/>
      </rPr>
      <t>Facilidad de compresión</t>
    </r>
    <r>
      <rPr>
        <b/>
        <sz val="10"/>
        <color indexed="12"/>
        <rFont val="Arial"/>
        <family val="2"/>
      </rPr>
      <t xml:space="preserve"> Mwh/Dia</t>
    </r>
  </si>
  <si>
    <r>
      <rPr>
        <b/>
        <sz val="12"/>
        <color indexed="12"/>
        <rFont val="Arial"/>
        <family val="2"/>
      </rPr>
      <t>Estación de tratamiento</t>
    </r>
    <r>
      <rPr>
        <b/>
        <sz val="10"/>
        <color indexed="12"/>
        <rFont val="Arial"/>
        <family val="2"/>
      </rPr>
      <t xml:space="preserve"> Mwh/Dia</t>
    </r>
  </si>
  <si>
    <r>
      <rPr>
        <b/>
        <sz val="12"/>
        <color indexed="12"/>
        <rFont val="Arial"/>
        <family val="2"/>
      </rPr>
      <t xml:space="preserve">Estacion Almacenamiento Ocensa/CPF  </t>
    </r>
    <r>
      <rPr>
        <b/>
        <sz val="10"/>
        <color indexed="12"/>
        <rFont val="Arial"/>
        <family val="2"/>
      </rPr>
      <t xml:space="preserve">                 Mwh/Dia</t>
    </r>
  </si>
  <si>
    <t>Estación de tratamiento Mwh/Dia</t>
  </si>
  <si>
    <t>Facilidad de compresión Mwh/Dia</t>
  </si>
  <si>
    <t>Estacion Almacenamiento Ocensa/CPF                   Mwh/Dia</t>
  </si>
  <si>
    <t>CARGA sin esenciales</t>
  </si>
  <si>
    <t>CARGA TOTAL CON CECOS (con esenciales)</t>
  </si>
  <si>
    <t>Energía utilitarios (US-TR-8004 ó 8003+ US-TR-8005)-Consumo auxiliares GT1+GT2</t>
  </si>
  <si>
    <t>REPORTE DATOS ESTADISTICOS</t>
  </si>
  <si>
    <t>Tot ESTADISTICOS</t>
  </si>
  <si>
    <t>Consumo de calor %  del diseño</t>
  </si>
  <si>
    <t>Consumo de calor %   Corregido</t>
  </si>
  <si>
    <t xml:space="preserve">Consumo de gas dia Cupiagua x10-6 SCF    </t>
  </si>
  <si>
    <t xml:space="preserve">Consumo de gas dia Cupiagua x10-6 SCF                   </t>
  </si>
  <si>
    <t xml:space="preserve">Consumo de gas dia Cupiagua x10-6 SCF                    </t>
  </si>
  <si>
    <t xml:space="preserve">Consumo de gas dia Cupiagua x10-6 SCF          </t>
  </si>
  <si>
    <t xml:space="preserve">Consumo de gas dia Cupiagua x10-6 SCF                 </t>
  </si>
  <si>
    <t xml:space="preserve">Consumo de gas dia Cupiagua x10-6 SCF         </t>
  </si>
  <si>
    <t xml:space="preserve">Consumo de gas dia Cupiagua x10-6 SCF        </t>
  </si>
  <si>
    <t xml:space="preserve">Consumo de gas dia Cupiagua x10-6 SCF            </t>
  </si>
  <si>
    <t xml:space="preserve">Consumo de gas dia Cupiagua x10-6 SCF                </t>
  </si>
  <si>
    <t>ENERO</t>
  </si>
  <si>
    <t>FEBRERO</t>
  </si>
  <si>
    <t>MARZO</t>
  </si>
  <si>
    <t>ABRIL</t>
  </si>
  <si>
    <t>MAYO</t>
  </si>
  <si>
    <t>JUNIO</t>
  </si>
  <si>
    <t>Fotovoltaica Pozos Cupiagua</t>
  </si>
  <si>
    <t>PR4113</t>
  </si>
  <si>
    <t>Pozos crudo y gas Cupiagua</t>
  </si>
  <si>
    <t>PR4114</t>
  </si>
  <si>
    <t>Pozos crudo y gas Cupiagua Sur</t>
  </si>
  <si>
    <t>PR4221</t>
  </si>
  <si>
    <t>Pozos inyectores Cupiagua</t>
  </si>
  <si>
    <t>PR4222</t>
  </si>
  <si>
    <t>Pozos Inyectores Cupiagua Sur</t>
  </si>
  <si>
    <t>PR4188</t>
  </si>
  <si>
    <t xml:space="preserve">Energía Regulada Cupiagua </t>
  </si>
  <si>
    <t>PR4140</t>
  </si>
  <si>
    <t>Líneas recolección Cupiagua</t>
  </si>
  <si>
    <t>PR4137</t>
  </si>
  <si>
    <t>Líneas recolección Cupiagua Sur</t>
  </si>
  <si>
    <t>PRONOSTICO DE CONSUMO POR PROCESO</t>
  </si>
  <si>
    <t>SEPTIEMBRE</t>
  </si>
  <si>
    <t>OCTUBRE</t>
  </si>
  <si>
    <t>DICIEMBRE</t>
  </si>
  <si>
    <t>PRONOSTICO DEMANDA</t>
  </si>
  <si>
    <t>2.-     Para generar REPORTE DIARIO  Y ECO favor digitar la fecha en la casilla amarilla  luego pulsar REPORTE DIARIO  Y ECO (Azul)</t>
  </si>
  <si>
    <t>4.-     Para generar INFORME DIARIO favor digitar la fecha en la casilla amarilla  luego pulsar INFORME DIARIO (Azul)</t>
  </si>
  <si>
    <t>5.-     Para generar COSTO DEL KWH verificar que se encuentre digitadas las casillas amarillas, luego pulsar COSTO DEL KWH (Verde).</t>
  </si>
  <si>
    <t xml:space="preserve">6.-     Para generar GERENCIAL SUP STORK donde se encuentra el archivo de las gráficas estos se envía a Grandas y Jorges mensualmente.   </t>
  </si>
  <si>
    <t>Opseniorgen.cup@Stork.com</t>
  </si>
  <si>
    <t>Opseniorgen.Cup@Stork.com</t>
  </si>
  <si>
    <t>FACTOR</t>
  </si>
  <si>
    <t>PR1013</t>
  </si>
  <si>
    <t>SEPARACIÓN - Sistema Separación</t>
  </si>
  <si>
    <t>COMPRESIÓN GAS PROCESO - Sistema de compresión gas de proceso</t>
  </si>
  <si>
    <t>PR4145</t>
  </si>
  <si>
    <t>DESHIDRATACIÓN - Sistema Trietilenglycol</t>
  </si>
  <si>
    <t>PR1016</t>
  </si>
  <si>
    <t>FUEL GAS - Sistema de Fuel Gas</t>
  </si>
  <si>
    <t>PR1015</t>
  </si>
  <si>
    <t xml:space="preserve">COMPRESIÓN REINYECCIÓN - Sistema compresión a Reinyección </t>
  </si>
  <si>
    <t>PR4183</t>
  </si>
  <si>
    <t>SEPARACIÓN PGC - Sistema JT y pretratamiento PGC</t>
  </si>
  <si>
    <t>PR1019</t>
  </si>
  <si>
    <t>TRATAMIENTO PGC - Sistema de endulzamiento PGC</t>
  </si>
  <si>
    <t>PR1020</t>
  </si>
  <si>
    <t>TRATAMIENTO PGC - Sistema Gas ácido</t>
  </si>
  <si>
    <t>PR4184</t>
  </si>
  <si>
    <t>COMPRESIÓN PGC - Sistema compresión Ventas PGC</t>
  </si>
  <si>
    <t>PR1014</t>
  </si>
  <si>
    <t>ALMACENAMIENTO - Tanques de almacenamiento CPF Cupiagua</t>
  </si>
  <si>
    <t>ALMACENAMIENTO - Almacenamiento y Despacho Ocensa</t>
  </si>
  <si>
    <t>PR1017</t>
  </si>
  <si>
    <t>GENERACIÓN - Sistema de generación</t>
  </si>
  <si>
    <t>PR1090</t>
  </si>
  <si>
    <t>Autogeneración Facilidades Cupiagua</t>
  </si>
  <si>
    <t>PR1091</t>
  </si>
  <si>
    <t>Distribucción de energía Cupiagua</t>
  </si>
  <si>
    <t>Generación mes</t>
  </si>
  <si>
    <t>PROCESO</t>
  </si>
  <si>
    <t>Trietilenglicol</t>
  </si>
  <si>
    <t>Bomba de fuera de especificaciones</t>
  </si>
  <si>
    <t>Batching</t>
  </si>
  <si>
    <t>BASE DEMANDA COMÚN PARA LOS PROCESOS</t>
  </si>
  <si>
    <t>UNIT</t>
  </si>
  <si>
    <t>ILUMINACIÓN</t>
  </si>
  <si>
    <t>AIRES ACOND</t>
  </si>
  <si>
    <t>UTILITARIOS</t>
  </si>
  <si>
    <t>TOTAL NO EQUIPOS</t>
  </si>
  <si>
    <t>Total pozos productores</t>
  </si>
  <si>
    <t>T Pozos productores Cupiagua</t>
  </si>
  <si>
    <t>T Pozos productores Cupiagua Sur</t>
  </si>
  <si>
    <t>Total pozos Inyectores</t>
  </si>
  <si>
    <t>G-8001</t>
  </si>
  <si>
    <t>Hubo parada para mantenimiento del turbogenerador SI (1)  NO(0)</t>
  </si>
  <si>
    <t>G-8002</t>
  </si>
  <si>
    <t>Cuantas paradas hubo para mantenimiento</t>
  </si>
  <si>
    <t>Operación normal (1 hora)</t>
  </si>
  <si>
    <t>G-8001/2</t>
  </si>
  <si>
    <t>Modo Rachet (1 hora)</t>
  </si>
  <si>
    <t>Enfriamiento 8 horas (8 horas)</t>
  </si>
  <si>
    <t>#</t>
  </si>
  <si>
    <t>Días del mes evaluado</t>
  </si>
  <si>
    <t>Consumo por parada y arra</t>
  </si>
  <si>
    <t>Número de paradas para mantenimiento</t>
  </si>
  <si>
    <t>Horas en operación normal</t>
  </si>
  <si>
    <t>Operación normal mes</t>
  </si>
  <si>
    <t>Consumo  de parada con enfriamiento Crank (8 horas)</t>
  </si>
  <si>
    <t>Tiempo de parada (horas)</t>
  </si>
  <si>
    <t>Energía no consumida por fuera de servicio en el mes</t>
  </si>
  <si>
    <t>incluido en formula</t>
  </si>
  <si>
    <t>Energía (hubo parada de mantenimiento de turbogenenerador)</t>
  </si>
  <si>
    <t>Energía (parada NO mantenimiento)</t>
  </si>
  <si>
    <t>S/E TREN 1 Y 2</t>
  </si>
  <si>
    <t>FUEL GAS</t>
  </si>
  <si>
    <t>TRATAMIENTO PGC</t>
  </si>
  <si>
    <t>ALMACENAMIENTO</t>
  </si>
  <si>
    <t>DESHIDRATACIÓN</t>
  </si>
  <si>
    <t>SEPARACIÓN - Sistema Separación T1</t>
  </si>
  <si>
    <t>SEPARACIÓN - Sistema Separación T2</t>
  </si>
  <si>
    <t>TOTAL kW/h</t>
  </si>
  <si>
    <t>PR4142</t>
  </si>
  <si>
    <t>XL</t>
  </si>
  <si>
    <t>PORCENTAJE</t>
  </si>
  <si>
    <t>TREN1/2 
URG+VRU</t>
  </si>
  <si>
    <t>COMPRESORES AIRE Y N2</t>
  </si>
  <si>
    <t>SUMA UNIT Y AIRE,N2,A.A</t>
  </si>
  <si>
    <t>PORCENTAJE
kWh</t>
  </si>
  <si>
    <t>ESTADISTICOS  TOTAL MESES</t>
  </si>
  <si>
    <t>Jorge E. Contreras</t>
  </si>
  <si>
    <t>opseniorgen.cus@stork.com</t>
  </si>
  <si>
    <t>X 30 DIAS</t>
  </si>
  <si>
    <t>X 31 DIAS</t>
  </si>
  <si>
    <t>X 30DIAS</t>
  </si>
  <si>
    <t>AMP/H</t>
  </si>
  <si>
    <t>EDIFICIOS NO INDUSTRIALES A.A</t>
  </si>
  <si>
    <t>BOMBAS UTILITARIOS</t>
  </si>
  <si>
    <t>ADICIONAR A CECOS - MENOS GENERACION</t>
  </si>
  <si>
    <t>Disparo por potencia inversa</t>
  </si>
  <si>
    <t>Disparo por sobrefrecuencia</t>
  </si>
  <si>
    <t>X 10 DIAS</t>
  </si>
  <si>
    <t>ENERGÍA AUTOGENERADA CONTRATADA</t>
  </si>
  <si>
    <t>Consumo Total Kwh</t>
  </si>
  <si>
    <t>ACTIVO</t>
  </si>
  <si>
    <t>CAMPO</t>
  </si>
  <si>
    <t>SUBPROCESO</t>
  </si>
  <si>
    <t>Cupiagua Sur</t>
  </si>
  <si>
    <t>Tratamiento</t>
  </si>
  <si>
    <t>ALMACENAMIENTO -  OCENSA Almacenamiento y Despacho Ocensa</t>
  </si>
  <si>
    <t>Sistema Compresión a Reinyección</t>
  </si>
  <si>
    <t>Pozos inyectores Cupiagua Sur</t>
  </si>
  <si>
    <t>Planta y almacenamiento GLP</t>
  </si>
  <si>
    <t>Total</t>
  </si>
  <si>
    <t>José Pérez Agudelo</t>
  </si>
  <si>
    <t>Saúl Jiménez Rojas</t>
  </si>
  <si>
    <t>Gonzalo Coronado Núñez</t>
  </si>
  <si>
    <t>5.1</t>
  </si>
  <si>
    <t>(S/E PPAL)/9</t>
  </si>
  <si>
    <t>NO DISPONIBLE</t>
  </si>
  <si>
    <t>Parada normal para correccion de fuga de aciete por FH3</t>
  </si>
  <si>
    <t>Disparo por L45TRIP</t>
  </si>
  <si>
    <t>Sale de sincronismo por potencia inversa</t>
  </si>
  <si>
    <t>Disparo por spread L30SPT</t>
  </si>
  <si>
    <t>Para inspeccion robotica al generador</t>
  </si>
  <si>
    <t>Por baja presion de fuel gas</t>
  </si>
  <si>
    <t>Para mantenimiento mayor y cambio de los sistemas de control</t>
  </si>
  <si>
    <t>Disparo por baja frecuencia</t>
  </si>
  <si>
    <t>Disparo por proteccion diferencial en 13.8KV</t>
  </si>
  <si>
    <t>Disparo maniobra de cierre de US-TR-8044 por Restricted Ground Faul</t>
  </si>
  <si>
    <t>29/02/2018</t>
  </si>
  <si>
    <t>Nelson Gualteros Albarracín</t>
  </si>
  <si>
    <t xml:space="preserve">14.-   Para generar EL ARCHIVO "ESTADISTICOS" donde se encuentra LOS CECOS Y GORDOS PARA Yenny cada dia 21 del mes.   </t>
  </si>
  <si>
    <t>CPF –  CUSIANA / CUPIAGUA</t>
  </si>
  <si>
    <t>Hernan D. Patino</t>
  </si>
  <si>
    <t>Jorge E Contreras</t>
  </si>
  <si>
    <t>Nelson Gualteros</t>
  </si>
  <si>
    <t xml:space="preserve">Ricardo Leon Ramirez </t>
  </si>
  <si>
    <t>Hernan Patiño</t>
  </si>
  <si>
    <t>Ricardo León Ramirez</t>
  </si>
  <si>
    <t>Esenciales</t>
  </si>
  <si>
    <t>X 20 DIAS</t>
  </si>
  <si>
    <t>Planeado-kWh</t>
  </si>
  <si>
    <t>Real-kWh</t>
  </si>
  <si>
    <t>Energia Regulada (Enerca)</t>
  </si>
  <si>
    <t>Pozos crudo y gas volcanera</t>
  </si>
  <si>
    <t>PR4110</t>
  </si>
  <si>
    <t>Pozos crudo y gas Pauto en Recetor</t>
  </si>
  <si>
    <t>PR4111</t>
  </si>
  <si>
    <t>Facilidad XL</t>
  </si>
  <si>
    <t>PR4143</t>
  </si>
  <si>
    <t>Alamacenamiento</t>
  </si>
  <si>
    <t xml:space="preserve">TRIP L26AA2 Temperatura Aire de Atomización. </t>
  </si>
  <si>
    <t>Fuga aceite por tubing vapores del compresor aire de atomización.</t>
  </si>
  <si>
    <t>Disparo D2, abriendo interruptor de campo y disparo del turbogenerador.</t>
  </si>
  <si>
    <t>PPP y cambio de los sistemas de control(Mark Vie, EX2100e y PAC8000)</t>
  </si>
  <si>
    <t>Por parada programada total de planta(PPP)</t>
  </si>
  <si>
    <t xml:space="preserve"> Al energizar TR-8044, se dispara por "DIFERENCIAL DE ESTATOR". G60</t>
  </si>
  <si>
    <t>Sale de línea por potencia inversa(-1,2MW), en el SR489.</t>
  </si>
  <si>
    <t>NOVIEMBRE</t>
  </si>
  <si>
    <t xml:space="preserve">CUP  CRUDO (BEPD)                             PROD. EQUIVALENTE </t>
  </si>
  <si>
    <t>GDP</t>
  </si>
  <si>
    <t xml:space="preserve">                           </t>
  </si>
  <si>
    <t>04:30 Se dispara por baja presión hidráulica (señal L63 HG1L/2L/3L).
01:52 Se sincroniza al sistema, la unidad queda en modo DROOP con 6 MW.</t>
  </si>
  <si>
    <t>Hernán Darío Patiño Diaz</t>
  </si>
  <si>
    <t>COMPRESOR GAS CIMA K-2601A KVARH</t>
  </si>
  <si>
    <t>COMPRESOR GAS CIMA K-2601A    KWH</t>
  </si>
  <si>
    <t>COMPRESOR GAS CIMA K-2601B    KWH</t>
  </si>
  <si>
    <t>COMPRESOR GAS CIMA K-2601B KVARH</t>
  </si>
  <si>
    <t>COMPRESOR GAS CIMA K-2601C    KWH</t>
  </si>
  <si>
    <t>COMPRESOR GAS CIMA K-2601C KVARH</t>
  </si>
  <si>
    <t>COMPRESOR GAS CIMA K-2601A HOROMETRO</t>
  </si>
  <si>
    <t>COMPRESOR GAS CIMA K-2601B HOROMETRO</t>
  </si>
  <si>
    <t>COMPRESOR GAS CIMA K-2601C HOROMETRO</t>
  </si>
  <si>
    <t>KM-2601A (GAS CIMA)</t>
  </si>
  <si>
    <t>KM-2601B (GAS CIMA)</t>
  </si>
  <si>
    <t>KM-2601C (GAS CIMA)</t>
  </si>
  <si>
    <t>KM-2601A</t>
  </si>
  <si>
    <t>KM-2601B</t>
  </si>
  <si>
    <t>KM-2601C</t>
  </si>
  <si>
    <t>KM-2101 (DEMAG 2 )</t>
  </si>
  <si>
    <t>SWG-8033 BARRA B KWH</t>
  </si>
  <si>
    <t>SWG-8033 BARRA B KVARH</t>
  </si>
  <si>
    <t>CONDENSADOS</t>
  </si>
  <si>
    <t>GPL</t>
  </si>
  <si>
    <t>CONDENSADOS Y CONTRA INCENDIOS</t>
  </si>
  <si>
    <t>LLENADERO Y GLP</t>
  </si>
  <si>
    <t xml:space="preserve">CONTRA INCENDIO </t>
  </si>
  <si>
    <t>BLANCOS</t>
  </si>
  <si>
    <t xml:space="preserve">LLENADERO  + GLP </t>
  </si>
  <si>
    <t>CONSUMOS DE ENERGIA Y GAS ESTABILIZACION DE CONDENSADOS</t>
  </si>
  <si>
    <t xml:space="preserve">SCI US-SW-8035 BUS A                   MWH </t>
  </si>
  <si>
    <t xml:space="preserve">SCI US-SW-8035 BUS B                  MWH </t>
  </si>
  <si>
    <t xml:space="preserve">KM-2101 </t>
  </si>
  <si>
    <t>GT-8001</t>
  </si>
  <si>
    <t>GT-8002</t>
  </si>
  <si>
    <t>G-8005</t>
  </si>
  <si>
    <t>G-8006</t>
  </si>
  <si>
    <t xml:space="preserve">GT-8001  </t>
  </si>
  <si>
    <t xml:space="preserve">GT-8002  </t>
  </si>
  <si>
    <t xml:space="preserve">G-8005  </t>
  </si>
  <si>
    <t>TTXM</t>
  </si>
  <si>
    <t>TTWS1AO2</t>
  </si>
  <si>
    <t>TTWS1AO3</t>
  </si>
  <si>
    <t>TTWS1FO2</t>
  </si>
  <si>
    <t>TTWS1FO3</t>
  </si>
  <si>
    <t>CPD</t>
  </si>
  <si>
    <t>CTD</t>
  </si>
  <si>
    <t>LTTH1</t>
  </si>
  <si>
    <t>TTRX</t>
  </si>
  <si>
    <t>DF</t>
  </si>
  <si>
    <t>Al iniciar transferencia de gas a diesel  presenta TRIP de turbina por baja presion de descarga compresor axial. Luego de dos intentos fallidos se decide arrancar la unidad con gas. Se revisa lazo de control de la señal del transmisor, sin novedad.</t>
  </si>
  <si>
    <t>Entro en servicio la planta de gas. Para un total de 7 Mw/H adicionales a la carga actual.</t>
  </si>
  <si>
    <t>Entro en servicio la planta de estabilizacion de condensados, glp y llenadero. Para un total aproximado de 800Kw/H adicionales a la carga actual.</t>
  </si>
  <si>
    <t>X 10DIAS</t>
  </si>
  <si>
    <t>X 20DIAS</t>
  </si>
  <si>
    <t>TOTAL Kwh</t>
  </si>
  <si>
    <t>Fecha Actual</t>
  </si>
  <si>
    <t>LUBRICANTES   EN    LOS     GENERADORES</t>
  </si>
  <si>
    <t>US-GT-8001
Lubricante:  DTE-832 (1700 Gls)</t>
  </si>
  <si>
    <t>US-GTB-8002
Lubricante:  DTE-832 (1700 Gls)</t>
  </si>
  <si>
    <t>US-G-8005
Lubricante: 15W40 (Gls)</t>
  </si>
  <si>
    <t>US-G-8006
Lubricante: 15W40 (Gls)</t>
  </si>
  <si>
    <t>C 1. NOVEDADES EN GENERADORES</t>
  </si>
  <si>
    <t>C 2. NOVEDADES EN ALIMENTADORES Y CARGAS REPRESENTATIVAS</t>
  </si>
  <si>
    <t>C 3. NOVEDADES EN S/E Y DE EQUIPOS EN CAMPO</t>
  </si>
  <si>
    <t>PRESION DIFERENCIAL ANTES DEL CAMBIO DE FILTROS (mm de H2O)</t>
  </si>
  <si>
    <t>FECHA CAMBIO ELEMENTOS FILTRANTES</t>
  </si>
  <si>
    <t>PRESION DIFERENCIAL DESPUES DEL CAMBIO (mm de H2O)</t>
  </si>
  <si>
    <t>PRESIÓN DIFERENCIAL DE CASA DE FILTROS ACTUAL</t>
  </si>
  <si>
    <t>TIEMPO DE SERVICIO FILTROS A LA FECHA</t>
  </si>
  <si>
    <t>2 AÑOS,</t>
  </si>
  <si>
    <t>UN AÑO
2 MESES</t>
  </si>
  <si>
    <t>UN AÑO 
SEIS MESE</t>
  </si>
  <si>
    <t>10 MESES</t>
  </si>
  <si>
    <t>UN AÑO 
4 MESES</t>
  </si>
  <si>
    <t>DOS AÑOS
2 MESE</t>
  </si>
  <si>
    <r>
      <t>PRESION DIFERENCIAL ANTES DEL CAMBIO DE FILTROS (mm de H</t>
    </r>
    <r>
      <rPr>
        <sz val="8"/>
        <rFont val="Arial"/>
        <family val="2"/>
      </rPr>
      <t>2</t>
    </r>
    <r>
      <rPr>
        <sz val="11"/>
        <rFont val="Arial"/>
        <family val="2"/>
      </rPr>
      <t>O)</t>
    </r>
  </si>
  <si>
    <t>SEGUIMIENTO CAMBIO DE FILTROS CASA DE FILTROS TURBINAS</t>
  </si>
  <si>
    <t>TURBINA</t>
  </si>
  <si>
    <t>CAMBIO ELEMENTOS FILTRANTES</t>
  </si>
  <si>
    <t>ULTIMO CAMBIO DE FILTROS</t>
  </si>
  <si>
    <t>LIMPIEZA DE LOS FILTROS</t>
  </si>
  <si>
    <t>CAMBIO DE ELEMENTOS FILTRANTES</t>
  </si>
  <si>
    <t>CA-KTB-1801</t>
  </si>
  <si>
    <t>CA-KTB-1802</t>
  </si>
  <si>
    <t>CB-KTB-2801</t>
  </si>
  <si>
    <t>CB-KTB-2802</t>
  </si>
  <si>
    <t>CC-KTB-3801</t>
  </si>
  <si>
    <t>CC-KTB-3802</t>
  </si>
  <si>
    <t>FILTER,AIR:CONICAL ELEMENT,17.5" O.D. LARGE END,12.75" O.D. SMALL END,26"LONG,P/N: P19-1281,DONALDSON SPIDER-WEB</t>
  </si>
  <si>
    <t>VOCAB ELIPSE 004680997</t>
  </si>
  <si>
    <t>FILTER,AIR:CARTRIDGE,12.75" O.D X 26"LONG 8.38" I.D.,P/N: P19-1280,DONALDSON SPIDER-WEB</t>
  </si>
  <si>
    <t>VOCAB ELIPSE 004641668</t>
  </si>
  <si>
    <t xml:space="preserve">PREFILTROS TURBINA REF: TFA-65566M20Y código elipse 004825469 </t>
  </si>
  <si>
    <t>LIMPIEZA FILTROS</t>
  </si>
  <si>
    <t xml:space="preserve">US-SW-8030      BUS B  MWH </t>
  </si>
  <si>
    <t xml:space="preserve">MP-KM-2101      MWH </t>
  </si>
  <si>
    <t>MP-KM-2101      Mvar</t>
  </si>
  <si>
    <t xml:space="preserve">US-SW-8040          BUS B  MWH </t>
  </si>
  <si>
    <t xml:space="preserve">US-SW-8020          BUS B   MWH </t>
  </si>
  <si>
    <t xml:space="preserve">US-SW-8020             BUS A  MWH </t>
  </si>
  <si>
    <t xml:space="preserve">US-SW-8040       BUS A   MWH </t>
  </si>
  <si>
    <t xml:space="preserve">US-SW-8034           BUS A   MWH </t>
  </si>
  <si>
    <t xml:space="preserve">US-SW-8030                          BUS A   MWH </t>
  </si>
  <si>
    <t xml:space="preserve">US-SW-8034         BUS B    MWH </t>
  </si>
  <si>
    <t xml:space="preserve">US-G-8006        MWH </t>
  </si>
  <si>
    <t>US-G-8006       MVar</t>
  </si>
  <si>
    <t>US-TR-8056         MWH</t>
  </si>
  <si>
    <t xml:space="preserve">CUP  GAS  (BEPD)                               PROD. EQUIVALENTE </t>
  </si>
  <si>
    <t xml:space="preserve">CUP  BLANCOS  (BEPD)                               PROD. EQUIVALENTE </t>
  </si>
  <si>
    <t>Por baja presion de fuel gas, ocacionado por baja presion de aceite hidraulico (desgaste en el acople de la bomba HYD)</t>
  </si>
  <si>
    <t>Jairo E. Beltran</t>
  </si>
  <si>
    <t>Henry Garcia</t>
  </si>
  <si>
    <t>15:29/Se presenta Blackout por generación, disparo del US-GT-8001 por señal L30SPT y disparo del US-GT-8002 por baja frecuencia. Arranca US-G-8005 por baja tensión, pero sin excitación, se identifica en falla baristor de la excitación y un diodo por fase en falla. Arranca US-G-8006 por baja tensión, se saca de línea para realizar procedimiento operativo y alimentar por barra A el US-SWG-8001. 22.38/Queda sistema eléctrico en operación normal para restablecer proceso.</t>
  </si>
  <si>
    <t>|</t>
  </si>
  <si>
    <t>Turbogenerador parado para mantto al interruptor de acople entre barras, del US-SWG-8011, =K07 +K11. En el arranque se identifica señal L86HD (Hydraulic Protective Trouble), enclavada y no deja resetear el sistema de control.</t>
  </si>
  <si>
    <t xml:space="preserve"> Generador de Emergencia Planta Crudo. Se instala baterias cargadas en taller (B1:13, B2:13, B3:12.9 y B4:13 VDC). Se levanta aislamiento y se realiza prueba funcional sincronizándolo sin novedad. Se sube carga de forma controlada a 1MW y CBM realiza monitoreo de vibraciones y toma muestra de aceite. Terminado el monitoreo, se baja carga de forma controlada y se da parada con enfriamiento, evidenciando golpeteo en cilindros 12, 14, 16. Se da parada al generador y queda aislado para continuar trabajo correctivo. El aceite se ve emulsionado en la muestra que se tomó, pendiente cambio de aceite, cambio de filtros de aceite, cambio de filtros diesel, retirar inyectores y calibrar válvulas de admisión y escape. Queda aislado.
HRF: 6466.1 Horas; Activa (kwh) 829.71 KWH; Reactiva: 454.58 Mvarh. Aislado para mantenimiento correctivo por parte de mecánica.
Total, Horas Trabajadas: 6.8 Horas.
GENERACIÓN: 5,149 KWH / KVARH: 2,565 KVARH
</t>
  </si>
  <si>
    <t>Se presenta salida de turbogenerador por alarma L26AA2_ALM ATOMISING AIR TEMPERATURE HIGH</t>
  </si>
  <si>
    <t>X 28 DIAS</t>
  </si>
  <si>
    <t>X 28DIAS</t>
  </si>
  <si>
    <t>Diesel</t>
  </si>
  <si>
    <t>Gas mmscfd</t>
  </si>
  <si>
    <t>Fecha en numero</t>
  </si>
  <si>
    <t>US-G-8005                Mw</t>
  </si>
  <si>
    <t>US-G-8006  MW</t>
  </si>
  <si>
    <t>Se identifica goteo de refrigerante del sistema de enfriamiento por visor del indicador de nivel del tanque de expansión.</t>
  </si>
  <si>
    <t>Semana</t>
  </si>
  <si>
    <t>GAS mmscfd</t>
  </si>
  <si>
    <t>ESTIMADO CONSUMO DE  Y SINTESIS EJECUTIVA DEL SISTEMA ELECTRICO</t>
  </si>
  <si>
    <t>US-GT-80001</t>
  </si>
  <si>
    <t>US-GT-80002</t>
  </si>
  <si>
    <t>US-GT-80003</t>
  </si>
  <si>
    <t xml:space="preserve">Turbogeneradores cusiana </t>
  </si>
  <si>
    <t>Turbogeneradores cupiagua</t>
  </si>
  <si>
    <t xml:space="preserve">Total por generador </t>
  </si>
  <si>
    <t xml:space="preserve">ENERGIA-GAS SEMANAL DE LA GDP (CUS-CUP) </t>
  </si>
  <si>
    <t xml:space="preserve">Semana </t>
  </si>
  <si>
    <t>Fecha inicio</t>
  </si>
  <si>
    <t xml:space="preserve">Fecha final </t>
  </si>
  <si>
    <t>Se presenta salida de turbogenerador por perdida de auxiliares</t>
  </si>
  <si>
    <t>COMBUSTIBLE</t>
  </si>
  <si>
    <t>Jairo E. Beltrán</t>
  </si>
  <si>
    <t>Jorge Alirio Díaz</t>
  </si>
  <si>
    <t>Operador Día</t>
  </si>
  <si>
    <t>Operador Noche</t>
  </si>
  <si>
    <t>Hernan D. Patiño</t>
  </si>
  <si>
    <t>Eber Mateus</t>
  </si>
  <si>
    <t>Supervisor O&amp;M Electricidad</t>
  </si>
  <si>
    <t>Jorge E. Cano Contreras</t>
  </si>
  <si>
    <t>Néstor Pinto Pineda</t>
  </si>
  <si>
    <t>Aldo Sosa Diaz</t>
  </si>
  <si>
    <t>Eubler Hernando Nuñez</t>
  </si>
  <si>
    <t>DIAS</t>
  </si>
  <si>
    <r>
      <t xml:space="preserve">Solo digite los datos en las </t>
    </r>
    <r>
      <rPr>
        <b/>
        <i/>
        <u/>
        <sz val="11"/>
        <color rgb="FFFFFF05"/>
        <rFont val="Aharoni"/>
        <charset val="177"/>
      </rPr>
      <t>celdas amarillas</t>
    </r>
    <r>
      <rPr>
        <b/>
        <i/>
        <u/>
        <sz val="11"/>
        <color rgb="FFFFFF05"/>
        <rFont val="Calibri"/>
        <family val="2"/>
        <scheme val="minor"/>
      </rPr>
      <t xml:space="preserve"> </t>
    </r>
    <r>
      <rPr>
        <b/>
        <i/>
        <u/>
        <sz val="11"/>
        <color theme="1"/>
        <rFont val="Calibri"/>
        <family val="2"/>
        <scheme val="minor"/>
      </rPr>
      <t>lo demás déjelo como se encuentra no reforme nada gracias!</t>
    </r>
  </si>
  <si>
    <r>
      <t xml:space="preserve">Las ventanas que aparezcan después de pulsar cualquier opción por favor confirmar </t>
    </r>
    <r>
      <rPr>
        <b/>
        <i/>
        <u/>
        <sz val="11"/>
        <color theme="1"/>
        <rFont val="Calibri"/>
        <family val="2"/>
        <scheme val="minor"/>
      </rPr>
      <t>"SI" EN TODAS LAS OPCIONES.</t>
    </r>
  </si>
  <si>
    <r>
      <rPr>
        <b/>
        <i/>
        <u/>
        <sz val="11"/>
        <color theme="1"/>
        <rFont val="Calibri"/>
        <family val="2"/>
        <scheme val="minor"/>
      </rPr>
      <t>OJO:</t>
    </r>
    <r>
      <rPr>
        <b/>
        <sz val="11"/>
        <color theme="1"/>
        <rFont val="Calibri"/>
        <family val="2"/>
        <scheme val="minor"/>
      </rPr>
      <t xml:space="preserve">   </t>
    </r>
  </si>
  <si>
    <t xml:space="preserve">Inicio </t>
  </si>
  <si>
    <t xml:space="preserve">Final </t>
  </si>
  <si>
    <t>Día Reporte</t>
  </si>
  <si>
    <t>Trip del turbo generador por pérdida de llama durante transferencia de unidad de filtro LOF-1 al LOF-2.</t>
  </si>
  <si>
    <t>Trip del turbo generador por activación de alarma “Gas fuel pressure low”, durante la transferencia de combustible a Diesel el sistema no entra en servicio.</t>
  </si>
  <si>
    <t>V</t>
  </si>
  <si>
    <t>ESTADISTICOS DE ENERGIA 2022</t>
  </si>
  <si>
    <t>Radio</t>
  </si>
  <si>
    <t>EXT.</t>
  </si>
  <si>
    <t xml:space="preserve">US-GT-8002 – 01:10 Se saca de sincronismo turbogenerador, para dar parada normal y realizar trabajos correctivos de la turbina. (Corrección fugas de gases de escape a través de la pared térmica, cambio del sistema de amortiguación de los Blower enclosure del sistema de enfriamiento de los compartimientos de la máquina, revisión trampa filter mist air/oil; mantenimiento servo diesel 65FP, revisión cheque aire de atomización, desmontaje de válvula de retro soplado para revisión en taller, revisión circuito de iluminación del Gear Box).
01:37 Se da comando de parada normal, la secuencia es normal. 01:52 para, cero RPM. </t>
  </si>
  <si>
    <t>US-GT-8002. 13:12 Se abre el interruptor del generador (52-15) por potencia inversa, ocasionado por la salida de planta de gas y del compresor de gas ácido KM-2501. al salir el generador sale el compresor DEMAG por activación del sistema de deslastre de carga. 13:22 Se sincroniza nuevamente el generador al sistema.</t>
  </si>
  <si>
    <t xml:space="preserve">GT-8002 03:05 Se baja carga a 1 MW y a 1 MVar. 03:08 Se saca de sincronismo Generador, se verifica normalidad en sistema de generación con el US-GT-8001. 03:18 Se da parada normal a la turbina. 03:33 Turbina alcanza velocidad cero y entra en secuencia de cooldown. Se pone en manual ventiladores US-EMM-8021A-B-E-F de la Gear box Principal y de la pared termica.
US-GT-8002: se revisó lazo de control (sensor de vibración M70-39V-6 Vibrat Sensor Gearbox High Speed Trb End) evidenciando cable suelto del terminal de conexión en bornera en JB#5I. Se cambia cableado del sensor y se realiza prueba de lazo simulando alarma y disparo desde campo, la señal llega a MARK Vie en los valores configurados (5,2 mm/s y TRIP 7,6 mm/s). Se corrige condición quedando en estado funcional para arranque del Turbogenerador. Adicional se cambian terminales de las señales de temperatura de los cojinetes y drenaje de aceite, los valores se encuentran normales. 13:46 se da comando de arranque al US-GT-8002 alcanzando velocidad nominal con normalidad. 14:08 se sincroniza generador al sistema con 2 MW con variables eléctricas y mecánicas normales. </t>
  </si>
  <si>
    <t xml:space="preserve"> GT-8001</t>
  </si>
  <si>
    <t xml:space="preserve">Se presenta salida de línea por baja presión del sistema de aceite hidráulico (señal L63hg2I gas fuel Hidraulic trip pressure low).
US-GT-8001 - 04:15 Se presenta salida de línea por baja presión del sistema de aceite hidráulico (señal L63hg2I gas fuel Hidráulica trip pressure low). Se realiza los aislamientos correspondientes y se desmonta bomba hidráulica identificando falla en acople. Se realiza cambio de acople, se instala bomba y se levanta aislamientos. 15:33 Se da secuencia de arranque en crank, para ajuste de la presión hidráulica y recorrido de Servo de IGV(los IGV quedaron en 55° de apertura cuando perdió el aceite hidráulico, inhibiendo el arranque de la turbina). 16:35 Se da secuencia de arranque en Automático y con secuencia completa se procede a verifica presión de línea del sistema de aceite hidráulico a 250psi(el ajuste se realizo primero en la VPR3 compensador de presión a 1350 psi y la VR21 válvula de alivio, puso los 250 psi en la linea). 17:12 Se sincroniza en automático y se pone carga de forma controlada, sin novedad. </t>
  </si>
  <si>
    <t>GCV</t>
  </si>
  <si>
    <t>SRV</t>
  </si>
  <si>
    <t>Posicion srv</t>
  </si>
  <si>
    <t xml:space="preserve"> S-E UNIT               US-MCC-8009   MWH </t>
  </si>
  <si>
    <t>CECOS Y GORDOS 2022</t>
  </si>
  <si>
    <t>Alexandra Arenas</t>
  </si>
  <si>
    <t>US-G-8002   HOROMETRO DIESEL</t>
  </si>
  <si>
    <t>US-G-8001      HOROMETRO DIESEL</t>
  </si>
  <si>
    <t>US-G-8006   HOROMETRO</t>
  </si>
  <si>
    <t>Holman Morales</t>
  </si>
  <si>
    <t xml:space="preserve">Se saca de servicio para realizar inspección boroscópica </t>
  </si>
  <si>
    <t xml:space="preserve">US-G-8005 </t>
  </si>
  <si>
    <t xml:space="preserve">US-G-8006 </t>
  </si>
  <si>
    <t>CONSUMOS DE ENERGIA</t>
  </si>
  <si>
    <t>DIESEL</t>
  </si>
  <si>
    <t xml:space="preserve">US-GT 8001  </t>
  </si>
  <si>
    <t>US-GT 8002</t>
  </si>
  <si>
    <t>(Diesel emergencia principal.)</t>
  </si>
  <si>
    <t>(Diesel emergencia planta de gas)</t>
  </si>
  <si>
    <t>GENERACION CPF</t>
  </si>
  <si>
    <t>CONSUMO DE GAS</t>
  </si>
  <si>
    <t>CONSUMO DE DIESEL</t>
  </si>
  <si>
    <t>TIEMPO CON GAS</t>
  </si>
  <si>
    <t>TIEMPO CON DIESEL</t>
  </si>
  <si>
    <t>G-1 Reactiva Dia</t>
  </si>
  <si>
    <t>G-2 Reactiva Dia</t>
  </si>
  <si>
    <t>G-5 Reactiva dia</t>
  </si>
  <si>
    <t xml:space="preserve">G-6 Reactiva Mes </t>
  </si>
  <si>
    <t xml:space="preserve">Demag 2 </t>
  </si>
  <si>
    <t>Acido</t>
  </si>
  <si>
    <t>G-1 +G2+G5+G6 Reactiva Dia</t>
  </si>
  <si>
    <t xml:space="preserve">Produc Crudo CUP  Dia   </t>
  </si>
  <si>
    <t xml:space="preserve">Produc  Gas Cup       Dia   </t>
  </si>
  <si>
    <t xml:space="preserve">Produc Agua Cup Dia   </t>
  </si>
  <si>
    <t>MCC-8007</t>
  </si>
  <si>
    <t xml:space="preserve">SWG-8035 </t>
  </si>
  <si>
    <t>SWG-8033 B</t>
  </si>
  <si>
    <t>CONDENSADOS (8033B + 50% DE PG Y JT)</t>
  </si>
  <si>
    <t>PLANTA GAS Y JT</t>
  </si>
  <si>
    <t xml:space="preserve">PLANTA GAS Y JT CONSUMO </t>
  </si>
  <si>
    <t>GAS VENTAS CONSUMO</t>
  </si>
  <si>
    <t>LLENADERO Y GLP ( 8035 + 40% DE GV)</t>
  </si>
  <si>
    <t xml:space="preserve">PLANTA GAS Y JT </t>
  </si>
  <si>
    <t xml:space="preserve">PLANTA GAS Y JT
CONSUMO </t>
  </si>
  <si>
    <t xml:space="preserve">Productos Blancos  Cup Dia   </t>
  </si>
  <si>
    <t>Mwh/Dia</t>
  </si>
  <si>
    <t xml:space="preserve"> Consumo        mmscfd</t>
  </si>
  <si>
    <t>Diesel         Gls Dia</t>
  </si>
  <si>
    <t>Gen gas Mwh/Dia</t>
  </si>
  <si>
    <t>Gen diesel Mwh/Dia</t>
  </si>
  <si>
    <t>Gene Total Mwh/Dia</t>
  </si>
  <si>
    <t>mmscfd</t>
  </si>
  <si>
    <t xml:space="preserve">Galones </t>
  </si>
  <si>
    <t xml:space="preserve">Horas </t>
  </si>
  <si>
    <t>Horas  Operación</t>
  </si>
  <si>
    <t>BEPD</t>
  </si>
  <si>
    <t>Saul Jimènez Rojas</t>
  </si>
  <si>
    <t>US-GT-8001 – 10:49 Se dispara la unidad por la señal “G. l45ft Fire and Gas System – Fire Trip”, con descarga de las 17 botellas del sistema de CO2. En panel auxiliar del PAC-8000, se evidencia activación en lazo de break Glass “BG-2/4” y activación de la descarga de CO2.</t>
  </si>
  <si>
    <t>US-GT-8001 – 13:06 Se presenta disparo en la unidad por la pérdida de los sistemas auxiliares, señal “G1. L94X Normal Shutdown”; la perdida de los sistemas auxiliares, se presenta por falla en el motor US-EMM-8018B, Fin Fan cooler; que entra en falla y abre el interruptor Q2, alimentador del US-EMM-8003. Al momento del evento la unidad tenía 6.1 MW y operaba en modo DROOP.
13:56 Se solicita al ingeniero de máquinas rotativas autorización de ECP para sacar de servicio el sistema de Racheo; esto con el fin de evitar rayar los cojinetes del generador, por falta de lubricación, debido a que las bombas Jacking oil se encuentran fuera de servicio sin energía.14:15 se pone nuevamente en servicio el sistema de racheo, una vez se restablece el sistema.
Aviso: 200278365 Falla de motor US-EMM-8018B</t>
  </si>
  <si>
    <t>GEN-PERIM-3</t>
  </si>
  <si>
    <t>S/E 69  "A"   (Iny. Agua P. Gas)</t>
  </si>
  <si>
    <t>S/E 69  "B"  (Iny. Agua P. Gas)</t>
  </si>
  <si>
    <t xml:space="preserve">Diesel </t>
  </si>
  <si>
    <t xml:space="preserve">GENERACION
TOTAL MW/h  </t>
  </si>
  <si>
    <t>SoEnergy</t>
  </si>
  <si>
    <t>Operador Generación Día</t>
  </si>
  <si>
    <t>Operador Generación Noche</t>
  </si>
  <si>
    <t>HORAS OPER  MES</t>
  </si>
  <si>
    <t xml:space="preserve">Fecha: </t>
  </si>
  <si>
    <t>Operador que genera el reporte</t>
  </si>
  <si>
    <t xml:space="preserve">                    STORK TECHNICAL SERVICES </t>
  </si>
  <si>
    <t xml:space="preserve">                      TOTAL GENERACION CUPIAGUA DESDE SU INICIO</t>
  </si>
  <si>
    <t xml:space="preserve">*    Operación de motores y cargas de Planta de Crudo, PG y PEC.
*    Oficinas, talleres, casino, hotel, campamentos, base militar y edificios no industriales.
*    Alumbrado exterior y alumbrado perimetral de la planta.  </t>
  </si>
  <si>
    <t>Min</t>
  </si>
  <si>
    <t xml:space="preserve">Max </t>
  </si>
  <si>
    <t xml:space="preserve">Suma </t>
  </si>
  <si>
    <t xml:space="preserve">Prom </t>
  </si>
  <si>
    <t>CURVA DE POTENCIA ACTIVA EN KW</t>
  </si>
  <si>
    <t>MW/DIA</t>
  </si>
  <si>
    <t>TOTAL MW</t>
  </si>
  <si>
    <t>SE CRUDO OCENSA</t>
  </si>
  <si>
    <t>SE REINYECCION</t>
  </si>
  <si>
    <t>SE TREN 2</t>
  </si>
  <si>
    <t>SE PRINCIPAL</t>
  </si>
  <si>
    <t>SE PLANTA DE GAS Y JT</t>
  </si>
  <si>
    <t>SE GAS VENTAS</t>
  </si>
  <si>
    <t>SE TREN 1</t>
  </si>
  <si>
    <t>Jose Perez Agudelo</t>
  </si>
  <si>
    <t>Energía Auto generada</t>
  </si>
  <si>
    <t>PR10910</t>
  </si>
  <si>
    <t>Kg/cm2</t>
  </si>
  <si>
    <t xml:space="preserve"> Sale de linea por señal L5E_TCEA parada emergencia en campo 5ESD-3</t>
  </si>
  <si>
    <t>13:44 Cuando se cierra el interruptor del US-TR-8044, se desencadena TRIP por Diferencial de Corriente (protección eléctrica 87), en los Turbogeneradores GT-8001 y GT-8002 quedando en condición de BLACKOUT el CPF Cupiagua.</t>
  </si>
  <si>
    <t>TOTAL DIESEL  POR GENERADORES 2023</t>
  </si>
  <si>
    <t>ENERGIA  COMBUSTIBLE  Y  HORAS  OPERACION  2023</t>
  </si>
  <si>
    <t>ENERGIA Y  COMBUSTIBLE  POR PROCESOS  2023</t>
  </si>
  <si>
    <t>Juan fernando Cadavid</t>
  </si>
  <si>
    <t>Profesional 2 de Mantenimiento</t>
  </si>
  <si>
    <t xml:space="preserve"> Mvar</t>
  </si>
  <si>
    <t>Se presenta trip en el US-GT-8002 por activación de la proteccion del interruptor Q4 Alimentador del US-MCC-8004 (auxiliares del GT-8002).</t>
  </si>
  <si>
    <t>Wilman Morales Martinez</t>
  </si>
  <si>
    <t>Se realiza parada controlada del turbogenerador y se inicia proceso de enfriamiento para entregarlo el 17 de Abril a las 18:0 Horas, al equipo de mantenimientopara inspección boroscopica + trabajos por oportunidad con una duración de 112 Horas. Finalizando el 21 de Abril a las 10:00 AM</t>
  </si>
  <si>
    <t>SE Principal Generacion US-UPS-8002. 09:05 En la maniobra de aislamiento de la UPS, para entregar a mantenimiento anual, se pierde las cargas criticas asociadas a la UPS8001 y UPS8002, ocasionando Blackout de generación, por salida de los dos turbogeneradores.</t>
  </si>
  <si>
    <t>US-GT-8001 – 02:39 Se dispara la unidad por la señal “G. l45ft Fire and Gas System – Fire Trip”, con descarga de las 17 botellas del sistema de CO2. En panel auxiliar del PAC-8000, se evidencia activación en lazo de break Glass “BG-2/4” y activación de la descarga de CO2.</t>
  </si>
  <si>
    <t>Jhon Fredy Jiménez B.</t>
  </si>
  <si>
    <t>FSG</t>
  </si>
  <si>
    <t>FSR</t>
  </si>
  <si>
    <t>FDBCK Gas Control Valve</t>
  </si>
  <si>
    <t>FUEL STROKE REFERENCE</t>
  </si>
  <si>
    <t xml:space="preserve">STORK
REPORTE ELECTRICO DIARIO DE
NOVEDADES EN LA GDP   CUSIANA - CUPIAGUA </t>
  </si>
  <si>
    <t>CONDENSADOS 8033B</t>
  </si>
  <si>
    <t>G-7104</t>
  </si>
  <si>
    <t>EXTENSION</t>
  </si>
  <si>
    <t xml:space="preserve">             CONSUMO OCENSA  (MW/Dia)  CPF CUPIAGUA </t>
  </si>
  <si>
    <t xml:space="preserve"> CUSIANA
</t>
  </si>
  <si>
    <t xml:space="preserve"> CUPIAGUA 
</t>
  </si>
  <si>
    <t>STORK
REPORTE ELECTRICO DIARIO DE NOVEDADES EN LA GDP                                                                          
CUSIANA - CUPIAGUA</t>
  </si>
  <si>
    <t xml:space="preserve">Fuera de línea por activación de señal L5E_TCEA. Se encuentra en falla el L5e3 y se realiza el cambio, igual que los L5e6 y L5e8 del compartimiento Gear box, por presencia de agua. </t>
  </si>
  <si>
    <t>PARA OCENSA MES Y OTROS</t>
  </si>
  <si>
    <t>MODO DE 
OPERACIÓN</t>
  </si>
  <si>
    <t>US-GT-8001 – 12:00 Se inicia proceso de parada del turbogenerador para entregar a mantenimiento; ruta de inspección HGPI; 12:04 Se saca de sincronismo. 12:22 Se da parada normal. 12:37 Alcanza la velocidad cero. Queda en secuencia de enfriamiento normal. Una vez para el eje, fue necesario desforzar(False F) la señal l33cse, para que iniciara secuencia normal de cooldown.</t>
  </si>
  <si>
    <t>Se realiza ronda operativa diaria a equipos subestación 10.  Sin novedad.</t>
  </si>
  <si>
    <t>Se realiza ronda operativa diaria de UPS y Cargadores Subestaciones. Sin novedad.</t>
  </si>
  <si>
    <t>Se realiza ronda operativa diaria a Turbogeneradores.  Sin novedad.</t>
  </si>
  <si>
    <t>Se realiza registro de contadores, se realiza reporte de consumos de energía y se envía a destinatarios.</t>
  </si>
  <si>
    <t>23:45 Se inicia proceso de parada del turbogenerador para correccion de Fugas de aceite en GEAR BOX y Compartimiento Turbina. 23:50 Se saca de sincronismo. 00:01 Se da parada normal. 00:16 Alcanza la velocidad cero. Queda en secuencia de enfriamiento normal cooldown.</t>
  </si>
  <si>
    <t xml:space="preserve">SE Separación de Crudo Tren 1. Continúa trabajos de tendido de bandejas porta cable por parte de SIC para cableado del proyecto de reducción de presión Slug Catcher. </t>
  </si>
  <si>
    <t xml:space="preserve">SE Separación de Crudo Tren 1-2. Continúa trabajos de tendido de bandejas porta cable por parte de INDEQ para cableado del proyecto de reducción de presión Slug Catcher. </t>
  </si>
  <si>
    <t xml:space="preserve">SE Separación de Crudo Tren1 MP-TR-8018 - Se aísla transformador para continuar corrección de hallazgos RETIE(identificación por código de colores en cables de acometidas), en tablero MP-DP-1002. Terminada la actividad se levanta aislamiento y se deja disponible. </t>
  </si>
  <si>
    <t>OCENSA:  01:38 En servicio exportación de crudo hacia Cusiana con Bomba booster PM-5001A y Bomba transfer PM-5002A. 08:12 Sale de línea.</t>
  </si>
  <si>
    <t>US-G-8005 Generador de Emergencia Planta Crudo. Se realiza mesa técnica para ruta de inspección y verificación a circuito de arranque, lazo de control de velocidad y sincronismo del generador de emergencia US-G-8005. Se aisla generador para cierre de acciones por parte de Electricidad e Instrumentación. NOTA: Se evidencia en falla tarjeta 2301A del sistema de control del gobernador.</t>
  </si>
  <si>
    <t>Cuarto Eléctrico Taller Mecánica Se aisla para instalación y conexionado de tablero auxiliar T14C del Tablero T14 circuito 70-72.</t>
  </si>
  <si>
    <t>EF-GEN-PERIM-003 Personal de mecanica realiza mantenimiento general, cambio de aceite y refrigerante, cambio de filtros de combustible, aceite e instalación de filtro refrigerante Cat-9N-3368 a motor del generador perimetrales.</t>
  </si>
  <si>
    <t xml:space="preserve">Llenadero - CBM realiza Inspeccion termográfica a las UPS-8601A-B, UPS-8602, Bancos de Baterias y Tableros Asociados. Pendiente reporte. </t>
  </si>
  <si>
    <t>SE Principal Gas K-6510B Compresor Aire de Instrumentos Planta Gas. Se aisla para mantenimiento trimestral por parte de mecánica. Terminado el trabajo, se levanta aislamiento y queda disponible.</t>
  </si>
  <si>
    <t>HOTEL - Cuarto Maquinas Tablero BL-9005. Se aisla circuito para mantenimiento calentadores de agua. SAES-21138. Terminado el trabajo, se levanta aislamiento y quedan en operación normal. Trabajo realizado por CTRM.</t>
  </si>
  <si>
    <t>CASINO - Cuarto Maquinas Tablero BL-DPN-9403 Cto 11. Se aisla circuito para mantenimiento calentadores de agua. SAES-21138. Terminado el trabajo, se levanta aislamiento y quedan en operación normal.  Trabajo realizado por CTRM.</t>
  </si>
  <si>
    <t>GTB-80002:  En prueba de máxima carga, al incrementar carga presenta oscilación del 96CD.   13:49 Se saca de sincronismo para revisión del transductor, se encuentra obstrucción de la tubería, 15:30  se sincroniza nuevamente, no se puede continuar la prueba de Carga Base, por baja demanda de energía.</t>
  </si>
  <si>
    <t>GTB-80001:  21:41 Presenta disparo por señal L49BJ" Bearing over temperature trip BN".    Máquina queda fuera de línea y en virado, pendiente revisión de RTDs en el día.</t>
  </si>
  <si>
    <t>OCENSA:  04:10 en servicio tercera unidad.   08:24 Fuera de servicio la tercera unidad.  08:45 En servicio la tercera unidad.  09:08 Fuera de servicio la tercera unidad.  09:19 Fuera de servicio la segunda unidad. 13:51 Fuera de servicio la primera unidad.  13:55 En servicio la primera unidad.  13:57 En servicio la segunda unidad.  15:45 Fuera de servicio la segunda unidad.  15:50 Fuera de servicio la primera unidad.    18:50 En servicio la primera unidad.  21:04 en servicio segunda y tercera unidad.   21:18 fuera de servicio las tres unidades por parada en Porvenir.</t>
  </si>
  <si>
    <t>TR-80001:  Termina mantenimiento a transformador, interruptores y protecciones eléctricas. Se realiza transferencia de cargas y se normaliza. Queda en servicio normal.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</si>
</sst>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6">
    <numFmt numFmtId="43" formatCode="_-* #,##0.00_-;\-* #,##0.00_-;_-* &quot;-&quot;??_-;_-@_-"/>
    <numFmt numFmtId="164" formatCode="_(* #,##0.00_);_(* \(#,##0.00\);_(* &quot;-&quot;??_);_(@_)"/>
    <numFmt numFmtId="165" formatCode="_(* #,##0_);_(* \(#,##0\);_(* &quot;-&quot;_);_(@_)"/>
    <numFmt numFmtId="166" formatCode="_(&quot;$&quot;* #,##0_);_(&quot;$&quot;* \(#,##0\);_(&quot;$&quot;* &quot;-&quot;_);_(@_)"/>
    <numFmt numFmtId="167" formatCode="_-* #,##0\ _€_-;\-* #,##0\ _€_-;_-* &quot;-&quot;\ _€_-;_-@_-"/>
    <numFmt numFmtId="168" formatCode="_-* #,##0.00\ &quot;€&quot;_-;\-* #,##0.00\ &quot;€&quot;_-;_-* &quot;-&quot;??\ &quot;€&quot;_-;_-@_-"/>
    <numFmt numFmtId="169" formatCode="_-* #,##0.00\ _€_-;\-* #,##0.00\ _€_-;_-* &quot;-&quot;??\ _€_-;_-@_-"/>
    <numFmt numFmtId="170" formatCode="&quot;$&quot;#,##0_);[Red]\(&quot;$&quot;#,##0\)"/>
    <numFmt numFmtId="171" formatCode="_(&quot;$&quot;* #,##0.00_);_(&quot;$&quot;* \(#,##0.00\);_(&quot;$&quot;* &quot;-&quot;??_);_(@_)"/>
    <numFmt numFmtId="172" formatCode="_-* #,##0.00\ _p_t_a_-;\-* #,##0.00\ _p_t_a_-;_-* &quot;-&quot;??\ _p_t_a_-;_-@_-"/>
    <numFmt numFmtId="173" formatCode="0.000_)"/>
    <numFmt numFmtId="174" formatCode="0.00_)"/>
    <numFmt numFmtId="175" formatCode="0.0"/>
    <numFmt numFmtId="176" formatCode="0.0000"/>
    <numFmt numFmtId="177" formatCode="mmm\-dd\-yy"/>
    <numFmt numFmtId="178" formatCode="_(* #,##0_);_(* \(#,##0\);_(* &quot;-&quot;??_);_(@_)"/>
    <numFmt numFmtId="179" formatCode="0.000000"/>
    <numFmt numFmtId="180" formatCode="0.0000000"/>
    <numFmt numFmtId="181" formatCode="_(* #,##0.0_);_(* \(#,##0.0\);_(* &quot;-&quot;??_);_(@_)"/>
    <numFmt numFmtId="182" formatCode="dd"/>
    <numFmt numFmtId="183" formatCode="#,##0.0"/>
    <numFmt numFmtId="184" formatCode="0.000"/>
    <numFmt numFmtId="185" formatCode="mmmm/dd/yyyy"/>
    <numFmt numFmtId="186" formatCode="0.000000000"/>
    <numFmt numFmtId="187" formatCode="[$-F800]dddd\,\ mmmm\ dd\,\ yyyy"/>
    <numFmt numFmtId="188" formatCode="#,##0.00000"/>
    <numFmt numFmtId="189" formatCode="mmmm"/>
    <numFmt numFmtId="190" formatCode="dd\-mm\-yy;@"/>
    <numFmt numFmtId="191" formatCode="mmm"/>
    <numFmt numFmtId="192" formatCode="0.000%"/>
    <numFmt numFmtId="193" formatCode="h:mm:ss;@"/>
    <numFmt numFmtId="194" formatCode="dd/mm/yyyy;@"/>
    <numFmt numFmtId="195" formatCode="[$-240A]d&quot; de &quot;mmmm&quot; de &quot;yyyy;@"/>
    <numFmt numFmtId="196" formatCode="\$#,##0\ ;\(\$#,##0\)"/>
    <numFmt numFmtId="197" formatCode="_ [$€]\ * #,##0.00_ ;_ [$€]\ * \-#,##0.00_ ;_ [$€]\ * &quot;-&quot;??_ ;_ @_ "/>
    <numFmt numFmtId="198" formatCode="_ &quot;$&quot;\ * #,##0.00_ ;_ &quot;$&quot;\ * \-#,##0.00_ ;_ &quot;$&quot;\ * &quot;-&quot;??_ ;_ @_ "/>
    <numFmt numFmtId="199" formatCode="_(&quot;$&quot;* #.##0.00_);_(&quot;$&quot;* \(#.##0.00\);_(&quot;$&quot;* &quot;-&quot;??_);_(@_)"/>
    <numFmt numFmtId="200" formatCode="hh:mm:ss;@"/>
    <numFmt numFmtId="201" formatCode="dd/mm/yy;@"/>
    <numFmt numFmtId="202" formatCode="_(&quot;$&quot;\ * #,##0_);_(&quot;$&quot;\ * \(#,##0\);_(&quot;$&quot;\ * &quot;-&quot;??_);_(@_)"/>
    <numFmt numFmtId="203" formatCode="0.0%"/>
    <numFmt numFmtId="204" formatCode="_(&quot;$&quot;\ * #,##0.0_);_(&quot;$&quot;\ * \(#,##0.0\);_(&quot;$&quot;\ * &quot;-&quot;??_);_(@_)"/>
    <numFmt numFmtId="205" formatCode="[$$-1009]#,##0.00;\-[$$-1009]#,##0.00"/>
    <numFmt numFmtId="206" formatCode="[$$-1009]#,##0;\-[$$-1009]#,##0"/>
    <numFmt numFmtId="207" formatCode="#,##0.0_);\(#,##0.0\)"/>
    <numFmt numFmtId="208" formatCode="#,##0.00;[Red]#,##0.00"/>
    <numFmt numFmtId="209" formatCode="yyyy"/>
    <numFmt numFmtId="210" formatCode="_ [$€-2]\ * #,##0.00_ ;_ [$€-2]\ * \-#,##0.00_ ;_ [$€-2]\ * &quot;-&quot;??_ "/>
    <numFmt numFmtId="211" formatCode="#,##0.00000000000000000000000000000000000000000000000000_);\(#,##0.00000000000000000000000000000000000000000000000000\)"/>
    <numFmt numFmtId="212" formatCode="&quot;ÇÑ¹·Õè&quot;\ \Ç\ \´\´\´\´\ \»\»\»\»"/>
    <numFmt numFmtId="213" formatCode="d\ \´\´\´\ \b\b"/>
    <numFmt numFmtId="214" formatCode="&quot;$&quot;#.;\(&quot;$&quot;#,\)"/>
    <numFmt numFmtId="215" formatCode="_ * #,##0.00_ ;_ * \-#,##0.00_ ;_ * &quot;-&quot;??_ ;_ @_ "/>
    <numFmt numFmtId="216" formatCode="00\3"/>
    <numFmt numFmtId="217" formatCode="_-* #,##0\ &quot;F&quot;_-;\-* #,##0\ &quot;F&quot;_-;_-* &quot;-&quot;\ &quot;F&quot;_-;_-@_-"/>
    <numFmt numFmtId="218" formatCode="&quot;$&quot;#,##0.00;\(&quot;$&quot;#,##0.00\)"/>
    <numFmt numFmtId="219" formatCode="&quot;$&quot;#,##0\ ;\(&quot;$&quot;#,##0\)"/>
    <numFmt numFmtId="220" formatCode="_ [$€]* #,##0.00_ ;_ [$€]* \-#,##0.00_ ;_ [$€]* &quot;-&quot;??_ ;_ @_ "/>
    <numFmt numFmtId="221" formatCode="_([$€-2]* #,##0.00_);_([$€-2]* \(#,##0.00\);_([$€-2]* &quot;-&quot;??_)"/>
    <numFmt numFmtId="222" formatCode="_([$€]* #,##0.00_);_([$€]* \(#,##0.00\);_([$€]* &quot;-&quot;??_);_(@_)"/>
    <numFmt numFmtId="223" formatCode="_-[$€-2]* #,##0.00_-;\-[$€-2]* #,##0.00_-;_-[$€-2]* &quot;-&quot;??_-"/>
    <numFmt numFmtId="224" formatCode="0.0E+00;\㒜"/>
    <numFmt numFmtId="225" formatCode="#,##0.00\ &quot;pta&quot;;\-#,##0.00\ &quot;pta&quot;"/>
    <numFmt numFmtId="226" formatCode="&quot;£&quot;#,##0;\-&quot;£&quot;#,##0"/>
    <numFmt numFmtId="227" formatCode="_-&quot;$&quot;* #,##0.00_-;_-&quot;$&quot;* #,##0.00\-;_-&quot;$&quot;* &quot;-&quot;??_-;_-@_-"/>
    <numFmt numFmtId="228" formatCode="_-* #,##0\ _p_t_a_-;\-* #,##0\ _p_t_a_-;_-* &quot;-&quot;\ _p_t_a_-;_-@_-"/>
    <numFmt numFmtId="229" formatCode="_-* #,##0_-;_-* #,##0\-;_-* &quot;-&quot;_-;_-@_-"/>
    <numFmt numFmtId="230" formatCode="#,###.00"/>
    <numFmt numFmtId="231" formatCode="_-&quot;$&quot;* #,##0_-;\-&quot;$&quot;* #,##0_-;_-&quot;$&quot;* &quot;-&quot;_-;_-@_-"/>
    <numFmt numFmtId="232" formatCode="#,###"/>
    <numFmt numFmtId="233" formatCode="00000"/>
    <numFmt numFmtId="234" formatCode="&quot;$&quot;\ \ \ \ #,##0.00_);[Red]\(&quot;$&quot;#,##0.00\)"/>
    <numFmt numFmtId="235" formatCode="_-* #,##0\ _F_B_-;\-* #,##0\ _F_B_-;_-* &quot;-&quot;\ _F_B_-;_-@_-"/>
    <numFmt numFmtId="236" formatCode="[$€]\ #,##0.00"/>
    <numFmt numFmtId="237" formatCode="#,##0.00;\(#,##0.00\)"/>
    <numFmt numFmtId="238" formatCode="#,###,###,##0_);\(#,###,###,##0\)_)"/>
    <numFmt numFmtId="239" formatCode="\$#,##0.00\ ;\(\$#,##0.00\)"/>
    <numFmt numFmtId="240" formatCode="#,##0.00\ &quot;$&quot;;\-#,##0.00\ &quot;$&quot;"/>
    <numFmt numFmtId="241" formatCode="[$-F400]h:mm:ss\ AM/PM"/>
    <numFmt numFmtId="242" formatCode="mm/dd/yyyy"/>
    <numFmt numFmtId="243" formatCode="_(&quot;C$&quot;* #,##0.00_);_(&quot;C$&quot;* \(#,##0.00\);_(&quot;C$&quot;* &quot;-&quot;??_);_(@_)"/>
    <numFmt numFmtId="244" formatCode="&quot;Rp&quot;#,##0_);\(&quot;Rp&quot;#,##0\)"/>
    <numFmt numFmtId="245" formatCode="_-&quot;$&quot;\ * #,##0.0_-;\-&quot;$&quot;\ * #,##0.0_-;_-&quot;$&quot;\ * &quot;-&quot;_-;_-@_-"/>
    <numFmt numFmtId="246" formatCode="[$-409]dd\-mmm\-yy;@"/>
    <numFmt numFmtId="247" formatCode="0;[Red]0"/>
    <numFmt numFmtId="248" formatCode="0E+00"/>
  </numFmts>
  <fonts count="287">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8"/>
      <color indexed="18"/>
      <name val="Tahoma"/>
      <family val="2"/>
    </font>
    <font>
      <b/>
      <sz val="11"/>
      <color indexed="8"/>
      <name val="Arial"/>
      <family val="2"/>
    </font>
    <font>
      <sz val="11"/>
      <color rgb="FFD10527"/>
      <name val="Calibri"/>
      <family val="2"/>
      <scheme val="minor"/>
    </font>
    <font>
      <b/>
      <sz val="10"/>
      <color indexed="8"/>
      <name val="Arial"/>
      <family val="2"/>
    </font>
    <font>
      <b/>
      <sz val="11"/>
      <color rgb="FFD10527"/>
      <name val="Calibri"/>
      <family val="2"/>
      <scheme val="minor"/>
    </font>
    <font>
      <sz val="11"/>
      <color indexed="8"/>
      <name val="Arial"/>
      <family val="2"/>
    </font>
    <font>
      <b/>
      <sz val="14"/>
      <color indexed="12"/>
      <name val="Arial"/>
      <family val="2"/>
    </font>
    <font>
      <b/>
      <sz val="11"/>
      <color indexed="12"/>
      <name val="Arial"/>
      <family val="2"/>
    </font>
    <font>
      <b/>
      <sz val="10"/>
      <color indexed="12"/>
      <name val="Arial"/>
      <family val="2"/>
    </font>
    <font>
      <b/>
      <sz val="10"/>
      <color rgb="FF0033CC"/>
      <name val="Arial"/>
      <family val="2"/>
    </font>
    <font>
      <sz val="10"/>
      <name val="Times New Roman"/>
      <family val="1"/>
    </font>
    <font>
      <sz val="11"/>
      <name val="Arial"/>
      <family val="2"/>
    </font>
    <font>
      <b/>
      <sz val="11"/>
      <color rgb="FF0033CC"/>
      <name val="Arial"/>
      <family val="2"/>
    </font>
    <font>
      <b/>
      <sz val="11"/>
      <name val="Arial"/>
      <family val="2"/>
    </font>
    <font>
      <sz val="11"/>
      <name val="Tms Rmn"/>
    </font>
    <font>
      <sz val="8"/>
      <name val="Helv"/>
    </font>
    <font>
      <b/>
      <i/>
      <sz val="16"/>
      <name val="Helv"/>
    </font>
    <font>
      <b/>
      <sz val="10"/>
      <name val="Arial"/>
      <family val="2"/>
    </font>
    <font>
      <b/>
      <u/>
      <sz val="10"/>
      <color rgb="FF0070C0"/>
      <name val="Arial"/>
      <family val="2"/>
    </font>
    <font>
      <b/>
      <sz val="10"/>
      <name val="Geneva"/>
    </font>
    <font>
      <b/>
      <sz val="8"/>
      <color indexed="81"/>
      <name val="Tahoma"/>
      <family val="2"/>
    </font>
    <font>
      <sz val="8"/>
      <color indexed="81"/>
      <name val="Tahoma"/>
      <family val="2"/>
    </font>
    <font>
      <b/>
      <sz val="16"/>
      <color indexed="18"/>
      <name val="Tahoma"/>
      <family val="2"/>
    </font>
    <font>
      <b/>
      <sz val="12"/>
      <color indexed="12"/>
      <name val="Arial"/>
      <family val="2"/>
    </font>
    <font>
      <b/>
      <i/>
      <sz val="10"/>
      <color indexed="12"/>
      <name val="Arial"/>
      <family val="2"/>
    </font>
    <font>
      <b/>
      <sz val="11"/>
      <name val="Arial "/>
    </font>
    <font>
      <b/>
      <sz val="12"/>
      <color theme="1"/>
      <name val="Arial"/>
      <family val="2"/>
    </font>
    <font>
      <b/>
      <sz val="12"/>
      <color indexed="60"/>
      <name val="Arial"/>
      <family val="2"/>
    </font>
    <font>
      <b/>
      <sz val="11"/>
      <color theme="1"/>
      <name val="Arial"/>
      <family val="2"/>
    </font>
    <font>
      <sz val="14"/>
      <color theme="1"/>
      <name val="Calibri"/>
      <family val="2"/>
      <scheme val="minor"/>
    </font>
    <font>
      <b/>
      <sz val="11"/>
      <color theme="1"/>
      <name val="Arial Unicode MS"/>
      <family val="2"/>
    </font>
    <font>
      <b/>
      <sz val="10"/>
      <color theme="1"/>
      <name val="Calibri"/>
      <family val="2"/>
      <scheme val="minor"/>
    </font>
    <font>
      <sz val="10"/>
      <name val="Calibri"/>
      <family val="2"/>
      <scheme val="minor"/>
    </font>
    <font>
      <sz val="11"/>
      <name val="Calibri"/>
      <family val="2"/>
    </font>
    <font>
      <b/>
      <vertAlign val="superscript"/>
      <sz val="10"/>
      <color indexed="8"/>
      <name val="Calibri"/>
      <family val="2"/>
    </font>
    <font>
      <sz val="11"/>
      <name val="Calibri"/>
      <family val="2"/>
      <scheme val="minor"/>
    </font>
    <font>
      <sz val="10"/>
      <color theme="0"/>
      <name val="Calibri"/>
      <family val="2"/>
      <scheme val="minor"/>
    </font>
    <font>
      <vertAlign val="superscript"/>
      <sz val="10"/>
      <color indexed="9"/>
      <name val="Calibri"/>
      <family val="2"/>
    </font>
    <font>
      <sz val="10"/>
      <color indexed="9"/>
      <name val="Calibri"/>
      <family val="2"/>
    </font>
    <font>
      <sz val="11"/>
      <color indexed="8"/>
      <name val="Calibri"/>
      <family val="2"/>
      <scheme val="minor"/>
    </font>
    <font>
      <sz val="11"/>
      <color indexed="8"/>
      <name val="Calibri"/>
      <family val="2"/>
    </font>
    <font>
      <i/>
      <sz val="9"/>
      <name val="Arial"/>
      <family val="2"/>
    </font>
    <font>
      <i/>
      <sz val="8"/>
      <name val="Arial"/>
      <family val="2"/>
    </font>
    <font>
      <b/>
      <sz val="8"/>
      <name val="Times New Roman"/>
      <family val="1"/>
    </font>
    <font>
      <b/>
      <i/>
      <sz val="10"/>
      <name val="Arial"/>
      <family val="2"/>
    </font>
    <font>
      <b/>
      <sz val="8"/>
      <name val="Arial"/>
      <family val="2"/>
    </font>
    <font>
      <sz val="8"/>
      <name val="Arial"/>
      <family val="2"/>
    </font>
    <font>
      <sz val="10"/>
      <color indexed="8"/>
      <name val="Arial"/>
      <family val="2"/>
    </font>
    <font>
      <b/>
      <sz val="11"/>
      <name val="Times New Roman"/>
      <family val="1"/>
    </font>
    <font>
      <sz val="8"/>
      <color theme="1"/>
      <name val="Arial"/>
      <family val="2"/>
    </font>
    <font>
      <b/>
      <sz val="22"/>
      <color indexed="8"/>
      <name val="Calibri"/>
      <family val="2"/>
    </font>
    <font>
      <b/>
      <sz val="18"/>
      <color indexed="8"/>
      <name val="Calibri"/>
      <family val="2"/>
    </font>
    <font>
      <b/>
      <sz val="10"/>
      <color indexed="8"/>
      <name val="Calibri"/>
      <family val="2"/>
    </font>
    <font>
      <sz val="10"/>
      <color indexed="8"/>
      <name val="Calibri"/>
      <family val="2"/>
    </font>
    <font>
      <b/>
      <sz val="11"/>
      <color indexed="8"/>
      <name val="Calibri"/>
      <family val="2"/>
    </font>
    <font>
      <sz val="8"/>
      <color theme="1"/>
      <name val="Calibri"/>
      <family val="2"/>
      <scheme val="minor"/>
    </font>
    <font>
      <sz val="12"/>
      <color theme="1"/>
      <name val="Calibri"/>
      <family val="2"/>
      <scheme val="minor"/>
    </font>
    <font>
      <sz val="10"/>
      <color theme="1"/>
      <name val="Calibri"/>
      <family val="2"/>
      <scheme val="minor"/>
    </font>
    <font>
      <sz val="11"/>
      <color theme="1"/>
      <name val="Trebuchet MS"/>
      <family val="2"/>
    </font>
    <font>
      <sz val="11"/>
      <color rgb="FF1F497D"/>
      <name val="Calibri"/>
      <family val="2"/>
      <scheme val="minor"/>
    </font>
    <font>
      <sz val="11"/>
      <color theme="1"/>
      <name val="Cambria"/>
      <family val="1"/>
      <scheme val="major"/>
    </font>
    <font>
      <sz val="8"/>
      <color indexed="8"/>
      <name val="Calibri"/>
      <family val="2"/>
    </font>
    <font>
      <b/>
      <sz val="11"/>
      <color rgb="FF476FE1"/>
      <name val="Arial"/>
      <family val="2"/>
    </font>
    <font>
      <sz val="11"/>
      <color theme="1"/>
      <name val="Arial"/>
      <family val="2"/>
    </font>
    <font>
      <sz val="11"/>
      <color theme="0"/>
      <name val="Calibri"/>
      <family val="2"/>
      <scheme val="minor"/>
    </font>
    <font>
      <sz val="11"/>
      <color indexed="12"/>
      <name val="Arial"/>
      <family val="2"/>
    </font>
    <font>
      <b/>
      <sz val="14"/>
      <color theme="0"/>
      <name val="Arial"/>
      <family val="2"/>
    </font>
    <font>
      <b/>
      <sz val="14"/>
      <color theme="2" tint="-0.499984740745262"/>
      <name val="Arial"/>
      <family val="2"/>
    </font>
    <font>
      <b/>
      <sz val="12"/>
      <color theme="2" tint="-0.499984740745262"/>
      <name val="Arial"/>
      <family val="2"/>
    </font>
    <font>
      <b/>
      <sz val="10"/>
      <color theme="2" tint="-0.749992370372631"/>
      <name val="Arial"/>
      <family val="2"/>
    </font>
    <font>
      <b/>
      <i/>
      <sz val="11"/>
      <color theme="1"/>
      <name val="Calibri"/>
      <family val="2"/>
      <scheme val="minor"/>
    </font>
    <font>
      <b/>
      <i/>
      <u/>
      <sz val="14"/>
      <color theme="1"/>
      <name val="Calibri"/>
      <family val="2"/>
      <scheme val="minor"/>
    </font>
    <font>
      <b/>
      <sz val="14"/>
      <color theme="1"/>
      <name val="Calibri"/>
      <family val="2"/>
      <scheme val="minor"/>
    </font>
    <font>
      <b/>
      <i/>
      <sz val="12"/>
      <color theme="1"/>
      <name val="Calibri"/>
      <family val="2"/>
      <scheme val="minor"/>
    </font>
    <font>
      <b/>
      <sz val="14"/>
      <color indexed="10"/>
      <name val="Arial"/>
      <family val="2"/>
    </font>
    <font>
      <b/>
      <i/>
      <sz val="11"/>
      <name val="Arial"/>
      <family val="2"/>
    </font>
    <font>
      <b/>
      <i/>
      <sz val="12"/>
      <name val="Arial"/>
      <family val="2"/>
    </font>
    <font>
      <i/>
      <sz val="10"/>
      <name val="Arial"/>
      <family val="2"/>
    </font>
    <font>
      <i/>
      <sz val="10"/>
      <color indexed="8"/>
      <name val="Arial"/>
      <family val="2"/>
    </font>
    <font>
      <b/>
      <i/>
      <sz val="11"/>
      <color rgb="FFFF0000"/>
      <name val="Arial"/>
      <family val="2"/>
    </font>
    <font>
      <b/>
      <sz val="12"/>
      <name val="Arial"/>
      <family val="2"/>
    </font>
    <font>
      <b/>
      <sz val="18"/>
      <color indexed="81"/>
      <name val="Tahoma"/>
      <family val="2"/>
    </font>
    <font>
      <b/>
      <sz val="11"/>
      <color theme="0"/>
      <name val="Calibri"/>
      <family val="2"/>
      <scheme val="minor"/>
    </font>
    <font>
      <b/>
      <sz val="9"/>
      <color indexed="81"/>
      <name val="Tahoma"/>
      <family val="2"/>
    </font>
    <font>
      <sz val="9"/>
      <color indexed="81"/>
      <name val="Tahoma"/>
      <family val="2"/>
    </font>
    <font>
      <b/>
      <sz val="8"/>
      <color theme="1"/>
      <name val="Calibri"/>
      <family val="2"/>
      <scheme val="minor"/>
    </font>
    <font>
      <sz val="10"/>
      <color theme="1"/>
      <name val="Arial"/>
      <family val="2"/>
    </font>
    <font>
      <b/>
      <sz val="10"/>
      <color theme="1"/>
      <name val="Arial"/>
      <family val="2"/>
    </font>
    <font>
      <u/>
      <sz val="11"/>
      <color theme="10"/>
      <name val="Calibri"/>
      <family val="2"/>
      <scheme val="minor"/>
    </font>
    <font>
      <b/>
      <sz val="16"/>
      <color theme="1"/>
      <name val="Calibri"/>
      <family val="2"/>
      <scheme val="minor"/>
    </font>
    <font>
      <b/>
      <sz val="12"/>
      <color theme="1"/>
      <name val="Calibri"/>
      <family val="2"/>
      <scheme val="minor"/>
    </font>
    <font>
      <sz val="11"/>
      <color indexed="9"/>
      <name val="Calibri"/>
      <family val="2"/>
    </font>
    <font>
      <sz val="11"/>
      <color indexed="17"/>
      <name val="Calibri"/>
      <family val="2"/>
    </font>
    <font>
      <b/>
      <sz val="11"/>
      <color indexed="10"/>
      <name val="Calibri"/>
      <family val="2"/>
    </font>
    <font>
      <b/>
      <sz val="11"/>
      <color indexed="9"/>
      <name val="Calibri"/>
      <family val="2"/>
    </font>
    <font>
      <sz val="11"/>
      <color indexed="10"/>
      <name val="Calibri"/>
      <family val="2"/>
    </font>
    <font>
      <sz val="12"/>
      <color indexed="24"/>
      <name val="Arial"/>
      <family val="2"/>
    </font>
    <font>
      <b/>
      <sz val="11"/>
      <color indexed="62"/>
      <name val="Calibri"/>
      <family val="2"/>
    </font>
    <font>
      <sz val="11"/>
      <color indexed="62"/>
      <name val="Calibri"/>
      <family val="2"/>
    </font>
    <font>
      <sz val="14"/>
      <name val="Arial"/>
      <family val="2"/>
    </font>
    <font>
      <sz val="11"/>
      <color indexed="20"/>
      <name val="Calibri"/>
      <family val="2"/>
    </font>
    <font>
      <b/>
      <sz val="11"/>
      <color indexed="63"/>
      <name val="Calibri"/>
      <family val="2"/>
    </font>
    <font>
      <i/>
      <sz val="11"/>
      <color indexed="23"/>
      <name val="Calibri"/>
      <family val="2"/>
    </font>
    <font>
      <b/>
      <sz val="15"/>
      <color indexed="62"/>
      <name val="Calibri"/>
      <family val="2"/>
    </font>
    <font>
      <b/>
      <sz val="18"/>
      <color indexed="62"/>
      <name val="Cambria"/>
      <family val="2"/>
    </font>
    <font>
      <b/>
      <sz val="13"/>
      <color indexed="62"/>
      <name val="Calibri"/>
      <family val="2"/>
    </font>
    <font>
      <b/>
      <sz val="7"/>
      <color indexed="8"/>
      <name val="Arial"/>
      <family val="2"/>
    </font>
    <font>
      <b/>
      <sz val="7"/>
      <name val="Arial"/>
      <family val="2"/>
    </font>
    <font>
      <b/>
      <sz val="16"/>
      <color indexed="8"/>
      <name val="Arial"/>
      <family val="2"/>
    </font>
    <font>
      <sz val="7"/>
      <color indexed="10"/>
      <name val="Arial"/>
      <family val="2"/>
    </font>
    <font>
      <sz val="7"/>
      <name val="Arial"/>
      <family val="2"/>
    </font>
    <font>
      <b/>
      <sz val="16"/>
      <color theme="1"/>
      <name val="Arial"/>
      <family val="2"/>
    </font>
    <font>
      <b/>
      <sz val="9"/>
      <color indexed="12"/>
      <name val="Arial"/>
      <family val="2"/>
    </font>
    <font>
      <sz val="9"/>
      <color theme="0"/>
      <name val="Calibri"/>
      <family val="2"/>
      <scheme val="minor"/>
    </font>
    <font>
      <b/>
      <sz val="10"/>
      <color rgb="FF0070C0"/>
      <name val="Arial"/>
      <family val="2"/>
    </font>
    <font>
      <sz val="8"/>
      <color theme="0"/>
      <name val="Calibri"/>
      <family val="2"/>
      <scheme val="minor"/>
    </font>
    <font>
      <b/>
      <sz val="10"/>
      <color theme="0"/>
      <name val="Calibri"/>
      <family val="2"/>
      <scheme val="minor"/>
    </font>
    <font>
      <b/>
      <sz val="14"/>
      <color rgb="FFFF0000"/>
      <name val="Calibri"/>
      <family val="2"/>
      <scheme val="minor"/>
    </font>
    <font>
      <b/>
      <sz val="12"/>
      <color theme="3"/>
      <name val="Calibri"/>
      <family val="2"/>
      <scheme val="minor"/>
    </font>
    <font>
      <b/>
      <sz val="12"/>
      <color theme="0"/>
      <name val="Calibri"/>
      <family val="2"/>
      <scheme val="minor"/>
    </font>
    <font>
      <sz val="9"/>
      <color theme="1"/>
      <name val="Calibri"/>
      <family val="2"/>
      <scheme val="minor"/>
    </font>
    <font>
      <b/>
      <sz val="9"/>
      <color theme="1"/>
      <name val="Calibri"/>
      <family val="2"/>
      <scheme val="minor"/>
    </font>
    <font>
      <sz val="10"/>
      <color rgb="FFFF0000"/>
      <name val="Calibri"/>
      <family val="2"/>
      <scheme val="minor"/>
    </font>
    <font>
      <sz val="12"/>
      <color theme="0"/>
      <name val="Calibri"/>
      <family val="2"/>
      <scheme val="minor"/>
    </font>
    <font>
      <b/>
      <sz val="10"/>
      <name val="Calibri"/>
      <family val="2"/>
      <scheme val="minor"/>
    </font>
    <font>
      <b/>
      <sz val="14"/>
      <name val="Calibri"/>
      <family val="2"/>
      <scheme val="minor"/>
    </font>
    <font>
      <b/>
      <sz val="12"/>
      <name val="Calibri"/>
      <family val="2"/>
      <scheme val="minor"/>
    </font>
    <font>
      <b/>
      <sz val="10"/>
      <color theme="1"/>
      <name val="Calibri"/>
      <family val="2"/>
    </font>
    <font>
      <b/>
      <sz val="8.1999999999999993"/>
      <color theme="1"/>
      <name val="Calibri"/>
      <family val="2"/>
    </font>
    <font>
      <b/>
      <sz val="24"/>
      <color rgb="FFC00000"/>
      <name val="Times New Roman"/>
      <family val="1"/>
    </font>
    <font>
      <b/>
      <sz val="20"/>
      <color theme="3"/>
      <name val="Arial Black"/>
      <family val="2"/>
    </font>
    <font>
      <b/>
      <sz val="20"/>
      <color theme="1"/>
      <name val="Calibri"/>
      <family val="2"/>
      <scheme val="minor"/>
    </font>
    <font>
      <b/>
      <u/>
      <sz val="16"/>
      <color theme="3"/>
      <name val="Calibri"/>
      <family val="2"/>
      <scheme val="minor"/>
    </font>
    <font>
      <sz val="16"/>
      <color theme="1"/>
      <name val="Calibri"/>
      <family val="2"/>
      <scheme val="minor"/>
    </font>
    <font>
      <b/>
      <sz val="16"/>
      <color theme="0"/>
      <name val="Calibri"/>
      <family val="2"/>
      <scheme val="minor"/>
    </font>
    <font>
      <b/>
      <sz val="16"/>
      <color rgb="FFFF0000"/>
      <name val="Calibri"/>
      <family val="2"/>
      <scheme val="minor"/>
    </font>
    <font>
      <sz val="11"/>
      <color theme="4"/>
      <name val="Calibri"/>
      <family val="2"/>
      <scheme val="minor"/>
    </font>
    <font>
      <b/>
      <i/>
      <sz val="10"/>
      <color theme="1"/>
      <name val="Calibri"/>
      <family val="2"/>
      <scheme val="minor"/>
    </font>
    <font>
      <b/>
      <u/>
      <sz val="10"/>
      <color theme="1"/>
      <name val="Calibri"/>
      <family val="2"/>
      <scheme val="minor"/>
    </font>
    <font>
      <u/>
      <sz val="10"/>
      <color theme="1"/>
      <name val="Calibri"/>
      <family val="2"/>
      <scheme val="minor"/>
    </font>
    <font>
      <sz val="9"/>
      <color rgb="FFFF0000"/>
      <name val="Calibri"/>
      <family val="2"/>
      <scheme val="minor"/>
    </font>
    <font>
      <sz val="11"/>
      <color theme="4" tint="0.39997558519241921"/>
      <name val="Calibri"/>
      <family val="2"/>
      <scheme val="minor"/>
    </font>
    <font>
      <b/>
      <sz val="8"/>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1"/>
      <name val="Calibri"/>
      <family val="2"/>
      <charset val="1"/>
      <scheme val="minor"/>
    </font>
    <font>
      <sz val="14"/>
      <name val="AngsanaUPC"/>
      <family val="1"/>
    </font>
    <font>
      <sz val="8"/>
      <name val="Times New Roman"/>
      <family val="1"/>
    </font>
    <font>
      <b/>
      <sz val="10"/>
      <name val="Bookman Old Style"/>
      <family val="1"/>
    </font>
    <font>
      <sz val="12"/>
      <name val="Tms Rmn"/>
    </font>
    <font>
      <sz val="12"/>
      <name val="Tms Rmn"/>
      <family val="1"/>
    </font>
    <font>
      <sz val="12"/>
      <name val="¹ÙÅÁÃ¼"/>
      <charset val="129"/>
    </font>
    <font>
      <sz val="10"/>
      <name val="Geneva"/>
    </font>
    <font>
      <b/>
      <sz val="11"/>
      <color indexed="52"/>
      <name val="Calibri"/>
      <family val="2"/>
    </font>
    <font>
      <b/>
      <sz val="11"/>
      <color rgb="FFFA7D00"/>
      <name val="Calibri"/>
      <family val="2"/>
      <charset val="1"/>
      <scheme val="minor"/>
    </font>
    <font>
      <sz val="11"/>
      <color indexed="52"/>
      <name val="Calibri"/>
      <family val="2"/>
    </font>
    <font>
      <sz val="10"/>
      <name val="MS Serif"/>
      <family val="1"/>
    </font>
    <font>
      <sz val="11"/>
      <name val="??"/>
      <family val="3"/>
      <charset val="129"/>
    </font>
    <font>
      <b/>
      <sz val="11"/>
      <color indexed="56"/>
      <name val="Calibri"/>
      <family val="2"/>
    </font>
    <font>
      <sz val="10"/>
      <color indexed="16"/>
      <name val="MS Serif"/>
      <family val="1"/>
    </font>
    <font>
      <sz val="9"/>
      <color indexed="10"/>
      <name val="Geneva"/>
    </font>
    <font>
      <b/>
      <sz val="1"/>
      <color indexed="8"/>
      <name val="Courier"/>
      <family val="3"/>
    </font>
    <font>
      <sz val="1"/>
      <color indexed="8"/>
      <name val="Courier"/>
      <family val="3"/>
    </font>
    <font>
      <i/>
      <sz val="1"/>
      <color indexed="8"/>
      <name val="Courier"/>
      <family val="3"/>
    </font>
    <font>
      <u/>
      <sz val="10"/>
      <color indexed="14"/>
      <name val="MS Sans Serif"/>
      <family val="2"/>
    </font>
    <font>
      <sz val="8"/>
      <name val="Helv"/>
      <family val="2"/>
    </font>
    <font>
      <sz val="10"/>
      <color indexed="10"/>
      <name val="Arial"/>
      <family val="2"/>
    </font>
    <font>
      <b/>
      <sz val="12"/>
      <color indexed="9"/>
      <name val="Tms Rmn"/>
    </font>
    <font>
      <b/>
      <sz val="12"/>
      <color indexed="9"/>
      <name val="Tms Rmn"/>
      <family val="1"/>
    </font>
    <font>
      <b/>
      <u/>
      <sz val="11"/>
      <color indexed="37"/>
      <name val="Arial"/>
      <family val="2"/>
    </font>
    <font>
      <sz val="18"/>
      <color indexed="24"/>
      <name val="Arial"/>
      <family val="2"/>
    </font>
    <font>
      <b/>
      <sz val="18"/>
      <color indexed="24"/>
      <name val="Arial"/>
      <family val="2"/>
    </font>
    <font>
      <sz val="8"/>
      <color indexed="24"/>
      <name val="Arial"/>
      <family val="2"/>
    </font>
    <font>
      <b/>
      <sz val="12"/>
      <color indexed="22"/>
      <name val="Arial"/>
      <family val="2"/>
    </font>
    <font>
      <b/>
      <sz val="8"/>
      <name val="MS Sans Serif"/>
      <family val="2"/>
    </font>
    <font>
      <sz val="10"/>
      <color indexed="12"/>
      <name val="Arial"/>
      <family val="2"/>
    </font>
    <font>
      <u/>
      <sz val="8"/>
      <color indexed="12"/>
      <name val="Arial"/>
      <family val="2"/>
    </font>
    <font>
      <u/>
      <sz val="10"/>
      <color indexed="12"/>
      <name val="Arial"/>
      <family val="2"/>
    </font>
    <font>
      <u/>
      <sz val="9"/>
      <color indexed="36"/>
      <name val="Arial"/>
      <family val="2"/>
    </font>
    <font>
      <u/>
      <sz val="8.4"/>
      <color indexed="12"/>
      <name val="Arial"/>
      <family val="2"/>
    </font>
    <font>
      <u/>
      <sz val="10"/>
      <color indexed="12"/>
      <name val="MS Sans Serif"/>
      <family val="2"/>
    </font>
    <font>
      <u/>
      <sz val="9"/>
      <color indexed="12"/>
      <name val="Arial"/>
      <family val="2"/>
    </font>
    <font>
      <sz val="11"/>
      <color rgb="FF9C0006"/>
      <name val="Calibri"/>
      <family val="2"/>
      <charset val="1"/>
      <scheme val="minor"/>
    </font>
    <font>
      <sz val="10"/>
      <name val="Geneva"/>
      <family val="2"/>
    </font>
    <font>
      <sz val="11"/>
      <color rgb="FF000000"/>
      <name val="Calibri"/>
      <family val="2"/>
    </font>
    <font>
      <sz val="10"/>
      <name val="Arabic Transparent"/>
    </font>
    <font>
      <sz val="11"/>
      <color indexed="60"/>
      <name val="Calibri"/>
      <family val="2"/>
    </font>
    <font>
      <sz val="7"/>
      <name val="Small Fonts"/>
      <family val="2"/>
    </font>
    <font>
      <sz val="12"/>
      <color indexed="8"/>
      <name val="Verdana"/>
      <family val="2"/>
    </font>
    <font>
      <sz val="10"/>
      <color indexed="64"/>
      <name val="Arial"/>
      <family val="2"/>
    </font>
    <font>
      <sz val="12"/>
      <name val="Helv"/>
    </font>
    <font>
      <b/>
      <sz val="10"/>
      <name val="Arial CE"/>
      <family val="2"/>
      <charset val="238"/>
    </font>
    <font>
      <sz val="10"/>
      <name val="MS Sans Serif"/>
      <family val="2"/>
    </font>
    <font>
      <b/>
      <sz val="10"/>
      <name val="MS Sans Serif"/>
      <family val="2"/>
    </font>
    <font>
      <sz val="8"/>
      <name val="Wingdings"/>
      <charset val="2"/>
    </font>
    <font>
      <sz val="8"/>
      <name val="MS Sans Serif"/>
      <family val="2"/>
    </font>
    <font>
      <b/>
      <sz val="8"/>
      <color indexed="8"/>
      <name val="Helv"/>
    </font>
    <font>
      <b/>
      <sz val="8"/>
      <color indexed="8"/>
      <name val="Helv"/>
      <family val="2"/>
    </font>
    <font>
      <b/>
      <sz val="18"/>
      <color indexed="56"/>
      <name val="Cambria"/>
      <family val="2"/>
    </font>
    <font>
      <b/>
      <sz val="15"/>
      <color indexed="56"/>
      <name val="Calibri"/>
      <family val="2"/>
    </font>
    <font>
      <b/>
      <sz val="13"/>
      <color indexed="56"/>
      <name val="Calibri"/>
      <family val="2"/>
    </font>
    <font>
      <sz val="18"/>
      <color theme="3"/>
      <name val="Cambria"/>
      <family val="2"/>
      <scheme val="major"/>
    </font>
    <font>
      <sz val="8"/>
      <color indexed="12"/>
      <name val="Arial"/>
      <family val="2"/>
    </font>
    <font>
      <sz val="12"/>
      <color indexed="24"/>
      <name val="Modern"/>
      <family val="3"/>
      <charset val="255"/>
    </font>
    <font>
      <b/>
      <sz val="18"/>
      <color indexed="24"/>
      <name val="Modern"/>
      <family val="3"/>
      <charset val="255"/>
    </font>
    <font>
      <b/>
      <sz val="12"/>
      <color indexed="24"/>
      <name val="Modern"/>
      <family val="3"/>
      <charset val="255"/>
    </font>
    <font>
      <b/>
      <sz val="8"/>
      <color indexed="8"/>
      <name val="Arial"/>
      <family val="2"/>
    </font>
    <font>
      <b/>
      <sz val="16"/>
      <color indexed="12"/>
      <name val="Arial"/>
      <family val="2"/>
    </font>
    <font>
      <b/>
      <sz val="8"/>
      <color theme="0"/>
      <name val="Calibri"/>
      <family val="2"/>
      <scheme val="minor"/>
    </font>
    <font>
      <b/>
      <sz val="8"/>
      <color indexed="12"/>
      <name val="Arial"/>
      <family val="2"/>
    </font>
    <font>
      <sz val="11"/>
      <color rgb="FFC000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sz val="10"/>
      <name val="Helv"/>
    </font>
    <font>
      <u/>
      <sz val="10"/>
      <color indexed="36"/>
      <name val="Arial"/>
      <family val="2"/>
    </font>
    <font>
      <u/>
      <sz val="10"/>
      <color indexed="20"/>
      <name val="Arial"/>
      <family val="2"/>
    </font>
    <font>
      <sz val="10"/>
      <color theme="0"/>
      <name val="Arial"/>
      <family val="2"/>
    </font>
    <font>
      <sz val="10"/>
      <color theme="3" tint="0.39997558519241921"/>
      <name val="Arial"/>
      <family val="2"/>
    </font>
    <font>
      <sz val="10"/>
      <color theme="1" tint="0.249977111117893"/>
      <name val="Arial"/>
      <family val="2"/>
    </font>
    <font>
      <b/>
      <sz val="11"/>
      <color theme="3" tint="0.39997558519241921"/>
      <name val="Calibri"/>
      <family val="2"/>
      <scheme val="minor"/>
    </font>
    <font>
      <b/>
      <sz val="12"/>
      <color theme="0"/>
      <name val="Arial"/>
      <family val="2"/>
    </font>
    <font>
      <sz val="20"/>
      <color theme="1"/>
      <name val="Calibri"/>
      <family val="2"/>
      <scheme val="minor"/>
    </font>
    <font>
      <b/>
      <sz val="28"/>
      <color theme="1"/>
      <name val="Calibri"/>
      <family val="2"/>
      <scheme val="minor"/>
    </font>
    <font>
      <sz val="8"/>
      <color rgb="FF000000"/>
      <name val="Verdana"/>
      <family val="2"/>
    </font>
    <font>
      <b/>
      <sz val="22"/>
      <color theme="1"/>
      <name val="Calibri"/>
      <family val="2"/>
      <scheme val="minor"/>
    </font>
    <font>
      <sz val="22"/>
      <color theme="1"/>
      <name val="Calibri"/>
      <family val="2"/>
      <scheme val="minor"/>
    </font>
    <font>
      <b/>
      <sz val="22"/>
      <name val="Calibri"/>
      <family val="2"/>
      <scheme val="minor"/>
    </font>
    <font>
      <b/>
      <sz val="11"/>
      <name val="Calibri"/>
      <family val="2"/>
      <scheme val="minor"/>
    </font>
    <font>
      <sz val="10"/>
      <color indexed="81"/>
      <name val="Tahoma"/>
      <family val="2"/>
    </font>
    <font>
      <u/>
      <sz val="8"/>
      <color theme="10"/>
      <name val="Calibri"/>
      <family val="2"/>
      <scheme val="minor"/>
    </font>
    <font>
      <sz val="8"/>
      <color rgb="FF000000"/>
      <name val="Calibri"/>
      <family val="2"/>
      <scheme val="minor"/>
    </font>
    <font>
      <b/>
      <sz val="16"/>
      <name val="Calibri"/>
      <family val="2"/>
      <scheme val="minor"/>
    </font>
    <font>
      <sz val="8"/>
      <name val="Calibri"/>
      <family val="2"/>
      <scheme val="minor"/>
    </font>
    <font>
      <b/>
      <sz val="9"/>
      <color indexed="8"/>
      <name val="Arial"/>
      <family val="2"/>
    </font>
    <font>
      <b/>
      <sz val="9"/>
      <color theme="1"/>
      <name val="Cambria"/>
      <family val="1"/>
      <scheme val="major"/>
    </font>
    <font>
      <b/>
      <sz val="6"/>
      <color theme="1"/>
      <name val="Cambria"/>
      <family val="1"/>
      <scheme val="major"/>
    </font>
    <font>
      <b/>
      <sz val="9"/>
      <color rgb="FFD10527"/>
      <name val="Cambria"/>
      <family val="1"/>
      <scheme val="major"/>
    </font>
    <font>
      <b/>
      <sz val="14"/>
      <name val="Arial"/>
      <family val="2"/>
    </font>
    <font>
      <sz val="9"/>
      <name val="Times New Roman"/>
      <family val="1"/>
    </font>
    <font>
      <sz val="9"/>
      <name val="Arial"/>
      <family val="2"/>
    </font>
    <font>
      <b/>
      <sz val="9"/>
      <color indexed="9"/>
      <name val="Arial"/>
      <family val="2"/>
    </font>
    <font>
      <sz val="16"/>
      <name val="Arial"/>
      <family val="2"/>
    </font>
    <font>
      <b/>
      <sz val="10"/>
      <color indexed="81"/>
      <name val="Tahoma"/>
      <family val="2"/>
    </font>
    <font>
      <sz val="11"/>
      <color rgb="FF1F497D"/>
      <name val="Calibri"/>
      <family val="2"/>
    </font>
    <font>
      <i/>
      <sz val="12"/>
      <color theme="1"/>
      <name val="Calibri"/>
      <family val="2"/>
      <scheme val="minor"/>
    </font>
    <font>
      <i/>
      <sz val="11"/>
      <color theme="1"/>
      <name val="Calibri"/>
      <family val="2"/>
      <scheme val="minor"/>
    </font>
    <font>
      <b/>
      <sz val="10"/>
      <color theme="0"/>
      <name val="Arial"/>
      <family val="2"/>
    </font>
    <font>
      <b/>
      <sz val="14"/>
      <color theme="1"/>
      <name val="72 Light"/>
      <family val="2"/>
    </font>
    <font>
      <b/>
      <i/>
      <u/>
      <sz val="11"/>
      <color theme="1"/>
      <name val="Calibri"/>
      <family val="2"/>
      <scheme val="minor"/>
    </font>
    <font>
      <b/>
      <i/>
      <u/>
      <sz val="11"/>
      <color rgb="FFFFFF05"/>
      <name val="Aharoni"/>
      <charset val="177"/>
    </font>
    <font>
      <b/>
      <i/>
      <u/>
      <sz val="11"/>
      <color rgb="FFFFFF05"/>
      <name val="Calibri"/>
      <family val="2"/>
      <scheme val="minor"/>
    </font>
    <font>
      <b/>
      <i/>
      <sz val="14"/>
      <color theme="5" tint="-0.249977111117893"/>
      <name val="Calibri"/>
      <family val="2"/>
      <scheme val="minor"/>
    </font>
    <font>
      <b/>
      <sz val="14"/>
      <color theme="0"/>
      <name val="Calibri"/>
      <family val="2"/>
      <scheme val="minor"/>
    </font>
    <font>
      <u/>
      <sz val="12"/>
      <color theme="10"/>
      <name val="Calibri"/>
      <family val="2"/>
      <scheme val="minor"/>
    </font>
    <font>
      <b/>
      <sz val="12"/>
      <color theme="6" tint="0.39997558519241921"/>
      <name val="Calibri"/>
      <family val="2"/>
      <scheme val="minor"/>
    </font>
    <font>
      <b/>
      <sz val="11"/>
      <color theme="6" tint="0.39997558519241921"/>
      <name val="Calibri"/>
      <family val="2"/>
      <scheme val="minor"/>
    </font>
    <font>
      <b/>
      <sz val="16"/>
      <color indexed="18"/>
      <name val="Calibri"/>
      <family val="2"/>
      <scheme val="minor"/>
    </font>
    <font>
      <b/>
      <sz val="11"/>
      <color theme="4" tint="0.79998168889431442"/>
      <name val="Arial"/>
      <family val="2"/>
    </font>
    <font>
      <b/>
      <i/>
      <sz val="10"/>
      <color rgb="FFDDEDEF"/>
      <name val="Arial"/>
      <family val="2"/>
    </font>
    <font>
      <b/>
      <sz val="10"/>
      <color rgb="FFF1F5F9"/>
      <name val="Arial"/>
      <family val="2"/>
    </font>
    <font>
      <b/>
      <i/>
      <sz val="10"/>
      <color rgb="FFE5EDF3"/>
      <name val="Arial"/>
      <family val="2"/>
    </font>
    <font>
      <b/>
      <i/>
      <sz val="11"/>
      <color theme="0"/>
      <name val="Arial"/>
      <family val="2"/>
    </font>
    <font>
      <b/>
      <sz val="9"/>
      <name val="Arial"/>
      <family val="2"/>
    </font>
    <font>
      <b/>
      <i/>
      <sz val="8"/>
      <name val="Arial"/>
      <family val="2"/>
    </font>
    <font>
      <b/>
      <i/>
      <sz val="9"/>
      <color indexed="12"/>
      <name val="Arial"/>
      <family val="2"/>
    </font>
    <font>
      <b/>
      <sz val="11"/>
      <color theme="5"/>
      <name val="Calibri"/>
      <family val="2"/>
      <scheme val="minor"/>
    </font>
    <font>
      <sz val="11"/>
      <color theme="0"/>
      <name val="Arial"/>
      <family val="2"/>
    </font>
    <font>
      <b/>
      <sz val="12"/>
      <color theme="5"/>
      <name val="Calibri"/>
      <family val="2"/>
      <scheme val="minor"/>
    </font>
    <font>
      <b/>
      <sz val="12"/>
      <color theme="0"/>
      <name val="Calibri"/>
      <family val="2"/>
    </font>
    <font>
      <b/>
      <sz val="16"/>
      <color theme="0"/>
      <name val="Calibri"/>
      <family val="2"/>
    </font>
    <font>
      <b/>
      <i/>
      <sz val="9"/>
      <name val="Arial"/>
      <family val="2"/>
    </font>
    <font>
      <b/>
      <sz val="8"/>
      <color indexed="18"/>
      <name val="Tahoma"/>
      <family val="2"/>
    </font>
    <font>
      <b/>
      <sz val="11"/>
      <color rgb="FFFF0000"/>
      <name val="Calibri"/>
      <family val="2"/>
      <scheme val="minor"/>
    </font>
    <font>
      <sz val="12"/>
      <name val="Calibri"/>
      <family val="2"/>
      <scheme val="minor"/>
    </font>
    <font>
      <sz val="14"/>
      <color theme="0"/>
      <name val="Calibri"/>
      <family val="2"/>
      <scheme val="minor"/>
    </font>
  </fonts>
  <fills count="146">
    <fill>
      <patternFill patternType="none"/>
    </fill>
    <fill>
      <patternFill patternType="gray125"/>
    </fill>
    <fill>
      <patternFill patternType="solid">
        <fgColor indexed="9"/>
        <bgColor indexed="64"/>
      </patternFill>
    </fill>
    <fill>
      <patternFill patternType="gray0625">
        <fgColor theme="2"/>
        <bgColor theme="2" tint="-9.9917600024414813E-2"/>
      </patternFill>
    </fill>
    <fill>
      <patternFill patternType="lightGray">
        <fgColor theme="7" tint="-0.24994659260841701"/>
        <bgColor theme="8" tint="0.39994506668294322"/>
      </patternFill>
    </fill>
    <fill>
      <patternFill patternType="gray0625">
        <fgColor theme="2" tint="-0.24994659260841701"/>
        <bgColor theme="4" tint="0.79998168889431442"/>
      </patternFill>
    </fill>
    <fill>
      <patternFill patternType="gray0625">
        <fgColor theme="2" tint="-9.9948118533890809E-2"/>
        <bgColor theme="4" tint="0.79995117038483843"/>
      </patternFill>
    </fill>
    <fill>
      <patternFill patternType="solid">
        <fgColor indexed="15"/>
        <bgColor indexed="64"/>
      </patternFill>
    </fill>
    <fill>
      <patternFill patternType="lightGray">
        <fgColor indexed="44"/>
        <bgColor indexed="9"/>
      </patternFill>
    </fill>
    <fill>
      <patternFill patternType="solid">
        <fgColor theme="0"/>
        <bgColor indexed="64"/>
      </patternFill>
    </fill>
    <fill>
      <patternFill patternType="solid">
        <fgColor theme="4" tint="0.39997558519241921"/>
        <bgColor indexed="64"/>
      </patternFill>
    </fill>
    <fill>
      <patternFill patternType="solid">
        <fgColor rgb="FFFFFF00"/>
        <bgColor indexed="64"/>
      </patternFill>
    </fill>
    <fill>
      <patternFill patternType="solid">
        <fgColor indexed="22"/>
        <bgColor indexed="64"/>
      </patternFill>
    </fill>
    <fill>
      <patternFill patternType="solid">
        <fgColor rgb="FFE3E3E3"/>
        <bgColor rgb="FF000000"/>
      </patternFill>
    </fill>
    <fill>
      <patternFill patternType="solid">
        <fgColor theme="6"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499984740745262"/>
        <bgColor indexed="64"/>
      </patternFill>
    </fill>
    <fill>
      <patternFill patternType="solid">
        <fgColor theme="8" tint="0.79998168889431442"/>
        <bgColor indexed="64"/>
      </patternFill>
    </fill>
    <fill>
      <patternFill patternType="gray0625">
        <fgColor theme="0" tint="-0.14996795556505021"/>
        <bgColor theme="0" tint="-0.14996795556505021"/>
      </patternFill>
    </fill>
    <fill>
      <patternFill patternType="gray0625">
        <fgColor theme="0" tint="-0.14993743705557422"/>
        <bgColor theme="7" tint="0.79998168889431442"/>
      </patternFill>
    </fill>
    <fill>
      <patternFill patternType="solid">
        <fgColor theme="0" tint="-0.14996795556505021"/>
        <bgColor theme="2"/>
      </patternFill>
    </fill>
    <fill>
      <patternFill patternType="solid">
        <fgColor theme="0" tint="-0.14996795556505021"/>
        <bgColor theme="2" tint="-9.9917600024414813E-2"/>
      </patternFill>
    </fill>
    <fill>
      <patternFill patternType="gray0625">
        <fgColor rgb="FF7030A0"/>
        <bgColor rgb="FF828282"/>
      </patternFill>
    </fill>
    <fill>
      <patternFill patternType="solid">
        <fgColor indexed="42"/>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FF0000"/>
        <bgColor indexed="64"/>
      </patternFill>
    </fill>
    <fill>
      <patternFill patternType="solid">
        <fgColor theme="6" tint="0.59999389629810485"/>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9"/>
      </patternFill>
    </fill>
    <fill>
      <patternFill patternType="solid">
        <fgColor indexed="55"/>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0"/>
        <bgColor indexed="64"/>
      </patternFill>
    </fill>
    <fill>
      <patternFill patternType="solid">
        <fgColor indexed="46"/>
      </patternFill>
    </fill>
    <fill>
      <patternFill patternType="solid">
        <fgColor theme="3" tint="0.79998168889431442"/>
        <bgColor indexed="64"/>
      </patternFill>
    </fill>
    <fill>
      <patternFill patternType="solid">
        <fgColor rgb="FF25C6FF"/>
        <bgColor indexed="64"/>
      </patternFill>
    </fill>
    <fill>
      <patternFill patternType="solid">
        <fgColor theme="3"/>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theme="2"/>
        <bgColor indexed="64"/>
      </patternFill>
    </fill>
    <fill>
      <patternFill patternType="solid">
        <fgColor theme="6" tint="0.39994506668294322"/>
        <bgColor indexed="64"/>
      </patternFill>
    </fill>
    <fill>
      <patternFill patternType="solid">
        <fgColor rgb="FF008080"/>
        <bgColor indexed="64"/>
      </patternFill>
    </fill>
    <fill>
      <patternFill patternType="solid">
        <fgColor theme="3" tint="0.59996337778862885"/>
        <bgColor indexed="64"/>
      </patternFill>
    </fill>
    <fill>
      <patternFill patternType="solid">
        <fgColor rgb="FFF0B08C"/>
        <bgColor indexed="64"/>
      </patternFill>
    </fill>
    <fill>
      <patternFill patternType="gray0625">
        <fgColor theme="2" tint="-9.9948118533890809E-2"/>
        <bgColor rgb="FFFFFF00"/>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59999389629810485"/>
        <bgColor indexed="64"/>
      </patternFill>
    </fill>
    <fill>
      <patternFill patternType="solid">
        <fgColor theme="0" tint="-0.499984740745262"/>
        <bgColor indexed="64"/>
      </patternFill>
    </fill>
    <fill>
      <patternFill patternType="solid">
        <fgColor rgb="FFD2FFB9"/>
        <bgColor indexed="64"/>
      </patternFill>
    </fill>
    <fill>
      <patternFill patternType="solid">
        <fgColor indexed="31"/>
      </patternFill>
    </fill>
    <fill>
      <patternFill patternType="solid">
        <fgColor indexed="42"/>
      </patternFill>
    </fill>
    <fill>
      <patternFill patternType="solid">
        <fgColor indexed="11"/>
      </patternFill>
    </fill>
    <fill>
      <patternFill patternType="solid">
        <fgColor indexed="30"/>
      </patternFill>
    </fill>
    <fill>
      <patternFill patternType="solid">
        <fgColor indexed="36"/>
      </patternFill>
    </fill>
    <fill>
      <patternFill patternType="solid">
        <fgColor indexed="52"/>
      </patternFill>
    </fill>
    <fill>
      <patternFill patternType="solid">
        <fgColor indexed="44"/>
        <bgColor indexed="64"/>
      </patternFill>
    </fill>
    <fill>
      <patternFill patternType="gray125">
        <fgColor indexed="12"/>
      </patternFill>
    </fill>
    <fill>
      <patternFill patternType="solid">
        <fgColor indexed="22"/>
      </patternFill>
    </fill>
    <fill>
      <patternFill patternType="solid">
        <fgColor indexed="62"/>
      </patternFill>
    </fill>
    <fill>
      <patternFill patternType="solid">
        <fgColor indexed="57"/>
      </patternFill>
    </fill>
    <fill>
      <patternFill patternType="solid">
        <fgColor indexed="65"/>
        <bgColor indexed="64"/>
      </patternFill>
    </fill>
    <fill>
      <patternFill patternType="solid">
        <fgColor indexed="26"/>
        <bgColor indexed="64"/>
      </patternFill>
    </fill>
    <fill>
      <patternFill patternType="darkVertical"/>
    </fill>
    <fill>
      <patternFill patternType="solid">
        <fgColor indexed="43"/>
        <bgColor indexed="64"/>
      </patternFill>
    </fill>
    <fill>
      <patternFill patternType="solid">
        <fgColor rgb="FF92D050"/>
        <bgColor indexed="64"/>
      </patternFill>
    </fill>
    <fill>
      <patternFill patternType="solid">
        <fgColor theme="5" tint="0.39994506668294322"/>
        <bgColor indexed="64"/>
      </patternFill>
    </fill>
    <fill>
      <patternFill patternType="gray125">
        <fgColor theme="2" tint="-9.985656300546282E-2"/>
        <bgColor rgb="FF00FA71"/>
      </patternFill>
    </fill>
    <fill>
      <patternFill patternType="gray125">
        <fgColor theme="2" tint="-9.982604449598681E-2"/>
        <bgColor rgb="FFFFC000"/>
      </patternFill>
    </fill>
    <fill>
      <patternFill patternType="gray0625">
        <fgColor theme="2" tint="-0.24994659260841701"/>
        <bgColor theme="8" tint="0.39994506668294322"/>
      </patternFill>
    </fill>
    <fill>
      <patternFill patternType="gray0625">
        <fgColor theme="2" tint="-0.24994659260841701"/>
        <bgColor theme="6" tint="0.39994506668294322"/>
      </patternFill>
    </fill>
    <fill>
      <patternFill patternType="gray0625">
        <fgColor theme="2" tint="-9.9887081514938816E-2"/>
        <bgColor rgb="FFCC99FF"/>
      </patternFill>
    </fill>
    <fill>
      <patternFill patternType="solid">
        <fgColor rgb="FFF1F5F9"/>
        <bgColor indexed="64"/>
      </patternFill>
    </fill>
    <fill>
      <patternFill patternType="solid">
        <fgColor theme="4"/>
        <bgColor theme="4"/>
      </patternFill>
    </fill>
    <fill>
      <patternFill patternType="solid">
        <fgColor rgb="FF00B050"/>
        <bgColor indexed="64"/>
      </patternFill>
    </fill>
    <fill>
      <patternFill patternType="solid">
        <fgColor rgb="FFFFC000"/>
        <bgColor indexed="64"/>
      </patternFill>
    </fill>
    <fill>
      <patternFill patternType="solid">
        <fgColor theme="1" tint="0.34998626667073579"/>
        <bgColor indexed="64"/>
      </patternFill>
    </fill>
    <fill>
      <patternFill patternType="solid">
        <fgColor theme="3" tint="-0.249977111117893"/>
        <bgColor indexed="64"/>
      </patternFill>
    </fill>
    <fill>
      <patternFill patternType="solid">
        <fgColor rgb="FFF1F5FB"/>
        <bgColor rgb="FF000000"/>
      </patternFill>
    </fill>
    <fill>
      <patternFill patternType="solid">
        <fgColor rgb="FFFCD5B4"/>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rgb="FFB2F5FE"/>
        <bgColor indexed="64"/>
      </patternFill>
    </fill>
    <fill>
      <patternFill patternType="lightGray">
        <fgColor indexed="44"/>
        <bgColor theme="0"/>
      </patternFill>
    </fill>
    <fill>
      <patternFill patternType="solid">
        <fgColor theme="5" tint="0.59999389629810485"/>
        <bgColor indexed="64"/>
      </patternFill>
    </fill>
    <fill>
      <patternFill patternType="solid">
        <fgColor theme="5" tint="-0.249977111117893"/>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8" tint="0.39994506668294322"/>
        <bgColor indexed="64"/>
      </patternFill>
    </fill>
    <fill>
      <patternFill patternType="solid">
        <fgColor theme="2" tint="-0.24994659260841701"/>
        <bgColor indexed="64"/>
      </patternFill>
    </fill>
    <fill>
      <patternFill patternType="solid">
        <fgColor theme="8" tint="-0.24994659260841701"/>
        <bgColor indexed="64"/>
      </patternFill>
    </fill>
    <fill>
      <patternFill patternType="solid">
        <fgColor theme="7" tint="0.59999389629810485"/>
        <bgColor indexed="64"/>
      </patternFill>
    </fill>
    <fill>
      <patternFill patternType="solid">
        <fgColor theme="9" tint="0.59999389629810485"/>
        <bgColor indexed="64"/>
      </patternFill>
    </fill>
    <fill>
      <patternFill patternType="gray0625">
        <fgColor theme="2" tint="-0.24994659260841701"/>
        <bgColor theme="4" tint="0.79989013336588644"/>
      </patternFill>
    </fill>
    <fill>
      <patternFill patternType="gray0625">
        <fgColor theme="2" tint="-0.24994659260841701"/>
        <bgColor theme="4" tint="0.79992065187536243"/>
      </patternFill>
    </fill>
    <fill>
      <patternFill patternType="gray0625">
        <fgColor theme="2" tint="-0.24994659260841701"/>
        <bgColor theme="9" tint="0.39997558519241921"/>
      </patternFill>
    </fill>
    <fill>
      <patternFill patternType="gray0625">
        <fgColor theme="2" tint="-9.9948118533890809E-2"/>
        <bgColor theme="9" tint="0.39997558519241921"/>
      </patternFill>
    </fill>
    <fill>
      <patternFill patternType="solid">
        <fgColor rgb="FFECECEC"/>
        <bgColor indexed="64"/>
      </patternFill>
    </fill>
    <fill>
      <patternFill patternType="solid">
        <fgColor theme="6" tint="0.59996337778862885"/>
        <bgColor rgb="FF000000"/>
      </patternFill>
    </fill>
    <fill>
      <patternFill patternType="solid">
        <fgColor rgb="FFE3E3E3"/>
        <bgColor indexed="64"/>
      </patternFill>
    </fill>
    <fill>
      <patternFill patternType="solid">
        <fgColor theme="1"/>
        <bgColor indexed="64"/>
      </patternFill>
    </fill>
    <fill>
      <patternFill patternType="solid">
        <fgColor theme="6" tint="-0.499984740745262"/>
        <bgColor indexed="64"/>
      </patternFill>
    </fill>
    <fill>
      <patternFill patternType="lightGray">
        <fgColor indexed="44"/>
        <bgColor theme="1"/>
      </patternFill>
    </fill>
  </fills>
  <borders count="414">
    <border>
      <left/>
      <right/>
      <top/>
      <bottom/>
      <diagonal/>
    </border>
    <border>
      <left style="thin">
        <color indexed="64"/>
      </left>
      <right style="thin">
        <color indexed="64"/>
      </right>
      <top/>
      <bottom style="medium">
        <color indexed="64"/>
      </bottom>
      <diagonal/>
    </border>
    <border>
      <left style="thin">
        <color indexed="64"/>
      </left>
      <right style="thin">
        <color indexed="64"/>
      </right>
      <top/>
      <bottom style="hair">
        <color indexed="64"/>
      </bottom>
      <diagonal/>
    </border>
    <border>
      <left style="medium">
        <color indexed="64"/>
      </left>
      <right style="thin">
        <color indexed="64"/>
      </right>
      <top/>
      <bottom style="hair">
        <color indexed="64"/>
      </bottom>
      <diagonal/>
    </border>
    <border>
      <left style="thin">
        <color indexed="64"/>
      </left>
      <right/>
      <top/>
      <bottom style="hair">
        <color indexed="64"/>
      </bottom>
      <diagonal/>
    </border>
    <border>
      <left style="thin">
        <color indexed="64"/>
      </left>
      <right style="medium">
        <color indexed="64"/>
      </right>
      <top/>
      <bottom style="hair">
        <color indexed="64"/>
      </bottom>
      <diagonal/>
    </border>
    <border>
      <left/>
      <right/>
      <top/>
      <bottom style="medium">
        <color indexed="64"/>
      </bottom>
      <diagonal/>
    </border>
    <border>
      <left/>
      <right/>
      <top style="hair">
        <color auto="1"/>
      </top>
      <bottom style="hair">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hair">
        <color indexed="64"/>
      </bottom>
      <diagonal/>
    </border>
    <border>
      <left/>
      <right style="medium">
        <color indexed="64"/>
      </right>
      <top style="medium">
        <color indexed="64"/>
      </top>
      <bottom style="hair">
        <color indexed="64"/>
      </bottom>
      <diagonal/>
    </border>
    <border>
      <left style="medium">
        <color indexed="64"/>
      </left>
      <right/>
      <top style="thin">
        <color indexed="64"/>
      </top>
      <bottom style="medium">
        <color indexed="64"/>
      </bottom>
      <diagonal/>
    </border>
    <border>
      <left/>
      <right/>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style="medium">
        <color indexed="64"/>
      </top>
      <bottom style="medium">
        <color indexed="64"/>
      </bottom>
      <diagonal/>
    </border>
    <border>
      <left/>
      <right/>
      <top/>
      <bottom style="double">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double">
        <color indexed="64"/>
      </left>
      <right style="thin">
        <color indexed="64"/>
      </right>
      <top style="double">
        <color indexed="64"/>
      </top>
      <bottom/>
      <diagonal/>
    </border>
    <border>
      <left style="thin">
        <color indexed="64"/>
      </left>
      <right style="thin">
        <color indexed="64"/>
      </right>
      <top style="double">
        <color indexed="64"/>
      </top>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double">
        <color indexed="64"/>
      </top>
      <bottom/>
      <diagonal/>
    </border>
    <border>
      <left/>
      <right style="thin">
        <color indexed="64"/>
      </right>
      <top style="double">
        <color indexed="64"/>
      </top>
      <bottom style="thin">
        <color indexed="64"/>
      </bottom>
      <diagonal/>
    </border>
    <border>
      <left/>
      <right style="thin">
        <color indexed="64"/>
      </right>
      <top style="thin">
        <color indexed="64"/>
      </top>
      <bottom style="double">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double">
        <color auto="1"/>
      </left>
      <right style="thin">
        <color auto="1"/>
      </right>
      <top style="thin">
        <color auto="1"/>
      </top>
      <bottom style="thin">
        <color auto="1"/>
      </bottom>
      <diagonal/>
    </border>
    <border>
      <left style="double">
        <color auto="1"/>
      </left>
      <right style="thin">
        <color auto="1"/>
      </right>
      <top style="thin">
        <color auto="1"/>
      </top>
      <bottom style="double">
        <color auto="1"/>
      </bottom>
      <diagonal/>
    </border>
    <border>
      <left/>
      <right style="thin">
        <color indexed="64"/>
      </right>
      <top/>
      <bottom style="medium">
        <color indexed="64"/>
      </bottom>
      <diagonal/>
    </border>
    <border>
      <left style="medium">
        <color indexed="64"/>
      </left>
      <right style="medium">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indexed="64"/>
      </left>
      <right style="thin">
        <color theme="0"/>
      </right>
      <top/>
      <bottom style="thin">
        <color theme="0"/>
      </bottom>
      <diagonal/>
    </border>
    <border>
      <left style="thin">
        <color theme="0"/>
      </left>
      <right style="thin">
        <color theme="0"/>
      </right>
      <top/>
      <bottom style="thin">
        <color indexed="64"/>
      </bottom>
      <diagonal/>
    </border>
    <border>
      <left style="thin">
        <color theme="0"/>
      </left>
      <right/>
      <top/>
      <bottom style="thin">
        <color indexed="64"/>
      </bottom>
      <diagonal/>
    </border>
    <border>
      <left style="thin">
        <color indexed="64"/>
      </left>
      <right style="thin">
        <color indexed="64"/>
      </right>
      <top style="thin">
        <color theme="0"/>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bottom/>
      <diagonal/>
    </border>
    <border>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style="thin">
        <color indexed="64"/>
      </left>
      <right style="thin">
        <color indexed="64"/>
      </right>
      <top style="thin">
        <color indexed="64"/>
      </top>
      <bottom/>
      <diagonal/>
    </border>
    <border>
      <left style="thin">
        <color indexed="64"/>
      </left>
      <right style="medium">
        <color indexed="64"/>
      </right>
      <top/>
      <bottom style="medium">
        <color indexed="64"/>
      </bottom>
      <diagonal/>
    </border>
    <border>
      <left/>
      <right/>
      <top style="medium">
        <color auto="1"/>
      </top>
      <bottom style="medium">
        <color auto="1"/>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thin">
        <color auto="1"/>
      </bottom>
      <diagonal/>
    </border>
    <border>
      <left style="thin">
        <color indexed="64"/>
      </left>
      <right/>
      <top style="medium">
        <color indexed="64"/>
      </top>
      <bottom style="thin">
        <color auto="1"/>
      </bottom>
      <diagonal/>
    </border>
    <border>
      <left style="medium">
        <color indexed="64"/>
      </left>
      <right/>
      <top style="medium">
        <color auto="1"/>
      </top>
      <bottom/>
      <diagonal/>
    </border>
    <border>
      <left/>
      <right/>
      <top style="medium">
        <color auto="1"/>
      </top>
      <bottom/>
      <diagonal/>
    </border>
    <border>
      <left/>
      <right style="medium">
        <color indexed="64"/>
      </right>
      <top style="medium">
        <color auto="1"/>
      </top>
      <bottom/>
      <diagonal/>
    </border>
    <border>
      <left/>
      <right style="medium">
        <color indexed="64"/>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theme="0"/>
      </left>
      <right/>
      <top/>
      <bottom/>
      <diagonal/>
    </border>
    <border>
      <left style="double">
        <color indexed="64"/>
      </left>
      <right/>
      <top/>
      <bottom/>
      <diagonal/>
    </border>
    <border>
      <left style="double">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style="thin">
        <color theme="0"/>
      </top>
      <bottom style="thin">
        <color indexed="64"/>
      </bottom>
      <diagonal/>
    </border>
    <border>
      <left style="double">
        <color indexed="64"/>
      </left>
      <right/>
      <top style="thin">
        <color theme="0"/>
      </top>
      <bottom style="double">
        <color indexed="64"/>
      </bottom>
      <diagonal/>
    </border>
    <border>
      <left style="thin">
        <color theme="0"/>
      </left>
      <right style="medium">
        <color indexed="64"/>
      </right>
      <top/>
      <bottom/>
      <diagonal/>
    </border>
    <border>
      <left style="thin">
        <color theme="0"/>
      </left>
      <right style="medium">
        <color indexed="64"/>
      </right>
      <top/>
      <bottom style="thin">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theme="0"/>
      </left>
      <right style="thin">
        <color theme="0"/>
      </right>
      <top style="thin">
        <color indexed="64"/>
      </top>
      <bottom/>
      <diagonal/>
    </border>
    <border>
      <left/>
      <right/>
      <top style="thin">
        <color indexed="64"/>
      </top>
      <bottom style="thin">
        <color indexed="64"/>
      </bottom>
      <diagonal/>
    </border>
    <border>
      <left style="medium">
        <color indexed="64"/>
      </left>
      <right/>
      <top style="medium">
        <color auto="1"/>
      </top>
      <bottom style="hair">
        <color indexed="64"/>
      </bottom>
      <diagonal/>
    </border>
    <border>
      <left/>
      <right/>
      <top style="medium">
        <color auto="1"/>
      </top>
      <bottom style="hair">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double">
        <color auto="1"/>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style="thin">
        <color indexed="64"/>
      </bottom>
      <diagonal/>
    </border>
    <border>
      <left/>
      <right/>
      <top style="thin">
        <color indexed="64"/>
      </top>
      <bottom style="double">
        <color indexed="64"/>
      </bottom>
      <diagonal/>
    </border>
    <border>
      <left/>
      <right/>
      <top style="thin">
        <color auto="1"/>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00B0F0"/>
      </left>
      <right style="thin">
        <color rgb="FF00B0F0"/>
      </right>
      <top style="thin">
        <color rgb="FF00B0F0"/>
      </top>
      <bottom style="thin">
        <color rgb="FF00B0F0"/>
      </bottom>
      <diagonal/>
    </border>
    <border>
      <left style="double">
        <color indexed="64"/>
      </left>
      <right/>
      <top/>
      <bottom style="hair">
        <color indexed="64"/>
      </bottom>
      <diagonal/>
    </border>
    <border>
      <left style="thin">
        <color indexed="64"/>
      </left>
      <right style="hair">
        <color indexed="64"/>
      </right>
      <top style="thin">
        <color indexed="64"/>
      </top>
      <bottom style="hair">
        <color indexed="64"/>
      </bottom>
      <diagonal/>
    </border>
    <border>
      <left/>
      <right/>
      <top/>
      <bottom style="double">
        <color indexed="52"/>
      </bottom>
      <diagonal/>
    </border>
    <border>
      <left/>
      <right/>
      <top/>
      <bottom style="medium">
        <color indexed="30"/>
      </bottom>
      <diagonal/>
    </border>
    <border>
      <left style="double">
        <color indexed="64"/>
      </left>
      <right style="double">
        <color indexed="64"/>
      </right>
      <top style="double">
        <color indexed="64"/>
      </top>
      <bottom style="double">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style="thin">
        <color indexed="62"/>
      </top>
      <bottom style="double">
        <color indexed="62"/>
      </bottom>
      <diagonal/>
    </border>
    <border>
      <left style="thin">
        <color indexed="8"/>
      </left>
      <right style="thin">
        <color indexed="8"/>
      </right>
      <top style="thin">
        <color indexed="8"/>
      </top>
      <bottom style="thin">
        <color indexed="8"/>
      </bottom>
      <diagonal/>
    </border>
    <border>
      <left style="medium">
        <color rgb="FF618C2C"/>
      </left>
      <right/>
      <top style="medium">
        <color rgb="FF618C2C"/>
      </top>
      <bottom/>
      <diagonal/>
    </border>
    <border>
      <left/>
      <right/>
      <top style="medium">
        <color rgb="FF618C2C"/>
      </top>
      <bottom/>
      <diagonal/>
    </border>
    <border>
      <left/>
      <right style="medium">
        <color theme="9" tint="-0.499984740745262"/>
      </right>
      <top style="medium">
        <color theme="9" tint="-0.499984740745262"/>
      </top>
      <bottom/>
      <diagonal/>
    </border>
    <border>
      <left/>
      <right/>
      <top style="medium">
        <color theme="9" tint="-0.499984740745262"/>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medium">
        <color theme="1"/>
      </right>
      <top/>
      <bottom style="medium">
        <color auto="1"/>
      </bottom>
      <diagonal/>
    </border>
    <border>
      <left/>
      <right/>
      <top/>
      <bottom style="medium">
        <color auto="1"/>
      </bottom>
      <diagonal/>
    </border>
    <border>
      <left style="thin">
        <color indexed="64"/>
      </left>
      <right/>
      <top style="thin">
        <color indexed="64"/>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right/>
      <top style="thin">
        <color indexed="62"/>
      </top>
      <bottom style="double">
        <color indexed="62"/>
      </bottom>
      <diagonal/>
    </border>
    <border>
      <left style="thin">
        <color indexed="8"/>
      </left>
      <right style="thin">
        <color indexed="8"/>
      </right>
      <top style="thin">
        <color indexed="8"/>
      </top>
      <bottom style="thin">
        <color indexed="8"/>
      </bottom>
      <diagonal/>
    </border>
    <border>
      <left/>
      <right style="thin">
        <color auto="1"/>
      </right>
      <top style="thin">
        <color indexed="64"/>
      </top>
      <bottom style="thin">
        <color auto="1"/>
      </bottom>
      <diagonal/>
    </border>
    <border>
      <left/>
      <right style="thin">
        <color rgb="FF00B0F0"/>
      </right>
      <top style="thin">
        <color rgb="FF00B0F0"/>
      </top>
      <bottom style="thin">
        <color rgb="FF00B0F0"/>
      </bottom>
      <diagonal/>
    </border>
    <border>
      <left style="thin">
        <color indexed="23"/>
      </left>
      <right style="thin">
        <color indexed="23"/>
      </right>
      <top style="thin">
        <color indexed="23"/>
      </top>
      <bottom style="thin">
        <color indexed="23"/>
      </bottom>
      <diagonal/>
    </border>
    <border>
      <left/>
      <right/>
      <top/>
      <bottom style="double">
        <color indexed="10"/>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medium">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right style="medium">
        <color indexed="64"/>
      </right>
      <top style="thin">
        <color auto="1"/>
      </top>
      <bottom style="thin">
        <color auto="1"/>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
      <left/>
      <right style="thin">
        <color indexed="64"/>
      </right>
      <top style="thin">
        <color auto="1"/>
      </top>
      <bottom/>
      <diagonal/>
    </border>
    <border>
      <left style="double">
        <color auto="1"/>
      </left>
      <right style="thin">
        <color indexed="64"/>
      </right>
      <top/>
      <bottom/>
      <diagonal/>
    </border>
    <border>
      <left style="thin">
        <color indexed="64"/>
      </left>
      <right style="double">
        <color indexed="64"/>
      </right>
      <top style="thin">
        <color indexed="64"/>
      </top>
      <bottom style="thin">
        <color auto="1"/>
      </bottom>
      <diagonal/>
    </border>
    <border>
      <left style="thin">
        <color indexed="64"/>
      </left>
      <right style="double">
        <color indexed="64"/>
      </right>
      <top/>
      <bottom style="thin">
        <color indexed="64"/>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style="double">
        <color indexed="64"/>
      </right>
      <top/>
      <bottom style="thin">
        <color auto="1"/>
      </bottom>
      <diagonal/>
    </border>
    <border>
      <left/>
      <right style="thin">
        <color indexed="64"/>
      </right>
      <top style="hair">
        <color indexed="64"/>
      </top>
      <bottom style="double">
        <color indexed="64"/>
      </bottom>
      <diagonal/>
    </border>
    <border>
      <left style="thin">
        <color indexed="64"/>
      </left>
      <right/>
      <top style="hair">
        <color indexed="64"/>
      </top>
      <bottom style="double">
        <color indexed="64"/>
      </bottom>
      <diagonal/>
    </border>
    <border>
      <left/>
      <right style="thin">
        <color indexed="64"/>
      </right>
      <top style="hair">
        <color indexed="64"/>
      </top>
      <bottom style="hair">
        <color indexed="64"/>
      </bottom>
      <diagonal/>
    </border>
    <border>
      <left style="thin">
        <color theme="3" tint="0.39994506668294322"/>
      </left>
      <right style="thin">
        <color theme="3" tint="0.39994506668294322"/>
      </right>
      <top/>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hair">
        <color indexed="64"/>
      </top>
      <bottom style="hair">
        <color indexed="64"/>
      </bottom>
      <diagonal/>
    </border>
    <border>
      <left style="thin">
        <color indexed="64"/>
      </left>
      <right style="double">
        <color indexed="64"/>
      </right>
      <top style="hair">
        <color indexed="64"/>
      </top>
      <bottom style="double">
        <color indexed="64"/>
      </bottom>
      <diagonal/>
    </border>
    <border>
      <left style="thin">
        <color indexed="64"/>
      </left>
      <right style="double">
        <color indexed="64"/>
      </right>
      <top/>
      <bottom style="hair">
        <color indexed="64"/>
      </bottom>
      <diagonal/>
    </border>
    <border>
      <left style="double">
        <color indexed="64"/>
      </left>
      <right style="thin">
        <color indexed="64"/>
      </right>
      <top style="medium">
        <color indexed="64"/>
      </top>
      <bottom/>
      <diagonal/>
    </border>
    <border>
      <left style="double">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medium">
        <color indexed="64"/>
      </right>
      <top style="double">
        <color indexed="64"/>
      </top>
      <bottom style="double">
        <color indexed="64"/>
      </bottom>
      <diagonal/>
    </border>
    <border>
      <left style="medium">
        <color indexed="64"/>
      </left>
      <right/>
      <top style="double">
        <color indexed="64"/>
      </top>
      <bottom style="double">
        <color indexed="64"/>
      </bottom>
      <diagonal/>
    </border>
    <border>
      <left style="medium">
        <color indexed="64"/>
      </left>
      <right style="medium">
        <color indexed="64"/>
      </right>
      <top style="double">
        <color indexed="64"/>
      </top>
      <bottom style="double">
        <color indexed="64"/>
      </bottom>
      <diagonal/>
    </border>
    <border>
      <left style="double">
        <color indexed="64"/>
      </left>
      <right/>
      <top/>
      <bottom style="thin">
        <color theme="4" tint="0.39997558519241921"/>
      </bottom>
      <diagonal/>
    </border>
    <border>
      <left/>
      <right/>
      <top/>
      <bottom style="thin">
        <color theme="4" tint="0.39997558519241921"/>
      </bottom>
      <diagonal/>
    </border>
    <border>
      <left/>
      <right style="double">
        <color indexed="64"/>
      </right>
      <top style="medium">
        <color indexed="64"/>
      </top>
      <bottom/>
      <diagonal/>
    </border>
    <border>
      <left style="double">
        <color indexed="64"/>
      </left>
      <right/>
      <top style="thin">
        <color theme="4" tint="0.39997558519241921"/>
      </top>
      <bottom/>
      <diagonal/>
    </border>
    <border>
      <left/>
      <right/>
      <top style="thin">
        <color theme="4" tint="0.39997558519241921"/>
      </top>
      <bottom/>
      <diagonal/>
    </border>
    <border>
      <left style="double">
        <color indexed="64"/>
      </left>
      <right/>
      <top style="thin">
        <color theme="3" tint="0.79998168889431442"/>
      </top>
      <bottom style="thin">
        <color theme="3" tint="0.79998168889431442"/>
      </bottom>
      <diagonal/>
    </border>
    <border>
      <left/>
      <right/>
      <top style="thin">
        <color theme="3" tint="0.79998168889431442"/>
      </top>
      <bottom style="thin">
        <color theme="3" tint="0.79998168889431442"/>
      </bottom>
      <diagonal/>
    </border>
    <border>
      <left style="double">
        <color indexed="64"/>
      </left>
      <right/>
      <top/>
      <bottom style="thin">
        <color theme="4" tint="0.79998168889431442"/>
      </bottom>
      <diagonal/>
    </border>
    <border>
      <left/>
      <right/>
      <top/>
      <bottom style="thin">
        <color theme="4" tint="0.79998168889431442"/>
      </bottom>
      <diagonal/>
    </border>
    <border>
      <left style="double">
        <color indexed="64"/>
      </left>
      <right/>
      <top style="thin">
        <color theme="4" tint="0.79998168889431442"/>
      </top>
      <bottom style="thin">
        <color theme="4" tint="0.79998168889431442"/>
      </bottom>
      <diagonal/>
    </border>
    <border>
      <left/>
      <right/>
      <top style="thin">
        <color theme="4" tint="0.79998168889431442"/>
      </top>
      <bottom style="thin">
        <color theme="4" tint="0.79998168889431442"/>
      </bottom>
      <diagonal/>
    </border>
    <border>
      <left style="double">
        <color indexed="64"/>
      </left>
      <right/>
      <top style="thin">
        <color theme="4" tint="0.79998168889431442"/>
      </top>
      <bottom style="double">
        <color indexed="64"/>
      </bottom>
      <diagonal/>
    </border>
    <border>
      <left/>
      <right/>
      <top style="thin">
        <color theme="4" tint="0.79998168889431442"/>
      </top>
      <bottom style="double">
        <color indexed="64"/>
      </bottom>
      <diagonal/>
    </border>
    <border>
      <left/>
      <right style="double">
        <color indexed="64"/>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indexed="64"/>
      </left>
      <right style="double">
        <color indexed="64"/>
      </right>
      <top style="medium">
        <color indexed="64"/>
      </top>
      <bottom style="hair">
        <color indexed="64"/>
      </bottom>
      <diagonal/>
    </border>
    <border>
      <left style="thin">
        <color indexed="64"/>
      </left>
      <right style="double">
        <color indexed="64"/>
      </right>
      <top style="hair">
        <color indexed="64"/>
      </top>
      <bottom/>
      <diagonal/>
    </border>
    <border>
      <left style="thin">
        <color indexed="64"/>
      </left>
      <right style="thin">
        <color indexed="64"/>
      </right>
      <top style="double">
        <color indexed="64"/>
      </top>
      <bottom style="hair">
        <color indexed="64"/>
      </bottom>
      <diagonal/>
    </border>
    <border>
      <left style="thin">
        <color indexed="64"/>
      </left>
      <right style="double">
        <color indexed="64"/>
      </right>
      <top style="double">
        <color indexed="64"/>
      </top>
      <bottom style="hair">
        <color indexed="64"/>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auto="1"/>
      </left>
      <right style="thin">
        <color auto="1"/>
      </right>
      <top style="thin">
        <color auto="1"/>
      </top>
      <bottom style="thin">
        <color auto="1"/>
      </bottom>
      <diagonal/>
    </border>
    <border>
      <left style="double">
        <color indexed="64"/>
      </left>
      <right style="thin">
        <color indexed="64"/>
      </right>
      <top style="medium">
        <color indexed="64"/>
      </top>
      <bottom style="hair">
        <color indexed="64"/>
      </bottom>
      <diagonal/>
    </border>
    <border>
      <left style="thin">
        <color indexed="64"/>
      </left>
      <right/>
      <top style="hair">
        <color indexed="64"/>
      </top>
      <bottom style="hair">
        <color indexed="64"/>
      </bottom>
      <diagonal/>
    </border>
    <border>
      <left style="double">
        <color indexed="64"/>
      </left>
      <right style="thin">
        <color indexed="64"/>
      </right>
      <top/>
      <bottom style="hair">
        <color indexed="64"/>
      </bottom>
      <diagonal/>
    </border>
    <border>
      <left style="thin">
        <color indexed="64"/>
      </left>
      <right style="double">
        <color indexed="64"/>
      </right>
      <top/>
      <bottom style="double">
        <color auto="1"/>
      </bottom>
      <diagonal/>
    </border>
    <border>
      <left/>
      <right style="thin">
        <color indexed="64"/>
      </right>
      <top/>
      <bottom style="double">
        <color indexed="64"/>
      </bottom>
      <diagonal/>
    </border>
    <border>
      <left style="thin">
        <color indexed="64"/>
      </left>
      <right/>
      <top style="double">
        <color indexed="64"/>
      </top>
      <bottom style="hair">
        <color indexed="64"/>
      </bottom>
      <diagonal/>
    </border>
    <border>
      <left style="double">
        <color indexed="64"/>
      </left>
      <right style="thin">
        <color indexed="64"/>
      </right>
      <top style="double">
        <color indexed="64"/>
      </top>
      <bottom style="hair">
        <color indexed="64"/>
      </bottom>
      <diagonal/>
    </border>
    <border>
      <left/>
      <right style="thin">
        <color indexed="64"/>
      </right>
      <top style="double">
        <color indexed="64"/>
      </top>
      <bottom style="hair">
        <color indexed="64"/>
      </bottom>
      <diagonal/>
    </border>
    <border>
      <left style="double">
        <color indexed="64"/>
      </left>
      <right style="thin">
        <color indexed="64"/>
      </right>
      <top style="hair">
        <color indexed="64"/>
      </top>
      <bottom style="hair">
        <color indexed="64"/>
      </bottom>
      <diagonal/>
    </border>
    <border>
      <left style="double">
        <color indexed="64"/>
      </left>
      <right style="thin">
        <color indexed="64"/>
      </right>
      <top style="hair">
        <color indexed="64"/>
      </top>
      <bottom style="double">
        <color indexed="64"/>
      </bottom>
      <diagonal/>
    </border>
    <border>
      <left style="thin">
        <color indexed="64"/>
      </left>
      <right/>
      <top style="thin">
        <color indexed="64"/>
      </top>
      <bottom/>
      <diagonal/>
    </border>
    <border>
      <left style="thick">
        <color theme="0" tint="-0.34998626667073579"/>
      </left>
      <right style="thick">
        <color auto="1"/>
      </right>
      <top style="thick">
        <color theme="0" tint="-0.34998626667073579"/>
      </top>
      <bottom style="thick">
        <color auto="1"/>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medium">
        <color indexed="64"/>
      </left>
      <right style="thin">
        <color auto="1"/>
      </right>
      <top style="thin">
        <color auto="1"/>
      </top>
      <bottom style="thin">
        <color auto="1"/>
      </bottom>
      <diagonal/>
    </border>
    <border>
      <left style="thin">
        <color rgb="FF808080"/>
      </left>
      <right style="thin">
        <color rgb="FF808080"/>
      </right>
      <top style="thin">
        <color rgb="FF808080"/>
      </top>
      <bottom style="thin">
        <color rgb="FF808080"/>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hair">
        <color auto="1"/>
      </left>
      <right style="hair">
        <color auto="1"/>
      </right>
      <top style="medium">
        <color auto="1"/>
      </top>
      <bottom/>
      <diagonal/>
    </border>
    <border>
      <left/>
      <right style="hair">
        <color auto="1"/>
      </right>
      <top/>
      <bottom style="hair">
        <color auto="1"/>
      </bottom>
      <diagonal/>
    </border>
    <border>
      <left style="hair">
        <color auto="1"/>
      </left>
      <right style="hair">
        <color auto="1"/>
      </right>
      <top style="hair">
        <color auto="1"/>
      </top>
      <bottom style="hair">
        <color auto="1"/>
      </bottom>
      <diagonal/>
    </border>
    <border>
      <left/>
      <right style="hair">
        <color auto="1"/>
      </right>
      <top/>
      <bottom/>
      <diagonal/>
    </border>
    <border>
      <left style="hair">
        <color auto="1"/>
      </left>
      <right style="hair">
        <color auto="1"/>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diagonal/>
    </border>
    <border>
      <left/>
      <right style="hair">
        <color auto="1"/>
      </right>
      <top/>
      <bottom style="medium">
        <color auto="1"/>
      </bottom>
      <diagonal/>
    </border>
    <border>
      <left style="hair">
        <color auto="1"/>
      </left>
      <right style="hair">
        <color auto="1"/>
      </right>
      <top/>
      <bottom style="medium">
        <color auto="1"/>
      </bottom>
      <diagonal/>
    </border>
    <border>
      <left style="hair">
        <color auto="1"/>
      </left>
      <right style="hair">
        <color auto="1"/>
      </right>
      <top style="hair">
        <color auto="1"/>
      </top>
      <bottom style="medium">
        <color auto="1"/>
      </bottom>
      <diagonal/>
    </border>
    <border>
      <left style="hair">
        <color auto="1"/>
      </left>
      <right/>
      <top style="hair">
        <color auto="1"/>
      </top>
      <bottom style="medium">
        <color auto="1"/>
      </bottom>
      <diagonal/>
    </border>
    <border>
      <left/>
      <right style="hair">
        <color auto="1"/>
      </right>
      <top style="hair">
        <color auto="1"/>
      </top>
      <bottom style="medium">
        <color auto="1"/>
      </bottom>
      <diagonal/>
    </border>
    <border>
      <left style="thin">
        <color auto="1"/>
      </left>
      <right style="medium">
        <color indexed="64"/>
      </right>
      <top style="thin">
        <color auto="1"/>
      </top>
      <bottom style="thin">
        <color auto="1"/>
      </bottom>
      <diagonal/>
    </border>
    <border>
      <left/>
      <right style="double">
        <color auto="1"/>
      </right>
      <top style="thin">
        <color indexed="64"/>
      </top>
      <bottom style="thin">
        <color indexed="64"/>
      </bottom>
      <diagonal/>
    </border>
    <border>
      <left/>
      <right style="double">
        <color indexed="64"/>
      </right>
      <top style="thin">
        <color indexed="64"/>
      </top>
      <bottom/>
      <diagonal/>
    </border>
    <border>
      <left style="double">
        <color indexed="64"/>
      </left>
      <right/>
      <top style="thin">
        <color indexed="64"/>
      </top>
      <bottom style="thin">
        <color auto="1"/>
      </bottom>
      <diagonal/>
    </border>
    <border>
      <left style="thin">
        <color indexed="64"/>
      </left>
      <right style="double">
        <color indexed="64"/>
      </right>
      <top style="thin">
        <color indexed="64"/>
      </top>
      <bottom style="thin">
        <color auto="1"/>
      </bottom>
      <diagonal/>
    </border>
    <border>
      <left style="medium">
        <color indexed="64"/>
      </left>
      <right/>
      <top style="thin">
        <color auto="1"/>
      </top>
      <bottom style="thin">
        <color auto="1"/>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hair">
        <color auto="1"/>
      </left>
      <right/>
      <top style="hair">
        <color auto="1"/>
      </top>
      <bottom/>
      <diagonal/>
    </border>
    <border>
      <left/>
      <right style="hair">
        <color auto="1"/>
      </right>
      <top style="hair">
        <color auto="1"/>
      </top>
      <bottom/>
      <diagonal/>
    </border>
    <border>
      <left style="medium">
        <color indexed="64"/>
      </left>
      <right style="medium">
        <color indexed="64"/>
      </right>
      <top/>
      <bottom style="dotted">
        <color indexed="64"/>
      </bottom>
      <diagonal/>
    </border>
    <border>
      <left style="thin">
        <color indexed="64"/>
      </left>
      <right style="medium">
        <color indexed="64"/>
      </right>
      <top style="double">
        <color indexed="64"/>
      </top>
      <bottom style="hair">
        <color indexed="64"/>
      </bottom>
      <diagonal/>
    </border>
    <border>
      <left/>
      <right/>
      <top/>
      <bottom style="double">
        <color indexed="64"/>
      </bottom>
      <diagonal/>
    </border>
    <border>
      <left style="double">
        <color auto="1"/>
      </left>
      <right/>
      <top/>
      <bottom style="double">
        <color auto="1"/>
      </bottom>
      <diagonal/>
    </border>
    <border>
      <left/>
      <right style="double">
        <color auto="1"/>
      </right>
      <top/>
      <bottom style="double">
        <color auto="1"/>
      </bottom>
      <diagonal/>
    </border>
    <border>
      <left/>
      <right style="thin">
        <color auto="1"/>
      </right>
      <top style="thin">
        <color indexed="64"/>
      </top>
      <bottom style="thin">
        <color auto="1"/>
      </bottom>
      <diagonal/>
    </border>
    <border>
      <left/>
      <right style="thin">
        <color indexed="64"/>
      </right>
      <top style="thin">
        <color indexed="64"/>
      </top>
      <bottom style="thin">
        <color indexed="64"/>
      </bottom>
      <diagonal/>
    </border>
    <border>
      <left style="thin">
        <color theme="0"/>
      </left>
      <right style="double">
        <color indexed="64"/>
      </right>
      <top/>
      <bottom/>
      <diagonal/>
    </border>
    <border>
      <left style="thin">
        <color theme="0"/>
      </left>
      <right style="double">
        <color indexed="64"/>
      </right>
      <top/>
      <bottom style="thin">
        <color indexed="64"/>
      </bottom>
      <diagonal/>
    </border>
    <border>
      <left style="thin">
        <color auto="1"/>
      </left>
      <right style="thin">
        <color auto="1"/>
      </right>
      <top style="thin">
        <color auto="1"/>
      </top>
      <bottom style="double">
        <color auto="1"/>
      </bottom>
      <diagonal/>
    </border>
    <border>
      <left/>
      <right style="thin">
        <color auto="1"/>
      </right>
      <top style="thin">
        <color auto="1"/>
      </top>
      <bottom style="double">
        <color indexed="64"/>
      </bottom>
      <diagonal/>
    </border>
    <border>
      <left style="thin">
        <color auto="1"/>
      </left>
      <right style="double">
        <color auto="1"/>
      </right>
      <top style="thin">
        <color auto="1"/>
      </top>
      <bottom style="double">
        <color indexed="64"/>
      </bottom>
      <diagonal/>
    </border>
    <border>
      <left/>
      <right style="thin">
        <color auto="1"/>
      </right>
      <top style="thin">
        <color indexed="64"/>
      </top>
      <bottom style="thin">
        <color auto="1"/>
      </bottom>
      <diagonal/>
    </border>
    <border>
      <left style="medium">
        <color indexed="64"/>
      </left>
      <right style="thin">
        <color indexed="64"/>
      </right>
      <top style="thin">
        <color indexed="64"/>
      </top>
      <bottom/>
      <diagonal/>
    </border>
    <border>
      <left style="thin">
        <color indexed="64"/>
      </left>
      <right style="medium">
        <color indexed="64"/>
      </right>
      <top style="double">
        <color indexed="64"/>
      </top>
      <bottom style="double">
        <color indexed="64"/>
      </bottom>
      <diagonal/>
    </border>
    <border>
      <left style="hair">
        <color auto="1"/>
      </left>
      <right/>
      <top/>
      <bottom style="medium">
        <color auto="1"/>
      </bottom>
      <diagonal/>
    </border>
    <border>
      <left style="hair">
        <color auto="1"/>
      </left>
      <right style="hair">
        <color auto="1"/>
      </right>
      <top style="medium">
        <color auto="1"/>
      </top>
      <bottom style="hair">
        <color auto="1"/>
      </bottom>
      <diagonal/>
    </border>
    <border>
      <left/>
      <right style="hair">
        <color auto="1"/>
      </right>
      <top style="medium">
        <color auto="1"/>
      </top>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right style="thin">
        <color auto="1"/>
      </right>
      <top style="thin">
        <color indexed="64"/>
      </top>
      <bottom style="thin">
        <color auto="1"/>
      </bottom>
      <diagonal/>
    </border>
    <border>
      <left style="thin">
        <color auto="1"/>
      </left>
      <right style="medium">
        <color indexed="64"/>
      </right>
      <top style="thin">
        <color auto="1"/>
      </top>
      <bottom/>
      <diagonal/>
    </border>
    <border>
      <left style="medium">
        <color indexed="64"/>
      </left>
      <right/>
      <top style="thin">
        <color auto="1"/>
      </top>
      <bottom style="thin">
        <color indexed="64"/>
      </bottom>
      <diagonal/>
    </border>
    <border>
      <left style="double">
        <color indexed="64"/>
      </left>
      <right/>
      <top style="thin">
        <color indexed="64"/>
      </top>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indexed="64"/>
      </top>
      <bottom style="medium">
        <color auto="1"/>
      </bottom>
      <diagonal/>
    </border>
    <border>
      <left/>
      <right style="medium">
        <color indexed="64"/>
      </right>
      <top/>
      <bottom style="hair">
        <color indexed="64"/>
      </bottom>
      <diagonal/>
    </border>
    <border>
      <left style="medium">
        <color indexed="64"/>
      </left>
      <right style="medium">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medium">
        <color indexed="64"/>
      </left>
      <right style="medium">
        <color indexed="64"/>
      </right>
      <top style="dotted">
        <color indexed="64"/>
      </top>
      <bottom style="dotted">
        <color indexed="64"/>
      </bottom>
      <diagonal/>
    </border>
    <border>
      <left/>
      <right style="medium">
        <color indexed="64"/>
      </right>
      <top/>
      <bottom style="dotted">
        <color indexed="64"/>
      </bottom>
      <diagonal/>
    </border>
    <border>
      <left/>
      <right style="medium">
        <color indexed="64"/>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style="hair">
        <color indexed="64"/>
      </top>
      <bottom/>
      <diagonal/>
    </border>
    <border>
      <left style="medium">
        <color indexed="64"/>
      </left>
      <right/>
      <top style="hair">
        <color indexed="64"/>
      </top>
      <bottom style="hair">
        <color indexed="64"/>
      </bottom>
      <diagonal/>
    </border>
    <border>
      <left/>
      <right style="thin">
        <color indexed="64"/>
      </right>
      <top style="hair">
        <color indexed="64"/>
      </top>
      <bottom/>
      <diagonal/>
    </border>
    <border>
      <left style="thin">
        <color indexed="64"/>
      </left>
      <right/>
      <top style="hair">
        <color indexed="64"/>
      </top>
      <bottom/>
      <diagonal/>
    </border>
    <border>
      <left/>
      <right style="medium">
        <color indexed="64"/>
      </right>
      <top style="hair">
        <color indexed="64"/>
      </top>
      <bottom style="double">
        <color indexed="64"/>
      </bottom>
      <diagonal/>
    </border>
    <border>
      <left/>
      <right/>
      <top style="hair">
        <color indexed="64"/>
      </top>
      <bottom style="double">
        <color indexed="64"/>
      </bottom>
      <diagonal/>
    </border>
    <border>
      <left/>
      <right/>
      <top style="thin">
        <color indexed="64"/>
      </top>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auto="1"/>
      </bottom>
      <diagonal/>
    </border>
    <border>
      <left/>
      <right style="medium">
        <color indexed="64"/>
      </right>
      <top style="thin">
        <color indexed="64"/>
      </top>
      <bottom style="medium">
        <color auto="1"/>
      </bottom>
      <diagonal/>
    </border>
    <border>
      <left style="thin">
        <color indexed="64"/>
      </left>
      <right/>
      <top style="thin">
        <color indexed="64"/>
      </top>
      <bottom style="medium">
        <color auto="1"/>
      </bottom>
      <diagonal/>
    </border>
    <border>
      <left/>
      <right style="thin">
        <color auto="1"/>
      </right>
      <top style="thin">
        <color auto="1"/>
      </top>
      <bottom style="medium">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rgb="FFBCBCBC"/>
      </left>
      <right/>
      <top style="thin">
        <color rgb="FFBCBCBC"/>
      </top>
      <bottom style="thin">
        <color rgb="FFBCBCBC"/>
      </bottom>
      <diagonal/>
    </border>
    <border>
      <left/>
      <right style="thin">
        <color rgb="FFBCBCBC"/>
      </right>
      <top style="thin">
        <color rgb="FFBCBCBC"/>
      </top>
      <bottom style="thin">
        <color rgb="FFBCBCBC"/>
      </bottom>
      <diagonal/>
    </border>
    <border>
      <left style="medium">
        <color theme="1" tint="0.499984740745262"/>
      </left>
      <right/>
      <top style="medium">
        <color theme="1" tint="0.499984740745262"/>
      </top>
      <bottom/>
      <diagonal/>
    </border>
    <border>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top/>
      <bottom style="medium">
        <color theme="1" tint="0.499984740745262"/>
      </bottom>
      <diagonal/>
    </border>
    <border>
      <left/>
      <right style="medium">
        <color theme="1" tint="0.499984740745262"/>
      </right>
      <top/>
      <bottom style="medium">
        <color theme="1" tint="0.499984740745262"/>
      </bottom>
      <diagonal/>
    </border>
    <border>
      <left style="medium">
        <color indexed="64"/>
      </left>
      <right style="thin">
        <color indexed="64"/>
      </right>
      <top style="thin">
        <color indexed="64"/>
      </top>
      <bottom style="medium">
        <color indexed="64"/>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n">
        <color indexed="64"/>
      </left>
      <right style="double">
        <color indexed="64"/>
      </right>
      <top style="thin">
        <color indexed="64"/>
      </top>
      <bottom style="medium">
        <color indexed="64"/>
      </bottom>
      <diagonal/>
    </border>
    <border>
      <left style="thin">
        <color indexed="64"/>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style="double">
        <color indexed="64"/>
      </top>
      <bottom style="double">
        <color indexed="64"/>
      </bottom>
      <diagonal/>
    </border>
    <border>
      <left style="medium">
        <color indexed="64"/>
      </left>
      <right style="medium">
        <color indexed="64"/>
      </right>
      <top/>
      <bottom style="thin">
        <color indexed="64"/>
      </bottom>
      <diagonal/>
    </border>
    <border>
      <left style="thin">
        <color theme="0"/>
      </left>
      <right/>
      <top style="hair">
        <color indexed="64"/>
      </top>
      <bottom/>
      <diagonal/>
    </border>
    <border>
      <left style="thin">
        <color auto="1"/>
      </left>
      <right style="thin">
        <color auto="1"/>
      </right>
      <top/>
      <bottom style="medium">
        <color indexed="64"/>
      </bottom>
      <diagonal/>
    </border>
  </borders>
  <cellStyleXfs count="41020">
    <xf numFmtId="0" fontId="0" fillId="0" borderId="0"/>
    <xf numFmtId="0" fontId="3" fillId="0" borderId="0"/>
    <xf numFmtId="172" fontId="3" fillId="0" borderId="0" applyFont="0" applyFill="0" applyBorder="0" applyAlignment="0" applyProtection="0"/>
    <xf numFmtId="0" fontId="3" fillId="0" borderId="0"/>
    <xf numFmtId="0" fontId="1" fillId="0" borderId="0"/>
    <xf numFmtId="0" fontId="14" fillId="0" borderId="0"/>
    <xf numFmtId="0" fontId="3" fillId="0" borderId="0"/>
    <xf numFmtId="173" fontId="18" fillId="0" borderId="0"/>
    <xf numFmtId="173" fontId="18" fillId="0" borderId="0"/>
    <xf numFmtId="173" fontId="18" fillId="0" borderId="0"/>
    <xf numFmtId="173" fontId="18" fillId="0" borderId="0"/>
    <xf numFmtId="173" fontId="18" fillId="0" borderId="0"/>
    <xf numFmtId="173" fontId="18" fillId="0" borderId="0"/>
    <xf numFmtId="173" fontId="18" fillId="0" borderId="0"/>
    <xf numFmtId="173" fontId="18" fillId="0" borderId="0"/>
    <xf numFmtId="0" fontId="19" fillId="0" borderId="0"/>
    <xf numFmtId="174" fontId="20" fillId="0" borderId="0"/>
    <xf numFmtId="0" fontId="3" fillId="0" borderId="0"/>
    <xf numFmtId="0" fontId="14" fillId="0" borderId="0"/>
    <xf numFmtId="9" fontId="3" fillId="0" borderId="0" applyFont="0" applyFill="0" applyBorder="0" applyAlignment="0" applyProtection="0"/>
    <xf numFmtId="0" fontId="19" fillId="0" borderId="30"/>
    <xf numFmtId="164" fontId="1" fillId="0" borderId="0" applyFont="0" applyFill="0" applyBorder="0" applyAlignment="0" applyProtection="0"/>
    <xf numFmtId="0" fontId="3" fillId="0" borderId="0"/>
    <xf numFmtId="0" fontId="14" fillId="0" borderId="0"/>
    <xf numFmtId="9" fontId="44" fillId="0" borderId="0" applyFont="0" applyFill="0" applyBorder="0" applyAlignment="0" applyProtection="0"/>
    <xf numFmtId="0" fontId="3" fillId="0" borderId="0"/>
    <xf numFmtId="9" fontId="1" fillId="0" borderId="0" applyFont="0" applyFill="0" applyBorder="0" applyAlignment="0" applyProtection="0"/>
    <xf numFmtId="0" fontId="92" fillId="0" borderId="0" applyNumberFormat="0" applyFill="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0"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3"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1"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5"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6"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4"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44" fillId="32"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6"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4"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5" fillId="31"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6" fillId="34" borderId="0" applyNumberFormat="0" applyBorder="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7" fillId="39" borderId="134"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8" fillId="40" borderId="135" applyNumberFormat="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195" fontId="99" fillId="0" borderId="136" applyNumberFormat="0" applyFill="0" applyAlignment="0" applyProtection="0"/>
    <xf numFmtId="3" fontId="100" fillId="0" borderId="0" applyFont="0" applyFill="0" applyBorder="0" applyAlignment="0" applyProtection="0"/>
    <xf numFmtId="196" fontId="100" fillId="0" borderId="0" applyFont="0" applyFill="0" applyBorder="0" applyAlignment="0" applyProtection="0"/>
    <xf numFmtId="195" fontId="100" fillId="0" borderId="0" applyFon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101" fillId="0" borderId="0" applyNumberFormat="0" applyFill="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41"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7"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38"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2"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3"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95" fillId="44" borderId="0" applyNumberFormat="0" applyBorder="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2" fillId="35" borderId="134" applyNumberFormat="0" applyAlignment="0" applyProtection="0"/>
    <xf numFmtId="195" fontId="103" fillId="45" borderId="102" applyBorder="0">
      <alignment horizontal="center" vertical="center" textRotation="90" wrapText="1"/>
    </xf>
    <xf numFmtId="197" fontId="3" fillId="0" borderId="0" applyFont="0" applyFill="0" applyBorder="0" applyAlignment="0" applyProtection="0"/>
    <xf numFmtId="197"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7" fontId="3" fillId="0" borderId="0" applyFont="0" applyFill="0" applyBorder="0" applyAlignment="0" applyProtection="0"/>
    <xf numFmtId="197" fontId="3" fillId="0" borderId="0" applyFont="0" applyFill="0" applyBorder="0" applyAlignment="0" applyProtection="0"/>
    <xf numFmtId="197" fontId="3" fillId="0" borderId="0" applyFont="0" applyFill="0" applyBorder="0" applyAlignment="0" applyProtection="0"/>
    <xf numFmtId="197" fontId="3" fillId="0" borderId="0" applyFont="0" applyFill="0" applyBorder="0" applyAlignment="0" applyProtection="0"/>
    <xf numFmtId="197" fontId="3" fillId="0" borderId="0" applyFont="0" applyFill="0" applyBorder="0" applyAlignment="0" applyProtection="0"/>
    <xf numFmtId="197"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7"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7"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5" fontId="3" fillId="0" borderId="0" applyFont="0" applyFill="0" applyBorder="0" applyAlignment="0" applyProtection="0"/>
    <xf numFmtId="197" fontId="3" fillId="0" borderId="0" applyFont="0" applyFill="0" applyBorder="0" applyAlignment="0" applyProtection="0"/>
    <xf numFmtId="197" fontId="3" fillId="0" borderId="0" applyFont="0" applyFill="0" applyBorder="0" applyAlignment="0" applyProtection="0"/>
    <xf numFmtId="197" fontId="3" fillId="0" borderId="0" applyFont="0" applyFill="0" applyBorder="0" applyAlignment="0" applyProtection="0"/>
    <xf numFmtId="197" fontId="3" fillId="0" borderId="0" applyFont="0" applyFill="0" applyBorder="0" applyAlignment="0" applyProtection="0"/>
    <xf numFmtId="197" fontId="3" fillId="0" borderId="0" applyFont="0" applyFill="0" applyBorder="0" applyAlignment="0" applyProtection="0"/>
    <xf numFmtId="197" fontId="3" fillId="0" borderId="0" applyFont="0" applyFill="0" applyBorder="0" applyAlignment="0" applyProtection="0"/>
    <xf numFmtId="2" fontId="100" fillId="0" borderId="0" applyFont="0" applyFill="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95" fontId="104" fillId="46" borderId="0" applyNumberFormat="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4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4" fillId="0" borderId="0" applyFont="0" applyFill="0" applyBorder="0" applyAlignment="0" applyProtection="0"/>
    <xf numFmtId="164" fontId="44" fillId="0" borderId="0" applyFont="0" applyFill="0" applyBorder="0" applyAlignment="0" applyProtection="0"/>
    <xf numFmtId="164" fontId="44" fillId="0" borderId="0" applyFont="0" applyFill="0" applyBorder="0" applyAlignment="0" applyProtection="0"/>
    <xf numFmtId="164" fontId="44" fillId="0" borderId="0" applyFont="0" applyFill="0" applyBorder="0" applyAlignment="0" applyProtection="0"/>
    <xf numFmtId="164" fontId="44" fillId="0" borderId="0" applyFont="0" applyFill="0" applyBorder="0" applyAlignment="0" applyProtection="0"/>
    <xf numFmtId="164"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98" fontId="3" fillId="0" borderId="0" applyFont="0" applyFill="0" applyBorder="0" applyAlignment="0" applyProtection="0"/>
    <xf numFmtId="171" fontId="1" fillId="0" borderId="0" applyFont="0" applyFill="0" applyBorder="0" applyAlignment="0" applyProtection="0"/>
    <xf numFmtId="199"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44" fillId="0" borderId="0"/>
    <xf numFmtId="195" fontId="1" fillId="0" borderId="0"/>
    <xf numFmtId="195" fontId="1" fillId="0" borderId="0"/>
    <xf numFmtId="195" fontId="1" fillId="0" borderId="0"/>
    <xf numFmtId="195" fontId="1" fillId="0" borderId="0"/>
    <xf numFmtId="195" fontId="44" fillId="0" borderId="0"/>
    <xf numFmtId="195" fontId="1" fillId="0" borderId="0"/>
    <xf numFmtId="195" fontId="1" fillId="0" borderId="0"/>
    <xf numFmtId="195" fontId="1" fillId="0" borderId="0"/>
    <xf numFmtId="195" fontId="1" fillId="0" borderId="0"/>
    <xf numFmtId="195" fontId="44" fillId="0" borderId="0"/>
    <xf numFmtId="195" fontId="1" fillId="0" borderId="0"/>
    <xf numFmtId="195" fontId="1" fillId="0" borderId="0"/>
    <xf numFmtId="195" fontId="1" fillId="0" borderId="0"/>
    <xf numFmtId="195" fontId="1" fillId="0" borderId="0"/>
    <xf numFmtId="195"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3" fillId="0" borderId="0"/>
    <xf numFmtId="195" fontId="3" fillId="0" borderId="0"/>
    <xf numFmtId="195" fontId="3" fillId="0" borderId="0"/>
    <xf numFmtId="195" fontId="3"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3"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3"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3" fillId="0" borderId="0"/>
    <xf numFmtId="195" fontId="3" fillId="0" borderId="0"/>
    <xf numFmtId="0" fontId="3" fillId="0" borderId="0"/>
    <xf numFmtId="0"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3"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3" fillId="0" borderId="0"/>
    <xf numFmtId="0" fontId="44"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0" fontId="3" fillId="0" borderId="0"/>
    <xf numFmtId="195" fontId="3" fillId="0" borderId="0"/>
    <xf numFmtId="0" fontId="3" fillId="0" borderId="0"/>
    <xf numFmtId="0" fontId="3" fillId="0" borderId="0"/>
    <xf numFmtId="0" fontId="3" fillId="0" borderId="0"/>
    <xf numFmtId="0" fontId="3" fillId="0" borderId="0"/>
    <xf numFmtId="0"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0" fontId="3" fillId="0" borderId="0"/>
    <xf numFmtId="0" fontId="3" fillId="0" borderId="0"/>
    <xf numFmtId="0" fontId="3"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0" fontId="3" fillId="0" borderId="0"/>
    <xf numFmtId="195" fontId="3" fillId="0" borderId="0"/>
    <xf numFmtId="195" fontId="3" fillId="0" borderId="0"/>
    <xf numFmtId="195" fontId="3"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195" fontId="1" fillId="0" borderId="0"/>
    <xf numFmtId="195" fontId="1" fillId="0" borderId="0"/>
    <xf numFmtId="195" fontId="1" fillId="0" borderId="0"/>
    <xf numFmtId="195" fontId="1" fillId="0" borderId="0"/>
    <xf numFmtId="0" fontId="44"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0" fontId="44"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0"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3" fillId="0" borderId="0"/>
    <xf numFmtId="195" fontId="3" fillId="0" borderId="0"/>
    <xf numFmtId="195" fontId="3" fillId="0" borderId="0"/>
    <xf numFmtId="195" fontId="3"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0"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3" fillId="0" borderId="0"/>
    <xf numFmtId="195" fontId="3" fillId="0" borderId="0"/>
    <xf numFmtId="195" fontId="3" fillId="0" borderId="0"/>
    <xf numFmtId="195" fontId="3"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0" fontId="3"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0"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3" fillId="0" borderId="0"/>
    <xf numFmtId="195" fontId="3" fillId="0" borderId="0"/>
    <xf numFmtId="195" fontId="3" fillId="0" borderId="0"/>
    <xf numFmtId="195" fontId="3"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95" fontId="3"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195" fontId="3" fillId="0" borderId="0"/>
    <xf numFmtId="195" fontId="3" fillId="0" borderId="0"/>
    <xf numFmtId="0" fontId="44" fillId="0" borderId="0"/>
    <xf numFmtId="0" fontId="1" fillId="0" borderId="0"/>
    <xf numFmtId="195" fontId="1" fillId="0" borderId="0"/>
    <xf numFmtId="0" fontId="1" fillId="0" borderId="0"/>
    <xf numFmtId="195" fontId="1"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0" fontId="3" fillId="0" borderId="0"/>
    <xf numFmtId="0" fontId="3" fillId="0" borderId="0"/>
    <xf numFmtId="0" fontId="3" fillId="0" borderId="0"/>
    <xf numFmtId="0" fontId="3" fillId="0" borderId="0"/>
    <xf numFmtId="195" fontId="3" fillId="0" borderId="0"/>
    <xf numFmtId="0" fontId="3" fillId="0" borderId="0"/>
    <xf numFmtId="0" fontId="3" fillId="0" borderId="0"/>
    <xf numFmtId="0" fontId="3" fillId="0" borderId="0"/>
    <xf numFmtId="0" fontId="3" fillId="0" borderId="0"/>
    <xf numFmtId="195" fontId="3" fillId="0" borderId="0"/>
    <xf numFmtId="195" fontId="3" fillId="0" borderId="0"/>
    <xf numFmtId="195" fontId="3" fillId="0" borderId="0"/>
    <xf numFmtId="0" fontId="44" fillId="0" borderId="0"/>
    <xf numFmtId="195" fontId="1" fillId="0" borderId="0"/>
    <xf numFmtId="0" fontId="60" fillId="0" borderId="0"/>
    <xf numFmtId="0" fontId="1" fillId="0" borderId="0"/>
    <xf numFmtId="0" fontId="1" fillId="0" borderId="0"/>
    <xf numFmtId="0" fontId="1" fillId="0" borderId="0"/>
    <xf numFmtId="0" fontId="44" fillId="0" borderId="0"/>
    <xf numFmtId="0" fontId="1" fillId="0" borderId="0"/>
    <xf numFmtId="0" fontId="1" fillId="0" borderId="0"/>
    <xf numFmtId="0" fontId="1" fillId="0" borderId="0"/>
    <xf numFmtId="0" fontId="44" fillId="0" borderId="0"/>
    <xf numFmtId="0" fontId="1" fillId="0" borderId="0"/>
    <xf numFmtId="195" fontId="3" fillId="0" borderId="0"/>
    <xf numFmtId="0" fontId="1" fillId="0" borderId="0"/>
    <xf numFmtId="0" fontId="1" fillId="0" borderId="0"/>
    <xf numFmtId="0" fontId="1" fillId="0" borderId="0"/>
    <xf numFmtId="0" fontId="1" fillId="0" borderId="0"/>
    <xf numFmtId="195" fontId="1"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1" fillId="0" borderId="0"/>
    <xf numFmtId="195" fontId="1" fillId="0" borderId="0"/>
    <xf numFmtId="195" fontId="1" fillId="0" borderId="0"/>
    <xf numFmtId="0" fontId="44"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195" fontId="3" fillId="0" borderId="0"/>
    <xf numFmtId="0" fontId="44" fillId="0" borderId="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195" fontId="100" fillId="32" borderId="137" applyNumberFormat="0" applyFont="0" applyAlignment="0" applyProtection="0"/>
    <xf numFmtId="9" fontId="1" fillId="0" borderId="0" applyFont="0" applyFill="0" applyBorder="0" applyAlignment="0" applyProtection="0"/>
    <xf numFmtId="9" fontId="3" fillId="0" borderId="0" applyFont="0" applyFill="0" applyBorder="0" applyAlignment="0" applyProtection="0"/>
    <xf numFmtId="0" fontId="44" fillId="0" borderId="0"/>
    <xf numFmtId="9" fontId="3" fillId="0" borderId="0" applyFont="0" applyFill="0" applyBorder="0" applyAlignment="0" applyProtection="0"/>
    <xf numFmtId="9" fontId="44" fillId="0" borderId="0" applyFont="0" applyFill="0" applyBorder="0" applyAlignment="0" applyProtection="0"/>
    <xf numFmtId="0" fontId="44" fillId="0" borderId="0"/>
    <xf numFmtId="9" fontId="3" fillId="0" borderId="0" applyFont="0" applyFill="0" applyBorder="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105" fillId="39" borderId="138" applyNumberFormat="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99"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6" fillId="0" borderId="0" applyNumberFormat="0" applyFill="0" applyBorder="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7" fillId="0" borderId="139" applyNumberFormat="0" applyFill="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9" fillId="0" borderId="140" applyNumberFormat="0" applyFill="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1" fillId="0" borderId="141" applyNumberFormat="0" applyFill="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108" fillId="0" borderId="0" applyNumberFormat="0" applyFill="0" applyBorder="0" applyAlignment="0" applyProtection="0"/>
    <xf numFmtId="195" fontId="3" fillId="0" borderId="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97" fillId="39"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195" fontId="102" fillId="35" borderId="142" applyNumberFormat="0" applyAlignment="0" applyProtection="0"/>
    <xf numFmtId="0" fontId="3" fillId="0" borderId="0"/>
    <xf numFmtId="0" fontId="3" fillId="0" borderId="0"/>
    <xf numFmtId="171" fontId="1" fillId="0" borderId="0" applyFont="0" applyFill="0" applyBorder="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97" fillId="39"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2" fillId="35" borderId="175" applyNumberFormat="0" applyAlignment="0" applyProtection="0"/>
    <xf numFmtId="195" fontId="103" fillId="45" borderId="159" applyBorder="0">
      <alignment horizontal="center" vertical="center" textRotation="90" wrapText="1"/>
    </xf>
    <xf numFmtId="195" fontId="103" fillId="45" borderId="159" applyBorder="0">
      <alignment horizontal="center" vertical="center" textRotation="90" wrapText="1"/>
    </xf>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0" fillId="32" borderId="176" applyNumberFormat="0" applyFon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195" fontId="105" fillId="39" borderId="177" applyNumberFormat="0" applyAlignment="0" applyProtection="0"/>
    <xf numFmtId="0" fontId="14" fillId="0" borderId="0"/>
    <xf numFmtId="0" fontId="3" fillId="0" borderId="0"/>
    <xf numFmtId="0" fontId="3" fillId="0" borderId="0"/>
    <xf numFmtId="0" fontId="14" fillId="0" borderId="0"/>
    <xf numFmtId="210" fontId="3" fillId="0" borderId="0"/>
    <xf numFmtId="0" fontId="1" fillId="67" borderId="0" applyNumberFormat="0" applyBorder="0" applyAlignment="0" applyProtection="0"/>
    <xf numFmtId="0" fontId="1" fillId="71" borderId="0" applyNumberFormat="0" applyBorder="0" applyAlignment="0" applyProtection="0"/>
    <xf numFmtId="0" fontId="1" fillId="75" borderId="0" applyNumberFormat="0" applyBorder="0" applyAlignment="0" applyProtection="0"/>
    <xf numFmtId="0" fontId="1" fillId="79" borderId="0" applyNumberFormat="0" applyBorder="0" applyAlignment="0" applyProtection="0"/>
    <xf numFmtId="0" fontId="1" fillId="83" borderId="0" applyNumberFormat="0" applyBorder="0" applyAlignment="0" applyProtection="0"/>
    <xf numFmtId="0" fontId="1" fillId="87" borderId="0" applyNumberFormat="0" applyBorder="0" applyAlignment="0" applyProtection="0"/>
    <xf numFmtId="0" fontId="44" fillId="93" borderId="0" applyNumberFormat="0" applyBorder="0" applyAlignment="0" applyProtection="0"/>
    <xf numFmtId="0" fontId="44" fillId="93" borderId="0" applyNumberFormat="0" applyBorder="0" applyAlignment="0" applyProtection="0"/>
    <xf numFmtId="0" fontId="44" fillId="93" borderId="0" applyNumberFormat="0" applyBorder="0" applyAlignment="0" applyProtection="0"/>
    <xf numFmtId="0" fontId="44" fillId="93" borderId="0" applyNumberFormat="0" applyBorder="0" applyAlignment="0" applyProtection="0"/>
    <xf numFmtId="0" fontId="44" fillId="93" borderId="0" applyNumberFormat="0" applyBorder="0" applyAlignment="0" applyProtection="0"/>
    <xf numFmtId="0" fontId="44" fillId="93" borderId="0" applyNumberFormat="0" applyBorder="0" applyAlignment="0" applyProtection="0"/>
    <xf numFmtId="0" fontId="44" fillId="93" borderId="0" applyNumberFormat="0" applyBorder="0" applyAlignment="0" applyProtection="0"/>
    <xf numFmtId="0" fontId="44" fillId="93" borderId="0" applyNumberFormat="0" applyBorder="0" applyAlignment="0" applyProtection="0"/>
    <xf numFmtId="0" fontId="44" fillId="93" borderId="0" applyNumberFormat="0" applyBorder="0" applyAlignment="0" applyProtection="0"/>
    <xf numFmtId="0" fontId="44" fillId="93" borderId="0" applyNumberFormat="0" applyBorder="0" applyAlignment="0" applyProtection="0"/>
    <xf numFmtId="0" fontId="44" fillId="93" borderId="0" applyNumberFormat="0" applyBorder="0" applyAlignment="0" applyProtection="0"/>
    <xf numFmtId="0" fontId="44" fillId="36" borderId="0" applyNumberFormat="0" applyBorder="0" applyAlignment="0" applyProtection="0"/>
    <xf numFmtId="0" fontId="44" fillId="36" borderId="0" applyNumberFormat="0" applyBorder="0" applyAlignment="0" applyProtection="0"/>
    <xf numFmtId="0" fontId="44" fillId="36" borderId="0" applyNumberFormat="0" applyBorder="0" applyAlignment="0" applyProtection="0"/>
    <xf numFmtId="0" fontId="44" fillId="36" borderId="0" applyNumberFormat="0" applyBorder="0" applyAlignment="0" applyProtection="0"/>
    <xf numFmtId="0" fontId="44" fillId="36" borderId="0" applyNumberFormat="0" applyBorder="0" applyAlignment="0" applyProtection="0"/>
    <xf numFmtId="0" fontId="44" fillId="36" borderId="0" applyNumberFormat="0" applyBorder="0" applyAlignment="0" applyProtection="0"/>
    <xf numFmtId="0" fontId="44" fillId="36" borderId="0" applyNumberFormat="0" applyBorder="0" applyAlignment="0" applyProtection="0"/>
    <xf numFmtId="0" fontId="44" fillId="36" borderId="0" applyNumberFormat="0" applyBorder="0" applyAlignment="0" applyProtection="0"/>
    <xf numFmtId="0" fontId="44" fillId="36" borderId="0" applyNumberFormat="0" applyBorder="0" applyAlignment="0" applyProtection="0"/>
    <xf numFmtId="0" fontId="44" fillId="36" borderId="0" applyNumberFormat="0" applyBorder="0" applyAlignment="0" applyProtection="0"/>
    <xf numFmtId="0" fontId="44" fillId="36" borderId="0" applyNumberFormat="0" applyBorder="0" applyAlignment="0" applyProtection="0"/>
    <xf numFmtId="0" fontId="44" fillId="94" borderId="0" applyNumberFormat="0" applyBorder="0" applyAlignment="0" applyProtection="0"/>
    <xf numFmtId="0" fontId="44" fillId="94" borderId="0" applyNumberFormat="0" applyBorder="0" applyAlignment="0" applyProtection="0"/>
    <xf numFmtId="0" fontId="44" fillId="94" borderId="0" applyNumberFormat="0" applyBorder="0" applyAlignment="0" applyProtection="0"/>
    <xf numFmtId="0" fontId="44" fillId="94" borderId="0" applyNumberFormat="0" applyBorder="0" applyAlignment="0" applyProtection="0"/>
    <xf numFmtId="0" fontId="44" fillId="94" borderId="0" applyNumberFormat="0" applyBorder="0" applyAlignment="0" applyProtection="0"/>
    <xf numFmtId="0" fontId="44" fillId="94" borderId="0" applyNumberFormat="0" applyBorder="0" applyAlignment="0" applyProtection="0"/>
    <xf numFmtId="0" fontId="44" fillId="94" borderId="0" applyNumberFormat="0" applyBorder="0" applyAlignment="0" applyProtection="0"/>
    <xf numFmtId="0" fontId="44" fillId="94" borderId="0" applyNumberFormat="0" applyBorder="0" applyAlignment="0" applyProtection="0"/>
    <xf numFmtId="0" fontId="44" fillId="94" borderId="0" applyNumberFormat="0" applyBorder="0" applyAlignment="0" applyProtection="0"/>
    <xf numFmtId="0" fontId="44" fillId="94" borderId="0" applyNumberFormat="0" applyBorder="0" applyAlignment="0" applyProtection="0"/>
    <xf numFmtId="0" fontId="44" fillId="94"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4" borderId="0" applyNumberFormat="0" applyBorder="0" applyAlignment="0" applyProtection="0"/>
    <xf numFmtId="0" fontId="44" fillId="33" borderId="0" applyNumberFormat="0" applyBorder="0" applyAlignment="0" applyProtection="0"/>
    <xf numFmtId="0" fontId="44" fillId="33" borderId="0" applyNumberFormat="0" applyBorder="0" applyAlignment="0" applyProtection="0"/>
    <xf numFmtId="0" fontId="44" fillId="33" borderId="0" applyNumberFormat="0" applyBorder="0" applyAlignment="0" applyProtection="0"/>
    <xf numFmtId="0" fontId="44" fillId="33" borderId="0" applyNumberFormat="0" applyBorder="0" applyAlignment="0" applyProtection="0"/>
    <xf numFmtId="0" fontId="44" fillId="33" borderId="0" applyNumberFormat="0" applyBorder="0" applyAlignment="0" applyProtection="0"/>
    <xf numFmtId="0" fontId="44" fillId="33" borderId="0" applyNumberFormat="0" applyBorder="0" applyAlignment="0" applyProtection="0"/>
    <xf numFmtId="0" fontId="44" fillId="33" borderId="0" applyNumberFormat="0" applyBorder="0" applyAlignment="0" applyProtection="0"/>
    <xf numFmtId="0" fontId="44" fillId="33" borderId="0" applyNumberFormat="0" applyBorder="0" applyAlignment="0" applyProtection="0"/>
    <xf numFmtId="0" fontId="44" fillId="33" borderId="0" applyNumberFormat="0" applyBorder="0" applyAlignment="0" applyProtection="0"/>
    <xf numFmtId="0" fontId="44" fillId="33" borderId="0" applyNumberFormat="0" applyBorder="0" applyAlignment="0" applyProtection="0"/>
    <xf numFmtId="0" fontId="44" fillId="33" borderId="0" applyNumberFormat="0" applyBorder="0" applyAlignment="0" applyProtection="0"/>
    <xf numFmtId="0" fontId="1" fillId="68" borderId="0" applyNumberFormat="0" applyBorder="0" applyAlignment="0" applyProtection="0"/>
    <xf numFmtId="0" fontId="1" fillId="72" borderId="0" applyNumberFormat="0" applyBorder="0" applyAlignment="0" applyProtection="0"/>
    <xf numFmtId="0" fontId="1" fillId="76" borderId="0" applyNumberFormat="0" applyBorder="0" applyAlignment="0" applyProtection="0"/>
    <xf numFmtId="0" fontId="1" fillId="80" borderId="0" applyNumberFormat="0" applyBorder="0" applyAlignment="0" applyProtection="0"/>
    <xf numFmtId="0" fontId="1" fillId="84" borderId="0" applyNumberFormat="0" applyBorder="0" applyAlignment="0" applyProtection="0"/>
    <xf numFmtId="0" fontId="1" fillId="88"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156" fillId="66"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95" borderId="0" applyNumberFormat="0" applyBorder="0" applyAlignment="0" applyProtection="0"/>
    <xf numFmtId="0" fontId="44" fillId="95" borderId="0" applyNumberFormat="0" applyBorder="0" applyAlignment="0" applyProtection="0"/>
    <xf numFmtId="0" fontId="44" fillId="95" borderId="0" applyNumberFormat="0" applyBorder="0" applyAlignment="0" applyProtection="0"/>
    <xf numFmtId="0" fontId="44" fillId="95" borderId="0" applyNumberFormat="0" applyBorder="0" applyAlignment="0" applyProtection="0"/>
    <xf numFmtId="0" fontId="44" fillId="95" borderId="0" applyNumberFormat="0" applyBorder="0" applyAlignment="0" applyProtection="0"/>
    <xf numFmtId="0" fontId="44" fillId="95" borderId="0" applyNumberFormat="0" applyBorder="0" applyAlignment="0" applyProtection="0"/>
    <xf numFmtId="0" fontId="44" fillId="95" borderId="0" applyNumberFormat="0" applyBorder="0" applyAlignment="0" applyProtection="0"/>
    <xf numFmtId="0" fontId="44" fillId="95" borderId="0" applyNumberFormat="0" applyBorder="0" applyAlignment="0" applyProtection="0"/>
    <xf numFmtId="0" fontId="44" fillId="95" borderId="0" applyNumberFormat="0" applyBorder="0" applyAlignment="0" applyProtection="0"/>
    <xf numFmtId="0" fontId="44" fillId="95" borderId="0" applyNumberFormat="0" applyBorder="0" applyAlignment="0" applyProtection="0"/>
    <xf numFmtId="0" fontId="44" fillId="95"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46"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0" borderId="0" applyNumberFormat="0" applyBorder="0" applyAlignment="0" applyProtection="0"/>
    <xf numFmtId="0" fontId="44" fillId="38" borderId="0" applyNumberFormat="0" applyBorder="0" applyAlignment="0" applyProtection="0"/>
    <xf numFmtId="0" fontId="44" fillId="38" borderId="0" applyNumberFormat="0" applyBorder="0" applyAlignment="0" applyProtection="0"/>
    <xf numFmtId="0" fontId="44" fillId="38" borderId="0" applyNumberFormat="0" applyBorder="0" applyAlignment="0" applyProtection="0"/>
    <xf numFmtId="0" fontId="44" fillId="38" borderId="0" applyNumberFormat="0" applyBorder="0" applyAlignment="0" applyProtection="0"/>
    <xf numFmtId="0" fontId="44" fillId="38" borderId="0" applyNumberFormat="0" applyBorder="0" applyAlignment="0" applyProtection="0"/>
    <xf numFmtId="0" fontId="44" fillId="38" borderId="0" applyNumberFormat="0" applyBorder="0" applyAlignment="0" applyProtection="0"/>
    <xf numFmtId="0" fontId="44" fillId="38" borderId="0" applyNumberFormat="0" applyBorder="0" applyAlignment="0" applyProtection="0"/>
    <xf numFmtId="0" fontId="44" fillId="38" borderId="0" applyNumberFormat="0" applyBorder="0" applyAlignment="0" applyProtection="0"/>
    <xf numFmtId="0" fontId="44" fillId="38" borderId="0" applyNumberFormat="0" applyBorder="0" applyAlignment="0" applyProtection="0"/>
    <xf numFmtId="0" fontId="44" fillId="38" borderId="0" applyNumberFormat="0" applyBorder="0" applyAlignment="0" applyProtection="0"/>
    <xf numFmtId="0" fontId="44" fillId="38" borderId="0" applyNumberFormat="0" applyBorder="0" applyAlignment="0" applyProtection="0"/>
    <xf numFmtId="0" fontId="68" fillId="69" borderId="0" applyNumberFormat="0" applyBorder="0" applyAlignment="0" applyProtection="0"/>
    <xf numFmtId="0" fontId="68" fillId="73" borderId="0" applyNumberFormat="0" applyBorder="0" applyAlignment="0" applyProtection="0"/>
    <xf numFmtId="0" fontId="68" fillId="77" borderId="0" applyNumberFormat="0" applyBorder="0" applyAlignment="0" applyProtection="0"/>
    <xf numFmtId="0" fontId="68" fillId="81" borderId="0" applyNumberFormat="0" applyBorder="0" applyAlignment="0" applyProtection="0"/>
    <xf numFmtId="0" fontId="68" fillId="85" borderId="0" applyNumberFormat="0" applyBorder="0" applyAlignment="0" applyProtection="0"/>
    <xf numFmtId="0" fontId="68" fillId="89" borderId="0" applyNumberFormat="0" applyBorder="0" applyAlignment="0" applyProtection="0"/>
    <xf numFmtId="0" fontId="95" fillId="96" borderId="0" applyNumberFormat="0" applyBorder="0" applyAlignment="0" applyProtection="0"/>
    <xf numFmtId="0" fontId="95" fillId="96" borderId="0" applyNumberFormat="0" applyBorder="0" applyAlignment="0" applyProtection="0"/>
    <xf numFmtId="0" fontId="95" fillId="96" borderId="0" applyNumberFormat="0" applyBorder="0" applyAlignment="0" applyProtection="0"/>
    <xf numFmtId="0" fontId="95" fillId="96" borderId="0" applyNumberFormat="0" applyBorder="0" applyAlignment="0" applyProtection="0"/>
    <xf numFmtId="0" fontId="95" fillId="96" borderId="0" applyNumberFormat="0" applyBorder="0" applyAlignment="0" applyProtection="0"/>
    <xf numFmtId="0" fontId="95" fillId="96" borderId="0" applyNumberFormat="0" applyBorder="0" applyAlignment="0" applyProtection="0"/>
    <xf numFmtId="0" fontId="95" fillId="96" borderId="0" applyNumberFormat="0" applyBorder="0" applyAlignment="0" applyProtection="0"/>
    <xf numFmtId="0" fontId="95" fillId="96" borderId="0" applyNumberFormat="0" applyBorder="0" applyAlignment="0" applyProtection="0"/>
    <xf numFmtId="0" fontId="95" fillId="96" borderId="0" applyNumberFormat="0" applyBorder="0" applyAlignment="0" applyProtection="0"/>
    <xf numFmtId="0" fontId="95" fillId="96" borderId="0" applyNumberFormat="0" applyBorder="0" applyAlignment="0" applyProtection="0"/>
    <xf numFmtId="0" fontId="95" fillId="96" borderId="0" applyNumberFormat="0" applyBorder="0" applyAlignment="0" applyProtection="0"/>
    <xf numFmtId="0" fontId="95" fillId="31" borderId="0" applyNumberFormat="0" applyBorder="0" applyAlignment="0" applyProtection="0"/>
    <xf numFmtId="0" fontId="95" fillId="31" borderId="0" applyNumberFormat="0" applyBorder="0" applyAlignment="0" applyProtection="0"/>
    <xf numFmtId="0" fontId="95" fillId="31" borderId="0" applyNumberFormat="0" applyBorder="0" applyAlignment="0" applyProtection="0"/>
    <xf numFmtId="0" fontId="95" fillId="31" borderId="0" applyNumberFormat="0" applyBorder="0" applyAlignment="0" applyProtection="0"/>
    <xf numFmtId="0" fontId="95" fillId="31" borderId="0" applyNumberFormat="0" applyBorder="0" applyAlignment="0" applyProtection="0"/>
    <xf numFmtId="0" fontId="95" fillId="31" borderId="0" applyNumberFormat="0" applyBorder="0" applyAlignment="0" applyProtection="0"/>
    <xf numFmtId="0" fontId="95" fillId="31" borderId="0" applyNumberFormat="0" applyBorder="0" applyAlignment="0" applyProtection="0"/>
    <xf numFmtId="0" fontId="95" fillId="31" borderId="0" applyNumberFormat="0" applyBorder="0" applyAlignment="0" applyProtection="0"/>
    <xf numFmtId="0" fontId="95" fillId="31" borderId="0" applyNumberFormat="0" applyBorder="0" applyAlignment="0" applyProtection="0"/>
    <xf numFmtId="0" fontId="95" fillId="31" borderId="0" applyNumberFormat="0" applyBorder="0" applyAlignment="0" applyProtection="0"/>
    <xf numFmtId="0" fontId="95" fillId="31" borderId="0" applyNumberFormat="0" applyBorder="0" applyAlignment="0" applyProtection="0"/>
    <xf numFmtId="0" fontId="95" fillId="95" borderId="0" applyNumberFormat="0" applyBorder="0" applyAlignment="0" applyProtection="0"/>
    <xf numFmtId="0" fontId="95" fillId="95" borderId="0" applyNumberFormat="0" applyBorder="0" applyAlignment="0" applyProtection="0"/>
    <xf numFmtId="0" fontId="95" fillId="95" borderId="0" applyNumberFormat="0" applyBorder="0" applyAlignment="0" applyProtection="0"/>
    <xf numFmtId="0" fontId="95" fillId="95" borderId="0" applyNumberFormat="0" applyBorder="0" applyAlignment="0" applyProtection="0"/>
    <xf numFmtId="0" fontId="95" fillId="95" borderId="0" applyNumberFormat="0" applyBorder="0" applyAlignment="0" applyProtection="0"/>
    <xf numFmtId="0" fontId="95" fillId="95" borderId="0" applyNumberFormat="0" applyBorder="0" applyAlignment="0" applyProtection="0"/>
    <xf numFmtId="0" fontId="95" fillId="95" borderId="0" applyNumberFormat="0" applyBorder="0" applyAlignment="0" applyProtection="0"/>
    <xf numFmtId="0" fontId="95" fillId="95" borderId="0" applyNumberFormat="0" applyBorder="0" applyAlignment="0" applyProtection="0"/>
    <xf numFmtId="0" fontId="95" fillId="95" borderId="0" applyNumberFormat="0" applyBorder="0" applyAlignment="0" applyProtection="0"/>
    <xf numFmtId="0" fontId="95" fillId="95" borderId="0" applyNumberFormat="0" applyBorder="0" applyAlignment="0" applyProtection="0"/>
    <xf numFmtId="0" fontId="95" fillId="95"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98" borderId="0" applyNumberFormat="0" applyBorder="0" applyAlignment="0" applyProtection="0"/>
    <xf numFmtId="0" fontId="95" fillId="98" borderId="0" applyNumberFormat="0" applyBorder="0" applyAlignment="0" applyProtection="0"/>
    <xf numFmtId="0" fontId="95" fillId="98" borderId="0" applyNumberFormat="0" applyBorder="0" applyAlignment="0" applyProtection="0"/>
    <xf numFmtId="0" fontId="95" fillId="98" borderId="0" applyNumberFormat="0" applyBorder="0" applyAlignment="0" applyProtection="0"/>
    <xf numFmtId="0" fontId="95" fillId="98" borderId="0" applyNumberFormat="0" applyBorder="0" applyAlignment="0" applyProtection="0"/>
    <xf numFmtId="0" fontId="95" fillId="98" borderId="0" applyNumberFormat="0" applyBorder="0" applyAlignment="0" applyProtection="0"/>
    <xf numFmtId="0" fontId="95" fillId="98" borderId="0" applyNumberFormat="0" applyBorder="0" applyAlignment="0" applyProtection="0"/>
    <xf numFmtId="0" fontId="95" fillId="98" borderId="0" applyNumberFormat="0" applyBorder="0" applyAlignment="0" applyProtection="0"/>
    <xf numFmtId="0" fontId="95" fillId="98" borderId="0" applyNumberFormat="0" applyBorder="0" applyAlignment="0" applyProtection="0"/>
    <xf numFmtId="0" fontId="95" fillId="98" borderId="0" applyNumberFormat="0" applyBorder="0" applyAlignment="0" applyProtection="0"/>
    <xf numFmtId="0" fontId="95" fillId="98" borderId="0" applyNumberFormat="0" applyBorder="0" applyAlignment="0" applyProtection="0"/>
    <xf numFmtId="9" fontId="157" fillId="0" borderId="0"/>
    <xf numFmtId="0" fontId="68" fillId="66" borderId="0" applyNumberFormat="0" applyBorder="0" applyAlignment="0" applyProtection="0"/>
    <xf numFmtId="0" fontId="68" fillId="70" borderId="0" applyNumberFormat="0" applyBorder="0" applyAlignment="0" applyProtection="0"/>
    <xf numFmtId="0" fontId="68" fillId="74" borderId="0" applyNumberFormat="0" applyBorder="0" applyAlignment="0" applyProtection="0"/>
    <xf numFmtId="0" fontId="68" fillId="78" borderId="0" applyNumberFormat="0" applyBorder="0" applyAlignment="0" applyProtection="0"/>
    <xf numFmtId="0" fontId="68" fillId="82" borderId="0" applyNumberFormat="0" applyBorder="0" applyAlignment="0" applyProtection="0"/>
    <xf numFmtId="0" fontId="68" fillId="86" borderId="0" applyNumberFormat="0" applyBorder="0" applyAlignment="0" applyProtection="0"/>
    <xf numFmtId="211" fontId="3" fillId="99" borderId="187">
      <alignment horizontal="center" vertical="center"/>
    </xf>
    <xf numFmtId="0" fontId="3" fillId="0" borderId="0" applyFont="0" applyFill="0" applyBorder="0" applyAlignment="0" applyProtection="0"/>
    <xf numFmtId="212" fontId="3" fillId="0" borderId="0" applyFont="0" applyFill="0" applyBorder="0" applyAlignment="0" applyProtection="0"/>
    <xf numFmtId="0" fontId="50" fillId="0" borderId="173" applyBorder="0">
      <alignment horizontal="left" vertical="top" wrapText="1" indent="1"/>
    </xf>
    <xf numFmtId="0" fontId="50" fillId="0" borderId="173" applyBorder="0">
      <alignment horizontal="left" vertical="top" wrapText="1" indent="1"/>
    </xf>
    <xf numFmtId="0" fontId="50" fillId="0" borderId="173" applyBorder="0">
      <alignment horizontal="left" vertical="top" wrapText="1" indent="1"/>
    </xf>
    <xf numFmtId="0" fontId="158" fillId="0" borderId="0">
      <alignment horizontal="center" wrapText="1"/>
      <protection locked="0"/>
    </xf>
    <xf numFmtId="0" fontId="3" fillId="0" borderId="0" applyFont="0" applyFill="0" applyBorder="0" applyAlignment="0" applyProtection="0"/>
    <xf numFmtId="213" fontId="3" fillId="0" borderId="0" applyFont="0" applyFill="0" applyBorder="0" applyAlignment="0" applyProtection="0"/>
    <xf numFmtId="0" fontId="159" fillId="100" borderId="188" applyNumberFormat="0" applyFont="0" applyBorder="0" applyAlignment="0" applyProtection="0">
      <alignment horizontal="center" vertical="center"/>
    </xf>
    <xf numFmtId="0" fontId="149" fillId="61" borderId="0" applyNumberFormat="0" applyBorder="0" applyAlignment="0" applyProtection="0"/>
    <xf numFmtId="0" fontId="160" fillId="0" borderId="0" applyNumberFormat="0" applyFill="0" applyBorder="0" applyAlignment="0" applyProtection="0"/>
    <xf numFmtId="0" fontId="161" fillId="0" borderId="0" applyNumberFormat="0" applyFill="0" applyBorder="0" applyAlignment="0" applyProtection="0"/>
    <xf numFmtId="0" fontId="96" fillId="94" borderId="0" applyNumberFormat="0" applyBorder="0" applyAlignment="0" applyProtection="0"/>
    <xf numFmtId="0" fontId="96" fillId="94" borderId="0" applyNumberFormat="0" applyBorder="0" applyAlignment="0" applyProtection="0"/>
    <xf numFmtId="0" fontId="96" fillId="94" borderId="0" applyNumberFormat="0" applyBorder="0" applyAlignment="0" applyProtection="0"/>
    <xf numFmtId="0" fontId="96" fillId="94" borderId="0" applyNumberFormat="0" applyBorder="0" applyAlignment="0" applyProtection="0"/>
    <xf numFmtId="0" fontId="96" fillId="94" borderId="0" applyNumberFormat="0" applyBorder="0" applyAlignment="0" applyProtection="0"/>
    <xf numFmtId="0" fontId="96" fillId="94" borderId="0" applyNumberFormat="0" applyBorder="0" applyAlignment="0" applyProtection="0"/>
    <xf numFmtId="0" fontId="96" fillId="94" borderId="0" applyNumberFormat="0" applyBorder="0" applyAlignment="0" applyProtection="0"/>
    <xf numFmtId="0" fontId="96" fillId="94" borderId="0" applyNumberFormat="0" applyBorder="0" applyAlignment="0" applyProtection="0"/>
    <xf numFmtId="0" fontId="96" fillId="94" borderId="0" applyNumberFormat="0" applyBorder="0" applyAlignment="0" applyProtection="0"/>
    <xf numFmtId="0" fontId="96" fillId="94" borderId="0" applyNumberFormat="0" applyBorder="0" applyAlignment="0" applyProtection="0"/>
    <xf numFmtId="0" fontId="96" fillId="94" borderId="0" applyNumberFormat="0" applyBorder="0" applyAlignment="0" applyProtection="0"/>
    <xf numFmtId="0" fontId="162" fillId="0" borderId="0"/>
    <xf numFmtId="214" fontId="163" fillId="0" borderId="0" applyFill="0" applyBorder="0" applyAlignment="0"/>
    <xf numFmtId="0" fontId="152" fillId="63" borderId="181"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5" fillId="63" borderId="181"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164" fillId="101" borderId="175" applyNumberFormat="0" applyAlignment="0" applyProtection="0"/>
    <xf numFmtId="0" fontId="98" fillId="40" borderId="135" applyNumberFormat="0" applyAlignment="0" applyProtection="0"/>
    <xf numFmtId="0" fontId="98" fillId="40" borderId="135" applyNumberFormat="0" applyAlignment="0" applyProtection="0"/>
    <xf numFmtId="0" fontId="98" fillId="40" borderId="135" applyNumberFormat="0" applyAlignment="0" applyProtection="0"/>
    <xf numFmtId="0" fontId="98" fillId="40" borderId="135" applyNumberFormat="0" applyAlignment="0" applyProtection="0"/>
    <xf numFmtId="0" fontId="98" fillId="40" borderId="135" applyNumberFormat="0" applyAlignment="0" applyProtection="0"/>
    <xf numFmtId="0" fontId="98" fillId="40" borderId="135" applyNumberFormat="0" applyAlignment="0" applyProtection="0"/>
    <xf numFmtId="0" fontId="98" fillId="40" borderId="135" applyNumberFormat="0" applyAlignment="0" applyProtection="0"/>
    <xf numFmtId="0" fontId="98" fillId="40" borderId="135" applyNumberFormat="0" applyAlignment="0" applyProtection="0"/>
    <xf numFmtId="0" fontId="98" fillId="40" borderId="135" applyNumberFormat="0" applyAlignment="0" applyProtection="0"/>
    <xf numFmtId="0" fontId="98" fillId="40" borderId="135" applyNumberFormat="0" applyAlignment="0" applyProtection="0"/>
    <xf numFmtId="0" fontId="98" fillId="40" borderId="135" applyNumberFormat="0" applyAlignment="0" applyProtection="0"/>
    <xf numFmtId="0" fontId="166" fillId="0" borderId="189" applyNumberFormat="0" applyFill="0" applyAlignment="0" applyProtection="0"/>
    <xf numFmtId="0" fontId="166" fillId="0" borderId="189" applyNumberFormat="0" applyFill="0" applyAlignment="0" applyProtection="0"/>
    <xf numFmtId="0" fontId="166" fillId="0" borderId="189" applyNumberFormat="0" applyFill="0" applyAlignment="0" applyProtection="0"/>
    <xf numFmtId="0" fontId="166" fillId="0" borderId="189" applyNumberFormat="0" applyFill="0" applyAlignment="0" applyProtection="0"/>
    <xf numFmtId="0" fontId="166" fillId="0" borderId="189" applyNumberFormat="0" applyFill="0" applyAlignment="0" applyProtection="0"/>
    <xf numFmtId="0" fontId="166" fillId="0" borderId="189" applyNumberFormat="0" applyFill="0" applyAlignment="0" applyProtection="0"/>
    <xf numFmtId="0" fontId="166" fillId="0" borderId="189" applyNumberFormat="0" applyFill="0" applyAlignment="0" applyProtection="0"/>
    <xf numFmtId="0" fontId="166" fillId="0" borderId="189" applyNumberFormat="0" applyFill="0" applyAlignment="0" applyProtection="0"/>
    <xf numFmtId="0" fontId="166" fillId="0" borderId="189" applyNumberFormat="0" applyFill="0" applyAlignment="0" applyProtection="0"/>
    <xf numFmtId="0" fontId="166" fillId="0" borderId="189" applyNumberFormat="0" applyFill="0" applyAlignment="0" applyProtection="0"/>
    <xf numFmtId="0" fontId="166" fillId="0" borderId="189" applyNumberFormat="0" applyFill="0" applyAlignment="0" applyProtection="0"/>
    <xf numFmtId="0" fontId="86" fillId="64" borderId="184" applyNumberFormat="0" applyAlignment="0" applyProtection="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173" fontId="18" fillId="0" borderId="0"/>
    <xf numFmtId="217"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173" fontId="18" fillId="0" borderId="0"/>
    <xf numFmtId="217"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173" fontId="18" fillId="0" borderId="0"/>
    <xf numFmtId="217"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173" fontId="18" fillId="0" borderId="0"/>
    <xf numFmtId="217"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173" fontId="18" fillId="0" borderId="0"/>
    <xf numFmtId="217"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173" fontId="18" fillId="0" borderId="0"/>
    <xf numFmtId="217"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173" fontId="18" fillId="0" borderId="0"/>
    <xf numFmtId="217"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173" fontId="18" fillId="0" borderId="0"/>
    <xf numFmtId="217"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6" fontId="3" fillId="0" borderId="0"/>
    <xf numFmtId="0" fontId="162" fillId="0" borderId="0" applyFont="0" applyFill="0" applyBorder="0" applyAlignment="0" applyProtection="0"/>
    <xf numFmtId="207" fontId="3" fillId="0" borderId="0" applyFont="0" applyFill="0" applyBorder="0" applyAlignment="0" applyProtection="0"/>
    <xf numFmtId="0" fontId="162" fillId="0" borderId="0" applyFont="0" applyFill="0" applyBorder="0" applyAlignment="0" applyProtection="0"/>
    <xf numFmtId="3" fontId="3" fillId="0" borderId="0" applyFill="0" applyBorder="0" applyAlignment="0" applyProtection="0"/>
    <xf numFmtId="0" fontId="167" fillId="0" borderId="0" applyNumberFormat="0" applyAlignment="0">
      <alignment horizontal="left"/>
    </xf>
    <xf numFmtId="166" fontId="3" fillId="0" borderId="0" applyFont="0" applyFill="0" applyBorder="0" applyAlignment="0" applyProtection="0"/>
    <xf numFmtId="218" fontId="3" fillId="0" borderId="0" applyFont="0" applyFill="0" applyBorder="0" applyAlignment="0" applyProtection="0"/>
    <xf numFmtId="171" fontId="3" fillId="0" borderId="0" applyFont="0" applyFill="0" applyBorder="0" applyAlignment="0" applyProtection="0"/>
    <xf numFmtId="219" fontId="51" fillId="0" borderId="0" applyFont="0" applyFill="0" applyBorder="0" applyAlignment="0" applyProtection="0"/>
    <xf numFmtId="170" fontId="168" fillId="0" borderId="0">
      <protection locked="0"/>
    </xf>
    <xf numFmtId="0" fontId="100"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169" fillId="0" borderId="0" applyNumberFormat="0" applyFill="0" applyBorder="0" applyAlignment="0" applyProtection="0"/>
    <xf numFmtId="0" fontId="169" fillId="0" borderId="0" applyNumberFormat="0" applyFill="0" applyBorder="0" applyAlignment="0" applyProtection="0"/>
    <xf numFmtId="0" fontId="169" fillId="0" borderId="0" applyNumberFormat="0" applyFill="0" applyBorder="0" applyAlignment="0" applyProtection="0"/>
    <xf numFmtId="0" fontId="169" fillId="0" borderId="0" applyNumberFormat="0" applyFill="0" applyBorder="0" applyAlignment="0" applyProtection="0"/>
    <xf numFmtId="0" fontId="169" fillId="0" borderId="0" applyNumberFormat="0" applyFill="0" applyBorder="0" applyAlignment="0" applyProtection="0"/>
    <xf numFmtId="0" fontId="169" fillId="0" borderId="0" applyNumberFormat="0" applyFill="0" applyBorder="0" applyAlignment="0" applyProtection="0"/>
    <xf numFmtId="0" fontId="169" fillId="0" borderId="0" applyNumberFormat="0" applyFill="0" applyBorder="0" applyAlignment="0" applyProtection="0"/>
    <xf numFmtId="0" fontId="169" fillId="0" borderId="0" applyNumberFormat="0" applyFill="0" applyBorder="0" applyAlignment="0" applyProtection="0"/>
    <xf numFmtId="0" fontId="169" fillId="0" borderId="0" applyNumberFormat="0" applyFill="0" applyBorder="0" applyAlignment="0" applyProtection="0"/>
    <xf numFmtId="0" fontId="169" fillId="0" borderId="0" applyNumberFormat="0" applyFill="0" applyBorder="0" applyAlignment="0" applyProtection="0"/>
    <xf numFmtId="0" fontId="169" fillId="0" borderId="0" applyNumberFormat="0" applyFill="0" applyBorder="0" applyAlignment="0" applyProtection="0"/>
    <xf numFmtId="0" fontId="95" fillId="102" borderId="0" applyNumberFormat="0" applyBorder="0" applyAlignment="0" applyProtection="0"/>
    <xf numFmtId="0" fontId="95" fillId="102" borderId="0" applyNumberFormat="0" applyBorder="0" applyAlignment="0" applyProtection="0"/>
    <xf numFmtId="0" fontId="95" fillId="102" borderId="0" applyNumberFormat="0" applyBorder="0" applyAlignment="0" applyProtection="0"/>
    <xf numFmtId="0" fontId="95" fillId="102" borderId="0" applyNumberFormat="0" applyBorder="0" applyAlignment="0" applyProtection="0"/>
    <xf numFmtId="0" fontId="95" fillId="102" borderId="0" applyNumberFormat="0" applyBorder="0" applyAlignment="0" applyProtection="0"/>
    <xf numFmtId="0" fontId="95" fillId="102" borderId="0" applyNumberFormat="0" applyBorder="0" applyAlignment="0" applyProtection="0"/>
    <xf numFmtId="0" fontId="95" fillId="102" borderId="0" applyNumberFormat="0" applyBorder="0" applyAlignment="0" applyProtection="0"/>
    <xf numFmtId="0" fontId="95" fillId="102" borderId="0" applyNumberFormat="0" applyBorder="0" applyAlignment="0" applyProtection="0"/>
    <xf numFmtId="0" fontId="95" fillId="102" borderId="0" applyNumberFormat="0" applyBorder="0" applyAlignment="0" applyProtection="0"/>
    <xf numFmtId="0" fontId="95" fillId="102" borderId="0" applyNumberFormat="0" applyBorder="0" applyAlignment="0" applyProtection="0"/>
    <xf numFmtId="0" fontId="95" fillId="102" borderId="0" applyNumberFormat="0" applyBorder="0" applyAlignment="0" applyProtection="0"/>
    <xf numFmtId="0" fontId="95" fillId="44" borderId="0" applyNumberFormat="0" applyBorder="0" applyAlignment="0" applyProtection="0"/>
    <xf numFmtId="0" fontId="95" fillId="44" borderId="0" applyNumberFormat="0" applyBorder="0" applyAlignment="0" applyProtection="0"/>
    <xf numFmtId="0" fontId="95" fillId="44" borderId="0" applyNumberFormat="0" applyBorder="0" applyAlignment="0" applyProtection="0"/>
    <xf numFmtId="0" fontId="95" fillId="44" borderId="0" applyNumberFormat="0" applyBorder="0" applyAlignment="0" applyProtection="0"/>
    <xf numFmtId="0" fontId="95" fillId="44" borderId="0" applyNumberFormat="0" applyBorder="0" applyAlignment="0" applyProtection="0"/>
    <xf numFmtId="0" fontId="95" fillId="44" borderId="0" applyNumberFormat="0" applyBorder="0" applyAlignment="0" applyProtection="0"/>
    <xf numFmtId="0" fontId="95" fillId="44" borderId="0" applyNumberFormat="0" applyBorder="0" applyAlignment="0" applyProtection="0"/>
    <xf numFmtId="0" fontId="95" fillId="44" borderId="0" applyNumberFormat="0" applyBorder="0" applyAlignment="0" applyProtection="0"/>
    <xf numFmtId="0" fontId="95" fillId="44" borderId="0" applyNumberFormat="0" applyBorder="0" applyAlignment="0" applyProtection="0"/>
    <xf numFmtId="0" fontId="95" fillId="44" borderId="0" applyNumberFormat="0" applyBorder="0" applyAlignment="0" applyProtection="0"/>
    <xf numFmtId="0" fontId="95" fillId="44" borderId="0" applyNumberFormat="0" applyBorder="0" applyAlignment="0" applyProtection="0"/>
    <xf numFmtId="0" fontId="95" fillId="103" borderId="0" applyNumberFormat="0" applyBorder="0" applyAlignment="0" applyProtection="0"/>
    <xf numFmtId="0" fontId="95" fillId="103" borderId="0" applyNumberFormat="0" applyBorder="0" applyAlignment="0" applyProtection="0"/>
    <xf numFmtId="0" fontId="95" fillId="103" borderId="0" applyNumberFormat="0" applyBorder="0" applyAlignment="0" applyProtection="0"/>
    <xf numFmtId="0" fontId="95" fillId="103" borderId="0" applyNumberFormat="0" applyBorder="0" applyAlignment="0" applyProtection="0"/>
    <xf numFmtId="0" fontId="95" fillId="103" borderId="0" applyNumberFormat="0" applyBorder="0" applyAlignment="0" applyProtection="0"/>
    <xf numFmtId="0" fontId="95" fillId="103" borderId="0" applyNumberFormat="0" applyBorder="0" applyAlignment="0" applyProtection="0"/>
    <xf numFmtId="0" fontId="95" fillId="103" borderId="0" applyNumberFormat="0" applyBorder="0" applyAlignment="0" applyProtection="0"/>
    <xf numFmtId="0" fontId="95" fillId="103" borderId="0" applyNumberFormat="0" applyBorder="0" applyAlignment="0" applyProtection="0"/>
    <xf numFmtId="0" fontId="95" fillId="103" borderId="0" applyNumberFormat="0" applyBorder="0" applyAlignment="0" applyProtection="0"/>
    <xf numFmtId="0" fontId="95" fillId="103" borderId="0" applyNumberFormat="0" applyBorder="0" applyAlignment="0" applyProtection="0"/>
    <xf numFmtId="0" fontId="95" fillId="103"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97"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43" borderId="0" applyNumberFormat="0" applyBorder="0" applyAlignment="0" applyProtection="0"/>
    <xf numFmtId="0" fontId="95" fillId="37" borderId="0" applyNumberFormat="0" applyBorder="0" applyAlignment="0" applyProtection="0"/>
    <xf numFmtId="0" fontId="95" fillId="37" borderId="0" applyNumberFormat="0" applyBorder="0" applyAlignment="0" applyProtection="0"/>
    <xf numFmtId="0" fontId="95" fillId="37" borderId="0" applyNumberFormat="0" applyBorder="0" applyAlignment="0" applyProtection="0"/>
    <xf numFmtId="0" fontId="95" fillId="37" borderId="0" applyNumberFormat="0" applyBorder="0" applyAlignment="0" applyProtection="0"/>
    <xf numFmtId="0" fontId="95" fillId="37" borderId="0" applyNumberFormat="0" applyBorder="0" applyAlignment="0" applyProtection="0"/>
    <xf numFmtId="0" fontId="95" fillId="37" borderId="0" applyNumberFormat="0" applyBorder="0" applyAlignment="0" applyProtection="0"/>
    <xf numFmtId="0" fontId="95" fillId="37" borderId="0" applyNumberFormat="0" applyBorder="0" applyAlignment="0" applyProtection="0"/>
    <xf numFmtId="0" fontId="95" fillId="37" borderId="0" applyNumberFormat="0" applyBorder="0" applyAlignment="0" applyProtection="0"/>
    <xf numFmtId="0" fontId="95" fillId="37" borderId="0" applyNumberFormat="0" applyBorder="0" applyAlignment="0" applyProtection="0"/>
    <xf numFmtId="0" fontId="95" fillId="37" borderId="0" applyNumberFormat="0" applyBorder="0" applyAlignment="0" applyProtection="0"/>
    <xf numFmtId="0" fontId="95" fillId="37" borderId="0" applyNumberFormat="0" applyBorder="0" applyAlignment="0" applyProtection="0"/>
    <xf numFmtId="0" fontId="170" fillId="0" borderId="0" applyNumberFormat="0" applyAlignment="0">
      <alignment horizontal="left"/>
    </xf>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02" fillId="33" borderId="175" applyNumberFormat="0" applyAlignment="0" applyProtection="0"/>
    <xf numFmtId="0" fontId="171" fillId="0" borderId="0"/>
    <xf numFmtId="165" fontId="14" fillId="0" borderId="0" applyFont="0" applyFill="0" applyBorder="0" applyAlignment="0" applyProtection="0"/>
    <xf numFmtId="220" fontId="3" fillId="0" borderId="0" applyFont="0" applyFill="0" applyBorder="0" applyAlignment="0" applyProtection="0"/>
    <xf numFmtId="221" fontId="3" fillId="0" borderId="0" applyFont="0" applyFill="0" applyBorder="0" applyAlignment="0" applyProtection="0"/>
    <xf numFmtId="222" fontId="3" fillId="0" borderId="0" applyFont="0" applyFill="0" applyBorder="0" applyAlignment="0" applyProtection="0"/>
    <xf numFmtId="0" fontId="3" fillId="0" borderId="0" applyFont="0" applyFill="0" applyBorder="0" applyAlignment="0" applyProtection="0"/>
    <xf numFmtId="223" fontId="3" fillId="0" borderId="0" applyFont="0" applyFill="0" applyBorder="0" applyAlignment="0" applyProtection="0"/>
    <xf numFmtId="210" fontId="3" fillId="0" borderId="0" applyFont="0" applyFill="0" applyBorder="0" applyAlignment="0" applyProtection="0"/>
    <xf numFmtId="222" fontId="3" fillId="0" borderId="0" applyFont="0" applyFill="0" applyBorder="0" applyAlignment="0" applyProtection="0"/>
    <xf numFmtId="210" fontId="3" fillId="0" borderId="0" applyFont="0" applyFill="0" applyBorder="0" applyAlignment="0" applyProtection="0"/>
    <xf numFmtId="222"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210" fontId="3" fillId="0" borderId="0" applyFont="0" applyFill="0" applyBorder="0" applyAlignment="0" applyProtection="0"/>
    <xf numFmtId="0" fontId="3" fillId="0" borderId="0" applyFont="0" applyFill="0" applyBorder="0" applyAlignment="0" applyProtection="0"/>
    <xf numFmtId="210" fontId="3" fillId="0" borderId="0" applyFont="0" applyFill="0" applyBorder="0" applyAlignment="0" applyProtection="0"/>
    <xf numFmtId="0" fontId="3" fillId="0" borderId="0" applyFont="0" applyFill="0" applyBorder="0" applyAlignment="0" applyProtection="0"/>
    <xf numFmtId="210" fontId="3" fillId="0" borderId="0" applyFont="0" applyFill="0" applyBorder="0" applyAlignment="0" applyProtection="0"/>
    <xf numFmtId="0" fontId="3" fillId="0" borderId="0" applyFont="0" applyFill="0" applyBorder="0" applyAlignment="0" applyProtection="0"/>
    <xf numFmtId="21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210" fontId="3" fillId="0" borderId="0" applyFont="0" applyFill="0" applyBorder="0" applyAlignment="0" applyProtection="0"/>
    <xf numFmtId="210" fontId="3" fillId="0" borderId="0" applyFont="0" applyFill="0" applyBorder="0" applyAlignment="0" applyProtection="0"/>
    <xf numFmtId="223" fontId="3" fillId="0" borderId="0" applyFont="0" applyFill="0" applyBorder="0" applyAlignment="0" applyProtection="0"/>
    <xf numFmtId="210" fontId="3" fillId="0" borderId="0" applyFont="0" applyFill="0" applyBorder="0" applyAlignment="0" applyProtection="0"/>
    <xf numFmtId="210" fontId="3" fillId="0" borderId="0" applyFont="0" applyFill="0" applyBorder="0" applyAlignment="0" applyProtection="0"/>
    <xf numFmtId="222" fontId="3" fillId="0" borderId="0" applyFont="0" applyFill="0" applyBorder="0" applyAlignment="0" applyProtection="0"/>
    <xf numFmtId="223" fontId="3" fillId="0" borderId="0" applyFont="0" applyFill="0" applyBorder="0" applyAlignment="0" applyProtection="0"/>
    <xf numFmtId="210" fontId="3" fillId="0" borderId="0" applyFont="0" applyFill="0" applyBorder="0" applyAlignment="0" applyProtection="0"/>
    <xf numFmtId="223" fontId="3" fillId="0" borderId="0" applyFont="0" applyFill="0" applyBorder="0" applyAlignment="0" applyProtection="0"/>
    <xf numFmtId="223" fontId="3" fillId="0" borderId="0" applyFont="0" applyFill="0" applyBorder="0" applyAlignment="0" applyProtection="0"/>
    <xf numFmtId="223" fontId="3" fillId="0" borderId="0" applyFont="0" applyFill="0" applyBorder="0" applyAlignment="0" applyProtection="0"/>
    <xf numFmtId="223" fontId="3" fillId="0" borderId="0" applyFont="0" applyFill="0" applyBorder="0" applyAlignment="0" applyProtection="0"/>
    <xf numFmtId="223" fontId="3" fillId="0" borderId="0" applyFont="0" applyFill="0" applyBorder="0" applyAlignment="0" applyProtection="0"/>
    <xf numFmtId="210" fontId="3" fillId="0" borderId="0" applyFont="0" applyFill="0" applyBorder="0" applyAlignment="0" applyProtection="0"/>
    <xf numFmtId="0" fontId="155" fillId="0" borderId="0" applyNumberFormat="0" applyFill="0" applyBorder="0" applyAlignment="0" applyProtection="0"/>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2"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3"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0" fontId="174" fillId="0" borderId="0">
      <protection locked="0"/>
    </xf>
    <xf numFmtId="224" fontId="3" fillId="0" borderId="0">
      <protection locked="0"/>
    </xf>
    <xf numFmtId="0" fontId="175" fillId="0" borderId="0" applyNumberFormat="0" applyFill="0" applyBorder="0" applyAlignment="0" applyProtection="0"/>
    <xf numFmtId="0" fontId="175" fillId="0" borderId="0" applyNumberFormat="0" applyFill="0" applyBorder="0" applyAlignment="0" applyProtection="0"/>
    <xf numFmtId="0" fontId="175" fillId="0" borderId="0" applyNumberFormat="0" applyFill="0" applyBorder="0" applyAlignment="0" applyProtection="0"/>
    <xf numFmtId="0" fontId="175" fillId="0" borderId="0" applyNumberFormat="0" applyFill="0" applyBorder="0" applyAlignment="0" applyProtection="0"/>
    <xf numFmtId="0" fontId="175" fillId="0" borderId="0" applyNumberFormat="0" applyFill="0" applyBorder="0" applyAlignment="0" applyProtection="0"/>
    <xf numFmtId="0" fontId="175" fillId="0" borderId="0" applyNumberFormat="0" applyFill="0" applyBorder="0" applyAlignment="0" applyProtection="0"/>
    <xf numFmtId="0" fontId="175" fillId="0" borderId="0" applyNumberFormat="0" applyFill="0" applyBorder="0" applyAlignment="0" applyProtection="0"/>
    <xf numFmtId="0" fontId="175" fillId="0" borderId="0" applyNumberFormat="0" applyFill="0" applyBorder="0" applyAlignment="0" applyProtection="0"/>
    <xf numFmtId="0" fontId="175" fillId="0" borderId="0" applyNumberFormat="0" applyFill="0" applyBorder="0" applyAlignment="0" applyProtection="0"/>
    <xf numFmtId="0" fontId="176" fillId="0" borderId="0"/>
    <xf numFmtId="183" fontId="177" fillId="0" borderId="2">
      <alignment horizontal="right"/>
    </xf>
    <xf numFmtId="0" fontId="148" fillId="60" borderId="0" applyNumberFormat="0" applyBorder="0" applyAlignment="0" applyProtection="0"/>
    <xf numFmtId="38" fontId="50" fillId="12" borderId="0" applyNumberFormat="0" applyBorder="0" applyAlignment="0" applyProtection="0"/>
    <xf numFmtId="0" fontId="178" fillId="104" borderId="0"/>
    <xf numFmtId="0" fontId="179" fillId="104" borderId="0"/>
    <xf numFmtId="0" fontId="180" fillId="0" borderId="0" applyNumberFormat="0" applyFill="0" applyBorder="0" applyAlignment="0" applyProtection="0"/>
    <xf numFmtId="0" fontId="84" fillId="0" borderId="104" applyNumberFormat="0" applyAlignment="0" applyProtection="0">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84" fillId="0" borderId="161">
      <alignment horizontal="left" vertical="center"/>
    </xf>
    <xf numFmtId="0" fontId="181" fillId="0" borderId="0" applyNumberFormat="0" applyFill="0" applyBorder="0" applyAlignment="0" applyProtection="0"/>
    <xf numFmtId="0" fontId="182" fillId="0" borderId="0" applyNumberFormat="0" applyFill="0" applyBorder="0" applyAlignment="0" applyProtection="0"/>
    <xf numFmtId="0" fontId="183" fillId="0" borderId="0" applyNumberFormat="0" applyFill="0" applyBorder="0" applyAlignment="0" applyProtection="0"/>
    <xf numFmtId="0" fontId="184" fillId="0" borderId="0" applyNumberFormat="0" applyFill="0" applyBorder="0" applyAlignment="0" applyProtection="0"/>
    <xf numFmtId="0" fontId="169" fillId="0" borderId="190" applyNumberFormat="0" applyFill="0" applyAlignment="0" applyProtection="0"/>
    <xf numFmtId="0" fontId="147" fillId="0" borderId="0" applyNumberFormat="0" applyFill="0" applyBorder="0" applyAlignment="0" applyProtection="0"/>
    <xf numFmtId="225" fontId="3" fillId="0" borderId="0">
      <protection locked="0"/>
    </xf>
    <xf numFmtId="226" fontId="3" fillId="0" borderId="0">
      <protection locked="0"/>
    </xf>
    <xf numFmtId="225" fontId="3" fillId="0" borderId="0">
      <protection locked="0"/>
    </xf>
    <xf numFmtId="226" fontId="3" fillId="0" borderId="0">
      <protection locked="0"/>
    </xf>
    <xf numFmtId="0" fontId="185" fillId="0" borderId="6">
      <alignment horizontal="center"/>
    </xf>
    <xf numFmtId="0" fontId="185" fillId="0" borderId="0">
      <alignment horizontal="center"/>
    </xf>
    <xf numFmtId="227" fontId="3" fillId="0" borderId="81" applyBorder="0"/>
    <xf numFmtId="0" fontId="186" fillId="0" borderId="191" applyNumberFormat="0" applyFill="0" applyAlignment="0" applyProtection="0"/>
    <xf numFmtId="0" fontId="187" fillId="0" borderId="0" applyNumberFormat="0" applyFill="0" applyBorder="0" applyAlignment="0" applyProtection="0">
      <alignment vertical="top"/>
      <protection locked="0"/>
    </xf>
    <xf numFmtId="0" fontId="188" fillId="0" borderId="0" applyNumberFormat="0" applyFill="0" applyBorder="0" applyAlignment="0" applyProtection="0">
      <alignment vertical="top"/>
      <protection locked="0"/>
    </xf>
    <xf numFmtId="0" fontId="189" fillId="0" borderId="0" applyNumberFormat="0" applyFill="0" applyBorder="0" applyAlignment="0" applyProtection="0">
      <alignment vertical="top"/>
      <protection locked="0"/>
    </xf>
    <xf numFmtId="0" fontId="190" fillId="0" borderId="0" applyNumberFormat="0" applyFill="0" applyBorder="0" applyAlignment="0" applyProtection="0">
      <alignment vertical="top"/>
      <protection locked="0"/>
    </xf>
    <xf numFmtId="0" fontId="191" fillId="0" borderId="0" applyNumberFormat="0" applyFill="0" applyBorder="0" applyAlignment="0" applyProtection="0"/>
    <xf numFmtId="0" fontId="188" fillId="0" borderId="0" applyNumberFormat="0" applyFill="0" applyBorder="0" applyAlignment="0" applyProtection="0">
      <alignment vertical="top"/>
      <protection locked="0"/>
    </xf>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1" fillId="0" borderId="0" applyNumberFormat="0" applyFill="0" applyBorder="0" applyAlignment="0" applyProtection="0"/>
    <xf numFmtId="0" fontId="192" fillId="0" borderId="0" applyNumberFormat="0" applyFill="0" applyBorder="0" applyAlignment="0" applyProtection="0">
      <alignment vertical="top"/>
      <protection locked="0"/>
    </xf>
    <xf numFmtId="0" fontId="104" fillId="36" borderId="0" applyNumberFormat="0" applyBorder="0" applyAlignment="0" applyProtection="0"/>
    <xf numFmtId="0" fontId="104" fillId="36" borderId="0" applyNumberFormat="0" applyBorder="0" applyAlignment="0" applyProtection="0"/>
    <xf numFmtId="0" fontId="104" fillId="36" borderId="0" applyNumberFormat="0" applyBorder="0" applyAlignment="0" applyProtection="0"/>
    <xf numFmtId="0" fontId="104" fillId="36" borderId="0" applyNumberFormat="0" applyBorder="0" applyAlignment="0" applyProtection="0"/>
    <xf numFmtId="0" fontId="104" fillId="36" borderId="0" applyNumberFormat="0" applyBorder="0" applyAlignment="0" applyProtection="0"/>
    <xf numFmtId="0" fontId="104" fillId="36" borderId="0" applyNumberFormat="0" applyBorder="0" applyAlignment="0" applyProtection="0"/>
    <xf numFmtId="0" fontId="104" fillId="36" borderId="0" applyNumberFormat="0" applyBorder="0" applyAlignment="0" applyProtection="0"/>
    <xf numFmtId="0" fontId="193" fillId="61" borderId="0" applyNumberFormat="0" applyBorder="0" applyAlignment="0" applyProtection="0"/>
    <xf numFmtId="0" fontId="104" fillId="36" borderId="0" applyNumberFormat="0" applyBorder="0" applyAlignment="0" applyProtection="0"/>
    <xf numFmtId="0" fontId="104" fillId="36" borderId="0" applyNumberFormat="0" applyBorder="0" applyAlignment="0" applyProtection="0"/>
    <xf numFmtId="0" fontId="104" fillId="36" borderId="0" applyNumberFormat="0" applyBorder="0" applyAlignment="0" applyProtection="0"/>
    <xf numFmtId="0" fontId="104" fillId="36" borderId="0" applyNumberFormat="0" applyBorder="0" applyAlignment="0" applyProtection="0"/>
    <xf numFmtId="0" fontId="150" fillId="62" borderId="181" applyNumberFormat="0" applyAlignment="0" applyProtection="0"/>
    <xf numFmtId="10" fontId="50" fillId="105" borderId="143" applyNumberFormat="0" applyBorder="0" applyAlignment="0" applyProtection="0"/>
    <xf numFmtId="10" fontId="50" fillId="105" borderId="143" applyNumberFormat="0" applyBorder="0" applyAlignment="0" applyProtection="0"/>
    <xf numFmtId="10" fontId="50" fillId="105" borderId="143" applyNumberFormat="0" applyBorder="0" applyAlignment="0" applyProtection="0"/>
    <xf numFmtId="0" fontId="153" fillId="0" borderId="183" applyNumberFormat="0" applyFill="0" applyAlignment="0" applyProtection="0"/>
    <xf numFmtId="4" fontId="163" fillId="0" borderId="0">
      <alignment horizontal="centerContinuous"/>
    </xf>
    <xf numFmtId="4" fontId="194" fillId="0" borderId="0">
      <alignment horizontal="centerContinuous"/>
    </xf>
    <xf numFmtId="228" fontId="3" fillId="0" borderId="0" applyFont="0" applyFill="0" applyBorder="0" applyAlignment="0" applyProtection="0"/>
    <xf numFmtId="167" fontId="3" fillId="0" borderId="0" applyFont="0" applyFill="0" applyBorder="0" applyAlignment="0" applyProtection="0"/>
    <xf numFmtId="229" fontId="1" fillId="0" borderId="0" applyFont="0" applyFill="0" applyBorder="0" applyAlignment="0" applyProtection="0"/>
    <xf numFmtId="165" fontId="14" fillId="0" borderId="0" applyFont="0" applyFill="0" applyBorder="0" applyAlignment="0" applyProtection="0"/>
    <xf numFmtId="164" fontId="195"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5"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5"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3"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215" fontId="44"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215" fontId="3"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5" fillId="0" borderId="0" applyFont="0" applyFill="0" applyBorder="0" applyAlignment="0" applyProtection="0"/>
    <xf numFmtId="169" fontId="15" fillId="0" borderId="0" applyFont="0" applyFill="0" applyBorder="0" applyAlignment="0" applyProtection="0"/>
    <xf numFmtId="164" fontId="14" fillId="0" borderId="0" applyFont="0" applyFill="0" applyBorder="0" applyAlignment="0" applyProtection="0"/>
    <xf numFmtId="169" fontId="44" fillId="0" borderId="0" applyFont="0" applyFill="0" applyBorder="0" applyAlignment="0" applyProtection="0"/>
    <xf numFmtId="164" fontId="44" fillId="0" borderId="0" applyFont="0" applyFill="0" applyBorder="0" applyAlignment="0" applyProtection="0"/>
    <xf numFmtId="215" fontId="3"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5" fontId="3" fillId="0" borderId="0" applyFont="0" applyFill="0" applyBorder="0" applyAlignment="0" applyProtection="0"/>
    <xf numFmtId="164" fontId="3"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40" fontId="163" fillId="0" borderId="0" applyFont="0" applyFill="0" applyBorder="0" applyAlignment="0" applyProtection="0"/>
    <xf numFmtId="215"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9"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9" fontId="3" fillId="0" borderId="0" applyFont="0" applyFill="0" applyBorder="0" applyAlignment="0" applyProtection="0"/>
    <xf numFmtId="215" fontId="1" fillId="0" borderId="0" applyFont="0" applyFill="0" applyBorder="0" applyAlignment="0" applyProtection="0"/>
    <xf numFmtId="215"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9"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230" fontId="3" fillId="0" borderId="0" applyFont="0" applyFill="0" applyBorder="0" applyAlignment="0" applyProtection="0"/>
    <xf numFmtId="0" fontId="3" fillId="0" borderId="0" applyFont="0" applyFill="0" applyBorder="0" applyAlignment="0" applyProtection="0"/>
    <xf numFmtId="231" fontId="1" fillId="0" borderId="0" applyFont="0" applyFill="0" applyBorder="0" applyAlignment="0" applyProtection="0"/>
    <xf numFmtId="214" fontId="3"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3"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232" fontId="3" fillId="0" borderId="0" applyFont="0" applyFill="0" applyBorder="0" applyAlignment="0" applyProtection="0"/>
    <xf numFmtId="233" fontId="3" fillId="0" borderId="0" applyFont="0" applyFill="0" applyBorder="0" applyAlignment="0" applyProtection="0"/>
    <xf numFmtId="0" fontId="196" fillId="0" borderId="0" applyNumberFormat="0">
      <alignment horizontal="right"/>
    </xf>
    <xf numFmtId="0" fontId="197" fillId="35" borderId="0" applyNumberFormat="0" applyBorder="0" applyAlignment="0" applyProtection="0"/>
    <xf numFmtId="0" fontId="197" fillId="35" borderId="0" applyNumberFormat="0" applyBorder="0" applyAlignment="0" applyProtection="0"/>
    <xf numFmtId="0" fontId="197" fillId="35" borderId="0" applyNumberFormat="0" applyBorder="0" applyAlignment="0" applyProtection="0"/>
    <xf numFmtId="0" fontId="197" fillId="35" borderId="0" applyNumberFormat="0" applyBorder="0" applyAlignment="0" applyProtection="0"/>
    <xf numFmtId="0" fontId="197" fillId="35" borderId="0" applyNumberFormat="0" applyBorder="0" applyAlignment="0" applyProtection="0"/>
    <xf numFmtId="0" fontId="197" fillId="35" borderId="0" applyNumberFormat="0" applyBorder="0" applyAlignment="0" applyProtection="0"/>
    <xf numFmtId="0" fontId="197" fillId="35" borderId="0" applyNumberFormat="0" applyBorder="0" applyAlignment="0" applyProtection="0"/>
    <xf numFmtId="0" fontId="197" fillId="35" borderId="0" applyNumberFormat="0" applyBorder="0" applyAlignment="0" applyProtection="0"/>
    <xf numFmtId="0" fontId="197" fillId="35" borderId="0" applyNumberFormat="0" applyBorder="0" applyAlignment="0" applyProtection="0"/>
    <xf numFmtId="0" fontId="197" fillId="35" borderId="0" applyNumberFormat="0" applyBorder="0" applyAlignment="0" applyProtection="0"/>
    <xf numFmtId="0" fontId="197" fillId="35" borderId="0" applyNumberFormat="0" applyBorder="0" applyAlignment="0" applyProtection="0"/>
    <xf numFmtId="37" fontId="198" fillId="0" borderId="0"/>
    <xf numFmtId="234" fontId="3" fillId="0" borderId="0"/>
    <xf numFmtId="234" fontId="3" fillId="0" borderId="0"/>
    <xf numFmtId="234" fontId="3" fillId="0" borderId="0"/>
    <xf numFmtId="234" fontId="3" fillId="0" borderId="0"/>
    <xf numFmtId="234" fontId="3" fillId="0" borderId="0"/>
    <xf numFmtId="0" fontId="3" fillId="0" borderId="0"/>
    <xf numFmtId="235" fontId="163" fillId="0" borderId="0"/>
    <xf numFmtId="174" fontId="20" fillId="0" borderId="0"/>
    <xf numFmtId="235" fontId="163" fillId="0" borderId="0"/>
    <xf numFmtId="234" fontId="3" fillId="0" borderId="0"/>
    <xf numFmtId="231" fontId="3" fillId="0" borderId="0"/>
    <xf numFmtId="0" fontId="3" fillId="0" borderId="0"/>
    <xf numFmtId="234" fontId="3" fillId="0" borderId="0"/>
    <xf numFmtId="231" fontId="3" fillId="0" borderId="0"/>
    <xf numFmtId="234" fontId="3" fillId="0" borderId="0"/>
    <xf numFmtId="231" fontId="3" fillId="0" borderId="0"/>
    <xf numFmtId="234" fontId="3" fillId="0" borderId="0"/>
    <xf numFmtId="231" fontId="3" fillId="0" borderId="0"/>
    <xf numFmtId="234" fontId="3" fillId="0" borderId="0"/>
    <xf numFmtId="231" fontId="3" fillId="0" borderId="0"/>
    <xf numFmtId="234" fontId="3" fillId="0" borderId="0"/>
    <xf numFmtId="231" fontId="3" fillId="0" borderId="0"/>
    <xf numFmtId="234" fontId="3" fillId="0" borderId="0"/>
    <xf numFmtId="231" fontId="3" fillId="0" borderId="0"/>
    <xf numFmtId="234" fontId="3" fillId="0" borderId="0"/>
    <xf numFmtId="231"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210" fontId="1" fillId="0" borderId="0"/>
    <xf numFmtId="210" fontId="1" fillId="0" borderId="0"/>
    <xf numFmtId="210" fontId="1" fillId="0" borderId="0"/>
    <xf numFmtId="236" fontId="3" fillId="0" borderId="0"/>
    <xf numFmtId="0" fontId="14" fillId="0" borderId="0"/>
    <xf numFmtId="0" fontId="14"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 fillId="0" borderId="0"/>
    <xf numFmtId="0" fontId="3" fillId="0" borderId="0"/>
    <xf numFmtId="210" fontId="1" fillId="0" borderId="0"/>
    <xf numFmtId="210" fontId="1" fillId="0" borderId="0"/>
    <xf numFmtId="0" fontId="14" fillId="0" borderId="0"/>
    <xf numFmtId="210" fontId="1" fillId="0" borderId="0"/>
    <xf numFmtId="210" fontId="1" fillId="0" borderId="0"/>
    <xf numFmtId="236"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210" fontId="3" fillId="0" borderId="0"/>
    <xf numFmtId="0" fontId="3" fillId="0" borderId="0"/>
    <xf numFmtId="0" fontId="1" fillId="0" borderId="0"/>
    <xf numFmtId="0" fontId="14" fillId="0" borderId="0"/>
    <xf numFmtId="0" fontId="14" fillId="0" borderId="0"/>
    <xf numFmtId="0" fontId="14"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210" fontId="1" fillId="0" borderId="0"/>
    <xf numFmtId="210" fontId="1" fillId="0" borderId="0"/>
    <xf numFmtId="210" fontId="1" fillId="0" borderId="0"/>
    <xf numFmtId="210" fontId="1"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 fillId="0" borderId="0"/>
    <xf numFmtId="0" fontId="199" fillId="0" borderId="0" applyNumberFormat="0" applyFill="0" applyBorder="0" applyProtection="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1" fillId="0" borderId="0"/>
    <xf numFmtId="0" fontId="1" fillId="0" borderId="0"/>
    <xf numFmtId="0" fontId="3"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3" fillId="0" borderId="0"/>
    <xf numFmtId="0" fontId="1" fillId="0" borderId="0"/>
    <xf numFmtId="0" fontId="1" fillId="0" borderId="0"/>
    <xf numFmtId="0" fontId="199" fillId="0" borderId="0" applyNumberFormat="0" applyFill="0" applyBorder="0" applyProtection="0">
      <alignment vertical="top"/>
    </xf>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 fillId="0" borderId="0"/>
    <xf numFmtId="0" fontId="199" fillId="0" borderId="0" applyNumberFormat="0" applyFill="0" applyBorder="0" applyProtection="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210" fontId="3" fillId="0" borderId="0"/>
    <xf numFmtId="0" fontId="3" fillId="0" borderId="0"/>
    <xf numFmtId="210" fontId="3" fillId="0" borderId="0"/>
    <xf numFmtId="0" fontId="199" fillId="0" borderId="0" applyNumberFormat="0" applyFill="0" applyBorder="0" applyProtection="0">
      <alignment vertical="top"/>
    </xf>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3" fillId="0" borderId="0"/>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0" fillId="0" borderId="0"/>
    <xf numFmtId="0" fontId="156" fillId="0" borderId="0"/>
    <xf numFmtId="210" fontId="3" fillId="0" borderId="0"/>
    <xf numFmtId="210" fontId="3" fillId="0" borderId="0"/>
    <xf numFmtId="210" fontId="3" fillId="0" borderId="0"/>
    <xf numFmtId="210" fontId="3" fillId="0" borderId="0"/>
    <xf numFmtId="210" fontId="3" fillId="0" borderId="0"/>
    <xf numFmtId="21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5" fillId="0" borderId="0"/>
    <xf numFmtId="0" fontId="15" fillId="0" borderId="0"/>
    <xf numFmtId="0" fontId="15" fillId="0" borderId="0"/>
    <xf numFmtId="0" fontId="14" fillId="0" borderId="0"/>
    <xf numFmtId="0" fontId="14" fillId="0" borderId="0"/>
    <xf numFmtId="0" fontId="14"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4" fillId="0" borderId="0"/>
    <xf numFmtId="210" fontId="3" fillId="0" borderId="0"/>
    <xf numFmtId="0" fontId="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4" fillId="0" borderId="0"/>
    <xf numFmtId="21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4" fillId="0" borderId="0"/>
    <xf numFmtId="21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4" fillId="0" borderId="0"/>
    <xf numFmtId="21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4"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3" fillId="0" borderId="0"/>
    <xf numFmtId="0" fontId="14" fillId="0" borderId="0"/>
    <xf numFmtId="0" fontId="14" fillId="0" borderId="0"/>
    <xf numFmtId="0" fontId="3" fillId="0" borderId="0"/>
    <xf numFmtId="0" fontId="1" fillId="0" borderId="0"/>
    <xf numFmtId="0" fontId="1" fillId="0" borderId="0"/>
    <xf numFmtId="0" fontId="3" fillId="0" borderId="0"/>
    <xf numFmtId="0" fontId="14" fillId="0" borderId="0"/>
    <xf numFmtId="0" fontId="14" fillId="0" borderId="0"/>
    <xf numFmtId="0" fontId="14" fillId="0" borderId="0"/>
    <xf numFmtId="0" fontId="14"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1" fillId="0" borderId="0"/>
    <xf numFmtId="0" fontId="1" fillId="0" borderId="0"/>
    <xf numFmtId="0" fontId="3"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14" fillId="0" borderId="0"/>
    <xf numFmtId="0" fontId="14"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4" fillId="0" borderId="0"/>
    <xf numFmtId="0" fontId="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4" fillId="0" borderId="0"/>
    <xf numFmtId="0" fontId="199" fillId="0" borderId="0" applyNumberFormat="0" applyFill="0" applyBorder="0" applyProtection="0">
      <alignment vertical="top"/>
    </xf>
    <xf numFmtId="0" fontId="3" fillId="0" borderId="0"/>
    <xf numFmtId="0" fontId="1" fillId="0" borderId="0"/>
    <xf numFmtId="0" fontId="1" fillId="0" borderId="0"/>
    <xf numFmtId="0" fontId="1" fillId="0" borderId="0"/>
    <xf numFmtId="0" fontId="1" fillId="0" borderId="0"/>
    <xf numFmtId="0" fontId="3"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4" fillId="0" borderId="0"/>
    <xf numFmtId="0" fontId="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4"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3"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4" fillId="0" borderId="0"/>
    <xf numFmtId="0" fontId="14"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56" fillId="0" borderId="0"/>
    <xf numFmtId="0" fontId="156" fillId="0" borderId="0"/>
    <xf numFmtId="0" fontId="156" fillId="0" borderId="0"/>
    <xf numFmtId="0" fontId="156" fillId="0" borderId="0"/>
    <xf numFmtId="0" fontId="156" fillId="0" borderId="0"/>
    <xf numFmtId="0" fontId="3" fillId="0" borderId="0"/>
    <xf numFmtId="39" fontId="201" fillId="0" borderId="0"/>
    <xf numFmtId="210" fontId="3" fillId="0" borderId="0"/>
    <xf numFmtId="0" fontId="1" fillId="0" borderId="0"/>
    <xf numFmtId="0" fontId="1" fillId="0" borderId="0"/>
    <xf numFmtId="0" fontId="1" fillId="0" borderId="0"/>
    <xf numFmtId="0" fontId="3" fillId="0" borderId="0"/>
    <xf numFmtId="0" fontId="3" fillId="0" borderId="0"/>
    <xf numFmtId="0" fontId="3" fillId="0" borderId="0"/>
    <xf numFmtId="210" fontId="3" fillId="0" borderId="0"/>
    <xf numFmtId="210" fontId="3" fillId="0" borderId="0"/>
    <xf numFmtId="210" fontId="3" fillId="0" borderId="0"/>
    <xf numFmtId="0" fontId="3" fillId="0" borderId="0"/>
    <xf numFmtId="0" fontId="3" fillId="0" borderId="0"/>
    <xf numFmtId="0" fontId="3" fillId="0" borderId="0"/>
    <xf numFmtId="0" fontId="3" fillId="0" borderId="0"/>
    <xf numFmtId="210" fontId="3" fillId="0" borderId="0"/>
    <xf numFmtId="210" fontId="3" fillId="0" borderId="0"/>
    <xf numFmtId="210" fontId="3" fillId="0" borderId="0"/>
    <xf numFmtId="0" fontId="14" fillId="0" borderId="0"/>
    <xf numFmtId="0" fontId="14" fillId="0" borderId="0"/>
    <xf numFmtId="0" fontId="14"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210" fontId="3" fillId="0" borderId="0"/>
    <xf numFmtId="210" fontId="3" fillId="0" borderId="0"/>
    <xf numFmtId="210" fontId="3" fillId="0" borderId="0"/>
    <xf numFmtId="0" fontId="156" fillId="0" borderId="0"/>
    <xf numFmtId="0" fontId="156" fillId="0" borderId="0"/>
    <xf numFmtId="0" fontId="156"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210" fontId="3" fillId="0" borderId="0"/>
    <xf numFmtId="0" fontId="156" fillId="0" borderId="0"/>
    <xf numFmtId="0" fontId="156"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210" fontId="1" fillId="0" borderId="0"/>
    <xf numFmtId="0" fontId="3" fillId="0" borderId="0"/>
    <xf numFmtId="0" fontId="1" fillId="0" borderId="0"/>
    <xf numFmtId="0" fontId="1" fillId="0" borderId="0"/>
    <xf numFmtId="0" fontId="3" fillId="0" borderId="0"/>
    <xf numFmtId="210" fontId="1" fillId="0" borderId="0"/>
    <xf numFmtId="210" fontId="1" fillId="0" borderId="0"/>
    <xf numFmtId="0" fontId="1" fillId="0" borderId="0"/>
    <xf numFmtId="210" fontId="1" fillId="0" borderId="0"/>
    <xf numFmtId="0" fontId="1" fillId="0" borderId="0"/>
    <xf numFmtId="0" fontId="1" fillId="0" borderId="0"/>
    <xf numFmtId="0" fontId="1" fillId="0" borderId="0"/>
    <xf numFmtId="0" fontId="1" fillId="0" borderId="0"/>
    <xf numFmtId="210" fontId="1" fillId="0" borderId="0"/>
    <xf numFmtId="0" fontId="3" fillId="0" borderId="0"/>
    <xf numFmtId="210" fontId="1" fillId="0" borderId="0"/>
    <xf numFmtId="210" fontId="1" fillId="0" borderId="0"/>
    <xf numFmtId="210" fontId="1" fillId="0" borderId="0"/>
    <xf numFmtId="210" fontId="1" fillId="0" borderId="0"/>
    <xf numFmtId="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1" fillId="0" borderId="0"/>
    <xf numFmtId="0" fontId="1" fillId="0" borderId="0"/>
    <xf numFmtId="0" fontId="1" fillId="0" borderId="0"/>
    <xf numFmtId="0" fontId="1" fillId="0" borderId="0"/>
    <xf numFmtId="21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210" fontId="1" fillId="0" borderId="0"/>
    <xf numFmtId="0" fontId="3"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1" fillId="0" borderId="0"/>
    <xf numFmtId="0" fontId="1" fillId="0" borderId="0"/>
    <xf numFmtId="0" fontId="1" fillId="0" borderId="0"/>
    <xf numFmtId="0" fontId="1" fillId="0" borderId="0"/>
    <xf numFmtId="21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21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3" fillId="0" borderId="0"/>
    <xf numFmtId="21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21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210" fontId="1" fillId="0" borderId="0"/>
    <xf numFmtId="210" fontId="1" fillId="0" borderId="0"/>
    <xf numFmtId="210" fontId="1" fillId="0" borderId="0"/>
    <xf numFmtId="210" fontId="1" fillId="0" borderId="0"/>
    <xf numFmtId="210" fontId="1" fillId="0" borderId="0"/>
    <xf numFmtId="0" fontId="1" fillId="0" borderId="0"/>
    <xf numFmtId="0" fontId="1" fillId="0" borderId="0"/>
    <xf numFmtId="0" fontId="1" fillId="0" borderId="0"/>
    <xf numFmtId="0" fontId="1" fillId="0" borderId="0"/>
    <xf numFmtId="210" fontId="1" fillId="0" borderId="0"/>
    <xf numFmtId="210" fontId="1" fillId="0" borderId="0"/>
    <xf numFmtId="210" fontId="1" fillId="0" borderId="0"/>
    <xf numFmtId="236" fontId="1" fillId="0" borderId="0"/>
    <xf numFmtId="210" fontId="1" fillId="0" borderId="0"/>
    <xf numFmtId="210" fontId="1" fillId="0" borderId="0"/>
    <xf numFmtId="210" fontId="1" fillId="0" borderId="0"/>
    <xf numFmtId="210" fontId="1" fillId="0" borderId="0"/>
    <xf numFmtId="236" fontId="1" fillId="0" borderId="0"/>
    <xf numFmtId="0" fontId="3"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1" fillId="0" borderId="0"/>
    <xf numFmtId="0" fontId="1" fillId="0" borderId="0"/>
    <xf numFmtId="0" fontId="1" fillId="0" borderId="0"/>
    <xf numFmtId="0" fontId="1" fillId="0" borderId="0"/>
    <xf numFmtId="21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210" fontId="1" fillId="0" borderId="0"/>
    <xf numFmtId="236"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210" fontId="3" fillId="0" borderId="0"/>
    <xf numFmtId="210" fontId="3" fillId="0" borderId="0"/>
    <xf numFmtId="0" fontId="163" fillId="0" borderId="0"/>
    <xf numFmtId="0" fontId="163" fillId="0" borderId="0"/>
    <xf numFmtId="0" fontId="163" fillId="0" borderId="0"/>
    <xf numFmtId="0" fontId="163" fillId="0" borderId="0"/>
    <xf numFmtId="210" fontId="3" fillId="0" borderId="0"/>
    <xf numFmtId="0" fontId="163" fillId="0" borderId="0"/>
    <xf numFmtId="0" fontId="163"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210" fontId="3" fillId="0" borderId="0"/>
    <xf numFmtId="0" fontId="3"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99" fillId="0" borderId="0" applyNumberFormat="0" applyFill="0" applyBorder="0" applyProtection="0">
      <alignment vertical="top"/>
    </xf>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 fillId="0" borderId="0"/>
    <xf numFmtId="0" fontId="1" fillId="0" borderId="0"/>
    <xf numFmtId="0" fontId="1" fillId="0" borderId="0"/>
    <xf numFmtId="0" fontId="1" fillId="0" borderId="0"/>
    <xf numFmtId="210" fontId="1" fillId="0" borderId="0"/>
    <xf numFmtId="210" fontId="1" fillId="0" borderId="0"/>
    <xf numFmtId="0" fontId="1" fillId="0" borderId="0"/>
    <xf numFmtId="0" fontId="1" fillId="0" borderId="0"/>
    <xf numFmtId="0" fontId="1" fillId="0" borderId="0"/>
    <xf numFmtId="0" fontId="1" fillId="0" borderId="0"/>
    <xf numFmtId="210" fontId="1" fillId="0" borderId="0"/>
    <xf numFmtId="210" fontId="1" fillId="0" borderId="0"/>
    <xf numFmtId="0" fontId="1" fillId="0" borderId="0"/>
    <xf numFmtId="0" fontId="3" fillId="0" borderId="0"/>
    <xf numFmtId="21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210" fontId="1" fillId="0" borderId="0"/>
    <xf numFmtId="0" fontId="3" fillId="0" borderId="0"/>
    <xf numFmtId="0" fontId="1" fillId="0" borderId="0"/>
    <xf numFmtId="21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10" fontId="1" fillId="0" borderId="0"/>
    <xf numFmtId="210" fontId="1" fillId="0" borderId="0"/>
    <xf numFmtId="210" fontId="1" fillId="0" borderId="0"/>
    <xf numFmtId="210" fontId="1" fillId="0" borderId="0"/>
    <xf numFmtId="0" fontId="3"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3"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4" fillId="0" borderId="0"/>
    <xf numFmtId="0" fontId="156" fillId="0" borderId="0"/>
    <xf numFmtId="0" fontId="156" fillId="0" borderId="0"/>
    <xf numFmtId="0" fontId="14"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5"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4" fillId="0" borderId="0"/>
    <xf numFmtId="0" fontId="3" fillId="0" borderId="0"/>
    <xf numFmtId="21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 fillId="0" borderId="0"/>
    <xf numFmtId="0" fontId="14"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21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 fillId="0" borderId="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65" borderId="185"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44"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156" fillId="65" borderId="185"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32" borderId="192" applyNumberFormat="0" applyFont="0" applyAlignment="0" applyProtection="0"/>
    <xf numFmtId="0" fontId="3" fillId="65" borderId="185" applyNumberFormat="0" applyFont="0" applyAlignment="0" applyProtection="0"/>
    <xf numFmtId="237" fontId="3" fillId="0" borderId="0" applyFont="0" applyFill="0" applyBorder="0" applyAlignment="0" applyProtection="0"/>
    <xf numFmtId="164" fontId="3" fillId="0" borderId="0" applyFont="0" applyFill="0" applyBorder="0" applyAlignment="0" applyProtection="0"/>
    <xf numFmtId="165" fontId="3" fillId="0" borderId="0" applyFont="0" applyFill="0" applyBorder="0" applyAlignment="0" applyProtection="0"/>
    <xf numFmtId="0" fontId="151" fillId="63" borderId="182" applyNumberFormat="0" applyAlignment="0" applyProtection="0"/>
    <xf numFmtId="14" fontId="158" fillId="0" borderId="0">
      <alignment horizontal="center" wrapText="1"/>
      <protection locked="0"/>
    </xf>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3" fillId="0" borderId="0" applyFont="0" applyFill="0" applyBorder="0" applyAlignment="0" applyProtection="0"/>
    <xf numFmtId="9" fontId="15" fillId="0" borderId="0" applyFont="0" applyFill="0" applyBorder="0" applyAlignment="0" applyProtection="0"/>
    <xf numFmtId="0" fontId="202" fillId="0" borderId="0" applyFont="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1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95"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56"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4"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4"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0" fontId="203" fillId="0" borderId="0" applyNumberFormat="0" applyFont="0" applyFill="0" applyBorder="0" applyAlignment="0" applyProtection="0">
      <alignment horizontal="left"/>
    </xf>
    <xf numFmtId="0" fontId="204" fillId="0" borderId="6">
      <alignment horizontal="center"/>
    </xf>
    <xf numFmtId="0" fontId="205" fillId="106" borderId="0" applyNumberFormat="0" applyFont="0" applyBorder="0" applyAlignment="0">
      <alignment horizontal="center"/>
    </xf>
    <xf numFmtId="14" fontId="19" fillId="0" borderId="0" applyNumberFormat="0" applyFill="0" applyBorder="0" applyAlignment="0" applyProtection="0">
      <alignment horizontal="left"/>
    </xf>
    <xf numFmtId="14" fontId="176" fillId="0" borderId="0" applyNumberFormat="0" applyFill="0" applyBorder="0" applyAlignment="0" applyProtection="0">
      <alignment horizontal="left"/>
    </xf>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105" fillId="101" borderId="193" applyNumberFormat="0" applyAlignment="0" applyProtection="0"/>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205" fillId="1" borderId="194" applyNumberFormat="0" applyFont="0" applyAlignment="0">
      <alignment horizontal="center"/>
    </xf>
    <xf numFmtId="0" fontId="176" fillId="0" borderId="30"/>
    <xf numFmtId="0" fontId="189" fillId="0" borderId="0" applyNumberFormat="0" applyFill="0" applyBorder="0" applyAlignment="0" applyProtection="0">
      <alignment vertical="top"/>
      <protection locked="0"/>
    </xf>
    <xf numFmtId="0" fontId="206" fillId="0" borderId="0" applyNumberFormat="0" applyFill="0" applyBorder="0" applyAlignment="0">
      <alignment horizontal="center"/>
    </xf>
    <xf numFmtId="0" fontId="203" fillId="0" borderId="0"/>
    <xf numFmtId="40" fontId="207" fillId="0" borderId="0" applyBorder="0">
      <alignment horizontal="right"/>
    </xf>
    <xf numFmtId="40" fontId="208" fillId="0" borderId="0" applyBorder="0">
      <alignment horizontal="right"/>
    </xf>
    <xf numFmtId="0" fontId="3" fillId="0" borderId="0" applyNumberFormat="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106" fillId="0" borderId="0" applyNumberFormat="0" applyFill="0" applyBorder="0" applyAlignment="0" applyProtection="0"/>
    <xf numFmtId="0" fontId="209" fillId="0" borderId="0" applyNumberFormat="0" applyFill="0" applyBorder="0" applyAlignment="0" applyProtection="0"/>
    <xf numFmtId="0" fontId="210" fillId="0" borderId="195" applyNumberFormat="0" applyFill="0" applyAlignment="0" applyProtection="0"/>
    <xf numFmtId="0" fontId="210" fillId="0" borderId="195" applyNumberFormat="0" applyFill="0" applyAlignment="0" applyProtection="0"/>
    <xf numFmtId="0" fontId="210" fillId="0" borderId="195" applyNumberFormat="0" applyFill="0" applyAlignment="0" applyProtection="0"/>
    <xf numFmtId="0" fontId="210" fillId="0" borderId="195" applyNumberFormat="0" applyFill="0" applyAlignment="0" applyProtection="0"/>
    <xf numFmtId="0" fontId="210" fillId="0" borderId="195" applyNumberFormat="0" applyFill="0" applyAlignment="0" applyProtection="0"/>
    <xf numFmtId="0" fontId="210" fillId="0" borderId="195" applyNumberFormat="0" applyFill="0" applyAlignment="0" applyProtection="0"/>
    <xf numFmtId="0" fontId="210" fillId="0" borderId="195" applyNumberFormat="0" applyFill="0" applyAlignment="0" applyProtection="0"/>
    <xf numFmtId="0" fontId="210" fillId="0" borderId="195" applyNumberFormat="0" applyFill="0" applyAlignment="0" applyProtection="0"/>
    <xf numFmtId="0" fontId="210" fillId="0" borderId="195" applyNumberFormat="0" applyFill="0" applyAlignment="0" applyProtection="0"/>
    <xf numFmtId="0" fontId="210" fillId="0" borderId="195" applyNumberFormat="0" applyFill="0" applyAlignment="0" applyProtection="0"/>
    <xf numFmtId="0" fontId="210" fillId="0" borderId="195" applyNumberFormat="0" applyFill="0" applyAlignment="0" applyProtection="0"/>
    <xf numFmtId="0" fontId="209" fillId="0" borderId="0" applyNumberFormat="0" applyFill="0" applyBorder="0" applyAlignment="0" applyProtection="0"/>
    <xf numFmtId="0" fontId="209" fillId="0" borderId="0" applyNumberFormat="0" applyFill="0" applyBorder="0" applyAlignment="0" applyProtection="0"/>
    <xf numFmtId="0" fontId="211" fillId="0" borderId="196" applyNumberFormat="0" applyFill="0" applyAlignment="0" applyProtection="0"/>
    <xf numFmtId="0" fontId="211" fillId="0" borderId="196" applyNumberFormat="0" applyFill="0" applyAlignment="0" applyProtection="0"/>
    <xf numFmtId="0" fontId="211" fillId="0" borderId="196" applyNumberFormat="0" applyFill="0" applyAlignment="0" applyProtection="0"/>
    <xf numFmtId="0" fontId="211" fillId="0" borderId="196" applyNumberFormat="0" applyFill="0" applyAlignment="0" applyProtection="0"/>
    <xf numFmtId="0" fontId="211" fillId="0" borderId="196" applyNumberFormat="0" applyFill="0" applyAlignment="0" applyProtection="0"/>
    <xf numFmtId="0" fontId="211" fillId="0" borderId="196" applyNumberFormat="0" applyFill="0" applyAlignment="0" applyProtection="0"/>
    <xf numFmtId="0" fontId="211" fillId="0" borderId="196" applyNumberFormat="0" applyFill="0" applyAlignment="0" applyProtection="0"/>
    <xf numFmtId="0" fontId="211" fillId="0" borderId="196" applyNumberFormat="0" applyFill="0" applyAlignment="0" applyProtection="0"/>
    <xf numFmtId="0" fontId="211" fillId="0" borderId="196" applyNumberFormat="0" applyFill="0" applyAlignment="0" applyProtection="0"/>
    <xf numFmtId="0" fontId="211" fillId="0" borderId="196" applyNumberFormat="0" applyFill="0" applyAlignment="0" applyProtection="0"/>
    <xf numFmtId="0" fontId="211" fillId="0" borderId="196" applyNumberFormat="0" applyFill="0" applyAlignment="0" applyProtection="0"/>
    <xf numFmtId="0" fontId="169" fillId="0" borderId="190" applyNumberFormat="0" applyFill="0" applyAlignment="0" applyProtection="0"/>
    <xf numFmtId="0" fontId="169" fillId="0" borderId="190" applyNumberFormat="0" applyFill="0" applyAlignment="0" applyProtection="0"/>
    <xf numFmtId="0" fontId="169" fillId="0" borderId="190" applyNumberFormat="0" applyFill="0" applyAlignment="0" applyProtection="0"/>
    <xf numFmtId="0" fontId="169" fillId="0" borderId="190" applyNumberFormat="0" applyFill="0" applyAlignment="0" applyProtection="0"/>
    <xf numFmtId="0" fontId="169" fillId="0" borderId="190" applyNumberFormat="0" applyFill="0" applyAlignment="0" applyProtection="0"/>
    <xf numFmtId="0" fontId="169" fillId="0" borderId="190" applyNumberFormat="0" applyFill="0" applyAlignment="0" applyProtection="0"/>
    <xf numFmtId="0" fontId="169" fillId="0" borderId="190" applyNumberFormat="0" applyFill="0" applyAlignment="0" applyProtection="0"/>
    <xf numFmtId="0" fontId="169" fillId="0" borderId="190" applyNumberFormat="0" applyFill="0" applyAlignment="0" applyProtection="0"/>
    <xf numFmtId="0" fontId="169" fillId="0" borderId="190" applyNumberFormat="0" applyFill="0" applyAlignment="0" applyProtection="0"/>
    <xf numFmtId="0" fontId="169" fillId="0" borderId="190" applyNumberFormat="0" applyFill="0" applyAlignment="0" applyProtection="0"/>
    <xf numFmtId="0" fontId="169" fillId="0" borderId="190" applyNumberFormat="0" applyFill="0" applyAlignment="0" applyProtection="0"/>
    <xf numFmtId="0" fontId="209" fillId="0" borderId="0" applyNumberFormat="0" applyFill="0" applyBorder="0" applyAlignment="0" applyProtection="0"/>
    <xf numFmtId="0" fontId="212" fillId="0" borderId="0" applyNumberFormat="0" applyFill="0" applyBorder="0" applyAlignment="0" applyProtection="0"/>
    <xf numFmtId="0" fontId="209" fillId="0" borderId="0" applyNumberFormat="0" applyFill="0" applyBorder="0" applyAlignment="0" applyProtection="0"/>
    <xf numFmtId="0" fontId="209" fillId="0" borderId="0" applyNumberFormat="0" applyFill="0" applyBorder="0" applyAlignment="0" applyProtection="0"/>
    <xf numFmtId="0" fontId="209" fillId="0" borderId="0" applyNumberFormat="0" applyFill="0" applyBorder="0" applyAlignment="0" applyProtection="0"/>
    <xf numFmtId="0" fontId="209" fillId="0" borderId="0" applyNumberFormat="0" applyFill="0" applyBorder="0" applyAlignment="0" applyProtection="0"/>
    <xf numFmtId="0" fontId="209" fillId="0" borderId="0" applyNumberFormat="0" applyFill="0" applyBorder="0" applyAlignment="0" applyProtection="0"/>
    <xf numFmtId="0" fontId="209" fillId="0" borderId="0" applyNumberFormat="0" applyFill="0" applyBorder="0" applyAlignment="0" applyProtection="0"/>
    <xf numFmtId="0" fontId="209" fillId="0" borderId="0" applyNumberFormat="0" applyFill="0" applyBorder="0" applyAlignment="0" applyProtection="0"/>
    <xf numFmtId="0" fontId="209" fillId="0" borderId="0" applyNumberFormat="0" applyFill="0" applyBorder="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225" fontId="3" fillId="0" borderId="179">
      <protection locked="0"/>
    </xf>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225" fontId="3" fillId="0" borderId="179">
      <protection locked="0"/>
    </xf>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225" fontId="3" fillId="0" borderId="179">
      <protection locked="0"/>
    </xf>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0" fontId="58" fillId="0" borderId="197" applyNumberFormat="0" applyFill="0" applyAlignment="0" applyProtection="0"/>
    <xf numFmtId="225" fontId="3" fillId="0" borderId="179">
      <protection locked="0"/>
    </xf>
    <xf numFmtId="225" fontId="3" fillId="0" borderId="179">
      <protection locked="0"/>
    </xf>
    <xf numFmtId="225" fontId="3" fillId="0" borderId="179">
      <protection locked="0"/>
    </xf>
    <xf numFmtId="225" fontId="3" fillId="0" borderId="179">
      <protection locked="0"/>
    </xf>
    <xf numFmtId="225" fontId="3" fillId="0" borderId="179">
      <protection locked="0"/>
    </xf>
    <xf numFmtId="238" fontId="186" fillId="0" borderId="198"/>
    <xf numFmtId="238" fontId="186" fillId="0" borderId="198"/>
    <xf numFmtId="238" fontId="186" fillId="0" borderId="198"/>
    <xf numFmtId="238" fontId="186" fillId="0" borderId="198"/>
    <xf numFmtId="238" fontId="186" fillId="0" borderId="198"/>
    <xf numFmtId="238" fontId="186" fillId="0" borderId="198"/>
    <xf numFmtId="37" fontId="50" fillId="107" borderId="0" applyNumberFormat="0" applyBorder="0" applyAlignment="0" applyProtection="0"/>
    <xf numFmtId="37" fontId="50" fillId="0" borderId="0"/>
    <xf numFmtId="37" fontId="50" fillId="12" borderId="0" applyNumberFormat="0" applyBorder="0" applyAlignment="0" applyProtection="0"/>
    <xf numFmtId="3" fontId="213" fillId="0" borderId="191" applyProtection="0"/>
    <xf numFmtId="49" fontId="186" fillId="0" borderId="198" applyFill="0" applyAlignment="0">
      <alignment horizontal="left"/>
      <protection locked="0"/>
    </xf>
    <xf numFmtId="49" fontId="186" fillId="0" borderId="198" applyFill="0" applyAlignment="0">
      <alignment horizontal="left"/>
      <protection locked="0"/>
    </xf>
    <xf numFmtId="49" fontId="186" fillId="0" borderId="198" applyFill="0" applyAlignment="0">
      <alignment horizontal="left"/>
      <protection locked="0"/>
    </xf>
    <xf numFmtId="49" fontId="186" fillId="0" borderId="198" applyFill="0" applyAlignment="0">
      <alignment horizontal="left"/>
      <protection locked="0"/>
    </xf>
    <xf numFmtId="49" fontId="186" fillId="0" borderId="198" applyFill="0" applyAlignment="0">
      <alignment horizontal="left"/>
      <protection locked="0"/>
    </xf>
    <xf numFmtId="49" fontId="186" fillId="0" borderId="198" applyFill="0" applyAlignment="0">
      <alignment horizontal="left"/>
      <protection locked="0"/>
    </xf>
    <xf numFmtId="0" fontId="154" fillId="0" borderId="0" applyNumberFormat="0" applyFill="0" applyBorder="0" applyAlignment="0" applyProtection="0"/>
    <xf numFmtId="0" fontId="163" fillId="0" borderId="0">
      <alignment vertical="top" wrapText="1"/>
    </xf>
    <xf numFmtId="0" fontId="194" fillId="0" borderId="0">
      <alignment vertical="top" wrapText="1"/>
    </xf>
    <xf numFmtId="0" fontId="214" fillId="0" borderId="0" applyProtection="0"/>
    <xf numFmtId="239" fontId="214" fillId="0" borderId="0" applyProtection="0"/>
    <xf numFmtId="0" fontId="215" fillId="0" borderId="0" applyProtection="0"/>
    <xf numFmtId="0" fontId="216" fillId="0" borderId="0" applyProtection="0"/>
    <xf numFmtId="0" fontId="214" fillId="0" borderId="179" applyProtection="0"/>
    <xf numFmtId="0" fontId="214" fillId="0" borderId="0"/>
    <xf numFmtId="10" fontId="214" fillId="0" borderId="0" applyProtection="0"/>
    <xf numFmtId="0" fontId="214" fillId="0" borderId="0"/>
    <xf numFmtId="2" fontId="214" fillId="0" borderId="0" applyProtection="0"/>
    <xf numFmtId="4" fontId="214" fillId="0" borderId="0" applyProtection="0"/>
    <xf numFmtId="0" fontId="50" fillId="0" borderId="208" applyBorder="0">
      <alignment horizontal="left" vertical="top" wrapText="1" indent="1"/>
    </xf>
    <xf numFmtId="0" fontId="50" fillId="0" borderId="208" applyBorder="0">
      <alignment horizontal="left" vertical="top" wrapText="1" indent="1"/>
    </xf>
    <xf numFmtId="0" fontId="50" fillId="0" borderId="208" applyBorder="0">
      <alignment horizontal="left" vertical="top" wrapText="1" indent="1"/>
    </xf>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195" fontId="97" fillId="39"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0" fontId="164" fillId="101" borderId="209" applyNumberFormat="0" applyAlignment="0" applyProtection="0"/>
    <xf numFmtId="195" fontId="97" fillId="39" borderId="209" applyNumberFormat="0" applyAlignment="0" applyProtection="0"/>
    <xf numFmtId="195" fontId="97" fillId="39" borderId="209" applyNumberFormat="0" applyAlignment="0" applyProtection="0"/>
    <xf numFmtId="170" fontId="168" fillId="0" borderId="0">
      <protection locked="0"/>
    </xf>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2" fillId="35"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0" fontId="102" fillId="33" borderId="209" applyNumberFormat="0" applyAlignment="0" applyProtection="0"/>
    <xf numFmtId="195" fontId="102" fillId="35" borderId="209" applyNumberFormat="0" applyAlignment="0" applyProtection="0"/>
    <xf numFmtId="195" fontId="102" fillId="35" borderId="209" applyNumberFormat="0" applyAlignment="0" applyProtection="0"/>
    <xf numFmtId="195" fontId="103" fillId="45" borderId="203" applyBorder="0">
      <alignment horizontal="center" vertical="center" textRotation="90" wrapText="1"/>
    </xf>
    <xf numFmtId="195" fontId="103" fillId="45" borderId="203" applyBorder="0">
      <alignment horizontal="center" vertical="center" textRotation="90" wrapText="1"/>
    </xf>
    <xf numFmtId="195" fontId="103" fillId="45" borderId="203" applyBorder="0">
      <alignment horizontal="center" vertical="center" textRotation="90" wrapText="1"/>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0" fontId="84" fillId="0" borderId="194">
      <alignment horizontal="left" vertical="center"/>
    </xf>
    <xf numFmtId="10" fontId="50" fillId="105" borderId="204" applyNumberFormat="0" applyBorder="0" applyAlignment="0" applyProtection="0"/>
    <xf numFmtId="10" fontId="50" fillId="105" borderId="204" applyNumberFormat="0" applyBorder="0" applyAlignment="0" applyProtection="0"/>
    <xf numFmtId="10" fontId="50" fillId="105" borderId="204" applyNumberFormat="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3"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195" fontId="100"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195" fontId="100"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0" fontId="44"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195" fontId="100"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195" fontId="100"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195" fontId="100"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195" fontId="100"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195" fontId="100"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0" fontId="3" fillId="32" borderId="210" applyNumberFormat="0" applyFont="0" applyAlignment="0" applyProtection="0"/>
    <xf numFmtId="195" fontId="100" fillId="32" borderId="210" applyNumberFormat="0" applyFon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195" fontId="105" fillId="39"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195" fontId="105" fillId="39"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195" fontId="105" fillId="39"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195" fontId="105" fillId="39"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195" fontId="105" fillId="39"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195" fontId="105" fillId="39"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195" fontId="105" fillId="39" borderId="211" applyNumberFormat="0" applyAlignment="0" applyProtection="0"/>
    <xf numFmtId="195" fontId="105" fillId="39" borderId="211" applyNumberFormat="0" applyAlignment="0" applyProtection="0"/>
    <xf numFmtId="195" fontId="105" fillId="39"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0" fontId="105" fillId="101" borderId="211" applyNumberFormat="0" applyAlignment="0" applyProtection="0"/>
    <xf numFmtId="195" fontId="105" fillId="39" borderId="211" applyNumberFormat="0" applyAlignment="0" applyProtection="0"/>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205" fillId="1" borderId="212" applyNumberFormat="0" applyFont="0" applyAlignment="0">
      <alignment horizontal="center"/>
    </xf>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0" fontId="58" fillId="0" borderId="213" applyNumberFormat="0" applyFill="0" applyAlignment="0" applyProtection="0"/>
    <xf numFmtId="238" fontId="186" fillId="0" borderId="214"/>
    <xf numFmtId="238" fontId="186" fillId="0" borderId="214"/>
    <xf numFmtId="238" fontId="186" fillId="0" borderId="214"/>
    <xf numFmtId="238" fontId="186" fillId="0" borderId="214"/>
    <xf numFmtId="238" fontId="186" fillId="0" borderId="214"/>
    <xf numFmtId="238" fontId="186" fillId="0" borderId="214"/>
    <xf numFmtId="49" fontId="186" fillId="0" borderId="214" applyFill="0" applyAlignment="0">
      <alignment horizontal="left"/>
      <protection locked="0"/>
    </xf>
    <xf numFmtId="49" fontId="186" fillId="0" borderId="214" applyFill="0" applyAlignment="0">
      <alignment horizontal="left"/>
      <protection locked="0"/>
    </xf>
    <xf numFmtId="49" fontId="186" fillId="0" borderId="214" applyFill="0" applyAlignment="0">
      <alignment horizontal="left"/>
      <protection locked="0"/>
    </xf>
    <xf numFmtId="49" fontId="186" fillId="0" borderId="214" applyFill="0" applyAlignment="0">
      <alignment horizontal="left"/>
      <protection locked="0"/>
    </xf>
    <xf numFmtId="49" fontId="186" fillId="0" borderId="214" applyFill="0" applyAlignment="0">
      <alignment horizontal="left"/>
      <protection locked="0"/>
    </xf>
    <xf numFmtId="49" fontId="186" fillId="0" borderId="214" applyFill="0" applyAlignment="0">
      <alignment horizontal="left"/>
      <protection locked="0"/>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84" fillId="0" borderId="212">
      <alignment horizontal="left" vertical="center"/>
    </xf>
    <xf numFmtId="0" fontId="190" fillId="0" borderId="0" applyNumberFormat="0" applyFill="0" applyBorder="0" applyAlignment="0" applyProtection="0">
      <alignment vertical="top"/>
      <protection locked="0"/>
    </xf>
    <xf numFmtId="0" fontId="3" fillId="0" borderId="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7" fillId="39" borderId="217" applyNumberFormat="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195" fontId="99" fillId="0" borderId="218" applyNumberFormat="0" applyFill="0" applyAlignment="0" applyProtection="0"/>
    <xf numFmtId="0" fontId="3" fillId="0" borderId="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2" fillId="35" borderId="217" applyNumberFormat="0" applyAlignment="0" applyProtection="0"/>
    <xf numFmtId="195" fontId="103" fillId="45" borderId="219" applyBorder="0">
      <alignment horizontal="center" vertical="center" textRotation="90" wrapText="1"/>
    </xf>
    <xf numFmtId="195" fontId="103" fillId="45" borderId="219" applyBorder="0">
      <alignment horizontal="center" vertical="center" textRotation="90" wrapText="1"/>
    </xf>
    <xf numFmtId="195" fontId="103" fillId="45" borderId="219" applyBorder="0">
      <alignment horizontal="center" vertical="center" textRotation="90" wrapText="1"/>
    </xf>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240" fontId="3" fillId="0" borderId="0" applyFont="0" applyFill="0" applyBorder="0" applyAlignment="0" applyProtection="0"/>
    <xf numFmtId="0" fontId="3" fillId="0" borderId="0"/>
    <xf numFmtId="0" fontId="1" fillId="0" borderId="0"/>
    <xf numFmtId="0" fontId="1" fillId="0" borderId="0"/>
    <xf numFmtId="0" fontId="1" fillId="0" borderId="0"/>
    <xf numFmtId="0" fontId="3" fillId="0" borderId="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0" fillId="32" borderId="220" applyNumberFormat="0" applyFon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195" fontId="105" fillId="39" borderId="221" applyNumberFormat="0" applyAlignment="0" applyProtection="0"/>
    <xf numFmtId="0" fontId="3" fillId="0" borderId="0"/>
    <xf numFmtId="0" fontId="3" fillId="0" borderId="0"/>
    <xf numFmtId="0" fontId="1" fillId="0" borderId="0"/>
    <xf numFmtId="0" fontId="164" fillId="101" borderId="217" applyNumberFormat="0" applyAlignment="0" applyProtection="0"/>
    <xf numFmtId="0" fontId="164" fillId="101" borderId="217" applyNumberFormat="0" applyAlignment="0" applyProtection="0"/>
    <xf numFmtId="0" fontId="164" fillId="101" borderId="217" applyNumberFormat="0" applyAlignment="0" applyProtection="0"/>
    <xf numFmtId="0" fontId="164" fillId="101" borderId="217" applyNumberFormat="0" applyAlignment="0" applyProtection="0"/>
    <xf numFmtId="0" fontId="164" fillId="101" borderId="217" applyNumberFormat="0" applyAlignment="0" applyProtection="0"/>
    <xf numFmtId="0" fontId="164" fillId="101" borderId="217" applyNumberFormat="0" applyAlignment="0" applyProtection="0"/>
    <xf numFmtId="0" fontId="164" fillId="101" borderId="217" applyNumberFormat="0" applyAlignment="0" applyProtection="0"/>
    <xf numFmtId="0" fontId="164" fillId="101" borderId="217" applyNumberFormat="0" applyAlignment="0" applyProtection="0"/>
    <xf numFmtId="0" fontId="164" fillId="101" borderId="217" applyNumberFormat="0" applyAlignment="0" applyProtection="0"/>
    <xf numFmtId="0" fontId="164" fillId="101" borderId="217" applyNumberFormat="0" applyAlignment="0" applyProtection="0"/>
    <xf numFmtId="0" fontId="164" fillId="101" borderId="217" applyNumberFormat="0" applyAlignment="0" applyProtection="0"/>
    <xf numFmtId="0" fontId="102" fillId="33" borderId="217" applyNumberFormat="0" applyAlignment="0" applyProtection="0"/>
    <xf numFmtId="0" fontId="102" fillId="33" borderId="217" applyNumberFormat="0" applyAlignment="0" applyProtection="0"/>
    <xf numFmtId="0" fontId="102" fillId="33" borderId="217" applyNumberFormat="0" applyAlignment="0" applyProtection="0"/>
    <xf numFmtId="0" fontId="102" fillId="33" borderId="217" applyNumberFormat="0" applyAlignment="0" applyProtection="0"/>
    <xf numFmtId="0" fontId="102" fillId="33" borderId="217" applyNumberFormat="0" applyAlignment="0" applyProtection="0"/>
    <xf numFmtId="0" fontId="102" fillId="33" borderId="217" applyNumberFormat="0" applyAlignment="0" applyProtection="0"/>
    <xf numFmtId="0" fontId="102" fillId="33" borderId="217" applyNumberFormat="0" applyAlignment="0" applyProtection="0"/>
    <xf numFmtId="0" fontId="102" fillId="33" borderId="217" applyNumberFormat="0" applyAlignment="0" applyProtection="0"/>
    <xf numFmtId="0" fontId="102" fillId="33" borderId="217" applyNumberFormat="0" applyAlignment="0" applyProtection="0"/>
    <xf numFmtId="0" fontId="102" fillId="33" borderId="217" applyNumberFormat="0" applyAlignment="0" applyProtection="0"/>
    <xf numFmtId="0" fontId="102" fillId="33" borderId="217" applyNumberFormat="0" applyAlignment="0" applyProtection="0"/>
    <xf numFmtId="0" fontId="223" fillId="0" borderId="272" applyNumberFormat="0" applyFill="0" applyAlignment="0" applyProtection="0"/>
    <xf numFmtId="0" fontId="223" fillId="0" borderId="272" applyNumberFormat="0" applyFill="0" applyAlignment="0" applyProtection="0"/>
    <xf numFmtId="0" fontId="224" fillId="0" borderId="273" applyNumberFormat="0" applyFill="0" applyAlignment="0" applyProtection="0"/>
    <xf numFmtId="0" fontId="224" fillId="0" borderId="273" applyNumberFormat="0" applyFill="0" applyAlignment="0" applyProtection="0"/>
    <xf numFmtId="0" fontId="147" fillId="0" borderId="274" applyNumberFormat="0" applyFill="0" applyAlignment="0" applyProtection="0"/>
    <xf numFmtId="0" fontId="147" fillId="0" borderId="274" applyNumberFormat="0" applyFill="0" applyAlignment="0" applyProtection="0"/>
    <xf numFmtId="0" fontId="185" fillId="0" borderId="207">
      <alignment horizontal="center"/>
    </xf>
    <xf numFmtId="10" fontId="50" fillId="105" borderId="222" applyNumberFormat="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210" fontId="1" fillId="0" borderId="0"/>
    <xf numFmtId="210" fontId="1" fillId="0" borderId="0"/>
    <xf numFmtId="210" fontId="1" fillId="0" borderId="0"/>
    <xf numFmtId="210" fontId="1" fillId="0" borderId="0"/>
    <xf numFmtId="0" fontId="1" fillId="0" borderId="0"/>
    <xf numFmtId="0" fontId="1" fillId="0" borderId="0"/>
    <xf numFmtId="0" fontId="1" fillId="0" borderId="0"/>
    <xf numFmtId="21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1" fillId="0" borderId="0"/>
    <xf numFmtId="0" fontId="1" fillId="0" borderId="0"/>
    <xf numFmtId="0" fontId="1" fillId="0" borderId="0"/>
    <xf numFmtId="0" fontId="1" fillId="0" borderId="0"/>
    <xf numFmtId="210" fontId="1" fillId="0" borderId="0"/>
    <xf numFmtId="210" fontId="1" fillId="0" borderId="0"/>
    <xf numFmtId="0" fontId="1" fillId="0" borderId="0"/>
    <xf numFmtId="0" fontId="1" fillId="0" borderId="0"/>
    <xf numFmtId="0" fontId="1" fillId="0" borderId="0"/>
    <xf numFmtId="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1" fillId="0" borderId="0"/>
    <xf numFmtId="0" fontId="1" fillId="0" borderId="0"/>
    <xf numFmtId="0" fontId="1" fillId="0" borderId="0"/>
    <xf numFmtId="0" fontId="1" fillId="0" borderId="0"/>
    <xf numFmtId="210" fontId="1" fillId="0" borderId="0"/>
    <xf numFmtId="210" fontId="1" fillId="0" borderId="0"/>
    <xf numFmtId="210" fontId="1" fillId="0" borderId="0"/>
    <xf numFmtId="21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3" fillId="0" borderId="0"/>
    <xf numFmtId="0" fontId="163" fillId="0" borderId="0"/>
    <xf numFmtId="210" fontId="1" fillId="0" borderId="0"/>
    <xf numFmtId="0" fontId="1" fillId="0" borderId="0"/>
    <xf numFmtId="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1" fillId="0" borderId="0"/>
    <xf numFmtId="0" fontId="1" fillId="0" borderId="0"/>
    <xf numFmtId="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1" fillId="0" borderId="0"/>
    <xf numFmtId="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1" fillId="0" borderId="0"/>
    <xf numFmtId="0" fontId="1" fillId="0" borderId="0"/>
    <xf numFmtId="0" fontId="1" fillId="0" borderId="0"/>
    <xf numFmtId="210" fontId="1" fillId="0" borderId="0"/>
    <xf numFmtId="0" fontId="1" fillId="0" borderId="0"/>
    <xf numFmtId="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210" fontId="1"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210" fontId="3" fillId="0" borderId="0"/>
    <xf numFmtId="21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21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0" fontId="156" fillId="0" borderId="0"/>
    <xf numFmtId="210" fontId="3" fillId="0" borderId="0"/>
    <xf numFmtId="210" fontId="3" fillId="0" borderId="0"/>
    <xf numFmtId="0" fontId="156" fillId="0" borderId="0"/>
    <xf numFmtId="0" fontId="156" fillId="0" borderId="0"/>
    <xf numFmtId="0" fontId="156" fillId="0" borderId="0"/>
    <xf numFmtId="0" fontId="156" fillId="0" borderId="0"/>
    <xf numFmtId="0" fontId="156" fillId="0" borderId="0"/>
    <xf numFmtId="0" fontId="156" fillId="0" borderId="0"/>
    <xf numFmtId="210" fontId="3" fillId="0" borderId="0"/>
    <xf numFmtId="0" fontId="44" fillId="32" borderId="220" applyNumberFormat="0" applyFont="0" applyAlignment="0" applyProtection="0"/>
    <xf numFmtId="0" fontId="3" fillId="32" borderId="220" applyNumberFormat="0" applyFont="0" applyAlignment="0" applyProtection="0"/>
    <xf numFmtId="0" fontId="44" fillId="32" borderId="220" applyNumberFormat="0" applyFont="0" applyAlignment="0" applyProtection="0"/>
    <xf numFmtId="0" fontId="44" fillId="32" borderId="220" applyNumberFormat="0" applyFont="0" applyAlignment="0" applyProtection="0"/>
    <xf numFmtId="0" fontId="44" fillId="32" borderId="220" applyNumberFormat="0" applyFont="0" applyAlignment="0" applyProtection="0"/>
    <xf numFmtId="0" fontId="44" fillId="32" borderId="220" applyNumberFormat="0" applyFont="0" applyAlignment="0" applyProtection="0"/>
    <xf numFmtId="0" fontId="3" fillId="32" borderId="220" applyNumberFormat="0" applyFont="0" applyAlignment="0" applyProtection="0"/>
    <xf numFmtId="0" fontId="3" fillId="32" borderId="220" applyNumberFormat="0" applyFont="0" applyAlignment="0" applyProtection="0"/>
    <xf numFmtId="0" fontId="3" fillId="32" borderId="220" applyNumberFormat="0" applyFont="0" applyAlignment="0" applyProtection="0"/>
    <xf numFmtId="0" fontId="3" fillId="32" borderId="220" applyNumberFormat="0" applyFont="0" applyAlignment="0" applyProtection="0"/>
    <xf numFmtId="0" fontId="3" fillId="32" borderId="220" applyNumberFormat="0" applyFont="0" applyAlignment="0" applyProtection="0"/>
    <xf numFmtId="0" fontId="3" fillId="32" borderId="220" applyNumberFormat="0" applyFont="0" applyAlignment="0" applyProtection="0"/>
    <xf numFmtId="0" fontId="3" fillId="32" borderId="220" applyNumberFormat="0" applyFont="0" applyAlignment="0" applyProtection="0"/>
    <xf numFmtId="0" fontId="3" fillId="32" borderId="220" applyNumberFormat="0" applyFont="0" applyAlignment="0" applyProtection="0"/>
    <xf numFmtId="0" fontId="3" fillId="32" borderId="220" applyNumberFormat="0" applyFont="0" applyAlignment="0" applyProtection="0"/>
    <xf numFmtId="0" fontId="3" fillId="32" borderId="220" applyNumberFormat="0" applyFont="0" applyAlignment="0" applyProtection="0"/>
    <xf numFmtId="0" fontId="3" fillId="32" borderId="220" applyNumberFormat="0" applyFont="0" applyAlignment="0" applyProtection="0"/>
    <xf numFmtId="0" fontId="3" fillId="65" borderId="185" applyNumberFormat="0" applyFont="0" applyAlignment="0" applyProtection="0"/>
    <xf numFmtId="0" fontId="3" fillId="65" borderId="185" applyNumberFormat="0" applyFont="0" applyAlignment="0" applyProtection="0"/>
    <xf numFmtId="0" fontId="3" fillId="65" borderId="185"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05" fillId="101" borderId="221" applyNumberFormat="0" applyAlignment="0" applyProtection="0"/>
    <xf numFmtId="0" fontId="105" fillId="101" borderId="221" applyNumberFormat="0" applyAlignment="0" applyProtection="0"/>
    <xf numFmtId="0" fontId="105" fillId="101" borderId="221" applyNumberFormat="0" applyAlignment="0" applyProtection="0"/>
    <xf numFmtId="0" fontId="105" fillId="101" borderId="221" applyNumberFormat="0" applyAlignment="0" applyProtection="0"/>
    <xf numFmtId="0" fontId="105" fillId="101" borderId="221" applyNumberFormat="0" applyAlignment="0" applyProtection="0"/>
    <xf numFmtId="0" fontId="105" fillId="101" borderId="221" applyNumberFormat="0" applyAlignment="0" applyProtection="0"/>
    <xf numFmtId="0" fontId="105" fillId="101" borderId="221" applyNumberFormat="0" applyAlignment="0" applyProtection="0"/>
    <xf numFmtId="0" fontId="105" fillId="101" borderId="221" applyNumberFormat="0" applyAlignment="0" applyProtection="0"/>
    <xf numFmtId="0" fontId="105" fillId="101" borderId="221" applyNumberFormat="0" applyAlignment="0" applyProtection="0"/>
    <xf numFmtId="0" fontId="105" fillId="101" borderId="221" applyNumberFormat="0" applyAlignment="0" applyProtection="0"/>
    <xf numFmtId="0" fontId="105" fillId="101" borderId="221" applyNumberFormat="0" applyAlignment="0" applyProtection="0"/>
    <xf numFmtId="0" fontId="222" fillId="0" borderId="0" applyNumberFormat="0" applyFill="0" applyBorder="0" applyAlignment="0" applyProtection="0"/>
    <xf numFmtId="0" fontId="222" fillId="0" borderId="0" applyNumberFormat="0" applyFill="0" applyBorder="0" applyAlignment="0" applyProtection="0"/>
    <xf numFmtId="0" fontId="3" fillId="0" borderId="0"/>
    <xf numFmtId="164" fontId="3" fillId="0" borderId="0" applyNumberFormat="0" applyFill="0" applyBorder="0" applyAlignment="0" applyProtection="0"/>
    <xf numFmtId="164" fontId="3" fillId="0" borderId="0" applyNumberFormat="0" applyFill="0" applyBorder="0" applyAlignment="0" applyProtection="0"/>
    <xf numFmtId="164" fontId="3" fillId="0" borderId="0" applyNumberFormat="0" applyFill="0" applyBorder="0" applyAlignment="0" applyProtection="0"/>
    <xf numFmtId="164" fontId="3" fillId="0" borderId="0" applyNumberFormat="0" applyFill="0" applyBorder="0" applyAlignment="0" applyProtection="0"/>
    <xf numFmtId="164" fontId="3" fillId="0" borderId="0" applyNumberFormat="0" applyFill="0" applyBorder="0" applyAlignment="0" applyProtection="0"/>
    <xf numFmtId="164" fontId="3" fillId="0" borderId="0" applyNumberFormat="0" applyFill="0" applyBorder="0" applyAlignment="0" applyProtection="0"/>
    <xf numFmtId="164" fontId="3" fillId="0" borderId="0"/>
    <xf numFmtId="164" fontId="3" fillId="0" borderId="0"/>
    <xf numFmtId="0" fontId="3" fillId="0" borderId="0"/>
    <xf numFmtId="0" fontId="3" fillId="0" borderId="0"/>
    <xf numFmtId="164" fontId="3" fillId="0" borderId="0"/>
    <xf numFmtId="164" fontId="3" fillId="0" borderId="0"/>
    <xf numFmtId="164" fontId="14" fillId="0" borderId="0"/>
    <xf numFmtId="164" fontId="3" fillId="0" borderId="0"/>
    <xf numFmtId="164" fontId="225" fillId="0" borderId="0" applyFont="0" applyFill="0" applyBorder="0" applyAlignment="0" applyProtection="0"/>
    <xf numFmtId="214" fontId="194" fillId="0" borderId="0" applyFill="0" applyBorder="0" applyAlignment="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195" fontId="97" fillId="39" borderId="279" applyNumberFormat="0" applyAlignment="0" applyProtection="0"/>
    <xf numFmtId="0" fontId="1" fillId="0" borderId="0"/>
    <xf numFmtId="164" fontId="98" fillId="40" borderId="135" applyNumberFormat="0" applyAlignment="0" applyProtection="0"/>
    <xf numFmtId="164" fontId="98" fillId="40" borderId="135" applyNumberFormat="0" applyAlignment="0" applyProtection="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217" fontId="3" fillId="0" borderId="0"/>
    <xf numFmtId="164" fontId="3" fillId="0" borderId="0"/>
    <xf numFmtId="164" fontId="3" fillId="0" borderId="0"/>
    <xf numFmtId="216" fontId="3" fillId="0" borderId="0"/>
    <xf numFmtId="215" fontId="3" fillId="0" borderId="0"/>
    <xf numFmtId="215" fontId="3" fillId="0" borderId="0"/>
    <xf numFmtId="215" fontId="3" fillId="0" borderId="0"/>
    <xf numFmtId="164" fontId="3" fillId="0" borderId="0"/>
    <xf numFmtId="242" fontId="14" fillId="0" borderId="0"/>
    <xf numFmtId="216" fontId="3" fillId="0" borderId="0"/>
    <xf numFmtId="215" fontId="3" fillId="0" borderId="0"/>
    <xf numFmtId="215"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217" fontId="3" fillId="0" borderId="0"/>
    <xf numFmtId="164" fontId="3" fillId="0" borderId="0"/>
    <xf numFmtId="164" fontId="3" fillId="0" borderId="0"/>
    <xf numFmtId="216" fontId="3" fillId="0" borderId="0"/>
    <xf numFmtId="215" fontId="3" fillId="0" borderId="0"/>
    <xf numFmtId="215" fontId="3" fillId="0" borderId="0"/>
    <xf numFmtId="215" fontId="3" fillId="0" borderId="0"/>
    <xf numFmtId="164" fontId="3" fillId="0" borderId="0"/>
    <xf numFmtId="242" fontId="14" fillId="0" borderId="0"/>
    <xf numFmtId="216" fontId="3" fillId="0" borderId="0"/>
    <xf numFmtId="215" fontId="3" fillId="0" borderId="0"/>
    <xf numFmtId="215"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217" fontId="3" fillId="0" borderId="0"/>
    <xf numFmtId="164" fontId="3" fillId="0" borderId="0"/>
    <xf numFmtId="164" fontId="3" fillId="0" borderId="0"/>
    <xf numFmtId="216" fontId="3" fillId="0" borderId="0"/>
    <xf numFmtId="215" fontId="3" fillId="0" borderId="0"/>
    <xf numFmtId="215" fontId="3" fillId="0" borderId="0"/>
    <xf numFmtId="215" fontId="3" fillId="0" borderId="0"/>
    <xf numFmtId="164" fontId="3" fillId="0" borderId="0"/>
    <xf numFmtId="242" fontId="14" fillId="0" borderId="0"/>
    <xf numFmtId="216" fontId="3" fillId="0" borderId="0"/>
    <xf numFmtId="215" fontId="3" fillId="0" borderId="0"/>
    <xf numFmtId="215"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217" fontId="3" fillId="0" borderId="0"/>
    <xf numFmtId="164" fontId="3" fillId="0" borderId="0"/>
    <xf numFmtId="164" fontId="3" fillId="0" borderId="0"/>
    <xf numFmtId="216" fontId="3" fillId="0" borderId="0"/>
    <xf numFmtId="215" fontId="3" fillId="0" borderId="0"/>
    <xf numFmtId="215" fontId="3" fillId="0" borderId="0"/>
    <xf numFmtId="215" fontId="3" fillId="0" borderId="0"/>
    <xf numFmtId="164" fontId="3" fillId="0" borderId="0"/>
    <xf numFmtId="242" fontId="14" fillId="0" borderId="0"/>
    <xf numFmtId="216" fontId="3" fillId="0" borderId="0"/>
    <xf numFmtId="215" fontId="3" fillId="0" borderId="0"/>
    <xf numFmtId="215"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217" fontId="3" fillId="0" borderId="0"/>
    <xf numFmtId="164" fontId="3" fillId="0" borderId="0"/>
    <xf numFmtId="164" fontId="3" fillId="0" borderId="0"/>
    <xf numFmtId="216" fontId="3" fillId="0" borderId="0"/>
    <xf numFmtId="215" fontId="3" fillId="0" borderId="0"/>
    <xf numFmtId="215" fontId="3" fillId="0" borderId="0"/>
    <xf numFmtId="215" fontId="3" fillId="0" borderId="0"/>
    <xf numFmtId="164" fontId="3" fillId="0" borderId="0"/>
    <xf numFmtId="242" fontId="14" fillId="0" borderId="0"/>
    <xf numFmtId="216" fontId="3" fillId="0" borderId="0"/>
    <xf numFmtId="215" fontId="3" fillId="0" borderId="0"/>
    <xf numFmtId="215"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217" fontId="3" fillId="0" borderId="0"/>
    <xf numFmtId="164" fontId="3" fillId="0" borderId="0"/>
    <xf numFmtId="164" fontId="3" fillId="0" borderId="0"/>
    <xf numFmtId="216" fontId="3" fillId="0" borderId="0"/>
    <xf numFmtId="215" fontId="3" fillId="0" borderId="0"/>
    <xf numFmtId="215" fontId="3" fillId="0" borderId="0"/>
    <xf numFmtId="215" fontId="3" fillId="0" borderId="0"/>
    <xf numFmtId="164" fontId="3" fillId="0" borderId="0"/>
    <xf numFmtId="242" fontId="14" fillId="0" borderId="0"/>
    <xf numFmtId="216" fontId="3" fillId="0" borderId="0"/>
    <xf numFmtId="215" fontId="3" fillId="0" borderId="0"/>
    <xf numFmtId="215"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217" fontId="3" fillId="0" borderId="0"/>
    <xf numFmtId="164" fontId="3" fillId="0" borderId="0"/>
    <xf numFmtId="164" fontId="3" fillId="0" borderId="0"/>
    <xf numFmtId="216" fontId="3" fillId="0" borderId="0"/>
    <xf numFmtId="215" fontId="3" fillId="0" borderId="0"/>
    <xf numFmtId="215" fontId="3" fillId="0" borderId="0"/>
    <xf numFmtId="215" fontId="3" fillId="0" borderId="0"/>
    <xf numFmtId="164" fontId="3" fillId="0" borderId="0"/>
    <xf numFmtId="242" fontId="14" fillId="0" borderId="0"/>
    <xf numFmtId="216" fontId="3" fillId="0" borderId="0"/>
    <xf numFmtId="215" fontId="3" fillId="0" borderId="0"/>
    <xf numFmtId="215"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5" fontId="3" fillId="0" borderId="0"/>
    <xf numFmtId="215" fontId="3" fillId="0" borderId="0"/>
    <xf numFmtId="215" fontId="3" fillId="0" borderId="0"/>
    <xf numFmtId="215" fontId="3" fillId="0" borderId="0"/>
    <xf numFmtId="215" fontId="3" fillId="0" borderId="0"/>
    <xf numFmtId="216" fontId="3" fillId="0" borderId="0"/>
    <xf numFmtId="217" fontId="3" fillId="0" borderId="0"/>
    <xf numFmtId="217" fontId="3" fillId="0" borderId="0"/>
    <xf numFmtId="164" fontId="3" fillId="0" borderId="0"/>
    <xf numFmtId="164" fontId="3" fillId="0" borderId="0"/>
    <xf numFmtId="216" fontId="3" fillId="0" borderId="0"/>
    <xf numFmtId="215" fontId="3" fillId="0" borderId="0"/>
    <xf numFmtId="215" fontId="3" fillId="0" borderId="0"/>
    <xf numFmtId="215" fontId="3" fillId="0" borderId="0"/>
    <xf numFmtId="164" fontId="3" fillId="0" borderId="0"/>
    <xf numFmtId="242" fontId="14" fillId="0" borderId="0"/>
    <xf numFmtId="216" fontId="3" fillId="0" borderId="0"/>
    <xf numFmtId="215" fontId="3" fillId="0" borderId="0"/>
    <xf numFmtId="215"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216" fontId="3" fillId="0" borderId="0"/>
    <xf numFmtId="215" fontId="3" fillId="0" borderId="0"/>
    <xf numFmtId="164" fontId="3" fillId="0" borderId="0" applyFont="0" applyFill="0" applyBorder="0" applyAlignment="0" applyProtection="0"/>
    <xf numFmtId="164" fontId="3" fillId="0" borderId="0" applyFont="0" applyFill="0" applyBorder="0" applyAlignment="0" applyProtection="0"/>
    <xf numFmtId="215"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44" fillId="0" borderId="0" applyFont="0" applyFill="0" applyBorder="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2" fillId="35" borderId="279" applyNumberFormat="0" applyAlignment="0" applyProtection="0"/>
    <xf numFmtId="195" fontId="103" fillId="45" borderId="280" applyBorder="0">
      <alignment horizontal="center" vertical="center" textRotation="90" wrapText="1"/>
    </xf>
    <xf numFmtId="195" fontId="103" fillId="45" borderId="280" applyBorder="0">
      <alignment horizontal="center" vertical="center" textRotation="90" wrapText="1"/>
    </xf>
    <xf numFmtId="195" fontId="103" fillId="45" borderId="280" applyBorder="0">
      <alignment horizontal="center" vertical="center" textRotation="90" wrapText="1"/>
    </xf>
    <xf numFmtId="222" fontId="3" fillId="0" borderId="0" applyFont="0" applyFill="0" applyBorder="0" applyAlignment="0" applyProtection="0"/>
    <xf numFmtId="0" fontId="3" fillId="0" borderId="0" applyFont="0" applyFill="0" applyBorder="0" applyAlignment="0" applyProtection="0"/>
    <xf numFmtId="21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223" fontId="3" fillId="0" borderId="0" applyFont="0" applyFill="0" applyBorder="0" applyAlignment="0" applyProtection="0"/>
    <xf numFmtId="223" fontId="3" fillId="0" borderId="0" applyFont="0" applyFill="0" applyBorder="0" applyAlignment="0" applyProtection="0"/>
    <xf numFmtId="0" fontId="19" fillId="0" borderId="0"/>
    <xf numFmtId="164" fontId="96" fillId="94" borderId="0" applyNumberFormat="0" applyBorder="0" applyAlignment="0" applyProtection="0"/>
    <xf numFmtId="164" fontId="96" fillId="94" borderId="0" applyNumberFormat="0" applyBorder="0" applyAlignment="0" applyProtection="0"/>
    <xf numFmtId="164" fontId="169" fillId="0" borderId="0" applyNumberFormat="0" applyFill="0" applyBorder="0" applyAlignment="0" applyProtection="0"/>
    <xf numFmtId="164" fontId="169" fillId="0" borderId="0" applyNumberFormat="0" applyFill="0" applyBorder="0" applyAlignment="0" applyProtection="0"/>
    <xf numFmtId="225" fontId="3" fillId="0" borderId="0">
      <protection locked="0"/>
    </xf>
    <xf numFmtId="225" fontId="3" fillId="0" borderId="0">
      <protection locked="0"/>
    </xf>
    <xf numFmtId="164" fontId="188" fillId="0" borderId="0" applyNumberFormat="0" applyFill="0" applyBorder="0" applyAlignment="0" applyProtection="0">
      <alignment vertical="top"/>
      <protection locked="0"/>
    </xf>
    <xf numFmtId="164" fontId="226" fillId="0" borderId="0" applyNumberFormat="0" applyFill="0" applyBorder="0" applyAlignment="0" applyProtection="0">
      <alignment vertical="top"/>
      <protection locked="0"/>
    </xf>
    <xf numFmtId="164" fontId="227" fillId="0" borderId="0" applyNumberFormat="0" applyFill="0" applyBorder="0" applyAlignment="0" applyProtection="0">
      <alignment vertical="top"/>
      <protection locked="0"/>
    </xf>
    <xf numFmtId="164" fontId="188" fillId="0" borderId="0" applyNumberFormat="0" applyFill="0" applyBorder="0" applyAlignment="0" applyProtection="0">
      <alignment vertical="top"/>
      <protection locked="0"/>
    </xf>
    <xf numFmtId="0" fontId="191" fillId="0" borderId="0" applyNumberFormat="0" applyFill="0" applyBorder="0" applyAlignment="0" applyProtection="0"/>
    <xf numFmtId="164" fontId="102" fillId="33" borderId="279" applyNumberFormat="0" applyAlignment="0" applyProtection="0"/>
    <xf numFmtId="164" fontId="102" fillId="33" borderId="279" applyNumberFormat="0" applyAlignment="0" applyProtection="0"/>
    <xf numFmtId="164" fontId="166" fillId="0" borderId="189" applyNumberFormat="0" applyFill="0" applyAlignment="0" applyProtection="0"/>
    <xf numFmtId="164" fontId="166" fillId="0" borderId="189" applyNumberFormat="0" applyFill="0" applyAlignment="0" applyProtection="0"/>
    <xf numFmtId="164" fontId="194" fillId="0" borderId="0">
      <alignment horizontal="centerContinuous"/>
    </xf>
    <xf numFmtId="165" fontId="3" fillId="0" borderId="0" applyFont="0" applyFill="0" applyBorder="0" applyAlignment="0" applyProtection="0"/>
    <xf numFmtId="164" fontId="3" fillId="0" borderId="0" applyFont="0" applyFill="0" applyBorder="0" applyAlignment="0" applyProtection="0"/>
    <xf numFmtId="169" fontId="3" fillId="0" borderId="0" applyFont="0" applyFill="0" applyBorder="0" applyAlignment="0" applyProtection="0"/>
    <xf numFmtId="169" fontId="3" fillId="0" borderId="0" applyFont="0" applyFill="0" applyBorder="0" applyAlignment="0" applyProtection="0"/>
    <xf numFmtId="215" fontId="3" fillId="0" borderId="0" applyFont="0" applyFill="0" applyBorder="0" applyAlignment="0" applyProtection="0"/>
    <xf numFmtId="169" fontId="3" fillId="0" borderId="0" applyFont="0" applyFill="0" applyBorder="0" applyAlignment="0" applyProtection="0"/>
    <xf numFmtId="169" fontId="3" fillId="0" borderId="0" applyFont="0" applyFill="0" applyBorder="0" applyAlignment="0" applyProtection="0"/>
    <xf numFmtId="169"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9" fontId="3" fillId="0" borderId="0" applyFont="0" applyFill="0" applyBorder="0" applyAlignment="0" applyProtection="0"/>
    <xf numFmtId="215"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40" fontId="194" fillId="0" borderId="0" applyFont="0" applyFill="0" applyBorder="0" applyAlignment="0" applyProtection="0"/>
    <xf numFmtId="164" fontId="3" fillId="0" borderId="0" applyFont="0" applyFill="0" applyBorder="0" applyAlignment="0" applyProtection="0"/>
    <xf numFmtId="166" fontId="3"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214" fontId="3" fillId="0" borderId="0" applyFont="0" applyFill="0" applyBorder="0" applyAlignment="0" applyProtection="0"/>
    <xf numFmtId="243" fontId="3" fillId="0" borderId="0" applyFont="0" applyFill="0" applyBorder="0" applyAlignment="0" applyProtection="0"/>
    <xf numFmtId="171" fontId="1" fillId="0" borderId="0" applyFont="0" applyFill="0" applyBorder="0" applyAlignment="0" applyProtection="0"/>
    <xf numFmtId="164" fontId="197" fillId="35" borderId="0" applyNumberFormat="0" applyBorder="0" applyAlignment="0" applyProtection="0"/>
    <xf numFmtId="0" fontId="197" fillId="35" borderId="0" applyNumberFormat="0" applyBorder="0" applyAlignment="0" applyProtection="0"/>
    <xf numFmtId="164" fontId="197" fillId="35" borderId="0" applyNumberFormat="0" applyBorder="0" applyAlignment="0" applyProtection="0"/>
    <xf numFmtId="234" fontId="3" fillId="0" borderId="0"/>
    <xf numFmtId="234" fontId="3" fillId="0" borderId="0"/>
    <xf numFmtId="234" fontId="3" fillId="0" borderId="0"/>
    <xf numFmtId="234" fontId="3" fillId="0" borderId="0"/>
    <xf numFmtId="234" fontId="3" fillId="0" borderId="0"/>
    <xf numFmtId="0" fontId="3" fillId="0" borderId="0"/>
    <xf numFmtId="235" fontId="194" fillId="0" borderId="0"/>
    <xf numFmtId="231" fontId="3" fillId="0" borderId="0"/>
    <xf numFmtId="0" fontId="3" fillId="0" borderId="0"/>
    <xf numFmtId="234" fontId="3" fillId="0" borderId="0"/>
    <xf numFmtId="244" fontId="14" fillId="0" borderId="0"/>
    <xf numFmtId="231" fontId="3" fillId="0" borderId="0"/>
    <xf numFmtId="234" fontId="3" fillId="0" borderId="0"/>
    <xf numFmtId="234" fontId="3" fillId="0" borderId="0"/>
    <xf numFmtId="234" fontId="3" fillId="0" borderId="0"/>
    <xf numFmtId="231" fontId="3" fillId="0" borderId="0"/>
    <xf numFmtId="234" fontId="3" fillId="0" borderId="0"/>
    <xf numFmtId="231" fontId="3" fillId="0" borderId="0"/>
    <xf numFmtId="234" fontId="3" fillId="0" borderId="0"/>
    <xf numFmtId="231" fontId="3" fillId="0" borderId="0"/>
    <xf numFmtId="234" fontId="3" fillId="0" borderId="0"/>
    <xf numFmtId="231" fontId="3" fillId="0" borderId="0"/>
    <xf numFmtId="234" fontId="3" fillId="0" borderId="0"/>
    <xf numFmtId="231" fontId="3" fillId="0" borderId="0"/>
    <xf numFmtId="234" fontId="3" fillId="0" borderId="0"/>
    <xf numFmtId="231" fontId="3" fillId="0" borderId="0"/>
    <xf numFmtId="234"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xf numFmtId="164" fontId="3" fillId="0" borderId="0"/>
    <xf numFmtId="164" fontId="3" fillId="0" borderId="0"/>
    <xf numFmtId="164"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xf numFmtId="0" fontId="3" fillId="0" borderId="0"/>
    <xf numFmtId="0" fontId="3" fillId="0" borderId="0"/>
    <xf numFmtId="0" fontId="3" fillId="0" borderId="0"/>
    <xf numFmtId="0" fontId="3" fillId="0" borderId="0"/>
    <xf numFmtId="164" fontId="3" fillId="0" borderId="0"/>
    <xf numFmtId="164"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4" fontId="3" fillId="0" borderId="0"/>
    <xf numFmtId="164" fontId="3" fillId="0" borderId="0"/>
    <xf numFmtId="0" fontId="199" fillId="0" borderId="0" applyNumberFormat="0" applyFill="0" applyBorder="0" applyProtection="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64"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20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99" fillId="0" borderId="0" applyNumberFormat="0" applyFill="0" applyBorder="0" applyProtection="0">
      <alignment vertical="top"/>
    </xf>
    <xf numFmtId="0" fontId="199" fillId="0" borderId="0" applyNumberFormat="0" applyFill="0" applyBorder="0" applyProtection="0">
      <alignment vertical="top"/>
    </xf>
    <xf numFmtId="0" fontId="199" fillId="0" borderId="0" applyNumberFormat="0" applyFill="0" applyBorder="0" applyProtection="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64" fontId="102" fillId="33" borderId="279" applyNumberFormat="0" applyAlignment="0" applyProtection="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84" fillId="0" borderId="284">
      <alignment horizontal="left" vertical="center"/>
    </xf>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64" fontId="3" fillId="0" borderId="0"/>
    <xf numFmtId="0" fontId="3" fillId="0" borderId="0"/>
    <xf numFmtId="0" fontId="3" fillId="0" borderId="0"/>
    <xf numFmtId="0" fontId="3" fillId="0" borderId="0"/>
    <xf numFmtId="0" fontId="1" fillId="0" borderId="0"/>
    <xf numFmtId="0"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1" fillId="0" borderId="0"/>
    <xf numFmtId="195" fontId="1" fillId="0" borderId="0"/>
    <xf numFmtId="0"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3" fillId="0" borderId="0"/>
    <xf numFmtId="0" fontId="3" fillId="0" borderId="0"/>
    <xf numFmtId="0" fontId="1" fillId="0" borderId="0"/>
    <xf numFmtId="0" fontId="3" fillId="0" borderId="0"/>
    <xf numFmtId="0" fontId="3" fillId="0" borderId="0"/>
    <xf numFmtId="0" fontId="1"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195"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0" fontId="3" fillId="32" borderId="281" applyNumberFormat="0" applyFont="0" applyAlignment="0" applyProtection="0"/>
    <xf numFmtId="195" fontId="100" fillId="32" borderId="281" applyNumberFormat="0" applyFont="0" applyAlignment="0" applyProtection="0"/>
    <xf numFmtId="164" fontId="3"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0" fontId="3"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0" fontId="3"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0" fontId="3"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0" fontId="3"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0" fontId="3"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0" fontId="3"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195" fontId="100" fillId="32" borderId="281" applyNumberFormat="0" applyFont="0" applyAlignment="0" applyProtection="0"/>
    <xf numFmtId="0" fontId="3" fillId="32" borderId="281" applyNumberFormat="0" applyFont="0" applyAlignment="0" applyProtection="0"/>
    <xf numFmtId="195" fontId="100" fillId="32" borderId="281" applyNumberFormat="0" applyFont="0" applyAlignment="0" applyProtection="0"/>
    <xf numFmtId="164" fontId="44" fillId="32" borderId="281" applyNumberFormat="0" applyFont="0" applyAlignment="0" applyProtection="0"/>
    <xf numFmtId="164" fontId="44" fillId="32" borderId="281" applyNumberFormat="0" applyFont="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44"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164"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164" fontId="3" fillId="0" borderId="0" applyFont="0" applyFill="0" applyBorder="0" applyAlignment="0" applyProtection="0"/>
    <xf numFmtId="9" fontId="3" fillId="0" borderId="0" applyFont="0" applyFill="0" applyBorder="0" applyAlignment="0" applyProtection="0"/>
    <xf numFmtId="9" fontId="14" fillId="0" borderId="0" applyFont="0" applyFill="0" applyBorder="0" applyAlignment="0" applyProtection="0"/>
    <xf numFmtId="164" fontId="3" fillId="0" borderId="0" applyFont="0" applyFill="0" applyBorder="0" applyAlignment="0" applyProtection="0"/>
    <xf numFmtId="164" fontId="44" fillId="0" borderId="0" applyFont="0" applyFill="0" applyBorder="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195" fontId="105" fillId="39" borderId="282" applyNumberFormat="0" applyAlignment="0" applyProtection="0"/>
    <xf numFmtId="0" fontId="19" fillId="0" borderId="30"/>
    <xf numFmtId="164" fontId="3" fillId="0" borderId="0" applyNumberFormat="0" applyFill="0" applyBorder="0" applyAlignment="0" applyProtection="0"/>
    <xf numFmtId="164" fontId="3" fillId="0" borderId="0" applyNumberFormat="0" applyFill="0" applyBorder="0" applyAlignment="0" applyProtection="0"/>
    <xf numFmtId="164" fontId="58" fillId="0" borderId="283" applyNumberFormat="0" applyFill="0" applyAlignment="0" applyProtection="0"/>
    <xf numFmtId="225" fontId="3" fillId="0" borderId="179">
      <protection locked="0"/>
    </xf>
    <xf numFmtId="0" fontId="58" fillId="0" borderId="283" applyNumberFormat="0" applyFill="0" applyAlignment="0" applyProtection="0"/>
    <xf numFmtId="164" fontId="58" fillId="0" borderId="283" applyNumberFormat="0" applyFill="0" applyAlignment="0" applyProtection="0"/>
    <xf numFmtId="225" fontId="3" fillId="0" borderId="179">
      <protection locked="0"/>
    </xf>
    <xf numFmtId="225" fontId="3" fillId="0" borderId="179">
      <protection locked="0"/>
    </xf>
    <xf numFmtId="225" fontId="3" fillId="0" borderId="179">
      <protection locked="0"/>
    </xf>
    <xf numFmtId="225" fontId="3" fillId="0" borderId="179">
      <protection locked="0"/>
    </xf>
    <xf numFmtId="225" fontId="3" fillId="0" borderId="179">
      <protection locked="0"/>
    </xf>
    <xf numFmtId="225" fontId="3" fillId="0" borderId="179">
      <protection locked="0"/>
    </xf>
    <xf numFmtId="225" fontId="3" fillId="0" borderId="179">
      <protection locked="0"/>
    </xf>
    <xf numFmtId="164" fontId="99" fillId="0" borderId="0" applyNumberFormat="0" applyFill="0" applyBorder="0" applyAlignment="0" applyProtection="0"/>
    <xf numFmtId="164" fontId="99" fillId="0" borderId="0" applyNumberFormat="0" applyFill="0" applyBorder="0" applyAlignment="0" applyProtection="0"/>
    <xf numFmtId="164" fontId="194" fillId="0" borderId="0">
      <alignment vertical="top" wrapText="1"/>
    </xf>
    <xf numFmtId="0" fontId="3" fillId="0" borderId="0"/>
    <xf numFmtId="0" fontId="205" fillId="1" borderId="284" applyNumberFormat="0" applyFont="0" applyAlignment="0">
      <alignment horizontal="center"/>
    </xf>
    <xf numFmtId="0" fontId="3" fillId="0" borderId="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97" fillId="39"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95" fontId="102" fillId="35" borderId="285" applyNumberFormat="0" applyAlignment="0" applyProtection="0"/>
    <xf numFmtId="164" fontId="102" fillId="33" borderId="285" applyNumberFormat="0" applyAlignment="0" applyProtection="0"/>
    <xf numFmtId="164" fontId="102" fillId="33" borderId="285" applyNumberFormat="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166" fontId="44" fillId="0" borderId="0" applyFont="0" applyFill="0" applyBorder="0" applyAlignment="0" applyProtection="0"/>
    <xf numFmtId="0" fontId="3" fillId="0" borderId="0"/>
    <xf numFmtId="0" fontId="1" fillId="0" borderId="0"/>
    <xf numFmtId="0" fontId="3" fillId="0" borderId="0"/>
    <xf numFmtId="164" fontId="102" fillId="33" borderId="285" applyNumberFormat="0" applyAlignment="0" applyProtection="0"/>
    <xf numFmtId="0" fontId="3" fillId="0" borderId="0"/>
    <xf numFmtId="0" fontId="1" fillId="0" borderId="0"/>
    <xf numFmtId="0" fontId="235" fillId="121" borderId="308" applyNumberFormat="0" applyAlignment="0" applyProtection="0">
      <alignment horizontal="left" vertical="center" indent="1"/>
    </xf>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3"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3" fillId="0" borderId="0"/>
    <xf numFmtId="0" fontId="3"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cellStyleXfs>
  <cellXfs count="2653">
    <xf numFmtId="0" fontId="0" fillId="0" borderId="0" xfId="0"/>
    <xf numFmtId="0" fontId="1" fillId="0" borderId="0" xfId="4"/>
    <xf numFmtId="0" fontId="4" fillId="2" borderId="0" xfId="3" applyFont="1" applyFill="1" applyAlignment="1">
      <alignment vertical="center"/>
    </xf>
    <xf numFmtId="14" fontId="1" fillId="0" borderId="0" xfId="4" applyNumberFormat="1"/>
    <xf numFmtId="0" fontId="5" fillId="2" borderId="0" xfId="3" applyFont="1" applyFill="1" applyAlignment="1">
      <alignment horizontal="left"/>
    </xf>
    <xf numFmtId="14" fontId="2" fillId="0" borderId="0" xfId="4" applyNumberFormat="1" applyFont="1" applyAlignment="1"/>
    <xf numFmtId="14" fontId="6" fillId="0" borderId="0" xfId="4" applyNumberFormat="1" applyFont="1"/>
    <xf numFmtId="14" fontId="8" fillId="0" borderId="0" xfId="4" applyNumberFormat="1" applyFont="1" applyAlignment="1"/>
    <xf numFmtId="15" fontId="13" fillId="0" borderId="22" xfId="3" applyNumberFormat="1" applyFont="1" applyFill="1" applyBorder="1" applyAlignment="1">
      <alignment horizontal="center" vertical="center" wrapText="1"/>
    </xf>
    <xf numFmtId="2" fontId="15" fillId="0" borderId="3" xfId="5" applyNumberFormat="1" applyFont="1" applyFill="1" applyBorder="1" applyAlignment="1">
      <alignment horizontal="center" wrapText="1"/>
    </xf>
    <xf numFmtId="2" fontId="15" fillId="0" borderId="2" xfId="5" applyNumberFormat="1" applyFont="1" applyFill="1" applyBorder="1" applyAlignment="1">
      <alignment horizontal="center" wrapText="1"/>
    </xf>
    <xf numFmtId="2" fontId="15" fillId="0" borderId="5" xfId="5" applyNumberFormat="1" applyFont="1" applyFill="1" applyBorder="1" applyAlignment="1">
      <alignment horizontal="center" wrapText="1"/>
    </xf>
    <xf numFmtId="15" fontId="16" fillId="0" borderId="26" xfId="3" applyNumberFormat="1" applyFont="1" applyFill="1" applyBorder="1" applyAlignment="1">
      <alignment horizontal="center" vertical="center" wrapText="1"/>
    </xf>
    <xf numFmtId="0" fontId="12" fillId="3" borderId="19" xfId="3" applyFont="1" applyFill="1" applyBorder="1" applyAlignment="1">
      <alignment horizontal="center" vertical="center" wrapText="1"/>
    </xf>
    <xf numFmtId="0" fontId="12" fillId="3" borderId="20" xfId="3" applyFont="1" applyFill="1" applyBorder="1" applyAlignment="1">
      <alignment horizontal="center" vertical="center" wrapText="1"/>
    </xf>
    <xf numFmtId="0" fontId="11" fillId="3" borderId="15" xfId="3" applyFont="1" applyFill="1" applyBorder="1" applyAlignment="1">
      <alignment horizontal="center" vertical="center" wrapText="1"/>
    </xf>
    <xf numFmtId="0" fontId="12" fillId="3" borderId="15" xfId="3" applyFont="1" applyFill="1" applyBorder="1" applyAlignment="1">
      <alignment horizontal="center" vertical="center" wrapText="1"/>
    </xf>
    <xf numFmtId="0" fontId="12" fillId="3" borderId="21" xfId="3" applyFont="1" applyFill="1" applyBorder="1" applyAlignment="1">
      <alignment horizontal="center" vertical="center" wrapText="1"/>
    </xf>
    <xf numFmtId="0" fontId="12" fillId="3" borderId="19" xfId="6" applyFont="1" applyFill="1" applyBorder="1" applyAlignment="1">
      <alignment horizontal="center" vertical="center" wrapText="1"/>
    </xf>
    <xf numFmtId="0" fontId="12" fillId="3" borderId="26" xfId="6" applyFont="1" applyFill="1" applyBorder="1" applyAlignment="1">
      <alignment horizontal="center" vertical="center" wrapText="1"/>
    </xf>
    <xf numFmtId="0" fontId="21" fillId="7" borderId="31" xfId="0" applyFont="1" applyFill="1" applyBorder="1" applyAlignment="1">
      <alignment horizontal="center" vertical="center" textRotation="90" wrapText="1"/>
    </xf>
    <xf numFmtId="0" fontId="21" fillId="0" borderId="0" xfId="0" applyFont="1" applyAlignment="1">
      <alignment horizontal="center" vertical="center" textRotation="90" wrapText="1"/>
    </xf>
    <xf numFmtId="0" fontId="3" fillId="0" borderId="0" xfId="0" applyFont="1"/>
    <xf numFmtId="0" fontId="22" fillId="0" borderId="0" xfId="0" applyFont="1"/>
    <xf numFmtId="0" fontId="3" fillId="0" borderId="0" xfId="0" applyFont="1" applyBorder="1"/>
    <xf numFmtId="0" fontId="26" fillId="2" borderId="0" xfId="6" applyFont="1" applyFill="1" applyAlignment="1">
      <alignment vertical="center"/>
    </xf>
    <xf numFmtId="14" fontId="0" fillId="0" borderId="0" xfId="0" applyNumberFormat="1"/>
    <xf numFmtId="0" fontId="9" fillId="2" borderId="0" xfId="6" applyFont="1" applyFill="1" applyAlignment="1">
      <alignment horizontal="left" vertical="center"/>
    </xf>
    <xf numFmtId="14" fontId="6" fillId="0" borderId="0" xfId="0" applyNumberFormat="1" applyFont="1"/>
    <xf numFmtId="14" fontId="0" fillId="0" borderId="0" xfId="0" applyNumberFormat="1" applyAlignment="1">
      <alignment horizontal="center"/>
    </xf>
    <xf numFmtId="14" fontId="8" fillId="0" borderId="0" xfId="0" applyNumberFormat="1" applyFont="1" applyAlignment="1">
      <alignment horizontal="center"/>
    </xf>
    <xf numFmtId="0" fontId="14" fillId="0" borderId="0" xfId="5"/>
    <xf numFmtId="0" fontId="2" fillId="10" borderId="0" xfId="5" applyFont="1" applyFill="1"/>
    <xf numFmtId="0" fontId="35" fillId="0" borderId="7" xfId="5" applyFont="1" applyBorder="1"/>
    <xf numFmtId="0" fontId="36" fillId="0" borderId="7" xfId="5" applyFont="1" applyBorder="1"/>
    <xf numFmtId="0" fontId="14" fillId="0" borderId="7" xfId="5" applyBorder="1"/>
    <xf numFmtId="0" fontId="37" fillId="0" borderId="7" xfId="5" applyFont="1" applyBorder="1"/>
    <xf numFmtId="0" fontId="39" fillId="10" borderId="0" xfId="5" applyFont="1" applyFill="1"/>
    <xf numFmtId="0" fontId="1" fillId="0" borderId="7" xfId="5" applyFont="1" applyBorder="1"/>
    <xf numFmtId="0" fontId="39" fillId="0" borderId="7" xfId="5" applyFont="1" applyBorder="1"/>
    <xf numFmtId="182" fontId="0" fillId="0" borderId="0" xfId="4" applyNumberFormat="1" applyFont="1"/>
    <xf numFmtId="0" fontId="37" fillId="0" borderId="39" xfId="0" applyFont="1" applyBorder="1" applyAlignment="1">
      <alignment wrapText="1"/>
    </xf>
    <xf numFmtId="0" fontId="37" fillId="0" borderId="32" xfId="0" applyFont="1" applyBorder="1" applyAlignment="1">
      <alignment wrapText="1"/>
    </xf>
    <xf numFmtId="0" fontId="37" fillId="0" borderId="32" xfId="0" applyFont="1" applyBorder="1" applyAlignment="1">
      <alignment vertical="center" wrapText="1"/>
    </xf>
    <xf numFmtId="184" fontId="43" fillId="0" borderId="41" xfId="0" applyNumberFormat="1" applyFont="1" applyFill="1" applyBorder="1" applyAlignment="1">
      <alignment horizontal="center" vertical="center"/>
    </xf>
    <xf numFmtId="0" fontId="37" fillId="0" borderId="31" xfId="0" applyFont="1" applyBorder="1" applyAlignment="1">
      <alignment horizontal="center" vertical="center"/>
    </xf>
    <xf numFmtId="175" fontId="37" fillId="0" borderId="31" xfId="0" applyNumberFormat="1" applyFont="1" applyBorder="1" applyAlignment="1">
      <alignment horizontal="center" vertical="center"/>
    </xf>
    <xf numFmtId="0" fontId="37" fillId="0" borderId="31" xfId="0" applyFont="1" applyBorder="1"/>
    <xf numFmtId="0" fontId="37" fillId="0" borderId="40" xfId="0" applyFont="1" applyBorder="1" applyAlignment="1">
      <alignment horizontal="center" vertical="center"/>
    </xf>
    <xf numFmtId="183" fontId="37" fillId="0" borderId="31" xfId="0" applyNumberFormat="1" applyFont="1" applyBorder="1" applyAlignment="1">
      <alignment horizontal="center" vertical="center"/>
    </xf>
    <xf numFmtId="184" fontId="44" fillId="0" borderId="31" xfId="0" applyNumberFormat="1" applyFont="1" applyFill="1" applyBorder="1" applyAlignment="1">
      <alignment horizontal="center" vertical="center"/>
    </xf>
    <xf numFmtId="2" fontId="44" fillId="0" borderId="40" xfId="0" applyNumberFormat="1" applyFont="1" applyBorder="1" applyAlignment="1">
      <alignment horizontal="center" vertical="center"/>
    </xf>
    <xf numFmtId="184" fontId="44" fillId="0" borderId="31" xfId="0" applyNumberFormat="1" applyFont="1" applyBorder="1" applyAlignment="1">
      <alignment horizontal="center" vertical="center"/>
    </xf>
    <xf numFmtId="2" fontId="44" fillId="0" borderId="44" xfId="0" applyNumberFormat="1" applyFont="1" applyBorder="1" applyAlignment="1">
      <alignment horizontal="center" vertical="center"/>
    </xf>
    <xf numFmtId="184" fontId="44" fillId="0" borderId="45" xfId="0" applyNumberFormat="1" applyFont="1" applyBorder="1" applyAlignment="1">
      <alignment horizontal="center" vertical="center"/>
    </xf>
    <xf numFmtId="0" fontId="37" fillId="0" borderId="45" xfId="0" applyFont="1" applyBorder="1" applyAlignment="1">
      <alignment horizontal="center" vertical="center"/>
    </xf>
    <xf numFmtId="0" fontId="14" fillId="0" borderId="0" xfId="0" applyFont="1"/>
    <xf numFmtId="184" fontId="14" fillId="0" borderId="0" xfId="0" applyNumberFormat="1" applyFont="1"/>
    <xf numFmtId="0" fontId="14" fillId="0" borderId="0" xfId="0" applyFont="1" applyAlignment="1">
      <alignment wrapText="1"/>
    </xf>
    <xf numFmtId="0" fontId="3" fillId="0" borderId="0" xfId="22" applyBorder="1"/>
    <xf numFmtId="0" fontId="3" fillId="0" borderId="0" xfId="22"/>
    <xf numFmtId="0" fontId="50" fillId="0" borderId="0" xfId="22" applyFont="1"/>
    <xf numFmtId="2" fontId="15" fillId="0" borderId="25" xfId="5" applyNumberFormat="1" applyFont="1" applyFill="1" applyBorder="1" applyAlignment="1">
      <alignment horizontal="center" wrapText="1"/>
    </xf>
    <xf numFmtId="2" fontId="15" fillId="0" borderId="51" xfId="5" applyNumberFormat="1" applyFont="1" applyFill="1" applyBorder="1" applyAlignment="1">
      <alignment horizontal="center" wrapText="1"/>
    </xf>
    <xf numFmtId="2" fontId="15" fillId="0" borderId="52" xfId="5" applyNumberFormat="1" applyFont="1" applyFill="1" applyBorder="1" applyAlignment="1">
      <alignment horizontal="center" wrapText="1"/>
    </xf>
    <xf numFmtId="2" fontId="15" fillId="0" borderId="54" xfId="5" applyNumberFormat="1" applyFont="1" applyFill="1" applyBorder="1" applyAlignment="1">
      <alignment horizontal="center" wrapText="1"/>
    </xf>
    <xf numFmtId="184" fontId="43" fillId="0" borderId="57" xfId="0" applyNumberFormat="1" applyFont="1" applyFill="1" applyBorder="1" applyAlignment="1">
      <alignment horizontal="center" vertical="center"/>
    </xf>
    <xf numFmtId="182" fontId="14" fillId="0" borderId="58" xfId="4" applyNumberFormat="1" applyFont="1" applyBorder="1"/>
    <xf numFmtId="0" fontId="14" fillId="0" borderId="59" xfId="0" applyFont="1" applyBorder="1"/>
    <xf numFmtId="183" fontId="43" fillId="0" borderId="37" xfId="0" applyNumberFormat="1" applyFont="1" applyFill="1" applyBorder="1" applyAlignment="1">
      <alignment horizontal="center" vertical="center"/>
    </xf>
    <xf numFmtId="183" fontId="43" fillId="0" borderId="38" xfId="0" applyNumberFormat="1" applyFont="1" applyFill="1" applyBorder="1" applyAlignment="1">
      <alignment horizontal="center" vertical="center"/>
    </xf>
    <xf numFmtId="183" fontId="43" fillId="0" borderId="40" xfId="0" applyNumberFormat="1" applyFont="1" applyFill="1" applyBorder="1" applyAlignment="1">
      <alignment horizontal="center" vertical="center"/>
    </xf>
    <xf numFmtId="183" fontId="43" fillId="0" borderId="41" xfId="0" applyNumberFormat="1" applyFont="1" applyFill="1" applyBorder="1" applyAlignment="1">
      <alignment horizontal="center" vertical="center"/>
    </xf>
    <xf numFmtId="183" fontId="43" fillId="0" borderId="60" xfId="0" applyNumberFormat="1" applyFont="1" applyFill="1" applyBorder="1" applyAlignment="1">
      <alignment horizontal="center" vertical="center"/>
    </xf>
    <xf numFmtId="183" fontId="43" fillId="0" borderId="61" xfId="0" applyNumberFormat="1" applyFont="1" applyFill="1" applyBorder="1" applyAlignment="1">
      <alignment horizontal="center" vertical="center"/>
    </xf>
    <xf numFmtId="186" fontId="37" fillId="0" borderId="31" xfId="0" applyNumberFormat="1" applyFont="1" applyBorder="1"/>
    <xf numFmtId="0" fontId="14" fillId="0" borderId="59" xfId="0" applyFont="1" applyBorder="1" applyAlignment="1">
      <alignment wrapText="1"/>
    </xf>
    <xf numFmtId="0" fontId="14" fillId="0" borderId="62" xfId="0" applyFont="1" applyBorder="1" applyAlignment="1">
      <alignment wrapText="1"/>
    </xf>
    <xf numFmtId="184" fontId="43" fillId="0" borderId="63" xfId="0" applyNumberFormat="1" applyFont="1" applyFill="1" applyBorder="1" applyAlignment="1">
      <alignment horizontal="center" vertical="center"/>
    </xf>
    <xf numFmtId="184" fontId="43" fillId="0" borderId="38" xfId="0" applyNumberFormat="1" applyFont="1" applyFill="1" applyBorder="1" applyAlignment="1">
      <alignment horizontal="center" vertical="center"/>
    </xf>
    <xf numFmtId="184" fontId="43" fillId="0" borderId="64" xfId="0" applyNumberFormat="1" applyFont="1" applyFill="1" applyBorder="1" applyAlignment="1">
      <alignment horizontal="center" vertical="center"/>
    </xf>
    <xf numFmtId="184" fontId="43" fillId="0" borderId="61" xfId="0" applyNumberFormat="1" applyFont="1" applyFill="1" applyBorder="1" applyAlignment="1">
      <alignment horizontal="center" vertical="center"/>
    </xf>
    <xf numFmtId="184" fontId="43" fillId="0" borderId="43" xfId="0" applyNumberFormat="1" applyFont="1" applyFill="1" applyBorder="1" applyAlignment="1">
      <alignment horizontal="center" vertical="center"/>
    </xf>
    <xf numFmtId="184" fontId="43" fillId="0" borderId="37" xfId="0" applyNumberFormat="1" applyFont="1" applyFill="1" applyBorder="1" applyAlignment="1">
      <alignment horizontal="center" vertical="center"/>
    </xf>
    <xf numFmtId="184" fontId="43" fillId="0" borderId="40" xfId="0" applyNumberFormat="1" applyFont="1" applyFill="1" applyBorder="1" applyAlignment="1">
      <alignment horizontal="center" vertical="center"/>
    </xf>
    <xf numFmtId="184" fontId="43" fillId="0" borderId="60" xfId="0" applyNumberFormat="1" applyFont="1" applyFill="1" applyBorder="1" applyAlignment="1">
      <alignment horizontal="center" vertical="center"/>
    </xf>
    <xf numFmtId="2" fontId="15" fillId="0" borderId="68" xfId="5" applyNumberFormat="1" applyFont="1" applyFill="1" applyBorder="1" applyAlignment="1">
      <alignment horizontal="center" wrapText="1"/>
    </xf>
    <xf numFmtId="2" fontId="15" fillId="0" borderId="69" xfId="5" applyNumberFormat="1" applyFont="1" applyFill="1" applyBorder="1" applyAlignment="1">
      <alignment horizontal="center" wrapText="1"/>
    </xf>
    <xf numFmtId="2" fontId="15" fillId="0" borderId="70" xfId="5" applyNumberFormat="1" applyFont="1" applyFill="1" applyBorder="1" applyAlignment="1">
      <alignment horizontal="center" wrapText="1"/>
    </xf>
    <xf numFmtId="0" fontId="0" fillId="0" borderId="0" xfId="0" applyAlignment="1">
      <alignment horizontal="center" vertical="center"/>
    </xf>
    <xf numFmtId="0" fontId="0" fillId="0" borderId="0" xfId="0" applyAlignment="1">
      <alignment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2" xfId="0" applyBorder="1" applyAlignment="1">
      <alignment vertical="center"/>
    </xf>
    <xf numFmtId="0" fontId="0" fillId="0" borderId="47" xfId="0" applyBorder="1" applyAlignment="1">
      <alignment horizontal="center" vertical="center"/>
    </xf>
    <xf numFmtId="0" fontId="0" fillId="0" borderId="0" xfId="0" applyBorder="1" applyAlignment="1">
      <alignment horizontal="center" vertical="center"/>
    </xf>
    <xf numFmtId="0" fontId="54" fillId="0" borderId="0" xfId="0" applyFont="1" applyBorder="1" applyAlignment="1">
      <alignment horizontal="center" vertical="center"/>
    </xf>
    <xf numFmtId="0" fontId="0" fillId="0" borderId="48" xfId="0" applyBorder="1"/>
    <xf numFmtId="0" fontId="55" fillId="0" borderId="0" xfId="0" applyFont="1" applyBorder="1" applyAlignment="1">
      <alignment horizontal="center" vertical="center"/>
    </xf>
    <xf numFmtId="0" fontId="55" fillId="0" borderId="0" xfId="0" applyFont="1" applyBorder="1" applyAlignment="1">
      <alignment horizontal="center" vertical="center" wrapText="1"/>
    </xf>
    <xf numFmtId="187" fontId="56" fillId="0" borderId="0" xfId="0" applyNumberFormat="1" applyFont="1" applyBorder="1" applyAlignment="1">
      <alignment horizontal="center" vertical="center"/>
    </xf>
    <xf numFmtId="0" fontId="0" fillId="0" borderId="0" xfId="0" applyBorder="1" applyAlignment="1">
      <alignment vertical="center"/>
    </xf>
    <xf numFmtId="0" fontId="57" fillId="0" borderId="0" xfId="0" applyFont="1" applyBorder="1" applyAlignment="1">
      <alignment horizontal="justify" vertical="center" wrapText="1"/>
    </xf>
    <xf numFmtId="0" fontId="0" fillId="0" borderId="48" xfId="0" applyBorder="1" applyAlignment="1">
      <alignment wrapText="1"/>
    </xf>
    <xf numFmtId="0" fontId="0" fillId="0" borderId="0" xfId="0" applyAlignment="1">
      <alignment wrapText="1"/>
    </xf>
    <xf numFmtId="0" fontId="0" fillId="0" borderId="56" xfId="0" applyBorder="1" applyAlignment="1">
      <alignment horizontal="center" vertical="center"/>
    </xf>
    <xf numFmtId="0" fontId="0" fillId="0" borderId="74" xfId="0" applyBorder="1" applyAlignment="1">
      <alignment vertical="center"/>
    </xf>
    <xf numFmtId="0" fontId="0" fillId="0" borderId="75" xfId="0" applyBorder="1" applyAlignment="1">
      <alignment vertical="center"/>
    </xf>
    <xf numFmtId="0" fontId="0" fillId="0" borderId="0" xfId="0" applyBorder="1" applyAlignment="1"/>
    <xf numFmtId="0" fontId="59" fillId="0" borderId="65" xfId="0" applyFont="1" applyBorder="1" applyAlignment="1">
      <alignment horizontal="center"/>
    </xf>
    <xf numFmtId="0" fontId="0" fillId="0" borderId="65" xfId="0" applyBorder="1" applyAlignment="1">
      <alignment horizontal="center" vertical="center"/>
    </xf>
    <xf numFmtId="0" fontId="0" fillId="0" borderId="47" xfId="0" applyBorder="1"/>
    <xf numFmtId="0" fontId="0" fillId="0" borderId="0" xfId="0" applyBorder="1"/>
    <xf numFmtId="0" fontId="59" fillId="0" borderId="0" xfId="0" applyFont="1" applyBorder="1" applyAlignment="1">
      <alignment vertical="center"/>
    </xf>
    <xf numFmtId="0" fontId="0" fillId="0" borderId="50" xfId="0" applyBorder="1" applyAlignment="1">
      <alignment vertical="center"/>
    </xf>
    <xf numFmtId="0" fontId="0" fillId="0" borderId="50" xfId="0" applyBorder="1" applyAlignment="1">
      <alignment horizontal="center" vertical="center"/>
    </xf>
    <xf numFmtId="0" fontId="0" fillId="0" borderId="77" xfId="0" applyBorder="1" applyAlignment="1">
      <alignment horizontal="center" vertical="center"/>
    </xf>
    <xf numFmtId="0" fontId="0" fillId="0" borderId="73" xfId="0" applyBorder="1" applyAlignment="1">
      <alignment vertical="center"/>
    </xf>
    <xf numFmtId="0" fontId="0" fillId="0" borderId="74" xfId="0" applyBorder="1" applyAlignment="1">
      <alignment horizontal="center" vertical="center"/>
    </xf>
    <xf numFmtId="0" fontId="0" fillId="0" borderId="75" xfId="0" applyBorder="1" applyAlignment="1">
      <alignment horizontal="center" vertical="center"/>
    </xf>
    <xf numFmtId="0" fontId="0" fillId="16" borderId="56" xfId="0" applyFill="1" applyBorder="1" applyAlignment="1">
      <alignment vertical="center"/>
    </xf>
    <xf numFmtId="0" fontId="0" fillId="16" borderId="56" xfId="0" applyFill="1" applyBorder="1" applyAlignment="1">
      <alignment horizontal="center" vertical="center"/>
    </xf>
    <xf numFmtId="0" fontId="2" fillId="16" borderId="56" xfId="0" applyFont="1" applyFill="1" applyBorder="1" applyAlignment="1">
      <alignment horizontal="center" vertical="center"/>
    </xf>
    <xf numFmtId="0" fontId="0" fillId="0" borderId="76" xfId="0" applyBorder="1" applyAlignment="1">
      <alignment vertical="center"/>
    </xf>
    <xf numFmtId="0" fontId="0" fillId="0" borderId="65" xfId="0" applyBorder="1" applyAlignment="1">
      <alignment horizontal="left" vertical="center"/>
    </xf>
    <xf numFmtId="0" fontId="0" fillId="0" borderId="50" xfId="0" applyBorder="1" applyAlignment="1">
      <alignment horizontal="left" vertical="center"/>
    </xf>
    <xf numFmtId="0" fontId="0" fillId="0" borderId="77" xfId="0" applyBorder="1" applyAlignment="1">
      <alignment horizontal="left" vertical="center"/>
    </xf>
    <xf numFmtId="0" fontId="0" fillId="0" borderId="0" xfId="0" applyBorder="1" applyAlignment="1">
      <alignment horizontal="left" vertical="center"/>
    </xf>
    <xf numFmtId="0" fontId="0" fillId="0" borderId="74" xfId="0" applyBorder="1" applyAlignment="1">
      <alignment horizontal="left" vertical="center"/>
    </xf>
    <xf numFmtId="0" fontId="0" fillId="0" borderId="75" xfId="0" applyBorder="1" applyAlignment="1">
      <alignment horizontal="left" vertical="center"/>
    </xf>
    <xf numFmtId="0" fontId="0" fillId="0" borderId="65" xfId="0" applyBorder="1" applyAlignment="1">
      <alignment vertical="center"/>
    </xf>
    <xf numFmtId="0" fontId="0" fillId="0" borderId="77" xfId="0" applyBorder="1" applyAlignment="1">
      <alignment vertical="center"/>
    </xf>
    <xf numFmtId="49" fontId="1" fillId="16" borderId="56" xfId="24" applyNumberFormat="1" applyFont="1" applyFill="1" applyBorder="1" applyAlignment="1">
      <alignment horizontal="center" vertical="center"/>
    </xf>
    <xf numFmtId="9" fontId="1" fillId="0" borderId="65" xfId="24" applyFont="1" applyBorder="1" applyAlignment="1">
      <alignment horizontal="center" vertical="center"/>
    </xf>
    <xf numFmtId="0" fontId="0" fillId="0" borderId="56" xfId="0" applyBorder="1" applyAlignment="1">
      <alignment horizontal="left" vertical="center"/>
    </xf>
    <xf numFmtId="0" fontId="0" fillId="0" borderId="50" xfId="0" applyBorder="1" applyAlignment="1">
      <alignment horizontal="left" vertical="center" wrapText="1"/>
    </xf>
    <xf numFmtId="9" fontId="1" fillId="0" borderId="50" xfId="24" applyFont="1" applyBorder="1" applyAlignment="1">
      <alignment vertical="center"/>
    </xf>
    <xf numFmtId="9" fontId="1" fillId="0" borderId="77" xfId="24" applyFont="1" applyBorder="1" applyAlignment="1">
      <alignment horizontal="center" vertical="center"/>
    </xf>
    <xf numFmtId="0" fontId="0" fillId="0" borderId="0" xfId="0" applyBorder="1" applyAlignment="1">
      <alignment horizontal="left" vertical="center" wrapText="1"/>
    </xf>
    <xf numFmtId="9" fontId="1" fillId="0" borderId="0" xfId="24" applyFont="1" applyBorder="1" applyAlignment="1">
      <alignment vertical="center"/>
    </xf>
    <xf numFmtId="9" fontId="1" fillId="0" borderId="0" xfId="24" applyFont="1" applyBorder="1" applyAlignment="1">
      <alignment horizontal="center" vertical="center"/>
    </xf>
    <xf numFmtId="0" fontId="61" fillId="0" borderId="0" xfId="0" applyFont="1" applyBorder="1" applyAlignment="1">
      <alignment horizontal="left" vertical="center" wrapText="1"/>
    </xf>
    <xf numFmtId="0" fontId="61" fillId="0" borderId="50" xfId="0" applyFont="1" applyBorder="1" applyAlignment="1">
      <alignment horizontal="left" vertical="center" wrapText="1"/>
    </xf>
    <xf numFmtId="0" fontId="61" fillId="0" borderId="74" xfId="0" applyFont="1" applyBorder="1" applyAlignment="1">
      <alignment horizontal="left" vertical="center" wrapText="1"/>
    </xf>
    <xf numFmtId="0" fontId="0" fillId="0" borderId="0" xfId="0" applyBorder="1" applyAlignment="1">
      <alignment horizontal="right" vertical="center" wrapText="1"/>
    </xf>
    <xf numFmtId="0" fontId="0" fillId="16" borderId="56" xfId="0" applyFill="1" applyBorder="1" applyAlignment="1">
      <alignment horizontal="center" vertical="center" wrapText="1"/>
    </xf>
    <xf numFmtId="0" fontId="0" fillId="0" borderId="75" xfId="0" applyBorder="1" applyAlignment="1">
      <alignment horizontal="left" vertical="center" wrapText="1"/>
    </xf>
    <xf numFmtId="0" fontId="0" fillId="0" borderId="65" xfId="0" applyBorder="1" applyAlignment="1">
      <alignment horizontal="left" vertical="center" wrapText="1"/>
    </xf>
    <xf numFmtId="0" fontId="62" fillId="0" borderId="71" xfId="0" applyFont="1" applyBorder="1" applyAlignment="1">
      <alignment vertical="center"/>
    </xf>
    <xf numFmtId="0" fontId="62" fillId="0" borderId="72" xfId="0" applyFont="1" applyBorder="1" applyAlignment="1">
      <alignment vertical="center"/>
    </xf>
    <xf numFmtId="0" fontId="62" fillId="0" borderId="57" xfId="0" applyFont="1" applyBorder="1" applyAlignment="1">
      <alignment horizontal="center" vertical="center"/>
    </xf>
    <xf numFmtId="0" fontId="0" fillId="0" borderId="57" xfId="0" applyBorder="1" applyAlignment="1">
      <alignment horizontal="center" vertical="center"/>
    </xf>
    <xf numFmtId="0" fontId="63" fillId="0" borderId="0" xfId="0" applyFont="1"/>
    <xf numFmtId="3" fontId="64" fillId="0" borderId="0" xfId="0" applyNumberFormat="1" applyFont="1"/>
    <xf numFmtId="3" fontId="0" fillId="0" borderId="0" xfId="0" applyNumberFormat="1"/>
    <xf numFmtId="0" fontId="0" fillId="0" borderId="16" xfId="0" applyBorder="1" applyAlignment="1">
      <alignment horizontal="center" vertical="center"/>
    </xf>
    <xf numFmtId="0" fontId="0" fillId="0" borderId="6" xfId="0" applyBorder="1" applyAlignment="1">
      <alignment horizontal="center" vertical="center"/>
    </xf>
    <xf numFmtId="0" fontId="65" fillId="0" borderId="6" xfId="0" applyFont="1" applyBorder="1" applyAlignment="1">
      <alignment vertical="center"/>
    </xf>
    <xf numFmtId="0" fontId="65" fillId="0" borderId="17" xfId="0" applyFont="1" applyBorder="1"/>
    <xf numFmtId="0" fontId="65" fillId="0" borderId="0" xfId="0" applyFont="1"/>
    <xf numFmtId="15" fontId="3" fillId="0" borderId="31" xfId="0" applyNumberFormat="1" applyFont="1" applyBorder="1" applyAlignment="1">
      <alignment horizontal="center" vertical="center"/>
    </xf>
    <xf numFmtId="0" fontId="2" fillId="0" borderId="71" xfId="0" applyFont="1" applyBorder="1" applyAlignment="1">
      <alignment vertical="center"/>
    </xf>
    <xf numFmtId="0" fontId="2" fillId="0" borderId="72" xfId="0" applyFont="1" applyBorder="1" applyAlignment="1">
      <alignment vertical="center"/>
    </xf>
    <xf numFmtId="0" fontId="2" fillId="0" borderId="57" xfId="0" applyFont="1" applyBorder="1" applyAlignment="1">
      <alignment vertical="center"/>
    </xf>
    <xf numFmtId="0" fontId="2" fillId="0" borderId="74" xfId="0" applyFont="1" applyBorder="1" applyAlignment="1">
      <alignment vertical="center"/>
    </xf>
    <xf numFmtId="0" fontId="1" fillId="0" borderId="0" xfId="4" applyAlignment="1">
      <alignment horizontal="center"/>
    </xf>
    <xf numFmtId="0" fontId="9" fillId="2" borderId="0" xfId="3" applyFont="1" applyFill="1" applyAlignment="1">
      <alignment horizontal="center" vertical="center"/>
    </xf>
    <xf numFmtId="0" fontId="66" fillId="0" borderId="24" xfId="4" applyFont="1" applyBorder="1" applyAlignment="1">
      <alignment horizontal="center" vertical="center"/>
    </xf>
    <xf numFmtId="0" fontId="66" fillId="0" borderId="25" xfId="4" applyFont="1" applyBorder="1" applyAlignment="1">
      <alignment horizontal="center" vertical="center"/>
    </xf>
    <xf numFmtId="2" fontId="1" fillId="0" borderId="0" xfId="4" applyNumberFormat="1"/>
    <xf numFmtId="0" fontId="11" fillId="6" borderId="8" xfId="6" applyFont="1" applyFill="1" applyBorder="1" applyAlignment="1">
      <alignment horizontal="center" vertical="center" wrapText="1"/>
    </xf>
    <xf numFmtId="2" fontId="15" fillId="0" borderId="82" xfId="5" applyNumberFormat="1" applyFont="1" applyFill="1" applyBorder="1" applyAlignment="1">
      <alignment horizontal="center" wrapText="1"/>
    </xf>
    <xf numFmtId="2" fontId="15" fillId="0" borderId="83" xfId="5" applyNumberFormat="1" applyFont="1" applyFill="1" applyBorder="1" applyAlignment="1">
      <alignment horizontal="center" wrapText="1"/>
    </xf>
    <xf numFmtId="2" fontId="15" fillId="0" borderId="84" xfId="5" applyNumberFormat="1" applyFont="1" applyFill="1" applyBorder="1" applyAlignment="1">
      <alignment horizontal="center" wrapText="1"/>
    </xf>
    <xf numFmtId="0" fontId="11" fillId="6" borderId="26" xfId="6" applyFont="1" applyFill="1" applyBorder="1" applyAlignment="1">
      <alignment horizontal="center" vertical="center" wrapText="1"/>
    </xf>
    <xf numFmtId="0" fontId="0" fillId="0" borderId="0" xfId="0" applyFill="1"/>
    <xf numFmtId="183" fontId="43" fillId="0" borderId="79" xfId="0" applyNumberFormat="1" applyFont="1" applyFill="1" applyBorder="1" applyAlignment="1">
      <alignment horizontal="center" vertical="center"/>
    </xf>
    <xf numFmtId="183" fontId="43" fillId="0" borderId="80" xfId="0" applyNumberFormat="1" applyFont="1" applyFill="1" applyBorder="1" applyAlignment="1">
      <alignment horizontal="center" vertical="center"/>
    </xf>
    <xf numFmtId="2" fontId="15" fillId="0" borderId="86" xfId="5" applyNumberFormat="1" applyFont="1" applyFill="1" applyBorder="1" applyAlignment="1">
      <alignment horizontal="center" wrapText="1"/>
    </xf>
    <xf numFmtId="2" fontId="15" fillId="0" borderId="87" xfId="5" applyNumberFormat="1" applyFont="1" applyFill="1" applyBorder="1" applyAlignment="1">
      <alignment horizontal="center" wrapText="1"/>
    </xf>
    <xf numFmtId="2" fontId="15" fillId="0" borderId="88" xfId="5" applyNumberFormat="1" applyFont="1" applyFill="1" applyBorder="1" applyAlignment="1">
      <alignment horizontal="center" wrapText="1"/>
    </xf>
    <xf numFmtId="17" fontId="2" fillId="0" borderId="43" xfId="0" applyNumberFormat="1" applyFont="1" applyBorder="1" applyAlignment="1">
      <alignment horizontal="center" vertical="center"/>
    </xf>
    <xf numFmtId="0" fontId="3" fillId="14" borderId="71" xfId="0" applyFont="1" applyFill="1" applyBorder="1" applyAlignment="1"/>
    <xf numFmtId="0" fontId="3" fillId="14" borderId="72" xfId="0" applyFont="1" applyFill="1" applyBorder="1" applyAlignment="1"/>
    <xf numFmtId="0" fontId="22" fillId="14" borderId="72" xfId="0" applyFont="1" applyFill="1" applyBorder="1"/>
    <xf numFmtId="0" fontId="3" fillId="14" borderId="72" xfId="0" applyFont="1" applyFill="1" applyBorder="1"/>
    <xf numFmtId="176" fontId="23" fillId="14" borderId="72" xfId="0" applyNumberFormat="1" applyFont="1" applyFill="1" applyBorder="1" applyAlignment="1">
      <alignment horizontal="right"/>
    </xf>
    <xf numFmtId="175" fontId="3" fillId="14" borderId="72" xfId="0" applyNumberFormat="1" applyFont="1" applyFill="1" applyBorder="1"/>
    <xf numFmtId="2" fontId="3" fillId="14" borderId="72" xfId="0" applyNumberFormat="1" applyFont="1" applyFill="1" applyBorder="1"/>
    <xf numFmtId="175" fontId="3" fillId="14" borderId="43" xfId="0" applyNumberFormat="1" applyFont="1" applyFill="1" applyBorder="1"/>
    <xf numFmtId="184" fontId="0" fillId="0" borderId="0" xfId="0" applyNumberFormat="1"/>
    <xf numFmtId="0" fontId="71" fillId="20" borderId="9" xfId="3" applyFont="1" applyFill="1" applyBorder="1" applyAlignment="1">
      <alignment vertical="center" wrapText="1"/>
    </xf>
    <xf numFmtId="0" fontId="73" fillId="21" borderId="19" xfId="3" applyFont="1" applyFill="1" applyBorder="1" applyAlignment="1">
      <alignment horizontal="center" vertical="center" wrapText="1"/>
    </xf>
    <xf numFmtId="2" fontId="15" fillId="0" borderId="3" xfId="3" applyNumberFormat="1" applyFont="1" applyBorder="1" applyAlignment="1">
      <alignment horizontal="center" vertical="center"/>
    </xf>
    <xf numFmtId="2" fontId="15" fillId="0" borderId="2" xfId="3" applyNumberFormat="1" applyFont="1" applyBorder="1" applyAlignment="1">
      <alignment horizontal="center" vertical="center"/>
    </xf>
    <xf numFmtId="2" fontId="15" fillId="0" borderId="5" xfId="3" applyNumberFormat="1" applyFont="1" applyBorder="1" applyAlignment="1">
      <alignment horizontal="center" vertical="center"/>
    </xf>
    <xf numFmtId="2" fontId="15" fillId="0" borderId="98" xfId="5" applyNumberFormat="1" applyFont="1" applyFill="1" applyBorder="1" applyAlignment="1">
      <alignment horizontal="center" wrapText="1"/>
    </xf>
    <xf numFmtId="0" fontId="73" fillId="21" borderId="20" xfId="3" applyFont="1" applyFill="1" applyBorder="1" applyAlignment="1">
      <alignment horizontal="center" vertical="center" wrapText="1"/>
    </xf>
    <xf numFmtId="0" fontId="73" fillId="21" borderId="21" xfId="3" applyFont="1" applyFill="1" applyBorder="1" applyAlignment="1">
      <alignment horizontal="center" vertical="center" wrapText="1"/>
    </xf>
    <xf numFmtId="2" fontId="15" fillId="0" borderId="99" xfId="5" applyNumberFormat="1" applyFont="1" applyFill="1" applyBorder="1" applyAlignment="1">
      <alignment horizontal="center" wrapText="1"/>
    </xf>
    <xf numFmtId="37" fontId="69" fillId="18" borderId="31" xfId="21" applyNumberFormat="1" applyFont="1" applyFill="1" applyBorder="1" applyAlignment="1">
      <alignment horizontal="center" vertical="center"/>
    </xf>
    <xf numFmtId="3" fontId="69" fillId="18" borderId="31" xfId="21" applyNumberFormat="1" applyFont="1" applyFill="1" applyBorder="1" applyAlignment="1">
      <alignment horizontal="center" vertical="center"/>
    </xf>
    <xf numFmtId="175" fontId="15" fillId="0" borderId="2" xfId="5" applyNumberFormat="1" applyFont="1" applyFill="1" applyBorder="1" applyAlignment="1">
      <alignment horizontal="center" wrapText="1"/>
    </xf>
    <xf numFmtId="175" fontId="15" fillId="0" borderId="52" xfId="5" applyNumberFormat="1" applyFont="1" applyFill="1" applyBorder="1" applyAlignment="1">
      <alignment horizontal="center" wrapText="1"/>
    </xf>
    <xf numFmtId="175" fontId="15" fillId="0" borderId="27" xfId="5" applyNumberFormat="1" applyFont="1" applyFill="1" applyBorder="1" applyAlignment="1">
      <alignment horizontal="center" wrapText="1"/>
    </xf>
    <xf numFmtId="175" fontId="15" fillId="0" borderId="5" xfId="5" applyNumberFormat="1" applyFont="1" applyFill="1" applyBorder="1" applyAlignment="1">
      <alignment horizontal="center" wrapText="1"/>
    </xf>
    <xf numFmtId="175" fontId="15" fillId="0" borderId="53" xfId="5" applyNumberFormat="1" applyFont="1" applyFill="1" applyBorder="1" applyAlignment="1">
      <alignment horizontal="center" wrapText="1"/>
    </xf>
    <xf numFmtId="175" fontId="15" fillId="0" borderId="54" xfId="5" applyNumberFormat="1" applyFont="1" applyFill="1" applyBorder="1" applyAlignment="1">
      <alignment horizontal="center" wrapText="1"/>
    </xf>
    <xf numFmtId="175" fontId="15" fillId="0" borderId="3" xfId="5" applyNumberFormat="1" applyFont="1" applyFill="1" applyBorder="1" applyAlignment="1">
      <alignment horizontal="center" wrapText="1"/>
    </xf>
    <xf numFmtId="175" fontId="15" fillId="0" borderId="51" xfId="5" applyNumberFormat="1" applyFont="1" applyFill="1" applyBorder="1" applyAlignment="1">
      <alignment horizontal="center" wrapText="1"/>
    </xf>
    <xf numFmtId="175" fontId="15" fillId="0" borderId="87" xfId="5" applyNumberFormat="1" applyFont="1" applyFill="1" applyBorder="1" applyAlignment="1">
      <alignment horizontal="center" wrapText="1"/>
    </xf>
    <xf numFmtId="175" fontId="15" fillId="0" borderId="84" xfId="5" applyNumberFormat="1" applyFont="1" applyFill="1" applyBorder="1" applyAlignment="1">
      <alignment horizontal="center" wrapText="1"/>
    </xf>
    <xf numFmtId="175" fontId="15" fillId="0" borderId="69" xfId="5" applyNumberFormat="1" applyFont="1" applyFill="1" applyBorder="1" applyAlignment="1">
      <alignment horizontal="center" wrapText="1"/>
    </xf>
    <xf numFmtId="175" fontId="15" fillId="0" borderId="83" xfId="5" applyNumberFormat="1" applyFont="1" applyFill="1" applyBorder="1" applyAlignment="1">
      <alignment horizontal="center" wrapText="1"/>
    </xf>
    <xf numFmtId="175" fontId="15" fillId="0" borderId="70" xfId="5" applyNumberFormat="1" applyFont="1" applyFill="1" applyBorder="1" applyAlignment="1">
      <alignment horizontal="center" wrapText="1"/>
    </xf>
    <xf numFmtId="175" fontId="15" fillId="0" borderId="68" xfId="5" applyNumberFormat="1" applyFont="1" applyFill="1" applyBorder="1" applyAlignment="1">
      <alignment horizontal="center" wrapText="1"/>
    </xf>
    <xf numFmtId="175" fontId="17" fillId="0" borderId="19" xfId="3" applyNumberFormat="1" applyFont="1" applyBorder="1" applyAlignment="1">
      <alignment horizontal="center" vertical="center"/>
    </xf>
    <xf numFmtId="175" fontId="15" fillId="0" borderId="86" xfId="5" applyNumberFormat="1" applyFont="1" applyFill="1" applyBorder="1" applyAlignment="1">
      <alignment horizontal="center" wrapText="1"/>
    </xf>
    <xf numFmtId="175" fontId="15" fillId="0" borderId="88" xfId="5" applyNumberFormat="1" applyFont="1" applyFill="1" applyBorder="1" applyAlignment="1">
      <alignment horizontal="center" wrapText="1"/>
    </xf>
    <xf numFmtId="175" fontId="3" fillId="0" borderId="102" xfId="0" applyNumberFormat="1" applyFont="1" applyBorder="1"/>
    <xf numFmtId="15" fontId="13" fillId="0" borderId="24" xfId="3" applyNumberFormat="1" applyFont="1" applyFill="1" applyBorder="1" applyAlignment="1">
      <alignment horizontal="center" vertical="center" wrapText="1"/>
    </xf>
    <xf numFmtId="0" fontId="12" fillId="3" borderId="103" xfId="3" applyFont="1" applyFill="1" applyBorder="1" applyAlignment="1">
      <alignment horizontal="center" vertical="center" wrapText="1"/>
    </xf>
    <xf numFmtId="14" fontId="0" fillId="0" borderId="0" xfId="0" applyNumberFormat="1" applyBorder="1"/>
    <xf numFmtId="175" fontId="0" fillId="0" borderId="69" xfId="0" applyNumberFormat="1" applyBorder="1"/>
    <xf numFmtId="191" fontId="11" fillId="18" borderId="96" xfId="3" applyNumberFormat="1" applyFont="1" applyFill="1" applyBorder="1" applyAlignment="1">
      <alignment horizontal="center" vertical="center"/>
    </xf>
    <xf numFmtId="14" fontId="1" fillId="0" borderId="0" xfId="0" applyNumberFormat="1" applyFont="1" applyAlignment="1">
      <alignment horizontal="center"/>
    </xf>
    <xf numFmtId="14" fontId="1" fillId="0" borderId="0" xfId="0" applyNumberFormat="1" applyFont="1"/>
    <xf numFmtId="1" fontId="1" fillId="0" borderId="0" xfId="0" applyNumberFormat="1" applyFont="1" applyAlignment="1">
      <alignment horizontal="center"/>
    </xf>
    <xf numFmtId="0" fontId="15" fillId="24" borderId="0" xfId="1" applyFont="1" applyFill="1" applyAlignment="1">
      <alignment vertical="center"/>
    </xf>
    <xf numFmtId="0" fontId="3" fillId="0" borderId="0" xfId="1"/>
    <xf numFmtId="0" fontId="17" fillId="12" borderId="107" xfId="1" applyFont="1" applyFill="1" applyBorder="1" applyAlignment="1">
      <alignment horizontal="center" vertical="center"/>
    </xf>
    <xf numFmtId="0" fontId="17" fillId="12" borderId="108" xfId="1" applyFont="1" applyFill="1" applyBorder="1" applyAlignment="1">
      <alignment horizontal="center" vertical="center"/>
    </xf>
    <xf numFmtId="0" fontId="17" fillId="12" borderId="109" xfId="1" applyFont="1" applyFill="1" applyBorder="1" applyAlignment="1">
      <alignment horizontal="center" vertical="center"/>
    </xf>
    <xf numFmtId="0" fontId="80" fillId="2" borderId="110" xfId="1" applyFont="1" applyFill="1" applyBorder="1" applyAlignment="1">
      <alignment horizontal="center" vertical="center"/>
    </xf>
    <xf numFmtId="0" fontId="81" fillId="2" borderId="111" xfId="1" applyFont="1" applyFill="1" applyBorder="1" applyAlignment="1">
      <alignment vertical="center"/>
    </xf>
    <xf numFmtId="0" fontId="81" fillId="2" borderId="56" xfId="1" applyFont="1" applyFill="1" applyBorder="1" applyAlignment="1">
      <alignment vertical="center"/>
    </xf>
    <xf numFmtId="0" fontId="81" fillId="2" borderId="56" xfId="1" applyFont="1" applyFill="1" applyBorder="1" applyAlignment="1">
      <alignment horizontal="center" vertical="center"/>
    </xf>
    <xf numFmtId="4" fontId="79" fillId="2" borderId="89" xfId="1" applyNumberFormat="1" applyFont="1" applyFill="1" applyBorder="1" applyAlignment="1">
      <alignment horizontal="center" vertical="center"/>
    </xf>
    <xf numFmtId="0" fontId="80" fillId="0" borderId="112" xfId="1" applyFont="1" applyFill="1" applyBorder="1" applyAlignment="1">
      <alignment horizontal="center" vertical="center"/>
    </xf>
    <xf numFmtId="0" fontId="81" fillId="2" borderId="111" xfId="1" applyFont="1" applyFill="1" applyBorder="1" applyAlignment="1">
      <alignment horizontal="center" vertical="center"/>
    </xf>
    <xf numFmtId="4" fontId="81" fillId="0" borderId="49" xfId="1" applyNumberFormat="1" applyFont="1" applyFill="1" applyBorder="1" applyAlignment="1">
      <alignment horizontal="center" vertical="center"/>
    </xf>
    <xf numFmtId="4" fontId="82" fillId="0" borderId="49" xfId="1" applyNumberFormat="1" applyFont="1" applyFill="1" applyBorder="1" applyAlignment="1">
      <alignment horizontal="center" vertical="center"/>
    </xf>
    <xf numFmtId="0" fontId="80" fillId="0" borderId="110" xfId="1" applyFont="1" applyFill="1" applyBorder="1" applyAlignment="1">
      <alignment horizontal="center" vertical="center"/>
    </xf>
    <xf numFmtId="4" fontId="81" fillId="0" borderId="111" xfId="1" applyNumberFormat="1" applyFont="1" applyFill="1" applyBorder="1" applyAlignment="1">
      <alignment horizontal="center" vertical="center"/>
    </xf>
    <xf numFmtId="4" fontId="81" fillId="0" borderId="56" xfId="1" applyNumberFormat="1" applyFont="1" applyFill="1" applyBorder="1" applyAlignment="1">
      <alignment horizontal="center" vertical="center"/>
    </xf>
    <xf numFmtId="4" fontId="83" fillId="2" borderId="89" xfId="1" applyNumberFormat="1" applyFont="1" applyFill="1" applyBorder="1" applyAlignment="1">
      <alignment horizontal="center" vertical="center"/>
    </xf>
    <xf numFmtId="0" fontId="80" fillId="0" borderId="113" xfId="1" applyFont="1" applyFill="1" applyBorder="1" applyAlignment="1">
      <alignment horizontal="center" vertical="center"/>
    </xf>
    <xf numFmtId="0" fontId="84" fillId="24" borderId="0" xfId="1" applyFont="1" applyFill="1" applyBorder="1" applyAlignment="1">
      <alignment horizontal="left" vertical="center"/>
    </xf>
    <xf numFmtId="0" fontId="3" fillId="24" borderId="0" xfId="1" applyFill="1" applyBorder="1" applyAlignment="1">
      <alignment vertical="center"/>
    </xf>
    <xf numFmtId="4" fontId="3" fillId="24" borderId="0" xfId="1" applyNumberFormat="1" applyFill="1" applyBorder="1" applyAlignment="1">
      <alignment vertical="center"/>
    </xf>
    <xf numFmtId="175" fontId="3" fillId="0" borderId="56" xfId="0" applyNumberFormat="1" applyFont="1" applyBorder="1"/>
    <xf numFmtId="175" fontId="3" fillId="9" borderId="56" xfId="0" applyNumberFormat="1" applyFont="1" applyFill="1" applyBorder="1"/>
    <xf numFmtId="0" fontId="2" fillId="0" borderId="115" xfId="0" applyFont="1" applyBorder="1" applyAlignment="1">
      <alignment horizontal="center" vertical="center" wrapText="1"/>
    </xf>
    <xf numFmtId="0" fontId="2" fillId="0" borderId="49" xfId="0" applyFont="1" applyBorder="1" applyAlignment="1">
      <alignment horizontal="center" vertical="center" wrapText="1"/>
    </xf>
    <xf numFmtId="0" fontId="2" fillId="0" borderId="116" xfId="0" applyFont="1" applyBorder="1" applyAlignment="1">
      <alignment horizontal="center" vertical="center" wrapText="1"/>
    </xf>
    <xf numFmtId="0" fontId="2" fillId="27" borderId="26" xfId="0" applyFont="1" applyFill="1" applyBorder="1" applyAlignment="1">
      <alignment horizontal="center" vertical="center" wrapText="1"/>
    </xf>
    <xf numFmtId="0" fontId="2" fillId="25" borderId="19" xfId="0" applyFont="1" applyFill="1" applyBorder="1" applyAlignment="1">
      <alignment horizontal="center" vertical="center" wrapText="1"/>
    </xf>
    <xf numFmtId="0" fontId="2" fillId="25" borderId="20" xfId="0" applyFont="1" applyFill="1" applyBorder="1" applyAlignment="1">
      <alignment horizontal="center" vertical="center" wrapText="1"/>
    </xf>
    <xf numFmtId="0" fontId="2" fillId="25" borderId="15" xfId="0" applyFont="1" applyFill="1" applyBorder="1" applyAlignment="1">
      <alignment horizontal="center" vertical="center" wrapText="1"/>
    </xf>
    <xf numFmtId="0" fontId="2" fillId="25" borderId="10" xfId="0" applyFont="1" applyFill="1" applyBorder="1" applyAlignment="1">
      <alignment horizontal="center" vertical="center" wrapText="1"/>
    </xf>
    <xf numFmtId="0" fontId="2" fillId="26" borderId="16" xfId="0" applyFont="1" applyFill="1" applyBorder="1" applyAlignment="1">
      <alignment horizontal="center" vertical="center" wrapText="1"/>
    </xf>
    <xf numFmtId="0" fontId="2" fillId="26" borderId="26" xfId="0" applyFont="1" applyFill="1" applyBorder="1" applyAlignment="1">
      <alignment horizontal="center" vertical="center" wrapText="1"/>
    </xf>
    <xf numFmtId="0" fontId="2" fillId="27" borderId="47" xfId="0" applyFont="1" applyFill="1" applyBorder="1" applyAlignment="1">
      <alignment horizontal="center" vertical="center" wrapText="1"/>
    </xf>
    <xf numFmtId="0" fontId="0" fillId="25" borderId="108" xfId="0" applyFont="1" applyFill="1" applyBorder="1" applyAlignment="1">
      <alignment horizontal="center" vertical="center" wrapText="1"/>
    </xf>
    <xf numFmtId="0" fontId="0" fillId="25" borderId="109" xfId="0" applyFont="1" applyFill="1" applyBorder="1" applyAlignment="1">
      <alignment horizontal="center" vertical="center" wrapText="1"/>
    </xf>
    <xf numFmtId="0" fontId="0" fillId="25" borderId="121" xfId="0" applyFill="1" applyBorder="1"/>
    <xf numFmtId="0" fontId="0" fillId="25" borderId="122" xfId="0" applyFill="1" applyBorder="1"/>
    <xf numFmtId="0" fontId="0" fillId="25" borderId="56" xfId="0" applyFont="1" applyFill="1" applyBorder="1" applyAlignment="1">
      <alignment horizontal="center" vertical="center" wrapText="1"/>
    </xf>
    <xf numFmtId="0" fontId="0" fillId="25" borderId="89" xfId="0" applyFont="1" applyFill="1" applyBorder="1" applyAlignment="1">
      <alignment horizontal="center" vertical="center" wrapText="1"/>
    </xf>
    <xf numFmtId="0" fontId="0" fillId="25" borderId="113" xfId="0" applyFill="1" applyBorder="1"/>
    <xf numFmtId="0" fontId="0" fillId="25" borderId="90" xfId="0" applyFill="1" applyBorder="1"/>
    <xf numFmtId="0" fontId="0" fillId="25" borderId="45" xfId="0" applyFont="1" applyFill="1" applyBorder="1" applyAlignment="1">
      <alignment horizontal="center" vertical="center" wrapText="1"/>
    </xf>
    <xf numFmtId="0" fontId="0" fillId="25" borderId="46" xfId="0" applyFont="1" applyFill="1" applyBorder="1" applyAlignment="1">
      <alignment horizontal="center" vertical="center" wrapText="1"/>
    </xf>
    <xf numFmtId="0" fontId="0" fillId="25" borderId="124" xfId="0" applyFill="1" applyBorder="1"/>
    <xf numFmtId="0" fontId="0" fillId="25" borderId="118" xfId="0" applyFill="1" applyBorder="1"/>
    <xf numFmtId="0" fontId="0" fillId="25" borderId="108" xfId="0" applyFill="1" applyBorder="1"/>
    <xf numFmtId="0" fontId="0" fillId="25" borderId="109" xfId="0" applyFill="1" applyBorder="1"/>
    <xf numFmtId="0" fontId="0" fillId="26" borderId="121" xfId="0" applyFill="1" applyBorder="1"/>
    <xf numFmtId="0" fontId="0" fillId="26" borderId="122" xfId="0" applyFill="1" applyBorder="1"/>
    <xf numFmtId="0" fontId="0" fillId="26" borderId="126" xfId="0" applyFill="1" applyBorder="1"/>
    <xf numFmtId="0" fontId="0" fillId="26" borderId="109" xfId="0" applyFill="1" applyBorder="1"/>
    <xf numFmtId="0" fontId="0" fillId="0" borderId="107" xfId="0" applyBorder="1"/>
    <xf numFmtId="0" fontId="0" fillId="0" borderId="108" xfId="0" applyBorder="1"/>
    <xf numFmtId="0" fontId="0" fillId="0" borderId="109" xfId="0" applyBorder="1"/>
    <xf numFmtId="0" fontId="0" fillId="27" borderId="107" xfId="0" applyFill="1" applyBorder="1"/>
    <xf numFmtId="0" fontId="0" fillId="27" borderId="108" xfId="0" applyFill="1" applyBorder="1"/>
    <xf numFmtId="0" fontId="0" fillId="27" borderId="109" xfId="0" applyFill="1" applyBorder="1"/>
    <xf numFmtId="0" fontId="0" fillId="25" borderId="56" xfId="0" applyFill="1" applyBorder="1"/>
    <xf numFmtId="0" fontId="0" fillId="25" borderId="89" xfId="0" applyFill="1" applyBorder="1"/>
    <xf numFmtId="0" fontId="0" fillId="26" borderId="113" xfId="0" applyFill="1" applyBorder="1"/>
    <xf numFmtId="0" fontId="0" fillId="26" borderId="90" xfId="0" applyFill="1" applyBorder="1"/>
    <xf numFmtId="0" fontId="0" fillId="26" borderId="57" xfId="0" applyFill="1" applyBorder="1"/>
    <xf numFmtId="0" fontId="0" fillId="26" borderId="89" xfId="0" applyFill="1" applyBorder="1"/>
    <xf numFmtId="0" fontId="0" fillId="0" borderId="111" xfId="0" applyBorder="1"/>
    <xf numFmtId="0" fontId="0" fillId="0" borderId="56" xfId="0" applyBorder="1"/>
    <xf numFmtId="0" fontId="0" fillId="0" borderId="89" xfId="0" applyBorder="1"/>
    <xf numFmtId="0" fontId="0" fillId="27" borderId="111" xfId="0" applyFill="1" applyBorder="1"/>
    <xf numFmtId="0" fontId="0" fillId="27" borderId="56" xfId="0" applyFill="1" applyBorder="1"/>
    <xf numFmtId="0" fontId="0" fillId="27" borderId="89" xfId="0" applyFill="1" applyBorder="1"/>
    <xf numFmtId="0" fontId="0" fillId="25" borderId="45" xfId="0" applyFill="1" applyBorder="1"/>
    <xf numFmtId="0" fontId="0" fillId="25" borderId="46" xfId="0" applyFill="1" applyBorder="1"/>
    <xf numFmtId="0" fontId="0" fillId="26" borderId="124" xfId="0" applyFill="1" applyBorder="1"/>
    <xf numFmtId="0" fontId="0" fillId="26" borderId="118" xfId="0" applyFill="1" applyBorder="1"/>
    <xf numFmtId="0" fontId="0" fillId="26" borderId="127" xfId="0" applyFill="1" applyBorder="1"/>
    <xf numFmtId="0" fontId="0" fillId="26" borderId="46" xfId="0" applyFill="1" applyBorder="1"/>
    <xf numFmtId="0" fontId="0" fillId="0" borderId="125" xfId="0" applyBorder="1"/>
    <xf numFmtId="0" fontId="0" fillId="0" borderId="45" xfId="0" applyBorder="1"/>
    <xf numFmtId="0" fontId="0" fillId="0" borderId="46" xfId="0" applyBorder="1"/>
    <xf numFmtId="0" fontId="0" fillId="27" borderId="125" xfId="0" applyFill="1" applyBorder="1"/>
    <xf numFmtId="0" fontId="0" fillId="27" borderId="45" xfId="0" applyFill="1" applyBorder="1"/>
    <xf numFmtId="0" fontId="0" fillId="27" borderId="46" xfId="0" applyFill="1" applyBorder="1"/>
    <xf numFmtId="0" fontId="0" fillId="25" borderId="111" xfId="0" applyFill="1" applyBorder="1"/>
    <xf numFmtId="0" fontId="0" fillId="25" borderId="125" xfId="0" applyFill="1" applyBorder="1"/>
    <xf numFmtId="0" fontId="0" fillId="25" borderId="107" xfId="0" applyFill="1" applyBorder="1"/>
    <xf numFmtId="0" fontId="0" fillId="25" borderId="126" xfId="0" applyFill="1" applyBorder="1"/>
    <xf numFmtId="0" fontId="0" fillId="25" borderId="57" xfId="0" applyFill="1" applyBorder="1"/>
    <xf numFmtId="0" fontId="0" fillId="25" borderId="127" xfId="0" applyFill="1" applyBorder="1"/>
    <xf numFmtId="2" fontId="0" fillId="25" borderId="107" xfId="0" applyNumberFormat="1" applyFont="1" applyFill="1" applyBorder="1" applyAlignment="1">
      <alignment wrapText="1"/>
    </xf>
    <xf numFmtId="2" fontId="0" fillId="25" borderId="108" xfId="0" applyNumberFormat="1" applyFont="1" applyFill="1" applyBorder="1" applyAlignment="1">
      <alignment wrapText="1"/>
    </xf>
    <xf numFmtId="2" fontId="0" fillId="25" borderId="111" xfId="0" applyNumberFormat="1" applyFont="1" applyFill="1" applyBorder="1" applyAlignment="1">
      <alignment wrapText="1"/>
    </xf>
    <xf numFmtId="2" fontId="0" fillId="25" borderId="56" xfId="0" applyNumberFormat="1" applyFont="1" applyFill="1" applyBorder="1" applyAlignment="1">
      <alignment wrapText="1"/>
    </xf>
    <xf numFmtId="2" fontId="0" fillId="25" borderId="107" xfId="0" applyNumberFormat="1" applyFill="1" applyBorder="1" applyAlignment="1"/>
    <xf numFmtId="2" fontId="0" fillId="25" borderId="108" xfId="0" applyNumberFormat="1" applyFill="1" applyBorder="1" applyAlignment="1"/>
    <xf numFmtId="2" fontId="0" fillId="25" borderId="111" xfId="0" applyNumberFormat="1" applyFill="1" applyBorder="1" applyAlignment="1"/>
    <xf numFmtId="2" fontId="0" fillId="25" borderId="56" xfId="0" applyNumberFormat="1" applyFill="1" applyBorder="1" applyAlignment="1"/>
    <xf numFmtId="0" fontId="0" fillId="25" borderId="111" xfId="0" applyFill="1" applyBorder="1" applyAlignment="1"/>
    <xf numFmtId="0" fontId="0" fillId="25" borderId="56" xfId="0" applyFill="1" applyBorder="1" applyAlignment="1"/>
    <xf numFmtId="0" fontId="0" fillId="25" borderId="125" xfId="0" applyFill="1" applyBorder="1" applyAlignment="1"/>
    <xf numFmtId="0" fontId="0" fillId="25" borderId="45" xfId="0" applyFill="1" applyBorder="1" applyAlignment="1"/>
    <xf numFmtId="2" fontId="0" fillId="25" borderId="45" xfId="0" applyNumberFormat="1" applyFill="1" applyBorder="1" applyAlignment="1"/>
    <xf numFmtId="0" fontId="0" fillId="25" borderId="107" xfId="0" applyFill="1" applyBorder="1" applyAlignment="1"/>
    <xf numFmtId="0" fontId="0" fillId="25" borderId="108" xfId="0" applyFill="1" applyBorder="1" applyAlignment="1"/>
    <xf numFmtId="2" fontId="0" fillId="25" borderId="110" xfId="0" applyNumberFormat="1" applyFill="1" applyBorder="1" applyAlignment="1"/>
    <xf numFmtId="2" fontId="0" fillId="25" borderId="128" xfId="0" applyNumberFormat="1" applyFill="1" applyBorder="1" applyAlignment="1"/>
    <xf numFmtId="2" fontId="0" fillId="25" borderId="129" xfId="0" applyNumberFormat="1" applyFill="1" applyBorder="1" applyAlignment="1"/>
    <xf numFmtId="175" fontId="3" fillId="0" borderId="56" xfId="0" applyNumberFormat="1" applyFont="1" applyFill="1" applyBorder="1"/>
    <xf numFmtId="0" fontId="3" fillId="0" borderId="0" xfId="0" applyFont="1" applyFill="1"/>
    <xf numFmtId="175" fontId="15" fillId="0" borderId="98" xfId="5" applyNumberFormat="1" applyFont="1" applyFill="1" applyBorder="1" applyAlignment="1">
      <alignment horizontal="center" wrapText="1"/>
    </xf>
    <xf numFmtId="0" fontId="71" fillId="20" borderId="104" xfId="3" applyFont="1" applyFill="1" applyBorder="1" applyAlignment="1">
      <alignment vertical="center" wrapText="1"/>
    </xf>
    <xf numFmtId="2" fontId="0" fillId="25" borderId="49" xfId="0" applyNumberFormat="1" applyFont="1" applyFill="1" applyBorder="1" applyAlignment="1">
      <alignment wrapText="1"/>
    </xf>
    <xf numFmtId="2" fontId="0" fillId="25" borderId="45" xfId="0" applyNumberFormat="1" applyFont="1" applyFill="1" applyBorder="1" applyAlignment="1">
      <alignment wrapText="1"/>
    </xf>
    <xf numFmtId="2" fontId="0" fillId="25" borderId="29" xfId="0" applyNumberFormat="1" applyFill="1" applyBorder="1" applyAlignment="1"/>
    <xf numFmtId="0" fontId="0" fillId="9" borderId="0" xfId="0" applyFill="1" applyAlignment="1" applyProtection="1">
      <alignment vertical="center"/>
    </xf>
    <xf numFmtId="0" fontId="90" fillId="9" borderId="0" xfId="0" applyFont="1" applyFill="1" applyAlignment="1" applyProtection="1">
      <alignment vertical="center"/>
    </xf>
    <xf numFmtId="0" fontId="0" fillId="0" borderId="0" xfId="0" applyAlignment="1" applyProtection="1">
      <alignment vertical="center"/>
    </xf>
    <xf numFmtId="0" fontId="91" fillId="9" borderId="0" xfId="0" applyFont="1" applyFill="1" applyBorder="1" applyAlignment="1" applyProtection="1">
      <alignment horizontal="center" vertical="center"/>
    </xf>
    <xf numFmtId="0" fontId="90" fillId="9" borderId="0" xfId="0" applyFont="1" applyFill="1" applyBorder="1" applyAlignment="1" applyProtection="1">
      <alignment vertical="center"/>
    </xf>
    <xf numFmtId="0" fontId="91" fillId="0" borderId="121" xfId="0" applyFont="1" applyBorder="1" applyAlignment="1" applyProtection="1">
      <alignment vertical="center"/>
    </xf>
    <xf numFmtId="0" fontId="90" fillId="9" borderId="133" xfId="0" applyFont="1" applyFill="1" applyBorder="1" applyAlignment="1" applyProtection="1">
      <alignment horizontal="center" vertical="center"/>
      <protection locked="0"/>
    </xf>
    <xf numFmtId="0" fontId="91" fillId="9" borderId="0" xfId="0" applyFont="1" applyFill="1" applyBorder="1" applyAlignment="1" applyProtection="1">
      <alignment vertical="center"/>
    </xf>
    <xf numFmtId="0" fontId="90" fillId="9" borderId="0" xfId="0" applyFont="1" applyFill="1" applyBorder="1" applyAlignment="1" applyProtection="1">
      <alignment horizontal="center" vertical="center"/>
    </xf>
    <xf numFmtId="0" fontId="91" fillId="0" borderId="113" xfId="0" applyFont="1" applyBorder="1" applyAlignment="1" applyProtection="1">
      <alignment vertical="center"/>
    </xf>
    <xf numFmtId="0" fontId="90" fillId="9" borderId="90" xfId="0" applyFont="1" applyFill="1" applyBorder="1" applyAlignment="1" applyProtection="1">
      <alignment horizontal="center" vertical="center"/>
      <protection locked="0"/>
    </xf>
    <xf numFmtId="0" fontId="91" fillId="0" borderId="124" xfId="0" applyFont="1" applyBorder="1" applyAlignment="1" applyProtection="1">
      <alignment vertical="center"/>
    </xf>
    <xf numFmtId="0" fontId="90" fillId="9" borderId="118" xfId="0" applyFont="1" applyFill="1" applyBorder="1" applyAlignment="1" applyProtection="1">
      <alignment horizontal="center" vertical="center"/>
      <protection locked="0"/>
    </xf>
    <xf numFmtId="0" fontId="91" fillId="29" borderId="56" xfId="0" applyFont="1" applyFill="1" applyBorder="1" applyAlignment="1" applyProtection="1">
      <alignment horizontal="center" vertical="center"/>
    </xf>
    <xf numFmtId="0" fontId="91" fillId="29" borderId="56" xfId="0" applyFont="1" applyFill="1" applyBorder="1" applyAlignment="1" applyProtection="1">
      <alignment horizontal="center" vertical="center" wrapText="1"/>
    </xf>
    <xf numFmtId="0" fontId="91" fillId="9" borderId="0" xfId="0" applyFont="1" applyFill="1" applyBorder="1" applyAlignment="1" applyProtection="1">
      <alignment vertical="center" wrapText="1"/>
    </xf>
    <xf numFmtId="0" fontId="91" fillId="9" borderId="0" xfId="0" applyFont="1" applyFill="1" applyBorder="1" applyAlignment="1" applyProtection="1">
      <alignment horizontal="center" vertical="center" wrapText="1"/>
    </xf>
    <xf numFmtId="0" fontId="90" fillId="0" borderId="56" xfId="0" applyFont="1" applyBorder="1" applyAlignment="1" applyProtection="1">
      <alignment horizontal="center" vertical="center"/>
      <protection locked="0"/>
    </xf>
    <xf numFmtId="184" fontId="90" fillId="0" borderId="56" xfId="0" applyNumberFormat="1" applyFont="1" applyBorder="1" applyAlignment="1" applyProtection="1">
      <alignment horizontal="center" vertical="center"/>
      <protection locked="0"/>
    </xf>
    <xf numFmtId="2" fontId="90" fillId="9" borderId="0" xfId="0" applyNumberFormat="1" applyFont="1" applyFill="1" applyBorder="1" applyAlignment="1" applyProtection="1">
      <alignment vertical="center"/>
    </xf>
    <xf numFmtId="4" fontId="90" fillId="0" borderId="56" xfId="0" applyNumberFormat="1" applyFont="1" applyBorder="1" applyAlignment="1" applyProtection="1">
      <alignment horizontal="center" vertical="center"/>
      <protection locked="0" hidden="1"/>
    </xf>
    <xf numFmtId="192" fontId="90" fillId="9" borderId="56" xfId="26" applyNumberFormat="1" applyFont="1" applyFill="1" applyBorder="1" applyAlignment="1" applyProtection="1">
      <alignment horizontal="center" vertical="center"/>
    </xf>
    <xf numFmtId="176" fontId="90" fillId="9" borderId="56" xfId="26" applyNumberFormat="1" applyFont="1" applyFill="1" applyBorder="1" applyAlignment="1" applyProtection="1">
      <alignment horizontal="center" vertical="center"/>
    </xf>
    <xf numFmtId="176" fontId="90" fillId="9" borderId="0" xfId="26" applyNumberFormat="1" applyFont="1" applyFill="1" applyBorder="1" applyAlignment="1" applyProtection="1">
      <alignment horizontal="center" vertical="center"/>
    </xf>
    <xf numFmtId="2" fontId="90" fillId="9" borderId="0" xfId="0" applyNumberFormat="1" applyFont="1" applyFill="1" applyAlignment="1" applyProtection="1">
      <alignment vertical="center"/>
      <protection locked="0"/>
    </xf>
    <xf numFmtId="0" fontId="90" fillId="9" borderId="0" xfId="0" applyFont="1" applyFill="1" applyAlignment="1" applyProtection="1">
      <alignment vertical="center"/>
      <protection locked="0"/>
    </xf>
    <xf numFmtId="193" fontId="90" fillId="9" borderId="0" xfId="0" applyNumberFormat="1" applyFont="1" applyFill="1" applyAlignment="1" applyProtection="1">
      <alignment vertical="center"/>
      <protection locked="0"/>
    </xf>
    <xf numFmtId="0" fontId="21" fillId="29" borderId="56" xfId="22" applyFont="1" applyFill="1" applyBorder="1" applyAlignment="1" applyProtection="1">
      <alignment horizontal="center" vertical="center"/>
    </xf>
    <xf numFmtId="0" fontId="21" fillId="29" borderId="56" xfId="22" applyFont="1" applyFill="1" applyBorder="1" applyAlignment="1" applyProtection="1">
      <alignment horizontal="center" vertical="center" wrapText="1"/>
    </xf>
    <xf numFmtId="14" fontId="90" fillId="9" borderId="0" xfId="0" applyNumberFormat="1" applyFont="1" applyFill="1" applyAlignment="1" applyProtection="1">
      <alignment vertical="center"/>
      <protection locked="0"/>
    </xf>
    <xf numFmtId="0" fontId="21" fillId="9" borderId="0" xfId="22" applyFont="1" applyFill="1" applyBorder="1" applyAlignment="1" applyProtection="1">
      <alignment horizontal="center" vertical="center"/>
      <protection locked="0"/>
    </xf>
    <xf numFmtId="0" fontId="90" fillId="0" borderId="56" xfId="0" applyFont="1" applyBorder="1" applyAlignment="1" applyProtection="1">
      <alignment horizontal="center" vertical="center"/>
    </xf>
    <xf numFmtId="0" fontId="51" fillId="0" borderId="56" xfId="25" applyNumberFormat="1" applyFont="1" applyFill="1" applyBorder="1" applyAlignment="1" applyProtection="1">
      <alignment horizontal="center" vertical="center"/>
      <protection locked="0"/>
    </xf>
    <xf numFmtId="0" fontId="3" fillId="0" borderId="56" xfId="22" applyNumberFormat="1" applyFont="1" applyFill="1" applyBorder="1" applyAlignment="1" applyProtection="1">
      <alignment horizontal="center" vertical="center"/>
    </xf>
    <xf numFmtId="194" fontId="3" fillId="0" borderId="56" xfId="22" applyNumberFormat="1" applyFont="1" applyFill="1" applyBorder="1" applyAlignment="1" applyProtection="1">
      <alignment horizontal="center" vertical="center"/>
      <protection locked="0"/>
    </xf>
    <xf numFmtId="193" fontId="3" fillId="0" borderId="56" xfId="22" applyNumberFormat="1" applyFont="1" applyFill="1" applyBorder="1" applyAlignment="1" applyProtection="1">
      <alignment horizontal="center" vertical="center"/>
      <protection locked="0"/>
    </xf>
    <xf numFmtId="4" fontId="3" fillId="0" borderId="56" xfId="22" applyNumberFormat="1" applyFont="1" applyFill="1" applyBorder="1" applyAlignment="1" applyProtection="1">
      <alignment horizontal="center" vertical="center"/>
    </xf>
    <xf numFmtId="164" fontId="90" fillId="9" borderId="0" xfId="21" applyFont="1" applyFill="1" applyAlignment="1" applyProtection="1">
      <alignment vertical="center"/>
    </xf>
    <xf numFmtId="4" fontId="90" fillId="9" borderId="0" xfId="21" applyNumberFormat="1" applyFont="1" applyFill="1" applyAlignment="1" applyProtection="1">
      <alignment vertical="center"/>
      <protection locked="0"/>
    </xf>
    <xf numFmtId="0" fontId="90" fillId="0" borderId="0" xfId="0" applyFont="1" applyFill="1" applyAlignment="1" applyProtection="1">
      <alignment vertical="center"/>
    </xf>
    <xf numFmtId="0" fontId="90" fillId="0" borderId="0" xfId="0" applyFont="1" applyAlignment="1" applyProtection="1">
      <alignment vertical="center"/>
    </xf>
    <xf numFmtId="0" fontId="0" fillId="9" borderId="0" xfId="0" applyFill="1" applyAlignment="1" applyProtection="1">
      <alignment vertical="center"/>
      <protection locked="0"/>
    </xf>
    <xf numFmtId="175" fontId="3" fillId="14" borderId="57" xfId="0" applyNumberFormat="1" applyFont="1" applyFill="1" applyBorder="1"/>
    <xf numFmtId="175" fontId="3" fillId="0" borderId="56" xfId="0" applyNumberFormat="1" applyFont="1" applyBorder="1" applyAlignment="1">
      <alignment horizontal="right"/>
    </xf>
    <xf numFmtId="175" fontId="3" fillId="0" borderId="56" xfId="0" applyNumberFormat="1" applyFont="1" applyBorder="1" applyAlignment="1"/>
    <xf numFmtId="14" fontId="0" fillId="0" borderId="0" xfId="0" applyNumberFormat="1" applyAlignment="1">
      <alignment horizontal="center"/>
    </xf>
    <xf numFmtId="0" fontId="27" fillId="8" borderId="119" xfId="6" applyFont="1" applyFill="1" applyBorder="1" applyAlignment="1">
      <alignment horizontal="center"/>
    </xf>
    <xf numFmtId="0" fontId="27" fillId="8" borderId="109" xfId="6" applyFont="1" applyFill="1" applyBorder="1" applyAlignment="1">
      <alignment horizontal="center" vertical="center" wrapText="1"/>
    </xf>
    <xf numFmtId="0" fontId="27" fillId="8" borderId="123" xfId="6" applyFont="1" applyFill="1" applyBorder="1" applyAlignment="1">
      <alignment vertical="center"/>
    </xf>
    <xf numFmtId="0" fontId="12" fillId="3" borderId="45" xfId="3" applyFont="1" applyFill="1" applyBorder="1" applyAlignment="1">
      <alignment horizontal="center" vertical="center" wrapText="1"/>
    </xf>
    <xf numFmtId="0" fontId="11" fillId="3" borderId="127" xfId="3" applyFont="1" applyFill="1" applyBorder="1" applyAlignment="1">
      <alignment horizontal="center" vertical="center" wrapText="1"/>
    </xf>
    <xf numFmtId="0" fontId="12" fillId="3" borderId="46" xfId="3" applyFont="1" applyFill="1" applyBorder="1" applyAlignment="1">
      <alignment horizontal="center" vertical="center" wrapText="1"/>
    </xf>
    <xf numFmtId="182" fontId="0" fillId="0" borderId="111" xfId="0" applyNumberFormat="1" applyBorder="1" applyAlignment="1">
      <alignment horizontal="center" vertical="center"/>
    </xf>
    <xf numFmtId="2" fontId="0" fillId="0" borderId="56" xfId="0" applyNumberFormat="1" applyBorder="1" applyAlignment="1">
      <alignment horizontal="center" vertical="center"/>
    </xf>
    <xf numFmtId="2" fontId="0" fillId="0" borderId="89" xfId="0" applyNumberFormat="1" applyBorder="1" applyAlignment="1">
      <alignment horizontal="center" vertical="center"/>
    </xf>
    <xf numFmtId="0" fontId="11" fillId="3" borderId="19" xfId="3" applyFont="1" applyFill="1" applyBorder="1" applyAlignment="1">
      <alignment horizontal="center" vertical="center" wrapText="1"/>
    </xf>
    <xf numFmtId="0" fontId="11" fillId="3" borderId="10" xfId="3" applyFont="1" applyFill="1" applyBorder="1" applyAlignment="1">
      <alignment horizontal="center" vertical="center" wrapText="1"/>
    </xf>
    <xf numFmtId="182" fontId="94" fillId="0" borderId="119" xfId="0" applyNumberFormat="1" applyFont="1" applyBorder="1" applyAlignment="1">
      <alignment horizontal="center" vertical="center"/>
    </xf>
    <xf numFmtId="182" fontId="94" fillId="0" borderId="123" xfId="0" applyNumberFormat="1" applyFont="1" applyBorder="1" applyAlignment="1">
      <alignment horizontal="center" vertical="center"/>
    </xf>
    <xf numFmtId="182" fontId="94" fillId="0" borderId="99" xfId="0" applyNumberFormat="1" applyFont="1" applyBorder="1" applyAlignment="1">
      <alignment horizontal="center" vertical="center"/>
    </xf>
    <xf numFmtId="182" fontId="94" fillId="0" borderId="123" xfId="0" quotePrefix="1" applyNumberFormat="1" applyFont="1" applyBorder="1" applyAlignment="1">
      <alignment horizontal="center" vertical="center"/>
    </xf>
    <xf numFmtId="14" fontId="68" fillId="0" borderId="0" xfId="0" applyNumberFormat="1" applyFont="1"/>
    <xf numFmtId="14" fontId="68" fillId="9" borderId="0" xfId="0" applyNumberFormat="1" applyFont="1" applyFill="1"/>
    <xf numFmtId="14" fontId="68" fillId="9" borderId="0" xfId="0" applyNumberFormat="1" applyFont="1" applyFill="1" applyBorder="1"/>
    <xf numFmtId="2" fontId="0" fillId="25" borderId="57" xfId="0" applyNumberFormat="1" applyFill="1" applyBorder="1"/>
    <xf numFmtId="0" fontId="68" fillId="0" borderId="0" xfId="0" applyFont="1"/>
    <xf numFmtId="191" fontId="11" fillId="14" borderId="151" xfId="3" applyNumberFormat="1" applyFont="1" applyFill="1" applyBorder="1" applyAlignment="1">
      <alignment horizontal="center" vertical="center"/>
    </xf>
    <xf numFmtId="191" fontId="11" fillId="14" borderId="152" xfId="3" applyNumberFormat="1" applyFont="1" applyFill="1" applyBorder="1" applyAlignment="1">
      <alignment horizontal="center" vertical="center"/>
    </xf>
    <xf numFmtId="15" fontId="13" fillId="0" borderId="23" xfId="3" applyNumberFormat="1" applyFont="1" applyFill="1" applyBorder="1" applyAlignment="1">
      <alignment horizontal="center" vertical="center" wrapText="1"/>
    </xf>
    <xf numFmtId="2" fontId="110" fillId="45" borderId="108" xfId="5" applyNumberFormat="1" applyFont="1" applyFill="1" applyBorder="1" applyAlignment="1">
      <alignment horizontal="center" vertical="center" wrapText="1"/>
    </xf>
    <xf numFmtId="2" fontId="110" fillId="45" borderId="108" xfId="5" applyNumberFormat="1" applyFont="1" applyFill="1" applyBorder="1" applyAlignment="1">
      <alignment horizontal="center" vertical="center"/>
    </xf>
    <xf numFmtId="16" fontId="0" fillId="0" borderId="0" xfId="0" applyNumberFormat="1" applyAlignment="1">
      <alignment horizontal="center"/>
    </xf>
    <xf numFmtId="2" fontId="110" fillId="45" borderId="108" xfId="0" applyNumberFormat="1" applyFont="1" applyFill="1" applyBorder="1" applyAlignment="1">
      <alignment horizontal="center" vertical="center"/>
    </xf>
    <xf numFmtId="2" fontId="110" fillId="45" borderId="105" xfId="0" applyNumberFormat="1" applyFont="1" applyFill="1" applyBorder="1" applyAlignment="1">
      <alignment horizontal="center" vertical="center"/>
    </xf>
    <xf numFmtId="2" fontId="111" fillId="0" borderId="14" xfId="0" applyNumberFormat="1" applyFont="1" applyBorder="1" applyAlignment="1">
      <alignment horizontal="center" vertical="center"/>
    </xf>
    <xf numFmtId="1" fontId="0" fillId="0" borderId="0" xfId="0" applyNumberFormat="1" applyAlignment="1">
      <alignment horizontal="center"/>
    </xf>
    <xf numFmtId="175" fontId="0" fillId="0" borderId="0" xfId="0" applyNumberFormat="1" applyAlignment="1">
      <alignment horizontal="center" vertical="center"/>
    </xf>
    <xf numFmtId="175" fontId="0" fillId="0" borderId="0" xfId="0" applyNumberFormat="1" applyAlignment="1">
      <alignment horizontal="center"/>
    </xf>
    <xf numFmtId="175" fontId="0" fillId="0" borderId="0" xfId="0" applyNumberFormat="1"/>
    <xf numFmtId="0" fontId="0" fillId="0" borderId="0" xfId="0" applyNumberFormat="1" applyAlignment="1">
      <alignment horizontal="center"/>
    </xf>
    <xf numFmtId="175" fontId="3" fillId="0" borderId="143" xfId="0" applyNumberFormat="1" applyFont="1" applyBorder="1"/>
    <xf numFmtId="0" fontId="3" fillId="9" borderId="0" xfId="0" applyFont="1" applyFill="1"/>
    <xf numFmtId="1" fontId="0" fillId="0" borderId="0" xfId="0" applyNumberFormat="1" applyAlignment="1">
      <alignment horizontal="center" vertical="center"/>
    </xf>
    <xf numFmtId="0" fontId="1" fillId="0" borderId="0" xfId="4" applyAlignment="1">
      <alignment horizontal="center" vertical="center"/>
    </xf>
    <xf numFmtId="14" fontId="1" fillId="0" borderId="0" xfId="0" applyNumberFormat="1" applyFont="1" applyAlignment="1">
      <alignment horizontal="center"/>
    </xf>
    <xf numFmtId="0" fontId="0" fillId="0" borderId="0" xfId="0" applyAlignment="1">
      <alignment horizontal="center"/>
    </xf>
    <xf numFmtId="200" fontId="0" fillId="0" borderId="0" xfId="0" applyNumberFormat="1" applyAlignment="1">
      <alignment horizontal="center" vertical="center"/>
    </xf>
    <xf numFmtId="193" fontId="0" fillId="0" borderId="0" xfId="0" applyNumberFormat="1" applyAlignment="1">
      <alignment horizontal="center" vertical="center"/>
    </xf>
    <xf numFmtId="37" fontId="0" fillId="0" borderId="0" xfId="0" applyNumberFormat="1"/>
    <xf numFmtId="14" fontId="1" fillId="0" borderId="0" xfId="0" applyNumberFormat="1" applyFont="1" applyAlignment="1">
      <alignment horizontal="center"/>
    </xf>
    <xf numFmtId="0" fontId="116" fillId="3" borderId="35" xfId="3" applyFont="1" applyFill="1" applyBorder="1" applyAlignment="1">
      <alignment horizontal="center" vertical="center" wrapText="1"/>
    </xf>
    <xf numFmtId="0" fontId="0" fillId="0" borderId="0" xfId="0" applyAlignment="1">
      <alignment horizontal="center"/>
    </xf>
    <xf numFmtId="2" fontId="0" fillId="0" borderId="69" xfId="0" applyNumberFormat="1" applyBorder="1"/>
    <xf numFmtId="0" fontId="0" fillId="0" borderId="0" xfId="0" applyAlignment="1"/>
    <xf numFmtId="0" fontId="11" fillId="6" borderId="8" xfId="3" applyFont="1" applyFill="1" applyBorder="1" applyAlignment="1">
      <alignment vertical="center" wrapText="1"/>
    </xf>
    <xf numFmtId="201" fontId="0" fillId="0" borderId="0" xfId="0" applyNumberFormat="1"/>
    <xf numFmtId="14" fontId="1" fillId="0" borderId="0" xfId="0" applyNumberFormat="1" applyFont="1" applyAlignment="1"/>
    <xf numFmtId="15" fontId="39" fillId="0" borderId="24" xfId="3" applyNumberFormat="1" applyFont="1" applyFill="1" applyBorder="1" applyAlignment="1">
      <alignment horizontal="center" vertical="center" wrapText="1"/>
    </xf>
    <xf numFmtId="0" fontId="12" fillId="3" borderId="20" xfId="3" applyFont="1" applyFill="1" applyBorder="1" applyAlignment="1">
      <alignment horizontal="center" vertical="top" wrapText="1"/>
    </xf>
    <xf numFmtId="0" fontId="2" fillId="0" borderId="0" xfId="0" applyFont="1"/>
    <xf numFmtId="0" fontId="121" fillId="0" borderId="0" xfId="0" applyFont="1"/>
    <xf numFmtId="0" fontId="122" fillId="0" borderId="36" xfId="0" applyFont="1" applyBorder="1"/>
    <xf numFmtId="0" fontId="0" fillId="0" borderId="36" xfId="0" applyBorder="1"/>
    <xf numFmtId="0" fontId="86" fillId="49" borderId="49" xfId="0" applyFont="1" applyFill="1" applyBorder="1" applyAlignment="1">
      <alignment horizontal="center"/>
    </xf>
    <xf numFmtId="0" fontId="124" fillId="0" borderId="0" xfId="0" applyFont="1"/>
    <xf numFmtId="0" fontId="124" fillId="50" borderId="143" xfId="0" applyFont="1" applyFill="1" applyBorder="1" applyAlignment="1">
      <alignment horizontal="center"/>
    </xf>
    <xf numFmtId="0" fontId="124" fillId="0" borderId="143" xfId="0" applyFont="1" applyFill="1" applyBorder="1" applyAlignment="1">
      <alignment horizontal="left" indent="1"/>
    </xf>
    <xf numFmtId="3" fontId="125" fillId="9" borderId="143" xfId="0" applyNumberFormat="1" applyFont="1" applyFill="1" applyBorder="1" applyAlignment="1">
      <alignment horizontal="center"/>
    </xf>
    <xf numFmtId="9" fontId="125" fillId="9" borderId="143" xfId="26" applyFont="1" applyFill="1" applyBorder="1" applyAlignment="1">
      <alignment horizontal="center"/>
    </xf>
    <xf numFmtId="0" fontId="126" fillId="0" borderId="0" xfId="0" applyFont="1"/>
    <xf numFmtId="0" fontId="61" fillId="0" borderId="0" xfId="0" applyFont="1"/>
    <xf numFmtId="3" fontId="124" fillId="9" borderId="0" xfId="0" applyNumberFormat="1" applyFont="1" applyFill="1" applyBorder="1" applyAlignment="1">
      <alignment horizontal="center"/>
    </xf>
    <xf numFmtId="17" fontId="86" fillId="49" borderId="143" xfId="0" applyNumberFormat="1" applyFont="1" applyFill="1" applyBorder="1" applyAlignment="1">
      <alignment horizontal="center"/>
    </xf>
    <xf numFmtId="0" fontId="125" fillId="51" borderId="143" xfId="0" applyFont="1" applyFill="1" applyBorder="1" applyAlignment="1">
      <alignment horizontal="center"/>
    </xf>
    <xf numFmtId="0" fontId="2" fillId="51" borderId="143" xfId="0" applyFont="1" applyFill="1" applyBorder="1" applyAlignment="1">
      <alignment horizontal="left"/>
    </xf>
    <xf numFmtId="0" fontId="0" fillId="51" borderId="143" xfId="0" applyFont="1" applyFill="1" applyBorder="1" applyAlignment="1">
      <alignment horizontal="center"/>
    </xf>
    <xf numFmtId="202" fontId="2" fillId="51" borderId="143" xfId="11612" applyNumberFormat="1" applyFont="1" applyFill="1" applyBorder="1" applyAlignment="1">
      <alignment horizontal="center"/>
    </xf>
    <xf numFmtId="0" fontId="61" fillId="9" borderId="159" xfId="0" applyFont="1" applyFill="1" applyBorder="1" applyAlignment="1">
      <alignment horizontal="left" vertical="center" indent="2"/>
    </xf>
    <xf numFmtId="202" fontId="124" fillId="9" borderId="143" xfId="11612" applyNumberFormat="1" applyFont="1" applyFill="1" applyBorder="1" applyAlignment="1">
      <alignment horizontal="center"/>
    </xf>
    <xf numFmtId="0" fontId="61" fillId="9" borderId="143" xfId="0" applyFont="1" applyFill="1" applyBorder="1" applyAlignment="1">
      <alignment horizontal="left" vertical="center" indent="2"/>
    </xf>
    <xf numFmtId="171" fontId="124" fillId="9" borderId="143" xfId="11612" applyFont="1" applyFill="1" applyBorder="1" applyAlignment="1">
      <alignment horizontal="center"/>
    </xf>
    <xf numFmtId="0" fontId="124" fillId="9" borderId="0" xfId="0" applyFont="1" applyFill="1"/>
    <xf numFmtId="0" fontId="60" fillId="51" borderId="143" xfId="0" applyFont="1" applyFill="1" applyBorder="1" applyAlignment="1">
      <alignment horizontal="center"/>
    </xf>
    <xf numFmtId="0" fontId="94" fillId="51" borderId="143" xfId="0" applyFont="1" applyFill="1" applyBorder="1" applyAlignment="1">
      <alignment horizontal="left"/>
    </xf>
    <xf numFmtId="0" fontId="94" fillId="51" borderId="143" xfId="0" applyFont="1" applyFill="1" applyBorder="1" applyAlignment="1">
      <alignment horizontal="center"/>
    </xf>
    <xf numFmtId="202" fontId="94" fillId="51" borderId="143" xfId="11612" applyNumberFormat="1" applyFont="1" applyFill="1" applyBorder="1" applyAlignment="1">
      <alignment horizontal="center"/>
    </xf>
    <xf numFmtId="0" fontId="0" fillId="9" borderId="0" xfId="0" applyFill="1"/>
    <xf numFmtId="0" fontId="127" fillId="49" borderId="143" xfId="0" applyFont="1" applyFill="1" applyBorder="1" applyAlignment="1">
      <alignment horizontal="center"/>
    </xf>
    <xf numFmtId="0" fontId="123" fillId="49" borderId="143" xfId="0" applyFont="1" applyFill="1" applyBorder="1" applyAlignment="1">
      <alignment horizontal="left"/>
    </xf>
    <xf numFmtId="0" fontId="0" fillId="0" borderId="0" xfId="0" applyAlignment="1">
      <alignment horizontal="left" vertical="center" wrapText="1"/>
    </xf>
    <xf numFmtId="0" fontId="124" fillId="50" borderId="143" xfId="0" applyFont="1" applyFill="1" applyBorder="1" applyAlignment="1">
      <alignment horizontal="center" vertical="center"/>
    </xf>
    <xf numFmtId="0" fontId="125" fillId="0" borderId="143" xfId="0" applyFont="1" applyFill="1" applyBorder="1" applyAlignment="1">
      <alignment horizontal="left" vertical="center"/>
    </xf>
    <xf numFmtId="3" fontId="125" fillId="9" borderId="143" xfId="0" applyNumberFormat="1" applyFont="1" applyFill="1" applyBorder="1" applyAlignment="1">
      <alignment horizontal="center" vertical="center"/>
    </xf>
    <xf numFmtId="0" fontId="125" fillId="0" borderId="143" xfId="0" applyFont="1" applyFill="1" applyBorder="1" applyAlignment="1">
      <alignment horizontal="left" indent="2"/>
    </xf>
    <xf numFmtId="203" fontId="125" fillId="9" borderId="143" xfId="26" applyNumberFormat="1" applyFont="1" applyFill="1" applyBorder="1" applyAlignment="1">
      <alignment horizontal="center"/>
    </xf>
    <xf numFmtId="0" fontId="123" fillId="49" borderId="49" xfId="0" applyFont="1" applyFill="1" applyBorder="1" applyAlignment="1">
      <alignment horizontal="left"/>
    </xf>
    <xf numFmtId="0" fontId="123" fillId="49" borderId="49" xfId="0" applyFont="1" applyFill="1" applyBorder="1" applyAlignment="1">
      <alignment horizontal="center"/>
    </xf>
    <xf numFmtId="0" fontId="123" fillId="49" borderId="143" xfId="0" applyFont="1" applyFill="1" applyBorder="1" applyAlignment="1">
      <alignment horizontal="center"/>
    </xf>
    <xf numFmtId="202" fontId="125" fillId="9" borderId="143" xfId="11612" applyNumberFormat="1" applyFont="1" applyFill="1" applyBorder="1" applyAlignment="1">
      <alignment horizontal="center" vertical="center"/>
    </xf>
    <xf numFmtId="171" fontId="125" fillId="9" borderId="143" xfId="11612" applyFont="1" applyFill="1" applyBorder="1" applyAlignment="1">
      <alignment horizontal="center" vertical="center"/>
    </xf>
    <xf numFmtId="0" fontId="123" fillId="49" borderId="143" xfId="0" applyFont="1" applyFill="1" applyBorder="1" applyAlignment="1"/>
    <xf numFmtId="171" fontId="123" fillId="49" borderId="143" xfId="11612" applyFont="1" applyFill="1" applyBorder="1" applyAlignment="1">
      <alignment horizontal="center" vertical="center"/>
    </xf>
    <xf numFmtId="0" fontId="2" fillId="10" borderId="143" xfId="5" applyFont="1" applyFill="1" applyBorder="1"/>
    <xf numFmtId="0" fontId="2" fillId="10" borderId="143" xfId="5" applyFont="1" applyFill="1" applyBorder="1" applyAlignment="1">
      <alignment horizontal="left"/>
    </xf>
    <xf numFmtId="0" fontId="35" fillId="0" borderId="143" xfId="5" applyFont="1" applyBorder="1"/>
    <xf numFmtId="0" fontId="37" fillId="0" borderId="143" xfId="5" applyFont="1" applyBorder="1" applyAlignment="1">
      <alignment horizontal="left"/>
    </xf>
    <xf numFmtId="0" fontId="86" fillId="9" borderId="161" xfId="0" applyFont="1" applyFill="1" applyBorder="1" applyAlignment="1">
      <alignment horizontal="center"/>
    </xf>
    <xf numFmtId="17" fontId="123" fillId="49" borderId="143" xfId="0" applyNumberFormat="1" applyFont="1" applyFill="1" applyBorder="1" applyAlignment="1">
      <alignment horizontal="center"/>
    </xf>
    <xf numFmtId="202" fontId="39" fillId="9" borderId="143" xfId="11612" applyNumberFormat="1" applyFont="1" applyFill="1" applyBorder="1" applyAlignment="1">
      <alignment horizontal="center" vertical="center"/>
    </xf>
    <xf numFmtId="9" fontId="1" fillId="0" borderId="143" xfId="26" applyFont="1" applyBorder="1" applyAlignment="1">
      <alignment horizontal="center" vertical="center"/>
    </xf>
    <xf numFmtId="202" fontId="1" fillId="0" borderId="143" xfId="11612" applyNumberFormat="1" applyFont="1" applyBorder="1"/>
    <xf numFmtId="202" fontId="1" fillId="0" borderId="143" xfId="11612" applyNumberFormat="1" applyFont="1" applyBorder="1" applyAlignment="1">
      <alignment vertical="center"/>
    </xf>
    <xf numFmtId="202" fontId="1" fillId="50" borderId="143" xfId="11612" applyNumberFormat="1" applyFont="1" applyFill="1" applyBorder="1" applyAlignment="1">
      <alignment vertical="center"/>
    </xf>
    <xf numFmtId="9" fontId="1" fillId="50" borderId="143" xfId="26" applyFont="1" applyFill="1" applyBorder="1" applyAlignment="1">
      <alignment horizontal="center" vertical="center"/>
    </xf>
    <xf numFmtId="204" fontId="2" fillId="50" borderId="143" xfId="11612" applyNumberFormat="1" applyFont="1" applyFill="1" applyBorder="1" applyAlignment="1">
      <alignment vertical="center"/>
    </xf>
    <xf numFmtId="0" fontId="35" fillId="9" borderId="143" xfId="0" applyFont="1" applyFill="1" applyBorder="1" applyAlignment="1">
      <alignment horizontal="center" vertical="center"/>
    </xf>
    <xf numFmtId="0" fontId="35" fillId="9" borderId="143" xfId="0" applyFont="1" applyFill="1" applyBorder="1" applyAlignment="1">
      <alignment horizontal="left" vertical="center"/>
    </xf>
    <xf numFmtId="0" fontId="1" fillId="0" borderId="143" xfId="0" applyFont="1" applyBorder="1" applyAlignment="1">
      <alignment vertical="center"/>
    </xf>
    <xf numFmtId="171" fontId="1" fillId="0" borderId="143" xfId="11612" applyFont="1" applyBorder="1" applyAlignment="1">
      <alignment vertical="center"/>
    </xf>
    <xf numFmtId="0" fontId="35" fillId="9" borderId="159" xfId="0" applyFont="1" applyFill="1" applyBorder="1" applyAlignment="1">
      <alignment vertical="center"/>
    </xf>
    <xf numFmtId="3" fontId="61" fillId="9" borderId="143" xfId="0" applyNumberFormat="1" applyFont="1" applyFill="1" applyBorder="1" applyAlignment="1">
      <alignment horizontal="left" vertical="center" wrapText="1"/>
    </xf>
    <xf numFmtId="0" fontId="1" fillId="9" borderId="143" xfId="0" applyFont="1" applyFill="1" applyBorder="1"/>
    <xf numFmtId="0" fontId="1" fillId="9" borderId="143" xfId="0" applyFont="1" applyFill="1" applyBorder="1" applyAlignment="1">
      <alignment vertical="center"/>
    </xf>
    <xf numFmtId="0" fontId="128" fillId="9" borderId="0" xfId="0" applyFont="1" applyFill="1" applyBorder="1" applyAlignment="1">
      <alignment horizontal="right"/>
    </xf>
    <xf numFmtId="0" fontId="129" fillId="52" borderId="143" xfId="0" applyFont="1" applyFill="1" applyBorder="1" applyAlignment="1">
      <alignment horizontal="right"/>
    </xf>
    <xf numFmtId="0" fontId="130" fillId="52" borderId="0" xfId="0" applyFont="1" applyFill="1" applyAlignment="1">
      <alignment vertical="center"/>
    </xf>
    <xf numFmtId="0" fontId="130" fillId="52" borderId="143" xfId="0" applyFont="1" applyFill="1" applyBorder="1" applyAlignment="1">
      <alignment horizontal="center" vertical="center"/>
    </xf>
    <xf numFmtId="202" fontId="129" fillId="52" borderId="143" xfId="0" applyNumberFormat="1" applyFont="1" applyFill="1" applyBorder="1" applyAlignment="1">
      <alignment horizontal="center" vertical="center"/>
    </xf>
    <xf numFmtId="0" fontId="61" fillId="9" borderId="50" xfId="0" applyFont="1" applyFill="1" applyBorder="1" applyAlignment="1">
      <alignment horizontal="center" vertical="center"/>
    </xf>
    <xf numFmtId="0" fontId="61" fillId="9" borderId="50" xfId="0" applyFont="1" applyFill="1" applyBorder="1" applyAlignment="1">
      <alignment horizontal="left" vertical="center"/>
    </xf>
    <xf numFmtId="3" fontId="61" fillId="9" borderId="161" xfId="0" applyNumberFormat="1" applyFont="1" applyFill="1" applyBorder="1" applyAlignment="1">
      <alignment vertical="center"/>
    </xf>
    <xf numFmtId="0" fontId="0" fillId="9" borderId="161" xfId="0" applyFill="1" applyBorder="1"/>
    <xf numFmtId="0" fontId="0" fillId="0" borderId="143" xfId="0" applyBorder="1"/>
    <xf numFmtId="0" fontId="0" fillId="0" borderId="161" xfId="0" applyBorder="1"/>
    <xf numFmtId="3" fontId="61" fillId="9" borderId="143" xfId="0" applyNumberFormat="1" applyFont="1" applyFill="1" applyBorder="1" applyAlignment="1">
      <alignment vertical="center" wrapText="1"/>
    </xf>
    <xf numFmtId="0" fontId="0" fillId="0" borderId="143" xfId="0" applyNumberFormat="1" applyFont="1" applyBorder="1" applyAlignment="1">
      <alignment vertical="center"/>
    </xf>
    <xf numFmtId="0" fontId="0" fillId="0" borderId="143" xfId="0" applyFont="1" applyBorder="1" applyAlignment="1">
      <alignment vertical="center"/>
    </xf>
    <xf numFmtId="202" fontId="0" fillId="0" borderId="143" xfId="11612" applyNumberFormat="1" applyFont="1" applyBorder="1" applyAlignment="1">
      <alignment vertical="center"/>
    </xf>
    <xf numFmtId="202" fontId="0" fillId="9" borderId="143" xfId="11612" applyNumberFormat="1" applyFont="1" applyFill="1" applyBorder="1" applyAlignment="1">
      <alignment vertical="center"/>
    </xf>
    <xf numFmtId="0" fontId="0" fillId="0" borderId="143" xfId="11612" applyNumberFormat="1" applyFont="1" applyBorder="1"/>
    <xf numFmtId="0" fontId="0" fillId="9" borderId="143" xfId="0" applyFont="1" applyFill="1" applyBorder="1"/>
    <xf numFmtId="171" fontId="0" fillId="0" borderId="143" xfId="11612" applyNumberFormat="1" applyFont="1" applyBorder="1"/>
    <xf numFmtId="0" fontId="35" fillId="9" borderId="143" xfId="0" applyFont="1" applyFill="1" applyBorder="1" applyAlignment="1">
      <alignment horizontal="left" vertical="center" wrapText="1"/>
    </xf>
    <xf numFmtId="0" fontId="0" fillId="0" borderId="143" xfId="11612" applyNumberFormat="1" applyFont="1" applyBorder="1" applyAlignment="1">
      <alignment vertical="center"/>
    </xf>
    <xf numFmtId="3" fontId="61" fillId="9" borderId="143" xfId="0" applyNumberFormat="1" applyFont="1" applyFill="1" applyBorder="1" applyAlignment="1">
      <alignment horizontal="left" vertical="center"/>
    </xf>
    <xf numFmtId="0" fontId="35" fillId="53" borderId="143" xfId="0" applyFont="1" applyFill="1" applyBorder="1" applyAlignment="1">
      <alignment horizontal="center" vertical="center"/>
    </xf>
    <xf numFmtId="0" fontId="35" fillId="53" borderId="143" xfId="0" applyFont="1" applyFill="1" applyBorder="1" applyAlignment="1">
      <alignment horizontal="left" vertical="center"/>
    </xf>
    <xf numFmtId="3" fontId="61" fillId="53" borderId="143" xfId="0" applyNumberFormat="1" applyFont="1" applyFill="1" applyBorder="1" applyAlignment="1">
      <alignment horizontal="left" vertical="center"/>
    </xf>
    <xf numFmtId="0" fontId="0" fillId="53" borderId="143" xfId="11612" applyNumberFormat="1" applyFont="1" applyFill="1" applyBorder="1"/>
    <xf numFmtId="0" fontId="0" fillId="53" borderId="143" xfId="0" applyFont="1" applyFill="1" applyBorder="1"/>
    <xf numFmtId="202" fontId="0" fillId="53" borderId="143" xfId="11612" applyNumberFormat="1" applyFont="1" applyFill="1" applyBorder="1" applyAlignment="1">
      <alignment vertical="center"/>
    </xf>
    <xf numFmtId="171" fontId="61" fillId="53" borderId="143" xfId="11612" applyFont="1" applyFill="1" applyBorder="1" applyAlignment="1">
      <alignment horizontal="left" vertical="center"/>
    </xf>
    <xf numFmtId="0" fontId="36" fillId="9" borderId="0" xfId="0" applyFont="1" applyFill="1" applyBorder="1" applyAlignment="1">
      <alignment horizontal="center" vertical="center"/>
    </xf>
    <xf numFmtId="0" fontId="36" fillId="9" borderId="0" xfId="0" applyFont="1" applyFill="1" applyBorder="1" applyAlignment="1">
      <alignment horizontal="left" vertical="center"/>
    </xf>
    <xf numFmtId="0" fontId="130" fillId="52" borderId="0" xfId="0" applyFont="1" applyFill="1"/>
    <xf numFmtId="0" fontId="130" fillId="52" borderId="143" xfId="0" applyFont="1" applyFill="1" applyBorder="1" applyAlignment="1">
      <alignment horizontal="center"/>
    </xf>
    <xf numFmtId="202" fontId="129" fillId="52" borderId="143" xfId="0" applyNumberFormat="1" applyFont="1" applyFill="1" applyBorder="1" applyAlignment="1">
      <alignment horizontal="center"/>
    </xf>
    <xf numFmtId="0" fontId="61" fillId="9" borderId="0" xfId="0" applyFont="1" applyFill="1" applyBorder="1" applyAlignment="1">
      <alignment horizontal="center" vertical="center"/>
    </xf>
    <xf numFmtId="0" fontId="61" fillId="9" borderId="0" xfId="0" applyFont="1" applyFill="1" applyBorder="1" applyAlignment="1">
      <alignment horizontal="left" vertical="center"/>
    </xf>
    <xf numFmtId="3" fontId="61" fillId="9" borderId="144" xfId="0" applyNumberFormat="1" applyFont="1" applyFill="1" applyBorder="1" applyAlignment="1">
      <alignment horizontal="left" vertical="center"/>
    </xf>
    <xf numFmtId="0" fontId="86" fillId="49" borderId="143" xfId="0" applyFont="1" applyFill="1" applyBorder="1" applyAlignment="1">
      <alignment horizontal="center" vertical="center"/>
    </xf>
    <xf numFmtId="0" fontId="120" fillId="49" borderId="143" xfId="0" applyFont="1" applyFill="1" applyBorder="1" applyAlignment="1">
      <alignment horizontal="center" vertical="center"/>
    </xf>
    <xf numFmtId="3" fontId="120" fillId="49" borderId="143" xfId="0" applyNumberFormat="1" applyFont="1" applyFill="1" applyBorder="1" applyAlignment="1">
      <alignment horizontal="center" vertical="center"/>
    </xf>
    <xf numFmtId="0" fontId="120" fillId="49" borderId="143" xfId="0" applyFont="1" applyFill="1" applyBorder="1" applyAlignment="1">
      <alignment horizontal="center" vertical="center" wrapText="1"/>
    </xf>
    <xf numFmtId="0" fontId="61" fillId="9" borderId="143" xfId="0" applyFont="1" applyFill="1" applyBorder="1" applyAlignment="1">
      <alignment horizontal="center"/>
    </xf>
    <xf numFmtId="0" fontId="35" fillId="9" borderId="143" xfId="0" applyFont="1" applyFill="1" applyBorder="1" applyAlignment="1"/>
    <xf numFmtId="3" fontId="61" fillId="9" borderId="143" xfId="0" applyNumberFormat="1" applyFont="1" applyFill="1" applyBorder="1" applyAlignment="1">
      <alignment horizontal="left" wrapText="1"/>
    </xf>
    <xf numFmtId="3" fontId="61" fillId="9" borderId="143" xfId="0" applyNumberFormat="1" applyFont="1" applyFill="1" applyBorder="1" applyAlignment="1">
      <alignment horizontal="center"/>
    </xf>
    <xf numFmtId="3" fontId="61" fillId="0" borderId="143" xfId="0" applyNumberFormat="1" applyFont="1" applyFill="1" applyBorder="1" applyAlignment="1">
      <alignment horizontal="center"/>
    </xf>
    <xf numFmtId="4" fontId="61" fillId="9" borderId="143" xfId="0" applyNumberFormat="1" applyFont="1" applyFill="1" applyBorder="1" applyAlignment="1">
      <alignment horizontal="center"/>
    </xf>
    <xf numFmtId="3" fontId="61" fillId="9" borderId="143" xfId="0" applyNumberFormat="1" applyFont="1" applyFill="1" applyBorder="1" applyAlignment="1">
      <alignment horizontal="left"/>
    </xf>
    <xf numFmtId="183" fontId="61" fillId="9" borderId="143" xfId="0" applyNumberFormat="1" applyFont="1" applyFill="1" applyBorder="1" applyAlignment="1">
      <alignment horizontal="left"/>
    </xf>
    <xf numFmtId="183" fontId="61" fillId="9" borderId="143" xfId="0" applyNumberFormat="1" applyFont="1" applyFill="1" applyBorder="1" applyAlignment="1">
      <alignment horizontal="center"/>
    </xf>
    <xf numFmtId="9" fontId="61" fillId="9" borderId="143" xfId="26" applyFont="1" applyFill="1" applyBorder="1" applyAlignment="1">
      <alignment horizontal="center"/>
    </xf>
    <xf numFmtId="0" fontId="35" fillId="9" borderId="159" xfId="0" applyFont="1" applyFill="1" applyBorder="1" applyAlignment="1">
      <alignment horizontal="center" vertical="center"/>
    </xf>
    <xf numFmtId="0" fontId="86" fillId="9" borderId="164" xfId="0" applyFont="1" applyFill="1" applyBorder="1" applyAlignment="1">
      <alignment horizontal="center"/>
    </xf>
    <xf numFmtId="3" fontId="61" fillId="9" borderId="165" xfId="0" applyNumberFormat="1" applyFont="1" applyFill="1" applyBorder="1" applyAlignment="1">
      <alignment vertical="center" wrapText="1"/>
    </xf>
    <xf numFmtId="3" fontId="35" fillId="50" borderId="165" xfId="0" applyNumberFormat="1" applyFont="1" applyFill="1" applyBorder="1" applyAlignment="1">
      <alignment horizontal="right" vertical="center" wrapText="1"/>
    </xf>
    <xf numFmtId="3" fontId="61" fillId="9" borderId="165" xfId="0" applyNumberFormat="1" applyFont="1" applyFill="1" applyBorder="1" applyAlignment="1">
      <alignment vertical="center"/>
    </xf>
    <xf numFmtId="0" fontId="0" fillId="9" borderId="143" xfId="11612" applyNumberFormat="1" applyFont="1" applyFill="1" applyBorder="1"/>
    <xf numFmtId="0" fontId="0" fillId="9" borderId="0" xfId="0" applyFill="1" applyAlignment="1">
      <alignment horizontal="center" vertical="center"/>
    </xf>
    <xf numFmtId="9" fontId="0" fillId="0" borderId="0" xfId="26" applyFont="1"/>
    <xf numFmtId="0" fontId="0" fillId="9" borderId="0" xfId="0" applyFill="1" applyAlignment="1">
      <alignment horizontal="left"/>
    </xf>
    <xf numFmtId="202" fontId="0" fillId="9" borderId="0" xfId="0" applyNumberFormat="1" applyFill="1"/>
    <xf numFmtId="0" fontId="0" fillId="0" borderId="0" xfId="0" applyAlignment="1">
      <alignment horizontal="left"/>
    </xf>
    <xf numFmtId="0" fontId="2" fillId="51" borderId="0" xfId="0" applyFont="1" applyFill="1"/>
    <xf numFmtId="0" fontId="0" fillId="51" borderId="0" xfId="0" applyFill="1"/>
    <xf numFmtId="0" fontId="135" fillId="51" borderId="0" xfId="0" applyFont="1" applyFill="1" applyAlignment="1"/>
    <xf numFmtId="0" fontId="137" fillId="51" borderId="0" xfId="0" applyFont="1" applyFill="1" applyBorder="1"/>
    <xf numFmtId="0" fontId="0" fillId="51" borderId="0" xfId="0" applyFill="1" applyBorder="1"/>
    <xf numFmtId="0" fontId="138" fillId="9" borderId="50" xfId="0" applyFont="1" applyFill="1" applyBorder="1" applyAlignment="1">
      <alignment horizontal="center" vertical="center"/>
    </xf>
    <xf numFmtId="0" fontId="86" fillId="49" borderId="143" xfId="0" applyFont="1" applyFill="1" applyBorder="1" applyAlignment="1">
      <alignment horizontal="center"/>
    </xf>
    <xf numFmtId="0" fontId="61" fillId="50" borderId="143" xfId="0" applyFont="1" applyFill="1" applyBorder="1" applyAlignment="1">
      <alignment horizontal="center" vertical="center"/>
    </xf>
    <xf numFmtId="0" fontId="61" fillId="50" borderId="143" xfId="0" applyFont="1" applyFill="1" applyBorder="1" applyAlignment="1">
      <alignment horizontal="left" vertical="center"/>
    </xf>
    <xf numFmtId="3" fontId="61" fillId="50" borderId="143" xfId="0" applyNumberFormat="1" applyFont="1" applyFill="1" applyBorder="1" applyAlignment="1">
      <alignment horizontal="left" vertical="center" wrapText="1"/>
    </xf>
    <xf numFmtId="0" fontId="61" fillId="9" borderId="143" xfId="0" applyFont="1" applyFill="1" applyBorder="1" applyAlignment="1">
      <alignment horizontal="center" vertical="center"/>
    </xf>
    <xf numFmtId="0" fontId="61" fillId="9" borderId="143" xfId="0" applyFont="1" applyFill="1" applyBorder="1" applyAlignment="1">
      <alignment horizontal="left" vertical="center"/>
    </xf>
    <xf numFmtId="3" fontId="61" fillId="50" borderId="143" xfId="0" applyNumberFormat="1" applyFont="1" applyFill="1" applyBorder="1" applyAlignment="1">
      <alignment horizontal="left" vertical="center"/>
    </xf>
    <xf numFmtId="0" fontId="61" fillId="0" borderId="0" xfId="0" applyFont="1" applyBorder="1" applyAlignment="1">
      <alignment horizontal="center"/>
    </xf>
    <xf numFmtId="3" fontId="61" fillId="9" borderId="143" xfId="0" applyNumberFormat="1" applyFont="1" applyFill="1" applyBorder="1" applyAlignment="1">
      <alignment horizontal="right" vertical="center"/>
    </xf>
    <xf numFmtId="0" fontId="0" fillId="9" borderId="143" xfId="0" applyFill="1" applyBorder="1" applyAlignment="1">
      <alignment horizontal="left" vertical="center"/>
    </xf>
    <xf numFmtId="0" fontId="120" fillId="49" borderId="143" xfId="0" applyFont="1" applyFill="1" applyBorder="1" applyAlignment="1">
      <alignment horizontal="center"/>
    </xf>
    <xf numFmtId="3" fontId="120" fillId="49" borderId="143" xfId="0" applyNumberFormat="1" applyFont="1" applyFill="1" applyBorder="1" applyAlignment="1">
      <alignment horizontal="center"/>
    </xf>
    <xf numFmtId="0" fontId="61" fillId="50" borderId="143" xfId="0" applyFont="1" applyFill="1" applyBorder="1" applyAlignment="1">
      <alignment horizontal="center"/>
    </xf>
    <xf numFmtId="0" fontId="61" fillId="50" borderId="143" xfId="0" applyFont="1" applyFill="1" applyBorder="1" applyAlignment="1">
      <alignment horizontal="left" indent="1"/>
    </xf>
    <xf numFmtId="3" fontId="61" fillId="50" borderId="143" xfId="0" applyNumberFormat="1" applyFont="1" applyFill="1" applyBorder="1" applyAlignment="1">
      <alignment horizontal="center"/>
    </xf>
    <xf numFmtId="0" fontId="61" fillId="9" borderId="143" xfId="0" applyFont="1" applyFill="1" applyBorder="1" applyAlignment="1">
      <alignment horizontal="left" indent="1"/>
    </xf>
    <xf numFmtId="183" fontId="61" fillId="50" borderId="143" xfId="0" applyNumberFormat="1" applyFont="1" applyFill="1" applyBorder="1" applyAlignment="1">
      <alignment horizontal="center"/>
    </xf>
    <xf numFmtId="0" fontId="61" fillId="49" borderId="143" xfId="0" applyFont="1" applyFill="1" applyBorder="1" applyAlignment="1">
      <alignment horizontal="center"/>
    </xf>
    <xf numFmtId="0" fontId="0" fillId="54" borderId="167" xfId="0" applyFill="1" applyBorder="1" applyAlignment="1">
      <alignment horizontal="center"/>
    </xf>
    <xf numFmtId="0" fontId="140" fillId="0" borderId="0" xfId="0" applyFont="1"/>
    <xf numFmtId="0" fontId="2" fillId="54" borderId="143" xfId="0" applyFont="1" applyFill="1" applyBorder="1" applyAlignment="1">
      <alignment horizontal="center"/>
    </xf>
    <xf numFmtId="0" fontId="61" fillId="54" borderId="107" xfId="0" applyFont="1" applyFill="1" applyBorder="1" applyAlignment="1">
      <alignment horizontal="center"/>
    </xf>
    <xf numFmtId="0" fontId="141" fillId="0" borderId="108" xfId="0" applyFont="1" applyFill="1" applyBorder="1"/>
    <xf numFmtId="3" fontId="35" fillId="0" borderId="108" xfId="0" applyNumberFormat="1" applyFont="1" applyFill="1" applyBorder="1" applyAlignment="1">
      <alignment horizontal="center"/>
    </xf>
    <xf numFmtId="3" fontId="35" fillId="0" borderId="109" xfId="0" applyNumberFormat="1" applyFont="1" applyFill="1" applyBorder="1" applyAlignment="1">
      <alignment horizontal="center"/>
    </xf>
    <xf numFmtId="0" fontId="61" fillId="0" borderId="0" xfId="0" applyFont="1" applyBorder="1" applyAlignment="1">
      <alignment horizontal="left"/>
    </xf>
    <xf numFmtId="0" fontId="61" fillId="54" borderId="155" xfId="0" applyFont="1" applyFill="1" applyBorder="1" applyAlignment="1">
      <alignment horizontal="center"/>
    </xf>
    <xf numFmtId="0" fontId="61" fillId="0" borderId="143" xfId="0" applyFont="1" applyFill="1" applyBorder="1" applyAlignment="1">
      <alignment horizontal="left" indent="1"/>
    </xf>
    <xf numFmtId="3" fontId="61" fillId="50" borderId="143" xfId="0" applyNumberFormat="1" applyFont="1" applyFill="1" applyBorder="1" applyAlignment="1">
      <alignment horizontal="right"/>
    </xf>
    <xf numFmtId="0" fontId="61" fillId="54" borderId="167" xfId="0" applyFont="1" applyFill="1" applyBorder="1" applyAlignment="1">
      <alignment horizontal="center"/>
    </xf>
    <xf numFmtId="0" fontId="61" fillId="0" borderId="157" xfId="0" applyFont="1" applyFill="1" applyBorder="1" applyAlignment="1">
      <alignment horizontal="left" indent="1"/>
    </xf>
    <xf numFmtId="3" fontId="61" fillId="50" borderId="157" xfId="0" applyNumberFormat="1" applyFont="1" applyFill="1" applyBorder="1" applyAlignment="1">
      <alignment horizontal="right"/>
    </xf>
    <xf numFmtId="0" fontId="141" fillId="0" borderId="108" xfId="0" applyFont="1" applyFill="1" applyBorder="1" applyAlignment="1">
      <alignment horizontal="left"/>
    </xf>
    <xf numFmtId="3" fontId="35" fillId="0" borderId="108" xfId="0" applyNumberFormat="1" applyFont="1" applyFill="1" applyBorder="1" applyAlignment="1">
      <alignment horizontal="right"/>
    </xf>
    <xf numFmtId="3" fontId="35" fillId="0" borderId="109" xfId="0" applyNumberFormat="1" applyFont="1" applyFill="1" applyBorder="1" applyAlignment="1">
      <alignment horizontal="right"/>
    </xf>
    <xf numFmtId="3" fontId="61" fillId="54" borderId="108" xfId="0" applyNumberFormat="1" applyFont="1" applyFill="1" applyBorder="1" applyAlignment="1">
      <alignment horizontal="center"/>
    </xf>
    <xf numFmtId="3" fontId="61" fillId="54" borderId="109" xfId="0" applyNumberFormat="1" applyFont="1" applyFill="1" applyBorder="1" applyAlignment="1">
      <alignment horizontal="center"/>
    </xf>
    <xf numFmtId="3" fontId="61" fillId="50" borderId="156" xfId="0" applyNumberFormat="1" applyFont="1" applyFill="1" applyBorder="1" applyAlignment="1">
      <alignment horizontal="center"/>
    </xf>
    <xf numFmtId="183" fontId="61" fillId="50" borderId="156" xfId="0" applyNumberFormat="1" applyFont="1" applyFill="1" applyBorder="1" applyAlignment="1">
      <alignment horizontal="center"/>
    </xf>
    <xf numFmtId="183" fontId="61" fillId="50" borderId="157" xfId="0" applyNumberFormat="1" applyFont="1" applyFill="1" applyBorder="1" applyAlignment="1">
      <alignment horizontal="center"/>
    </xf>
    <xf numFmtId="183" fontId="61" fillId="50" borderId="171" xfId="0" applyNumberFormat="1" applyFont="1" applyFill="1" applyBorder="1" applyAlignment="1">
      <alignment horizontal="center"/>
    </xf>
    <xf numFmtId="0" fontId="61" fillId="54" borderId="19" xfId="0" applyFont="1" applyFill="1" applyBorder="1" applyAlignment="1">
      <alignment horizontal="center"/>
    </xf>
    <xf numFmtId="0" fontId="141" fillId="0" borderId="20" xfId="0" applyFont="1" applyFill="1" applyBorder="1" applyAlignment="1">
      <alignment horizontal="left"/>
    </xf>
    <xf numFmtId="3" fontId="61" fillId="50" borderId="20" xfId="0" applyNumberFormat="1" applyFont="1" applyFill="1" applyBorder="1" applyAlignment="1">
      <alignment horizontal="center"/>
    </xf>
    <xf numFmtId="3" fontId="61" fillId="50" borderId="21" xfId="0" applyNumberFormat="1" applyFont="1" applyFill="1" applyBorder="1" applyAlignment="1">
      <alignment horizontal="center"/>
    </xf>
    <xf numFmtId="0" fontId="142" fillId="0" borderId="0" xfId="0" applyFont="1"/>
    <xf numFmtId="0" fontId="143" fillId="0" borderId="0" xfId="0" applyFont="1"/>
    <xf numFmtId="0" fontId="144" fillId="50" borderId="143" xfId="0" applyFont="1" applyFill="1" applyBorder="1"/>
    <xf numFmtId="0" fontId="61" fillId="0" borderId="0" xfId="0" applyFont="1" applyFill="1" applyBorder="1" applyAlignment="1">
      <alignment horizontal="left" indent="1"/>
    </xf>
    <xf numFmtId="0" fontId="144" fillId="9" borderId="143" xfId="0" applyFont="1" applyFill="1" applyBorder="1"/>
    <xf numFmtId="0" fontId="144" fillId="0" borderId="0" xfId="0" applyFont="1"/>
    <xf numFmtId="202" fontId="0" fillId="0" borderId="143" xfId="11612" applyNumberFormat="1" applyFont="1" applyBorder="1"/>
    <xf numFmtId="0" fontId="0" fillId="0" borderId="0" xfId="0" pivotButton="1"/>
    <xf numFmtId="0" fontId="92" fillId="0" borderId="0" xfId="27" quotePrefix="1"/>
    <xf numFmtId="0" fontId="92" fillId="9" borderId="0" xfId="27" quotePrefix="1" applyFill="1"/>
    <xf numFmtId="189" fontId="11" fillId="18" borderId="96" xfId="3" applyNumberFormat="1" applyFont="1" applyFill="1" applyBorder="1" applyAlignment="1">
      <alignment horizontal="center" vertical="center"/>
    </xf>
    <xf numFmtId="17" fontId="0" fillId="0" borderId="0" xfId="0" applyNumberFormat="1"/>
    <xf numFmtId="17" fontId="123" fillId="49" borderId="143" xfId="0" applyNumberFormat="1" applyFont="1" applyFill="1" applyBorder="1" applyAlignment="1">
      <alignment horizontal="center" vertical="center" wrapText="1"/>
    </xf>
    <xf numFmtId="9" fontId="0" fillId="0" borderId="0" xfId="0" applyNumberFormat="1"/>
    <xf numFmtId="2" fontId="0" fillId="0" borderId="0" xfId="0" applyNumberFormat="1"/>
    <xf numFmtId="207" fontId="69" fillId="18" borderId="31" xfId="21" applyNumberFormat="1" applyFont="1" applyFill="1" applyBorder="1" applyAlignment="1">
      <alignment horizontal="center" vertical="center"/>
    </xf>
    <xf numFmtId="2" fontId="0" fillId="9" borderId="0" xfId="0" applyNumberFormat="1" applyFill="1" applyAlignment="1">
      <alignment horizontal="center" vertical="center"/>
    </xf>
    <xf numFmtId="0" fontId="0" fillId="0" borderId="146" xfId="0" applyBorder="1"/>
    <xf numFmtId="0" fontId="0" fillId="0" borderId="172" xfId="0" applyBorder="1"/>
    <xf numFmtId="175" fontId="3" fillId="0" borderId="0" xfId="0" applyNumberFormat="1" applyFont="1"/>
    <xf numFmtId="0" fontId="3" fillId="14" borderId="165" xfId="0" applyFont="1" applyFill="1" applyBorder="1" applyAlignment="1"/>
    <xf numFmtId="0" fontId="0" fillId="0" borderId="174" xfId="0" applyBorder="1" applyAlignment="1">
      <alignment horizontal="center" vertical="center"/>
    </xf>
    <xf numFmtId="49" fontId="0" fillId="0" borderId="165" xfId="0" applyNumberFormat="1" applyBorder="1" applyAlignment="1">
      <alignment horizontal="justify" vertical="center" wrapText="1"/>
    </xf>
    <xf numFmtId="49" fontId="0" fillId="0" borderId="161" xfId="0" applyNumberFormat="1" applyBorder="1" applyAlignment="1">
      <alignment horizontal="justify" vertical="center" wrapText="1"/>
    </xf>
    <xf numFmtId="49" fontId="0" fillId="0" borderId="144" xfId="0" applyNumberFormat="1" applyBorder="1" applyAlignment="1">
      <alignment horizontal="justify" vertical="center" wrapText="1"/>
    </xf>
    <xf numFmtId="0" fontId="0" fillId="0" borderId="148" xfId="0" applyBorder="1"/>
    <xf numFmtId="14" fontId="86" fillId="9" borderId="0" xfId="4" applyNumberFormat="1" applyFont="1" applyFill="1" applyAlignment="1"/>
    <xf numFmtId="184" fontId="43" fillId="0" borderId="79" xfId="0" applyNumberFormat="1" applyFont="1" applyFill="1" applyBorder="1" applyAlignment="1">
      <alignment horizontal="center" vertical="center"/>
    </xf>
    <xf numFmtId="0" fontId="0" fillId="9" borderId="0" xfId="0" applyFill="1" applyAlignment="1">
      <alignment horizontal="left" indent="1"/>
    </xf>
    <xf numFmtId="15" fontId="3" fillId="0" borderId="56" xfId="0" applyNumberFormat="1" applyFont="1" applyBorder="1" applyAlignment="1">
      <alignment horizontal="center" vertical="center"/>
    </xf>
    <xf numFmtId="182" fontId="0" fillId="0" borderId="0" xfId="0" applyNumberFormat="1" applyAlignment="1">
      <alignment horizontal="center"/>
    </xf>
    <xf numFmtId="2" fontId="0" fillId="25" borderId="167" xfId="0" applyNumberFormat="1" applyFont="1" applyFill="1" applyBorder="1" applyAlignment="1">
      <alignment wrapText="1"/>
    </xf>
    <xf numFmtId="2" fontId="0" fillId="25" borderId="165" xfId="0" applyNumberFormat="1" applyFill="1" applyBorder="1" applyAlignment="1"/>
    <xf numFmtId="2" fontId="0" fillId="25" borderId="168" xfId="0" applyNumberFormat="1" applyFill="1" applyBorder="1" applyAlignment="1"/>
    <xf numFmtId="2" fontId="0" fillId="25" borderId="167" xfId="0" applyNumberFormat="1" applyFill="1" applyBorder="1" applyAlignment="1"/>
    <xf numFmtId="205" fontId="61" fillId="9" borderId="178" xfId="11612" applyNumberFormat="1" applyFont="1" applyFill="1" applyBorder="1" applyAlignment="1">
      <alignment horizontal="left" vertical="center"/>
    </xf>
    <xf numFmtId="206" fontId="61" fillId="9" borderId="178" xfId="11612" applyNumberFormat="1" applyFont="1" applyFill="1" applyBorder="1" applyAlignment="1">
      <alignment horizontal="left" vertical="center"/>
    </xf>
    <xf numFmtId="0" fontId="0" fillId="9" borderId="0" xfId="0" applyFill="1" applyAlignment="1">
      <alignment horizontal="left" indent="2"/>
    </xf>
    <xf numFmtId="0" fontId="0" fillId="9" borderId="0" xfId="0" applyFill="1" applyAlignment="1">
      <alignment horizontal="left" indent="3"/>
    </xf>
    <xf numFmtId="175" fontId="3" fillId="0" borderId="143" xfId="0" applyNumberFormat="1" applyFont="1" applyBorder="1" applyAlignment="1">
      <alignment horizontal="right"/>
    </xf>
    <xf numFmtId="175" fontId="3" fillId="14" borderId="161" xfId="0" applyNumberFormat="1" applyFont="1" applyFill="1" applyBorder="1"/>
    <xf numFmtId="0" fontId="3" fillId="14" borderId="161" xfId="0" applyFont="1" applyFill="1" applyBorder="1" applyAlignment="1"/>
    <xf numFmtId="0" fontId="0" fillId="0" borderId="150" xfId="0" applyBorder="1"/>
    <xf numFmtId="0" fontId="2" fillId="90" borderId="0" xfId="0" applyFont="1" applyFill="1"/>
    <xf numFmtId="0" fontId="2" fillId="0" borderId="186" xfId="0" applyFont="1" applyBorder="1" applyAlignment="1">
      <alignment horizontal="center" vertical="center"/>
    </xf>
    <xf numFmtId="1" fontId="0" fillId="0" borderId="186" xfId="0" applyNumberFormat="1" applyBorder="1" applyAlignment="1">
      <alignment horizontal="center" vertical="center"/>
    </xf>
    <xf numFmtId="175" fontId="0" fillId="0" borderId="186" xfId="0" applyNumberFormat="1" applyBorder="1" applyAlignment="1">
      <alignment horizontal="center" vertical="center"/>
    </xf>
    <xf numFmtId="2" fontId="0" fillId="0" borderId="186" xfId="0" applyNumberFormat="1" applyBorder="1" applyAlignment="1">
      <alignment horizontal="center" vertical="center"/>
    </xf>
    <xf numFmtId="0" fontId="0" fillId="0" borderId="186" xfId="0" applyBorder="1" applyAlignment="1">
      <alignment horizontal="center" vertical="center"/>
    </xf>
    <xf numFmtId="1" fontId="0" fillId="91" borderId="186" xfId="0" applyNumberFormat="1" applyFill="1" applyBorder="1" applyAlignment="1">
      <alignment horizontal="center" vertical="center" wrapText="1"/>
    </xf>
    <xf numFmtId="0" fontId="0" fillId="91" borderId="186" xfId="0" applyFill="1" applyBorder="1" applyAlignment="1">
      <alignment horizontal="center" vertical="center" wrapText="1"/>
    </xf>
    <xf numFmtId="0" fontId="0" fillId="0" borderId="8" xfId="0" applyBorder="1"/>
    <xf numFmtId="0" fontId="0" fillId="0" borderId="104" xfId="0" applyBorder="1"/>
    <xf numFmtId="0" fontId="0" fillId="0" borderId="10" xfId="0" applyBorder="1"/>
    <xf numFmtId="0" fontId="2" fillId="15" borderId="19" xfId="0" applyFont="1" applyFill="1" applyBorder="1" applyAlignment="1">
      <alignment horizontal="center" vertical="center" wrapText="1"/>
    </xf>
    <xf numFmtId="0" fontId="2" fillId="15" borderId="20" xfId="0" applyFont="1" applyFill="1" applyBorder="1" applyAlignment="1">
      <alignment horizontal="center" vertical="center" wrapText="1"/>
    </xf>
    <xf numFmtId="0" fontId="2" fillId="15" borderId="21" xfId="0" applyFont="1" applyFill="1" applyBorder="1" applyAlignment="1">
      <alignment horizontal="center" vertical="center" wrapText="1"/>
    </xf>
    <xf numFmtId="0" fontId="0" fillId="0" borderId="0" xfId="0" applyAlignment="1">
      <alignment vertical="center" wrapText="1"/>
    </xf>
    <xf numFmtId="0" fontId="217" fillId="2" borderId="0" xfId="3" applyFont="1" applyFill="1" applyAlignment="1">
      <alignment horizontal="left"/>
    </xf>
    <xf numFmtId="190" fontId="89" fillId="0" borderId="0" xfId="4" applyNumberFormat="1" applyFont="1" applyAlignment="1"/>
    <xf numFmtId="2" fontId="0" fillId="0" borderId="216" xfId="0" applyNumberFormat="1" applyBorder="1" applyAlignment="1">
      <alignment horizontal="center" vertical="center"/>
    </xf>
    <xf numFmtId="190" fontId="39" fillId="0" borderId="186" xfId="3" applyNumberFormat="1" applyFont="1" applyFill="1" applyBorder="1" applyAlignment="1">
      <alignment horizontal="center" vertical="center"/>
    </xf>
    <xf numFmtId="175" fontId="3" fillId="14" borderId="212" xfId="0" applyNumberFormat="1" applyFont="1" applyFill="1" applyBorder="1"/>
    <xf numFmtId="175" fontId="3" fillId="0" borderId="204" xfId="0" applyNumberFormat="1" applyFont="1" applyBorder="1"/>
    <xf numFmtId="0" fontId="3" fillId="14" borderId="212" xfId="0" applyFont="1" applyFill="1" applyBorder="1" applyAlignment="1"/>
    <xf numFmtId="175" fontId="3" fillId="0" borderId="222" xfId="0" applyNumberFormat="1" applyFont="1" applyBorder="1"/>
    <xf numFmtId="175" fontId="3" fillId="0" borderId="222" xfId="0" applyNumberFormat="1" applyFont="1" applyBorder="1" applyAlignment="1">
      <alignment horizontal="right"/>
    </xf>
    <xf numFmtId="175" fontId="3" fillId="0" borderId="222" xfId="0" applyNumberFormat="1" applyFont="1" applyFill="1" applyBorder="1"/>
    <xf numFmtId="0" fontId="218" fillId="6" borderId="26" xfId="6" applyFont="1" applyFill="1" applyBorder="1" applyAlignment="1">
      <alignment horizontal="center" vertical="center" wrapText="1"/>
    </xf>
    <xf numFmtId="0" fontId="27" fillId="3" borderId="15" xfId="3" applyFont="1" applyFill="1" applyBorder="1" applyAlignment="1">
      <alignment horizontal="center" vertical="center" wrapText="1"/>
    </xf>
    <xf numFmtId="0" fontId="35" fillId="15" borderId="20" xfId="0" applyFont="1" applyFill="1" applyBorder="1" applyAlignment="1">
      <alignment horizontal="center" vertical="center" wrapText="1"/>
    </xf>
    <xf numFmtId="0" fontId="35" fillId="15" borderId="21" xfId="0" applyFont="1" applyFill="1" applyBorder="1" applyAlignment="1">
      <alignment horizontal="center" vertical="center" wrapText="1"/>
    </xf>
    <xf numFmtId="190" fontId="39" fillId="0" borderId="121" xfId="3" applyNumberFormat="1" applyFont="1" applyFill="1" applyBorder="1" applyAlignment="1">
      <alignment horizontal="center" vertical="center"/>
    </xf>
    <xf numFmtId="190" fontId="39" fillId="0" borderId="223" xfId="3" applyNumberFormat="1" applyFont="1" applyFill="1" applyBorder="1" applyAlignment="1">
      <alignment horizontal="center" vertical="center"/>
    </xf>
    <xf numFmtId="190" fontId="39" fillId="0" borderId="158" xfId="3" applyNumberFormat="1" applyFont="1" applyFill="1" applyBorder="1" applyAlignment="1">
      <alignment horizontal="center" vertical="center"/>
    </xf>
    <xf numFmtId="175" fontId="0" fillId="0" borderId="224" xfId="0" applyNumberFormat="1" applyBorder="1" applyAlignment="1">
      <alignment horizontal="center" vertical="center"/>
    </xf>
    <xf numFmtId="175" fontId="0" fillId="0" borderId="107" xfId="0" applyNumberFormat="1" applyBorder="1" applyAlignment="1">
      <alignment horizontal="center" vertical="center"/>
    </xf>
    <xf numFmtId="175" fontId="0" fillId="0" borderId="108" xfId="0" applyNumberFormat="1" applyBorder="1" applyAlignment="1">
      <alignment horizontal="center" vertical="center"/>
    </xf>
    <xf numFmtId="175" fontId="0" fillId="0" borderId="222" xfId="0" applyNumberFormat="1" applyBorder="1" applyAlignment="1">
      <alignment horizontal="center" vertical="center"/>
    </xf>
    <xf numFmtId="175" fontId="0" fillId="0" borderId="167" xfId="0" applyNumberFormat="1" applyBorder="1" applyAlignment="1">
      <alignment horizontal="center" vertical="center"/>
    </xf>
    <xf numFmtId="175" fontId="0" fillId="0" borderId="157" xfId="0" applyNumberFormat="1" applyBorder="1" applyAlignment="1">
      <alignment horizontal="center" vertical="center"/>
    </xf>
    <xf numFmtId="1" fontId="0" fillId="16" borderId="186" xfId="0" applyNumberFormat="1" applyFill="1" applyBorder="1" applyAlignment="1">
      <alignment horizontal="center" vertical="center"/>
    </xf>
    <xf numFmtId="10" fontId="0" fillId="18" borderId="122" xfId="26" applyNumberFormat="1" applyFont="1" applyFill="1" applyBorder="1" applyAlignment="1">
      <alignment horizontal="center" vertical="center"/>
    </xf>
    <xf numFmtId="10" fontId="0" fillId="18" borderId="226" xfId="26" applyNumberFormat="1" applyFont="1" applyFill="1" applyBorder="1" applyAlignment="1">
      <alignment horizontal="center" vertical="center"/>
    </xf>
    <xf numFmtId="10" fontId="0" fillId="18" borderId="170" xfId="26" applyNumberFormat="1" applyFont="1" applyFill="1" applyBorder="1" applyAlignment="1">
      <alignment horizontal="center" vertical="center"/>
    </xf>
    <xf numFmtId="10" fontId="0" fillId="18" borderId="109" xfId="26" applyNumberFormat="1" applyFont="1" applyFill="1" applyBorder="1" applyAlignment="1">
      <alignment horizontal="center" vertical="center"/>
    </xf>
    <xf numFmtId="10" fontId="0" fillId="0" borderId="225" xfId="26" applyNumberFormat="1" applyFont="1" applyBorder="1" applyAlignment="1">
      <alignment horizontal="center" vertical="center"/>
    </xf>
    <xf numFmtId="10" fontId="0" fillId="18" borderId="225" xfId="26" applyNumberFormat="1" applyFont="1" applyFill="1" applyBorder="1" applyAlignment="1">
      <alignment horizontal="center" vertical="center"/>
    </xf>
    <xf numFmtId="10" fontId="0" fillId="18" borderId="171" xfId="26" applyNumberFormat="1" applyFont="1" applyFill="1" applyBorder="1" applyAlignment="1">
      <alignment horizontal="center" vertical="center"/>
    </xf>
    <xf numFmtId="10" fontId="0" fillId="0" borderId="171" xfId="26" applyNumberFormat="1" applyFont="1" applyBorder="1" applyAlignment="1">
      <alignment horizontal="center" vertical="center"/>
    </xf>
    <xf numFmtId="202" fontId="0" fillId="0" borderId="222" xfId="11612" applyNumberFormat="1" applyFont="1" applyBorder="1" applyAlignment="1">
      <alignment vertical="center"/>
    </xf>
    <xf numFmtId="171" fontId="0" fillId="0" borderId="0" xfId="11612" applyFont="1"/>
    <xf numFmtId="202" fontId="0" fillId="9" borderId="222" xfId="11612" applyNumberFormat="1" applyFont="1" applyFill="1" applyBorder="1" applyAlignment="1">
      <alignment vertical="center"/>
    </xf>
    <xf numFmtId="202" fontId="0" fillId="53" borderId="222" xfId="11612" applyNumberFormat="1" applyFont="1" applyFill="1" applyBorder="1" applyAlignment="1">
      <alignment vertical="center"/>
    </xf>
    <xf numFmtId="0" fontId="0" fillId="0" borderId="149" xfId="0" applyBorder="1"/>
    <xf numFmtId="0" fontId="0" fillId="0" borderId="233" xfId="0" applyBorder="1"/>
    <xf numFmtId="0" fontId="0" fillId="0" borderId="234" xfId="0" applyBorder="1"/>
    <xf numFmtId="0" fontId="0" fillId="0" borderId="235" xfId="0" applyBorder="1"/>
    <xf numFmtId="183" fontId="69" fillId="18" borderId="31" xfId="21" applyNumberFormat="1" applyFont="1" applyFill="1" applyBorder="1" applyAlignment="1">
      <alignment horizontal="center" vertical="center"/>
    </xf>
    <xf numFmtId="0" fontId="0" fillId="0" borderId="222" xfId="0" applyFont="1" applyBorder="1" applyAlignment="1">
      <alignment horizontal="center" vertical="center"/>
    </xf>
    <xf numFmtId="175" fontId="3" fillId="9" borderId="222" xfId="0" applyNumberFormat="1" applyFont="1" applyFill="1" applyBorder="1"/>
    <xf numFmtId="175" fontId="15" fillId="0" borderId="237" xfId="5" applyNumberFormat="1" applyFont="1" applyFill="1" applyBorder="1" applyAlignment="1">
      <alignment horizontal="center" wrapText="1"/>
    </xf>
    <xf numFmtId="175" fontId="3" fillId="0" borderId="222" xfId="0" applyNumberFormat="1" applyFont="1" applyBorder="1" applyAlignment="1"/>
    <xf numFmtId="191" fontId="66" fillId="0" borderId="0" xfId="4" applyNumberFormat="1" applyFont="1" applyBorder="1" applyAlignment="1">
      <alignment horizontal="center" vertical="center"/>
    </xf>
    <xf numFmtId="37" fontId="69" fillId="18" borderId="222" xfId="21" applyNumberFormat="1" applyFont="1" applyFill="1" applyBorder="1" applyAlignment="1">
      <alignment horizontal="center" vertical="center"/>
    </xf>
    <xf numFmtId="1" fontId="0" fillId="0" borderId="216" xfId="0" applyNumberFormat="1" applyBorder="1" applyAlignment="1">
      <alignment horizontal="center" vertical="center"/>
    </xf>
    <xf numFmtId="175" fontId="3" fillId="9" borderId="56" xfId="0" applyNumberFormat="1" applyFont="1" applyFill="1" applyBorder="1" applyAlignment="1"/>
    <xf numFmtId="175" fontId="3" fillId="9" borderId="143" xfId="0" applyNumberFormat="1" applyFont="1" applyFill="1" applyBorder="1"/>
    <xf numFmtId="0" fontId="39" fillId="0" borderId="223" xfId="4" applyNumberFormat="1" applyFont="1" applyBorder="1" applyAlignment="1">
      <alignment horizontal="center" vertical="center"/>
    </xf>
    <xf numFmtId="0" fontId="39" fillId="0" borderId="124" xfId="4" applyNumberFormat="1" applyFont="1" applyBorder="1" applyAlignment="1">
      <alignment horizontal="center" vertical="center"/>
    </xf>
    <xf numFmtId="2" fontId="0" fillId="25" borderId="224" xfId="0" applyNumberFormat="1" applyFont="1" applyFill="1" applyBorder="1" applyAlignment="1">
      <alignment wrapText="1"/>
    </xf>
    <xf numFmtId="2" fontId="0" fillId="25" borderId="222" xfId="0" applyNumberFormat="1" applyFont="1" applyFill="1" applyBorder="1" applyAlignment="1">
      <alignment wrapText="1"/>
    </xf>
    <xf numFmtId="0" fontId="39" fillId="0" borderId="121" xfId="4" applyNumberFormat="1" applyFont="1" applyBorder="1" applyAlignment="1">
      <alignment horizontal="center" vertical="center"/>
    </xf>
    <xf numFmtId="2" fontId="0" fillId="25" borderId="125" xfId="0" applyNumberFormat="1" applyFill="1" applyBorder="1" applyAlignment="1"/>
    <xf numFmtId="187" fontId="68" fillId="0" borderId="0" xfId="0" applyNumberFormat="1" applyFont="1"/>
    <xf numFmtId="0" fontId="11" fillId="6" borderId="10" xfId="6" applyFont="1" applyFill="1" applyBorder="1" applyAlignment="1">
      <alignment horizontal="center" vertical="center" wrapText="1"/>
    </xf>
    <xf numFmtId="0" fontId="220" fillId="3" borderId="21" xfId="3" applyFont="1" applyFill="1" applyBorder="1" applyAlignment="1">
      <alignment horizontal="center" vertical="center" wrapText="1"/>
    </xf>
    <xf numFmtId="1" fontId="15" fillId="0" borderId="2" xfId="5" applyNumberFormat="1" applyFont="1" applyFill="1" applyBorder="1" applyAlignment="1">
      <alignment horizontal="center" wrapText="1"/>
    </xf>
    <xf numFmtId="1" fontId="15" fillId="0" borderId="69" xfId="5" applyNumberFormat="1" applyFont="1" applyFill="1" applyBorder="1" applyAlignment="1">
      <alignment horizontal="center" wrapText="1"/>
    </xf>
    <xf numFmtId="1" fontId="15" fillId="0" borderId="52" xfId="5" applyNumberFormat="1" applyFont="1" applyFill="1" applyBorder="1" applyAlignment="1">
      <alignment horizontal="center" wrapText="1"/>
    </xf>
    <xf numFmtId="175" fontId="15" fillId="0" borderId="239" xfId="5" applyNumberFormat="1" applyFont="1" applyFill="1" applyBorder="1" applyAlignment="1">
      <alignment horizontal="center" wrapText="1"/>
    </xf>
    <xf numFmtId="175" fontId="17" fillId="0" borderId="15" xfId="3" applyNumberFormat="1" applyFont="1" applyBorder="1" applyAlignment="1">
      <alignment horizontal="center" vertical="center"/>
    </xf>
    <xf numFmtId="1" fontId="15" fillId="0" borderId="87" xfId="5" applyNumberFormat="1" applyFont="1" applyFill="1" applyBorder="1" applyAlignment="1">
      <alignment horizontal="center" wrapText="1"/>
    </xf>
    <xf numFmtId="175" fontId="17" fillId="0" borderId="1" xfId="3" applyNumberFormat="1" applyFont="1" applyBorder="1" applyAlignment="1">
      <alignment horizontal="center" vertical="center"/>
    </xf>
    <xf numFmtId="175" fontId="17" fillId="0" borderId="103" xfId="3" applyNumberFormat="1" applyFont="1" applyBorder="1" applyAlignment="1">
      <alignment horizontal="center" vertical="center"/>
    </xf>
    <xf numFmtId="0" fontId="66" fillId="0" borderId="23" xfId="4" applyFont="1" applyBorder="1" applyAlignment="1">
      <alignment horizontal="center" vertical="center"/>
    </xf>
    <xf numFmtId="0" fontId="10" fillId="113" borderId="104" xfId="3" applyFont="1" applyFill="1" applyBorder="1" applyAlignment="1">
      <alignment vertical="center" wrapText="1"/>
    </xf>
    <xf numFmtId="0" fontId="10" fillId="113" borderId="10" xfId="3" applyFont="1" applyFill="1" applyBorder="1" applyAlignment="1">
      <alignment vertical="center" wrapText="1"/>
    </xf>
    <xf numFmtId="0" fontId="218" fillId="114" borderId="26" xfId="6" applyFont="1" applyFill="1" applyBorder="1" applyAlignment="1">
      <alignment horizontal="center" vertical="center" wrapText="1"/>
    </xf>
    <xf numFmtId="175" fontId="68" fillId="0" borderId="0" xfId="0" applyNumberFormat="1" applyFont="1"/>
    <xf numFmtId="1" fontId="2" fillId="0" borderId="0" xfId="0" applyNumberFormat="1" applyFont="1" applyFill="1" applyBorder="1" applyAlignment="1">
      <alignment horizontal="center" vertical="center"/>
    </xf>
    <xf numFmtId="1" fontId="0" fillId="0" borderId="0" xfId="0" applyNumberFormat="1"/>
    <xf numFmtId="0" fontId="221" fillId="0" borderId="0" xfId="0" applyFont="1" applyAlignment="1">
      <alignment horizontal="center"/>
    </xf>
    <xf numFmtId="0" fontId="221" fillId="0" borderId="240" xfId="0" applyFont="1" applyFill="1" applyBorder="1"/>
    <xf numFmtId="0" fontId="39" fillId="0" borderId="0" xfId="0" applyFont="1"/>
    <xf numFmtId="0" fontId="218" fillId="6" borderId="10" xfId="6" applyFont="1" applyFill="1" applyBorder="1" applyAlignment="1">
      <alignment horizontal="center" vertical="center" wrapText="1"/>
    </xf>
    <xf numFmtId="0" fontId="27" fillId="3" borderId="21" xfId="3" applyFont="1" applyFill="1" applyBorder="1" applyAlignment="1">
      <alignment horizontal="center" vertical="center" wrapText="1"/>
    </xf>
    <xf numFmtId="0" fontId="2" fillId="57" borderId="222" xfId="0" applyFont="1" applyFill="1" applyBorder="1" applyAlignment="1">
      <alignment horizontal="center" vertical="center"/>
    </xf>
    <xf numFmtId="0" fontId="2" fillId="57" borderId="222" xfId="0" applyFont="1" applyFill="1" applyBorder="1" applyAlignment="1">
      <alignment horizontal="center"/>
    </xf>
    <xf numFmtId="0" fontId="0" fillId="57" borderId="243" xfId="0" applyFill="1" applyBorder="1" applyAlignment="1">
      <alignment horizontal="center" vertical="center"/>
    </xf>
    <xf numFmtId="0" fontId="0" fillId="57" borderId="243" xfId="0" applyFill="1" applyBorder="1" applyAlignment="1">
      <alignment horizontal="center"/>
    </xf>
    <xf numFmtId="0" fontId="0" fillId="57" borderId="45" xfId="0" applyFill="1" applyBorder="1" applyAlignment="1">
      <alignment horizontal="center"/>
    </xf>
    <xf numFmtId="0" fontId="0" fillId="0" borderId="87" xfId="0" applyBorder="1" applyAlignment="1">
      <alignment horizontal="center"/>
    </xf>
    <xf numFmtId="0" fontId="0" fillId="0" borderId="87" xfId="0" applyBorder="1"/>
    <xf numFmtId="1" fontId="0" fillId="0" borderId="87" xfId="0" applyNumberFormat="1" applyBorder="1" applyAlignment="1">
      <alignment horizontal="right" vertical="center"/>
    </xf>
    <xf numFmtId="1" fontId="0" fillId="115" borderId="87" xfId="0" applyNumberFormat="1" applyFill="1" applyBorder="1" applyAlignment="1">
      <alignment horizontal="right" vertical="center"/>
    </xf>
    <xf numFmtId="1" fontId="0" fillId="115" borderId="87" xfId="0" applyNumberFormat="1" applyFill="1" applyBorder="1" applyAlignment="1">
      <alignment horizontal="right"/>
    </xf>
    <xf numFmtId="1" fontId="0" fillId="0" borderId="87" xfId="0" applyNumberFormat="1" applyBorder="1" applyAlignment="1">
      <alignment horizontal="center" vertical="center"/>
    </xf>
    <xf numFmtId="1" fontId="2" fillId="0" borderId="87" xfId="0" applyNumberFormat="1" applyFont="1" applyBorder="1" applyAlignment="1">
      <alignment horizontal="center" vertical="center"/>
    </xf>
    <xf numFmtId="0" fontId="0" fillId="0" borderId="69" xfId="0" applyBorder="1" applyAlignment="1">
      <alignment horizontal="center"/>
    </xf>
    <xf numFmtId="0" fontId="0" fillId="0" borderId="69" xfId="0" applyBorder="1"/>
    <xf numFmtId="1" fontId="0" fillId="0" borderId="69" xfId="0" applyNumberFormat="1" applyBorder="1" applyAlignment="1">
      <alignment horizontal="right" vertical="center"/>
    </xf>
    <xf numFmtId="1" fontId="0" fillId="115" borderId="69" xfId="0" applyNumberFormat="1" applyFill="1" applyBorder="1" applyAlignment="1">
      <alignment horizontal="right" vertical="center"/>
    </xf>
    <xf numFmtId="1" fontId="0" fillId="0" borderId="69" xfId="0" applyNumberFormat="1" applyBorder="1" applyAlignment="1">
      <alignment horizontal="right"/>
    </xf>
    <xf numFmtId="1" fontId="0" fillId="115" borderId="69" xfId="0" applyNumberFormat="1" applyFill="1" applyBorder="1" applyAlignment="1">
      <alignment horizontal="right"/>
    </xf>
    <xf numFmtId="1" fontId="0" fillId="0" borderId="69" xfId="0" applyNumberFormat="1" applyBorder="1" applyAlignment="1">
      <alignment horizontal="center" vertical="center"/>
    </xf>
    <xf numFmtId="1" fontId="2" fillId="0" borderId="69" xfId="0" applyNumberFormat="1" applyFont="1" applyBorder="1" applyAlignment="1">
      <alignment horizontal="center" vertical="center"/>
    </xf>
    <xf numFmtId="1" fontId="2" fillId="0" borderId="245" xfId="0" applyNumberFormat="1" applyFont="1" applyBorder="1" applyAlignment="1">
      <alignment horizontal="center" vertical="center"/>
    </xf>
    <xf numFmtId="0" fontId="0" fillId="0" borderId="69" xfId="0" applyBorder="1" applyAlignment="1">
      <alignment horizontal="right" vertical="center"/>
    </xf>
    <xf numFmtId="0" fontId="0" fillId="115" borderId="69" xfId="0" applyFill="1" applyBorder="1" applyAlignment="1">
      <alignment horizontal="right" vertical="center"/>
    </xf>
    <xf numFmtId="1" fontId="0" fillId="0" borderId="245" xfId="0" applyNumberFormat="1" applyBorder="1" applyAlignment="1">
      <alignment horizontal="center" vertical="center"/>
    </xf>
    <xf numFmtId="0" fontId="0" fillId="0" borderId="98" xfId="0" applyBorder="1" applyAlignment="1">
      <alignment horizontal="center"/>
    </xf>
    <xf numFmtId="0" fontId="0" fillId="0" borderId="98" xfId="0" applyBorder="1"/>
    <xf numFmtId="0" fontId="0" fillId="0" borderId="98" xfId="0" applyBorder="1" applyAlignment="1">
      <alignment horizontal="right" vertical="center"/>
    </xf>
    <xf numFmtId="1" fontId="0" fillId="115" borderId="98" xfId="0" applyNumberFormat="1" applyFill="1" applyBorder="1" applyAlignment="1">
      <alignment horizontal="right" vertical="center"/>
    </xf>
    <xf numFmtId="0" fontId="0" fillId="0" borderId="98" xfId="0" applyBorder="1" applyAlignment="1">
      <alignment horizontal="right"/>
    </xf>
    <xf numFmtId="1" fontId="0" fillId="115" borderId="98" xfId="0" applyNumberFormat="1" applyFill="1" applyBorder="1" applyAlignment="1">
      <alignment horizontal="right"/>
    </xf>
    <xf numFmtId="0" fontId="0" fillId="0" borderId="98" xfId="0" applyBorder="1" applyAlignment="1">
      <alignment horizontal="center" vertical="center"/>
    </xf>
    <xf numFmtId="1" fontId="2" fillId="0" borderId="98" xfId="0" applyNumberFormat="1" applyFont="1" applyBorder="1" applyAlignment="1">
      <alignment horizontal="center" vertical="center"/>
    </xf>
    <xf numFmtId="1" fontId="0" fillId="0" borderId="98" xfId="0" applyNumberFormat="1" applyBorder="1" applyAlignment="1">
      <alignment horizontal="center" vertical="center"/>
    </xf>
    <xf numFmtId="1" fontId="0" fillId="0" borderId="246" xfId="0" applyNumberFormat="1" applyBorder="1" applyAlignment="1">
      <alignment horizontal="center" vertical="center"/>
    </xf>
    <xf numFmtId="0" fontId="0" fillId="0" borderId="2" xfId="0" applyBorder="1" applyAlignment="1">
      <alignment horizontal="center"/>
    </xf>
    <xf numFmtId="0" fontId="0" fillId="0" borderId="2" xfId="0" applyBorder="1"/>
    <xf numFmtId="1" fontId="0" fillId="0" borderId="2" xfId="0" applyNumberFormat="1" applyBorder="1" applyAlignment="1">
      <alignment horizontal="right" vertical="center"/>
    </xf>
    <xf numFmtId="1" fontId="0" fillId="115" borderId="2" xfId="0" applyNumberFormat="1" applyFill="1" applyBorder="1" applyAlignment="1">
      <alignment horizontal="right" vertical="center"/>
    </xf>
    <xf numFmtId="1" fontId="0" fillId="0" borderId="2" xfId="0" applyNumberFormat="1" applyBorder="1" applyAlignment="1">
      <alignment horizontal="right"/>
    </xf>
    <xf numFmtId="1" fontId="0" fillId="115" borderId="2" xfId="0" applyNumberFormat="1" applyFill="1" applyBorder="1" applyAlignment="1">
      <alignment horizontal="right"/>
    </xf>
    <xf numFmtId="1" fontId="0" fillId="0" borderId="2" xfId="0" applyNumberFormat="1" applyBorder="1" applyAlignment="1">
      <alignment horizontal="center" vertical="center"/>
    </xf>
    <xf numFmtId="1" fontId="2" fillId="0" borderId="2" xfId="0" applyNumberFormat="1" applyFont="1" applyBorder="1" applyAlignment="1">
      <alignment horizontal="center" vertical="center"/>
    </xf>
    <xf numFmtId="1" fontId="0" fillId="0" borderId="247" xfId="0" applyNumberFormat="1" applyBorder="1" applyAlignment="1">
      <alignment horizontal="center" vertical="center"/>
    </xf>
    <xf numFmtId="1" fontId="2" fillId="0" borderId="247" xfId="0" applyNumberFormat="1" applyFont="1" applyBorder="1" applyAlignment="1">
      <alignment horizontal="center" vertical="center"/>
    </xf>
    <xf numFmtId="17" fontId="52" fillId="0" borderId="0" xfId="0" quotePrefix="1" applyNumberFormat="1" applyFont="1" applyBorder="1" applyAlignment="1"/>
    <xf numFmtId="17" fontId="52" fillId="0" borderId="0" xfId="0" applyNumberFormat="1" applyFont="1" applyBorder="1" applyAlignment="1"/>
    <xf numFmtId="17" fontId="52" fillId="0" borderId="234" xfId="0" quotePrefix="1" applyNumberFormat="1" applyFont="1" applyBorder="1" applyAlignment="1">
      <alignment horizontal="center"/>
    </xf>
    <xf numFmtId="0" fontId="0" fillId="0" borderId="251" xfId="0" applyBorder="1"/>
    <xf numFmtId="0" fontId="0" fillId="0" borderId="252" xfId="0" applyBorder="1"/>
    <xf numFmtId="0" fontId="120" fillId="116" borderId="256" xfId="5" applyNumberFormat="1" applyFont="1" applyFill="1" applyBorder="1" applyAlignment="1">
      <alignment horizontal="center" vertical="center" wrapText="1"/>
    </xf>
    <xf numFmtId="0" fontId="120" fillId="116" borderId="257" xfId="5" applyNumberFormat="1" applyFont="1" applyFill="1" applyBorder="1" applyAlignment="1">
      <alignment horizontal="center" vertical="center" wrapText="1"/>
    </xf>
    <xf numFmtId="0" fontId="40" fillId="0" borderId="0" xfId="5" applyFont="1" applyBorder="1" applyAlignment="1">
      <alignment horizontal="center" vertical="center" wrapText="1"/>
    </xf>
    <xf numFmtId="178" fontId="40" fillId="0" borderId="0" xfId="21" applyNumberFormat="1" applyFont="1" applyBorder="1" applyAlignment="1">
      <alignment horizontal="center" vertical="center" wrapText="1"/>
    </xf>
    <xf numFmtId="0" fontId="40" fillId="0" borderId="258" xfId="5" applyFont="1" applyBorder="1" applyAlignment="1">
      <alignment horizontal="center" vertical="center" wrapText="1"/>
    </xf>
    <xf numFmtId="10" fontId="0" fillId="50" borderId="259" xfId="26" applyNumberFormat="1" applyFont="1" applyFill="1" applyBorder="1"/>
    <xf numFmtId="10" fontId="0" fillId="50" borderId="260" xfId="26" applyNumberFormat="1" applyFont="1" applyFill="1" applyBorder="1"/>
    <xf numFmtId="0" fontId="39" fillId="0" borderId="0" xfId="5" applyFont="1" applyBorder="1"/>
    <xf numFmtId="178" fontId="39" fillId="0" borderId="0" xfId="21" applyNumberFormat="1" applyFont="1" applyBorder="1"/>
    <xf numFmtId="179" fontId="39" fillId="0" borderId="0" xfId="5" applyNumberFormat="1" applyFont="1" applyBorder="1"/>
    <xf numFmtId="180" fontId="39" fillId="0" borderId="0" xfId="5" applyNumberFormat="1" applyFont="1" applyBorder="1"/>
    <xf numFmtId="180" fontId="39" fillId="0" borderId="172" xfId="5" applyNumberFormat="1" applyFont="1" applyBorder="1"/>
    <xf numFmtId="10" fontId="0" fillId="0" borderId="261" xfId="26" applyNumberFormat="1" applyFont="1" applyFill="1" applyBorder="1"/>
    <xf numFmtId="10" fontId="0" fillId="0" borderId="262" xfId="26" applyNumberFormat="1" applyFont="1" applyFill="1" applyBorder="1"/>
    <xf numFmtId="181" fontId="39" fillId="0" borderId="0" xfId="21" applyNumberFormat="1" applyFont="1" applyBorder="1"/>
    <xf numFmtId="10" fontId="0" fillId="50" borderId="263" xfId="26" applyNumberFormat="1" applyFont="1" applyFill="1" applyBorder="1"/>
    <xf numFmtId="10" fontId="0" fillId="50" borderId="264" xfId="26" applyNumberFormat="1" applyFont="1" applyFill="1" applyBorder="1"/>
    <xf numFmtId="10" fontId="0" fillId="50" borderId="265" xfId="26" applyNumberFormat="1" applyFont="1" applyFill="1" applyBorder="1"/>
    <xf numFmtId="10" fontId="0" fillId="50" borderId="266" xfId="26" applyNumberFormat="1" applyFont="1" applyFill="1" applyBorder="1"/>
    <xf numFmtId="10" fontId="0" fillId="50" borderId="267" xfId="26" applyNumberFormat="1" applyFont="1" applyFill="1" applyBorder="1"/>
    <xf numFmtId="10" fontId="0" fillId="50" borderId="268" xfId="26" applyNumberFormat="1" applyFont="1" applyFill="1" applyBorder="1"/>
    <xf numFmtId="0" fontId="39" fillId="0" borderId="234" xfId="5" applyFont="1" applyBorder="1"/>
    <xf numFmtId="181" fontId="39" fillId="0" borderId="234" xfId="21" applyNumberFormat="1" applyFont="1" applyBorder="1"/>
    <xf numFmtId="178" fontId="39" fillId="0" borderId="234" xfId="21" applyNumberFormat="1" applyFont="1" applyBorder="1"/>
    <xf numFmtId="179" fontId="39" fillId="0" borderId="234" xfId="5" applyNumberFormat="1" applyFont="1" applyBorder="1"/>
    <xf numFmtId="180" fontId="39" fillId="0" borderId="234" xfId="5" applyNumberFormat="1" applyFont="1" applyBorder="1"/>
    <xf numFmtId="180" fontId="39" fillId="0" borderId="235" xfId="5" applyNumberFormat="1" applyFont="1" applyBorder="1"/>
    <xf numFmtId="176" fontId="23" fillId="2" borderId="255" xfId="0" applyNumberFormat="1" applyFont="1" applyFill="1" applyBorder="1" applyAlignment="1">
      <alignment horizontal="center"/>
    </xf>
    <xf numFmtId="0" fontId="221" fillId="0" borderId="0" xfId="0" applyFont="1" applyFill="1" applyBorder="1"/>
    <xf numFmtId="4" fontId="81" fillId="0" borderId="224" xfId="1" applyNumberFormat="1" applyFont="1" applyFill="1" applyBorder="1" applyAlignment="1">
      <alignment horizontal="center" vertical="center"/>
    </xf>
    <xf numFmtId="4" fontId="81" fillId="0" borderId="222" xfId="1" applyNumberFormat="1" applyFont="1" applyFill="1" applyBorder="1" applyAlignment="1">
      <alignment horizontal="center" vertical="center"/>
    </xf>
    <xf numFmtId="1" fontId="221" fillId="0" borderId="0" xfId="0" applyNumberFormat="1" applyFont="1" applyFill="1" applyBorder="1"/>
    <xf numFmtId="1" fontId="0" fillId="53" borderId="222" xfId="11612" applyNumberFormat="1" applyFont="1" applyFill="1" applyBorder="1" applyAlignment="1">
      <alignment horizontal="center" vertical="center"/>
    </xf>
    <xf numFmtId="1" fontId="0" fillId="53" borderId="143" xfId="11612" applyNumberFormat="1" applyFont="1" applyFill="1" applyBorder="1" applyAlignment="1">
      <alignment horizontal="center" vertical="center"/>
    </xf>
    <xf numFmtId="0" fontId="0" fillId="53" borderId="222" xfId="0" applyFill="1" applyBorder="1" applyAlignment="1">
      <alignment horizontal="center" vertical="center"/>
    </xf>
    <xf numFmtId="0" fontId="0" fillId="117" borderId="243" xfId="0" applyFill="1" applyBorder="1" applyAlignment="1">
      <alignment horizontal="center" vertical="center"/>
    </xf>
    <xf numFmtId="1" fontId="0" fillId="0" borderId="276" xfId="0" applyNumberFormat="1" applyBorder="1" applyAlignment="1">
      <alignment horizontal="center" vertical="center"/>
    </xf>
    <xf numFmtId="0" fontId="0" fillId="0" borderId="66" xfId="0" applyBorder="1" applyAlignment="1">
      <alignment horizontal="center"/>
    </xf>
    <xf numFmtId="0" fontId="0" fillId="0" borderId="66" xfId="0" applyBorder="1"/>
    <xf numFmtId="0" fontId="0" fillId="0" borderId="250" xfId="0" applyBorder="1" applyAlignment="1">
      <alignment horizontal="center"/>
    </xf>
    <xf numFmtId="0" fontId="0" fillId="0" borderId="250" xfId="0" applyBorder="1"/>
    <xf numFmtId="0" fontId="0" fillId="0" borderId="59" xfId="0" applyBorder="1" applyAlignment="1">
      <alignment horizontal="center"/>
    </xf>
    <xf numFmtId="0" fontId="0" fillId="0" borderId="59" xfId="0" applyBorder="1"/>
    <xf numFmtId="1" fontId="0" fillId="0" borderId="278" xfId="0" applyNumberFormat="1" applyBorder="1" applyAlignment="1">
      <alignment horizontal="center" vertical="center"/>
    </xf>
    <xf numFmtId="1" fontId="2" fillId="0" borderId="278" xfId="0" applyNumberFormat="1" applyFont="1" applyBorder="1" applyAlignment="1">
      <alignment horizontal="center" vertical="center"/>
    </xf>
    <xf numFmtId="1" fontId="2" fillId="0" borderId="246" xfId="0" applyNumberFormat="1" applyFont="1" applyBorder="1" applyAlignment="1">
      <alignment horizontal="center" vertical="center"/>
    </xf>
    <xf numFmtId="175" fontId="3" fillId="0" borderId="143" xfId="0" applyNumberFormat="1" applyFont="1" applyFill="1" applyBorder="1"/>
    <xf numFmtId="0" fontId="118" fillId="14" borderId="161" xfId="0" applyFont="1" applyFill="1" applyBorder="1"/>
    <xf numFmtId="2" fontId="3" fillId="14" borderId="161" xfId="0" applyNumberFormat="1" applyFont="1" applyFill="1" applyBorder="1"/>
    <xf numFmtId="175" fontId="3" fillId="14" borderId="144" xfId="0" applyNumberFormat="1" applyFont="1" applyFill="1" applyBorder="1"/>
    <xf numFmtId="0" fontId="3" fillId="14" borderId="161" xfId="0" applyFont="1" applyFill="1" applyBorder="1"/>
    <xf numFmtId="176" fontId="23" fillId="14" borderId="161" xfId="0" applyNumberFormat="1" applyFont="1" applyFill="1" applyBorder="1" applyAlignment="1">
      <alignment horizontal="right"/>
    </xf>
    <xf numFmtId="0" fontId="0" fillId="0" borderId="248" xfId="0" applyBorder="1" applyAlignment="1">
      <alignment horizontal="center" vertical="center"/>
    </xf>
    <xf numFmtId="0" fontId="0" fillId="0" borderId="230" xfId="0" applyBorder="1" applyAlignment="1">
      <alignment horizontal="center" vertical="center"/>
    </xf>
    <xf numFmtId="0" fontId="0" fillId="0" borderId="249" xfId="0" applyBorder="1" applyAlignment="1">
      <alignment horizontal="center" vertical="center"/>
    </xf>
    <xf numFmtId="0" fontId="0" fillId="0" borderId="120" xfId="0" applyBorder="1" applyAlignment="1">
      <alignment horizontal="center" vertical="center" wrapText="1"/>
    </xf>
    <xf numFmtId="0" fontId="0" fillId="0" borderId="66" xfId="0" applyBorder="1" applyAlignment="1">
      <alignment horizontal="center" vertical="center" wrapText="1"/>
    </xf>
    <xf numFmtId="0" fontId="0" fillId="0" borderId="250" xfId="0" applyBorder="1" applyAlignment="1">
      <alignment horizontal="center" vertical="center" wrapText="1"/>
    </xf>
    <xf numFmtId="0" fontId="2" fillId="0" borderId="37" xfId="0" applyFont="1" applyFill="1" applyBorder="1" applyAlignment="1">
      <alignment horizontal="center" vertical="center"/>
    </xf>
    <xf numFmtId="0" fontId="2" fillId="0" borderId="243" xfId="0" applyFont="1" applyFill="1" applyBorder="1" applyAlignment="1">
      <alignment horizontal="center" vertical="center"/>
    </xf>
    <xf numFmtId="0" fontId="2" fillId="0" borderId="44" xfId="0" applyFont="1" applyFill="1" applyBorder="1" applyAlignment="1">
      <alignment horizontal="center" vertical="center"/>
    </xf>
    <xf numFmtId="0" fontId="2" fillId="0" borderId="45" xfId="0" applyFont="1" applyFill="1" applyBorder="1" applyAlignment="1">
      <alignment horizontal="center" vertical="center"/>
    </xf>
    <xf numFmtId="0" fontId="0" fillId="11" borderId="66" xfId="0" applyFill="1" applyBorder="1"/>
    <xf numFmtId="0" fontId="0" fillId="118" borderId="243" xfId="0" applyFill="1" applyBorder="1" applyAlignment="1">
      <alignment horizontal="center" vertical="center"/>
    </xf>
    <xf numFmtId="0" fontId="2" fillId="0" borderId="286" xfId="0" applyFont="1" applyFill="1" applyBorder="1" applyAlignment="1">
      <alignment horizontal="center" vertical="center"/>
    </xf>
    <xf numFmtId="0" fontId="2" fillId="0" borderId="143" xfId="0" applyFont="1" applyFill="1" applyBorder="1" applyAlignment="1">
      <alignment horizontal="center" vertical="center"/>
    </xf>
    <xf numFmtId="0" fontId="2" fillId="117" borderId="143" xfId="0" applyFont="1" applyFill="1" applyBorder="1" applyAlignment="1">
      <alignment horizontal="center" vertical="center"/>
    </xf>
    <xf numFmtId="0" fontId="2" fillId="118" borderId="143" xfId="0" applyFont="1" applyFill="1" applyBorder="1" applyAlignment="1">
      <alignment horizontal="center" vertical="center"/>
    </xf>
    <xf numFmtId="0" fontId="0" fillId="117" borderId="45" xfId="0" applyFill="1" applyBorder="1" applyAlignment="1">
      <alignment horizontal="center" vertical="center"/>
    </xf>
    <xf numFmtId="0" fontId="0" fillId="118" borderId="45" xfId="0" applyFill="1" applyBorder="1" applyAlignment="1">
      <alignment horizontal="center" vertical="center"/>
    </xf>
    <xf numFmtId="0" fontId="0" fillId="11" borderId="120" xfId="0" applyFill="1" applyBorder="1" applyAlignment="1">
      <alignment horizontal="center"/>
    </xf>
    <xf numFmtId="0" fontId="0" fillId="11" borderId="120" xfId="0" applyFill="1" applyBorder="1"/>
    <xf numFmtId="1" fontId="0" fillId="14" borderId="87" xfId="0" applyNumberFormat="1" applyFill="1" applyBorder="1" applyAlignment="1">
      <alignment horizontal="center" vertical="center"/>
    </xf>
    <xf numFmtId="1" fontId="0" fillId="0" borderId="87" xfId="0" applyNumberFormat="1" applyFont="1" applyFill="1" applyBorder="1" applyAlignment="1">
      <alignment horizontal="center" vertical="center"/>
    </xf>
    <xf numFmtId="1" fontId="0" fillId="0" borderId="101" xfId="0" applyNumberFormat="1" applyFont="1" applyFill="1" applyBorder="1" applyAlignment="1">
      <alignment horizontal="center" vertical="center"/>
    </xf>
    <xf numFmtId="1" fontId="0" fillId="14" borderId="287" xfId="0" applyNumberFormat="1" applyFill="1" applyBorder="1" applyAlignment="1">
      <alignment horizontal="center" vertical="center"/>
    </xf>
    <xf numFmtId="175" fontId="0" fillId="0" borderId="275" xfId="0" applyNumberFormat="1" applyFont="1" applyFill="1" applyBorder="1" applyAlignment="1">
      <alignment horizontal="center" vertical="center"/>
    </xf>
    <xf numFmtId="1" fontId="0" fillId="14" borderId="100" xfId="0" applyNumberFormat="1" applyFill="1" applyBorder="1" applyAlignment="1">
      <alignment horizontal="center" vertical="center"/>
    </xf>
    <xf numFmtId="0" fontId="0" fillId="11" borderId="66" xfId="0" applyFill="1" applyBorder="1" applyAlignment="1">
      <alignment horizontal="center"/>
    </xf>
    <xf numFmtId="1" fontId="0" fillId="14" borderId="2" xfId="0" applyNumberFormat="1" applyFill="1" applyBorder="1" applyAlignment="1">
      <alignment horizontal="center" vertical="center"/>
    </xf>
    <xf numFmtId="1" fontId="0" fillId="0" borderId="2" xfId="0" applyNumberFormat="1" applyFont="1" applyFill="1" applyBorder="1" applyAlignment="1">
      <alignment horizontal="center" vertical="center"/>
    </xf>
    <xf numFmtId="0" fontId="0" fillId="0" borderId="288" xfId="0" applyBorder="1" applyAlignment="1">
      <alignment horizontal="center" vertical="center"/>
    </xf>
    <xf numFmtId="1" fontId="0" fillId="14" borderId="289" xfId="0" applyNumberFormat="1" applyFill="1" applyBorder="1" applyAlignment="1">
      <alignment horizontal="center" vertical="center"/>
    </xf>
    <xf numFmtId="175" fontId="0" fillId="0" borderId="247" xfId="0" applyNumberFormat="1" applyFont="1" applyFill="1" applyBorder="1" applyAlignment="1">
      <alignment horizontal="center" vertical="center"/>
    </xf>
    <xf numFmtId="1" fontId="0" fillId="14" borderId="27" xfId="0" applyNumberFormat="1" applyFill="1" applyBorder="1" applyAlignment="1">
      <alignment horizontal="center" vertical="center"/>
    </xf>
    <xf numFmtId="1" fontId="0" fillId="0" borderId="288" xfId="0" applyNumberFormat="1" applyBorder="1" applyAlignment="1">
      <alignment horizontal="center" vertical="center"/>
    </xf>
    <xf numFmtId="1" fontId="0" fillId="0" borderId="288" xfId="0" applyNumberFormat="1" applyFont="1" applyFill="1" applyBorder="1" applyAlignment="1">
      <alignment horizontal="center" vertical="center"/>
    </xf>
    <xf numFmtId="1" fontId="0" fillId="0" borderId="288" xfId="0" applyNumberFormat="1" applyBorder="1" applyAlignment="1">
      <alignment horizontal="center"/>
    </xf>
    <xf numFmtId="0" fontId="0" fillId="0" borderId="288" xfId="0" applyBorder="1" applyAlignment="1">
      <alignment horizontal="center"/>
    </xf>
    <xf numFmtId="1" fontId="0" fillId="14" borderId="250" xfId="0" applyNumberFormat="1" applyFill="1" applyBorder="1" applyAlignment="1">
      <alignment horizontal="center" vertical="center"/>
    </xf>
    <xf numFmtId="1" fontId="0" fillId="0" borderId="250" xfId="0" applyNumberFormat="1" applyFont="1" applyFill="1" applyBorder="1" applyAlignment="1">
      <alignment horizontal="center" vertical="center"/>
    </xf>
    <xf numFmtId="1" fontId="0" fillId="0" borderId="238" xfId="0" applyNumberFormat="1" applyFont="1" applyFill="1" applyBorder="1" applyAlignment="1">
      <alignment horizontal="center" vertical="center"/>
    </xf>
    <xf numFmtId="1" fontId="0" fillId="14" borderId="249" xfId="0" applyNumberFormat="1" applyFill="1" applyBorder="1" applyAlignment="1">
      <alignment horizontal="center" vertical="center"/>
    </xf>
    <xf numFmtId="175" fontId="0" fillId="0" borderId="290" xfId="0" applyNumberFormat="1" applyFont="1" applyFill="1" applyBorder="1" applyAlignment="1">
      <alignment horizontal="center" vertical="center"/>
    </xf>
    <xf numFmtId="1" fontId="0" fillId="14" borderId="291" xfId="0" applyNumberFormat="1" applyFill="1" applyBorder="1" applyAlignment="1">
      <alignment horizontal="center" vertical="center"/>
    </xf>
    <xf numFmtId="1" fontId="0" fillId="0" borderId="4" xfId="0" applyNumberFormat="1" applyFont="1" applyFill="1" applyBorder="1" applyAlignment="1">
      <alignment horizontal="center" vertical="center"/>
    </xf>
    <xf numFmtId="1" fontId="0" fillId="0" borderId="247" xfId="0" applyNumberFormat="1" applyFont="1" applyFill="1" applyBorder="1" applyAlignment="1">
      <alignment horizontal="center" vertical="center"/>
    </xf>
    <xf numFmtId="1" fontId="0" fillId="14" borderId="277" xfId="0" applyNumberFormat="1" applyFill="1" applyBorder="1" applyAlignment="1">
      <alignment horizontal="center" vertical="center"/>
    </xf>
    <xf numFmtId="1" fontId="0" fillId="0" borderId="277" xfId="0" applyNumberFormat="1" applyFont="1" applyFill="1" applyBorder="1" applyAlignment="1">
      <alignment horizontal="center" vertical="center"/>
    </xf>
    <xf numFmtId="1" fontId="3" fillId="0" borderId="292" xfId="0" applyNumberFormat="1" applyFont="1" applyFill="1" applyBorder="1" applyAlignment="1">
      <alignment horizontal="center" vertical="center"/>
    </xf>
    <xf numFmtId="1" fontId="0" fillId="14" borderId="293" xfId="0" applyNumberFormat="1" applyFill="1" applyBorder="1" applyAlignment="1">
      <alignment horizontal="center" vertical="center"/>
    </xf>
    <xf numFmtId="1" fontId="0" fillId="0" borderId="278" xfId="0" applyNumberFormat="1" applyFont="1" applyFill="1" applyBorder="1" applyAlignment="1">
      <alignment horizontal="center" vertical="center"/>
    </xf>
    <xf numFmtId="1" fontId="0" fillId="14" borderId="294" xfId="0" applyNumberFormat="1" applyFill="1" applyBorder="1" applyAlignment="1">
      <alignment horizontal="center" vertical="center"/>
    </xf>
    <xf numFmtId="1" fontId="0" fillId="14" borderId="69" xfId="0" applyNumberFormat="1" applyFill="1" applyBorder="1" applyAlignment="1">
      <alignment horizontal="center" vertical="center"/>
    </xf>
    <xf numFmtId="1" fontId="0" fillId="0" borderId="69" xfId="0" applyNumberFormat="1" applyFont="1" applyFill="1" applyBorder="1" applyAlignment="1">
      <alignment horizontal="center" vertical="center"/>
    </xf>
    <xf numFmtId="175" fontId="0" fillId="0" borderId="69" xfId="0" applyNumberFormat="1" applyFont="1" applyFill="1" applyBorder="1" applyAlignment="1">
      <alignment horizontal="center" vertical="center"/>
    </xf>
    <xf numFmtId="1" fontId="1" fillId="0" borderId="288" xfId="0" applyNumberFormat="1" applyFont="1" applyFill="1" applyBorder="1" applyAlignment="1">
      <alignment horizontal="center" vertical="center"/>
    </xf>
    <xf numFmtId="1" fontId="0" fillId="14" borderId="295" xfId="0" applyNumberFormat="1" applyFill="1" applyBorder="1" applyAlignment="1">
      <alignment horizontal="center" vertical="center"/>
    </xf>
    <xf numFmtId="1" fontId="1" fillId="0" borderId="245" xfId="0" applyNumberFormat="1" applyFont="1" applyFill="1" applyBorder="1" applyAlignment="1">
      <alignment horizontal="center" vertical="center"/>
    </xf>
    <xf numFmtId="1" fontId="0" fillId="14" borderId="239" xfId="0" applyNumberFormat="1" applyFill="1" applyBorder="1" applyAlignment="1">
      <alignment horizontal="center" vertical="center"/>
    </xf>
    <xf numFmtId="1" fontId="2" fillId="0" borderId="69" xfId="0" applyNumberFormat="1" applyFont="1" applyFill="1" applyBorder="1" applyAlignment="1">
      <alignment horizontal="center" vertical="center"/>
    </xf>
    <xf numFmtId="1" fontId="0" fillId="14" borderId="98" xfId="0" applyNumberFormat="1" applyFill="1" applyBorder="1" applyAlignment="1">
      <alignment horizontal="center" vertical="center"/>
    </xf>
    <xf numFmtId="1" fontId="0" fillId="0" borderId="98" xfId="0" applyNumberFormat="1" applyFont="1" applyFill="1" applyBorder="1" applyAlignment="1">
      <alignment horizontal="center" vertical="center"/>
    </xf>
    <xf numFmtId="1" fontId="1" fillId="0" borderId="238" xfId="0" applyNumberFormat="1" applyFont="1" applyFill="1" applyBorder="1" applyAlignment="1">
      <alignment horizontal="center" vertical="center"/>
    </xf>
    <xf numFmtId="1" fontId="0" fillId="14" borderId="296" xfId="0" applyNumberFormat="1" applyFill="1" applyBorder="1" applyAlignment="1">
      <alignment horizontal="center" vertical="center"/>
    </xf>
    <xf numFmtId="1" fontId="0" fillId="14" borderId="237" xfId="0" applyNumberFormat="1" applyFill="1" applyBorder="1" applyAlignment="1">
      <alignment horizontal="center" vertical="center"/>
    </xf>
    <xf numFmtId="1" fontId="2" fillId="0" borderId="98" xfId="0" applyNumberFormat="1" applyFont="1" applyFill="1" applyBorder="1" applyAlignment="1">
      <alignment horizontal="center" vertical="center"/>
    </xf>
    <xf numFmtId="1" fontId="2" fillId="0" borderId="277" xfId="0" applyNumberFormat="1" applyFont="1" applyFill="1" applyBorder="1" applyAlignment="1">
      <alignment horizontal="center" vertical="center"/>
    </xf>
    <xf numFmtId="1" fontId="1" fillId="0" borderId="292" xfId="0" applyNumberFormat="1" applyFont="1" applyFill="1" applyBorder="1" applyAlignment="1">
      <alignment horizontal="center" vertical="center"/>
    </xf>
    <xf numFmtId="1" fontId="0" fillId="0" borderId="245" xfId="0" applyNumberFormat="1" applyFont="1" applyFill="1" applyBorder="1" applyAlignment="1">
      <alignment horizontal="center" vertical="center"/>
    </xf>
    <xf numFmtId="1" fontId="0" fillId="0" borderId="277" xfId="0" applyNumberFormat="1" applyBorder="1" applyAlignment="1">
      <alignment horizontal="center" vertical="center"/>
    </xf>
    <xf numFmtId="1" fontId="1" fillId="0" borderId="4" xfId="0" applyNumberFormat="1" applyFont="1" applyFill="1" applyBorder="1" applyAlignment="1">
      <alignment horizontal="center" vertical="center"/>
    </xf>
    <xf numFmtId="1" fontId="0" fillId="0" borderId="238" xfId="0" applyNumberFormat="1" applyBorder="1" applyAlignment="1">
      <alignment horizontal="center" vertical="center"/>
    </xf>
    <xf numFmtId="0" fontId="228" fillId="0" borderId="0" xfId="0" applyFont="1" applyFill="1"/>
    <xf numFmtId="0" fontId="68" fillId="0" borderId="0" xfId="0" applyFont="1" applyFill="1" applyAlignment="1">
      <alignment horizontal="center"/>
    </xf>
    <xf numFmtId="0" fontId="68" fillId="0" borderId="0" xfId="0" applyFont="1" applyFill="1" applyBorder="1"/>
    <xf numFmtId="1" fontId="68" fillId="0" borderId="0" xfId="0" applyNumberFormat="1" applyFont="1" applyFill="1" applyBorder="1"/>
    <xf numFmtId="0" fontId="229" fillId="0" borderId="0" xfId="0" applyFont="1" applyFill="1"/>
    <xf numFmtId="0" fontId="68" fillId="0" borderId="0" xfId="0" applyFont="1" applyFill="1"/>
    <xf numFmtId="2" fontId="228" fillId="0" borderId="0" xfId="0" applyNumberFormat="1" applyFont="1" applyFill="1"/>
    <xf numFmtId="175" fontId="230" fillId="0" borderId="0" xfId="0" applyNumberFormat="1" applyFont="1" applyFill="1" applyAlignment="1">
      <alignment horizontal="right" vertical="center"/>
    </xf>
    <xf numFmtId="0" fontId="90" fillId="0" borderId="0" xfId="0" applyFont="1" applyFill="1"/>
    <xf numFmtId="9" fontId="228" fillId="0" borderId="0" xfId="11162" applyFont="1" applyFill="1"/>
    <xf numFmtId="175" fontId="90" fillId="0" borderId="0" xfId="0" applyNumberFormat="1" applyFont="1" applyFill="1"/>
    <xf numFmtId="1" fontId="90" fillId="0" borderId="0" xfId="0" applyNumberFormat="1" applyFont="1" applyFill="1"/>
    <xf numFmtId="1" fontId="228" fillId="0" borderId="0" xfId="0" applyNumberFormat="1" applyFont="1" applyFill="1"/>
    <xf numFmtId="0" fontId="86" fillId="0" borderId="26" xfId="0" applyFont="1" applyFill="1" applyBorder="1" applyAlignment="1">
      <alignment horizontal="center" vertical="center"/>
    </xf>
    <xf numFmtId="0" fontId="86" fillId="0" borderId="26" xfId="0" applyFont="1" applyFill="1" applyBorder="1" applyAlignment="1">
      <alignment horizontal="center"/>
    </xf>
    <xf numFmtId="0" fontId="231" fillId="0" borderId="26" xfId="0" applyFont="1" applyFill="1" applyBorder="1" applyAlignment="1">
      <alignment horizontal="center"/>
    </xf>
    <xf numFmtId="0" fontId="86" fillId="0" borderId="143" xfId="0" applyFont="1" applyFill="1" applyBorder="1" applyAlignment="1">
      <alignment horizontal="center"/>
    </xf>
    <xf numFmtId="0" fontId="2" fillId="0" borderId="143" xfId="0" applyFont="1" applyFill="1" applyBorder="1" applyAlignment="1">
      <alignment horizontal="center"/>
    </xf>
    <xf numFmtId="9" fontId="228" fillId="0" borderId="109" xfId="11162" applyFont="1" applyFill="1" applyBorder="1" applyAlignment="1">
      <alignment horizontal="center" vertical="center"/>
    </xf>
    <xf numFmtId="0" fontId="228" fillId="0" borderId="107" xfId="0" applyFont="1" applyFill="1" applyBorder="1" applyAlignment="1">
      <alignment horizontal="center"/>
    </xf>
    <xf numFmtId="0" fontId="229" fillId="0" borderId="108" xfId="0" applyFont="1" applyFill="1" applyBorder="1"/>
    <xf numFmtId="1" fontId="228" fillId="0" borderId="297" xfId="0" applyNumberFormat="1" applyFont="1" applyFill="1" applyBorder="1" applyAlignment="1">
      <alignment horizontal="center" vertical="center"/>
    </xf>
    <xf numFmtId="1" fontId="228" fillId="0" borderId="180" xfId="0" applyNumberFormat="1" applyFont="1" applyFill="1" applyBorder="1" applyAlignment="1">
      <alignment horizontal="center" vertical="center"/>
    </xf>
    <xf numFmtId="1" fontId="90" fillId="0" borderId="180" xfId="0" applyNumberFormat="1" applyFont="1" applyFill="1" applyBorder="1" applyAlignment="1">
      <alignment horizontal="center" vertical="center"/>
    </xf>
    <xf numFmtId="1" fontId="228" fillId="0" borderId="229" xfId="0" applyNumberFormat="1" applyFont="1" applyFill="1" applyBorder="1" applyAlignment="1">
      <alignment horizontal="center" vertical="center"/>
    </xf>
    <xf numFmtId="9" fontId="228" fillId="0" borderId="156" xfId="11162" applyFont="1" applyFill="1" applyBorder="1" applyAlignment="1">
      <alignment horizontal="center" vertical="center"/>
    </xf>
    <xf numFmtId="0" fontId="228" fillId="0" borderId="155" xfId="0" applyFont="1" applyFill="1" applyBorder="1" applyAlignment="1">
      <alignment horizontal="center"/>
    </xf>
    <xf numFmtId="0" fontId="229" fillId="0" borderId="143" xfId="0" applyFont="1" applyFill="1" applyBorder="1"/>
    <xf numFmtId="1" fontId="228" fillId="0" borderId="67" xfId="0" applyNumberFormat="1" applyFont="1" applyFill="1" applyBorder="1" applyAlignment="1">
      <alignment horizontal="center" vertical="center"/>
    </xf>
    <xf numFmtId="1" fontId="228" fillId="0" borderId="0" xfId="0" applyNumberFormat="1" applyFont="1" applyFill="1" applyBorder="1" applyAlignment="1">
      <alignment horizontal="center" vertical="center"/>
    </xf>
    <xf numFmtId="1" fontId="90" fillId="0" borderId="0" xfId="0" applyNumberFormat="1" applyFont="1" applyFill="1" applyBorder="1" applyAlignment="1">
      <alignment horizontal="center" vertical="center"/>
    </xf>
    <xf numFmtId="1" fontId="228" fillId="0" borderId="65" xfId="0" applyNumberFormat="1" applyFont="1" applyFill="1" applyBorder="1" applyAlignment="1">
      <alignment horizontal="center" vertical="center"/>
    </xf>
    <xf numFmtId="9" fontId="228" fillId="0" borderId="171" xfId="11162" applyFont="1" applyFill="1" applyBorder="1" applyAlignment="1">
      <alignment horizontal="center" vertical="center"/>
    </xf>
    <xf numFmtId="0" fontId="228" fillId="0" borderId="167" xfId="0" applyFont="1" applyFill="1" applyBorder="1" applyAlignment="1">
      <alignment horizontal="center"/>
    </xf>
    <xf numFmtId="0" fontId="229" fillId="0" borderId="45" xfId="0" applyFont="1" applyFill="1" applyBorder="1"/>
    <xf numFmtId="1" fontId="228" fillId="0" borderId="76" xfId="0" applyNumberFormat="1" applyFont="1" applyFill="1" applyBorder="1" applyAlignment="1">
      <alignment horizontal="center" vertical="center"/>
    </xf>
    <xf numFmtId="1" fontId="228" fillId="0" borderId="50" xfId="0" applyNumberFormat="1" applyFont="1" applyFill="1" applyBorder="1" applyAlignment="1">
      <alignment horizontal="center" vertical="center"/>
    </xf>
    <xf numFmtId="1" fontId="90" fillId="0" borderId="50" xfId="0" applyNumberFormat="1" applyFont="1" applyFill="1" applyBorder="1" applyAlignment="1">
      <alignment horizontal="center" vertical="center"/>
    </xf>
    <xf numFmtId="1" fontId="228" fillId="0" borderId="77" xfId="0" applyNumberFormat="1" applyFont="1" applyFill="1" applyBorder="1" applyAlignment="1">
      <alignment horizontal="center" vertical="center"/>
    </xf>
    <xf numFmtId="0" fontId="231" fillId="0" borderId="8" xfId="0" applyFont="1" applyFill="1" applyBorder="1"/>
    <xf numFmtId="0" fontId="228" fillId="0" borderId="143" xfId="0" applyFont="1" applyFill="1" applyBorder="1" applyAlignment="1">
      <alignment horizontal="center" vertical="center"/>
    </xf>
    <xf numFmtId="0" fontId="90" fillId="0" borderId="143" xfId="0" applyFont="1" applyFill="1" applyBorder="1" applyAlignment="1">
      <alignment horizontal="center" vertical="center"/>
    </xf>
    <xf numFmtId="0" fontId="232" fillId="119" borderId="0" xfId="0" applyFont="1" applyFill="1" applyAlignment="1">
      <alignment horizontal="center"/>
    </xf>
    <xf numFmtId="0" fontId="228" fillId="91" borderId="0" xfId="0" applyFont="1" applyFill="1" applyAlignment="1">
      <alignment horizontal="center"/>
    </xf>
    <xf numFmtId="203" fontId="228" fillId="91" borderId="0" xfId="26" applyNumberFormat="1" applyFont="1" applyFill="1" applyAlignment="1">
      <alignment horizontal="left"/>
    </xf>
    <xf numFmtId="175" fontId="0" fillId="18" borderId="0" xfId="0" applyNumberFormat="1" applyFill="1"/>
    <xf numFmtId="0" fontId="0" fillId="91" borderId="0" xfId="0" applyFill="1"/>
    <xf numFmtId="175" fontId="90" fillId="18" borderId="0" xfId="0" applyNumberFormat="1" applyFont="1" applyFill="1"/>
    <xf numFmtId="0" fontId="0" fillId="91" borderId="0" xfId="0" applyFill="1" applyAlignment="1">
      <alignment horizontal="center"/>
    </xf>
    <xf numFmtId="0" fontId="68" fillId="91" borderId="0" xfId="0" applyFont="1" applyFill="1" applyAlignment="1">
      <alignment horizontal="center"/>
    </xf>
    <xf numFmtId="0" fontId="228" fillId="53" borderId="0" xfId="0" applyFont="1" applyFill="1" applyAlignment="1">
      <alignment horizontal="left"/>
    </xf>
    <xf numFmtId="0" fontId="68" fillId="53" borderId="0" xfId="0" applyFont="1" applyFill="1" applyAlignment="1">
      <alignment horizontal="center"/>
    </xf>
    <xf numFmtId="0" fontId="0" fillId="53" borderId="0" xfId="0" applyFill="1"/>
    <xf numFmtId="2" fontId="0" fillId="91" borderId="0" xfId="0" applyNumberFormat="1" applyFill="1"/>
    <xf numFmtId="0" fontId="228" fillId="53" borderId="0" xfId="0" applyFont="1" applyFill="1"/>
    <xf numFmtId="0" fontId="228" fillId="18" borderId="0" xfId="0" applyFont="1" applyFill="1" applyAlignment="1">
      <alignment horizontal="center"/>
    </xf>
    <xf numFmtId="9" fontId="228" fillId="18" borderId="0" xfId="26" applyFont="1" applyFill="1"/>
    <xf numFmtId="0" fontId="3" fillId="0" borderId="0" xfId="0" applyFont="1" applyFill="1" applyBorder="1"/>
    <xf numFmtId="0" fontId="3" fillId="0" borderId="0" xfId="0" applyFont="1" applyFill="1" applyBorder="1" applyAlignment="1">
      <alignment horizontal="center"/>
    </xf>
    <xf numFmtId="175" fontId="3" fillId="0" borderId="0" xfId="0" applyNumberFormat="1" applyFont="1" applyFill="1"/>
    <xf numFmtId="9" fontId="3" fillId="0" borderId="0" xfId="26" applyFont="1" applyFill="1"/>
    <xf numFmtId="0" fontId="0" fillId="16" borderId="298" xfId="0" applyFill="1" applyBorder="1"/>
    <xf numFmtId="0" fontId="228" fillId="120" borderId="0" xfId="0" applyFont="1" applyFill="1"/>
    <xf numFmtId="175" fontId="228" fillId="120" borderId="0" xfId="0" applyNumberFormat="1" applyFont="1" applyFill="1"/>
    <xf numFmtId="2" fontId="228" fillId="120" borderId="0" xfId="0" applyNumberFormat="1" applyFont="1" applyFill="1" applyAlignment="1">
      <alignment horizontal="center" vertical="center"/>
    </xf>
    <xf numFmtId="0" fontId="68" fillId="120" borderId="0" xfId="0" applyFont="1" applyFill="1"/>
    <xf numFmtId="0" fontId="228" fillId="120" borderId="0" xfId="0" applyFont="1" applyFill="1" applyAlignment="1">
      <alignment horizontal="right"/>
    </xf>
    <xf numFmtId="0" fontId="228" fillId="120" borderId="0" xfId="0" applyFont="1" applyFill="1" applyAlignment="1">
      <alignment horizontal="center"/>
    </xf>
    <xf numFmtId="0" fontId="0" fillId="118" borderId="0" xfId="0" applyFill="1" applyAlignment="1">
      <alignment horizontal="center" vertical="center"/>
    </xf>
    <xf numFmtId="0" fontId="0" fillId="0" borderId="0" xfId="0" applyFill="1" applyAlignment="1">
      <alignment horizontal="center"/>
    </xf>
    <xf numFmtId="0" fontId="0" fillId="11" borderId="0" xfId="0" applyFill="1" applyAlignment="1">
      <alignment horizontal="center" vertical="center"/>
    </xf>
    <xf numFmtId="0" fontId="0" fillId="0" borderId="0" xfId="0" applyFill="1" applyAlignment="1">
      <alignment horizontal="center" vertical="center"/>
    </xf>
    <xf numFmtId="0" fontId="228" fillId="49" borderId="0" xfId="0" applyFont="1" applyFill="1"/>
    <xf numFmtId="1" fontId="0" fillId="0" borderId="33" xfId="0" applyNumberFormat="1" applyFont="1" applyFill="1" applyBorder="1" applyAlignment="1">
      <alignment horizontal="center" vertical="center"/>
    </xf>
    <xf numFmtId="1" fontId="0" fillId="0" borderId="300" xfId="0" applyNumberFormat="1" applyFont="1" applyFill="1" applyBorder="1" applyAlignment="1">
      <alignment horizontal="center" vertical="center"/>
    </xf>
    <xf numFmtId="1" fontId="0" fillId="0" borderId="66" xfId="0" applyNumberFormat="1" applyFont="1" applyFill="1" applyBorder="1" applyAlignment="1">
      <alignment horizontal="center" vertical="center"/>
    </xf>
    <xf numFmtId="0" fontId="125" fillId="29" borderId="66" xfId="0" applyFont="1" applyFill="1" applyBorder="1" applyAlignment="1">
      <alignment horizontal="center" vertical="center" wrapText="1"/>
    </xf>
    <xf numFmtId="0" fontId="125" fillId="29" borderId="49" xfId="0" applyFont="1" applyFill="1" applyBorder="1" applyAlignment="1">
      <alignment horizontal="center" vertical="center" wrapText="1"/>
    </xf>
    <xf numFmtId="0" fontId="0" fillId="0" borderId="26" xfId="0" applyBorder="1" applyAlignment="1">
      <alignment horizontal="center" vertical="center"/>
    </xf>
    <xf numFmtId="0" fontId="35" fillId="29" borderId="8" xfId="0" applyFont="1" applyFill="1" applyBorder="1" applyAlignment="1">
      <alignment horizontal="center" vertical="center" wrapText="1"/>
    </xf>
    <xf numFmtId="0" fontId="35" fillId="29" borderId="115" xfId="0" applyFont="1" applyFill="1" applyBorder="1" applyAlignment="1">
      <alignment horizontal="center" vertical="center" wrapText="1"/>
    </xf>
    <xf numFmtId="0" fontId="35" fillId="29" borderId="167" xfId="0" applyFont="1" applyFill="1" applyBorder="1" applyAlignment="1">
      <alignment horizontal="center" vertical="center" wrapText="1"/>
    </xf>
    <xf numFmtId="175" fontId="3" fillId="9" borderId="56" xfId="0" applyNumberFormat="1" applyFont="1" applyFill="1" applyBorder="1" applyAlignment="1">
      <alignment horizontal="right"/>
    </xf>
    <xf numFmtId="0" fontId="0" fillId="0" borderId="302" xfId="0" applyBorder="1"/>
    <xf numFmtId="0" fontId="94" fillId="108" borderId="26" xfId="0" applyFont="1" applyFill="1" applyBorder="1" applyAlignment="1">
      <alignment horizontal="center" vertical="center" wrapText="1"/>
    </xf>
    <xf numFmtId="175" fontId="2" fillId="50" borderId="21" xfId="0" applyNumberFormat="1" applyFont="1" applyFill="1" applyBorder="1" applyAlignment="1">
      <alignment horizontal="center" vertical="center" wrapText="1"/>
    </xf>
    <xf numFmtId="15" fontId="13" fillId="0" borderId="0" xfId="3" applyNumberFormat="1" applyFont="1" applyFill="1" applyBorder="1" applyAlignment="1">
      <alignment horizontal="center" vertical="center" wrapText="1"/>
    </xf>
    <xf numFmtId="175" fontId="3" fillId="0" borderId="305" xfId="0" applyNumberFormat="1" applyFont="1" applyBorder="1"/>
    <xf numFmtId="175" fontId="3" fillId="0" borderId="306" xfId="0" applyNumberFormat="1" applyFont="1" applyBorder="1"/>
    <xf numFmtId="175" fontId="3" fillId="14" borderId="303" xfId="0" applyNumberFormat="1" applyFont="1" applyFill="1" applyBorder="1"/>
    <xf numFmtId="175" fontId="3" fillId="14" borderId="304" xfId="0" applyNumberFormat="1" applyFont="1" applyFill="1" applyBorder="1"/>
    <xf numFmtId="0" fontId="0" fillId="0" borderId="0" xfId="0" applyNumberFormat="1" applyBorder="1" applyAlignment="1">
      <alignment horizontal="center" vertical="center"/>
    </xf>
    <xf numFmtId="0" fontId="2" fillId="29" borderId="307" xfId="0" applyFont="1" applyFill="1" applyBorder="1" applyAlignment="1">
      <alignment horizontal="center" vertical="center" wrapText="1"/>
    </xf>
    <xf numFmtId="0" fontId="35" fillId="29" borderId="307" xfId="0" applyFont="1" applyFill="1" applyBorder="1" applyAlignment="1">
      <alignment horizontal="center" vertical="center" wrapText="1"/>
    </xf>
    <xf numFmtId="0" fontId="0" fillId="0" borderId="0" xfId="0" applyAlignment="1" applyProtection="1">
      <alignment vertical="center" wrapText="1"/>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104" xfId="0" applyBorder="1" applyAlignment="1" applyProtection="1">
      <alignment vertical="center" wrapText="1"/>
      <protection locked="0"/>
    </xf>
    <xf numFmtId="0" fontId="239" fillId="11" borderId="312" xfId="0" applyFont="1" applyFill="1" applyBorder="1" applyAlignment="1" applyProtection="1">
      <alignment horizontal="center" vertical="center" wrapText="1"/>
      <protection locked="0"/>
    </xf>
    <xf numFmtId="3" fontId="0" fillId="0" borderId="314" xfId="0" applyNumberFormat="1" applyBorder="1" applyAlignment="1" applyProtection="1">
      <alignment horizontal="right" vertical="center"/>
      <protection locked="0"/>
    </xf>
    <xf numFmtId="3" fontId="0" fillId="0" borderId="319" xfId="0" applyNumberFormat="1" applyBorder="1" applyAlignment="1" applyProtection="1">
      <alignment horizontal="right" vertical="center"/>
      <protection locked="0"/>
    </xf>
    <xf numFmtId="0" fontId="0" fillId="0" borderId="305" xfId="0" applyBorder="1" applyAlignment="1">
      <alignment horizontal="center" vertical="center"/>
    </xf>
    <xf numFmtId="0" fontId="0" fillId="0" borderId="305" xfId="0" applyNumberFormat="1" applyBorder="1" applyAlignment="1">
      <alignment horizontal="center" vertical="center"/>
    </xf>
    <xf numFmtId="14" fontId="0" fillId="0" borderId="0" xfId="0" applyNumberFormat="1" applyAlignment="1">
      <alignment horizontal="center"/>
    </xf>
    <xf numFmtId="14" fontId="0" fillId="9" borderId="0" xfId="0" applyNumberFormat="1" applyFill="1"/>
    <xf numFmtId="14" fontId="124" fillId="0" borderId="0" xfId="0" applyNumberFormat="1" applyFont="1"/>
    <xf numFmtId="0" fontId="59" fillId="0" borderId="0" xfId="0" applyFont="1" applyBorder="1"/>
    <xf numFmtId="0" fontId="119" fillId="0" borderId="0" xfId="0" applyFont="1" applyBorder="1" applyAlignment="1">
      <alignment horizontal="center" vertical="center"/>
    </xf>
    <xf numFmtId="191" fontId="59" fillId="0" borderId="0" xfId="0" applyNumberFormat="1" applyFont="1" applyBorder="1"/>
    <xf numFmtId="0" fontId="119" fillId="0" borderId="0" xfId="0" applyFont="1" applyBorder="1"/>
    <xf numFmtId="14" fontId="119" fillId="0" borderId="0" xfId="0" applyNumberFormat="1" applyFont="1" applyBorder="1"/>
    <xf numFmtId="0" fontId="3" fillId="11" borderId="0" xfId="0" applyFont="1" applyFill="1"/>
    <xf numFmtId="175" fontId="3" fillId="9" borderId="72" xfId="0" applyNumberFormat="1" applyFont="1" applyFill="1" applyBorder="1"/>
    <xf numFmtId="0" fontId="0" fillId="0" borderId="305" xfId="0" applyBorder="1" applyAlignment="1">
      <alignment horizontal="center"/>
    </xf>
    <xf numFmtId="0" fontId="0" fillId="0" borderId="207" xfId="0" applyBorder="1"/>
    <xf numFmtId="0" fontId="0" fillId="0" borderId="0" xfId="0" applyFont="1"/>
    <xf numFmtId="0" fontId="0" fillId="0" borderId="0" xfId="0"/>
    <xf numFmtId="14" fontId="0" fillId="0" borderId="0" xfId="0" applyNumberFormat="1" applyAlignment="1">
      <alignment horizontal="center"/>
    </xf>
    <xf numFmtId="175" fontId="2" fillId="50" borderId="35" xfId="0" applyNumberFormat="1" applyFont="1" applyFill="1" applyBorder="1" applyAlignment="1">
      <alignment horizontal="center" vertical="center" wrapText="1"/>
    </xf>
    <xf numFmtId="0" fontId="2" fillId="29" borderId="130" xfId="0" applyFont="1" applyFill="1" applyBorder="1" applyAlignment="1">
      <alignment horizontal="center" vertical="center" wrapText="1"/>
    </xf>
    <xf numFmtId="0" fontId="0" fillId="0" borderId="49" xfId="0" applyBorder="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wrapText="1"/>
    </xf>
    <xf numFmtId="0" fontId="125" fillId="29" borderId="305" xfId="0" applyFont="1" applyFill="1" applyBorder="1" applyAlignment="1">
      <alignment horizontal="center" vertical="center"/>
    </xf>
    <xf numFmtId="0" fontId="125" fillId="29" borderId="305" xfId="0" applyFont="1" applyFill="1" applyBorder="1" applyAlignment="1">
      <alignment horizontal="center" vertical="center" wrapText="1"/>
    </xf>
    <xf numFmtId="175" fontId="0" fillId="0" borderId="305" xfId="0" applyNumberFormat="1" applyBorder="1" applyAlignment="1">
      <alignment horizontal="center" vertical="center"/>
    </xf>
    <xf numFmtId="2" fontId="0" fillId="0" borderId="305" xfId="0" applyNumberFormat="1" applyBorder="1" applyAlignment="1">
      <alignment horizontal="center" vertical="center"/>
    </xf>
    <xf numFmtId="0" fontId="0" fillId="51" borderId="306" xfId="0" applyFill="1" applyBorder="1" applyAlignment="1">
      <alignment horizontal="center" vertical="center"/>
    </xf>
    <xf numFmtId="0" fontId="0" fillId="0" borderId="306" xfId="0" applyBorder="1" applyAlignment="1">
      <alignment horizontal="center" vertical="center"/>
    </xf>
    <xf numFmtId="0" fontId="35" fillId="29" borderId="335" xfId="0" applyFont="1" applyFill="1" applyBorder="1" applyAlignment="1">
      <alignment horizontal="center" vertical="center" wrapText="1"/>
    </xf>
    <xf numFmtId="175" fontId="0" fillId="0" borderId="305" xfId="0" applyNumberFormat="1" applyBorder="1"/>
    <xf numFmtId="0" fontId="0" fillId="0" borderId="0" xfId="0" applyAlignment="1" applyProtection="1">
      <alignment horizontal="center"/>
      <protection locked="0"/>
    </xf>
    <xf numFmtId="3" fontId="0" fillId="0" borderId="0" xfId="0" applyNumberFormat="1" applyAlignment="1" applyProtection="1">
      <alignment vertical="center"/>
      <protection locked="0"/>
    </xf>
    <xf numFmtId="0" fontId="137" fillId="0" borderId="104" xfId="0" applyFont="1" applyBorder="1" applyAlignment="1" applyProtection="1">
      <alignment vertical="center" wrapText="1"/>
      <protection locked="0"/>
    </xf>
    <xf numFmtId="0" fontId="137" fillId="0" borderId="0" xfId="0" applyFont="1" applyAlignment="1" applyProtection="1">
      <alignment vertical="center" wrapText="1"/>
      <protection locked="0"/>
    </xf>
    <xf numFmtId="3" fontId="0" fillId="0" borderId="316" xfId="0" applyNumberFormat="1" applyBorder="1" applyAlignment="1" applyProtection="1">
      <alignment horizontal="right" vertical="center"/>
      <protection locked="0"/>
    </xf>
    <xf numFmtId="3" fontId="0" fillId="0" borderId="337" xfId="0" applyNumberFormat="1" applyBorder="1" applyAlignment="1" applyProtection="1">
      <alignment horizontal="right" vertical="center"/>
      <protection locked="0"/>
    </xf>
    <xf numFmtId="3" fontId="0" fillId="0" borderId="314" xfId="0" applyNumberFormat="1" applyFill="1" applyBorder="1" applyAlignment="1" applyProtection="1">
      <alignment horizontal="right" vertical="center"/>
      <protection locked="0"/>
    </xf>
    <xf numFmtId="3" fontId="0" fillId="0" borderId="321" xfId="0" applyNumberFormat="1" applyBorder="1" applyAlignment="1" applyProtection="1">
      <alignment horizontal="right" vertical="center"/>
      <protection locked="0"/>
    </xf>
    <xf numFmtId="175" fontId="2" fillId="50" borderId="35" xfId="0" applyNumberFormat="1" applyFont="1" applyFill="1" applyBorder="1" applyAlignment="1">
      <alignment horizontal="center" vertical="center" wrapText="1"/>
    </xf>
    <xf numFmtId="175" fontId="0" fillId="51" borderId="306" xfId="0" applyNumberFormat="1" applyFill="1" applyBorder="1" applyAlignment="1">
      <alignment horizontal="center" vertical="center"/>
    </xf>
    <xf numFmtId="15" fontId="13" fillId="0" borderId="82" xfId="3" applyNumberFormat="1" applyFont="1" applyFill="1" applyBorder="1" applyAlignment="1">
      <alignment horizontal="center" vertical="center" wrapText="1"/>
    </xf>
    <xf numFmtId="15" fontId="13" fillId="0" borderId="25" xfId="3" applyNumberFormat="1" applyFont="1" applyFill="1" applyBorder="1" applyAlignment="1">
      <alignment horizontal="center" vertical="center" wrapText="1"/>
    </xf>
    <xf numFmtId="175" fontId="2" fillId="50" borderId="35" xfId="0" applyNumberFormat="1" applyFont="1" applyFill="1" applyBorder="1" applyAlignment="1">
      <alignment horizontal="center" vertical="center" wrapText="1"/>
    </xf>
    <xf numFmtId="178" fontId="0" fillId="0" borderId="109" xfId="21" applyNumberFormat="1" applyFont="1" applyBorder="1"/>
    <xf numFmtId="0" fontId="125" fillId="52" borderId="49" xfId="0" applyFont="1" applyFill="1" applyBorder="1" applyAlignment="1">
      <alignment horizontal="center" vertical="center" wrapText="1"/>
    </xf>
    <xf numFmtId="0" fontId="125" fillId="52" borderId="305" xfId="0" applyFont="1" applyFill="1" applyBorder="1" applyAlignment="1">
      <alignment horizontal="center" vertical="center"/>
    </xf>
    <xf numFmtId="0" fontId="125" fillId="52" borderId="305" xfId="0" applyFont="1" applyFill="1" applyBorder="1" applyAlignment="1">
      <alignment horizontal="center" vertical="center" wrapText="1"/>
    </xf>
    <xf numFmtId="175" fontId="2" fillId="50" borderId="35" xfId="0" applyNumberFormat="1" applyFont="1" applyFill="1" applyBorder="1" applyAlignment="1">
      <alignment horizontal="center" vertical="center" wrapText="1"/>
    </xf>
    <xf numFmtId="175" fontId="15" fillId="0" borderId="339" xfId="5" applyNumberFormat="1" applyFont="1" applyFill="1" applyBorder="1" applyAlignment="1">
      <alignment horizontal="center" wrapText="1"/>
    </xf>
    <xf numFmtId="2" fontId="2" fillId="50" borderId="35" xfId="21" applyNumberFormat="1" applyFont="1" applyFill="1" applyBorder="1" applyAlignment="1">
      <alignment horizontal="center" vertical="center" wrapText="1"/>
    </xf>
    <xf numFmtId="2" fontId="2" fillId="50" borderId="35" xfId="21" applyNumberFormat="1" applyFont="1" applyFill="1" applyBorder="1" applyAlignment="1">
      <alignment horizontal="center" vertical="center" wrapText="1"/>
    </xf>
    <xf numFmtId="2" fontId="2" fillId="50" borderId="21" xfId="21" applyNumberFormat="1" applyFont="1" applyFill="1" applyBorder="1" applyAlignment="1">
      <alignment horizontal="center" vertical="center" wrapText="1"/>
    </xf>
    <xf numFmtId="175" fontId="2" fillId="50" borderId="35" xfId="0" applyNumberFormat="1" applyFont="1" applyFill="1" applyBorder="1" applyAlignment="1">
      <alignment horizontal="center" vertical="center" wrapText="1"/>
    </xf>
    <xf numFmtId="175" fontId="3" fillId="9" borderId="305" xfId="0" applyNumberFormat="1" applyFont="1" applyFill="1" applyBorder="1"/>
    <xf numFmtId="2" fontId="110" fillId="45" borderId="26" xfId="0" applyNumberFormat="1" applyFont="1" applyFill="1" applyBorder="1" applyAlignment="1">
      <alignment horizontal="center" vertical="center"/>
    </xf>
    <xf numFmtId="175" fontId="2" fillId="50" borderId="35" xfId="0" applyNumberFormat="1" applyFont="1" applyFill="1" applyBorder="1" applyAlignment="1">
      <alignment horizontal="center" vertical="center" wrapText="1"/>
    </xf>
    <xf numFmtId="178" fontId="0" fillId="9" borderId="109" xfId="21" applyNumberFormat="1" applyFont="1" applyFill="1" applyBorder="1"/>
    <xf numFmtId="1" fontId="3" fillId="14" borderId="303" xfId="0" applyNumberFormat="1" applyFont="1" applyFill="1" applyBorder="1" applyAlignment="1"/>
    <xf numFmtId="1" fontId="3" fillId="14" borderId="303" xfId="0" applyNumberFormat="1" applyFont="1" applyFill="1" applyBorder="1"/>
    <xf numFmtId="37" fontId="69" fillId="14" borderId="305" xfId="21" applyNumberFormat="1" applyFont="1" applyFill="1" applyBorder="1" applyAlignment="1">
      <alignment horizontal="center" vertical="center"/>
    </xf>
    <xf numFmtId="0" fontId="125" fillId="29" borderId="305" xfId="0" applyFont="1" applyFill="1" applyBorder="1" applyAlignment="1">
      <alignment horizontal="center" vertical="center" wrapText="1"/>
    </xf>
    <xf numFmtId="175" fontId="3" fillId="0" borderId="305" xfId="0" applyNumberFormat="1" applyFont="1" applyBorder="1" applyAlignment="1">
      <alignment horizontal="right"/>
    </xf>
    <xf numFmtId="2" fontId="111" fillId="0" borderId="326" xfId="0" applyNumberFormat="1" applyFont="1" applyBorder="1" applyAlignment="1">
      <alignment horizontal="center" vertical="center"/>
    </xf>
    <xf numFmtId="2" fontId="111" fillId="0" borderId="45" xfId="0" applyNumberFormat="1" applyFont="1" applyBorder="1" applyAlignment="1">
      <alignment horizontal="center" vertical="center"/>
    </xf>
    <xf numFmtId="2" fontId="111" fillId="0" borderId="332" xfId="0" applyNumberFormat="1" applyFont="1" applyBorder="1" applyAlignment="1">
      <alignment horizontal="center" vertical="center"/>
    </xf>
    <xf numFmtId="0" fontId="2" fillId="0" borderId="299" xfId="0" applyFont="1" applyBorder="1" applyAlignment="1"/>
    <xf numFmtId="0" fontId="2" fillId="0" borderId="303" xfId="0" applyFont="1" applyBorder="1" applyAlignment="1"/>
    <xf numFmtId="0" fontId="2" fillId="0" borderId="304" xfId="0" applyFont="1" applyBorder="1" applyAlignment="1"/>
    <xf numFmtId="0" fontId="0" fillId="0" borderId="303" xfId="0" applyBorder="1" applyAlignment="1"/>
    <xf numFmtId="0" fontId="0" fillId="0" borderId="304" xfId="0" applyBorder="1" applyAlignment="1"/>
    <xf numFmtId="0" fontId="93" fillId="0" borderId="299" xfId="0" applyFont="1" applyBorder="1" applyAlignment="1">
      <alignment vertical="center"/>
    </xf>
    <xf numFmtId="0" fontId="93" fillId="0" borderId="303" xfId="0" applyFont="1" applyBorder="1" applyAlignment="1">
      <alignment vertical="center"/>
    </xf>
    <xf numFmtId="0" fontId="21" fillId="12" borderId="305" xfId="22" applyFont="1" applyFill="1" applyBorder="1" applyAlignment="1">
      <alignment horizontal="center"/>
    </xf>
    <xf numFmtId="2" fontId="111" fillId="0" borderId="305" xfId="5" applyNumberFormat="1" applyFont="1" applyBorder="1" applyAlignment="1">
      <alignment horizontal="center" vertical="center"/>
    </xf>
    <xf numFmtId="2" fontId="111" fillId="0" borderId="305" xfId="5" quotePrefix="1" applyNumberFormat="1" applyFont="1" applyBorder="1" applyAlignment="1">
      <alignment horizontal="center" vertical="center"/>
    </xf>
    <xf numFmtId="2" fontId="111" fillId="9" borderId="305" xfId="5" applyNumberFormat="1" applyFont="1" applyFill="1" applyBorder="1" applyAlignment="1">
      <alignment horizontal="center" vertical="center"/>
    </xf>
    <xf numFmtId="2" fontId="111" fillId="0" borderId="45" xfId="5" applyNumberFormat="1" applyFont="1" applyBorder="1" applyAlignment="1">
      <alignment horizontal="center" vertical="center"/>
    </xf>
    <xf numFmtId="175" fontId="3" fillId="0" borderId="305" xfId="0" applyNumberFormat="1" applyFont="1" applyFill="1" applyBorder="1"/>
    <xf numFmtId="184" fontId="0" fillId="0" borderId="305" xfId="0" applyNumberFormat="1" applyBorder="1" applyAlignment="1">
      <alignment horizontal="center" vertical="center"/>
    </xf>
    <xf numFmtId="0" fontId="0" fillId="0" borderId="340" xfId="0" applyBorder="1"/>
    <xf numFmtId="0" fontId="3" fillId="14" borderId="303" xfId="0" applyFont="1" applyFill="1" applyBorder="1" applyAlignment="1"/>
    <xf numFmtId="2" fontId="15" fillId="0" borderId="55" xfId="5" applyNumberFormat="1" applyFont="1" applyFill="1" applyBorder="1" applyAlignment="1">
      <alignment horizontal="center" wrapText="1"/>
    </xf>
    <xf numFmtId="0" fontId="1" fillId="0" borderId="0" xfId="4" applyFill="1"/>
    <xf numFmtId="0" fontId="125" fillId="29" borderId="305" xfId="0" applyFont="1" applyFill="1" applyBorder="1" applyAlignment="1">
      <alignment horizontal="center" vertical="center" wrapText="1"/>
    </xf>
    <xf numFmtId="178" fontId="0" fillId="0" borderId="109" xfId="21" applyNumberFormat="1" applyFont="1" applyFill="1" applyBorder="1"/>
    <xf numFmtId="0" fontId="0" fillId="0" borderId="0" xfId="0"/>
    <xf numFmtId="0" fontId="0" fillId="0" borderId="305" xfId="0" applyBorder="1"/>
    <xf numFmtId="0" fontId="0" fillId="51" borderId="305" xfId="0" applyFill="1" applyBorder="1" applyAlignment="1">
      <alignment horizontal="center" vertical="center"/>
    </xf>
    <xf numFmtId="0" fontId="21" fillId="12" borderId="304" xfId="22" applyFont="1" applyFill="1" applyBorder="1" applyAlignment="1">
      <alignment horizontal="center"/>
    </xf>
    <xf numFmtId="15" fontId="13" fillId="29" borderId="305" xfId="3" applyNumberFormat="1" applyFont="1" applyFill="1" applyBorder="1" applyAlignment="1">
      <alignment horizontal="center" vertical="center" wrapText="1"/>
    </xf>
    <xf numFmtId="4" fontId="81" fillId="0" borderId="307" xfId="1" applyNumberFormat="1" applyFont="1" applyFill="1" applyBorder="1" applyAlignment="1">
      <alignment horizontal="center" vertical="center"/>
    </xf>
    <xf numFmtId="4" fontId="81" fillId="0" borderId="305" xfId="1" applyNumberFormat="1" applyFont="1" applyFill="1" applyBorder="1" applyAlignment="1">
      <alignment horizontal="center" vertical="center"/>
    </xf>
    <xf numFmtId="4" fontId="79" fillId="2" borderId="326" xfId="1" applyNumberFormat="1" applyFont="1" applyFill="1" applyBorder="1" applyAlignment="1">
      <alignment horizontal="center" vertical="center"/>
    </xf>
    <xf numFmtId="4" fontId="81" fillId="9" borderId="305" xfId="1" applyNumberFormat="1" applyFont="1" applyFill="1" applyBorder="1" applyAlignment="1">
      <alignment horizontal="center" vertical="center"/>
    </xf>
    <xf numFmtId="4" fontId="81" fillId="9" borderId="222" xfId="1" applyNumberFormat="1" applyFont="1" applyFill="1" applyBorder="1" applyAlignment="1">
      <alignment horizontal="center" vertical="center"/>
    </xf>
    <xf numFmtId="0" fontId="0" fillId="0" borderId="302" xfId="0" applyBorder="1" applyAlignment="1">
      <alignment horizontal="center" vertical="center"/>
    </xf>
    <xf numFmtId="49" fontId="0" fillId="0" borderId="299" xfId="0" applyNumberFormat="1" applyBorder="1" applyAlignment="1">
      <alignment horizontal="justify" vertical="center" wrapText="1"/>
    </xf>
    <xf numFmtId="49" fontId="0" fillId="0" borderId="303" xfId="0" applyNumberFormat="1" applyBorder="1" applyAlignment="1">
      <alignment horizontal="justify" vertical="center" wrapText="1"/>
    </xf>
    <xf numFmtId="49" fontId="0" fillId="0" borderId="343" xfId="0" applyNumberFormat="1" applyBorder="1" applyAlignment="1">
      <alignment horizontal="justify" vertical="center" wrapText="1"/>
    </xf>
    <xf numFmtId="37" fontId="69" fillId="14" borderId="331" xfId="21" applyNumberFormat="1" applyFont="1" applyFill="1" applyBorder="1" applyAlignment="1">
      <alignment horizontal="center" vertical="center"/>
    </xf>
    <xf numFmtId="37" fontId="69" fillId="14" borderId="307" xfId="21" applyNumberFormat="1" applyFont="1" applyFill="1" applyBorder="1" applyAlignment="1">
      <alignment horizontal="center" vertical="center"/>
    </xf>
    <xf numFmtId="37" fontId="69" fillId="14" borderId="326" xfId="21" applyNumberFormat="1" applyFont="1" applyFill="1" applyBorder="1" applyAlignment="1">
      <alignment horizontal="center" vertical="center"/>
    </xf>
    <xf numFmtId="39" fontId="69" fillId="14" borderId="344" xfId="21" applyNumberFormat="1" applyFont="1" applyFill="1" applyBorder="1" applyAlignment="1">
      <alignment horizontal="center" vertical="center"/>
    </xf>
    <xf numFmtId="39" fontId="69" fillId="14" borderId="305" xfId="21" applyNumberFormat="1" applyFont="1" applyFill="1" applyBorder="1" applyAlignment="1">
      <alignment horizontal="center" vertical="center"/>
    </xf>
    <xf numFmtId="39" fontId="69" fillId="14" borderId="330" xfId="21" applyNumberFormat="1" applyFont="1" applyFill="1" applyBorder="1" applyAlignment="1">
      <alignment horizontal="center" vertical="center"/>
    </xf>
    <xf numFmtId="39" fontId="69" fillId="14" borderId="348" xfId="21" applyNumberFormat="1" applyFont="1" applyFill="1" applyBorder="1" applyAlignment="1">
      <alignment horizontal="center" vertical="center"/>
    </xf>
    <xf numFmtId="39" fontId="69" fillId="14" borderId="347" xfId="21" applyNumberFormat="1" applyFont="1" applyFill="1" applyBorder="1" applyAlignment="1">
      <alignment horizontal="center" vertical="center"/>
    </xf>
    <xf numFmtId="39" fontId="69" fillId="14" borderId="349" xfId="21" applyNumberFormat="1" applyFont="1" applyFill="1" applyBorder="1" applyAlignment="1">
      <alignment horizontal="center" vertical="center"/>
    </xf>
    <xf numFmtId="0" fontId="239" fillId="128" borderId="312" xfId="0" applyFont="1" applyFill="1" applyBorder="1" applyAlignment="1" applyProtection="1">
      <alignment horizontal="center" vertical="center" wrapText="1"/>
      <protection locked="0"/>
    </xf>
    <xf numFmtId="0" fontId="2" fillId="0" borderId="318" xfId="0" applyFont="1" applyBorder="1" applyAlignment="1">
      <alignment horizontal="center" vertical="center"/>
    </xf>
    <xf numFmtId="0" fontId="0" fillId="0" borderId="318" xfId="0" applyBorder="1" applyAlignment="1">
      <alignment horizontal="left" vertical="center"/>
    </xf>
    <xf numFmtId="0" fontId="2" fillId="129" borderId="318" xfId="0" applyFont="1" applyFill="1" applyBorder="1" applyAlignment="1">
      <alignment horizontal="center" vertical="center"/>
    </xf>
    <xf numFmtId="3" fontId="60" fillId="122" borderId="325" xfId="0" applyNumberFormat="1" applyFont="1" applyFill="1" applyBorder="1" applyAlignment="1" applyProtection="1">
      <alignment horizontal="right" vertical="center"/>
      <protection locked="0"/>
    </xf>
    <xf numFmtId="0" fontId="0" fillId="0" borderId="318" xfId="0" applyBorder="1" applyAlignment="1">
      <alignment horizontal="left" vertical="center" wrapText="1"/>
    </xf>
    <xf numFmtId="0" fontId="0" fillId="0" borderId="318" xfId="0" applyBorder="1" applyAlignment="1">
      <alignment horizontal="center" vertical="center" wrapText="1"/>
    </xf>
    <xf numFmtId="0" fontId="0" fillId="0" borderId="317" xfId="0" applyBorder="1" applyAlignment="1">
      <alignment horizontal="center" vertical="center"/>
    </xf>
    <xf numFmtId="3" fontId="60" fillId="125" borderId="325" xfId="0" applyNumberFormat="1" applyFont="1" applyFill="1" applyBorder="1" applyAlignment="1" applyProtection="1">
      <alignment horizontal="right" vertical="center"/>
      <protection locked="0"/>
    </xf>
    <xf numFmtId="0" fontId="233" fillId="9" borderId="0" xfId="0" applyFont="1" applyFill="1" applyAlignment="1" applyProtection="1">
      <alignment vertical="center"/>
      <protection locked="0"/>
    </xf>
    <xf numFmtId="0" fontId="233" fillId="9" borderId="0" xfId="0" applyFont="1" applyFill="1" applyAlignment="1" applyProtection="1">
      <alignment horizontal="center"/>
      <protection locked="0"/>
    </xf>
    <xf numFmtId="0" fontId="233" fillId="9" borderId="0" xfId="0" applyFont="1" applyFill="1" applyAlignment="1" applyProtection="1">
      <alignment horizontal="center" vertical="center"/>
      <protection locked="0"/>
    </xf>
    <xf numFmtId="0" fontId="234" fillId="0" borderId="0" xfId="0" applyFont="1" applyAlignment="1" applyProtection="1">
      <alignment horizontal="center" vertical="center"/>
      <protection locked="0"/>
    </xf>
    <xf numFmtId="0" fontId="236" fillId="9" borderId="8" xfId="0" applyFont="1" applyFill="1" applyBorder="1" applyAlignment="1">
      <alignment vertical="center"/>
    </xf>
    <xf numFmtId="0" fontId="237" fillId="9" borderId="104" xfId="0" applyFont="1" applyFill="1" applyBorder="1" applyAlignment="1">
      <alignment vertical="center"/>
    </xf>
    <xf numFmtId="0" fontId="237" fillId="9" borderId="104" xfId="0" applyFont="1" applyFill="1" applyBorder="1" applyAlignment="1">
      <alignment horizontal="center"/>
    </xf>
    <xf numFmtId="0" fontId="237" fillId="9" borderId="104" xfId="0" applyFont="1" applyFill="1" applyBorder="1" applyAlignment="1">
      <alignment horizontal="center" vertical="center"/>
    </xf>
    <xf numFmtId="0" fontId="93" fillId="9" borderId="8" xfId="0" applyFont="1" applyFill="1" applyBorder="1" applyAlignment="1">
      <alignment vertical="center"/>
    </xf>
    <xf numFmtId="0" fontId="137" fillId="9" borderId="104" xfId="0" applyFont="1" applyFill="1" applyBorder="1" applyAlignment="1">
      <alignment vertical="center"/>
    </xf>
    <xf numFmtId="0" fontId="137" fillId="9" borderId="104" xfId="0" applyFont="1" applyFill="1" applyBorder="1" applyAlignment="1">
      <alignment horizontal="center"/>
    </xf>
    <xf numFmtId="0" fontId="137" fillId="9" borderId="104" xfId="0" applyFont="1" applyFill="1" applyBorder="1" applyAlignment="1">
      <alignment horizontal="center" vertical="center"/>
    </xf>
    <xf numFmtId="0" fontId="86" fillId="118" borderId="309" xfId="0" applyFont="1" applyFill="1" applyBorder="1" applyAlignment="1">
      <alignment horizontal="center" vertical="center" wrapText="1"/>
    </xf>
    <xf numFmtId="0" fontId="86" fillId="118" borderId="310" xfId="0" applyFont="1" applyFill="1" applyBorder="1" applyAlignment="1">
      <alignment horizontal="center" vertical="center" wrapText="1"/>
    </xf>
    <xf numFmtId="0" fontId="86" fillId="130" borderId="310" xfId="0" applyFont="1" applyFill="1" applyBorder="1" applyAlignment="1">
      <alignment horizontal="center" vertical="center" wrapText="1"/>
    </xf>
    <xf numFmtId="0" fontId="86" fillId="130" borderId="311" xfId="0" applyFont="1" applyFill="1" applyBorder="1" applyAlignment="1">
      <alignment horizontal="center" vertical="center" wrapText="1"/>
    </xf>
    <xf numFmtId="0" fontId="2" fillId="18" borderId="318" xfId="0" applyFont="1" applyFill="1" applyBorder="1" applyAlignment="1">
      <alignment horizontal="center" vertical="center"/>
    </xf>
    <xf numFmtId="0" fontId="0" fillId="0" borderId="315" xfId="0" applyBorder="1" applyAlignment="1">
      <alignment horizontal="left" vertical="center"/>
    </xf>
    <xf numFmtId="0" fontId="77" fillId="0" borderId="318" xfId="0" applyFont="1" applyBorder="1" applyAlignment="1">
      <alignment horizontal="left" vertical="center" wrapText="1"/>
    </xf>
    <xf numFmtId="0" fontId="0" fillId="0" borderId="320" xfId="0" applyBorder="1" applyAlignment="1">
      <alignment horizontal="left" vertical="center"/>
    </xf>
    <xf numFmtId="0" fontId="2" fillId="0" borderId="336" xfId="0" applyFont="1" applyBorder="1" applyAlignment="1">
      <alignment horizontal="left" vertical="center" wrapText="1"/>
    </xf>
    <xf numFmtId="0" fontId="60" fillId="122" borderId="322" xfId="0" applyFont="1" applyFill="1" applyBorder="1" applyAlignment="1">
      <alignment horizontal="center" wrapText="1"/>
    </xf>
    <xf numFmtId="0" fontId="60" fillId="122" borderId="324" xfId="0" applyFont="1" applyFill="1" applyBorder="1" applyAlignment="1">
      <alignment horizontal="center" vertical="center" wrapText="1"/>
    </xf>
    <xf numFmtId="0" fontId="60" fillId="0" borderId="0" xfId="0" applyFont="1" applyAlignment="1" applyProtection="1">
      <alignment vertical="center"/>
      <protection locked="0"/>
    </xf>
    <xf numFmtId="0" fontId="60" fillId="0" borderId="0" xfId="0" applyFont="1" applyAlignment="1" applyProtection="1">
      <alignment vertical="center" wrapText="1"/>
      <protection locked="0"/>
    </xf>
    <xf numFmtId="245" fontId="0" fillId="0" borderId="0" xfId="40973" applyNumberFormat="1" applyFont="1" applyAlignment="1" applyProtection="1">
      <alignment horizontal="center" vertical="center"/>
      <protection locked="0"/>
    </xf>
    <xf numFmtId="0" fontId="0" fillId="0" borderId="222" xfId="0" applyBorder="1" applyAlignment="1">
      <alignment horizontal="center" vertical="center" wrapText="1"/>
    </xf>
    <xf numFmtId="246" fontId="0" fillId="0" borderId="0" xfId="0" applyNumberFormat="1"/>
    <xf numFmtId="0" fontId="245" fillId="2" borderId="0" xfId="3" applyFont="1" applyFill="1" applyAlignment="1">
      <alignment horizontal="right"/>
    </xf>
    <xf numFmtId="14" fontId="246" fillId="0" borderId="0" xfId="4" applyNumberFormat="1" applyFont="1" applyAlignment="1">
      <alignment horizontal="center"/>
    </xf>
    <xf numFmtId="14" fontId="247" fillId="0" borderId="0" xfId="4" applyNumberFormat="1" applyFont="1" applyAlignment="1"/>
    <xf numFmtId="14" fontId="248" fillId="0" borderId="0" xfId="4" applyNumberFormat="1" applyFont="1" applyAlignment="1">
      <alignment horizontal="center"/>
    </xf>
    <xf numFmtId="246" fontId="2" fillId="27" borderId="167" xfId="0" applyNumberFormat="1" applyFont="1" applyFill="1" applyBorder="1" applyAlignment="1">
      <alignment horizontal="center" vertical="center" wrapText="1"/>
    </xf>
    <xf numFmtId="0" fontId="2" fillId="27" borderId="157" xfId="0" applyFont="1" applyFill="1" applyBorder="1" applyAlignment="1">
      <alignment horizontal="center" vertical="center" wrapText="1"/>
    </xf>
    <xf numFmtId="175" fontId="50" fillId="0" borderId="49" xfId="1" applyNumberFormat="1" applyFont="1" applyBorder="1" applyAlignment="1" applyProtection="1">
      <alignment horizontal="center" vertical="center"/>
      <protection locked="0"/>
    </xf>
    <xf numFmtId="183" fontId="250" fillId="0" borderId="0" xfId="1" applyNumberFormat="1" applyFont="1" applyAlignment="1">
      <alignment horizontal="center" vertical="center"/>
    </xf>
    <xf numFmtId="175" fontId="50" fillId="0" borderId="222" xfId="1" applyNumberFormat="1" applyFont="1" applyBorder="1" applyAlignment="1" applyProtection="1">
      <alignment horizontal="center" vertical="center"/>
      <protection locked="0"/>
    </xf>
    <xf numFmtId="183" fontId="251" fillId="0" borderId="0" xfId="1" applyNumberFormat="1" applyFont="1" applyAlignment="1">
      <alignment horizontal="center" vertical="center"/>
    </xf>
    <xf numFmtId="0" fontId="251" fillId="0" borderId="0" xfId="1" applyFont="1"/>
    <xf numFmtId="246" fontId="252" fillId="132" borderId="224" xfId="1" applyNumberFormat="1" applyFont="1" applyFill="1" applyBorder="1" applyAlignment="1">
      <alignment horizontal="center" vertical="center"/>
    </xf>
    <xf numFmtId="1" fontId="252" fillId="132" borderId="222" xfId="1" applyNumberFormat="1" applyFont="1" applyFill="1" applyBorder="1" applyAlignment="1">
      <alignment horizontal="center" vertical="center"/>
    </xf>
    <xf numFmtId="183" fontId="251" fillId="0" borderId="0" xfId="1" applyNumberFormat="1" applyFont="1" applyFill="1" applyAlignment="1">
      <alignment horizontal="center" vertical="center"/>
    </xf>
    <xf numFmtId="246" fontId="0" fillId="27" borderId="224" xfId="0" applyNumberFormat="1" applyFont="1" applyFill="1" applyBorder="1" applyAlignment="1">
      <alignment horizontal="center" vertical="center" wrapText="1"/>
    </xf>
    <xf numFmtId="0" fontId="0" fillId="0" borderId="222" xfId="0" applyFont="1" applyBorder="1" applyAlignment="1">
      <alignment horizontal="center" vertical="center" wrapText="1"/>
    </xf>
    <xf numFmtId="20" fontId="0" fillId="0" borderId="222" xfId="0" applyNumberFormat="1" applyFont="1" applyBorder="1" applyAlignment="1">
      <alignment horizontal="center" vertical="center"/>
    </xf>
    <xf numFmtId="175" fontId="3" fillId="0" borderId="222" xfId="1" applyNumberFormat="1" applyFont="1" applyBorder="1" applyAlignment="1" applyProtection="1">
      <alignment horizontal="center" vertical="center"/>
      <protection locked="0"/>
    </xf>
    <xf numFmtId="246" fontId="252" fillId="132" borderId="351" xfId="1" applyNumberFormat="1" applyFont="1" applyFill="1" applyBorder="1" applyAlignment="1">
      <alignment horizontal="center" vertical="center"/>
    </xf>
    <xf numFmtId="1" fontId="252" fillId="132" borderId="306" xfId="1" applyNumberFormat="1" applyFont="1" applyFill="1" applyBorder="1" applyAlignment="1">
      <alignment horizontal="center" vertical="center"/>
    </xf>
    <xf numFmtId="246" fontId="0" fillId="131" borderId="107" xfId="0" applyNumberFormat="1" applyFill="1" applyBorder="1" applyAlignment="1">
      <alignment horizontal="center"/>
    </xf>
    <xf numFmtId="0" fontId="0" fillId="0" borderId="108" xfId="0" applyBorder="1" applyAlignment="1">
      <alignment horizontal="center"/>
    </xf>
    <xf numFmtId="246" fontId="0" fillId="131" borderId="224" xfId="0" applyNumberFormat="1" applyFill="1" applyBorder="1" applyAlignment="1">
      <alignment horizontal="center"/>
    </xf>
    <xf numFmtId="0" fontId="0" fillId="0" borderId="222" xfId="0" applyBorder="1" applyAlignment="1">
      <alignment horizontal="center"/>
    </xf>
    <xf numFmtId="246" fontId="0" fillId="131" borderId="351" xfId="0" applyNumberFormat="1" applyFill="1" applyBorder="1" applyAlignment="1">
      <alignment horizontal="center"/>
    </xf>
    <xf numFmtId="0" fontId="0" fillId="0" borderId="306" xfId="0" applyBorder="1" applyAlignment="1">
      <alignment horizontal="center"/>
    </xf>
    <xf numFmtId="246" fontId="0" fillId="133" borderId="19" xfId="0" applyNumberFormat="1" applyFill="1" applyBorder="1" applyAlignment="1">
      <alignment horizontal="center"/>
    </xf>
    <xf numFmtId="0" fontId="0" fillId="0" borderId="20" xfId="0" applyBorder="1" applyAlignment="1">
      <alignment horizontal="center"/>
    </xf>
    <xf numFmtId="2" fontId="0" fillId="0" borderId="305" xfId="0" applyNumberFormat="1" applyBorder="1" applyAlignment="1">
      <alignment horizontal="center"/>
    </xf>
    <xf numFmtId="4" fontId="81" fillId="9" borderId="224" xfId="1" applyNumberFormat="1" applyFont="1" applyFill="1" applyBorder="1" applyAlignment="1">
      <alignment horizontal="center" vertical="center"/>
    </xf>
    <xf numFmtId="175" fontId="2" fillId="50" borderId="35" xfId="21" applyNumberFormat="1" applyFont="1" applyFill="1" applyBorder="1" applyAlignment="1">
      <alignment horizontal="center" vertical="center" wrapText="1"/>
    </xf>
    <xf numFmtId="0" fontId="0" fillId="0" borderId="332" xfId="0" applyBorder="1" applyAlignment="1">
      <alignment horizontal="center" vertical="center" wrapText="1"/>
    </xf>
    <xf numFmtId="0" fontId="3" fillId="134" borderId="26" xfId="0" applyFont="1" applyFill="1" applyBorder="1" applyAlignment="1">
      <alignment horizontal="center" vertical="center" wrapText="1"/>
    </xf>
    <xf numFmtId="0" fontId="0" fillId="134" borderId="26" xfId="0" applyFill="1" applyBorder="1" applyAlignment="1">
      <alignment horizontal="center" vertical="center" wrapText="1"/>
    </xf>
    <xf numFmtId="0" fontId="3" fillId="127" borderId="26" xfId="0" applyFont="1" applyFill="1" applyBorder="1" applyAlignment="1">
      <alignment horizontal="center" vertical="center" wrapText="1"/>
    </xf>
    <xf numFmtId="0" fontId="0" fillId="127" borderId="26" xfId="0" applyFill="1" applyBorder="1" applyAlignment="1">
      <alignment horizontal="center" vertical="center" wrapText="1"/>
    </xf>
    <xf numFmtId="0" fontId="3" fillId="124" borderId="26" xfId="0" applyFont="1" applyFill="1" applyBorder="1" applyAlignment="1">
      <alignment horizontal="center" vertical="center" wrapText="1"/>
    </xf>
    <xf numFmtId="0" fontId="0" fillId="124" borderId="26" xfId="0" applyFill="1" applyBorder="1" applyAlignment="1">
      <alignment horizontal="center" vertical="center" wrapText="1"/>
    </xf>
    <xf numFmtId="0" fontId="3" fillId="9" borderId="26" xfId="0" applyFont="1" applyFill="1" applyBorder="1" applyAlignment="1">
      <alignment horizontal="center" vertical="center" wrapText="1"/>
    </xf>
    <xf numFmtId="247" fontId="0" fillId="134" borderId="26" xfId="0" applyNumberFormat="1" applyFill="1" applyBorder="1" applyAlignment="1">
      <alignment horizontal="center" vertical="center" wrapText="1"/>
    </xf>
    <xf numFmtId="15" fontId="0" fillId="134" borderId="26" xfId="0" applyNumberFormat="1" applyFill="1" applyBorder="1" applyAlignment="1">
      <alignment horizontal="center" vertical="center" wrapText="1"/>
    </xf>
    <xf numFmtId="247" fontId="0" fillId="134" borderId="332" xfId="0" applyNumberFormat="1" applyFill="1" applyBorder="1" applyAlignment="1">
      <alignment horizontal="center" vertical="center" wrapText="1"/>
    </xf>
    <xf numFmtId="15" fontId="0" fillId="134" borderId="332" xfId="0" applyNumberFormat="1" applyFill="1" applyBorder="1" applyAlignment="1">
      <alignment horizontal="center" vertical="center" wrapText="1"/>
    </xf>
    <xf numFmtId="0" fontId="0" fillId="124" borderId="105" xfId="0" applyFill="1" applyBorder="1"/>
    <xf numFmtId="0" fontId="0" fillId="124" borderId="332" xfId="0" applyFill="1" applyBorder="1"/>
    <xf numFmtId="0" fontId="0" fillId="0" borderId="26" xfId="0" applyBorder="1" applyAlignment="1">
      <alignment horizontal="center" vertical="center" wrapText="1"/>
    </xf>
    <xf numFmtId="0" fontId="3" fillId="0" borderId="26" xfId="0" applyFont="1" applyBorder="1" applyAlignment="1">
      <alignment horizontal="center" vertical="center" wrapText="1"/>
    </xf>
    <xf numFmtId="15" fontId="0" fillId="0" borderId="332" xfId="0" applyNumberFormat="1" applyBorder="1" applyAlignment="1">
      <alignment horizontal="center" vertical="center" wrapText="1"/>
    </xf>
    <xf numFmtId="15" fontId="0" fillId="107" borderId="332" xfId="0" applyNumberFormat="1" applyFill="1" applyBorder="1" applyAlignment="1">
      <alignment horizontal="center" vertical="center" wrapText="1"/>
    </xf>
    <xf numFmtId="0" fontId="0" fillId="0" borderId="334" xfId="0" applyBorder="1" applyAlignment="1">
      <alignment horizontal="center" vertical="center" wrapText="1"/>
    </xf>
    <xf numFmtId="15" fontId="0" fillId="0" borderId="334" xfId="0" applyNumberFormat="1" applyBorder="1" applyAlignment="1">
      <alignment horizontal="center" vertical="center" wrapText="1"/>
    </xf>
    <xf numFmtId="15" fontId="0" fillId="2" borderId="332" xfId="0" applyNumberFormat="1" applyFill="1" applyBorder="1" applyAlignment="1">
      <alignment horizontal="center" vertical="center" wrapText="1"/>
    </xf>
    <xf numFmtId="0" fontId="0" fillId="9" borderId="332" xfId="0" applyFill="1" applyBorder="1" applyAlignment="1">
      <alignment horizontal="center" vertical="center" wrapText="1"/>
    </xf>
    <xf numFmtId="15" fontId="0" fillId="108" borderId="332" xfId="0" applyNumberFormat="1" applyFill="1" applyBorder="1" applyAlignment="1">
      <alignment horizontal="center" vertical="center" wrapText="1"/>
    </xf>
    <xf numFmtId="0" fontId="0" fillId="2" borderId="332" xfId="0" applyFill="1" applyBorder="1" applyAlignment="1">
      <alignment horizontal="center" vertical="center" wrapText="1"/>
    </xf>
    <xf numFmtId="0" fontId="0" fillId="2" borderId="334" xfId="0" applyFill="1" applyBorder="1" applyAlignment="1">
      <alignment horizontal="center" vertical="center" wrapText="1"/>
    </xf>
    <xf numFmtId="15" fontId="0" fillId="9" borderId="332" xfId="0" applyNumberFormat="1" applyFill="1" applyBorder="1" applyAlignment="1">
      <alignment horizontal="center" vertical="center" wrapText="1"/>
    </xf>
    <xf numFmtId="0" fontId="0" fillId="0" borderId="0" xfId="0" applyFill="1" applyBorder="1" applyAlignment="1">
      <alignment horizontal="center" vertical="center" wrapText="1"/>
    </xf>
    <xf numFmtId="0" fontId="0" fillId="0" borderId="47" xfId="0" applyFill="1" applyBorder="1" applyAlignment="1">
      <alignment horizontal="center" vertical="center" wrapText="1"/>
    </xf>
    <xf numFmtId="0" fontId="0" fillId="9" borderId="0" xfId="0" applyFill="1" applyAlignment="1"/>
    <xf numFmtId="0" fontId="186" fillId="0" borderId="0" xfId="0" applyFont="1" applyFill="1" applyBorder="1" applyAlignment="1">
      <alignment horizontal="left" vertical="top" wrapText="1"/>
    </xf>
    <xf numFmtId="15" fontId="186" fillId="0" borderId="0" xfId="0" applyNumberFormat="1" applyFont="1" applyFill="1" applyBorder="1" applyAlignment="1">
      <alignment horizontal="left" vertical="top"/>
    </xf>
    <xf numFmtId="0" fontId="186" fillId="0" borderId="0" xfId="0" applyFont="1" applyFill="1" applyBorder="1" applyAlignment="1">
      <alignment horizontal="left" vertical="top"/>
    </xf>
    <xf numFmtId="0" fontId="255" fillId="0" borderId="0" xfId="0" applyFont="1"/>
    <xf numFmtId="0" fontId="0" fillId="135" borderId="26" xfId="0" applyFill="1" applyBorder="1" applyAlignment="1">
      <alignment horizontal="center" vertical="center" wrapText="1"/>
    </xf>
    <xf numFmtId="0" fontId="3" fillId="29" borderId="26" xfId="0" applyFont="1" applyFill="1" applyBorder="1" applyAlignment="1">
      <alignment horizontal="center" vertical="center" wrapText="1"/>
    </xf>
    <xf numFmtId="0" fontId="0" fillId="29" borderId="26" xfId="0" applyFill="1" applyBorder="1" applyAlignment="1">
      <alignment horizontal="center" vertical="center" wrapText="1"/>
    </xf>
    <xf numFmtId="0" fontId="3" fillId="47" borderId="26" xfId="0" applyFont="1" applyFill="1" applyBorder="1" applyAlignment="1">
      <alignment horizontal="center" vertical="center" wrapText="1"/>
    </xf>
    <xf numFmtId="0" fontId="0" fillId="47" borderId="26" xfId="0" applyFill="1" applyBorder="1" applyAlignment="1">
      <alignment horizontal="center" vertical="center" wrapText="1"/>
    </xf>
    <xf numFmtId="0" fontId="3" fillId="108" borderId="26" xfId="0" applyFont="1" applyFill="1" applyBorder="1" applyAlignment="1">
      <alignment horizontal="center" vertical="center" wrapText="1"/>
    </xf>
    <xf numFmtId="15" fontId="0" fillId="47" borderId="105" xfId="0" applyNumberFormat="1" applyFill="1" applyBorder="1" applyAlignment="1">
      <alignment horizontal="center" vertical="center" wrapText="1"/>
    </xf>
    <xf numFmtId="247" fontId="0" fillId="108" borderId="105" xfId="0" applyNumberFormat="1" applyFill="1" applyBorder="1" applyAlignment="1">
      <alignment horizontal="center" vertical="center" wrapText="1"/>
    </xf>
    <xf numFmtId="15" fontId="0" fillId="47" borderId="332" xfId="0" applyNumberFormat="1" applyFill="1" applyBorder="1" applyAlignment="1">
      <alignment horizontal="center" vertical="center" wrapText="1"/>
    </xf>
    <xf numFmtId="247" fontId="0" fillId="108" borderId="332" xfId="0" applyNumberFormat="1" applyFill="1" applyBorder="1" applyAlignment="1">
      <alignment horizontal="center" vertical="center" wrapText="1"/>
    </xf>
    <xf numFmtId="15" fontId="0" fillId="0" borderId="0" xfId="0" applyNumberFormat="1" applyFill="1" applyBorder="1" applyAlignment="1">
      <alignment horizontal="center" vertical="center" wrapText="1"/>
    </xf>
    <xf numFmtId="175" fontId="49" fillId="0" borderId="222" xfId="1" applyNumberFormat="1" applyFont="1" applyBorder="1" applyAlignment="1" applyProtection="1">
      <alignment horizontal="center" vertical="center"/>
      <protection locked="0"/>
    </xf>
    <xf numFmtId="178" fontId="1" fillId="9" borderId="109" xfId="21" applyNumberFormat="1" applyFont="1" applyFill="1" applyBorder="1"/>
    <xf numFmtId="0" fontId="21" fillId="118" borderId="56" xfId="0" applyFont="1" applyFill="1" applyBorder="1" applyAlignment="1">
      <alignment horizontal="center" vertical="center" textRotation="90" wrapText="1"/>
    </xf>
    <xf numFmtId="183" fontId="43" fillId="9" borderId="79" xfId="0" applyNumberFormat="1" applyFont="1" applyFill="1" applyBorder="1" applyAlignment="1">
      <alignment horizontal="center" vertical="center"/>
    </xf>
    <xf numFmtId="183" fontId="43" fillId="9" borderId="41" xfId="0" applyNumberFormat="1" applyFont="1" applyFill="1" applyBorder="1" applyAlignment="1">
      <alignment horizontal="center" vertical="center"/>
    </xf>
    <xf numFmtId="184" fontId="43" fillId="9" borderId="79" xfId="0" applyNumberFormat="1" applyFont="1" applyFill="1" applyBorder="1" applyAlignment="1">
      <alignment horizontal="center" vertical="center"/>
    </xf>
    <xf numFmtId="184" fontId="43" fillId="9" borderId="41" xfId="0" applyNumberFormat="1" applyFont="1" applyFill="1" applyBorder="1" applyAlignment="1">
      <alignment horizontal="center" vertical="center"/>
    </xf>
    <xf numFmtId="0" fontId="9" fillId="0" borderId="0" xfId="3" applyFont="1" applyFill="1" applyAlignment="1">
      <alignment horizontal="center" vertical="center"/>
    </xf>
    <xf numFmtId="175" fontId="17" fillId="0" borderId="19" xfId="3" applyNumberFormat="1" applyFont="1" applyFill="1" applyBorder="1" applyAlignment="1">
      <alignment horizontal="center" vertical="center"/>
    </xf>
    <xf numFmtId="3" fontId="60" fillId="135" borderId="325" xfId="0" applyNumberFormat="1" applyFont="1" applyFill="1" applyBorder="1" applyAlignment="1" applyProtection="1">
      <alignment horizontal="right" vertical="center"/>
      <protection locked="0"/>
    </xf>
    <xf numFmtId="1" fontId="2" fillId="0" borderId="87" xfId="0" applyNumberFormat="1" applyFont="1" applyBorder="1" applyAlignment="1">
      <alignment horizontal="right"/>
    </xf>
    <xf numFmtId="1" fontId="2" fillId="0" borderId="69" xfId="0" applyNumberFormat="1" applyFont="1" applyBorder="1" applyAlignment="1">
      <alignment horizontal="right"/>
    </xf>
    <xf numFmtId="0" fontId="2" fillId="0" borderId="98" xfId="0" applyFont="1" applyBorder="1" applyAlignment="1">
      <alignment horizontal="right"/>
    </xf>
    <xf numFmtId="0" fontId="4" fillId="0" borderId="0" xfId="3" applyFont="1" applyFill="1" applyAlignment="1">
      <alignment vertical="center"/>
    </xf>
    <xf numFmtId="0" fontId="5" fillId="0" borderId="0" xfId="3" applyFont="1" applyFill="1" applyAlignment="1">
      <alignment horizontal="left"/>
    </xf>
    <xf numFmtId="175" fontId="15" fillId="0" borderId="300" xfId="5" applyNumberFormat="1" applyFont="1" applyFill="1" applyBorder="1" applyAlignment="1">
      <alignment horizontal="center" wrapText="1"/>
    </xf>
    <xf numFmtId="175" fontId="17" fillId="0" borderId="20" xfId="3" applyNumberFormat="1" applyFont="1" applyBorder="1" applyAlignment="1">
      <alignment horizontal="center" vertical="center"/>
    </xf>
    <xf numFmtId="191" fontId="11" fillId="14" borderId="251" xfId="3" applyNumberFormat="1" applyFont="1" applyFill="1" applyBorder="1" applyAlignment="1">
      <alignment horizontal="center" vertical="center"/>
    </xf>
    <xf numFmtId="37" fontId="69" fillId="14" borderId="255" xfId="21" applyNumberFormat="1" applyFont="1" applyFill="1" applyBorder="1" applyAlignment="1">
      <alignment horizontal="center" vertical="center"/>
    </xf>
    <xf numFmtId="37" fontId="69" fillId="14" borderId="271" xfId="21" applyNumberFormat="1" applyFont="1" applyFill="1" applyBorder="1" applyAlignment="1">
      <alignment horizontal="center" vertical="center"/>
    </xf>
    <xf numFmtId="37" fontId="69" fillId="14" borderId="242" xfId="21" applyNumberFormat="1" applyFont="1" applyFill="1" applyBorder="1" applyAlignment="1">
      <alignment horizontal="center" vertical="center"/>
    </xf>
    <xf numFmtId="37" fontId="69" fillId="14" borderId="352" xfId="21" applyNumberFormat="1" applyFont="1" applyFill="1" applyBorder="1" applyAlignment="1">
      <alignment horizontal="center" vertical="center"/>
    </xf>
    <xf numFmtId="0" fontId="86" fillId="0" borderId="0" xfId="0" applyFont="1"/>
    <xf numFmtId="0" fontId="0" fillId="0" borderId="0" xfId="0"/>
    <xf numFmtId="248" fontId="3" fillId="0" borderId="0" xfId="0" applyNumberFormat="1" applyFont="1"/>
    <xf numFmtId="248" fontId="3" fillId="0" borderId="0" xfId="0" applyNumberFormat="1" applyFont="1" applyBorder="1"/>
    <xf numFmtId="248" fontId="3" fillId="9" borderId="0" xfId="0" applyNumberFormat="1" applyFont="1" applyFill="1"/>
    <xf numFmtId="3" fontId="0" fillId="0" borderId="316" xfId="0" applyNumberFormat="1" applyFill="1" applyBorder="1" applyAlignment="1" applyProtection="1">
      <alignment horizontal="right" vertical="center"/>
      <protection locked="0"/>
    </xf>
    <xf numFmtId="3" fontId="60" fillId="125" borderId="311" xfId="0" applyNumberFormat="1" applyFont="1" applyFill="1" applyBorder="1" applyAlignment="1" applyProtection="1">
      <alignment horizontal="right" vertical="center"/>
      <protection locked="0"/>
    </xf>
    <xf numFmtId="0" fontId="0" fillId="0" borderId="336" xfId="0" applyBorder="1" applyAlignment="1">
      <alignment horizontal="left" vertical="center" wrapText="1"/>
    </xf>
    <xf numFmtId="0" fontId="0" fillId="0" borderId="336" xfId="0" applyBorder="1" applyAlignment="1">
      <alignment horizontal="center" vertical="center" wrapText="1"/>
    </xf>
    <xf numFmtId="3" fontId="60" fillId="125" borderId="310" xfId="0" applyNumberFormat="1" applyFont="1" applyFill="1" applyBorder="1" applyAlignment="1" applyProtection="1">
      <alignment horizontal="right" vertical="center"/>
      <protection locked="0"/>
    </xf>
    <xf numFmtId="0" fontId="60" fillId="0" borderId="310" xfId="0" applyFont="1" applyBorder="1" applyAlignment="1" applyProtection="1">
      <alignment horizontal="center"/>
      <protection locked="0"/>
    </xf>
    <xf numFmtId="0" fontId="60" fillId="125" borderId="310" xfId="0" applyFont="1" applyFill="1" applyBorder="1" applyAlignment="1">
      <alignment horizontal="left" vertical="center" wrapText="1"/>
    </xf>
    <xf numFmtId="0" fontId="2" fillId="0" borderId="354" xfId="0" applyFont="1" applyBorder="1" applyAlignment="1" applyProtection="1">
      <alignment horizontal="center"/>
      <protection locked="0"/>
    </xf>
    <xf numFmtId="0" fontId="2" fillId="0" borderId="315" xfId="0" applyFont="1" applyBorder="1" applyAlignment="1" applyProtection="1">
      <alignment horizontal="center"/>
      <protection locked="0"/>
    </xf>
    <xf numFmtId="0" fontId="0" fillId="0" borderId="315" xfId="0" applyBorder="1" applyAlignment="1">
      <alignment horizontal="center" vertical="center"/>
    </xf>
    <xf numFmtId="0" fontId="0" fillId="0" borderId="315" xfId="0" applyBorder="1" applyAlignment="1" applyProtection="1">
      <alignment vertical="center"/>
      <protection locked="0"/>
    </xf>
    <xf numFmtId="0" fontId="2" fillId="0" borderId="323" xfId="0" applyFont="1" applyBorder="1" applyAlignment="1" applyProtection="1">
      <alignment horizontal="center"/>
      <protection locked="0"/>
    </xf>
    <xf numFmtId="0" fontId="33" fillId="0" borderId="354" xfId="0" applyFont="1" applyBorder="1" applyAlignment="1">
      <alignment vertical="center" wrapText="1"/>
    </xf>
    <xf numFmtId="0" fontId="33" fillId="0" borderId="315" xfId="0" applyFont="1" applyBorder="1" applyAlignment="1">
      <alignment vertical="center" wrapText="1"/>
    </xf>
    <xf numFmtId="0" fontId="60" fillId="0" borderId="323" xfId="0" applyFont="1" applyBorder="1" applyAlignment="1">
      <alignment vertical="center" wrapText="1"/>
    </xf>
    <xf numFmtId="0" fontId="256" fillId="122" borderId="323" xfId="0" applyFont="1" applyFill="1" applyBorder="1" applyAlignment="1">
      <alignment horizontal="center" vertical="center" wrapText="1"/>
    </xf>
    <xf numFmtId="0" fontId="256" fillId="125" borderId="353" xfId="0" applyFont="1" applyFill="1" applyBorder="1" applyAlignment="1">
      <alignment horizontal="center" vertical="center"/>
    </xf>
    <xf numFmtId="0" fontId="256" fillId="122" borderId="323" xfId="0" applyFont="1" applyFill="1" applyBorder="1" applyAlignment="1">
      <alignment horizontal="center" vertical="center"/>
    </xf>
    <xf numFmtId="0" fontId="257" fillId="0" borderId="323" xfId="0" applyFont="1" applyBorder="1" applyAlignment="1" applyProtection="1">
      <alignment horizontal="center" vertical="center"/>
      <protection locked="0"/>
    </xf>
    <xf numFmtId="0" fontId="256" fillId="125" borderId="310" xfId="0" applyFont="1" applyFill="1" applyBorder="1" applyAlignment="1">
      <alignment horizontal="center" vertical="center"/>
    </xf>
    <xf numFmtId="0" fontId="77" fillId="122" borderId="324" xfId="0" applyFont="1" applyFill="1" applyBorder="1" applyAlignment="1">
      <alignment horizontal="center" vertical="center" wrapText="1"/>
    </xf>
    <xf numFmtId="0" fontId="2" fillId="29" borderId="26" xfId="0" applyFont="1" applyFill="1" applyBorder="1" applyAlignment="1">
      <alignment horizontal="center" vertical="center" wrapText="1"/>
    </xf>
    <xf numFmtId="1" fontId="0" fillId="0" borderId="121" xfId="0" applyNumberFormat="1" applyBorder="1" applyAlignment="1">
      <alignment horizontal="center" vertical="center"/>
    </xf>
    <xf numFmtId="1" fontId="0" fillId="0" borderId="356" xfId="0" applyNumberFormat="1" applyBorder="1" applyAlignment="1">
      <alignment horizontal="center" vertical="center"/>
    </xf>
    <xf numFmtId="1" fontId="0" fillId="0" borderId="357" xfId="0" applyNumberFormat="1" applyBorder="1" applyAlignment="1">
      <alignment horizontal="center" vertical="center"/>
    </xf>
    <xf numFmtId="178" fontId="0" fillId="0" borderId="21" xfId="21" applyNumberFormat="1" applyFont="1" applyFill="1" applyBorder="1"/>
    <xf numFmtId="0" fontId="2" fillId="29" borderId="121" xfId="0" applyFont="1" applyFill="1" applyBorder="1" applyAlignment="1">
      <alignment horizontal="center" vertical="center" wrapText="1"/>
    </xf>
    <xf numFmtId="0" fontId="2" fillId="29" borderId="356" xfId="0" applyFont="1" applyFill="1" applyBorder="1" applyAlignment="1">
      <alignment horizontal="center" vertical="center" wrapText="1"/>
    </xf>
    <xf numFmtId="0" fontId="2" fillId="29" borderId="357" xfId="0" applyFont="1" applyFill="1" applyBorder="1" applyAlignment="1">
      <alignment horizontal="center" vertical="center" wrapText="1"/>
    </xf>
    <xf numFmtId="0" fontId="125" fillId="29" borderId="20" xfId="0" applyFont="1" applyFill="1" applyBorder="1" applyAlignment="1">
      <alignment horizontal="center" vertical="center" wrapText="1"/>
    </xf>
    <xf numFmtId="0" fontId="125" fillId="29" borderId="21" xfId="0" applyFont="1" applyFill="1" applyBorder="1" applyAlignment="1">
      <alignment horizontal="center" vertical="center" wrapText="1"/>
    </xf>
    <xf numFmtId="0" fontId="125" fillId="29" borderId="15" xfId="0" applyFont="1" applyFill="1" applyBorder="1" applyAlignment="1">
      <alignment horizontal="center" vertical="center" wrapText="1"/>
    </xf>
    <xf numFmtId="0" fontId="0" fillId="51" borderId="302" xfId="0" applyFill="1" applyBorder="1" applyAlignment="1">
      <alignment horizontal="center" vertical="center"/>
    </xf>
    <xf numFmtId="0" fontId="125" fillId="29" borderId="26" xfId="0" applyFont="1" applyFill="1" applyBorder="1" applyAlignment="1">
      <alignment horizontal="center" vertical="center"/>
    </xf>
    <xf numFmtId="0" fontId="0" fillId="51" borderId="307" xfId="0" applyFill="1" applyBorder="1" applyAlignment="1">
      <alignment horizontal="center" vertical="center"/>
    </xf>
    <xf numFmtId="0" fontId="3" fillId="0" borderId="0" xfId="0" applyFont="1" applyAlignment="1">
      <alignment horizontal="center"/>
    </xf>
    <xf numFmtId="175" fontId="3" fillId="0" borderId="305" xfId="0" applyNumberFormat="1" applyFont="1" applyBorder="1" applyAlignment="1">
      <alignment horizontal="center" vertical="center"/>
    </xf>
    <xf numFmtId="175" fontId="3" fillId="0" borderId="56" xfId="0" applyNumberFormat="1" applyFont="1" applyBorder="1" applyAlignment="1">
      <alignment horizontal="center" vertical="center"/>
    </xf>
    <xf numFmtId="175" fontId="3" fillId="14" borderId="72" xfId="0" applyNumberFormat="1" applyFont="1" applyFill="1" applyBorder="1" applyAlignment="1">
      <alignment horizontal="center" vertical="center"/>
    </xf>
    <xf numFmtId="0" fontId="3" fillId="14" borderId="72" xfId="0" applyFont="1" applyFill="1" applyBorder="1" applyAlignment="1">
      <alignment horizontal="center" vertical="center"/>
    </xf>
    <xf numFmtId="175" fontId="3" fillId="0" borderId="143" xfId="0" applyNumberFormat="1" applyFont="1" applyBorder="1" applyAlignment="1">
      <alignment horizontal="center" vertical="center"/>
    </xf>
    <xf numFmtId="175" fontId="3" fillId="14" borderId="161" xfId="0" applyNumberFormat="1" applyFont="1" applyFill="1" applyBorder="1" applyAlignment="1">
      <alignment horizontal="center" vertical="center"/>
    </xf>
    <xf numFmtId="175" fontId="3" fillId="0" borderId="222" xfId="0" applyNumberFormat="1" applyFont="1" applyBorder="1" applyAlignment="1">
      <alignment horizontal="center" vertical="center"/>
    </xf>
    <xf numFmtId="175" fontId="3" fillId="9" borderId="305" xfId="0" applyNumberFormat="1" applyFont="1" applyFill="1" applyBorder="1" applyAlignment="1">
      <alignment horizontal="center" vertical="center"/>
    </xf>
    <xf numFmtId="0" fontId="3" fillId="0" borderId="0" xfId="0" applyFont="1" applyAlignment="1">
      <alignment horizontal="center" vertical="center"/>
    </xf>
    <xf numFmtId="248" fontId="3" fillId="0" borderId="0" xfId="0" applyNumberFormat="1" applyFont="1" applyAlignment="1">
      <alignment horizontal="center" vertical="center"/>
    </xf>
    <xf numFmtId="0" fontId="72" fillId="19" borderId="10" xfId="3" applyFont="1" applyFill="1" applyBorder="1" applyAlignment="1">
      <alignment vertical="center"/>
    </xf>
    <xf numFmtId="0" fontId="72" fillId="19" borderId="26" xfId="3" applyFont="1" applyFill="1" applyBorder="1" applyAlignment="1">
      <alignment vertical="center"/>
    </xf>
    <xf numFmtId="175" fontId="3" fillId="0" borderId="299" xfId="0" applyNumberFormat="1" applyFont="1" applyBorder="1"/>
    <xf numFmtId="0" fontId="3" fillId="0" borderId="305" xfId="0" applyFont="1" applyBorder="1" applyAlignment="1">
      <alignment horizontal="center"/>
    </xf>
    <xf numFmtId="0" fontId="3" fillId="9" borderId="305" xfId="0" applyFont="1" applyFill="1" applyBorder="1" applyAlignment="1">
      <alignment horizontal="center"/>
    </xf>
    <xf numFmtId="0" fontId="3" fillId="0" borderId="305" xfId="0" applyFont="1" applyFill="1" applyBorder="1" applyAlignment="1">
      <alignment horizontal="center"/>
    </xf>
    <xf numFmtId="0" fontId="0" fillId="0" borderId="148" xfId="0" applyBorder="1" applyProtection="1">
      <protection locked="0"/>
    </xf>
    <xf numFmtId="0" fontId="0" fillId="0" borderId="149" xfId="0" applyBorder="1" applyProtection="1">
      <protection locked="0"/>
    </xf>
    <xf numFmtId="0" fontId="0" fillId="0" borderId="0" xfId="0" applyFont="1" applyProtection="1">
      <protection locked="0"/>
    </xf>
    <xf numFmtId="0" fontId="0" fillId="0" borderId="0" xfId="0" applyProtection="1">
      <protection locked="0"/>
    </xf>
    <xf numFmtId="0" fontId="0" fillId="0" borderId="146" xfId="0" applyBorder="1" applyProtection="1">
      <protection locked="0"/>
    </xf>
    <xf numFmtId="0" fontId="68" fillId="0" borderId="0" xfId="0" applyFont="1" applyProtection="1">
      <protection locked="0"/>
    </xf>
    <xf numFmtId="0" fontId="0" fillId="0" borderId="0" xfId="0" applyBorder="1" applyProtection="1">
      <protection locked="0"/>
    </xf>
    <xf numFmtId="191" fontId="68" fillId="0" borderId="0" xfId="0" applyNumberFormat="1" applyFont="1" applyProtection="1">
      <protection locked="0"/>
    </xf>
    <xf numFmtId="0" fontId="76" fillId="0" borderId="146" xfId="0" applyFont="1" applyBorder="1" applyAlignment="1" applyProtection="1">
      <alignment vertical="center"/>
      <protection locked="0"/>
    </xf>
    <xf numFmtId="0" fontId="0" fillId="0" borderId="305" xfId="0" applyBorder="1" applyAlignment="1" applyProtection="1">
      <alignment horizontal="center" vertical="center"/>
      <protection locked="0"/>
    </xf>
    <xf numFmtId="2" fontId="0" fillId="47" borderId="305" xfId="0" applyNumberFormat="1" applyFill="1" applyBorder="1" applyAlignment="1" applyProtection="1">
      <alignment horizontal="center" vertical="center"/>
      <protection locked="0"/>
    </xf>
    <xf numFmtId="0" fontId="0" fillId="0" borderId="0" xfId="0" applyFill="1" applyProtection="1">
      <protection locked="0"/>
    </xf>
    <xf numFmtId="0" fontId="0" fillId="9" borderId="0" xfId="0" applyFill="1" applyProtection="1">
      <protection locked="0"/>
    </xf>
    <xf numFmtId="2" fontId="110" fillId="45" borderId="26" xfId="0" applyNumberFormat="1" applyFont="1" applyFill="1" applyBorder="1" applyAlignment="1" applyProtection="1">
      <alignment horizontal="center" vertical="center"/>
      <protection locked="0"/>
    </xf>
    <xf numFmtId="201" fontId="68" fillId="0" borderId="0" xfId="0" applyNumberFormat="1" applyFont="1" applyProtection="1">
      <protection locked="0"/>
    </xf>
    <xf numFmtId="16" fontId="0" fillId="0" borderId="0" xfId="0" applyNumberFormat="1" applyAlignment="1" applyProtection="1">
      <alignment horizontal="center"/>
      <protection locked="0"/>
    </xf>
    <xf numFmtId="21" fontId="0" fillId="0" borderId="0" xfId="0" applyNumberFormat="1" applyAlignment="1" applyProtection="1">
      <alignment horizontal="center"/>
      <protection locked="0"/>
    </xf>
    <xf numFmtId="0" fontId="0" fillId="0" borderId="0" xfId="0" applyNumberFormat="1" applyAlignment="1" applyProtection="1">
      <alignment horizontal="center"/>
      <protection locked="0"/>
    </xf>
    <xf numFmtId="0" fontId="0" fillId="0" borderId="0" xfId="0" applyFill="1" applyAlignment="1" applyProtection="1">
      <alignment horizontal="center"/>
      <protection locked="0"/>
    </xf>
    <xf numFmtId="0" fontId="0" fillId="16" borderId="0" xfId="0" applyFill="1" applyProtection="1">
      <protection locked="0"/>
    </xf>
    <xf numFmtId="0" fontId="0" fillId="0" borderId="0" xfId="0" applyBorder="1" applyAlignment="1">
      <alignment horizontal="center" vertical="center"/>
    </xf>
    <xf numFmtId="2" fontId="15" fillId="0" borderId="4" xfId="5" applyNumberFormat="1" applyFont="1" applyFill="1" applyBorder="1" applyAlignment="1">
      <alignment horizontal="center" wrapText="1"/>
    </xf>
    <xf numFmtId="2" fontId="15" fillId="0" borderId="101" xfId="5" applyNumberFormat="1" applyFont="1" applyFill="1" applyBorder="1" applyAlignment="1">
      <alignment horizontal="center" wrapText="1"/>
    </xf>
    <xf numFmtId="2" fontId="15" fillId="0" borderId="238" xfId="5" applyNumberFormat="1" applyFont="1" applyFill="1" applyBorder="1" applyAlignment="1">
      <alignment horizontal="center" wrapText="1"/>
    </xf>
    <xf numFmtId="194" fontId="0" fillId="0" borderId="0" xfId="0" applyNumberFormat="1" applyAlignment="1">
      <alignment horizontal="center" vertical="center"/>
    </xf>
    <xf numFmtId="194" fontId="259" fillId="0" borderId="0" xfId="0" applyNumberFormat="1" applyFont="1" applyBorder="1" applyAlignment="1">
      <alignment horizontal="center" vertical="center" wrapText="1"/>
    </xf>
    <xf numFmtId="194" fontId="259" fillId="0" borderId="47" xfId="0" applyNumberFormat="1" applyFont="1" applyBorder="1" applyAlignment="1">
      <alignment horizontal="center" vertical="center" wrapText="1"/>
    </xf>
    <xf numFmtId="194" fontId="259" fillId="0" borderId="48" xfId="0" applyNumberFormat="1" applyFont="1" applyBorder="1" applyAlignment="1">
      <alignment horizontal="center" vertical="center" wrapText="1"/>
    </xf>
    <xf numFmtId="194" fontId="0" fillId="0" borderId="307" xfId="0" applyNumberFormat="1" applyBorder="1" applyAlignment="1">
      <alignment horizontal="center" vertical="center"/>
    </xf>
    <xf numFmtId="194" fontId="0" fillId="0" borderId="47" xfId="0" applyNumberFormat="1" applyBorder="1" applyAlignment="1">
      <alignment horizontal="center" vertical="center"/>
    </xf>
    <xf numFmtId="194" fontId="0" fillId="0" borderId="333" xfId="0" applyNumberFormat="1" applyBorder="1" applyAlignment="1">
      <alignment horizontal="center" vertical="center"/>
    </xf>
    <xf numFmtId="0" fontId="0" fillId="0" borderId="207" xfId="0" applyBorder="1" applyAlignment="1">
      <alignment horizontal="center" vertical="center"/>
    </xf>
    <xf numFmtId="0" fontId="0" fillId="0" borderId="334" xfId="0" applyBorder="1"/>
    <xf numFmtId="0" fontId="2" fillId="123" borderId="305" xfId="0" applyFont="1" applyFill="1" applyBorder="1" applyAlignment="1">
      <alignment horizontal="center" vertical="center"/>
    </xf>
    <xf numFmtId="0" fontId="2" fillId="0" borderId="0" xfId="0" applyFont="1" applyFill="1" applyBorder="1" applyAlignment="1">
      <alignment horizontal="center" vertical="center"/>
    </xf>
    <xf numFmtId="0" fontId="0" fillId="0" borderId="0" xfId="0" applyFill="1" applyBorder="1"/>
    <xf numFmtId="0" fontId="2" fillId="0" borderId="65" xfId="0" applyFont="1" applyFill="1" applyBorder="1" applyAlignment="1">
      <alignment horizontal="center" vertical="center"/>
    </xf>
    <xf numFmtId="0" fontId="2" fillId="29" borderId="305" xfId="0" applyFont="1" applyFill="1" applyBorder="1" applyAlignment="1">
      <alignment horizontal="center" vertical="center"/>
    </xf>
    <xf numFmtId="194" fontId="76" fillId="0" borderId="47" xfId="0" applyNumberFormat="1" applyFont="1" applyBorder="1" applyAlignment="1">
      <alignment horizontal="center" vertical="center" wrapText="1"/>
    </xf>
    <xf numFmtId="194" fontId="76" fillId="0" borderId="0" xfId="0" applyNumberFormat="1" applyFont="1" applyBorder="1" applyAlignment="1">
      <alignment horizontal="center" vertical="center" wrapText="1"/>
    </xf>
    <xf numFmtId="14" fontId="2" fillId="0" borderId="0" xfId="0" applyNumberFormat="1" applyFont="1" applyBorder="1" applyAlignment="1">
      <alignment horizontal="center" vertical="center" wrapText="1"/>
    </xf>
    <xf numFmtId="194" fontId="2" fillId="0" borderId="0" xfId="0" applyNumberFormat="1" applyFont="1" applyBorder="1" applyAlignment="1">
      <alignment horizontal="center" vertical="center" wrapText="1"/>
    </xf>
    <xf numFmtId="14" fontId="2" fillId="0" borderId="10" xfId="0" applyNumberFormat="1" applyFont="1" applyBorder="1" applyAlignment="1">
      <alignment horizontal="center" vertical="center" wrapText="1"/>
    </xf>
    <xf numFmtId="194" fontId="2" fillId="0" borderId="10" xfId="0" applyNumberFormat="1" applyFont="1" applyBorder="1" applyAlignment="1">
      <alignment horizontal="center" vertical="center" wrapText="1"/>
    </xf>
    <xf numFmtId="194" fontId="76" fillId="47" borderId="8" xfId="0" applyNumberFormat="1" applyFont="1" applyFill="1" applyBorder="1" applyAlignment="1">
      <alignment horizontal="center" vertical="center" wrapText="1"/>
    </xf>
    <xf numFmtId="1" fontId="3" fillId="9" borderId="56" xfId="0" applyNumberFormat="1" applyFont="1" applyFill="1" applyBorder="1" applyAlignment="1">
      <alignment horizontal="center"/>
    </xf>
    <xf numFmtId="14" fontId="0" fillId="0" borderId="0" xfId="0" applyNumberFormat="1" applyAlignment="1">
      <alignment horizontal="center"/>
    </xf>
    <xf numFmtId="0" fontId="1" fillId="0" borderId="305" xfId="0" applyFont="1" applyBorder="1"/>
    <xf numFmtId="14" fontId="1" fillId="0" borderId="305" xfId="0" applyNumberFormat="1" applyFont="1" applyBorder="1" applyAlignment="1"/>
    <xf numFmtId="0" fontId="43" fillId="2" borderId="305" xfId="6" applyFont="1" applyFill="1" applyBorder="1" applyAlignment="1">
      <alignment horizontal="left" vertical="center"/>
    </xf>
    <xf numFmtId="2" fontId="15" fillId="0" borderId="335" xfId="5" applyNumberFormat="1" applyFont="1" applyFill="1" applyBorder="1" applyAlignment="1">
      <alignment horizontal="center" wrapText="1"/>
    </xf>
    <xf numFmtId="2" fontId="15" fillId="0" borderId="359" xfId="5" applyNumberFormat="1" applyFont="1" applyFill="1" applyBorder="1" applyAlignment="1">
      <alignment horizontal="center" wrapText="1"/>
    </xf>
    <xf numFmtId="2" fontId="15" fillId="0" borderId="360" xfId="5" applyNumberFormat="1" applyFont="1" applyFill="1" applyBorder="1" applyAlignment="1">
      <alignment horizontal="center" wrapText="1"/>
    </xf>
    <xf numFmtId="14" fontId="1" fillId="9" borderId="305" xfId="0" applyNumberFormat="1" applyFont="1" applyFill="1" applyBorder="1" applyAlignment="1"/>
    <xf numFmtId="0" fontId="1" fillId="0" borderId="350" xfId="0" applyFont="1" applyBorder="1"/>
    <xf numFmtId="0" fontId="0" fillId="0" borderId="65" xfId="0" applyBorder="1"/>
    <xf numFmtId="0" fontId="1" fillId="0" borderId="22" xfId="4" applyBorder="1" applyAlignment="1">
      <alignment horizontal="center" vertical="center"/>
    </xf>
    <xf numFmtId="0" fontId="1" fillId="0" borderId="24" xfId="4" applyBorder="1" applyAlignment="1">
      <alignment horizontal="center" vertical="center"/>
    </xf>
    <xf numFmtId="0" fontId="1" fillId="0" borderId="25" xfId="4" applyBorder="1" applyAlignment="1">
      <alignment horizontal="center" vertical="center"/>
    </xf>
    <xf numFmtId="0" fontId="1" fillId="0" borderId="82" xfId="4" applyBorder="1" applyAlignment="1">
      <alignment horizontal="center" vertical="center"/>
    </xf>
    <xf numFmtId="0" fontId="73" fillId="21" borderId="26" xfId="3" applyFont="1" applyFill="1" applyBorder="1" applyAlignment="1">
      <alignment horizontal="center" vertical="center" wrapText="1"/>
    </xf>
    <xf numFmtId="0" fontId="21" fillId="135" borderId="56" xfId="0" applyFont="1" applyFill="1" applyBorder="1" applyAlignment="1">
      <alignment horizontal="center" vertical="center" textRotation="90" wrapText="1"/>
    </xf>
    <xf numFmtId="0" fontId="68" fillId="0" borderId="0" xfId="0" applyFont="1" applyAlignment="1">
      <alignment wrapText="1"/>
    </xf>
    <xf numFmtId="14" fontId="0" fillId="0" borderId="0" xfId="0" applyNumberFormat="1" applyAlignment="1"/>
    <xf numFmtId="3" fontId="60" fillId="11" borderId="325" xfId="0" applyNumberFormat="1" applyFont="1" applyFill="1" applyBorder="1" applyAlignment="1" applyProtection="1">
      <alignment horizontal="right" vertical="center"/>
      <protection locked="0"/>
    </xf>
    <xf numFmtId="0" fontId="0" fillId="9" borderId="299" xfId="0" applyFill="1" applyBorder="1" applyAlignment="1" applyProtection="1">
      <protection locked="0"/>
    </xf>
    <xf numFmtId="0" fontId="0" fillId="0" borderId="0" xfId="0" applyNumberFormat="1" applyFill="1" applyAlignment="1">
      <alignment horizontal="center"/>
    </xf>
    <xf numFmtId="0" fontId="0" fillId="0" borderId="0" xfId="0" applyNumberFormat="1" applyFill="1" applyAlignment="1" applyProtection="1">
      <alignment horizontal="center"/>
      <protection locked="0"/>
    </xf>
    <xf numFmtId="0" fontId="0" fillId="0" borderId="0" xfId="0" applyBorder="1" applyAlignment="1">
      <alignment horizontal="center" vertical="center"/>
    </xf>
    <xf numFmtId="15" fontId="3" fillId="9" borderId="31" xfId="0" applyNumberFormat="1" applyFont="1" applyFill="1" applyBorder="1" applyAlignment="1">
      <alignment horizontal="center" vertical="center"/>
    </xf>
    <xf numFmtId="175" fontId="3" fillId="9" borderId="222" xfId="0" applyNumberFormat="1" applyFont="1" applyFill="1" applyBorder="1" applyAlignment="1">
      <alignment horizontal="right"/>
    </xf>
    <xf numFmtId="175" fontId="3" fillId="9" borderId="305" xfId="0" applyNumberFormat="1" applyFont="1" applyFill="1" applyBorder="1" applyAlignment="1">
      <alignment horizontal="right"/>
    </xf>
    <xf numFmtId="175" fontId="15" fillId="9" borderId="69" xfId="5" applyNumberFormat="1" applyFont="1" applyFill="1" applyBorder="1" applyAlignment="1">
      <alignment horizontal="center" wrapText="1"/>
    </xf>
    <xf numFmtId="0" fontId="0" fillId="0" borderId="222" xfId="0" applyBorder="1"/>
    <xf numFmtId="175" fontId="3" fillId="0" borderId="56" xfId="0" applyNumberFormat="1" applyFont="1" applyBorder="1" applyAlignment="1">
      <alignment horizontal="center"/>
    </xf>
    <xf numFmtId="175" fontId="3" fillId="14" borderId="72" xfId="0" applyNumberFormat="1" applyFont="1" applyFill="1" applyBorder="1" applyAlignment="1">
      <alignment horizontal="center"/>
    </xf>
    <xf numFmtId="190" fontId="0" fillId="27" borderId="115" xfId="0" applyNumberFormat="1" applyFont="1" applyFill="1" applyBorder="1" applyAlignment="1">
      <alignment horizontal="center" vertical="center" wrapText="1"/>
    </xf>
    <xf numFmtId="0" fontId="243" fillId="108" borderId="8" xfId="0" applyFont="1" applyFill="1" applyBorder="1" applyAlignment="1" applyProtection="1">
      <alignment horizontal="center" vertical="center" wrapText="1"/>
      <protection locked="0"/>
    </xf>
    <xf numFmtId="0" fontId="243" fillId="108" borderId="8" xfId="0" applyFont="1" applyFill="1" applyBorder="1" applyAlignment="1" applyProtection="1">
      <alignment horizontal="center" vertical="center"/>
      <protection locked="0"/>
    </xf>
    <xf numFmtId="0" fontId="1" fillId="0" borderId="23" xfId="4" applyBorder="1" applyAlignment="1">
      <alignment horizontal="center" vertical="center"/>
    </xf>
    <xf numFmtId="2" fontId="258" fillId="23" borderId="97" xfId="3" applyNumberFormat="1" applyFont="1" applyFill="1" applyBorder="1" applyAlignment="1">
      <alignment horizontal="center" vertical="center" wrapText="1"/>
    </xf>
    <xf numFmtId="2" fontId="258" fillId="23" borderId="14" xfId="3" applyNumberFormat="1" applyFont="1" applyFill="1" applyBorder="1" applyAlignment="1">
      <alignment horizontal="center" vertical="center" wrapText="1"/>
    </xf>
    <xf numFmtId="175" fontId="3" fillId="14" borderId="361" xfId="0" applyNumberFormat="1" applyFont="1" applyFill="1" applyBorder="1"/>
    <xf numFmtId="0" fontId="3" fillId="14" borderId="361" xfId="0" applyFont="1" applyFill="1" applyBorder="1" applyAlignment="1"/>
    <xf numFmtId="1" fontId="3" fillId="14" borderId="361" xfId="0" applyNumberFormat="1" applyFont="1" applyFill="1" applyBorder="1"/>
    <xf numFmtId="175" fontId="3" fillId="0" borderId="303" xfId="0" applyNumberFormat="1" applyFont="1" applyBorder="1"/>
    <xf numFmtId="0" fontId="50" fillId="0" borderId="0" xfId="22" applyFont="1" applyAlignment="1">
      <alignment vertical="top"/>
    </xf>
    <xf numFmtId="1" fontId="3" fillId="14" borderId="303" xfId="0" applyNumberFormat="1" applyFont="1" applyFill="1" applyBorder="1" applyAlignment="1">
      <alignment horizontal="center"/>
    </xf>
    <xf numFmtId="175" fontId="3" fillId="14" borderId="303" xfId="0" applyNumberFormat="1" applyFont="1" applyFill="1" applyBorder="1" applyAlignment="1">
      <alignment horizontal="center"/>
    </xf>
    <xf numFmtId="1" fontId="3" fillId="0" borderId="305" xfId="0" applyNumberFormat="1" applyFont="1" applyBorder="1" applyAlignment="1">
      <alignment horizontal="center" vertical="center"/>
    </xf>
    <xf numFmtId="0" fontId="3" fillId="0" borderId="305" xfId="0" applyFont="1" applyFill="1" applyBorder="1" applyAlignment="1">
      <alignment horizontal="center" vertical="center"/>
    </xf>
    <xf numFmtId="0" fontId="3" fillId="0" borderId="305" xfId="0" applyFont="1" applyBorder="1" applyAlignment="1">
      <alignment horizontal="center" vertical="center"/>
    </xf>
    <xf numFmtId="0" fontId="11" fillId="6" borderId="8" xfId="6" applyFont="1" applyFill="1" applyBorder="1" applyAlignment="1">
      <alignment horizontal="center" vertical="center" wrapText="1"/>
    </xf>
    <xf numFmtId="0" fontId="11" fillId="6" borderId="10" xfId="6" applyFont="1" applyFill="1" applyBorder="1" applyAlignment="1">
      <alignment horizontal="center" vertical="center" wrapText="1"/>
    </xf>
    <xf numFmtId="0" fontId="12" fillId="3" borderId="8" xfId="6" applyFont="1" applyFill="1" applyBorder="1" applyAlignment="1">
      <alignment horizontal="center" vertical="center" wrapText="1"/>
    </xf>
    <xf numFmtId="175" fontId="1" fillId="0" borderId="0" xfId="4" applyNumberFormat="1"/>
    <xf numFmtId="49" fontId="1" fillId="0" borderId="0" xfId="4" applyNumberFormat="1"/>
    <xf numFmtId="0" fontId="6" fillId="0" borderId="0" xfId="4" applyNumberFormat="1" applyFont="1"/>
    <xf numFmtId="175" fontId="1" fillId="0" borderId="0" xfId="4" applyNumberFormat="1" applyFill="1"/>
    <xf numFmtId="0" fontId="1" fillId="0" borderId="0" xfId="4" applyFill="1" applyAlignment="1">
      <alignment horizontal="center"/>
    </xf>
    <xf numFmtId="0" fontId="11" fillId="5" borderId="21" xfId="3" applyFont="1" applyFill="1" applyBorder="1" applyAlignment="1">
      <alignment horizontal="center" vertical="center" wrapText="1"/>
    </xf>
    <xf numFmtId="0" fontId="12" fillId="5" borderId="21" xfId="3" applyFont="1" applyFill="1" applyBorder="1" applyAlignment="1">
      <alignment horizontal="center" vertical="center" wrapText="1"/>
    </xf>
    <xf numFmtId="0" fontId="12" fillId="138" borderId="21" xfId="3" applyFont="1" applyFill="1" applyBorder="1" applyAlignment="1">
      <alignment horizontal="center" vertical="center" wrapText="1"/>
    </xf>
    <xf numFmtId="0" fontId="12" fillId="6" borderId="26" xfId="6" applyFont="1" applyFill="1" applyBorder="1" applyAlignment="1">
      <alignment horizontal="center" vertical="center" wrapText="1"/>
    </xf>
    <xf numFmtId="0" fontId="11" fillId="139" borderId="26" xfId="6" applyFont="1" applyFill="1" applyBorder="1" applyAlignment="1">
      <alignment horizontal="center" vertical="center" wrapText="1"/>
    </xf>
    <xf numFmtId="0" fontId="11" fillId="6" borderId="8" xfId="6" applyFont="1" applyFill="1" applyBorder="1" applyAlignment="1">
      <alignment vertical="center" wrapText="1"/>
    </xf>
    <xf numFmtId="0" fontId="11" fillId="6" borderId="26" xfId="6" applyFont="1" applyFill="1" applyBorder="1" applyAlignment="1">
      <alignment vertical="center" wrapText="1"/>
    </xf>
    <xf numFmtId="0" fontId="12" fillId="3" borderId="1" xfId="3" applyFont="1" applyFill="1" applyBorder="1" applyAlignment="1">
      <alignment horizontal="center" vertical="center" wrapText="1"/>
    </xf>
    <xf numFmtId="0" fontId="12" fillId="3" borderId="360" xfId="3" applyFont="1" applyFill="1" applyBorder="1" applyAlignment="1">
      <alignment horizontal="center" vertical="center" wrapText="1"/>
    </xf>
    <xf numFmtId="15" fontId="13" fillId="0" borderId="105" xfId="3" applyNumberFormat="1" applyFont="1" applyFill="1" applyBorder="1" applyAlignment="1">
      <alignment horizontal="center" vertical="center" wrapText="1"/>
    </xf>
    <xf numFmtId="175" fontId="15" fillId="0" borderId="4" xfId="5" applyNumberFormat="1" applyFont="1" applyFill="1" applyBorder="1" applyAlignment="1">
      <alignment horizontal="center" wrapText="1"/>
    </xf>
    <xf numFmtId="175" fontId="15" fillId="0" borderId="367" xfId="5" applyNumberFormat="1" applyFont="1" applyFill="1" applyBorder="1" applyAlignment="1">
      <alignment horizontal="center" wrapText="1"/>
    </xf>
    <xf numFmtId="175" fontId="15" fillId="0" borderId="23" xfId="5" applyNumberFormat="1" applyFont="1" applyFill="1" applyBorder="1" applyAlignment="1">
      <alignment horizontal="center" wrapText="1"/>
    </xf>
    <xf numFmtId="2" fontId="15" fillId="0" borderId="367" xfId="5" applyNumberFormat="1" applyFont="1" applyFill="1" applyBorder="1" applyAlignment="1">
      <alignment horizontal="center" wrapText="1"/>
    </xf>
    <xf numFmtId="2" fontId="15" fillId="0" borderId="368" xfId="5" applyNumberFormat="1" applyFont="1" applyFill="1" applyBorder="1" applyAlignment="1">
      <alignment horizontal="center" wrapText="1"/>
    </xf>
    <xf numFmtId="2" fontId="15" fillId="0" borderId="369" xfId="5" applyNumberFormat="1" applyFont="1" applyFill="1" applyBorder="1" applyAlignment="1">
      <alignment horizontal="center" wrapText="1"/>
    </xf>
    <xf numFmtId="175" fontId="15" fillId="9" borderId="367" xfId="5" applyNumberFormat="1" applyFont="1" applyFill="1" applyBorder="1" applyAlignment="1">
      <alignment horizontal="center" wrapText="1"/>
    </xf>
    <xf numFmtId="175" fontId="15" fillId="0" borderId="30" xfId="5" applyNumberFormat="1" applyFont="1" applyFill="1" applyBorder="1" applyAlignment="1">
      <alignment horizontal="center" wrapText="1"/>
    </xf>
    <xf numFmtId="2" fontId="15" fillId="0" borderId="367" xfId="3" applyNumberFormat="1" applyFont="1" applyBorder="1" applyAlignment="1">
      <alignment horizontal="center" vertical="center"/>
    </xf>
    <xf numFmtId="2" fontId="15" fillId="0" borderId="370" xfId="5" applyNumberFormat="1" applyFont="1" applyFill="1" applyBorder="1" applyAlignment="1">
      <alignment horizontal="center" wrapText="1"/>
    </xf>
    <xf numFmtId="2" fontId="15" fillId="0" borderId="371" xfId="5" applyNumberFormat="1" applyFont="1" applyFill="1" applyBorder="1" applyAlignment="1">
      <alignment horizontal="center" wrapText="1"/>
    </xf>
    <xf numFmtId="175" fontId="15" fillId="9" borderId="23" xfId="5" applyNumberFormat="1" applyFont="1" applyFill="1" applyBorder="1" applyAlignment="1">
      <alignment horizontal="center" wrapText="1"/>
    </xf>
    <xf numFmtId="2" fontId="15" fillId="0" borderId="338" xfId="5" applyNumberFormat="1" applyFont="1" applyFill="1" applyBorder="1" applyAlignment="1">
      <alignment horizontal="center" wrapText="1"/>
    </xf>
    <xf numFmtId="175" fontId="15" fillId="0" borderId="24" xfId="5" applyNumberFormat="1" applyFont="1" applyFill="1" applyBorder="1" applyAlignment="1">
      <alignment horizontal="center" wrapText="1"/>
    </xf>
    <xf numFmtId="0" fontId="1" fillId="9" borderId="0" xfId="4" applyFill="1"/>
    <xf numFmtId="175" fontId="15" fillId="9" borderId="27" xfId="5" applyNumberFormat="1" applyFont="1" applyFill="1" applyBorder="1" applyAlignment="1">
      <alignment horizontal="center" wrapText="1"/>
    </xf>
    <xf numFmtId="175" fontId="15" fillId="9" borderId="2" xfId="5" applyNumberFormat="1" applyFont="1" applyFill="1" applyBorder="1" applyAlignment="1">
      <alignment horizontal="center" wrapText="1"/>
    </xf>
    <xf numFmtId="175" fontId="15" fillId="9" borderId="4" xfId="5" applyNumberFormat="1" applyFont="1" applyFill="1" applyBorder="1" applyAlignment="1">
      <alignment horizontal="center" wrapText="1"/>
    </xf>
    <xf numFmtId="175" fontId="15" fillId="9" borderId="5" xfId="5" applyNumberFormat="1" applyFont="1" applyFill="1" applyBorder="1" applyAlignment="1">
      <alignment horizontal="center" wrapText="1"/>
    </xf>
    <xf numFmtId="175" fontId="15" fillId="9" borderId="3" xfId="5" applyNumberFormat="1" applyFont="1" applyFill="1" applyBorder="1" applyAlignment="1">
      <alignment horizontal="center" wrapText="1"/>
    </xf>
    <xf numFmtId="175" fontId="15" fillId="9" borderId="68" xfId="5" applyNumberFormat="1" applyFont="1" applyFill="1" applyBorder="1" applyAlignment="1">
      <alignment horizontal="center" wrapText="1"/>
    </xf>
    <xf numFmtId="2" fontId="15" fillId="9" borderId="367" xfId="5" applyNumberFormat="1" applyFont="1" applyFill="1" applyBorder="1" applyAlignment="1">
      <alignment horizontal="center" wrapText="1"/>
    </xf>
    <xf numFmtId="2" fontId="15" fillId="9" borderId="367" xfId="3" applyNumberFormat="1" applyFont="1" applyFill="1" applyBorder="1" applyAlignment="1">
      <alignment horizontal="center" vertical="center"/>
    </xf>
    <xf numFmtId="2" fontId="15" fillId="9" borderId="338" xfId="5" applyNumberFormat="1" applyFont="1" applyFill="1" applyBorder="1" applyAlignment="1">
      <alignment horizontal="center" wrapText="1"/>
    </xf>
    <xf numFmtId="2" fontId="15" fillId="9" borderId="371" xfId="5" applyNumberFormat="1" applyFont="1" applyFill="1" applyBorder="1" applyAlignment="1">
      <alignment horizontal="center" wrapText="1"/>
    </xf>
    <xf numFmtId="175" fontId="15" fillId="9" borderId="30" xfId="5" applyNumberFormat="1" applyFont="1" applyFill="1" applyBorder="1" applyAlignment="1">
      <alignment horizontal="center" wrapText="1"/>
    </xf>
    <xf numFmtId="0" fontId="1" fillId="9" borderId="24" xfId="4" applyFill="1" applyBorder="1" applyAlignment="1">
      <alignment horizontal="center" vertical="center"/>
    </xf>
    <xf numFmtId="0" fontId="1" fillId="108" borderId="0" xfId="4" applyFill="1"/>
    <xf numFmtId="175" fontId="15" fillId="0" borderId="55" xfId="5" applyNumberFormat="1" applyFont="1" applyFill="1" applyBorder="1" applyAlignment="1">
      <alignment horizontal="center" wrapText="1"/>
    </xf>
    <xf numFmtId="175" fontId="15" fillId="0" borderId="372" xfId="5" applyNumberFormat="1" applyFont="1" applyFill="1" applyBorder="1" applyAlignment="1">
      <alignment horizontal="center" wrapText="1"/>
    </xf>
    <xf numFmtId="175" fontId="15" fillId="0" borderId="25" xfId="5" applyNumberFormat="1" applyFont="1" applyFill="1" applyBorder="1" applyAlignment="1">
      <alignment horizontal="center" wrapText="1"/>
    </xf>
    <xf numFmtId="2" fontId="15" fillId="0" borderId="372" xfId="5" applyNumberFormat="1" applyFont="1" applyFill="1" applyBorder="1" applyAlignment="1">
      <alignment horizontal="center" wrapText="1"/>
    </xf>
    <xf numFmtId="2" fontId="15" fillId="0" borderId="372" xfId="3" applyNumberFormat="1" applyFont="1" applyBorder="1" applyAlignment="1">
      <alignment horizontal="center" vertical="center"/>
    </xf>
    <xf numFmtId="2" fontId="15" fillId="9" borderId="332" xfId="5" applyNumberFormat="1" applyFont="1" applyFill="1" applyBorder="1" applyAlignment="1">
      <alignment horizontal="center" vertical="center" wrapText="1"/>
    </xf>
    <xf numFmtId="175" fontId="15" fillId="0" borderId="373" xfId="5" applyNumberFormat="1" applyFont="1" applyFill="1" applyBorder="1" applyAlignment="1">
      <alignment horizontal="center" wrapText="1"/>
    </xf>
    <xf numFmtId="0" fontId="1" fillId="0" borderId="332" xfId="4" applyBorder="1" applyAlignment="1">
      <alignment horizontal="center" vertical="center"/>
    </xf>
    <xf numFmtId="175" fontId="15" fillId="0" borderId="66" xfId="5" applyNumberFormat="1" applyFont="1" applyFill="1" applyBorder="1" applyAlignment="1">
      <alignment horizontal="center" wrapText="1"/>
    </xf>
    <xf numFmtId="2" fontId="15" fillId="0" borderId="23" xfId="5" applyNumberFormat="1" applyFont="1" applyFill="1" applyBorder="1" applyAlignment="1">
      <alignment horizontal="center" wrapText="1"/>
    </xf>
    <xf numFmtId="175" fontId="15" fillId="0" borderId="22" xfId="5" applyNumberFormat="1" applyFont="1" applyFill="1" applyBorder="1" applyAlignment="1">
      <alignment horizontal="center" wrapText="1"/>
    </xf>
    <xf numFmtId="175" fontId="15" fillId="0" borderId="28" xfId="5" applyNumberFormat="1" applyFont="1" applyFill="1" applyBorder="1" applyAlignment="1">
      <alignment horizontal="center" wrapText="1"/>
    </xf>
    <xf numFmtId="175" fontId="15" fillId="0" borderId="163" xfId="5" applyNumberFormat="1" applyFont="1" applyFill="1" applyBorder="1" applyAlignment="1">
      <alignment horizontal="center" wrapText="1"/>
    </xf>
    <xf numFmtId="2" fontId="15" fillId="0" borderId="24" xfId="5" applyNumberFormat="1" applyFont="1" applyFill="1" applyBorder="1" applyAlignment="1">
      <alignment horizontal="center" wrapText="1"/>
    </xf>
    <xf numFmtId="175" fontId="15" fillId="0" borderId="374" xfId="5" applyNumberFormat="1" applyFont="1" applyFill="1" applyBorder="1" applyAlignment="1">
      <alignment horizontal="center" wrapText="1"/>
    </xf>
    <xf numFmtId="175" fontId="15" fillId="0" borderId="7" xfId="5" applyNumberFormat="1" applyFont="1" applyFill="1" applyBorder="1" applyAlignment="1">
      <alignment horizontal="center" wrapText="1"/>
    </xf>
    <xf numFmtId="2" fontId="15" fillId="9" borderId="24" xfId="5" applyNumberFormat="1" applyFont="1" applyFill="1" applyBorder="1" applyAlignment="1">
      <alignment horizontal="center" wrapText="1"/>
    </xf>
    <xf numFmtId="175" fontId="15" fillId="9" borderId="24" xfId="5" applyNumberFormat="1" applyFont="1" applyFill="1" applyBorder="1" applyAlignment="1">
      <alignment horizontal="center" wrapText="1"/>
    </xf>
    <xf numFmtId="175" fontId="15" fillId="9" borderId="374" xfId="5" applyNumberFormat="1" applyFont="1" applyFill="1" applyBorder="1" applyAlignment="1">
      <alignment horizontal="center" wrapText="1"/>
    </xf>
    <xf numFmtId="175" fontId="15" fillId="9" borderId="7" xfId="5" applyNumberFormat="1" applyFont="1" applyFill="1" applyBorder="1" applyAlignment="1">
      <alignment horizontal="center" wrapText="1"/>
    </xf>
    <xf numFmtId="175" fontId="15" fillId="0" borderId="48" xfId="5" applyNumberFormat="1" applyFont="1" applyFill="1" applyBorder="1" applyAlignment="1">
      <alignment horizontal="center" wrapText="1"/>
    </xf>
    <xf numFmtId="2" fontId="15" fillId="0" borderId="28" xfId="5" applyNumberFormat="1" applyFont="1" applyFill="1" applyBorder="1" applyAlignment="1">
      <alignment horizontal="center" wrapText="1"/>
    </xf>
    <xf numFmtId="175" fontId="15" fillId="9" borderId="372" xfId="5" applyNumberFormat="1" applyFont="1" applyFill="1" applyBorder="1" applyAlignment="1">
      <alignment horizontal="center" wrapText="1"/>
    </xf>
    <xf numFmtId="175" fontId="15" fillId="0" borderId="375" xfId="5" applyNumberFormat="1" applyFont="1" applyFill="1" applyBorder="1" applyAlignment="1">
      <alignment horizontal="center" wrapText="1"/>
    </xf>
    <xf numFmtId="175" fontId="15" fillId="0" borderId="376" xfId="5" applyNumberFormat="1" applyFont="1" applyFill="1" applyBorder="1" applyAlignment="1">
      <alignment horizontal="center" wrapText="1"/>
    </xf>
    <xf numFmtId="175" fontId="15" fillId="0" borderId="14" xfId="5" applyNumberFormat="1" applyFont="1" applyFill="1" applyBorder="1" applyAlignment="1">
      <alignment horizontal="center" wrapText="1"/>
    </xf>
    <xf numFmtId="175" fontId="15" fillId="0" borderId="335" xfId="5" applyNumberFormat="1" applyFont="1" applyFill="1" applyBorder="1" applyAlignment="1">
      <alignment horizontal="center" wrapText="1"/>
    </xf>
    <xf numFmtId="175" fontId="15" fillId="0" borderId="1" xfId="5" applyNumberFormat="1" applyFont="1" applyFill="1" applyBorder="1" applyAlignment="1">
      <alignment horizontal="center" wrapText="1"/>
    </xf>
    <xf numFmtId="175" fontId="15" fillId="0" borderId="377" xfId="5" applyNumberFormat="1" applyFont="1" applyFill="1" applyBorder="1" applyAlignment="1">
      <alignment horizontal="center" wrapText="1"/>
    </xf>
    <xf numFmtId="175" fontId="15" fillId="0" borderId="359" xfId="5" applyNumberFormat="1" applyFont="1" applyFill="1" applyBorder="1" applyAlignment="1">
      <alignment horizontal="center" wrapText="1"/>
    </xf>
    <xf numFmtId="175" fontId="15" fillId="0" borderId="360" xfId="5" applyNumberFormat="1" applyFont="1" applyFill="1" applyBorder="1" applyAlignment="1">
      <alignment horizontal="center" wrapText="1"/>
    </xf>
    <xf numFmtId="175" fontId="15" fillId="0" borderId="334" xfId="5" applyNumberFormat="1" applyFont="1" applyFill="1" applyBorder="1" applyAlignment="1">
      <alignment horizontal="center" wrapText="1"/>
    </xf>
    <xf numFmtId="175" fontId="15" fillId="0" borderId="332" xfId="5" applyNumberFormat="1" applyFont="1" applyFill="1" applyBorder="1" applyAlignment="1">
      <alignment horizontal="center" wrapText="1"/>
    </xf>
    <xf numFmtId="2" fontId="15" fillId="0" borderId="332" xfId="5" applyNumberFormat="1" applyFont="1" applyFill="1" applyBorder="1" applyAlignment="1">
      <alignment horizontal="center" wrapText="1"/>
    </xf>
    <xf numFmtId="175" fontId="15" fillId="0" borderId="333" xfId="5" applyNumberFormat="1" applyFont="1" applyFill="1" applyBorder="1" applyAlignment="1">
      <alignment horizontal="center" wrapText="1"/>
    </xf>
    <xf numFmtId="175" fontId="15" fillId="0" borderId="378" xfId="5" applyNumberFormat="1" applyFont="1" applyFill="1" applyBorder="1" applyAlignment="1">
      <alignment horizontal="center" wrapText="1"/>
    </xf>
    <xf numFmtId="175" fontId="15" fillId="9" borderId="378" xfId="5" applyNumberFormat="1" applyFont="1" applyFill="1" applyBorder="1" applyAlignment="1">
      <alignment horizontal="center" wrapText="1"/>
    </xf>
    <xf numFmtId="2" fontId="15" fillId="0" borderId="22" xfId="5" applyNumberFormat="1" applyFont="1" applyFill="1" applyBorder="1" applyAlignment="1">
      <alignment horizontal="center" wrapText="1"/>
    </xf>
    <xf numFmtId="175" fontId="15" fillId="0" borderId="162" xfId="5" applyNumberFormat="1" applyFont="1" applyFill="1" applyBorder="1" applyAlignment="1">
      <alignment horizontal="center" wrapText="1"/>
    </xf>
    <xf numFmtId="2" fontId="15" fillId="0" borderId="374" xfId="5" applyNumberFormat="1" applyFont="1" applyFill="1" applyBorder="1" applyAlignment="1">
      <alignment horizontal="center" wrapText="1"/>
    </xf>
    <xf numFmtId="175" fontId="15" fillId="0" borderId="379" xfId="5" applyNumberFormat="1" applyFont="1" applyFill="1" applyBorder="1" applyAlignment="1">
      <alignment horizontal="center" wrapText="1"/>
    </xf>
    <xf numFmtId="15" fontId="13" fillId="9" borderId="23" xfId="3" applyNumberFormat="1" applyFont="1" applyFill="1" applyBorder="1" applyAlignment="1">
      <alignment horizontal="center" vertical="center" wrapText="1"/>
    </xf>
    <xf numFmtId="175" fontId="15" fillId="0" borderId="380" xfId="5" applyNumberFormat="1" applyFont="1" applyFill="1" applyBorder="1" applyAlignment="1">
      <alignment horizontal="center" wrapText="1"/>
    </xf>
    <xf numFmtId="175" fontId="15" fillId="0" borderId="381" xfId="5" applyNumberFormat="1" applyFont="1" applyFill="1" applyBorder="1" applyAlignment="1">
      <alignment horizontal="center" wrapText="1"/>
    </xf>
    <xf numFmtId="175" fontId="15" fillId="9" borderId="25" xfId="5" applyNumberFormat="1" applyFont="1" applyFill="1" applyBorder="1" applyAlignment="1">
      <alignment horizontal="center" wrapText="1"/>
    </xf>
    <xf numFmtId="2" fontId="15" fillId="0" borderId="25" xfId="3" applyNumberFormat="1" applyFont="1" applyBorder="1" applyAlignment="1">
      <alignment horizontal="center" vertical="center"/>
    </xf>
    <xf numFmtId="175" fontId="15" fillId="0" borderId="100" xfId="5" applyNumberFormat="1" applyFont="1" applyFill="1" applyBorder="1" applyAlignment="1">
      <alignment horizontal="center" wrapText="1"/>
    </xf>
    <xf numFmtId="175" fontId="15" fillId="0" borderId="101" xfId="5" applyNumberFormat="1" applyFont="1" applyFill="1" applyBorder="1" applyAlignment="1">
      <alignment horizontal="center" wrapText="1"/>
    </xf>
    <xf numFmtId="2" fontId="15" fillId="9" borderId="22" xfId="5" applyNumberFormat="1" applyFont="1" applyFill="1" applyBorder="1" applyAlignment="1">
      <alignment horizontal="center" wrapText="1"/>
    </xf>
    <xf numFmtId="15" fontId="13" fillId="0" borderId="375" xfId="3" applyNumberFormat="1" applyFont="1" applyFill="1" applyBorder="1" applyAlignment="1">
      <alignment horizontal="center" vertical="center" wrapText="1"/>
    </xf>
    <xf numFmtId="0" fontId="1" fillId="0" borderId="22" xfId="4" applyFill="1" applyBorder="1" applyAlignment="1">
      <alignment horizontal="center" vertical="center"/>
    </xf>
    <xf numFmtId="0" fontId="1" fillId="0" borderId="24" xfId="4" applyFill="1" applyBorder="1" applyAlignment="1">
      <alignment horizontal="center" vertical="center"/>
    </xf>
    <xf numFmtId="15" fontId="13" fillId="0" borderId="376" xfId="3" applyNumberFormat="1" applyFont="1" applyFill="1" applyBorder="1" applyAlignment="1">
      <alignment horizontal="center" vertical="center" wrapText="1"/>
    </xf>
    <xf numFmtId="0" fontId="1" fillId="0" borderId="25" xfId="4" applyFill="1" applyBorder="1" applyAlignment="1">
      <alignment horizontal="center" vertical="center"/>
    </xf>
    <xf numFmtId="175" fontId="15" fillId="0" borderId="238" xfId="5" applyNumberFormat="1" applyFont="1" applyFill="1" applyBorder="1" applyAlignment="1">
      <alignment horizontal="center" wrapText="1"/>
    </xf>
    <xf numFmtId="175" fontId="15" fillId="0" borderId="82" xfId="5" applyNumberFormat="1" applyFont="1" applyFill="1" applyBorder="1" applyAlignment="1">
      <alignment horizontal="center" wrapText="1"/>
    </xf>
    <xf numFmtId="175" fontId="15" fillId="0" borderId="382" xfId="5" applyNumberFormat="1" applyFont="1" applyFill="1" applyBorder="1" applyAlignment="1">
      <alignment horizontal="center" wrapText="1"/>
    </xf>
    <xf numFmtId="2" fontId="15" fillId="0" borderId="382" xfId="3" applyNumberFormat="1" applyFont="1" applyBorder="1" applyAlignment="1">
      <alignment horizontal="center" vertical="center"/>
    </xf>
    <xf numFmtId="2" fontId="15" fillId="0" borderId="382" xfId="5" applyNumberFormat="1" applyFont="1" applyFill="1" applyBorder="1" applyAlignment="1">
      <alignment horizontal="center" wrapText="1"/>
    </xf>
    <xf numFmtId="0" fontId="66" fillId="0" borderId="23" xfId="4" applyNumberFormat="1" applyFont="1" applyBorder="1" applyAlignment="1">
      <alignment horizontal="center" vertical="center"/>
    </xf>
    <xf numFmtId="0" fontId="66" fillId="0" borderId="24" xfId="4" applyNumberFormat="1" applyFont="1" applyBorder="1" applyAlignment="1">
      <alignment horizontal="center" vertical="center"/>
    </xf>
    <xf numFmtId="0" fontId="66" fillId="9" borderId="24" xfId="4" applyNumberFormat="1" applyFont="1" applyFill="1" applyBorder="1" applyAlignment="1">
      <alignment horizontal="center" vertical="center"/>
    </xf>
    <xf numFmtId="0" fontId="66" fillId="0" borderId="25" xfId="4" applyNumberFormat="1" applyFont="1" applyBorder="1" applyAlignment="1">
      <alignment horizontal="center" vertical="center"/>
    </xf>
    <xf numFmtId="175" fontId="17" fillId="0" borderId="10" xfId="3" applyNumberFormat="1" applyFont="1" applyBorder="1" applyAlignment="1">
      <alignment horizontal="center" vertical="center"/>
    </xf>
    <xf numFmtId="175" fontId="17" fillId="0" borderId="26" xfId="3" applyNumberFormat="1" applyFont="1" applyBorder="1" applyAlignment="1">
      <alignment horizontal="center" vertical="center"/>
    </xf>
    <xf numFmtId="175" fontId="17" fillId="0" borderId="26" xfId="3" applyNumberFormat="1" applyFont="1" applyFill="1" applyBorder="1" applyAlignment="1">
      <alignment horizontal="center" vertical="center"/>
    </xf>
    <xf numFmtId="0" fontId="1" fillId="0" borderId="0" xfId="4" applyFont="1"/>
    <xf numFmtId="0" fontId="1" fillId="0" borderId="0" xfId="4" applyFont="1" applyFill="1"/>
    <xf numFmtId="15" fontId="1" fillId="0" borderId="0" xfId="4" applyNumberFormat="1"/>
    <xf numFmtId="0" fontId="11" fillId="6" borderId="10" xfId="6" applyFont="1" applyFill="1" applyBorder="1" applyAlignment="1">
      <alignment horizontal="center" vertical="center" wrapText="1"/>
    </xf>
    <xf numFmtId="175" fontId="15" fillId="9" borderId="382" xfId="5" applyNumberFormat="1" applyFont="1" applyFill="1" applyBorder="1" applyAlignment="1">
      <alignment horizontal="center" wrapText="1"/>
    </xf>
    <xf numFmtId="175" fontId="15" fillId="0" borderId="383" xfId="5" applyNumberFormat="1" applyFont="1" applyFill="1" applyBorder="1" applyAlignment="1">
      <alignment horizontal="center" wrapText="1"/>
    </xf>
    <xf numFmtId="175" fontId="17" fillId="9" borderId="19" xfId="3" applyNumberFormat="1" applyFont="1" applyFill="1" applyBorder="1" applyAlignment="1">
      <alignment horizontal="center" vertical="center"/>
    </xf>
    <xf numFmtId="0" fontId="2" fillId="25" borderId="305" xfId="0" applyFont="1" applyFill="1" applyBorder="1" applyAlignment="1" applyProtection="1">
      <alignment horizontal="center" vertical="center" wrapText="1"/>
      <protection locked="0"/>
    </xf>
    <xf numFmtId="0" fontId="0" fillId="0" borderId="172" xfId="0" applyFont="1" applyBorder="1" applyProtection="1">
      <protection locked="0"/>
    </xf>
    <xf numFmtId="14" fontId="0" fillId="0" borderId="172" xfId="0" applyNumberFormat="1" applyFont="1" applyBorder="1" applyProtection="1">
      <protection locked="0"/>
    </xf>
    <xf numFmtId="0" fontId="68" fillId="0" borderId="172" xfId="0" applyFont="1" applyBorder="1" applyProtection="1">
      <protection locked="0"/>
    </xf>
    <xf numFmtId="208" fontId="0" fillId="0" borderId="172" xfId="0" applyNumberFormat="1" applyFont="1" applyBorder="1" applyProtection="1">
      <protection locked="0"/>
    </xf>
    <xf numFmtId="0" fontId="0" fillId="0" borderId="172" xfId="0" applyBorder="1" applyProtection="1">
      <protection locked="0"/>
    </xf>
    <xf numFmtId="0" fontId="0" fillId="0" borderId="150" xfId="0" applyFont="1" applyBorder="1" applyProtection="1">
      <protection locked="0"/>
    </xf>
    <xf numFmtId="0" fontId="0" fillId="0" borderId="230" xfId="0" applyBorder="1" applyProtection="1">
      <protection locked="0"/>
    </xf>
    <xf numFmtId="0" fontId="0" fillId="0" borderId="231" xfId="0" applyFont="1" applyBorder="1" applyAlignment="1" applyProtection="1">
      <alignment horizontal="left" vertical="center"/>
      <protection locked="0"/>
    </xf>
    <xf numFmtId="0" fontId="0" fillId="0" borderId="329" xfId="0" applyFont="1" applyBorder="1" applyAlignment="1" applyProtection="1">
      <alignment vertical="center" wrapText="1"/>
      <protection locked="0"/>
    </xf>
    <xf numFmtId="0" fontId="0" fillId="0" borderId="330" xfId="0" applyFont="1" applyBorder="1" applyAlignment="1" applyProtection="1">
      <alignment horizontal="left" vertical="center"/>
      <protection locked="0"/>
    </xf>
    <xf numFmtId="175" fontId="15" fillId="0" borderId="207" xfId="5" applyNumberFormat="1" applyFont="1" applyFill="1" applyBorder="1" applyAlignment="1">
      <alignment horizontal="center" wrapText="1"/>
    </xf>
    <xf numFmtId="0" fontId="60" fillId="0" borderId="205" xfId="0" applyFont="1" applyBorder="1" applyAlignment="1" applyProtection="1">
      <alignment vertical="center" wrapText="1"/>
      <protection locked="0"/>
    </xf>
    <xf numFmtId="0" fontId="60" fillId="0" borderId="222" xfId="0" applyNumberFormat="1" applyFont="1" applyBorder="1" applyAlignment="1" applyProtection="1">
      <alignment horizontal="center" vertical="center"/>
    </xf>
    <xf numFmtId="0" fontId="60" fillId="0" borderId="222" xfId="0" applyNumberFormat="1" applyFont="1" applyBorder="1" applyAlignment="1" applyProtection="1">
      <alignment horizontal="center" vertical="center"/>
      <protection locked="0"/>
    </xf>
    <xf numFmtId="2" fontId="60" fillId="0" borderId="299" xfId="0" applyNumberFormat="1" applyFont="1" applyBorder="1" applyAlignment="1" applyProtection="1">
      <alignment horizontal="center" vertical="center"/>
    </xf>
    <xf numFmtId="0" fontId="60" fillId="0" borderId="222" xfId="0" applyFont="1" applyBorder="1" applyAlignment="1" applyProtection="1">
      <alignment horizontal="center" vertical="center"/>
      <protection locked="0"/>
    </xf>
    <xf numFmtId="0" fontId="60" fillId="0" borderId="299" xfId="0" applyFont="1" applyBorder="1" applyAlignment="1" applyProtection="1">
      <alignment horizontal="center" vertical="center"/>
      <protection locked="0"/>
    </xf>
    <xf numFmtId="0" fontId="60" fillId="0" borderId="329" xfId="0" applyFont="1" applyBorder="1" applyAlignment="1" applyProtection="1">
      <alignment vertical="center" wrapText="1"/>
      <protection locked="0"/>
    </xf>
    <xf numFmtId="175" fontId="60" fillId="0" borderId="305" xfId="0" applyNumberFormat="1" applyFont="1" applyBorder="1" applyAlignment="1" applyProtection="1">
      <alignment horizontal="center" vertical="center"/>
    </xf>
    <xf numFmtId="1" fontId="60" fillId="0" borderId="305" xfId="0" applyNumberFormat="1" applyFont="1" applyBorder="1" applyAlignment="1" applyProtection="1">
      <alignment horizontal="center" vertical="center"/>
    </xf>
    <xf numFmtId="0" fontId="60" fillId="0" borderId="305" xfId="0" applyNumberFormat="1" applyFont="1" applyBorder="1" applyAlignment="1" applyProtection="1">
      <alignment horizontal="center" vertical="center"/>
      <protection locked="0"/>
    </xf>
    <xf numFmtId="3" fontId="60" fillId="0" borderId="305" xfId="0" applyNumberFormat="1" applyFont="1" applyBorder="1" applyAlignment="1" applyProtection="1">
      <alignment horizontal="center" vertical="center"/>
    </xf>
    <xf numFmtId="0" fontId="60" fillId="0" borderId="305" xfId="0" applyFont="1" applyBorder="1" applyAlignment="1" applyProtection="1">
      <alignment horizontal="center" vertical="center"/>
      <protection locked="0"/>
    </xf>
    <xf numFmtId="0" fontId="60" fillId="0" borderId="306" xfId="0" applyFont="1" applyBorder="1" applyAlignment="1" applyProtection="1">
      <alignment horizontal="center" vertical="center"/>
      <protection locked="0"/>
    </xf>
    <xf numFmtId="2" fontId="60" fillId="0" borderId="297" xfId="0" applyNumberFormat="1" applyFont="1" applyBorder="1" applyAlignment="1" applyProtection="1">
      <alignment horizontal="center" vertical="center"/>
    </xf>
    <xf numFmtId="2" fontId="60" fillId="0" borderId="299" xfId="0" applyNumberFormat="1" applyFont="1" applyBorder="1" applyAlignment="1" applyProtection="1">
      <alignment horizontal="center" vertical="center"/>
      <protection locked="0"/>
    </xf>
    <xf numFmtId="0" fontId="265" fillId="25" borderId="305" xfId="27" applyFont="1" applyFill="1" applyBorder="1" applyAlignment="1" applyProtection="1">
      <alignment horizontal="center" vertical="center" wrapText="1"/>
      <protection locked="0"/>
    </xf>
    <xf numFmtId="208" fontId="60" fillId="9" borderId="305" xfId="0" applyNumberFormat="1" applyFont="1" applyFill="1" applyBorder="1" applyAlignment="1" applyProtection="1">
      <alignment vertical="center" wrapText="1"/>
    </xf>
    <xf numFmtId="208" fontId="60" fillId="9" borderId="305" xfId="0" applyNumberFormat="1" applyFont="1" applyFill="1" applyBorder="1" applyAlignment="1" applyProtection="1">
      <alignment vertical="center" wrapText="1"/>
      <protection locked="0"/>
    </xf>
    <xf numFmtId="2" fontId="60" fillId="0" borderId="222" xfId="0" applyNumberFormat="1" applyFont="1" applyBorder="1" applyAlignment="1" applyProtection="1">
      <alignment horizontal="center" vertical="center"/>
    </xf>
    <xf numFmtId="2" fontId="60" fillId="9" borderId="222" xfId="0" applyNumberFormat="1" applyFont="1" applyFill="1" applyBorder="1" applyAlignment="1" applyProtection="1">
      <alignment horizontal="center" wrapText="1"/>
    </xf>
    <xf numFmtId="175" fontId="60" fillId="0" borderId="222" xfId="0" applyNumberFormat="1" applyFont="1" applyBorder="1" applyAlignment="1" applyProtection="1">
      <alignment horizontal="center" vertical="center" wrapText="1"/>
    </xf>
    <xf numFmtId="175" fontId="60" fillId="0" borderId="222" xfId="0" applyNumberFormat="1" applyFont="1" applyBorder="1" applyAlignment="1" applyProtection="1">
      <alignment horizontal="center" vertical="center"/>
    </xf>
    <xf numFmtId="0" fontId="60" fillId="9" borderId="222" xfId="0" applyFont="1" applyFill="1" applyBorder="1" applyAlignment="1" applyProtection="1">
      <alignment horizontal="center" vertical="top" wrapText="1"/>
      <protection locked="0"/>
    </xf>
    <xf numFmtId="0" fontId="60" fillId="9" borderId="222" xfId="0" applyFont="1" applyFill="1" applyBorder="1" applyAlignment="1" applyProtection="1">
      <alignment horizontal="left" vertical="top" wrapText="1"/>
      <protection locked="0"/>
    </xf>
    <xf numFmtId="0" fontId="2" fillId="25" borderId="303" xfId="0" applyFont="1" applyFill="1" applyBorder="1" applyAlignment="1" applyProtection="1">
      <alignment vertical="center" wrapText="1"/>
      <protection locked="0"/>
    </xf>
    <xf numFmtId="0" fontId="2" fillId="25" borderId="212" xfId="0" applyFont="1" applyFill="1" applyBorder="1" applyAlignment="1" applyProtection="1">
      <alignment vertical="center" wrapText="1"/>
      <protection locked="0"/>
    </xf>
    <xf numFmtId="2" fontId="94" fillId="25" borderId="222" xfId="0" applyNumberFormat="1" applyFont="1" applyFill="1" applyBorder="1" applyAlignment="1" applyProtection="1">
      <alignment horizontal="center" vertical="center" wrapText="1"/>
    </xf>
    <xf numFmtId="0" fontId="266" fillId="25" borderId="304" xfId="0" applyFont="1" applyFill="1" applyBorder="1" applyAlignment="1" applyProtection="1">
      <alignment horizontal="left" vertical="center" wrapText="1"/>
      <protection locked="0"/>
    </xf>
    <xf numFmtId="0" fontId="267" fillId="25" borderId="212" xfId="0" applyFont="1" applyFill="1" applyBorder="1" applyAlignment="1" applyProtection="1">
      <alignment vertical="center" wrapText="1"/>
      <protection locked="0"/>
    </xf>
    <xf numFmtId="0" fontId="266" fillId="25" borderId="212" xfId="0" applyFont="1" applyFill="1" applyBorder="1" applyAlignment="1" applyProtection="1">
      <alignment horizontal="right" vertical="center" wrapText="1"/>
      <protection locked="0"/>
    </xf>
    <xf numFmtId="0" fontId="266" fillId="25" borderId="212" xfId="0" applyFont="1" applyFill="1" applyBorder="1" applyAlignment="1" applyProtection="1">
      <alignment horizontal="left" vertical="center" wrapText="1"/>
      <protection locked="0"/>
    </xf>
    <xf numFmtId="2" fontId="45" fillId="12" borderId="109" xfId="22" applyNumberFormat="1" applyFont="1" applyFill="1" applyBorder="1" applyAlignment="1">
      <alignment horizontal="center" vertical="center" wrapText="1"/>
    </xf>
    <xf numFmtId="0" fontId="3" fillId="0" borderId="0" xfId="22" applyBorder="1" applyAlignment="1">
      <alignment wrapText="1"/>
    </xf>
    <xf numFmtId="0" fontId="47" fillId="13" borderId="363" xfId="23" applyFont="1" applyFill="1" applyBorder="1" applyAlignment="1">
      <alignment horizontal="left"/>
    </xf>
    <xf numFmtId="2" fontId="48" fillId="8" borderId="305" xfId="3" applyNumberFormat="1" applyFont="1" applyFill="1" applyBorder="1" applyAlignment="1">
      <alignment horizontal="center"/>
    </xf>
    <xf numFmtId="175" fontId="48" fillId="8" borderId="305" xfId="3" applyNumberFormat="1" applyFont="1" applyFill="1" applyBorder="1" applyAlignment="1">
      <alignment horizontal="center"/>
    </xf>
    <xf numFmtId="15" fontId="275" fillId="0" borderId="49" xfId="23" applyNumberFormat="1" applyFont="1" applyFill="1" applyBorder="1" applyAlignment="1">
      <alignment horizontal="left" vertical="center"/>
    </xf>
    <xf numFmtId="15" fontId="275" fillId="0" borderId="116" xfId="23" applyNumberFormat="1" applyFont="1" applyFill="1" applyBorder="1" applyAlignment="1">
      <alignment horizontal="left" vertical="center"/>
    </xf>
    <xf numFmtId="20" fontId="275" fillId="0" borderId="326" xfId="23" applyNumberFormat="1" applyFont="1" applyFill="1" applyBorder="1" applyAlignment="1">
      <alignment horizontal="left"/>
    </xf>
    <xf numFmtId="2" fontId="46" fillId="12" borderId="303" xfId="5" applyNumberFormat="1" applyFont="1" applyFill="1" applyBorder="1" applyAlignment="1">
      <alignment horizontal="center"/>
    </xf>
    <xf numFmtId="2" fontId="46" fillId="12" borderId="301" xfId="5" applyNumberFormat="1" applyFont="1" applyFill="1" applyBorder="1" applyAlignment="1">
      <alignment horizontal="center"/>
    </xf>
    <xf numFmtId="15" fontId="275" fillId="0" borderId="326" xfId="23" applyNumberFormat="1" applyFont="1" applyFill="1" applyBorder="1" applyAlignment="1">
      <alignment horizontal="left" vertical="center"/>
    </xf>
    <xf numFmtId="20" fontId="47" fillId="0" borderId="116" xfId="23" applyNumberFormat="1" applyFont="1" applyFill="1" applyBorder="1" applyAlignment="1">
      <alignment horizontal="left" vertical="center"/>
    </xf>
    <xf numFmtId="0" fontId="47" fillId="13" borderId="363" xfId="23" applyFont="1" applyFill="1" applyBorder="1" applyAlignment="1">
      <alignment vertical="center"/>
    </xf>
    <xf numFmtId="20" fontId="47" fillId="0" borderId="116" xfId="23" applyNumberFormat="1" applyFont="1" applyFill="1" applyBorder="1" applyAlignment="1">
      <alignment horizontal="center"/>
    </xf>
    <xf numFmtId="20" fontId="47" fillId="0" borderId="326" xfId="23" applyNumberFormat="1" applyFont="1" applyFill="1" applyBorder="1" applyAlignment="1">
      <alignment horizontal="center"/>
    </xf>
    <xf numFmtId="0" fontId="3" fillId="0" borderId="48" xfId="22" applyBorder="1"/>
    <xf numFmtId="2" fontId="45" fillId="12" borderId="303" xfId="5" applyNumberFormat="1" applyFont="1" applyFill="1" applyBorder="1" applyAlignment="1">
      <alignment horizontal="center"/>
    </xf>
    <xf numFmtId="2" fontId="45" fillId="12" borderId="301" xfId="5" applyNumberFormat="1" applyFont="1" applyFill="1" applyBorder="1" applyAlignment="1">
      <alignment horizontal="center"/>
    </xf>
    <xf numFmtId="0" fontId="47" fillId="13" borderId="385" xfId="23" applyFont="1" applyFill="1" applyBorder="1" applyAlignment="1">
      <alignment horizontal="left"/>
    </xf>
    <xf numFmtId="0" fontId="47" fillId="13" borderId="386" xfId="23" applyFont="1" applyFill="1" applyBorder="1" applyAlignment="1">
      <alignment horizontal="left"/>
    </xf>
    <xf numFmtId="2" fontId="45" fillId="140" borderId="365" xfId="22" applyNumberFormat="1" applyFont="1" applyFill="1" applyBorder="1" applyAlignment="1">
      <alignment horizontal="center"/>
    </xf>
    <xf numFmtId="20" fontId="47" fillId="0" borderId="366" xfId="23" applyNumberFormat="1" applyFont="1" applyFill="1" applyBorder="1" applyAlignment="1">
      <alignment horizontal="center"/>
    </xf>
    <xf numFmtId="191" fontId="3" fillId="0" borderId="0" xfId="22" applyNumberFormat="1"/>
    <xf numFmtId="0" fontId="47" fillId="141" borderId="104" xfId="23" applyFont="1" applyFill="1" applyBorder="1" applyAlignment="1">
      <alignment horizontal="center" vertical="center"/>
    </xf>
    <xf numFmtId="0" fontId="3" fillId="0" borderId="48" xfId="22" applyBorder="1" applyAlignment="1">
      <alignment wrapText="1"/>
    </xf>
    <xf numFmtId="0" fontId="50" fillId="0" borderId="207" xfId="22" applyFont="1" applyBorder="1"/>
    <xf numFmtId="0" fontId="3" fillId="0" borderId="207" xfId="22" applyFont="1" applyBorder="1"/>
    <xf numFmtId="0" fontId="50" fillId="0" borderId="334" xfId="22" applyFont="1" applyBorder="1"/>
    <xf numFmtId="2" fontId="45" fillId="12" borderId="126" xfId="22" applyNumberFormat="1" applyFont="1" applyFill="1" applyBorder="1" applyAlignment="1">
      <alignment horizontal="center" vertical="center" wrapText="1"/>
    </xf>
    <xf numFmtId="15" fontId="275" fillId="0" borderId="77" xfId="23" applyNumberFormat="1" applyFont="1" applyFill="1" applyBorder="1" applyAlignment="1">
      <alignment horizontal="left" vertical="center"/>
    </xf>
    <xf numFmtId="20" fontId="275" fillId="0" borderId="77" xfId="23" applyNumberFormat="1" applyFont="1" applyFill="1" applyBorder="1" applyAlignment="1">
      <alignment horizontal="left" vertical="center"/>
    </xf>
    <xf numFmtId="20" fontId="47" fillId="0" borderId="77" xfId="23" applyNumberFormat="1" applyFont="1" applyFill="1" applyBorder="1" applyAlignment="1">
      <alignment horizontal="left" vertical="center"/>
    </xf>
    <xf numFmtId="20" fontId="47" fillId="0" borderId="77" xfId="23" applyNumberFormat="1" applyFont="1" applyFill="1" applyBorder="1" applyAlignment="1">
      <alignment horizontal="center"/>
    </xf>
    <xf numFmtId="20" fontId="47" fillId="0" borderId="361" xfId="23" applyNumberFormat="1" applyFont="1" applyFill="1" applyBorder="1" applyAlignment="1">
      <alignment horizontal="center"/>
    </xf>
    <xf numFmtId="175" fontId="48" fillId="8" borderId="326" xfId="3" applyNumberFormat="1" applyFont="1" applyFill="1" applyBorder="1" applyAlignment="1">
      <alignment horizontal="center"/>
    </xf>
    <xf numFmtId="2" fontId="48" fillId="8" borderId="365" xfId="3" applyNumberFormat="1" applyFont="1" applyFill="1" applyBorder="1" applyAlignment="1">
      <alignment horizontal="center"/>
    </xf>
    <xf numFmtId="0" fontId="47" fillId="13" borderId="112" xfId="23" applyFont="1" applyFill="1" applyBorder="1" applyAlignment="1">
      <alignment horizontal="left"/>
    </xf>
    <xf numFmtId="2" fontId="48" fillId="8" borderId="49" xfId="3" applyNumberFormat="1" applyFont="1" applyFill="1" applyBorder="1" applyAlignment="1">
      <alignment horizontal="center"/>
    </xf>
    <xf numFmtId="175" fontId="48" fillId="8" borderId="49" xfId="3" applyNumberFormat="1" applyFont="1" applyFill="1" applyBorder="1" applyAlignment="1">
      <alignment horizontal="center"/>
    </xf>
    <xf numFmtId="175" fontId="48" fillId="8" borderId="116" xfId="3" applyNumberFormat="1" applyFont="1" applyFill="1" applyBorder="1" applyAlignment="1">
      <alignment horizontal="center"/>
    </xf>
    <xf numFmtId="2" fontId="274" fillId="12" borderId="19" xfId="22" applyNumberFormat="1" applyFont="1" applyFill="1" applyBorder="1" applyAlignment="1">
      <alignment horizontal="center" vertical="center" wrapText="1"/>
    </xf>
    <xf numFmtId="0" fontId="47" fillId="13" borderId="385" xfId="23" applyFont="1" applyFill="1" applyBorder="1" applyAlignment="1">
      <alignment horizontal="center"/>
    </xf>
    <xf numFmtId="2" fontId="48" fillId="8" borderId="306" xfId="3" applyNumberFormat="1" applyFont="1" applyFill="1" applyBorder="1" applyAlignment="1">
      <alignment horizontal="center"/>
    </xf>
    <xf numFmtId="175" fontId="48" fillId="8" borderId="306" xfId="3" applyNumberFormat="1" applyFont="1" applyFill="1" applyBorder="1" applyAlignment="1">
      <alignment horizontal="center"/>
    </xf>
    <xf numFmtId="175" fontId="48" fillId="8" borderId="362" xfId="3" applyNumberFormat="1" applyFont="1" applyFill="1" applyBorder="1" applyAlignment="1">
      <alignment horizontal="center"/>
    </xf>
    <xf numFmtId="2" fontId="274" fillId="12" borderId="19" xfId="22" applyNumberFormat="1" applyFont="1" applyFill="1" applyBorder="1" applyAlignment="1">
      <alignment horizontal="center" vertical="center"/>
    </xf>
    <xf numFmtId="2" fontId="45" fillId="12" borderId="20" xfId="22" applyNumberFormat="1" applyFont="1" applyFill="1" applyBorder="1" applyAlignment="1">
      <alignment horizontal="center" wrapText="1"/>
    </xf>
    <xf numFmtId="2" fontId="46" fillId="12" borderId="20" xfId="22" applyNumberFormat="1" applyFont="1" applyFill="1" applyBorder="1" applyAlignment="1">
      <alignment horizontal="center" wrapText="1"/>
    </xf>
    <xf numFmtId="2" fontId="45" fillId="12" borderId="21" xfId="22" applyNumberFormat="1" applyFont="1" applyFill="1" applyBorder="1" applyAlignment="1">
      <alignment horizontal="center" wrapText="1"/>
    </xf>
    <xf numFmtId="0" fontId="47" fillId="13" borderId="385" xfId="23" applyFont="1" applyFill="1" applyBorder="1" applyAlignment="1">
      <alignment vertical="center"/>
    </xf>
    <xf numFmtId="2" fontId="48" fillId="126" borderId="49" xfId="3" applyNumberFormat="1" applyFont="1" applyFill="1" applyBorder="1" applyAlignment="1">
      <alignment horizontal="center"/>
    </xf>
    <xf numFmtId="0" fontId="49" fillId="12" borderId="128" xfId="22" applyFont="1" applyFill="1" applyBorder="1" applyAlignment="1">
      <alignment vertical="center"/>
    </xf>
    <xf numFmtId="0" fontId="49" fillId="12" borderId="363" xfId="23" applyFont="1" applyFill="1" applyBorder="1" applyAlignment="1">
      <alignment horizontal="left" vertical="center"/>
    </xf>
    <xf numFmtId="0" fontId="49" fillId="12" borderId="386" xfId="22" applyFont="1" applyFill="1" applyBorder="1" applyAlignment="1">
      <alignment vertical="center"/>
    </xf>
    <xf numFmtId="2" fontId="45" fillId="140" borderId="390" xfId="22" applyNumberFormat="1" applyFont="1" applyFill="1" applyBorder="1" applyAlignment="1">
      <alignment horizontal="center"/>
    </xf>
    <xf numFmtId="190" fontId="269" fillId="8" borderId="333" xfId="3" applyNumberFormat="1" applyFont="1" applyFill="1" applyBorder="1" applyAlignment="1" applyProtection="1">
      <alignment horizontal="center" vertical="center"/>
      <protection locked="0"/>
    </xf>
    <xf numFmtId="1" fontId="269" fillId="8" borderId="207" xfId="3" applyNumberFormat="1" applyFont="1" applyFill="1" applyBorder="1" applyAlignment="1">
      <alignment horizontal="center" vertical="center"/>
    </xf>
    <xf numFmtId="0" fontId="270" fillId="8" borderId="207" xfId="3" applyFont="1" applyFill="1" applyBorder="1" applyAlignment="1">
      <alignment vertical="center"/>
    </xf>
    <xf numFmtId="0" fontId="271" fillId="8" borderId="207" xfId="3" applyFont="1" applyFill="1" applyBorder="1" applyAlignment="1">
      <alignment horizontal="center" vertical="center"/>
    </xf>
    <xf numFmtId="0" fontId="276" fillId="8" borderId="207" xfId="3" applyFont="1" applyFill="1" applyBorder="1" applyAlignment="1">
      <alignment horizontal="right" vertical="center"/>
    </xf>
    <xf numFmtId="2" fontId="45" fillId="142" borderId="305" xfId="22" applyNumberFormat="1" applyFont="1" applyFill="1" applyBorder="1" applyAlignment="1">
      <alignment horizontal="center"/>
    </xf>
    <xf numFmtId="2" fontId="45" fillId="142" borderId="326" xfId="22" applyNumberFormat="1" applyFont="1" applyFill="1" applyBorder="1" applyAlignment="1">
      <alignment horizontal="center"/>
    </xf>
    <xf numFmtId="2" fontId="45" fillId="142" borderId="306" xfId="22" applyNumberFormat="1" applyFont="1" applyFill="1" applyBorder="1" applyAlignment="1">
      <alignment horizontal="center"/>
    </xf>
    <xf numFmtId="2" fontId="45" fillId="142" borderId="362" xfId="22" applyNumberFormat="1" applyFont="1" applyFill="1" applyBorder="1" applyAlignment="1">
      <alignment horizontal="center"/>
    </xf>
    <xf numFmtId="2" fontId="45" fillId="142" borderId="49" xfId="22" applyNumberFormat="1" applyFont="1" applyFill="1" applyBorder="1" applyAlignment="1">
      <alignment horizontal="center"/>
    </xf>
    <xf numFmtId="2" fontId="45" fillId="142" borderId="116" xfId="22" applyNumberFormat="1" applyFont="1" applyFill="1" applyBorder="1" applyAlignment="1">
      <alignment horizontal="center"/>
    </xf>
    <xf numFmtId="2" fontId="45" fillId="142" borderId="365" xfId="22" applyNumberFormat="1" applyFont="1" applyFill="1" applyBorder="1" applyAlignment="1">
      <alignment horizontal="center"/>
    </xf>
    <xf numFmtId="2" fontId="45" fillId="142" borderId="366" xfId="22" applyNumberFormat="1" applyFont="1" applyFill="1" applyBorder="1" applyAlignment="1">
      <alignment horizontal="center"/>
    </xf>
    <xf numFmtId="0" fontId="0" fillId="143" borderId="0" xfId="0" applyFill="1"/>
    <xf numFmtId="14" fontId="0" fillId="143" borderId="0" xfId="0" applyNumberFormat="1" applyFill="1" applyAlignment="1">
      <alignment horizontal="center"/>
    </xf>
    <xf numFmtId="14" fontId="6" fillId="143" borderId="0" xfId="0" applyNumberFormat="1" applyFont="1" applyFill="1"/>
    <xf numFmtId="0" fontId="263" fillId="143" borderId="0" xfId="0" applyFont="1" applyFill="1" applyBorder="1" applyAlignment="1"/>
    <xf numFmtId="14" fontId="8" fillId="143" borderId="0" xfId="0" applyNumberFormat="1" applyFont="1" applyFill="1" applyAlignment="1">
      <alignment horizontal="center"/>
    </xf>
    <xf numFmtId="0" fontId="2" fillId="143" borderId="0" xfId="0" applyFont="1" applyFill="1" applyAlignment="1">
      <alignment vertical="center"/>
    </xf>
    <xf numFmtId="0" fontId="0" fillId="143" borderId="0" xfId="0" applyFill="1" applyBorder="1"/>
    <xf numFmtId="0" fontId="0" fillId="143" borderId="0" xfId="0" applyFill="1" applyBorder="1" applyAlignment="1">
      <alignment horizontal="center"/>
    </xf>
    <xf numFmtId="0" fontId="9" fillId="143" borderId="0" xfId="6" applyFont="1" applyFill="1" applyAlignment="1">
      <alignment horizontal="left" vertical="center"/>
    </xf>
    <xf numFmtId="0" fontId="2" fillId="143" borderId="0" xfId="0" applyFont="1" applyFill="1" applyAlignment="1">
      <alignment horizontal="right" vertical="center"/>
    </xf>
    <xf numFmtId="0" fontId="43" fillId="143" borderId="0" xfId="6" applyFont="1" applyFill="1" applyAlignment="1">
      <alignment horizontal="left" vertical="top" wrapText="1"/>
    </xf>
    <xf numFmtId="0" fontId="2" fillId="143" borderId="0" xfId="0" applyFont="1" applyFill="1"/>
    <xf numFmtId="0" fontId="9" fillId="143" borderId="0" xfId="6" applyFont="1" applyFill="1" applyAlignment="1">
      <alignment vertical="top" wrapText="1"/>
    </xf>
    <xf numFmtId="0" fontId="9" fillId="143" borderId="0" xfId="6" applyFont="1" applyFill="1" applyAlignment="1">
      <alignment vertical="center" wrapText="1"/>
    </xf>
    <xf numFmtId="190" fontId="0" fillId="143" borderId="0" xfId="0" applyNumberFormat="1" applyFill="1" applyBorder="1" applyAlignment="1">
      <alignment horizontal="center"/>
    </xf>
    <xf numFmtId="0" fontId="0" fillId="143" borderId="0" xfId="0" applyFont="1" applyFill="1"/>
    <xf numFmtId="2" fontId="0" fillId="143" borderId="0" xfId="0" applyNumberFormat="1" applyFill="1"/>
    <xf numFmtId="0" fontId="0" fillId="143" borderId="0" xfId="0" applyFill="1" applyAlignment="1">
      <alignment horizontal="center"/>
    </xf>
    <xf numFmtId="0" fontId="260" fillId="143" borderId="0" xfId="0" applyFont="1" applyFill="1" applyAlignment="1">
      <alignment horizontal="right"/>
    </xf>
    <xf numFmtId="0" fontId="75" fillId="143" borderId="0" xfId="0" applyFont="1" applyFill="1" applyAlignment="1">
      <alignment horizontal="right"/>
    </xf>
    <xf numFmtId="0" fontId="2" fillId="143" borderId="0" xfId="0" applyFont="1" applyFill="1" applyAlignment="1">
      <alignment horizontal="left"/>
    </xf>
    <xf numFmtId="0" fontId="76" fillId="143" borderId="0" xfId="0" applyFont="1" applyFill="1" applyAlignment="1">
      <alignment horizontal="left"/>
    </xf>
    <xf numFmtId="0" fontId="67" fillId="143" borderId="0" xfId="0" applyFont="1" applyFill="1" applyAlignment="1">
      <alignment horizontal="left"/>
    </xf>
    <xf numFmtId="0" fontId="2" fillId="143" borderId="0" xfId="0" applyFont="1" applyFill="1" applyAlignment="1">
      <alignment horizontal="right"/>
    </xf>
    <xf numFmtId="0" fontId="145" fillId="143" borderId="0" xfId="0" applyFont="1" applyFill="1"/>
    <xf numFmtId="0" fontId="68" fillId="0" borderId="0" xfId="4" applyFont="1" applyAlignment="1">
      <alignment horizontal="left"/>
    </xf>
    <xf numFmtId="2" fontId="68" fillId="0" borderId="0" xfId="4" applyNumberFormat="1" applyFont="1"/>
    <xf numFmtId="0" fontId="78" fillId="12" borderId="8" xfId="1" applyFont="1" applyFill="1" applyBorder="1" applyAlignment="1">
      <alignment vertical="center"/>
    </xf>
    <xf numFmtId="0" fontId="78" fillId="12" borderId="104" xfId="1" applyFont="1" applyFill="1" applyBorder="1" applyAlignment="1">
      <alignment vertical="center"/>
    </xf>
    <xf numFmtId="0" fontId="78" fillId="12" borderId="10" xfId="1" applyFont="1" applyFill="1" applyBorder="1" applyAlignment="1">
      <alignment vertical="center"/>
    </xf>
    <xf numFmtId="0" fontId="17" fillId="12" borderId="121" xfId="1" applyFont="1" applyFill="1" applyBorder="1" applyAlignment="1">
      <alignment horizontal="center" vertical="center"/>
    </xf>
    <xf numFmtId="4" fontId="80" fillId="12" borderId="21" xfId="1" applyNumberFormat="1" applyFont="1" applyFill="1" applyBorder="1" applyAlignment="1">
      <alignment horizontal="center" vertical="center"/>
    </xf>
    <xf numFmtId="0" fontId="68" fillId="143" borderId="341" xfId="0" applyFont="1" applyFill="1" applyBorder="1"/>
    <xf numFmtId="0" fontId="68" fillId="143" borderId="340" xfId="0" applyFont="1" applyFill="1" applyBorder="1"/>
    <xf numFmtId="0" fontId="68" fillId="143" borderId="342" xfId="0" applyFont="1" applyFill="1" applyBorder="1"/>
    <xf numFmtId="0" fontId="0" fillId="143" borderId="148" xfId="0" applyFill="1" applyBorder="1"/>
    <xf numFmtId="0" fontId="0" fillId="143" borderId="149" xfId="0" applyFill="1" applyBorder="1"/>
    <xf numFmtId="0" fontId="0" fillId="143" borderId="150" xfId="0" applyFill="1" applyBorder="1"/>
    <xf numFmtId="0" fontId="0" fillId="143" borderId="146" xfId="0" applyFill="1" applyBorder="1"/>
    <xf numFmtId="0" fontId="0" fillId="143" borderId="172" xfId="0" applyFill="1" applyBorder="1"/>
    <xf numFmtId="0" fontId="0" fillId="143" borderId="341" xfId="0" applyFill="1" applyBorder="1"/>
    <xf numFmtId="0" fontId="0" fillId="143" borderId="340" xfId="0" applyFill="1" applyBorder="1"/>
    <xf numFmtId="0" fontId="0" fillId="143" borderId="342" xfId="0" applyFill="1" applyBorder="1"/>
    <xf numFmtId="0" fontId="281" fillId="143" borderId="148" xfId="6" applyFont="1" applyFill="1" applyBorder="1" applyAlignment="1">
      <alignment vertical="center"/>
    </xf>
    <xf numFmtId="0" fontId="281" fillId="143" borderId="149" xfId="6" applyFont="1" applyFill="1" applyBorder="1" applyAlignment="1">
      <alignment vertical="center"/>
    </xf>
    <xf numFmtId="0" fontId="281" fillId="143" borderId="150" xfId="6" applyFont="1" applyFill="1" applyBorder="1" applyAlignment="1">
      <alignment vertical="center"/>
    </xf>
    <xf numFmtId="0" fontId="277" fillId="143" borderId="391" xfId="0" applyFont="1" applyFill="1" applyBorder="1"/>
    <xf numFmtId="0" fontId="277" fillId="143" borderId="391" xfId="0" applyFont="1" applyFill="1" applyBorder="1" applyAlignment="1">
      <alignment horizontal="center" vertical="center"/>
    </xf>
    <xf numFmtId="0" fontId="278" fillId="144" borderId="391" xfId="0" applyFont="1" applyFill="1" applyBorder="1" applyAlignment="1">
      <alignment horizontal="center" vertical="center"/>
    </xf>
    <xf numFmtId="184" fontId="278" fillId="144" borderId="391" xfId="0" applyNumberFormat="1" applyFont="1" applyFill="1" applyBorder="1" applyAlignment="1">
      <alignment horizontal="center"/>
    </xf>
    <xf numFmtId="0" fontId="35" fillId="108" borderId="8" xfId="0" applyFont="1" applyFill="1" applyBorder="1" applyAlignment="1">
      <alignment horizontal="center" vertical="center" wrapText="1"/>
    </xf>
    <xf numFmtId="0" fontId="125" fillId="29" borderId="26" xfId="0" applyFont="1" applyFill="1" applyBorder="1" applyAlignment="1">
      <alignment horizontal="center" vertical="center" wrapText="1"/>
    </xf>
    <xf numFmtId="175" fontId="2" fillId="50" borderId="26" xfId="0" applyNumberFormat="1" applyFont="1" applyFill="1" applyBorder="1" applyAlignment="1">
      <alignment horizontal="center" vertical="center" wrapText="1"/>
    </xf>
    <xf numFmtId="2" fontId="110" fillId="45" borderId="129" xfId="0" applyNumberFormat="1" applyFont="1" applyFill="1" applyBorder="1" applyAlignment="1" applyProtection="1">
      <alignment horizontal="center" vertical="center"/>
      <protection locked="0"/>
    </xf>
    <xf numFmtId="2" fontId="110" fillId="45" borderId="26" xfId="0" applyNumberFormat="1" applyFont="1" applyFill="1" applyBorder="1" applyAlignment="1" applyProtection="1">
      <alignment horizontal="center" vertical="center" wrapText="1"/>
      <protection locked="0"/>
    </xf>
    <xf numFmtId="2" fontId="111" fillId="0" borderId="299" xfId="0" applyNumberFormat="1" applyFont="1" applyBorder="1" applyAlignment="1" applyProtection="1">
      <alignment horizontal="center" vertical="center"/>
      <protection locked="0"/>
    </xf>
    <xf numFmtId="2" fontId="111" fillId="0" borderId="389" xfId="0" applyNumberFormat="1" applyFont="1" applyBorder="1" applyAlignment="1" applyProtection="1">
      <alignment horizontal="center" vertical="center"/>
      <protection locked="0"/>
    </xf>
    <xf numFmtId="184" fontId="113" fillId="0" borderId="389" xfId="0" applyNumberFormat="1" applyFont="1" applyFill="1" applyBorder="1" applyAlignment="1" applyProtection="1">
      <alignment horizontal="center" vertical="center" wrapText="1"/>
      <protection locked="0"/>
    </xf>
    <xf numFmtId="2" fontId="111" fillId="0" borderId="26" xfId="0" applyNumberFormat="1" applyFont="1" applyBorder="1" applyAlignment="1" applyProtection="1">
      <alignment horizontal="center" vertical="center"/>
      <protection locked="0"/>
    </xf>
    <xf numFmtId="2" fontId="111" fillId="0" borderId="26" xfId="0" quotePrefix="1" applyNumberFormat="1" applyFont="1" applyBorder="1" applyAlignment="1" applyProtection="1">
      <alignment horizontal="center" vertical="center"/>
      <protection locked="0"/>
    </xf>
    <xf numFmtId="2" fontId="111" fillId="0" borderId="26" xfId="0" applyNumberFormat="1" applyFont="1" applyFill="1" applyBorder="1" applyAlignment="1" applyProtection="1">
      <alignment horizontal="center" vertical="center"/>
      <protection locked="0"/>
    </xf>
    <xf numFmtId="2" fontId="111" fillId="9" borderId="26" xfId="0" applyNumberFormat="1" applyFont="1" applyFill="1" applyBorder="1" applyAlignment="1" applyProtection="1">
      <alignment horizontal="center" vertical="center"/>
      <protection locked="0"/>
    </xf>
    <xf numFmtId="2" fontId="111" fillId="0" borderId="26" xfId="0" quotePrefix="1" applyNumberFormat="1" applyFont="1" applyFill="1" applyBorder="1" applyAlignment="1" applyProtection="1">
      <alignment horizontal="center" vertical="center"/>
      <protection locked="0"/>
    </xf>
    <xf numFmtId="184" fontId="113" fillId="0" borderId="26" xfId="0" applyNumberFormat="1" applyFont="1" applyFill="1" applyBorder="1" applyAlignment="1" applyProtection="1">
      <alignment horizontal="center" vertical="center" wrapText="1"/>
      <protection locked="0"/>
    </xf>
    <xf numFmtId="2" fontId="113" fillId="0" borderId="26" xfId="0" applyNumberFormat="1" applyFont="1" applyBorder="1" applyAlignment="1" applyProtection="1">
      <alignment horizontal="center" vertical="center" wrapText="1"/>
      <protection locked="0"/>
    </xf>
    <xf numFmtId="1" fontId="113" fillId="0" borderId="26" xfId="0" applyNumberFormat="1" applyFont="1" applyBorder="1" applyAlignment="1" applyProtection="1">
      <alignment horizontal="center" vertical="center" wrapText="1"/>
      <protection locked="0"/>
    </xf>
    <xf numFmtId="1" fontId="113" fillId="0" borderId="26" xfId="0" applyNumberFormat="1" applyFont="1" applyFill="1" applyBorder="1" applyAlignment="1" applyProtection="1">
      <alignment horizontal="center" vertical="center" wrapText="1"/>
      <protection locked="0"/>
    </xf>
    <xf numFmtId="2" fontId="113" fillId="0" borderId="26" xfId="0" applyNumberFormat="1" applyFont="1" applyFill="1" applyBorder="1" applyAlignment="1" applyProtection="1">
      <alignment horizontal="center" vertical="center" wrapText="1"/>
      <protection locked="0"/>
    </xf>
    <xf numFmtId="2" fontId="113" fillId="9" borderId="26" xfId="0" applyNumberFormat="1" applyFont="1" applyFill="1" applyBorder="1" applyAlignment="1" applyProtection="1">
      <alignment horizontal="center" vertical="center" wrapText="1"/>
      <protection locked="0"/>
    </xf>
    <xf numFmtId="2" fontId="114" fillId="0" borderId="26" xfId="0" applyNumberFormat="1" applyFont="1" applyBorder="1" applyAlignment="1" applyProtection="1">
      <alignment horizontal="center" vertical="center" wrapText="1"/>
      <protection locked="0"/>
    </xf>
    <xf numFmtId="2" fontId="114" fillId="0" borderId="26" xfId="0" applyNumberFormat="1" applyFont="1" applyFill="1" applyBorder="1" applyAlignment="1" applyProtection="1">
      <alignment horizontal="center" vertical="center" wrapText="1"/>
      <protection locked="0"/>
    </xf>
    <xf numFmtId="1" fontId="0" fillId="0" borderId="107" xfId="26" applyNumberFormat="1" applyFont="1" applyBorder="1" applyAlignment="1">
      <alignment horizontal="center" vertical="center"/>
    </xf>
    <xf numFmtId="203" fontId="0" fillId="0" borderId="108" xfId="26" applyNumberFormat="1" applyFont="1" applyBorder="1" applyAlignment="1">
      <alignment horizontal="center" vertical="center"/>
    </xf>
    <xf numFmtId="0" fontId="0" fillId="0" borderId="108" xfId="0" applyBorder="1" applyAlignment="1">
      <alignment horizontal="center" vertical="center"/>
    </xf>
    <xf numFmtId="175" fontId="0" fillId="0" borderId="108" xfId="0" applyNumberFormat="1" applyBorder="1"/>
    <xf numFmtId="175" fontId="0" fillId="0" borderId="109" xfId="0" applyNumberFormat="1" applyBorder="1"/>
    <xf numFmtId="1" fontId="0" fillId="0" borderId="307" xfId="26" applyNumberFormat="1" applyFont="1" applyBorder="1" applyAlignment="1">
      <alignment horizontal="center" vertical="center"/>
    </xf>
    <xf numFmtId="203" fontId="0" fillId="0" borderId="305" xfId="26" applyNumberFormat="1" applyFont="1" applyBorder="1" applyAlignment="1">
      <alignment horizontal="center" vertical="center"/>
    </xf>
    <xf numFmtId="175" fontId="0" fillId="0" borderId="326" xfId="0" applyNumberFormat="1" applyBorder="1"/>
    <xf numFmtId="175" fontId="0" fillId="9" borderId="326" xfId="0" applyNumberFormat="1" applyFill="1" applyBorder="1"/>
    <xf numFmtId="1" fontId="0" fillId="0" borderId="403" xfId="26" applyNumberFormat="1" applyFont="1" applyBorder="1" applyAlignment="1">
      <alignment horizontal="center" vertical="center"/>
    </xf>
    <xf numFmtId="203" fontId="0" fillId="0" borderId="365" xfId="26" applyNumberFormat="1" applyFont="1" applyBorder="1" applyAlignment="1">
      <alignment horizontal="center" vertical="center"/>
    </xf>
    <xf numFmtId="0" fontId="0" fillId="0" borderId="365" xfId="0" applyBorder="1" applyAlignment="1">
      <alignment horizontal="center" vertical="center"/>
    </xf>
    <xf numFmtId="175" fontId="0" fillId="0" borderId="365" xfId="0" applyNumberFormat="1" applyBorder="1" applyAlignment="1">
      <alignment horizontal="center" vertical="center"/>
    </xf>
    <xf numFmtId="175" fontId="0" fillId="0" borderId="365" xfId="0" applyNumberFormat="1" applyBorder="1"/>
    <xf numFmtId="175" fontId="0" fillId="0" borderId="366" xfId="0" applyNumberFormat="1" applyBorder="1"/>
    <xf numFmtId="0" fontId="93" fillId="108" borderId="332" xfId="0" applyFont="1" applyFill="1" applyBorder="1" applyAlignment="1">
      <alignment horizontal="center" vertical="center" wrapText="1"/>
    </xf>
    <xf numFmtId="0" fontId="0" fillId="9" borderId="98" xfId="0" applyFill="1" applyBorder="1" applyAlignment="1">
      <alignment horizontal="right" vertical="center"/>
    </xf>
    <xf numFmtId="1" fontId="0" fillId="9" borderId="87" xfId="0" applyNumberFormat="1" applyFill="1" applyBorder="1" applyAlignment="1">
      <alignment horizontal="right" vertical="center"/>
    </xf>
    <xf numFmtId="1" fontId="0" fillId="9" borderId="69" xfId="0" applyNumberFormat="1" applyFill="1" applyBorder="1" applyAlignment="1">
      <alignment horizontal="right" vertical="center"/>
    </xf>
    <xf numFmtId="1" fontId="0" fillId="9" borderId="2" xfId="0" applyNumberFormat="1" applyFill="1" applyBorder="1" applyAlignment="1">
      <alignment horizontal="right" vertical="center"/>
    </xf>
    <xf numFmtId="0" fontId="0" fillId="9" borderId="69" xfId="0" applyFill="1" applyBorder="1" applyAlignment="1">
      <alignment horizontal="right" vertical="center"/>
    </xf>
    <xf numFmtId="1" fontId="0" fillId="9" borderId="2" xfId="0" applyNumberFormat="1" applyFill="1" applyBorder="1" applyAlignment="1">
      <alignment horizontal="center" vertical="center"/>
    </xf>
    <xf numFmtId="1" fontId="0" fillId="9" borderId="69" xfId="0" applyNumberFormat="1" applyFill="1" applyBorder="1" applyAlignment="1">
      <alignment horizontal="center" vertical="center"/>
    </xf>
    <xf numFmtId="0" fontId="0" fillId="9" borderId="98" xfId="0" applyFill="1" applyBorder="1" applyAlignment="1">
      <alignment horizontal="center" vertical="center"/>
    </xf>
    <xf numFmtId="1" fontId="2" fillId="9" borderId="87" xfId="0" applyNumberFormat="1" applyFont="1" applyFill="1" applyBorder="1" applyAlignment="1">
      <alignment horizontal="center" vertical="center"/>
    </xf>
    <xf numFmtId="1" fontId="2" fillId="9" borderId="69" xfId="0" applyNumberFormat="1" applyFont="1" applyFill="1" applyBorder="1" applyAlignment="1">
      <alignment horizontal="center" vertical="center"/>
    </xf>
    <xf numFmtId="1" fontId="2" fillId="9" borderId="98" xfId="0" applyNumberFormat="1" applyFont="1" applyFill="1" applyBorder="1" applyAlignment="1">
      <alignment horizontal="center" vertical="center"/>
    </xf>
    <xf numFmtId="1" fontId="2" fillId="9" borderId="2" xfId="0" applyNumberFormat="1" applyFont="1" applyFill="1" applyBorder="1" applyAlignment="1">
      <alignment horizontal="center" vertical="center"/>
    </xf>
    <xf numFmtId="0" fontId="0" fillId="9" borderId="0" xfId="0" applyFill="1" applyAlignment="1">
      <alignment horizontal="center"/>
    </xf>
    <xf numFmtId="1" fontId="2" fillId="9" borderId="0" xfId="0" applyNumberFormat="1" applyFont="1" applyFill="1" applyBorder="1" applyAlignment="1">
      <alignment horizontal="center" vertical="center"/>
    </xf>
    <xf numFmtId="1" fontId="0" fillId="9" borderId="0" xfId="0" applyNumberFormat="1" applyFill="1"/>
    <xf numFmtId="1" fontId="0" fillId="9" borderId="87" xfId="0" applyNumberFormat="1" applyFill="1" applyBorder="1" applyAlignment="1">
      <alignment horizontal="center" vertical="center"/>
    </xf>
    <xf numFmtId="1" fontId="0" fillId="9" borderId="98" xfId="0" applyNumberFormat="1" applyFill="1" applyBorder="1" applyAlignment="1">
      <alignment horizontal="center" vertical="center"/>
    </xf>
    <xf numFmtId="0" fontId="39" fillId="9" borderId="0" xfId="0" applyFont="1" applyFill="1"/>
    <xf numFmtId="1" fontId="0" fillId="9" borderId="247" xfId="0" applyNumberFormat="1" applyFill="1" applyBorder="1" applyAlignment="1">
      <alignment horizontal="center" vertical="center"/>
    </xf>
    <xf numFmtId="1" fontId="0" fillId="9" borderId="245" xfId="0" applyNumberFormat="1" applyFill="1" applyBorder="1" applyAlignment="1">
      <alignment horizontal="center" vertical="center"/>
    </xf>
    <xf numFmtId="1" fontId="0" fillId="9" borderId="246" xfId="0" applyNumberFormat="1" applyFill="1" applyBorder="1" applyAlignment="1">
      <alignment horizontal="center" vertical="center"/>
    </xf>
    <xf numFmtId="1" fontId="2" fillId="9" borderId="247" xfId="0" applyNumberFormat="1" applyFont="1" applyFill="1" applyBorder="1" applyAlignment="1">
      <alignment horizontal="center" vertical="center"/>
    </xf>
    <xf numFmtId="1" fontId="2" fillId="9" borderId="245" xfId="0" applyNumberFormat="1" applyFont="1" applyFill="1" applyBorder="1" applyAlignment="1">
      <alignment horizontal="center" vertical="center"/>
    </xf>
    <xf numFmtId="0" fontId="0" fillId="0" borderId="242" xfId="0" applyBorder="1" applyAlignment="1">
      <alignment vertical="center" wrapText="1"/>
    </xf>
    <xf numFmtId="0" fontId="0" fillId="0" borderId="242" xfId="0" applyBorder="1" applyAlignment="1">
      <alignment horizontal="center" vertical="center"/>
    </xf>
    <xf numFmtId="0" fontId="0" fillId="0" borderId="242" xfId="0" applyBorder="1" applyAlignment="1">
      <alignment vertical="center"/>
    </xf>
    <xf numFmtId="0" fontId="0" fillId="0" borderId="241" xfId="0" applyBorder="1" applyAlignment="1">
      <alignment horizontal="center" vertical="center"/>
    </xf>
    <xf numFmtId="0" fontId="0" fillId="118" borderId="38" xfId="0" applyFill="1" applyBorder="1" applyAlignment="1">
      <alignment horizontal="center" vertical="center"/>
    </xf>
    <xf numFmtId="0" fontId="2" fillId="118" borderId="330" xfId="0" applyFont="1" applyFill="1" applyBorder="1" applyAlignment="1">
      <alignment horizontal="center" vertical="center"/>
    </xf>
    <xf numFmtId="0" fontId="0" fillId="118" borderId="407" xfId="0" applyFill="1" applyBorder="1" applyAlignment="1">
      <alignment horizontal="center" vertical="center"/>
    </xf>
    <xf numFmtId="1" fontId="0" fillId="0" borderId="408" xfId="0" applyNumberFormat="1" applyFont="1" applyFill="1" applyBorder="1" applyAlignment="1">
      <alignment horizontal="center" vertical="center"/>
    </xf>
    <xf numFmtId="1" fontId="0" fillId="0" borderId="276" xfId="0" applyNumberFormat="1" applyFont="1" applyFill="1" applyBorder="1" applyAlignment="1">
      <alignment horizontal="center" vertical="center"/>
    </xf>
    <xf numFmtId="1" fontId="0" fillId="0" borderId="409" xfId="0" applyNumberFormat="1" applyFont="1" applyFill="1" applyBorder="1" applyAlignment="1">
      <alignment horizontal="center" vertical="center"/>
    </xf>
    <xf numFmtId="1" fontId="0" fillId="0" borderId="246" xfId="0" applyNumberFormat="1" applyFont="1" applyFill="1" applyBorder="1" applyAlignment="1">
      <alignment horizontal="center" vertical="center"/>
    </xf>
    <xf numFmtId="1" fontId="0" fillId="0" borderId="410" xfId="0" applyNumberFormat="1" applyFont="1" applyFill="1" applyBorder="1" applyAlignment="1">
      <alignment horizontal="center" vertical="center"/>
    </xf>
    <xf numFmtId="0" fontId="0" fillId="11" borderId="250" xfId="0" applyFill="1" applyBorder="1" applyAlignment="1">
      <alignment horizontal="center"/>
    </xf>
    <xf numFmtId="0" fontId="0" fillId="11" borderId="250" xfId="0" applyFill="1" applyBorder="1"/>
    <xf numFmtId="0" fontId="228" fillId="53" borderId="0" xfId="0" applyFont="1" applyFill="1" applyAlignment="1"/>
    <xf numFmtId="0" fontId="0" fillId="0" borderId="146" xfId="0" applyBorder="1" applyAlignment="1">
      <alignment horizontal="center" vertical="center"/>
    </xf>
    <xf numFmtId="0" fontId="0" fillId="0" borderId="172" xfId="0" applyBorder="1" applyAlignment="1">
      <alignment horizontal="center" vertical="center"/>
    </xf>
    <xf numFmtId="0" fontId="0" fillId="0" borderId="0" xfId="0" applyFont="1" applyAlignment="1">
      <alignment horizontal="center" vertical="center"/>
    </xf>
    <xf numFmtId="175" fontId="3" fillId="14" borderId="303" xfId="0" applyNumberFormat="1" applyFont="1" applyFill="1" applyBorder="1" applyAlignment="1">
      <alignment horizontal="right"/>
    </xf>
    <xf numFmtId="175" fontId="15" fillId="9" borderId="238" xfId="5" applyNumberFormat="1" applyFont="1" applyFill="1" applyBorder="1" applyAlignment="1">
      <alignment horizontal="center" wrapText="1"/>
    </xf>
    <xf numFmtId="2" fontId="282" fillId="12" borderId="20" xfId="22" applyNumberFormat="1" applyFont="1" applyFill="1" applyBorder="1" applyAlignment="1">
      <alignment horizontal="center" vertical="center" wrapText="1"/>
    </xf>
    <xf numFmtId="2" fontId="275" fillId="12" borderId="20" xfId="22" applyNumberFormat="1" applyFont="1" applyFill="1" applyBorder="1" applyAlignment="1">
      <alignment horizontal="center" vertical="center" wrapText="1"/>
    </xf>
    <xf numFmtId="2" fontId="282" fillId="12" borderId="21" xfId="22" applyNumberFormat="1" applyFont="1" applyFill="1" applyBorder="1" applyAlignment="1">
      <alignment horizontal="center" vertical="center" wrapText="1"/>
    </xf>
    <xf numFmtId="175" fontId="50" fillId="0" borderId="222" xfId="1" applyNumberFormat="1" applyFont="1" applyFill="1" applyBorder="1" applyAlignment="1" applyProtection="1">
      <alignment horizontal="center" vertical="center"/>
      <protection locked="0"/>
    </xf>
    <xf numFmtId="175" fontId="3" fillId="0" borderId="302" xfId="0" applyNumberFormat="1" applyFont="1" applyBorder="1"/>
    <xf numFmtId="0" fontId="59" fillId="0" borderId="0" xfId="4" applyFont="1"/>
    <xf numFmtId="0" fontId="283" fillId="2" borderId="0" xfId="3" applyFont="1" applyFill="1" applyAlignment="1">
      <alignment vertical="center"/>
    </xf>
    <xf numFmtId="0" fontId="59" fillId="0" borderId="0" xfId="4" applyFont="1" applyFill="1"/>
    <xf numFmtId="0" fontId="59" fillId="0" borderId="0" xfId="4" applyFont="1" applyAlignment="1">
      <alignment horizontal="center"/>
    </xf>
    <xf numFmtId="14" fontId="59" fillId="0" borderId="0" xfId="4" applyNumberFormat="1" applyFont="1"/>
    <xf numFmtId="0" fontId="272" fillId="145" borderId="207" xfId="3" applyNumberFormat="1" applyFont="1" applyFill="1" applyBorder="1" applyAlignment="1">
      <alignment horizontal="center" vertical="center"/>
    </xf>
    <xf numFmtId="0" fontId="3" fillId="0" borderId="305" xfId="0" applyFont="1" applyBorder="1"/>
    <xf numFmtId="175" fontId="15" fillId="9" borderId="82" xfId="5" applyNumberFormat="1" applyFont="1" applyFill="1" applyBorder="1" applyAlignment="1">
      <alignment horizontal="center" wrapText="1"/>
    </xf>
    <xf numFmtId="0" fontId="12" fillId="139" borderId="26" xfId="6" applyFont="1" applyFill="1" applyBorder="1" applyAlignment="1">
      <alignment horizontal="center" vertical="center" wrapText="1"/>
    </xf>
    <xf numFmtId="2" fontId="15" fillId="9" borderId="22" xfId="5" applyNumberFormat="1" applyFont="1" applyFill="1" applyBorder="1" applyAlignment="1">
      <alignment horizontal="center" vertical="center" wrapText="1"/>
    </xf>
    <xf numFmtId="2" fontId="15" fillId="9" borderId="24" xfId="5" applyNumberFormat="1" applyFont="1" applyFill="1" applyBorder="1" applyAlignment="1">
      <alignment horizontal="center" vertical="center" wrapText="1"/>
    </xf>
    <xf numFmtId="2" fontId="15" fillId="9" borderId="25" xfId="5" applyNumberFormat="1" applyFont="1" applyFill="1" applyBorder="1" applyAlignment="1">
      <alignment horizontal="center" vertical="center" wrapText="1"/>
    </xf>
    <xf numFmtId="175" fontId="3" fillId="14" borderId="72" xfId="0" applyNumberFormat="1" applyFont="1" applyFill="1" applyBorder="1" applyAlignment="1">
      <alignment horizontal="right"/>
    </xf>
    <xf numFmtId="0" fontId="3" fillId="14" borderId="72" xfId="0" applyFont="1" applyFill="1" applyBorder="1" applyAlignment="1">
      <alignment horizontal="right"/>
    </xf>
    <xf numFmtId="175" fontId="3" fillId="14" borderId="161" xfId="0" applyNumberFormat="1" applyFont="1" applyFill="1" applyBorder="1" applyAlignment="1">
      <alignment horizontal="right"/>
    </xf>
    <xf numFmtId="1" fontId="3" fillId="14" borderId="303" xfId="0" applyNumberFormat="1" applyFont="1" applyFill="1" applyBorder="1" applyAlignment="1">
      <alignment horizontal="right"/>
    </xf>
    <xf numFmtId="0" fontId="3" fillId="0" borderId="0" xfId="0" applyFont="1" applyAlignment="1">
      <alignment horizontal="right"/>
    </xf>
    <xf numFmtId="248" fontId="3" fillId="0" borderId="0" xfId="0" applyNumberFormat="1" applyFont="1" applyAlignment="1">
      <alignment horizontal="right"/>
    </xf>
    <xf numFmtId="175" fontId="3" fillId="0" borderId="0" xfId="0" applyNumberFormat="1" applyFont="1" applyAlignment="1">
      <alignment horizontal="right"/>
    </xf>
    <xf numFmtId="0" fontId="0" fillId="0" borderId="299" xfId="0" applyBorder="1" applyAlignment="1" applyProtection="1">
      <alignment horizontal="center" vertical="center"/>
      <protection locked="0"/>
    </xf>
    <xf numFmtId="1" fontId="0" fillId="0" borderId="0" xfId="0" applyNumberFormat="1" applyAlignment="1" applyProtection="1">
      <alignment horizontal="center"/>
      <protection locked="0"/>
    </xf>
    <xf numFmtId="0" fontId="0" fillId="0" borderId="0" xfId="0" applyFill="1" applyAlignment="1" applyProtection="1">
      <alignment horizontal="center" vertical="center"/>
      <protection locked="0"/>
    </xf>
    <xf numFmtId="0" fontId="154" fillId="0" borderId="0" xfId="0" applyFont="1"/>
    <xf numFmtId="0" fontId="154" fillId="0" borderId="0" xfId="0" applyFont="1" applyAlignment="1">
      <alignment horizontal="center" vertical="center"/>
    </xf>
    <xf numFmtId="0" fontId="284" fillId="0" borderId="0" xfId="0" applyFont="1"/>
    <xf numFmtId="0" fontId="284" fillId="0" borderId="0" xfId="0" applyFont="1" applyAlignment="1">
      <alignment horizontal="center" vertical="center"/>
    </xf>
    <xf numFmtId="0" fontId="68" fillId="0" borderId="0" xfId="0" applyFont="1" applyAlignment="1">
      <alignment horizontal="center" vertical="center"/>
    </xf>
    <xf numFmtId="1" fontId="3" fillId="0" borderId="56" xfId="0" applyNumberFormat="1" applyFont="1" applyBorder="1" applyAlignment="1">
      <alignment horizontal="center" vertical="center"/>
    </xf>
    <xf numFmtId="175" fontId="3" fillId="11" borderId="56" xfId="0" applyNumberFormat="1" applyFont="1" applyFill="1" applyBorder="1"/>
    <xf numFmtId="175" fontId="15" fillId="11" borderId="372" xfId="5" applyNumberFormat="1" applyFont="1" applyFill="1" applyBorder="1" applyAlignment="1">
      <alignment horizontal="center" wrapText="1"/>
    </xf>
    <xf numFmtId="175" fontId="15" fillId="11" borderId="28" xfId="5" applyNumberFormat="1" applyFont="1" applyFill="1" applyBorder="1" applyAlignment="1">
      <alignment horizontal="center" wrapText="1"/>
    </xf>
    <xf numFmtId="2" fontId="110" fillId="11" borderId="26" xfId="0" applyNumberFormat="1" applyFont="1" applyFill="1" applyBorder="1" applyAlignment="1" applyProtection="1">
      <alignment horizontal="center" vertical="center"/>
      <protection locked="0"/>
    </xf>
    <xf numFmtId="182" fontId="28" fillId="8" borderId="26" xfId="6" applyNumberFormat="1" applyFont="1" applyFill="1" applyBorder="1" applyAlignment="1">
      <alignment horizontal="center" vertical="center"/>
    </xf>
    <xf numFmtId="2" fontId="29" fillId="9" borderId="26" xfId="18" applyNumberFormat="1" applyFont="1" applyFill="1" applyBorder="1" applyAlignment="1">
      <alignment horizontal="center" vertical="center" wrapText="1"/>
    </xf>
    <xf numFmtId="0" fontId="89" fillId="29" borderId="305" xfId="0" applyFont="1" applyFill="1" applyBorder="1" applyAlignment="1">
      <alignment horizontal="center" vertical="center" wrapText="1"/>
    </xf>
    <xf numFmtId="0" fontId="59" fillId="0" borderId="305" xfId="0" applyFont="1" applyBorder="1" applyAlignment="1">
      <alignment horizontal="center" vertical="center" wrapText="1"/>
    </xf>
    <xf numFmtId="0" fontId="146" fillId="57" borderId="361" xfId="0" applyFont="1" applyFill="1" applyBorder="1" applyAlignment="1">
      <alignment horizontal="center" vertical="center" wrapText="1"/>
    </xf>
    <xf numFmtId="0" fontId="89" fillId="58" borderId="305" xfId="0" applyFont="1" applyFill="1" applyBorder="1" applyAlignment="1">
      <alignment horizontal="center" vertical="center" wrapText="1"/>
    </xf>
    <xf numFmtId="0" fontId="89" fillId="58" borderId="326" xfId="0" applyFont="1" applyFill="1" applyBorder="1" applyAlignment="1">
      <alignment horizontal="center" vertical="center" wrapText="1"/>
    </xf>
    <xf numFmtId="0" fontId="219" fillId="56" borderId="307" xfId="0" applyFont="1" applyFill="1" applyBorder="1" applyAlignment="1">
      <alignment horizontal="center" vertical="center" wrapText="1"/>
    </xf>
    <xf numFmtId="0" fontId="219" fillId="56" borderId="305" xfId="0" applyFont="1" applyFill="1" applyBorder="1" applyAlignment="1">
      <alignment horizontal="center" vertical="center" wrapText="1"/>
    </xf>
    <xf numFmtId="3" fontId="242" fillId="0" borderId="305" xfId="0" applyNumberFormat="1" applyFont="1" applyBorder="1" applyAlignment="1">
      <alignment horizontal="center" vertical="center"/>
    </xf>
    <xf numFmtId="183" fontId="59" fillId="0" borderId="305" xfId="0" applyNumberFormat="1" applyFont="1" applyBorder="1" applyAlignment="1">
      <alignment horizontal="center" vertical="center"/>
    </xf>
    <xf numFmtId="183" fontId="59" fillId="0" borderId="326" xfId="0" applyNumberFormat="1" applyFont="1" applyBorder="1" applyAlignment="1">
      <alignment horizontal="center" vertical="center"/>
    </xf>
    <xf numFmtId="0" fontId="146" fillId="57" borderId="305" xfId="0" applyFont="1" applyFill="1" applyBorder="1" applyAlignment="1">
      <alignment horizontal="center" vertical="center" wrapText="1"/>
    </xf>
    <xf numFmtId="183" fontId="59" fillId="0" borderId="307" xfId="0" applyNumberFormat="1" applyFont="1" applyBorder="1" applyAlignment="1">
      <alignment horizontal="center" vertical="center"/>
    </xf>
    <xf numFmtId="183" fontId="59" fillId="9" borderId="326" xfId="0" applyNumberFormat="1" applyFont="1" applyFill="1" applyBorder="1" applyAlignment="1">
      <alignment horizontal="center" vertical="center"/>
    </xf>
    <xf numFmtId="190" fontId="59" fillId="0" borderId="356" xfId="0" applyNumberFormat="1" applyFont="1" applyBorder="1" applyAlignment="1">
      <alignment horizontal="center" vertical="center"/>
    </xf>
    <xf numFmtId="0" fontId="1" fillId="0" borderId="0" xfId="4" applyAlignment="1">
      <alignment horizontal="right"/>
    </xf>
    <xf numFmtId="0" fontId="60" fillId="0" borderId="303" xfId="0" applyFont="1" applyBorder="1" applyAlignment="1" applyProtection="1">
      <alignment horizontal="center" vertical="center"/>
      <protection locked="0"/>
    </xf>
    <xf numFmtId="0" fontId="0" fillId="0" borderId="303" xfId="0" applyFont="1" applyBorder="1" applyAlignment="1" applyProtection="1">
      <alignment horizontal="left" vertical="center"/>
      <protection locked="0"/>
    </xf>
    <xf numFmtId="0" fontId="0" fillId="0" borderId="303" xfId="0" applyFont="1" applyBorder="1" applyAlignment="1" applyProtection="1">
      <alignment vertical="center" wrapText="1"/>
      <protection locked="0"/>
    </xf>
    <xf numFmtId="0" fontId="60" fillId="0" borderId="303" xfId="0" applyNumberFormat="1" applyFont="1" applyBorder="1" applyAlignment="1" applyProtection="1">
      <alignment horizontal="center" vertical="center"/>
      <protection locked="0"/>
    </xf>
    <xf numFmtId="2" fontId="60" fillId="0" borderId="303" xfId="0" applyNumberFormat="1" applyFont="1" applyBorder="1" applyAlignment="1" applyProtection="1">
      <alignment horizontal="center" vertical="center"/>
      <protection locked="0"/>
    </xf>
    <xf numFmtId="0" fontId="0" fillId="0" borderId="361" xfId="0" applyFont="1" applyBorder="1" applyAlignment="1" applyProtection="1">
      <alignment horizontal="left" vertical="center"/>
      <protection locked="0"/>
    </xf>
    <xf numFmtId="175" fontId="3" fillId="0" borderId="305" xfId="0" applyNumberFormat="1" applyFont="1" applyBorder="1" applyAlignment="1">
      <alignment horizontal="center"/>
    </xf>
    <xf numFmtId="0" fontId="264" fillId="0" borderId="303" xfId="0" applyFont="1" applyBorder="1" applyAlignment="1" applyProtection="1">
      <alignment vertical="center"/>
      <protection locked="0"/>
    </xf>
    <xf numFmtId="14" fontId="264" fillId="0" borderId="303" xfId="0" applyNumberFormat="1" applyFont="1" applyBorder="1" applyAlignment="1" applyProtection="1">
      <alignment vertical="center"/>
      <protection locked="0"/>
    </xf>
    <xf numFmtId="0" fontId="94" fillId="29" borderId="361" xfId="0" applyFont="1" applyFill="1" applyBorder="1" applyAlignment="1" applyProtection="1">
      <alignment horizontal="center" vertical="center" wrapText="1"/>
      <protection locked="0"/>
    </xf>
    <xf numFmtId="0" fontId="146" fillId="57" borderId="126" xfId="0" applyFont="1" applyFill="1" applyBorder="1" applyAlignment="1">
      <alignment horizontal="center" vertical="center" wrapText="1"/>
    </xf>
    <xf numFmtId="0" fontId="89" fillId="58" borderId="108" xfId="0" applyFont="1" applyFill="1" applyBorder="1" applyAlignment="1">
      <alignment horizontal="center" vertical="center" wrapText="1"/>
    </xf>
    <xf numFmtId="0" fontId="89" fillId="58" borderId="109" xfId="0" applyFont="1" applyFill="1" applyBorder="1" applyAlignment="1">
      <alignment horizontal="center" vertical="center" wrapText="1"/>
    </xf>
    <xf numFmtId="0" fontId="146" fillId="57" borderId="108" xfId="0" applyFont="1" applyFill="1" applyBorder="1" applyAlignment="1">
      <alignment horizontal="center" vertical="center" wrapText="1"/>
    </xf>
    <xf numFmtId="0" fontId="0" fillId="0" borderId="341" xfId="0" applyBorder="1" applyProtection="1">
      <protection locked="0"/>
    </xf>
    <xf numFmtId="0" fontId="0" fillId="0" borderId="342" xfId="0" applyBorder="1" applyProtection="1">
      <protection locked="0"/>
    </xf>
    <xf numFmtId="0" fontId="219" fillId="56" borderId="363" xfId="0" applyFont="1" applyFill="1" applyBorder="1" applyAlignment="1">
      <alignment horizontal="center" vertical="center" wrapText="1"/>
    </xf>
    <xf numFmtId="3" fontId="242" fillId="0" borderId="363" xfId="0" applyNumberFormat="1" applyFont="1" applyBorder="1" applyAlignment="1">
      <alignment horizontal="center" vertical="center"/>
    </xf>
    <xf numFmtId="0" fontId="219" fillId="56" borderId="361" xfId="0" applyFont="1" applyFill="1" applyBorder="1" applyAlignment="1">
      <alignment horizontal="center" vertical="center" wrapText="1"/>
    </xf>
    <xf numFmtId="3" fontId="242" fillId="0" borderId="361" xfId="0" applyNumberFormat="1" applyFont="1" applyBorder="1" applyAlignment="1">
      <alignment horizontal="center" vertical="center"/>
    </xf>
    <xf numFmtId="14" fontId="124" fillId="0" borderId="0" xfId="0" applyNumberFormat="1" applyFont="1" applyBorder="1" applyAlignment="1">
      <alignment horizontal="center" vertical="center"/>
    </xf>
    <xf numFmtId="183" fontId="0" fillId="0" borderId="0" xfId="0" applyNumberFormat="1" applyFont="1" applyBorder="1" applyAlignment="1">
      <alignment horizontal="center"/>
    </xf>
    <xf numFmtId="183" fontId="0" fillId="0" borderId="108" xfId="0" applyNumberFormat="1" applyFont="1" applyBorder="1" applyAlignment="1">
      <alignment horizontal="center" vertical="center"/>
    </xf>
    <xf numFmtId="0" fontId="125" fillId="14" borderId="108" xfId="0" applyFont="1" applyFill="1" applyBorder="1" applyAlignment="1">
      <alignment horizontal="center" vertical="center" wrapText="1"/>
    </xf>
    <xf numFmtId="183" fontId="0" fillId="0" borderId="129" xfId="0" applyNumberFormat="1" applyFont="1" applyBorder="1" applyAlignment="1">
      <alignment horizontal="center" vertical="center"/>
    </xf>
    <xf numFmtId="183" fontId="0" fillId="0" borderId="109" xfId="0" applyNumberFormat="1" applyFont="1" applyBorder="1" applyAlignment="1">
      <alignment horizontal="center" vertical="center"/>
    </xf>
    <xf numFmtId="183" fontId="0" fillId="0" borderId="365" xfId="0" applyNumberFormat="1" applyFont="1" applyBorder="1" applyAlignment="1">
      <alignment horizontal="center" vertical="center"/>
    </xf>
    <xf numFmtId="0" fontId="125" fillId="14" borderId="365" xfId="0" applyFont="1" applyFill="1" applyBorder="1" applyAlignment="1">
      <alignment horizontal="center" vertical="center" wrapText="1"/>
    </xf>
    <xf numFmtId="183" fontId="0" fillId="0" borderId="389" xfId="0" applyNumberFormat="1" applyFont="1" applyBorder="1" applyAlignment="1">
      <alignment horizontal="center" vertical="center"/>
    </xf>
    <xf numFmtId="183" fontId="0" fillId="0" borderId="366" xfId="0" applyNumberFormat="1" applyFont="1" applyBorder="1" applyAlignment="1">
      <alignment horizontal="center" vertical="center"/>
    </xf>
    <xf numFmtId="0" fontId="0" fillId="0" borderId="386" xfId="0" applyBorder="1" applyAlignment="1"/>
    <xf numFmtId="0" fontId="0" fillId="0" borderId="387" xfId="0" applyBorder="1" applyAlignment="1"/>
    <xf numFmtId="0" fontId="0" fillId="0" borderId="388" xfId="0" applyBorder="1" applyAlignment="1"/>
    <xf numFmtId="0" fontId="286" fillId="0" borderId="0" xfId="0" applyFont="1"/>
    <xf numFmtId="175" fontId="3" fillId="0" borderId="305" xfId="0" applyNumberFormat="1" applyFont="1" applyBorder="1" applyAlignment="1">
      <alignment vertical="center"/>
    </xf>
    <xf numFmtId="15" fontId="73" fillId="22" borderId="22" xfId="3" applyNumberFormat="1" applyFont="1" applyFill="1" applyBorder="1" applyAlignment="1">
      <alignment horizontal="center" vertical="center" wrapText="1"/>
    </xf>
    <xf numFmtId="15" fontId="73" fillId="22" borderId="24" xfId="3" applyNumberFormat="1" applyFont="1" applyFill="1" applyBorder="1" applyAlignment="1">
      <alignment horizontal="center" vertical="center" wrapText="1"/>
    </xf>
    <xf numFmtId="15" fontId="73" fillId="22" borderId="25" xfId="3" applyNumberFormat="1" applyFont="1" applyFill="1" applyBorder="1" applyAlignment="1">
      <alignment horizontal="center" vertical="center" wrapText="1"/>
    </xf>
    <xf numFmtId="15" fontId="73" fillId="22" borderId="23" xfId="3" applyNumberFormat="1" applyFont="1" applyFill="1" applyBorder="1" applyAlignment="1">
      <alignment horizontal="center" vertical="center" wrapText="1"/>
    </xf>
    <xf numFmtId="0" fontId="94" fillId="25" borderId="305" xfId="0" applyFont="1" applyFill="1" applyBorder="1" applyAlignment="1" applyProtection="1">
      <alignment horizontal="center" vertical="center" wrapText="1"/>
      <protection locked="0"/>
    </xf>
    <xf numFmtId="0" fontId="94" fillId="25" borderId="76" xfId="0" applyFont="1" applyFill="1" applyBorder="1" applyAlignment="1" applyProtection="1">
      <alignment horizontal="center" vertical="center" wrapText="1"/>
      <protection locked="0"/>
    </xf>
    <xf numFmtId="0" fontId="2" fillId="25" borderId="299" xfId="0" applyFont="1" applyFill="1" applyBorder="1" applyAlignment="1" applyProtection="1">
      <alignment horizontal="center" vertical="center" wrapText="1"/>
      <protection locked="0"/>
    </xf>
    <xf numFmtId="183" fontId="3" fillId="29" borderId="304" xfId="22" applyNumberFormat="1" applyFill="1" applyBorder="1" applyAlignment="1">
      <alignment horizontal="center"/>
    </xf>
    <xf numFmtId="183" fontId="3" fillId="29" borderId="350" xfId="22" applyNumberFormat="1" applyFill="1" applyBorder="1" applyAlignment="1">
      <alignment horizontal="center"/>
    </xf>
    <xf numFmtId="4" fontId="3" fillId="29" borderId="304" xfId="22" applyNumberFormat="1" applyFill="1" applyBorder="1" applyAlignment="1">
      <alignment horizontal="center"/>
    </xf>
    <xf numFmtId="183" fontId="3" fillId="29" borderId="305" xfId="22" applyNumberFormat="1" applyFill="1" applyBorder="1" applyAlignment="1">
      <alignment horizontal="center"/>
    </xf>
    <xf numFmtId="183" fontId="21" fillId="12" borderId="305" xfId="22" applyNumberFormat="1" applyFont="1" applyFill="1" applyBorder="1" applyAlignment="1">
      <alignment horizontal="center"/>
    </xf>
    <xf numFmtId="0" fontId="0" fillId="0" borderId="146" xfId="0" applyFont="1" applyBorder="1" applyProtection="1">
      <protection locked="0"/>
    </xf>
    <xf numFmtId="190" fontId="59" fillId="0" borderId="332" xfId="0" applyNumberFormat="1" applyFont="1" applyBorder="1" applyAlignment="1">
      <alignment horizontal="center" vertical="center"/>
    </xf>
    <xf numFmtId="3" fontId="242" fillId="0" borderId="333" xfId="0" applyNumberFormat="1" applyFont="1" applyBorder="1" applyAlignment="1">
      <alignment horizontal="center" vertical="center"/>
    </xf>
    <xf numFmtId="3" fontId="242" fillId="0" borderId="413" xfId="0" applyNumberFormat="1" applyFont="1" applyBorder="1" applyAlignment="1">
      <alignment horizontal="center" vertical="center"/>
    </xf>
    <xf numFmtId="3" fontId="242" fillId="0" borderId="377" xfId="0" applyNumberFormat="1" applyFont="1" applyBorder="1" applyAlignment="1">
      <alignment horizontal="center" vertical="center"/>
    </xf>
    <xf numFmtId="183" fontId="59" fillId="0" borderId="413" xfId="0" applyNumberFormat="1" applyFont="1" applyBorder="1" applyAlignment="1">
      <alignment horizontal="center" vertical="center"/>
    </xf>
    <xf numFmtId="183" fontId="59" fillId="0" borderId="359" xfId="0" applyNumberFormat="1" applyFont="1" applyBorder="1" applyAlignment="1">
      <alignment horizontal="center" vertical="center"/>
    </xf>
    <xf numFmtId="183" fontId="59" fillId="0" borderId="335" xfId="0" applyNumberFormat="1" applyFont="1" applyBorder="1" applyAlignment="1">
      <alignment horizontal="center" vertical="center"/>
    </xf>
    <xf numFmtId="183" fontId="59" fillId="9" borderId="359" xfId="0" applyNumberFormat="1" applyFont="1" applyFill="1" applyBorder="1" applyAlignment="1">
      <alignment horizontal="center" vertical="center"/>
    </xf>
    <xf numFmtId="1" fontId="60" fillId="0" borderId="222" xfId="0" applyNumberFormat="1" applyFont="1" applyBorder="1" applyAlignment="1" applyProtection="1">
      <alignment horizontal="center" vertical="center"/>
    </xf>
    <xf numFmtId="0" fontId="277" fillId="143" borderId="391" xfId="0" applyFont="1" applyFill="1" applyBorder="1" applyAlignment="1">
      <alignment horizontal="center"/>
    </xf>
    <xf numFmtId="190" fontId="86" fillId="49" borderId="391" xfId="0" applyNumberFormat="1" applyFont="1" applyFill="1" applyBorder="1" applyAlignment="1">
      <alignment horizontal="center"/>
    </xf>
    <xf numFmtId="0" fontId="86" fillId="143" borderId="391" xfId="0" applyFont="1" applyFill="1" applyBorder="1" applyAlignment="1">
      <alignment horizontal="center"/>
    </xf>
    <xf numFmtId="0" fontId="9" fillId="143" borderId="0" xfId="6" applyFont="1" applyFill="1" applyAlignment="1">
      <alignment horizontal="center" vertical="center" wrapText="1"/>
    </xf>
    <xf numFmtId="0" fontId="280" fillId="144" borderId="391" xfId="6" applyFont="1" applyFill="1" applyBorder="1" applyAlignment="1">
      <alignment horizontal="center" vertical="center"/>
    </xf>
    <xf numFmtId="0" fontId="278" fillId="144" borderId="391" xfId="0" applyFont="1" applyFill="1" applyBorder="1" applyAlignment="1">
      <alignment horizontal="center"/>
    </xf>
    <xf numFmtId="0" fontId="74" fillId="143" borderId="0" xfId="0" applyFont="1" applyFill="1" applyAlignment="1">
      <alignment horizontal="left"/>
    </xf>
    <xf numFmtId="0" fontId="43" fillId="143" borderId="0" xfId="6" applyFont="1" applyFill="1" applyAlignment="1">
      <alignment horizontal="left" vertical="center" wrapText="1"/>
    </xf>
    <xf numFmtId="0" fontId="127" fillId="144" borderId="392" xfId="0" applyFont="1" applyFill="1" applyBorder="1" applyAlignment="1">
      <alignment horizontal="center"/>
    </xf>
    <xf numFmtId="0" fontId="127" fillId="144" borderId="394" xfId="0" applyFont="1" applyFill="1" applyBorder="1" applyAlignment="1">
      <alignment horizontal="center"/>
    </xf>
    <xf numFmtId="0" fontId="127" fillId="144" borderId="393" xfId="0" applyFont="1" applyFill="1" applyBorder="1" applyAlignment="1">
      <alignment horizontal="center"/>
    </xf>
    <xf numFmtId="0" fontId="123" fillId="144" borderId="391" xfId="0" applyFont="1" applyFill="1" applyBorder="1" applyAlignment="1">
      <alignment horizontal="center" vertical="center"/>
    </xf>
    <xf numFmtId="0" fontId="277" fillId="143" borderId="392" xfId="0" applyFont="1" applyFill="1" applyBorder="1" applyAlignment="1">
      <alignment horizontal="center" vertical="center" wrapText="1"/>
    </xf>
    <xf numFmtId="0" fontId="277" fillId="143" borderId="394" xfId="0" applyFont="1" applyFill="1" applyBorder="1" applyAlignment="1">
      <alignment horizontal="center" vertical="center" wrapText="1"/>
    </xf>
    <xf numFmtId="0" fontId="277" fillId="143" borderId="393" xfId="0" applyFont="1" applyFill="1" applyBorder="1" applyAlignment="1">
      <alignment horizontal="center" vertical="center" wrapText="1"/>
    </xf>
    <xf numFmtId="14" fontId="279" fillId="143" borderId="395" xfId="0" applyNumberFormat="1" applyFont="1" applyFill="1" applyBorder="1" applyAlignment="1">
      <alignment horizontal="left"/>
    </xf>
    <xf numFmtId="14" fontId="279" fillId="143" borderId="396" xfId="0" applyNumberFormat="1" applyFont="1" applyFill="1" applyBorder="1" applyAlignment="1">
      <alignment horizontal="left"/>
    </xf>
    <xf numFmtId="0" fontId="2" fillId="143" borderId="0" xfId="0" applyFont="1" applyFill="1" applyAlignment="1">
      <alignment horizontal="right" vertical="center"/>
    </xf>
    <xf numFmtId="0" fontId="268" fillId="143" borderId="149" xfId="6" applyFont="1" applyFill="1" applyBorder="1" applyAlignment="1">
      <alignment horizontal="center" vertical="center"/>
    </xf>
    <xf numFmtId="0" fontId="43" fillId="143" borderId="0" xfId="6" applyFont="1" applyFill="1" applyAlignment="1">
      <alignment horizontal="left" vertical="top" wrapText="1"/>
    </xf>
    <xf numFmtId="14" fontId="86" fillId="144" borderId="394" xfId="0" applyNumberFormat="1" applyFont="1" applyFill="1" applyBorder="1" applyAlignment="1">
      <alignment horizontal="right"/>
    </xf>
    <xf numFmtId="14" fontId="86" fillId="144" borderId="393" xfId="0" applyNumberFormat="1" applyFont="1" applyFill="1" applyBorder="1" applyAlignment="1">
      <alignment horizontal="right"/>
    </xf>
    <xf numFmtId="0" fontId="281" fillId="143" borderId="397" xfId="6" applyFont="1" applyFill="1" applyBorder="1" applyAlignment="1">
      <alignment horizontal="center" vertical="center" wrapText="1"/>
    </xf>
    <xf numFmtId="0" fontId="281" fillId="143" borderId="398" xfId="6" applyFont="1" applyFill="1" applyBorder="1" applyAlignment="1">
      <alignment horizontal="center" vertical="center" wrapText="1"/>
    </xf>
    <xf numFmtId="0" fontId="281" fillId="143" borderId="399" xfId="6" applyFont="1" applyFill="1" applyBorder="1" applyAlignment="1">
      <alignment horizontal="center" vertical="center" wrapText="1"/>
    </xf>
    <xf numFmtId="0" fontId="281" fillId="143" borderId="400" xfId="6" applyFont="1" applyFill="1" applyBorder="1" applyAlignment="1">
      <alignment horizontal="center" vertical="center" wrapText="1"/>
    </xf>
    <xf numFmtId="0" fontId="281" fillId="143" borderId="401" xfId="6" applyFont="1" applyFill="1" applyBorder="1" applyAlignment="1">
      <alignment horizontal="center" vertical="center" wrapText="1"/>
    </xf>
    <xf numFmtId="0" fontId="281" fillId="143" borderId="402" xfId="6" applyFont="1" applyFill="1" applyBorder="1" applyAlignment="1">
      <alignment horizontal="center" vertical="center" wrapText="1"/>
    </xf>
    <xf numFmtId="0" fontId="92" fillId="143" borderId="0" xfId="27" applyFill="1" applyAlignment="1">
      <alignment horizontal="center"/>
    </xf>
    <xf numFmtId="0" fontId="9" fillId="143" borderId="0" xfId="6" applyFont="1" applyFill="1" applyAlignment="1">
      <alignment horizontal="left" vertical="center" wrapText="1"/>
    </xf>
    <xf numFmtId="0" fontId="44" fillId="143" borderId="0" xfId="6" applyFont="1" applyFill="1" applyAlignment="1">
      <alignment horizontal="left" vertical="center" wrapText="1"/>
    </xf>
    <xf numFmtId="0" fontId="86" fillId="143" borderId="391" xfId="0" applyNumberFormat="1" applyFont="1" applyFill="1" applyBorder="1" applyAlignment="1">
      <alignment horizontal="center"/>
    </xf>
    <xf numFmtId="0" fontId="278" fillId="143" borderId="391" xfId="0" applyFont="1" applyFill="1" applyBorder="1" applyAlignment="1">
      <alignment horizontal="center"/>
    </xf>
    <xf numFmtId="0" fontId="277" fillId="143" borderId="391" xfId="0" applyFont="1" applyFill="1" applyBorder="1" applyAlignment="1">
      <alignment horizontal="center" vertical="center"/>
    </xf>
    <xf numFmtId="14" fontId="0" fillId="143" borderId="0" xfId="0" applyNumberFormat="1" applyFill="1" applyAlignment="1">
      <alignment horizontal="center"/>
    </xf>
    <xf numFmtId="0" fontId="2" fillId="143" borderId="0" xfId="0" applyFont="1" applyFill="1" applyAlignment="1">
      <alignment horizontal="left"/>
    </xf>
    <xf numFmtId="0" fontId="260" fillId="143" borderId="0" xfId="0" applyFont="1" applyFill="1" applyAlignment="1">
      <alignment horizontal="left"/>
    </xf>
    <xf numFmtId="0" fontId="77" fillId="143" borderId="0" xfId="0" applyFont="1" applyFill="1" applyAlignment="1">
      <alignment horizontal="left"/>
    </xf>
    <xf numFmtId="0" fontId="11" fillId="6" borderId="8" xfId="6" applyFont="1" applyFill="1" applyBorder="1" applyAlignment="1">
      <alignment horizontal="center" vertical="center" wrapText="1"/>
    </xf>
    <xf numFmtId="0" fontId="11" fillId="6" borderId="104" xfId="6" applyFont="1" applyFill="1" applyBorder="1" applyAlignment="1">
      <alignment horizontal="center" vertical="center" wrapText="1"/>
    </xf>
    <xf numFmtId="0" fontId="11" fillId="6" borderId="10" xfId="6" applyFont="1" applyFill="1" applyBorder="1" applyAlignment="1">
      <alignment horizontal="center" vertical="center" wrapText="1"/>
    </xf>
    <xf numFmtId="0" fontId="11" fillId="136" borderId="8" xfId="3" applyFont="1" applyFill="1" applyBorder="1" applyAlignment="1">
      <alignment horizontal="center" vertical="center"/>
    </xf>
    <xf numFmtId="0" fontId="11" fillId="136" borderId="10" xfId="3" applyFont="1" applyFill="1" applyBorder="1" applyAlignment="1">
      <alignment horizontal="center" vertical="center"/>
    </xf>
    <xf numFmtId="0" fontId="11" fillId="137" borderId="8" xfId="3" applyFont="1" applyFill="1" applyBorder="1" applyAlignment="1">
      <alignment horizontal="center" vertical="center"/>
    </xf>
    <xf numFmtId="0" fontId="11" fillId="137" borderId="10" xfId="3" applyFont="1" applyFill="1" applyBorder="1" applyAlignment="1">
      <alignment horizontal="center" vertical="center"/>
    </xf>
    <xf numFmtId="0" fontId="11" fillId="5" borderId="20" xfId="3" applyFont="1" applyFill="1" applyBorder="1" applyAlignment="1">
      <alignment horizontal="center" vertical="center" wrapText="1"/>
    </xf>
    <xf numFmtId="0" fontId="11" fillId="5" borderId="21" xfId="3" applyFont="1" applyFill="1" applyBorder="1" applyAlignment="1">
      <alignment horizontal="center" vertical="center" wrapText="1"/>
    </xf>
    <xf numFmtId="0" fontId="10" fillId="4" borderId="8" xfId="3" applyFont="1" applyFill="1" applyBorder="1" applyAlignment="1">
      <alignment horizontal="center" vertical="center"/>
    </xf>
    <xf numFmtId="0" fontId="10" fillId="4" borderId="104" xfId="3" applyFont="1" applyFill="1" applyBorder="1" applyAlignment="1">
      <alignment horizontal="center" vertical="center"/>
    </xf>
    <xf numFmtId="0" fontId="10" fillId="4" borderId="10" xfId="3" applyFont="1" applyFill="1" applyBorder="1" applyAlignment="1">
      <alignment horizontal="center" vertical="center"/>
    </xf>
    <xf numFmtId="0" fontId="10" fillId="5" borderId="14" xfId="3" applyFont="1" applyFill="1" applyBorder="1" applyAlignment="1">
      <alignment horizontal="center" vertical="center" wrapText="1"/>
    </xf>
    <xf numFmtId="0" fontId="10" fillId="5" borderId="333" xfId="3" applyFont="1" applyFill="1" applyBorder="1" applyAlignment="1">
      <alignment horizontal="center" vertical="center" wrapText="1"/>
    </xf>
    <xf numFmtId="0" fontId="10" fillId="5" borderId="207" xfId="3" applyFont="1" applyFill="1" applyBorder="1" applyAlignment="1">
      <alignment horizontal="center" vertical="center" wrapText="1"/>
    </xf>
    <xf numFmtId="0" fontId="10" fillId="5" borderId="334" xfId="3" applyFont="1" applyFill="1" applyBorder="1" applyAlignment="1">
      <alignment horizontal="center" vertical="center" wrapText="1"/>
    </xf>
    <xf numFmtId="0" fontId="10" fillId="5" borderId="47" xfId="3" applyFont="1" applyFill="1" applyBorder="1" applyAlignment="1">
      <alignment horizontal="center" vertical="center" wrapText="1"/>
    </xf>
    <xf numFmtId="0" fontId="10" fillId="5" borderId="0" xfId="3" applyFont="1" applyFill="1" applyBorder="1" applyAlignment="1">
      <alignment horizontal="center" vertical="center" wrapText="1"/>
    </xf>
    <xf numFmtId="0" fontId="10" fillId="5" borderId="48" xfId="3" applyFont="1" applyFill="1" applyBorder="1" applyAlignment="1">
      <alignment horizontal="center" vertical="center" wrapText="1"/>
    </xf>
    <xf numFmtId="0" fontId="10" fillId="5" borderId="8" xfId="3" applyFont="1" applyFill="1" applyBorder="1" applyAlignment="1">
      <alignment horizontal="center" vertical="center" wrapText="1"/>
    </xf>
    <xf numFmtId="0" fontId="10" fillId="5" borderId="104" xfId="3" applyFont="1" applyFill="1" applyBorder="1" applyAlignment="1">
      <alignment horizontal="center" vertical="center" wrapText="1"/>
    </xf>
    <xf numFmtId="0" fontId="10" fillId="5" borderId="10" xfId="3" applyFont="1" applyFill="1" applyBorder="1" applyAlignment="1">
      <alignment horizontal="center" vertical="center" wrapText="1"/>
    </xf>
    <xf numFmtId="0" fontId="11" fillId="5" borderId="104" xfId="3" applyFont="1" applyFill="1" applyBorder="1" applyAlignment="1">
      <alignment horizontal="center" vertical="center" wrapText="1"/>
    </xf>
    <xf numFmtId="0" fontId="11" fillId="5" borderId="15" xfId="3" applyFont="1" applyFill="1" applyBorder="1" applyAlignment="1">
      <alignment horizontal="center" vertical="center" wrapText="1"/>
    </xf>
    <xf numFmtId="0" fontId="49" fillId="12" borderId="104" xfId="22" applyFont="1" applyFill="1" applyBorder="1" applyAlignment="1">
      <alignment horizontal="left" vertical="center"/>
    </xf>
    <xf numFmtId="0" fontId="49" fillId="12" borderId="104" xfId="22" applyFont="1" applyFill="1" applyBorder="1" applyAlignment="1">
      <alignment horizontal="center" vertical="center"/>
    </xf>
    <xf numFmtId="0" fontId="49" fillId="12" borderId="10" xfId="22" applyFont="1" applyFill="1" applyBorder="1" applyAlignment="1">
      <alignment horizontal="center" vertical="center"/>
    </xf>
    <xf numFmtId="2" fontId="45" fillId="142" borderId="8" xfId="22" applyNumberFormat="1" applyFont="1" applyFill="1" applyBorder="1" applyAlignment="1">
      <alignment horizontal="center"/>
    </xf>
    <xf numFmtId="2" fontId="45" fillId="142" borderId="104" xfId="22" applyNumberFormat="1" applyFont="1" applyFill="1" applyBorder="1" applyAlignment="1">
      <alignment horizontal="center"/>
    </xf>
    <xf numFmtId="2" fontId="45" fillId="142" borderId="10" xfId="22" applyNumberFormat="1" applyFont="1" applyFill="1" applyBorder="1" applyAlignment="1">
      <alignment horizontal="center"/>
    </xf>
    <xf numFmtId="0" fontId="27" fillId="8" borderId="47" xfId="3" applyFont="1" applyFill="1" applyBorder="1" applyAlignment="1">
      <alignment horizontal="center" vertical="center"/>
    </xf>
    <xf numFmtId="0" fontId="27" fillId="8" borderId="0" xfId="3" applyFont="1" applyFill="1" applyBorder="1" applyAlignment="1">
      <alignment horizontal="center" vertical="center"/>
    </xf>
    <xf numFmtId="0" fontId="27" fillId="8" borderId="48" xfId="3" applyFont="1" applyFill="1" applyBorder="1" applyAlignment="1">
      <alignment horizontal="center" vertical="center"/>
    </xf>
    <xf numFmtId="185" fontId="276" fillId="8" borderId="207" xfId="3" applyNumberFormat="1" applyFont="1" applyFill="1" applyBorder="1" applyAlignment="1">
      <alignment horizontal="left" vertical="center" wrapText="1"/>
    </xf>
    <xf numFmtId="182" fontId="273" fillId="8" borderId="207" xfId="3" applyNumberFormat="1" applyFont="1" applyFill="1" applyBorder="1" applyAlignment="1">
      <alignment horizontal="left" vertical="center"/>
    </xf>
    <xf numFmtId="182" fontId="273" fillId="8" borderId="334" xfId="3" applyNumberFormat="1" applyFont="1" applyFill="1" applyBorder="1" applyAlignment="1">
      <alignment horizontal="left" vertical="center"/>
    </xf>
    <xf numFmtId="2" fontId="45" fillId="12" borderId="35" xfId="22" applyNumberFormat="1" applyFont="1" applyFill="1" applyBorder="1" applyAlignment="1">
      <alignment horizontal="center" wrapText="1"/>
    </xf>
    <xf numFmtId="2" fontId="45" fillId="12" borderId="104" xfId="22" applyNumberFormat="1" applyFont="1" applyFill="1" applyBorder="1" applyAlignment="1">
      <alignment horizontal="center" wrapText="1"/>
    </xf>
    <xf numFmtId="2" fontId="45" fillId="12" borderId="10" xfId="22" applyNumberFormat="1" applyFont="1" applyFill="1" applyBorder="1" applyAlignment="1">
      <alignment horizontal="center" wrapText="1"/>
    </xf>
    <xf numFmtId="0" fontId="49" fillId="12" borderId="389" xfId="22" applyFont="1" applyFill="1" applyBorder="1" applyAlignment="1">
      <alignment horizontal="left" vertical="center"/>
    </xf>
    <xf numFmtId="0" fontId="49" fillId="12" borderId="387" xfId="22" applyFont="1" applyFill="1" applyBorder="1" applyAlignment="1">
      <alignment horizontal="left" vertical="center"/>
    </xf>
    <xf numFmtId="0" fontId="49" fillId="12" borderId="129" xfId="22" applyFont="1" applyFill="1" applyBorder="1" applyAlignment="1">
      <alignment horizontal="left" vertical="center"/>
    </xf>
    <xf numFmtId="0" fontId="49" fillId="12" borderId="166" xfId="22" applyFont="1" applyFill="1" applyBorder="1" applyAlignment="1">
      <alignment horizontal="left" vertical="center"/>
    </xf>
    <xf numFmtId="0" fontId="49" fillId="12" borderId="166" xfId="22" applyFont="1" applyFill="1" applyBorder="1" applyAlignment="1">
      <alignment horizontal="center" vertical="center"/>
    </xf>
    <xf numFmtId="0" fontId="49" fillId="12" borderId="122" xfId="22" applyFont="1" applyFill="1" applyBorder="1" applyAlignment="1">
      <alignment horizontal="center" vertical="center"/>
    </xf>
    <xf numFmtId="0" fontId="49" fillId="12" borderId="387" xfId="22" applyFont="1" applyFill="1" applyBorder="1" applyAlignment="1">
      <alignment horizontal="center" vertical="center"/>
    </xf>
    <xf numFmtId="0" fontId="49" fillId="12" borderId="388" xfId="22" applyFont="1" applyFill="1" applyBorder="1" applyAlignment="1">
      <alignment horizontal="center" vertical="center"/>
    </xf>
    <xf numFmtId="0" fontId="49" fillId="12" borderId="299" xfId="23" applyFont="1" applyFill="1" applyBorder="1" applyAlignment="1">
      <alignment horizontal="left" vertical="center"/>
    </xf>
    <xf numFmtId="0" fontId="49" fillId="12" borderId="303" xfId="23" applyFont="1" applyFill="1" applyBorder="1" applyAlignment="1">
      <alignment horizontal="left" vertical="center"/>
    </xf>
    <xf numFmtId="0" fontId="49" fillId="12" borderId="303" xfId="22" applyFont="1" applyFill="1" applyBorder="1" applyAlignment="1">
      <alignment horizontal="center" vertical="center"/>
    </xf>
    <xf numFmtId="0" fontId="49" fillId="12" borderId="301" xfId="22" applyFont="1" applyFill="1" applyBorder="1" applyAlignment="1">
      <alignment horizontal="center" vertical="center"/>
    </xf>
    <xf numFmtId="2" fontId="29" fillId="9" borderId="35" xfId="18" applyNumberFormat="1" applyFont="1" applyFill="1" applyBorder="1" applyAlignment="1">
      <alignment horizontal="center" vertical="center" wrapText="1"/>
    </xf>
    <xf numFmtId="2" fontId="29" fillId="9" borderId="15" xfId="18" applyNumberFormat="1" applyFont="1" applyFill="1" applyBorder="1" applyAlignment="1">
      <alignment horizontal="center" vertical="center" wrapText="1"/>
    </xf>
    <xf numFmtId="175" fontId="29" fillId="9" borderId="33" xfId="18" applyNumberFormat="1" applyFont="1" applyFill="1" applyBorder="1" applyAlignment="1">
      <alignment horizontal="center" vertical="center" wrapText="1"/>
    </xf>
    <xf numFmtId="175" fontId="29" fillId="9" borderId="34" xfId="18" applyNumberFormat="1" applyFont="1" applyFill="1" applyBorder="1" applyAlignment="1">
      <alignment horizontal="center" vertical="center" wrapText="1"/>
    </xf>
    <xf numFmtId="177" fontId="27" fillId="8" borderId="20" xfId="6" applyNumberFormat="1" applyFont="1" applyFill="1" applyBorder="1" applyAlignment="1">
      <alignment horizontal="center" vertical="center"/>
    </xf>
    <xf numFmtId="0" fontId="27" fillId="8" borderId="26" xfId="6" applyFont="1" applyFill="1" applyBorder="1" applyAlignment="1">
      <alignment horizontal="center" vertical="center"/>
    </xf>
    <xf numFmtId="0" fontId="27" fillId="8" borderId="8" xfId="6" applyFont="1" applyFill="1" applyBorder="1" applyAlignment="1">
      <alignment horizontal="center" vertical="center"/>
    </xf>
    <xf numFmtId="0" fontId="27" fillId="8" borderId="9" xfId="6" applyFont="1" applyFill="1" applyBorder="1" applyAlignment="1">
      <alignment horizontal="center" vertical="center"/>
    </xf>
    <xf numFmtId="0" fontId="32" fillId="0" borderId="19" xfId="0" applyFont="1" applyBorder="1" applyAlignment="1">
      <alignment horizontal="center"/>
    </xf>
    <xf numFmtId="0" fontId="32" fillId="0" borderId="20" xfId="0" applyFont="1" applyBorder="1" applyAlignment="1">
      <alignment horizontal="center"/>
    </xf>
    <xf numFmtId="2" fontId="29" fillId="9" borderId="33" xfId="18" applyNumberFormat="1" applyFont="1" applyFill="1" applyBorder="1" applyAlignment="1">
      <alignment horizontal="center" vertical="center" wrapText="1"/>
    </xf>
    <xf numFmtId="2" fontId="29" fillId="9" borderId="34" xfId="18" applyNumberFormat="1" applyFont="1" applyFill="1" applyBorder="1" applyAlignment="1">
      <alignment horizontal="center" vertical="center" wrapText="1"/>
    </xf>
    <xf numFmtId="175" fontId="29" fillId="9" borderId="35" xfId="18" applyNumberFormat="1" applyFont="1" applyFill="1" applyBorder="1" applyAlignment="1">
      <alignment horizontal="center" vertical="center" wrapText="1"/>
    </xf>
    <xf numFmtId="175" fontId="29" fillId="9" borderId="15" xfId="18" applyNumberFormat="1" applyFont="1" applyFill="1" applyBorder="1" applyAlignment="1">
      <alignment horizontal="center" vertical="center" wrapText="1"/>
    </xf>
    <xf numFmtId="0" fontId="27" fillId="8" borderId="10" xfId="6" applyFont="1" applyFill="1" applyBorder="1" applyAlignment="1">
      <alignment horizontal="center" vertical="center"/>
    </xf>
    <xf numFmtId="2" fontId="32" fillId="0" borderId="8" xfId="0" applyNumberFormat="1" applyFont="1" applyBorder="1" applyAlignment="1">
      <alignment horizontal="center" vertical="center"/>
    </xf>
    <xf numFmtId="0" fontId="32" fillId="0" borderId="10" xfId="0" applyFont="1" applyBorder="1" applyAlignment="1">
      <alignment horizontal="center" vertical="center"/>
    </xf>
    <xf numFmtId="0" fontId="11" fillId="8" borderId="8" xfId="6" applyFont="1" applyFill="1" applyBorder="1" applyAlignment="1">
      <alignment horizontal="center" vertical="center"/>
    </xf>
    <xf numFmtId="0" fontId="11" fillId="8" borderId="10" xfId="6" applyFont="1" applyFill="1" applyBorder="1" applyAlignment="1">
      <alignment horizontal="center" vertical="center"/>
    </xf>
    <xf numFmtId="17" fontId="0" fillId="0" borderId="0" xfId="0" applyNumberFormat="1" applyAlignment="1">
      <alignment horizontal="center"/>
    </xf>
    <xf numFmtId="175" fontId="29" fillId="9" borderId="13" xfId="18" applyNumberFormat="1" applyFont="1" applyFill="1" applyBorder="1" applyAlignment="1">
      <alignment horizontal="center" vertical="center" wrapText="1"/>
    </xf>
    <xf numFmtId="2" fontId="29" fillId="9" borderId="13" xfId="18" applyNumberFormat="1" applyFont="1" applyFill="1" applyBorder="1" applyAlignment="1">
      <alignment horizontal="center" vertical="center" wrapText="1"/>
    </xf>
    <xf numFmtId="177" fontId="27" fillId="8" borderId="35" xfId="6" applyNumberFormat="1" applyFont="1" applyFill="1" applyBorder="1" applyAlignment="1">
      <alignment horizontal="center" vertical="center"/>
    </xf>
    <xf numFmtId="177" fontId="27" fillId="8" borderId="10" xfId="6" applyNumberFormat="1" applyFont="1" applyFill="1" applyBorder="1" applyAlignment="1">
      <alignment horizontal="center" vertical="center"/>
    </xf>
    <xf numFmtId="2" fontId="29" fillId="9" borderId="10" xfId="18" applyNumberFormat="1" applyFont="1" applyFill="1" applyBorder="1" applyAlignment="1">
      <alignment horizontal="center" vertical="center" wrapText="1"/>
    </xf>
    <xf numFmtId="177" fontId="27" fillId="8" borderId="15" xfId="6" applyNumberFormat="1" applyFont="1" applyFill="1" applyBorder="1" applyAlignment="1">
      <alignment horizontal="center" vertical="center"/>
    </xf>
    <xf numFmtId="0" fontId="33" fillId="0" borderId="8" xfId="0" applyFont="1" applyBorder="1" applyAlignment="1">
      <alignment horizontal="center"/>
    </xf>
    <xf numFmtId="0" fontId="33" fillId="0" borderId="15" xfId="0" applyFont="1" applyBorder="1" applyAlignment="1">
      <alignment horizontal="center"/>
    </xf>
    <xf numFmtId="175" fontId="32" fillId="0" borderId="16" xfId="0" applyNumberFormat="1" applyFont="1" applyBorder="1" applyAlignment="1">
      <alignment horizontal="center"/>
    </xf>
    <xf numFmtId="175" fontId="32" fillId="0" borderId="81" xfId="0" applyNumberFormat="1" applyFont="1" applyBorder="1" applyAlignment="1">
      <alignment horizontal="center"/>
    </xf>
    <xf numFmtId="0" fontId="27" fillId="8" borderId="8" xfId="6" applyFont="1" applyFill="1" applyBorder="1" applyAlignment="1">
      <alignment horizontal="right" vertical="center"/>
    </xf>
    <xf numFmtId="0" fontId="27" fillId="8" borderId="104" xfId="6" applyFont="1" applyFill="1" applyBorder="1" applyAlignment="1">
      <alignment horizontal="right" vertical="center"/>
    </xf>
    <xf numFmtId="177" fontId="27" fillId="8" borderId="19" xfId="6" applyNumberFormat="1" applyFont="1" applyFill="1" applyBorder="1" applyAlignment="1">
      <alignment horizontal="center" vertical="center"/>
    </xf>
    <xf numFmtId="2" fontId="30" fillId="0" borderId="8" xfId="0" applyNumberFormat="1" applyFont="1" applyBorder="1" applyAlignment="1">
      <alignment horizontal="center" vertical="center"/>
    </xf>
    <xf numFmtId="2" fontId="30" fillId="0" borderId="9" xfId="0" applyNumberFormat="1" applyFont="1" applyBorder="1" applyAlignment="1">
      <alignment horizontal="center" vertical="center"/>
    </xf>
    <xf numFmtId="2" fontId="30" fillId="0" borderId="10" xfId="0" applyNumberFormat="1" applyFont="1" applyBorder="1" applyAlignment="1">
      <alignment horizontal="center" vertical="center"/>
    </xf>
    <xf numFmtId="0" fontId="26" fillId="2" borderId="0" xfId="6" applyFont="1" applyFill="1" applyAlignment="1">
      <alignment horizontal="center" vertical="center"/>
    </xf>
    <xf numFmtId="14" fontId="0" fillId="0" borderId="0" xfId="0" applyNumberFormat="1" applyAlignment="1">
      <alignment horizontal="center"/>
    </xf>
    <xf numFmtId="0" fontId="27" fillId="8" borderId="104" xfId="6" applyFont="1" applyFill="1" applyBorder="1" applyAlignment="1">
      <alignment horizontal="center" vertical="center"/>
    </xf>
    <xf numFmtId="177" fontId="0" fillId="0" borderId="6" xfId="0" applyNumberFormat="1" applyBorder="1" applyAlignment="1">
      <alignment horizontal="center"/>
    </xf>
    <xf numFmtId="0" fontId="89" fillId="29" borderId="365" xfId="0" applyFont="1" applyFill="1" applyBorder="1" applyAlignment="1">
      <alignment horizontal="center" vertical="center" wrapText="1"/>
    </xf>
    <xf numFmtId="0" fontId="89" fillId="29" borderId="366" xfId="0" applyFont="1" applyFill="1" applyBorder="1" applyAlignment="1">
      <alignment horizontal="center" vertical="center" wrapText="1"/>
    </xf>
    <xf numFmtId="0" fontId="219" fillId="56" borderId="128" xfId="0" applyFont="1" applyFill="1" applyBorder="1" applyAlignment="1">
      <alignment horizontal="center" vertical="center" wrapText="1"/>
    </xf>
    <xf numFmtId="0" fontId="219" fillId="56" borderId="166" xfId="0" applyFont="1" applyFill="1" applyBorder="1" applyAlignment="1">
      <alignment horizontal="center" vertical="center" wrapText="1"/>
    </xf>
    <xf numFmtId="0" fontId="219" fillId="56" borderId="126" xfId="0" applyFont="1" applyFill="1" applyBorder="1" applyAlignment="1">
      <alignment horizontal="center" vertical="center" wrapText="1"/>
    </xf>
    <xf numFmtId="0" fontId="219" fillId="56" borderId="107" xfId="0" applyFont="1" applyFill="1" applyBorder="1" applyAlignment="1">
      <alignment horizontal="center" vertical="center" wrapText="1"/>
    </xf>
    <xf numFmtId="0" fontId="219" fillId="56" borderId="108" xfId="0" applyFont="1" applyFill="1" applyBorder="1" applyAlignment="1">
      <alignment horizontal="center" vertical="center" wrapText="1"/>
    </xf>
    <xf numFmtId="0" fontId="89" fillId="29" borderId="386" xfId="0" applyFont="1" applyFill="1" applyBorder="1" applyAlignment="1">
      <alignment horizontal="center" vertical="center" wrapText="1"/>
    </xf>
    <xf numFmtId="0" fontId="89" fillId="29" borderId="387" xfId="0" applyFont="1" applyFill="1" applyBorder="1" applyAlignment="1">
      <alignment horizontal="center" vertical="center" wrapText="1"/>
    </xf>
    <xf numFmtId="0" fontId="89" fillId="29" borderId="390" xfId="0" applyFont="1" applyFill="1" applyBorder="1" applyAlignment="1">
      <alignment horizontal="center" vertical="center" wrapText="1"/>
    </xf>
    <xf numFmtId="0" fontId="89" fillId="29" borderId="389" xfId="0" applyFont="1" applyFill="1" applyBorder="1" applyAlignment="1">
      <alignment horizontal="center" vertical="center" wrapText="1"/>
    </xf>
    <xf numFmtId="0" fontId="89" fillId="29" borderId="388" xfId="0" applyFont="1" applyFill="1" applyBorder="1" applyAlignment="1">
      <alignment horizontal="center" vertical="center" wrapText="1"/>
    </xf>
    <xf numFmtId="0" fontId="89" fillId="29" borderId="403" xfId="0" applyFont="1" applyFill="1" applyBorder="1" applyAlignment="1">
      <alignment horizontal="center" vertical="center" wrapText="1"/>
    </xf>
    <xf numFmtId="0" fontId="125" fillId="29" borderId="128" xfId="0" applyFont="1" applyFill="1" applyBorder="1" applyAlignment="1">
      <alignment horizontal="center" vertical="center" wrapText="1"/>
    </xf>
    <xf numFmtId="0" fontId="125" fillId="29" borderId="166" xfId="0" applyFont="1" applyFill="1" applyBorder="1" applyAlignment="1">
      <alignment horizontal="center" vertical="center" wrapText="1"/>
    </xf>
    <xf numFmtId="0" fontId="125" fillId="29" borderId="126" xfId="0" applyFont="1" applyFill="1" applyBorder="1" applyAlignment="1">
      <alignment horizontal="center" vertical="center" wrapText="1"/>
    </xf>
    <xf numFmtId="0" fontId="125" fillId="29" borderId="386" xfId="0" applyFont="1" applyFill="1" applyBorder="1" applyAlignment="1">
      <alignment horizontal="center" vertical="center" wrapText="1"/>
    </xf>
    <xf numFmtId="0" fontId="125" fillId="29" borderId="387" xfId="0" applyFont="1" applyFill="1" applyBorder="1" applyAlignment="1">
      <alignment horizontal="center" vertical="center" wrapText="1"/>
    </xf>
    <xf numFmtId="0" fontId="125" fillId="29" borderId="390" xfId="0" applyFont="1" applyFill="1" applyBorder="1" applyAlignment="1">
      <alignment horizontal="center" vertical="center" wrapText="1"/>
    </xf>
    <xf numFmtId="0" fontId="125" fillId="29" borderId="108" xfId="0" applyFont="1" applyFill="1" applyBorder="1" applyAlignment="1">
      <alignment horizontal="center" vertical="center" wrapText="1"/>
    </xf>
    <xf numFmtId="0" fontId="0" fillId="0" borderId="403" xfId="0" applyBorder="1" applyAlignment="1">
      <alignment horizontal="left"/>
    </xf>
    <xf numFmtId="0" fontId="0" fillId="0" borderId="365" xfId="0" applyBorder="1" applyAlignment="1">
      <alignment horizontal="left"/>
    </xf>
    <xf numFmtId="0" fontId="0" fillId="0" borderId="366" xfId="0" applyBorder="1" applyAlignment="1">
      <alignment horizontal="left"/>
    </xf>
    <xf numFmtId="0" fontId="2" fillId="29" borderId="107" xfId="0" applyFont="1" applyFill="1" applyBorder="1" applyAlignment="1">
      <alignment horizontal="center" vertical="center" wrapText="1"/>
    </xf>
    <xf numFmtId="0" fontId="2" fillId="29" borderId="108" xfId="0" applyFont="1" applyFill="1" applyBorder="1" applyAlignment="1">
      <alignment horizontal="center" vertical="center" wrapText="1"/>
    </xf>
    <xf numFmtId="0" fontId="2" fillId="29" borderId="109" xfId="0" applyFont="1" applyFill="1" applyBorder="1" applyAlignment="1">
      <alignment horizontal="center" vertical="center" wrapText="1"/>
    </xf>
    <xf numFmtId="0" fontId="125" fillId="29" borderId="365" xfId="0" applyFont="1" applyFill="1" applyBorder="1" applyAlignment="1">
      <alignment horizontal="center" vertical="center" wrapText="1"/>
    </xf>
    <xf numFmtId="0" fontId="89" fillId="29" borderId="305" xfId="0" applyFont="1" applyFill="1" applyBorder="1" applyAlignment="1">
      <alignment horizontal="center" vertical="center" wrapText="1"/>
    </xf>
    <xf numFmtId="0" fontId="94" fillId="0" borderId="303" xfId="0" applyFont="1" applyBorder="1" applyAlignment="1">
      <alignment horizontal="center" vertical="center" wrapText="1"/>
    </xf>
    <xf numFmtId="0" fontId="94" fillId="0" borderId="361" xfId="0" applyFont="1" applyBorder="1" applyAlignment="1">
      <alignment horizontal="center" vertical="center" wrapText="1"/>
    </xf>
    <xf numFmtId="0" fontId="59" fillId="0" borderId="299" xfId="0" applyFont="1" applyBorder="1" applyAlignment="1">
      <alignment horizontal="center"/>
    </xf>
    <xf numFmtId="0" fontId="59" fillId="0" borderId="303" xfId="0" applyFont="1" applyBorder="1" applyAlignment="1">
      <alignment horizontal="center"/>
    </xf>
    <xf numFmtId="0" fontId="76" fillId="0" borderId="299" xfId="0" applyFont="1" applyBorder="1" applyAlignment="1">
      <alignment horizontal="center" vertical="center" wrapText="1"/>
    </xf>
    <xf numFmtId="0" fontId="76" fillId="0" borderId="303" xfId="0" applyFont="1" applyBorder="1" applyAlignment="1">
      <alignment horizontal="center" vertical="center" wrapText="1"/>
    </xf>
    <xf numFmtId="0" fontId="76" fillId="0" borderId="361" xfId="0" applyFont="1" applyBorder="1" applyAlignment="1">
      <alignment horizontal="center" vertical="center" wrapText="1"/>
    </xf>
    <xf numFmtId="0" fontId="89" fillId="29" borderId="128" xfId="0" applyFont="1" applyFill="1" applyBorder="1" applyAlignment="1">
      <alignment horizontal="center" vertical="center" wrapText="1"/>
    </xf>
    <xf numFmtId="0" fontId="89" fillId="29" borderId="166" xfId="0" applyFont="1" applyFill="1" applyBorder="1" applyAlignment="1">
      <alignment horizontal="center" vertical="center" wrapText="1"/>
    </xf>
    <xf numFmtId="0" fontId="89" fillId="29" borderId="122" xfId="0" applyFont="1" applyFill="1" applyBorder="1" applyAlignment="1">
      <alignment horizontal="center" vertical="center" wrapText="1"/>
    </xf>
    <xf numFmtId="0" fontId="89" fillId="29" borderId="107" xfId="0" applyFont="1" applyFill="1" applyBorder="1" applyAlignment="1">
      <alignment horizontal="center" vertical="center" wrapText="1"/>
    </xf>
    <xf numFmtId="0" fontId="89" fillId="29" borderId="108" xfId="0" applyFont="1" applyFill="1" applyBorder="1" applyAlignment="1">
      <alignment horizontal="center" vertical="center" wrapText="1"/>
    </xf>
    <xf numFmtId="0" fontId="89" fillId="29" borderId="109" xfId="0" applyFont="1" applyFill="1" applyBorder="1" applyAlignment="1">
      <alignment horizontal="center" vertical="center" wrapText="1"/>
    </xf>
    <xf numFmtId="0" fontId="76" fillId="0" borderId="384" xfId="0" applyFont="1" applyBorder="1" applyAlignment="1">
      <alignment horizontal="center" vertical="center"/>
    </xf>
    <xf numFmtId="0" fontId="60" fillId="0" borderId="305" xfId="0" applyFont="1" applyBorder="1" applyAlignment="1">
      <alignment horizontal="center" vertical="center" wrapText="1"/>
    </xf>
    <xf numFmtId="0" fontId="59" fillId="0" borderId="305" xfId="0" applyFont="1" applyBorder="1" applyAlignment="1">
      <alignment horizontal="center" vertical="center" wrapText="1"/>
    </xf>
    <xf numFmtId="209" fontId="59" fillId="0" borderId="305" xfId="0" applyNumberFormat="1" applyFont="1" applyBorder="1" applyAlignment="1">
      <alignment horizontal="center" vertical="center" wrapText="1"/>
    </xf>
    <xf numFmtId="0" fontId="241" fillId="9" borderId="305" xfId="27" applyFont="1" applyFill="1" applyBorder="1" applyAlignment="1">
      <alignment horizontal="center" vertical="center" wrapText="1"/>
    </xf>
    <xf numFmtId="0" fontId="241" fillId="0" borderId="305" xfId="27" applyFont="1" applyBorder="1" applyAlignment="1">
      <alignment horizontal="center" vertical="center" wrapText="1"/>
    </xf>
    <xf numFmtId="0" fontId="89" fillId="29" borderId="105" xfId="0" applyFont="1" applyFill="1" applyBorder="1" applyAlignment="1">
      <alignment horizontal="center" vertical="center" wrapText="1"/>
    </xf>
    <xf numFmtId="0" fontId="89" fillId="29" borderId="14" xfId="0" applyFont="1" applyFill="1" applyBorder="1" applyAlignment="1">
      <alignment horizontal="center" vertical="center" wrapText="1"/>
    </xf>
    <xf numFmtId="0" fontId="89" fillId="29" borderId="411" xfId="0" applyFont="1" applyFill="1" applyBorder="1" applyAlignment="1">
      <alignment horizontal="center" vertical="center" wrapText="1"/>
    </xf>
    <xf numFmtId="0" fontId="60" fillId="9" borderId="305" xfId="0" applyFont="1" applyFill="1" applyBorder="1" applyAlignment="1" applyProtection="1">
      <alignment vertical="top" wrapText="1"/>
      <protection locked="0"/>
    </xf>
    <xf numFmtId="0" fontId="60" fillId="9" borderId="305" xfId="0" applyFont="1" applyFill="1" applyBorder="1" applyAlignment="1" applyProtection="1">
      <alignment horizontal="left" vertical="top" wrapText="1"/>
      <protection locked="0"/>
    </xf>
    <xf numFmtId="0" fontId="0" fillId="9" borderId="305" xfId="0" applyFont="1" applyFill="1" applyBorder="1" applyAlignment="1" applyProtection="1">
      <alignment horizontal="left" vertical="top" wrapText="1"/>
      <protection locked="0"/>
    </xf>
    <xf numFmtId="0" fontId="94" fillId="25" borderId="305" xfId="0" applyFont="1" applyFill="1" applyBorder="1" applyAlignment="1" applyProtection="1">
      <alignment horizontal="left" vertical="center" wrapText="1"/>
      <protection locked="0"/>
    </xf>
    <xf numFmtId="0" fontId="94" fillId="25" borderId="305" xfId="0" applyFont="1" applyFill="1" applyBorder="1" applyAlignment="1" applyProtection="1">
      <alignment horizontal="center" vertical="center" wrapText="1"/>
      <protection locked="0"/>
    </xf>
    <xf numFmtId="0" fontId="94" fillId="25" borderId="299" xfId="0" applyFont="1" applyFill="1" applyBorder="1" applyAlignment="1" applyProtection="1">
      <alignment horizontal="center" vertical="center" wrapText="1"/>
      <protection locked="0"/>
    </xf>
    <xf numFmtId="0" fontId="94" fillId="25" borderId="303" xfId="0" applyFont="1" applyFill="1" applyBorder="1" applyAlignment="1" applyProtection="1">
      <alignment horizontal="center" vertical="center" wrapText="1"/>
      <protection locked="0"/>
    </xf>
    <xf numFmtId="0" fontId="94" fillId="25" borderId="304" xfId="0" applyFont="1" applyFill="1" applyBorder="1" applyAlignment="1" applyProtection="1">
      <alignment horizontal="center" vertical="center" wrapText="1"/>
      <protection locked="0"/>
    </xf>
    <xf numFmtId="0" fontId="94" fillId="25" borderId="306" xfId="0" applyFont="1" applyFill="1" applyBorder="1" applyAlignment="1" applyProtection="1">
      <alignment horizontal="center" vertical="center" wrapText="1"/>
      <protection locked="0"/>
    </xf>
    <xf numFmtId="0" fontId="94" fillId="25" borderId="49" xfId="0" applyFont="1" applyFill="1" applyBorder="1" applyAlignment="1" applyProtection="1">
      <alignment horizontal="center" vertical="center" wrapText="1"/>
      <protection locked="0"/>
    </xf>
    <xf numFmtId="0" fontId="76" fillId="0" borderId="303" xfId="0" applyFont="1" applyBorder="1" applyAlignment="1" applyProtection="1">
      <alignment horizontal="left" vertical="center"/>
      <protection locked="0"/>
    </xf>
    <xf numFmtId="201" fontId="94" fillId="0" borderId="305" xfId="0" applyNumberFormat="1" applyFont="1" applyFill="1" applyBorder="1" applyAlignment="1" applyProtection="1">
      <alignment horizontal="center" vertical="center" wrapText="1"/>
      <protection locked="0"/>
    </xf>
    <xf numFmtId="0" fontId="60" fillId="9" borderId="305" xfId="0" applyFont="1" applyFill="1" applyBorder="1" applyAlignment="1" applyProtection="1">
      <alignment horizontal="center" vertical="top" wrapText="1"/>
      <protection locked="0"/>
    </xf>
    <xf numFmtId="0" fontId="94" fillId="25" borderId="297" xfId="0" applyFont="1" applyFill="1" applyBorder="1" applyAlignment="1" applyProtection="1">
      <alignment horizontal="center" vertical="center"/>
      <protection locked="0"/>
    </xf>
    <xf numFmtId="0" fontId="94" fillId="25" borderId="302" xfId="0" applyFont="1" applyFill="1" applyBorder="1" applyAlignment="1" applyProtection="1">
      <alignment horizontal="center" vertical="center"/>
      <protection locked="0"/>
    </xf>
    <xf numFmtId="0" fontId="94" fillId="25" borderId="76" xfId="0" applyFont="1" applyFill="1" applyBorder="1" applyAlignment="1" applyProtection="1">
      <alignment horizontal="center" vertical="center"/>
      <protection locked="0"/>
    </xf>
    <xf numFmtId="0" fontId="94" fillId="25" borderId="77" xfId="0" applyFont="1" applyFill="1" applyBorder="1" applyAlignment="1" applyProtection="1">
      <alignment horizontal="center" vertical="center"/>
      <protection locked="0"/>
    </xf>
    <xf numFmtId="0" fontId="60" fillId="9" borderId="299" xfId="0" applyFont="1" applyFill="1" applyBorder="1" applyAlignment="1" applyProtection="1">
      <alignment horizontal="center" vertical="center" wrapText="1"/>
      <protection locked="0"/>
    </xf>
    <xf numFmtId="0" fontId="60" fillId="9" borderId="304" xfId="0" applyFont="1" applyFill="1" applyBorder="1" applyAlignment="1" applyProtection="1">
      <alignment horizontal="center" vertical="center" wrapText="1"/>
      <protection locked="0"/>
    </xf>
    <xf numFmtId="193" fontId="94" fillId="0" borderId="305" xfId="0" applyNumberFormat="1" applyFont="1" applyFill="1" applyBorder="1" applyAlignment="1" applyProtection="1">
      <alignment horizontal="center" vertical="center" wrapText="1"/>
      <protection locked="0"/>
    </xf>
    <xf numFmtId="0" fontId="60" fillId="9" borderId="299" xfId="0" applyFont="1" applyFill="1" applyBorder="1" applyAlignment="1" applyProtection="1">
      <alignment horizontal="left" vertical="top" wrapText="1"/>
      <protection locked="0"/>
    </xf>
    <xf numFmtId="0" fontId="60" fillId="9" borderId="303" xfId="0" applyFont="1" applyFill="1" applyBorder="1" applyAlignment="1" applyProtection="1">
      <alignment horizontal="left" vertical="top" wrapText="1"/>
      <protection locked="0"/>
    </xf>
    <xf numFmtId="0" fontId="60" fillId="9" borderId="361" xfId="0" applyFont="1" applyFill="1" applyBorder="1" applyAlignment="1" applyProtection="1">
      <alignment horizontal="left" vertical="top" wrapText="1"/>
      <protection locked="0"/>
    </xf>
    <xf numFmtId="0" fontId="285" fillId="9" borderId="299" xfId="0" applyFont="1" applyFill="1" applyBorder="1" applyAlignment="1" applyProtection="1">
      <alignment horizontal="left" vertical="top" wrapText="1"/>
      <protection locked="0"/>
    </xf>
    <xf numFmtId="0" fontId="285" fillId="9" borderId="303" xfId="0" applyFont="1" applyFill="1" applyBorder="1" applyAlignment="1" applyProtection="1">
      <alignment horizontal="left" vertical="top" wrapText="1"/>
      <protection locked="0"/>
    </xf>
    <xf numFmtId="0" fontId="285" fillId="9" borderId="361" xfId="0" applyFont="1" applyFill="1" applyBorder="1" applyAlignment="1" applyProtection="1">
      <alignment horizontal="left" vertical="top" wrapText="1"/>
      <protection locked="0"/>
    </xf>
    <xf numFmtId="0" fontId="94" fillId="25" borderId="299" xfId="0" applyFont="1" applyFill="1" applyBorder="1" applyAlignment="1" applyProtection="1">
      <alignment horizontal="left" vertical="center"/>
      <protection locked="0"/>
    </xf>
    <xf numFmtId="0" fontId="94" fillId="25" borderId="303" xfId="0" applyFont="1" applyFill="1" applyBorder="1" applyAlignment="1" applyProtection="1">
      <alignment horizontal="left" vertical="center"/>
      <protection locked="0"/>
    </xf>
    <xf numFmtId="0" fontId="94" fillId="25" borderId="361" xfId="0" applyFont="1" applyFill="1" applyBorder="1" applyAlignment="1" applyProtection="1">
      <alignment horizontal="center" vertical="center" wrapText="1"/>
      <protection locked="0"/>
    </xf>
    <xf numFmtId="0" fontId="94" fillId="25" borderId="361" xfId="0" applyFont="1" applyFill="1" applyBorder="1" applyAlignment="1" applyProtection="1">
      <alignment horizontal="center" vertical="center"/>
      <protection locked="0"/>
    </xf>
    <xf numFmtId="0" fontId="94" fillId="25" borderId="305" xfId="0" applyFont="1" applyFill="1" applyBorder="1" applyAlignment="1" applyProtection="1">
      <alignment horizontal="center" vertical="center"/>
      <protection locked="0"/>
    </xf>
    <xf numFmtId="0" fontId="94" fillId="25" borderId="303" xfId="0" applyFont="1" applyFill="1" applyBorder="1" applyAlignment="1" applyProtection="1">
      <alignment horizontal="center" vertical="center"/>
      <protection locked="0"/>
    </xf>
    <xf numFmtId="0" fontId="60" fillId="0" borderId="329" xfId="0" applyFont="1" applyBorder="1" applyAlignment="1" applyProtection="1">
      <alignment horizontal="left" vertical="center" wrapText="1"/>
      <protection locked="0"/>
    </xf>
    <xf numFmtId="0" fontId="60" fillId="0" borderId="303" xfId="0" applyFont="1" applyBorder="1" applyAlignment="1" applyProtection="1">
      <alignment horizontal="left" vertical="center" wrapText="1"/>
      <protection locked="0"/>
    </xf>
    <xf numFmtId="0" fontId="60" fillId="0" borderId="361" xfId="0" applyFont="1" applyBorder="1" applyAlignment="1" applyProtection="1">
      <alignment horizontal="left" vertical="center" wrapText="1"/>
      <protection locked="0"/>
    </xf>
    <xf numFmtId="0" fontId="0" fillId="0" borderId="305" xfId="0" applyBorder="1" applyAlignment="1" applyProtection="1">
      <alignment horizontal="center"/>
      <protection locked="0"/>
    </xf>
    <xf numFmtId="175" fontId="0" fillId="0" borderId="299" xfId="0" applyNumberFormat="1" applyBorder="1" applyAlignment="1" applyProtection="1">
      <alignment horizontal="center" vertical="center" wrapText="1"/>
      <protection locked="0"/>
    </xf>
    <xf numFmtId="175" fontId="0" fillId="0" borderId="303" xfId="0" applyNumberFormat="1" applyBorder="1" applyAlignment="1" applyProtection="1">
      <alignment horizontal="center" vertical="center" wrapText="1"/>
      <protection locked="0"/>
    </xf>
    <xf numFmtId="175" fontId="0" fillId="0" borderId="327" xfId="0" applyNumberFormat="1" applyBorder="1" applyAlignment="1" applyProtection="1">
      <alignment horizontal="center" vertical="center" wrapText="1"/>
      <protection locked="0"/>
    </xf>
    <xf numFmtId="0" fontId="94" fillId="25" borderId="329" xfId="0" applyFont="1" applyFill="1" applyBorder="1" applyAlignment="1" applyProtection="1">
      <alignment horizontal="center" vertical="center" wrapText="1"/>
      <protection locked="0"/>
    </xf>
    <xf numFmtId="0" fontId="60" fillId="0" borderId="205" xfId="0" applyFont="1" applyBorder="1" applyAlignment="1" applyProtection="1">
      <alignment horizontal="left" vertical="top" wrapText="1"/>
      <protection locked="0"/>
    </xf>
    <xf numFmtId="0" fontId="60" fillId="0" borderId="212" xfId="0" applyFont="1" applyBorder="1" applyAlignment="1" applyProtection="1">
      <alignment horizontal="left" vertical="top" wrapText="1"/>
      <protection locked="0"/>
    </xf>
    <xf numFmtId="0" fontId="60" fillId="0" borderId="215" xfId="0" applyFont="1" applyBorder="1" applyAlignment="1" applyProtection="1">
      <alignment horizontal="left" vertical="top" wrapText="1"/>
      <protection locked="0"/>
    </xf>
    <xf numFmtId="0" fontId="60" fillId="0" borderId="299" xfId="0" applyFont="1" applyBorder="1" applyAlignment="1" applyProtection="1">
      <alignment horizontal="center" vertical="top" wrapText="1"/>
      <protection locked="0"/>
    </xf>
    <xf numFmtId="0" fontId="60" fillId="0" borderId="303" xfId="0" applyFont="1" applyBorder="1" applyAlignment="1" applyProtection="1">
      <alignment horizontal="center" vertical="top" wrapText="1"/>
      <protection locked="0"/>
    </xf>
    <xf numFmtId="0" fontId="60" fillId="0" borderId="304" xfId="0" applyFont="1" applyBorder="1" applyAlignment="1" applyProtection="1">
      <alignment horizontal="center" vertical="top" wrapText="1"/>
      <protection locked="0"/>
    </xf>
    <xf numFmtId="175" fontId="0" fillId="0" borderId="299" xfId="0" applyNumberFormat="1" applyBorder="1" applyAlignment="1" applyProtection="1">
      <alignment horizontal="center" vertical="center"/>
      <protection locked="0"/>
    </xf>
    <xf numFmtId="175" fontId="0" fillId="0" borderId="303" xfId="0" applyNumberFormat="1" applyBorder="1" applyAlignment="1" applyProtection="1">
      <alignment horizontal="center" vertical="center"/>
      <protection locked="0"/>
    </xf>
    <xf numFmtId="175" fontId="0" fillId="0" borderId="327" xfId="0" applyNumberFormat="1" applyBorder="1" applyAlignment="1" applyProtection="1">
      <alignment horizontal="center" vertical="center"/>
      <protection locked="0"/>
    </xf>
    <xf numFmtId="2" fontId="2" fillId="25" borderId="299" xfId="0" applyNumberFormat="1" applyFont="1" applyFill="1" applyBorder="1" applyAlignment="1" applyProtection="1">
      <alignment horizontal="center" vertical="center" wrapText="1"/>
      <protection locked="0"/>
    </xf>
    <xf numFmtId="2" fontId="2" fillId="25" borderId="303" xfId="0" applyNumberFormat="1" applyFont="1" applyFill="1" applyBorder="1" applyAlignment="1" applyProtection="1">
      <alignment horizontal="center" vertical="center" wrapText="1"/>
      <protection locked="0"/>
    </xf>
    <xf numFmtId="2" fontId="2" fillId="25" borderId="327" xfId="0" applyNumberFormat="1" applyFont="1" applyFill="1" applyBorder="1" applyAlignment="1" applyProtection="1">
      <alignment horizontal="center" vertical="center" wrapText="1"/>
      <protection locked="0"/>
    </xf>
    <xf numFmtId="2" fontId="94" fillId="25" borderId="303" xfId="0" applyNumberFormat="1" applyFont="1" applyFill="1" applyBorder="1" applyAlignment="1" applyProtection="1">
      <alignment horizontal="center" vertical="center" wrapText="1"/>
    </xf>
    <xf numFmtId="2" fontId="94" fillId="25" borderId="361" xfId="0" applyNumberFormat="1" applyFont="1" applyFill="1" applyBorder="1" applyAlignment="1" applyProtection="1">
      <alignment horizontal="center" vertical="center" wrapText="1"/>
    </xf>
    <xf numFmtId="0" fontId="60" fillId="0" borderId="329" xfId="0" applyFont="1" applyBorder="1" applyAlignment="1" applyProtection="1">
      <alignment horizontal="left" vertical="top" wrapText="1"/>
      <protection locked="0"/>
    </xf>
    <xf numFmtId="0" fontId="60" fillId="0" borderId="303" xfId="0" applyFont="1" applyBorder="1" applyAlignment="1" applyProtection="1">
      <alignment horizontal="left" vertical="top" wrapText="1"/>
      <protection locked="0"/>
    </xf>
    <xf numFmtId="0" fontId="60" fillId="0" borderId="361" xfId="0" applyFont="1" applyBorder="1" applyAlignment="1" applyProtection="1">
      <alignment horizontal="left" vertical="top" wrapText="1"/>
      <protection locked="0"/>
    </xf>
    <xf numFmtId="0" fontId="94" fillId="25" borderId="219" xfId="0" applyFont="1" applyFill="1" applyBorder="1" applyAlignment="1" applyProtection="1">
      <alignment horizontal="center" vertical="center" wrapText="1"/>
      <protection locked="0"/>
    </xf>
    <xf numFmtId="0" fontId="94" fillId="25" borderId="364" xfId="0" applyFont="1" applyFill="1" applyBorder="1" applyAlignment="1" applyProtection="1">
      <alignment horizontal="center" vertical="center" wrapText="1"/>
      <protection locked="0"/>
    </xf>
    <xf numFmtId="0" fontId="94" fillId="25" borderId="384" xfId="0" applyFont="1" applyFill="1" applyBorder="1" applyAlignment="1" applyProtection="1">
      <alignment horizontal="center" vertical="center" wrapText="1"/>
      <protection locked="0"/>
    </xf>
    <xf numFmtId="0" fontId="94" fillId="25" borderId="302" xfId="0" applyFont="1" applyFill="1" applyBorder="1" applyAlignment="1" applyProtection="1">
      <alignment horizontal="center" vertical="center" wrapText="1"/>
      <protection locked="0"/>
    </xf>
    <xf numFmtId="0" fontId="94" fillId="25" borderId="147" xfId="0" applyFont="1" applyFill="1" applyBorder="1" applyAlignment="1" applyProtection="1">
      <alignment horizontal="center" vertical="center" wrapText="1"/>
      <protection locked="0"/>
    </xf>
    <xf numFmtId="0" fontId="94" fillId="25" borderId="50" xfId="0" applyFont="1" applyFill="1" applyBorder="1" applyAlignment="1" applyProtection="1">
      <alignment horizontal="center" vertical="center" wrapText="1"/>
      <protection locked="0"/>
    </xf>
    <xf numFmtId="0" fontId="94" fillId="25" borderId="77" xfId="0" applyFont="1" applyFill="1" applyBorder="1" applyAlignment="1" applyProtection="1">
      <alignment horizontal="center" vertical="center" wrapText="1"/>
      <protection locked="0"/>
    </xf>
    <xf numFmtId="0" fontId="76" fillId="29" borderId="364" xfId="0" applyFont="1" applyFill="1" applyBorder="1" applyAlignment="1" applyProtection="1">
      <alignment horizontal="center" vertical="top" wrapText="1"/>
      <protection locked="0"/>
    </xf>
    <xf numFmtId="0" fontId="76" fillId="29" borderId="384" xfId="0" applyFont="1" applyFill="1" applyBorder="1" applyAlignment="1" applyProtection="1">
      <alignment horizontal="center" vertical="top" wrapText="1"/>
      <protection locked="0"/>
    </xf>
    <xf numFmtId="0" fontId="76" fillId="29" borderId="302" xfId="0" applyFont="1" applyFill="1" applyBorder="1" applyAlignment="1" applyProtection="1">
      <alignment horizontal="center" vertical="top" wrapText="1"/>
      <protection locked="0"/>
    </xf>
    <xf numFmtId="0" fontId="76" fillId="29" borderId="146" xfId="0" applyFont="1" applyFill="1" applyBorder="1" applyAlignment="1" applyProtection="1">
      <alignment horizontal="center" vertical="top" wrapText="1"/>
      <protection locked="0"/>
    </xf>
    <xf numFmtId="0" fontId="76" fillId="29" borderId="0" xfId="0" applyFont="1" applyFill="1" applyBorder="1" applyAlignment="1" applyProtection="1">
      <alignment horizontal="center" vertical="top" wrapText="1"/>
      <protection locked="0"/>
    </xf>
    <xf numFmtId="0" fontId="76" fillId="29" borderId="65" xfId="0" applyFont="1" applyFill="1" applyBorder="1" applyAlignment="1" applyProtection="1">
      <alignment horizontal="center" vertical="top" wrapText="1"/>
      <protection locked="0"/>
    </xf>
    <xf numFmtId="0" fontId="76" fillId="29" borderId="147" xfId="0" applyFont="1" applyFill="1" applyBorder="1" applyAlignment="1" applyProtection="1">
      <alignment horizontal="center" vertical="top" wrapText="1"/>
      <protection locked="0"/>
    </xf>
    <xf numFmtId="0" fontId="76" fillId="29" borderId="50" xfId="0" applyFont="1" applyFill="1" applyBorder="1" applyAlignment="1" applyProtection="1">
      <alignment horizontal="center" vertical="top" wrapText="1"/>
      <protection locked="0"/>
    </xf>
    <xf numFmtId="0" fontId="76" fillId="29" borderId="77" xfId="0" applyFont="1" applyFill="1" applyBorder="1" applyAlignment="1" applyProtection="1">
      <alignment horizontal="center" vertical="top" wrapText="1"/>
      <protection locked="0"/>
    </xf>
    <xf numFmtId="0" fontId="0" fillId="0" borderId="299" xfId="0" applyBorder="1" applyAlignment="1" applyProtection="1">
      <alignment horizontal="center"/>
      <protection locked="0"/>
    </xf>
    <xf numFmtId="0" fontId="0" fillId="0" borderId="303" xfId="0" applyBorder="1" applyAlignment="1" applyProtection="1">
      <alignment horizontal="center"/>
      <protection locked="0"/>
    </xf>
    <xf numFmtId="0" fontId="93" fillId="0" borderId="299" xfId="0" applyFont="1" applyBorder="1" applyAlignment="1" applyProtection="1">
      <alignment horizontal="center" vertical="center" wrapText="1"/>
      <protection locked="0"/>
    </xf>
    <xf numFmtId="0" fontId="93" fillId="0" borderId="303" xfId="0" applyFont="1" applyBorder="1" applyAlignment="1" applyProtection="1">
      <alignment horizontal="center" vertical="center" wrapText="1"/>
      <protection locked="0"/>
    </xf>
    <xf numFmtId="0" fontId="93" fillId="0" borderId="361" xfId="0" applyFont="1" applyBorder="1" applyAlignment="1" applyProtection="1">
      <alignment horizontal="center" vertical="center" wrapText="1"/>
      <protection locked="0"/>
    </xf>
    <xf numFmtId="0" fontId="93" fillId="0" borderId="327" xfId="0" applyFont="1" applyBorder="1" applyAlignment="1" applyProtection="1">
      <alignment horizontal="center" vertical="center" wrapText="1"/>
      <protection locked="0"/>
    </xf>
    <xf numFmtId="209" fontId="60" fillId="0" borderId="306" xfId="0" applyNumberFormat="1" applyFont="1" applyBorder="1" applyAlignment="1" applyProtection="1">
      <alignment horizontal="center" vertical="center" wrapText="1"/>
    </xf>
    <xf numFmtId="209" fontId="60" fillId="0" borderId="49" xfId="0" applyNumberFormat="1" applyFont="1" applyBorder="1" applyAlignment="1" applyProtection="1">
      <alignment horizontal="center" vertical="center" wrapText="1"/>
    </xf>
    <xf numFmtId="0" fontId="2" fillId="25" borderId="299" xfId="0" applyFont="1" applyFill="1" applyBorder="1" applyAlignment="1" applyProtection="1">
      <alignment horizontal="center" vertical="center" wrapText="1"/>
      <protection locked="0"/>
    </xf>
    <xf numFmtId="0" fontId="2" fillId="25" borderId="303" xfId="0" applyFont="1" applyFill="1" applyBorder="1" applyAlignment="1" applyProtection="1">
      <alignment horizontal="center" vertical="center" wrapText="1"/>
      <protection locked="0"/>
    </xf>
    <xf numFmtId="0" fontId="94" fillId="25" borderId="297" xfId="0" applyFont="1" applyFill="1" applyBorder="1" applyAlignment="1" applyProtection="1">
      <alignment horizontal="center" vertical="center" wrapText="1"/>
      <protection locked="0"/>
    </xf>
    <xf numFmtId="0" fontId="94" fillId="25" borderId="76" xfId="0" applyFont="1" applyFill="1" applyBorder="1" applyAlignment="1" applyProtection="1">
      <alignment horizontal="center" vertical="center" wrapText="1"/>
      <protection locked="0"/>
    </xf>
    <xf numFmtId="0" fontId="94" fillId="25" borderId="66" xfId="0" applyFont="1" applyFill="1" applyBorder="1" applyAlignment="1" applyProtection="1">
      <alignment horizontal="center" vertical="center" wrapText="1"/>
      <protection locked="0"/>
    </xf>
    <xf numFmtId="0" fontId="94" fillId="55" borderId="66" xfId="0" applyFont="1" applyFill="1" applyBorder="1" applyAlignment="1" applyProtection="1">
      <alignment horizontal="center" wrapText="1"/>
      <protection locked="0"/>
    </xf>
    <xf numFmtId="0" fontId="94" fillId="55" borderId="49" xfId="0" applyFont="1" applyFill="1" applyBorder="1" applyAlignment="1" applyProtection="1">
      <alignment horizontal="center" wrapText="1"/>
      <protection locked="0"/>
    </xf>
    <xf numFmtId="0" fontId="60" fillId="0" borderId="306" xfId="0" applyFont="1" applyBorder="1" applyAlignment="1" applyProtection="1">
      <alignment horizontal="center" vertical="center" wrapText="1"/>
    </xf>
    <xf numFmtId="0" fontId="60" fillId="0" borderId="49" xfId="0" applyFont="1" applyBorder="1" applyAlignment="1" applyProtection="1">
      <alignment horizontal="center" vertical="center" wrapText="1"/>
    </xf>
    <xf numFmtId="0" fontId="266" fillId="25" borderId="303" xfId="0" applyFont="1" applyFill="1" applyBorder="1" applyAlignment="1" applyProtection="1">
      <alignment horizontal="right" vertical="center" wrapText="1"/>
      <protection locked="0"/>
    </xf>
    <xf numFmtId="0" fontId="60" fillId="9" borderId="305" xfId="0" applyFont="1" applyFill="1" applyBorder="1" applyAlignment="1" applyProtection="1">
      <alignment horizontal="left" vertical="center" wrapText="1"/>
      <protection locked="0"/>
    </xf>
    <xf numFmtId="0" fontId="94" fillId="25" borderId="384" xfId="0" applyFont="1" applyFill="1" applyBorder="1" applyAlignment="1" applyProtection="1">
      <alignment horizontal="center" vertical="center"/>
      <protection locked="0"/>
    </xf>
    <xf numFmtId="0" fontId="94" fillId="25" borderId="328" xfId="0" applyFont="1" applyFill="1" applyBorder="1" applyAlignment="1" applyProtection="1">
      <alignment horizontal="center" vertical="center"/>
      <protection locked="0"/>
    </xf>
    <xf numFmtId="0" fontId="94" fillId="25" borderId="50" xfId="0" applyFont="1" applyFill="1" applyBorder="1" applyAlignment="1" applyProtection="1">
      <alignment horizontal="center" vertical="center"/>
      <protection locked="0"/>
    </xf>
    <xf numFmtId="0" fontId="94" fillId="25" borderId="236" xfId="0" applyFont="1" applyFill="1" applyBorder="1" applyAlignment="1" applyProtection="1">
      <alignment horizontal="center" vertical="center"/>
      <protection locked="0"/>
    </xf>
    <xf numFmtId="0" fontId="94" fillId="25" borderId="227" xfId="0" applyFont="1" applyFill="1" applyBorder="1" applyAlignment="1" applyProtection="1">
      <alignment horizontal="center" vertical="center" wrapText="1"/>
      <protection locked="0"/>
    </xf>
    <xf numFmtId="0" fontId="94" fillId="25" borderId="228" xfId="0" applyFont="1" applyFill="1" applyBorder="1" applyAlignment="1" applyProtection="1">
      <alignment horizontal="center" vertical="center" wrapText="1"/>
      <protection locked="0"/>
    </xf>
    <xf numFmtId="0" fontId="60" fillId="9" borderId="179" xfId="0" applyFont="1" applyFill="1" applyBorder="1" applyAlignment="1" applyProtection="1">
      <alignment vertical="top" wrapText="1"/>
      <protection locked="0"/>
    </xf>
    <xf numFmtId="201" fontId="60" fillId="0" borderId="305" xfId="0" applyNumberFormat="1" applyFont="1" applyFill="1" applyBorder="1" applyAlignment="1" applyProtection="1">
      <alignment horizontal="center" vertical="center" wrapText="1"/>
      <protection locked="0"/>
    </xf>
    <xf numFmtId="201" fontId="60" fillId="0" borderId="303" xfId="0" applyNumberFormat="1" applyFont="1" applyFill="1" applyBorder="1" applyAlignment="1" applyProtection="1">
      <alignment horizontal="center" vertical="center" wrapText="1"/>
      <protection locked="0"/>
    </xf>
    <xf numFmtId="201" fontId="60" fillId="0" borderId="361" xfId="0" applyNumberFormat="1" applyFont="1" applyFill="1" applyBorder="1" applyAlignment="1" applyProtection="1">
      <alignment horizontal="center" vertical="center" wrapText="1"/>
      <protection locked="0"/>
    </xf>
    <xf numFmtId="0" fontId="94" fillId="25" borderId="305" xfId="0" applyFont="1" applyFill="1" applyBorder="1" applyAlignment="1" applyProtection="1">
      <alignment horizontal="left" vertical="center"/>
      <protection locked="0"/>
    </xf>
    <xf numFmtId="241" fontId="60" fillId="0" borderId="305" xfId="0" applyNumberFormat="1" applyFont="1" applyFill="1" applyBorder="1" applyAlignment="1" applyProtection="1">
      <alignment horizontal="center" vertical="center" wrapText="1"/>
      <protection locked="0"/>
    </xf>
    <xf numFmtId="0" fontId="60" fillId="9" borderId="299" xfId="0" applyFont="1" applyFill="1" applyBorder="1" applyAlignment="1" applyProtection="1">
      <alignment vertical="top" wrapText="1"/>
      <protection locked="0"/>
    </xf>
    <xf numFmtId="0" fontId="60" fillId="9" borderId="303" xfId="0" applyFont="1" applyFill="1" applyBorder="1" applyAlignment="1" applyProtection="1">
      <alignment vertical="top" wrapText="1"/>
      <protection locked="0"/>
    </xf>
    <xf numFmtId="0" fontId="60" fillId="9" borderId="361" xfId="0" applyFont="1" applyFill="1" applyBorder="1" applyAlignment="1" applyProtection="1">
      <alignment vertical="top" wrapText="1"/>
      <protection locked="0"/>
    </xf>
    <xf numFmtId="0" fontId="265" fillId="0" borderId="299" xfId="27" applyFont="1" applyBorder="1" applyAlignment="1" applyProtection="1">
      <alignment horizontal="center" vertical="center" wrapText="1"/>
      <protection locked="0"/>
    </xf>
    <xf numFmtId="0" fontId="265" fillId="0" borderId="303" xfId="27" applyFont="1" applyBorder="1" applyAlignment="1" applyProtection="1">
      <alignment horizontal="center" vertical="center" wrapText="1"/>
      <protection locked="0"/>
    </xf>
    <xf numFmtId="0" fontId="60" fillId="0" borderId="305" xfId="0" applyFont="1" applyBorder="1" applyAlignment="1" applyProtection="1">
      <alignment horizontal="center" vertical="center" wrapText="1"/>
      <protection locked="0"/>
    </xf>
    <xf numFmtId="0" fontId="60" fillId="0" borderId="299" xfId="0" applyFont="1" applyBorder="1" applyAlignment="1" applyProtection="1">
      <alignment horizontal="center" vertical="center" wrapText="1"/>
      <protection locked="0"/>
    </xf>
    <xf numFmtId="0" fontId="60" fillId="0" borderId="303" xfId="0" applyFont="1" applyBorder="1" applyAlignment="1" applyProtection="1">
      <alignment horizontal="center" vertical="center" wrapText="1"/>
      <protection locked="0"/>
    </xf>
    <xf numFmtId="0" fontId="265" fillId="9" borderId="305" xfId="27" applyFont="1" applyFill="1" applyBorder="1" applyAlignment="1" applyProtection="1">
      <alignment horizontal="center" vertical="center" wrapText="1"/>
      <protection locked="0"/>
    </xf>
    <xf numFmtId="0" fontId="94" fillId="25" borderId="328" xfId="0" applyFont="1" applyFill="1" applyBorder="1" applyAlignment="1" applyProtection="1">
      <alignment horizontal="center" vertical="center" wrapText="1"/>
      <protection locked="0"/>
    </xf>
    <xf numFmtId="0" fontId="94" fillId="25" borderId="232" xfId="0" applyFont="1" applyFill="1" applyBorder="1" applyAlignment="1" applyProtection="1">
      <alignment horizontal="center" vertical="center" wrapText="1"/>
      <protection locked="0"/>
    </xf>
    <xf numFmtId="0" fontId="130" fillId="25" borderId="299" xfId="0" applyFont="1" applyFill="1" applyBorder="1" applyAlignment="1" applyProtection="1">
      <alignment horizontal="center" vertical="center" wrapText="1"/>
      <protection locked="0"/>
    </xf>
    <xf numFmtId="0" fontId="130" fillId="25" borderId="303" xfId="0" applyFont="1" applyFill="1" applyBorder="1" applyAlignment="1" applyProtection="1">
      <alignment horizontal="center" vertical="center" wrapText="1"/>
      <protection locked="0"/>
    </xf>
    <xf numFmtId="0" fontId="130" fillId="25" borderId="384" xfId="0" applyFont="1" applyFill="1" applyBorder="1" applyAlignment="1" applyProtection="1">
      <alignment horizontal="center" vertical="center" wrapText="1"/>
      <protection locked="0"/>
    </xf>
    <xf numFmtId="0" fontId="130" fillId="25" borderId="327" xfId="0" applyFont="1" applyFill="1" applyBorder="1" applyAlignment="1" applyProtection="1">
      <alignment horizontal="center" vertical="center" wrapText="1"/>
      <protection locked="0"/>
    </xf>
    <xf numFmtId="0" fontId="94" fillId="25" borderId="208" xfId="0" applyFont="1" applyFill="1" applyBorder="1" applyAlignment="1" applyProtection="1">
      <alignment horizontal="center" vertical="center" wrapText="1"/>
      <protection locked="0"/>
    </xf>
    <xf numFmtId="0" fontId="94" fillId="25" borderId="180" xfId="0" applyFont="1" applyFill="1" applyBorder="1" applyAlignment="1" applyProtection="1">
      <alignment horizontal="center" vertical="center" wrapText="1"/>
      <protection locked="0"/>
    </xf>
    <xf numFmtId="0" fontId="94" fillId="25" borderId="229" xfId="0" applyFont="1" applyFill="1" applyBorder="1" applyAlignment="1" applyProtection="1">
      <alignment horizontal="center" vertical="center" wrapText="1"/>
      <protection locked="0"/>
    </xf>
    <xf numFmtId="0" fontId="94" fillId="55" borderId="297" xfId="0" applyFont="1" applyFill="1" applyBorder="1" applyAlignment="1" applyProtection="1">
      <alignment horizontal="center" vertical="center" wrapText="1"/>
      <protection locked="0"/>
    </xf>
    <xf numFmtId="0" fontId="94" fillId="55" borderId="302" xfId="0" applyFont="1" applyFill="1" applyBorder="1" applyAlignment="1" applyProtection="1">
      <alignment horizontal="center" vertical="center" wrapText="1"/>
      <protection locked="0"/>
    </xf>
    <xf numFmtId="0" fontId="94" fillId="55" borderId="76" xfId="0" applyFont="1" applyFill="1" applyBorder="1" applyAlignment="1" applyProtection="1">
      <alignment horizontal="center" vertical="center" wrapText="1"/>
      <protection locked="0"/>
    </xf>
    <xf numFmtId="0" fontId="94" fillId="55" borderId="77" xfId="0" applyFont="1" applyFill="1" applyBorder="1" applyAlignment="1" applyProtection="1">
      <alignment horizontal="center" vertical="center" wrapText="1"/>
      <protection locked="0"/>
    </xf>
    <xf numFmtId="0" fontId="0" fillId="47" borderId="297" xfId="0" applyFill="1" applyBorder="1" applyAlignment="1" applyProtection="1">
      <alignment horizontal="center" vertical="center"/>
      <protection locked="0"/>
    </xf>
    <xf numFmtId="0" fontId="0" fillId="47" borderId="67" xfId="0" applyFill="1" applyBorder="1" applyAlignment="1" applyProtection="1">
      <alignment horizontal="center" vertical="center"/>
      <protection locked="0"/>
    </xf>
    <xf numFmtId="0" fontId="0" fillId="47" borderId="76" xfId="0" applyFill="1" applyBorder="1" applyAlignment="1" applyProtection="1">
      <alignment horizontal="center" vertical="center"/>
      <protection locked="0"/>
    </xf>
    <xf numFmtId="0" fontId="0" fillId="0" borderId="362" xfId="0" applyBorder="1" applyAlignment="1" applyProtection="1">
      <alignment horizontal="center" vertical="center"/>
      <protection locked="0"/>
    </xf>
    <xf numFmtId="0" fontId="0" fillId="0" borderId="116" xfId="0" applyBorder="1" applyAlignment="1" applyProtection="1">
      <alignment horizontal="center" vertical="center"/>
      <protection locked="0"/>
    </xf>
    <xf numFmtId="0" fontId="0" fillId="0" borderId="297" xfId="0" applyBorder="1" applyAlignment="1" applyProtection="1">
      <alignment horizontal="center" vertical="center"/>
      <protection locked="0"/>
    </xf>
    <xf numFmtId="0" fontId="0" fillId="0" borderId="76" xfId="0" applyBorder="1" applyAlignment="1" applyProtection="1">
      <alignment horizontal="center" vertical="center"/>
      <protection locked="0"/>
    </xf>
    <xf numFmtId="0" fontId="112" fillId="45" borderId="130" xfId="0" applyFont="1" applyFill="1" applyBorder="1" applyAlignment="1" applyProtection="1">
      <alignment horizontal="center" vertical="center" wrapText="1"/>
      <protection locked="0"/>
    </xf>
    <xf numFmtId="0" fontId="112" fillId="45" borderId="132" xfId="0" applyFont="1" applyFill="1" applyBorder="1" applyAlignment="1" applyProtection="1">
      <alignment horizontal="center" vertical="center" wrapText="1"/>
      <protection locked="0"/>
    </xf>
    <xf numFmtId="0" fontId="112" fillId="45" borderId="333" xfId="0" applyFont="1" applyFill="1" applyBorder="1" applyAlignment="1" applyProtection="1">
      <alignment horizontal="center" vertical="center" wrapText="1"/>
      <protection locked="0"/>
    </xf>
    <xf numFmtId="0" fontId="112" fillId="45" borderId="334" xfId="0" applyFont="1" applyFill="1" applyBorder="1" applyAlignment="1" applyProtection="1">
      <alignment horizontal="center" vertical="center" wrapText="1"/>
      <protection locked="0"/>
    </xf>
    <xf numFmtId="16" fontId="21" fillId="0" borderId="105" xfId="0" applyNumberFormat="1" applyFont="1" applyBorder="1" applyAlignment="1" applyProtection="1">
      <alignment horizontal="center" vertical="center" wrapText="1"/>
      <protection locked="0"/>
    </xf>
    <xf numFmtId="0" fontId="0" fillId="0" borderId="332" xfId="0" applyBorder="1" applyAlignment="1" applyProtection="1">
      <alignment horizontal="center" vertical="center" wrapText="1"/>
      <protection locked="0"/>
    </xf>
    <xf numFmtId="200" fontId="21" fillId="0" borderId="105" xfId="0" applyNumberFormat="1" applyFont="1" applyBorder="1" applyAlignment="1" applyProtection="1">
      <alignment horizontal="center" vertical="center" wrapText="1"/>
      <protection locked="0"/>
    </xf>
    <xf numFmtId="200" fontId="0" fillId="0" borderId="332" xfId="0" applyNumberFormat="1" applyBorder="1" applyAlignment="1" applyProtection="1">
      <alignment horizontal="center" vertical="center" wrapText="1"/>
      <protection locked="0"/>
    </xf>
    <xf numFmtId="0" fontId="68" fillId="17" borderId="92" xfId="4" applyFont="1" applyFill="1" applyBorder="1" applyAlignment="1">
      <alignment horizontal="center" vertical="center" wrapText="1"/>
    </xf>
    <xf numFmtId="0" fontId="68" fillId="17" borderId="94" xfId="4" applyFont="1" applyFill="1" applyBorder="1" applyAlignment="1">
      <alignment horizontal="center" vertical="center" wrapText="1"/>
    </xf>
    <xf numFmtId="0" fontId="117" fillId="17" borderId="92" xfId="4" applyFont="1" applyFill="1" applyBorder="1" applyAlignment="1">
      <alignment horizontal="center" vertical="center" wrapText="1"/>
    </xf>
    <xf numFmtId="0" fontId="117" fillId="17" borderId="94" xfId="4" applyFont="1" applyFill="1" applyBorder="1" applyAlignment="1">
      <alignment horizontal="center" vertical="center" wrapText="1"/>
    </xf>
    <xf numFmtId="0" fontId="68" fillId="17" borderId="160" xfId="4" applyFont="1" applyFill="1" applyBorder="1" applyAlignment="1">
      <alignment horizontal="center" vertical="center" wrapText="1"/>
    </xf>
    <xf numFmtId="0" fontId="68" fillId="17" borderId="91" xfId="4" applyFont="1" applyFill="1" applyBorder="1" applyAlignment="1">
      <alignment horizontal="center" vertical="center"/>
    </xf>
    <xf numFmtId="0" fontId="68" fillId="17" borderId="93" xfId="4" applyFont="1" applyFill="1" applyBorder="1" applyAlignment="1">
      <alignment horizontal="center" vertical="center"/>
    </xf>
    <xf numFmtId="0" fontId="94" fillId="14" borderId="148" xfId="0" applyFont="1" applyFill="1" applyBorder="1" applyAlignment="1">
      <alignment horizontal="center" vertical="center"/>
    </xf>
    <xf numFmtId="0" fontId="94" fillId="14" borderId="149" xfId="0" applyFont="1" applyFill="1" applyBorder="1" applyAlignment="1">
      <alignment horizontal="center" vertical="center"/>
    </xf>
    <xf numFmtId="0" fontId="94" fillId="14" borderId="150" xfId="0" applyFont="1" applyFill="1" applyBorder="1" applyAlignment="1">
      <alignment horizontal="center" vertical="center"/>
    </xf>
    <xf numFmtId="0" fontId="94" fillId="14" borderId="341" xfId="0" applyFont="1" applyFill="1" applyBorder="1" applyAlignment="1">
      <alignment horizontal="center" vertical="center"/>
    </xf>
    <xf numFmtId="0" fontId="94" fillId="14" borderId="340" xfId="0" applyFont="1" applyFill="1" applyBorder="1" applyAlignment="1">
      <alignment horizontal="center" vertical="center"/>
    </xf>
    <xf numFmtId="0" fontId="94" fillId="14" borderId="342" xfId="0" applyFont="1" applyFill="1" applyBorder="1" applyAlignment="1">
      <alignment horizontal="center" vertical="center"/>
    </xf>
    <xf numFmtId="0" fontId="39" fillId="47" borderId="145" xfId="4" applyFont="1" applyFill="1" applyBorder="1" applyAlignment="1">
      <alignment horizontal="center" vertical="center" wrapText="1"/>
    </xf>
    <xf numFmtId="0" fontId="39" fillId="47" borderId="95" xfId="4" applyFont="1" applyFill="1" applyBorder="1" applyAlignment="1">
      <alignment horizontal="center" vertical="center" wrapText="1"/>
    </xf>
    <xf numFmtId="0" fontId="39" fillId="47" borderId="153" xfId="4" applyFont="1" applyFill="1" applyBorder="1" applyAlignment="1">
      <alignment horizontal="center" vertical="center" wrapText="1"/>
    </xf>
    <xf numFmtId="0" fontId="39" fillId="47" borderId="154" xfId="4" applyFont="1" applyFill="1" applyBorder="1" applyAlignment="1">
      <alignment horizontal="center" vertical="center" wrapText="1"/>
    </xf>
    <xf numFmtId="0" fontId="39" fillId="47" borderId="0" xfId="4" applyFont="1" applyFill="1" applyBorder="1" applyAlignment="1">
      <alignment horizontal="center" vertical="center" wrapText="1"/>
    </xf>
    <xf numFmtId="0" fontId="39" fillId="47" borderId="50" xfId="4" applyFont="1" applyFill="1" applyBorder="1" applyAlignment="1">
      <alignment horizontal="center" vertical="center" wrapText="1"/>
    </xf>
    <xf numFmtId="0" fontId="39" fillId="47" borderId="47" xfId="4" applyFont="1" applyFill="1" applyBorder="1" applyAlignment="1">
      <alignment horizontal="center" vertical="center" wrapText="1"/>
    </xf>
    <xf numFmtId="0" fontId="39" fillId="47" borderId="112" xfId="4" applyFont="1" applyFill="1" applyBorder="1" applyAlignment="1">
      <alignment horizontal="center" vertical="center" wrapText="1"/>
    </xf>
    <xf numFmtId="0" fontId="39" fillId="47" borderId="345" xfId="4" applyFont="1" applyFill="1" applyBorder="1" applyAlignment="1">
      <alignment horizontal="center" vertical="center" wrapText="1"/>
    </xf>
    <xf numFmtId="0" fontId="39" fillId="47" borderId="346" xfId="4" applyFont="1" applyFill="1" applyBorder="1" applyAlignment="1">
      <alignment horizontal="center" vertical="center" wrapText="1"/>
    </xf>
    <xf numFmtId="0" fontId="39" fillId="47" borderId="146" xfId="4" applyFont="1" applyFill="1" applyBorder="1" applyAlignment="1">
      <alignment horizontal="center" vertical="center" wrapText="1"/>
    </xf>
    <xf numFmtId="0" fontId="39" fillId="47" borderId="147" xfId="4" applyFont="1" applyFill="1" applyBorder="1" applyAlignment="1">
      <alignment horizontal="center" vertical="center" wrapText="1"/>
    </xf>
    <xf numFmtId="0" fontId="12" fillId="3" borderId="8" xfId="6" applyFont="1" applyFill="1" applyBorder="1" applyAlignment="1">
      <alignment horizontal="center" vertical="center" wrapText="1"/>
    </xf>
    <xf numFmtId="0" fontId="12" fillId="3" borderId="10" xfId="6" applyFont="1" applyFill="1" applyBorder="1" applyAlignment="1">
      <alignment horizontal="center" vertical="center" wrapText="1"/>
    </xf>
    <xf numFmtId="175" fontId="0" fillId="0" borderId="162" xfId="0" applyNumberFormat="1" applyBorder="1" applyAlignment="1">
      <alignment horizontal="center"/>
    </xf>
    <xf numFmtId="175" fontId="0" fillId="0" borderId="28" xfId="0" applyNumberFormat="1" applyBorder="1" applyAlignment="1">
      <alignment horizontal="center"/>
    </xf>
    <xf numFmtId="175" fontId="0" fillId="0" borderId="163" xfId="0" applyNumberFormat="1" applyBorder="1" applyAlignment="1">
      <alignment horizontal="center"/>
    </xf>
    <xf numFmtId="0" fontId="119" fillId="17" borderId="412" xfId="4" applyFont="1" applyFill="1" applyBorder="1" applyAlignment="1">
      <alignment horizontal="center" vertical="center" wrapText="1"/>
    </xf>
    <xf numFmtId="0" fontId="119" fillId="17" borderId="95" xfId="4" applyFont="1" applyFill="1" applyBorder="1" applyAlignment="1">
      <alignment horizontal="center" vertical="center" wrapText="1"/>
    </xf>
    <xf numFmtId="14" fontId="1" fillId="0" borderId="0" xfId="0" applyNumberFormat="1" applyFont="1" applyAlignment="1">
      <alignment horizontal="center"/>
    </xf>
    <xf numFmtId="0" fontId="11" fillId="6" borderId="8" xfId="3" applyFont="1" applyFill="1" applyBorder="1" applyAlignment="1">
      <alignment horizontal="center" vertical="center"/>
    </xf>
    <xf numFmtId="0" fontId="11" fillId="6" borderId="104" xfId="3" applyFont="1" applyFill="1" applyBorder="1" applyAlignment="1">
      <alignment horizontal="center" vertical="center"/>
    </xf>
    <xf numFmtId="0" fontId="11" fillId="6" borderId="10" xfId="3" applyFont="1" applyFill="1" applyBorder="1" applyAlignment="1">
      <alignment horizontal="center" vertical="center"/>
    </xf>
    <xf numFmtId="0" fontId="11" fillId="6" borderId="9" xfId="3" applyFont="1" applyFill="1" applyBorder="1" applyAlignment="1">
      <alignment horizontal="center" vertical="center"/>
    </xf>
    <xf numFmtId="0" fontId="10" fillId="5" borderId="97" xfId="3" applyFont="1" applyFill="1" applyBorder="1" applyAlignment="1">
      <alignment horizontal="center" vertical="center" wrapText="1"/>
    </xf>
    <xf numFmtId="0" fontId="10" fillId="5" borderId="18" xfId="3" applyFont="1" applyFill="1" applyBorder="1" applyAlignment="1">
      <alignment horizontal="center" vertical="center" wrapText="1"/>
    </xf>
    <xf numFmtId="0" fontId="5" fillId="2" borderId="305" xfId="3" applyFont="1" applyFill="1" applyBorder="1" applyAlignment="1"/>
    <xf numFmtId="14" fontId="2" fillId="0" borderId="305" xfId="4" applyNumberFormat="1" applyFont="1" applyBorder="1" applyAlignment="1">
      <alignment horizontal="left"/>
    </xf>
    <xf numFmtId="14" fontId="8" fillId="0" borderId="305" xfId="4" applyNumberFormat="1" applyFont="1" applyBorder="1" applyAlignment="1">
      <alignment horizontal="left"/>
    </xf>
    <xf numFmtId="4" fontId="3" fillId="0" borderId="56" xfId="22" applyNumberFormat="1" applyFont="1" applyFill="1" applyBorder="1" applyAlignment="1" applyProtection="1">
      <alignment horizontal="center" vertical="center"/>
      <protection locked="0"/>
    </xf>
    <xf numFmtId="0" fontId="91" fillId="29" borderId="8" xfId="0" applyFont="1" applyFill="1" applyBorder="1" applyAlignment="1" applyProtection="1">
      <alignment horizontal="center" vertical="center"/>
    </xf>
    <xf numFmtId="0" fontId="91" fillId="29" borderId="10" xfId="0" applyFont="1" applyFill="1" applyBorder="1" applyAlignment="1" applyProtection="1">
      <alignment horizontal="center" vertical="center"/>
    </xf>
    <xf numFmtId="0" fontId="91" fillId="29" borderId="56" xfId="0" applyFont="1" applyFill="1" applyBorder="1" applyAlignment="1" applyProtection="1">
      <alignment horizontal="center" vertical="center"/>
    </xf>
    <xf numFmtId="0" fontId="91" fillId="29" borderId="56" xfId="0" applyFont="1" applyFill="1" applyBorder="1" applyAlignment="1" applyProtection="1">
      <alignment horizontal="center" vertical="center" wrapText="1"/>
    </xf>
    <xf numFmtId="0" fontId="21" fillId="29" borderId="56" xfId="22" applyFont="1" applyFill="1" applyBorder="1" applyAlignment="1" applyProtection="1">
      <alignment horizontal="center" vertical="center"/>
    </xf>
    <xf numFmtId="4" fontId="3" fillId="0" borderId="56" xfId="22" applyNumberFormat="1" applyFont="1" applyFill="1" applyBorder="1" applyAlignment="1" applyProtection="1">
      <alignment horizontal="center" vertical="center" wrapText="1"/>
      <protection locked="0"/>
    </xf>
    <xf numFmtId="4" fontId="3" fillId="0" borderId="361" xfId="22" applyNumberFormat="1" applyFont="1" applyFill="1" applyBorder="1" applyAlignment="1" applyProtection="1">
      <alignment horizontal="center" vertical="center"/>
      <protection locked="0"/>
    </xf>
    <xf numFmtId="0" fontId="37" fillId="11" borderId="42" xfId="0" applyFont="1" applyFill="1" applyBorder="1" applyAlignment="1">
      <alignment horizontal="center"/>
    </xf>
    <xf numFmtId="0" fontId="37" fillId="11" borderId="43" xfId="0" applyFont="1" applyFill="1" applyBorder="1" applyAlignment="1">
      <alignment horizontal="center"/>
    </xf>
    <xf numFmtId="17" fontId="14" fillId="0" borderId="36" xfId="0" quotePrefix="1" applyNumberFormat="1" applyFont="1" applyBorder="1" applyAlignment="1">
      <alignment horizontal="center"/>
    </xf>
    <xf numFmtId="0" fontId="14" fillId="0" borderId="6" xfId="0" applyFont="1" applyBorder="1" applyAlignment="1">
      <alignment horizontal="center"/>
    </xf>
    <xf numFmtId="17" fontId="14" fillId="0" borderId="36" xfId="0" applyNumberFormat="1" applyFont="1" applyBorder="1" applyAlignment="1">
      <alignment horizontal="center"/>
    </xf>
    <xf numFmtId="0" fontId="70" fillId="23" borderId="8" xfId="3" applyFont="1" applyFill="1" applyBorder="1" applyAlignment="1">
      <alignment horizontal="center" vertical="center"/>
    </xf>
    <xf numFmtId="0" fontId="10" fillId="23" borderId="104" xfId="3" applyFont="1" applyFill="1" applyBorder="1" applyAlignment="1">
      <alignment horizontal="center" vertical="center"/>
    </xf>
    <xf numFmtId="0" fontId="10" fillId="23" borderId="10" xfId="3" applyFont="1" applyFill="1" applyBorder="1" applyAlignment="1">
      <alignment horizontal="center" vertical="center"/>
    </xf>
    <xf numFmtId="0" fontId="72" fillId="19" borderId="8" xfId="3" applyFont="1" applyFill="1" applyBorder="1" applyAlignment="1">
      <alignment horizontal="center" vertical="center" wrapText="1"/>
    </xf>
    <xf numFmtId="0" fontId="72" fillId="19" borderId="10" xfId="3" applyFont="1" applyFill="1" applyBorder="1" applyAlignment="1">
      <alignment horizontal="center" vertical="center" wrapText="1"/>
    </xf>
    <xf numFmtId="0" fontId="71" fillId="20" borderId="8" xfId="3" applyFont="1" applyFill="1" applyBorder="1" applyAlignment="1">
      <alignment horizontal="center" vertical="center" wrapText="1"/>
    </xf>
    <xf numFmtId="0" fontId="71" fillId="20" borderId="104" xfId="3" applyFont="1" applyFill="1" applyBorder="1" applyAlignment="1">
      <alignment horizontal="center" vertical="center" wrapText="1"/>
    </xf>
    <xf numFmtId="0" fontId="71" fillId="20" borderId="10" xfId="3" applyFont="1" applyFill="1" applyBorder="1" applyAlignment="1">
      <alignment horizontal="center" vertical="center" wrapText="1"/>
    </xf>
    <xf numFmtId="14" fontId="0" fillId="0" borderId="0" xfId="0" applyNumberFormat="1" applyAlignment="1">
      <alignment horizontal="left"/>
    </xf>
    <xf numFmtId="0" fontId="10" fillId="23" borderId="9" xfId="3" applyFont="1" applyFill="1" applyBorder="1" applyAlignment="1">
      <alignment horizontal="center" vertical="center"/>
    </xf>
    <xf numFmtId="0" fontId="70" fillId="23" borderId="105" xfId="3" applyFont="1" applyFill="1" applyBorder="1" applyAlignment="1">
      <alignment horizontal="center" vertical="center" wrapText="1"/>
    </xf>
    <xf numFmtId="0" fontId="70" fillId="23" borderId="14" xfId="3" applyFont="1" applyFill="1" applyBorder="1" applyAlignment="1">
      <alignment horizontal="center" vertical="center" wrapText="1"/>
    </xf>
    <xf numFmtId="0" fontId="70" fillId="23" borderId="332" xfId="3" applyFont="1" applyFill="1" applyBorder="1" applyAlignment="1">
      <alignment horizontal="center" vertical="center" wrapText="1"/>
    </xf>
    <xf numFmtId="0" fontId="71" fillId="20" borderId="9" xfId="3" applyFont="1" applyFill="1" applyBorder="1" applyAlignment="1">
      <alignment horizontal="center" vertical="center" wrapText="1"/>
    </xf>
    <xf numFmtId="0" fontId="72" fillId="19" borderId="8" xfId="3" applyFont="1" applyFill="1" applyBorder="1" applyAlignment="1">
      <alignment horizontal="center" vertical="center"/>
    </xf>
    <xf numFmtId="0" fontId="72" fillId="19" borderId="9" xfId="3" applyFont="1" applyFill="1" applyBorder="1" applyAlignment="1">
      <alignment horizontal="center" vertical="center"/>
    </xf>
    <xf numFmtId="0" fontId="72" fillId="19" borderId="10" xfId="3" applyFont="1" applyFill="1" applyBorder="1" applyAlignment="1">
      <alignment horizontal="center" vertical="center"/>
    </xf>
    <xf numFmtId="0" fontId="123" fillId="49" borderId="8" xfId="0" applyFont="1" applyFill="1" applyBorder="1" applyAlignment="1">
      <alignment horizontal="left"/>
    </xf>
    <xf numFmtId="0" fontId="123" fillId="49" borderId="104" xfId="0" applyFont="1" applyFill="1" applyBorder="1" applyAlignment="1">
      <alignment horizontal="left"/>
    </xf>
    <xf numFmtId="0" fontId="123" fillId="49" borderId="10" xfId="0" applyFont="1" applyFill="1" applyBorder="1" applyAlignment="1">
      <alignment horizontal="left"/>
    </xf>
    <xf numFmtId="0" fontId="93" fillId="0" borderId="251" xfId="0" applyFont="1" applyBorder="1" applyAlignment="1">
      <alignment horizontal="center" vertical="center" wrapText="1"/>
    </xf>
    <xf numFmtId="0" fontId="93" fillId="0" borderId="252" xfId="0" applyFont="1" applyBorder="1" applyAlignment="1">
      <alignment horizontal="center" vertical="center" wrapText="1"/>
    </xf>
    <xf numFmtId="0" fontId="93" fillId="0" borderId="271" xfId="0" applyFont="1" applyBorder="1" applyAlignment="1">
      <alignment horizontal="center" vertical="center" wrapText="1"/>
    </xf>
    <xf numFmtId="0" fontId="93" fillId="0" borderId="269" xfId="0" applyFont="1" applyBorder="1" applyAlignment="1">
      <alignment horizontal="center" vertical="center" wrapText="1"/>
    </xf>
    <xf numFmtId="0" fontId="93" fillId="0" borderId="270" xfId="0" applyFont="1" applyBorder="1" applyAlignment="1">
      <alignment horizontal="center" vertical="center" wrapText="1"/>
    </xf>
    <xf numFmtId="0" fontId="0" fillId="0" borderId="228" xfId="0" applyBorder="1" applyAlignment="1">
      <alignment horizontal="center" vertical="center"/>
    </xf>
    <xf numFmtId="0" fontId="0" fillId="0" borderId="79" xfId="0" applyBorder="1" applyAlignment="1">
      <alignment horizontal="center" vertical="center"/>
    </xf>
    <xf numFmtId="0" fontId="0" fillId="0" borderId="80" xfId="0" applyBorder="1" applyAlignment="1">
      <alignment horizontal="center" vertical="center"/>
    </xf>
    <xf numFmtId="0" fontId="0" fillId="0" borderId="49" xfId="0" applyBorder="1" applyAlignment="1">
      <alignment horizontal="center" vertical="center" wrapText="1"/>
    </xf>
    <xf numFmtId="0" fontId="0" fillId="0" borderId="222" xfId="0" applyBorder="1" applyAlignment="1">
      <alignment horizontal="center" vertical="center" wrapText="1"/>
    </xf>
    <xf numFmtId="0" fontId="0" fillId="0" borderId="244" xfId="0" applyBorder="1" applyAlignment="1">
      <alignment horizontal="center" vertical="center" wrapText="1"/>
    </xf>
    <xf numFmtId="0" fontId="2" fillId="57" borderId="37" xfId="0" applyFont="1" applyFill="1" applyBorder="1" applyAlignment="1">
      <alignment horizontal="center" vertical="center"/>
    </xf>
    <xf numFmtId="0" fontId="2" fillId="57" borderId="243" xfId="0" applyFont="1" applyFill="1" applyBorder="1" applyAlignment="1">
      <alignment horizontal="center" vertical="center"/>
    </xf>
    <xf numFmtId="0" fontId="2" fillId="57" borderId="79" xfId="0" applyFont="1" applyFill="1" applyBorder="1" applyAlignment="1">
      <alignment horizontal="center" vertical="center"/>
    </xf>
    <xf numFmtId="0" fontId="2" fillId="57" borderId="222" xfId="0" applyFont="1" applyFill="1" applyBorder="1" applyAlignment="1">
      <alignment horizontal="center" vertical="center"/>
    </xf>
    <xf numFmtId="0" fontId="2" fillId="57" borderId="44" xfId="0" applyFont="1" applyFill="1" applyBorder="1" applyAlignment="1">
      <alignment horizontal="center" vertical="center"/>
    </xf>
    <xf numFmtId="0" fontId="2" fillId="57" borderId="45" xfId="0" applyFont="1" applyFill="1" applyBorder="1" applyAlignment="1">
      <alignment horizontal="center" vertical="center"/>
    </xf>
    <xf numFmtId="0" fontId="0" fillId="0" borderId="248" xfId="0" applyBorder="1" applyAlignment="1">
      <alignment horizontal="center" vertical="center"/>
    </xf>
    <xf numFmtId="0" fontId="0" fillId="0" borderId="230" xfId="0" applyBorder="1" applyAlignment="1">
      <alignment horizontal="center" vertical="center"/>
    </xf>
    <xf numFmtId="0" fontId="0" fillId="0" borderId="249" xfId="0" applyBorder="1" applyAlignment="1">
      <alignment horizontal="center" vertical="center"/>
    </xf>
    <xf numFmtId="0" fontId="0" fillId="0" borderId="120" xfId="0" applyBorder="1" applyAlignment="1">
      <alignment horizontal="center" vertical="center" wrapText="1"/>
    </xf>
    <xf numFmtId="0" fontId="0" fillId="0" borderId="66" xfId="0" applyBorder="1" applyAlignment="1">
      <alignment horizontal="center" vertical="center" wrapText="1"/>
    </xf>
    <xf numFmtId="0" fontId="0" fillId="0" borderId="250" xfId="0" applyBorder="1" applyAlignment="1">
      <alignment horizontal="center" vertical="center" wrapText="1"/>
    </xf>
    <xf numFmtId="0" fontId="48" fillId="12" borderId="8" xfId="1" applyFont="1" applyFill="1" applyBorder="1" applyAlignment="1">
      <alignment horizontal="left" vertical="center" wrapText="1"/>
    </xf>
    <xf numFmtId="0" fontId="48" fillId="12" borderId="104" xfId="1" applyFont="1" applyFill="1" applyBorder="1" applyAlignment="1">
      <alignment horizontal="left" vertical="center" wrapText="1"/>
    </xf>
    <xf numFmtId="0" fontId="2" fillId="0" borderId="119" xfId="0" applyNumberFormat="1" applyFont="1" applyBorder="1" applyAlignment="1">
      <alignment horizontal="center" vertical="center" textRotation="90" wrapText="1"/>
    </xf>
    <xf numFmtId="0" fontId="2" fillId="0" borderId="99" xfId="0" applyNumberFormat="1" applyFont="1" applyBorder="1" applyAlignment="1">
      <alignment horizontal="center" vertical="center" textRotation="90" wrapText="1"/>
    </xf>
    <xf numFmtId="0" fontId="2" fillId="0" borderId="123" xfId="0" applyNumberFormat="1" applyFont="1" applyBorder="1" applyAlignment="1">
      <alignment horizontal="center" vertical="center" textRotation="90" wrapText="1"/>
    </xf>
    <xf numFmtId="0" fontId="2" fillId="0" borderId="120" xfId="0" applyNumberFormat="1" applyFont="1" applyBorder="1" applyAlignment="1">
      <alignment horizontal="center" vertical="center" textRotation="90" wrapText="1"/>
    </xf>
    <xf numFmtId="0" fontId="2" fillId="0" borderId="66" xfId="0" applyNumberFormat="1" applyFont="1" applyBorder="1" applyAlignment="1">
      <alignment horizontal="center" vertical="center" textRotation="90" wrapText="1"/>
    </xf>
    <xf numFmtId="0" fontId="2" fillId="0" borderId="1" xfId="0" applyNumberFormat="1" applyFont="1" applyBorder="1" applyAlignment="1">
      <alignment horizontal="center" vertical="center" textRotation="90" wrapText="1"/>
    </xf>
    <xf numFmtId="0" fontId="2" fillId="28" borderId="120" xfId="0" applyNumberFormat="1" applyFont="1" applyFill="1" applyBorder="1" applyAlignment="1">
      <alignment horizontal="center" vertical="center" textRotation="90" wrapText="1"/>
    </xf>
    <xf numFmtId="0" fontId="2" fillId="28" borderId="66" xfId="0" applyNumberFormat="1" applyFont="1" applyFill="1" applyBorder="1" applyAlignment="1">
      <alignment horizontal="center" vertical="center" textRotation="90" wrapText="1"/>
    </xf>
    <xf numFmtId="0" fontId="2" fillId="28" borderId="1" xfId="0" applyNumberFormat="1" applyFont="1" applyFill="1" applyBorder="1" applyAlignment="1">
      <alignment horizontal="center" vertical="center" textRotation="90" wrapText="1"/>
    </xf>
    <xf numFmtId="0" fontId="2" fillId="0" borderId="33" xfId="0" applyNumberFormat="1" applyFont="1" applyBorder="1" applyAlignment="1">
      <alignment horizontal="center" vertical="center" textRotation="90" wrapText="1"/>
    </xf>
    <xf numFmtId="0" fontId="2" fillId="0" borderId="67" xfId="0" applyNumberFormat="1" applyFont="1" applyBorder="1" applyAlignment="1">
      <alignment horizontal="center" vertical="center" textRotation="90" wrapText="1"/>
    </xf>
    <xf numFmtId="0" fontId="2" fillId="0" borderId="85" xfId="0" applyNumberFormat="1" applyFont="1" applyBorder="1" applyAlignment="1">
      <alignment horizontal="center" vertical="center" textRotation="90" wrapText="1"/>
    </xf>
    <xf numFmtId="0" fontId="2" fillId="11" borderId="120" xfId="0" applyNumberFormat="1" applyFont="1" applyFill="1" applyBorder="1" applyAlignment="1">
      <alignment horizontal="center" vertical="center" textRotation="90" wrapText="1"/>
    </xf>
    <xf numFmtId="0" fontId="2" fillId="11" borderId="66" xfId="0" applyNumberFormat="1" applyFont="1" applyFill="1" applyBorder="1" applyAlignment="1">
      <alignment horizontal="center" vertical="center" textRotation="90" wrapText="1"/>
    </xf>
    <xf numFmtId="0" fontId="2" fillId="11" borderId="1" xfId="0" applyNumberFormat="1" applyFont="1" applyFill="1" applyBorder="1" applyAlignment="1">
      <alignment horizontal="center" vertical="center" textRotation="90" wrapText="1"/>
    </xf>
    <xf numFmtId="0" fontId="0" fillId="11" borderId="66" xfId="0" applyFill="1" applyBorder="1"/>
    <xf numFmtId="0" fontId="0" fillId="11" borderId="1" xfId="0" applyFill="1" applyBorder="1"/>
    <xf numFmtId="0" fontId="76" fillId="0" borderId="8" xfId="0" applyFont="1" applyBorder="1" applyAlignment="1">
      <alignment horizontal="center"/>
    </xf>
    <xf numFmtId="0" fontId="76" fillId="0" borderId="104" xfId="0" applyFont="1" applyBorder="1" applyAlignment="1">
      <alignment horizontal="center"/>
    </xf>
    <xf numFmtId="0" fontId="76" fillId="0" borderId="106" xfId="0" applyFont="1" applyBorder="1" applyAlignment="1">
      <alignment horizontal="center"/>
    </xf>
    <xf numFmtId="0" fontId="76" fillId="0" borderId="10" xfId="0" applyFont="1" applyBorder="1" applyAlignment="1">
      <alignment horizontal="center"/>
    </xf>
    <xf numFmtId="0" fontId="2" fillId="0" borderId="11" xfId="0" applyFont="1" applyBorder="1" applyAlignment="1">
      <alignment horizontal="center" vertical="center" wrapText="1"/>
    </xf>
    <xf numFmtId="0" fontId="2" fillId="0" borderId="16" xfId="0" applyFont="1" applyBorder="1" applyAlignment="1">
      <alignment horizontal="center" vertical="center" wrapText="1"/>
    </xf>
    <xf numFmtId="0" fontId="2" fillId="0" borderId="105"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106" xfId="0" applyFont="1" applyBorder="1" applyAlignment="1">
      <alignment horizontal="center" vertical="center" wrapText="1"/>
    </xf>
    <xf numFmtId="0" fontId="2" fillId="0" borderId="6" xfId="0" applyFont="1" applyBorder="1" applyAlignment="1">
      <alignment horizontal="center" vertical="center" wrapText="1"/>
    </xf>
    <xf numFmtId="0" fontId="2" fillId="0" borderId="14" xfId="0" applyFont="1" applyBorder="1" applyAlignment="1">
      <alignment horizontal="center" vertical="center" wrapText="1"/>
    </xf>
    <xf numFmtId="0" fontId="2" fillId="25" borderId="8" xfId="0" applyFont="1" applyFill="1" applyBorder="1" applyAlignment="1">
      <alignment horizontal="center" vertical="center" wrapText="1"/>
    </xf>
    <xf numFmtId="0" fontId="2" fillId="25" borderId="104" xfId="0" applyFont="1" applyFill="1" applyBorder="1" applyAlignment="1">
      <alignment horizontal="center" vertical="center" wrapText="1"/>
    </xf>
    <xf numFmtId="0" fontId="2" fillId="25" borderId="10" xfId="0" applyFont="1" applyFill="1" applyBorder="1" applyAlignment="1">
      <alignment horizontal="center" vertical="center" wrapText="1"/>
    </xf>
    <xf numFmtId="0" fontId="2" fillId="25" borderId="105" xfId="0" applyFont="1" applyFill="1" applyBorder="1" applyAlignment="1">
      <alignment horizontal="center" vertical="center" wrapText="1"/>
    </xf>
    <xf numFmtId="0" fontId="2" fillId="25" borderId="18" xfId="0" applyFont="1" applyFill="1" applyBorder="1" applyAlignment="1">
      <alignment horizontal="center" vertical="center" wrapText="1"/>
    </xf>
    <xf numFmtId="0" fontId="2" fillId="26" borderId="8" xfId="0" applyFont="1" applyFill="1" applyBorder="1" applyAlignment="1">
      <alignment horizontal="center" vertical="center" wrapText="1"/>
    </xf>
    <xf numFmtId="0" fontId="2" fillId="26" borderId="10" xfId="0" applyFont="1" applyFill="1" applyBorder="1" applyAlignment="1">
      <alignment horizontal="center" vertical="center" wrapText="1"/>
    </xf>
    <xf numFmtId="0" fontId="2" fillId="26" borderId="34" xfId="0" applyFont="1" applyFill="1" applyBorder="1" applyAlignment="1">
      <alignment horizontal="center" vertical="center" wrapText="1"/>
    </xf>
    <xf numFmtId="0" fontId="2" fillId="26" borderId="81" xfId="0" applyFont="1" applyFill="1" applyBorder="1" applyAlignment="1">
      <alignment horizontal="center" vertical="center" wrapText="1"/>
    </xf>
    <xf numFmtId="0" fontId="2" fillId="26" borderId="114" xfId="0" applyFont="1" applyFill="1" applyBorder="1" applyAlignment="1">
      <alignment horizontal="center" vertical="center" wrapText="1"/>
    </xf>
    <xf numFmtId="0" fontId="2" fillId="26" borderId="103" xfId="0" applyFont="1" applyFill="1" applyBorder="1" applyAlignment="1">
      <alignment horizontal="center" vertical="center" wrapText="1"/>
    </xf>
    <xf numFmtId="0" fontId="2" fillId="27" borderId="105" xfId="0" applyFont="1" applyFill="1" applyBorder="1" applyAlignment="1">
      <alignment horizontal="center" vertical="center" wrapText="1"/>
    </xf>
    <xf numFmtId="0" fontId="2" fillId="27" borderId="18" xfId="0" applyFont="1" applyFill="1" applyBorder="1" applyAlignment="1">
      <alignment horizontal="center" vertical="center" wrapText="1"/>
    </xf>
    <xf numFmtId="0" fontId="2" fillId="0" borderId="29" xfId="0" applyFont="1" applyBorder="1" applyAlignment="1">
      <alignment horizontal="center" vertical="center" wrapText="1"/>
    </xf>
    <xf numFmtId="0" fontId="2" fillId="0" borderId="117" xfId="0" applyFont="1" applyBorder="1" applyAlignment="1">
      <alignment horizontal="center" vertical="center" wrapText="1"/>
    </xf>
    <xf numFmtId="0" fontId="2" fillId="0" borderId="118" xfId="0" applyFont="1" applyBorder="1" applyAlignment="1">
      <alignment horizontal="center" vertical="center" wrapText="1"/>
    </xf>
    <xf numFmtId="0" fontId="0" fillId="0" borderId="0" xfId="0" applyBorder="1" applyAlignment="1">
      <alignment horizontal="center" vertical="center" wrapText="1"/>
    </xf>
    <xf numFmtId="0" fontId="0" fillId="0" borderId="56" xfId="0" applyBorder="1" applyAlignment="1">
      <alignment horizontal="center" vertical="center"/>
    </xf>
    <xf numFmtId="0" fontId="2" fillId="0" borderId="72" xfId="0" applyFont="1" applyBorder="1" applyAlignment="1">
      <alignment horizontal="left" vertical="center"/>
    </xf>
    <xf numFmtId="3" fontId="0" fillId="0" borderId="56" xfId="0" applyNumberFormat="1" applyBorder="1" applyAlignment="1">
      <alignment horizontal="right" vertical="center"/>
    </xf>
    <xf numFmtId="3" fontId="0" fillId="0" borderId="71" xfId="0" applyNumberFormat="1" applyBorder="1" applyAlignment="1">
      <alignment horizontal="right" vertical="center"/>
    </xf>
    <xf numFmtId="3" fontId="0" fillId="0" borderId="72" xfId="0" applyNumberFormat="1" applyBorder="1" applyAlignment="1">
      <alignment horizontal="right" vertical="center"/>
    </xf>
    <xf numFmtId="3" fontId="2" fillId="15" borderId="71" xfId="0" applyNumberFormat="1" applyFont="1" applyFill="1" applyBorder="1" applyAlignment="1">
      <alignment horizontal="right" vertical="center"/>
    </xf>
    <xf numFmtId="3" fontId="2" fillId="15" borderId="72" xfId="0" applyNumberFormat="1" applyFont="1" applyFill="1" applyBorder="1" applyAlignment="1">
      <alignment horizontal="right" vertical="center"/>
    </xf>
    <xf numFmtId="3" fontId="2" fillId="15" borderId="57" xfId="0" applyNumberFormat="1" applyFont="1" applyFill="1" applyBorder="1" applyAlignment="1">
      <alignment horizontal="right" vertical="center"/>
    </xf>
    <xf numFmtId="3" fontId="2" fillId="15" borderId="56" xfId="0" applyNumberFormat="1" applyFont="1" applyFill="1" applyBorder="1" applyAlignment="1">
      <alignment horizontal="right" vertical="center"/>
    </xf>
    <xf numFmtId="0" fontId="0" fillId="0" borderId="71" xfId="0" applyBorder="1" applyAlignment="1">
      <alignment horizontal="center" vertical="center"/>
    </xf>
    <xf numFmtId="0" fontId="0" fillId="0" borderId="72" xfId="0" applyBorder="1" applyAlignment="1">
      <alignment horizontal="center" vertical="center"/>
    </xf>
    <xf numFmtId="0" fontId="0" fillId="0" borderId="57" xfId="0" applyBorder="1" applyAlignment="1">
      <alignment horizontal="center" vertical="center"/>
    </xf>
    <xf numFmtId="0" fontId="0" fillId="0" borderId="0" xfId="0" applyBorder="1" applyAlignment="1">
      <alignment horizontal="left" vertical="center"/>
    </xf>
    <xf numFmtId="3" fontId="2" fillId="9" borderId="56" xfId="0" applyNumberFormat="1" applyFont="1" applyFill="1" applyBorder="1" applyAlignment="1">
      <alignment horizontal="center" vertical="center"/>
    </xf>
    <xf numFmtId="3" fontId="2" fillId="0" borderId="56" xfId="0" applyNumberFormat="1" applyFont="1" applyBorder="1" applyAlignment="1">
      <alignment horizontal="center" vertical="center"/>
    </xf>
    <xf numFmtId="4" fontId="0" fillId="0" borderId="71" xfId="0" applyNumberFormat="1" applyBorder="1" applyAlignment="1">
      <alignment horizontal="center" vertical="center"/>
    </xf>
    <xf numFmtId="4" fontId="0" fillId="0" borderId="57" xfId="0" applyNumberFormat="1" applyBorder="1" applyAlignment="1">
      <alignment horizontal="center" vertical="center"/>
    </xf>
    <xf numFmtId="188" fontId="0" fillId="0" borderId="56" xfId="0" applyNumberFormat="1" applyBorder="1" applyAlignment="1">
      <alignment horizontal="center" vertical="center"/>
    </xf>
    <xf numFmtId="3" fontId="2" fillId="15" borderId="71" xfId="0" applyNumberFormat="1" applyFont="1" applyFill="1" applyBorder="1" applyAlignment="1">
      <alignment horizontal="center" vertical="center"/>
    </xf>
    <xf numFmtId="3" fontId="2" fillId="15" borderId="57" xfId="0" applyNumberFormat="1" applyFont="1" applyFill="1" applyBorder="1" applyAlignment="1">
      <alignment horizontal="center" vertical="center"/>
    </xf>
    <xf numFmtId="3" fontId="2" fillId="15" borderId="56" xfId="0" applyNumberFormat="1" applyFont="1" applyFill="1" applyBorder="1" applyAlignment="1">
      <alignment horizontal="center" vertical="center"/>
    </xf>
    <xf numFmtId="0" fontId="0" fillId="0" borderId="78" xfId="0" applyBorder="1" applyAlignment="1">
      <alignment horizontal="center" vertical="center"/>
    </xf>
    <xf numFmtId="0" fontId="0" fillId="0" borderId="66" xfId="0" applyBorder="1" applyAlignment="1">
      <alignment horizontal="center" vertical="center"/>
    </xf>
    <xf numFmtId="0" fontId="0" fillId="0" borderId="49" xfId="0" applyBorder="1" applyAlignment="1">
      <alignment horizontal="center" vertical="center"/>
    </xf>
    <xf numFmtId="0" fontId="0" fillId="0" borderId="74" xfId="0" applyBorder="1" applyAlignment="1">
      <alignment horizontal="left" vertical="center" wrapText="1"/>
    </xf>
    <xf numFmtId="0" fontId="2" fillId="0" borderId="71" xfId="0" applyFont="1" applyBorder="1" applyAlignment="1">
      <alignment horizontal="center" vertical="center"/>
    </xf>
    <xf numFmtId="0" fontId="2" fillId="0" borderId="72" xfId="0" applyFont="1" applyBorder="1" applyAlignment="1">
      <alignment horizontal="center" vertical="center"/>
    </xf>
    <xf numFmtId="0" fontId="0" fillId="0" borderId="71" xfId="0" applyBorder="1" applyAlignment="1">
      <alignment horizontal="center" vertical="center" wrapText="1"/>
    </xf>
    <xf numFmtId="0" fontId="0" fillId="0" borderId="72" xfId="0" applyBorder="1" applyAlignment="1">
      <alignment horizontal="center" vertical="center" wrapText="1"/>
    </xf>
    <xf numFmtId="0" fontId="0" fillId="0" borderId="76" xfId="0" applyBorder="1" applyAlignment="1">
      <alignment horizontal="center" vertical="center" wrapText="1"/>
    </xf>
    <xf numFmtId="0" fontId="0" fillId="0" borderId="50" xfId="0" applyBorder="1" applyAlignment="1">
      <alignment horizontal="center" vertical="center" wrapText="1"/>
    </xf>
    <xf numFmtId="0" fontId="0" fillId="0" borderId="57" xfId="0" applyBorder="1" applyAlignment="1">
      <alignment horizontal="center" vertical="center" wrapText="1"/>
    </xf>
    <xf numFmtId="3" fontId="0" fillId="0" borderId="57" xfId="0" applyNumberFormat="1" applyBorder="1" applyAlignment="1">
      <alignment horizontal="right" vertical="center"/>
    </xf>
    <xf numFmtId="49" fontId="0" fillId="0" borderId="71" xfId="0" applyNumberFormat="1" applyBorder="1" applyAlignment="1">
      <alignment horizontal="justify" vertical="center" wrapText="1"/>
    </xf>
    <xf numFmtId="49" fontId="0" fillId="0" borderId="72" xfId="0" applyNumberFormat="1" applyBorder="1" applyAlignment="1">
      <alignment horizontal="justify" vertical="center" wrapText="1"/>
    </xf>
    <xf numFmtId="49" fontId="0" fillId="0" borderId="57" xfId="0" applyNumberFormat="1" applyBorder="1" applyAlignment="1">
      <alignment horizontal="justify" vertical="center" wrapText="1"/>
    </xf>
    <xf numFmtId="3" fontId="0" fillId="15" borderId="71" xfId="0" applyNumberFormat="1" applyFill="1" applyBorder="1" applyAlignment="1">
      <alignment horizontal="center" vertical="center"/>
    </xf>
    <xf numFmtId="3" fontId="0" fillId="15" borderId="72" xfId="0" applyNumberFormat="1" applyFill="1" applyBorder="1" applyAlignment="1">
      <alignment horizontal="center" vertical="center"/>
    </xf>
    <xf numFmtId="3" fontId="0" fillId="15" borderId="57" xfId="0" applyNumberFormat="1" applyFill="1" applyBorder="1" applyAlignment="1">
      <alignment horizontal="center" vertical="center"/>
    </xf>
    <xf numFmtId="0" fontId="61" fillId="0" borderId="67" xfId="0" applyFont="1" applyBorder="1" applyAlignment="1">
      <alignment horizontal="left" vertical="center" wrapText="1"/>
    </xf>
    <xf numFmtId="0" fontId="61" fillId="0" borderId="0" xfId="0" applyFont="1" applyBorder="1" applyAlignment="1">
      <alignment horizontal="left" vertical="center" wrapText="1"/>
    </xf>
    <xf numFmtId="0" fontId="61" fillId="0" borderId="65" xfId="0" applyFont="1" applyBorder="1" applyAlignment="1">
      <alignment horizontal="left" vertical="center" wrapText="1"/>
    </xf>
    <xf numFmtId="3" fontId="0" fillId="16" borderId="71" xfId="0" applyNumberFormat="1" applyFill="1" applyBorder="1" applyAlignment="1">
      <alignment horizontal="right" vertical="center"/>
    </xf>
    <xf numFmtId="3" fontId="0" fillId="16" borderId="72" xfId="0" applyNumberFormat="1" applyFill="1" applyBorder="1" applyAlignment="1">
      <alignment horizontal="right" vertical="center"/>
    </xf>
    <xf numFmtId="3" fontId="0" fillId="16" borderId="57" xfId="0" applyNumberFormat="1" applyFill="1" applyBorder="1" applyAlignment="1">
      <alignment horizontal="right" vertical="center"/>
    </xf>
    <xf numFmtId="10" fontId="0" fillId="16" borderId="56" xfId="0" applyNumberFormat="1" applyFill="1" applyBorder="1" applyAlignment="1">
      <alignment horizontal="center" vertical="center"/>
    </xf>
    <xf numFmtId="3" fontId="0" fillId="15" borderId="56" xfId="0" applyNumberFormat="1" applyFill="1" applyBorder="1" applyAlignment="1">
      <alignment horizontal="center" vertical="center"/>
    </xf>
    <xf numFmtId="0" fontId="0" fillId="0" borderId="76" xfId="0" applyBorder="1" applyAlignment="1">
      <alignment horizontal="center" vertical="center"/>
    </xf>
    <xf numFmtId="0" fontId="0" fillId="0" borderId="50" xfId="0" applyBorder="1" applyAlignment="1">
      <alignment horizontal="center" vertical="center"/>
    </xf>
    <xf numFmtId="0" fontId="0" fillId="0" borderId="77" xfId="0" applyBorder="1" applyAlignment="1">
      <alignment horizontal="center" vertical="center"/>
    </xf>
    <xf numFmtId="0" fontId="2" fillId="16" borderId="56" xfId="0" applyFont="1" applyFill="1" applyBorder="1" applyAlignment="1">
      <alignment horizontal="center" vertical="center"/>
    </xf>
    <xf numFmtId="0" fontId="2" fillId="16" borderId="71" xfId="0" applyFont="1" applyFill="1" applyBorder="1" applyAlignment="1">
      <alignment horizontal="center" vertical="center"/>
    </xf>
    <xf numFmtId="0" fontId="2" fillId="16" borderId="72" xfId="0" applyFont="1" applyFill="1" applyBorder="1" applyAlignment="1">
      <alignment horizontal="center" vertical="center"/>
    </xf>
    <xf numFmtId="0" fontId="2" fillId="16" borderId="57" xfId="0" applyFont="1" applyFill="1" applyBorder="1" applyAlignment="1">
      <alignment horizontal="center" vertical="center"/>
    </xf>
    <xf numFmtId="0" fontId="2" fillId="16" borderId="71" xfId="0" applyFont="1" applyFill="1" applyBorder="1" applyAlignment="1">
      <alignment horizontal="left" vertical="center"/>
    </xf>
    <xf numFmtId="0" fontId="2" fillId="16" borderId="72" xfId="0" applyFont="1" applyFill="1" applyBorder="1" applyAlignment="1">
      <alignment horizontal="left" vertical="center"/>
    </xf>
    <xf numFmtId="0" fontId="2" fillId="16" borderId="57" xfId="0" applyFont="1" applyFill="1" applyBorder="1" applyAlignment="1">
      <alignment horizontal="left" vertical="center"/>
    </xf>
    <xf numFmtId="0" fontId="2" fillId="0" borderId="71" xfId="0" applyFont="1" applyBorder="1" applyAlignment="1">
      <alignment horizontal="left" vertical="center"/>
    </xf>
    <xf numFmtId="0" fontId="2" fillId="0" borderId="57" xfId="0" applyFont="1" applyBorder="1" applyAlignment="1">
      <alignment horizontal="left" vertical="center"/>
    </xf>
    <xf numFmtId="0" fontId="0" fillId="16" borderId="56" xfId="0" applyFill="1" applyBorder="1" applyAlignment="1">
      <alignment horizontal="center" vertical="center"/>
    </xf>
    <xf numFmtId="0" fontId="0" fillId="16" borderId="71" xfId="0" applyFill="1" applyBorder="1" applyAlignment="1">
      <alignment horizontal="center" vertical="center"/>
    </xf>
    <xf numFmtId="0" fontId="0" fillId="16" borderId="72" xfId="0" applyFill="1" applyBorder="1" applyAlignment="1">
      <alignment horizontal="center" vertical="center"/>
    </xf>
    <xf numFmtId="0" fontId="0" fillId="16" borderId="57" xfId="0" applyFill="1" applyBorder="1" applyAlignment="1">
      <alignment horizontal="center" vertical="center"/>
    </xf>
    <xf numFmtId="0" fontId="2" fillId="15" borderId="0" xfId="0" applyFont="1" applyFill="1" applyBorder="1" applyAlignment="1">
      <alignment horizontal="center" vertical="center"/>
    </xf>
    <xf numFmtId="0" fontId="0" fillId="0" borderId="65" xfId="0" applyBorder="1" applyAlignment="1">
      <alignment horizontal="left" vertical="center"/>
    </xf>
    <xf numFmtId="3" fontId="60" fillId="16" borderId="76" xfId="0" applyNumberFormat="1" applyFont="1" applyFill="1" applyBorder="1" applyAlignment="1">
      <alignment horizontal="center" vertical="center"/>
    </xf>
    <xf numFmtId="3" fontId="60" fillId="16" borderId="50" xfId="0" applyNumberFormat="1" applyFont="1" applyFill="1" applyBorder="1" applyAlignment="1">
      <alignment horizontal="center" vertical="center"/>
    </xf>
    <xf numFmtId="3" fontId="60" fillId="16" borderId="77" xfId="0" applyNumberFormat="1" applyFont="1" applyFill="1" applyBorder="1" applyAlignment="1">
      <alignment horizontal="center" vertical="center"/>
    </xf>
    <xf numFmtId="0" fontId="2" fillId="15" borderId="50" xfId="0" applyFont="1" applyFill="1" applyBorder="1" applyAlignment="1">
      <alignment horizontal="center" vertical="center"/>
    </xf>
    <xf numFmtId="0" fontId="0" fillId="16" borderId="56" xfId="0" applyNumberFormat="1" applyFill="1" applyBorder="1" applyAlignment="1">
      <alignment horizontal="center" vertical="center"/>
    </xf>
    <xf numFmtId="0" fontId="0" fillId="16" borderId="71" xfId="0" applyNumberFormat="1" applyFill="1" applyBorder="1" applyAlignment="1">
      <alignment horizontal="center" vertical="center"/>
    </xf>
    <xf numFmtId="0" fontId="0" fillId="16" borderId="72" xfId="0" applyNumberFormat="1" applyFill="1" applyBorder="1" applyAlignment="1">
      <alignment horizontal="center" vertical="center"/>
    </xf>
    <xf numFmtId="0" fontId="0" fillId="16" borderId="57" xfId="0" applyNumberFormat="1" applyFill="1" applyBorder="1" applyAlignment="1">
      <alignment horizontal="center" vertical="center"/>
    </xf>
    <xf numFmtId="0" fontId="0" fillId="0" borderId="57" xfId="0" applyBorder="1" applyAlignment="1">
      <alignment horizontal="left" vertical="center" wrapText="1"/>
    </xf>
    <xf numFmtId="0" fontId="0" fillId="0" borderId="56" xfId="0" applyBorder="1" applyAlignment="1">
      <alignment horizontal="left" vertical="center" wrapText="1"/>
    </xf>
    <xf numFmtId="0" fontId="0" fillId="0" borderId="56" xfId="0" applyBorder="1" applyAlignment="1">
      <alignment horizontal="left" vertical="center"/>
    </xf>
    <xf numFmtId="0" fontId="2" fillId="0" borderId="57" xfId="0" applyFont="1" applyBorder="1" applyAlignment="1">
      <alignment horizontal="center" vertical="center"/>
    </xf>
    <xf numFmtId="0" fontId="0" fillId="0" borderId="73" xfId="0" applyBorder="1" applyAlignment="1">
      <alignment horizontal="center" vertical="center"/>
    </xf>
    <xf numFmtId="0" fontId="0" fillId="0" borderId="67" xfId="0" applyBorder="1" applyAlignment="1">
      <alignment horizontal="center" vertical="center"/>
    </xf>
    <xf numFmtId="0" fontId="0" fillId="0" borderId="73" xfId="0" applyBorder="1" applyAlignment="1">
      <alignment horizontal="left" vertical="center" wrapText="1"/>
    </xf>
    <xf numFmtId="0" fontId="0" fillId="0" borderId="75" xfId="0" applyBorder="1" applyAlignment="1">
      <alignment horizontal="left" vertical="center" wrapText="1"/>
    </xf>
    <xf numFmtId="0" fontId="0" fillId="0" borderId="67" xfId="0" applyBorder="1" applyAlignment="1">
      <alignment horizontal="left" vertical="center" wrapText="1"/>
    </xf>
    <xf numFmtId="0" fontId="0" fillId="0" borderId="0" xfId="0" applyBorder="1" applyAlignment="1">
      <alignment horizontal="left" vertical="center" wrapText="1"/>
    </xf>
    <xf numFmtId="0" fontId="0" fillId="0" borderId="65" xfId="0" applyBorder="1" applyAlignment="1">
      <alignment horizontal="left" vertical="center" wrapText="1"/>
    </xf>
    <xf numFmtId="0" fontId="0" fillId="0" borderId="76" xfId="0" applyBorder="1" applyAlignment="1">
      <alignment horizontal="left" vertical="center" wrapText="1"/>
    </xf>
    <xf numFmtId="0" fontId="0" fillId="0" borderId="50" xfId="0" applyBorder="1" applyAlignment="1">
      <alignment horizontal="left" vertical="center" wrapText="1"/>
    </xf>
    <xf numFmtId="0" fontId="0" fillId="0" borderId="77" xfId="0" applyBorder="1" applyAlignment="1">
      <alignment horizontal="left" vertical="center" wrapText="1"/>
    </xf>
    <xf numFmtId="0" fontId="59" fillId="0" borderId="0" xfId="0" applyFont="1" applyBorder="1" applyAlignment="1">
      <alignment horizontal="center"/>
    </xf>
    <xf numFmtId="0" fontId="0" fillId="0" borderId="0" xfId="0" applyBorder="1" applyAlignment="1">
      <alignment horizontal="center" vertical="center"/>
    </xf>
    <xf numFmtId="0" fontId="53" fillId="0" borderId="12" xfId="0" applyFont="1" applyBorder="1" applyAlignment="1">
      <alignment horizontal="right"/>
    </xf>
    <xf numFmtId="0" fontId="53" fillId="0" borderId="13" xfId="0" applyFont="1" applyBorder="1" applyAlignment="1">
      <alignment horizontal="right"/>
    </xf>
    <xf numFmtId="0" fontId="54" fillId="0" borderId="0" xfId="0" applyFont="1" applyBorder="1" applyAlignment="1">
      <alignment horizontal="center" vertical="center"/>
    </xf>
    <xf numFmtId="0" fontId="55" fillId="0" borderId="0" xfId="0" applyFont="1" applyBorder="1" applyAlignment="1">
      <alignment horizontal="center" vertical="center" wrapText="1"/>
    </xf>
    <xf numFmtId="0" fontId="55" fillId="0" borderId="0" xfId="0" applyFont="1" applyBorder="1" applyAlignment="1">
      <alignment horizontal="center" vertical="center"/>
    </xf>
    <xf numFmtId="187" fontId="56" fillId="0" borderId="0" xfId="0" applyNumberFormat="1" applyFont="1" applyBorder="1" applyAlignment="1">
      <alignment horizontal="center" vertical="center"/>
    </xf>
    <xf numFmtId="0" fontId="57" fillId="0" borderId="0" xfId="0" applyFont="1" applyBorder="1" applyAlignment="1">
      <alignment horizontal="justify" vertical="center" wrapText="1"/>
    </xf>
    <xf numFmtId="0" fontId="0" fillId="0" borderId="67" xfId="0" applyBorder="1" applyAlignment="1">
      <alignment horizontal="left" vertical="center"/>
    </xf>
    <xf numFmtId="0" fontId="0" fillId="0" borderId="0" xfId="0" applyBorder="1" applyAlignment="1">
      <alignment horizontal="right" vertical="center"/>
    </xf>
    <xf numFmtId="0" fontId="33" fillId="0" borderId="355" xfId="0" applyFont="1" applyBorder="1" applyAlignment="1">
      <alignment horizontal="center" vertical="center" wrapText="1"/>
    </xf>
    <xf numFmtId="0" fontId="33" fillId="0" borderId="316" xfId="0" applyFont="1" applyBorder="1" applyAlignment="1">
      <alignment horizontal="center" vertical="center" wrapText="1"/>
    </xf>
    <xf numFmtId="0" fontId="33" fillId="0" borderId="321" xfId="0" applyFont="1" applyBorder="1" applyAlignment="1">
      <alignment horizontal="center" vertical="center" wrapText="1"/>
    </xf>
    <xf numFmtId="0" fontId="135" fillId="127" borderId="47" xfId="0" applyFont="1" applyFill="1" applyBorder="1" applyAlignment="1" applyProtection="1">
      <alignment horizontal="center" vertical="center"/>
      <protection locked="0"/>
    </xf>
    <xf numFmtId="0" fontId="135" fillId="127" borderId="0" xfId="0" applyFont="1" applyFill="1" applyBorder="1" applyAlignment="1" applyProtection="1">
      <alignment horizontal="center" vertical="center"/>
      <protection locked="0"/>
    </xf>
    <xf numFmtId="0" fontId="74" fillId="26" borderId="313" xfId="0" applyFont="1" applyFill="1" applyBorder="1" applyAlignment="1">
      <alignment horizontal="center" vertical="center" wrapText="1"/>
    </xf>
    <xf numFmtId="0" fontId="74" fillId="26" borderId="317" xfId="0" applyFont="1" applyFill="1" applyBorder="1" applyAlignment="1">
      <alignment horizontal="center" vertical="center" wrapText="1"/>
    </xf>
    <xf numFmtId="0" fontId="0" fillId="0" borderId="317" xfId="0" applyBorder="1" applyAlignment="1">
      <alignment horizontal="center" vertical="center"/>
    </xf>
    <xf numFmtId="0" fontId="74" fillId="18" borderId="313" xfId="0" applyFont="1" applyFill="1" applyBorder="1" applyAlignment="1" applyProtection="1">
      <alignment horizontal="center" vertical="center"/>
      <protection locked="0"/>
    </xf>
    <xf numFmtId="0" fontId="74" fillId="18" borderId="317" xfId="0" applyFont="1" applyFill="1" applyBorder="1" applyAlignment="1" applyProtection="1">
      <alignment horizontal="center" vertical="center"/>
      <protection locked="0"/>
    </xf>
    <xf numFmtId="0" fontId="74" fillId="18" borderId="322" xfId="0" applyFont="1" applyFill="1" applyBorder="1" applyAlignment="1" applyProtection="1">
      <alignment horizontal="center" vertical="center"/>
      <protection locked="0"/>
    </xf>
    <xf numFmtId="0" fontId="0" fillId="0" borderId="354" xfId="0" applyBorder="1" applyAlignment="1">
      <alignment horizontal="center" vertical="center"/>
    </xf>
    <xf numFmtId="0" fontId="0" fillId="0" borderId="315" xfId="0" applyBorder="1" applyAlignment="1">
      <alignment horizontal="center" vertical="center"/>
    </xf>
    <xf numFmtId="17" fontId="238" fillId="128" borderId="47" xfId="0" applyNumberFormat="1" applyFont="1" applyFill="1" applyBorder="1" applyAlignment="1" applyProtection="1">
      <alignment horizontal="center" vertical="center" wrapText="1"/>
      <protection locked="0"/>
    </xf>
    <xf numFmtId="17" fontId="238" fillId="128" borderId="0" xfId="0" applyNumberFormat="1" applyFont="1" applyFill="1" applyBorder="1" applyAlignment="1" applyProtection="1">
      <alignment horizontal="center" vertical="center" wrapText="1"/>
      <protection locked="0"/>
    </xf>
    <xf numFmtId="0" fontId="243" fillId="108" borderId="8" xfId="0" applyFont="1" applyFill="1" applyBorder="1" applyAlignment="1" applyProtection="1">
      <alignment horizontal="center" vertical="center" wrapText="1"/>
      <protection locked="0"/>
    </xf>
    <xf numFmtId="0" fontId="243" fillId="108" borderId="10" xfId="0" applyFont="1" applyFill="1" applyBorder="1" applyAlignment="1" applyProtection="1">
      <alignment horizontal="center" vertical="center" wrapText="1"/>
      <protection locked="0"/>
    </xf>
    <xf numFmtId="175" fontId="249" fillId="131" borderId="107" xfId="1" applyNumberFormat="1" applyFont="1" applyFill="1" applyBorder="1" applyAlignment="1">
      <alignment horizontal="center" vertical="center"/>
    </xf>
    <xf numFmtId="175" fontId="249" fillId="131" borderId="108" xfId="1" applyNumberFormat="1" applyFont="1" applyFill="1" applyBorder="1" applyAlignment="1">
      <alignment horizontal="center" vertical="center"/>
    </xf>
    <xf numFmtId="0" fontId="93" fillId="0" borderId="148" xfId="0" applyFont="1" applyBorder="1" applyAlignment="1">
      <alignment horizontal="center" vertical="center" wrapText="1"/>
    </xf>
    <xf numFmtId="0" fontId="93" fillId="0" borderId="149" xfId="0" applyFont="1" applyBorder="1" applyAlignment="1">
      <alignment horizontal="center" vertical="center" wrapText="1"/>
    </xf>
    <xf numFmtId="0" fontId="93" fillId="0" borderId="150" xfId="0" applyFont="1" applyBorder="1" applyAlignment="1">
      <alignment horizontal="center" vertical="center" wrapText="1"/>
    </xf>
    <xf numFmtId="0" fontId="93" fillId="0" borderId="146" xfId="0" applyFont="1" applyBorder="1" applyAlignment="1">
      <alignment horizontal="center" vertical="center" wrapText="1"/>
    </xf>
    <xf numFmtId="0" fontId="93" fillId="0" borderId="0" xfId="0" applyFont="1" applyBorder="1" applyAlignment="1">
      <alignment horizontal="center" vertical="center" wrapText="1"/>
    </xf>
    <xf numFmtId="0" fontId="93" fillId="0" borderId="172" xfId="0" applyFont="1" applyBorder="1" applyAlignment="1">
      <alignment horizontal="center" vertical="center" wrapText="1"/>
    </xf>
    <xf numFmtId="0" fontId="93" fillId="0" borderId="341" xfId="0" applyFont="1" applyBorder="1" applyAlignment="1">
      <alignment horizontal="center" vertical="center" wrapText="1"/>
    </xf>
    <xf numFmtId="0" fontId="93" fillId="0" borderId="340" xfId="0" applyFont="1" applyBorder="1" applyAlignment="1">
      <alignment horizontal="center" vertical="center" wrapText="1"/>
    </xf>
    <xf numFmtId="0" fontId="93" fillId="0" borderId="342" xfId="0" applyFont="1" applyBorder="1" applyAlignment="1">
      <alignment horizontal="center" vertical="center" wrapText="1"/>
    </xf>
    <xf numFmtId="2" fontId="2" fillId="50" borderId="104" xfId="21" applyNumberFormat="1" applyFont="1" applyFill="1" applyBorder="1" applyAlignment="1">
      <alignment horizontal="center" vertical="center" wrapText="1"/>
    </xf>
    <xf numFmtId="2" fontId="2" fillId="50" borderId="15" xfId="21" applyNumberFormat="1" applyFont="1" applyFill="1" applyBorder="1" applyAlignment="1">
      <alignment horizontal="center" vertical="center" wrapText="1"/>
    </xf>
    <xf numFmtId="175" fontId="2" fillId="50" borderId="104" xfId="0" applyNumberFormat="1" applyFont="1" applyFill="1" applyBorder="1" applyAlignment="1">
      <alignment horizontal="center" vertical="center" wrapText="1"/>
    </xf>
    <xf numFmtId="175" fontId="2" fillId="50" borderId="15" xfId="0" applyNumberFormat="1" applyFont="1" applyFill="1" applyBorder="1" applyAlignment="1">
      <alignment horizontal="center" vertical="center" wrapText="1"/>
    </xf>
    <xf numFmtId="0" fontId="94" fillId="108" borderId="8" xfId="0" applyFont="1" applyFill="1" applyBorder="1" applyAlignment="1">
      <alignment horizontal="center" vertical="center" wrapText="1"/>
    </xf>
    <xf numFmtId="0" fontId="94" fillId="108" borderId="104" xfId="0" applyFont="1" applyFill="1" applyBorder="1" applyAlignment="1">
      <alignment horizontal="center" vertical="center" wrapText="1"/>
    </xf>
    <xf numFmtId="0" fontId="94" fillId="108" borderId="10" xfId="0" applyFont="1" applyFill="1" applyBorder="1" applyAlignment="1">
      <alignment horizontal="center" vertical="center" wrapText="1"/>
    </xf>
    <xf numFmtId="0" fontId="93" fillId="108" borderId="333" xfId="0" applyFont="1" applyFill="1" applyBorder="1" applyAlignment="1">
      <alignment horizontal="center" vertical="center" wrapText="1"/>
    </xf>
    <xf numFmtId="0" fontId="93" fillId="108" borderId="207" xfId="0" applyFont="1" applyFill="1" applyBorder="1" applyAlignment="1">
      <alignment horizontal="center" vertical="center" wrapText="1"/>
    </xf>
    <xf numFmtId="0" fontId="93" fillId="108" borderId="334" xfId="0" applyFont="1" applyFill="1" applyBorder="1" applyAlignment="1">
      <alignment horizontal="center" vertical="center" wrapText="1"/>
    </xf>
    <xf numFmtId="0" fontId="0" fillId="0" borderId="404" xfId="0" applyBorder="1" applyAlignment="1">
      <alignment horizontal="center"/>
    </xf>
    <xf numFmtId="0" fontId="0" fillId="0" borderId="405" xfId="0" applyBorder="1" applyAlignment="1">
      <alignment horizontal="center"/>
    </xf>
    <xf numFmtId="0" fontId="0" fillId="0" borderId="406" xfId="0" applyBorder="1" applyAlignment="1">
      <alignment horizontal="center"/>
    </xf>
    <xf numFmtId="0" fontId="2" fillId="29" borderId="297" xfId="0" applyFont="1" applyFill="1" applyBorder="1" applyAlignment="1">
      <alignment horizontal="center" vertical="center" wrapText="1"/>
    </xf>
    <xf numFmtId="0" fontId="2" fillId="29" borderId="67" xfId="0" applyFont="1" applyFill="1" applyBorder="1" applyAlignment="1">
      <alignment horizontal="center" vertical="center" wrapText="1"/>
    </xf>
    <xf numFmtId="0" fontId="2" fillId="29" borderId="76" xfId="0" applyFont="1" applyFill="1" applyBorder="1" applyAlignment="1">
      <alignment horizontal="center" vertical="center" wrapText="1"/>
    </xf>
    <xf numFmtId="0" fontId="125" fillId="29" borderId="76" xfId="0" applyFont="1" applyFill="1" applyBorder="1" applyAlignment="1">
      <alignment horizontal="center" vertical="center" wrapText="1"/>
    </xf>
    <xf numFmtId="0" fontId="125" fillId="29" borderId="77" xfId="0" applyFont="1" applyFill="1" applyBorder="1" applyAlignment="1">
      <alignment horizontal="center" vertical="center" wrapText="1"/>
    </xf>
    <xf numFmtId="0" fontId="125" fillId="29" borderId="299" xfId="0" applyFont="1" applyFill="1" applyBorder="1" applyAlignment="1">
      <alignment horizontal="center" vertical="center"/>
    </xf>
    <xf numFmtId="0" fontId="125" fillId="29" borderId="304" xfId="0" applyFont="1" applyFill="1" applyBorder="1" applyAlignment="1">
      <alignment horizontal="center" vertical="center"/>
    </xf>
    <xf numFmtId="0" fontId="2" fillId="29" borderId="130" xfId="0" applyFont="1" applyFill="1" applyBorder="1" applyAlignment="1">
      <alignment horizontal="center" vertical="center" wrapText="1"/>
    </xf>
    <xf numFmtId="0" fontId="2" fillId="29" borderId="132" xfId="0" applyFont="1" applyFill="1" applyBorder="1" applyAlignment="1">
      <alignment horizontal="center" vertical="center" wrapText="1"/>
    </xf>
    <xf numFmtId="0" fontId="2" fillId="29" borderId="333" xfId="0" applyFont="1" applyFill="1" applyBorder="1" applyAlignment="1">
      <alignment horizontal="center" vertical="center" wrapText="1"/>
    </xf>
    <xf numFmtId="0" fontId="2" fillId="29" borderId="334" xfId="0" applyFont="1" applyFill="1" applyBorder="1" applyAlignment="1">
      <alignment horizontal="center" vertical="center" wrapText="1"/>
    </xf>
    <xf numFmtId="0" fontId="35" fillId="29" borderId="105" xfId="0" applyFont="1" applyFill="1" applyBorder="1" applyAlignment="1">
      <alignment horizontal="center" vertical="center" wrapText="1"/>
    </xf>
    <xf numFmtId="0" fontId="35" fillId="29" borderId="332" xfId="0" applyFont="1" applyFill="1" applyBorder="1" applyAlignment="1">
      <alignment horizontal="center" vertical="center" wrapText="1"/>
    </xf>
    <xf numFmtId="0" fontId="125" fillId="29" borderId="121" xfId="0" applyFont="1" applyFill="1" applyBorder="1" applyAlignment="1">
      <alignment horizontal="center" vertical="center" wrapText="1"/>
    </xf>
    <xf numFmtId="0" fontId="125" fillId="29" borderId="357" xfId="0" applyFont="1" applyFill="1" applyBorder="1" applyAlignment="1">
      <alignment horizontal="center" vertical="center" wrapText="1"/>
    </xf>
    <xf numFmtId="0" fontId="218" fillId="5" borderId="8" xfId="3" applyFont="1" applyFill="1" applyBorder="1" applyAlignment="1">
      <alignment horizontal="center" vertical="center" wrapText="1"/>
    </xf>
    <xf numFmtId="0" fontId="218" fillId="5" borderId="104" xfId="3" applyFont="1" applyFill="1" applyBorder="1" applyAlignment="1">
      <alignment horizontal="center" vertical="center" wrapText="1"/>
    </xf>
    <xf numFmtId="0" fontId="218" fillId="5" borderId="10" xfId="3" applyFont="1" applyFill="1" applyBorder="1" applyAlignment="1">
      <alignment horizontal="center" vertical="center" wrapText="1"/>
    </xf>
    <xf numFmtId="0" fontId="218" fillId="59" borderId="8" xfId="3" applyFont="1" applyFill="1" applyBorder="1" applyAlignment="1">
      <alignment horizontal="center" vertical="center"/>
    </xf>
    <xf numFmtId="0" fontId="218" fillId="59" borderId="104" xfId="3" applyFont="1" applyFill="1" applyBorder="1" applyAlignment="1">
      <alignment horizontal="center" vertical="center"/>
    </xf>
    <xf numFmtId="0" fontId="218" fillId="59" borderId="10" xfId="3" applyFont="1" applyFill="1" applyBorder="1" applyAlignment="1">
      <alignment horizontal="center" vertical="center"/>
    </xf>
    <xf numFmtId="0" fontId="10" fillId="112" borderId="8" xfId="3" applyFont="1" applyFill="1" applyBorder="1" applyAlignment="1">
      <alignment horizontal="center" vertical="center" wrapText="1"/>
    </xf>
    <xf numFmtId="0" fontId="10" fillId="112" borderId="104" xfId="3" applyFont="1" applyFill="1" applyBorder="1" applyAlignment="1">
      <alignment horizontal="center" vertical="center" wrapText="1"/>
    </xf>
    <xf numFmtId="0" fontId="10" fillId="112" borderId="10" xfId="3" applyFont="1" applyFill="1" applyBorder="1" applyAlignment="1">
      <alignment horizontal="center" vertical="center" wrapText="1"/>
    </xf>
    <xf numFmtId="0" fontId="27" fillId="110" borderId="8" xfId="6" applyFont="1" applyFill="1" applyBorder="1" applyAlignment="1">
      <alignment horizontal="center" vertical="center" wrapText="1"/>
    </xf>
    <xf numFmtId="0" fontId="27" fillId="110" borderId="104" xfId="6" applyFont="1" applyFill="1" applyBorder="1" applyAlignment="1">
      <alignment horizontal="center" vertical="center" wrapText="1"/>
    </xf>
    <xf numFmtId="0" fontId="27" fillId="110" borderId="10" xfId="6" applyFont="1" applyFill="1" applyBorder="1" applyAlignment="1">
      <alignment horizontal="center" vertical="center" wrapText="1"/>
    </xf>
    <xf numFmtId="0" fontId="27" fillId="111" borderId="8" xfId="6" applyFont="1" applyFill="1" applyBorder="1" applyAlignment="1">
      <alignment horizontal="center" vertical="center" wrapText="1"/>
    </xf>
    <xf numFmtId="0" fontId="27" fillId="111" borderId="104" xfId="6" applyFont="1" applyFill="1" applyBorder="1" applyAlignment="1">
      <alignment horizontal="center" vertical="center" wrapText="1"/>
    </xf>
    <xf numFmtId="0" fontId="27" fillId="111" borderId="10" xfId="6" applyFont="1" applyFill="1" applyBorder="1" applyAlignment="1">
      <alignment horizontal="center" vertical="center" wrapText="1"/>
    </xf>
    <xf numFmtId="16" fontId="21" fillId="0" borderId="130" xfId="5" applyNumberFormat="1" applyFont="1" applyBorder="1" applyAlignment="1">
      <alignment horizontal="center" vertical="center" wrapText="1"/>
    </xf>
    <xf numFmtId="16" fontId="21" fillId="0" borderId="47" xfId="5" applyNumberFormat="1" applyFont="1" applyBorder="1" applyAlignment="1">
      <alignment horizontal="center" vertical="center" wrapText="1"/>
    </xf>
    <xf numFmtId="16" fontId="21" fillId="0" borderId="333" xfId="5" applyNumberFormat="1" applyFont="1" applyBorder="1" applyAlignment="1">
      <alignment horizontal="center" vertical="center" wrapText="1"/>
    </xf>
    <xf numFmtId="200" fontId="21" fillId="0" borderId="132" xfId="5" applyNumberFormat="1" applyFont="1" applyBorder="1" applyAlignment="1">
      <alignment horizontal="center" vertical="center" wrapText="1"/>
    </xf>
    <xf numFmtId="200" fontId="21" fillId="0" borderId="48" xfId="5" applyNumberFormat="1" applyFont="1" applyBorder="1" applyAlignment="1">
      <alignment horizontal="center" vertical="center" wrapText="1"/>
    </xf>
    <xf numFmtId="200" fontId="21" fillId="0" borderId="334" xfId="5" applyNumberFormat="1" applyFont="1" applyBorder="1" applyAlignment="1">
      <alignment horizontal="center" vertical="center" wrapText="1"/>
    </xf>
    <xf numFmtId="0" fontId="115" fillId="48" borderId="8" xfId="0" applyFont="1" applyFill="1" applyBorder="1" applyAlignment="1">
      <alignment horizontal="center"/>
    </xf>
    <xf numFmtId="0" fontId="115" fillId="48" borderId="10" xfId="0" applyFont="1" applyFill="1" applyBorder="1" applyAlignment="1">
      <alignment horizontal="center"/>
    </xf>
    <xf numFmtId="0" fontId="0" fillId="0" borderId="251" xfId="0" applyBorder="1" applyAlignment="1">
      <alignment horizontal="center"/>
    </xf>
    <xf numFmtId="0" fontId="0" fillId="0" borderId="271" xfId="0" applyBorder="1" applyAlignment="1">
      <alignment horizontal="center"/>
    </xf>
    <xf numFmtId="0" fontId="228" fillId="91" borderId="0" xfId="0" applyFont="1" applyFill="1" applyAlignment="1">
      <alignment horizontal="center" wrapText="1"/>
    </xf>
    <xf numFmtId="0" fontId="74" fillId="108" borderId="0" xfId="0" applyFont="1" applyFill="1" applyAlignment="1">
      <alignment horizontal="center" vertical="center"/>
    </xf>
    <xf numFmtId="0" fontId="0" fillId="0" borderId="58" xfId="0" applyBorder="1" applyAlignment="1">
      <alignment horizontal="center" vertical="center"/>
    </xf>
    <xf numFmtId="0" fontId="0" fillId="0" borderId="59" xfId="0" applyBorder="1" applyAlignment="1">
      <alignment horizontal="center" vertical="center" wrapText="1"/>
    </xf>
    <xf numFmtId="2" fontId="76" fillId="0" borderId="114" xfId="0" applyNumberFormat="1" applyFont="1" applyBorder="1" applyAlignment="1">
      <alignment horizontal="center" vertical="center"/>
    </xf>
    <xf numFmtId="2" fontId="76" fillId="0" borderId="103" xfId="0" applyNumberFormat="1" applyFont="1" applyBorder="1" applyAlignment="1">
      <alignment horizontal="center" vertical="center"/>
    </xf>
    <xf numFmtId="2" fontId="76" fillId="0" borderId="34" xfId="0" applyNumberFormat="1" applyFont="1" applyBorder="1" applyAlignment="1">
      <alignment horizontal="center" vertical="center"/>
    </xf>
    <xf numFmtId="2" fontId="76" fillId="0" borderId="81" xfId="0" applyNumberFormat="1" applyFont="1" applyBorder="1" applyAlignment="1">
      <alignment horizontal="center" vertical="center"/>
    </xf>
    <xf numFmtId="2" fontId="76" fillId="0" borderId="120" xfId="0" applyNumberFormat="1" applyFont="1" applyBorder="1" applyAlignment="1">
      <alignment horizontal="center" vertical="center"/>
    </xf>
    <xf numFmtId="2" fontId="76" fillId="0" borderId="1" xfId="0" applyNumberFormat="1" applyFont="1" applyBorder="1" applyAlignment="1">
      <alignment horizontal="center" vertical="center"/>
    </xf>
    <xf numFmtId="0" fontId="27" fillId="8" borderId="33" xfId="6" applyFont="1" applyFill="1" applyBorder="1" applyAlignment="1">
      <alignment horizontal="center" vertical="center" wrapText="1"/>
    </xf>
    <xf numFmtId="0" fontId="27" fillId="8" borderId="131" xfId="6" applyFont="1" applyFill="1" applyBorder="1" applyAlignment="1">
      <alignment horizontal="center" vertical="center" wrapText="1"/>
    </xf>
    <xf numFmtId="0" fontId="27" fillId="8" borderId="34" xfId="6" applyFont="1" applyFill="1" applyBorder="1" applyAlignment="1">
      <alignment horizontal="center" vertical="center" wrapText="1"/>
    </xf>
    <xf numFmtId="0" fontId="3" fillId="0" borderId="105" xfId="0" applyFont="1" applyBorder="1" applyAlignment="1">
      <alignment horizontal="center" vertical="center" wrapText="1"/>
    </xf>
    <xf numFmtId="0" fontId="3" fillId="0" borderId="332" xfId="0" applyFont="1" applyBorder="1" applyAlignment="1">
      <alignment horizontal="center" vertical="center"/>
    </xf>
    <xf numFmtId="15" fontId="0" fillId="0" borderId="0" xfId="0" applyNumberFormat="1" applyFill="1" applyBorder="1" applyAlignment="1">
      <alignment horizontal="center" vertical="center" wrapText="1"/>
    </xf>
    <xf numFmtId="0" fontId="0" fillId="0" borderId="0" xfId="0" applyFill="1" applyBorder="1" applyAlignment="1">
      <alignment horizontal="center" vertical="center" wrapText="1"/>
    </xf>
    <xf numFmtId="15" fontId="0" fillId="127" borderId="105" xfId="0" applyNumberFormat="1" applyFill="1" applyBorder="1" applyAlignment="1">
      <alignment horizontal="center" vertical="center"/>
    </xf>
    <xf numFmtId="15" fontId="0" fillId="0" borderId="14" xfId="0" applyNumberFormat="1" applyBorder="1" applyAlignment="1">
      <alignment horizontal="center" vertical="center"/>
    </xf>
    <xf numFmtId="0" fontId="0" fillId="127" borderId="105" xfId="0" applyFill="1" applyBorder="1" applyAlignment="1">
      <alignment horizontal="center" vertical="center"/>
    </xf>
    <xf numFmtId="0" fontId="0" fillId="0" borderId="14" xfId="0" applyBorder="1" applyAlignment="1">
      <alignment horizontal="center" vertical="center"/>
    </xf>
    <xf numFmtId="0" fontId="0" fillId="124" borderId="105" xfId="0" applyFill="1" applyBorder="1" applyAlignment="1">
      <alignment horizontal="center" vertical="center"/>
    </xf>
    <xf numFmtId="0" fontId="0" fillId="124" borderId="14" xfId="0" applyFill="1" applyBorder="1" applyAlignment="1">
      <alignment horizontal="center" vertical="center"/>
    </xf>
    <xf numFmtId="15" fontId="0" fillId="124" borderId="105" xfId="0" applyNumberFormat="1" applyFill="1" applyBorder="1" applyAlignment="1">
      <alignment horizontal="center" vertical="center"/>
    </xf>
    <xf numFmtId="15" fontId="0" fillId="124" borderId="14" xfId="0" applyNumberFormat="1" applyFill="1" applyBorder="1" applyAlignment="1">
      <alignment horizontal="center" vertical="center"/>
    </xf>
    <xf numFmtId="0" fontId="253" fillId="0" borderId="105" xfId="0" applyFont="1" applyBorder="1" applyAlignment="1">
      <alignment horizontal="center" vertical="center"/>
    </xf>
    <xf numFmtId="0" fontId="253" fillId="0" borderId="332" xfId="0" applyFont="1" applyBorder="1" applyAlignment="1">
      <alignment horizontal="center" vertical="center"/>
    </xf>
    <xf numFmtId="247" fontId="0" fillId="47" borderId="26" xfId="0" applyNumberFormat="1" applyFill="1" applyBorder="1" applyAlignment="1">
      <alignment horizontal="center" vertical="center" wrapText="1"/>
    </xf>
    <xf numFmtId="15" fontId="0" fillId="108" borderId="105" xfId="0" applyNumberFormat="1" applyFill="1" applyBorder="1" applyAlignment="1">
      <alignment horizontal="center" vertical="center" wrapText="1"/>
    </xf>
    <xf numFmtId="15" fontId="0" fillId="0" borderId="332" xfId="0" applyNumberFormat="1" applyBorder="1" applyAlignment="1">
      <alignment horizontal="center" vertical="center" wrapText="1"/>
    </xf>
    <xf numFmtId="247" fontId="0" fillId="134" borderId="26" xfId="0" applyNumberFormat="1" applyFill="1" applyBorder="1" applyAlignment="1">
      <alignment horizontal="center" vertical="center" wrapText="1"/>
    </xf>
    <xf numFmtId="15" fontId="0" fillId="134" borderId="105" xfId="0" applyNumberFormat="1" applyFill="1" applyBorder="1" applyAlignment="1">
      <alignment horizontal="center" vertical="center" wrapText="1"/>
    </xf>
    <xf numFmtId="15" fontId="0" fillId="134" borderId="332" xfId="0" applyNumberFormat="1" applyFill="1" applyBorder="1" applyAlignment="1">
      <alignment horizontal="center" vertical="center" wrapText="1"/>
    </xf>
    <xf numFmtId="15" fontId="0" fillId="47" borderId="105" xfId="0" applyNumberFormat="1" applyFill="1" applyBorder="1" applyAlignment="1">
      <alignment horizontal="center" vertical="center" wrapText="1"/>
    </xf>
    <xf numFmtId="0" fontId="0" fillId="0" borderId="332" xfId="0" applyBorder="1" applyAlignment="1">
      <alignment horizontal="center" vertical="center" wrapText="1"/>
    </xf>
    <xf numFmtId="0" fontId="0" fillId="135" borderId="26" xfId="0" applyFill="1" applyBorder="1" applyAlignment="1">
      <alignment horizontal="center" vertical="center" wrapText="1"/>
    </xf>
    <xf numFmtId="247" fontId="0" fillId="29" borderId="26" xfId="0" applyNumberFormat="1" applyFill="1" applyBorder="1" applyAlignment="1">
      <alignment horizontal="center" vertical="center" wrapText="1"/>
    </xf>
    <xf numFmtId="15" fontId="0" fillId="29" borderId="26" xfId="0" applyNumberFormat="1" applyFill="1" applyBorder="1" applyAlignment="1">
      <alignment horizontal="center" vertical="center" wrapText="1"/>
    </xf>
    <xf numFmtId="247" fontId="0" fillId="134" borderId="105" xfId="0" applyNumberFormat="1" applyFill="1" applyBorder="1" applyAlignment="1">
      <alignment horizontal="center" vertical="center" wrapText="1"/>
    </xf>
    <xf numFmtId="247" fontId="0" fillId="134" borderId="332" xfId="0" applyNumberFormat="1" applyFill="1" applyBorder="1" applyAlignment="1">
      <alignment horizontal="center" vertical="center" wrapText="1"/>
    </xf>
    <xf numFmtId="0" fontId="0" fillId="0" borderId="332" xfId="0" applyBorder="1" applyAlignment="1">
      <alignment horizontal="center" vertical="center"/>
    </xf>
    <xf numFmtId="0" fontId="3" fillId="0" borderId="105" xfId="0" applyFont="1" applyBorder="1" applyAlignment="1">
      <alignment horizontal="center" vertical="center"/>
    </xf>
    <xf numFmtId="0" fontId="0" fillId="135" borderId="105" xfId="0" applyFill="1" applyBorder="1" applyAlignment="1">
      <alignment horizontal="center" vertical="center" wrapText="1"/>
    </xf>
    <xf numFmtId="0" fontId="0" fillId="135" borderId="332" xfId="0" applyFill="1" applyBorder="1" applyAlignment="1">
      <alignment horizontal="center" vertical="center" wrapText="1"/>
    </xf>
    <xf numFmtId="247" fontId="0" fillId="29" borderId="105" xfId="0" applyNumberFormat="1" applyFill="1" applyBorder="1" applyAlignment="1">
      <alignment horizontal="center" vertical="center" wrapText="1"/>
    </xf>
    <xf numFmtId="247" fontId="0" fillId="29" borderId="332" xfId="0" applyNumberFormat="1" applyFill="1" applyBorder="1" applyAlignment="1">
      <alignment horizontal="center" vertical="center" wrapText="1"/>
    </xf>
    <xf numFmtId="15" fontId="0" fillId="29" borderId="105" xfId="0" applyNumberFormat="1" applyFill="1" applyBorder="1" applyAlignment="1">
      <alignment horizontal="center" vertical="center" wrapText="1"/>
    </xf>
    <xf numFmtId="15" fontId="0" fillId="29" borderId="332" xfId="0" applyNumberFormat="1" applyFill="1" applyBorder="1" applyAlignment="1">
      <alignment horizontal="center" vertical="center" wrapText="1"/>
    </xf>
    <xf numFmtId="247" fontId="0" fillId="47" borderId="105" xfId="0" applyNumberFormat="1" applyFill="1" applyBorder="1" applyAlignment="1">
      <alignment horizontal="center" vertical="center" wrapText="1"/>
    </xf>
    <xf numFmtId="247" fontId="0" fillId="47" borderId="332" xfId="0" applyNumberFormat="1" applyFill="1" applyBorder="1" applyAlignment="1">
      <alignment horizontal="center" vertical="center" wrapText="1"/>
    </xf>
    <xf numFmtId="15" fontId="3" fillId="134" borderId="105" xfId="0" applyNumberFormat="1" applyFont="1" applyFill="1" applyBorder="1" applyAlignment="1">
      <alignment horizontal="center" vertical="center" wrapText="1"/>
    </xf>
    <xf numFmtId="0" fontId="3" fillId="127" borderId="105" xfId="0" applyFont="1" applyFill="1" applyBorder="1" applyAlignment="1">
      <alignment horizontal="center" vertical="center" wrapText="1"/>
    </xf>
    <xf numFmtId="15" fontId="0" fillId="0" borderId="332" xfId="0" applyNumberFormat="1" applyBorder="1" applyAlignment="1">
      <alignment horizontal="center" vertical="center"/>
    </xf>
    <xf numFmtId="15" fontId="0" fillId="124" borderId="332" xfId="0" applyNumberFormat="1" applyFill="1" applyBorder="1" applyAlignment="1">
      <alignment horizontal="center" vertical="center"/>
    </xf>
    <xf numFmtId="0" fontId="0" fillId="124" borderId="332" xfId="0" applyFill="1" applyBorder="1" applyAlignment="1">
      <alignment horizontal="center" vertical="center"/>
    </xf>
    <xf numFmtId="0" fontId="0" fillId="127" borderId="105" xfId="0" applyFill="1" applyBorder="1" applyAlignment="1">
      <alignment horizontal="center" vertical="center" wrapText="1"/>
    </xf>
    <xf numFmtId="0" fontId="0" fillId="124" borderId="105" xfId="0" applyFill="1" applyBorder="1" applyAlignment="1">
      <alignment horizontal="center" vertical="center" wrapText="1"/>
    </xf>
    <xf numFmtId="0" fontId="0" fillId="124" borderId="332" xfId="0" applyFill="1" applyBorder="1" applyAlignment="1">
      <alignment horizontal="center" vertical="center" wrapText="1"/>
    </xf>
    <xf numFmtId="0" fontId="249" fillId="0" borderId="0" xfId="0" applyFont="1" applyAlignment="1">
      <alignment horizontal="center"/>
    </xf>
    <xf numFmtId="0" fontId="2" fillId="92" borderId="130" xfId="0" applyFont="1" applyFill="1" applyBorder="1" applyAlignment="1">
      <alignment horizontal="center"/>
    </xf>
    <xf numFmtId="0" fontId="2" fillId="92" borderId="131" xfId="0" applyFont="1" applyFill="1" applyBorder="1" applyAlignment="1">
      <alignment horizontal="center"/>
    </xf>
    <xf numFmtId="0" fontId="2" fillId="92" borderId="8" xfId="0" applyFont="1" applyFill="1" applyBorder="1" applyAlignment="1">
      <alignment horizontal="center"/>
    </xf>
    <xf numFmtId="0" fontId="2" fillId="92" borderId="104" xfId="0" applyFont="1" applyFill="1" applyBorder="1" applyAlignment="1">
      <alignment horizontal="center"/>
    </xf>
    <xf numFmtId="0" fontId="2" fillId="92" borderId="10" xfId="0" applyFont="1" applyFill="1" applyBorder="1" applyAlignment="1">
      <alignment horizontal="center"/>
    </xf>
    <xf numFmtId="0" fontId="2" fillId="92" borderId="105" xfId="0" applyFont="1" applyFill="1" applyBorder="1" applyAlignment="1">
      <alignment horizontal="center" vertical="center"/>
    </xf>
    <xf numFmtId="0" fontId="2" fillId="92" borderId="14" xfId="0" applyFont="1" applyFill="1" applyBorder="1" applyAlignment="1">
      <alignment horizontal="center" vertical="center"/>
    </xf>
    <xf numFmtId="1" fontId="0" fillId="91" borderId="186" xfId="0" applyNumberFormat="1" applyFill="1" applyBorder="1" applyAlignment="1">
      <alignment horizontal="center" vertical="center"/>
    </xf>
    <xf numFmtId="0" fontId="0" fillId="91" borderId="186" xfId="0" applyFill="1" applyBorder="1" applyAlignment="1">
      <alignment horizontal="center"/>
    </xf>
    <xf numFmtId="49" fontId="0" fillId="91" borderId="186" xfId="0" applyNumberFormat="1" applyFill="1" applyBorder="1" applyAlignment="1">
      <alignment horizontal="center" vertical="center"/>
    </xf>
    <xf numFmtId="0" fontId="76" fillId="47" borderId="207" xfId="0" applyFont="1" applyFill="1" applyBorder="1" applyAlignment="1">
      <alignment horizontal="center"/>
    </xf>
    <xf numFmtId="0" fontId="76" fillId="47" borderId="206" xfId="0" applyFont="1" applyFill="1" applyBorder="1" applyAlignment="1">
      <alignment horizontal="center"/>
    </xf>
    <xf numFmtId="0" fontId="76" fillId="108" borderId="199" xfId="0" applyFont="1" applyFill="1" applyBorder="1" applyAlignment="1">
      <alignment horizontal="center"/>
    </xf>
    <xf numFmtId="0" fontId="76" fillId="108" borderId="200" xfId="0" applyFont="1" applyFill="1" applyBorder="1" applyAlignment="1">
      <alignment horizontal="center"/>
    </xf>
    <xf numFmtId="0" fontId="93" fillId="109" borderId="202" xfId="0" applyFont="1" applyFill="1" applyBorder="1" applyAlignment="1">
      <alignment horizontal="center"/>
    </xf>
    <xf numFmtId="0" fontId="93" fillId="109" borderId="201" xfId="0" applyFont="1" applyFill="1" applyBorder="1" applyAlignment="1">
      <alignment horizontal="center"/>
    </xf>
    <xf numFmtId="1" fontId="0" fillId="91" borderId="186" xfId="0" applyNumberFormat="1" applyFill="1" applyBorder="1" applyAlignment="1">
      <alignment horizontal="center" vertical="center" wrapText="1"/>
    </xf>
    <xf numFmtId="0" fontId="35" fillId="9" borderId="159" xfId="0" applyFont="1" applyFill="1" applyBorder="1" applyAlignment="1">
      <alignment horizontal="center" vertical="center"/>
    </xf>
    <xf numFmtId="0" fontId="35" fillId="9" borderId="66" xfId="0" applyFont="1" applyFill="1" applyBorder="1" applyAlignment="1">
      <alignment horizontal="center" vertical="center"/>
    </xf>
    <xf numFmtId="0" fontId="35" fillId="9" borderId="49" xfId="0" applyFont="1" applyFill="1" applyBorder="1" applyAlignment="1">
      <alignment horizontal="center" vertical="center"/>
    </xf>
    <xf numFmtId="0" fontId="35" fillId="9" borderId="159" xfId="0" applyFont="1" applyFill="1" applyBorder="1" applyAlignment="1">
      <alignment horizontal="left" vertical="center"/>
    </xf>
    <xf numFmtId="0" fontId="35" fillId="9" borderId="66" xfId="0" applyFont="1" applyFill="1" applyBorder="1" applyAlignment="1">
      <alignment horizontal="left" vertical="center"/>
    </xf>
    <xf numFmtId="0" fontId="35" fillId="9" borderId="49" xfId="0" applyFont="1" applyFill="1" applyBorder="1" applyAlignment="1">
      <alignment horizontal="left" vertical="center"/>
    </xf>
    <xf numFmtId="0" fontId="92" fillId="0" borderId="0" xfId="27" quotePrefix="1" applyAlignment="1">
      <alignment horizontal="center" vertical="center"/>
    </xf>
    <xf numFmtId="0" fontId="137" fillId="0" borderId="16" xfId="0" applyFont="1" applyFill="1" applyBorder="1" applyAlignment="1">
      <alignment horizontal="left" vertical="center" wrapText="1"/>
    </xf>
    <xf numFmtId="0" fontId="137" fillId="0" borderId="6" xfId="0" applyFont="1" applyFill="1" applyBorder="1" applyAlignment="1">
      <alignment horizontal="left" vertical="center" wrapText="1"/>
    </xf>
    <xf numFmtId="0" fontId="137" fillId="0" borderId="17" xfId="0" applyFont="1" applyFill="1" applyBorder="1" applyAlignment="1">
      <alignment horizontal="left" vertical="center" wrapText="1"/>
    </xf>
    <xf numFmtId="0" fontId="133" fillId="51" borderId="0" xfId="0" applyFont="1" applyFill="1" applyAlignment="1">
      <alignment horizontal="center"/>
    </xf>
    <xf numFmtId="0" fontId="134" fillId="51" borderId="0" xfId="0" applyFont="1" applyFill="1" applyAlignment="1">
      <alignment horizontal="center"/>
    </xf>
    <xf numFmtId="0" fontId="136" fillId="0" borderId="130" xfId="0" applyFont="1" applyFill="1" applyBorder="1" applyAlignment="1">
      <alignment horizontal="center"/>
    </xf>
    <xf numFmtId="0" fontId="136" fillId="0" borderId="131" xfId="0" applyFont="1" applyFill="1" applyBorder="1" applyAlignment="1">
      <alignment horizontal="center"/>
    </xf>
    <xf numFmtId="0" fontId="136" fillId="0" borderId="132" xfId="0" applyFont="1" applyFill="1" applyBorder="1" applyAlignment="1">
      <alignment horizontal="center"/>
    </xf>
    <xf numFmtId="0" fontId="137" fillId="0" borderId="47" xfId="0" applyFont="1" applyFill="1" applyBorder="1" applyAlignment="1">
      <alignment horizontal="left" vertical="center" wrapText="1"/>
    </xf>
    <xf numFmtId="0" fontId="137" fillId="0" borderId="0" xfId="0" applyFont="1" applyFill="1" applyBorder="1" applyAlignment="1">
      <alignment horizontal="left" vertical="center" wrapText="1"/>
    </xf>
    <xf numFmtId="0" fontId="137" fillId="0" borderId="48" xfId="0" applyFont="1" applyFill="1" applyBorder="1" applyAlignment="1">
      <alignment horizontal="left" vertical="center" wrapText="1"/>
    </xf>
    <xf numFmtId="0" fontId="138" fillId="49" borderId="0" xfId="0" applyFont="1" applyFill="1" applyAlignment="1">
      <alignment horizontal="center" vertical="center"/>
    </xf>
    <xf numFmtId="0" fontId="138" fillId="49" borderId="50" xfId="0" applyFont="1" applyFill="1" applyBorder="1" applyAlignment="1">
      <alignment horizontal="center" vertical="center"/>
    </xf>
    <xf numFmtId="0" fontId="139" fillId="0" borderId="128" xfId="0" applyFont="1" applyBorder="1" applyAlignment="1">
      <alignment horizontal="center" vertical="center"/>
    </xf>
    <xf numFmtId="0" fontId="139" fillId="0" borderId="166" xfId="0" applyFont="1" applyBorder="1" applyAlignment="1">
      <alignment horizontal="center" vertical="center"/>
    </xf>
    <xf numFmtId="0" fontId="139" fillId="0" borderId="122" xfId="0" applyFont="1" applyBorder="1" applyAlignment="1">
      <alignment horizontal="center" vertical="center"/>
    </xf>
    <xf numFmtId="17" fontId="2" fillId="50" borderId="168" xfId="0" applyNumberFormat="1" applyFont="1" applyFill="1" applyBorder="1" applyAlignment="1">
      <alignment horizontal="center"/>
    </xf>
    <xf numFmtId="17" fontId="2" fillId="50" borderId="169" xfId="0" applyNumberFormat="1" applyFont="1" applyFill="1" applyBorder="1" applyAlignment="1">
      <alignment horizontal="center"/>
    </xf>
    <xf numFmtId="17" fontId="2" fillId="50" borderId="170" xfId="0" applyNumberFormat="1" applyFont="1" applyFill="1" applyBorder="1" applyAlignment="1">
      <alignment horizontal="center"/>
    </xf>
    <xf numFmtId="0" fontId="94" fillId="0" borderId="8" xfId="0" applyFont="1" applyBorder="1" applyAlignment="1">
      <alignment horizontal="center"/>
    </xf>
    <xf numFmtId="0" fontId="94" fillId="0" borderId="104" xfId="0" applyFont="1" applyBorder="1" applyAlignment="1">
      <alignment horizontal="center"/>
    </xf>
    <xf numFmtId="0" fontId="94" fillId="0" borderId="10" xfId="0" applyFont="1" applyBorder="1" applyAlignment="1">
      <alignment horizontal="center"/>
    </xf>
    <xf numFmtId="0" fontId="22" fillId="0" borderId="234" xfId="0" applyFont="1" applyBorder="1" applyAlignment="1">
      <alignment horizontal="center"/>
    </xf>
    <xf numFmtId="0" fontId="22" fillId="0" borderId="252" xfId="0" applyFont="1" applyBorder="1" applyAlignment="1">
      <alignment horizontal="center"/>
    </xf>
    <xf numFmtId="0" fontId="22" fillId="0" borderId="253" xfId="0" applyFont="1" applyBorder="1" applyAlignment="1">
      <alignment horizontal="center"/>
    </xf>
    <xf numFmtId="0" fontId="34" fillId="0" borderId="0" xfId="5" applyFont="1" applyAlignment="1">
      <alignment horizontal="center"/>
    </xf>
    <xf numFmtId="0" fontId="3" fillId="0" borderId="254" xfId="0" applyFont="1" applyBorder="1" applyAlignment="1">
      <alignment horizontal="right"/>
    </xf>
    <xf numFmtId="0" fontId="3" fillId="0" borderId="253" xfId="0" applyFont="1" applyBorder="1" applyAlignment="1">
      <alignment horizontal="right"/>
    </xf>
    <xf numFmtId="0" fontId="2" fillId="51" borderId="305" xfId="0" applyFont="1" applyFill="1" applyBorder="1" applyAlignment="1">
      <alignment horizontal="center" vertical="center"/>
    </xf>
    <xf numFmtId="0" fontId="2" fillId="51" borderId="305" xfId="0" applyFont="1" applyFill="1" applyBorder="1" applyAlignment="1">
      <alignment horizontal="center" vertical="center" wrapText="1"/>
    </xf>
    <xf numFmtId="194" fontId="259" fillId="26" borderId="305" xfId="0" applyNumberFormat="1" applyFont="1" applyFill="1" applyBorder="1" applyAlignment="1">
      <alignment horizontal="center" vertical="center" wrapText="1"/>
    </xf>
    <xf numFmtId="0" fontId="2" fillId="108" borderId="99" xfId="0" applyFont="1" applyFill="1" applyBorder="1" applyAlignment="1">
      <alignment horizontal="center" vertical="center"/>
    </xf>
    <xf numFmtId="0" fontId="2" fillId="108" borderId="358" xfId="0" applyFont="1" applyFill="1" applyBorder="1" applyAlignment="1">
      <alignment horizontal="center" vertical="center"/>
    </xf>
    <xf numFmtId="0" fontId="2" fillId="108" borderId="305" xfId="0" applyFont="1" applyFill="1" applyBorder="1" applyAlignment="1">
      <alignment horizontal="center" vertical="center" wrapText="1"/>
    </xf>
    <xf numFmtId="194" fontId="259" fillId="10" borderId="305" xfId="0" applyNumberFormat="1" applyFont="1" applyFill="1" applyBorder="1" applyAlignment="1">
      <alignment horizontal="center" vertical="center" wrapText="1"/>
    </xf>
    <xf numFmtId="0" fontId="2" fillId="108" borderId="305" xfId="0" applyFont="1" applyFill="1" applyBorder="1" applyAlignment="1">
      <alignment horizontal="center" vertical="center"/>
    </xf>
  </cellXfs>
  <cellStyles count="41020">
    <cellStyle name="_Costos_Detallado" xfId="33950"/>
    <cellStyle name="_Costos_Detallado 2" xfId="33951"/>
    <cellStyle name="_Libro3" xfId="33952"/>
    <cellStyle name="_Libro3 2" xfId="33953"/>
    <cellStyle name="_MEDICINA PREPAGADA DICIEMBRE 2005" xfId="33954"/>
    <cellStyle name="_MEDICINA PREPAGADA DICIEMBRE 2005 2" xfId="33955"/>
    <cellStyle name="=C:\WINNT35\SYSTEM32\COMMAND.COM" xfId="12203"/>
    <cellStyle name="=C:\WINNT35\SYSTEM32\COMMAND.COM 2" xfId="12204"/>
    <cellStyle name="=C:\WINNT35\SYSTEM32\COMMAND.COM 2 2" xfId="12205"/>
    <cellStyle name="=C:\WINNT35\SYSTEM32\COMMAND.COM 2 2 2" xfId="33958"/>
    <cellStyle name="=C:\WINNT35\SYSTEM32\COMMAND.COM 2 3" xfId="33959"/>
    <cellStyle name="=C:\WINNT35\SYSTEM32\COMMAND.COM 2 4" xfId="33960"/>
    <cellStyle name="=C:\WINNT35\SYSTEM32\COMMAND.COM 2 5" xfId="33957"/>
    <cellStyle name="=C:\WINNT35\SYSTEM32\COMMAND.COM 3" xfId="12206"/>
    <cellStyle name="=C:\WINNT35\SYSTEM32\COMMAND.COM 4" xfId="12207"/>
    <cellStyle name="=C:\WINNT35\SYSTEM32\COMMAND.COM 4 2" xfId="33961"/>
    <cellStyle name="=C:\WINNT35\SYSTEM32\COMMAND.COM 5" xfId="33956"/>
    <cellStyle name="=C:\WINNT35\SYSTEM32\COMMAND.COM_Casanare Daily Report-Aug-14th 2011" xfId="33962"/>
    <cellStyle name="0,0_x000d__x000a_NA_x000d__x000a_" xfId="6"/>
    <cellStyle name="0,0_x000d__x000a_NA_x000d__x000a_ 2" xfId="3"/>
    <cellStyle name="0,0_x000d__x000a_NA_x000d__x000a_ 2 2" xfId="33963"/>
    <cellStyle name="20% - Accent1" xfId="12208"/>
    <cellStyle name="20% - Accent2" xfId="12209"/>
    <cellStyle name="20% - Accent3" xfId="12210"/>
    <cellStyle name="20% - Accent4" xfId="12211"/>
    <cellStyle name="20% - Accent5" xfId="12212"/>
    <cellStyle name="20% - Accent6" xfId="12213"/>
    <cellStyle name="20% - Énfasis1 10" xfId="28"/>
    <cellStyle name="20% - Énfasis1 11" xfId="29"/>
    <cellStyle name="20% - Énfasis1 12" xfId="30"/>
    <cellStyle name="20% - Énfasis1 13" xfId="31"/>
    <cellStyle name="20% - Énfasis1 14" xfId="32"/>
    <cellStyle name="20% - Énfasis1 15" xfId="33"/>
    <cellStyle name="20% - Énfasis1 16" xfId="34"/>
    <cellStyle name="20% - Énfasis1 17" xfId="35"/>
    <cellStyle name="20% - Énfasis1 18" xfId="36"/>
    <cellStyle name="20% - Énfasis1 19" xfId="37"/>
    <cellStyle name="20% - Énfasis1 2" xfId="38"/>
    <cellStyle name="20% - Énfasis1 2 2" xfId="12214"/>
    <cellStyle name="20% - Énfasis1 2 3" xfId="12215"/>
    <cellStyle name="20% - Énfasis1 20" xfId="39"/>
    <cellStyle name="20% - Énfasis1 21" xfId="40"/>
    <cellStyle name="20% - Énfasis1 22" xfId="41"/>
    <cellStyle name="20% - Énfasis1 23" xfId="42"/>
    <cellStyle name="20% - Énfasis1 24" xfId="43"/>
    <cellStyle name="20% - Énfasis1 25" xfId="44"/>
    <cellStyle name="20% - Énfasis1 26" xfId="45"/>
    <cellStyle name="20% - Énfasis1 27" xfId="46"/>
    <cellStyle name="20% - Énfasis1 28" xfId="47"/>
    <cellStyle name="20% - Énfasis1 29" xfId="48"/>
    <cellStyle name="20% - Énfasis1 3" xfId="49"/>
    <cellStyle name="20% - Énfasis1 3 2" xfId="12216"/>
    <cellStyle name="20% - Énfasis1 3 3" xfId="12217"/>
    <cellStyle name="20% - Énfasis1 30" xfId="50"/>
    <cellStyle name="20% - Énfasis1 31" xfId="51"/>
    <cellStyle name="20% - Énfasis1 32" xfId="52"/>
    <cellStyle name="20% - Énfasis1 33" xfId="53"/>
    <cellStyle name="20% - Énfasis1 34" xfId="54"/>
    <cellStyle name="20% - Énfasis1 35" xfId="55"/>
    <cellStyle name="20% - Énfasis1 36" xfId="56"/>
    <cellStyle name="20% - Énfasis1 37" xfId="57"/>
    <cellStyle name="20% - Énfasis1 38" xfId="58"/>
    <cellStyle name="20% - Énfasis1 39" xfId="59"/>
    <cellStyle name="20% - Énfasis1 4" xfId="60"/>
    <cellStyle name="20% - Énfasis1 4 2" xfId="12218"/>
    <cellStyle name="20% - Énfasis1 4 3" xfId="12219"/>
    <cellStyle name="20% - Énfasis1 40" xfId="61"/>
    <cellStyle name="20% - Énfasis1 41" xfId="62"/>
    <cellStyle name="20% - Énfasis1 42" xfId="63"/>
    <cellStyle name="20% - Énfasis1 43" xfId="64"/>
    <cellStyle name="20% - Énfasis1 44" xfId="65"/>
    <cellStyle name="20% - Énfasis1 45" xfId="66"/>
    <cellStyle name="20% - Énfasis1 46" xfId="67"/>
    <cellStyle name="20% - Énfasis1 47" xfId="68"/>
    <cellStyle name="20% - Énfasis1 48" xfId="69"/>
    <cellStyle name="20% - Énfasis1 49" xfId="70"/>
    <cellStyle name="20% - Énfasis1 5" xfId="71"/>
    <cellStyle name="20% - Énfasis1 5 2" xfId="12220"/>
    <cellStyle name="20% - Énfasis1 50" xfId="72"/>
    <cellStyle name="20% - Énfasis1 6" xfId="73"/>
    <cellStyle name="20% - Énfasis1 6 2" xfId="12221"/>
    <cellStyle name="20% - Énfasis1 7" xfId="74"/>
    <cellStyle name="20% - Énfasis1 7 2" xfId="12222"/>
    <cellStyle name="20% - Énfasis1 8" xfId="75"/>
    <cellStyle name="20% - Énfasis1 8 2" xfId="12223"/>
    <cellStyle name="20% - Énfasis1 9" xfId="76"/>
    <cellStyle name="20% - Énfasis1 9 2" xfId="12224"/>
    <cellStyle name="20% - Énfasis2 10" xfId="77"/>
    <cellStyle name="20% - Énfasis2 11" xfId="78"/>
    <cellStyle name="20% - Énfasis2 12" xfId="79"/>
    <cellStyle name="20% - Énfasis2 13" xfId="80"/>
    <cellStyle name="20% - Énfasis2 14" xfId="81"/>
    <cellStyle name="20% - Énfasis2 15" xfId="82"/>
    <cellStyle name="20% - Énfasis2 16" xfId="83"/>
    <cellStyle name="20% - Énfasis2 17" xfId="84"/>
    <cellStyle name="20% - Énfasis2 18" xfId="85"/>
    <cellStyle name="20% - Énfasis2 19" xfId="86"/>
    <cellStyle name="20% - Énfasis2 2" xfId="87"/>
    <cellStyle name="20% - Énfasis2 2 2" xfId="12225"/>
    <cellStyle name="20% - Énfasis2 2 3" xfId="12226"/>
    <cellStyle name="20% - Énfasis2 20" xfId="88"/>
    <cellStyle name="20% - Énfasis2 21" xfId="89"/>
    <cellStyle name="20% - Énfasis2 22" xfId="90"/>
    <cellStyle name="20% - Énfasis2 23" xfId="91"/>
    <cellStyle name="20% - Énfasis2 24" xfId="92"/>
    <cellStyle name="20% - Énfasis2 25" xfId="93"/>
    <cellStyle name="20% - Énfasis2 26" xfId="94"/>
    <cellStyle name="20% - Énfasis2 27" xfId="95"/>
    <cellStyle name="20% - Énfasis2 28" xfId="96"/>
    <cellStyle name="20% - Énfasis2 29" xfId="97"/>
    <cellStyle name="20% - Énfasis2 3" xfId="98"/>
    <cellStyle name="20% - Énfasis2 3 2" xfId="12227"/>
    <cellStyle name="20% - Énfasis2 3 3" xfId="12228"/>
    <cellStyle name="20% - Énfasis2 30" xfId="99"/>
    <cellStyle name="20% - Énfasis2 31" xfId="100"/>
    <cellStyle name="20% - Énfasis2 32" xfId="101"/>
    <cellStyle name="20% - Énfasis2 33" xfId="102"/>
    <cellStyle name="20% - Énfasis2 34" xfId="103"/>
    <cellStyle name="20% - Énfasis2 35" xfId="104"/>
    <cellStyle name="20% - Énfasis2 36" xfId="105"/>
    <cellStyle name="20% - Énfasis2 37" xfId="106"/>
    <cellStyle name="20% - Énfasis2 38" xfId="107"/>
    <cellStyle name="20% - Énfasis2 39" xfId="108"/>
    <cellStyle name="20% - Énfasis2 4" xfId="109"/>
    <cellStyle name="20% - Énfasis2 4 2" xfId="12229"/>
    <cellStyle name="20% - Énfasis2 4 3" xfId="12230"/>
    <cellStyle name="20% - Énfasis2 40" xfId="110"/>
    <cellStyle name="20% - Énfasis2 41" xfId="111"/>
    <cellStyle name="20% - Énfasis2 42" xfId="112"/>
    <cellStyle name="20% - Énfasis2 43" xfId="113"/>
    <cellStyle name="20% - Énfasis2 44" xfId="114"/>
    <cellStyle name="20% - Énfasis2 45" xfId="115"/>
    <cellStyle name="20% - Énfasis2 46" xfId="116"/>
    <cellStyle name="20% - Énfasis2 47" xfId="117"/>
    <cellStyle name="20% - Énfasis2 48" xfId="118"/>
    <cellStyle name="20% - Énfasis2 49" xfId="119"/>
    <cellStyle name="20% - Énfasis2 5" xfId="120"/>
    <cellStyle name="20% - Énfasis2 5 2" xfId="12231"/>
    <cellStyle name="20% - Énfasis2 50" xfId="121"/>
    <cellStyle name="20% - Énfasis2 6" xfId="122"/>
    <cellStyle name="20% - Énfasis2 6 2" xfId="12232"/>
    <cellStyle name="20% - Énfasis2 7" xfId="123"/>
    <cellStyle name="20% - Énfasis2 7 2" xfId="12233"/>
    <cellStyle name="20% - Énfasis2 8" xfId="124"/>
    <cellStyle name="20% - Énfasis2 8 2" xfId="12234"/>
    <cellStyle name="20% - Énfasis2 9" xfId="125"/>
    <cellStyle name="20% - Énfasis2 9 2" xfId="12235"/>
    <cellStyle name="20% - Énfasis3 10" xfId="126"/>
    <cellStyle name="20% - Énfasis3 11" xfId="127"/>
    <cellStyle name="20% - Énfasis3 12" xfId="128"/>
    <cellStyle name="20% - Énfasis3 13" xfId="129"/>
    <cellStyle name="20% - Énfasis3 14" xfId="130"/>
    <cellStyle name="20% - Énfasis3 15" xfId="131"/>
    <cellStyle name="20% - Énfasis3 16" xfId="132"/>
    <cellStyle name="20% - Énfasis3 17" xfId="133"/>
    <cellStyle name="20% - Énfasis3 18" xfId="134"/>
    <cellStyle name="20% - Énfasis3 19" xfId="135"/>
    <cellStyle name="20% - Énfasis3 2" xfId="136"/>
    <cellStyle name="20% - Énfasis3 2 2" xfId="12236"/>
    <cellStyle name="20% - Énfasis3 2 3" xfId="12237"/>
    <cellStyle name="20% - Énfasis3 20" xfId="137"/>
    <cellStyle name="20% - Énfasis3 21" xfId="138"/>
    <cellStyle name="20% - Énfasis3 22" xfId="139"/>
    <cellStyle name="20% - Énfasis3 23" xfId="140"/>
    <cellStyle name="20% - Énfasis3 24" xfId="141"/>
    <cellStyle name="20% - Énfasis3 25" xfId="142"/>
    <cellStyle name="20% - Énfasis3 26" xfId="143"/>
    <cellStyle name="20% - Énfasis3 27" xfId="144"/>
    <cellStyle name="20% - Énfasis3 28" xfId="145"/>
    <cellStyle name="20% - Énfasis3 29" xfId="146"/>
    <cellStyle name="20% - Énfasis3 3" xfId="147"/>
    <cellStyle name="20% - Énfasis3 3 2" xfId="12238"/>
    <cellStyle name="20% - Énfasis3 3 3" xfId="12239"/>
    <cellStyle name="20% - Énfasis3 30" xfId="148"/>
    <cellStyle name="20% - Énfasis3 31" xfId="149"/>
    <cellStyle name="20% - Énfasis3 32" xfId="150"/>
    <cellStyle name="20% - Énfasis3 33" xfId="151"/>
    <cellStyle name="20% - Énfasis3 34" xfId="152"/>
    <cellStyle name="20% - Énfasis3 35" xfId="153"/>
    <cellStyle name="20% - Énfasis3 36" xfId="154"/>
    <cellStyle name="20% - Énfasis3 37" xfId="155"/>
    <cellStyle name="20% - Énfasis3 38" xfId="156"/>
    <cellStyle name="20% - Énfasis3 39" xfId="157"/>
    <cellStyle name="20% - Énfasis3 4" xfId="158"/>
    <cellStyle name="20% - Énfasis3 4 2" xfId="12240"/>
    <cellStyle name="20% - Énfasis3 4 3" xfId="12241"/>
    <cellStyle name="20% - Énfasis3 40" xfId="159"/>
    <cellStyle name="20% - Énfasis3 41" xfId="160"/>
    <cellStyle name="20% - Énfasis3 42" xfId="161"/>
    <cellStyle name="20% - Énfasis3 43" xfId="162"/>
    <cellStyle name="20% - Énfasis3 44" xfId="163"/>
    <cellStyle name="20% - Énfasis3 45" xfId="164"/>
    <cellStyle name="20% - Énfasis3 46" xfId="165"/>
    <cellStyle name="20% - Énfasis3 47" xfId="166"/>
    <cellStyle name="20% - Énfasis3 48" xfId="167"/>
    <cellStyle name="20% - Énfasis3 49" xfId="168"/>
    <cellStyle name="20% - Énfasis3 5" xfId="169"/>
    <cellStyle name="20% - Énfasis3 5 2" xfId="12242"/>
    <cellStyle name="20% - Énfasis3 50" xfId="170"/>
    <cellStyle name="20% - Énfasis3 6" xfId="171"/>
    <cellStyle name="20% - Énfasis3 6 2" xfId="12243"/>
    <cellStyle name="20% - Énfasis3 7" xfId="172"/>
    <cellStyle name="20% - Énfasis3 7 2" xfId="12244"/>
    <cellStyle name="20% - Énfasis3 8" xfId="173"/>
    <cellStyle name="20% - Énfasis3 8 2" xfId="12245"/>
    <cellStyle name="20% - Énfasis3 9" xfId="174"/>
    <cellStyle name="20% - Énfasis3 9 2" xfId="12246"/>
    <cellStyle name="20% - Énfasis4 10" xfId="175"/>
    <cellStyle name="20% - Énfasis4 11" xfId="176"/>
    <cellStyle name="20% - Énfasis4 12" xfId="177"/>
    <cellStyle name="20% - Énfasis4 13" xfId="178"/>
    <cellStyle name="20% - Énfasis4 14" xfId="179"/>
    <cellStyle name="20% - Énfasis4 15" xfId="180"/>
    <cellStyle name="20% - Énfasis4 16" xfId="181"/>
    <cellStyle name="20% - Énfasis4 17" xfId="182"/>
    <cellStyle name="20% - Énfasis4 18" xfId="183"/>
    <cellStyle name="20% - Énfasis4 19" xfId="184"/>
    <cellStyle name="20% - Énfasis4 2" xfId="185"/>
    <cellStyle name="20% - Énfasis4 2 2" xfId="12247"/>
    <cellStyle name="20% - Énfasis4 2 3" xfId="12248"/>
    <cellStyle name="20% - Énfasis4 20" xfId="186"/>
    <cellStyle name="20% - Énfasis4 21" xfId="187"/>
    <cellStyle name="20% - Énfasis4 22" xfId="188"/>
    <cellStyle name="20% - Énfasis4 23" xfId="189"/>
    <cellStyle name="20% - Énfasis4 24" xfId="190"/>
    <cellStyle name="20% - Énfasis4 25" xfId="191"/>
    <cellStyle name="20% - Énfasis4 26" xfId="192"/>
    <cellStyle name="20% - Énfasis4 27" xfId="193"/>
    <cellStyle name="20% - Énfasis4 28" xfId="194"/>
    <cellStyle name="20% - Énfasis4 29" xfId="195"/>
    <cellStyle name="20% - Énfasis4 3" xfId="196"/>
    <cellStyle name="20% - Énfasis4 3 2" xfId="12249"/>
    <cellStyle name="20% - Énfasis4 3 3" xfId="12250"/>
    <cellStyle name="20% - Énfasis4 30" xfId="197"/>
    <cellStyle name="20% - Énfasis4 31" xfId="198"/>
    <cellStyle name="20% - Énfasis4 32" xfId="199"/>
    <cellStyle name="20% - Énfasis4 33" xfId="200"/>
    <cellStyle name="20% - Énfasis4 34" xfId="201"/>
    <cellStyle name="20% - Énfasis4 35" xfId="202"/>
    <cellStyle name="20% - Énfasis4 36" xfId="203"/>
    <cellStyle name="20% - Énfasis4 37" xfId="204"/>
    <cellStyle name="20% - Énfasis4 38" xfId="205"/>
    <cellStyle name="20% - Énfasis4 39" xfId="206"/>
    <cellStyle name="20% - Énfasis4 4" xfId="207"/>
    <cellStyle name="20% - Énfasis4 4 2" xfId="12251"/>
    <cellStyle name="20% - Énfasis4 4 3" xfId="12252"/>
    <cellStyle name="20% - Énfasis4 40" xfId="208"/>
    <cellStyle name="20% - Énfasis4 41" xfId="209"/>
    <cellStyle name="20% - Énfasis4 42" xfId="210"/>
    <cellStyle name="20% - Énfasis4 43" xfId="211"/>
    <cellStyle name="20% - Énfasis4 44" xfId="212"/>
    <cellStyle name="20% - Énfasis4 45" xfId="213"/>
    <cellStyle name="20% - Énfasis4 46" xfId="214"/>
    <cellStyle name="20% - Énfasis4 47" xfId="215"/>
    <cellStyle name="20% - Énfasis4 48" xfId="216"/>
    <cellStyle name="20% - Énfasis4 49" xfId="217"/>
    <cellStyle name="20% - Énfasis4 5" xfId="218"/>
    <cellStyle name="20% - Énfasis4 5 2" xfId="12253"/>
    <cellStyle name="20% - Énfasis4 50" xfId="219"/>
    <cellStyle name="20% - Énfasis4 6" xfId="220"/>
    <cellStyle name="20% - Énfasis4 6 2" xfId="12254"/>
    <cellStyle name="20% - Énfasis4 7" xfId="221"/>
    <cellStyle name="20% - Énfasis4 7 2" xfId="12255"/>
    <cellStyle name="20% - Énfasis4 8" xfId="222"/>
    <cellStyle name="20% - Énfasis4 8 2" xfId="12256"/>
    <cellStyle name="20% - Énfasis4 9" xfId="223"/>
    <cellStyle name="20% - Énfasis4 9 2" xfId="12257"/>
    <cellStyle name="20% - Énfasis5 10" xfId="224"/>
    <cellStyle name="20% - Énfasis5 11" xfId="225"/>
    <cellStyle name="20% - Énfasis5 12" xfId="226"/>
    <cellStyle name="20% - Énfasis5 13" xfId="227"/>
    <cellStyle name="20% - Énfasis5 14" xfId="228"/>
    <cellStyle name="20% - Énfasis5 15" xfId="229"/>
    <cellStyle name="20% - Énfasis5 16" xfId="230"/>
    <cellStyle name="20% - Énfasis5 17" xfId="231"/>
    <cellStyle name="20% - Énfasis5 18" xfId="232"/>
    <cellStyle name="20% - Énfasis5 19" xfId="233"/>
    <cellStyle name="20% - Énfasis5 2" xfId="234"/>
    <cellStyle name="20% - Énfasis5 2 2" xfId="12258"/>
    <cellStyle name="20% - Énfasis5 2 3" xfId="12259"/>
    <cellStyle name="20% - Énfasis5 20" xfId="235"/>
    <cellStyle name="20% - Énfasis5 21" xfId="236"/>
    <cellStyle name="20% - Énfasis5 22" xfId="237"/>
    <cellStyle name="20% - Énfasis5 23" xfId="238"/>
    <cellStyle name="20% - Énfasis5 24" xfId="239"/>
    <cellStyle name="20% - Énfasis5 25" xfId="240"/>
    <cellStyle name="20% - Énfasis5 26" xfId="241"/>
    <cellStyle name="20% - Énfasis5 27" xfId="242"/>
    <cellStyle name="20% - Énfasis5 28" xfId="243"/>
    <cellStyle name="20% - Énfasis5 29" xfId="244"/>
    <cellStyle name="20% - Énfasis5 3" xfId="245"/>
    <cellStyle name="20% - Énfasis5 3 2" xfId="12260"/>
    <cellStyle name="20% - Énfasis5 3 3" xfId="12261"/>
    <cellStyle name="20% - Énfasis5 30" xfId="246"/>
    <cellStyle name="20% - Énfasis5 31" xfId="247"/>
    <cellStyle name="20% - Énfasis5 32" xfId="248"/>
    <cellStyle name="20% - Énfasis5 33" xfId="249"/>
    <cellStyle name="20% - Énfasis5 34" xfId="250"/>
    <cellStyle name="20% - Énfasis5 35" xfId="251"/>
    <cellStyle name="20% - Énfasis5 36" xfId="252"/>
    <cellStyle name="20% - Énfasis5 37" xfId="253"/>
    <cellStyle name="20% - Énfasis5 38" xfId="254"/>
    <cellStyle name="20% - Énfasis5 39" xfId="255"/>
    <cellStyle name="20% - Énfasis5 4" xfId="256"/>
    <cellStyle name="20% - Énfasis5 4 2" xfId="12262"/>
    <cellStyle name="20% - Énfasis5 4 3" xfId="12263"/>
    <cellStyle name="20% - Énfasis5 40" xfId="257"/>
    <cellStyle name="20% - Énfasis5 41" xfId="258"/>
    <cellStyle name="20% - Énfasis5 42" xfId="259"/>
    <cellStyle name="20% - Énfasis5 43" xfId="260"/>
    <cellStyle name="20% - Énfasis5 44" xfId="261"/>
    <cellStyle name="20% - Énfasis5 45" xfId="262"/>
    <cellStyle name="20% - Énfasis5 46" xfId="263"/>
    <cellStyle name="20% - Énfasis5 47" xfId="264"/>
    <cellStyle name="20% - Énfasis5 48" xfId="265"/>
    <cellStyle name="20% - Énfasis5 49" xfId="266"/>
    <cellStyle name="20% - Énfasis5 5" xfId="267"/>
    <cellStyle name="20% - Énfasis5 5 2" xfId="12264"/>
    <cellStyle name="20% - Énfasis5 50" xfId="268"/>
    <cellStyle name="20% - Énfasis5 6" xfId="269"/>
    <cellStyle name="20% - Énfasis5 6 2" xfId="12265"/>
    <cellStyle name="20% - Énfasis5 7" xfId="270"/>
    <cellStyle name="20% - Énfasis5 7 2" xfId="12266"/>
    <cellStyle name="20% - Énfasis5 8" xfId="271"/>
    <cellStyle name="20% - Énfasis5 8 2" xfId="12267"/>
    <cellStyle name="20% - Énfasis5 9" xfId="272"/>
    <cellStyle name="20% - Énfasis5 9 2" xfId="12268"/>
    <cellStyle name="20% - Énfasis6 10" xfId="273"/>
    <cellStyle name="20% - Énfasis6 11" xfId="274"/>
    <cellStyle name="20% - Énfasis6 12" xfId="275"/>
    <cellStyle name="20% - Énfasis6 13" xfId="276"/>
    <cellStyle name="20% - Énfasis6 14" xfId="277"/>
    <cellStyle name="20% - Énfasis6 15" xfId="278"/>
    <cellStyle name="20% - Énfasis6 16" xfId="279"/>
    <cellStyle name="20% - Énfasis6 17" xfId="280"/>
    <cellStyle name="20% - Énfasis6 18" xfId="281"/>
    <cellStyle name="20% - Énfasis6 19" xfId="282"/>
    <cellStyle name="20% - Énfasis6 2" xfId="283"/>
    <cellStyle name="20% - Énfasis6 2 2" xfId="12269"/>
    <cellStyle name="20% - Énfasis6 2 3" xfId="12270"/>
    <cellStyle name="20% - Énfasis6 20" xfId="284"/>
    <cellStyle name="20% - Énfasis6 21" xfId="285"/>
    <cellStyle name="20% - Énfasis6 22" xfId="286"/>
    <cellStyle name="20% - Énfasis6 23" xfId="287"/>
    <cellStyle name="20% - Énfasis6 24" xfId="288"/>
    <cellStyle name="20% - Énfasis6 25" xfId="289"/>
    <cellStyle name="20% - Énfasis6 26" xfId="290"/>
    <cellStyle name="20% - Énfasis6 27" xfId="291"/>
    <cellStyle name="20% - Énfasis6 28" xfId="292"/>
    <cellStyle name="20% - Énfasis6 29" xfId="293"/>
    <cellStyle name="20% - Énfasis6 3" xfId="294"/>
    <cellStyle name="20% - Énfasis6 3 2" xfId="12271"/>
    <cellStyle name="20% - Énfasis6 3 3" xfId="12272"/>
    <cellStyle name="20% - Énfasis6 30" xfId="295"/>
    <cellStyle name="20% - Énfasis6 31" xfId="296"/>
    <cellStyle name="20% - Énfasis6 32" xfId="297"/>
    <cellStyle name="20% - Énfasis6 33" xfId="298"/>
    <cellStyle name="20% - Énfasis6 34" xfId="299"/>
    <cellStyle name="20% - Énfasis6 35" xfId="300"/>
    <cellStyle name="20% - Énfasis6 36" xfId="301"/>
    <cellStyle name="20% - Énfasis6 37" xfId="302"/>
    <cellStyle name="20% - Énfasis6 38" xfId="303"/>
    <cellStyle name="20% - Énfasis6 39" xfId="304"/>
    <cellStyle name="20% - Énfasis6 4" xfId="305"/>
    <cellStyle name="20% - Énfasis6 4 2" xfId="12273"/>
    <cellStyle name="20% - Énfasis6 4 3" xfId="12274"/>
    <cellStyle name="20% - Énfasis6 40" xfId="306"/>
    <cellStyle name="20% - Énfasis6 41" xfId="307"/>
    <cellStyle name="20% - Énfasis6 42" xfId="308"/>
    <cellStyle name="20% - Énfasis6 43" xfId="309"/>
    <cellStyle name="20% - Énfasis6 44" xfId="310"/>
    <cellStyle name="20% - Énfasis6 45" xfId="311"/>
    <cellStyle name="20% - Énfasis6 46" xfId="312"/>
    <cellStyle name="20% - Énfasis6 47" xfId="313"/>
    <cellStyle name="20% - Énfasis6 48" xfId="314"/>
    <cellStyle name="20% - Énfasis6 49" xfId="315"/>
    <cellStyle name="20% - Énfasis6 5" xfId="316"/>
    <cellStyle name="20% - Énfasis6 5 2" xfId="12275"/>
    <cellStyle name="20% - Énfasis6 50" xfId="317"/>
    <cellStyle name="20% - Énfasis6 6" xfId="318"/>
    <cellStyle name="20% - Énfasis6 6 2" xfId="12276"/>
    <cellStyle name="20% - Énfasis6 7" xfId="319"/>
    <cellStyle name="20% - Énfasis6 7 2" xfId="12277"/>
    <cellStyle name="20% - Énfasis6 8" xfId="320"/>
    <cellStyle name="20% - Énfasis6 8 2" xfId="12278"/>
    <cellStyle name="20% - Énfasis6 9" xfId="321"/>
    <cellStyle name="20% - Énfasis6 9 2" xfId="12279"/>
    <cellStyle name="40% - Accent1" xfId="12280"/>
    <cellStyle name="40% - Accent2" xfId="12281"/>
    <cellStyle name="40% - Accent3" xfId="12282"/>
    <cellStyle name="40% - Accent4" xfId="12283"/>
    <cellStyle name="40% - Accent5" xfId="12284"/>
    <cellStyle name="40% - Accent6" xfId="12285"/>
    <cellStyle name="40% - Énfasis1 10" xfId="322"/>
    <cellStyle name="40% - Énfasis1 11" xfId="323"/>
    <cellStyle name="40% - Énfasis1 12" xfId="324"/>
    <cellStyle name="40% - Énfasis1 13" xfId="325"/>
    <cellStyle name="40% - Énfasis1 14" xfId="326"/>
    <cellStyle name="40% - Énfasis1 15" xfId="327"/>
    <cellStyle name="40% - Énfasis1 16" xfId="328"/>
    <cellStyle name="40% - Énfasis1 17" xfId="329"/>
    <cellStyle name="40% - Énfasis1 18" xfId="330"/>
    <cellStyle name="40% - Énfasis1 19" xfId="331"/>
    <cellStyle name="40% - Énfasis1 2" xfId="332"/>
    <cellStyle name="40% - Énfasis1 2 2" xfId="12286"/>
    <cellStyle name="40% - Énfasis1 2 3" xfId="12287"/>
    <cellStyle name="40% - Énfasis1 20" xfId="333"/>
    <cellStyle name="40% - Énfasis1 21" xfId="334"/>
    <cellStyle name="40% - Énfasis1 22" xfId="335"/>
    <cellStyle name="40% - Énfasis1 23" xfId="336"/>
    <cellStyle name="40% - Énfasis1 24" xfId="337"/>
    <cellStyle name="40% - Énfasis1 25" xfId="338"/>
    <cellStyle name="40% - Énfasis1 26" xfId="339"/>
    <cellStyle name="40% - Énfasis1 27" xfId="340"/>
    <cellStyle name="40% - Énfasis1 28" xfId="341"/>
    <cellStyle name="40% - Énfasis1 29" xfId="342"/>
    <cellStyle name="40% - Énfasis1 3" xfId="343"/>
    <cellStyle name="40% - Énfasis1 3 2" xfId="12288"/>
    <cellStyle name="40% - Énfasis1 3 3" xfId="12289"/>
    <cellStyle name="40% - Énfasis1 30" xfId="344"/>
    <cellStyle name="40% - Énfasis1 31" xfId="345"/>
    <cellStyle name="40% - Énfasis1 32" xfId="346"/>
    <cellStyle name="40% - Énfasis1 33" xfId="347"/>
    <cellStyle name="40% - Énfasis1 34" xfId="348"/>
    <cellStyle name="40% - Énfasis1 35" xfId="349"/>
    <cellStyle name="40% - Énfasis1 36" xfId="350"/>
    <cellStyle name="40% - Énfasis1 37" xfId="351"/>
    <cellStyle name="40% - Énfasis1 38" xfId="352"/>
    <cellStyle name="40% - Énfasis1 39" xfId="353"/>
    <cellStyle name="40% - Énfasis1 4" xfId="354"/>
    <cellStyle name="40% - Énfasis1 4 2" xfId="12290"/>
    <cellStyle name="40% - Énfasis1 4 3" xfId="12291"/>
    <cellStyle name="40% - Énfasis1 40" xfId="355"/>
    <cellStyle name="40% - Énfasis1 41" xfId="356"/>
    <cellStyle name="40% - Énfasis1 42" xfId="357"/>
    <cellStyle name="40% - Énfasis1 43" xfId="358"/>
    <cellStyle name="40% - Énfasis1 44" xfId="359"/>
    <cellStyle name="40% - Énfasis1 45" xfId="360"/>
    <cellStyle name="40% - Énfasis1 46" xfId="361"/>
    <cellStyle name="40% - Énfasis1 47" xfId="362"/>
    <cellStyle name="40% - Énfasis1 48" xfId="363"/>
    <cellStyle name="40% - Énfasis1 49" xfId="364"/>
    <cellStyle name="40% - Énfasis1 5" xfId="365"/>
    <cellStyle name="40% - Énfasis1 5 2" xfId="12292"/>
    <cellStyle name="40% - Énfasis1 5 3" xfId="12293"/>
    <cellStyle name="40% - Énfasis1 50" xfId="366"/>
    <cellStyle name="40% - Énfasis1 6" xfId="367"/>
    <cellStyle name="40% - Énfasis1 6 2" xfId="12294"/>
    <cellStyle name="40% - Énfasis1 7" xfId="368"/>
    <cellStyle name="40% - Énfasis1 7 2" xfId="12295"/>
    <cellStyle name="40% - Énfasis1 8" xfId="369"/>
    <cellStyle name="40% - Énfasis1 8 2" xfId="12296"/>
    <cellStyle name="40% - Énfasis1 9" xfId="370"/>
    <cellStyle name="40% - Énfasis1 9 2" xfId="12297"/>
    <cellStyle name="40% - Énfasis2 10" xfId="371"/>
    <cellStyle name="40% - Énfasis2 11" xfId="372"/>
    <cellStyle name="40% - Énfasis2 12" xfId="373"/>
    <cellStyle name="40% - Énfasis2 13" xfId="374"/>
    <cellStyle name="40% - Énfasis2 14" xfId="375"/>
    <cellStyle name="40% - Énfasis2 15" xfId="376"/>
    <cellStyle name="40% - Énfasis2 16" xfId="377"/>
    <cellStyle name="40% - Énfasis2 17" xfId="378"/>
    <cellStyle name="40% - Énfasis2 18" xfId="379"/>
    <cellStyle name="40% - Énfasis2 19" xfId="380"/>
    <cellStyle name="40% - Énfasis2 2" xfId="381"/>
    <cellStyle name="40% - Énfasis2 2 2" xfId="12298"/>
    <cellStyle name="40% - Énfasis2 2 3" xfId="12299"/>
    <cellStyle name="40% - Énfasis2 20" xfId="382"/>
    <cellStyle name="40% - Énfasis2 21" xfId="383"/>
    <cellStyle name="40% - Énfasis2 22" xfId="384"/>
    <cellStyle name="40% - Énfasis2 23" xfId="385"/>
    <cellStyle name="40% - Énfasis2 24" xfId="386"/>
    <cellStyle name="40% - Énfasis2 25" xfId="387"/>
    <cellStyle name="40% - Énfasis2 26" xfId="388"/>
    <cellStyle name="40% - Énfasis2 27" xfId="389"/>
    <cellStyle name="40% - Énfasis2 28" xfId="390"/>
    <cellStyle name="40% - Énfasis2 29" xfId="391"/>
    <cellStyle name="40% - Énfasis2 3" xfId="392"/>
    <cellStyle name="40% - Énfasis2 3 2" xfId="12300"/>
    <cellStyle name="40% - Énfasis2 3 3" xfId="12301"/>
    <cellStyle name="40% - Énfasis2 30" xfId="393"/>
    <cellStyle name="40% - Énfasis2 31" xfId="394"/>
    <cellStyle name="40% - Énfasis2 32" xfId="395"/>
    <cellStyle name="40% - Énfasis2 33" xfId="396"/>
    <cellStyle name="40% - Énfasis2 34" xfId="397"/>
    <cellStyle name="40% - Énfasis2 35" xfId="398"/>
    <cellStyle name="40% - Énfasis2 36" xfId="399"/>
    <cellStyle name="40% - Énfasis2 37" xfId="400"/>
    <cellStyle name="40% - Énfasis2 38" xfId="401"/>
    <cellStyle name="40% - Énfasis2 39" xfId="402"/>
    <cellStyle name="40% - Énfasis2 4" xfId="403"/>
    <cellStyle name="40% - Énfasis2 4 2" xfId="12302"/>
    <cellStyle name="40% - Énfasis2 4 3" xfId="12303"/>
    <cellStyle name="40% - Énfasis2 40" xfId="404"/>
    <cellStyle name="40% - Énfasis2 41" xfId="405"/>
    <cellStyle name="40% - Énfasis2 42" xfId="406"/>
    <cellStyle name="40% - Énfasis2 43" xfId="407"/>
    <cellStyle name="40% - Énfasis2 44" xfId="408"/>
    <cellStyle name="40% - Énfasis2 45" xfId="409"/>
    <cellStyle name="40% - Énfasis2 46" xfId="410"/>
    <cellStyle name="40% - Énfasis2 47" xfId="411"/>
    <cellStyle name="40% - Énfasis2 48" xfId="412"/>
    <cellStyle name="40% - Énfasis2 49" xfId="413"/>
    <cellStyle name="40% - Énfasis2 5" xfId="414"/>
    <cellStyle name="40% - Énfasis2 5 2" xfId="12304"/>
    <cellStyle name="40% - Énfasis2 50" xfId="415"/>
    <cellStyle name="40% - Énfasis2 6" xfId="416"/>
    <cellStyle name="40% - Énfasis2 6 2" xfId="12305"/>
    <cellStyle name="40% - Énfasis2 7" xfId="417"/>
    <cellStyle name="40% - Énfasis2 7 2" xfId="12306"/>
    <cellStyle name="40% - Énfasis2 8" xfId="418"/>
    <cellStyle name="40% - Énfasis2 8 2" xfId="12307"/>
    <cellStyle name="40% - Énfasis2 9" xfId="419"/>
    <cellStyle name="40% - Énfasis2 9 2" xfId="12308"/>
    <cellStyle name="40% - Énfasis3 10" xfId="420"/>
    <cellStyle name="40% - Énfasis3 11" xfId="421"/>
    <cellStyle name="40% - Énfasis3 12" xfId="422"/>
    <cellStyle name="40% - Énfasis3 13" xfId="423"/>
    <cellStyle name="40% - Énfasis3 14" xfId="424"/>
    <cellStyle name="40% - Énfasis3 15" xfId="425"/>
    <cellStyle name="40% - Énfasis3 16" xfId="426"/>
    <cellStyle name="40% - Énfasis3 17" xfId="427"/>
    <cellStyle name="40% - Énfasis3 18" xfId="428"/>
    <cellStyle name="40% - Énfasis3 19" xfId="429"/>
    <cellStyle name="40% - Énfasis3 2" xfId="430"/>
    <cellStyle name="40% - Énfasis3 2 2" xfId="12309"/>
    <cellStyle name="40% - Énfasis3 2 3" xfId="12310"/>
    <cellStyle name="40% - Énfasis3 20" xfId="431"/>
    <cellStyle name="40% - Énfasis3 21" xfId="432"/>
    <cellStyle name="40% - Énfasis3 22" xfId="433"/>
    <cellStyle name="40% - Énfasis3 23" xfId="434"/>
    <cellStyle name="40% - Énfasis3 24" xfId="435"/>
    <cellStyle name="40% - Énfasis3 25" xfId="436"/>
    <cellStyle name="40% - Énfasis3 26" xfId="437"/>
    <cellStyle name="40% - Énfasis3 27" xfId="438"/>
    <cellStyle name="40% - Énfasis3 28" xfId="439"/>
    <cellStyle name="40% - Énfasis3 29" xfId="440"/>
    <cellStyle name="40% - Énfasis3 3" xfId="441"/>
    <cellStyle name="40% - Énfasis3 3 2" xfId="12311"/>
    <cellStyle name="40% - Énfasis3 3 3" xfId="12312"/>
    <cellStyle name="40% - Énfasis3 30" xfId="442"/>
    <cellStyle name="40% - Énfasis3 31" xfId="443"/>
    <cellStyle name="40% - Énfasis3 32" xfId="444"/>
    <cellStyle name="40% - Énfasis3 33" xfId="445"/>
    <cellStyle name="40% - Énfasis3 34" xfId="446"/>
    <cellStyle name="40% - Énfasis3 35" xfId="447"/>
    <cellStyle name="40% - Énfasis3 36" xfId="448"/>
    <cellStyle name="40% - Énfasis3 37" xfId="449"/>
    <cellStyle name="40% - Énfasis3 38" xfId="450"/>
    <cellStyle name="40% - Énfasis3 39" xfId="451"/>
    <cellStyle name="40% - Énfasis3 4" xfId="452"/>
    <cellStyle name="40% - Énfasis3 4 2" xfId="12313"/>
    <cellStyle name="40% - Énfasis3 4 3" xfId="12314"/>
    <cellStyle name="40% - Énfasis3 40" xfId="453"/>
    <cellStyle name="40% - Énfasis3 41" xfId="454"/>
    <cellStyle name="40% - Énfasis3 42" xfId="455"/>
    <cellStyle name="40% - Énfasis3 43" xfId="456"/>
    <cellStyle name="40% - Énfasis3 44" xfId="457"/>
    <cellStyle name="40% - Énfasis3 45" xfId="458"/>
    <cellStyle name="40% - Énfasis3 46" xfId="459"/>
    <cellStyle name="40% - Énfasis3 47" xfId="460"/>
    <cellStyle name="40% - Énfasis3 48" xfId="461"/>
    <cellStyle name="40% - Énfasis3 49" xfId="462"/>
    <cellStyle name="40% - Énfasis3 5" xfId="463"/>
    <cellStyle name="40% - Énfasis3 5 2" xfId="12315"/>
    <cellStyle name="40% - Énfasis3 50" xfId="464"/>
    <cellStyle name="40% - Énfasis3 6" xfId="465"/>
    <cellStyle name="40% - Énfasis3 6 2" xfId="12316"/>
    <cellStyle name="40% - Énfasis3 7" xfId="466"/>
    <cellStyle name="40% - Énfasis3 7 2" xfId="12317"/>
    <cellStyle name="40% - Énfasis3 8" xfId="467"/>
    <cellStyle name="40% - Énfasis3 8 2" xfId="12318"/>
    <cellStyle name="40% - Énfasis3 9" xfId="468"/>
    <cellStyle name="40% - Énfasis3 9 2" xfId="12319"/>
    <cellStyle name="40% - Énfasis4 10" xfId="469"/>
    <cellStyle name="40% - Énfasis4 11" xfId="470"/>
    <cellStyle name="40% - Énfasis4 12" xfId="471"/>
    <cellStyle name="40% - Énfasis4 13" xfId="472"/>
    <cellStyle name="40% - Énfasis4 14" xfId="473"/>
    <cellStyle name="40% - Énfasis4 15" xfId="474"/>
    <cellStyle name="40% - Énfasis4 16" xfId="475"/>
    <cellStyle name="40% - Énfasis4 17" xfId="476"/>
    <cellStyle name="40% - Énfasis4 18" xfId="477"/>
    <cellStyle name="40% - Énfasis4 19" xfId="478"/>
    <cellStyle name="40% - Énfasis4 2" xfId="479"/>
    <cellStyle name="40% - Énfasis4 2 2" xfId="12320"/>
    <cellStyle name="40% - Énfasis4 2 3" xfId="12321"/>
    <cellStyle name="40% - Énfasis4 20" xfId="480"/>
    <cellStyle name="40% - Énfasis4 21" xfId="481"/>
    <cellStyle name="40% - Énfasis4 22" xfId="482"/>
    <cellStyle name="40% - Énfasis4 23" xfId="483"/>
    <cellStyle name="40% - Énfasis4 24" xfId="484"/>
    <cellStyle name="40% - Énfasis4 25" xfId="485"/>
    <cellStyle name="40% - Énfasis4 26" xfId="486"/>
    <cellStyle name="40% - Énfasis4 27" xfId="487"/>
    <cellStyle name="40% - Énfasis4 28" xfId="488"/>
    <cellStyle name="40% - Énfasis4 29" xfId="489"/>
    <cellStyle name="40% - Énfasis4 3" xfId="490"/>
    <cellStyle name="40% - Énfasis4 3 2" xfId="12322"/>
    <cellStyle name="40% - Énfasis4 3 3" xfId="12323"/>
    <cellStyle name="40% - Énfasis4 30" xfId="491"/>
    <cellStyle name="40% - Énfasis4 31" xfId="492"/>
    <cellStyle name="40% - Énfasis4 32" xfId="493"/>
    <cellStyle name="40% - Énfasis4 33" xfId="494"/>
    <cellStyle name="40% - Énfasis4 34" xfId="495"/>
    <cellStyle name="40% - Énfasis4 35" xfId="496"/>
    <cellStyle name="40% - Énfasis4 36" xfId="497"/>
    <cellStyle name="40% - Énfasis4 37" xfId="498"/>
    <cellStyle name="40% - Énfasis4 38" xfId="499"/>
    <cellStyle name="40% - Énfasis4 39" xfId="500"/>
    <cellStyle name="40% - Énfasis4 4" xfId="501"/>
    <cellStyle name="40% - Énfasis4 4 2" xfId="12324"/>
    <cellStyle name="40% - Énfasis4 4 3" xfId="12325"/>
    <cellStyle name="40% - Énfasis4 40" xfId="502"/>
    <cellStyle name="40% - Énfasis4 41" xfId="503"/>
    <cellStyle name="40% - Énfasis4 42" xfId="504"/>
    <cellStyle name="40% - Énfasis4 43" xfId="505"/>
    <cellStyle name="40% - Énfasis4 44" xfId="506"/>
    <cellStyle name="40% - Énfasis4 45" xfId="507"/>
    <cellStyle name="40% - Énfasis4 46" xfId="508"/>
    <cellStyle name="40% - Énfasis4 47" xfId="509"/>
    <cellStyle name="40% - Énfasis4 48" xfId="510"/>
    <cellStyle name="40% - Énfasis4 49" xfId="511"/>
    <cellStyle name="40% - Énfasis4 5" xfId="512"/>
    <cellStyle name="40% - Énfasis4 5 2" xfId="12326"/>
    <cellStyle name="40% - Énfasis4 50" xfId="513"/>
    <cellStyle name="40% - Énfasis4 6" xfId="514"/>
    <cellStyle name="40% - Énfasis4 6 2" xfId="12327"/>
    <cellStyle name="40% - Énfasis4 7" xfId="515"/>
    <cellStyle name="40% - Énfasis4 7 2" xfId="12328"/>
    <cellStyle name="40% - Énfasis4 8" xfId="516"/>
    <cellStyle name="40% - Énfasis4 8 2" xfId="12329"/>
    <cellStyle name="40% - Énfasis4 9" xfId="517"/>
    <cellStyle name="40% - Énfasis4 9 2" xfId="12330"/>
    <cellStyle name="40% - Énfasis5 10" xfId="518"/>
    <cellStyle name="40% - Énfasis5 11" xfId="519"/>
    <cellStyle name="40% - Énfasis5 12" xfId="520"/>
    <cellStyle name="40% - Énfasis5 13" xfId="521"/>
    <cellStyle name="40% - Énfasis5 14" xfId="522"/>
    <cellStyle name="40% - Énfasis5 15" xfId="523"/>
    <cellStyle name="40% - Énfasis5 16" xfId="524"/>
    <cellStyle name="40% - Énfasis5 17" xfId="525"/>
    <cellStyle name="40% - Énfasis5 18" xfId="526"/>
    <cellStyle name="40% - Énfasis5 19" xfId="527"/>
    <cellStyle name="40% - Énfasis5 2" xfId="528"/>
    <cellStyle name="40% - Énfasis5 2 2" xfId="12331"/>
    <cellStyle name="40% - Énfasis5 2 3" xfId="12332"/>
    <cellStyle name="40% - Énfasis5 20" xfId="529"/>
    <cellStyle name="40% - Énfasis5 21" xfId="530"/>
    <cellStyle name="40% - Énfasis5 22" xfId="531"/>
    <cellStyle name="40% - Énfasis5 23" xfId="532"/>
    <cellStyle name="40% - Énfasis5 24" xfId="533"/>
    <cellStyle name="40% - Énfasis5 25" xfId="534"/>
    <cellStyle name="40% - Énfasis5 26" xfId="535"/>
    <cellStyle name="40% - Énfasis5 27" xfId="536"/>
    <cellStyle name="40% - Énfasis5 28" xfId="537"/>
    <cellStyle name="40% - Énfasis5 29" xfId="538"/>
    <cellStyle name="40% - Énfasis5 3" xfId="539"/>
    <cellStyle name="40% - Énfasis5 3 2" xfId="12333"/>
    <cellStyle name="40% - Énfasis5 3 3" xfId="12334"/>
    <cellStyle name="40% - Énfasis5 30" xfId="540"/>
    <cellStyle name="40% - Énfasis5 31" xfId="541"/>
    <cellStyle name="40% - Énfasis5 32" xfId="542"/>
    <cellStyle name="40% - Énfasis5 33" xfId="543"/>
    <cellStyle name="40% - Énfasis5 34" xfId="544"/>
    <cellStyle name="40% - Énfasis5 35" xfId="545"/>
    <cellStyle name="40% - Énfasis5 36" xfId="546"/>
    <cellStyle name="40% - Énfasis5 37" xfId="547"/>
    <cellStyle name="40% - Énfasis5 38" xfId="548"/>
    <cellStyle name="40% - Énfasis5 39" xfId="549"/>
    <cellStyle name="40% - Énfasis5 4" xfId="550"/>
    <cellStyle name="40% - Énfasis5 4 2" xfId="12335"/>
    <cellStyle name="40% - Énfasis5 4 3" xfId="12336"/>
    <cellStyle name="40% - Énfasis5 40" xfId="551"/>
    <cellStyle name="40% - Énfasis5 41" xfId="552"/>
    <cellStyle name="40% - Énfasis5 42" xfId="553"/>
    <cellStyle name="40% - Énfasis5 43" xfId="554"/>
    <cellStyle name="40% - Énfasis5 44" xfId="555"/>
    <cellStyle name="40% - Énfasis5 45" xfId="556"/>
    <cellStyle name="40% - Énfasis5 46" xfId="557"/>
    <cellStyle name="40% - Énfasis5 47" xfId="558"/>
    <cellStyle name="40% - Énfasis5 48" xfId="559"/>
    <cellStyle name="40% - Énfasis5 49" xfId="560"/>
    <cellStyle name="40% - Énfasis5 5" xfId="561"/>
    <cellStyle name="40% - Énfasis5 5 2" xfId="12337"/>
    <cellStyle name="40% - Énfasis5 50" xfId="562"/>
    <cellStyle name="40% - Énfasis5 6" xfId="563"/>
    <cellStyle name="40% - Énfasis5 6 2" xfId="12338"/>
    <cellStyle name="40% - Énfasis5 7" xfId="564"/>
    <cellStyle name="40% - Énfasis5 7 2" xfId="12339"/>
    <cellStyle name="40% - Énfasis5 8" xfId="565"/>
    <cellStyle name="40% - Énfasis5 8 2" xfId="12340"/>
    <cellStyle name="40% - Énfasis5 9" xfId="566"/>
    <cellStyle name="40% - Énfasis5 9 2" xfId="12341"/>
    <cellStyle name="40% - Énfasis6 10" xfId="567"/>
    <cellStyle name="40% - Énfasis6 11" xfId="568"/>
    <cellStyle name="40% - Énfasis6 12" xfId="569"/>
    <cellStyle name="40% - Énfasis6 13" xfId="570"/>
    <cellStyle name="40% - Énfasis6 14" xfId="571"/>
    <cellStyle name="40% - Énfasis6 15" xfId="572"/>
    <cellStyle name="40% - Énfasis6 16" xfId="573"/>
    <cellStyle name="40% - Énfasis6 17" xfId="574"/>
    <cellStyle name="40% - Énfasis6 18" xfId="575"/>
    <cellStyle name="40% - Énfasis6 19" xfId="576"/>
    <cellStyle name="40% - Énfasis6 2" xfId="577"/>
    <cellStyle name="40% - Énfasis6 2 2" xfId="12342"/>
    <cellStyle name="40% - Énfasis6 2 3" xfId="12343"/>
    <cellStyle name="40% - Énfasis6 20" xfId="578"/>
    <cellStyle name="40% - Énfasis6 21" xfId="579"/>
    <cellStyle name="40% - Énfasis6 22" xfId="580"/>
    <cellStyle name="40% - Énfasis6 23" xfId="581"/>
    <cellStyle name="40% - Énfasis6 24" xfId="582"/>
    <cellStyle name="40% - Énfasis6 25" xfId="583"/>
    <cellStyle name="40% - Énfasis6 26" xfId="584"/>
    <cellStyle name="40% - Énfasis6 27" xfId="585"/>
    <cellStyle name="40% - Énfasis6 28" xfId="586"/>
    <cellStyle name="40% - Énfasis6 29" xfId="587"/>
    <cellStyle name="40% - Énfasis6 3" xfId="588"/>
    <cellStyle name="40% - Énfasis6 3 2" xfId="12344"/>
    <cellStyle name="40% - Énfasis6 3 3" xfId="12345"/>
    <cellStyle name="40% - Énfasis6 30" xfId="589"/>
    <cellStyle name="40% - Énfasis6 31" xfId="590"/>
    <cellStyle name="40% - Énfasis6 32" xfId="591"/>
    <cellStyle name="40% - Énfasis6 33" xfId="592"/>
    <cellStyle name="40% - Énfasis6 34" xfId="593"/>
    <cellStyle name="40% - Énfasis6 35" xfId="594"/>
    <cellStyle name="40% - Énfasis6 36" xfId="595"/>
    <cellStyle name="40% - Énfasis6 37" xfId="596"/>
    <cellStyle name="40% - Énfasis6 38" xfId="597"/>
    <cellStyle name="40% - Énfasis6 39" xfId="598"/>
    <cellStyle name="40% - Énfasis6 4" xfId="599"/>
    <cellStyle name="40% - Énfasis6 4 2" xfId="12346"/>
    <cellStyle name="40% - Énfasis6 4 3" xfId="12347"/>
    <cellStyle name="40% - Énfasis6 40" xfId="600"/>
    <cellStyle name="40% - Énfasis6 41" xfId="601"/>
    <cellStyle name="40% - Énfasis6 42" xfId="602"/>
    <cellStyle name="40% - Énfasis6 43" xfId="603"/>
    <cellStyle name="40% - Énfasis6 44" xfId="604"/>
    <cellStyle name="40% - Énfasis6 45" xfId="605"/>
    <cellStyle name="40% - Énfasis6 46" xfId="606"/>
    <cellStyle name="40% - Énfasis6 47" xfId="607"/>
    <cellStyle name="40% - Énfasis6 48" xfId="608"/>
    <cellStyle name="40% - Énfasis6 49" xfId="609"/>
    <cellStyle name="40% - Énfasis6 5" xfId="610"/>
    <cellStyle name="40% - Énfasis6 5 2" xfId="12348"/>
    <cellStyle name="40% - Énfasis6 50" xfId="611"/>
    <cellStyle name="40% - Énfasis6 6" xfId="612"/>
    <cellStyle name="40% - Énfasis6 6 2" xfId="12349"/>
    <cellStyle name="40% - Énfasis6 7" xfId="613"/>
    <cellStyle name="40% - Énfasis6 7 2" xfId="12350"/>
    <cellStyle name="40% - Énfasis6 8" xfId="614"/>
    <cellStyle name="40% - Énfasis6 8 2" xfId="12351"/>
    <cellStyle name="40% - Énfasis6 9" xfId="615"/>
    <cellStyle name="40% - Énfasis6 9 2" xfId="12352"/>
    <cellStyle name="60% - Accent1" xfId="12353"/>
    <cellStyle name="60% - Accent2" xfId="12354"/>
    <cellStyle name="60% - Accent3" xfId="12355"/>
    <cellStyle name="60% - Accent4" xfId="12356"/>
    <cellStyle name="60% - Accent5" xfId="12357"/>
    <cellStyle name="60% - Accent6" xfId="12358"/>
    <cellStyle name="60% - Énfasis1 10" xfId="616"/>
    <cellStyle name="60% - Énfasis1 11" xfId="617"/>
    <cellStyle name="60% - Énfasis1 12" xfId="618"/>
    <cellStyle name="60% - Énfasis1 13" xfId="619"/>
    <cellStyle name="60% - Énfasis1 14" xfId="620"/>
    <cellStyle name="60% - Énfasis1 15" xfId="621"/>
    <cellStyle name="60% - Énfasis1 16" xfId="622"/>
    <cellStyle name="60% - Énfasis1 17" xfId="623"/>
    <cellStyle name="60% - Énfasis1 18" xfId="624"/>
    <cellStyle name="60% - Énfasis1 19" xfId="625"/>
    <cellStyle name="60% - Énfasis1 2" xfId="626"/>
    <cellStyle name="60% - Énfasis1 2 2" xfId="12359"/>
    <cellStyle name="60% - Énfasis1 2 3" xfId="12360"/>
    <cellStyle name="60% - Énfasis1 20" xfId="627"/>
    <cellStyle name="60% - Énfasis1 21" xfId="628"/>
    <cellStyle name="60% - Énfasis1 22" xfId="629"/>
    <cellStyle name="60% - Énfasis1 23" xfId="630"/>
    <cellStyle name="60% - Énfasis1 24" xfId="631"/>
    <cellStyle name="60% - Énfasis1 25" xfId="632"/>
    <cellStyle name="60% - Énfasis1 26" xfId="633"/>
    <cellStyle name="60% - Énfasis1 27" xfId="634"/>
    <cellStyle name="60% - Énfasis1 28" xfId="635"/>
    <cellStyle name="60% - Énfasis1 29" xfId="636"/>
    <cellStyle name="60% - Énfasis1 3" xfId="637"/>
    <cellStyle name="60% - Énfasis1 3 2" xfId="12361"/>
    <cellStyle name="60% - Énfasis1 3 3" xfId="12362"/>
    <cellStyle name="60% - Énfasis1 30" xfId="638"/>
    <cellStyle name="60% - Énfasis1 31" xfId="639"/>
    <cellStyle name="60% - Énfasis1 32" xfId="640"/>
    <cellStyle name="60% - Énfasis1 33" xfId="641"/>
    <cellStyle name="60% - Énfasis1 34" xfId="642"/>
    <cellStyle name="60% - Énfasis1 35" xfId="643"/>
    <cellStyle name="60% - Énfasis1 36" xfId="644"/>
    <cellStyle name="60% - Énfasis1 37" xfId="645"/>
    <cellStyle name="60% - Énfasis1 38" xfId="646"/>
    <cellStyle name="60% - Énfasis1 39" xfId="647"/>
    <cellStyle name="60% - Énfasis1 4" xfId="648"/>
    <cellStyle name="60% - Énfasis1 4 2" xfId="12363"/>
    <cellStyle name="60% - Énfasis1 4 3" xfId="12364"/>
    <cellStyle name="60% - Énfasis1 40" xfId="649"/>
    <cellStyle name="60% - Énfasis1 41" xfId="650"/>
    <cellStyle name="60% - Énfasis1 42" xfId="651"/>
    <cellStyle name="60% - Énfasis1 43" xfId="652"/>
    <cellStyle name="60% - Énfasis1 44" xfId="653"/>
    <cellStyle name="60% - Énfasis1 45" xfId="654"/>
    <cellStyle name="60% - Énfasis1 46" xfId="655"/>
    <cellStyle name="60% - Énfasis1 47" xfId="656"/>
    <cellStyle name="60% - Énfasis1 48" xfId="657"/>
    <cellStyle name="60% - Énfasis1 49" xfId="658"/>
    <cellStyle name="60% - Énfasis1 5" xfId="659"/>
    <cellStyle name="60% - Énfasis1 5 2" xfId="12365"/>
    <cellStyle name="60% - Énfasis1 50" xfId="660"/>
    <cellStyle name="60% - Énfasis1 6" xfId="661"/>
    <cellStyle name="60% - Énfasis1 6 2" xfId="12366"/>
    <cellStyle name="60% - Énfasis1 7" xfId="662"/>
    <cellStyle name="60% - Énfasis1 7 2" xfId="12367"/>
    <cellStyle name="60% - Énfasis1 8" xfId="663"/>
    <cellStyle name="60% - Énfasis1 8 2" xfId="12368"/>
    <cellStyle name="60% - Énfasis1 9" xfId="664"/>
    <cellStyle name="60% - Énfasis1 9 2" xfId="12369"/>
    <cellStyle name="60% - Énfasis2 10" xfId="665"/>
    <cellStyle name="60% - Énfasis2 11" xfId="666"/>
    <cellStyle name="60% - Énfasis2 12" xfId="667"/>
    <cellStyle name="60% - Énfasis2 13" xfId="668"/>
    <cellStyle name="60% - Énfasis2 14" xfId="669"/>
    <cellStyle name="60% - Énfasis2 15" xfId="670"/>
    <cellStyle name="60% - Énfasis2 16" xfId="671"/>
    <cellStyle name="60% - Énfasis2 17" xfId="672"/>
    <cellStyle name="60% - Énfasis2 18" xfId="673"/>
    <cellStyle name="60% - Énfasis2 19" xfId="674"/>
    <cellStyle name="60% - Énfasis2 2" xfId="675"/>
    <cellStyle name="60% - Énfasis2 2 2" xfId="12370"/>
    <cellStyle name="60% - Énfasis2 2 3" xfId="12371"/>
    <cellStyle name="60% - Énfasis2 20" xfId="676"/>
    <cellStyle name="60% - Énfasis2 21" xfId="677"/>
    <cellStyle name="60% - Énfasis2 22" xfId="678"/>
    <cellStyle name="60% - Énfasis2 23" xfId="679"/>
    <cellStyle name="60% - Énfasis2 24" xfId="680"/>
    <cellStyle name="60% - Énfasis2 25" xfId="681"/>
    <cellStyle name="60% - Énfasis2 26" xfId="682"/>
    <cellStyle name="60% - Énfasis2 27" xfId="683"/>
    <cellStyle name="60% - Énfasis2 28" xfId="684"/>
    <cellStyle name="60% - Énfasis2 29" xfId="685"/>
    <cellStyle name="60% - Énfasis2 3" xfId="686"/>
    <cellStyle name="60% - Énfasis2 3 2" xfId="12372"/>
    <cellStyle name="60% - Énfasis2 3 3" xfId="12373"/>
    <cellStyle name="60% - Énfasis2 30" xfId="687"/>
    <cellStyle name="60% - Énfasis2 31" xfId="688"/>
    <cellStyle name="60% - Énfasis2 32" xfId="689"/>
    <cellStyle name="60% - Énfasis2 33" xfId="690"/>
    <cellStyle name="60% - Énfasis2 34" xfId="691"/>
    <cellStyle name="60% - Énfasis2 35" xfId="692"/>
    <cellStyle name="60% - Énfasis2 36" xfId="693"/>
    <cellStyle name="60% - Énfasis2 37" xfId="694"/>
    <cellStyle name="60% - Énfasis2 38" xfId="695"/>
    <cellStyle name="60% - Énfasis2 39" xfId="696"/>
    <cellStyle name="60% - Énfasis2 4" xfId="697"/>
    <cellStyle name="60% - Énfasis2 4 2" xfId="12374"/>
    <cellStyle name="60% - Énfasis2 4 3" xfId="12375"/>
    <cellStyle name="60% - Énfasis2 40" xfId="698"/>
    <cellStyle name="60% - Énfasis2 41" xfId="699"/>
    <cellStyle name="60% - Énfasis2 42" xfId="700"/>
    <cellStyle name="60% - Énfasis2 43" xfId="701"/>
    <cellStyle name="60% - Énfasis2 44" xfId="702"/>
    <cellStyle name="60% - Énfasis2 45" xfId="703"/>
    <cellStyle name="60% - Énfasis2 46" xfId="704"/>
    <cellStyle name="60% - Énfasis2 47" xfId="705"/>
    <cellStyle name="60% - Énfasis2 48" xfId="706"/>
    <cellStyle name="60% - Énfasis2 49" xfId="707"/>
    <cellStyle name="60% - Énfasis2 5" xfId="708"/>
    <cellStyle name="60% - Énfasis2 5 2" xfId="12376"/>
    <cellStyle name="60% - Énfasis2 50" xfId="709"/>
    <cellStyle name="60% - Énfasis2 6" xfId="710"/>
    <cellStyle name="60% - Énfasis2 6 2" xfId="12377"/>
    <cellStyle name="60% - Énfasis2 7" xfId="711"/>
    <cellStyle name="60% - Énfasis2 7 2" xfId="12378"/>
    <cellStyle name="60% - Énfasis2 8" xfId="712"/>
    <cellStyle name="60% - Énfasis2 8 2" xfId="12379"/>
    <cellStyle name="60% - Énfasis2 9" xfId="713"/>
    <cellStyle name="60% - Énfasis2 9 2" xfId="12380"/>
    <cellStyle name="60% - Énfasis3 10" xfId="714"/>
    <cellStyle name="60% - Énfasis3 11" xfId="715"/>
    <cellStyle name="60% - Énfasis3 12" xfId="716"/>
    <cellStyle name="60% - Énfasis3 13" xfId="717"/>
    <cellStyle name="60% - Énfasis3 14" xfId="718"/>
    <cellStyle name="60% - Énfasis3 15" xfId="719"/>
    <cellStyle name="60% - Énfasis3 16" xfId="720"/>
    <cellStyle name="60% - Énfasis3 17" xfId="721"/>
    <cellStyle name="60% - Énfasis3 18" xfId="722"/>
    <cellStyle name="60% - Énfasis3 19" xfId="723"/>
    <cellStyle name="60% - Énfasis3 2" xfId="724"/>
    <cellStyle name="60% - Énfasis3 2 2" xfId="12381"/>
    <cellStyle name="60% - Énfasis3 2 3" xfId="12382"/>
    <cellStyle name="60% - Énfasis3 20" xfId="725"/>
    <cellStyle name="60% - Énfasis3 21" xfId="726"/>
    <cellStyle name="60% - Énfasis3 22" xfId="727"/>
    <cellStyle name="60% - Énfasis3 23" xfId="728"/>
    <cellStyle name="60% - Énfasis3 24" xfId="729"/>
    <cellStyle name="60% - Énfasis3 25" xfId="730"/>
    <cellStyle name="60% - Énfasis3 26" xfId="731"/>
    <cellStyle name="60% - Énfasis3 27" xfId="732"/>
    <cellStyle name="60% - Énfasis3 28" xfId="733"/>
    <cellStyle name="60% - Énfasis3 29" xfId="734"/>
    <cellStyle name="60% - Énfasis3 3" xfId="735"/>
    <cellStyle name="60% - Énfasis3 3 2" xfId="12383"/>
    <cellStyle name="60% - Énfasis3 3 3" xfId="12384"/>
    <cellStyle name="60% - Énfasis3 30" xfId="736"/>
    <cellStyle name="60% - Énfasis3 31" xfId="737"/>
    <cellStyle name="60% - Énfasis3 32" xfId="738"/>
    <cellStyle name="60% - Énfasis3 33" xfId="739"/>
    <cellStyle name="60% - Énfasis3 34" xfId="740"/>
    <cellStyle name="60% - Énfasis3 35" xfId="741"/>
    <cellStyle name="60% - Énfasis3 36" xfId="742"/>
    <cellStyle name="60% - Énfasis3 37" xfId="743"/>
    <cellStyle name="60% - Énfasis3 38" xfId="744"/>
    <cellStyle name="60% - Énfasis3 39" xfId="745"/>
    <cellStyle name="60% - Énfasis3 4" xfId="746"/>
    <cellStyle name="60% - Énfasis3 4 2" xfId="12385"/>
    <cellStyle name="60% - Énfasis3 4 3" xfId="12386"/>
    <cellStyle name="60% - Énfasis3 40" xfId="747"/>
    <cellStyle name="60% - Énfasis3 41" xfId="748"/>
    <cellStyle name="60% - Énfasis3 42" xfId="749"/>
    <cellStyle name="60% - Énfasis3 43" xfId="750"/>
    <cellStyle name="60% - Énfasis3 44" xfId="751"/>
    <cellStyle name="60% - Énfasis3 45" xfId="752"/>
    <cellStyle name="60% - Énfasis3 46" xfId="753"/>
    <cellStyle name="60% - Énfasis3 47" xfId="754"/>
    <cellStyle name="60% - Énfasis3 48" xfId="755"/>
    <cellStyle name="60% - Énfasis3 49" xfId="756"/>
    <cellStyle name="60% - Énfasis3 5" xfId="757"/>
    <cellStyle name="60% - Énfasis3 5 2" xfId="12387"/>
    <cellStyle name="60% - Énfasis3 50" xfId="758"/>
    <cellStyle name="60% - Énfasis3 6" xfId="759"/>
    <cellStyle name="60% - Énfasis3 6 2" xfId="12388"/>
    <cellStyle name="60% - Énfasis3 7" xfId="760"/>
    <cellStyle name="60% - Énfasis3 7 2" xfId="12389"/>
    <cellStyle name="60% - Énfasis3 8" xfId="761"/>
    <cellStyle name="60% - Énfasis3 8 2" xfId="12390"/>
    <cellStyle name="60% - Énfasis3 9" xfId="762"/>
    <cellStyle name="60% - Énfasis3 9 2" xfId="12391"/>
    <cellStyle name="60% - Énfasis4 10" xfId="763"/>
    <cellStyle name="60% - Énfasis4 11" xfId="764"/>
    <cellStyle name="60% - Énfasis4 12" xfId="765"/>
    <cellStyle name="60% - Énfasis4 13" xfId="766"/>
    <cellStyle name="60% - Énfasis4 14" xfId="767"/>
    <cellStyle name="60% - Énfasis4 15" xfId="768"/>
    <cellStyle name="60% - Énfasis4 16" xfId="769"/>
    <cellStyle name="60% - Énfasis4 17" xfId="770"/>
    <cellStyle name="60% - Énfasis4 18" xfId="771"/>
    <cellStyle name="60% - Énfasis4 19" xfId="772"/>
    <cellStyle name="60% - Énfasis4 2" xfId="773"/>
    <cellStyle name="60% - Énfasis4 2 2" xfId="12392"/>
    <cellStyle name="60% - Énfasis4 2 3" xfId="12393"/>
    <cellStyle name="60% - Énfasis4 20" xfId="774"/>
    <cellStyle name="60% - Énfasis4 21" xfId="775"/>
    <cellStyle name="60% - Énfasis4 22" xfId="776"/>
    <cellStyle name="60% - Énfasis4 23" xfId="777"/>
    <cellStyle name="60% - Énfasis4 24" xfId="778"/>
    <cellStyle name="60% - Énfasis4 25" xfId="779"/>
    <cellStyle name="60% - Énfasis4 26" xfId="780"/>
    <cellStyle name="60% - Énfasis4 27" xfId="781"/>
    <cellStyle name="60% - Énfasis4 28" xfId="782"/>
    <cellStyle name="60% - Énfasis4 29" xfId="783"/>
    <cellStyle name="60% - Énfasis4 3" xfId="784"/>
    <cellStyle name="60% - Énfasis4 3 2" xfId="12394"/>
    <cellStyle name="60% - Énfasis4 3 3" xfId="12395"/>
    <cellStyle name="60% - Énfasis4 30" xfId="785"/>
    <cellStyle name="60% - Énfasis4 31" xfId="786"/>
    <cellStyle name="60% - Énfasis4 32" xfId="787"/>
    <cellStyle name="60% - Énfasis4 33" xfId="788"/>
    <cellStyle name="60% - Énfasis4 34" xfId="789"/>
    <cellStyle name="60% - Énfasis4 35" xfId="790"/>
    <cellStyle name="60% - Énfasis4 36" xfId="791"/>
    <cellStyle name="60% - Énfasis4 37" xfId="792"/>
    <cellStyle name="60% - Énfasis4 38" xfId="793"/>
    <cellStyle name="60% - Énfasis4 39" xfId="794"/>
    <cellStyle name="60% - Énfasis4 4" xfId="795"/>
    <cellStyle name="60% - Énfasis4 4 2" xfId="12396"/>
    <cellStyle name="60% - Énfasis4 4 3" xfId="12397"/>
    <cellStyle name="60% - Énfasis4 40" xfId="796"/>
    <cellStyle name="60% - Énfasis4 41" xfId="797"/>
    <cellStyle name="60% - Énfasis4 42" xfId="798"/>
    <cellStyle name="60% - Énfasis4 43" xfId="799"/>
    <cellStyle name="60% - Énfasis4 44" xfId="800"/>
    <cellStyle name="60% - Énfasis4 45" xfId="801"/>
    <cellStyle name="60% - Énfasis4 46" xfId="802"/>
    <cellStyle name="60% - Énfasis4 47" xfId="803"/>
    <cellStyle name="60% - Énfasis4 48" xfId="804"/>
    <cellStyle name="60% - Énfasis4 49" xfId="805"/>
    <cellStyle name="60% - Énfasis4 5" xfId="806"/>
    <cellStyle name="60% - Énfasis4 5 2" xfId="12398"/>
    <cellStyle name="60% - Énfasis4 50" xfId="807"/>
    <cellStyle name="60% - Énfasis4 6" xfId="808"/>
    <cellStyle name="60% - Énfasis4 6 2" xfId="12399"/>
    <cellStyle name="60% - Énfasis4 7" xfId="809"/>
    <cellStyle name="60% - Énfasis4 7 2" xfId="12400"/>
    <cellStyle name="60% - Énfasis4 8" xfId="810"/>
    <cellStyle name="60% - Énfasis4 8 2" xfId="12401"/>
    <cellStyle name="60% - Énfasis4 9" xfId="811"/>
    <cellStyle name="60% - Énfasis4 9 2" xfId="12402"/>
    <cellStyle name="60% - Énfasis5 10" xfId="812"/>
    <cellStyle name="60% - Énfasis5 11" xfId="813"/>
    <cellStyle name="60% - Énfasis5 12" xfId="814"/>
    <cellStyle name="60% - Énfasis5 13" xfId="815"/>
    <cellStyle name="60% - Énfasis5 14" xfId="816"/>
    <cellStyle name="60% - Énfasis5 15" xfId="817"/>
    <cellStyle name="60% - Énfasis5 16" xfId="818"/>
    <cellStyle name="60% - Énfasis5 17" xfId="819"/>
    <cellStyle name="60% - Énfasis5 18" xfId="820"/>
    <cellStyle name="60% - Énfasis5 19" xfId="821"/>
    <cellStyle name="60% - Énfasis5 2" xfId="822"/>
    <cellStyle name="60% - Énfasis5 2 2" xfId="12403"/>
    <cellStyle name="60% - Énfasis5 2 3" xfId="12404"/>
    <cellStyle name="60% - Énfasis5 20" xfId="823"/>
    <cellStyle name="60% - Énfasis5 21" xfId="824"/>
    <cellStyle name="60% - Énfasis5 22" xfId="825"/>
    <cellStyle name="60% - Énfasis5 23" xfId="826"/>
    <cellStyle name="60% - Énfasis5 24" xfId="827"/>
    <cellStyle name="60% - Énfasis5 25" xfId="828"/>
    <cellStyle name="60% - Énfasis5 26" xfId="829"/>
    <cellStyle name="60% - Énfasis5 27" xfId="830"/>
    <cellStyle name="60% - Énfasis5 28" xfId="831"/>
    <cellStyle name="60% - Énfasis5 29" xfId="832"/>
    <cellStyle name="60% - Énfasis5 3" xfId="833"/>
    <cellStyle name="60% - Énfasis5 3 2" xfId="12405"/>
    <cellStyle name="60% - Énfasis5 3 3" xfId="12406"/>
    <cellStyle name="60% - Énfasis5 30" xfId="834"/>
    <cellStyle name="60% - Énfasis5 31" xfId="835"/>
    <cellStyle name="60% - Énfasis5 32" xfId="836"/>
    <cellStyle name="60% - Énfasis5 33" xfId="837"/>
    <cellStyle name="60% - Énfasis5 34" xfId="838"/>
    <cellStyle name="60% - Énfasis5 35" xfId="839"/>
    <cellStyle name="60% - Énfasis5 36" xfId="840"/>
    <cellStyle name="60% - Énfasis5 37" xfId="841"/>
    <cellStyle name="60% - Énfasis5 38" xfId="842"/>
    <cellStyle name="60% - Énfasis5 39" xfId="843"/>
    <cellStyle name="60% - Énfasis5 4" xfId="844"/>
    <cellStyle name="60% - Énfasis5 4 2" xfId="12407"/>
    <cellStyle name="60% - Énfasis5 4 3" xfId="12408"/>
    <cellStyle name="60% - Énfasis5 40" xfId="845"/>
    <cellStyle name="60% - Énfasis5 41" xfId="846"/>
    <cellStyle name="60% - Énfasis5 42" xfId="847"/>
    <cellStyle name="60% - Énfasis5 43" xfId="848"/>
    <cellStyle name="60% - Énfasis5 44" xfId="849"/>
    <cellStyle name="60% - Énfasis5 45" xfId="850"/>
    <cellStyle name="60% - Énfasis5 46" xfId="851"/>
    <cellStyle name="60% - Énfasis5 47" xfId="852"/>
    <cellStyle name="60% - Énfasis5 48" xfId="853"/>
    <cellStyle name="60% - Énfasis5 49" xfId="854"/>
    <cellStyle name="60% - Énfasis5 5" xfId="855"/>
    <cellStyle name="60% - Énfasis5 5 2" xfId="12409"/>
    <cellStyle name="60% - Énfasis5 50" xfId="856"/>
    <cellStyle name="60% - Énfasis5 6" xfId="857"/>
    <cellStyle name="60% - Énfasis5 6 2" xfId="12410"/>
    <cellStyle name="60% - Énfasis5 7" xfId="858"/>
    <cellStyle name="60% - Énfasis5 7 2" xfId="12411"/>
    <cellStyle name="60% - Énfasis5 8" xfId="859"/>
    <cellStyle name="60% - Énfasis5 8 2" xfId="12412"/>
    <cellStyle name="60% - Énfasis5 9" xfId="860"/>
    <cellStyle name="60% - Énfasis5 9 2" xfId="12413"/>
    <cellStyle name="60% - Énfasis6 10" xfId="861"/>
    <cellStyle name="60% - Énfasis6 11" xfId="862"/>
    <cellStyle name="60% - Énfasis6 12" xfId="863"/>
    <cellStyle name="60% - Énfasis6 13" xfId="864"/>
    <cellStyle name="60% - Énfasis6 14" xfId="865"/>
    <cellStyle name="60% - Énfasis6 15" xfId="866"/>
    <cellStyle name="60% - Énfasis6 16" xfId="867"/>
    <cellStyle name="60% - Énfasis6 17" xfId="868"/>
    <cellStyle name="60% - Énfasis6 18" xfId="869"/>
    <cellStyle name="60% - Énfasis6 19" xfId="870"/>
    <cellStyle name="60% - Énfasis6 2" xfId="871"/>
    <cellStyle name="60% - Énfasis6 2 2" xfId="12414"/>
    <cellStyle name="60% - Énfasis6 2 3" xfId="12415"/>
    <cellStyle name="60% - Énfasis6 20" xfId="872"/>
    <cellStyle name="60% - Énfasis6 21" xfId="873"/>
    <cellStyle name="60% - Énfasis6 22" xfId="874"/>
    <cellStyle name="60% - Énfasis6 23" xfId="875"/>
    <cellStyle name="60% - Énfasis6 24" xfId="876"/>
    <cellStyle name="60% - Énfasis6 25" xfId="877"/>
    <cellStyle name="60% - Énfasis6 26" xfId="878"/>
    <cellStyle name="60% - Énfasis6 27" xfId="879"/>
    <cellStyle name="60% - Énfasis6 28" xfId="880"/>
    <cellStyle name="60% - Énfasis6 29" xfId="881"/>
    <cellStyle name="60% - Énfasis6 3" xfId="882"/>
    <cellStyle name="60% - Énfasis6 3 2" xfId="12416"/>
    <cellStyle name="60% - Énfasis6 3 3" xfId="12417"/>
    <cellStyle name="60% - Énfasis6 30" xfId="883"/>
    <cellStyle name="60% - Énfasis6 31" xfId="884"/>
    <cellStyle name="60% - Énfasis6 32" xfId="885"/>
    <cellStyle name="60% - Énfasis6 33" xfId="886"/>
    <cellStyle name="60% - Énfasis6 34" xfId="887"/>
    <cellStyle name="60% - Énfasis6 35" xfId="888"/>
    <cellStyle name="60% - Énfasis6 36" xfId="889"/>
    <cellStyle name="60% - Énfasis6 37" xfId="890"/>
    <cellStyle name="60% - Énfasis6 38" xfId="891"/>
    <cellStyle name="60% - Énfasis6 39" xfId="892"/>
    <cellStyle name="60% - Énfasis6 4" xfId="893"/>
    <cellStyle name="60% - Énfasis6 4 2" xfId="12418"/>
    <cellStyle name="60% - Énfasis6 4 3" xfId="12419"/>
    <cellStyle name="60% - Énfasis6 40" xfId="894"/>
    <cellStyle name="60% - Énfasis6 41" xfId="895"/>
    <cellStyle name="60% - Énfasis6 42" xfId="896"/>
    <cellStyle name="60% - Énfasis6 43" xfId="897"/>
    <cellStyle name="60% - Énfasis6 44" xfId="898"/>
    <cellStyle name="60% - Énfasis6 45" xfId="899"/>
    <cellStyle name="60% - Énfasis6 46" xfId="900"/>
    <cellStyle name="60% - Énfasis6 47" xfId="901"/>
    <cellStyle name="60% - Énfasis6 48" xfId="902"/>
    <cellStyle name="60% - Énfasis6 49" xfId="903"/>
    <cellStyle name="60% - Énfasis6 5" xfId="904"/>
    <cellStyle name="60% - Énfasis6 5 2" xfId="12420"/>
    <cellStyle name="60% - Énfasis6 50" xfId="905"/>
    <cellStyle name="60% - Énfasis6 6" xfId="906"/>
    <cellStyle name="60% - Énfasis6 6 2" xfId="12421"/>
    <cellStyle name="60% - Énfasis6 7" xfId="907"/>
    <cellStyle name="60% - Énfasis6 7 2" xfId="12422"/>
    <cellStyle name="60% - Énfasis6 8" xfId="908"/>
    <cellStyle name="60% - Énfasis6 8 2" xfId="12423"/>
    <cellStyle name="60% - Énfasis6 9" xfId="909"/>
    <cellStyle name="60% - Énfasis6 9 2" xfId="12424"/>
    <cellStyle name="75" xfId="12425"/>
    <cellStyle name="Accent1" xfId="12426"/>
    <cellStyle name="Accent2" xfId="12427"/>
    <cellStyle name="Accent3" xfId="12428"/>
    <cellStyle name="Accent4" xfId="12429"/>
    <cellStyle name="Accent5" xfId="12430"/>
    <cellStyle name="Accent6" xfId="12431"/>
    <cellStyle name="Actual Date" xfId="12432"/>
    <cellStyle name="ÅëÈ­ [0]_±âÅ¸" xfId="12433"/>
    <cellStyle name="ÅëÈ­_±âÅ¸" xfId="12434"/>
    <cellStyle name="anai" xfId="12435"/>
    <cellStyle name="anai 2" xfId="12436"/>
    <cellStyle name="anai 2 2" xfId="29425"/>
    <cellStyle name="anai 3" xfId="12437"/>
    <cellStyle name="anai 3 2" xfId="29426"/>
    <cellStyle name="anai 4" xfId="29424"/>
    <cellStyle name="args.style" xfId="12438"/>
    <cellStyle name="ÄÞ¸¶ [0]_±âÅ¸" xfId="12439"/>
    <cellStyle name="ÄÞ¸¶_±âÅ¸" xfId="12440"/>
    <cellStyle name="AutoFormat Options" xfId="33964"/>
    <cellStyle name="AZUL" xfId="12441"/>
    <cellStyle name="Bad" xfId="12442"/>
    <cellStyle name="Body" xfId="12443"/>
    <cellStyle name="Body 2" xfId="12444"/>
    <cellStyle name="Buena 10" xfId="910"/>
    <cellStyle name="Buena 11" xfId="911"/>
    <cellStyle name="Buena 12" xfId="912"/>
    <cellStyle name="Buena 13" xfId="913"/>
    <cellStyle name="Buena 14" xfId="914"/>
    <cellStyle name="Buena 15" xfId="915"/>
    <cellStyle name="Buena 16" xfId="916"/>
    <cellStyle name="Buena 17" xfId="917"/>
    <cellStyle name="Buena 18" xfId="918"/>
    <cellStyle name="Buena 19" xfId="919"/>
    <cellStyle name="Buena 2" xfId="920"/>
    <cellStyle name="Buena 2 2" xfId="12445"/>
    <cellStyle name="Buena 2 3" xfId="12446"/>
    <cellStyle name="Buena 20" xfId="921"/>
    <cellStyle name="Buena 21" xfId="922"/>
    <cellStyle name="Buena 22" xfId="923"/>
    <cellStyle name="Buena 23" xfId="924"/>
    <cellStyle name="Buena 24" xfId="925"/>
    <cellStyle name="Buena 25" xfId="926"/>
    <cellStyle name="Buena 26" xfId="927"/>
    <cellStyle name="Buena 27" xfId="928"/>
    <cellStyle name="Buena 28" xfId="929"/>
    <cellStyle name="Buena 29" xfId="930"/>
    <cellStyle name="Buena 3" xfId="931"/>
    <cellStyle name="Buena 3 2" xfId="12447"/>
    <cellStyle name="Buena 3 3" xfId="12448"/>
    <cellStyle name="Buena 30" xfId="932"/>
    <cellStyle name="Buena 31" xfId="933"/>
    <cellStyle name="Buena 32" xfId="934"/>
    <cellStyle name="Buena 33" xfId="935"/>
    <cellStyle name="Buena 34" xfId="936"/>
    <cellStyle name="Buena 35" xfId="937"/>
    <cellStyle name="Buena 36" xfId="938"/>
    <cellStyle name="Buena 37" xfId="939"/>
    <cellStyle name="Buena 38" xfId="940"/>
    <cellStyle name="Buena 39" xfId="941"/>
    <cellStyle name="Buena 4" xfId="942"/>
    <cellStyle name="Buena 4 2" xfId="12449"/>
    <cellStyle name="Buena 4 3" xfId="12450"/>
    <cellStyle name="Buena 40" xfId="943"/>
    <cellStyle name="Buena 41" xfId="944"/>
    <cellStyle name="Buena 42" xfId="945"/>
    <cellStyle name="Buena 43" xfId="946"/>
    <cellStyle name="Buena 44" xfId="947"/>
    <cellStyle name="Buena 45" xfId="948"/>
    <cellStyle name="Buena 46" xfId="949"/>
    <cellStyle name="Buena 47" xfId="950"/>
    <cellStyle name="Buena 48" xfId="951"/>
    <cellStyle name="Buena 49" xfId="952"/>
    <cellStyle name="Buena 5" xfId="953"/>
    <cellStyle name="Buena 5 2" xfId="12451"/>
    <cellStyle name="Buena 50" xfId="954"/>
    <cellStyle name="Buena 6" xfId="955"/>
    <cellStyle name="Buena 6 2" xfId="12452"/>
    <cellStyle name="Buena 7" xfId="956"/>
    <cellStyle name="Buena 7 2" xfId="12453"/>
    <cellStyle name="Buena 8" xfId="957"/>
    <cellStyle name="Buena 8 2" xfId="12454"/>
    <cellStyle name="Buena 9" xfId="958"/>
    <cellStyle name="Buena 9 2" xfId="12455"/>
    <cellStyle name="Ç¥ÁØ_¿¬°£´©°è¿¹»ó" xfId="12456"/>
    <cellStyle name="Calc Currency (0)" xfId="12457"/>
    <cellStyle name="Calc Currency (0) 2" xfId="33965"/>
    <cellStyle name="Calculation" xfId="12458"/>
    <cellStyle name="Cálculo 10" xfId="959"/>
    <cellStyle name="Cálculo 10 2" xfId="11512"/>
    <cellStyle name="Cálculo 10 2 2" xfId="11613"/>
    <cellStyle name="Cálculo 10 2 2 2" xfId="29429"/>
    <cellStyle name="Cálculo 10 2 2 3" xfId="32578"/>
    <cellStyle name="Cálculo 10 2 2 4" xfId="33968"/>
    <cellStyle name="Cálculo 10 2 2 5" xfId="40357"/>
    <cellStyle name="Cálculo 10 2 3" xfId="11614"/>
    <cellStyle name="Cálculo 10 2 3 2" xfId="29430"/>
    <cellStyle name="Cálculo 10 2 3 3" xfId="32579"/>
    <cellStyle name="Cálculo 10 2 3 4" xfId="33969"/>
    <cellStyle name="Cálculo 10 2 3 5" xfId="40358"/>
    <cellStyle name="Cálculo 10 2 4" xfId="29428"/>
    <cellStyle name="Cálculo 10 2 5" xfId="32577"/>
    <cellStyle name="Cálculo 10 2 6" xfId="33967"/>
    <cellStyle name="Cálculo 10 2 7" xfId="40356"/>
    <cellStyle name="Cálculo 10 3" xfId="11615"/>
    <cellStyle name="Cálculo 10 3 2" xfId="29431"/>
    <cellStyle name="Cálculo 10 3 3" xfId="32580"/>
    <cellStyle name="Cálculo 10 3 4" xfId="33970"/>
    <cellStyle name="Cálculo 10 3 5" xfId="40359"/>
    <cellStyle name="Cálculo 10 4" xfId="11616"/>
    <cellStyle name="Cálculo 10 4 2" xfId="29432"/>
    <cellStyle name="Cálculo 10 4 3" xfId="32581"/>
    <cellStyle name="Cálculo 10 4 4" xfId="33971"/>
    <cellStyle name="Cálculo 10 4 5" xfId="40360"/>
    <cellStyle name="Cálculo 10 5" xfId="29427"/>
    <cellStyle name="Cálculo 10 6" xfId="32576"/>
    <cellStyle name="Cálculo 10 7" xfId="33966"/>
    <cellStyle name="Cálculo 10 8" xfId="40355"/>
    <cellStyle name="Cálculo 11" xfId="960"/>
    <cellStyle name="Cálculo 11 2" xfId="11513"/>
    <cellStyle name="Cálculo 11 2 2" xfId="11617"/>
    <cellStyle name="Cálculo 11 2 2 2" xfId="29435"/>
    <cellStyle name="Cálculo 11 2 2 3" xfId="32584"/>
    <cellStyle name="Cálculo 11 2 2 4" xfId="33974"/>
    <cellStyle name="Cálculo 11 2 2 5" xfId="40363"/>
    <cellStyle name="Cálculo 11 2 3" xfId="11618"/>
    <cellStyle name="Cálculo 11 2 3 2" xfId="29436"/>
    <cellStyle name="Cálculo 11 2 3 3" xfId="32585"/>
    <cellStyle name="Cálculo 11 2 3 4" xfId="33975"/>
    <cellStyle name="Cálculo 11 2 3 5" xfId="40364"/>
    <cellStyle name="Cálculo 11 2 4" xfId="29434"/>
    <cellStyle name="Cálculo 11 2 5" xfId="32583"/>
    <cellStyle name="Cálculo 11 2 6" xfId="33973"/>
    <cellStyle name="Cálculo 11 2 7" xfId="40362"/>
    <cellStyle name="Cálculo 11 3" xfId="11619"/>
    <cellStyle name="Cálculo 11 3 2" xfId="29437"/>
    <cellStyle name="Cálculo 11 3 3" xfId="32586"/>
    <cellStyle name="Cálculo 11 3 4" xfId="33976"/>
    <cellStyle name="Cálculo 11 3 5" xfId="40365"/>
    <cellStyle name="Cálculo 11 4" xfId="11620"/>
    <cellStyle name="Cálculo 11 4 2" xfId="29438"/>
    <cellStyle name="Cálculo 11 4 3" xfId="32587"/>
    <cellStyle name="Cálculo 11 4 4" xfId="33977"/>
    <cellStyle name="Cálculo 11 4 5" xfId="40366"/>
    <cellStyle name="Cálculo 11 5" xfId="29433"/>
    <cellStyle name="Cálculo 11 6" xfId="32582"/>
    <cellStyle name="Cálculo 11 7" xfId="33972"/>
    <cellStyle name="Cálculo 11 8" xfId="40361"/>
    <cellStyle name="Cálculo 12" xfId="961"/>
    <cellStyle name="Cálculo 12 2" xfId="11514"/>
    <cellStyle name="Cálculo 12 2 2" xfId="11621"/>
    <cellStyle name="Cálculo 12 2 2 2" xfId="29441"/>
    <cellStyle name="Cálculo 12 2 2 3" xfId="32590"/>
    <cellStyle name="Cálculo 12 2 2 4" xfId="33980"/>
    <cellStyle name="Cálculo 12 2 2 5" xfId="40369"/>
    <cellStyle name="Cálculo 12 2 3" xfId="11622"/>
    <cellStyle name="Cálculo 12 2 3 2" xfId="29442"/>
    <cellStyle name="Cálculo 12 2 3 3" xfId="32591"/>
    <cellStyle name="Cálculo 12 2 3 4" xfId="33981"/>
    <cellStyle name="Cálculo 12 2 3 5" xfId="40370"/>
    <cellStyle name="Cálculo 12 2 4" xfId="29440"/>
    <cellStyle name="Cálculo 12 2 5" xfId="32589"/>
    <cellStyle name="Cálculo 12 2 6" xfId="33979"/>
    <cellStyle name="Cálculo 12 2 7" xfId="40368"/>
    <cellStyle name="Cálculo 12 3" xfId="11623"/>
    <cellStyle name="Cálculo 12 3 2" xfId="29443"/>
    <cellStyle name="Cálculo 12 3 3" xfId="32592"/>
    <cellStyle name="Cálculo 12 3 4" xfId="33982"/>
    <cellStyle name="Cálculo 12 3 5" xfId="40371"/>
    <cellStyle name="Cálculo 12 4" xfId="11624"/>
    <cellStyle name="Cálculo 12 4 2" xfId="29444"/>
    <cellStyle name="Cálculo 12 4 3" xfId="32593"/>
    <cellStyle name="Cálculo 12 4 4" xfId="33983"/>
    <cellStyle name="Cálculo 12 4 5" xfId="40372"/>
    <cellStyle name="Cálculo 12 5" xfId="29439"/>
    <cellStyle name="Cálculo 12 6" xfId="32588"/>
    <cellStyle name="Cálculo 12 7" xfId="33978"/>
    <cellStyle name="Cálculo 12 8" xfId="40367"/>
    <cellStyle name="Cálculo 13" xfId="962"/>
    <cellStyle name="Cálculo 13 2" xfId="11515"/>
    <cellStyle name="Cálculo 13 2 2" xfId="11625"/>
    <cellStyle name="Cálculo 13 2 2 2" xfId="29447"/>
    <cellStyle name="Cálculo 13 2 2 3" xfId="32596"/>
    <cellStyle name="Cálculo 13 2 2 4" xfId="33986"/>
    <cellStyle name="Cálculo 13 2 2 5" xfId="40375"/>
    <cellStyle name="Cálculo 13 2 3" xfId="11626"/>
    <cellStyle name="Cálculo 13 2 3 2" xfId="29448"/>
    <cellStyle name="Cálculo 13 2 3 3" xfId="32597"/>
    <cellStyle name="Cálculo 13 2 3 4" xfId="33987"/>
    <cellStyle name="Cálculo 13 2 3 5" xfId="40376"/>
    <cellStyle name="Cálculo 13 2 4" xfId="29446"/>
    <cellStyle name="Cálculo 13 2 5" xfId="32595"/>
    <cellStyle name="Cálculo 13 2 6" xfId="33985"/>
    <cellStyle name="Cálculo 13 2 7" xfId="40374"/>
    <cellStyle name="Cálculo 13 3" xfId="11627"/>
    <cellStyle name="Cálculo 13 3 2" xfId="29449"/>
    <cellStyle name="Cálculo 13 3 3" xfId="32598"/>
    <cellStyle name="Cálculo 13 3 4" xfId="33988"/>
    <cellStyle name="Cálculo 13 3 5" xfId="40377"/>
    <cellStyle name="Cálculo 13 4" xfId="11628"/>
    <cellStyle name="Cálculo 13 4 2" xfId="29450"/>
    <cellStyle name="Cálculo 13 4 3" xfId="32599"/>
    <cellStyle name="Cálculo 13 4 4" xfId="33989"/>
    <cellStyle name="Cálculo 13 4 5" xfId="40378"/>
    <cellStyle name="Cálculo 13 5" xfId="29445"/>
    <cellStyle name="Cálculo 13 6" xfId="32594"/>
    <cellStyle name="Cálculo 13 7" xfId="33984"/>
    <cellStyle name="Cálculo 13 8" xfId="40373"/>
    <cellStyle name="Cálculo 14" xfId="963"/>
    <cellStyle name="Cálculo 14 2" xfId="11516"/>
    <cellStyle name="Cálculo 14 2 2" xfId="11629"/>
    <cellStyle name="Cálculo 14 2 2 2" xfId="29453"/>
    <cellStyle name="Cálculo 14 2 2 3" xfId="32602"/>
    <cellStyle name="Cálculo 14 2 2 4" xfId="33992"/>
    <cellStyle name="Cálculo 14 2 2 5" xfId="40381"/>
    <cellStyle name="Cálculo 14 2 3" xfId="11630"/>
    <cellStyle name="Cálculo 14 2 3 2" xfId="29454"/>
    <cellStyle name="Cálculo 14 2 3 3" xfId="32603"/>
    <cellStyle name="Cálculo 14 2 3 4" xfId="33993"/>
    <cellStyle name="Cálculo 14 2 3 5" xfId="40382"/>
    <cellStyle name="Cálculo 14 2 4" xfId="29452"/>
    <cellStyle name="Cálculo 14 2 5" xfId="32601"/>
    <cellStyle name="Cálculo 14 2 6" xfId="33991"/>
    <cellStyle name="Cálculo 14 2 7" xfId="40380"/>
    <cellStyle name="Cálculo 14 3" xfId="11631"/>
    <cellStyle name="Cálculo 14 3 2" xfId="29455"/>
    <cellStyle name="Cálculo 14 3 3" xfId="32604"/>
    <cellStyle name="Cálculo 14 3 4" xfId="33994"/>
    <cellStyle name="Cálculo 14 3 5" xfId="40383"/>
    <cellStyle name="Cálculo 14 4" xfId="11632"/>
    <cellStyle name="Cálculo 14 4 2" xfId="29456"/>
    <cellStyle name="Cálculo 14 4 3" xfId="32605"/>
    <cellStyle name="Cálculo 14 4 4" xfId="33995"/>
    <cellStyle name="Cálculo 14 4 5" xfId="40384"/>
    <cellStyle name="Cálculo 14 5" xfId="29451"/>
    <cellStyle name="Cálculo 14 6" xfId="32600"/>
    <cellStyle name="Cálculo 14 7" xfId="33990"/>
    <cellStyle name="Cálculo 14 8" xfId="40379"/>
    <cellStyle name="Cálculo 15" xfId="964"/>
    <cellStyle name="Cálculo 15 2" xfId="11517"/>
    <cellStyle name="Cálculo 15 2 2" xfId="11633"/>
    <cellStyle name="Cálculo 15 2 2 2" xfId="29459"/>
    <cellStyle name="Cálculo 15 2 2 3" xfId="32608"/>
    <cellStyle name="Cálculo 15 2 2 4" xfId="33998"/>
    <cellStyle name="Cálculo 15 2 2 5" xfId="40387"/>
    <cellStyle name="Cálculo 15 2 3" xfId="11634"/>
    <cellStyle name="Cálculo 15 2 3 2" xfId="29460"/>
    <cellStyle name="Cálculo 15 2 3 3" xfId="32609"/>
    <cellStyle name="Cálculo 15 2 3 4" xfId="33999"/>
    <cellStyle name="Cálculo 15 2 3 5" xfId="40388"/>
    <cellStyle name="Cálculo 15 2 4" xfId="29458"/>
    <cellStyle name="Cálculo 15 2 5" xfId="32607"/>
    <cellStyle name="Cálculo 15 2 6" xfId="33997"/>
    <cellStyle name="Cálculo 15 2 7" xfId="40386"/>
    <cellStyle name="Cálculo 15 3" xfId="11635"/>
    <cellStyle name="Cálculo 15 3 2" xfId="29461"/>
    <cellStyle name="Cálculo 15 3 3" xfId="32610"/>
    <cellStyle name="Cálculo 15 3 4" xfId="34000"/>
    <cellStyle name="Cálculo 15 3 5" xfId="40389"/>
    <cellStyle name="Cálculo 15 4" xfId="11636"/>
    <cellStyle name="Cálculo 15 4 2" xfId="29462"/>
    <cellStyle name="Cálculo 15 4 3" xfId="32611"/>
    <cellStyle name="Cálculo 15 4 4" xfId="34001"/>
    <cellStyle name="Cálculo 15 4 5" xfId="40390"/>
    <cellStyle name="Cálculo 15 5" xfId="29457"/>
    <cellStyle name="Cálculo 15 6" xfId="32606"/>
    <cellStyle name="Cálculo 15 7" xfId="33996"/>
    <cellStyle name="Cálculo 15 8" xfId="40385"/>
    <cellStyle name="Cálculo 16" xfId="965"/>
    <cellStyle name="Cálculo 16 2" xfId="11518"/>
    <cellStyle name="Cálculo 16 2 2" xfId="11637"/>
    <cellStyle name="Cálculo 16 2 2 2" xfId="29465"/>
    <cellStyle name="Cálculo 16 2 2 3" xfId="32614"/>
    <cellStyle name="Cálculo 16 2 2 4" xfId="34004"/>
    <cellStyle name="Cálculo 16 2 2 5" xfId="40393"/>
    <cellStyle name="Cálculo 16 2 3" xfId="11638"/>
    <cellStyle name="Cálculo 16 2 3 2" xfId="29466"/>
    <cellStyle name="Cálculo 16 2 3 3" xfId="32615"/>
    <cellStyle name="Cálculo 16 2 3 4" xfId="34005"/>
    <cellStyle name="Cálculo 16 2 3 5" xfId="40394"/>
    <cellStyle name="Cálculo 16 2 4" xfId="29464"/>
    <cellStyle name="Cálculo 16 2 5" xfId="32613"/>
    <cellStyle name="Cálculo 16 2 6" xfId="34003"/>
    <cellStyle name="Cálculo 16 2 7" xfId="40392"/>
    <cellStyle name="Cálculo 16 3" xfId="11639"/>
    <cellStyle name="Cálculo 16 3 2" xfId="29467"/>
    <cellStyle name="Cálculo 16 3 3" xfId="32616"/>
    <cellStyle name="Cálculo 16 3 4" xfId="34006"/>
    <cellStyle name="Cálculo 16 3 5" xfId="40395"/>
    <cellStyle name="Cálculo 16 4" xfId="11640"/>
    <cellStyle name="Cálculo 16 4 2" xfId="29468"/>
    <cellStyle name="Cálculo 16 4 3" xfId="32617"/>
    <cellStyle name="Cálculo 16 4 4" xfId="34007"/>
    <cellStyle name="Cálculo 16 4 5" xfId="40396"/>
    <cellStyle name="Cálculo 16 5" xfId="29463"/>
    <cellStyle name="Cálculo 16 6" xfId="32612"/>
    <cellStyle name="Cálculo 16 7" xfId="34002"/>
    <cellStyle name="Cálculo 16 8" xfId="40391"/>
    <cellStyle name="Cálculo 17" xfId="966"/>
    <cellStyle name="Cálculo 17 2" xfId="11519"/>
    <cellStyle name="Cálculo 17 2 2" xfId="11641"/>
    <cellStyle name="Cálculo 17 2 2 2" xfId="29471"/>
    <cellStyle name="Cálculo 17 2 2 3" xfId="32620"/>
    <cellStyle name="Cálculo 17 2 2 4" xfId="34010"/>
    <cellStyle name="Cálculo 17 2 2 5" xfId="40399"/>
    <cellStyle name="Cálculo 17 2 3" xfId="11642"/>
    <cellStyle name="Cálculo 17 2 3 2" xfId="29472"/>
    <cellStyle name="Cálculo 17 2 3 3" xfId="32621"/>
    <cellStyle name="Cálculo 17 2 3 4" xfId="34011"/>
    <cellStyle name="Cálculo 17 2 3 5" xfId="40400"/>
    <cellStyle name="Cálculo 17 2 4" xfId="29470"/>
    <cellStyle name="Cálculo 17 2 5" xfId="32619"/>
    <cellStyle name="Cálculo 17 2 6" xfId="34009"/>
    <cellStyle name="Cálculo 17 2 7" xfId="40398"/>
    <cellStyle name="Cálculo 17 3" xfId="11643"/>
    <cellStyle name="Cálculo 17 3 2" xfId="29473"/>
    <cellStyle name="Cálculo 17 3 3" xfId="32622"/>
    <cellStyle name="Cálculo 17 3 4" xfId="34012"/>
    <cellStyle name="Cálculo 17 3 5" xfId="40401"/>
    <cellStyle name="Cálculo 17 4" xfId="11644"/>
    <cellStyle name="Cálculo 17 4 2" xfId="29474"/>
    <cellStyle name="Cálculo 17 4 3" xfId="32623"/>
    <cellStyle name="Cálculo 17 4 4" xfId="34013"/>
    <cellStyle name="Cálculo 17 4 5" xfId="40402"/>
    <cellStyle name="Cálculo 17 5" xfId="29469"/>
    <cellStyle name="Cálculo 17 6" xfId="32618"/>
    <cellStyle name="Cálculo 17 7" xfId="34008"/>
    <cellStyle name="Cálculo 17 8" xfId="40397"/>
    <cellStyle name="Cálculo 18" xfId="967"/>
    <cellStyle name="Cálculo 18 2" xfId="11520"/>
    <cellStyle name="Cálculo 18 2 2" xfId="11645"/>
    <cellStyle name="Cálculo 18 2 2 2" xfId="29477"/>
    <cellStyle name="Cálculo 18 2 2 3" xfId="32626"/>
    <cellStyle name="Cálculo 18 2 2 4" xfId="34016"/>
    <cellStyle name="Cálculo 18 2 2 5" xfId="40405"/>
    <cellStyle name="Cálculo 18 2 3" xfId="11646"/>
    <cellStyle name="Cálculo 18 2 3 2" xfId="29478"/>
    <cellStyle name="Cálculo 18 2 3 3" xfId="32627"/>
    <cellStyle name="Cálculo 18 2 3 4" xfId="34017"/>
    <cellStyle name="Cálculo 18 2 3 5" xfId="40406"/>
    <cellStyle name="Cálculo 18 2 4" xfId="29476"/>
    <cellStyle name="Cálculo 18 2 5" xfId="32625"/>
    <cellStyle name="Cálculo 18 2 6" xfId="34015"/>
    <cellStyle name="Cálculo 18 2 7" xfId="40404"/>
    <cellStyle name="Cálculo 18 3" xfId="11647"/>
    <cellStyle name="Cálculo 18 3 2" xfId="29479"/>
    <cellStyle name="Cálculo 18 3 3" xfId="32628"/>
    <cellStyle name="Cálculo 18 3 4" xfId="34018"/>
    <cellStyle name="Cálculo 18 3 5" xfId="40407"/>
    <cellStyle name="Cálculo 18 4" xfId="11648"/>
    <cellStyle name="Cálculo 18 4 2" xfId="29480"/>
    <cellStyle name="Cálculo 18 4 3" xfId="32629"/>
    <cellStyle name="Cálculo 18 4 4" xfId="34019"/>
    <cellStyle name="Cálculo 18 4 5" xfId="40408"/>
    <cellStyle name="Cálculo 18 5" xfId="29475"/>
    <cellStyle name="Cálculo 18 6" xfId="32624"/>
    <cellStyle name="Cálculo 18 7" xfId="34014"/>
    <cellStyle name="Cálculo 18 8" xfId="40403"/>
    <cellStyle name="Cálculo 19" xfId="968"/>
    <cellStyle name="Cálculo 19 2" xfId="11521"/>
    <cellStyle name="Cálculo 19 2 2" xfId="11649"/>
    <cellStyle name="Cálculo 19 2 2 2" xfId="29483"/>
    <cellStyle name="Cálculo 19 2 2 3" xfId="32632"/>
    <cellStyle name="Cálculo 19 2 2 4" xfId="34022"/>
    <cellStyle name="Cálculo 19 2 2 5" xfId="40411"/>
    <cellStyle name="Cálculo 19 2 3" xfId="11650"/>
    <cellStyle name="Cálculo 19 2 3 2" xfId="29484"/>
    <cellStyle name="Cálculo 19 2 3 3" xfId="32633"/>
    <cellStyle name="Cálculo 19 2 3 4" xfId="34023"/>
    <cellStyle name="Cálculo 19 2 3 5" xfId="40412"/>
    <cellStyle name="Cálculo 19 2 4" xfId="29482"/>
    <cellStyle name="Cálculo 19 2 5" xfId="32631"/>
    <cellStyle name="Cálculo 19 2 6" xfId="34021"/>
    <cellStyle name="Cálculo 19 2 7" xfId="40410"/>
    <cellStyle name="Cálculo 19 3" xfId="11651"/>
    <cellStyle name="Cálculo 19 3 2" xfId="29485"/>
    <cellStyle name="Cálculo 19 3 3" xfId="32634"/>
    <cellStyle name="Cálculo 19 3 4" xfId="34024"/>
    <cellStyle name="Cálculo 19 3 5" xfId="40413"/>
    <cellStyle name="Cálculo 19 4" xfId="11652"/>
    <cellStyle name="Cálculo 19 4 2" xfId="29486"/>
    <cellStyle name="Cálculo 19 4 3" xfId="32635"/>
    <cellStyle name="Cálculo 19 4 4" xfId="34025"/>
    <cellStyle name="Cálculo 19 4 5" xfId="40414"/>
    <cellStyle name="Cálculo 19 5" xfId="29481"/>
    <cellStyle name="Cálculo 19 6" xfId="32630"/>
    <cellStyle name="Cálculo 19 7" xfId="34020"/>
    <cellStyle name="Cálculo 19 8" xfId="40409"/>
    <cellStyle name="Cálculo 2" xfId="969"/>
    <cellStyle name="Cálculo 2 10" xfId="12459"/>
    <cellStyle name="Cálculo 2 10 2" xfId="12460"/>
    <cellStyle name="Cálculo 2 10 2 2" xfId="29489"/>
    <cellStyle name="Cálculo 2 10 3" xfId="29488"/>
    <cellStyle name="Cálculo 2 11" xfId="12461"/>
    <cellStyle name="Cálculo 2 11 2" xfId="29490"/>
    <cellStyle name="Cálculo 2 12" xfId="29487"/>
    <cellStyle name="Cálculo 2 13" xfId="32636"/>
    <cellStyle name="Cálculo 2 14" xfId="33526"/>
    <cellStyle name="Cálculo 2 15" xfId="34026"/>
    <cellStyle name="Cálculo 2 16" xfId="40415"/>
    <cellStyle name="Cálculo 2 2" xfId="11522"/>
    <cellStyle name="Cálculo 2 2 10" xfId="12462"/>
    <cellStyle name="Cálculo 2 2 10 2" xfId="29492"/>
    <cellStyle name="Cálculo 2 2 11" xfId="29491"/>
    <cellStyle name="Cálculo 2 2 12" xfId="32637"/>
    <cellStyle name="Cálculo 2 2 13" xfId="33527"/>
    <cellStyle name="Cálculo 2 2 14" xfId="34027"/>
    <cellStyle name="Cálculo 2 2 15" xfId="40416"/>
    <cellStyle name="Cálculo 2 2 2" xfId="11653"/>
    <cellStyle name="Cálculo 2 2 2 10" xfId="40417"/>
    <cellStyle name="Cálculo 2 2 2 2" xfId="12463"/>
    <cellStyle name="Cálculo 2 2 2 2 2" xfId="29494"/>
    <cellStyle name="Cálculo 2 2 2 3" xfId="12464"/>
    <cellStyle name="Cálculo 2 2 2 3 2" xfId="29495"/>
    <cellStyle name="Cálculo 2 2 2 4" xfId="12465"/>
    <cellStyle name="Cálculo 2 2 2 4 2" xfId="29496"/>
    <cellStyle name="Cálculo 2 2 2 5" xfId="12466"/>
    <cellStyle name="Cálculo 2 2 2 5 2" xfId="29497"/>
    <cellStyle name="Cálculo 2 2 2 6" xfId="12467"/>
    <cellStyle name="Cálculo 2 2 2 6 2" xfId="29498"/>
    <cellStyle name="Cálculo 2 2 2 7" xfId="29493"/>
    <cellStyle name="Cálculo 2 2 2 8" xfId="32638"/>
    <cellStyle name="Cálculo 2 2 2 9" xfId="34028"/>
    <cellStyle name="Cálculo 2 2 3" xfId="11654"/>
    <cellStyle name="Cálculo 2 2 3 10" xfId="40418"/>
    <cellStyle name="Cálculo 2 2 3 2" xfId="12468"/>
    <cellStyle name="Cálculo 2 2 3 2 2" xfId="29500"/>
    <cellStyle name="Cálculo 2 2 3 3" xfId="12469"/>
    <cellStyle name="Cálculo 2 2 3 3 2" xfId="29501"/>
    <cellStyle name="Cálculo 2 2 3 4" xfId="12470"/>
    <cellStyle name="Cálculo 2 2 3 4 2" xfId="29502"/>
    <cellStyle name="Cálculo 2 2 3 5" xfId="12471"/>
    <cellStyle name="Cálculo 2 2 3 5 2" xfId="29503"/>
    <cellStyle name="Cálculo 2 2 3 6" xfId="12472"/>
    <cellStyle name="Cálculo 2 2 3 6 2" xfId="29504"/>
    <cellStyle name="Cálculo 2 2 3 7" xfId="29499"/>
    <cellStyle name="Cálculo 2 2 3 8" xfId="32639"/>
    <cellStyle name="Cálculo 2 2 3 9" xfId="34029"/>
    <cellStyle name="Cálculo 2 2 4" xfId="12473"/>
    <cellStyle name="Cálculo 2 2 4 2" xfId="12474"/>
    <cellStyle name="Cálculo 2 2 4 2 2" xfId="29506"/>
    <cellStyle name="Cálculo 2 2 4 3" xfId="12475"/>
    <cellStyle name="Cálculo 2 2 4 3 2" xfId="29507"/>
    <cellStyle name="Cálculo 2 2 4 4" xfId="12476"/>
    <cellStyle name="Cálculo 2 2 4 4 2" xfId="29508"/>
    <cellStyle name="Cálculo 2 2 4 5" xfId="12477"/>
    <cellStyle name="Cálculo 2 2 4 5 2" xfId="29509"/>
    <cellStyle name="Cálculo 2 2 4 6" xfId="29505"/>
    <cellStyle name="Cálculo 2 2 5" xfId="12478"/>
    <cellStyle name="Cálculo 2 2 5 2" xfId="12479"/>
    <cellStyle name="Cálculo 2 2 5 2 2" xfId="29511"/>
    <cellStyle name="Cálculo 2 2 5 3" xfId="12480"/>
    <cellStyle name="Cálculo 2 2 5 3 2" xfId="29512"/>
    <cellStyle name="Cálculo 2 2 5 4" xfId="12481"/>
    <cellStyle name="Cálculo 2 2 5 4 2" xfId="29513"/>
    <cellStyle name="Cálculo 2 2 5 5" xfId="12482"/>
    <cellStyle name="Cálculo 2 2 5 5 2" xfId="29514"/>
    <cellStyle name="Cálculo 2 2 5 6" xfId="29510"/>
    <cellStyle name="Cálculo 2 2 6" xfId="12483"/>
    <cellStyle name="Cálculo 2 2 6 2" xfId="12484"/>
    <cellStyle name="Cálculo 2 2 6 2 2" xfId="29516"/>
    <cellStyle name="Cálculo 2 2 6 3" xfId="12485"/>
    <cellStyle name="Cálculo 2 2 6 3 2" xfId="29517"/>
    <cellStyle name="Cálculo 2 2 6 4" xfId="12486"/>
    <cellStyle name="Cálculo 2 2 6 4 2" xfId="29518"/>
    <cellStyle name="Cálculo 2 2 6 5" xfId="12487"/>
    <cellStyle name="Cálculo 2 2 6 5 2" xfId="29519"/>
    <cellStyle name="Cálculo 2 2 6 6" xfId="29515"/>
    <cellStyle name="Cálculo 2 2 7" xfId="12488"/>
    <cellStyle name="Cálculo 2 2 7 2" xfId="12489"/>
    <cellStyle name="Cálculo 2 2 7 2 2" xfId="29521"/>
    <cellStyle name="Cálculo 2 2 7 3" xfId="12490"/>
    <cellStyle name="Cálculo 2 2 7 3 2" xfId="29522"/>
    <cellStyle name="Cálculo 2 2 7 4" xfId="12491"/>
    <cellStyle name="Cálculo 2 2 7 4 2" xfId="29523"/>
    <cellStyle name="Cálculo 2 2 7 5" xfId="12492"/>
    <cellStyle name="Cálculo 2 2 7 5 2" xfId="29524"/>
    <cellStyle name="Cálculo 2 2 7 6" xfId="29520"/>
    <cellStyle name="Cálculo 2 2 8" xfId="12493"/>
    <cellStyle name="Cálculo 2 2 8 2" xfId="12494"/>
    <cellStyle name="Cálculo 2 2 8 2 2" xfId="29526"/>
    <cellStyle name="Cálculo 2 2 8 3" xfId="12495"/>
    <cellStyle name="Cálculo 2 2 8 3 2" xfId="29527"/>
    <cellStyle name="Cálculo 2 2 8 4" xfId="12496"/>
    <cellStyle name="Cálculo 2 2 8 4 2" xfId="29528"/>
    <cellStyle name="Cálculo 2 2 8 5" xfId="12497"/>
    <cellStyle name="Cálculo 2 2 8 5 2" xfId="29529"/>
    <cellStyle name="Cálculo 2 2 8 6" xfId="12498"/>
    <cellStyle name="Cálculo 2 2 8 6 2" xfId="29530"/>
    <cellStyle name="Cálculo 2 2 8 7" xfId="29525"/>
    <cellStyle name="Cálculo 2 2 9" xfId="12499"/>
    <cellStyle name="Cálculo 2 2 9 2" xfId="12500"/>
    <cellStyle name="Cálculo 2 2 9 2 2" xfId="29532"/>
    <cellStyle name="Cálculo 2 2 9 3" xfId="29531"/>
    <cellStyle name="Cálculo 2 3" xfId="11655"/>
    <cellStyle name="Cálculo 2 3 10" xfId="40419"/>
    <cellStyle name="Cálculo 2 3 2" xfId="12501"/>
    <cellStyle name="Cálculo 2 3 2 2" xfId="29534"/>
    <cellStyle name="Cálculo 2 3 3" xfId="12502"/>
    <cellStyle name="Cálculo 2 3 3 2" xfId="29535"/>
    <cellStyle name="Cálculo 2 3 4" xfId="12503"/>
    <cellStyle name="Cálculo 2 3 4 2" xfId="29536"/>
    <cellStyle name="Cálculo 2 3 5" xfId="12504"/>
    <cellStyle name="Cálculo 2 3 5 2" xfId="29537"/>
    <cellStyle name="Cálculo 2 3 6" xfId="12505"/>
    <cellStyle name="Cálculo 2 3 6 2" xfId="29538"/>
    <cellStyle name="Cálculo 2 3 7" xfId="29533"/>
    <cellStyle name="Cálculo 2 3 8" xfId="32640"/>
    <cellStyle name="Cálculo 2 3 9" xfId="34030"/>
    <cellStyle name="Cálculo 2 4" xfId="11656"/>
    <cellStyle name="Cálculo 2 4 10" xfId="40420"/>
    <cellStyle name="Cálculo 2 4 2" xfId="12506"/>
    <cellStyle name="Cálculo 2 4 2 2" xfId="29540"/>
    <cellStyle name="Cálculo 2 4 3" xfId="12507"/>
    <cellStyle name="Cálculo 2 4 3 2" xfId="29541"/>
    <cellStyle name="Cálculo 2 4 4" xfId="12508"/>
    <cellStyle name="Cálculo 2 4 4 2" xfId="29542"/>
    <cellStyle name="Cálculo 2 4 5" xfId="12509"/>
    <cellStyle name="Cálculo 2 4 5 2" xfId="29543"/>
    <cellStyle name="Cálculo 2 4 6" xfId="12510"/>
    <cellStyle name="Cálculo 2 4 6 2" xfId="29544"/>
    <cellStyle name="Cálculo 2 4 7" xfId="29539"/>
    <cellStyle name="Cálculo 2 4 8" xfId="32641"/>
    <cellStyle name="Cálculo 2 4 9" xfId="34031"/>
    <cellStyle name="Cálculo 2 5" xfId="12511"/>
    <cellStyle name="Cálculo 2 5 2" xfId="12512"/>
    <cellStyle name="Cálculo 2 5 2 2" xfId="29546"/>
    <cellStyle name="Cálculo 2 5 3" xfId="12513"/>
    <cellStyle name="Cálculo 2 5 3 2" xfId="29547"/>
    <cellStyle name="Cálculo 2 5 4" xfId="12514"/>
    <cellStyle name="Cálculo 2 5 4 2" xfId="29548"/>
    <cellStyle name="Cálculo 2 5 5" xfId="12515"/>
    <cellStyle name="Cálculo 2 5 5 2" xfId="29549"/>
    <cellStyle name="Cálculo 2 5 6" xfId="29545"/>
    <cellStyle name="Cálculo 2 6" xfId="12516"/>
    <cellStyle name="Cálculo 2 6 2" xfId="12517"/>
    <cellStyle name="Cálculo 2 6 2 2" xfId="29551"/>
    <cellStyle name="Cálculo 2 6 3" xfId="12518"/>
    <cellStyle name="Cálculo 2 6 3 2" xfId="29552"/>
    <cellStyle name="Cálculo 2 6 4" xfId="12519"/>
    <cellStyle name="Cálculo 2 6 4 2" xfId="29553"/>
    <cellStyle name="Cálculo 2 6 5" xfId="12520"/>
    <cellStyle name="Cálculo 2 6 5 2" xfId="29554"/>
    <cellStyle name="Cálculo 2 6 6" xfId="29550"/>
    <cellStyle name="Cálculo 2 7" xfId="12521"/>
    <cellStyle name="Cálculo 2 7 2" xfId="12522"/>
    <cellStyle name="Cálculo 2 7 2 2" xfId="29556"/>
    <cellStyle name="Cálculo 2 7 3" xfId="12523"/>
    <cellStyle name="Cálculo 2 7 3 2" xfId="29557"/>
    <cellStyle name="Cálculo 2 7 4" xfId="12524"/>
    <cellStyle name="Cálculo 2 7 4 2" xfId="29558"/>
    <cellStyle name="Cálculo 2 7 5" xfId="12525"/>
    <cellStyle name="Cálculo 2 7 5 2" xfId="29559"/>
    <cellStyle name="Cálculo 2 7 6" xfId="29555"/>
    <cellStyle name="Cálculo 2 8" xfId="12526"/>
    <cellStyle name="Cálculo 2 8 2" xfId="12527"/>
    <cellStyle name="Cálculo 2 8 2 2" xfId="29561"/>
    <cellStyle name="Cálculo 2 8 3" xfId="12528"/>
    <cellStyle name="Cálculo 2 8 3 2" xfId="29562"/>
    <cellStyle name="Cálculo 2 8 4" xfId="12529"/>
    <cellStyle name="Cálculo 2 8 4 2" xfId="29563"/>
    <cellStyle name="Cálculo 2 8 5" xfId="12530"/>
    <cellStyle name="Cálculo 2 8 5 2" xfId="29564"/>
    <cellStyle name="Cálculo 2 8 6" xfId="29560"/>
    <cellStyle name="Cálculo 2 9" xfId="12531"/>
    <cellStyle name="Cálculo 2 9 2" xfId="12532"/>
    <cellStyle name="Cálculo 2 9 2 2" xfId="29566"/>
    <cellStyle name="Cálculo 2 9 3" xfId="12533"/>
    <cellStyle name="Cálculo 2 9 3 2" xfId="29567"/>
    <cellStyle name="Cálculo 2 9 4" xfId="12534"/>
    <cellStyle name="Cálculo 2 9 4 2" xfId="29568"/>
    <cellStyle name="Cálculo 2 9 5" xfId="12535"/>
    <cellStyle name="Cálculo 2 9 5 2" xfId="29569"/>
    <cellStyle name="Cálculo 2 9 6" xfId="12536"/>
    <cellStyle name="Cálculo 2 9 6 2" xfId="29570"/>
    <cellStyle name="Cálculo 2 9 7" xfId="29565"/>
    <cellStyle name="Cálculo 20" xfId="970"/>
    <cellStyle name="Cálculo 20 2" xfId="11523"/>
    <cellStyle name="Cálculo 20 2 2" xfId="11657"/>
    <cellStyle name="Cálculo 20 2 2 2" xfId="29573"/>
    <cellStyle name="Cálculo 20 2 2 3" xfId="32644"/>
    <cellStyle name="Cálculo 20 2 2 4" xfId="34034"/>
    <cellStyle name="Cálculo 20 2 2 5" xfId="40423"/>
    <cellStyle name="Cálculo 20 2 3" xfId="11658"/>
    <cellStyle name="Cálculo 20 2 3 2" xfId="29574"/>
    <cellStyle name="Cálculo 20 2 3 3" xfId="32645"/>
    <cellStyle name="Cálculo 20 2 3 4" xfId="34035"/>
    <cellStyle name="Cálculo 20 2 3 5" xfId="40424"/>
    <cellStyle name="Cálculo 20 2 4" xfId="29572"/>
    <cellStyle name="Cálculo 20 2 5" xfId="32643"/>
    <cellStyle name="Cálculo 20 2 6" xfId="34033"/>
    <cellStyle name="Cálculo 20 2 7" xfId="40422"/>
    <cellStyle name="Cálculo 20 3" xfId="11659"/>
    <cellStyle name="Cálculo 20 3 2" xfId="29575"/>
    <cellStyle name="Cálculo 20 3 3" xfId="32646"/>
    <cellStyle name="Cálculo 20 3 4" xfId="34036"/>
    <cellStyle name="Cálculo 20 3 5" xfId="40425"/>
    <cellStyle name="Cálculo 20 4" xfId="11660"/>
    <cellStyle name="Cálculo 20 4 2" xfId="29576"/>
    <cellStyle name="Cálculo 20 4 3" xfId="32647"/>
    <cellStyle name="Cálculo 20 4 4" xfId="34037"/>
    <cellStyle name="Cálculo 20 4 5" xfId="40426"/>
    <cellStyle name="Cálculo 20 5" xfId="29571"/>
    <cellStyle name="Cálculo 20 6" xfId="32642"/>
    <cellStyle name="Cálculo 20 7" xfId="34032"/>
    <cellStyle name="Cálculo 20 8" xfId="40421"/>
    <cellStyle name="Cálculo 21" xfId="971"/>
    <cellStyle name="Cálculo 21 2" xfId="11524"/>
    <cellStyle name="Cálculo 21 2 2" xfId="11661"/>
    <cellStyle name="Cálculo 21 2 2 2" xfId="29579"/>
    <cellStyle name="Cálculo 21 2 2 3" xfId="32650"/>
    <cellStyle name="Cálculo 21 2 2 4" xfId="34040"/>
    <cellStyle name="Cálculo 21 2 2 5" xfId="40429"/>
    <cellStyle name="Cálculo 21 2 3" xfId="11662"/>
    <cellStyle name="Cálculo 21 2 3 2" xfId="29580"/>
    <cellStyle name="Cálculo 21 2 3 3" xfId="32651"/>
    <cellStyle name="Cálculo 21 2 3 4" xfId="34041"/>
    <cellStyle name="Cálculo 21 2 3 5" xfId="40430"/>
    <cellStyle name="Cálculo 21 2 4" xfId="29578"/>
    <cellStyle name="Cálculo 21 2 5" xfId="32649"/>
    <cellStyle name="Cálculo 21 2 6" xfId="34039"/>
    <cellStyle name="Cálculo 21 2 7" xfId="40428"/>
    <cellStyle name="Cálculo 21 3" xfId="11663"/>
    <cellStyle name="Cálculo 21 3 2" xfId="29581"/>
    <cellStyle name="Cálculo 21 3 3" xfId="32652"/>
    <cellStyle name="Cálculo 21 3 4" xfId="34042"/>
    <cellStyle name="Cálculo 21 3 5" xfId="40431"/>
    <cellStyle name="Cálculo 21 4" xfId="11664"/>
    <cellStyle name="Cálculo 21 4 2" xfId="29582"/>
    <cellStyle name="Cálculo 21 4 3" xfId="32653"/>
    <cellStyle name="Cálculo 21 4 4" xfId="34043"/>
    <cellStyle name="Cálculo 21 4 5" xfId="40432"/>
    <cellStyle name="Cálculo 21 5" xfId="29577"/>
    <cellStyle name="Cálculo 21 6" xfId="32648"/>
    <cellStyle name="Cálculo 21 7" xfId="34038"/>
    <cellStyle name="Cálculo 21 8" xfId="40427"/>
    <cellStyle name="Cálculo 22" xfId="972"/>
    <cellStyle name="Cálculo 22 2" xfId="11525"/>
    <cellStyle name="Cálculo 22 2 2" xfId="11665"/>
    <cellStyle name="Cálculo 22 2 2 2" xfId="29585"/>
    <cellStyle name="Cálculo 22 2 2 3" xfId="32656"/>
    <cellStyle name="Cálculo 22 2 2 4" xfId="34046"/>
    <cellStyle name="Cálculo 22 2 2 5" xfId="40435"/>
    <cellStyle name="Cálculo 22 2 3" xfId="11666"/>
    <cellStyle name="Cálculo 22 2 3 2" xfId="29586"/>
    <cellStyle name="Cálculo 22 2 3 3" xfId="32657"/>
    <cellStyle name="Cálculo 22 2 3 4" xfId="34047"/>
    <cellStyle name="Cálculo 22 2 3 5" xfId="40436"/>
    <cellStyle name="Cálculo 22 2 4" xfId="29584"/>
    <cellStyle name="Cálculo 22 2 5" xfId="32655"/>
    <cellStyle name="Cálculo 22 2 6" xfId="34045"/>
    <cellStyle name="Cálculo 22 2 7" xfId="40434"/>
    <cellStyle name="Cálculo 22 3" xfId="11667"/>
    <cellStyle name="Cálculo 22 3 2" xfId="29587"/>
    <cellStyle name="Cálculo 22 3 3" xfId="32658"/>
    <cellStyle name="Cálculo 22 3 4" xfId="34048"/>
    <cellStyle name="Cálculo 22 3 5" xfId="40437"/>
    <cellStyle name="Cálculo 22 4" xfId="11668"/>
    <cellStyle name="Cálculo 22 4 2" xfId="29588"/>
    <cellStyle name="Cálculo 22 4 3" xfId="32659"/>
    <cellStyle name="Cálculo 22 4 4" xfId="34049"/>
    <cellStyle name="Cálculo 22 4 5" xfId="40438"/>
    <cellStyle name="Cálculo 22 5" xfId="29583"/>
    <cellStyle name="Cálculo 22 6" xfId="32654"/>
    <cellStyle name="Cálculo 22 7" xfId="34044"/>
    <cellStyle name="Cálculo 22 8" xfId="40433"/>
    <cellStyle name="Cálculo 23" xfId="973"/>
    <cellStyle name="Cálculo 23 2" xfId="11526"/>
    <cellStyle name="Cálculo 23 2 2" xfId="11669"/>
    <cellStyle name="Cálculo 23 2 2 2" xfId="29591"/>
    <cellStyle name="Cálculo 23 2 2 3" xfId="32662"/>
    <cellStyle name="Cálculo 23 2 2 4" xfId="34052"/>
    <cellStyle name="Cálculo 23 2 2 5" xfId="40441"/>
    <cellStyle name="Cálculo 23 2 3" xfId="11670"/>
    <cellStyle name="Cálculo 23 2 3 2" xfId="29592"/>
    <cellStyle name="Cálculo 23 2 3 3" xfId="32663"/>
    <cellStyle name="Cálculo 23 2 3 4" xfId="34053"/>
    <cellStyle name="Cálculo 23 2 3 5" xfId="40442"/>
    <cellStyle name="Cálculo 23 2 4" xfId="29590"/>
    <cellStyle name="Cálculo 23 2 5" xfId="32661"/>
    <cellStyle name="Cálculo 23 2 6" xfId="34051"/>
    <cellStyle name="Cálculo 23 2 7" xfId="40440"/>
    <cellStyle name="Cálculo 23 3" xfId="11671"/>
    <cellStyle name="Cálculo 23 3 2" xfId="29593"/>
    <cellStyle name="Cálculo 23 3 3" xfId="32664"/>
    <cellStyle name="Cálculo 23 3 4" xfId="34054"/>
    <cellStyle name="Cálculo 23 3 5" xfId="40443"/>
    <cellStyle name="Cálculo 23 4" xfId="11672"/>
    <cellStyle name="Cálculo 23 4 2" xfId="29594"/>
    <cellStyle name="Cálculo 23 4 3" xfId="32665"/>
    <cellStyle name="Cálculo 23 4 4" xfId="34055"/>
    <cellStyle name="Cálculo 23 4 5" xfId="40444"/>
    <cellStyle name="Cálculo 23 5" xfId="29589"/>
    <cellStyle name="Cálculo 23 6" xfId="32660"/>
    <cellStyle name="Cálculo 23 7" xfId="34050"/>
    <cellStyle name="Cálculo 23 8" xfId="40439"/>
    <cellStyle name="Cálculo 24" xfId="974"/>
    <cellStyle name="Cálculo 24 2" xfId="11527"/>
    <cellStyle name="Cálculo 24 2 2" xfId="11673"/>
    <cellStyle name="Cálculo 24 2 2 2" xfId="29597"/>
    <cellStyle name="Cálculo 24 2 2 3" xfId="32668"/>
    <cellStyle name="Cálculo 24 2 2 4" xfId="34058"/>
    <cellStyle name="Cálculo 24 2 2 5" xfId="40447"/>
    <cellStyle name="Cálculo 24 2 3" xfId="11674"/>
    <cellStyle name="Cálculo 24 2 3 2" xfId="29598"/>
    <cellStyle name="Cálculo 24 2 3 3" xfId="32669"/>
    <cellStyle name="Cálculo 24 2 3 4" xfId="34059"/>
    <cellStyle name="Cálculo 24 2 3 5" xfId="40448"/>
    <cellStyle name="Cálculo 24 2 4" xfId="29596"/>
    <cellStyle name="Cálculo 24 2 5" xfId="32667"/>
    <cellStyle name="Cálculo 24 2 6" xfId="34057"/>
    <cellStyle name="Cálculo 24 2 7" xfId="40446"/>
    <cellStyle name="Cálculo 24 3" xfId="11675"/>
    <cellStyle name="Cálculo 24 3 2" xfId="29599"/>
    <cellStyle name="Cálculo 24 3 3" xfId="32670"/>
    <cellStyle name="Cálculo 24 3 4" xfId="34060"/>
    <cellStyle name="Cálculo 24 3 5" xfId="40449"/>
    <cellStyle name="Cálculo 24 4" xfId="11676"/>
    <cellStyle name="Cálculo 24 4 2" xfId="29600"/>
    <cellStyle name="Cálculo 24 4 3" xfId="32671"/>
    <cellStyle name="Cálculo 24 4 4" xfId="34061"/>
    <cellStyle name="Cálculo 24 4 5" xfId="40450"/>
    <cellStyle name="Cálculo 24 5" xfId="29595"/>
    <cellStyle name="Cálculo 24 6" xfId="32666"/>
    <cellStyle name="Cálculo 24 7" xfId="34056"/>
    <cellStyle name="Cálculo 24 8" xfId="40445"/>
    <cellStyle name="Cálculo 25" xfId="975"/>
    <cellStyle name="Cálculo 25 2" xfId="11528"/>
    <cellStyle name="Cálculo 25 2 2" xfId="11677"/>
    <cellStyle name="Cálculo 25 2 2 2" xfId="29603"/>
    <cellStyle name="Cálculo 25 2 2 3" xfId="32674"/>
    <cellStyle name="Cálculo 25 2 2 4" xfId="34064"/>
    <cellStyle name="Cálculo 25 2 2 5" xfId="40453"/>
    <cellStyle name="Cálculo 25 2 3" xfId="11678"/>
    <cellStyle name="Cálculo 25 2 3 2" xfId="29604"/>
    <cellStyle name="Cálculo 25 2 3 3" xfId="32675"/>
    <cellStyle name="Cálculo 25 2 3 4" xfId="34065"/>
    <cellStyle name="Cálculo 25 2 3 5" xfId="40454"/>
    <cellStyle name="Cálculo 25 2 4" xfId="29602"/>
    <cellStyle name="Cálculo 25 2 5" xfId="32673"/>
    <cellStyle name="Cálculo 25 2 6" xfId="34063"/>
    <cellStyle name="Cálculo 25 2 7" xfId="40452"/>
    <cellStyle name="Cálculo 25 3" xfId="11679"/>
    <cellStyle name="Cálculo 25 3 2" xfId="29605"/>
    <cellStyle name="Cálculo 25 3 3" xfId="32676"/>
    <cellStyle name="Cálculo 25 3 4" xfId="34066"/>
    <cellStyle name="Cálculo 25 3 5" xfId="40455"/>
    <cellStyle name="Cálculo 25 4" xfId="11680"/>
    <cellStyle name="Cálculo 25 4 2" xfId="29606"/>
    <cellStyle name="Cálculo 25 4 3" xfId="32677"/>
    <cellStyle name="Cálculo 25 4 4" xfId="34067"/>
    <cellStyle name="Cálculo 25 4 5" xfId="40456"/>
    <cellStyle name="Cálculo 25 5" xfId="29601"/>
    <cellStyle name="Cálculo 25 6" xfId="32672"/>
    <cellStyle name="Cálculo 25 7" xfId="34062"/>
    <cellStyle name="Cálculo 25 8" xfId="40451"/>
    <cellStyle name="Cálculo 26" xfId="976"/>
    <cellStyle name="Cálculo 26 2" xfId="11529"/>
    <cellStyle name="Cálculo 26 2 2" xfId="11681"/>
    <cellStyle name="Cálculo 26 2 2 2" xfId="29609"/>
    <cellStyle name="Cálculo 26 2 2 3" xfId="32680"/>
    <cellStyle name="Cálculo 26 2 2 4" xfId="34070"/>
    <cellStyle name="Cálculo 26 2 2 5" xfId="40459"/>
    <cellStyle name="Cálculo 26 2 3" xfId="11682"/>
    <cellStyle name="Cálculo 26 2 3 2" xfId="29610"/>
    <cellStyle name="Cálculo 26 2 3 3" xfId="32681"/>
    <cellStyle name="Cálculo 26 2 3 4" xfId="34071"/>
    <cellStyle name="Cálculo 26 2 3 5" xfId="40460"/>
    <cellStyle name="Cálculo 26 2 4" xfId="29608"/>
    <cellStyle name="Cálculo 26 2 5" xfId="32679"/>
    <cellStyle name="Cálculo 26 2 6" xfId="34069"/>
    <cellStyle name="Cálculo 26 2 7" xfId="40458"/>
    <cellStyle name="Cálculo 26 3" xfId="11683"/>
    <cellStyle name="Cálculo 26 3 2" xfId="29611"/>
    <cellStyle name="Cálculo 26 3 3" xfId="32682"/>
    <cellStyle name="Cálculo 26 3 4" xfId="34072"/>
    <cellStyle name="Cálculo 26 3 5" xfId="40461"/>
    <cellStyle name="Cálculo 26 4" xfId="11684"/>
    <cellStyle name="Cálculo 26 4 2" xfId="29612"/>
    <cellStyle name="Cálculo 26 4 3" xfId="32683"/>
    <cellStyle name="Cálculo 26 4 4" xfId="34073"/>
    <cellStyle name="Cálculo 26 4 5" xfId="40462"/>
    <cellStyle name="Cálculo 26 5" xfId="29607"/>
    <cellStyle name="Cálculo 26 6" xfId="32678"/>
    <cellStyle name="Cálculo 26 7" xfId="34068"/>
    <cellStyle name="Cálculo 26 8" xfId="40457"/>
    <cellStyle name="Cálculo 27" xfId="977"/>
    <cellStyle name="Cálculo 27 2" xfId="11530"/>
    <cellStyle name="Cálculo 27 2 2" xfId="11685"/>
    <cellStyle name="Cálculo 27 2 2 2" xfId="29615"/>
    <cellStyle name="Cálculo 27 2 2 3" xfId="32686"/>
    <cellStyle name="Cálculo 27 2 2 4" xfId="34076"/>
    <cellStyle name="Cálculo 27 2 2 5" xfId="40465"/>
    <cellStyle name="Cálculo 27 2 3" xfId="11686"/>
    <cellStyle name="Cálculo 27 2 3 2" xfId="29616"/>
    <cellStyle name="Cálculo 27 2 3 3" xfId="32687"/>
    <cellStyle name="Cálculo 27 2 3 4" xfId="34077"/>
    <cellStyle name="Cálculo 27 2 3 5" xfId="40466"/>
    <cellStyle name="Cálculo 27 2 4" xfId="29614"/>
    <cellStyle name="Cálculo 27 2 5" xfId="32685"/>
    <cellStyle name="Cálculo 27 2 6" xfId="34075"/>
    <cellStyle name="Cálculo 27 2 7" xfId="40464"/>
    <cellStyle name="Cálculo 27 3" xfId="11687"/>
    <cellStyle name="Cálculo 27 3 2" xfId="29617"/>
    <cellStyle name="Cálculo 27 3 3" xfId="32688"/>
    <cellStyle name="Cálculo 27 3 4" xfId="34078"/>
    <cellStyle name="Cálculo 27 3 5" xfId="40467"/>
    <cellStyle name="Cálculo 27 4" xfId="11688"/>
    <cellStyle name="Cálculo 27 4 2" xfId="29618"/>
    <cellStyle name="Cálculo 27 4 3" xfId="32689"/>
    <cellStyle name="Cálculo 27 4 4" xfId="34079"/>
    <cellStyle name="Cálculo 27 4 5" xfId="40468"/>
    <cellStyle name="Cálculo 27 5" xfId="29613"/>
    <cellStyle name="Cálculo 27 6" xfId="32684"/>
    <cellStyle name="Cálculo 27 7" xfId="34074"/>
    <cellStyle name="Cálculo 27 8" xfId="40463"/>
    <cellStyle name="Cálculo 28" xfId="978"/>
    <cellStyle name="Cálculo 28 2" xfId="11531"/>
    <cellStyle name="Cálculo 28 2 2" xfId="11689"/>
    <cellStyle name="Cálculo 28 2 2 2" xfId="29621"/>
    <cellStyle name="Cálculo 28 2 2 3" xfId="32692"/>
    <cellStyle name="Cálculo 28 2 2 4" xfId="34082"/>
    <cellStyle name="Cálculo 28 2 2 5" xfId="40471"/>
    <cellStyle name="Cálculo 28 2 3" xfId="11690"/>
    <cellStyle name="Cálculo 28 2 3 2" xfId="29622"/>
    <cellStyle name="Cálculo 28 2 3 3" xfId="32693"/>
    <cellStyle name="Cálculo 28 2 3 4" xfId="34083"/>
    <cellStyle name="Cálculo 28 2 3 5" xfId="40472"/>
    <cellStyle name="Cálculo 28 2 4" xfId="29620"/>
    <cellStyle name="Cálculo 28 2 5" xfId="32691"/>
    <cellStyle name="Cálculo 28 2 6" xfId="34081"/>
    <cellStyle name="Cálculo 28 2 7" xfId="40470"/>
    <cellStyle name="Cálculo 28 3" xfId="11691"/>
    <cellStyle name="Cálculo 28 3 2" xfId="29623"/>
    <cellStyle name="Cálculo 28 3 3" xfId="32694"/>
    <cellStyle name="Cálculo 28 3 4" xfId="34084"/>
    <cellStyle name="Cálculo 28 3 5" xfId="40473"/>
    <cellStyle name="Cálculo 28 4" xfId="11692"/>
    <cellStyle name="Cálculo 28 4 2" xfId="29624"/>
    <cellStyle name="Cálculo 28 4 3" xfId="32695"/>
    <cellStyle name="Cálculo 28 4 4" xfId="34085"/>
    <cellStyle name="Cálculo 28 4 5" xfId="40474"/>
    <cellStyle name="Cálculo 28 5" xfId="29619"/>
    <cellStyle name="Cálculo 28 6" xfId="32690"/>
    <cellStyle name="Cálculo 28 7" xfId="34080"/>
    <cellStyle name="Cálculo 28 8" xfId="40469"/>
    <cellStyle name="Cálculo 29" xfId="979"/>
    <cellStyle name="Cálculo 29 2" xfId="11532"/>
    <cellStyle name="Cálculo 29 2 2" xfId="11693"/>
    <cellStyle name="Cálculo 29 2 2 2" xfId="29627"/>
    <cellStyle name="Cálculo 29 2 2 3" xfId="32698"/>
    <cellStyle name="Cálculo 29 2 2 4" xfId="34088"/>
    <cellStyle name="Cálculo 29 2 2 5" xfId="40477"/>
    <cellStyle name="Cálculo 29 2 3" xfId="11694"/>
    <cellStyle name="Cálculo 29 2 3 2" xfId="29628"/>
    <cellStyle name="Cálculo 29 2 3 3" xfId="32699"/>
    <cellStyle name="Cálculo 29 2 3 4" xfId="34089"/>
    <cellStyle name="Cálculo 29 2 3 5" xfId="40478"/>
    <cellStyle name="Cálculo 29 2 4" xfId="29626"/>
    <cellStyle name="Cálculo 29 2 5" xfId="32697"/>
    <cellStyle name="Cálculo 29 2 6" xfId="34087"/>
    <cellStyle name="Cálculo 29 2 7" xfId="40476"/>
    <cellStyle name="Cálculo 29 3" xfId="11695"/>
    <cellStyle name="Cálculo 29 3 2" xfId="29629"/>
    <cellStyle name="Cálculo 29 3 3" xfId="32700"/>
    <cellStyle name="Cálculo 29 3 4" xfId="34090"/>
    <cellStyle name="Cálculo 29 3 5" xfId="40479"/>
    <cellStyle name="Cálculo 29 4" xfId="11696"/>
    <cellStyle name="Cálculo 29 4 2" xfId="29630"/>
    <cellStyle name="Cálculo 29 4 3" xfId="32701"/>
    <cellStyle name="Cálculo 29 4 4" xfId="34091"/>
    <cellStyle name="Cálculo 29 4 5" xfId="40480"/>
    <cellStyle name="Cálculo 29 5" xfId="29625"/>
    <cellStyle name="Cálculo 29 6" xfId="32696"/>
    <cellStyle name="Cálculo 29 7" xfId="34086"/>
    <cellStyle name="Cálculo 29 8" xfId="40475"/>
    <cellStyle name="Cálculo 3" xfId="980"/>
    <cellStyle name="Cálculo 3 10" xfId="12537"/>
    <cellStyle name="Cálculo 3 10 2" xfId="12538"/>
    <cellStyle name="Cálculo 3 10 2 2" xfId="29633"/>
    <cellStyle name="Cálculo 3 10 3" xfId="29632"/>
    <cellStyle name="Cálculo 3 11" xfId="12539"/>
    <cellStyle name="Cálculo 3 11 2" xfId="29634"/>
    <cellStyle name="Cálculo 3 12" xfId="29631"/>
    <cellStyle name="Cálculo 3 13" xfId="32702"/>
    <cellStyle name="Cálculo 3 14" xfId="33528"/>
    <cellStyle name="Cálculo 3 15" xfId="34092"/>
    <cellStyle name="Cálculo 3 16" xfId="40481"/>
    <cellStyle name="Cálculo 3 2" xfId="11533"/>
    <cellStyle name="Cálculo 3 2 10" xfId="12540"/>
    <cellStyle name="Cálculo 3 2 10 2" xfId="29636"/>
    <cellStyle name="Cálculo 3 2 11" xfId="29635"/>
    <cellStyle name="Cálculo 3 2 12" xfId="32703"/>
    <cellStyle name="Cálculo 3 2 13" xfId="33529"/>
    <cellStyle name="Cálculo 3 2 14" xfId="34093"/>
    <cellStyle name="Cálculo 3 2 15" xfId="40482"/>
    <cellStyle name="Cálculo 3 2 2" xfId="11697"/>
    <cellStyle name="Cálculo 3 2 2 10" xfId="40483"/>
    <cellStyle name="Cálculo 3 2 2 2" xfId="12541"/>
    <cellStyle name="Cálculo 3 2 2 2 2" xfId="29638"/>
    <cellStyle name="Cálculo 3 2 2 3" xfId="12542"/>
    <cellStyle name="Cálculo 3 2 2 3 2" xfId="29639"/>
    <cellStyle name="Cálculo 3 2 2 4" xfId="12543"/>
    <cellStyle name="Cálculo 3 2 2 4 2" xfId="29640"/>
    <cellStyle name="Cálculo 3 2 2 5" xfId="12544"/>
    <cellStyle name="Cálculo 3 2 2 5 2" xfId="29641"/>
    <cellStyle name="Cálculo 3 2 2 6" xfId="12545"/>
    <cellStyle name="Cálculo 3 2 2 6 2" xfId="29642"/>
    <cellStyle name="Cálculo 3 2 2 7" xfId="29637"/>
    <cellStyle name="Cálculo 3 2 2 8" xfId="32704"/>
    <cellStyle name="Cálculo 3 2 2 9" xfId="34094"/>
    <cellStyle name="Cálculo 3 2 3" xfId="11698"/>
    <cellStyle name="Cálculo 3 2 3 10" xfId="40484"/>
    <cellStyle name="Cálculo 3 2 3 2" xfId="12546"/>
    <cellStyle name="Cálculo 3 2 3 2 2" xfId="29644"/>
    <cellStyle name="Cálculo 3 2 3 3" xfId="12547"/>
    <cellStyle name="Cálculo 3 2 3 3 2" xfId="29645"/>
    <cellStyle name="Cálculo 3 2 3 4" xfId="12548"/>
    <cellStyle name="Cálculo 3 2 3 4 2" xfId="29646"/>
    <cellStyle name="Cálculo 3 2 3 5" xfId="12549"/>
    <cellStyle name="Cálculo 3 2 3 5 2" xfId="29647"/>
    <cellStyle name="Cálculo 3 2 3 6" xfId="12550"/>
    <cellStyle name="Cálculo 3 2 3 6 2" xfId="29648"/>
    <cellStyle name="Cálculo 3 2 3 7" xfId="29643"/>
    <cellStyle name="Cálculo 3 2 3 8" xfId="32705"/>
    <cellStyle name="Cálculo 3 2 3 9" xfId="34095"/>
    <cellStyle name="Cálculo 3 2 4" xfId="12551"/>
    <cellStyle name="Cálculo 3 2 4 2" xfId="12552"/>
    <cellStyle name="Cálculo 3 2 4 2 2" xfId="29650"/>
    <cellStyle name="Cálculo 3 2 4 3" xfId="12553"/>
    <cellStyle name="Cálculo 3 2 4 3 2" xfId="29651"/>
    <cellStyle name="Cálculo 3 2 4 4" xfId="12554"/>
    <cellStyle name="Cálculo 3 2 4 4 2" xfId="29652"/>
    <cellStyle name="Cálculo 3 2 4 5" xfId="12555"/>
    <cellStyle name="Cálculo 3 2 4 5 2" xfId="29653"/>
    <cellStyle name="Cálculo 3 2 4 6" xfId="29649"/>
    <cellStyle name="Cálculo 3 2 5" xfId="12556"/>
    <cellStyle name="Cálculo 3 2 5 2" xfId="12557"/>
    <cellStyle name="Cálculo 3 2 5 2 2" xfId="29655"/>
    <cellStyle name="Cálculo 3 2 5 3" xfId="12558"/>
    <cellStyle name="Cálculo 3 2 5 3 2" xfId="29656"/>
    <cellStyle name="Cálculo 3 2 5 4" xfId="12559"/>
    <cellStyle name="Cálculo 3 2 5 4 2" xfId="29657"/>
    <cellStyle name="Cálculo 3 2 5 5" xfId="12560"/>
    <cellStyle name="Cálculo 3 2 5 5 2" xfId="29658"/>
    <cellStyle name="Cálculo 3 2 5 6" xfId="29654"/>
    <cellStyle name="Cálculo 3 2 6" xfId="12561"/>
    <cellStyle name="Cálculo 3 2 6 2" xfId="12562"/>
    <cellStyle name="Cálculo 3 2 6 2 2" xfId="29660"/>
    <cellStyle name="Cálculo 3 2 6 3" xfId="12563"/>
    <cellStyle name="Cálculo 3 2 6 3 2" xfId="29661"/>
    <cellStyle name="Cálculo 3 2 6 4" xfId="12564"/>
    <cellStyle name="Cálculo 3 2 6 4 2" xfId="29662"/>
    <cellStyle name="Cálculo 3 2 6 5" xfId="12565"/>
    <cellStyle name="Cálculo 3 2 6 5 2" xfId="29663"/>
    <cellStyle name="Cálculo 3 2 6 6" xfId="29659"/>
    <cellStyle name="Cálculo 3 2 7" xfId="12566"/>
    <cellStyle name="Cálculo 3 2 7 2" xfId="12567"/>
    <cellStyle name="Cálculo 3 2 7 2 2" xfId="29665"/>
    <cellStyle name="Cálculo 3 2 7 3" xfId="12568"/>
    <cellStyle name="Cálculo 3 2 7 3 2" xfId="29666"/>
    <cellStyle name="Cálculo 3 2 7 4" xfId="12569"/>
    <cellStyle name="Cálculo 3 2 7 4 2" xfId="29667"/>
    <cellStyle name="Cálculo 3 2 7 5" xfId="12570"/>
    <cellStyle name="Cálculo 3 2 7 5 2" xfId="29668"/>
    <cellStyle name="Cálculo 3 2 7 6" xfId="29664"/>
    <cellStyle name="Cálculo 3 2 8" xfId="12571"/>
    <cellStyle name="Cálculo 3 2 8 2" xfId="12572"/>
    <cellStyle name="Cálculo 3 2 8 2 2" xfId="29670"/>
    <cellStyle name="Cálculo 3 2 8 3" xfId="12573"/>
    <cellStyle name="Cálculo 3 2 8 3 2" xfId="29671"/>
    <cellStyle name="Cálculo 3 2 8 4" xfId="12574"/>
    <cellStyle name="Cálculo 3 2 8 4 2" xfId="29672"/>
    <cellStyle name="Cálculo 3 2 8 5" xfId="12575"/>
    <cellStyle name="Cálculo 3 2 8 5 2" xfId="29673"/>
    <cellStyle name="Cálculo 3 2 8 6" xfId="12576"/>
    <cellStyle name="Cálculo 3 2 8 6 2" xfId="29674"/>
    <cellStyle name="Cálculo 3 2 8 7" xfId="29669"/>
    <cellStyle name="Cálculo 3 2 9" xfId="12577"/>
    <cellStyle name="Cálculo 3 2 9 2" xfId="12578"/>
    <cellStyle name="Cálculo 3 2 9 2 2" xfId="29676"/>
    <cellStyle name="Cálculo 3 2 9 3" xfId="29675"/>
    <cellStyle name="Cálculo 3 3" xfId="11699"/>
    <cellStyle name="Cálculo 3 3 10" xfId="40485"/>
    <cellStyle name="Cálculo 3 3 2" xfId="12579"/>
    <cellStyle name="Cálculo 3 3 2 2" xfId="29678"/>
    <cellStyle name="Cálculo 3 3 3" xfId="12580"/>
    <cellStyle name="Cálculo 3 3 3 2" xfId="29679"/>
    <cellStyle name="Cálculo 3 3 4" xfId="12581"/>
    <cellStyle name="Cálculo 3 3 4 2" xfId="29680"/>
    <cellStyle name="Cálculo 3 3 5" xfId="12582"/>
    <cellStyle name="Cálculo 3 3 5 2" xfId="29681"/>
    <cellStyle name="Cálculo 3 3 6" xfId="12583"/>
    <cellStyle name="Cálculo 3 3 6 2" xfId="29682"/>
    <cellStyle name="Cálculo 3 3 7" xfId="29677"/>
    <cellStyle name="Cálculo 3 3 8" xfId="32706"/>
    <cellStyle name="Cálculo 3 3 9" xfId="34096"/>
    <cellStyle name="Cálculo 3 4" xfId="11700"/>
    <cellStyle name="Cálculo 3 4 10" xfId="40486"/>
    <cellStyle name="Cálculo 3 4 2" xfId="12584"/>
    <cellStyle name="Cálculo 3 4 2 2" xfId="29684"/>
    <cellStyle name="Cálculo 3 4 3" xfId="12585"/>
    <cellStyle name="Cálculo 3 4 3 2" xfId="29685"/>
    <cellStyle name="Cálculo 3 4 4" xfId="12586"/>
    <cellStyle name="Cálculo 3 4 4 2" xfId="29686"/>
    <cellStyle name="Cálculo 3 4 5" xfId="12587"/>
    <cellStyle name="Cálculo 3 4 5 2" xfId="29687"/>
    <cellStyle name="Cálculo 3 4 6" xfId="12588"/>
    <cellStyle name="Cálculo 3 4 6 2" xfId="29688"/>
    <cellStyle name="Cálculo 3 4 7" xfId="29683"/>
    <cellStyle name="Cálculo 3 4 8" xfId="32707"/>
    <cellStyle name="Cálculo 3 4 9" xfId="34097"/>
    <cellStyle name="Cálculo 3 5" xfId="12589"/>
    <cellStyle name="Cálculo 3 5 2" xfId="12590"/>
    <cellStyle name="Cálculo 3 5 2 2" xfId="29690"/>
    <cellStyle name="Cálculo 3 5 3" xfId="12591"/>
    <cellStyle name="Cálculo 3 5 3 2" xfId="29691"/>
    <cellStyle name="Cálculo 3 5 4" xfId="12592"/>
    <cellStyle name="Cálculo 3 5 4 2" xfId="29692"/>
    <cellStyle name="Cálculo 3 5 5" xfId="12593"/>
    <cellStyle name="Cálculo 3 5 5 2" xfId="29693"/>
    <cellStyle name="Cálculo 3 5 6" xfId="29689"/>
    <cellStyle name="Cálculo 3 6" xfId="12594"/>
    <cellStyle name="Cálculo 3 6 2" xfId="12595"/>
    <cellStyle name="Cálculo 3 6 2 2" xfId="29695"/>
    <cellStyle name="Cálculo 3 6 3" xfId="12596"/>
    <cellStyle name="Cálculo 3 6 3 2" xfId="29696"/>
    <cellStyle name="Cálculo 3 6 4" xfId="12597"/>
    <cellStyle name="Cálculo 3 6 4 2" xfId="29697"/>
    <cellStyle name="Cálculo 3 6 5" xfId="12598"/>
    <cellStyle name="Cálculo 3 6 5 2" xfId="29698"/>
    <cellStyle name="Cálculo 3 6 6" xfId="29694"/>
    <cellStyle name="Cálculo 3 7" xfId="12599"/>
    <cellStyle name="Cálculo 3 7 2" xfId="12600"/>
    <cellStyle name="Cálculo 3 7 2 2" xfId="29700"/>
    <cellStyle name="Cálculo 3 7 3" xfId="12601"/>
    <cellStyle name="Cálculo 3 7 3 2" xfId="29701"/>
    <cellStyle name="Cálculo 3 7 4" xfId="12602"/>
    <cellStyle name="Cálculo 3 7 4 2" xfId="29702"/>
    <cellStyle name="Cálculo 3 7 5" xfId="12603"/>
    <cellStyle name="Cálculo 3 7 5 2" xfId="29703"/>
    <cellStyle name="Cálculo 3 7 6" xfId="29699"/>
    <cellStyle name="Cálculo 3 8" xfId="12604"/>
    <cellStyle name="Cálculo 3 8 2" xfId="12605"/>
    <cellStyle name="Cálculo 3 8 2 2" xfId="29705"/>
    <cellStyle name="Cálculo 3 8 3" xfId="12606"/>
    <cellStyle name="Cálculo 3 8 3 2" xfId="29706"/>
    <cellStyle name="Cálculo 3 8 4" xfId="12607"/>
    <cellStyle name="Cálculo 3 8 4 2" xfId="29707"/>
    <cellStyle name="Cálculo 3 8 5" xfId="12608"/>
    <cellStyle name="Cálculo 3 8 5 2" xfId="29708"/>
    <cellStyle name="Cálculo 3 8 6" xfId="29704"/>
    <cellStyle name="Cálculo 3 9" xfId="12609"/>
    <cellStyle name="Cálculo 3 9 2" xfId="12610"/>
    <cellStyle name="Cálculo 3 9 2 2" xfId="29710"/>
    <cellStyle name="Cálculo 3 9 3" xfId="12611"/>
    <cellStyle name="Cálculo 3 9 3 2" xfId="29711"/>
    <cellStyle name="Cálculo 3 9 4" xfId="12612"/>
    <cellStyle name="Cálculo 3 9 4 2" xfId="29712"/>
    <cellStyle name="Cálculo 3 9 5" xfId="12613"/>
    <cellStyle name="Cálculo 3 9 5 2" xfId="29713"/>
    <cellStyle name="Cálculo 3 9 6" xfId="12614"/>
    <cellStyle name="Cálculo 3 9 6 2" xfId="29714"/>
    <cellStyle name="Cálculo 3 9 7" xfId="29709"/>
    <cellStyle name="Cálculo 30" xfId="981"/>
    <cellStyle name="Cálculo 30 2" xfId="11534"/>
    <cellStyle name="Cálculo 30 2 2" xfId="11701"/>
    <cellStyle name="Cálculo 30 2 2 2" xfId="29717"/>
    <cellStyle name="Cálculo 30 2 2 3" xfId="32710"/>
    <cellStyle name="Cálculo 30 2 2 4" xfId="34100"/>
    <cellStyle name="Cálculo 30 2 2 5" xfId="40489"/>
    <cellStyle name="Cálculo 30 2 3" xfId="11702"/>
    <cellStyle name="Cálculo 30 2 3 2" xfId="29718"/>
    <cellStyle name="Cálculo 30 2 3 3" xfId="32711"/>
    <cellStyle name="Cálculo 30 2 3 4" xfId="34101"/>
    <cellStyle name="Cálculo 30 2 3 5" xfId="40490"/>
    <cellStyle name="Cálculo 30 2 4" xfId="29716"/>
    <cellStyle name="Cálculo 30 2 5" xfId="32709"/>
    <cellStyle name="Cálculo 30 2 6" xfId="34099"/>
    <cellStyle name="Cálculo 30 2 7" xfId="40488"/>
    <cellStyle name="Cálculo 30 3" xfId="11703"/>
    <cellStyle name="Cálculo 30 3 2" xfId="29719"/>
    <cellStyle name="Cálculo 30 3 3" xfId="32712"/>
    <cellStyle name="Cálculo 30 3 4" xfId="34102"/>
    <cellStyle name="Cálculo 30 3 5" xfId="40491"/>
    <cellStyle name="Cálculo 30 4" xfId="11704"/>
    <cellStyle name="Cálculo 30 4 2" xfId="29720"/>
    <cellStyle name="Cálculo 30 4 3" xfId="32713"/>
    <cellStyle name="Cálculo 30 4 4" xfId="34103"/>
    <cellStyle name="Cálculo 30 4 5" xfId="40492"/>
    <cellStyle name="Cálculo 30 5" xfId="29715"/>
    <cellStyle name="Cálculo 30 6" xfId="32708"/>
    <cellStyle name="Cálculo 30 7" xfId="34098"/>
    <cellStyle name="Cálculo 30 8" xfId="40487"/>
    <cellStyle name="Cálculo 31" xfId="982"/>
    <cellStyle name="Cálculo 31 2" xfId="11535"/>
    <cellStyle name="Cálculo 31 2 2" xfId="11705"/>
    <cellStyle name="Cálculo 31 2 2 2" xfId="29723"/>
    <cellStyle name="Cálculo 31 2 2 3" xfId="32716"/>
    <cellStyle name="Cálculo 31 2 2 4" xfId="34106"/>
    <cellStyle name="Cálculo 31 2 2 5" xfId="40495"/>
    <cellStyle name="Cálculo 31 2 3" xfId="11706"/>
    <cellStyle name="Cálculo 31 2 3 2" xfId="29724"/>
    <cellStyle name="Cálculo 31 2 3 3" xfId="32717"/>
    <cellStyle name="Cálculo 31 2 3 4" xfId="34107"/>
    <cellStyle name="Cálculo 31 2 3 5" xfId="40496"/>
    <cellStyle name="Cálculo 31 2 4" xfId="29722"/>
    <cellStyle name="Cálculo 31 2 5" xfId="32715"/>
    <cellStyle name="Cálculo 31 2 6" xfId="34105"/>
    <cellStyle name="Cálculo 31 2 7" xfId="40494"/>
    <cellStyle name="Cálculo 31 3" xfId="11707"/>
    <cellStyle name="Cálculo 31 3 2" xfId="29725"/>
    <cellStyle name="Cálculo 31 3 3" xfId="32718"/>
    <cellStyle name="Cálculo 31 3 4" xfId="34108"/>
    <cellStyle name="Cálculo 31 3 5" xfId="40497"/>
    <cellStyle name="Cálculo 31 4" xfId="11708"/>
    <cellStyle name="Cálculo 31 4 2" xfId="29726"/>
    <cellStyle name="Cálculo 31 4 3" xfId="32719"/>
    <cellStyle name="Cálculo 31 4 4" xfId="34109"/>
    <cellStyle name="Cálculo 31 4 5" xfId="40498"/>
    <cellStyle name="Cálculo 31 5" xfId="29721"/>
    <cellStyle name="Cálculo 31 6" xfId="32714"/>
    <cellStyle name="Cálculo 31 7" xfId="34104"/>
    <cellStyle name="Cálculo 31 8" xfId="40493"/>
    <cellStyle name="Cálculo 32" xfId="983"/>
    <cellStyle name="Cálculo 32 2" xfId="11536"/>
    <cellStyle name="Cálculo 32 2 2" xfId="11709"/>
    <cellStyle name="Cálculo 32 2 2 2" xfId="29729"/>
    <cellStyle name="Cálculo 32 2 2 3" xfId="32722"/>
    <cellStyle name="Cálculo 32 2 2 4" xfId="34112"/>
    <cellStyle name="Cálculo 32 2 2 5" xfId="40501"/>
    <cellStyle name="Cálculo 32 2 3" xfId="11710"/>
    <cellStyle name="Cálculo 32 2 3 2" xfId="29730"/>
    <cellStyle name="Cálculo 32 2 3 3" xfId="32723"/>
    <cellStyle name="Cálculo 32 2 3 4" xfId="34113"/>
    <cellStyle name="Cálculo 32 2 3 5" xfId="40502"/>
    <cellStyle name="Cálculo 32 2 4" xfId="29728"/>
    <cellStyle name="Cálculo 32 2 5" xfId="32721"/>
    <cellStyle name="Cálculo 32 2 6" xfId="34111"/>
    <cellStyle name="Cálculo 32 2 7" xfId="40500"/>
    <cellStyle name="Cálculo 32 3" xfId="11711"/>
    <cellStyle name="Cálculo 32 3 2" xfId="29731"/>
    <cellStyle name="Cálculo 32 3 3" xfId="32724"/>
    <cellStyle name="Cálculo 32 3 4" xfId="34114"/>
    <cellStyle name="Cálculo 32 3 5" xfId="40503"/>
    <cellStyle name="Cálculo 32 4" xfId="11712"/>
    <cellStyle name="Cálculo 32 4 2" xfId="29732"/>
    <cellStyle name="Cálculo 32 4 3" xfId="32725"/>
    <cellStyle name="Cálculo 32 4 4" xfId="34115"/>
    <cellStyle name="Cálculo 32 4 5" xfId="40504"/>
    <cellStyle name="Cálculo 32 5" xfId="29727"/>
    <cellStyle name="Cálculo 32 6" xfId="32720"/>
    <cellStyle name="Cálculo 32 7" xfId="34110"/>
    <cellStyle name="Cálculo 32 8" xfId="40499"/>
    <cellStyle name="Cálculo 33" xfId="984"/>
    <cellStyle name="Cálculo 33 2" xfId="11537"/>
    <cellStyle name="Cálculo 33 2 2" xfId="11713"/>
    <cellStyle name="Cálculo 33 2 2 2" xfId="29735"/>
    <cellStyle name="Cálculo 33 2 2 3" xfId="32728"/>
    <cellStyle name="Cálculo 33 2 2 4" xfId="34118"/>
    <cellStyle name="Cálculo 33 2 2 5" xfId="40507"/>
    <cellStyle name="Cálculo 33 2 3" xfId="11714"/>
    <cellStyle name="Cálculo 33 2 3 2" xfId="29736"/>
    <cellStyle name="Cálculo 33 2 3 3" xfId="32729"/>
    <cellStyle name="Cálculo 33 2 3 4" xfId="34119"/>
    <cellStyle name="Cálculo 33 2 3 5" xfId="40508"/>
    <cellStyle name="Cálculo 33 2 4" xfId="29734"/>
    <cellStyle name="Cálculo 33 2 5" xfId="32727"/>
    <cellStyle name="Cálculo 33 2 6" xfId="34117"/>
    <cellStyle name="Cálculo 33 2 7" xfId="40506"/>
    <cellStyle name="Cálculo 33 3" xfId="11715"/>
    <cellStyle name="Cálculo 33 3 2" xfId="29737"/>
    <cellStyle name="Cálculo 33 3 3" xfId="32730"/>
    <cellStyle name="Cálculo 33 3 4" xfId="34120"/>
    <cellStyle name="Cálculo 33 3 5" xfId="40509"/>
    <cellStyle name="Cálculo 33 4" xfId="11716"/>
    <cellStyle name="Cálculo 33 4 2" xfId="29738"/>
    <cellStyle name="Cálculo 33 4 3" xfId="32731"/>
    <cellStyle name="Cálculo 33 4 4" xfId="34121"/>
    <cellStyle name="Cálculo 33 4 5" xfId="40510"/>
    <cellStyle name="Cálculo 33 5" xfId="29733"/>
    <cellStyle name="Cálculo 33 6" xfId="32726"/>
    <cellStyle name="Cálculo 33 7" xfId="34116"/>
    <cellStyle name="Cálculo 33 8" xfId="40505"/>
    <cellStyle name="Cálculo 34" xfId="985"/>
    <cellStyle name="Cálculo 34 2" xfId="11538"/>
    <cellStyle name="Cálculo 34 2 2" xfId="11717"/>
    <cellStyle name="Cálculo 34 2 2 2" xfId="29741"/>
    <cellStyle name="Cálculo 34 2 2 3" xfId="32734"/>
    <cellStyle name="Cálculo 34 2 2 4" xfId="34124"/>
    <cellStyle name="Cálculo 34 2 2 5" xfId="40513"/>
    <cellStyle name="Cálculo 34 2 3" xfId="11718"/>
    <cellStyle name="Cálculo 34 2 3 2" xfId="29742"/>
    <cellStyle name="Cálculo 34 2 3 3" xfId="32735"/>
    <cellStyle name="Cálculo 34 2 3 4" xfId="34125"/>
    <cellStyle name="Cálculo 34 2 3 5" xfId="40514"/>
    <cellStyle name="Cálculo 34 2 4" xfId="29740"/>
    <cellStyle name="Cálculo 34 2 5" xfId="32733"/>
    <cellStyle name="Cálculo 34 2 6" xfId="34123"/>
    <cellStyle name="Cálculo 34 2 7" xfId="40512"/>
    <cellStyle name="Cálculo 34 3" xfId="11719"/>
    <cellStyle name="Cálculo 34 3 2" xfId="29743"/>
    <cellStyle name="Cálculo 34 3 3" xfId="32736"/>
    <cellStyle name="Cálculo 34 3 4" xfId="34126"/>
    <cellStyle name="Cálculo 34 3 5" xfId="40515"/>
    <cellStyle name="Cálculo 34 4" xfId="11720"/>
    <cellStyle name="Cálculo 34 4 2" xfId="29744"/>
    <cellStyle name="Cálculo 34 4 3" xfId="32737"/>
    <cellStyle name="Cálculo 34 4 4" xfId="34127"/>
    <cellStyle name="Cálculo 34 4 5" xfId="40516"/>
    <cellStyle name="Cálculo 34 5" xfId="29739"/>
    <cellStyle name="Cálculo 34 6" xfId="32732"/>
    <cellStyle name="Cálculo 34 7" xfId="34122"/>
    <cellStyle name="Cálculo 34 8" xfId="40511"/>
    <cellStyle name="Cálculo 35" xfId="986"/>
    <cellStyle name="Cálculo 35 2" xfId="11539"/>
    <cellStyle name="Cálculo 35 2 2" xfId="11721"/>
    <cellStyle name="Cálculo 35 2 2 2" xfId="29747"/>
    <cellStyle name="Cálculo 35 2 2 3" xfId="32740"/>
    <cellStyle name="Cálculo 35 2 2 4" xfId="34130"/>
    <cellStyle name="Cálculo 35 2 2 5" xfId="40519"/>
    <cellStyle name="Cálculo 35 2 3" xfId="11722"/>
    <cellStyle name="Cálculo 35 2 3 2" xfId="29748"/>
    <cellStyle name="Cálculo 35 2 3 3" xfId="32741"/>
    <cellStyle name="Cálculo 35 2 3 4" xfId="34131"/>
    <cellStyle name="Cálculo 35 2 3 5" xfId="40520"/>
    <cellStyle name="Cálculo 35 2 4" xfId="29746"/>
    <cellStyle name="Cálculo 35 2 5" xfId="32739"/>
    <cellStyle name="Cálculo 35 2 6" xfId="34129"/>
    <cellStyle name="Cálculo 35 2 7" xfId="40518"/>
    <cellStyle name="Cálculo 35 3" xfId="11723"/>
    <cellStyle name="Cálculo 35 3 2" xfId="29749"/>
    <cellStyle name="Cálculo 35 3 3" xfId="32742"/>
    <cellStyle name="Cálculo 35 3 4" xfId="34132"/>
    <cellStyle name="Cálculo 35 3 5" xfId="40521"/>
    <cellStyle name="Cálculo 35 4" xfId="11724"/>
    <cellStyle name="Cálculo 35 4 2" xfId="29750"/>
    <cellStyle name="Cálculo 35 4 3" xfId="32743"/>
    <cellStyle name="Cálculo 35 4 4" xfId="34133"/>
    <cellStyle name="Cálculo 35 4 5" xfId="40522"/>
    <cellStyle name="Cálculo 35 5" xfId="29745"/>
    <cellStyle name="Cálculo 35 6" xfId="32738"/>
    <cellStyle name="Cálculo 35 7" xfId="34128"/>
    <cellStyle name="Cálculo 35 8" xfId="40517"/>
    <cellStyle name="Cálculo 36" xfId="987"/>
    <cellStyle name="Cálculo 36 2" xfId="11540"/>
    <cellStyle name="Cálculo 36 2 2" xfId="11725"/>
    <cellStyle name="Cálculo 36 2 2 2" xfId="29753"/>
    <cellStyle name="Cálculo 36 2 2 3" xfId="32746"/>
    <cellStyle name="Cálculo 36 2 2 4" xfId="34136"/>
    <cellStyle name="Cálculo 36 2 2 5" xfId="40525"/>
    <cellStyle name="Cálculo 36 2 3" xfId="11726"/>
    <cellStyle name="Cálculo 36 2 3 2" xfId="29754"/>
    <cellStyle name="Cálculo 36 2 3 3" xfId="32747"/>
    <cellStyle name="Cálculo 36 2 3 4" xfId="34137"/>
    <cellStyle name="Cálculo 36 2 3 5" xfId="40526"/>
    <cellStyle name="Cálculo 36 2 4" xfId="29752"/>
    <cellStyle name="Cálculo 36 2 5" xfId="32745"/>
    <cellStyle name="Cálculo 36 2 6" xfId="34135"/>
    <cellStyle name="Cálculo 36 2 7" xfId="40524"/>
    <cellStyle name="Cálculo 36 3" xfId="11727"/>
    <cellStyle name="Cálculo 36 3 2" xfId="29755"/>
    <cellStyle name="Cálculo 36 3 3" xfId="32748"/>
    <cellStyle name="Cálculo 36 3 4" xfId="34138"/>
    <cellStyle name="Cálculo 36 3 5" xfId="40527"/>
    <cellStyle name="Cálculo 36 4" xfId="11728"/>
    <cellStyle name="Cálculo 36 4 2" xfId="29756"/>
    <cellStyle name="Cálculo 36 4 3" xfId="32749"/>
    <cellStyle name="Cálculo 36 4 4" xfId="34139"/>
    <cellStyle name="Cálculo 36 4 5" xfId="40528"/>
    <cellStyle name="Cálculo 36 5" xfId="29751"/>
    <cellStyle name="Cálculo 36 6" xfId="32744"/>
    <cellStyle name="Cálculo 36 7" xfId="34134"/>
    <cellStyle name="Cálculo 36 8" xfId="40523"/>
    <cellStyle name="Cálculo 37" xfId="988"/>
    <cellStyle name="Cálculo 37 2" xfId="11541"/>
    <cellStyle name="Cálculo 37 2 2" xfId="11729"/>
    <cellStyle name="Cálculo 37 2 2 2" xfId="29759"/>
    <cellStyle name="Cálculo 37 2 2 3" xfId="32752"/>
    <cellStyle name="Cálculo 37 2 2 4" xfId="34142"/>
    <cellStyle name="Cálculo 37 2 2 5" xfId="40531"/>
    <cellStyle name="Cálculo 37 2 3" xfId="11730"/>
    <cellStyle name="Cálculo 37 2 3 2" xfId="29760"/>
    <cellStyle name="Cálculo 37 2 3 3" xfId="32753"/>
    <cellStyle name="Cálculo 37 2 3 4" xfId="34143"/>
    <cellStyle name="Cálculo 37 2 3 5" xfId="40532"/>
    <cellStyle name="Cálculo 37 2 4" xfId="29758"/>
    <cellStyle name="Cálculo 37 2 5" xfId="32751"/>
    <cellStyle name="Cálculo 37 2 6" xfId="34141"/>
    <cellStyle name="Cálculo 37 2 7" xfId="40530"/>
    <cellStyle name="Cálculo 37 3" xfId="11731"/>
    <cellStyle name="Cálculo 37 3 2" xfId="29761"/>
    <cellStyle name="Cálculo 37 3 3" xfId="32754"/>
    <cellStyle name="Cálculo 37 3 4" xfId="34144"/>
    <cellStyle name="Cálculo 37 3 5" xfId="40533"/>
    <cellStyle name="Cálculo 37 4" xfId="11732"/>
    <cellStyle name="Cálculo 37 4 2" xfId="29762"/>
    <cellStyle name="Cálculo 37 4 3" xfId="32755"/>
    <cellStyle name="Cálculo 37 4 4" xfId="34145"/>
    <cellStyle name="Cálculo 37 4 5" xfId="40534"/>
    <cellStyle name="Cálculo 37 5" xfId="29757"/>
    <cellStyle name="Cálculo 37 6" xfId="32750"/>
    <cellStyle name="Cálculo 37 7" xfId="34140"/>
    <cellStyle name="Cálculo 37 8" xfId="40529"/>
    <cellStyle name="Cálculo 38" xfId="989"/>
    <cellStyle name="Cálculo 38 2" xfId="11542"/>
    <cellStyle name="Cálculo 38 2 2" xfId="11733"/>
    <cellStyle name="Cálculo 38 2 2 2" xfId="29765"/>
    <cellStyle name="Cálculo 38 2 2 3" xfId="32758"/>
    <cellStyle name="Cálculo 38 2 2 4" xfId="34148"/>
    <cellStyle name="Cálculo 38 2 2 5" xfId="40537"/>
    <cellStyle name="Cálculo 38 2 3" xfId="11734"/>
    <cellStyle name="Cálculo 38 2 3 2" xfId="29766"/>
    <cellStyle name="Cálculo 38 2 3 3" xfId="32759"/>
    <cellStyle name="Cálculo 38 2 3 4" xfId="34149"/>
    <cellStyle name="Cálculo 38 2 3 5" xfId="40538"/>
    <cellStyle name="Cálculo 38 2 4" xfId="29764"/>
    <cellStyle name="Cálculo 38 2 5" xfId="32757"/>
    <cellStyle name="Cálculo 38 2 6" xfId="34147"/>
    <cellStyle name="Cálculo 38 2 7" xfId="40536"/>
    <cellStyle name="Cálculo 38 3" xfId="11735"/>
    <cellStyle name="Cálculo 38 3 2" xfId="29767"/>
    <cellStyle name="Cálculo 38 3 3" xfId="32760"/>
    <cellStyle name="Cálculo 38 3 4" xfId="34150"/>
    <cellStyle name="Cálculo 38 3 5" xfId="40539"/>
    <cellStyle name="Cálculo 38 4" xfId="11736"/>
    <cellStyle name="Cálculo 38 4 2" xfId="29768"/>
    <cellStyle name="Cálculo 38 4 3" xfId="32761"/>
    <cellStyle name="Cálculo 38 4 4" xfId="34151"/>
    <cellStyle name="Cálculo 38 4 5" xfId="40540"/>
    <cellStyle name="Cálculo 38 5" xfId="29763"/>
    <cellStyle name="Cálculo 38 6" xfId="32756"/>
    <cellStyle name="Cálculo 38 7" xfId="34146"/>
    <cellStyle name="Cálculo 38 8" xfId="40535"/>
    <cellStyle name="Cálculo 39" xfId="990"/>
    <cellStyle name="Cálculo 39 2" xfId="11543"/>
    <cellStyle name="Cálculo 39 2 2" xfId="11737"/>
    <cellStyle name="Cálculo 39 2 2 2" xfId="29771"/>
    <cellStyle name="Cálculo 39 2 2 3" xfId="32764"/>
    <cellStyle name="Cálculo 39 2 2 4" xfId="34154"/>
    <cellStyle name="Cálculo 39 2 2 5" xfId="40543"/>
    <cellStyle name="Cálculo 39 2 3" xfId="11738"/>
    <cellStyle name="Cálculo 39 2 3 2" xfId="29772"/>
    <cellStyle name="Cálculo 39 2 3 3" xfId="32765"/>
    <cellStyle name="Cálculo 39 2 3 4" xfId="34155"/>
    <cellStyle name="Cálculo 39 2 3 5" xfId="40544"/>
    <cellStyle name="Cálculo 39 2 4" xfId="29770"/>
    <cellStyle name="Cálculo 39 2 5" xfId="32763"/>
    <cellStyle name="Cálculo 39 2 6" xfId="34153"/>
    <cellStyle name="Cálculo 39 2 7" xfId="40542"/>
    <cellStyle name="Cálculo 39 3" xfId="11739"/>
    <cellStyle name="Cálculo 39 3 2" xfId="29773"/>
    <cellStyle name="Cálculo 39 3 3" xfId="32766"/>
    <cellStyle name="Cálculo 39 3 4" xfId="34156"/>
    <cellStyle name="Cálculo 39 3 5" xfId="40545"/>
    <cellStyle name="Cálculo 39 4" xfId="11740"/>
    <cellStyle name="Cálculo 39 4 2" xfId="29774"/>
    <cellStyle name="Cálculo 39 4 3" xfId="32767"/>
    <cellStyle name="Cálculo 39 4 4" xfId="34157"/>
    <cellStyle name="Cálculo 39 4 5" xfId="40546"/>
    <cellStyle name="Cálculo 39 5" xfId="29769"/>
    <cellStyle name="Cálculo 39 6" xfId="32762"/>
    <cellStyle name="Cálculo 39 7" xfId="34152"/>
    <cellStyle name="Cálculo 39 8" xfId="40541"/>
    <cellStyle name="Cálculo 4" xfId="991"/>
    <cellStyle name="Cálculo 4 10" xfId="12615"/>
    <cellStyle name="Cálculo 4 10 2" xfId="12616"/>
    <cellStyle name="Cálculo 4 10 2 2" xfId="29777"/>
    <cellStyle name="Cálculo 4 10 3" xfId="29776"/>
    <cellStyle name="Cálculo 4 11" xfId="12617"/>
    <cellStyle name="Cálculo 4 11 2" xfId="29778"/>
    <cellStyle name="Cálculo 4 12" xfId="29775"/>
    <cellStyle name="Cálculo 4 13" xfId="32768"/>
    <cellStyle name="Cálculo 4 14" xfId="33530"/>
    <cellStyle name="Cálculo 4 15" xfId="34158"/>
    <cellStyle name="Cálculo 4 16" xfId="40547"/>
    <cellStyle name="Cálculo 4 2" xfId="11544"/>
    <cellStyle name="Cálculo 4 2 10" xfId="12618"/>
    <cellStyle name="Cálculo 4 2 10 2" xfId="29780"/>
    <cellStyle name="Cálculo 4 2 11" xfId="29779"/>
    <cellStyle name="Cálculo 4 2 12" xfId="32769"/>
    <cellStyle name="Cálculo 4 2 13" xfId="33531"/>
    <cellStyle name="Cálculo 4 2 14" xfId="34159"/>
    <cellStyle name="Cálculo 4 2 15" xfId="40548"/>
    <cellStyle name="Cálculo 4 2 2" xfId="11741"/>
    <cellStyle name="Cálculo 4 2 2 10" xfId="40549"/>
    <cellStyle name="Cálculo 4 2 2 2" xfId="12619"/>
    <cellStyle name="Cálculo 4 2 2 2 2" xfId="29782"/>
    <cellStyle name="Cálculo 4 2 2 3" xfId="12620"/>
    <cellStyle name="Cálculo 4 2 2 3 2" xfId="29783"/>
    <cellStyle name="Cálculo 4 2 2 4" xfId="12621"/>
    <cellStyle name="Cálculo 4 2 2 4 2" xfId="29784"/>
    <cellStyle name="Cálculo 4 2 2 5" xfId="12622"/>
    <cellStyle name="Cálculo 4 2 2 5 2" xfId="29785"/>
    <cellStyle name="Cálculo 4 2 2 6" xfId="12623"/>
    <cellStyle name="Cálculo 4 2 2 6 2" xfId="29786"/>
    <cellStyle name="Cálculo 4 2 2 7" xfId="29781"/>
    <cellStyle name="Cálculo 4 2 2 8" xfId="32770"/>
    <cellStyle name="Cálculo 4 2 2 9" xfId="34160"/>
    <cellStyle name="Cálculo 4 2 3" xfId="11742"/>
    <cellStyle name="Cálculo 4 2 3 10" xfId="40550"/>
    <cellStyle name="Cálculo 4 2 3 2" xfId="12624"/>
    <cellStyle name="Cálculo 4 2 3 2 2" xfId="29788"/>
    <cellStyle name="Cálculo 4 2 3 3" xfId="12625"/>
    <cellStyle name="Cálculo 4 2 3 3 2" xfId="29789"/>
    <cellStyle name="Cálculo 4 2 3 4" xfId="12626"/>
    <cellStyle name="Cálculo 4 2 3 4 2" xfId="29790"/>
    <cellStyle name="Cálculo 4 2 3 5" xfId="12627"/>
    <cellStyle name="Cálculo 4 2 3 5 2" xfId="29791"/>
    <cellStyle name="Cálculo 4 2 3 6" xfId="12628"/>
    <cellStyle name="Cálculo 4 2 3 6 2" xfId="29792"/>
    <cellStyle name="Cálculo 4 2 3 7" xfId="29787"/>
    <cellStyle name="Cálculo 4 2 3 8" xfId="32771"/>
    <cellStyle name="Cálculo 4 2 3 9" xfId="34161"/>
    <cellStyle name="Cálculo 4 2 4" xfId="12629"/>
    <cellStyle name="Cálculo 4 2 4 2" xfId="12630"/>
    <cellStyle name="Cálculo 4 2 4 2 2" xfId="29794"/>
    <cellStyle name="Cálculo 4 2 4 3" xfId="12631"/>
    <cellStyle name="Cálculo 4 2 4 3 2" xfId="29795"/>
    <cellStyle name="Cálculo 4 2 4 4" xfId="12632"/>
    <cellStyle name="Cálculo 4 2 4 4 2" xfId="29796"/>
    <cellStyle name="Cálculo 4 2 4 5" xfId="12633"/>
    <cellStyle name="Cálculo 4 2 4 5 2" xfId="29797"/>
    <cellStyle name="Cálculo 4 2 4 6" xfId="29793"/>
    <cellStyle name="Cálculo 4 2 5" xfId="12634"/>
    <cellStyle name="Cálculo 4 2 5 2" xfId="12635"/>
    <cellStyle name="Cálculo 4 2 5 2 2" xfId="29799"/>
    <cellStyle name="Cálculo 4 2 5 3" xfId="12636"/>
    <cellStyle name="Cálculo 4 2 5 3 2" xfId="29800"/>
    <cellStyle name="Cálculo 4 2 5 4" xfId="12637"/>
    <cellStyle name="Cálculo 4 2 5 4 2" xfId="29801"/>
    <cellStyle name="Cálculo 4 2 5 5" xfId="12638"/>
    <cellStyle name="Cálculo 4 2 5 5 2" xfId="29802"/>
    <cellStyle name="Cálculo 4 2 5 6" xfId="29798"/>
    <cellStyle name="Cálculo 4 2 6" xfId="12639"/>
    <cellStyle name="Cálculo 4 2 6 2" xfId="12640"/>
    <cellStyle name="Cálculo 4 2 6 2 2" xfId="29804"/>
    <cellStyle name="Cálculo 4 2 6 3" xfId="12641"/>
    <cellStyle name="Cálculo 4 2 6 3 2" xfId="29805"/>
    <cellStyle name="Cálculo 4 2 6 4" xfId="12642"/>
    <cellStyle name="Cálculo 4 2 6 4 2" xfId="29806"/>
    <cellStyle name="Cálculo 4 2 6 5" xfId="12643"/>
    <cellStyle name="Cálculo 4 2 6 5 2" xfId="29807"/>
    <cellStyle name="Cálculo 4 2 6 6" xfId="29803"/>
    <cellStyle name="Cálculo 4 2 7" xfId="12644"/>
    <cellStyle name="Cálculo 4 2 7 2" xfId="12645"/>
    <cellStyle name="Cálculo 4 2 7 2 2" xfId="29809"/>
    <cellStyle name="Cálculo 4 2 7 3" xfId="12646"/>
    <cellStyle name="Cálculo 4 2 7 3 2" xfId="29810"/>
    <cellStyle name="Cálculo 4 2 7 4" xfId="12647"/>
    <cellStyle name="Cálculo 4 2 7 4 2" xfId="29811"/>
    <cellStyle name="Cálculo 4 2 7 5" xfId="12648"/>
    <cellStyle name="Cálculo 4 2 7 5 2" xfId="29812"/>
    <cellStyle name="Cálculo 4 2 7 6" xfId="29808"/>
    <cellStyle name="Cálculo 4 2 8" xfId="12649"/>
    <cellStyle name="Cálculo 4 2 8 2" xfId="12650"/>
    <cellStyle name="Cálculo 4 2 8 2 2" xfId="29814"/>
    <cellStyle name="Cálculo 4 2 8 3" xfId="12651"/>
    <cellStyle name="Cálculo 4 2 8 3 2" xfId="29815"/>
    <cellStyle name="Cálculo 4 2 8 4" xfId="12652"/>
    <cellStyle name="Cálculo 4 2 8 4 2" xfId="29816"/>
    <cellStyle name="Cálculo 4 2 8 5" xfId="12653"/>
    <cellStyle name="Cálculo 4 2 8 5 2" xfId="29817"/>
    <cellStyle name="Cálculo 4 2 8 6" xfId="12654"/>
    <cellStyle name="Cálculo 4 2 8 6 2" xfId="29818"/>
    <cellStyle name="Cálculo 4 2 8 7" xfId="29813"/>
    <cellStyle name="Cálculo 4 2 9" xfId="12655"/>
    <cellStyle name="Cálculo 4 2 9 2" xfId="12656"/>
    <cellStyle name="Cálculo 4 2 9 2 2" xfId="29820"/>
    <cellStyle name="Cálculo 4 2 9 3" xfId="29819"/>
    <cellStyle name="Cálculo 4 3" xfId="11743"/>
    <cellStyle name="Cálculo 4 3 10" xfId="40551"/>
    <cellStyle name="Cálculo 4 3 2" xfId="12657"/>
    <cellStyle name="Cálculo 4 3 2 2" xfId="29822"/>
    <cellStyle name="Cálculo 4 3 3" xfId="12658"/>
    <cellStyle name="Cálculo 4 3 3 2" xfId="29823"/>
    <cellStyle name="Cálculo 4 3 4" xfId="12659"/>
    <cellStyle name="Cálculo 4 3 4 2" xfId="29824"/>
    <cellStyle name="Cálculo 4 3 5" xfId="12660"/>
    <cellStyle name="Cálculo 4 3 5 2" xfId="29825"/>
    <cellStyle name="Cálculo 4 3 6" xfId="12661"/>
    <cellStyle name="Cálculo 4 3 6 2" xfId="29826"/>
    <cellStyle name="Cálculo 4 3 7" xfId="29821"/>
    <cellStyle name="Cálculo 4 3 8" xfId="32772"/>
    <cellStyle name="Cálculo 4 3 9" xfId="34162"/>
    <cellStyle name="Cálculo 4 4" xfId="11744"/>
    <cellStyle name="Cálculo 4 4 10" xfId="40552"/>
    <cellStyle name="Cálculo 4 4 2" xfId="12662"/>
    <cellStyle name="Cálculo 4 4 2 2" xfId="29828"/>
    <cellStyle name="Cálculo 4 4 3" xfId="12663"/>
    <cellStyle name="Cálculo 4 4 3 2" xfId="29829"/>
    <cellStyle name="Cálculo 4 4 4" xfId="12664"/>
    <cellStyle name="Cálculo 4 4 4 2" xfId="29830"/>
    <cellStyle name="Cálculo 4 4 5" xfId="12665"/>
    <cellStyle name="Cálculo 4 4 5 2" xfId="29831"/>
    <cellStyle name="Cálculo 4 4 6" xfId="12666"/>
    <cellStyle name="Cálculo 4 4 6 2" xfId="29832"/>
    <cellStyle name="Cálculo 4 4 7" xfId="29827"/>
    <cellStyle name="Cálculo 4 4 8" xfId="32773"/>
    <cellStyle name="Cálculo 4 4 9" xfId="34163"/>
    <cellStyle name="Cálculo 4 5" xfId="12667"/>
    <cellStyle name="Cálculo 4 5 2" xfId="12668"/>
    <cellStyle name="Cálculo 4 5 2 2" xfId="29834"/>
    <cellStyle name="Cálculo 4 5 3" xfId="12669"/>
    <cellStyle name="Cálculo 4 5 3 2" xfId="29835"/>
    <cellStyle name="Cálculo 4 5 4" xfId="12670"/>
    <cellStyle name="Cálculo 4 5 4 2" xfId="29836"/>
    <cellStyle name="Cálculo 4 5 5" xfId="12671"/>
    <cellStyle name="Cálculo 4 5 5 2" xfId="29837"/>
    <cellStyle name="Cálculo 4 5 6" xfId="29833"/>
    <cellStyle name="Cálculo 4 6" xfId="12672"/>
    <cellStyle name="Cálculo 4 6 2" xfId="12673"/>
    <cellStyle name="Cálculo 4 6 2 2" xfId="29839"/>
    <cellStyle name="Cálculo 4 6 3" xfId="12674"/>
    <cellStyle name="Cálculo 4 6 3 2" xfId="29840"/>
    <cellStyle name="Cálculo 4 6 4" xfId="12675"/>
    <cellStyle name="Cálculo 4 6 4 2" xfId="29841"/>
    <cellStyle name="Cálculo 4 6 5" xfId="12676"/>
    <cellStyle name="Cálculo 4 6 5 2" xfId="29842"/>
    <cellStyle name="Cálculo 4 6 6" xfId="29838"/>
    <cellStyle name="Cálculo 4 7" xfId="12677"/>
    <cellStyle name="Cálculo 4 7 2" xfId="12678"/>
    <cellStyle name="Cálculo 4 7 2 2" xfId="29844"/>
    <cellStyle name="Cálculo 4 7 3" xfId="12679"/>
    <cellStyle name="Cálculo 4 7 3 2" xfId="29845"/>
    <cellStyle name="Cálculo 4 7 4" xfId="12680"/>
    <cellStyle name="Cálculo 4 7 4 2" xfId="29846"/>
    <cellStyle name="Cálculo 4 7 5" xfId="12681"/>
    <cellStyle name="Cálculo 4 7 5 2" xfId="29847"/>
    <cellStyle name="Cálculo 4 7 6" xfId="29843"/>
    <cellStyle name="Cálculo 4 8" xfId="12682"/>
    <cellStyle name="Cálculo 4 8 2" xfId="12683"/>
    <cellStyle name="Cálculo 4 8 2 2" xfId="29849"/>
    <cellStyle name="Cálculo 4 8 3" xfId="12684"/>
    <cellStyle name="Cálculo 4 8 3 2" xfId="29850"/>
    <cellStyle name="Cálculo 4 8 4" xfId="12685"/>
    <cellStyle name="Cálculo 4 8 4 2" xfId="29851"/>
    <cellStyle name="Cálculo 4 8 5" xfId="12686"/>
    <cellStyle name="Cálculo 4 8 5 2" xfId="29852"/>
    <cellStyle name="Cálculo 4 8 6" xfId="29848"/>
    <cellStyle name="Cálculo 4 9" xfId="12687"/>
    <cellStyle name="Cálculo 4 9 2" xfId="12688"/>
    <cellStyle name="Cálculo 4 9 2 2" xfId="29854"/>
    <cellStyle name="Cálculo 4 9 3" xfId="12689"/>
    <cellStyle name="Cálculo 4 9 3 2" xfId="29855"/>
    <cellStyle name="Cálculo 4 9 4" xfId="12690"/>
    <cellStyle name="Cálculo 4 9 4 2" xfId="29856"/>
    <cellStyle name="Cálculo 4 9 5" xfId="12691"/>
    <cellStyle name="Cálculo 4 9 5 2" xfId="29857"/>
    <cellStyle name="Cálculo 4 9 6" xfId="12692"/>
    <cellStyle name="Cálculo 4 9 6 2" xfId="29858"/>
    <cellStyle name="Cálculo 4 9 7" xfId="29853"/>
    <cellStyle name="Cálculo 40" xfId="992"/>
    <cellStyle name="Cálculo 40 2" xfId="11545"/>
    <cellStyle name="Cálculo 40 2 2" xfId="11745"/>
    <cellStyle name="Cálculo 40 2 2 2" xfId="29861"/>
    <cellStyle name="Cálculo 40 2 2 3" xfId="32776"/>
    <cellStyle name="Cálculo 40 2 2 4" xfId="34166"/>
    <cellStyle name="Cálculo 40 2 2 5" xfId="40555"/>
    <cellStyle name="Cálculo 40 2 3" xfId="11746"/>
    <cellStyle name="Cálculo 40 2 3 2" xfId="29862"/>
    <cellStyle name="Cálculo 40 2 3 3" xfId="32777"/>
    <cellStyle name="Cálculo 40 2 3 4" xfId="34167"/>
    <cellStyle name="Cálculo 40 2 3 5" xfId="40556"/>
    <cellStyle name="Cálculo 40 2 4" xfId="29860"/>
    <cellStyle name="Cálculo 40 2 5" xfId="32775"/>
    <cellStyle name="Cálculo 40 2 6" xfId="34165"/>
    <cellStyle name="Cálculo 40 2 7" xfId="40554"/>
    <cellStyle name="Cálculo 40 3" xfId="11747"/>
    <cellStyle name="Cálculo 40 3 2" xfId="29863"/>
    <cellStyle name="Cálculo 40 3 3" xfId="32778"/>
    <cellStyle name="Cálculo 40 3 4" xfId="34168"/>
    <cellStyle name="Cálculo 40 3 5" xfId="40557"/>
    <cellStyle name="Cálculo 40 4" xfId="11748"/>
    <cellStyle name="Cálculo 40 4 2" xfId="29864"/>
    <cellStyle name="Cálculo 40 4 3" xfId="32779"/>
    <cellStyle name="Cálculo 40 4 4" xfId="34169"/>
    <cellStyle name="Cálculo 40 4 5" xfId="40558"/>
    <cellStyle name="Cálculo 40 5" xfId="29859"/>
    <cellStyle name="Cálculo 40 6" xfId="32774"/>
    <cellStyle name="Cálculo 40 7" xfId="34164"/>
    <cellStyle name="Cálculo 40 8" xfId="40553"/>
    <cellStyle name="Cálculo 41" xfId="993"/>
    <cellStyle name="Cálculo 41 2" xfId="11546"/>
    <cellStyle name="Cálculo 41 2 2" xfId="11749"/>
    <cellStyle name="Cálculo 41 2 2 2" xfId="29867"/>
    <cellStyle name="Cálculo 41 2 2 3" xfId="32782"/>
    <cellStyle name="Cálculo 41 2 2 4" xfId="34172"/>
    <cellStyle name="Cálculo 41 2 2 5" xfId="40561"/>
    <cellStyle name="Cálculo 41 2 3" xfId="11750"/>
    <cellStyle name="Cálculo 41 2 3 2" xfId="29868"/>
    <cellStyle name="Cálculo 41 2 3 3" xfId="32783"/>
    <cellStyle name="Cálculo 41 2 3 4" xfId="34173"/>
    <cellStyle name="Cálculo 41 2 3 5" xfId="40562"/>
    <cellStyle name="Cálculo 41 2 4" xfId="29866"/>
    <cellStyle name="Cálculo 41 2 5" xfId="32781"/>
    <cellStyle name="Cálculo 41 2 6" xfId="34171"/>
    <cellStyle name="Cálculo 41 2 7" xfId="40560"/>
    <cellStyle name="Cálculo 41 3" xfId="11751"/>
    <cellStyle name="Cálculo 41 3 2" xfId="29869"/>
    <cellStyle name="Cálculo 41 3 3" xfId="32784"/>
    <cellStyle name="Cálculo 41 3 4" xfId="34174"/>
    <cellStyle name="Cálculo 41 3 5" xfId="40563"/>
    <cellStyle name="Cálculo 41 4" xfId="11752"/>
    <cellStyle name="Cálculo 41 4 2" xfId="29870"/>
    <cellStyle name="Cálculo 41 4 3" xfId="32785"/>
    <cellStyle name="Cálculo 41 4 4" xfId="34175"/>
    <cellStyle name="Cálculo 41 4 5" xfId="40564"/>
    <cellStyle name="Cálculo 41 5" xfId="29865"/>
    <cellStyle name="Cálculo 41 6" xfId="32780"/>
    <cellStyle name="Cálculo 41 7" xfId="34170"/>
    <cellStyle name="Cálculo 41 8" xfId="40559"/>
    <cellStyle name="Cálculo 42" xfId="994"/>
    <cellStyle name="Cálculo 42 2" xfId="11547"/>
    <cellStyle name="Cálculo 42 2 2" xfId="11753"/>
    <cellStyle name="Cálculo 42 2 2 2" xfId="29873"/>
    <cellStyle name="Cálculo 42 2 2 3" xfId="32788"/>
    <cellStyle name="Cálculo 42 2 2 4" xfId="34178"/>
    <cellStyle name="Cálculo 42 2 2 5" xfId="40567"/>
    <cellStyle name="Cálculo 42 2 3" xfId="11754"/>
    <cellStyle name="Cálculo 42 2 3 2" xfId="29874"/>
    <cellStyle name="Cálculo 42 2 3 3" xfId="32789"/>
    <cellStyle name="Cálculo 42 2 3 4" xfId="34179"/>
    <cellStyle name="Cálculo 42 2 3 5" xfId="40568"/>
    <cellStyle name="Cálculo 42 2 4" xfId="29872"/>
    <cellStyle name="Cálculo 42 2 5" xfId="32787"/>
    <cellStyle name="Cálculo 42 2 6" xfId="34177"/>
    <cellStyle name="Cálculo 42 2 7" xfId="40566"/>
    <cellStyle name="Cálculo 42 3" xfId="11755"/>
    <cellStyle name="Cálculo 42 3 2" xfId="29875"/>
    <cellStyle name="Cálculo 42 3 3" xfId="32790"/>
    <cellStyle name="Cálculo 42 3 4" xfId="34180"/>
    <cellStyle name="Cálculo 42 3 5" xfId="40569"/>
    <cellStyle name="Cálculo 42 4" xfId="11756"/>
    <cellStyle name="Cálculo 42 4 2" xfId="29876"/>
    <cellStyle name="Cálculo 42 4 3" xfId="32791"/>
    <cellStyle name="Cálculo 42 4 4" xfId="34181"/>
    <cellStyle name="Cálculo 42 4 5" xfId="40570"/>
    <cellStyle name="Cálculo 42 5" xfId="29871"/>
    <cellStyle name="Cálculo 42 6" xfId="32786"/>
    <cellStyle name="Cálculo 42 7" xfId="34176"/>
    <cellStyle name="Cálculo 42 8" xfId="40565"/>
    <cellStyle name="Cálculo 43" xfId="995"/>
    <cellStyle name="Cálculo 43 2" xfId="11548"/>
    <cellStyle name="Cálculo 43 2 2" xfId="11757"/>
    <cellStyle name="Cálculo 43 2 2 2" xfId="29879"/>
    <cellStyle name="Cálculo 43 2 2 3" xfId="32794"/>
    <cellStyle name="Cálculo 43 2 2 4" xfId="34184"/>
    <cellStyle name="Cálculo 43 2 2 5" xfId="40573"/>
    <cellStyle name="Cálculo 43 2 3" xfId="11758"/>
    <cellStyle name="Cálculo 43 2 3 2" xfId="29880"/>
    <cellStyle name="Cálculo 43 2 3 3" xfId="32795"/>
    <cellStyle name="Cálculo 43 2 3 4" xfId="34185"/>
    <cellStyle name="Cálculo 43 2 3 5" xfId="40574"/>
    <cellStyle name="Cálculo 43 2 4" xfId="29878"/>
    <cellStyle name="Cálculo 43 2 5" xfId="32793"/>
    <cellStyle name="Cálculo 43 2 6" xfId="34183"/>
    <cellStyle name="Cálculo 43 2 7" xfId="40572"/>
    <cellStyle name="Cálculo 43 3" xfId="11759"/>
    <cellStyle name="Cálculo 43 3 2" xfId="29881"/>
    <cellStyle name="Cálculo 43 3 3" xfId="32796"/>
    <cellStyle name="Cálculo 43 3 4" xfId="34186"/>
    <cellStyle name="Cálculo 43 3 5" xfId="40575"/>
    <cellStyle name="Cálculo 43 4" xfId="11760"/>
    <cellStyle name="Cálculo 43 4 2" xfId="29882"/>
    <cellStyle name="Cálculo 43 4 3" xfId="32797"/>
    <cellStyle name="Cálculo 43 4 4" xfId="34187"/>
    <cellStyle name="Cálculo 43 4 5" xfId="40576"/>
    <cellStyle name="Cálculo 43 5" xfId="29877"/>
    <cellStyle name="Cálculo 43 6" xfId="32792"/>
    <cellStyle name="Cálculo 43 7" xfId="34182"/>
    <cellStyle name="Cálculo 43 8" xfId="40571"/>
    <cellStyle name="Cálculo 44" xfId="996"/>
    <cellStyle name="Cálculo 44 2" xfId="11549"/>
    <cellStyle name="Cálculo 44 2 2" xfId="11761"/>
    <cellStyle name="Cálculo 44 2 2 2" xfId="29885"/>
    <cellStyle name="Cálculo 44 2 2 3" xfId="32800"/>
    <cellStyle name="Cálculo 44 2 2 4" xfId="34190"/>
    <cellStyle name="Cálculo 44 2 2 5" xfId="40579"/>
    <cellStyle name="Cálculo 44 2 3" xfId="11762"/>
    <cellStyle name="Cálculo 44 2 3 2" xfId="29886"/>
    <cellStyle name="Cálculo 44 2 3 3" xfId="32801"/>
    <cellStyle name="Cálculo 44 2 3 4" xfId="34191"/>
    <cellStyle name="Cálculo 44 2 3 5" xfId="40580"/>
    <cellStyle name="Cálculo 44 2 4" xfId="29884"/>
    <cellStyle name="Cálculo 44 2 5" xfId="32799"/>
    <cellStyle name="Cálculo 44 2 6" xfId="34189"/>
    <cellStyle name="Cálculo 44 2 7" xfId="40578"/>
    <cellStyle name="Cálculo 44 3" xfId="11763"/>
    <cellStyle name="Cálculo 44 3 2" xfId="29887"/>
    <cellStyle name="Cálculo 44 3 3" xfId="32802"/>
    <cellStyle name="Cálculo 44 3 4" xfId="34192"/>
    <cellStyle name="Cálculo 44 3 5" xfId="40581"/>
    <cellStyle name="Cálculo 44 4" xfId="11764"/>
    <cellStyle name="Cálculo 44 4 2" xfId="29888"/>
    <cellStyle name="Cálculo 44 4 3" xfId="32803"/>
    <cellStyle name="Cálculo 44 4 4" xfId="34193"/>
    <cellStyle name="Cálculo 44 4 5" xfId="40582"/>
    <cellStyle name="Cálculo 44 5" xfId="29883"/>
    <cellStyle name="Cálculo 44 6" xfId="32798"/>
    <cellStyle name="Cálculo 44 7" xfId="34188"/>
    <cellStyle name="Cálculo 44 8" xfId="40577"/>
    <cellStyle name="Cálculo 45" xfId="997"/>
    <cellStyle name="Cálculo 45 2" xfId="11550"/>
    <cellStyle name="Cálculo 45 2 2" xfId="11765"/>
    <cellStyle name="Cálculo 45 2 2 2" xfId="29891"/>
    <cellStyle name="Cálculo 45 2 2 3" xfId="32806"/>
    <cellStyle name="Cálculo 45 2 2 4" xfId="34196"/>
    <cellStyle name="Cálculo 45 2 2 5" xfId="40585"/>
    <cellStyle name="Cálculo 45 2 3" xfId="11766"/>
    <cellStyle name="Cálculo 45 2 3 2" xfId="29892"/>
    <cellStyle name="Cálculo 45 2 3 3" xfId="32807"/>
    <cellStyle name="Cálculo 45 2 3 4" xfId="34197"/>
    <cellStyle name="Cálculo 45 2 3 5" xfId="40586"/>
    <cellStyle name="Cálculo 45 2 4" xfId="29890"/>
    <cellStyle name="Cálculo 45 2 5" xfId="32805"/>
    <cellStyle name="Cálculo 45 2 6" xfId="34195"/>
    <cellStyle name="Cálculo 45 2 7" xfId="40584"/>
    <cellStyle name="Cálculo 45 3" xfId="11767"/>
    <cellStyle name="Cálculo 45 3 2" xfId="29893"/>
    <cellStyle name="Cálculo 45 3 3" xfId="32808"/>
    <cellStyle name="Cálculo 45 3 4" xfId="34198"/>
    <cellStyle name="Cálculo 45 3 5" xfId="40587"/>
    <cellStyle name="Cálculo 45 4" xfId="11768"/>
    <cellStyle name="Cálculo 45 4 2" xfId="29894"/>
    <cellStyle name="Cálculo 45 4 3" xfId="32809"/>
    <cellStyle name="Cálculo 45 4 4" xfId="34199"/>
    <cellStyle name="Cálculo 45 4 5" xfId="40588"/>
    <cellStyle name="Cálculo 45 5" xfId="29889"/>
    <cellStyle name="Cálculo 45 6" xfId="32804"/>
    <cellStyle name="Cálculo 45 7" xfId="34194"/>
    <cellStyle name="Cálculo 45 8" xfId="40583"/>
    <cellStyle name="Cálculo 46" xfId="998"/>
    <cellStyle name="Cálculo 46 2" xfId="11551"/>
    <cellStyle name="Cálculo 46 2 2" xfId="11769"/>
    <cellStyle name="Cálculo 46 2 2 2" xfId="29897"/>
    <cellStyle name="Cálculo 46 2 2 3" xfId="32812"/>
    <cellStyle name="Cálculo 46 2 2 4" xfId="34202"/>
    <cellStyle name="Cálculo 46 2 2 5" xfId="40591"/>
    <cellStyle name="Cálculo 46 2 3" xfId="11770"/>
    <cellStyle name="Cálculo 46 2 3 2" xfId="29898"/>
    <cellStyle name="Cálculo 46 2 3 3" xfId="32813"/>
    <cellStyle name="Cálculo 46 2 3 4" xfId="34203"/>
    <cellStyle name="Cálculo 46 2 3 5" xfId="40592"/>
    <cellStyle name="Cálculo 46 2 4" xfId="29896"/>
    <cellStyle name="Cálculo 46 2 5" xfId="32811"/>
    <cellStyle name="Cálculo 46 2 6" xfId="34201"/>
    <cellStyle name="Cálculo 46 2 7" xfId="40590"/>
    <cellStyle name="Cálculo 46 3" xfId="11771"/>
    <cellStyle name="Cálculo 46 3 2" xfId="29899"/>
    <cellStyle name="Cálculo 46 3 3" xfId="32814"/>
    <cellStyle name="Cálculo 46 3 4" xfId="34204"/>
    <cellStyle name="Cálculo 46 3 5" xfId="40593"/>
    <cellStyle name="Cálculo 46 4" xfId="11772"/>
    <cellStyle name="Cálculo 46 4 2" xfId="29900"/>
    <cellStyle name="Cálculo 46 4 3" xfId="32815"/>
    <cellStyle name="Cálculo 46 4 4" xfId="34205"/>
    <cellStyle name="Cálculo 46 4 5" xfId="40594"/>
    <cellStyle name="Cálculo 46 5" xfId="29895"/>
    <cellStyle name="Cálculo 46 6" xfId="32810"/>
    <cellStyle name="Cálculo 46 7" xfId="34200"/>
    <cellStyle name="Cálculo 46 8" xfId="40589"/>
    <cellStyle name="Cálculo 47" xfId="999"/>
    <cellStyle name="Cálculo 47 2" xfId="11552"/>
    <cellStyle name="Cálculo 47 2 2" xfId="11773"/>
    <cellStyle name="Cálculo 47 2 2 2" xfId="29903"/>
    <cellStyle name="Cálculo 47 2 2 3" xfId="32818"/>
    <cellStyle name="Cálculo 47 2 2 4" xfId="34208"/>
    <cellStyle name="Cálculo 47 2 2 5" xfId="40597"/>
    <cellStyle name="Cálculo 47 2 3" xfId="11774"/>
    <cellStyle name="Cálculo 47 2 3 2" xfId="29904"/>
    <cellStyle name="Cálculo 47 2 3 3" xfId="32819"/>
    <cellStyle name="Cálculo 47 2 3 4" xfId="34209"/>
    <cellStyle name="Cálculo 47 2 3 5" xfId="40598"/>
    <cellStyle name="Cálculo 47 2 4" xfId="29902"/>
    <cellStyle name="Cálculo 47 2 5" xfId="32817"/>
    <cellStyle name="Cálculo 47 2 6" xfId="34207"/>
    <cellStyle name="Cálculo 47 2 7" xfId="40596"/>
    <cellStyle name="Cálculo 47 3" xfId="11775"/>
    <cellStyle name="Cálculo 47 3 2" xfId="29905"/>
    <cellStyle name="Cálculo 47 3 3" xfId="32820"/>
    <cellStyle name="Cálculo 47 3 4" xfId="34210"/>
    <cellStyle name="Cálculo 47 3 5" xfId="40599"/>
    <cellStyle name="Cálculo 47 4" xfId="11776"/>
    <cellStyle name="Cálculo 47 4 2" xfId="29906"/>
    <cellStyle name="Cálculo 47 4 3" xfId="32821"/>
    <cellStyle name="Cálculo 47 4 4" xfId="34211"/>
    <cellStyle name="Cálculo 47 4 5" xfId="40600"/>
    <cellStyle name="Cálculo 47 5" xfId="29901"/>
    <cellStyle name="Cálculo 47 6" xfId="32816"/>
    <cellStyle name="Cálculo 47 7" xfId="34206"/>
    <cellStyle name="Cálculo 47 8" xfId="40595"/>
    <cellStyle name="Cálculo 48" xfId="1000"/>
    <cellStyle name="Cálculo 48 2" xfId="11553"/>
    <cellStyle name="Cálculo 48 2 2" xfId="11777"/>
    <cellStyle name="Cálculo 48 2 2 2" xfId="29909"/>
    <cellStyle name="Cálculo 48 2 2 3" xfId="32824"/>
    <cellStyle name="Cálculo 48 2 2 4" xfId="34214"/>
    <cellStyle name="Cálculo 48 2 2 5" xfId="40603"/>
    <cellStyle name="Cálculo 48 2 3" xfId="11778"/>
    <cellStyle name="Cálculo 48 2 3 2" xfId="29910"/>
    <cellStyle name="Cálculo 48 2 3 3" xfId="32825"/>
    <cellStyle name="Cálculo 48 2 3 4" xfId="34215"/>
    <cellStyle name="Cálculo 48 2 3 5" xfId="40604"/>
    <cellStyle name="Cálculo 48 2 4" xfId="29908"/>
    <cellStyle name="Cálculo 48 2 5" xfId="32823"/>
    <cellStyle name="Cálculo 48 2 6" xfId="34213"/>
    <cellStyle name="Cálculo 48 2 7" xfId="40602"/>
    <cellStyle name="Cálculo 48 3" xfId="11779"/>
    <cellStyle name="Cálculo 48 3 2" xfId="29911"/>
    <cellStyle name="Cálculo 48 3 3" xfId="32826"/>
    <cellStyle name="Cálculo 48 3 4" xfId="34216"/>
    <cellStyle name="Cálculo 48 3 5" xfId="40605"/>
    <cellStyle name="Cálculo 48 4" xfId="11780"/>
    <cellStyle name="Cálculo 48 4 2" xfId="29912"/>
    <cellStyle name="Cálculo 48 4 3" xfId="32827"/>
    <cellStyle name="Cálculo 48 4 4" xfId="34217"/>
    <cellStyle name="Cálculo 48 4 5" xfId="40606"/>
    <cellStyle name="Cálculo 48 5" xfId="29907"/>
    <cellStyle name="Cálculo 48 6" xfId="32822"/>
    <cellStyle name="Cálculo 48 7" xfId="34212"/>
    <cellStyle name="Cálculo 48 8" xfId="40601"/>
    <cellStyle name="Cálculo 49" xfId="1001"/>
    <cellStyle name="Cálculo 49 2" xfId="11554"/>
    <cellStyle name="Cálculo 49 2 2" xfId="11781"/>
    <cellStyle name="Cálculo 49 2 2 2" xfId="29915"/>
    <cellStyle name="Cálculo 49 2 2 3" xfId="32830"/>
    <cellStyle name="Cálculo 49 2 2 4" xfId="34220"/>
    <cellStyle name="Cálculo 49 2 2 5" xfId="40609"/>
    <cellStyle name="Cálculo 49 2 3" xfId="11782"/>
    <cellStyle name="Cálculo 49 2 3 2" xfId="29916"/>
    <cellStyle name="Cálculo 49 2 3 3" xfId="32831"/>
    <cellStyle name="Cálculo 49 2 3 4" xfId="34221"/>
    <cellStyle name="Cálculo 49 2 3 5" xfId="40610"/>
    <cellStyle name="Cálculo 49 2 4" xfId="29914"/>
    <cellStyle name="Cálculo 49 2 5" xfId="32829"/>
    <cellStyle name="Cálculo 49 2 6" xfId="34219"/>
    <cellStyle name="Cálculo 49 2 7" xfId="40608"/>
    <cellStyle name="Cálculo 49 3" xfId="11783"/>
    <cellStyle name="Cálculo 49 3 2" xfId="29917"/>
    <cellStyle name="Cálculo 49 3 3" xfId="32832"/>
    <cellStyle name="Cálculo 49 3 4" xfId="34222"/>
    <cellStyle name="Cálculo 49 3 5" xfId="40611"/>
    <cellStyle name="Cálculo 49 4" xfId="11784"/>
    <cellStyle name="Cálculo 49 4 2" xfId="29918"/>
    <cellStyle name="Cálculo 49 4 3" xfId="32833"/>
    <cellStyle name="Cálculo 49 4 4" xfId="34223"/>
    <cellStyle name="Cálculo 49 4 5" xfId="40612"/>
    <cellStyle name="Cálculo 49 5" xfId="29913"/>
    <cellStyle name="Cálculo 49 6" xfId="32828"/>
    <cellStyle name="Cálculo 49 7" xfId="34218"/>
    <cellStyle name="Cálculo 49 8" xfId="40607"/>
    <cellStyle name="Cálculo 5" xfId="1002"/>
    <cellStyle name="Cálculo 5 2" xfId="11555"/>
    <cellStyle name="Cálculo 5 2 10" xfId="12693"/>
    <cellStyle name="Cálculo 5 2 10 2" xfId="29921"/>
    <cellStyle name="Cálculo 5 2 11" xfId="29920"/>
    <cellStyle name="Cálculo 5 2 12" xfId="32835"/>
    <cellStyle name="Cálculo 5 2 13" xfId="33532"/>
    <cellStyle name="Cálculo 5 2 14" xfId="34225"/>
    <cellStyle name="Cálculo 5 2 15" xfId="40614"/>
    <cellStyle name="Cálculo 5 2 2" xfId="11785"/>
    <cellStyle name="Cálculo 5 2 2 10" xfId="40615"/>
    <cellStyle name="Cálculo 5 2 2 2" xfId="12694"/>
    <cellStyle name="Cálculo 5 2 2 2 2" xfId="29923"/>
    <cellStyle name="Cálculo 5 2 2 3" xfId="12695"/>
    <cellStyle name="Cálculo 5 2 2 3 2" xfId="29924"/>
    <cellStyle name="Cálculo 5 2 2 4" xfId="12696"/>
    <cellStyle name="Cálculo 5 2 2 4 2" xfId="29925"/>
    <cellStyle name="Cálculo 5 2 2 5" xfId="12697"/>
    <cellStyle name="Cálculo 5 2 2 5 2" xfId="29926"/>
    <cellStyle name="Cálculo 5 2 2 6" xfId="12698"/>
    <cellStyle name="Cálculo 5 2 2 6 2" xfId="29927"/>
    <cellStyle name="Cálculo 5 2 2 7" xfId="29922"/>
    <cellStyle name="Cálculo 5 2 2 8" xfId="32836"/>
    <cellStyle name="Cálculo 5 2 2 9" xfId="34226"/>
    <cellStyle name="Cálculo 5 2 3" xfId="11786"/>
    <cellStyle name="Cálculo 5 2 3 10" xfId="40616"/>
    <cellStyle name="Cálculo 5 2 3 2" xfId="12699"/>
    <cellStyle name="Cálculo 5 2 3 2 2" xfId="29929"/>
    <cellStyle name="Cálculo 5 2 3 3" xfId="12700"/>
    <cellStyle name="Cálculo 5 2 3 3 2" xfId="29930"/>
    <cellStyle name="Cálculo 5 2 3 4" xfId="12701"/>
    <cellStyle name="Cálculo 5 2 3 4 2" xfId="29931"/>
    <cellStyle name="Cálculo 5 2 3 5" xfId="12702"/>
    <cellStyle name="Cálculo 5 2 3 5 2" xfId="29932"/>
    <cellStyle name="Cálculo 5 2 3 6" xfId="12703"/>
    <cellStyle name="Cálculo 5 2 3 6 2" xfId="29933"/>
    <cellStyle name="Cálculo 5 2 3 7" xfId="29928"/>
    <cellStyle name="Cálculo 5 2 3 8" xfId="32837"/>
    <cellStyle name="Cálculo 5 2 3 9" xfId="34227"/>
    <cellStyle name="Cálculo 5 2 4" xfId="12704"/>
    <cellStyle name="Cálculo 5 2 4 2" xfId="12705"/>
    <cellStyle name="Cálculo 5 2 4 2 2" xfId="29935"/>
    <cellStyle name="Cálculo 5 2 4 3" xfId="12706"/>
    <cellStyle name="Cálculo 5 2 4 3 2" xfId="29936"/>
    <cellStyle name="Cálculo 5 2 4 4" xfId="12707"/>
    <cellStyle name="Cálculo 5 2 4 4 2" xfId="29937"/>
    <cellStyle name="Cálculo 5 2 4 5" xfId="12708"/>
    <cellStyle name="Cálculo 5 2 4 5 2" xfId="29938"/>
    <cellStyle name="Cálculo 5 2 4 6" xfId="29934"/>
    <cellStyle name="Cálculo 5 2 5" xfId="12709"/>
    <cellStyle name="Cálculo 5 2 5 2" xfId="12710"/>
    <cellStyle name="Cálculo 5 2 5 2 2" xfId="29940"/>
    <cellStyle name="Cálculo 5 2 5 3" xfId="12711"/>
    <cellStyle name="Cálculo 5 2 5 3 2" xfId="29941"/>
    <cellStyle name="Cálculo 5 2 5 4" xfId="12712"/>
    <cellStyle name="Cálculo 5 2 5 4 2" xfId="29942"/>
    <cellStyle name="Cálculo 5 2 5 5" xfId="12713"/>
    <cellStyle name="Cálculo 5 2 5 5 2" xfId="29943"/>
    <cellStyle name="Cálculo 5 2 5 6" xfId="29939"/>
    <cellStyle name="Cálculo 5 2 6" xfId="12714"/>
    <cellStyle name="Cálculo 5 2 6 2" xfId="12715"/>
    <cellStyle name="Cálculo 5 2 6 2 2" xfId="29945"/>
    <cellStyle name="Cálculo 5 2 6 3" xfId="12716"/>
    <cellStyle name="Cálculo 5 2 6 3 2" xfId="29946"/>
    <cellStyle name="Cálculo 5 2 6 4" xfId="12717"/>
    <cellStyle name="Cálculo 5 2 6 4 2" xfId="29947"/>
    <cellStyle name="Cálculo 5 2 6 5" xfId="12718"/>
    <cellStyle name="Cálculo 5 2 6 5 2" xfId="29948"/>
    <cellStyle name="Cálculo 5 2 6 6" xfId="29944"/>
    <cellStyle name="Cálculo 5 2 7" xfId="12719"/>
    <cellStyle name="Cálculo 5 2 7 2" xfId="12720"/>
    <cellStyle name="Cálculo 5 2 7 2 2" xfId="29950"/>
    <cellStyle name="Cálculo 5 2 7 3" xfId="12721"/>
    <cellStyle name="Cálculo 5 2 7 3 2" xfId="29951"/>
    <cellStyle name="Cálculo 5 2 7 4" xfId="12722"/>
    <cellStyle name="Cálculo 5 2 7 4 2" xfId="29952"/>
    <cellStyle name="Cálculo 5 2 7 5" xfId="12723"/>
    <cellStyle name="Cálculo 5 2 7 5 2" xfId="29953"/>
    <cellStyle name="Cálculo 5 2 7 6" xfId="29949"/>
    <cellStyle name="Cálculo 5 2 8" xfId="12724"/>
    <cellStyle name="Cálculo 5 2 8 2" xfId="12725"/>
    <cellStyle name="Cálculo 5 2 8 2 2" xfId="29955"/>
    <cellStyle name="Cálculo 5 2 8 3" xfId="12726"/>
    <cellStyle name="Cálculo 5 2 8 3 2" xfId="29956"/>
    <cellStyle name="Cálculo 5 2 8 4" xfId="12727"/>
    <cellStyle name="Cálculo 5 2 8 4 2" xfId="29957"/>
    <cellStyle name="Cálculo 5 2 8 5" xfId="12728"/>
    <cellStyle name="Cálculo 5 2 8 5 2" xfId="29958"/>
    <cellStyle name="Cálculo 5 2 8 6" xfId="12729"/>
    <cellStyle name="Cálculo 5 2 8 6 2" xfId="29959"/>
    <cellStyle name="Cálculo 5 2 8 7" xfId="29954"/>
    <cellStyle name="Cálculo 5 2 9" xfId="12730"/>
    <cellStyle name="Cálculo 5 2 9 2" xfId="12731"/>
    <cellStyle name="Cálculo 5 2 9 2 2" xfId="29961"/>
    <cellStyle name="Cálculo 5 2 9 3" xfId="29960"/>
    <cellStyle name="Cálculo 5 3" xfId="11787"/>
    <cellStyle name="Cálculo 5 3 2" xfId="29962"/>
    <cellStyle name="Cálculo 5 3 3" xfId="32838"/>
    <cellStyle name="Cálculo 5 3 4" xfId="34228"/>
    <cellStyle name="Cálculo 5 3 5" xfId="40617"/>
    <cellStyle name="Cálculo 5 4" xfId="11788"/>
    <cellStyle name="Cálculo 5 4 2" xfId="29963"/>
    <cellStyle name="Cálculo 5 4 3" xfId="32839"/>
    <cellStyle name="Cálculo 5 4 4" xfId="34229"/>
    <cellStyle name="Cálculo 5 4 5" xfId="40618"/>
    <cellStyle name="Cálculo 5 5" xfId="12732"/>
    <cellStyle name="Cálculo 5 6" xfId="29919"/>
    <cellStyle name="Cálculo 5 7" xfId="32834"/>
    <cellStyle name="Cálculo 5 8" xfId="34224"/>
    <cellStyle name="Cálculo 5 9" xfId="40613"/>
    <cellStyle name="Cálculo 50" xfId="1003"/>
    <cellStyle name="Cálculo 50 2" xfId="11556"/>
    <cellStyle name="Cálculo 50 2 2" xfId="11789"/>
    <cellStyle name="Cálculo 50 2 2 2" xfId="29966"/>
    <cellStyle name="Cálculo 50 2 2 3" xfId="32842"/>
    <cellStyle name="Cálculo 50 2 2 4" xfId="34232"/>
    <cellStyle name="Cálculo 50 2 2 5" xfId="40621"/>
    <cellStyle name="Cálculo 50 2 3" xfId="11790"/>
    <cellStyle name="Cálculo 50 2 3 2" xfId="29967"/>
    <cellStyle name="Cálculo 50 2 3 3" xfId="32843"/>
    <cellStyle name="Cálculo 50 2 3 4" xfId="34233"/>
    <cellStyle name="Cálculo 50 2 3 5" xfId="40622"/>
    <cellStyle name="Cálculo 50 2 4" xfId="29965"/>
    <cellStyle name="Cálculo 50 2 5" xfId="32841"/>
    <cellStyle name="Cálculo 50 2 6" xfId="34231"/>
    <cellStyle name="Cálculo 50 2 7" xfId="40620"/>
    <cellStyle name="Cálculo 50 3" xfId="11791"/>
    <cellStyle name="Cálculo 50 3 2" xfId="29968"/>
    <cellStyle name="Cálculo 50 3 3" xfId="32844"/>
    <cellStyle name="Cálculo 50 3 4" xfId="34234"/>
    <cellStyle name="Cálculo 50 3 5" xfId="40623"/>
    <cellStyle name="Cálculo 50 4" xfId="11792"/>
    <cellStyle name="Cálculo 50 4 2" xfId="29969"/>
    <cellStyle name="Cálculo 50 4 3" xfId="32845"/>
    <cellStyle name="Cálculo 50 4 4" xfId="34235"/>
    <cellStyle name="Cálculo 50 4 5" xfId="40624"/>
    <cellStyle name="Cálculo 50 5" xfId="29964"/>
    <cellStyle name="Cálculo 50 6" xfId="32840"/>
    <cellStyle name="Cálculo 50 7" xfId="34230"/>
    <cellStyle name="Cálculo 50 8" xfId="40619"/>
    <cellStyle name="Cálculo 6" xfId="1004"/>
    <cellStyle name="Cálculo 6 2" xfId="11557"/>
    <cellStyle name="Cálculo 6 2 10" xfId="12733"/>
    <cellStyle name="Cálculo 6 2 10 2" xfId="29972"/>
    <cellStyle name="Cálculo 6 2 11" xfId="29971"/>
    <cellStyle name="Cálculo 6 2 12" xfId="32847"/>
    <cellStyle name="Cálculo 6 2 13" xfId="33533"/>
    <cellStyle name="Cálculo 6 2 14" xfId="34237"/>
    <cellStyle name="Cálculo 6 2 15" xfId="40626"/>
    <cellStyle name="Cálculo 6 2 2" xfId="11793"/>
    <cellStyle name="Cálculo 6 2 2 10" xfId="40627"/>
    <cellStyle name="Cálculo 6 2 2 2" xfId="12734"/>
    <cellStyle name="Cálculo 6 2 2 2 2" xfId="29974"/>
    <cellStyle name="Cálculo 6 2 2 3" xfId="12735"/>
    <cellStyle name="Cálculo 6 2 2 3 2" xfId="29975"/>
    <cellStyle name="Cálculo 6 2 2 4" xfId="12736"/>
    <cellStyle name="Cálculo 6 2 2 4 2" xfId="29976"/>
    <cellStyle name="Cálculo 6 2 2 5" xfId="12737"/>
    <cellStyle name="Cálculo 6 2 2 5 2" xfId="29977"/>
    <cellStyle name="Cálculo 6 2 2 6" xfId="12738"/>
    <cellStyle name="Cálculo 6 2 2 6 2" xfId="29978"/>
    <cellStyle name="Cálculo 6 2 2 7" xfId="29973"/>
    <cellStyle name="Cálculo 6 2 2 8" xfId="32848"/>
    <cellStyle name="Cálculo 6 2 2 9" xfId="34238"/>
    <cellStyle name="Cálculo 6 2 3" xfId="11794"/>
    <cellStyle name="Cálculo 6 2 3 10" xfId="40628"/>
    <cellStyle name="Cálculo 6 2 3 2" xfId="12739"/>
    <cellStyle name="Cálculo 6 2 3 2 2" xfId="29980"/>
    <cellStyle name="Cálculo 6 2 3 3" xfId="12740"/>
    <cellStyle name="Cálculo 6 2 3 3 2" xfId="29981"/>
    <cellStyle name="Cálculo 6 2 3 4" xfId="12741"/>
    <cellStyle name="Cálculo 6 2 3 4 2" xfId="29982"/>
    <cellStyle name="Cálculo 6 2 3 5" xfId="12742"/>
    <cellStyle name="Cálculo 6 2 3 5 2" xfId="29983"/>
    <cellStyle name="Cálculo 6 2 3 6" xfId="12743"/>
    <cellStyle name="Cálculo 6 2 3 6 2" xfId="29984"/>
    <cellStyle name="Cálculo 6 2 3 7" xfId="29979"/>
    <cellStyle name="Cálculo 6 2 3 8" xfId="32849"/>
    <cellStyle name="Cálculo 6 2 3 9" xfId="34239"/>
    <cellStyle name="Cálculo 6 2 4" xfId="12744"/>
    <cellStyle name="Cálculo 6 2 4 2" xfId="12745"/>
    <cellStyle name="Cálculo 6 2 4 2 2" xfId="29986"/>
    <cellStyle name="Cálculo 6 2 4 3" xfId="12746"/>
    <cellStyle name="Cálculo 6 2 4 3 2" xfId="29987"/>
    <cellStyle name="Cálculo 6 2 4 4" xfId="12747"/>
    <cellStyle name="Cálculo 6 2 4 4 2" xfId="29988"/>
    <cellStyle name="Cálculo 6 2 4 5" xfId="12748"/>
    <cellStyle name="Cálculo 6 2 4 5 2" xfId="29989"/>
    <cellStyle name="Cálculo 6 2 4 6" xfId="29985"/>
    <cellStyle name="Cálculo 6 2 5" xfId="12749"/>
    <cellStyle name="Cálculo 6 2 5 2" xfId="12750"/>
    <cellStyle name="Cálculo 6 2 5 2 2" xfId="29991"/>
    <cellStyle name="Cálculo 6 2 5 3" xfId="12751"/>
    <cellStyle name="Cálculo 6 2 5 3 2" xfId="29992"/>
    <cellStyle name="Cálculo 6 2 5 4" xfId="12752"/>
    <cellStyle name="Cálculo 6 2 5 4 2" xfId="29993"/>
    <cellStyle name="Cálculo 6 2 5 5" xfId="12753"/>
    <cellStyle name="Cálculo 6 2 5 5 2" xfId="29994"/>
    <cellStyle name="Cálculo 6 2 5 6" xfId="29990"/>
    <cellStyle name="Cálculo 6 2 6" xfId="12754"/>
    <cellStyle name="Cálculo 6 2 6 2" xfId="12755"/>
    <cellStyle name="Cálculo 6 2 6 2 2" xfId="29996"/>
    <cellStyle name="Cálculo 6 2 6 3" xfId="12756"/>
    <cellStyle name="Cálculo 6 2 6 3 2" xfId="29997"/>
    <cellStyle name="Cálculo 6 2 6 4" xfId="12757"/>
    <cellStyle name="Cálculo 6 2 6 4 2" xfId="29998"/>
    <cellStyle name="Cálculo 6 2 6 5" xfId="12758"/>
    <cellStyle name="Cálculo 6 2 6 5 2" xfId="29999"/>
    <cellStyle name="Cálculo 6 2 6 6" xfId="29995"/>
    <cellStyle name="Cálculo 6 2 7" xfId="12759"/>
    <cellStyle name="Cálculo 6 2 7 2" xfId="12760"/>
    <cellStyle name="Cálculo 6 2 7 2 2" xfId="30001"/>
    <cellStyle name="Cálculo 6 2 7 3" xfId="12761"/>
    <cellStyle name="Cálculo 6 2 7 3 2" xfId="30002"/>
    <cellStyle name="Cálculo 6 2 7 4" xfId="12762"/>
    <cellStyle name="Cálculo 6 2 7 4 2" xfId="30003"/>
    <cellStyle name="Cálculo 6 2 7 5" xfId="12763"/>
    <cellStyle name="Cálculo 6 2 7 5 2" xfId="30004"/>
    <cellStyle name="Cálculo 6 2 7 6" xfId="30000"/>
    <cellStyle name="Cálculo 6 2 8" xfId="12764"/>
    <cellStyle name="Cálculo 6 2 8 2" xfId="12765"/>
    <cellStyle name="Cálculo 6 2 8 2 2" xfId="30006"/>
    <cellStyle name="Cálculo 6 2 8 3" xfId="12766"/>
    <cellStyle name="Cálculo 6 2 8 3 2" xfId="30007"/>
    <cellStyle name="Cálculo 6 2 8 4" xfId="12767"/>
    <cellStyle name="Cálculo 6 2 8 4 2" xfId="30008"/>
    <cellStyle name="Cálculo 6 2 8 5" xfId="12768"/>
    <cellStyle name="Cálculo 6 2 8 5 2" xfId="30009"/>
    <cellStyle name="Cálculo 6 2 8 6" xfId="12769"/>
    <cellStyle name="Cálculo 6 2 8 6 2" xfId="30010"/>
    <cellStyle name="Cálculo 6 2 8 7" xfId="30005"/>
    <cellStyle name="Cálculo 6 2 9" xfId="12770"/>
    <cellStyle name="Cálculo 6 2 9 2" xfId="12771"/>
    <cellStyle name="Cálculo 6 2 9 2 2" xfId="30012"/>
    <cellStyle name="Cálculo 6 2 9 3" xfId="30011"/>
    <cellStyle name="Cálculo 6 3" xfId="11795"/>
    <cellStyle name="Cálculo 6 3 2" xfId="30013"/>
    <cellStyle name="Cálculo 6 3 3" xfId="32850"/>
    <cellStyle name="Cálculo 6 3 4" xfId="34240"/>
    <cellStyle name="Cálculo 6 3 5" xfId="40629"/>
    <cellStyle name="Cálculo 6 4" xfId="11796"/>
    <cellStyle name="Cálculo 6 4 2" xfId="30014"/>
    <cellStyle name="Cálculo 6 4 3" xfId="32851"/>
    <cellStyle name="Cálculo 6 4 4" xfId="34241"/>
    <cellStyle name="Cálculo 6 4 5" xfId="40630"/>
    <cellStyle name="Cálculo 6 5" xfId="29970"/>
    <cellStyle name="Cálculo 6 6" xfId="32846"/>
    <cellStyle name="Cálculo 6 7" xfId="34236"/>
    <cellStyle name="Cálculo 6 8" xfId="40625"/>
    <cellStyle name="Cálculo 7" xfId="1005"/>
    <cellStyle name="Cálculo 7 2" xfId="11558"/>
    <cellStyle name="Cálculo 7 2 10" xfId="12772"/>
    <cellStyle name="Cálculo 7 2 10 2" xfId="30017"/>
    <cellStyle name="Cálculo 7 2 11" xfId="30016"/>
    <cellStyle name="Cálculo 7 2 12" xfId="32853"/>
    <cellStyle name="Cálculo 7 2 13" xfId="33534"/>
    <cellStyle name="Cálculo 7 2 14" xfId="34243"/>
    <cellStyle name="Cálculo 7 2 15" xfId="40632"/>
    <cellStyle name="Cálculo 7 2 2" xfId="11797"/>
    <cellStyle name="Cálculo 7 2 2 10" xfId="40633"/>
    <cellStyle name="Cálculo 7 2 2 2" xfId="12773"/>
    <cellStyle name="Cálculo 7 2 2 2 2" xfId="30019"/>
    <cellStyle name="Cálculo 7 2 2 3" xfId="12774"/>
    <cellStyle name="Cálculo 7 2 2 3 2" xfId="30020"/>
    <cellStyle name="Cálculo 7 2 2 4" xfId="12775"/>
    <cellStyle name="Cálculo 7 2 2 4 2" xfId="30021"/>
    <cellStyle name="Cálculo 7 2 2 5" xfId="12776"/>
    <cellStyle name="Cálculo 7 2 2 5 2" xfId="30022"/>
    <cellStyle name="Cálculo 7 2 2 6" xfId="12777"/>
    <cellStyle name="Cálculo 7 2 2 6 2" xfId="30023"/>
    <cellStyle name="Cálculo 7 2 2 7" xfId="30018"/>
    <cellStyle name="Cálculo 7 2 2 8" xfId="32854"/>
    <cellStyle name="Cálculo 7 2 2 9" xfId="34244"/>
    <cellStyle name="Cálculo 7 2 3" xfId="11798"/>
    <cellStyle name="Cálculo 7 2 3 10" xfId="40634"/>
    <cellStyle name="Cálculo 7 2 3 2" xfId="12778"/>
    <cellStyle name="Cálculo 7 2 3 2 2" xfId="30025"/>
    <cellStyle name="Cálculo 7 2 3 3" xfId="12779"/>
    <cellStyle name="Cálculo 7 2 3 3 2" xfId="30026"/>
    <cellStyle name="Cálculo 7 2 3 4" xfId="12780"/>
    <cellStyle name="Cálculo 7 2 3 4 2" xfId="30027"/>
    <cellStyle name="Cálculo 7 2 3 5" xfId="12781"/>
    <cellStyle name="Cálculo 7 2 3 5 2" xfId="30028"/>
    <cellStyle name="Cálculo 7 2 3 6" xfId="12782"/>
    <cellStyle name="Cálculo 7 2 3 6 2" xfId="30029"/>
    <cellStyle name="Cálculo 7 2 3 7" xfId="30024"/>
    <cellStyle name="Cálculo 7 2 3 8" xfId="32855"/>
    <cellStyle name="Cálculo 7 2 3 9" xfId="34245"/>
    <cellStyle name="Cálculo 7 2 4" xfId="12783"/>
    <cellStyle name="Cálculo 7 2 4 2" xfId="12784"/>
    <cellStyle name="Cálculo 7 2 4 2 2" xfId="30031"/>
    <cellStyle name="Cálculo 7 2 4 3" xfId="12785"/>
    <cellStyle name="Cálculo 7 2 4 3 2" xfId="30032"/>
    <cellStyle name="Cálculo 7 2 4 4" xfId="12786"/>
    <cellStyle name="Cálculo 7 2 4 4 2" xfId="30033"/>
    <cellStyle name="Cálculo 7 2 4 5" xfId="12787"/>
    <cellStyle name="Cálculo 7 2 4 5 2" xfId="30034"/>
    <cellStyle name="Cálculo 7 2 4 6" xfId="30030"/>
    <cellStyle name="Cálculo 7 2 5" xfId="12788"/>
    <cellStyle name="Cálculo 7 2 5 2" xfId="12789"/>
    <cellStyle name="Cálculo 7 2 5 2 2" xfId="30036"/>
    <cellStyle name="Cálculo 7 2 5 3" xfId="12790"/>
    <cellStyle name="Cálculo 7 2 5 3 2" xfId="30037"/>
    <cellStyle name="Cálculo 7 2 5 4" xfId="12791"/>
    <cellStyle name="Cálculo 7 2 5 4 2" xfId="30038"/>
    <cellStyle name="Cálculo 7 2 5 5" xfId="12792"/>
    <cellStyle name="Cálculo 7 2 5 5 2" xfId="30039"/>
    <cellStyle name="Cálculo 7 2 5 6" xfId="30035"/>
    <cellStyle name="Cálculo 7 2 6" xfId="12793"/>
    <cellStyle name="Cálculo 7 2 6 2" xfId="12794"/>
    <cellStyle name="Cálculo 7 2 6 2 2" xfId="30041"/>
    <cellStyle name="Cálculo 7 2 6 3" xfId="12795"/>
    <cellStyle name="Cálculo 7 2 6 3 2" xfId="30042"/>
    <cellStyle name="Cálculo 7 2 6 4" xfId="12796"/>
    <cellStyle name="Cálculo 7 2 6 4 2" xfId="30043"/>
    <cellStyle name="Cálculo 7 2 6 5" xfId="12797"/>
    <cellStyle name="Cálculo 7 2 6 5 2" xfId="30044"/>
    <cellStyle name="Cálculo 7 2 6 6" xfId="30040"/>
    <cellStyle name="Cálculo 7 2 7" xfId="12798"/>
    <cellStyle name="Cálculo 7 2 7 2" xfId="12799"/>
    <cellStyle name="Cálculo 7 2 7 2 2" xfId="30046"/>
    <cellStyle name="Cálculo 7 2 7 3" xfId="12800"/>
    <cellStyle name="Cálculo 7 2 7 3 2" xfId="30047"/>
    <cellStyle name="Cálculo 7 2 7 4" xfId="12801"/>
    <cellStyle name="Cálculo 7 2 7 4 2" xfId="30048"/>
    <cellStyle name="Cálculo 7 2 7 5" xfId="12802"/>
    <cellStyle name="Cálculo 7 2 7 5 2" xfId="30049"/>
    <cellStyle name="Cálculo 7 2 7 6" xfId="30045"/>
    <cellStyle name="Cálculo 7 2 8" xfId="12803"/>
    <cellStyle name="Cálculo 7 2 8 2" xfId="12804"/>
    <cellStyle name="Cálculo 7 2 8 2 2" xfId="30051"/>
    <cellStyle name="Cálculo 7 2 8 3" xfId="12805"/>
    <cellStyle name="Cálculo 7 2 8 3 2" xfId="30052"/>
    <cellStyle name="Cálculo 7 2 8 4" xfId="12806"/>
    <cellStyle name="Cálculo 7 2 8 4 2" xfId="30053"/>
    <cellStyle name="Cálculo 7 2 8 5" xfId="12807"/>
    <cellStyle name="Cálculo 7 2 8 5 2" xfId="30054"/>
    <cellStyle name="Cálculo 7 2 8 6" xfId="12808"/>
    <cellStyle name="Cálculo 7 2 8 6 2" xfId="30055"/>
    <cellStyle name="Cálculo 7 2 8 7" xfId="30050"/>
    <cellStyle name="Cálculo 7 2 9" xfId="12809"/>
    <cellStyle name="Cálculo 7 2 9 2" xfId="12810"/>
    <cellStyle name="Cálculo 7 2 9 2 2" xfId="30057"/>
    <cellStyle name="Cálculo 7 2 9 3" xfId="30056"/>
    <cellStyle name="Cálculo 7 3" xfId="11799"/>
    <cellStyle name="Cálculo 7 3 2" xfId="30058"/>
    <cellStyle name="Cálculo 7 3 3" xfId="32856"/>
    <cellStyle name="Cálculo 7 3 4" xfId="34246"/>
    <cellStyle name="Cálculo 7 3 5" xfId="40635"/>
    <cellStyle name="Cálculo 7 4" xfId="11800"/>
    <cellStyle name="Cálculo 7 4 2" xfId="30059"/>
    <cellStyle name="Cálculo 7 4 3" xfId="32857"/>
    <cellStyle name="Cálculo 7 4 4" xfId="34247"/>
    <cellStyle name="Cálculo 7 4 5" xfId="40636"/>
    <cellStyle name="Cálculo 7 5" xfId="30015"/>
    <cellStyle name="Cálculo 7 6" xfId="32852"/>
    <cellStyle name="Cálculo 7 7" xfId="34242"/>
    <cellStyle name="Cálculo 7 8" xfId="40631"/>
    <cellStyle name="Cálculo 8" xfId="1006"/>
    <cellStyle name="Cálculo 8 2" xfId="11559"/>
    <cellStyle name="Cálculo 8 2 10" xfId="12811"/>
    <cellStyle name="Cálculo 8 2 10 2" xfId="30062"/>
    <cellStyle name="Cálculo 8 2 11" xfId="30061"/>
    <cellStyle name="Cálculo 8 2 12" xfId="32859"/>
    <cellStyle name="Cálculo 8 2 13" xfId="33535"/>
    <cellStyle name="Cálculo 8 2 14" xfId="34249"/>
    <cellStyle name="Cálculo 8 2 15" xfId="40638"/>
    <cellStyle name="Cálculo 8 2 2" xfId="11801"/>
    <cellStyle name="Cálculo 8 2 2 10" xfId="40639"/>
    <cellStyle name="Cálculo 8 2 2 2" xfId="12812"/>
    <cellStyle name="Cálculo 8 2 2 2 2" xfId="30064"/>
    <cellStyle name="Cálculo 8 2 2 3" xfId="12813"/>
    <cellStyle name="Cálculo 8 2 2 3 2" xfId="30065"/>
    <cellStyle name="Cálculo 8 2 2 4" xfId="12814"/>
    <cellStyle name="Cálculo 8 2 2 4 2" xfId="30066"/>
    <cellStyle name="Cálculo 8 2 2 5" xfId="12815"/>
    <cellStyle name="Cálculo 8 2 2 5 2" xfId="30067"/>
    <cellStyle name="Cálculo 8 2 2 6" xfId="12816"/>
    <cellStyle name="Cálculo 8 2 2 6 2" xfId="30068"/>
    <cellStyle name="Cálculo 8 2 2 7" xfId="30063"/>
    <cellStyle name="Cálculo 8 2 2 8" xfId="32860"/>
    <cellStyle name="Cálculo 8 2 2 9" xfId="34250"/>
    <cellStyle name="Cálculo 8 2 3" xfId="11802"/>
    <cellStyle name="Cálculo 8 2 3 10" xfId="40640"/>
    <cellStyle name="Cálculo 8 2 3 2" xfId="12817"/>
    <cellStyle name="Cálculo 8 2 3 2 2" xfId="30070"/>
    <cellStyle name="Cálculo 8 2 3 3" xfId="12818"/>
    <cellStyle name="Cálculo 8 2 3 3 2" xfId="30071"/>
    <cellStyle name="Cálculo 8 2 3 4" xfId="12819"/>
    <cellStyle name="Cálculo 8 2 3 4 2" xfId="30072"/>
    <cellStyle name="Cálculo 8 2 3 5" xfId="12820"/>
    <cellStyle name="Cálculo 8 2 3 5 2" xfId="30073"/>
    <cellStyle name="Cálculo 8 2 3 6" xfId="12821"/>
    <cellStyle name="Cálculo 8 2 3 6 2" xfId="30074"/>
    <cellStyle name="Cálculo 8 2 3 7" xfId="30069"/>
    <cellStyle name="Cálculo 8 2 3 8" xfId="32861"/>
    <cellStyle name="Cálculo 8 2 3 9" xfId="34251"/>
    <cellStyle name="Cálculo 8 2 4" xfId="12822"/>
    <cellStyle name="Cálculo 8 2 4 2" xfId="12823"/>
    <cellStyle name="Cálculo 8 2 4 2 2" xfId="30076"/>
    <cellStyle name="Cálculo 8 2 4 3" xfId="12824"/>
    <cellStyle name="Cálculo 8 2 4 3 2" xfId="30077"/>
    <cellStyle name="Cálculo 8 2 4 4" xfId="12825"/>
    <cellStyle name="Cálculo 8 2 4 4 2" xfId="30078"/>
    <cellStyle name="Cálculo 8 2 4 5" xfId="12826"/>
    <cellStyle name="Cálculo 8 2 4 5 2" xfId="30079"/>
    <cellStyle name="Cálculo 8 2 4 6" xfId="30075"/>
    <cellStyle name="Cálculo 8 2 5" xfId="12827"/>
    <cellStyle name="Cálculo 8 2 5 2" xfId="12828"/>
    <cellStyle name="Cálculo 8 2 5 2 2" xfId="30081"/>
    <cellStyle name="Cálculo 8 2 5 3" xfId="12829"/>
    <cellStyle name="Cálculo 8 2 5 3 2" xfId="30082"/>
    <cellStyle name="Cálculo 8 2 5 4" xfId="12830"/>
    <cellStyle name="Cálculo 8 2 5 4 2" xfId="30083"/>
    <cellStyle name="Cálculo 8 2 5 5" xfId="12831"/>
    <cellStyle name="Cálculo 8 2 5 5 2" xfId="30084"/>
    <cellStyle name="Cálculo 8 2 5 6" xfId="30080"/>
    <cellStyle name="Cálculo 8 2 6" xfId="12832"/>
    <cellStyle name="Cálculo 8 2 6 2" xfId="12833"/>
    <cellStyle name="Cálculo 8 2 6 2 2" xfId="30086"/>
    <cellStyle name="Cálculo 8 2 6 3" xfId="12834"/>
    <cellStyle name="Cálculo 8 2 6 3 2" xfId="30087"/>
    <cellStyle name="Cálculo 8 2 6 4" xfId="12835"/>
    <cellStyle name="Cálculo 8 2 6 4 2" xfId="30088"/>
    <cellStyle name="Cálculo 8 2 6 5" xfId="12836"/>
    <cellStyle name="Cálculo 8 2 6 5 2" xfId="30089"/>
    <cellStyle name="Cálculo 8 2 6 6" xfId="30085"/>
    <cellStyle name="Cálculo 8 2 7" xfId="12837"/>
    <cellStyle name="Cálculo 8 2 7 2" xfId="12838"/>
    <cellStyle name="Cálculo 8 2 7 2 2" xfId="30091"/>
    <cellStyle name="Cálculo 8 2 7 3" xfId="12839"/>
    <cellStyle name="Cálculo 8 2 7 3 2" xfId="30092"/>
    <cellStyle name="Cálculo 8 2 7 4" xfId="12840"/>
    <cellStyle name="Cálculo 8 2 7 4 2" xfId="30093"/>
    <cellStyle name="Cálculo 8 2 7 5" xfId="12841"/>
    <cellStyle name="Cálculo 8 2 7 5 2" xfId="30094"/>
    <cellStyle name="Cálculo 8 2 7 6" xfId="30090"/>
    <cellStyle name="Cálculo 8 2 8" xfId="12842"/>
    <cellStyle name="Cálculo 8 2 8 2" xfId="12843"/>
    <cellStyle name="Cálculo 8 2 8 2 2" xfId="30096"/>
    <cellStyle name="Cálculo 8 2 8 3" xfId="12844"/>
    <cellStyle name="Cálculo 8 2 8 3 2" xfId="30097"/>
    <cellStyle name="Cálculo 8 2 8 4" xfId="12845"/>
    <cellStyle name="Cálculo 8 2 8 4 2" xfId="30098"/>
    <cellStyle name="Cálculo 8 2 8 5" xfId="12846"/>
    <cellStyle name="Cálculo 8 2 8 5 2" xfId="30099"/>
    <cellStyle name="Cálculo 8 2 8 6" xfId="12847"/>
    <cellStyle name="Cálculo 8 2 8 6 2" xfId="30100"/>
    <cellStyle name="Cálculo 8 2 8 7" xfId="30095"/>
    <cellStyle name="Cálculo 8 2 9" xfId="12848"/>
    <cellStyle name="Cálculo 8 2 9 2" xfId="12849"/>
    <cellStyle name="Cálculo 8 2 9 2 2" xfId="30102"/>
    <cellStyle name="Cálculo 8 2 9 3" xfId="30101"/>
    <cellStyle name="Cálculo 8 3" xfId="11803"/>
    <cellStyle name="Cálculo 8 3 2" xfId="30103"/>
    <cellStyle name="Cálculo 8 3 3" xfId="32862"/>
    <cellStyle name="Cálculo 8 3 4" xfId="34252"/>
    <cellStyle name="Cálculo 8 3 5" xfId="40641"/>
    <cellStyle name="Cálculo 8 4" xfId="11804"/>
    <cellStyle name="Cálculo 8 4 2" xfId="30104"/>
    <cellStyle name="Cálculo 8 4 3" xfId="32863"/>
    <cellStyle name="Cálculo 8 4 4" xfId="34253"/>
    <cellStyle name="Cálculo 8 4 5" xfId="40642"/>
    <cellStyle name="Cálculo 8 5" xfId="30060"/>
    <cellStyle name="Cálculo 8 6" xfId="32858"/>
    <cellStyle name="Cálculo 8 7" xfId="34248"/>
    <cellStyle name="Cálculo 8 8" xfId="40637"/>
    <cellStyle name="Cálculo 9" xfId="1007"/>
    <cellStyle name="Cálculo 9 2" xfId="11560"/>
    <cellStyle name="Cálculo 9 2 10" xfId="12850"/>
    <cellStyle name="Cálculo 9 2 10 2" xfId="30107"/>
    <cellStyle name="Cálculo 9 2 11" xfId="30106"/>
    <cellStyle name="Cálculo 9 2 12" xfId="32865"/>
    <cellStyle name="Cálculo 9 2 13" xfId="33536"/>
    <cellStyle name="Cálculo 9 2 14" xfId="34255"/>
    <cellStyle name="Cálculo 9 2 15" xfId="40644"/>
    <cellStyle name="Cálculo 9 2 2" xfId="11805"/>
    <cellStyle name="Cálculo 9 2 2 10" xfId="40645"/>
    <cellStyle name="Cálculo 9 2 2 2" xfId="12851"/>
    <cellStyle name="Cálculo 9 2 2 2 2" xfId="30109"/>
    <cellStyle name="Cálculo 9 2 2 3" xfId="12852"/>
    <cellStyle name="Cálculo 9 2 2 3 2" xfId="30110"/>
    <cellStyle name="Cálculo 9 2 2 4" xfId="12853"/>
    <cellStyle name="Cálculo 9 2 2 4 2" xfId="30111"/>
    <cellStyle name="Cálculo 9 2 2 5" xfId="12854"/>
    <cellStyle name="Cálculo 9 2 2 5 2" xfId="30112"/>
    <cellStyle name="Cálculo 9 2 2 6" xfId="12855"/>
    <cellStyle name="Cálculo 9 2 2 6 2" xfId="30113"/>
    <cellStyle name="Cálculo 9 2 2 7" xfId="30108"/>
    <cellStyle name="Cálculo 9 2 2 8" xfId="32866"/>
    <cellStyle name="Cálculo 9 2 2 9" xfId="34256"/>
    <cellStyle name="Cálculo 9 2 3" xfId="11806"/>
    <cellStyle name="Cálculo 9 2 3 10" xfId="40646"/>
    <cellStyle name="Cálculo 9 2 3 2" xfId="12856"/>
    <cellStyle name="Cálculo 9 2 3 2 2" xfId="30115"/>
    <cellStyle name="Cálculo 9 2 3 3" xfId="12857"/>
    <cellStyle name="Cálculo 9 2 3 3 2" xfId="30116"/>
    <cellStyle name="Cálculo 9 2 3 4" xfId="12858"/>
    <cellStyle name="Cálculo 9 2 3 4 2" xfId="30117"/>
    <cellStyle name="Cálculo 9 2 3 5" xfId="12859"/>
    <cellStyle name="Cálculo 9 2 3 5 2" xfId="30118"/>
    <cellStyle name="Cálculo 9 2 3 6" xfId="12860"/>
    <cellStyle name="Cálculo 9 2 3 6 2" xfId="30119"/>
    <cellStyle name="Cálculo 9 2 3 7" xfId="30114"/>
    <cellStyle name="Cálculo 9 2 3 8" xfId="32867"/>
    <cellStyle name="Cálculo 9 2 3 9" xfId="34257"/>
    <cellStyle name="Cálculo 9 2 4" xfId="12861"/>
    <cellStyle name="Cálculo 9 2 4 2" xfId="12862"/>
    <cellStyle name="Cálculo 9 2 4 2 2" xfId="30121"/>
    <cellStyle name="Cálculo 9 2 4 3" xfId="12863"/>
    <cellStyle name="Cálculo 9 2 4 3 2" xfId="30122"/>
    <cellStyle name="Cálculo 9 2 4 4" xfId="12864"/>
    <cellStyle name="Cálculo 9 2 4 4 2" xfId="30123"/>
    <cellStyle name="Cálculo 9 2 4 5" xfId="12865"/>
    <cellStyle name="Cálculo 9 2 4 5 2" xfId="30124"/>
    <cellStyle name="Cálculo 9 2 4 6" xfId="30120"/>
    <cellStyle name="Cálculo 9 2 5" xfId="12866"/>
    <cellStyle name="Cálculo 9 2 5 2" xfId="12867"/>
    <cellStyle name="Cálculo 9 2 5 2 2" xfId="30126"/>
    <cellStyle name="Cálculo 9 2 5 3" xfId="12868"/>
    <cellStyle name="Cálculo 9 2 5 3 2" xfId="30127"/>
    <cellStyle name="Cálculo 9 2 5 4" xfId="12869"/>
    <cellStyle name="Cálculo 9 2 5 4 2" xfId="30128"/>
    <cellStyle name="Cálculo 9 2 5 5" xfId="12870"/>
    <cellStyle name="Cálculo 9 2 5 5 2" xfId="30129"/>
    <cellStyle name="Cálculo 9 2 5 6" xfId="30125"/>
    <cellStyle name="Cálculo 9 2 6" xfId="12871"/>
    <cellStyle name="Cálculo 9 2 6 2" xfId="12872"/>
    <cellStyle name="Cálculo 9 2 6 2 2" xfId="30131"/>
    <cellStyle name="Cálculo 9 2 6 3" xfId="12873"/>
    <cellStyle name="Cálculo 9 2 6 3 2" xfId="30132"/>
    <cellStyle name="Cálculo 9 2 6 4" xfId="12874"/>
    <cellStyle name="Cálculo 9 2 6 4 2" xfId="30133"/>
    <cellStyle name="Cálculo 9 2 6 5" xfId="12875"/>
    <cellStyle name="Cálculo 9 2 6 5 2" xfId="30134"/>
    <cellStyle name="Cálculo 9 2 6 6" xfId="30130"/>
    <cellStyle name="Cálculo 9 2 7" xfId="12876"/>
    <cellStyle name="Cálculo 9 2 7 2" xfId="12877"/>
    <cellStyle name="Cálculo 9 2 7 2 2" xfId="30136"/>
    <cellStyle name="Cálculo 9 2 7 3" xfId="12878"/>
    <cellStyle name="Cálculo 9 2 7 3 2" xfId="30137"/>
    <cellStyle name="Cálculo 9 2 7 4" xfId="12879"/>
    <cellStyle name="Cálculo 9 2 7 4 2" xfId="30138"/>
    <cellStyle name="Cálculo 9 2 7 5" xfId="12880"/>
    <cellStyle name="Cálculo 9 2 7 5 2" xfId="30139"/>
    <cellStyle name="Cálculo 9 2 7 6" xfId="30135"/>
    <cellStyle name="Cálculo 9 2 8" xfId="12881"/>
    <cellStyle name="Cálculo 9 2 8 2" xfId="12882"/>
    <cellStyle name="Cálculo 9 2 8 2 2" xfId="30141"/>
    <cellStyle name="Cálculo 9 2 8 3" xfId="12883"/>
    <cellStyle name="Cálculo 9 2 8 3 2" xfId="30142"/>
    <cellStyle name="Cálculo 9 2 8 4" xfId="12884"/>
    <cellStyle name="Cálculo 9 2 8 4 2" xfId="30143"/>
    <cellStyle name="Cálculo 9 2 8 5" xfId="12885"/>
    <cellStyle name="Cálculo 9 2 8 5 2" xfId="30144"/>
    <cellStyle name="Cálculo 9 2 8 6" xfId="12886"/>
    <cellStyle name="Cálculo 9 2 8 6 2" xfId="30145"/>
    <cellStyle name="Cálculo 9 2 8 7" xfId="30140"/>
    <cellStyle name="Cálculo 9 2 9" xfId="12887"/>
    <cellStyle name="Cálculo 9 2 9 2" xfId="12888"/>
    <cellStyle name="Cálculo 9 2 9 2 2" xfId="30147"/>
    <cellStyle name="Cálculo 9 2 9 3" xfId="30146"/>
    <cellStyle name="Cálculo 9 3" xfId="11807"/>
    <cellStyle name="Cálculo 9 3 2" xfId="30148"/>
    <cellStyle name="Cálculo 9 3 3" xfId="32868"/>
    <cellStyle name="Cálculo 9 3 4" xfId="34258"/>
    <cellStyle name="Cálculo 9 3 5" xfId="40647"/>
    <cellStyle name="Cálculo 9 4" xfId="11808"/>
    <cellStyle name="Cálculo 9 4 2" xfId="30149"/>
    <cellStyle name="Cálculo 9 4 3" xfId="32869"/>
    <cellStyle name="Cálculo 9 4 4" xfId="34259"/>
    <cellStyle name="Cálculo 9 4 5" xfId="40648"/>
    <cellStyle name="Cálculo 9 5" xfId="30105"/>
    <cellStyle name="Cálculo 9 6" xfId="32864"/>
    <cellStyle name="Cálculo 9 7" xfId="34254"/>
    <cellStyle name="Cálculo 9 8" xfId="40643"/>
    <cellStyle name="Celda de comprobación 10" xfId="1008"/>
    <cellStyle name="Celda de comprobación 10 10" xfId="1009"/>
    <cellStyle name="Celda de comprobación 10 10 2" xfId="1010"/>
    <cellStyle name="Celda de comprobación 10 10 3" xfId="1011"/>
    <cellStyle name="Celda de comprobación 10 10 4" xfId="1012"/>
    <cellStyle name="Celda de comprobación 10 11" xfId="1013"/>
    <cellStyle name="Celda de comprobación 10 11 2" xfId="1014"/>
    <cellStyle name="Celda de comprobación 10 11 3" xfId="1015"/>
    <cellStyle name="Celda de comprobación 10 11 4" xfId="1016"/>
    <cellStyle name="Celda de comprobación 10 12" xfId="1017"/>
    <cellStyle name="Celda de comprobación 10 12 2" xfId="1018"/>
    <cellStyle name="Celda de comprobación 10 12 3" xfId="1019"/>
    <cellStyle name="Celda de comprobación 10 12 4" xfId="1020"/>
    <cellStyle name="Celda de comprobación 10 13" xfId="1021"/>
    <cellStyle name="Celda de comprobación 10 13 2" xfId="1022"/>
    <cellStyle name="Celda de comprobación 10 13 3" xfId="1023"/>
    <cellStyle name="Celda de comprobación 10 13 4" xfId="1024"/>
    <cellStyle name="Celda de comprobación 10 14" xfId="1025"/>
    <cellStyle name="Celda de comprobación 10 14 2" xfId="1026"/>
    <cellStyle name="Celda de comprobación 10 14 3" xfId="1027"/>
    <cellStyle name="Celda de comprobación 10 14 4" xfId="1028"/>
    <cellStyle name="Celda de comprobación 10 15" xfId="1029"/>
    <cellStyle name="Celda de comprobación 10 15 2" xfId="1030"/>
    <cellStyle name="Celda de comprobación 10 15 3" xfId="1031"/>
    <cellStyle name="Celda de comprobación 10 15 4" xfId="1032"/>
    <cellStyle name="Celda de comprobación 10 16" xfId="1033"/>
    <cellStyle name="Celda de comprobación 10 16 2" xfId="1034"/>
    <cellStyle name="Celda de comprobación 10 16 3" xfId="1035"/>
    <cellStyle name="Celda de comprobación 10 16 4" xfId="1036"/>
    <cellStyle name="Celda de comprobación 10 17" xfId="1037"/>
    <cellStyle name="Celda de comprobación 10 17 2" xfId="1038"/>
    <cellStyle name="Celda de comprobación 10 17 3" xfId="1039"/>
    <cellStyle name="Celda de comprobación 10 17 4" xfId="1040"/>
    <cellStyle name="Celda de comprobación 10 18" xfId="1041"/>
    <cellStyle name="Celda de comprobación 10 18 2" xfId="1042"/>
    <cellStyle name="Celda de comprobación 10 18 3" xfId="1043"/>
    <cellStyle name="Celda de comprobación 10 18 4" xfId="1044"/>
    <cellStyle name="Celda de comprobación 10 19" xfId="1045"/>
    <cellStyle name="Celda de comprobación 10 19 2" xfId="1046"/>
    <cellStyle name="Celda de comprobación 10 19 3" xfId="1047"/>
    <cellStyle name="Celda de comprobación 10 19 4" xfId="1048"/>
    <cellStyle name="Celda de comprobación 10 2" xfId="1049"/>
    <cellStyle name="Celda de comprobación 10 2 2" xfId="1050"/>
    <cellStyle name="Celda de comprobación 10 2 3" xfId="1051"/>
    <cellStyle name="Celda de comprobación 10 2 4" xfId="1052"/>
    <cellStyle name="Celda de comprobación 10 20" xfId="1053"/>
    <cellStyle name="Celda de comprobación 10 20 2" xfId="1054"/>
    <cellStyle name="Celda de comprobación 10 20 3" xfId="1055"/>
    <cellStyle name="Celda de comprobación 10 20 4" xfId="1056"/>
    <cellStyle name="Celda de comprobación 10 21" xfId="1057"/>
    <cellStyle name="Celda de comprobación 10 21 2" xfId="1058"/>
    <cellStyle name="Celda de comprobación 10 21 3" xfId="1059"/>
    <cellStyle name="Celda de comprobación 10 21 4" xfId="1060"/>
    <cellStyle name="Celda de comprobación 10 22" xfId="1061"/>
    <cellStyle name="Celda de comprobación 10 22 2" xfId="1062"/>
    <cellStyle name="Celda de comprobación 10 22 3" xfId="1063"/>
    <cellStyle name="Celda de comprobación 10 22 4" xfId="1064"/>
    <cellStyle name="Celda de comprobación 10 23" xfId="1065"/>
    <cellStyle name="Celda de comprobación 10 23 2" xfId="1066"/>
    <cellStyle name="Celda de comprobación 10 23 3" xfId="1067"/>
    <cellStyle name="Celda de comprobación 10 23 4" xfId="1068"/>
    <cellStyle name="Celda de comprobación 10 24" xfId="1069"/>
    <cellStyle name="Celda de comprobación 10 24 2" xfId="1070"/>
    <cellStyle name="Celda de comprobación 10 24 3" xfId="1071"/>
    <cellStyle name="Celda de comprobación 10 24 4" xfId="1072"/>
    <cellStyle name="Celda de comprobación 10 25" xfId="1073"/>
    <cellStyle name="Celda de comprobación 10 25 2" xfId="1074"/>
    <cellStyle name="Celda de comprobación 10 25 3" xfId="1075"/>
    <cellStyle name="Celda de comprobación 10 25 4" xfId="1076"/>
    <cellStyle name="Celda de comprobación 10 26" xfId="1077"/>
    <cellStyle name="Celda de comprobación 10 26 2" xfId="1078"/>
    <cellStyle name="Celda de comprobación 10 26 3" xfId="1079"/>
    <cellStyle name="Celda de comprobación 10 26 4" xfId="1080"/>
    <cellStyle name="Celda de comprobación 10 27" xfId="1081"/>
    <cellStyle name="Celda de comprobación 10 27 2" xfId="1082"/>
    <cellStyle name="Celda de comprobación 10 27 3" xfId="1083"/>
    <cellStyle name="Celda de comprobación 10 27 4" xfId="1084"/>
    <cellStyle name="Celda de comprobación 10 28" xfId="1085"/>
    <cellStyle name="Celda de comprobación 10 28 2" xfId="1086"/>
    <cellStyle name="Celda de comprobación 10 28 3" xfId="1087"/>
    <cellStyle name="Celda de comprobación 10 28 4" xfId="1088"/>
    <cellStyle name="Celda de comprobación 10 29" xfId="1089"/>
    <cellStyle name="Celda de comprobación 10 29 2" xfId="1090"/>
    <cellStyle name="Celda de comprobación 10 29 3" xfId="1091"/>
    <cellStyle name="Celda de comprobación 10 29 4" xfId="1092"/>
    <cellStyle name="Celda de comprobación 10 3" xfId="1093"/>
    <cellStyle name="Celda de comprobación 10 3 2" xfId="1094"/>
    <cellStyle name="Celda de comprobación 10 3 3" xfId="1095"/>
    <cellStyle name="Celda de comprobación 10 3 4" xfId="1096"/>
    <cellStyle name="Celda de comprobación 10 30" xfId="1097"/>
    <cellStyle name="Celda de comprobación 10 30 2" xfId="1098"/>
    <cellStyle name="Celda de comprobación 10 30 3" xfId="1099"/>
    <cellStyle name="Celda de comprobación 10 30 4" xfId="1100"/>
    <cellStyle name="Celda de comprobación 10 31" xfId="1101"/>
    <cellStyle name="Celda de comprobación 10 31 2" xfId="1102"/>
    <cellStyle name="Celda de comprobación 10 31 3" xfId="1103"/>
    <cellStyle name="Celda de comprobación 10 31 4" xfId="1104"/>
    <cellStyle name="Celda de comprobación 10 32" xfId="1105"/>
    <cellStyle name="Celda de comprobación 10 32 2" xfId="1106"/>
    <cellStyle name="Celda de comprobación 10 32 3" xfId="1107"/>
    <cellStyle name="Celda de comprobación 10 32 4" xfId="1108"/>
    <cellStyle name="Celda de comprobación 10 33" xfId="1109"/>
    <cellStyle name="Celda de comprobación 10 33 2" xfId="1110"/>
    <cellStyle name="Celda de comprobación 10 33 3" xfId="1111"/>
    <cellStyle name="Celda de comprobación 10 33 4" xfId="1112"/>
    <cellStyle name="Celda de comprobación 10 34" xfId="1113"/>
    <cellStyle name="Celda de comprobación 10 34 2" xfId="1114"/>
    <cellStyle name="Celda de comprobación 10 34 3" xfId="1115"/>
    <cellStyle name="Celda de comprobación 10 34 4" xfId="1116"/>
    <cellStyle name="Celda de comprobación 10 35" xfId="1117"/>
    <cellStyle name="Celda de comprobación 10 35 2" xfId="1118"/>
    <cellStyle name="Celda de comprobación 10 35 3" xfId="1119"/>
    <cellStyle name="Celda de comprobación 10 35 4" xfId="1120"/>
    <cellStyle name="Celda de comprobación 10 36" xfId="1121"/>
    <cellStyle name="Celda de comprobación 10 36 2" xfId="1122"/>
    <cellStyle name="Celda de comprobación 10 36 3" xfId="1123"/>
    <cellStyle name="Celda de comprobación 10 36 4" xfId="1124"/>
    <cellStyle name="Celda de comprobación 10 37" xfId="1125"/>
    <cellStyle name="Celda de comprobación 10 38" xfId="1126"/>
    <cellStyle name="Celda de comprobación 10 39" xfId="1127"/>
    <cellStyle name="Celda de comprobación 10 4" xfId="1128"/>
    <cellStyle name="Celda de comprobación 10 4 2" xfId="1129"/>
    <cellStyle name="Celda de comprobación 10 4 3" xfId="1130"/>
    <cellStyle name="Celda de comprobación 10 4 4" xfId="1131"/>
    <cellStyle name="Celda de comprobación 10 40" xfId="1132"/>
    <cellStyle name="Celda de comprobación 10 41" xfId="1133"/>
    <cellStyle name="Celda de comprobación 10 42" xfId="1134"/>
    <cellStyle name="Celda de comprobación 10 43" xfId="1135"/>
    <cellStyle name="Celda de comprobación 10 44" xfId="1136"/>
    <cellStyle name="Celda de comprobación 10 45" xfId="1137"/>
    <cellStyle name="Celda de comprobación 10 46" xfId="1138"/>
    <cellStyle name="Celda de comprobación 10 47" xfId="1139"/>
    <cellStyle name="Celda de comprobación 10 48" xfId="1140"/>
    <cellStyle name="Celda de comprobación 10 49" xfId="1141"/>
    <cellStyle name="Celda de comprobación 10 5" xfId="1142"/>
    <cellStyle name="Celda de comprobación 10 5 2" xfId="1143"/>
    <cellStyle name="Celda de comprobación 10 5 3" xfId="1144"/>
    <cellStyle name="Celda de comprobación 10 5 4" xfId="1145"/>
    <cellStyle name="Celda de comprobación 10 50" xfId="1146"/>
    <cellStyle name="Celda de comprobación 10 51" xfId="1147"/>
    <cellStyle name="Celda de comprobación 10 6" xfId="1148"/>
    <cellStyle name="Celda de comprobación 10 6 2" xfId="1149"/>
    <cellStyle name="Celda de comprobación 10 6 3" xfId="1150"/>
    <cellStyle name="Celda de comprobación 10 6 4" xfId="1151"/>
    <cellStyle name="Celda de comprobación 10 7" xfId="1152"/>
    <cellStyle name="Celda de comprobación 10 7 2" xfId="1153"/>
    <cellStyle name="Celda de comprobación 10 7 3" xfId="1154"/>
    <cellStyle name="Celda de comprobación 10 7 4" xfId="1155"/>
    <cellStyle name="Celda de comprobación 10 8" xfId="1156"/>
    <cellStyle name="Celda de comprobación 10 8 2" xfId="1157"/>
    <cellStyle name="Celda de comprobación 10 8 3" xfId="1158"/>
    <cellStyle name="Celda de comprobación 10 8 4" xfId="1159"/>
    <cellStyle name="Celda de comprobación 10 9" xfId="1160"/>
    <cellStyle name="Celda de comprobación 10 9 2" xfId="1161"/>
    <cellStyle name="Celda de comprobación 10 9 3" xfId="1162"/>
    <cellStyle name="Celda de comprobación 10 9 4" xfId="1163"/>
    <cellStyle name="Celda de comprobación 11" xfId="1164"/>
    <cellStyle name="Celda de comprobación 11 10" xfId="1165"/>
    <cellStyle name="Celda de comprobación 11 10 2" xfId="1166"/>
    <cellStyle name="Celda de comprobación 11 10 3" xfId="1167"/>
    <cellStyle name="Celda de comprobación 11 10 4" xfId="1168"/>
    <cellStyle name="Celda de comprobación 11 11" xfId="1169"/>
    <cellStyle name="Celda de comprobación 11 11 2" xfId="1170"/>
    <cellStyle name="Celda de comprobación 11 11 3" xfId="1171"/>
    <cellStyle name="Celda de comprobación 11 11 4" xfId="1172"/>
    <cellStyle name="Celda de comprobación 11 12" xfId="1173"/>
    <cellStyle name="Celda de comprobación 11 12 2" xfId="1174"/>
    <cellStyle name="Celda de comprobación 11 12 3" xfId="1175"/>
    <cellStyle name="Celda de comprobación 11 12 4" xfId="1176"/>
    <cellStyle name="Celda de comprobación 11 13" xfId="1177"/>
    <cellStyle name="Celda de comprobación 11 13 2" xfId="1178"/>
    <cellStyle name="Celda de comprobación 11 13 3" xfId="1179"/>
    <cellStyle name="Celda de comprobación 11 13 4" xfId="1180"/>
    <cellStyle name="Celda de comprobación 11 14" xfId="1181"/>
    <cellStyle name="Celda de comprobación 11 14 2" xfId="1182"/>
    <cellStyle name="Celda de comprobación 11 14 3" xfId="1183"/>
    <cellStyle name="Celda de comprobación 11 14 4" xfId="1184"/>
    <cellStyle name="Celda de comprobación 11 15" xfId="1185"/>
    <cellStyle name="Celda de comprobación 11 15 2" xfId="1186"/>
    <cellStyle name="Celda de comprobación 11 15 3" xfId="1187"/>
    <cellStyle name="Celda de comprobación 11 15 4" xfId="1188"/>
    <cellStyle name="Celda de comprobación 11 16" xfId="1189"/>
    <cellStyle name="Celda de comprobación 11 16 2" xfId="1190"/>
    <cellStyle name="Celda de comprobación 11 16 3" xfId="1191"/>
    <cellStyle name="Celda de comprobación 11 16 4" xfId="1192"/>
    <cellStyle name="Celda de comprobación 11 17" xfId="1193"/>
    <cellStyle name="Celda de comprobación 11 17 2" xfId="1194"/>
    <cellStyle name="Celda de comprobación 11 17 3" xfId="1195"/>
    <cellStyle name="Celda de comprobación 11 17 4" xfId="1196"/>
    <cellStyle name="Celda de comprobación 11 18" xfId="1197"/>
    <cellStyle name="Celda de comprobación 11 18 2" xfId="1198"/>
    <cellStyle name="Celda de comprobación 11 18 3" xfId="1199"/>
    <cellStyle name="Celda de comprobación 11 18 4" xfId="1200"/>
    <cellStyle name="Celda de comprobación 11 19" xfId="1201"/>
    <cellStyle name="Celda de comprobación 11 19 2" xfId="1202"/>
    <cellStyle name="Celda de comprobación 11 19 3" xfId="1203"/>
    <cellStyle name="Celda de comprobación 11 19 4" xfId="1204"/>
    <cellStyle name="Celda de comprobación 11 2" xfId="1205"/>
    <cellStyle name="Celda de comprobación 11 2 2" xfId="1206"/>
    <cellStyle name="Celda de comprobación 11 2 3" xfId="1207"/>
    <cellStyle name="Celda de comprobación 11 2 4" xfId="1208"/>
    <cellStyle name="Celda de comprobación 11 20" xfId="1209"/>
    <cellStyle name="Celda de comprobación 11 20 2" xfId="1210"/>
    <cellStyle name="Celda de comprobación 11 20 3" xfId="1211"/>
    <cellStyle name="Celda de comprobación 11 20 4" xfId="1212"/>
    <cellStyle name="Celda de comprobación 11 21" xfId="1213"/>
    <cellStyle name="Celda de comprobación 11 21 2" xfId="1214"/>
    <cellStyle name="Celda de comprobación 11 21 3" xfId="1215"/>
    <cellStyle name="Celda de comprobación 11 21 4" xfId="1216"/>
    <cellStyle name="Celda de comprobación 11 22" xfId="1217"/>
    <cellStyle name="Celda de comprobación 11 22 2" xfId="1218"/>
    <cellStyle name="Celda de comprobación 11 22 3" xfId="1219"/>
    <cellStyle name="Celda de comprobación 11 22 4" xfId="1220"/>
    <cellStyle name="Celda de comprobación 11 23" xfId="1221"/>
    <cellStyle name="Celda de comprobación 11 23 2" xfId="1222"/>
    <cellStyle name="Celda de comprobación 11 23 3" xfId="1223"/>
    <cellStyle name="Celda de comprobación 11 23 4" xfId="1224"/>
    <cellStyle name="Celda de comprobación 11 24" xfId="1225"/>
    <cellStyle name="Celda de comprobación 11 24 2" xfId="1226"/>
    <cellStyle name="Celda de comprobación 11 24 3" xfId="1227"/>
    <cellStyle name="Celda de comprobación 11 24 4" xfId="1228"/>
    <cellStyle name="Celda de comprobación 11 25" xfId="1229"/>
    <cellStyle name="Celda de comprobación 11 25 2" xfId="1230"/>
    <cellStyle name="Celda de comprobación 11 25 3" xfId="1231"/>
    <cellStyle name="Celda de comprobación 11 25 4" xfId="1232"/>
    <cellStyle name="Celda de comprobación 11 26" xfId="1233"/>
    <cellStyle name="Celda de comprobación 11 26 2" xfId="1234"/>
    <cellStyle name="Celda de comprobación 11 26 3" xfId="1235"/>
    <cellStyle name="Celda de comprobación 11 26 4" xfId="1236"/>
    <cellStyle name="Celda de comprobación 11 27" xfId="1237"/>
    <cellStyle name="Celda de comprobación 11 27 2" xfId="1238"/>
    <cellStyle name="Celda de comprobación 11 27 3" xfId="1239"/>
    <cellStyle name="Celda de comprobación 11 27 4" xfId="1240"/>
    <cellStyle name="Celda de comprobación 11 28" xfId="1241"/>
    <cellStyle name="Celda de comprobación 11 28 2" xfId="1242"/>
    <cellStyle name="Celda de comprobación 11 28 3" xfId="1243"/>
    <cellStyle name="Celda de comprobación 11 28 4" xfId="1244"/>
    <cellStyle name="Celda de comprobación 11 29" xfId="1245"/>
    <cellStyle name="Celda de comprobación 11 29 2" xfId="1246"/>
    <cellStyle name="Celda de comprobación 11 29 3" xfId="1247"/>
    <cellStyle name="Celda de comprobación 11 29 4" xfId="1248"/>
    <cellStyle name="Celda de comprobación 11 3" xfId="1249"/>
    <cellStyle name="Celda de comprobación 11 3 2" xfId="1250"/>
    <cellStyle name="Celda de comprobación 11 3 3" xfId="1251"/>
    <cellStyle name="Celda de comprobación 11 3 4" xfId="1252"/>
    <cellStyle name="Celda de comprobación 11 30" xfId="1253"/>
    <cellStyle name="Celda de comprobación 11 30 2" xfId="1254"/>
    <cellStyle name="Celda de comprobación 11 30 3" xfId="1255"/>
    <cellStyle name="Celda de comprobación 11 30 4" xfId="1256"/>
    <cellStyle name="Celda de comprobación 11 31" xfId="1257"/>
    <cellStyle name="Celda de comprobación 11 31 2" xfId="1258"/>
    <cellStyle name="Celda de comprobación 11 31 3" xfId="1259"/>
    <cellStyle name="Celda de comprobación 11 31 4" xfId="1260"/>
    <cellStyle name="Celda de comprobación 11 32" xfId="1261"/>
    <cellStyle name="Celda de comprobación 11 32 2" xfId="1262"/>
    <cellStyle name="Celda de comprobación 11 32 3" xfId="1263"/>
    <cellStyle name="Celda de comprobación 11 32 4" xfId="1264"/>
    <cellStyle name="Celda de comprobación 11 33" xfId="1265"/>
    <cellStyle name="Celda de comprobación 11 33 2" xfId="1266"/>
    <cellStyle name="Celda de comprobación 11 33 3" xfId="1267"/>
    <cellStyle name="Celda de comprobación 11 33 4" xfId="1268"/>
    <cellStyle name="Celda de comprobación 11 34" xfId="1269"/>
    <cellStyle name="Celda de comprobación 11 34 2" xfId="1270"/>
    <cellStyle name="Celda de comprobación 11 34 3" xfId="1271"/>
    <cellStyle name="Celda de comprobación 11 34 4" xfId="1272"/>
    <cellStyle name="Celda de comprobación 11 35" xfId="1273"/>
    <cellStyle name="Celda de comprobación 11 35 2" xfId="1274"/>
    <cellStyle name="Celda de comprobación 11 35 3" xfId="1275"/>
    <cellStyle name="Celda de comprobación 11 35 4" xfId="1276"/>
    <cellStyle name="Celda de comprobación 11 36" xfId="1277"/>
    <cellStyle name="Celda de comprobación 11 36 2" xfId="1278"/>
    <cellStyle name="Celda de comprobación 11 36 3" xfId="1279"/>
    <cellStyle name="Celda de comprobación 11 36 4" xfId="1280"/>
    <cellStyle name="Celda de comprobación 11 37" xfId="1281"/>
    <cellStyle name="Celda de comprobación 11 38" xfId="1282"/>
    <cellStyle name="Celda de comprobación 11 39" xfId="1283"/>
    <cellStyle name="Celda de comprobación 11 4" xfId="1284"/>
    <cellStyle name="Celda de comprobación 11 4 2" xfId="1285"/>
    <cellStyle name="Celda de comprobación 11 4 3" xfId="1286"/>
    <cellStyle name="Celda de comprobación 11 4 4" xfId="1287"/>
    <cellStyle name="Celda de comprobación 11 40" xfId="1288"/>
    <cellStyle name="Celda de comprobación 11 41" xfId="1289"/>
    <cellStyle name="Celda de comprobación 11 42" xfId="1290"/>
    <cellStyle name="Celda de comprobación 11 43" xfId="1291"/>
    <cellStyle name="Celda de comprobación 11 44" xfId="1292"/>
    <cellStyle name="Celda de comprobación 11 45" xfId="1293"/>
    <cellStyle name="Celda de comprobación 11 46" xfId="1294"/>
    <cellStyle name="Celda de comprobación 11 47" xfId="1295"/>
    <cellStyle name="Celda de comprobación 11 48" xfId="1296"/>
    <cellStyle name="Celda de comprobación 11 49" xfId="1297"/>
    <cellStyle name="Celda de comprobación 11 5" xfId="1298"/>
    <cellStyle name="Celda de comprobación 11 5 2" xfId="1299"/>
    <cellStyle name="Celda de comprobación 11 5 3" xfId="1300"/>
    <cellStyle name="Celda de comprobación 11 5 4" xfId="1301"/>
    <cellStyle name="Celda de comprobación 11 50" xfId="1302"/>
    <cellStyle name="Celda de comprobación 11 51" xfId="1303"/>
    <cellStyle name="Celda de comprobación 11 6" xfId="1304"/>
    <cellStyle name="Celda de comprobación 11 6 2" xfId="1305"/>
    <cellStyle name="Celda de comprobación 11 6 3" xfId="1306"/>
    <cellStyle name="Celda de comprobación 11 6 4" xfId="1307"/>
    <cellStyle name="Celda de comprobación 11 7" xfId="1308"/>
    <cellStyle name="Celda de comprobación 11 7 2" xfId="1309"/>
    <cellStyle name="Celda de comprobación 11 7 3" xfId="1310"/>
    <cellStyle name="Celda de comprobación 11 7 4" xfId="1311"/>
    <cellStyle name="Celda de comprobación 11 8" xfId="1312"/>
    <cellStyle name="Celda de comprobación 11 8 2" xfId="1313"/>
    <cellStyle name="Celda de comprobación 11 8 3" xfId="1314"/>
    <cellStyle name="Celda de comprobación 11 8 4" xfId="1315"/>
    <cellStyle name="Celda de comprobación 11 9" xfId="1316"/>
    <cellStyle name="Celda de comprobación 11 9 2" xfId="1317"/>
    <cellStyle name="Celda de comprobación 11 9 3" xfId="1318"/>
    <cellStyle name="Celda de comprobación 11 9 4" xfId="1319"/>
    <cellStyle name="Celda de comprobación 12" xfId="1320"/>
    <cellStyle name="Celda de comprobación 12 10" xfId="1321"/>
    <cellStyle name="Celda de comprobación 12 10 2" xfId="1322"/>
    <cellStyle name="Celda de comprobación 12 10 3" xfId="1323"/>
    <cellStyle name="Celda de comprobación 12 10 4" xfId="1324"/>
    <cellStyle name="Celda de comprobación 12 11" xfId="1325"/>
    <cellStyle name="Celda de comprobación 12 11 2" xfId="1326"/>
    <cellStyle name="Celda de comprobación 12 11 3" xfId="1327"/>
    <cellStyle name="Celda de comprobación 12 11 4" xfId="1328"/>
    <cellStyle name="Celda de comprobación 12 12" xfId="1329"/>
    <cellStyle name="Celda de comprobación 12 12 2" xfId="1330"/>
    <cellStyle name="Celda de comprobación 12 12 3" xfId="1331"/>
    <cellStyle name="Celda de comprobación 12 12 4" xfId="1332"/>
    <cellStyle name="Celda de comprobación 12 13" xfId="1333"/>
    <cellStyle name="Celda de comprobación 12 13 2" xfId="1334"/>
    <cellStyle name="Celda de comprobación 12 13 3" xfId="1335"/>
    <cellStyle name="Celda de comprobación 12 13 4" xfId="1336"/>
    <cellStyle name="Celda de comprobación 12 14" xfId="1337"/>
    <cellStyle name="Celda de comprobación 12 14 2" xfId="1338"/>
    <cellStyle name="Celda de comprobación 12 14 3" xfId="1339"/>
    <cellStyle name="Celda de comprobación 12 14 4" xfId="1340"/>
    <cellStyle name="Celda de comprobación 12 15" xfId="1341"/>
    <cellStyle name="Celda de comprobación 12 15 2" xfId="1342"/>
    <cellStyle name="Celda de comprobación 12 15 3" xfId="1343"/>
    <cellStyle name="Celda de comprobación 12 15 4" xfId="1344"/>
    <cellStyle name="Celda de comprobación 12 16" xfId="1345"/>
    <cellStyle name="Celda de comprobación 12 16 2" xfId="1346"/>
    <cellStyle name="Celda de comprobación 12 16 3" xfId="1347"/>
    <cellStyle name="Celda de comprobación 12 16 4" xfId="1348"/>
    <cellStyle name="Celda de comprobación 12 17" xfId="1349"/>
    <cellStyle name="Celda de comprobación 12 17 2" xfId="1350"/>
    <cellStyle name="Celda de comprobación 12 17 3" xfId="1351"/>
    <cellStyle name="Celda de comprobación 12 17 4" xfId="1352"/>
    <cellStyle name="Celda de comprobación 12 18" xfId="1353"/>
    <cellStyle name="Celda de comprobación 12 18 2" xfId="1354"/>
    <cellStyle name="Celda de comprobación 12 18 3" xfId="1355"/>
    <cellStyle name="Celda de comprobación 12 18 4" xfId="1356"/>
    <cellStyle name="Celda de comprobación 12 19" xfId="1357"/>
    <cellStyle name="Celda de comprobación 12 19 2" xfId="1358"/>
    <cellStyle name="Celda de comprobación 12 19 3" xfId="1359"/>
    <cellStyle name="Celda de comprobación 12 19 4" xfId="1360"/>
    <cellStyle name="Celda de comprobación 12 2" xfId="1361"/>
    <cellStyle name="Celda de comprobación 12 2 2" xfId="1362"/>
    <cellStyle name="Celda de comprobación 12 2 3" xfId="1363"/>
    <cellStyle name="Celda de comprobación 12 2 4" xfId="1364"/>
    <cellStyle name="Celda de comprobación 12 20" xfId="1365"/>
    <cellStyle name="Celda de comprobación 12 20 2" xfId="1366"/>
    <cellStyle name="Celda de comprobación 12 20 3" xfId="1367"/>
    <cellStyle name="Celda de comprobación 12 20 4" xfId="1368"/>
    <cellStyle name="Celda de comprobación 12 21" xfId="1369"/>
    <cellStyle name="Celda de comprobación 12 21 2" xfId="1370"/>
    <cellStyle name="Celda de comprobación 12 21 3" xfId="1371"/>
    <cellStyle name="Celda de comprobación 12 21 4" xfId="1372"/>
    <cellStyle name="Celda de comprobación 12 22" xfId="1373"/>
    <cellStyle name="Celda de comprobación 12 22 2" xfId="1374"/>
    <cellStyle name="Celda de comprobación 12 22 3" xfId="1375"/>
    <cellStyle name="Celda de comprobación 12 22 4" xfId="1376"/>
    <cellStyle name="Celda de comprobación 12 23" xfId="1377"/>
    <cellStyle name="Celda de comprobación 12 23 2" xfId="1378"/>
    <cellStyle name="Celda de comprobación 12 23 3" xfId="1379"/>
    <cellStyle name="Celda de comprobación 12 23 4" xfId="1380"/>
    <cellStyle name="Celda de comprobación 12 24" xfId="1381"/>
    <cellStyle name="Celda de comprobación 12 24 2" xfId="1382"/>
    <cellStyle name="Celda de comprobación 12 24 3" xfId="1383"/>
    <cellStyle name="Celda de comprobación 12 24 4" xfId="1384"/>
    <cellStyle name="Celda de comprobación 12 25" xfId="1385"/>
    <cellStyle name="Celda de comprobación 12 25 2" xfId="1386"/>
    <cellStyle name="Celda de comprobación 12 25 3" xfId="1387"/>
    <cellStyle name="Celda de comprobación 12 25 4" xfId="1388"/>
    <cellStyle name="Celda de comprobación 12 26" xfId="1389"/>
    <cellStyle name="Celda de comprobación 12 26 2" xfId="1390"/>
    <cellStyle name="Celda de comprobación 12 26 3" xfId="1391"/>
    <cellStyle name="Celda de comprobación 12 26 4" xfId="1392"/>
    <cellStyle name="Celda de comprobación 12 27" xfId="1393"/>
    <cellStyle name="Celda de comprobación 12 27 2" xfId="1394"/>
    <cellStyle name="Celda de comprobación 12 27 3" xfId="1395"/>
    <cellStyle name="Celda de comprobación 12 27 4" xfId="1396"/>
    <cellStyle name="Celda de comprobación 12 28" xfId="1397"/>
    <cellStyle name="Celda de comprobación 12 28 2" xfId="1398"/>
    <cellStyle name="Celda de comprobación 12 28 3" xfId="1399"/>
    <cellStyle name="Celda de comprobación 12 28 4" xfId="1400"/>
    <cellStyle name="Celda de comprobación 12 29" xfId="1401"/>
    <cellStyle name="Celda de comprobación 12 29 2" xfId="1402"/>
    <cellStyle name="Celda de comprobación 12 29 3" xfId="1403"/>
    <cellStyle name="Celda de comprobación 12 29 4" xfId="1404"/>
    <cellStyle name="Celda de comprobación 12 3" xfId="1405"/>
    <cellStyle name="Celda de comprobación 12 3 2" xfId="1406"/>
    <cellStyle name="Celda de comprobación 12 3 3" xfId="1407"/>
    <cellStyle name="Celda de comprobación 12 3 4" xfId="1408"/>
    <cellStyle name="Celda de comprobación 12 30" xfId="1409"/>
    <cellStyle name="Celda de comprobación 12 30 2" xfId="1410"/>
    <cellStyle name="Celda de comprobación 12 30 3" xfId="1411"/>
    <cellStyle name="Celda de comprobación 12 30 4" xfId="1412"/>
    <cellStyle name="Celda de comprobación 12 31" xfId="1413"/>
    <cellStyle name="Celda de comprobación 12 31 2" xfId="1414"/>
    <cellStyle name="Celda de comprobación 12 31 3" xfId="1415"/>
    <cellStyle name="Celda de comprobación 12 31 4" xfId="1416"/>
    <cellStyle name="Celda de comprobación 12 32" xfId="1417"/>
    <cellStyle name="Celda de comprobación 12 32 2" xfId="1418"/>
    <cellStyle name="Celda de comprobación 12 32 3" xfId="1419"/>
    <cellStyle name="Celda de comprobación 12 32 4" xfId="1420"/>
    <cellStyle name="Celda de comprobación 12 33" xfId="1421"/>
    <cellStyle name="Celda de comprobación 12 33 2" xfId="1422"/>
    <cellStyle name="Celda de comprobación 12 33 3" xfId="1423"/>
    <cellStyle name="Celda de comprobación 12 33 4" xfId="1424"/>
    <cellStyle name="Celda de comprobación 12 34" xfId="1425"/>
    <cellStyle name="Celda de comprobación 12 34 2" xfId="1426"/>
    <cellStyle name="Celda de comprobación 12 34 3" xfId="1427"/>
    <cellStyle name="Celda de comprobación 12 34 4" xfId="1428"/>
    <cellStyle name="Celda de comprobación 12 35" xfId="1429"/>
    <cellStyle name="Celda de comprobación 12 35 2" xfId="1430"/>
    <cellStyle name="Celda de comprobación 12 35 3" xfId="1431"/>
    <cellStyle name="Celda de comprobación 12 35 4" xfId="1432"/>
    <cellStyle name="Celda de comprobación 12 36" xfId="1433"/>
    <cellStyle name="Celda de comprobación 12 36 2" xfId="1434"/>
    <cellStyle name="Celda de comprobación 12 36 3" xfId="1435"/>
    <cellStyle name="Celda de comprobación 12 36 4" xfId="1436"/>
    <cellStyle name="Celda de comprobación 12 37" xfId="1437"/>
    <cellStyle name="Celda de comprobación 12 38" xfId="1438"/>
    <cellStyle name="Celda de comprobación 12 39" xfId="1439"/>
    <cellStyle name="Celda de comprobación 12 4" xfId="1440"/>
    <cellStyle name="Celda de comprobación 12 4 2" xfId="1441"/>
    <cellStyle name="Celda de comprobación 12 4 3" xfId="1442"/>
    <cellStyle name="Celda de comprobación 12 4 4" xfId="1443"/>
    <cellStyle name="Celda de comprobación 12 40" xfId="1444"/>
    <cellStyle name="Celda de comprobación 12 41" xfId="1445"/>
    <cellStyle name="Celda de comprobación 12 42" xfId="1446"/>
    <cellStyle name="Celda de comprobación 12 43" xfId="1447"/>
    <cellStyle name="Celda de comprobación 12 44" xfId="1448"/>
    <cellStyle name="Celda de comprobación 12 45" xfId="1449"/>
    <cellStyle name="Celda de comprobación 12 46" xfId="1450"/>
    <cellStyle name="Celda de comprobación 12 47" xfId="1451"/>
    <cellStyle name="Celda de comprobación 12 48" xfId="1452"/>
    <cellStyle name="Celda de comprobación 12 49" xfId="1453"/>
    <cellStyle name="Celda de comprobación 12 5" xfId="1454"/>
    <cellStyle name="Celda de comprobación 12 5 2" xfId="1455"/>
    <cellStyle name="Celda de comprobación 12 5 3" xfId="1456"/>
    <cellStyle name="Celda de comprobación 12 5 4" xfId="1457"/>
    <cellStyle name="Celda de comprobación 12 50" xfId="1458"/>
    <cellStyle name="Celda de comprobación 12 51" xfId="1459"/>
    <cellStyle name="Celda de comprobación 12 6" xfId="1460"/>
    <cellStyle name="Celda de comprobación 12 6 2" xfId="1461"/>
    <cellStyle name="Celda de comprobación 12 6 3" xfId="1462"/>
    <cellStyle name="Celda de comprobación 12 6 4" xfId="1463"/>
    <cellStyle name="Celda de comprobación 12 7" xfId="1464"/>
    <cellStyle name="Celda de comprobación 12 7 2" xfId="1465"/>
    <cellStyle name="Celda de comprobación 12 7 3" xfId="1466"/>
    <cellStyle name="Celda de comprobación 12 7 4" xfId="1467"/>
    <cellStyle name="Celda de comprobación 12 8" xfId="1468"/>
    <cellStyle name="Celda de comprobación 12 8 2" xfId="1469"/>
    <cellStyle name="Celda de comprobación 12 8 3" xfId="1470"/>
    <cellStyle name="Celda de comprobación 12 8 4" xfId="1471"/>
    <cellStyle name="Celda de comprobación 12 9" xfId="1472"/>
    <cellStyle name="Celda de comprobación 12 9 2" xfId="1473"/>
    <cellStyle name="Celda de comprobación 12 9 3" xfId="1474"/>
    <cellStyle name="Celda de comprobación 12 9 4" xfId="1475"/>
    <cellStyle name="Celda de comprobación 13" xfId="1476"/>
    <cellStyle name="Celda de comprobación 13 10" xfId="1477"/>
    <cellStyle name="Celda de comprobación 13 10 2" xfId="1478"/>
    <cellStyle name="Celda de comprobación 13 10 3" xfId="1479"/>
    <cellStyle name="Celda de comprobación 13 10 4" xfId="1480"/>
    <cellStyle name="Celda de comprobación 13 11" xfId="1481"/>
    <cellStyle name="Celda de comprobación 13 11 2" xfId="1482"/>
    <cellStyle name="Celda de comprobación 13 11 3" xfId="1483"/>
    <cellStyle name="Celda de comprobación 13 11 4" xfId="1484"/>
    <cellStyle name="Celda de comprobación 13 12" xfId="1485"/>
    <cellStyle name="Celda de comprobación 13 12 2" xfId="1486"/>
    <cellStyle name="Celda de comprobación 13 12 3" xfId="1487"/>
    <cellStyle name="Celda de comprobación 13 12 4" xfId="1488"/>
    <cellStyle name="Celda de comprobación 13 13" xfId="1489"/>
    <cellStyle name="Celda de comprobación 13 13 2" xfId="1490"/>
    <cellStyle name="Celda de comprobación 13 13 3" xfId="1491"/>
    <cellStyle name="Celda de comprobación 13 13 4" xfId="1492"/>
    <cellStyle name="Celda de comprobación 13 14" xfId="1493"/>
    <cellStyle name="Celda de comprobación 13 14 2" xfId="1494"/>
    <cellStyle name="Celda de comprobación 13 14 3" xfId="1495"/>
    <cellStyle name="Celda de comprobación 13 14 4" xfId="1496"/>
    <cellStyle name="Celda de comprobación 13 15" xfId="1497"/>
    <cellStyle name="Celda de comprobación 13 15 2" xfId="1498"/>
    <cellStyle name="Celda de comprobación 13 15 3" xfId="1499"/>
    <cellStyle name="Celda de comprobación 13 15 4" xfId="1500"/>
    <cellStyle name="Celda de comprobación 13 16" xfId="1501"/>
    <cellStyle name="Celda de comprobación 13 16 2" xfId="1502"/>
    <cellStyle name="Celda de comprobación 13 16 3" xfId="1503"/>
    <cellStyle name="Celda de comprobación 13 16 4" xfId="1504"/>
    <cellStyle name="Celda de comprobación 13 17" xfId="1505"/>
    <cellStyle name="Celda de comprobación 13 17 2" xfId="1506"/>
    <cellStyle name="Celda de comprobación 13 17 3" xfId="1507"/>
    <cellStyle name="Celda de comprobación 13 17 4" xfId="1508"/>
    <cellStyle name="Celda de comprobación 13 18" xfId="1509"/>
    <cellStyle name="Celda de comprobación 13 18 2" xfId="1510"/>
    <cellStyle name="Celda de comprobación 13 18 3" xfId="1511"/>
    <cellStyle name="Celda de comprobación 13 18 4" xfId="1512"/>
    <cellStyle name="Celda de comprobación 13 19" xfId="1513"/>
    <cellStyle name="Celda de comprobación 13 19 2" xfId="1514"/>
    <cellStyle name="Celda de comprobación 13 19 3" xfId="1515"/>
    <cellStyle name="Celda de comprobación 13 19 4" xfId="1516"/>
    <cellStyle name="Celda de comprobación 13 2" xfId="1517"/>
    <cellStyle name="Celda de comprobación 13 2 2" xfId="1518"/>
    <cellStyle name="Celda de comprobación 13 2 3" xfId="1519"/>
    <cellStyle name="Celda de comprobación 13 2 4" xfId="1520"/>
    <cellStyle name="Celda de comprobación 13 20" xfId="1521"/>
    <cellStyle name="Celda de comprobación 13 20 2" xfId="1522"/>
    <cellStyle name="Celda de comprobación 13 20 3" xfId="1523"/>
    <cellStyle name="Celda de comprobación 13 20 4" xfId="1524"/>
    <cellStyle name="Celda de comprobación 13 21" xfId="1525"/>
    <cellStyle name="Celda de comprobación 13 21 2" xfId="1526"/>
    <cellStyle name="Celda de comprobación 13 21 3" xfId="1527"/>
    <cellStyle name="Celda de comprobación 13 21 4" xfId="1528"/>
    <cellStyle name="Celda de comprobación 13 22" xfId="1529"/>
    <cellStyle name="Celda de comprobación 13 22 2" xfId="1530"/>
    <cellStyle name="Celda de comprobación 13 22 3" xfId="1531"/>
    <cellStyle name="Celda de comprobación 13 22 4" xfId="1532"/>
    <cellStyle name="Celda de comprobación 13 23" xfId="1533"/>
    <cellStyle name="Celda de comprobación 13 23 2" xfId="1534"/>
    <cellStyle name="Celda de comprobación 13 23 3" xfId="1535"/>
    <cellStyle name="Celda de comprobación 13 23 4" xfId="1536"/>
    <cellStyle name="Celda de comprobación 13 24" xfId="1537"/>
    <cellStyle name="Celda de comprobación 13 24 2" xfId="1538"/>
    <cellStyle name="Celda de comprobación 13 24 3" xfId="1539"/>
    <cellStyle name="Celda de comprobación 13 24 4" xfId="1540"/>
    <cellStyle name="Celda de comprobación 13 25" xfId="1541"/>
    <cellStyle name="Celda de comprobación 13 25 2" xfId="1542"/>
    <cellStyle name="Celda de comprobación 13 25 3" xfId="1543"/>
    <cellStyle name="Celda de comprobación 13 25 4" xfId="1544"/>
    <cellStyle name="Celda de comprobación 13 26" xfId="1545"/>
    <cellStyle name="Celda de comprobación 13 26 2" xfId="1546"/>
    <cellStyle name="Celda de comprobación 13 26 3" xfId="1547"/>
    <cellStyle name="Celda de comprobación 13 26 4" xfId="1548"/>
    <cellStyle name="Celda de comprobación 13 27" xfId="1549"/>
    <cellStyle name="Celda de comprobación 13 27 2" xfId="1550"/>
    <cellStyle name="Celda de comprobación 13 27 3" xfId="1551"/>
    <cellStyle name="Celda de comprobación 13 27 4" xfId="1552"/>
    <cellStyle name="Celda de comprobación 13 28" xfId="1553"/>
    <cellStyle name="Celda de comprobación 13 28 2" xfId="1554"/>
    <cellStyle name="Celda de comprobación 13 28 3" xfId="1555"/>
    <cellStyle name="Celda de comprobación 13 28 4" xfId="1556"/>
    <cellStyle name="Celda de comprobación 13 29" xfId="1557"/>
    <cellStyle name="Celda de comprobación 13 29 2" xfId="1558"/>
    <cellStyle name="Celda de comprobación 13 29 3" xfId="1559"/>
    <cellStyle name="Celda de comprobación 13 29 4" xfId="1560"/>
    <cellStyle name="Celda de comprobación 13 3" xfId="1561"/>
    <cellStyle name="Celda de comprobación 13 3 2" xfId="1562"/>
    <cellStyle name="Celda de comprobación 13 3 3" xfId="1563"/>
    <cellStyle name="Celda de comprobación 13 3 4" xfId="1564"/>
    <cellStyle name="Celda de comprobación 13 30" xfId="1565"/>
    <cellStyle name="Celda de comprobación 13 30 2" xfId="1566"/>
    <cellStyle name="Celda de comprobación 13 30 3" xfId="1567"/>
    <cellStyle name="Celda de comprobación 13 30 4" xfId="1568"/>
    <cellStyle name="Celda de comprobación 13 31" xfId="1569"/>
    <cellStyle name="Celda de comprobación 13 31 2" xfId="1570"/>
    <cellStyle name="Celda de comprobación 13 31 3" xfId="1571"/>
    <cellStyle name="Celda de comprobación 13 31 4" xfId="1572"/>
    <cellStyle name="Celda de comprobación 13 32" xfId="1573"/>
    <cellStyle name="Celda de comprobación 13 32 2" xfId="1574"/>
    <cellStyle name="Celda de comprobación 13 32 3" xfId="1575"/>
    <cellStyle name="Celda de comprobación 13 32 4" xfId="1576"/>
    <cellStyle name="Celda de comprobación 13 33" xfId="1577"/>
    <cellStyle name="Celda de comprobación 13 33 2" xfId="1578"/>
    <cellStyle name="Celda de comprobación 13 33 3" xfId="1579"/>
    <cellStyle name="Celda de comprobación 13 33 4" xfId="1580"/>
    <cellStyle name="Celda de comprobación 13 34" xfId="1581"/>
    <cellStyle name="Celda de comprobación 13 34 2" xfId="1582"/>
    <cellStyle name="Celda de comprobación 13 34 3" xfId="1583"/>
    <cellStyle name="Celda de comprobación 13 34 4" xfId="1584"/>
    <cellStyle name="Celda de comprobación 13 35" xfId="1585"/>
    <cellStyle name="Celda de comprobación 13 35 2" xfId="1586"/>
    <cellStyle name="Celda de comprobación 13 35 3" xfId="1587"/>
    <cellStyle name="Celda de comprobación 13 35 4" xfId="1588"/>
    <cellStyle name="Celda de comprobación 13 36" xfId="1589"/>
    <cellStyle name="Celda de comprobación 13 36 2" xfId="1590"/>
    <cellStyle name="Celda de comprobación 13 36 3" xfId="1591"/>
    <cellStyle name="Celda de comprobación 13 36 4" xfId="1592"/>
    <cellStyle name="Celda de comprobación 13 37" xfId="1593"/>
    <cellStyle name="Celda de comprobación 13 38" xfId="1594"/>
    <cellStyle name="Celda de comprobación 13 39" xfId="1595"/>
    <cellStyle name="Celda de comprobación 13 4" xfId="1596"/>
    <cellStyle name="Celda de comprobación 13 4 2" xfId="1597"/>
    <cellStyle name="Celda de comprobación 13 4 3" xfId="1598"/>
    <cellStyle name="Celda de comprobación 13 4 4" xfId="1599"/>
    <cellStyle name="Celda de comprobación 13 40" xfId="1600"/>
    <cellStyle name="Celda de comprobación 13 41" xfId="1601"/>
    <cellStyle name="Celda de comprobación 13 42" xfId="1602"/>
    <cellStyle name="Celda de comprobación 13 43" xfId="1603"/>
    <cellStyle name="Celda de comprobación 13 44" xfId="1604"/>
    <cellStyle name="Celda de comprobación 13 45" xfId="1605"/>
    <cellStyle name="Celda de comprobación 13 46" xfId="1606"/>
    <cellStyle name="Celda de comprobación 13 47" xfId="1607"/>
    <cellStyle name="Celda de comprobación 13 48" xfId="1608"/>
    <cellStyle name="Celda de comprobación 13 49" xfId="1609"/>
    <cellStyle name="Celda de comprobación 13 5" xfId="1610"/>
    <cellStyle name="Celda de comprobación 13 5 2" xfId="1611"/>
    <cellStyle name="Celda de comprobación 13 5 3" xfId="1612"/>
    <cellStyle name="Celda de comprobación 13 5 4" xfId="1613"/>
    <cellStyle name="Celda de comprobación 13 50" xfId="1614"/>
    <cellStyle name="Celda de comprobación 13 51" xfId="1615"/>
    <cellStyle name="Celda de comprobación 13 6" xfId="1616"/>
    <cellStyle name="Celda de comprobación 13 6 2" xfId="1617"/>
    <cellStyle name="Celda de comprobación 13 6 3" xfId="1618"/>
    <cellStyle name="Celda de comprobación 13 6 4" xfId="1619"/>
    <cellStyle name="Celda de comprobación 13 7" xfId="1620"/>
    <cellStyle name="Celda de comprobación 13 7 2" xfId="1621"/>
    <cellStyle name="Celda de comprobación 13 7 3" xfId="1622"/>
    <cellStyle name="Celda de comprobación 13 7 4" xfId="1623"/>
    <cellStyle name="Celda de comprobación 13 8" xfId="1624"/>
    <cellStyle name="Celda de comprobación 13 8 2" xfId="1625"/>
    <cellStyle name="Celda de comprobación 13 8 3" xfId="1626"/>
    <cellStyle name="Celda de comprobación 13 8 4" xfId="1627"/>
    <cellStyle name="Celda de comprobación 13 9" xfId="1628"/>
    <cellStyle name="Celda de comprobación 13 9 2" xfId="1629"/>
    <cellStyle name="Celda de comprobación 13 9 3" xfId="1630"/>
    <cellStyle name="Celda de comprobación 13 9 4" xfId="1631"/>
    <cellStyle name="Celda de comprobación 14" xfId="1632"/>
    <cellStyle name="Celda de comprobación 14 10" xfId="1633"/>
    <cellStyle name="Celda de comprobación 14 10 2" xfId="1634"/>
    <cellStyle name="Celda de comprobación 14 10 3" xfId="1635"/>
    <cellStyle name="Celda de comprobación 14 10 4" xfId="1636"/>
    <cellStyle name="Celda de comprobación 14 11" xfId="1637"/>
    <cellStyle name="Celda de comprobación 14 11 2" xfId="1638"/>
    <cellStyle name="Celda de comprobación 14 11 3" xfId="1639"/>
    <cellStyle name="Celda de comprobación 14 11 4" xfId="1640"/>
    <cellStyle name="Celda de comprobación 14 12" xfId="1641"/>
    <cellStyle name="Celda de comprobación 14 12 2" xfId="1642"/>
    <cellStyle name="Celda de comprobación 14 12 3" xfId="1643"/>
    <cellStyle name="Celda de comprobación 14 12 4" xfId="1644"/>
    <cellStyle name="Celda de comprobación 14 13" xfId="1645"/>
    <cellStyle name="Celda de comprobación 14 13 2" xfId="1646"/>
    <cellStyle name="Celda de comprobación 14 13 3" xfId="1647"/>
    <cellStyle name="Celda de comprobación 14 13 4" xfId="1648"/>
    <cellStyle name="Celda de comprobación 14 14" xfId="1649"/>
    <cellStyle name="Celda de comprobación 14 14 2" xfId="1650"/>
    <cellStyle name="Celda de comprobación 14 14 3" xfId="1651"/>
    <cellStyle name="Celda de comprobación 14 14 4" xfId="1652"/>
    <cellStyle name="Celda de comprobación 14 15" xfId="1653"/>
    <cellStyle name="Celda de comprobación 14 15 2" xfId="1654"/>
    <cellStyle name="Celda de comprobación 14 15 3" xfId="1655"/>
    <cellStyle name="Celda de comprobación 14 15 4" xfId="1656"/>
    <cellStyle name="Celda de comprobación 14 16" xfId="1657"/>
    <cellStyle name="Celda de comprobación 14 16 2" xfId="1658"/>
    <cellStyle name="Celda de comprobación 14 16 3" xfId="1659"/>
    <cellStyle name="Celda de comprobación 14 16 4" xfId="1660"/>
    <cellStyle name="Celda de comprobación 14 17" xfId="1661"/>
    <cellStyle name="Celda de comprobación 14 17 2" xfId="1662"/>
    <cellStyle name="Celda de comprobación 14 17 3" xfId="1663"/>
    <cellStyle name="Celda de comprobación 14 17 4" xfId="1664"/>
    <cellStyle name="Celda de comprobación 14 18" xfId="1665"/>
    <cellStyle name="Celda de comprobación 14 18 2" xfId="1666"/>
    <cellStyle name="Celda de comprobación 14 18 3" xfId="1667"/>
    <cellStyle name="Celda de comprobación 14 18 4" xfId="1668"/>
    <cellStyle name="Celda de comprobación 14 19" xfId="1669"/>
    <cellStyle name="Celda de comprobación 14 19 2" xfId="1670"/>
    <cellStyle name="Celda de comprobación 14 19 3" xfId="1671"/>
    <cellStyle name="Celda de comprobación 14 19 4" xfId="1672"/>
    <cellStyle name="Celda de comprobación 14 2" xfId="1673"/>
    <cellStyle name="Celda de comprobación 14 2 2" xfId="1674"/>
    <cellStyle name="Celda de comprobación 14 2 3" xfId="1675"/>
    <cellStyle name="Celda de comprobación 14 2 4" xfId="1676"/>
    <cellStyle name="Celda de comprobación 14 20" xfId="1677"/>
    <cellStyle name="Celda de comprobación 14 20 2" xfId="1678"/>
    <cellStyle name="Celda de comprobación 14 20 3" xfId="1679"/>
    <cellStyle name="Celda de comprobación 14 20 4" xfId="1680"/>
    <cellStyle name="Celda de comprobación 14 21" xfId="1681"/>
    <cellStyle name="Celda de comprobación 14 21 2" xfId="1682"/>
    <cellStyle name="Celda de comprobación 14 21 3" xfId="1683"/>
    <cellStyle name="Celda de comprobación 14 21 4" xfId="1684"/>
    <cellStyle name="Celda de comprobación 14 22" xfId="1685"/>
    <cellStyle name="Celda de comprobación 14 22 2" xfId="1686"/>
    <cellStyle name="Celda de comprobación 14 22 3" xfId="1687"/>
    <cellStyle name="Celda de comprobación 14 22 4" xfId="1688"/>
    <cellStyle name="Celda de comprobación 14 23" xfId="1689"/>
    <cellStyle name="Celda de comprobación 14 23 2" xfId="1690"/>
    <cellStyle name="Celda de comprobación 14 23 3" xfId="1691"/>
    <cellStyle name="Celda de comprobación 14 23 4" xfId="1692"/>
    <cellStyle name="Celda de comprobación 14 24" xfId="1693"/>
    <cellStyle name="Celda de comprobación 14 24 2" xfId="1694"/>
    <cellStyle name="Celda de comprobación 14 24 3" xfId="1695"/>
    <cellStyle name="Celda de comprobación 14 24 4" xfId="1696"/>
    <cellStyle name="Celda de comprobación 14 25" xfId="1697"/>
    <cellStyle name="Celda de comprobación 14 25 2" xfId="1698"/>
    <cellStyle name="Celda de comprobación 14 25 3" xfId="1699"/>
    <cellStyle name="Celda de comprobación 14 25 4" xfId="1700"/>
    <cellStyle name="Celda de comprobación 14 26" xfId="1701"/>
    <cellStyle name="Celda de comprobación 14 26 2" xfId="1702"/>
    <cellStyle name="Celda de comprobación 14 26 3" xfId="1703"/>
    <cellStyle name="Celda de comprobación 14 26 4" xfId="1704"/>
    <cellStyle name="Celda de comprobación 14 27" xfId="1705"/>
    <cellStyle name="Celda de comprobación 14 27 2" xfId="1706"/>
    <cellStyle name="Celda de comprobación 14 27 3" xfId="1707"/>
    <cellStyle name="Celda de comprobación 14 27 4" xfId="1708"/>
    <cellStyle name="Celda de comprobación 14 28" xfId="1709"/>
    <cellStyle name="Celda de comprobación 14 28 2" xfId="1710"/>
    <cellStyle name="Celda de comprobación 14 28 3" xfId="1711"/>
    <cellStyle name="Celda de comprobación 14 28 4" xfId="1712"/>
    <cellStyle name="Celda de comprobación 14 29" xfId="1713"/>
    <cellStyle name="Celda de comprobación 14 29 2" xfId="1714"/>
    <cellStyle name="Celda de comprobación 14 29 3" xfId="1715"/>
    <cellStyle name="Celda de comprobación 14 29 4" xfId="1716"/>
    <cellStyle name="Celda de comprobación 14 3" xfId="1717"/>
    <cellStyle name="Celda de comprobación 14 3 2" xfId="1718"/>
    <cellStyle name="Celda de comprobación 14 3 3" xfId="1719"/>
    <cellStyle name="Celda de comprobación 14 3 4" xfId="1720"/>
    <cellStyle name="Celda de comprobación 14 30" xfId="1721"/>
    <cellStyle name="Celda de comprobación 14 30 2" xfId="1722"/>
    <cellStyle name="Celda de comprobación 14 30 3" xfId="1723"/>
    <cellStyle name="Celda de comprobación 14 30 4" xfId="1724"/>
    <cellStyle name="Celda de comprobación 14 31" xfId="1725"/>
    <cellStyle name="Celda de comprobación 14 31 2" xfId="1726"/>
    <cellStyle name="Celda de comprobación 14 31 3" xfId="1727"/>
    <cellStyle name="Celda de comprobación 14 31 4" xfId="1728"/>
    <cellStyle name="Celda de comprobación 14 32" xfId="1729"/>
    <cellStyle name="Celda de comprobación 14 32 2" xfId="1730"/>
    <cellStyle name="Celda de comprobación 14 32 3" xfId="1731"/>
    <cellStyle name="Celda de comprobación 14 32 4" xfId="1732"/>
    <cellStyle name="Celda de comprobación 14 33" xfId="1733"/>
    <cellStyle name="Celda de comprobación 14 33 2" xfId="1734"/>
    <cellStyle name="Celda de comprobación 14 33 3" xfId="1735"/>
    <cellStyle name="Celda de comprobación 14 33 4" xfId="1736"/>
    <cellStyle name="Celda de comprobación 14 34" xfId="1737"/>
    <cellStyle name="Celda de comprobación 14 34 2" xfId="1738"/>
    <cellStyle name="Celda de comprobación 14 34 3" xfId="1739"/>
    <cellStyle name="Celda de comprobación 14 34 4" xfId="1740"/>
    <cellStyle name="Celda de comprobación 14 35" xfId="1741"/>
    <cellStyle name="Celda de comprobación 14 35 2" xfId="1742"/>
    <cellStyle name="Celda de comprobación 14 35 3" xfId="1743"/>
    <cellStyle name="Celda de comprobación 14 35 4" xfId="1744"/>
    <cellStyle name="Celda de comprobación 14 36" xfId="1745"/>
    <cellStyle name="Celda de comprobación 14 36 2" xfId="1746"/>
    <cellStyle name="Celda de comprobación 14 36 3" xfId="1747"/>
    <cellStyle name="Celda de comprobación 14 36 4" xfId="1748"/>
    <cellStyle name="Celda de comprobación 14 37" xfId="1749"/>
    <cellStyle name="Celda de comprobación 14 38" xfId="1750"/>
    <cellStyle name="Celda de comprobación 14 39" xfId="1751"/>
    <cellStyle name="Celda de comprobación 14 4" xfId="1752"/>
    <cellStyle name="Celda de comprobación 14 4 2" xfId="1753"/>
    <cellStyle name="Celda de comprobación 14 4 3" xfId="1754"/>
    <cellStyle name="Celda de comprobación 14 4 4" xfId="1755"/>
    <cellStyle name="Celda de comprobación 14 40" xfId="1756"/>
    <cellStyle name="Celda de comprobación 14 41" xfId="1757"/>
    <cellStyle name="Celda de comprobación 14 42" xfId="1758"/>
    <cellStyle name="Celda de comprobación 14 43" xfId="1759"/>
    <cellStyle name="Celda de comprobación 14 44" xfId="1760"/>
    <cellStyle name="Celda de comprobación 14 45" xfId="1761"/>
    <cellStyle name="Celda de comprobación 14 46" xfId="1762"/>
    <cellStyle name="Celda de comprobación 14 47" xfId="1763"/>
    <cellStyle name="Celda de comprobación 14 48" xfId="1764"/>
    <cellStyle name="Celda de comprobación 14 49" xfId="1765"/>
    <cellStyle name="Celda de comprobación 14 5" xfId="1766"/>
    <cellStyle name="Celda de comprobación 14 5 2" xfId="1767"/>
    <cellStyle name="Celda de comprobación 14 5 3" xfId="1768"/>
    <cellStyle name="Celda de comprobación 14 5 4" xfId="1769"/>
    <cellStyle name="Celda de comprobación 14 50" xfId="1770"/>
    <cellStyle name="Celda de comprobación 14 51" xfId="1771"/>
    <cellStyle name="Celda de comprobación 14 6" xfId="1772"/>
    <cellStyle name="Celda de comprobación 14 6 2" xfId="1773"/>
    <cellStyle name="Celda de comprobación 14 6 3" xfId="1774"/>
    <cellStyle name="Celda de comprobación 14 6 4" xfId="1775"/>
    <cellStyle name="Celda de comprobación 14 7" xfId="1776"/>
    <cellStyle name="Celda de comprobación 14 7 2" xfId="1777"/>
    <cellStyle name="Celda de comprobación 14 7 3" xfId="1778"/>
    <cellStyle name="Celda de comprobación 14 7 4" xfId="1779"/>
    <cellStyle name="Celda de comprobación 14 8" xfId="1780"/>
    <cellStyle name="Celda de comprobación 14 8 2" xfId="1781"/>
    <cellStyle name="Celda de comprobación 14 8 3" xfId="1782"/>
    <cellStyle name="Celda de comprobación 14 8 4" xfId="1783"/>
    <cellStyle name="Celda de comprobación 14 9" xfId="1784"/>
    <cellStyle name="Celda de comprobación 14 9 2" xfId="1785"/>
    <cellStyle name="Celda de comprobación 14 9 3" xfId="1786"/>
    <cellStyle name="Celda de comprobación 14 9 4" xfId="1787"/>
    <cellStyle name="Celda de comprobación 15" xfId="1788"/>
    <cellStyle name="Celda de comprobación 15 10" xfId="1789"/>
    <cellStyle name="Celda de comprobación 15 10 2" xfId="1790"/>
    <cellStyle name="Celda de comprobación 15 10 3" xfId="1791"/>
    <cellStyle name="Celda de comprobación 15 10 4" xfId="1792"/>
    <cellStyle name="Celda de comprobación 15 11" xfId="1793"/>
    <cellStyle name="Celda de comprobación 15 11 2" xfId="1794"/>
    <cellStyle name="Celda de comprobación 15 11 3" xfId="1795"/>
    <cellStyle name="Celda de comprobación 15 11 4" xfId="1796"/>
    <cellStyle name="Celda de comprobación 15 12" xfId="1797"/>
    <cellStyle name="Celda de comprobación 15 12 2" xfId="1798"/>
    <cellStyle name="Celda de comprobación 15 12 3" xfId="1799"/>
    <cellStyle name="Celda de comprobación 15 12 4" xfId="1800"/>
    <cellStyle name="Celda de comprobación 15 13" xfId="1801"/>
    <cellStyle name="Celda de comprobación 15 13 2" xfId="1802"/>
    <cellStyle name="Celda de comprobación 15 13 3" xfId="1803"/>
    <cellStyle name="Celda de comprobación 15 13 4" xfId="1804"/>
    <cellStyle name="Celda de comprobación 15 14" xfId="1805"/>
    <cellStyle name="Celda de comprobación 15 14 2" xfId="1806"/>
    <cellStyle name="Celda de comprobación 15 14 3" xfId="1807"/>
    <cellStyle name="Celda de comprobación 15 14 4" xfId="1808"/>
    <cellStyle name="Celda de comprobación 15 15" xfId="1809"/>
    <cellStyle name="Celda de comprobación 15 15 2" xfId="1810"/>
    <cellStyle name="Celda de comprobación 15 15 3" xfId="1811"/>
    <cellStyle name="Celda de comprobación 15 15 4" xfId="1812"/>
    <cellStyle name="Celda de comprobación 15 16" xfId="1813"/>
    <cellStyle name="Celda de comprobación 15 16 2" xfId="1814"/>
    <cellStyle name="Celda de comprobación 15 16 3" xfId="1815"/>
    <cellStyle name="Celda de comprobación 15 16 4" xfId="1816"/>
    <cellStyle name="Celda de comprobación 15 17" xfId="1817"/>
    <cellStyle name="Celda de comprobación 15 17 2" xfId="1818"/>
    <cellStyle name="Celda de comprobación 15 17 3" xfId="1819"/>
    <cellStyle name="Celda de comprobación 15 17 4" xfId="1820"/>
    <cellStyle name="Celda de comprobación 15 18" xfId="1821"/>
    <cellStyle name="Celda de comprobación 15 18 2" xfId="1822"/>
    <cellStyle name="Celda de comprobación 15 18 3" xfId="1823"/>
    <cellStyle name="Celda de comprobación 15 18 4" xfId="1824"/>
    <cellStyle name="Celda de comprobación 15 19" xfId="1825"/>
    <cellStyle name="Celda de comprobación 15 19 2" xfId="1826"/>
    <cellStyle name="Celda de comprobación 15 19 3" xfId="1827"/>
    <cellStyle name="Celda de comprobación 15 19 4" xfId="1828"/>
    <cellStyle name="Celda de comprobación 15 2" xfId="1829"/>
    <cellStyle name="Celda de comprobación 15 2 2" xfId="1830"/>
    <cellStyle name="Celda de comprobación 15 2 3" xfId="1831"/>
    <cellStyle name="Celda de comprobación 15 2 4" xfId="1832"/>
    <cellStyle name="Celda de comprobación 15 20" xfId="1833"/>
    <cellStyle name="Celda de comprobación 15 20 2" xfId="1834"/>
    <cellStyle name="Celda de comprobación 15 20 3" xfId="1835"/>
    <cellStyle name="Celda de comprobación 15 20 4" xfId="1836"/>
    <cellStyle name="Celda de comprobación 15 21" xfId="1837"/>
    <cellStyle name="Celda de comprobación 15 21 2" xfId="1838"/>
    <cellStyle name="Celda de comprobación 15 21 3" xfId="1839"/>
    <cellStyle name="Celda de comprobación 15 21 4" xfId="1840"/>
    <cellStyle name="Celda de comprobación 15 22" xfId="1841"/>
    <cellStyle name="Celda de comprobación 15 22 2" xfId="1842"/>
    <cellStyle name="Celda de comprobación 15 22 3" xfId="1843"/>
    <cellStyle name="Celda de comprobación 15 22 4" xfId="1844"/>
    <cellStyle name="Celda de comprobación 15 23" xfId="1845"/>
    <cellStyle name="Celda de comprobación 15 23 2" xfId="1846"/>
    <cellStyle name="Celda de comprobación 15 23 3" xfId="1847"/>
    <cellStyle name="Celda de comprobación 15 23 4" xfId="1848"/>
    <cellStyle name="Celda de comprobación 15 24" xfId="1849"/>
    <cellStyle name="Celda de comprobación 15 24 2" xfId="1850"/>
    <cellStyle name="Celda de comprobación 15 24 3" xfId="1851"/>
    <cellStyle name="Celda de comprobación 15 24 4" xfId="1852"/>
    <cellStyle name="Celda de comprobación 15 25" xfId="1853"/>
    <cellStyle name="Celda de comprobación 15 25 2" xfId="1854"/>
    <cellStyle name="Celda de comprobación 15 25 3" xfId="1855"/>
    <cellStyle name="Celda de comprobación 15 25 4" xfId="1856"/>
    <cellStyle name="Celda de comprobación 15 26" xfId="1857"/>
    <cellStyle name="Celda de comprobación 15 26 2" xfId="1858"/>
    <cellStyle name="Celda de comprobación 15 26 3" xfId="1859"/>
    <cellStyle name="Celda de comprobación 15 26 4" xfId="1860"/>
    <cellStyle name="Celda de comprobación 15 27" xfId="1861"/>
    <cellStyle name="Celda de comprobación 15 27 2" xfId="1862"/>
    <cellStyle name="Celda de comprobación 15 27 3" xfId="1863"/>
    <cellStyle name="Celda de comprobación 15 27 4" xfId="1864"/>
    <cellStyle name="Celda de comprobación 15 28" xfId="1865"/>
    <cellStyle name="Celda de comprobación 15 28 2" xfId="1866"/>
    <cellStyle name="Celda de comprobación 15 28 3" xfId="1867"/>
    <cellStyle name="Celda de comprobación 15 28 4" xfId="1868"/>
    <cellStyle name="Celda de comprobación 15 29" xfId="1869"/>
    <cellStyle name="Celda de comprobación 15 29 2" xfId="1870"/>
    <cellStyle name="Celda de comprobación 15 29 3" xfId="1871"/>
    <cellStyle name="Celda de comprobación 15 29 4" xfId="1872"/>
    <cellStyle name="Celda de comprobación 15 3" xfId="1873"/>
    <cellStyle name="Celda de comprobación 15 3 2" xfId="1874"/>
    <cellStyle name="Celda de comprobación 15 3 3" xfId="1875"/>
    <cellStyle name="Celda de comprobación 15 3 4" xfId="1876"/>
    <cellStyle name="Celda de comprobación 15 30" xfId="1877"/>
    <cellStyle name="Celda de comprobación 15 30 2" xfId="1878"/>
    <cellStyle name="Celda de comprobación 15 30 3" xfId="1879"/>
    <cellStyle name="Celda de comprobación 15 30 4" xfId="1880"/>
    <cellStyle name="Celda de comprobación 15 31" xfId="1881"/>
    <cellStyle name="Celda de comprobación 15 31 2" xfId="1882"/>
    <cellStyle name="Celda de comprobación 15 31 3" xfId="1883"/>
    <cellStyle name="Celda de comprobación 15 31 4" xfId="1884"/>
    <cellStyle name="Celda de comprobación 15 32" xfId="1885"/>
    <cellStyle name="Celda de comprobación 15 32 2" xfId="1886"/>
    <cellStyle name="Celda de comprobación 15 32 3" xfId="1887"/>
    <cellStyle name="Celda de comprobación 15 32 4" xfId="1888"/>
    <cellStyle name="Celda de comprobación 15 33" xfId="1889"/>
    <cellStyle name="Celda de comprobación 15 33 2" xfId="1890"/>
    <cellStyle name="Celda de comprobación 15 33 3" xfId="1891"/>
    <cellStyle name="Celda de comprobación 15 33 4" xfId="1892"/>
    <cellStyle name="Celda de comprobación 15 34" xfId="1893"/>
    <cellStyle name="Celda de comprobación 15 34 2" xfId="1894"/>
    <cellStyle name="Celda de comprobación 15 34 3" xfId="1895"/>
    <cellStyle name="Celda de comprobación 15 34 4" xfId="1896"/>
    <cellStyle name="Celda de comprobación 15 35" xfId="1897"/>
    <cellStyle name="Celda de comprobación 15 35 2" xfId="1898"/>
    <cellStyle name="Celda de comprobación 15 35 3" xfId="1899"/>
    <cellStyle name="Celda de comprobación 15 35 4" xfId="1900"/>
    <cellStyle name="Celda de comprobación 15 36" xfId="1901"/>
    <cellStyle name="Celda de comprobación 15 36 2" xfId="1902"/>
    <cellStyle name="Celda de comprobación 15 36 3" xfId="1903"/>
    <cellStyle name="Celda de comprobación 15 36 4" xfId="1904"/>
    <cellStyle name="Celda de comprobación 15 37" xfId="1905"/>
    <cellStyle name="Celda de comprobación 15 38" xfId="1906"/>
    <cellStyle name="Celda de comprobación 15 39" xfId="1907"/>
    <cellStyle name="Celda de comprobación 15 4" xfId="1908"/>
    <cellStyle name="Celda de comprobación 15 4 2" xfId="1909"/>
    <cellStyle name="Celda de comprobación 15 4 3" xfId="1910"/>
    <cellStyle name="Celda de comprobación 15 4 4" xfId="1911"/>
    <cellStyle name="Celda de comprobación 15 40" xfId="1912"/>
    <cellStyle name="Celda de comprobación 15 41" xfId="1913"/>
    <cellStyle name="Celda de comprobación 15 42" xfId="1914"/>
    <cellStyle name="Celda de comprobación 15 43" xfId="1915"/>
    <cellStyle name="Celda de comprobación 15 44" xfId="1916"/>
    <cellStyle name="Celda de comprobación 15 45" xfId="1917"/>
    <cellStyle name="Celda de comprobación 15 46" xfId="1918"/>
    <cellStyle name="Celda de comprobación 15 47" xfId="1919"/>
    <cellStyle name="Celda de comprobación 15 48" xfId="1920"/>
    <cellStyle name="Celda de comprobación 15 49" xfId="1921"/>
    <cellStyle name="Celda de comprobación 15 5" xfId="1922"/>
    <cellStyle name="Celda de comprobación 15 5 2" xfId="1923"/>
    <cellStyle name="Celda de comprobación 15 5 3" xfId="1924"/>
    <cellStyle name="Celda de comprobación 15 5 4" xfId="1925"/>
    <cellStyle name="Celda de comprobación 15 50" xfId="1926"/>
    <cellStyle name="Celda de comprobación 15 51" xfId="1927"/>
    <cellStyle name="Celda de comprobación 15 6" xfId="1928"/>
    <cellStyle name="Celda de comprobación 15 6 2" xfId="1929"/>
    <cellStyle name="Celda de comprobación 15 6 3" xfId="1930"/>
    <cellStyle name="Celda de comprobación 15 6 4" xfId="1931"/>
    <cellStyle name="Celda de comprobación 15 7" xfId="1932"/>
    <cellStyle name="Celda de comprobación 15 7 2" xfId="1933"/>
    <cellStyle name="Celda de comprobación 15 7 3" xfId="1934"/>
    <cellStyle name="Celda de comprobación 15 7 4" xfId="1935"/>
    <cellStyle name="Celda de comprobación 15 8" xfId="1936"/>
    <cellStyle name="Celda de comprobación 15 8 2" xfId="1937"/>
    <cellStyle name="Celda de comprobación 15 8 3" xfId="1938"/>
    <cellStyle name="Celda de comprobación 15 8 4" xfId="1939"/>
    <cellStyle name="Celda de comprobación 15 9" xfId="1940"/>
    <cellStyle name="Celda de comprobación 15 9 2" xfId="1941"/>
    <cellStyle name="Celda de comprobación 15 9 3" xfId="1942"/>
    <cellStyle name="Celda de comprobación 15 9 4" xfId="1943"/>
    <cellStyle name="Celda de comprobación 16" xfId="1944"/>
    <cellStyle name="Celda de comprobación 16 10" xfId="1945"/>
    <cellStyle name="Celda de comprobación 16 11" xfId="1946"/>
    <cellStyle name="Celda de comprobación 16 12" xfId="1947"/>
    <cellStyle name="Celda de comprobación 16 13" xfId="1948"/>
    <cellStyle name="Celda de comprobación 16 14" xfId="1949"/>
    <cellStyle name="Celda de comprobación 16 15" xfId="1950"/>
    <cellStyle name="Celda de comprobación 16 16" xfId="1951"/>
    <cellStyle name="Celda de comprobación 16 2" xfId="1952"/>
    <cellStyle name="Celda de comprobación 16 3" xfId="1953"/>
    <cellStyle name="Celda de comprobación 16 4" xfId="1954"/>
    <cellStyle name="Celda de comprobación 16 5" xfId="1955"/>
    <cellStyle name="Celda de comprobación 16 6" xfId="1956"/>
    <cellStyle name="Celda de comprobación 16 7" xfId="1957"/>
    <cellStyle name="Celda de comprobación 16 8" xfId="1958"/>
    <cellStyle name="Celda de comprobación 16 9" xfId="1959"/>
    <cellStyle name="Celda de comprobación 17" xfId="1960"/>
    <cellStyle name="Celda de comprobación 17 10" xfId="1961"/>
    <cellStyle name="Celda de comprobación 17 11" xfId="1962"/>
    <cellStyle name="Celda de comprobación 17 12" xfId="1963"/>
    <cellStyle name="Celda de comprobación 17 13" xfId="1964"/>
    <cellStyle name="Celda de comprobación 17 14" xfId="1965"/>
    <cellStyle name="Celda de comprobación 17 15" xfId="1966"/>
    <cellStyle name="Celda de comprobación 17 16" xfId="1967"/>
    <cellStyle name="Celda de comprobación 17 2" xfId="1968"/>
    <cellStyle name="Celda de comprobación 17 3" xfId="1969"/>
    <cellStyle name="Celda de comprobación 17 4" xfId="1970"/>
    <cellStyle name="Celda de comprobación 17 5" xfId="1971"/>
    <cellStyle name="Celda de comprobación 17 6" xfId="1972"/>
    <cellStyle name="Celda de comprobación 17 7" xfId="1973"/>
    <cellStyle name="Celda de comprobación 17 8" xfId="1974"/>
    <cellStyle name="Celda de comprobación 17 9" xfId="1975"/>
    <cellStyle name="Celda de comprobación 18" xfId="1976"/>
    <cellStyle name="Celda de comprobación 18 10" xfId="1977"/>
    <cellStyle name="Celda de comprobación 18 11" xfId="1978"/>
    <cellStyle name="Celda de comprobación 18 12" xfId="1979"/>
    <cellStyle name="Celda de comprobación 18 13" xfId="1980"/>
    <cellStyle name="Celda de comprobación 18 14" xfId="1981"/>
    <cellStyle name="Celda de comprobación 18 15" xfId="1982"/>
    <cellStyle name="Celda de comprobación 18 16" xfId="1983"/>
    <cellStyle name="Celda de comprobación 18 2" xfId="1984"/>
    <cellStyle name="Celda de comprobación 18 3" xfId="1985"/>
    <cellStyle name="Celda de comprobación 18 4" xfId="1986"/>
    <cellStyle name="Celda de comprobación 18 5" xfId="1987"/>
    <cellStyle name="Celda de comprobación 18 6" xfId="1988"/>
    <cellStyle name="Celda de comprobación 18 7" xfId="1989"/>
    <cellStyle name="Celda de comprobación 18 8" xfId="1990"/>
    <cellStyle name="Celda de comprobación 18 9" xfId="1991"/>
    <cellStyle name="Celda de comprobación 19" xfId="1992"/>
    <cellStyle name="Celda de comprobación 19 10" xfId="1993"/>
    <cellStyle name="Celda de comprobación 19 11" xfId="1994"/>
    <cellStyle name="Celda de comprobación 19 12" xfId="1995"/>
    <cellStyle name="Celda de comprobación 19 13" xfId="1996"/>
    <cellStyle name="Celda de comprobación 19 14" xfId="1997"/>
    <cellStyle name="Celda de comprobación 19 15" xfId="1998"/>
    <cellStyle name="Celda de comprobación 19 16" xfId="1999"/>
    <cellStyle name="Celda de comprobación 19 2" xfId="2000"/>
    <cellStyle name="Celda de comprobación 19 3" xfId="2001"/>
    <cellStyle name="Celda de comprobación 19 4" xfId="2002"/>
    <cellStyle name="Celda de comprobación 19 5" xfId="2003"/>
    <cellStyle name="Celda de comprobación 19 6" xfId="2004"/>
    <cellStyle name="Celda de comprobación 19 7" xfId="2005"/>
    <cellStyle name="Celda de comprobación 19 8" xfId="2006"/>
    <cellStyle name="Celda de comprobación 19 9" xfId="2007"/>
    <cellStyle name="Celda de comprobación 2" xfId="2008"/>
    <cellStyle name="Celda de comprobación 2 10" xfId="2009"/>
    <cellStyle name="Celda de comprobación 2 10 2" xfId="2010"/>
    <cellStyle name="Celda de comprobación 2 10 3" xfId="2011"/>
    <cellStyle name="Celda de comprobación 2 10 4" xfId="2012"/>
    <cellStyle name="Celda de comprobación 2 11" xfId="2013"/>
    <cellStyle name="Celda de comprobación 2 11 2" xfId="2014"/>
    <cellStyle name="Celda de comprobación 2 11 3" xfId="2015"/>
    <cellStyle name="Celda de comprobación 2 11 4" xfId="2016"/>
    <cellStyle name="Celda de comprobación 2 12" xfId="2017"/>
    <cellStyle name="Celda de comprobación 2 12 2" xfId="2018"/>
    <cellStyle name="Celda de comprobación 2 12 3" xfId="2019"/>
    <cellStyle name="Celda de comprobación 2 12 4" xfId="2020"/>
    <cellStyle name="Celda de comprobación 2 13" xfId="2021"/>
    <cellStyle name="Celda de comprobación 2 13 2" xfId="2022"/>
    <cellStyle name="Celda de comprobación 2 13 3" xfId="2023"/>
    <cellStyle name="Celda de comprobación 2 13 4" xfId="2024"/>
    <cellStyle name="Celda de comprobación 2 14" xfId="2025"/>
    <cellStyle name="Celda de comprobación 2 14 2" xfId="2026"/>
    <cellStyle name="Celda de comprobación 2 14 3" xfId="2027"/>
    <cellStyle name="Celda de comprobación 2 14 4" xfId="2028"/>
    <cellStyle name="Celda de comprobación 2 15" xfId="2029"/>
    <cellStyle name="Celda de comprobación 2 15 2" xfId="2030"/>
    <cellStyle name="Celda de comprobación 2 15 3" xfId="2031"/>
    <cellStyle name="Celda de comprobación 2 15 4" xfId="2032"/>
    <cellStyle name="Celda de comprobación 2 16" xfId="2033"/>
    <cellStyle name="Celda de comprobación 2 16 2" xfId="2034"/>
    <cellStyle name="Celda de comprobación 2 16 3" xfId="2035"/>
    <cellStyle name="Celda de comprobación 2 16 4" xfId="2036"/>
    <cellStyle name="Celda de comprobación 2 17" xfId="2037"/>
    <cellStyle name="Celda de comprobación 2 17 2" xfId="2038"/>
    <cellStyle name="Celda de comprobación 2 17 3" xfId="2039"/>
    <cellStyle name="Celda de comprobación 2 17 4" xfId="2040"/>
    <cellStyle name="Celda de comprobación 2 18" xfId="2041"/>
    <cellStyle name="Celda de comprobación 2 18 2" xfId="2042"/>
    <cellStyle name="Celda de comprobación 2 18 3" xfId="2043"/>
    <cellStyle name="Celda de comprobación 2 18 4" xfId="2044"/>
    <cellStyle name="Celda de comprobación 2 19" xfId="2045"/>
    <cellStyle name="Celda de comprobación 2 19 2" xfId="2046"/>
    <cellStyle name="Celda de comprobación 2 19 3" xfId="2047"/>
    <cellStyle name="Celda de comprobación 2 19 4" xfId="2048"/>
    <cellStyle name="Celda de comprobación 2 2" xfId="2049"/>
    <cellStyle name="Celda de comprobación 2 2 2" xfId="2050"/>
    <cellStyle name="Celda de comprobación 2 2 3" xfId="2051"/>
    <cellStyle name="Celda de comprobación 2 2 4" xfId="2052"/>
    <cellStyle name="Celda de comprobación 2 2 5" xfId="12889"/>
    <cellStyle name="Celda de comprobación 2 20" xfId="2053"/>
    <cellStyle name="Celda de comprobación 2 20 2" xfId="2054"/>
    <cellStyle name="Celda de comprobación 2 20 3" xfId="2055"/>
    <cellStyle name="Celda de comprobación 2 20 4" xfId="2056"/>
    <cellStyle name="Celda de comprobación 2 21" xfId="2057"/>
    <cellStyle name="Celda de comprobación 2 21 2" xfId="2058"/>
    <cellStyle name="Celda de comprobación 2 21 3" xfId="2059"/>
    <cellStyle name="Celda de comprobación 2 21 4" xfId="2060"/>
    <cellStyle name="Celda de comprobación 2 22" xfId="2061"/>
    <cellStyle name="Celda de comprobación 2 22 2" xfId="2062"/>
    <cellStyle name="Celda de comprobación 2 22 3" xfId="2063"/>
    <cellStyle name="Celda de comprobación 2 22 4" xfId="2064"/>
    <cellStyle name="Celda de comprobación 2 23" xfId="2065"/>
    <cellStyle name="Celda de comprobación 2 23 2" xfId="2066"/>
    <cellStyle name="Celda de comprobación 2 23 3" xfId="2067"/>
    <cellStyle name="Celda de comprobación 2 23 4" xfId="2068"/>
    <cellStyle name="Celda de comprobación 2 24" xfId="2069"/>
    <cellStyle name="Celda de comprobación 2 24 2" xfId="2070"/>
    <cellStyle name="Celda de comprobación 2 24 3" xfId="2071"/>
    <cellStyle name="Celda de comprobación 2 24 4" xfId="2072"/>
    <cellStyle name="Celda de comprobación 2 25" xfId="2073"/>
    <cellStyle name="Celda de comprobación 2 25 2" xfId="2074"/>
    <cellStyle name="Celda de comprobación 2 25 3" xfId="2075"/>
    <cellStyle name="Celda de comprobación 2 25 4" xfId="2076"/>
    <cellStyle name="Celda de comprobación 2 26" xfId="2077"/>
    <cellStyle name="Celda de comprobación 2 26 2" xfId="2078"/>
    <cellStyle name="Celda de comprobación 2 26 3" xfId="2079"/>
    <cellStyle name="Celda de comprobación 2 26 4" xfId="2080"/>
    <cellStyle name="Celda de comprobación 2 27" xfId="2081"/>
    <cellStyle name="Celda de comprobación 2 27 2" xfId="2082"/>
    <cellStyle name="Celda de comprobación 2 27 3" xfId="2083"/>
    <cellStyle name="Celda de comprobación 2 27 4" xfId="2084"/>
    <cellStyle name="Celda de comprobación 2 28" xfId="2085"/>
    <cellStyle name="Celda de comprobación 2 28 2" xfId="2086"/>
    <cellStyle name="Celda de comprobación 2 28 3" xfId="2087"/>
    <cellStyle name="Celda de comprobación 2 28 4" xfId="2088"/>
    <cellStyle name="Celda de comprobación 2 29" xfId="2089"/>
    <cellStyle name="Celda de comprobación 2 29 2" xfId="2090"/>
    <cellStyle name="Celda de comprobación 2 29 3" xfId="2091"/>
    <cellStyle name="Celda de comprobación 2 29 4" xfId="2092"/>
    <cellStyle name="Celda de comprobación 2 3" xfId="2093"/>
    <cellStyle name="Celda de comprobación 2 3 2" xfId="2094"/>
    <cellStyle name="Celda de comprobación 2 3 3" xfId="2095"/>
    <cellStyle name="Celda de comprobación 2 3 4" xfId="2096"/>
    <cellStyle name="Celda de comprobación 2 30" xfId="2097"/>
    <cellStyle name="Celda de comprobación 2 30 2" xfId="2098"/>
    <cellStyle name="Celda de comprobación 2 30 3" xfId="2099"/>
    <cellStyle name="Celda de comprobación 2 30 4" xfId="2100"/>
    <cellStyle name="Celda de comprobación 2 31" xfId="2101"/>
    <cellStyle name="Celda de comprobación 2 31 2" xfId="2102"/>
    <cellStyle name="Celda de comprobación 2 31 3" xfId="2103"/>
    <cellStyle name="Celda de comprobación 2 31 4" xfId="2104"/>
    <cellStyle name="Celda de comprobación 2 32" xfId="2105"/>
    <cellStyle name="Celda de comprobación 2 32 2" xfId="2106"/>
    <cellStyle name="Celda de comprobación 2 32 3" xfId="2107"/>
    <cellStyle name="Celda de comprobación 2 32 4" xfId="2108"/>
    <cellStyle name="Celda de comprobación 2 33" xfId="2109"/>
    <cellStyle name="Celda de comprobación 2 33 2" xfId="2110"/>
    <cellStyle name="Celda de comprobación 2 33 3" xfId="2111"/>
    <cellStyle name="Celda de comprobación 2 33 4" xfId="2112"/>
    <cellStyle name="Celda de comprobación 2 34" xfId="2113"/>
    <cellStyle name="Celda de comprobación 2 34 2" xfId="2114"/>
    <cellStyle name="Celda de comprobación 2 34 3" xfId="2115"/>
    <cellStyle name="Celda de comprobación 2 34 4" xfId="2116"/>
    <cellStyle name="Celda de comprobación 2 35" xfId="2117"/>
    <cellStyle name="Celda de comprobación 2 35 2" xfId="2118"/>
    <cellStyle name="Celda de comprobación 2 35 3" xfId="2119"/>
    <cellStyle name="Celda de comprobación 2 35 4" xfId="2120"/>
    <cellStyle name="Celda de comprobación 2 36" xfId="2121"/>
    <cellStyle name="Celda de comprobación 2 36 2" xfId="2122"/>
    <cellStyle name="Celda de comprobación 2 36 3" xfId="2123"/>
    <cellStyle name="Celda de comprobación 2 36 4" xfId="2124"/>
    <cellStyle name="Celda de comprobación 2 37" xfId="2125"/>
    <cellStyle name="Celda de comprobación 2 38" xfId="2126"/>
    <cellStyle name="Celda de comprobación 2 39" xfId="2127"/>
    <cellStyle name="Celda de comprobación 2 4" xfId="2128"/>
    <cellStyle name="Celda de comprobación 2 4 2" xfId="2129"/>
    <cellStyle name="Celda de comprobación 2 4 3" xfId="2130"/>
    <cellStyle name="Celda de comprobación 2 4 4" xfId="2131"/>
    <cellStyle name="Celda de comprobación 2 40" xfId="2132"/>
    <cellStyle name="Celda de comprobación 2 41" xfId="2133"/>
    <cellStyle name="Celda de comprobación 2 42" xfId="2134"/>
    <cellStyle name="Celda de comprobación 2 43" xfId="2135"/>
    <cellStyle name="Celda de comprobación 2 44" xfId="2136"/>
    <cellStyle name="Celda de comprobación 2 45" xfId="2137"/>
    <cellStyle name="Celda de comprobación 2 46" xfId="2138"/>
    <cellStyle name="Celda de comprobación 2 47" xfId="2139"/>
    <cellStyle name="Celda de comprobación 2 48" xfId="2140"/>
    <cellStyle name="Celda de comprobación 2 49" xfId="2141"/>
    <cellStyle name="Celda de comprobación 2 5" xfId="2142"/>
    <cellStyle name="Celda de comprobación 2 5 2" xfId="2143"/>
    <cellStyle name="Celda de comprobación 2 5 3" xfId="2144"/>
    <cellStyle name="Celda de comprobación 2 5 4" xfId="2145"/>
    <cellStyle name="Celda de comprobación 2 50" xfId="2146"/>
    <cellStyle name="Celda de comprobación 2 51" xfId="2147"/>
    <cellStyle name="Celda de comprobación 2 52" xfId="12890"/>
    <cellStyle name="Celda de comprobación 2 6" xfId="2148"/>
    <cellStyle name="Celda de comprobación 2 6 2" xfId="2149"/>
    <cellStyle name="Celda de comprobación 2 6 3" xfId="2150"/>
    <cellStyle name="Celda de comprobación 2 6 4" xfId="2151"/>
    <cellStyle name="Celda de comprobación 2 7" xfId="2152"/>
    <cellStyle name="Celda de comprobación 2 7 2" xfId="2153"/>
    <cellStyle name="Celda de comprobación 2 7 3" xfId="2154"/>
    <cellStyle name="Celda de comprobación 2 7 4" xfId="2155"/>
    <cellStyle name="Celda de comprobación 2 8" xfId="2156"/>
    <cellStyle name="Celda de comprobación 2 8 2" xfId="2157"/>
    <cellStyle name="Celda de comprobación 2 8 3" xfId="2158"/>
    <cellStyle name="Celda de comprobación 2 8 4" xfId="2159"/>
    <cellStyle name="Celda de comprobación 2 9" xfId="2160"/>
    <cellStyle name="Celda de comprobación 2 9 2" xfId="2161"/>
    <cellStyle name="Celda de comprobación 2 9 3" xfId="2162"/>
    <cellStyle name="Celda de comprobación 2 9 4" xfId="2163"/>
    <cellStyle name="Celda de comprobación 20" xfId="2164"/>
    <cellStyle name="Celda de comprobación 20 10" xfId="2165"/>
    <cellStyle name="Celda de comprobación 20 11" xfId="2166"/>
    <cellStyle name="Celda de comprobación 20 12" xfId="2167"/>
    <cellStyle name="Celda de comprobación 20 13" xfId="2168"/>
    <cellStyle name="Celda de comprobación 20 14" xfId="2169"/>
    <cellStyle name="Celda de comprobación 20 15" xfId="2170"/>
    <cellStyle name="Celda de comprobación 20 16" xfId="2171"/>
    <cellStyle name="Celda de comprobación 20 2" xfId="2172"/>
    <cellStyle name="Celda de comprobación 20 3" xfId="2173"/>
    <cellStyle name="Celda de comprobación 20 4" xfId="2174"/>
    <cellStyle name="Celda de comprobación 20 5" xfId="2175"/>
    <cellStyle name="Celda de comprobación 20 6" xfId="2176"/>
    <cellStyle name="Celda de comprobación 20 7" xfId="2177"/>
    <cellStyle name="Celda de comprobación 20 8" xfId="2178"/>
    <cellStyle name="Celda de comprobación 20 9" xfId="2179"/>
    <cellStyle name="Celda de comprobación 21" xfId="2180"/>
    <cellStyle name="Celda de comprobación 21 10" xfId="2181"/>
    <cellStyle name="Celda de comprobación 21 11" xfId="2182"/>
    <cellStyle name="Celda de comprobación 21 12" xfId="2183"/>
    <cellStyle name="Celda de comprobación 21 13" xfId="2184"/>
    <cellStyle name="Celda de comprobación 21 14" xfId="2185"/>
    <cellStyle name="Celda de comprobación 21 15" xfId="2186"/>
    <cellStyle name="Celda de comprobación 21 16" xfId="2187"/>
    <cellStyle name="Celda de comprobación 21 2" xfId="2188"/>
    <cellStyle name="Celda de comprobación 21 3" xfId="2189"/>
    <cellStyle name="Celda de comprobación 21 4" xfId="2190"/>
    <cellStyle name="Celda de comprobación 21 5" xfId="2191"/>
    <cellStyle name="Celda de comprobación 21 6" xfId="2192"/>
    <cellStyle name="Celda de comprobación 21 7" xfId="2193"/>
    <cellStyle name="Celda de comprobación 21 8" xfId="2194"/>
    <cellStyle name="Celda de comprobación 21 9" xfId="2195"/>
    <cellStyle name="Celda de comprobación 22" xfId="2196"/>
    <cellStyle name="Celda de comprobación 22 10" xfId="2197"/>
    <cellStyle name="Celda de comprobación 22 11" xfId="2198"/>
    <cellStyle name="Celda de comprobación 22 12" xfId="2199"/>
    <cellStyle name="Celda de comprobación 22 13" xfId="2200"/>
    <cellStyle name="Celda de comprobación 22 14" xfId="2201"/>
    <cellStyle name="Celda de comprobación 22 15" xfId="2202"/>
    <cellStyle name="Celda de comprobación 22 16" xfId="2203"/>
    <cellStyle name="Celda de comprobación 22 2" xfId="2204"/>
    <cellStyle name="Celda de comprobación 22 3" xfId="2205"/>
    <cellStyle name="Celda de comprobación 22 4" xfId="2206"/>
    <cellStyle name="Celda de comprobación 22 5" xfId="2207"/>
    <cellStyle name="Celda de comprobación 22 6" xfId="2208"/>
    <cellStyle name="Celda de comprobación 22 7" xfId="2209"/>
    <cellStyle name="Celda de comprobación 22 8" xfId="2210"/>
    <cellStyle name="Celda de comprobación 22 9" xfId="2211"/>
    <cellStyle name="Celda de comprobación 23" xfId="2212"/>
    <cellStyle name="Celda de comprobación 23 10" xfId="2213"/>
    <cellStyle name="Celda de comprobación 23 11" xfId="2214"/>
    <cellStyle name="Celda de comprobación 23 12" xfId="2215"/>
    <cellStyle name="Celda de comprobación 23 13" xfId="2216"/>
    <cellStyle name="Celda de comprobación 23 14" xfId="2217"/>
    <cellStyle name="Celda de comprobación 23 15" xfId="2218"/>
    <cellStyle name="Celda de comprobación 23 16" xfId="2219"/>
    <cellStyle name="Celda de comprobación 23 2" xfId="2220"/>
    <cellStyle name="Celda de comprobación 23 3" xfId="2221"/>
    <cellStyle name="Celda de comprobación 23 4" xfId="2222"/>
    <cellStyle name="Celda de comprobación 23 5" xfId="2223"/>
    <cellStyle name="Celda de comprobación 23 6" xfId="2224"/>
    <cellStyle name="Celda de comprobación 23 7" xfId="2225"/>
    <cellStyle name="Celda de comprobación 23 8" xfId="2226"/>
    <cellStyle name="Celda de comprobación 23 9" xfId="2227"/>
    <cellStyle name="Celda de comprobación 24" xfId="2228"/>
    <cellStyle name="Celda de comprobación 24 2" xfId="2229"/>
    <cellStyle name="Celda de comprobación 24 3" xfId="2230"/>
    <cellStyle name="Celda de comprobación 24 4" xfId="2231"/>
    <cellStyle name="Celda de comprobación 25" xfId="2232"/>
    <cellStyle name="Celda de comprobación 25 2" xfId="2233"/>
    <cellStyle name="Celda de comprobación 25 3" xfId="2234"/>
    <cellStyle name="Celda de comprobación 25 4" xfId="2235"/>
    <cellStyle name="Celda de comprobación 26" xfId="2236"/>
    <cellStyle name="Celda de comprobación 26 2" xfId="2237"/>
    <cellStyle name="Celda de comprobación 26 3" xfId="2238"/>
    <cellStyle name="Celda de comprobación 26 4" xfId="2239"/>
    <cellStyle name="Celda de comprobación 27" xfId="2240"/>
    <cellStyle name="Celda de comprobación 27 2" xfId="2241"/>
    <cellStyle name="Celda de comprobación 27 3" xfId="2242"/>
    <cellStyle name="Celda de comprobación 27 4" xfId="2243"/>
    <cellStyle name="Celda de comprobación 28" xfId="2244"/>
    <cellStyle name="Celda de comprobación 28 2" xfId="2245"/>
    <cellStyle name="Celda de comprobación 28 3" xfId="2246"/>
    <cellStyle name="Celda de comprobación 28 4" xfId="2247"/>
    <cellStyle name="Celda de comprobación 29" xfId="2248"/>
    <cellStyle name="Celda de comprobación 29 2" xfId="2249"/>
    <cellStyle name="Celda de comprobación 29 3" xfId="2250"/>
    <cellStyle name="Celda de comprobación 29 4" xfId="2251"/>
    <cellStyle name="Celda de comprobación 3" xfId="2252"/>
    <cellStyle name="Celda de comprobación 3 10" xfId="2253"/>
    <cellStyle name="Celda de comprobación 3 10 2" xfId="2254"/>
    <cellStyle name="Celda de comprobación 3 10 3" xfId="2255"/>
    <cellStyle name="Celda de comprobación 3 10 4" xfId="2256"/>
    <cellStyle name="Celda de comprobación 3 11" xfId="2257"/>
    <cellStyle name="Celda de comprobación 3 11 2" xfId="2258"/>
    <cellStyle name="Celda de comprobación 3 11 3" xfId="2259"/>
    <cellStyle name="Celda de comprobación 3 11 4" xfId="2260"/>
    <cellStyle name="Celda de comprobación 3 12" xfId="2261"/>
    <cellStyle name="Celda de comprobación 3 12 2" xfId="2262"/>
    <cellStyle name="Celda de comprobación 3 12 3" xfId="2263"/>
    <cellStyle name="Celda de comprobación 3 12 4" xfId="2264"/>
    <cellStyle name="Celda de comprobación 3 13" xfId="2265"/>
    <cellStyle name="Celda de comprobación 3 13 2" xfId="2266"/>
    <cellStyle name="Celda de comprobación 3 13 3" xfId="2267"/>
    <cellStyle name="Celda de comprobación 3 13 4" xfId="2268"/>
    <cellStyle name="Celda de comprobación 3 14" xfId="2269"/>
    <cellStyle name="Celda de comprobación 3 14 2" xfId="2270"/>
    <cellStyle name="Celda de comprobación 3 14 3" xfId="2271"/>
    <cellStyle name="Celda de comprobación 3 14 4" xfId="2272"/>
    <cellStyle name="Celda de comprobación 3 15" xfId="2273"/>
    <cellStyle name="Celda de comprobación 3 15 2" xfId="2274"/>
    <cellStyle name="Celda de comprobación 3 15 3" xfId="2275"/>
    <cellStyle name="Celda de comprobación 3 15 4" xfId="2276"/>
    <cellStyle name="Celda de comprobación 3 16" xfId="2277"/>
    <cellStyle name="Celda de comprobación 3 16 2" xfId="2278"/>
    <cellStyle name="Celda de comprobación 3 16 3" xfId="2279"/>
    <cellStyle name="Celda de comprobación 3 16 4" xfId="2280"/>
    <cellStyle name="Celda de comprobación 3 17" xfId="2281"/>
    <cellStyle name="Celda de comprobación 3 17 2" xfId="2282"/>
    <cellStyle name="Celda de comprobación 3 17 3" xfId="2283"/>
    <cellStyle name="Celda de comprobación 3 17 4" xfId="2284"/>
    <cellStyle name="Celda de comprobación 3 18" xfId="2285"/>
    <cellStyle name="Celda de comprobación 3 18 2" xfId="2286"/>
    <cellStyle name="Celda de comprobación 3 18 3" xfId="2287"/>
    <cellStyle name="Celda de comprobación 3 18 4" xfId="2288"/>
    <cellStyle name="Celda de comprobación 3 19" xfId="2289"/>
    <cellStyle name="Celda de comprobación 3 19 2" xfId="2290"/>
    <cellStyle name="Celda de comprobación 3 19 3" xfId="2291"/>
    <cellStyle name="Celda de comprobación 3 19 4" xfId="2292"/>
    <cellStyle name="Celda de comprobación 3 2" xfId="2293"/>
    <cellStyle name="Celda de comprobación 3 2 2" xfId="2294"/>
    <cellStyle name="Celda de comprobación 3 2 3" xfId="2295"/>
    <cellStyle name="Celda de comprobación 3 2 4" xfId="2296"/>
    <cellStyle name="Celda de comprobación 3 2 5" xfId="12891"/>
    <cellStyle name="Celda de comprobación 3 20" xfId="2297"/>
    <cellStyle name="Celda de comprobación 3 20 2" xfId="2298"/>
    <cellStyle name="Celda de comprobación 3 20 3" xfId="2299"/>
    <cellStyle name="Celda de comprobación 3 20 4" xfId="2300"/>
    <cellStyle name="Celda de comprobación 3 21" xfId="2301"/>
    <cellStyle name="Celda de comprobación 3 21 2" xfId="2302"/>
    <cellStyle name="Celda de comprobación 3 21 3" xfId="2303"/>
    <cellStyle name="Celda de comprobación 3 21 4" xfId="2304"/>
    <cellStyle name="Celda de comprobación 3 22" xfId="2305"/>
    <cellStyle name="Celda de comprobación 3 22 2" xfId="2306"/>
    <cellStyle name="Celda de comprobación 3 22 3" xfId="2307"/>
    <cellStyle name="Celda de comprobación 3 22 4" xfId="2308"/>
    <cellStyle name="Celda de comprobación 3 23" xfId="2309"/>
    <cellStyle name="Celda de comprobación 3 23 2" xfId="2310"/>
    <cellStyle name="Celda de comprobación 3 23 3" xfId="2311"/>
    <cellStyle name="Celda de comprobación 3 23 4" xfId="2312"/>
    <cellStyle name="Celda de comprobación 3 24" xfId="2313"/>
    <cellStyle name="Celda de comprobación 3 24 2" xfId="2314"/>
    <cellStyle name="Celda de comprobación 3 24 3" xfId="2315"/>
    <cellStyle name="Celda de comprobación 3 24 4" xfId="2316"/>
    <cellStyle name="Celda de comprobación 3 25" xfId="2317"/>
    <cellStyle name="Celda de comprobación 3 25 2" xfId="2318"/>
    <cellStyle name="Celda de comprobación 3 25 3" xfId="2319"/>
    <cellStyle name="Celda de comprobación 3 25 4" xfId="2320"/>
    <cellStyle name="Celda de comprobación 3 26" xfId="2321"/>
    <cellStyle name="Celda de comprobación 3 26 2" xfId="2322"/>
    <cellStyle name="Celda de comprobación 3 26 3" xfId="2323"/>
    <cellStyle name="Celda de comprobación 3 26 4" xfId="2324"/>
    <cellStyle name="Celda de comprobación 3 27" xfId="2325"/>
    <cellStyle name="Celda de comprobación 3 27 2" xfId="2326"/>
    <cellStyle name="Celda de comprobación 3 27 3" xfId="2327"/>
    <cellStyle name="Celda de comprobación 3 27 4" xfId="2328"/>
    <cellStyle name="Celda de comprobación 3 28" xfId="2329"/>
    <cellStyle name="Celda de comprobación 3 28 2" xfId="2330"/>
    <cellStyle name="Celda de comprobación 3 28 3" xfId="2331"/>
    <cellStyle name="Celda de comprobación 3 28 4" xfId="2332"/>
    <cellStyle name="Celda de comprobación 3 29" xfId="2333"/>
    <cellStyle name="Celda de comprobación 3 29 2" xfId="2334"/>
    <cellStyle name="Celda de comprobación 3 29 3" xfId="2335"/>
    <cellStyle name="Celda de comprobación 3 29 4" xfId="2336"/>
    <cellStyle name="Celda de comprobación 3 3" xfId="2337"/>
    <cellStyle name="Celda de comprobación 3 3 2" xfId="2338"/>
    <cellStyle name="Celda de comprobación 3 3 3" xfId="2339"/>
    <cellStyle name="Celda de comprobación 3 3 4" xfId="2340"/>
    <cellStyle name="Celda de comprobación 3 30" xfId="2341"/>
    <cellStyle name="Celda de comprobación 3 30 2" xfId="2342"/>
    <cellStyle name="Celda de comprobación 3 30 3" xfId="2343"/>
    <cellStyle name="Celda de comprobación 3 30 4" xfId="2344"/>
    <cellStyle name="Celda de comprobación 3 31" xfId="2345"/>
    <cellStyle name="Celda de comprobación 3 31 2" xfId="2346"/>
    <cellStyle name="Celda de comprobación 3 31 3" xfId="2347"/>
    <cellStyle name="Celda de comprobación 3 31 4" xfId="2348"/>
    <cellStyle name="Celda de comprobación 3 32" xfId="2349"/>
    <cellStyle name="Celda de comprobación 3 32 2" xfId="2350"/>
    <cellStyle name="Celda de comprobación 3 32 3" xfId="2351"/>
    <cellStyle name="Celda de comprobación 3 32 4" xfId="2352"/>
    <cellStyle name="Celda de comprobación 3 33" xfId="2353"/>
    <cellStyle name="Celda de comprobación 3 33 2" xfId="2354"/>
    <cellStyle name="Celda de comprobación 3 33 3" xfId="2355"/>
    <cellStyle name="Celda de comprobación 3 33 4" xfId="2356"/>
    <cellStyle name="Celda de comprobación 3 34" xfId="2357"/>
    <cellStyle name="Celda de comprobación 3 34 2" xfId="2358"/>
    <cellStyle name="Celda de comprobación 3 34 3" xfId="2359"/>
    <cellStyle name="Celda de comprobación 3 34 4" xfId="2360"/>
    <cellStyle name="Celda de comprobación 3 35" xfId="2361"/>
    <cellStyle name="Celda de comprobación 3 35 2" xfId="2362"/>
    <cellStyle name="Celda de comprobación 3 35 3" xfId="2363"/>
    <cellStyle name="Celda de comprobación 3 35 4" xfId="2364"/>
    <cellStyle name="Celda de comprobación 3 36" xfId="2365"/>
    <cellStyle name="Celda de comprobación 3 36 2" xfId="2366"/>
    <cellStyle name="Celda de comprobación 3 36 3" xfId="2367"/>
    <cellStyle name="Celda de comprobación 3 36 4" xfId="2368"/>
    <cellStyle name="Celda de comprobación 3 37" xfId="2369"/>
    <cellStyle name="Celda de comprobación 3 38" xfId="2370"/>
    <cellStyle name="Celda de comprobación 3 39" xfId="2371"/>
    <cellStyle name="Celda de comprobación 3 4" xfId="2372"/>
    <cellStyle name="Celda de comprobación 3 4 2" xfId="2373"/>
    <cellStyle name="Celda de comprobación 3 4 3" xfId="2374"/>
    <cellStyle name="Celda de comprobación 3 4 4" xfId="2375"/>
    <cellStyle name="Celda de comprobación 3 40" xfId="2376"/>
    <cellStyle name="Celda de comprobación 3 41" xfId="2377"/>
    <cellStyle name="Celda de comprobación 3 42" xfId="2378"/>
    <cellStyle name="Celda de comprobación 3 43" xfId="2379"/>
    <cellStyle name="Celda de comprobación 3 44" xfId="2380"/>
    <cellStyle name="Celda de comprobación 3 45" xfId="2381"/>
    <cellStyle name="Celda de comprobación 3 46" xfId="2382"/>
    <cellStyle name="Celda de comprobación 3 47" xfId="2383"/>
    <cellStyle name="Celda de comprobación 3 48" xfId="2384"/>
    <cellStyle name="Celda de comprobación 3 49" xfId="2385"/>
    <cellStyle name="Celda de comprobación 3 5" xfId="2386"/>
    <cellStyle name="Celda de comprobación 3 5 2" xfId="2387"/>
    <cellStyle name="Celda de comprobación 3 5 3" xfId="2388"/>
    <cellStyle name="Celda de comprobación 3 5 4" xfId="2389"/>
    <cellStyle name="Celda de comprobación 3 50" xfId="2390"/>
    <cellStyle name="Celda de comprobación 3 51" xfId="2391"/>
    <cellStyle name="Celda de comprobación 3 52" xfId="12892"/>
    <cellStyle name="Celda de comprobación 3 6" xfId="2392"/>
    <cellStyle name="Celda de comprobación 3 6 2" xfId="2393"/>
    <cellStyle name="Celda de comprobación 3 6 3" xfId="2394"/>
    <cellStyle name="Celda de comprobación 3 6 4" xfId="2395"/>
    <cellStyle name="Celda de comprobación 3 7" xfId="2396"/>
    <cellStyle name="Celda de comprobación 3 7 2" xfId="2397"/>
    <cellStyle name="Celda de comprobación 3 7 3" xfId="2398"/>
    <cellStyle name="Celda de comprobación 3 7 4" xfId="2399"/>
    <cellStyle name="Celda de comprobación 3 8" xfId="2400"/>
    <cellStyle name="Celda de comprobación 3 8 2" xfId="2401"/>
    <cellStyle name="Celda de comprobación 3 8 3" xfId="2402"/>
    <cellStyle name="Celda de comprobación 3 8 4" xfId="2403"/>
    <cellStyle name="Celda de comprobación 3 9" xfId="2404"/>
    <cellStyle name="Celda de comprobación 3 9 2" xfId="2405"/>
    <cellStyle name="Celda de comprobación 3 9 3" xfId="2406"/>
    <cellStyle name="Celda de comprobación 3 9 4" xfId="2407"/>
    <cellStyle name="Celda de comprobación 30" xfId="2408"/>
    <cellStyle name="Celda de comprobación 30 2" xfId="2409"/>
    <cellStyle name="Celda de comprobación 30 3" xfId="2410"/>
    <cellStyle name="Celda de comprobación 30 4" xfId="2411"/>
    <cellStyle name="Celda de comprobación 31" xfId="2412"/>
    <cellStyle name="Celda de comprobación 31 2" xfId="2413"/>
    <cellStyle name="Celda de comprobación 31 3" xfId="2414"/>
    <cellStyle name="Celda de comprobación 31 4" xfId="2415"/>
    <cellStyle name="Celda de comprobación 32" xfId="2416"/>
    <cellStyle name="Celda de comprobación 32 2" xfId="2417"/>
    <cellStyle name="Celda de comprobación 32 3" xfId="2418"/>
    <cellStyle name="Celda de comprobación 32 4" xfId="2419"/>
    <cellStyle name="Celda de comprobación 33" xfId="2420"/>
    <cellStyle name="Celda de comprobación 33 2" xfId="2421"/>
    <cellStyle name="Celda de comprobación 33 3" xfId="2422"/>
    <cellStyle name="Celda de comprobación 33 4" xfId="2423"/>
    <cellStyle name="Celda de comprobación 34" xfId="2424"/>
    <cellStyle name="Celda de comprobación 34 2" xfId="2425"/>
    <cellStyle name="Celda de comprobación 34 3" xfId="2426"/>
    <cellStyle name="Celda de comprobación 34 4" xfId="2427"/>
    <cellStyle name="Celda de comprobación 35" xfId="2428"/>
    <cellStyle name="Celda de comprobación 35 2" xfId="2429"/>
    <cellStyle name="Celda de comprobación 35 3" xfId="2430"/>
    <cellStyle name="Celda de comprobación 35 4" xfId="2431"/>
    <cellStyle name="Celda de comprobación 36" xfId="2432"/>
    <cellStyle name="Celda de comprobación 36 2" xfId="2433"/>
    <cellStyle name="Celda de comprobación 36 3" xfId="2434"/>
    <cellStyle name="Celda de comprobación 36 4" xfId="2435"/>
    <cellStyle name="Celda de comprobación 37" xfId="2436"/>
    <cellStyle name="Celda de comprobación 37 2" xfId="2437"/>
    <cellStyle name="Celda de comprobación 37 3" xfId="2438"/>
    <cellStyle name="Celda de comprobación 37 4" xfId="2439"/>
    <cellStyle name="Celda de comprobación 38" xfId="2440"/>
    <cellStyle name="Celda de comprobación 38 2" xfId="2441"/>
    <cellStyle name="Celda de comprobación 38 3" xfId="2442"/>
    <cellStyle name="Celda de comprobación 38 4" xfId="2443"/>
    <cellStyle name="Celda de comprobación 39" xfId="2444"/>
    <cellStyle name="Celda de comprobación 39 2" xfId="2445"/>
    <cellStyle name="Celda de comprobación 39 3" xfId="2446"/>
    <cellStyle name="Celda de comprobación 39 4" xfId="2447"/>
    <cellStyle name="Celda de comprobación 4" xfId="2448"/>
    <cellStyle name="Celda de comprobación 4 10" xfId="2449"/>
    <cellStyle name="Celda de comprobación 4 10 2" xfId="2450"/>
    <cellStyle name="Celda de comprobación 4 10 3" xfId="2451"/>
    <cellStyle name="Celda de comprobación 4 10 4" xfId="2452"/>
    <cellStyle name="Celda de comprobación 4 11" xfId="2453"/>
    <cellStyle name="Celda de comprobación 4 11 2" xfId="2454"/>
    <cellStyle name="Celda de comprobación 4 11 3" xfId="2455"/>
    <cellStyle name="Celda de comprobación 4 11 4" xfId="2456"/>
    <cellStyle name="Celda de comprobación 4 12" xfId="2457"/>
    <cellStyle name="Celda de comprobación 4 12 2" xfId="2458"/>
    <cellStyle name="Celda de comprobación 4 12 3" xfId="2459"/>
    <cellStyle name="Celda de comprobación 4 12 4" xfId="2460"/>
    <cellStyle name="Celda de comprobación 4 13" xfId="2461"/>
    <cellStyle name="Celda de comprobación 4 13 2" xfId="2462"/>
    <cellStyle name="Celda de comprobación 4 13 3" xfId="2463"/>
    <cellStyle name="Celda de comprobación 4 13 4" xfId="2464"/>
    <cellStyle name="Celda de comprobación 4 14" xfId="2465"/>
    <cellStyle name="Celda de comprobación 4 14 2" xfId="2466"/>
    <cellStyle name="Celda de comprobación 4 14 3" xfId="2467"/>
    <cellStyle name="Celda de comprobación 4 14 4" xfId="2468"/>
    <cellStyle name="Celda de comprobación 4 15" xfId="2469"/>
    <cellStyle name="Celda de comprobación 4 15 2" xfId="2470"/>
    <cellStyle name="Celda de comprobación 4 15 3" xfId="2471"/>
    <cellStyle name="Celda de comprobación 4 15 4" xfId="2472"/>
    <cellStyle name="Celda de comprobación 4 16" xfId="2473"/>
    <cellStyle name="Celda de comprobación 4 16 2" xfId="2474"/>
    <cellStyle name="Celda de comprobación 4 16 3" xfId="2475"/>
    <cellStyle name="Celda de comprobación 4 16 4" xfId="2476"/>
    <cellStyle name="Celda de comprobación 4 17" xfId="2477"/>
    <cellStyle name="Celda de comprobación 4 17 2" xfId="2478"/>
    <cellStyle name="Celda de comprobación 4 17 3" xfId="2479"/>
    <cellStyle name="Celda de comprobación 4 17 4" xfId="2480"/>
    <cellStyle name="Celda de comprobación 4 18" xfId="2481"/>
    <cellStyle name="Celda de comprobación 4 18 2" xfId="2482"/>
    <cellStyle name="Celda de comprobación 4 18 3" xfId="2483"/>
    <cellStyle name="Celda de comprobación 4 18 4" xfId="2484"/>
    <cellStyle name="Celda de comprobación 4 19" xfId="2485"/>
    <cellStyle name="Celda de comprobación 4 19 2" xfId="2486"/>
    <cellStyle name="Celda de comprobación 4 19 3" xfId="2487"/>
    <cellStyle name="Celda de comprobación 4 19 4" xfId="2488"/>
    <cellStyle name="Celda de comprobación 4 2" xfId="2489"/>
    <cellStyle name="Celda de comprobación 4 2 2" xfId="2490"/>
    <cellStyle name="Celda de comprobación 4 2 3" xfId="2491"/>
    <cellStyle name="Celda de comprobación 4 2 4" xfId="2492"/>
    <cellStyle name="Celda de comprobación 4 2 5" xfId="12893"/>
    <cellStyle name="Celda de comprobación 4 20" xfId="2493"/>
    <cellStyle name="Celda de comprobación 4 20 2" xfId="2494"/>
    <cellStyle name="Celda de comprobación 4 20 3" xfId="2495"/>
    <cellStyle name="Celda de comprobación 4 20 4" xfId="2496"/>
    <cellStyle name="Celda de comprobación 4 21" xfId="2497"/>
    <cellStyle name="Celda de comprobación 4 21 2" xfId="2498"/>
    <cellStyle name="Celda de comprobación 4 21 3" xfId="2499"/>
    <cellStyle name="Celda de comprobación 4 21 4" xfId="2500"/>
    <cellStyle name="Celda de comprobación 4 22" xfId="2501"/>
    <cellStyle name="Celda de comprobación 4 22 2" xfId="2502"/>
    <cellStyle name="Celda de comprobación 4 22 3" xfId="2503"/>
    <cellStyle name="Celda de comprobación 4 22 4" xfId="2504"/>
    <cellStyle name="Celda de comprobación 4 23" xfId="2505"/>
    <cellStyle name="Celda de comprobación 4 23 2" xfId="2506"/>
    <cellStyle name="Celda de comprobación 4 23 3" xfId="2507"/>
    <cellStyle name="Celda de comprobación 4 23 4" xfId="2508"/>
    <cellStyle name="Celda de comprobación 4 24" xfId="2509"/>
    <cellStyle name="Celda de comprobación 4 24 2" xfId="2510"/>
    <cellStyle name="Celda de comprobación 4 24 3" xfId="2511"/>
    <cellStyle name="Celda de comprobación 4 24 4" xfId="2512"/>
    <cellStyle name="Celda de comprobación 4 25" xfId="2513"/>
    <cellStyle name="Celda de comprobación 4 25 2" xfId="2514"/>
    <cellStyle name="Celda de comprobación 4 25 3" xfId="2515"/>
    <cellStyle name="Celda de comprobación 4 25 4" xfId="2516"/>
    <cellStyle name="Celda de comprobación 4 26" xfId="2517"/>
    <cellStyle name="Celda de comprobación 4 26 2" xfId="2518"/>
    <cellStyle name="Celda de comprobación 4 26 3" xfId="2519"/>
    <cellStyle name="Celda de comprobación 4 26 4" xfId="2520"/>
    <cellStyle name="Celda de comprobación 4 27" xfId="2521"/>
    <cellStyle name="Celda de comprobación 4 27 2" xfId="2522"/>
    <cellStyle name="Celda de comprobación 4 27 3" xfId="2523"/>
    <cellStyle name="Celda de comprobación 4 27 4" xfId="2524"/>
    <cellStyle name="Celda de comprobación 4 28" xfId="2525"/>
    <cellStyle name="Celda de comprobación 4 28 2" xfId="2526"/>
    <cellStyle name="Celda de comprobación 4 28 3" xfId="2527"/>
    <cellStyle name="Celda de comprobación 4 28 4" xfId="2528"/>
    <cellStyle name="Celda de comprobación 4 29" xfId="2529"/>
    <cellStyle name="Celda de comprobación 4 29 2" xfId="2530"/>
    <cellStyle name="Celda de comprobación 4 29 3" xfId="2531"/>
    <cellStyle name="Celda de comprobación 4 29 4" xfId="2532"/>
    <cellStyle name="Celda de comprobación 4 3" xfId="2533"/>
    <cellStyle name="Celda de comprobación 4 3 2" xfId="2534"/>
    <cellStyle name="Celda de comprobación 4 3 3" xfId="2535"/>
    <cellStyle name="Celda de comprobación 4 3 4" xfId="2536"/>
    <cellStyle name="Celda de comprobación 4 30" xfId="2537"/>
    <cellStyle name="Celda de comprobación 4 30 2" xfId="2538"/>
    <cellStyle name="Celda de comprobación 4 30 3" xfId="2539"/>
    <cellStyle name="Celda de comprobación 4 30 4" xfId="2540"/>
    <cellStyle name="Celda de comprobación 4 31" xfId="2541"/>
    <cellStyle name="Celda de comprobación 4 31 2" xfId="2542"/>
    <cellStyle name="Celda de comprobación 4 31 3" xfId="2543"/>
    <cellStyle name="Celda de comprobación 4 31 4" xfId="2544"/>
    <cellStyle name="Celda de comprobación 4 32" xfId="2545"/>
    <cellStyle name="Celda de comprobación 4 32 2" xfId="2546"/>
    <cellStyle name="Celda de comprobación 4 32 3" xfId="2547"/>
    <cellStyle name="Celda de comprobación 4 32 4" xfId="2548"/>
    <cellStyle name="Celda de comprobación 4 33" xfId="2549"/>
    <cellStyle name="Celda de comprobación 4 33 2" xfId="2550"/>
    <cellStyle name="Celda de comprobación 4 33 3" xfId="2551"/>
    <cellStyle name="Celda de comprobación 4 33 4" xfId="2552"/>
    <cellStyle name="Celda de comprobación 4 34" xfId="2553"/>
    <cellStyle name="Celda de comprobación 4 34 2" xfId="2554"/>
    <cellStyle name="Celda de comprobación 4 34 3" xfId="2555"/>
    <cellStyle name="Celda de comprobación 4 34 4" xfId="2556"/>
    <cellStyle name="Celda de comprobación 4 35" xfId="2557"/>
    <cellStyle name="Celda de comprobación 4 35 2" xfId="2558"/>
    <cellStyle name="Celda de comprobación 4 35 3" xfId="2559"/>
    <cellStyle name="Celda de comprobación 4 35 4" xfId="2560"/>
    <cellStyle name="Celda de comprobación 4 36" xfId="2561"/>
    <cellStyle name="Celda de comprobación 4 36 2" xfId="2562"/>
    <cellStyle name="Celda de comprobación 4 36 3" xfId="2563"/>
    <cellStyle name="Celda de comprobación 4 36 4" xfId="2564"/>
    <cellStyle name="Celda de comprobación 4 37" xfId="2565"/>
    <cellStyle name="Celda de comprobación 4 38" xfId="2566"/>
    <cellStyle name="Celda de comprobación 4 39" xfId="2567"/>
    <cellStyle name="Celda de comprobación 4 4" xfId="2568"/>
    <cellStyle name="Celda de comprobación 4 4 2" xfId="2569"/>
    <cellStyle name="Celda de comprobación 4 4 3" xfId="2570"/>
    <cellStyle name="Celda de comprobación 4 4 4" xfId="2571"/>
    <cellStyle name="Celda de comprobación 4 40" xfId="2572"/>
    <cellStyle name="Celda de comprobación 4 41" xfId="2573"/>
    <cellStyle name="Celda de comprobación 4 42" xfId="2574"/>
    <cellStyle name="Celda de comprobación 4 43" xfId="2575"/>
    <cellStyle name="Celda de comprobación 4 44" xfId="2576"/>
    <cellStyle name="Celda de comprobación 4 45" xfId="2577"/>
    <cellStyle name="Celda de comprobación 4 46" xfId="2578"/>
    <cellStyle name="Celda de comprobación 4 47" xfId="2579"/>
    <cellStyle name="Celda de comprobación 4 48" xfId="2580"/>
    <cellStyle name="Celda de comprobación 4 49" xfId="2581"/>
    <cellStyle name="Celda de comprobación 4 5" xfId="2582"/>
    <cellStyle name="Celda de comprobación 4 5 2" xfId="2583"/>
    <cellStyle name="Celda de comprobación 4 5 3" xfId="2584"/>
    <cellStyle name="Celda de comprobación 4 5 4" xfId="2585"/>
    <cellStyle name="Celda de comprobación 4 50" xfId="2586"/>
    <cellStyle name="Celda de comprobación 4 51" xfId="2587"/>
    <cellStyle name="Celda de comprobación 4 52" xfId="12894"/>
    <cellStyle name="Celda de comprobación 4 6" xfId="2588"/>
    <cellStyle name="Celda de comprobación 4 6 2" xfId="2589"/>
    <cellStyle name="Celda de comprobación 4 6 3" xfId="2590"/>
    <cellStyle name="Celda de comprobación 4 6 4" xfId="2591"/>
    <cellStyle name="Celda de comprobación 4 7" xfId="2592"/>
    <cellStyle name="Celda de comprobación 4 7 2" xfId="2593"/>
    <cellStyle name="Celda de comprobación 4 7 3" xfId="2594"/>
    <cellStyle name="Celda de comprobación 4 7 4" xfId="2595"/>
    <cellStyle name="Celda de comprobación 4 8" xfId="2596"/>
    <cellStyle name="Celda de comprobación 4 8 2" xfId="2597"/>
    <cellStyle name="Celda de comprobación 4 8 3" xfId="2598"/>
    <cellStyle name="Celda de comprobación 4 8 4" xfId="2599"/>
    <cellStyle name="Celda de comprobación 4 9" xfId="2600"/>
    <cellStyle name="Celda de comprobación 4 9 2" xfId="2601"/>
    <cellStyle name="Celda de comprobación 4 9 3" xfId="2602"/>
    <cellStyle name="Celda de comprobación 4 9 4" xfId="2603"/>
    <cellStyle name="Celda de comprobación 40" xfId="2604"/>
    <cellStyle name="Celda de comprobación 40 2" xfId="2605"/>
    <cellStyle name="Celda de comprobación 40 3" xfId="2606"/>
    <cellStyle name="Celda de comprobación 40 4" xfId="2607"/>
    <cellStyle name="Celda de comprobación 41" xfId="2608"/>
    <cellStyle name="Celda de comprobación 41 2" xfId="2609"/>
    <cellStyle name="Celda de comprobación 41 3" xfId="2610"/>
    <cellStyle name="Celda de comprobación 41 4" xfId="2611"/>
    <cellStyle name="Celda de comprobación 42" xfId="2612"/>
    <cellStyle name="Celda de comprobación 42 2" xfId="2613"/>
    <cellStyle name="Celda de comprobación 42 3" xfId="2614"/>
    <cellStyle name="Celda de comprobación 42 4" xfId="2615"/>
    <cellStyle name="Celda de comprobación 43" xfId="2616"/>
    <cellStyle name="Celda de comprobación 43 2" xfId="2617"/>
    <cellStyle name="Celda de comprobación 43 3" xfId="2618"/>
    <cellStyle name="Celda de comprobación 43 4" xfId="2619"/>
    <cellStyle name="Celda de comprobación 44" xfId="2620"/>
    <cellStyle name="Celda de comprobación 44 2" xfId="2621"/>
    <cellStyle name="Celda de comprobación 44 3" xfId="2622"/>
    <cellStyle name="Celda de comprobación 44 4" xfId="2623"/>
    <cellStyle name="Celda de comprobación 45" xfId="2624"/>
    <cellStyle name="Celda de comprobación 45 2" xfId="2625"/>
    <cellStyle name="Celda de comprobación 45 3" xfId="2626"/>
    <cellStyle name="Celda de comprobación 45 4" xfId="2627"/>
    <cellStyle name="Celda de comprobación 46" xfId="2628"/>
    <cellStyle name="Celda de comprobación 46 2" xfId="2629"/>
    <cellStyle name="Celda de comprobación 46 3" xfId="2630"/>
    <cellStyle name="Celda de comprobación 46 4" xfId="2631"/>
    <cellStyle name="Celda de comprobación 47" xfId="2632"/>
    <cellStyle name="Celda de comprobación 47 2" xfId="2633"/>
    <cellStyle name="Celda de comprobación 47 3" xfId="2634"/>
    <cellStyle name="Celda de comprobación 47 4" xfId="2635"/>
    <cellStyle name="Celda de comprobación 48" xfId="2636"/>
    <cellStyle name="Celda de comprobación 48 2" xfId="2637"/>
    <cellStyle name="Celda de comprobación 48 3" xfId="2638"/>
    <cellStyle name="Celda de comprobación 48 4" xfId="2639"/>
    <cellStyle name="Celda de comprobación 49" xfId="2640"/>
    <cellStyle name="Celda de comprobación 49 2" xfId="2641"/>
    <cellStyle name="Celda de comprobación 49 3" xfId="2642"/>
    <cellStyle name="Celda de comprobación 49 4" xfId="2643"/>
    <cellStyle name="Celda de comprobación 5" xfId="2644"/>
    <cellStyle name="Celda de comprobación 5 10" xfId="2645"/>
    <cellStyle name="Celda de comprobación 5 10 2" xfId="2646"/>
    <cellStyle name="Celda de comprobación 5 10 3" xfId="2647"/>
    <cellStyle name="Celda de comprobación 5 10 4" xfId="2648"/>
    <cellStyle name="Celda de comprobación 5 11" xfId="2649"/>
    <cellStyle name="Celda de comprobación 5 11 2" xfId="2650"/>
    <cellStyle name="Celda de comprobación 5 11 3" xfId="2651"/>
    <cellStyle name="Celda de comprobación 5 11 4" xfId="2652"/>
    <cellStyle name="Celda de comprobación 5 12" xfId="2653"/>
    <cellStyle name="Celda de comprobación 5 12 2" xfId="2654"/>
    <cellStyle name="Celda de comprobación 5 12 3" xfId="2655"/>
    <cellStyle name="Celda de comprobación 5 12 4" xfId="2656"/>
    <cellStyle name="Celda de comprobación 5 13" xfId="2657"/>
    <cellStyle name="Celda de comprobación 5 13 2" xfId="2658"/>
    <cellStyle name="Celda de comprobación 5 13 3" xfId="2659"/>
    <cellStyle name="Celda de comprobación 5 13 4" xfId="2660"/>
    <cellStyle name="Celda de comprobación 5 14" xfId="2661"/>
    <cellStyle name="Celda de comprobación 5 14 2" xfId="2662"/>
    <cellStyle name="Celda de comprobación 5 14 3" xfId="2663"/>
    <cellStyle name="Celda de comprobación 5 14 4" xfId="2664"/>
    <cellStyle name="Celda de comprobación 5 15" xfId="2665"/>
    <cellStyle name="Celda de comprobación 5 15 2" xfId="2666"/>
    <cellStyle name="Celda de comprobación 5 15 3" xfId="2667"/>
    <cellStyle name="Celda de comprobación 5 15 4" xfId="2668"/>
    <cellStyle name="Celda de comprobación 5 16" xfId="2669"/>
    <cellStyle name="Celda de comprobación 5 16 2" xfId="2670"/>
    <cellStyle name="Celda de comprobación 5 16 3" xfId="2671"/>
    <cellStyle name="Celda de comprobación 5 16 4" xfId="2672"/>
    <cellStyle name="Celda de comprobación 5 17" xfId="2673"/>
    <cellStyle name="Celda de comprobación 5 17 2" xfId="2674"/>
    <cellStyle name="Celda de comprobación 5 17 3" xfId="2675"/>
    <cellStyle name="Celda de comprobación 5 17 4" xfId="2676"/>
    <cellStyle name="Celda de comprobación 5 18" xfId="2677"/>
    <cellStyle name="Celda de comprobación 5 18 2" xfId="2678"/>
    <cellStyle name="Celda de comprobación 5 18 3" xfId="2679"/>
    <cellStyle name="Celda de comprobación 5 18 4" xfId="2680"/>
    <cellStyle name="Celda de comprobación 5 19" xfId="2681"/>
    <cellStyle name="Celda de comprobación 5 19 2" xfId="2682"/>
    <cellStyle name="Celda de comprobación 5 19 3" xfId="2683"/>
    <cellStyle name="Celda de comprobación 5 19 4" xfId="2684"/>
    <cellStyle name="Celda de comprobación 5 2" xfId="2685"/>
    <cellStyle name="Celda de comprobación 5 2 2" xfId="2686"/>
    <cellStyle name="Celda de comprobación 5 2 3" xfId="2687"/>
    <cellStyle name="Celda de comprobación 5 2 4" xfId="2688"/>
    <cellStyle name="Celda de comprobación 5 2 5" xfId="12895"/>
    <cellStyle name="Celda de comprobación 5 20" xfId="2689"/>
    <cellStyle name="Celda de comprobación 5 20 2" xfId="2690"/>
    <cellStyle name="Celda de comprobación 5 20 3" xfId="2691"/>
    <cellStyle name="Celda de comprobación 5 20 4" xfId="2692"/>
    <cellStyle name="Celda de comprobación 5 21" xfId="2693"/>
    <cellStyle name="Celda de comprobación 5 21 2" xfId="2694"/>
    <cellStyle name="Celda de comprobación 5 21 3" xfId="2695"/>
    <cellStyle name="Celda de comprobación 5 21 4" xfId="2696"/>
    <cellStyle name="Celda de comprobación 5 22" xfId="2697"/>
    <cellStyle name="Celda de comprobación 5 22 2" xfId="2698"/>
    <cellStyle name="Celda de comprobación 5 22 3" xfId="2699"/>
    <cellStyle name="Celda de comprobación 5 22 4" xfId="2700"/>
    <cellStyle name="Celda de comprobación 5 23" xfId="2701"/>
    <cellStyle name="Celda de comprobación 5 23 2" xfId="2702"/>
    <cellStyle name="Celda de comprobación 5 23 3" xfId="2703"/>
    <cellStyle name="Celda de comprobación 5 23 4" xfId="2704"/>
    <cellStyle name="Celda de comprobación 5 24" xfId="2705"/>
    <cellStyle name="Celda de comprobación 5 24 2" xfId="2706"/>
    <cellStyle name="Celda de comprobación 5 24 3" xfId="2707"/>
    <cellStyle name="Celda de comprobación 5 24 4" xfId="2708"/>
    <cellStyle name="Celda de comprobación 5 25" xfId="2709"/>
    <cellStyle name="Celda de comprobación 5 25 2" xfId="2710"/>
    <cellStyle name="Celda de comprobación 5 25 3" xfId="2711"/>
    <cellStyle name="Celda de comprobación 5 25 4" xfId="2712"/>
    <cellStyle name="Celda de comprobación 5 26" xfId="2713"/>
    <cellStyle name="Celda de comprobación 5 26 2" xfId="2714"/>
    <cellStyle name="Celda de comprobación 5 26 3" xfId="2715"/>
    <cellStyle name="Celda de comprobación 5 26 4" xfId="2716"/>
    <cellStyle name="Celda de comprobación 5 27" xfId="2717"/>
    <cellStyle name="Celda de comprobación 5 27 2" xfId="2718"/>
    <cellStyle name="Celda de comprobación 5 27 3" xfId="2719"/>
    <cellStyle name="Celda de comprobación 5 27 4" xfId="2720"/>
    <cellStyle name="Celda de comprobación 5 28" xfId="2721"/>
    <cellStyle name="Celda de comprobación 5 28 2" xfId="2722"/>
    <cellStyle name="Celda de comprobación 5 28 3" xfId="2723"/>
    <cellStyle name="Celda de comprobación 5 28 4" xfId="2724"/>
    <cellStyle name="Celda de comprobación 5 29" xfId="2725"/>
    <cellStyle name="Celda de comprobación 5 29 2" xfId="2726"/>
    <cellStyle name="Celda de comprobación 5 29 3" xfId="2727"/>
    <cellStyle name="Celda de comprobación 5 29 4" xfId="2728"/>
    <cellStyle name="Celda de comprobación 5 3" xfId="2729"/>
    <cellStyle name="Celda de comprobación 5 3 2" xfId="2730"/>
    <cellStyle name="Celda de comprobación 5 3 3" xfId="2731"/>
    <cellStyle name="Celda de comprobación 5 3 4" xfId="2732"/>
    <cellStyle name="Celda de comprobación 5 30" xfId="2733"/>
    <cellStyle name="Celda de comprobación 5 30 2" xfId="2734"/>
    <cellStyle name="Celda de comprobación 5 30 3" xfId="2735"/>
    <cellStyle name="Celda de comprobación 5 30 4" xfId="2736"/>
    <cellStyle name="Celda de comprobación 5 31" xfId="2737"/>
    <cellStyle name="Celda de comprobación 5 31 2" xfId="2738"/>
    <cellStyle name="Celda de comprobación 5 31 3" xfId="2739"/>
    <cellStyle name="Celda de comprobación 5 31 4" xfId="2740"/>
    <cellStyle name="Celda de comprobación 5 32" xfId="2741"/>
    <cellStyle name="Celda de comprobación 5 32 2" xfId="2742"/>
    <cellStyle name="Celda de comprobación 5 32 3" xfId="2743"/>
    <cellStyle name="Celda de comprobación 5 32 4" xfId="2744"/>
    <cellStyle name="Celda de comprobación 5 33" xfId="2745"/>
    <cellStyle name="Celda de comprobación 5 33 2" xfId="2746"/>
    <cellStyle name="Celda de comprobación 5 33 3" xfId="2747"/>
    <cellStyle name="Celda de comprobación 5 33 4" xfId="2748"/>
    <cellStyle name="Celda de comprobación 5 34" xfId="2749"/>
    <cellStyle name="Celda de comprobación 5 34 2" xfId="2750"/>
    <cellStyle name="Celda de comprobación 5 34 3" xfId="2751"/>
    <cellStyle name="Celda de comprobación 5 34 4" xfId="2752"/>
    <cellStyle name="Celda de comprobación 5 35" xfId="2753"/>
    <cellStyle name="Celda de comprobación 5 35 2" xfId="2754"/>
    <cellStyle name="Celda de comprobación 5 35 3" xfId="2755"/>
    <cellStyle name="Celda de comprobación 5 35 4" xfId="2756"/>
    <cellStyle name="Celda de comprobación 5 36" xfId="2757"/>
    <cellStyle name="Celda de comprobación 5 36 2" xfId="2758"/>
    <cellStyle name="Celda de comprobación 5 36 3" xfId="2759"/>
    <cellStyle name="Celda de comprobación 5 36 4" xfId="2760"/>
    <cellStyle name="Celda de comprobación 5 37" xfId="2761"/>
    <cellStyle name="Celda de comprobación 5 38" xfId="2762"/>
    <cellStyle name="Celda de comprobación 5 39" xfId="2763"/>
    <cellStyle name="Celda de comprobación 5 4" xfId="2764"/>
    <cellStyle name="Celda de comprobación 5 4 2" xfId="2765"/>
    <cellStyle name="Celda de comprobación 5 4 3" xfId="2766"/>
    <cellStyle name="Celda de comprobación 5 4 4" xfId="2767"/>
    <cellStyle name="Celda de comprobación 5 40" xfId="2768"/>
    <cellStyle name="Celda de comprobación 5 41" xfId="2769"/>
    <cellStyle name="Celda de comprobación 5 42" xfId="2770"/>
    <cellStyle name="Celda de comprobación 5 43" xfId="2771"/>
    <cellStyle name="Celda de comprobación 5 44" xfId="2772"/>
    <cellStyle name="Celda de comprobación 5 45" xfId="2773"/>
    <cellStyle name="Celda de comprobación 5 46" xfId="2774"/>
    <cellStyle name="Celda de comprobación 5 47" xfId="2775"/>
    <cellStyle name="Celda de comprobación 5 48" xfId="2776"/>
    <cellStyle name="Celda de comprobación 5 49" xfId="2777"/>
    <cellStyle name="Celda de comprobación 5 5" xfId="2778"/>
    <cellStyle name="Celda de comprobación 5 5 2" xfId="2779"/>
    <cellStyle name="Celda de comprobación 5 5 3" xfId="2780"/>
    <cellStyle name="Celda de comprobación 5 5 4" xfId="2781"/>
    <cellStyle name="Celda de comprobación 5 50" xfId="2782"/>
    <cellStyle name="Celda de comprobación 5 51" xfId="2783"/>
    <cellStyle name="Celda de comprobación 5 6" xfId="2784"/>
    <cellStyle name="Celda de comprobación 5 6 2" xfId="2785"/>
    <cellStyle name="Celda de comprobación 5 6 3" xfId="2786"/>
    <cellStyle name="Celda de comprobación 5 6 4" xfId="2787"/>
    <cellStyle name="Celda de comprobación 5 7" xfId="2788"/>
    <cellStyle name="Celda de comprobación 5 7 2" xfId="2789"/>
    <cellStyle name="Celda de comprobación 5 7 3" xfId="2790"/>
    <cellStyle name="Celda de comprobación 5 7 4" xfId="2791"/>
    <cellStyle name="Celda de comprobación 5 8" xfId="2792"/>
    <cellStyle name="Celda de comprobación 5 8 2" xfId="2793"/>
    <cellStyle name="Celda de comprobación 5 8 3" xfId="2794"/>
    <cellStyle name="Celda de comprobación 5 8 4" xfId="2795"/>
    <cellStyle name="Celda de comprobación 5 9" xfId="2796"/>
    <cellStyle name="Celda de comprobación 5 9 2" xfId="2797"/>
    <cellStyle name="Celda de comprobación 5 9 3" xfId="2798"/>
    <cellStyle name="Celda de comprobación 5 9 4" xfId="2799"/>
    <cellStyle name="Celda de comprobación 50" xfId="2800"/>
    <cellStyle name="Celda de comprobación 50 2" xfId="2801"/>
    <cellStyle name="Celda de comprobación 50 3" xfId="2802"/>
    <cellStyle name="Celda de comprobación 50 4" xfId="2803"/>
    <cellStyle name="Celda de comprobación 6" xfId="2804"/>
    <cellStyle name="Celda de comprobación 6 10" xfId="2805"/>
    <cellStyle name="Celda de comprobación 6 10 2" xfId="2806"/>
    <cellStyle name="Celda de comprobación 6 10 3" xfId="2807"/>
    <cellStyle name="Celda de comprobación 6 10 4" xfId="2808"/>
    <cellStyle name="Celda de comprobación 6 11" xfId="2809"/>
    <cellStyle name="Celda de comprobación 6 11 2" xfId="2810"/>
    <cellStyle name="Celda de comprobación 6 11 3" xfId="2811"/>
    <cellStyle name="Celda de comprobación 6 11 4" xfId="2812"/>
    <cellStyle name="Celda de comprobación 6 12" xfId="2813"/>
    <cellStyle name="Celda de comprobación 6 12 2" xfId="2814"/>
    <cellStyle name="Celda de comprobación 6 12 3" xfId="2815"/>
    <cellStyle name="Celda de comprobación 6 12 4" xfId="2816"/>
    <cellStyle name="Celda de comprobación 6 13" xfId="2817"/>
    <cellStyle name="Celda de comprobación 6 13 2" xfId="2818"/>
    <cellStyle name="Celda de comprobación 6 13 3" xfId="2819"/>
    <cellStyle name="Celda de comprobación 6 13 4" xfId="2820"/>
    <cellStyle name="Celda de comprobación 6 14" xfId="2821"/>
    <cellStyle name="Celda de comprobación 6 14 2" xfId="2822"/>
    <cellStyle name="Celda de comprobación 6 14 3" xfId="2823"/>
    <cellStyle name="Celda de comprobación 6 14 4" xfId="2824"/>
    <cellStyle name="Celda de comprobación 6 15" xfId="2825"/>
    <cellStyle name="Celda de comprobación 6 15 2" xfId="2826"/>
    <cellStyle name="Celda de comprobación 6 15 3" xfId="2827"/>
    <cellStyle name="Celda de comprobación 6 15 4" xfId="2828"/>
    <cellStyle name="Celda de comprobación 6 16" xfId="2829"/>
    <cellStyle name="Celda de comprobación 6 16 2" xfId="2830"/>
    <cellStyle name="Celda de comprobación 6 16 3" xfId="2831"/>
    <cellStyle name="Celda de comprobación 6 16 4" xfId="2832"/>
    <cellStyle name="Celda de comprobación 6 17" xfId="2833"/>
    <cellStyle name="Celda de comprobación 6 17 2" xfId="2834"/>
    <cellStyle name="Celda de comprobación 6 17 3" xfId="2835"/>
    <cellStyle name="Celda de comprobación 6 17 4" xfId="2836"/>
    <cellStyle name="Celda de comprobación 6 18" xfId="2837"/>
    <cellStyle name="Celda de comprobación 6 18 2" xfId="2838"/>
    <cellStyle name="Celda de comprobación 6 18 3" xfId="2839"/>
    <cellStyle name="Celda de comprobación 6 18 4" xfId="2840"/>
    <cellStyle name="Celda de comprobación 6 19" xfId="2841"/>
    <cellStyle name="Celda de comprobación 6 19 2" xfId="2842"/>
    <cellStyle name="Celda de comprobación 6 19 3" xfId="2843"/>
    <cellStyle name="Celda de comprobación 6 19 4" xfId="2844"/>
    <cellStyle name="Celda de comprobación 6 2" xfId="2845"/>
    <cellStyle name="Celda de comprobación 6 2 2" xfId="2846"/>
    <cellStyle name="Celda de comprobación 6 2 3" xfId="2847"/>
    <cellStyle name="Celda de comprobación 6 2 4" xfId="2848"/>
    <cellStyle name="Celda de comprobación 6 2 5" xfId="12896"/>
    <cellStyle name="Celda de comprobación 6 20" xfId="2849"/>
    <cellStyle name="Celda de comprobación 6 20 2" xfId="2850"/>
    <cellStyle name="Celda de comprobación 6 20 3" xfId="2851"/>
    <cellStyle name="Celda de comprobación 6 20 4" xfId="2852"/>
    <cellStyle name="Celda de comprobación 6 21" xfId="2853"/>
    <cellStyle name="Celda de comprobación 6 21 2" xfId="2854"/>
    <cellStyle name="Celda de comprobación 6 21 3" xfId="2855"/>
    <cellStyle name="Celda de comprobación 6 21 4" xfId="2856"/>
    <cellStyle name="Celda de comprobación 6 22" xfId="2857"/>
    <cellStyle name="Celda de comprobación 6 22 2" xfId="2858"/>
    <cellStyle name="Celda de comprobación 6 22 3" xfId="2859"/>
    <cellStyle name="Celda de comprobación 6 22 4" xfId="2860"/>
    <cellStyle name="Celda de comprobación 6 23" xfId="2861"/>
    <cellStyle name="Celda de comprobación 6 23 2" xfId="2862"/>
    <cellStyle name="Celda de comprobación 6 23 3" xfId="2863"/>
    <cellStyle name="Celda de comprobación 6 23 4" xfId="2864"/>
    <cellStyle name="Celda de comprobación 6 24" xfId="2865"/>
    <cellStyle name="Celda de comprobación 6 24 2" xfId="2866"/>
    <cellStyle name="Celda de comprobación 6 24 3" xfId="2867"/>
    <cellStyle name="Celda de comprobación 6 24 4" xfId="2868"/>
    <cellStyle name="Celda de comprobación 6 25" xfId="2869"/>
    <cellStyle name="Celda de comprobación 6 25 2" xfId="2870"/>
    <cellStyle name="Celda de comprobación 6 25 3" xfId="2871"/>
    <cellStyle name="Celda de comprobación 6 25 4" xfId="2872"/>
    <cellStyle name="Celda de comprobación 6 26" xfId="2873"/>
    <cellStyle name="Celda de comprobación 6 26 2" xfId="2874"/>
    <cellStyle name="Celda de comprobación 6 26 3" xfId="2875"/>
    <cellStyle name="Celda de comprobación 6 26 4" xfId="2876"/>
    <cellStyle name="Celda de comprobación 6 27" xfId="2877"/>
    <cellStyle name="Celda de comprobación 6 27 2" xfId="2878"/>
    <cellStyle name="Celda de comprobación 6 27 3" xfId="2879"/>
    <cellStyle name="Celda de comprobación 6 27 4" xfId="2880"/>
    <cellStyle name="Celda de comprobación 6 28" xfId="2881"/>
    <cellStyle name="Celda de comprobación 6 28 2" xfId="2882"/>
    <cellStyle name="Celda de comprobación 6 28 3" xfId="2883"/>
    <cellStyle name="Celda de comprobación 6 28 4" xfId="2884"/>
    <cellStyle name="Celda de comprobación 6 29" xfId="2885"/>
    <cellStyle name="Celda de comprobación 6 29 2" xfId="2886"/>
    <cellStyle name="Celda de comprobación 6 29 3" xfId="2887"/>
    <cellStyle name="Celda de comprobación 6 29 4" xfId="2888"/>
    <cellStyle name="Celda de comprobación 6 3" xfId="2889"/>
    <cellStyle name="Celda de comprobación 6 3 2" xfId="2890"/>
    <cellStyle name="Celda de comprobación 6 3 3" xfId="2891"/>
    <cellStyle name="Celda de comprobación 6 3 4" xfId="2892"/>
    <cellStyle name="Celda de comprobación 6 30" xfId="2893"/>
    <cellStyle name="Celda de comprobación 6 30 2" xfId="2894"/>
    <cellStyle name="Celda de comprobación 6 30 3" xfId="2895"/>
    <cellStyle name="Celda de comprobación 6 30 4" xfId="2896"/>
    <cellStyle name="Celda de comprobación 6 31" xfId="2897"/>
    <cellStyle name="Celda de comprobación 6 31 2" xfId="2898"/>
    <cellStyle name="Celda de comprobación 6 31 3" xfId="2899"/>
    <cellStyle name="Celda de comprobación 6 31 4" xfId="2900"/>
    <cellStyle name="Celda de comprobación 6 32" xfId="2901"/>
    <cellStyle name="Celda de comprobación 6 32 2" xfId="2902"/>
    <cellStyle name="Celda de comprobación 6 32 3" xfId="2903"/>
    <cellStyle name="Celda de comprobación 6 32 4" xfId="2904"/>
    <cellStyle name="Celda de comprobación 6 33" xfId="2905"/>
    <cellStyle name="Celda de comprobación 6 33 2" xfId="2906"/>
    <cellStyle name="Celda de comprobación 6 33 3" xfId="2907"/>
    <cellStyle name="Celda de comprobación 6 33 4" xfId="2908"/>
    <cellStyle name="Celda de comprobación 6 34" xfId="2909"/>
    <cellStyle name="Celda de comprobación 6 34 2" xfId="2910"/>
    <cellStyle name="Celda de comprobación 6 34 3" xfId="2911"/>
    <cellStyle name="Celda de comprobación 6 34 4" xfId="2912"/>
    <cellStyle name="Celda de comprobación 6 35" xfId="2913"/>
    <cellStyle name="Celda de comprobación 6 35 2" xfId="2914"/>
    <cellStyle name="Celda de comprobación 6 35 3" xfId="2915"/>
    <cellStyle name="Celda de comprobación 6 35 4" xfId="2916"/>
    <cellStyle name="Celda de comprobación 6 36" xfId="2917"/>
    <cellStyle name="Celda de comprobación 6 36 2" xfId="2918"/>
    <cellStyle name="Celda de comprobación 6 36 3" xfId="2919"/>
    <cellStyle name="Celda de comprobación 6 36 4" xfId="2920"/>
    <cellStyle name="Celda de comprobación 6 37" xfId="2921"/>
    <cellStyle name="Celda de comprobación 6 38" xfId="2922"/>
    <cellStyle name="Celda de comprobación 6 39" xfId="2923"/>
    <cellStyle name="Celda de comprobación 6 4" xfId="2924"/>
    <cellStyle name="Celda de comprobación 6 4 2" xfId="2925"/>
    <cellStyle name="Celda de comprobación 6 4 3" xfId="2926"/>
    <cellStyle name="Celda de comprobación 6 4 4" xfId="2927"/>
    <cellStyle name="Celda de comprobación 6 40" xfId="2928"/>
    <cellStyle name="Celda de comprobación 6 41" xfId="2929"/>
    <cellStyle name="Celda de comprobación 6 42" xfId="2930"/>
    <cellStyle name="Celda de comprobación 6 43" xfId="2931"/>
    <cellStyle name="Celda de comprobación 6 44" xfId="2932"/>
    <cellStyle name="Celda de comprobación 6 45" xfId="2933"/>
    <cellStyle name="Celda de comprobación 6 46" xfId="2934"/>
    <cellStyle name="Celda de comprobación 6 47" xfId="2935"/>
    <cellStyle name="Celda de comprobación 6 48" xfId="2936"/>
    <cellStyle name="Celda de comprobación 6 49" xfId="2937"/>
    <cellStyle name="Celda de comprobación 6 5" xfId="2938"/>
    <cellStyle name="Celda de comprobación 6 5 2" xfId="2939"/>
    <cellStyle name="Celda de comprobación 6 5 3" xfId="2940"/>
    <cellStyle name="Celda de comprobación 6 5 4" xfId="2941"/>
    <cellStyle name="Celda de comprobación 6 50" xfId="2942"/>
    <cellStyle name="Celda de comprobación 6 51" xfId="2943"/>
    <cellStyle name="Celda de comprobación 6 6" xfId="2944"/>
    <cellStyle name="Celda de comprobación 6 6 2" xfId="2945"/>
    <cellStyle name="Celda de comprobación 6 6 3" xfId="2946"/>
    <cellStyle name="Celda de comprobación 6 6 4" xfId="2947"/>
    <cellStyle name="Celda de comprobación 6 7" xfId="2948"/>
    <cellStyle name="Celda de comprobación 6 7 2" xfId="2949"/>
    <cellStyle name="Celda de comprobación 6 7 3" xfId="2950"/>
    <cellStyle name="Celda de comprobación 6 7 4" xfId="2951"/>
    <cellStyle name="Celda de comprobación 6 8" xfId="2952"/>
    <cellStyle name="Celda de comprobación 6 8 2" xfId="2953"/>
    <cellStyle name="Celda de comprobación 6 8 3" xfId="2954"/>
    <cellStyle name="Celda de comprobación 6 8 4" xfId="2955"/>
    <cellStyle name="Celda de comprobación 6 9" xfId="2956"/>
    <cellStyle name="Celda de comprobación 6 9 2" xfId="2957"/>
    <cellStyle name="Celda de comprobación 6 9 3" xfId="2958"/>
    <cellStyle name="Celda de comprobación 6 9 4" xfId="2959"/>
    <cellStyle name="Celda de comprobación 7" xfId="2960"/>
    <cellStyle name="Celda de comprobación 7 10" xfId="2961"/>
    <cellStyle name="Celda de comprobación 7 10 2" xfId="2962"/>
    <cellStyle name="Celda de comprobación 7 10 3" xfId="2963"/>
    <cellStyle name="Celda de comprobación 7 10 4" xfId="2964"/>
    <cellStyle name="Celda de comprobación 7 11" xfId="2965"/>
    <cellStyle name="Celda de comprobación 7 11 2" xfId="2966"/>
    <cellStyle name="Celda de comprobación 7 11 3" xfId="2967"/>
    <cellStyle name="Celda de comprobación 7 11 4" xfId="2968"/>
    <cellStyle name="Celda de comprobación 7 12" xfId="2969"/>
    <cellStyle name="Celda de comprobación 7 12 2" xfId="2970"/>
    <cellStyle name="Celda de comprobación 7 12 3" xfId="2971"/>
    <cellStyle name="Celda de comprobación 7 12 4" xfId="2972"/>
    <cellStyle name="Celda de comprobación 7 13" xfId="2973"/>
    <cellStyle name="Celda de comprobación 7 13 2" xfId="2974"/>
    <cellStyle name="Celda de comprobación 7 13 3" xfId="2975"/>
    <cellStyle name="Celda de comprobación 7 13 4" xfId="2976"/>
    <cellStyle name="Celda de comprobación 7 14" xfId="2977"/>
    <cellStyle name="Celda de comprobación 7 14 2" xfId="2978"/>
    <cellStyle name="Celda de comprobación 7 14 3" xfId="2979"/>
    <cellStyle name="Celda de comprobación 7 14 4" xfId="2980"/>
    <cellStyle name="Celda de comprobación 7 15" xfId="2981"/>
    <cellStyle name="Celda de comprobación 7 15 2" xfId="2982"/>
    <cellStyle name="Celda de comprobación 7 15 3" xfId="2983"/>
    <cellStyle name="Celda de comprobación 7 15 4" xfId="2984"/>
    <cellStyle name="Celda de comprobación 7 16" xfId="2985"/>
    <cellStyle name="Celda de comprobación 7 16 2" xfId="2986"/>
    <cellStyle name="Celda de comprobación 7 16 3" xfId="2987"/>
    <cellStyle name="Celda de comprobación 7 16 4" xfId="2988"/>
    <cellStyle name="Celda de comprobación 7 17" xfId="2989"/>
    <cellStyle name="Celda de comprobación 7 17 2" xfId="2990"/>
    <cellStyle name="Celda de comprobación 7 17 3" xfId="2991"/>
    <cellStyle name="Celda de comprobación 7 17 4" xfId="2992"/>
    <cellStyle name="Celda de comprobación 7 18" xfId="2993"/>
    <cellStyle name="Celda de comprobación 7 18 2" xfId="2994"/>
    <cellStyle name="Celda de comprobación 7 18 3" xfId="2995"/>
    <cellStyle name="Celda de comprobación 7 18 4" xfId="2996"/>
    <cellStyle name="Celda de comprobación 7 19" xfId="2997"/>
    <cellStyle name="Celda de comprobación 7 19 2" xfId="2998"/>
    <cellStyle name="Celda de comprobación 7 19 3" xfId="2999"/>
    <cellStyle name="Celda de comprobación 7 19 4" xfId="3000"/>
    <cellStyle name="Celda de comprobación 7 2" xfId="3001"/>
    <cellStyle name="Celda de comprobación 7 2 2" xfId="3002"/>
    <cellStyle name="Celda de comprobación 7 2 3" xfId="3003"/>
    <cellStyle name="Celda de comprobación 7 2 4" xfId="3004"/>
    <cellStyle name="Celda de comprobación 7 2 5" xfId="12897"/>
    <cellStyle name="Celda de comprobación 7 20" xfId="3005"/>
    <cellStyle name="Celda de comprobación 7 20 2" xfId="3006"/>
    <cellStyle name="Celda de comprobación 7 20 3" xfId="3007"/>
    <cellStyle name="Celda de comprobación 7 20 4" xfId="3008"/>
    <cellStyle name="Celda de comprobación 7 21" xfId="3009"/>
    <cellStyle name="Celda de comprobación 7 21 2" xfId="3010"/>
    <cellStyle name="Celda de comprobación 7 21 3" xfId="3011"/>
    <cellStyle name="Celda de comprobación 7 21 4" xfId="3012"/>
    <cellStyle name="Celda de comprobación 7 22" xfId="3013"/>
    <cellStyle name="Celda de comprobación 7 22 2" xfId="3014"/>
    <cellStyle name="Celda de comprobación 7 22 3" xfId="3015"/>
    <cellStyle name="Celda de comprobación 7 22 4" xfId="3016"/>
    <cellStyle name="Celda de comprobación 7 23" xfId="3017"/>
    <cellStyle name="Celda de comprobación 7 23 2" xfId="3018"/>
    <cellStyle name="Celda de comprobación 7 23 3" xfId="3019"/>
    <cellStyle name="Celda de comprobación 7 23 4" xfId="3020"/>
    <cellStyle name="Celda de comprobación 7 24" xfId="3021"/>
    <cellStyle name="Celda de comprobación 7 24 2" xfId="3022"/>
    <cellStyle name="Celda de comprobación 7 24 3" xfId="3023"/>
    <cellStyle name="Celda de comprobación 7 24 4" xfId="3024"/>
    <cellStyle name="Celda de comprobación 7 25" xfId="3025"/>
    <cellStyle name="Celda de comprobación 7 25 2" xfId="3026"/>
    <cellStyle name="Celda de comprobación 7 25 3" xfId="3027"/>
    <cellStyle name="Celda de comprobación 7 25 4" xfId="3028"/>
    <cellStyle name="Celda de comprobación 7 26" xfId="3029"/>
    <cellStyle name="Celda de comprobación 7 26 2" xfId="3030"/>
    <cellStyle name="Celda de comprobación 7 26 3" xfId="3031"/>
    <cellStyle name="Celda de comprobación 7 26 4" xfId="3032"/>
    <cellStyle name="Celda de comprobación 7 27" xfId="3033"/>
    <cellStyle name="Celda de comprobación 7 27 2" xfId="3034"/>
    <cellStyle name="Celda de comprobación 7 27 3" xfId="3035"/>
    <cellStyle name="Celda de comprobación 7 27 4" xfId="3036"/>
    <cellStyle name="Celda de comprobación 7 28" xfId="3037"/>
    <cellStyle name="Celda de comprobación 7 28 2" xfId="3038"/>
    <cellStyle name="Celda de comprobación 7 28 3" xfId="3039"/>
    <cellStyle name="Celda de comprobación 7 28 4" xfId="3040"/>
    <cellStyle name="Celda de comprobación 7 29" xfId="3041"/>
    <cellStyle name="Celda de comprobación 7 29 2" xfId="3042"/>
    <cellStyle name="Celda de comprobación 7 29 3" xfId="3043"/>
    <cellStyle name="Celda de comprobación 7 29 4" xfId="3044"/>
    <cellStyle name="Celda de comprobación 7 3" xfId="3045"/>
    <cellStyle name="Celda de comprobación 7 3 2" xfId="3046"/>
    <cellStyle name="Celda de comprobación 7 3 3" xfId="3047"/>
    <cellStyle name="Celda de comprobación 7 3 4" xfId="3048"/>
    <cellStyle name="Celda de comprobación 7 30" xfId="3049"/>
    <cellStyle name="Celda de comprobación 7 30 2" xfId="3050"/>
    <cellStyle name="Celda de comprobación 7 30 3" xfId="3051"/>
    <cellStyle name="Celda de comprobación 7 30 4" xfId="3052"/>
    <cellStyle name="Celda de comprobación 7 31" xfId="3053"/>
    <cellStyle name="Celda de comprobación 7 31 2" xfId="3054"/>
    <cellStyle name="Celda de comprobación 7 31 3" xfId="3055"/>
    <cellStyle name="Celda de comprobación 7 31 4" xfId="3056"/>
    <cellStyle name="Celda de comprobación 7 32" xfId="3057"/>
    <cellStyle name="Celda de comprobación 7 32 2" xfId="3058"/>
    <cellStyle name="Celda de comprobación 7 32 3" xfId="3059"/>
    <cellStyle name="Celda de comprobación 7 32 4" xfId="3060"/>
    <cellStyle name="Celda de comprobación 7 33" xfId="3061"/>
    <cellStyle name="Celda de comprobación 7 33 2" xfId="3062"/>
    <cellStyle name="Celda de comprobación 7 33 3" xfId="3063"/>
    <cellStyle name="Celda de comprobación 7 33 4" xfId="3064"/>
    <cellStyle name="Celda de comprobación 7 34" xfId="3065"/>
    <cellStyle name="Celda de comprobación 7 34 2" xfId="3066"/>
    <cellStyle name="Celda de comprobación 7 34 3" xfId="3067"/>
    <cellStyle name="Celda de comprobación 7 34 4" xfId="3068"/>
    <cellStyle name="Celda de comprobación 7 35" xfId="3069"/>
    <cellStyle name="Celda de comprobación 7 35 2" xfId="3070"/>
    <cellStyle name="Celda de comprobación 7 35 3" xfId="3071"/>
    <cellStyle name="Celda de comprobación 7 35 4" xfId="3072"/>
    <cellStyle name="Celda de comprobación 7 36" xfId="3073"/>
    <cellStyle name="Celda de comprobación 7 36 2" xfId="3074"/>
    <cellStyle name="Celda de comprobación 7 36 3" xfId="3075"/>
    <cellStyle name="Celda de comprobación 7 36 4" xfId="3076"/>
    <cellStyle name="Celda de comprobación 7 37" xfId="3077"/>
    <cellStyle name="Celda de comprobación 7 38" xfId="3078"/>
    <cellStyle name="Celda de comprobación 7 39" xfId="3079"/>
    <cellStyle name="Celda de comprobación 7 4" xfId="3080"/>
    <cellStyle name="Celda de comprobación 7 4 2" xfId="3081"/>
    <cellStyle name="Celda de comprobación 7 4 3" xfId="3082"/>
    <cellStyle name="Celda de comprobación 7 4 4" xfId="3083"/>
    <cellStyle name="Celda de comprobación 7 40" xfId="3084"/>
    <cellStyle name="Celda de comprobación 7 41" xfId="3085"/>
    <cellStyle name="Celda de comprobación 7 42" xfId="3086"/>
    <cellStyle name="Celda de comprobación 7 43" xfId="3087"/>
    <cellStyle name="Celda de comprobación 7 44" xfId="3088"/>
    <cellStyle name="Celda de comprobación 7 45" xfId="3089"/>
    <cellStyle name="Celda de comprobación 7 46" xfId="3090"/>
    <cellStyle name="Celda de comprobación 7 47" xfId="3091"/>
    <cellStyle name="Celda de comprobación 7 48" xfId="3092"/>
    <cellStyle name="Celda de comprobación 7 49" xfId="3093"/>
    <cellStyle name="Celda de comprobación 7 5" xfId="3094"/>
    <cellStyle name="Celda de comprobación 7 5 2" xfId="3095"/>
    <cellStyle name="Celda de comprobación 7 5 3" xfId="3096"/>
    <cellStyle name="Celda de comprobación 7 5 4" xfId="3097"/>
    <cellStyle name="Celda de comprobación 7 50" xfId="3098"/>
    <cellStyle name="Celda de comprobación 7 51" xfId="3099"/>
    <cellStyle name="Celda de comprobación 7 6" xfId="3100"/>
    <cellStyle name="Celda de comprobación 7 6 2" xfId="3101"/>
    <cellStyle name="Celda de comprobación 7 6 3" xfId="3102"/>
    <cellStyle name="Celda de comprobación 7 6 4" xfId="3103"/>
    <cellStyle name="Celda de comprobación 7 7" xfId="3104"/>
    <cellStyle name="Celda de comprobación 7 7 2" xfId="3105"/>
    <cellStyle name="Celda de comprobación 7 7 3" xfId="3106"/>
    <cellStyle name="Celda de comprobación 7 7 4" xfId="3107"/>
    <cellStyle name="Celda de comprobación 7 8" xfId="3108"/>
    <cellStyle name="Celda de comprobación 7 8 2" xfId="3109"/>
    <cellStyle name="Celda de comprobación 7 8 3" xfId="3110"/>
    <cellStyle name="Celda de comprobación 7 8 4" xfId="3111"/>
    <cellStyle name="Celda de comprobación 7 9" xfId="3112"/>
    <cellStyle name="Celda de comprobación 7 9 2" xfId="3113"/>
    <cellStyle name="Celda de comprobación 7 9 3" xfId="3114"/>
    <cellStyle name="Celda de comprobación 7 9 4" xfId="3115"/>
    <cellStyle name="Celda de comprobación 8" xfId="3116"/>
    <cellStyle name="Celda de comprobación 8 10" xfId="3117"/>
    <cellStyle name="Celda de comprobación 8 10 2" xfId="3118"/>
    <cellStyle name="Celda de comprobación 8 10 3" xfId="3119"/>
    <cellStyle name="Celda de comprobación 8 10 4" xfId="3120"/>
    <cellStyle name="Celda de comprobación 8 11" xfId="3121"/>
    <cellStyle name="Celda de comprobación 8 11 2" xfId="3122"/>
    <cellStyle name="Celda de comprobación 8 11 3" xfId="3123"/>
    <cellStyle name="Celda de comprobación 8 11 4" xfId="3124"/>
    <cellStyle name="Celda de comprobación 8 12" xfId="3125"/>
    <cellStyle name="Celda de comprobación 8 12 2" xfId="3126"/>
    <cellStyle name="Celda de comprobación 8 12 3" xfId="3127"/>
    <cellStyle name="Celda de comprobación 8 12 4" xfId="3128"/>
    <cellStyle name="Celda de comprobación 8 13" xfId="3129"/>
    <cellStyle name="Celda de comprobación 8 13 2" xfId="3130"/>
    <cellStyle name="Celda de comprobación 8 13 3" xfId="3131"/>
    <cellStyle name="Celda de comprobación 8 13 4" xfId="3132"/>
    <cellStyle name="Celda de comprobación 8 14" xfId="3133"/>
    <cellStyle name="Celda de comprobación 8 14 2" xfId="3134"/>
    <cellStyle name="Celda de comprobación 8 14 3" xfId="3135"/>
    <cellStyle name="Celda de comprobación 8 14 4" xfId="3136"/>
    <cellStyle name="Celda de comprobación 8 15" xfId="3137"/>
    <cellStyle name="Celda de comprobación 8 15 2" xfId="3138"/>
    <cellStyle name="Celda de comprobación 8 15 3" xfId="3139"/>
    <cellStyle name="Celda de comprobación 8 15 4" xfId="3140"/>
    <cellStyle name="Celda de comprobación 8 16" xfId="3141"/>
    <cellStyle name="Celda de comprobación 8 16 2" xfId="3142"/>
    <cellStyle name="Celda de comprobación 8 16 3" xfId="3143"/>
    <cellStyle name="Celda de comprobación 8 16 4" xfId="3144"/>
    <cellStyle name="Celda de comprobación 8 17" xfId="3145"/>
    <cellStyle name="Celda de comprobación 8 17 2" xfId="3146"/>
    <cellStyle name="Celda de comprobación 8 17 3" xfId="3147"/>
    <cellStyle name="Celda de comprobación 8 17 4" xfId="3148"/>
    <cellStyle name="Celda de comprobación 8 18" xfId="3149"/>
    <cellStyle name="Celda de comprobación 8 18 2" xfId="3150"/>
    <cellStyle name="Celda de comprobación 8 18 3" xfId="3151"/>
    <cellStyle name="Celda de comprobación 8 18 4" xfId="3152"/>
    <cellStyle name="Celda de comprobación 8 19" xfId="3153"/>
    <cellStyle name="Celda de comprobación 8 19 2" xfId="3154"/>
    <cellStyle name="Celda de comprobación 8 19 3" xfId="3155"/>
    <cellStyle name="Celda de comprobación 8 19 4" xfId="3156"/>
    <cellStyle name="Celda de comprobación 8 2" xfId="3157"/>
    <cellStyle name="Celda de comprobación 8 2 2" xfId="3158"/>
    <cellStyle name="Celda de comprobación 8 2 3" xfId="3159"/>
    <cellStyle name="Celda de comprobación 8 2 4" xfId="3160"/>
    <cellStyle name="Celda de comprobación 8 2 5" xfId="12898"/>
    <cellStyle name="Celda de comprobación 8 20" xfId="3161"/>
    <cellStyle name="Celda de comprobación 8 20 2" xfId="3162"/>
    <cellStyle name="Celda de comprobación 8 20 3" xfId="3163"/>
    <cellStyle name="Celda de comprobación 8 20 4" xfId="3164"/>
    <cellStyle name="Celda de comprobación 8 21" xfId="3165"/>
    <cellStyle name="Celda de comprobación 8 21 2" xfId="3166"/>
    <cellStyle name="Celda de comprobación 8 21 3" xfId="3167"/>
    <cellStyle name="Celda de comprobación 8 21 4" xfId="3168"/>
    <cellStyle name="Celda de comprobación 8 22" xfId="3169"/>
    <cellStyle name="Celda de comprobación 8 22 2" xfId="3170"/>
    <cellStyle name="Celda de comprobación 8 22 3" xfId="3171"/>
    <cellStyle name="Celda de comprobación 8 22 4" xfId="3172"/>
    <cellStyle name="Celda de comprobación 8 23" xfId="3173"/>
    <cellStyle name="Celda de comprobación 8 23 2" xfId="3174"/>
    <cellStyle name="Celda de comprobación 8 23 3" xfId="3175"/>
    <cellStyle name="Celda de comprobación 8 23 4" xfId="3176"/>
    <cellStyle name="Celda de comprobación 8 24" xfId="3177"/>
    <cellStyle name="Celda de comprobación 8 24 2" xfId="3178"/>
    <cellStyle name="Celda de comprobación 8 24 3" xfId="3179"/>
    <cellStyle name="Celda de comprobación 8 24 4" xfId="3180"/>
    <cellStyle name="Celda de comprobación 8 25" xfId="3181"/>
    <cellStyle name="Celda de comprobación 8 25 2" xfId="3182"/>
    <cellStyle name="Celda de comprobación 8 25 3" xfId="3183"/>
    <cellStyle name="Celda de comprobación 8 25 4" xfId="3184"/>
    <cellStyle name="Celda de comprobación 8 26" xfId="3185"/>
    <cellStyle name="Celda de comprobación 8 26 2" xfId="3186"/>
    <cellStyle name="Celda de comprobación 8 26 3" xfId="3187"/>
    <cellStyle name="Celda de comprobación 8 26 4" xfId="3188"/>
    <cellStyle name="Celda de comprobación 8 27" xfId="3189"/>
    <cellStyle name="Celda de comprobación 8 27 2" xfId="3190"/>
    <cellStyle name="Celda de comprobación 8 27 3" xfId="3191"/>
    <cellStyle name="Celda de comprobación 8 27 4" xfId="3192"/>
    <cellStyle name="Celda de comprobación 8 28" xfId="3193"/>
    <cellStyle name="Celda de comprobación 8 28 2" xfId="3194"/>
    <cellStyle name="Celda de comprobación 8 28 3" xfId="3195"/>
    <cellStyle name="Celda de comprobación 8 28 4" xfId="3196"/>
    <cellStyle name="Celda de comprobación 8 29" xfId="3197"/>
    <cellStyle name="Celda de comprobación 8 29 2" xfId="3198"/>
    <cellStyle name="Celda de comprobación 8 29 3" xfId="3199"/>
    <cellStyle name="Celda de comprobación 8 29 4" xfId="3200"/>
    <cellStyle name="Celda de comprobación 8 3" xfId="3201"/>
    <cellStyle name="Celda de comprobación 8 3 2" xfId="3202"/>
    <cellStyle name="Celda de comprobación 8 3 3" xfId="3203"/>
    <cellStyle name="Celda de comprobación 8 3 4" xfId="3204"/>
    <cellStyle name="Celda de comprobación 8 30" xfId="3205"/>
    <cellStyle name="Celda de comprobación 8 30 2" xfId="3206"/>
    <cellStyle name="Celda de comprobación 8 30 3" xfId="3207"/>
    <cellStyle name="Celda de comprobación 8 30 4" xfId="3208"/>
    <cellStyle name="Celda de comprobación 8 31" xfId="3209"/>
    <cellStyle name="Celda de comprobación 8 31 2" xfId="3210"/>
    <cellStyle name="Celda de comprobación 8 31 3" xfId="3211"/>
    <cellStyle name="Celda de comprobación 8 31 4" xfId="3212"/>
    <cellStyle name="Celda de comprobación 8 32" xfId="3213"/>
    <cellStyle name="Celda de comprobación 8 32 2" xfId="3214"/>
    <cellStyle name="Celda de comprobación 8 32 3" xfId="3215"/>
    <cellStyle name="Celda de comprobación 8 32 4" xfId="3216"/>
    <cellStyle name="Celda de comprobación 8 33" xfId="3217"/>
    <cellStyle name="Celda de comprobación 8 33 2" xfId="3218"/>
    <cellStyle name="Celda de comprobación 8 33 3" xfId="3219"/>
    <cellStyle name="Celda de comprobación 8 33 4" xfId="3220"/>
    <cellStyle name="Celda de comprobación 8 34" xfId="3221"/>
    <cellStyle name="Celda de comprobación 8 34 2" xfId="3222"/>
    <cellStyle name="Celda de comprobación 8 34 3" xfId="3223"/>
    <cellStyle name="Celda de comprobación 8 34 4" xfId="3224"/>
    <cellStyle name="Celda de comprobación 8 35" xfId="3225"/>
    <cellStyle name="Celda de comprobación 8 35 2" xfId="3226"/>
    <cellStyle name="Celda de comprobación 8 35 3" xfId="3227"/>
    <cellStyle name="Celda de comprobación 8 35 4" xfId="3228"/>
    <cellStyle name="Celda de comprobación 8 36" xfId="3229"/>
    <cellStyle name="Celda de comprobación 8 36 2" xfId="3230"/>
    <cellStyle name="Celda de comprobación 8 36 3" xfId="3231"/>
    <cellStyle name="Celda de comprobación 8 36 4" xfId="3232"/>
    <cellStyle name="Celda de comprobación 8 37" xfId="3233"/>
    <cellStyle name="Celda de comprobación 8 38" xfId="3234"/>
    <cellStyle name="Celda de comprobación 8 39" xfId="3235"/>
    <cellStyle name="Celda de comprobación 8 4" xfId="3236"/>
    <cellStyle name="Celda de comprobación 8 4 2" xfId="3237"/>
    <cellStyle name="Celda de comprobación 8 4 3" xfId="3238"/>
    <cellStyle name="Celda de comprobación 8 4 4" xfId="3239"/>
    <cellStyle name="Celda de comprobación 8 40" xfId="3240"/>
    <cellStyle name="Celda de comprobación 8 41" xfId="3241"/>
    <cellStyle name="Celda de comprobación 8 42" xfId="3242"/>
    <cellStyle name="Celda de comprobación 8 43" xfId="3243"/>
    <cellStyle name="Celda de comprobación 8 44" xfId="3244"/>
    <cellStyle name="Celda de comprobación 8 45" xfId="3245"/>
    <cellStyle name="Celda de comprobación 8 46" xfId="3246"/>
    <cellStyle name="Celda de comprobación 8 47" xfId="3247"/>
    <cellStyle name="Celda de comprobación 8 48" xfId="3248"/>
    <cellStyle name="Celda de comprobación 8 49" xfId="3249"/>
    <cellStyle name="Celda de comprobación 8 5" xfId="3250"/>
    <cellStyle name="Celda de comprobación 8 5 2" xfId="3251"/>
    <cellStyle name="Celda de comprobación 8 5 3" xfId="3252"/>
    <cellStyle name="Celda de comprobación 8 5 4" xfId="3253"/>
    <cellStyle name="Celda de comprobación 8 50" xfId="3254"/>
    <cellStyle name="Celda de comprobación 8 51" xfId="3255"/>
    <cellStyle name="Celda de comprobación 8 6" xfId="3256"/>
    <cellStyle name="Celda de comprobación 8 6 2" xfId="3257"/>
    <cellStyle name="Celda de comprobación 8 6 3" xfId="3258"/>
    <cellStyle name="Celda de comprobación 8 6 4" xfId="3259"/>
    <cellStyle name="Celda de comprobación 8 7" xfId="3260"/>
    <cellStyle name="Celda de comprobación 8 7 2" xfId="3261"/>
    <cellStyle name="Celda de comprobación 8 7 3" xfId="3262"/>
    <cellStyle name="Celda de comprobación 8 7 4" xfId="3263"/>
    <cellStyle name="Celda de comprobación 8 8" xfId="3264"/>
    <cellStyle name="Celda de comprobación 8 8 2" xfId="3265"/>
    <cellStyle name="Celda de comprobación 8 8 3" xfId="3266"/>
    <cellStyle name="Celda de comprobación 8 8 4" xfId="3267"/>
    <cellStyle name="Celda de comprobación 8 9" xfId="3268"/>
    <cellStyle name="Celda de comprobación 8 9 2" xfId="3269"/>
    <cellStyle name="Celda de comprobación 8 9 3" xfId="3270"/>
    <cellStyle name="Celda de comprobación 8 9 4" xfId="3271"/>
    <cellStyle name="Celda de comprobación 9" xfId="3272"/>
    <cellStyle name="Celda de comprobación 9 10" xfId="3273"/>
    <cellStyle name="Celda de comprobación 9 10 2" xfId="3274"/>
    <cellStyle name="Celda de comprobación 9 10 3" xfId="3275"/>
    <cellStyle name="Celda de comprobación 9 10 4" xfId="3276"/>
    <cellStyle name="Celda de comprobación 9 11" xfId="3277"/>
    <cellStyle name="Celda de comprobación 9 11 2" xfId="3278"/>
    <cellStyle name="Celda de comprobación 9 11 3" xfId="3279"/>
    <cellStyle name="Celda de comprobación 9 11 4" xfId="3280"/>
    <cellStyle name="Celda de comprobación 9 12" xfId="3281"/>
    <cellStyle name="Celda de comprobación 9 12 2" xfId="3282"/>
    <cellStyle name="Celda de comprobación 9 12 3" xfId="3283"/>
    <cellStyle name="Celda de comprobación 9 12 4" xfId="3284"/>
    <cellStyle name="Celda de comprobación 9 13" xfId="3285"/>
    <cellStyle name="Celda de comprobación 9 13 2" xfId="3286"/>
    <cellStyle name="Celda de comprobación 9 13 3" xfId="3287"/>
    <cellStyle name="Celda de comprobación 9 13 4" xfId="3288"/>
    <cellStyle name="Celda de comprobación 9 14" xfId="3289"/>
    <cellStyle name="Celda de comprobación 9 14 2" xfId="3290"/>
    <cellStyle name="Celda de comprobación 9 14 3" xfId="3291"/>
    <cellStyle name="Celda de comprobación 9 14 4" xfId="3292"/>
    <cellStyle name="Celda de comprobación 9 15" xfId="3293"/>
    <cellStyle name="Celda de comprobación 9 15 2" xfId="3294"/>
    <cellStyle name="Celda de comprobación 9 15 3" xfId="3295"/>
    <cellStyle name="Celda de comprobación 9 15 4" xfId="3296"/>
    <cellStyle name="Celda de comprobación 9 16" xfId="3297"/>
    <cellStyle name="Celda de comprobación 9 16 2" xfId="3298"/>
    <cellStyle name="Celda de comprobación 9 16 3" xfId="3299"/>
    <cellStyle name="Celda de comprobación 9 16 4" xfId="3300"/>
    <cellStyle name="Celda de comprobación 9 17" xfId="3301"/>
    <cellStyle name="Celda de comprobación 9 17 2" xfId="3302"/>
    <cellStyle name="Celda de comprobación 9 17 3" xfId="3303"/>
    <cellStyle name="Celda de comprobación 9 17 4" xfId="3304"/>
    <cellStyle name="Celda de comprobación 9 18" xfId="3305"/>
    <cellStyle name="Celda de comprobación 9 18 2" xfId="3306"/>
    <cellStyle name="Celda de comprobación 9 18 3" xfId="3307"/>
    <cellStyle name="Celda de comprobación 9 18 4" xfId="3308"/>
    <cellStyle name="Celda de comprobación 9 19" xfId="3309"/>
    <cellStyle name="Celda de comprobación 9 19 2" xfId="3310"/>
    <cellStyle name="Celda de comprobación 9 19 3" xfId="3311"/>
    <cellStyle name="Celda de comprobación 9 19 4" xfId="3312"/>
    <cellStyle name="Celda de comprobación 9 2" xfId="3313"/>
    <cellStyle name="Celda de comprobación 9 2 2" xfId="3314"/>
    <cellStyle name="Celda de comprobación 9 2 3" xfId="3315"/>
    <cellStyle name="Celda de comprobación 9 2 4" xfId="3316"/>
    <cellStyle name="Celda de comprobación 9 2 5" xfId="12899"/>
    <cellStyle name="Celda de comprobación 9 20" xfId="3317"/>
    <cellStyle name="Celda de comprobación 9 20 2" xfId="3318"/>
    <cellStyle name="Celda de comprobación 9 20 3" xfId="3319"/>
    <cellStyle name="Celda de comprobación 9 20 4" xfId="3320"/>
    <cellStyle name="Celda de comprobación 9 21" xfId="3321"/>
    <cellStyle name="Celda de comprobación 9 21 2" xfId="3322"/>
    <cellStyle name="Celda de comprobación 9 21 3" xfId="3323"/>
    <cellStyle name="Celda de comprobación 9 21 4" xfId="3324"/>
    <cellStyle name="Celda de comprobación 9 22" xfId="3325"/>
    <cellStyle name="Celda de comprobación 9 22 2" xfId="3326"/>
    <cellStyle name="Celda de comprobación 9 22 3" xfId="3327"/>
    <cellStyle name="Celda de comprobación 9 22 4" xfId="3328"/>
    <cellStyle name="Celda de comprobación 9 23" xfId="3329"/>
    <cellStyle name="Celda de comprobación 9 23 2" xfId="3330"/>
    <cellStyle name="Celda de comprobación 9 23 3" xfId="3331"/>
    <cellStyle name="Celda de comprobación 9 23 4" xfId="3332"/>
    <cellStyle name="Celda de comprobación 9 24" xfId="3333"/>
    <cellStyle name="Celda de comprobación 9 24 2" xfId="3334"/>
    <cellStyle name="Celda de comprobación 9 24 3" xfId="3335"/>
    <cellStyle name="Celda de comprobación 9 24 4" xfId="3336"/>
    <cellStyle name="Celda de comprobación 9 25" xfId="3337"/>
    <cellStyle name="Celda de comprobación 9 25 2" xfId="3338"/>
    <cellStyle name="Celda de comprobación 9 25 3" xfId="3339"/>
    <cellStyle name="Celda de comprobación 9 25 4" xfId="3340"/>
    <cellStyle name="Celda de comprobación 9 26" xfId="3341"/>
    <cellStyle name="Celda de comprobación 9 26 2" xfId="3342"/>
    <cellStyle name="Celda de comprobación 9 26 3" xfId="3343"/>
    <cellStyle name="Celda de comprobación 9 26 4" xfId="3344"/>
    <cellStyle name="Celda de comprobación 9 27" xfId="3345"/>
    <cellStyle name="Celda de comprobación 9 27 2" xfId="3346"/>
    <cellStyle name="Celda de comprobación 9 27 3" xfId="3347"/>
    <cellStyle name="Celda de comprobación 9 27 4" xfId="3348"/>
    <cellStyle name="Celda de comprobación 9 28" xfId="3349"/>
    <cellStyle name="Celda de comprobación 9 28 2" xfId="3350"/>
    <cellStyle name="Celda de comprobación 9 28 3" xfId="3351"/>
    <cellStyle name="Celda de comprobación 9 28 4" xfId="3352"/>
    <cellStyle name="Celda de comprobación 9 29" xfId="3353"/>
    <cellStyle name="Celda de comprobación 9 29 2" xfId="3354"/>
    <cellStyle name="Celda de comprobación 9 29 3" xfId="3355"/>
    <cellStyle name="Celda de comprobación 9 29 4" xfId="3356"/>
    <cellStyle name="Celda de comprobación 9 3" xfId="3357"/>
    <cellStyle name="Celda de comprobación 9 3 2" xfId="3358"/>
    <cellStyle name="Celda de comprobación 9 3 3" xfId="3359"/>
    <cellStyle name="Celda de comprobación 9 3 4" xfId="3360"/>
    <cellStyle name="Celda de comprobación 9 30" xfId="3361"/>
    <cellStyle name="Celda de comprobación 9 30 2" xfId="3362"/>
    <cellStyle name="Celda de comprobación 9 30 3" xfId="3363"/>
    <cellStyle name="Celda de comprobación 9 30 4" xfId="3364"/>
    <cellStyle name="Celda de comprobación 9 31" xfId="3365"/>
    <cellStyle name="Celda de comprobación 9 31 2" xfId="3366"/>
    <cellStyle name="Celda de comprobación 9 31 3" xfId="3367"/>
    <cellStyle name="Celda de comprobación 9 31 4" xfId="3368"/>
    <cellStyle name="Celda de comprobación 9 32" xfId="3369"/>
    <cellStyle name="Celda de comprobación 9 32 2" xfId="3370"/>
    <cellStyle name="Celda de comprobación 9 32 3" xfId="3371"/>
    <cellStyle name="Celda de comprobación 9 32 4" xfId="3372"/>
    <cellStyle name="Celda de comprobación 9 33" xfId="3373"/>
    <cellStyle name="Celda de comprobación 9 33 2" xfId="3374"/>
    <cellStyle name="Celda de comprobación 9 33 3" xfId="3375"/>
    <cellStyle name="Celda de comprobación 9 33 4" xfId="3376"/>
    <cellStyle name="Celda de comprobación 9 34" xfId="3377"/>
    <cellStyle name="Celda de comprobación 9 34 2" xfId="3378"/>
    <cellStyle name="Celda de comprobación 9 34 3" xfId="3379"/>
    <cellStyle name="Celda de comprobación 9 34 4" xfId="3380"/>
    <cellStyle name="Celda de comprobación 9 35" xfId="3381"/>
    <cellStyle name="Celda de comprobación 9 35 2" xfId="3382"/>
    <cellStyle name="Celda de comprobación 9 35 3" xfId="3383"/>
    <cellStyle name="Celda de comprobación 9 35 4" xfId="3384"/>
    <cellStyle name="Celda de comprobación 9 36" xfId="3385"/>
    <cellStyle name="Celda de comprobación 9 36 2" xfId="3386"/>
    <cellStyle name="Celda de comprobación 9 36 3" xfId="3387"/>
    <cellStyle name="Celda de comprobación 9 36 4" xfId="3388"/>
    <cellStyle name="Celda de comprobación 9 37" xfId="3389"/>
    <cellStyle name="Celda de comprobación 9 38" xfId="3390"/>
    <cellStyle name="Celda de comprobación 9 39" xfId="3391"/>
    <cellStyle name="Celda de comprobación 9 4" xfId="3392"/>
    <cellStyle name="Celda de comprobación 9 4 2" xfId="3393"/>
    <cellStyle name="Celda de comprobación 9 4 3" xfId="3394"/>
    <cellStyle name="Celda de comprobación 9 4 4" xfId="3395"/>
    <cellStyle name="Celda de comprobación 9 40" xfId="3396"/>
    <cellStyle name="Celda de comprobación 9 41" xfId="3397"/>
    <cellStyle name="Celda de comprobación 9 42" xfId="3398"/>
    <cellStyle name="Celda de comprobación 9 43" xfId="3399"/>
    <cellStyle name="Celda de comprobación 9 44" xfId="3400"/>
    <cellStyle name="Celda de comprobación 9 45" xfId="3401"/>
    <cellStyle name="Celda de comprobación 9 46" xfId="3402"/>
    <cellStyle name="Celda de comprobación 9 47" xfId="3403"/>
    <cellStyle name="Celda de comprobación 9 48" xfId="3404"/>
    <cellStyle name="Celda de comprobación 9 49" xfId="3405"/>
    <cellStyle name="Celda de comprobación 9 5" xfId="3406"/>
    <cellStyle name="Celda de comprobación 9 5 2" xfId="3407"/>
    <cellStyle name="Celda de comprobación 9 5 3" xfId="3408"/>
    <cellStyle name="Celda de comprobación 9 5 4" xfId="3409"/>
    <cellStyle name="Celda de comprobación 9 50" xfId="3410"/>
    <cellStyle name="Celda de comprobación 9 51" xfId="3411"/>
    <cellStyle name="Celda de comprobación 9 6" xfId="3412"/>
    <cellStyle name="Celda de comprobación 9 6 2" xfId="3413"/>
    <cellStyle name="Celda de comprobación 9 6 3" xfId="3414"/>
    <cellStyle name="Celda de comprobación 9 6 4" xfId="3415"/>
    <cellStyle name="Celda de comprobación 9 7" xfId="3416"/>
    <cellStyle name="Celda de comprobación 9 7 2" xfId="3417"/>
    <cellStyle name="Celda de comprobación 9 7 3" xfId="3418"/>
    <cellStyle name="Celda de comprobación 9 7 4" xfId="3419"/>
    <cellStyle name="Celda de comprobación 9 8" xfId="3420"/>
    <cellStyle name="Celda de comprobación 9 8 2" xfId="3421"/>
    <cellStyle name="Celda de comprobación 9 8 3" xfId="3422"/>
    <cellStyle name="Celda de comprobación 9 8 4" xfId="3423"/>
    <cellStyle name="Celda de comprobación 9 9" xfId="3424"/>
    <cellStyle name="Celda de comprobación 9 9 2" xfId="3425"/>
    <cellStyle name="Celda de comprobación 9 9 3" xfId="3426"/>
    <cellStyle name="Celda de comprobación 9 9 4" xfId="3427"/>
    <cellStyle name="Celda vinculada 10" xfId="3428"/>
    <cellStyle name="Celda vinculada 10 2" xfId="32870"/>
    <cellStyle name="Celda vinculada 11" xfId="3429"/>
    <cellStyle name="Celda vinculada 11 2" xfId="32871"/>
    <cellStyle name="Celda vinculada 12" xfId="3430"/>
    <cellStyle name="Celda vinculada 12 2" xfId="32872"/>
    <cellStyle name="Celda vinculada 13" xfId="3431"/>
    <cellStyle name="Celda vinculada 13 2" xfId="32873"/>
    <cellStyle name="Celda vinculada 14" xfId="3432"/>
    <cellStyle name="Celda vinculada 14 2" xfId="32874"/>
    <cellStyle name="Celda vinculada 15" xfId="3433"/>
    <cellStyle name="Celda vinculada 15 2" xfId="32875"/>
    <cellStyle name="Celda vinculada 16" xfId="3434"/>
    <cellStyle name="Celda vinculada 16 2" xfId="32876"/>
    <cellStyle name="Celda vinculada 17" xfId="3435"/>
    <cellStyle name="Celda vinculada 17 2" xfId="32877"/>
    <cellStyle name="Celda vinculada 18" xfId="3436"/>
    <cellStyle name="Celda vinculada 18 2" xfId="32878"/>
    <cellStyle name="Celda vinculada 19" xfId="3437"/>
    <cellStyle name="Celda vinculada 19 2" xfId="32879"/>
    <cellStyle name="Celda vinculada 2" xfId="3438"/>
    <cellStyle name="Celda vinculada 2 2" xfId="12900"/>
    <cellStyle name="Celda vinculada 2 3" xfId="12901"/>
    <cellStyle name="Celda vinculada 2 4" xfId="32880"/>
    <cellStyle name="Celda vinculada 20" xfId="3439"/>
    <cellStyle name="Celda vinculada 20 2" xfId="32881"/>
    <cellStyle name="Celda vinculada 21" xfId="3440"/>
    <cellStyle name="Celda vinculada 21 2" xfId="32882"/>
    <cellStyle name="Celda vinculada 22" xfId="3441"/>
    <cellStyle name="Celda vinculada 22 2" xfId="32883"/>
    <cellStyle name="Celda vinculada 23" xfId="3442"/>
    <cellStyle name="Celda vinculada 23 2" xfId="32884"/>
    <cellStyle name="Celda vinculada 24" xfId="3443"/>
    <cellStyle name="Celda vinculada 24 2" xfId="32885"/>
    <cellStyle name="Celda vinculada 25" xfId="3444"/>
    <cellStyle name="Celda vinculada 25 2" xfId="32886"/>
    <cellStyle name="Celda vinculada 26" xfId="3445"/>
    <cellStyle name="Celda vinculada 26 2" xfId="32887"/>
    <cellStyle name="Celda vinculada 27" xfId="3446"/>
    <cellStyle name="Celda vinculada 27 2" xfId="32888"/>
    <cellStyle name="Celda vinculada 28" xfId="3447"/>
    <cellStyle name="Celda vinculada 28 2" xfId="32889"/>
    <cellStyle name="Celda vinculada 29" xfId="3448"/>
    <cellStyle name="Celda vinculada 29 2" xfId="32890"/>
    <cellStyle name="Celda vinculada 3" xfId="3449"/>
    <cellStyle name="Celda vinculada 3 2" xfId="12902"/>
    <cellStyle name="Celda vinculada 3 3" xfId="12903"/>
    <cellStyle name="Celda vinculada 3 4" xfId="32891"/>
    <cellStyle name="Celda vinculada 30" xfId="3450"/>
    <cellStyle name="Celda vinculada 30 2" xfId="32892"/>
    <cellStyle name="Celda vinculada 31" xfId="3451"/>
    <cellStyle name="Celda vinculada 31 2" xfId="32893"/>
    <cellStyle name="Celda vinculada 32" xfId="3452"/>
    <cellStyle name="Celda vinculada 32 2" xfId="32894"/>
    <cellStyle name="Celda vinculada 33" xfId="3453"/>
    <cellStyle name="Celda vinculada 33 2" xfId="32895"/>
    <cellStyle name="Celda vinculada 34" xfId="3454"/>
    <cellStyle name="Celda vinculada 34 2" xfId="32896"/>
    <cellStyle name="Celda vinculada 35" xfId="3455"/>
    <cellStyle name="Celda vinculada 35 2" xfId="32897"/>
    <cellStyle name="Celda vinculada 36" xfId="3456"/>
    <cellStyle name="Celda vinculada 36 2" xfId="32898"/>
    <cellStyle name="Celda vinculada 37" xfId="3457"/>
    <cellStyle name="Celda vinculada 37 2" xfId="32899"/>
    <cellStyle name="Celda vinculada 38" xfId="3458"/>
    <cellStyle name="Celda vinculada 38 2" xfId="32900"/>
    <cellStyle name="Celda vinculada 39" xfId="3459"/>
    <cellStyle name="Celda vinculada 39 2" xfId="32901"/>
    <cellStyle name="Celda vinculada 4" xfId="3460"/>
    <cellStyle name="Celda vinculada 4 2" xfId="12904"/>
    <cellStyle name="Celda vinculada 4 3" xfId="12905"/>
    <cellStyle name="Celda vinculada 4 4" xfId="32902"/>
    <cellStyle name="Celda vinculada 40" xfId="3461"/>
    <cellStyle name="Celda vinculada 40 2" xfId="32903"/>
    <cellStyle name="Celda vinculada 41" xfId="3462"/>
    <cellStyle name="Celda vinculada 41 2" xfId="32904"/>
    <cellStyle name="Celda vinculada 42" xfId="3463"/>
    <cellStyle name="Celda vinculada 42 2" xfId="32905"/>
    <cellStyle name="Celda vinculada 43" xfId="3464"/>
    <cellStyle name="Celda vinculada 43 2" xfId="32906"/>
    <cellStyle name="Celda vinculada 44" xfId="3465"/>
    <cellStyle name="Celda vinculada 44 2" xfId="32907"/>
    <cellStyle name="Celda vinculada 45" xfId="3466"/>
    <cellStyle name="Celda vinculada 45 2" xfId="32908"/>
    <cellStyle name="Celda vinculada 46" xfId="3467"/>
    <cellStyle name="Celda vinculada 46 2" xfId="32909"/>
    <cellStyle name="Celda vinculada 47" xfId="3468"/>
    <cellStyle name="Celda vinculada 47 2" xfId="32910"/>
    <cellStyle name="Celda vinculada 48" xfId="3469"/>
    <cellStyle name="Celda vinculada 48 2" xfId="32911"/>
    <cellStyle name="Celda vinculada 49" xfId="3470"/>
    <cellStyle name="Celda vinculada 49 2" xfId="32912"/>
    <cellStyle name="Celda vinculada 5" xfId="3471"/>
    <cellStyle name="Celda vinculada 5 2" xfId="12906"/>
    <cellStyle name="Celda vinculada 5 3" xfId="32913"/>
    <cellStyle name="Celda vinculada 50" xfId="3472"/>
    <cellStyle name="Celda vinculada 50 2" xfId="32914"/>
    <cellStyle name="Celda vinculada 6" xfId="3473"/>
    <cellStyle name="Celda vinculada 6 2" xfId="12907"/>
    <cellStyle name="Celda vinculada 6 3" xfId="32915"/>
    <cellStyle name="Celda vinculada 7" xfId="3474"/>
    <cellStyle name="Celda vinculada 7 2" xfId="12908"/>
    <cellStyle name="Celda vinculada 7 3" xfId="32916"/>
    <cellStyle name="Celda vinculada 8" xfId="3475"/>
    <cellStyle name="Celda vinculada 8 2" xfId="12909"/>
    <cellStyle name="Celda vinculada 8 3" xfId="32917"/>
    <cellStyle name="Celda vinculada 9" xfId="3476"/>
    <cellStyle name="Celda vinculada 9 2" xfId="12910"/>
    <cellStyle name="Celda vinculada 9 3" xfId="32918"/>
    <cellStyle name="Check Cell" xfId="12911"/>
    <cellStyle name="Check Cell 2" xfId="34262"/>
    <cellStyle name="Check Cell 3" xfId="34261"/>
    <cellStyle name="Comma  - Style1" xfId="7"/>
    <cellStyle name="Comma  - Style1 10" xfId="12912"/>
    <cellStyle name="Comma  - Style1 10 2" xfId="34263"/>
    <cellStyle name="Comma  - Style1 11" xfId="12913"/>
    <cellStyle name="Comma  - Style1 11 2" xfId="34264"/>
    <cellStyle name="Comma  - Style1 12" xfId="12914"/>
    <cellStyle name="Comma  - Style1 12 2" xfId="34265"/>
    <cellStyle name="Comma  - Style1 13" xfId="12915"/>
    <cellStyle name="Comma  - Style1 13 2" xfId="34266"/>
    <cellStyle name="Comma  - Style1 14" xfId="12916"/>
    <cellStyle name="Comma  - Style1 14 2" xfId="34267"/>
    <cellStyle name="Comma  - Style1 15" xfId="12917"/>
    <cellStyle name="Comma  - Style1 15 2" xfId="34268"/>
    <cellStyle name="Comma  - Style1 16" xfId="12918"/>
    <cellStyle name="Comma  - Style1 16 2" xfId="34269"/>
    <cellStyle name="Comma  - Style1 17" xfId="12919"/>
    <cellStyle name="Comma  - Style1 17 2" xfId="34270"/>
    <cellStyle name="Comma  - Style1 18" xfId="12920"/>
    <cellStyle name="Comma  - Style1 18 2" xfId="34271"/>
    <cellStyle name="Comma  - Style1 2" xfId="12921"/>
    <cellStyle name="Comma  - Style1 2 2" xfId="12922"/>
    <cellStyle name="Comma  - Style1 2 2 2" xfId="34273"/>
    <cellStyle name="Comma  - Style1 2 3" xfId="34274"/>
    <cellStyle name="Comma  - Style1 2 3 2" xfId="34275"/>
    <cellStyle name="Comma  - Style1 2 4" xfId="34276"/>
    <cellStyle name="Comma  - Style1 2 5" xfId="34277"/>
    <cellStyle name="Comma  - Style1 2 6" xfId="34272"/>
    <cellStyle name="Comma  - Style1 3" xfId="12923"/>
    <cellStyle name="Comma  - Style1 3 2" xfId="12924"/>
    <cellStyle name="Comma  - Style1 3 2 2" xfId="34279"/>
    <cellStyle name="Comma  - Style1 3 3" xfId="34280"/>
    <cellStyle name="Comma  - Style1 3 3 2" xfId="34281"/>
    <cellStyle name="Comma  - Style1 3 4" xfId="34282"/>
    <cellStyle name="Comma  - Style1 3 5" xfId="34278"/>
    <cellStyle name="Comma  - Style1 4" xfId="12925"/>
    <cellStyle name="Comma  - Style1 4 2" xfId="12926"/>
    <cellStyle name="Comma  - Style1 4 2 2" xfId="34283"/>
    <cellStyle name="Comma  - Style1 4 3" xfId="34284"/>
    <cellStyle name="Comma  - Style1 5" xfId="12927"/>
    <cellStyle name="Comma  - Style1 5 2" xfId="12928"/>
    <cellStyle name="Comma  - Style1 5 2 2" xfId="34285"/>
    <cellStyle name="Comma  - Style1 5 3" xfId="34286"/>
    <cellStyle name="Comma  - Style1 6" xfId="12929"/>
    <cellStyle name="Comma  - Style1 6 2" xfId="12930"/>
    <cellStyle name="Comma  - Style1 6 2 2" xfId="34287"/>
    <cellStyle name="Comma  - Style1 6 3" xfId="34288"/>
    <cellStyle name="Comma  - Style1 7" xfId="12931"/>
    <cellStyle name="Comma  - Style1 7 2" xfId="12932"/>
    <cellStyle name="Comma  - Style1 7 2 2" xfId="34289"/>
    <cellStyle name="Comma  - Style1 7 3" xfId="34290"/>
    <cellStyle name="Comma  - Style1 8" xfId="12933"/>
    <cellStyle name="Comma  - Style1 8 2" xfId="12934"/>
    <cellStyle name="Comma  - Style1 8 2 2" xfId="34291"/>
    <cellStyle name="Comma  - Style1 8 3" xfId="34292"/>
    <cellStyle name="Comma  - Style1 9" xfId="12935"/>
    <cellStyle name="Comma  - Style1 9 2" xfId="12936"/>
    <cellStyle name="Comma  - Style1 9 2 2" xfId="34293"/>
    <cellStyle name="Comma  - Style1 9 3" xfId="34294"/>
    <cellStyle name="Comma  - Style1_1.Cuadro 1A TEMPRANILLO-1 Mayo-08" xfId="12937"/>
    <cellStyle name="Comma  - Style2" xfId="8"/>
    <cellStyle name="Comma  - Style2 10" xfId="12938"/>
    <cellStyle name="Comma  - Style2 10 2" xfId="34295"/>
    <cellStyle name="Comma  - Style2 11" xfId="12939"/>
    <cellStyle name="Comma  - Style2 11 2" xfId="34296"/>
    <cellStyle name="Comma  - Style2 12" xfId="12940"/>
    <cellStyle name="Comma  - Style2 12 2" xfId="34297"/>
    <cellStyle name="Comma  - Style2 13" xfId="12941"/>
    <cellStyle name="Comma  - Style2 13 2" xfId="34298"/>
    <cellStyle name="Comma  - Style2 14" xfId="12942"/>
    <cellStyle name="Comma  - Style2 14 2" xfId="34299"/>
    <cellStyle name="Comma  - Style2 15" xfId="12943"/>
    <cellStyle name="Comma  - Style2 15 2" xfId="34300"/>
    <cellStyle name="Comma  - Style2 16" xfId="12944"/>
    <cellStyle name="Comma  - Style2 16 2" xfId="34301"/>
    <cellStyle name="Comma  - Style2 17" xfId="12945"/>
    <cellStyle name="Comma  - Style2 17 2" xfId="34302"/>
    <cellStyle name="Comma  - Style2 18" xfId="12946"/>
    <cellStyle name="Comma  - Style2 18 2" xfId="34303"/>
    <cellStyle name="Comma  - Style2 2" xfId="12947"/>
    <cellStyle name="Comma  - Style2 2 2" xfId="12948"/>
    <cellStyle name="Comma  - Style2 2 2 2" xfId="34305"/>
    <cellStyle name="Comma  - Style2 2 3" xfId="34306"/>
    <cellStyle name="Comma  - Style2 2 3 2" xfId="34307"/>
    <cellStyle name="Comma  - Style2 2 4" xfId="34308"/>
    <cellStyle name="Comma  - Style2 2 5" xfId="34309"/>
    <cellStyle name="Comma  - Style2 2 6" xfId="34304"/>
    <cellStyle name="Comma  - Style2 3" xfId="12949"/>
    <cellStyle name="Comma  - Style2 3 2" xfId="12950"/>
    <cellStyle name="Comma  - Style2 3 2 2" xfId="34311"/>
    <cellStyle name="Comma  - Style2 3 3" xfId="34312"/>
    <cellStyle name="Comma  - Style2 3 3 2" xfId="34313"/>
    <cellStyle name="Comma  - Style2 3 4" xfId="34314"/>
    <cellStyle name="Comma  - Style2 3 5" xfId="34310"/>
    <cellStyle name="Comma  - Style2 4" xfId="12951"/>
    <cellStyle name="Comma  - Style2 4 2" xfId="12952"/>
    <cellStyle name="Comma  - Style2 4 2 2" xfId="34315"/>
    <cellStyle name="Comma  - Style2 4 3" xfId="34316"/>
    <cellStyle name="Comma  - Style2 5" xfId="12953"/>
    <cellStyle name="Comma  - Style2 5 2" xfId="12954"/>
    <cellStyle name="Comma  - Style2 5 2 2" xfId="34317"/>
    <cellStyle name="Comma  - Style2 5 3" xfId="34318"/>
    <cellStyle name="Comma  - Style2 6" xfId="12955"/>
    <cellStyle name="Comma  - Style2 6 2" xfId="12956"/>
    <cellStyle name="Comma  - Style2 6 2 2" xfId="34319"/>
    <cellStyle name="Comma  - Style2 6 3" xfId="34320"/>
    <cellStyle name="Comma  - Style2 7" xfId="12957"/>
    <cellStyle name="Comma  - Style2 7 2" xfId="12958"/>
    <cellStyle name="Comma  - Style2 7 2 2" xfId="34321"/>
    <cellStyle name="Comma  - Style2 7 3" xfId="34322"/>
    <cellStyle name="Comma  - Style2 8" xfId="12959"/>
    <cellStyle name="Comma  - Style2 8 2" xfId="12960"/>
    <cellStyle name="Comma  - Style2 8 2 2" xfId="34323"/>
    <cellStyle name="Comma  - Style2 8 3" xfId="34324"/>
    <cellStyle name="Comma  - Style2 9" xfId="12961"/>
    <cellStyle name="Comma  - Style2 9 2" xfId="12962"/>
    <cellStyle name="Comma  - Style2 9 2 2" xfId="34325"/>
    <cellStyle name="Comma  - Style2 9 3" xfId="34326"/>
    <cellStyle name="Comma  - Style2_1.Cuadro 1A TEMPRANILLO-1 Mayo-08" xfId="12963"/>
    <cellStyle name="Comma  - Style3" xfId="9"/>
    <cellStyle name="Comma  - Style3 10" xfId="12964"/>
    <cellStyle name="Comma  - Style3 10 2" xfId="34327"/>
    <cellStyle name="Comma  - Style3 11" xfId="12965"/>
    <cellStyle name="Comma  - Style3 11 2" xfId="34328"/>
    <cellStyle name="Comma  - Style3 12" xfId="12966"/>
    <cellStyle name="Comma  - Style3 12 2" xfId="34329"/>
    <cellStyle name="Comma  - Style3 13" xfId="12967"/>
    <cellStyle name="Comma  - Style3 13 2" xfId="34330"/>
    <cellStyle name="Comma  - Style3 14" xfId="12968"/>
    <cellStyle name="Comma  - Style3 14 2" xfId="34331"/>
    <cellStyle name="Comma  - Style3 15" xfId="12969"/>
    <cellStyle name="Comma  - Style3 15 2" xfId="34332"/>
    <cellStyle name="Comma  - Style3 16" xfId="12970"/>
    <cellStyle name="Comma  - Style3 16 2" xfId="34333"/>
    <cellStyle name="Comma  - Style3 17" xfId="12971"/>
    <cellStyle name="Comma  - Style3 17 2" xfId="34334"/>
    <cellStyle name="Comma  - Style3 18" xfId="12972"/>
    <cellStyle name="Comma  - Style3 18 2" xfId="34335"/>
    <cellStyle name="Comma  - Style3 2" xfId="12973"/>
    <cellStyle name="Comma  - Style3 2 2" xfId="12974"/>
    <cellStyle name="Comma  - Style3 2 2 2" xfId="34337"/>
    <cellStyle name="Comma  - Style3 2 3" xfId="34338"/>
    <cellStyle name="Comma  - Style3 2 3 2" xfId="34339"/>
    <cellStyle name="Comma  - Style3 2 4" xfId="34340"/>
    <cellStyle name="Comma  - Style3 2 5" xfId="34341"/>
    <cellStyle name="Comma  - Style3 2 6" xfId="34336"/>
    <cellStyle name="Comma  - Style3 3" xfId="12975"/>
    <cellStyle name="Comma  - Style3 3 2" xfId="12976"/>
    <cellStyle name="Comma  - Style3 3 2 2" xfId="34343"/>
    <cellStyle name="Comma  - Style3 3 3" xfId="34344"/>
    <cellStyle name="Comma  - Style3 3 3 2" xfId="34345"/>
    <cellStyle name="Comma  - Style3 3 4" xfId="34346"/>
    <cellStyle name="Comma  - Style3 3 5" xfId="34342"/>
    <cellStyle name="Comma  - Style3 4" xfId="12977"/>
    <cellStyle name="Comma  - Style3 4 2" xfId="12978"/>
    <cellStyle name="Comma  - Style3 4 2 2" xfId="34347"/>
    <cellStyle name="Comma  - Style3 4 3" xfId="34348"/>
    <cellStyle name="Comma  - Style3 5" xfId="12979"/>
    <cellStyle name="Comma  - Style3 5 2" xfId="12980"/>
    <cellStyle name="Comma  - Style3 5 2 2" xfId="34349"/>
    <cellStyle name="Comma  - Style3 5 3" xfId="34350"/>
    <cellStyle name="Comma  - Style3 6" xfId="12981"/>
    <cellStyle name="Comma  - Style3 6 2" xfId="12982"/>
    <cellStyle name="Comma  - Style3 6 2 2" xfId="34351"/>
    <cellStyle name="Comma  - Style3 6 3" xfId="34352"/>
    <cellStyle name="Comma  - Style3 7" xfId="12983"/>
    <cellStyle name="Comma  - Style3 7 2" xfId="12984"/>
    <cellStyle name="Comma  - Style3 7 2 2" xfId="34353"/>
    <cellStyle name="Comma  - Style3 7 3" xfId="34354"/>
    <cellStyle name="Comma  - Style3 8" xfId="12985"/>
    <cellStyle name="Comma  - Style3 8 2" xfId="12986"/>
    <cellStyle name="Comma  - Style3 8 2 2" xfId="34355"/>
    <cellStyle name="Comma  - Style3 8 3" xfId="34356"/>
    <cellStyle name="Comma  - Style3 9" xfId="12987"/>
    <cellStyle name="Comma  - Style3 9 2" xfId="12988"/>
    <cellStyle name="Comma  - Style3 9 2 2" xfId="34357"/>
    <cellStyle name="Comma  - Style3 9 3" xfId="34358"/>
    <cellStyle name="Comma  - Style3_1.Cuadro 1A TEMPRANILLO-1 Mayo-08" xfId="12989"/>
    <cellStyle name="Comma  - Style4" xfId="10"/>
    <cellStyle name="Comma  - Style4 10" xfId="12990"/>
    <cellStyle name="Comma  - Style4 10 2" xfId="34359"/>
    <cellStyle name="Comma  - Style4 11" xfId="12991"/>
    <cellStyle name="Comma  - Style4 11 2" xfId="34360"/>
    <cellStyle name="Comma  - Style4 12" xfId="12992"/>
    <cellStyle name="Comma  - Style4 12 2" xfId="34361"/>
    <cellStyle name="Comma  - Style4 13" xfId="12993"/>
    <cellStyle name="Comma  - Style4 13 2" xfId="34362"/>
    <cellStyle name="Comma  - Style4 14" xfId="12994"/>
    <cellStyle name="Comma  - Style4 14 2" xfId="34363"/>
    <cellStyle name="Comma  - Style4 15" xfId="12995"/>
    <cellStyle name="Comma  - Style4 15 2" xfId="34364"/>
    <cellStyle name="Comma  - Style4 16" xfId="12996"/>
    <cellStyle name="Comma  - Style4 16 2" xfId="34365"/>
    <cellStyle name="Comma  - Style4 17" xfId="12997"/>
    <cellStyle name="Comma  - Style4 17 2" xfId="34366"/>
    <cellStyle name="Comma  - Style4 18" xfId="12998"/>
    <cellStyle name="Comma  - Style4 18 2" xfId="34367"/>
    <cellStyle name="Comma  - Style4 2" xfId="12999"/>
    <cellStyle name="Comma  - Style4 2 2" xfId="13000"/>
    <cellStyle name="Comma  - Style4 2 2 2" xfId="34369"/>
    <cellStyle name="Comma  - Style4 2 3" xfId="34370"/>
    <cellStyle name="Comma  - Style4 2 3 2" xfId="34371"/>
    <cellStyle name="Comma  - Style4 2 4" xfId="34372"/>
    <cellStyle name="Comma  - Style4 2 5" xfId="34373"/>
    <cellStyle name="Comma  - Style4 2 6" xfId="34368"/>
    <cellStyle name="Comma  - Style4 3" xfId="13001"/>
    <cellStyle name="Comma  - Style4 3 2" xfId="13002"/>
    <cellStyle name="Comma  - Style4 3 2 2" xfId="34375"/>
    <cellStyle name="Comma  - Style4 3 3" xfId="34376"/>
    <cellStyle name="Comma  - Style4 3 3 2" xfId="34377"/>
    <cellStyle name="Comma  - Style4 3 4" xfId="34378"/>
    <cellStyle name="Comma  - Style4 3 5" xfId="34374"/>
    <cellStyle name="Comma  - Style4 4" xfId="13003"/>
    <cellStyle name="Comma  - Style4 4 2" xfId="13004"/>
    <cellStyle name="Comma  - Style4 4 2 2" xfId="34379"/>
    <cellStyle name="Comma  - Style4 4 3" xfId="34380"/>
    <cellStyle name="Comma  - Style4 5" xfId="13005"/>
    <cellStyle name="Comma  - Style4 5 2" xfId="13006"/>
    <cellStyle name="Comma  - Style4 5 2 2" xfId="34381"/>
    <cellStyle name="Comma  - Style4 5 3" xfId="34382"/>
    <cellStyle name="Comma  - Style4 6" xfId="13007"/>
    <cellStyle name="Comma  - Style4 6 2" xfId="13008"/>
    <cellStyle name="Comma  - Style4 6 2 2" xfId="34383"/>
    <cellStyle name="Comma  - Style4 6 3" xfId="34384"/>
    <cellStyle name="Comma  - Style4 7" xfId="13009"/>
    <cellStyle name="Comma  - Style4 7 2" xfId="13010"/>
    <cellStyle name="Comma  - Style4 7 2 2" xfId="34385"/>
    <cellStyle name="Comma  - Style4 7 3" xfId="34386"/>
    <cellStyle name="Comma  - Style4 8" xfId="13011"/>
    <cellStyle name="Comma  - Style4 8 2" xfId="13012"/>
    <cellStyle name="Comma  - Style4 8 2 2" xfId="34387"/>
    <cellStyle name="Comma  - Style4 8 3" xfId="34388"/>
    <cellStyle name="Comma  - Style4 9" xfId="13013"/>
    <cellStyle name="Comma  - Style4 9 2" xfId="13014"/>
    <cellStyle name="Comma  - Style4 9 2 2" xfId="34389"/>
    <cellStyle name="Comma  - Style4 9 3" xfId="34390"/>
    <cellStyle name="Comma  - Style4_1.Cuadro 1A TEMPRANILLO-1 Mayo-08" xfId="13015"/>
    <cellStyle name="Comma  - Style5" xfId="11"/>
    <cellStyle name="Comma  - Style5 10" xfId="13016"/>
    <cellStyle name="Comma  - Style5 10 2" xfId="34391"/>
    <cellStyle name="Comma  - Style5 11" xfId="13017"/>
    <cellStyle name="Comma  - Style5 11 2" xfId="34392"/>
    <cellStyle name="Comma  - Style5 12" xfId="13018"/>
    <cellStyle name="Comma  - Style5 12 2" xfId="34393"/>
    <cellStyle name="Comma  - Style5 13" xfId="13019"/>
    <cellStyle name="Comma  - Style5 13 2" xfId="34394"/>
    <cellStyle name="Comma  - Style5 14" xfId="13020"/>
    <cellStyle name="Comma  - Style5 14 2" xfId="34395"/>
    <cellStyle name="Comma  - Style5 15" xfId="13021"/>
    <cellStyle name="Comma  - Style5 15 2" xfId="34396"/>
    <cellStyle name="Comma  - Style5 16" xfId="13022"/>
    <cellStyle name="Comma  - Style5 16 2" xfId="34397"/>
    <cellStyle name="Comma  - Style5 17" xfId="13023"/>
    <cellStyle name="Comma  - Style5 17 2" xfId="34398"/>
    <cellStyle name="Comma  - Style5 18" xfId="13024"/>
    <cellStyle name="Comma  - Style5 18 2" xfId="34399"/>
    <cellStyle name="Comma  - Style5 2" xfId="13025"/>
    <cellStyle name="Comma  - Style5 2 2" xfId="13026"/>
    <cellStyle name="Comma  - Style5 2 2 2" xfId="34401"/>
    <cellStyle name="Comma  - Style5 2 3" xfId="34402"/>
    <cellStyle name="Comma  - Style5 2 3 2" xfId="34403"/>
    <cellStyle name="Comma  - Style5 2 4" xfId="34404"/>
    <cellStyle name="Comma  - Style5 2 5" xfId="34405"/>
    <cellStyle name="Comma  - Style5 2 6" xfId="34400"/>
    <cellStyle name="Comma  - Style5 3" xfId="13027"/>
    <cellStyle name="Comma  - Style5 3 2" xfId="13028"/>
    <cellStyle name="Comma  - Style5 3 2 2" xfId="34407"/>
    <cellStyle name="Comma  - Style5 3 3" xfId="34408"/>
    <cellStyle name="Comma  - Style5 3 3 2" xfId="34409"/>
    <cellStyle name="Comma  - Style5 3 4" xfId="34410"/>
    <cellStyle name="Comma  - Style5 3 5" xfId="34406"/>
    <cellStyle name="Comma  - Style5 4" xfId="13029"/>
    <cellStyle name="Comma  - Style5 4 2" xfId="13030"/>
    <cellStyle name="Comma  - Style5 4 2 2" xfId="34411"/>
    <cellStyle name="Comma  - Style5 4 3" xfId="34412"/>
    <cellStyle name="Comma  - Style5 5" xfId="13031"/>
    <cellStyle name="Comma  - Style5 5 2" xfId="13032"/>
    <cellStyle name="Comma  - Style5 5 2 2" xfId="34413"/>
    <cellStyle name="Comma  - Style5 5 3" xfId="34414"/>
    <cellStyle name="Comma  - Style5 6" xfId="13033"/>
    <cellStyle name="Comma  - Style5 6 2" xfId="13034"/>
    <cellStyle name="Comma  - Style5 6 2 2" xfId="34415"/>
    <cellStyle name="Comma  - Style5 6 3" xfId="34416"/>
    <cellStyle name="Comma  - Style5 7" xfId="13035"/>
    <cellStyle name="Comma  - Style5 7 2" xfId="13036"/>
    <cellStyle name="Comma  - Style5 7 2 2" xfId="34417"/>
    <cellStyle name="Comma  - Style5 7 3" xfId="34418"/>
    <cellStyle name="Comma  - Style5 8" xfId="13037"/>
    <cellStyle name="Comma  - Style5 8 2" xfId="13038"/>
    <cellStyle name="Comma  - Style5 8 2 2" xfId="34419"/>
    <cellStyle name="Comma  - Style5 8 3" xfId="34420"/>
    <cellStyle name="Comma  - Style5 9" xfId="13039"/>
    <cellStyle name="Comma  - Style5 9 2" xfId="13040"/>
    <cellStyle name="Comma  - Style5 9 2 2" xfId="34421"/>
    <cellStyle name="Comma  - Style5 9 3" xfId="34422"/>
    <cellStyle name="Comma  - Style5_1.Cuadro 1A TEMPRANILLO-1 Mayo-08" xfId="13041"/>
    <cellStyle name="Comma  - Style6" xfId="12"/>
    <cellStyle name="Comma  - Style6 10" xfId="13042"/>
    <cellStyle name="Comma  - Style6 10 2" xfId="34423"/>
    <cellStyle name="Comma  - Style6 11" xfId="13043"/>
    <cellStyle name="Comma  - Style6 11 2" xfId="34424"/>
    <cellStyle name="Comma  - Style6 12" xfId="13044"/>
    <cellStyle name="Comma  - Style6 12 2" xfId="34425"/>
    <cellStyle name="Comma  - Style6 13" xfId="13045"/>
    <cellStyle name="Comma  - Style6 13 2" xfId="34426"/>
    <cellStyle name="Comma  - Style6 14" xfId="13046"/>
    <cellStyle name="Comma  - Style6 14 2" xfId="34427"/>
    <cellStyle name="Comma  - Style6 15" xfId="13047"/>
    <cellStyle name="Comma  - Style6 15 2" xfId="34428"/>
    <cellStyle name="Comma  - Style6 16" xfId="13048"/>
    <cellStyle name="Comma  - Style6 16 2" xfId="34429"/>
    <cellStyle name="Comma  - Style6 17" xfId="13049"/>
    <cellStyle name="Comma  - Style6 17 2" xfId="34430"/>
    <cellStyle name="Comma  - Style6 18" xfId="13050"/>
    <cellStyle name="Comma  - Style6 18 2" xfId="34431"/>
    <cellStyle name="Comma  - Style6 2" xfId="13051"/>
    <cellStyle name="Comma  - Style6 2 2" xfId="13052"/>
    <cellStyle name="Comma  - Style6 2 2 2" xfId="34433"/>
    <cellStyle name="Comma  - Style6 2 3" xfId="34434"/>
    <cellStyle name="Comma  - Style6 2 3 2" xfId="34435"/>
    <cellStyle name="Comma  - Style6 2 4" xfId="34436"/>
    <cellStyle name="Comma  - Style6 2 5" xfId="34437"/>
    <cellStyle name="Comma  - Style6 2 6" xfId="34432"/>
    <cellStyle name="Comma  - Style6 3" xfId="13053"/>
    <cellStyle name="Comma  - Style6 3 2" xfId="13054"/>
    <cellStyle name="Comma  - Style6 3 2 2" xfId="34439"/>
    <cellStyle name="Comma  - Style6 3 3" xfId="34440"/>
    <cellStyle name="Comma  - Style6 3 3 2" xfId="34441"/>
    <cellStyle name="Comma  - Style6 3 4" xfId="34442"/>
    <cellStyle name="Comma  - Style6 3 5" xfId="34438"/>
    <cellStyle name="Comma  - Style6 4" xfId="13055"/>
    <cellStyle name="Comma  - Style6 4 2" xfId="13056"/>
    <cellStyle name="Comma  - Style6 4 2 2" xfId="34443"/>
    <cellStyle name="Comma  - Style6 4 3" xfId="34444"/>
    <cellStyle name="Comma  - Style6 5" xfId="13057"/>
    <cellStyle name="Comma  - Style6 5 2" xfId="13058"/>
    <cellStyle name="Comma  - Style6 5 2 2" xfId="34445"/>
    <cellStyle name="Comma  - Style6 5 3" xfId="34446"/>
    <cellStyle name="Comma  - Style6 6" xfId="13059"/>
    <cellStyle name="Comma  - Style6 6 2" xfId="13060"/>
    <cellStyle name="Comma  - Style6 6 2 2" xfId="34447"/>
    <cellStyle name="Comma  - Style6 6 3" xfId="34448"/>
    <cellStyle name="Comma  - Style6 7" xfId="13061"/>
    <cellStyle name="Comma  - Style6 7 2" xfId="13062"/>
    <cellStyle name="Comma  - Style6 7 2 2" xfId="34449"/>
    <cellStyle name="Comma  - Style6 7 3" xfId="34450"/>
    <cellStyle name="Comma  - Style6 8" xfId="13063"/>
    <cellStyle name="Comma  - Style6 8 2" xfId="13064"/>
    <cellStyle name="Comma  - Style6 8 2 2" xfId="34451"/>
    <cellStyle name="Comma  - Style6 8 3" xfId="34452"/>
    <cellStyle name="Comma  - Style6 9" xfId="13065"/>
    <cellStyle name="Comma  - Style6 9 2" xfId="13066"/>
    <cellStyle name="Comma  - Style6 9 2 2" xfId="34453"/>
    <cellStyle name="Comma  - Style6 9 3" xfId="34454"/>
    <cellStyle name="Comma  - Style6_1.Cuadro 1A TEMPRANILLO-1 Mayo-08" xfId="13067"/>
    <cellStyle name="Comma  - Style7" xfId="13"/>
    <cellStyle name="Comma  - Style7 10" xfId="13068"/>
    <cellStyle name="Comma  - Style7 10 2" xfId="34455"/>
    <cellStyle name="Comma  - Style7 11" xfId="13069"/>
    <cellStyle name="Comma  - Style7 11 2" xfId="34456"/>
    <cellStyle name="Comma  - Style7 12" xfId="13070"/>
    <cellStyle name="Comma  - Style7 12 2" xfId="34457"/>
    <cellStyle name="Comma  - Style7 13" xfId="13071"/>
    <cellStyle name="Comma  - Style7 13 2" xfId="34458"/>
    <cellStyle name="Comma  - Style7 14" xfId="13072"/>
    <cellStyle name="Comma  - Style7 14 2" xfId="34459"/>
    <cellStyle name="Comma  - Style7 15" xfId="13073"/>
    <cellStyle name="Comma  - Style7 15 2" xfId="34460"/>
    <cellStyle name="Comma  - Style7 16" xfId="13074"/>
    <cellStyle name="Comma  - Style7 16 2" xfId="34461"/>
    <cellStyle name="Comma  - Style7 17" xfId="13075"/>
    <cellStyle name="Comma  - Style7 17 2" xfId="34462"/>
    <cellStyle name="Comma  - Style7 18" xfId="13076"/>
    <cellStyle name="Comma  - Style7 18 2" xfId="34463"/>
    <cellStyle name="Comma  - Style7 2" xfId="13077"/>
    <cellStyle name="Comma  - Style7 2 2" xfId="13078"/>
    <cellStyle name="Comma  - Style7 2 2 2" xfId="34465"/>
    <cellStyle name="Comma  - Style7 2 3" xfId="34466"/>
    <cellStyle name="Comma  - Style7 2 3 2" xfId="34467"/>
    <cellStyle name="Comma  - Style7 2 4" xfId="34468"/>
    <cellStyle name="Comma  - Style7 2 5" xfId="34469"/>
    <cellStyle name="Comma  - Style7 2 6" xfId="34464"/>
    <cellStyle name="Comma  - Style7 3" xfId="13079"/>
    <cellStyle name="Comma  - Style7 3 2" xfId="13080"/>
    <cellStyle name="Comma  - Style7 3 2 2" xfId="34471"/>
    <cellStyle name="Comma  - Style7 3 3" xfId="34472"/>
    <cellStyle name="Comma  - Style7 3 3 2" xfId="34473"/>
    <cellStyle name="Comma  - Style7 3 4" xfId="34474"/>
    <cellStyle name="Comma  - Style7 3 5" xfId="34470"/>
    <cellStyle name="Comma  - Style7 4" xfId="13081"/>
    <cellStyle name="Comma  - Style7 4 2" xfId="13082"/>
    <cellStyle name="Comma  - Style7 4 2 2" xfId="34475"/>
    <cellStyle name="Comma  - Style7 4 3" xfId="34476"/>
    <cellStyle name="Comma  - Style7 5" xfId="13083"/>
    <cellStyle name="Comma  - Style7 5 2" xfId="13084"/>
    <cellStyle name="Comma  - Style7 5 2 2" xfId="34477"/>
    <cellStyle name="Comma  - Style7 5 3" xfId="34478"/>
    <cellStyle name="Comma  - Style7 6" xfId="13085"/>
    <cellStyle name="Comma  - Style7 6 2" xfId="13086"/>
    <cellStyle name="Comma  - Style7 6 2 2" xfId="34479"/>
    <cellStyle name="Comma  - Style7 6 3" xfId="34480"/>
    <cellStyle name="Comma  - Style7 7" xfId="13087"/>
    <cellStyle name="Comma  - Style7 7 2" xfId="13088"/>
    <cellStyle name="Comma  - Style7 7 2 2" xfId="34481"/>
    <cellStyle name="Comma  - Style7 7 3" xfId="34482"/>
    <cellStyle name="Comma  - Style7 8" xfId="13089"/>
    <cellStyle name="Comma  - Style7 8 2" xfId="13090"/>
    <cellStyle name="Comma  - Style7 8 2 2" xfId="34483"/>
    <cellStyle name="Comma  - Style7 8 3" xfId="34484"/>
    <cellStyle name="Comma  - Style7 9" xfId="13091"/>
    <cellStyle name="Comma  - Style7 9 2" xfId="13092"/>
    <cellStyle name="Comma  - Style7 9 2 2" xfId="34485"/>
    <cellStyle name="Comma  - Style7 9 3" xfId="34486"/>
    <cellStyle name="Comma  - Style7_1.Cuadro 1A TEMPRANILLO-1 Mayo-08" xfId="13093"/>
    <cellStyle name="Comma  - Style8" xfId="14"/>
    <cellStyle name="Comma  - Style8 10" xfId="13094"/>
    <cellStyle name="Comma  - Style8 10 2" xfId="34487"/>
    <cellStyle name="Comma  - Style8 11" xfId="13095"/>
    <cellStyle name="Comma  - Style8 11 2" xfId="34488"/>
    <cellStyle name="Comma  - Style8 12" xfId="13096"/>
    <cellStyle name="Comma  - Style8 12 2" xfId="34489"/>
    <cellStyle name="Comma  - Style8 13" xfId="13097"/>
    <cellStyle name="Comma  - Style8 13 2" xfId="34490"/>
    <cellStyle name="Comma  - Style8 14" xfId="13098"/>
    <cellStyle name="Comma  - Style8 14 2" xfId="34491"/>
    <cellStyle name="Comma  - Style8 15" xfId="13099"/>
    <cellStyle name="Comma  - Style8 15 2" xfId="34492"/>
    <cellStyle name="Comma  - Style8 16" xfId="13100"/>
    <cellStyle name="Comma  - Style8 16 2" xfId="34493"/>
    <cellStyle name="Comma  - Style8 17" xfId="13101"/>
    <cellStyle name="Comma  - Style8 17 2" xfId="34494"/>
    <cellStyle name="Comma  - Style8 18" xfId="13102"/>
    <cellStyle name="Comma  - Style8 18 2" xfId="34495"/>
    <cellStyle name="Comma  - Style8 2" xfId="13103"/>
    <cellStyle name="Comma  - Style8 2 2" xfId="13104"/>
    <cellStyle name="Comma  - Style8 2 2 2" xfId="34497"/>
    <cellStyle name="Comma  - Style8 2 3" xfId="34498"/>
    <cellStyle name="Comma  - Style8 2 3 2" xfId="34499"/>
    <cellStyle name="Comma  - Style8 2 4" xfId="34500"/>
    <cellStyle name="Comma  - Style8 2 5" xfId="34501"/>
    <cellStyle name="Comma  - Style8 2 6" xfId="34496"/>
    <cellStyle name="Comma  - Style8 3" xfId="13105"/>
    <cellStyle name="Comma  - Style8 3 2" xfId="13106"/>
    <cellStyle name="Comma  - Style8 3 2 2" xfId="34503"/>
    <cellStyle name="Comma  - Style8 3 3" xfId="34504"/>
    <cellStyle name="Comma  - Style8 3 3 2" xfId="34505"/>
    <cellStyle name="Comma  - Style8 3 4" xfId="34506"/>
    <cellStyle name="Comma  - Style8 3 5" xfId="34502"/>
    <cellStyle name="Comma  - Style8 4" xfId="13107"/>
    <cellStyle name="Comma  - Style8 4 2" xfId="13108"/>
    <cellStyle name="Comma  - Style8 4 2 2" xfId="34507"/>
    <cellStyle name="Comma  - Style8 4 3" xfId="34508"/>
    <cellStyle name="Comma  - Style8 5" xfId="13109"/>
    <cellStyle name="Comma  - Style8 5 2" xfId="13110"/>
    <cellStyle name="Comma  - Style8 5 2 2" xfId="34509"/>
    <cellStyle name="Comma  - Style8 5 3" xfId="34510"/>
    <cellStyle name="Comma  - Style8 6" xfId="13111"/>
    <cellStyle name="Comma  - Style8 6 2" xfId="13112"/>
    <cellStyle name="Comma  - Style8 6 2 2" xfId="34511"/>
    <cellStyle name="Comma  - Style8 6 3" xfId="34512"/>
    <cellStyle name="Comma  - Style8 7" xfId="13113"/>
    <cellStyle name="Comma  - Style8 7 2" xfId="13114"/>
    <cellStyle name="Comma  - Style8 7 2 2" xfId="34513"/>
    <cellStyle name="Comma  - Style8 7 3" xfId="34514"/>
    <cellStyle name="Comma  - Style8 8" xfId="13115"/>
    <cellStyle name="Comma  - Style8 8 2" xfId="13116"/>
    <cellStyle name="Comma  - Style8 8 2 2" xfId="34515"/>
    <cellStyle name="Comma  - Style8 8 3" xfId="34516"/>
    <cellStyle name="Comma  - Style8 9" xfId="13117"/>
    <cellStyle name="Comma  - Style8 9 2" xfId="13118"/>
    <cellStyle name="Comma  - Style8 9 2 2" xfId="34517"/>
    <cellStyle name="Comma  - Style8 9 3" xfId="34518"/>
    <cellStyle name="Comma  - Style8_1.Cuadro 1A TEMPRANILLO-1 Mayo-08" xfId="13119"/>
    <cellStyle name="Comma [0]_1¿ùÈ¸ºñ³»¿ª (2)" xfId="13120"/>
    <cellStyle name="Comma [1]" xfId="13121"/>
    <cellStyle name="Comma 2" xfId="2"/>
    <cellStyle name="Comma 2 2" xfId="34519"/>
    <cellStyle name="Comma 2 2 2" xfId="34520"/>
    <cellStyle name="Comma 2 3" xfId="34521"/>
    <cellStyle name="Comma 3" xfId="34522"/>
    <cellStyle name="Comma 3 2" xfId="34523"/>
    <cellStyle name="Comma 3 2 2" xfId="34524"/>
    <cellStyle name="Comma 3 3" xfId="34525"/>
    <cellStyle name="Comma 4" xfId="34526"/>
    <cellStyle name="Comma_1¿ùÈ¸ºñ³»¿ª (2)" xfId="13122"/>
    <cellStyle name="Comma0" xfId="3477"/>
    <cellStyle name="Comma0 2" xfId="13123"/>
    <cellStyle name="Copied" xfId="13124"/>
    <cellStyle name="Currency [0]_0401 Curva de avance de proyecto" xfId="13125"/>
    <cellStyle name="Currency()" xfId="13126"/>
    <cellStyle name="Currency_0401 Curva de avance de proyecto" xfId="13127"/>
    <cellStyle name="Currency0" xfId="3478"/>
    <cellStyle name="Currency0 2" xfId="13128"/>
    <cellStyle name="Date" xfId="3479"/>
    <cellStyle name="Date 2" xfId="13129"/>
    <cellStyle name="Date 2 2" xfId="30150"/>
    <cellStyle name="Date 3" xfId="13130"/>
    <cellStyle name="Dezimal [0]_NEGS" xfId="13131"/>
    <cellStyle name="Dezimal_NEGS" xfId="13132"/>
    <cellStyle name="Encabezado 4 10" xfId="3480"/>
    <cellStyle name="Encabezado 4 11" xfId="3481"/>
    <cellStyle name="Encabezado 4 12" xfId="3482"/>
    <cellStyle name="Encabezado 4 13" xfId="3483"/>
    <cellStyle name="Encabezado 4 14" xfId="3484"/>
    <cellStyle name="Encabezado 4 15" xfId="3485"/>
    <cellStyle name="Encabezado 4 16" xfId="3486"/>
    <cellStyle name="Encabezado 4 17" xfId="3487"/>
    <cellStyle name="Encabezado 4 18" xfId="3488"/>
    <cellStyle name="Encabezado 4 19" xfId="3489"/>
    <cellStyle name="Encabezado 4 2" xfId="3490"/>
    <cellStyle name="Encabezado 4 2 2" xfId="13133"/>
    <cellStyle name="Encabezado 4 2 3" xfId="13134"/>
    <cellStyle name="Encabezado 4 20" xfId="3491"/>
    <cellStyle name="Encabezado 4 21" xfId="3492"/>
    <cellStyle name="Encabezado 4 22" xfId="3493"/>
    <cellStyle name="Encabezado 4 23" xfId="3494"/>
    <cellStyle name="Encabezado 4 24" xfId="3495"/>
    <cellStyle name="Encabezado 4 25" xfId="3496"/>
    <cellStyle name="Encabezado 4 26" xfId="3497"/>
    <cellStyle name="Encabezado 4 27" xfId="3498"/>
    <cellStyle name="Encabezado 4 28" xfId="3499"/>
    <cellStyle name="Encabezado 4 29" xfId="3500"/>
    <cellStyle name="Encabezado 4 3" xfId="3501"/>
    <cellStyle name="Encabezado 4 3 2" xfId="13135"/>
    <cellStyle name="Encabezado 4 3 3" xfId="13136"/>
    <cellStyle name="Encabezado 4 30" xfId="3502"/>
    <cellStyle name="Encabezado 4 31" xfId="3503"/>
    <cellStyle name="Encabezado 4 32" xfId="3504"/>
    <cellStyle name="Encabezado 4 33" xfId="3505"/>
    <cellStyle name="Encabezado 4 34" xfId="3506"/>
    <cellStyle name="Encabezado 4 35" xfId="3507"/>
    <cellStyle name="Encabezado 4 36" xfId="3508"/>
    <cellStyle name="Encabezado 4 37" xfId="3509"/>
    <cellStyle name="Encabezado 4 38" xfId="3510"/>
    <cellStyle name="Encabezado 4 39" xfId="3511"/>
    <cellStyle name="Encabezado 4 4" xfId="3512"/>
    <cellStyle name="Encabezado 4 4 2" xfId="13137"/>
    <cellStyle name="Encabezado 4 4 3" xfId="13138"/>
    <cellStyle name="Encabezado 4 40" xfId="3513"/>
    <cellStyle name="Encabezado 4 41" xfId="3514"/>
    <cellStyle name="Encabezado 4 42" xfId="3515"/>
    <cellStyle name="Encabezado 4 43" xfId="3516"/>
    <cellStyle name="Encabezado 4 44" xfId="3517"/>
    <cellStyle name="Encabezado 4 45" xfId="3518"/>
    <cellStyle name="Encabezado 4 46" xfId="3519"/>
    <cellStyle name="Encabezado 4 47" xfId="3520"/>
    <cellStyle name="Encabezado 4 48" xfId="3521"/>
    <cellStyle name="Encabezado 4 49" xfId="3522"/>
    <cellStyle name="Encabezado 4 5" xfId="3523"/>
    <cellStyle name="Encabezado 4 5 2" xfId="13139"/>
    <cellStyle name="Encabezado 4 50" xfId="3524"/>
    <cellStyle name="Encabezado 4 6" xfId="3525"/>
    <cellStyle name="Encabezado 4 6 2" xfId="13140"/>
    <cellStyle name="Encabezado 4 7" xfId="3526"/>
    <cellStyle name="Encabezado 4 7 2" xfId="13141"/>
    <cellStyle name="Encabezado 4 8" xfId="3527"/>
    <cellStyle name="Encabezado 4 8 2" xfId="13142"/>
    <cellStyle name="Encabezado 4 9" xfId="3528"/>
    <cellStyle name="Encabezado 4 9 2" xfId="13143"/>
    <cellStyle name="Énfasis1 10" xfId="3529"/>
    <cellStyle name="Énfasis1 11" xfId="3530"/>
    <cellStyle name="Énfasis1 12" xfId="3531"/>
    <cellStyle name="Énfasis1 13" xfId="3532"/>
    <cellStyle name="Énfasis1 14" xfId="3533"/>
    <cellStyle name="Énfasis1 15" xfId="3534"/>
    <cellStyle name="Énfasis1 16" xfId="3535"/>
    <cellStyle name="Énfasis1 17" xfId="3536"/>
    <cellStyle name="Énfasis1 18" xfId="3537"/>
    <cellStyle name="Énfasis1 19" xfId="3538"/>
    <cellStyle name="Énfasis1 2" xfId="3539"/>
    <cellStyle name="Énfasis1 2 2" xfId="13144"/>
    <cellStyle name="Énfasis1 2 3" xfId="13145"/>
    <cellStyle name="Énfasis1 20" xfId="3540"/>
    <cellStyle name="Énfasis1 21" xfId="3541"/>
    <cellStyle name="Énfasis1 22" xfId="3542"/>
    <cellStyle name="Énfasis1 23" xfId="3543"/>
    <cellStyle name="Énfasis1 24" xfId="3544"/>
    <cellStyle name="Énfasis1 25" xfId="3545"/>
    <cellStyle name="Énfasis1 26" xfId="3546"/>
    <cellStyle name="Énfasis1 27" xfId="3547"/>
    <cellStyle name="Énfasis1 28" xfId="3548"/>
    <cellStyle name="Énfasis1 29" xfId="3549"/>
    <cellStyle name="Énfasis1 3" xfId="3550"/>
    <cellStyle name="Énfasis1 3 2" xfId="13146"/>
    <cellStyle name="Énfasis1 3 3" xfId="13147"/>
    <cellStyle name="Énfasis1 30" xfId="3551"/>
    <cellStyle name="Énfasis1 31" xfId="3552"/>
    <cellStyle name="Énfasis1 32" xfId="3553"/>
    <cellStyle name="Énfasis1 33" xfId="3554"/>
    <cellStyle name="Énfasis1 34" xfId="3555"/>
    <cellStyle name="Énfasis1 35" xfId="3556"/>
    <cellStyle name="Énfasis1 36" xfId="3557"/>
    <cellStyle name="Énfasis1 37" xfId="3558"/>
    <cellStyle name="Énfasis1 38" xfId="3559"/>
    <cellStyle name="Énfasis1 39" xfId="3560"/>
    <cellStyle name="Énfasis1 4" xfId="3561"/>
    <cellStyle name="Énfasis1 4 2" xfId="13148"/>
    <cellStyle name="Énfasis1 4 3" xfId="13149"/>
    <cellStyle name="Énfasis1 40" xfId="3562"/>
    <cellStyle name="Énfasis1 41" xfId="3563"/>
    <cellStyle name="Énfasis1 42" xfId="3564"/>
    <cellStyle name="Énfasis1 43" xfId="3565"/>
    <cellStyle name="Énfasis1 44" xfId="3566"/>
    <cellStyle name="Énfasis1 45" xfId="3567"/>
    <cellStyle name="Énfasis1 46" xfId="3568"/>
    <cellStyle name="Énfasis1 47" xfId="3569"/>
    <cellStyle name="Énfasis1 48" xfId="3570"/>
    <cellStyle name="Énfasis1 49" xfId="3571"/>
    <cellStyle name="Énfasis1 5" xfId="3572"/>
    <cellStyle name="Énfasis1 5 2" xfId="13150"/>
    <cellStyle name="Énfasis1 50" xfId="3573"/>
    <cellStyle name="Énfasis1 6" xfId="3574"/>
    <cellStyle name="Énfasis1 6 2" xfId="13151"/>
    <cellStyle name="Énfasis1 7" xfId="3575"/>
    <cellStyle name="Énfasis1 7 2" xfId="13152"/>
    <cellStyle name="Énfasis1 8" xfId="3576"/>
    <cellStyle name="Énfasis1 8 2" xfId="13153"/>
    <cellStyle name="Énfasis1 9" xfId="3577"/>
    <cellStyle name="Énfasis1 9 2" xfId="13154"/>
    <cellStyle name="Énfasis2 10" xfId="3578"/>
    <cellStyle name="Énfasis2 11" xfId="3579"/>
    <cellStyle name="Énfasis2 12" xfId="3580"/>
    <cellStyle name="Énfasis2 13" xfId="3581"/>
    <cellStyle name="Énfasis2 14" xfId="3582"/>
    <cellStyle name="Énfasis2 15" xfId="3583"/>
    <cellStyle name="Énfasis2 16" xfId="3584"/>
    <cellStyle name="Énfasis2 17" xfId="3585"/>
    <cellStyle name="Énfasis2 18" xfId="3586"/>
    <cellStyle name="Énfasis2 19" xfId="3587"/>
    <cellStyle name="Énfasis2 2" xfId="3588"/>
    <cellStyle name="Énfasis2 2 2" xfId="13155"/>
    <cellStyle name="Énfasis2 2 3" xfId="13156"/>
    <cellStyle name="Énfasis2 20" xfId="3589"/>
    <cellStyle name="Énfasis2 21" xfId="3590"/>
    <cellStyle name="Énfasis2 22" xfId="3591"/>
    <cellStyle name="Énfasis2 23" xfId="3592"/>
    <cellStyle name="Énfasis2 24" xfId="3593"/>
    <cellStyle name="Énfasis2 25" xfId="3594"/>
    <cellStyle name="Énfasis2 26" xfId="3595"/>
    <cellStyle name="Énfasis2 27" xfId="3596"/>
    <cellStyle name="Énfasis2 28" xfId="3597"/>
    <cellStyle name="Énfasis2 29" xfId="3598"/>
    <cellStyle name="Énfasis2 3" xfId="3599"/>
    <cellStyle name="Énfasis2 3 2" xfId="13157"/>
    <cellStyle name="Énfasis2 3 3" xfId="13158"/>
    <cellStyle name="Énfasis2 30" xfId="3600"/>
    <cellStyle name="Énfasis2 31" xfId="3601"/>
    <cellStyle name="Énfasis2 32" xfId="3602"/>
    <cellStyle name="Énfasis2 33" xfId="3603"/>
    <cellStyle name="Énfasis2 34" xfId="3604"/>
    <cellStyle name="Énfasis2 35" xfId="3605"/>
    <cellStyle name="Énfasis2 36" xfId="3606"/>
    <cellStyle name="Énfasis2 37" xfId="3607"/>
    <cellStyle name="Énfasis2 38" xfId="3608"/>
    <cellStyle name="Énfasis2 39" xfId="3609"/>
    <cellStyle name="Énfasis2 4" xfId="3610"/>
    <cellStyle name="Énfasis2 4 2" xfId="13159"/>
    <cellStyle name="Énfasis2 4 3" xfId="13160"/>
    <cellStyle name="Énfasis2 40" xfId="3611"/>
    <cellStyle name="Énfasis2 41" xfId="3612"/>
    <cellStyle name="Énfasis2 42" xfId="3613"/>
    <cellStyle name="Énfasis2 43" xfId="3614"/>
    <cellStyle name="Énfasis2 44" xfId="3615"/>
    <cellStyle name="Énfasis2 45" xfId="3616"/>
    <cellStyle name="Énfasis2 46" xfId="3617"/>
    <cellStyle name="Énfasis2 47" xfId="3618"/>
    <cellStyle name="Énfasis2 48" xfId="3619"/>
    <cellStyle name="Énfasis2 49" xfId="3620"/>
    <cellStyle name="Énfasis2 5" xfId="3621"/>
    <cellStyle name="Énfasis2 5 2" xfId="13161"/>
    <cellStyle name="Énfasis2 50" xfId="3622"/>
    <cellStyle name="Énfasis2 6" xfId="3623"/>
    <cellStyle name="Énfasis2 6 2" xfId="13162"/>
    <cellStyle name="Énfasis2 7" xfId="3624"/>
    <cellStyle name="Énfasis2 7 2" xfId="13163"/>
    <cellStyle name="Énfasis2 8" xfId="3625"/>
    <cellStyle name="Énfasis2 8 2" xfId="13164"/>
    <cellStyle name="Énfasis2 9" xfId="3626"/>
    <cellStyle name="Énfasis2 9 2" xfId="13165"/>
    <cellStyle name="Énfasis3 10" xfId="3627"/>
    <cellStyle name="Énfasis3 11" xfId="3628"/>
    <cellStyle name="Énfasis3 12" xfId="3629"/>
    <cellStyle name="Énfasis3 13" xfId="3630"/>
    <cellStyle name="Énfasis3 14" xfId="3631"/>
    <cellStyle name="Énfasis3 15" xfId="3632"/>
    <cellStyle name="Énfasis3 16" xfId="3633"/>
    <cellStyle name="Énfasis3 17" xfId="3634"/>
    <cellStyle name="Énfasis3 18" xfId="3635"/>
    <cellStyle name="Énfasis3 19" xfId="3636"/>
    <cellStyle name="Énfasis3 2" xfId="3637"/>
    <cellStyle name="Énfasis3 2 2" xfId="13166"/>
    <cellStyle name="Énfasis3 2 3" xfId="13167"/>
    <cellStyle name="Énfasis3 20" xfId="3638"/>
    <cellStyle name="Énfasis3 21" xfId="3639"/>
    <cellStyle name="Énfasis3 22" xfId="3640"/>
    <cellStyle name="Énfasis3 23" xfId="3641"/>
    <cellStyle name="Énfasis3 24" xfId="3642"/>
    <cellStyle name="Énfasis3 25" xfId="3643"/>
    <cellStyle name="Énfasis3 26" xfId="3644"/>
    <cellStyle name="Énfasis3 27" xfId="3645"/>
    <cellStyle name="Énfasis3 28" xfId="3646"/>
    <cellStyle name="Énfasis3 29" xfId="3647"/>
    <cellStyle name="Énfasis3 3" xfId="3648"/>
    <cellStyle name="Énfasis3 3 2" xfId="13168"/>
    <cellStyle name="Énfasis3 3 3" xfId="13169"/>
    <cellStyle name="Énfasis3 30" xfId="3649"/>
    <cellStyle name="Énfasis3 31" xfId="3650"/>
    <cellStyle name="Énfasis3 32" xfId="3651"/>
    <cellStyle name="Énfasis3 33" xfId="3652"/>
    <cellStyle name="Énfasis3 34" xfId="3653"/>
    <cellStyle name="Énfasis3 35" xfId="3654"/>
    <cellStyle name="Énfasis3 36" xfId="3655"/>
    <cellStyle name="Énfasis3 37" xfId="3656"/>
    <cellStyle name="Énfasis3 38" xfId="3657"/>
    <cellStyle name="Énfasis3 39" xfId="3658"/>
    <cellStyle name="Énfasis3 4" xfId="3659"/>
    <cellStyle name="Énfasis3 4 2" xfId="13170"/>
    <cellStyle name="Énfasis3 4 3" xfId="13171"/>
    <cellStyle name="Énfasis3 40" xfId="3660"/>
    <cellStyle name="Énfasis3 41" xfId="3661"/>
    <cellStyle name="Énfasis3 42" xfId="3662"/>
    <cellStyle name="Énfasis3 43" xfId="3663"/>
    <cellStyle name="Énfasis3 44" xfId="3664"/>
    <cellStyle name="Énfasis3 45" xfId="3665"/>
    <cellStyle name="Énfasis3 46" xfId="3666"/>
    <cellStyle name="Énfasis3 47" xfId="3667"/>
    <cellStyle name="Énfasis3 48" xfId="3668"/>
    <cellStyle name="Énfasis3 49" xfId="3669"/>
    <cellStyle name="Énfasis3 5" xfId="3670"/>
    <cellStyle name="Énfasis3 5 2" xfId="13172"/>
    <cellStyle name="Énfasis3 50" xfId="3671"/>
    <cellStyle name="Énfasis3 6" xfId="3672"/>
    <cellStyle name="Énfasis3 6 2" xfId="13173"/>
    <cellStyle name="Énfasis3 7" xfId="3673"/>
    <cellStyle name="Énfasis3 7 2" xfId="13174"/>
    <cellStyle name="Énfasis3 8" xfId="3674"/>
    <cellStyle name="Énfasis3 8 2" xfId="13175"/>
    <cellStyle name="Énfasis3 9" xfId="3675"/>
    <cellStyle name="Énfasis3 9 2" xfId="13176"/>
    <cellStyle name="Énfasis4 10" xfId="3676"/>
    <cellStyle name="Énfasis4 11" xfId="3677"/>
    <cellStyle name="Énfasis4 12" xfId="3678"/>
    <cellStyle name="Énfasis4 13" xfId="3679"/>
    <cellStyle name="Énfasis4 14" xfId="3680"/>
    <cellStyle name="Énfasis4 15" xfId="3681"/>
    <cellStyle name="Énfasis4 16" xfId="3682"/>
    <cellStyle name="Énfasis4 17" xfId="3683"/>
    <cellStyle name="Énfasis4 18" xfId="3684"/>
    <cellStyle name="Énfasis4 19" xfId="3685"/>
    <cellStyle name="Énfasis4 2" xfId="3686"/>
    <cellStyle name="Énfasis4 2 2" xfId="13177"/>
    <cellStyle name="Énfasis4 2 3" xfId="13178"/>
    <cellStyle name="Énfasis4 20" xfId="3687"/>
    <cellStyle name="Énfasis4 21" xfId="3688"/>
    <cellStyle name="Énfasis4 22" xfId="3689"/>
    <cellStyle name="Énfasis4 23" xfId="3690"/>
    <cellStyle name="Énfasis4 24" xfId="3691"/>
    <cellStyle name="Énfasis4 25" xfId="3692"/>
    <cellStyle name="Énfasis4 26" xfId="3693"/>
    <cellStyle name="Énfasis4 27" xfId="3694"/>
    <cellStyle name="Énfasis4 28" xfId="3695"/>
    <cellStyle name="Énfasis4 29" xfId="3696"/>
    <cellStyle name="Énfasis4 3" xfId="3697"/>
    <cellStyle name="Énfasis4 3 2" xfId="13179"/>
    <cellStyle name="Énfasis4 3 3" xfId="13180"/>
    <cellStyle name="Énfasis4 30" xfId="3698"/>
    <cellStyle name="Énfasis4 31" xfId="3699"/>
    <cellStyle name="Énfasis4 32" xfId="3700"/>
    <cellStyle name="Énfasis4 33" xfId="3701"/>
    <cellStyle name="Énfasis4 34" xfId="3702"/>
    <cellStyle name="Énfasis4 35" xfId="3703"/>
    <cellStyle name="Énfasis4 36" xfId="3704"/>
    <cellStyle name="Énfasis4 37" xfId="3705"/>
    <cellStyle name="Énfasis4 38" xfId="3706"/>
    <cellStyle name="Énfasis4 39" xfId="3707"/>
    <cellStyle name="Énfasis4 4" xfId="3708"/>
    <cellStyle name="Énfasis4 4 2" xfId="13181"/>
    <cellStyle name="Énfasis4 4 3" xfId="13182"/>
    <cellStyle name="Énfasis4 40" xfId="3709"/>
    <cellStyle name="Énfasis4 41" xfId="3710"/>
    <cellStyle name="Énfasis4 42" xfId="3711"/>
    <cellStyle name="Énfasis4 43" xfId="3712"/>
    <cellStyle name="Énfasis4 44" xfId="3713"/>
    <cellStyle name="Énfasis4 45" xfId="3714"/>
    <cellStyle name="Énfasis4 46" xfId="3715"/>
    <cellStyle name="Énfasis4 47" xfId="3716"/>
    <cellStyle name="Énfasis4 48" xfId="3717"/>
    <cellStyle name="Énfasis4 49" xfId="3718"/>
    <cellStyle name="Énfasis4 5" xfId="3719"/>
    <cellStyle name="Énfasis4 5 2" xfId="13183"/>
    <cellStyle name="Énfasis4 50" xfId="3720"/>
    <cellStyle name="Énfasis4 6" xfId="3721"/>
    <cellStyle name="Énfasis4 6 2" xfId="13184"/>
    <cellStyle name="Énfasis4 7" xfId="3722"/>
    <cellStyle name="Énfasis4 7 2" xfId="13185"/>
    <cellStyle name="Énfasis4 8" xfId="3723"/>
    <cellStyle name="Énfasis4 8 2" xfId="13186"/>
    <cellStyle name="Énfasis4 9" xfId="3724"/>
    <cellStyle name="Énfasis4 9 2" xfId="13187"/>
    <cellStyle name="Énfasis5 10" xfId="3725"/>
    <cellStyle name="Énfasis5 11" xfId="3726"/>
    <cellStyle name="Énfasis5 12" xfId="3727"/>
    <cellStyle name="Énfasis5 13" xfId="3728"/>
    <cellStyle name="Énfasis5 14" xfId="3729"/>
    <cellStyle name="Énfasis5 15" xfId="3730"/>
    <cellStyle name="Énfasis5 16" xfId="3731"/>
    <cellStyle name="Énfasis5 17" xfId="3732"/>
    <cellStyle name="Énfasis5 18" xfId="3733"/>
    <cellStyle name="Énfasis5 19" xfId="3734"/>
    <cellStyle name="Énfasis5 2" xfId="3735"/>
    <cellStyle name="Énfasis5 2 2" xfId="13188"/>
    <cellStyle name="Énfasis5 2 3" xfId="13189"/>
    <cellStyle name="Énfasis5 20" xfId="3736"/>
    <cellStyle name="Énfasis5 21" xfId="3737"/>
    <cellStyle name="Énfasis5 22" xfId="3738"/>
    <cellStyle name="Énfasis5 23" xfId="3739"/>
    <cellStyle name="Énfasis5 24" xfId="3740"/>
    <cellStyle name="Énfasis5 25" xfId="3741"/>
    <cellStyle name="Énfasis5 26" xfId="3742"/>
    <cellStyle name="Énfasis5 27" xfId="3743"/>
    <cellStyle name="Énfasis5 28" xfId="3744"/>
    <cellStyle name="Énfasis5 29" xfId="3745"/>
    <cellStyle name="Énfasis5 3" xfId="3746"/>
    <cellStyle name="Énfasis5 3 2" xfId="13190"/>
    <cellStyle name="Énfasis5 3 3" xfId="13191"/>
    <cellStyle name="Énfasis5 30" xfId="3747"/>
    <cellStyle name="Énfasis5 31" xfId="3748"/>
    <cellStyle name="Énfasis5 32" xfId="3749"/>
    <cellStyle name="Énfasis5 33" xfId="3750"/>
    <cellStyle name="Énfasis5 34" xfId="3751"/>
    <cellStyle name="Énfasis5 35" xfId="3752"/>
    <cellStyle name="Énfasis5 36" xfId="3753"/>
    <cellStyle name="Énfasis5 37" xfId="3754"/>
    <cellStyle name="Énfasis5 38" xfId="3755"/>
    <cellStyle name="Énfasis5 39" xfId="3756"/>
    <cellStyle name="Énfasis5 4" xfId="3757"/>
    <cellStyle name="Énfasis5 4 2" xfId="13192"/>
    <cellStyle name="Énfasis5 4 3" xfId="13193"/>
    <cellStyle name="Énfasis5 40" xfId="3758"/>
    <cellStyle name="Énfasis5 41" xfId="3759"/>
    <cellStyle name="Énfasis5 42" xfId="3760"/>
    <cellStyle name="Énfasis5 43" xfId="3761"/>
    <cellStyle name="Énfasis5 44" xfId="3762"/>
    <cellStyle name="Énfasis5 45" xfId="3763"/>
    <cellStyle name="Énfasis5 46" xfId="3764"/>
    <cellStyle name="Énfasis5 47" xfId="3765"/>
    <cellStyle name="Énfasis5 48" xfId="3766"/>
    <cellStyle name="Énfasis5 49" xfId="3767"/>
    <cellStyle name="Énfasis5 5" xfId="3768"/>
    <cellStyle name="Énfasis5 5 2" xfId="13194"/>
    <cellStyle name="Énfasis5 50" xfId="3769"/>
    <cellStyle name="Énfasis5 6" xfId="3770"/>
    <cellStyle name="Énfasis5 6 2" xfId="13195"/>
    <cellStyle name="Énfasis5 7" xfId="3771"/>
    <cellStyle name="Énfasis5 7 2" xfId="13196"/>
    <cellStyle name="Énfasis5 8" xfId="3772"/>
    <cellStyle name="Énfasis5 8 2" xfId="13197"/>
    <cellStyle name="Énfasis5 9" xfId="3773"/>
    <cellStyle name="Énfasis5 9 2" xfId="13198"/>
    <cellStyle name="Énfasis6 10" xfId="3774"/>
    <cellStyle name="Énfasis6 11" xfId="3775"/>
    <cellStyle name="Énfasis6 12" xfId="3776"/>
    <cellStyle name="Énfasis6 13" xfId="3777"/>
    <cellStyle name="Énfasis6 14" xfId="3778"/>
    <cellStyle name="Énfasis6 15" xfId="3779"/>
    <cellStyle name="Énfasis6 16" xfId="3780"/>
    <cellStyle name="Énfasis6 17" xfId="3781"/>
    <cellStyle name="Énfasis6 18" xfId="3782"/>
    <cellStyle name="Énfasis6 19" xfId="3783"/>
    <cellStyle name="Énfasis6 2" xfId="3784"/>
    <cellStyle name="Énfasis6 2 2" xfId="13199"/>
    <cellStyle name="Énfasis6 2 3" xfId="13200"/>
    <cellStyle name="Énfasis6 20" xfId="3785"/>
    <cellStyle name="Énfasis6 21" xfId="3786"/>
    <cellStyle name="Énfasis6 22" xfId="3787"/>
    <cellStyle name="Énfasis6 23" xfId="3788"/>
    <cellStyle name="Énfasis6 24" xfId="3789"/>
    <cellStyle name="Énfasis6 25" xfId="3790"/>
    <cellStyle name="Énfasis6 26" xfId="3791"/>
    <cellStyle name="Énfasis6 27" xfId="3792"/>
    <cellStyle name="Énfasis6 28" xfId="3793"/>
    <cellStyle name="Énfasis6 29" xfId="3794"/>
    <cellStyle name="Énfasis6 3" xfId="3795"/>
    <cellStyle name="Énfasis6 3 2" xfId="13201"/>
    <cellStyle name="Énfasis6 3 3" xfId="13202"/>
    <cellStyle name="Énfasis6 30" xfId="3796"/>
    <cellStyle name="Énfasis6 31" xfId="3797"/>
    <cellStyle name="Énfasis6 32" xfId="3798"/>
    <cellStyle name="Énfasis6 33" xfId="3799"/>
    <cellStyle name="Énfasis6 34" xfId="3800"/>
    <cellStyle name="Énfasis6 35" xfId="3801"/>
    <cellStyle name="Énfasis6 36" xfId="3802"/>
    <cellStyle name="Énfasis6 37" xfId="3803"/>
    <cellStyle name="Énfasis6 38" xfId="3804"/>
    <cellStyle name="Énfasis6 39" xfId="3805"/>
    <cellStyle name="Énfasis6 4" xfId="3806"/>
    <cellStyle name="Énfasis6 4 2" xfId="13203"/>
    <cellStyle name="Énfasis6 4 3" xfId="13204"/>
    <cellStyle name="Énfasis6 40" xfId="3807"/>
    <cellStyle name="Énfasis6 41" xfId="3808"/>
    <cellStyle name="Énfasis6 42" xfId="3809"/>
    <cellStyle name="Énfasis6 43" xfId="3810"/>
    <cellStyle name="Énfasis6 44" xfId="3811"/>
    <cellStyle name="Énfasis6 45" xfId="3812"/>
    <cellStyle name="Énfasis6 46" xfId="3813"/>
    <cellStyle name="Énfasis6 47" xfId="3814"/>
    <cellStyle name="Énfasis6 48" xfId="3815"/>
    <cellStyle name="Énfasis6 49" xfId="3816"/>
    <cellStyle name="Énfasis6 5" xfId="3817"/>
    <cellStyle name="Énfasis6 5 2" xfId="13205"/>
    <cellStyle name="Énfasis6 50" xfId="3818"/>
    <cellStyle name="Énfasis6 6" xfId="3819"/>
    <cellStyle name="Énfasis6 6 2" xfId="13206"/>
    <cellStyle name="Énfasis6 7" xfId="3820"/>
    <cellStyle name="Énfasis6 7 2" xfId="13207"/>
    <cellStyle name="Énfasis6 8" xfId="3821"/>
    <cellStyle name="Énfasis6 8 2" xfId="13208"/>
    <cellStyle name="Énfasis6 9" xfId="3822"/>
    <cellStyle name="Énfasis6 9 2" xfId="13209"/>
    <cellStyle name="Entered" xfId="13210"/>
    <cellStyle name="Entrada 10" xfId="3823"/>
    <cellStyle name="Entrada 10 2" xfId="11561"/>
    <cellStyle name="Entrada 10 2 2" xfId="11809"/>
    <cellStyle name="Entrada 10 2 2 2" xfId="30153"/>
    <cellStyle name="Entrada 10 2 2 3" xfId="32922"/>
    <cellStyle name="Entrada 10 2 2 4" xfId="34529"/>
    <cellStyle name="Entrada 10 2 2 5" xfId="40651"/>
    <cellStyle name="Entrada 10 2 3" xfId="11810"/>
    <cellStyle name="Entrada 10 2 3 2" xfId="30154"/>
    <cellStyle name="Entrada 10 2 3 3" xfId="32923"/>
    <cellStyle name="Entrada 10 2 3 4" xfId="34530"/>
    <cellStyle name="Entrada 10 2 3 5" xfId="40652"/>
    <cellStyle name="Entrada 10 2 4" xfId="30152"/>
    <cellStyle name="Entrada 10 2 5" xfId="32921"/>
    <cellStyle name="Entrada 10 2 6" xfId="34528"/>
    <cellStyle name="Entrada 10 2 7" xfId="40650"/>
    <cellStyle name="Entrada 10 3" xfId="11811"/>
    <cellStyle name="Entrada 10 3 2" xfId="30155"/>
    <cellStyle name="Entrada 10 3 3" xfId="32924"/>
    <cellStyle name="Entrada 10 3 4" xfId="34531"/>
    <cellStyle name="Entrada 10 3 5" xfId="40653"/>
    <cellStyle name="Entrada 10 4" xfId="11812"/>
    <cellStyle name="Entrada 10 4 2" xfId="30156"/>
    <cellStyle name="Entrada 10 4 3" xfId="32925"/>
    <cellStyle name="Entrada 10 4 4" xfId="34532"/>
    <cellStyle name="Entrada 10 4 5" xfId="40654"/>
    <cellStyle name="Entrada 10 5" xfId="30151"/>
    <cellStyle name="Entrada 10 6" xfId="32920"/>
    <cellStyle name="Entrada 10 7" xfId="34527"/>
    <cellStyle name="Entrada 10 8" xfId="40649"/>
    <cellStyle name="Entrada 11" xfId="3824"/>
    <cellStyle name="Entrada 11 2" xfId="11562"/>
    <cellStyle name="Entrada 11 2 2" xfId="11813"/>
    <cellStyle name="Entrada 11 2 2 2" xfId="30159"/>
    <cellStyle name="Entrada 11 2 2 3" xfId="32928"/>
    <cellStyle name="Entrada 11 2 2 4" xfId="34535"/>
    <cellStyle name="Entrada 11 2 2 5" xfId="40657"/>
    <cellStyle name="Entrada 11 2 3" xfId="11814"/>
    <cellStyle name="Entrada 11 2 3 2" xfId="30160"/>
    <cellStyle name="Entrada 11 2 3 3" xfId="32929"/>
    <cellStyle name="Entrada 11 2 3 4" xfId="34536"/>
    <cellStyle name="Entrada 11 2 3 5" xfId="40658"/>
    <cellStyle name="Entrada 11 2 4" xfId="30158"/>
    <cellStyle name="Entrada 11 2 5" xfId="32927"/>
    <cellStyle name="Entrada 11 2 6" xfId="34534"/>
    <cellStyle name="Entrada 11 2 7" xfId="40656"/>
    <cellStyle name="Entrada 11 3" xfId="11815"/>
    <cellStyle name="Entrada 11 3 2" xfId="30161"/>
    <cellStyle name="Entrada 11 3 3" xfId="32930"/>
    <cellStyle name="Entrada 11 3 4" xfId="34537"/>
    <cellStyle name="Entrada 11 3 5" xfId="40659"/>
    <cellStyle name="Entrada 11 4" xfId="11816"/>
    <cellStyle name="Entrada 11 4 2" xfId="30162"/>
    <cellStyle name="Entrada 11 4 3" xfId="32931"/>
    <cellStyle name="Entrada 11 4 4" xfId="34538"/>
    <cellStyle name="Entrada 11 4 5" xfId="40660"/>
    <cellStyle name="Entrada 11 5" xfId="30157"/>
    <cellStyle name="Entrada 11 6" xfId="32926"/>
    <cellStyle name="Entrada 11 7" xfId="34533"/>
    <cellStyle name="Entrada 11 8" xfId="40655"/>
    <cellStyle name="Entrada 12" xfId="3825"/>
    <cellStyle name="Entrada 12 2" xfId="11563"/>
    <cellStyle name="Entrada 12 2 2" xfId="11817"/>
    <cellStyle name="Entrada 12 2 2 2" xfId="30165"/>
    <cellStyle name="Entrada 12 2 2 3" xfId="32934"/>
    <cellStyle name="Entrada 12 2 2 4" xfId="34541"/>
    <cellStyle name="Entrada 12 2 2 5" xfId="40663"/>
    <cellStyle name="Entrada 12 2 3" xfId="11818"/>
    <cellStyle name="Entrada 12 2 3 2" xfId="30166"/>
    <cellStyle name="Entrada 12 2 3 3" xfId="32935"/>
    <cellStyle name="Entrada 12 2 3 4" xfId="34542"/>
    <cellStyle name="Entrada 12 2 3 5" xfId="40664"/>
    <cellStyle name="Entrada 12 2 4" xfId="30164"/>
    <cellStyle name="Entrada 12 2 5" xfId="32933"/>
    <cellStyle name="Entrada 12 2 6" xfId="34540"/>
    <cellStyle name="Entrada 12 2 7" xfId="40662"/>
    <cellStyle name="Entrada 12 3" xfId="11819"/>
    <cellStyle name="Entrada 12 3 2" xfId="30167"/>
    <cellStyle name="Entrada 12 3 3" xfId="32936"/>
    <cellStyle name="Entrada 12 3 4" xfId="34543"/>
    <cellStyle name="Entrada 12 3 5" xfId="40665"/>
    <cellStyle name="Entrada 12 4" xfId="11820"/>
    <cellStyle name="Entrada 12 4 2" xfId="30168"/>
    <cellStyle name="Entrada 12 4 3" xfId="32937"/>
    <cellStyle name="Entrada 12 4 4" xfId="34544"/>
    <cellStyle name="Entrada 12 4 5" xfId="40666"/>
    <cellStyle name="Entrada 12 5" xfId="30163"/>
    <cellStyle name="Entrada 12 6" xfId="32932"/>
    <cellStyle name="Entrada 12 7" xfId="34539"/>
    <cellStyle name="Entrada 12 8" xfId="40661"/>
    <cellStyle name="Entrada 13" xfId="3826"/>
    <cellStyle name="Entrada 13 2" xfId="11564"/>
    <cellStyle name="Entrada 13 2 2" xfId="11821"/>
    <cellStyle name="Entrada 13 2 2 2" xfId="30171"/>
    <cellStyle name="Entrada 13 2 2 3" xfId="32940"/>
    <cellStyle name="Entrada 13 2 2 4" xfId="34547"/>
    <cellStyle name="Entrada 13 2 2 5" xfId="40669"/>
    <cellStyle name="Entrada 13 2 3" xfId="11822"/>
    <cellStyle name="Entrada 13 2 3 2" xfId="30172"/>
    <cellStyle name="Entrada 13 2 3 3" xfId="32941"/>
    <cellStyle name="Entrada 13 2 3 4" xfId="34548"/>
    <cellStyle name="Entrada 13 2 3 5" xfId="40670"/>
    <cellStyle name="Entrada 13 2 4" xfId="30170"/>
    <cellStyle name="Entrada 13 2 5" xfId="32939"/>
    <cellStyle name="Entrada 13 2 6" xfId="34546"/>
    <cellStyle name="Entrada 13 2 7" xfId="40668"/>
    <cellStyle name="Entrada 13 3" xfId="11823"/>
    <cellStyle name="Entrada 13 3 2" xfId="30173"/>
    <cellStyle name="Entrada 13 3 3" xfId="32942"/>
    <cellStyle name="Entrada 13 3 4" xfId="34549"/>
    <cellStyle name="Entrada 13 3 5" xfId="40671"/>
    <cellStyle name="Entrada 13 4" xfId="11824"/>
    <cellStyle name="Entrada 13 4 2" xfId="30174"/>
    <cellStyle name="Entrada 13 4 3" xfId="32943"/>
    <cellStyle name="Entrada 13 4 4" xfId="34550"/>
    <cellStyle name="Entrada 13 4 5" xfId="40672"/>
    <cellStyle name="Entrada 13 5" xfId="30169"/>
    <cellStyle name="Entrada 13 6" xfId="32938"/>
    <cellStyle name="Entrada 13 7" xfId="34545"/>
    <cellStyle name="Entrada 13 8" xfId="40667"/>
    <cellStyle name="Entrada 14" xfId="3827"/>
    <cellStyle name="Entrada 14 2" xfId="11565"/>
    <cellStyle name="Entrada 14 2 2" xfId="11825"/>
    <cellStyle name="Entrada 14 2 2 2" xfId="30177"/>
    <cellStyle name="Entrada 14 2 2 3" xfId="32946"/>
    <cellStyle name="Entrada 14 2 2 4" xfId="34553"/>
    <cellStyle name="Entrada 14 2 2 5" xfId="40675"/>
    <cellStyle name="Entrada 14 2 3" xfId="11826"/>
    <cellStyle name="Entrada 14 2 3 2" xfId="30178"/>
    <cellStyle name="Entrada 14 2 3 3" xfId="32947"/>
    <cellStyle name="Entrada 14 2 3 4" xfId="34554"/>
    <cellStyle name="Entrada 14 2 3 5" xfId="40676"/>
    <cellStyle name="Entrada 14 2 4" xfId="30176"/>
    <cellStyle name="Entrada 14 2 5" xfId="32945"/>
    <cellStyle name="Entrada 14 2 6" xfId="34552"/>
    <cellStyle name="Entrada 14 2 7" xfId="40674"/>
    <cellStyle name="Entrada 14 3" xfId="11827"/>
    <cellStyle name="Entrada 14 3 2" xfId="30179"/>
    <cellStyle name="Entrada 14 3 3" xfId="32948"/>
    <cellStyle name="Entrada 14 3 4" xfId="34555"/>
    <cellStyle name="Entrada 14 3 5" xfId="40677"/>
    <cellStyle name="Entrada 14 4" xfId="11828"/>
    <cellStyle name="Entrada 14 4 2" xfId="30180"/>
    <cellStyle name="Entrada 14 4 3" xfId="32949"/>
    <cellStyle name="Entrada 14 4 4" xfId="34556"/>
    <cellStyle name="Entrada 14 4 5" xfId="40678"/>
    <cellStyle name="Entrada 14 5" xfId="30175"/>
    <cellStyle name="Entrada 14 6" xfId="32944"/>
    <cellStyle name="Entrada 14 7" xfId="34551"/>
    <cellStyle name="Entrada 14 8" xfId="40673"/>
    <cellStyle name="Entrada 15" xfId="3828"/>
    <cellStyle name="Entrada 15 2" xfId="11566"/>
    <cellStyle name="Entrada 15 2 2" xfId="11829"/>
    <cellStyle name="Entrada 15 2 2 2" xfId="30183"/>
    <cellStyle name="Entrada 15 2 2 3" xfId="32952"/>
    <cellStyle name="Entrada 15 2 2 4" xfId="34559"/>
    <cellStyle name="Entrada 15 2 2 5" xfId="40681"/>
    <cellStyle name="Entrada 15 2 3" xfId="11830"/>
    <cellStyle name="Entrada 15 2 3 2" xfId="30184"/>
    <cellStyle name="Entrada 15 2 3 3" xfId="32953"/>
    <cellStyle name="Entrada 15 2 3 4" xfId="34560"/>
    <cellStyle name="Entrada 15 2 3 5" xfId="40682"/>
    <cellStyle name="Entrada 15 2 4" xfId="30182"/>
    <cellStyle name="Entrada 15 2 5" xfId="32951"/>
    <cellStyle name="Entrada 15 2 6" xfId="34558"/>
    <cellStyle name="Entrada 15 2 7" xfId="40680"/>
    <cellStyle name="Entrada 15 3" xfId="11831"/>
    <cellStyle name="Entrada 15 3 2" xfId="30185"/>
    <cellStyle name="Entrada 15 3 3" xfId="32954"/>
    <cellStyle name="Entrada 15 3 4" xfId="34561"/>
    <cellStyle name="Entrada 15 3 5" xfId="40683"/>
    <cellStyle name="Entrada 15 4" xfId="11832"/>
    <cellStyle name="Entrada 15 4 2" xfId="30186"/>
    <cellStyle name="Entrada 15 4 3" xfId="32955"/>
    <cellStyle name="Entrada 15 4 4" xfId="34562"/>
    <cellStyle name="Entrada 15 4 5" xfId="40684"/>
    <cellStyle name="Entrada 15 5" xfId="30181"/>
    <cellStyle name="Entrada 15 6" xfId="32950"/>
    <cellStyle name="Entrada 15 7" xfId="34557"/>
    <cellStyle name="Entrada 15 8" xfId="40679"/>
    <cellStyle name="Entrada 16" xfId="3829"/>
    <cellStyle name="Entrada 16 2" xfId="11567"/>
    <cellStyle name="Entrada 16 2 2" xfId="11833"/>
    <cellStyle name="Entrada 16 2 2 2" xfId="30189"/>
    <cellStyle name="Entrada 16 2 2 3" xfId="32958"/>
    <cellStyle name="Entrada 16 2 2 4" xfId="34565"/>
    <cellStyle name="Entrada 16 2 2 5" xfId="40687"/>
    <cellStyle name="Entrada 16 2 3" xfId="11834"/>
    <cellStyle name="Entrada 16 2 3 2" xfId="30190"/>
    <cellStyle name="Entrada 16 2 3 3" xfId="32959"/>
    <cellStyle name="Entrada 16 2 3 4" xfId="34566"/>
    <cellStyle name="Entrada 16 2 3 5" xfId="40688"/>
    <cellStyle name="Entrada 16 2 4" xfId="30188"/>
    <cellStyle name="Entrada 16 2 5" xfId="32957"/>
    <cellStyle name="Entrada 16 2 6" xfId="34564"/>
    <cellStyle name="Entrada 16 2 7" xfId="40686"/>
    <cellStyle name="Entrada 16 3" xfId="11835"/>
    <cellStyle name="Entrada 16 3 2" xfId="30191"/>
    <cellStyle name="Entrada 16 3 3" xfId="32960"/>
    <cellStyle name="Entrada 16 3 4" xfId="34567"/>
    <cellStyle name="Entrada 16 3 5" xfId="40689"/>
    <cellStyle name="Entrada 16 4" xfId="11836"/>
    <cellStyle name="Entrada 16 4 2" xfId="30192"/>
    <cellStyle name="Entrada 16 4 3" xfId="32961"/>
    <cellStyle name="Entrada 16 4 4" xfId="34568"/>
    <cellStyle name="Entrada 16 4 5" xfId="40690"/>
    <cellStyle name="Entrada 16 5" xfId="30187"/>
    <cellStyle name="Entrada 16 6" xfId="32956"/>
    <cellStyle name="Entrada 16 7" xfId="34563"/>
    <cellStyle name="Entrada 16 8" xfId="40685"/>
    <cellStyle name="Entrada 17" xfId="3830"/>
    <cellStyle name="Entrada 17 2" xfId="11568"/>
    <cellStyle name="Entrada 17 2 2" xfId="11837"/>
    <cellStyle name="Entrada 17 2 2 2" xfId="30195"/>
    <cellStyle name="Entrada 17 2 2 3" xfId="32964"/>
    <cellStyle name="Entrada 17 2 2 4" xfId="34571"/>
    <cellStyle name="Entrada 17 2 2 5" xfId="40693"/>
    <cellStyle name="Entrada 17 2 3" xfId="11838"/>
    <cellStyle name="Entrada 17 2 3 2" xfId="30196"/>
    <cellStyle name="Entrada 17 2 3 3" xfId="32965"/>
    <cellStyle name="Entrada 17 2 3 4" xfId="34572"/>
    <cellStyle name="Entrada 17 2 3 5" xfId="40694"/>
    <cellStyle name="Entrada 17 2 4" xfId="30194"/>
    <cellStyle name="Entrada 17 2 5" xfId="32963"/>
    <cellStyle name="Entrada 17 2 6" xfId="34570"/>
    <cellStyle name="Entrada 17 2 7" xfId="40692"/>
    <cellStyle name="Entrada 17 3" xfId="11839"/>
    <cellStyle name="Entrada 17 3 2" xfId="30197"/>
    <cellStyle name="Entrada 17 3 3" xfId="32966"/>
    <cellStyle name="Entrada 17 3 4" xfId="34573"/>
    <cellStyle name="Entrada 17 3 5" xfId="40695"/>
    <cellStyle name="Entrada 17 4" xfId="11840"/>
    <cellStyle name="Entrada 17 4 2" xfId="30198"/>
    <cellStyle name="Entrada 17 4 3" xfId="32967"/>
    <cellStyle name="Entrada 17 4 4" xfId="34574"/>
    <cellStyle name="Entrada 17 4 5" xfId="40696"/>
    <cellStyle name="Entrada 17 5" xfId="30193"/>
    <cellStyle name="Entrada 17 6" xfId="32962"/>
    <cellStyle name="Entrada 17 7" xfId="34569"/>
    <cellStyle name="Entrada 17 8" xfId="40691"/>
    <cellStyle name="Entrada 18" xfId="3831"/>
    <cellStyle name="Entrada 18 2" xfId="11569"/>
    <cellStyle name="Entrada 18 2 2" xfId="11841"/>
    <cellStyle name="Entrada 18 2 2 2" xfId="30201"/>
    <cellStyle name="Entrada 18 2 2 3" xfId="32970"/>
    <cellStyle name="Entrada 18 2 2 4" xfId="34577"/>
    <cellStyle name="Entrada 18 2 2 5" xfId="40699"/>
    <cellStyle name="Entrada 18 2 3" xfId="11842"/>
    <cellStyle name="Entrada 18 2 3 2" xfId="30202"/>
    <cellStyle name="Entrada 18 2 3 3" xfId="32971"/>
    <cellStyle name="Entrada 18 2 3 4" xfId="34578"/>
    <cellStyle name="Entrada 18 2 3 5" xfId="40700"/>
    <cellStyle name="Entrada 18 2 4" xfId="30200"/>
    <cellStyle name="Entrada 18 2 5" xfId="32969"/>
    <cellStyle name="Entrada 18 2 6" xfId="34576"/>
    <cellStyle name="Entrada 18 2 7" xfId="40698"/>
    <cellStyle name="Entrada 18 3" xfId="11843"/>
    <cellStyle name="Entrada 18 3 2" xfId="30203"/>
    <cellStyle name="Entrada 18 3 3" xfId="32972"/>
    <cellStyle name="Entrada 18 3 4" xfId="34579"/>
    <cellStyle name="Entrada 18 3 5" xfId="40701"/>
    <cellStyle name="Entrada 18 4" xfId="11844"/>
    <cellStyle name="Entrada 18 4 2" xfId="30204"/>
    <cellStyle name="Entrada 18 4 3" xfId="32973"/>
    <cellStyle name="Entrada 18 4 4" xfId="34580"/>
    <cellStyle name="Entrada 18 4 5" xfId="40702"/>
    <cellStyle name="Entrada 18 5" xfId="30199"/>
    <cellStyle name="Entrada 18 6" xfId="32968"/>
    <cellStyle name="Entrada 18 7" xfId="34575"/>
    <cellStyle name="Entrada 18 8" xfId="40697"/>
    <cellStyle name="Entrada 19" xfId="3832"/>
    <cellStyle name="Entrada 19 2" xfId="11570"/>
    <cellStyle name="Entrada 19 2 2" xfId="11845"/>
    <cellStyle name="Entrada 19 2 2 2" xfId="30207"/>
    <cellStyle name="Entrada 19 2 2 3" xfId="32976"/>
    <cellStyle name="Entrada 19 2 2 4" xfId="34583"/>
    <cellStyle name="Entrada 19 2 2 5" xfId="40705"/>
    <cellStyle name="Entrada 19 2 3" xfId="11846"/>
    <cellStyle name="Entrada 19 2 3 2" xfId="30208"/>
    <cellStyle name="Entrada 19 2 3 3" xfId="32977"/>
    <cellStyle name="Entrada 19 2 3 4" xfId="34584"/>
    <cellStyle name="Entrada 19 2 3 5" xfId="40706"/>
    <cellStyle name="Entrada 19 2 4" xfId="30206"/>
    <cellStyle name="Entrada 19 2 5" xfId="32975"/>
    <cellStyle name="Entrada 19 2 6" xfId="34582"/>
    <cellStyle name="Entrada 19 2 7" xfId="40704"/>
    <cellStyle name="Entrada 19 3" xfId="11847"/>
    <cellStyle name="Entrada 19 3 2" xfId="30209"/>
    <cellStyle name="Entrada 19 3 3" xfId="32978"/>
    <cellStyle name="Entrada 19 3 4" xfId="34585"/>
    <cellStyle name="Entrada 19 3 5" xfId="40707"/>
    <cellStyle name="Entrada 19 4" xfId="11848"/>
    <cellStyle name="Entrada 19 4 2" xfId="30210"/>
    <cellStyle name="Entrada 19 4 3" xfId="32979"/>
    <cellStyle name="Entrada 19 4 4" xfId="34586"/>
    <cellStyle name="Entrada 19 4 5" xfId="40708"/>
    <cellStyle name="Entrada 19 5" xfId="30205"/>
    <cellStyle name="Entrada 19 6" xfId="32974"/>
    <cellStyle name="Entrada 19 7" xfId="34581"/>
    <cellStyle name="Entrada 19 8" xfId="40703"/>
    <cellStyle name="Entrada 2" xfId="3833"/>
    <cellStyle name="Entrada 2 10" xfId="13211"/>
    <cellStyle name="Entrada 2 10 2" xfId="13212"/>
    <cellStyle name="Entrada 2 10 2 2" xfId="30213"/>
    <cellStyle name="Entrada 2 10 3" xfId="30212"/>
    <cellStyle name="Entrada 2 11" xfId="13213"/>
    <cellStyle name="Entrada 2 11 2" xfId="30214"/>
    <cellStyle name="Entrada 2 12" xfId="30211"/>
    <cellStyle name="Entrada 2 13" xfId="32980"/>
    <cellStyle name="Entrada 2 14" xfId="33537"/>
    <cellStyle name="Entrada 2 15" xfId="34587"/>
    <cellStyle name="Entrada 2 16" xfId="40709"/>
    <cellStyle name="Entrada 2 2" xfId="11571"/>
    <cellStyle name="Entrada 2 2 10" xfId="13214"/>
    <cellStyle name="Entrada 2 2 10 2" xfId="30216"/>
    <cellStyle name="Entrada 2 2 11" xfId="30215"/>
    <cellStyle name="Entrada 2 2 12" xfId="32981"/>
    <cellStyle name="Entrada 2 2 13" xfId="33538"/>
    <cellStyle name="Entrada 2 2 14" xfId="34588"/>
    <cellStyle name="Entrada 2 2 15" xfId="40710"/>
    <cellStyle name="Entrada 2 2 2" xfId="11849"/>
    <cellStyle name="Entrada 2 2 2 10" xfId="40711"/>
    <cellStyle name="Entrada 2 2 2 2" xfId="13215"/>
    <cellStyle name="Entrada 2 2 2 2 2" xfId="30218"/>
    <cellStyle name="Entrada 2 2 2 3" xfId="13216"/>
    <cellStyle name="Entrada 2 2 2 3 2" xfId="30219"/>
    <cellStyle name="Entrada 2 2 2 4" xfId="13217"/>
    <cellStyle name="Entrada 2 2 2 4 2" xfId="30220"/>
    <cellStyle name="Entrada 2 2 2 5" xfId="13218"/>
    <cellStyle name="Entrada 2 2 2 5 2" xfId="30221"/>
    <cellStyle name="Entrada 2 2 2 6" xfId="13219"/>
    <cellStyle name="Entrada 2 2 2 6 2" xfId="30222"/>
    <cellStyle name="Entrada 2 2 2 7" xfId="30217"/>
    <cellStyle name="Entrada 2 2 2 8" xfId="32982"/>
    <cellStyle name="Entrada 2 2 2 9" xfId="34589"/>
    <cellStyle name="Entrada 2 2 3" xfId="11850"/>
    <cellStyle name="Entrada 2 2 3 10" xfId="40712"/>
    <cellStyle name="Entrada 2 2 3 2" xfId="13220"/>
    <cellStyle name="Entrada 2 2 3 2 2" xfId="30224"/>
    <cellStyle name="Entrada 2 2 3 3" xfId="13221"/>
    <cellStyle name="Entrada 2 2 3 3 2" xfId="30225"/>
    <cellStyle name="Entrada 2 2 3 4" xfId="13222"/>
    <cellStyle name="Entrada 2 2 3 4 2" xfId="30226"/>
    <cellStyle name="Entrada 2 2 3 5" xfId="13223"/>
    <cellStyle name="Entrada 2 2 3 5 2" xfId="30227"/>
    <cellStyle name="Entrada 2 2 3 6" xfId="13224"/>
    <cellStyle name="Entrada 2 2 3 6 2" xfId="30228"/>
    <cellStyle name="Entrada 2 2 3 7" xfId="30223"/>
    <cellStyle name="Entrada 2 2 3 8" xfId="32983"/>
    <cellStyle name="Entrada 2 2 3 9" xfId="34590"/>
    <cellStyle name="Entrada 2 2 4" xfId="13225"/>
    <cellStyle name="Entrada 2 2 4 2" xfId="13226"/>
    <cellStyle name="Entrada 2 2 4 2 2" xfId="30230"/>
    <cellStyle name="Entrada 2 2 4 3" xfId="13227"/>
    <cellStyle name="Entrada 2 2 4 3 2" xfId="30231"/>
    <cellStyle name="Entrada 2 2 4 4" xfId="13228"/>
    <cellStyle name="Entrada 2 2 4 4 2" xfId="30232"/>
    <cellStyle name="Entrada 2 2 4 5" xfId="13229"/>
    <cellStyle name="Entrada 2 2 4 5 2" xfId="30233"/>
    <cellStyle name="Entrada 2 2 4 6" xfId="30229"/>
    <cellStyle name="Entrada 2 2 5" xfId="13230"/>
    <cellStyle name="Entrada 2 2 5 2" xfId="13231"/>
    <cellStyle name="Entrada 2 2 5 2 2" xfId="30235"/>
    <cellStyle name="Entrada 2 2 5 3" xfId="13232"/>
    <cellStyle name="Entrada 2 2 5 3 2" xfId="30236"/>
    <cellStyle name="Entrada 2 2 5 4" xfId="13233"/>
    <cellStyle name="Entrada 2 2 5 4 2" xfId="30237"/>
    <cellStyle name="Entrada 2 2 5 5" xfId="13234"/>
    <cellStyle name="Entrada 2 2 5 5 2" xfId="30238"/>
    <cellStyle name="Entrada 2 2 5 6" xfId="30234"/>
    <cellStyle name="Entrada 2 2 6" xfId="13235"/>
    <cellStyle name="Entrada 2 2 6 2" xfId="13236"/>
    <cellStyle name="Entrada 2 2 6 2 2" xfId="30240"/>
    <cellStyle name="Entrada 2 2 6 3" xfId="13237"/>
    <cellStyle name="Entrada 2 2 6 3 2" xfId="30241"/>
    <cellStyle name="Entrada 2 2 6 4" xfId="13238"/>
    <cellStyle name="Entrada 2 2 6 4 2" xfId="30242"/>
    <cellStyle name="Entrada 2 2 6 5" xfId="13239"/>
    <cellStyle name="Entrada 2 2 6 5 2" xfId="30243"/>
    <cellStyle name="Entrada 2 2 6 6" xfId="30239"/>
    <cellStyle name="Entrada 2 2 7" xfId="13240"/>
    <cellStyle name="Entrada 2 2 7 2" xfId="13241"/>
    <cellStyle name="Entrada 2 2 7 2 2" xfId="30245"/>
    <cellStyle name="Entrada 2 2 7 3" xfId="13242"/>
    <cellStyle name="Entrada 2 2 7 3 2" xfId="30246"/>
    <cellStyle name="Entrada 2 2 7 4" xfId="13243"/>
    <cellStyle name="Entrada 2 2 7 4 2" xfId="30247"/>
    <cellStyle name="Entrada 2 2 7 5" xfId="13244"/>
    <cellStyle name="Entrada 2 2 7 5 2" xfId="30248"/>
    <cellStyle name="Entrada 2 2 7 6" xfId="30244"/>
    <cellStyle name="Entrada 2 2 8" xfId="13245"/>
    <cellStyle name="Entrada 2 2 8 2" xfId="13246"/>
    <cellStyle name="Entrada 2 2 8 2 2" xfId="30250"/>
    <cellStyle name="Entrada 2 2 8 3" xfId="13247"/>
    <cellStyle name="Entrada 2 2 8 3 2" xfId="30251"/>
    <cellStyle name="Entrada 2 2 8 4" xfId="13248"/>
    <cellStyle name="Entrada 2 2 8 4 2" xfId="30252"/>
    <cellStyle name="Entrada 2 2 8 5" xfId="13249"/>
    <cellStyle name="Entrada 2 2 8 5 2" xfId="30253"/>
    <cellStyle name="Entrada 2 2 8 6" xfId="13250"/>
    <cellStyle name="Entrada 2 2 8 6 2" xfId="30254"/>
    <cellStyle name="Entrada 2 2 8 7" xfId="30249"/>
    <cellStyle name="Entrada 2 2 9" xfId="13251"/>
    <cellStyle name="Entrada 2 2 9 2" xfId="13252"/>
    <cellStyle name="Entrada 2 2 9 2 2" xfId="30256"/>
    <cellStyle name="Entrada 2 2 9 3" xfId="30255"/>
    <cellStyle name="Entrada 2 3" xfId="11851"/>
    <cellStyle name="Entrada 2 3 10" xfId="40713"/>
    <cellStyle name="Entrada 2 3 2" xfId="13253"/>
    <cellStyle name="Entrada 2 3 2 2" xfId="30258"/>
    <cellStyle name="Entrada 2 3 3" xfId="13254"/>
    <cellStyle name="Entrada 2 3 3 2" xfId="30259"/>
    <cellStyle name="Entrada 2 3 4" xfId="13255"/>
    <cellStyle name="Entrada 2 3 4 2" xfId="30260"/>
    <cellStyle name="Entrada 2 3 5" xfId="13256"/>
    <cellStyle name="Entrada 2 3 5 2" xfId="30261"/>
    <cellStyle name="Entrada 2 3 6" xfId="13257"/>
    <cellStyle name="Entrada 2 3 6 2" xfId="30262"/>
    <cellStyle name="Entrada 2 3 7" xfId="30257"/>
    <cellStyle name="Entrada 2 3 8" xfId="32984"/>
    <cellStyle name="Entrada 2 3 9" xfId="34591"/>
    <cellStyle name="Entrada 2 4" xfId="11852"/>
    <cellStyle name="Entrada 2 4 10" xfId="40714"/>
    <cellStyle name="Entrada 2 4 2" xfId="13258"/>
    <cellStyle name="Entrada 2 4 2 2" xfId="30264"/>
    <cellStyle name="Entrada 2 4 3" xfId="13259"/>
    <cellStyle name="Entrada 2 4 3 2" xfId="30265"/>
    <cellStyle name="Entrada 2 4 4" xfId="13260"/>
    <cellStyle name="Entrada 2 4 4 2" xfId="30266"/>
    <cellStyle name="Entrada 2 4 5" xfId="13261"/>
    <cellStyle name="Entrada 2 4 5 2" xfId="30267"/>
    <cellStyle name="Entrada 2 4 6" xfId="13262"/>
    <cellStyle name="Entrada 2 4 6 2" xfId="30268"/>
    <cellStyle name="Entrada 2 4 7" xfId="30263"/>
    <cellStyle name="Entrada 2 4 8" xfId="32985"/>
    <cellStyle name="Entrada 2 4 9" xfId="34592"/>
    <cellStyle name="Entrada 2 5" xfId="13263"/>
    <cellStyle name="Entrada 2 5 2" xfId="13264"/>
    <cellStyle name="Entrada 2 5 2 2" xfId="30270"/>
    <cellStyle name="Entrada 2 5 3" xfId="13265"/>
    <cellStyle name="Entrada 2 5 3 2" xfId="30271"/>
    <cellStyle name="Entrada 2 5 4" xfId="13266"/>
    <cellStyle name="Entrada 2 5 4 2" xfId="30272"/>
    <cellStyle name="Entrada 2 5 5" xfId="13267"/>
    <cellStyle name="Entrada 2 5 5 2" xfId="30273"/>
    <cellStyle name="Entrada 2 5 6" xfId="30269"/>
    <cellStyle name="Entrada 2 6" xfId="13268"/>
    <cellStyle name="Entrada 2 6 2" xfId="13269"/>
    <cellStyle name="Entrada 2 6 2 2" xfId="30275"/>
    <cellStyle name="Entrada 2 6 3" xfId="13270"/>
    <cellStyle name="Entrada 2 6 3 2" xfId="30276"/>
    <cellStyle name="Entrada 2 6 4" xfId="13271"/>
    <cellStyle name="Entrada 2 6 4 2" xfId="30277"/>
    <cellStyle name="Entrada 2 6 5" xfId="13272"/>
    <cellStyle name="Entrada 2 6 5 2" xfId="30278"/>
    <cellStyle name="Entrada 2 6 6" xfId="30274"/>
    <cellStyle name="Entrada 2 7" xfId="13273"/>
    <cellStyle name="Entrada 2 7 2" xfId="13274"/>
    <cellStyle name="Entrada 2 7 2 2" xfId="30280"/>
    <cellStyle name="Entrada 2 7 3" xfId="13275"/>
    <cellStyle name="Entrada 2 7 3 2" xfId="30281"/>
    <cellStyle name="Entrada 2 7 4" xfId="13276"/>
    <cellStyle name="Entrada 2 7 4 2" xfId="30282"/>
    <cellStyle name="Entrada 2 7 5" xfId="13277"/>
    <cellStyle name="Entrada 2 7 5 2" xfId="30283"/>
    <cellStyle name="Entrada 2 7 6" xfId="30279"/>
    <cellStyle name="Entrada 2 8" xfId="13278"/>
    <cellStyle name="Entrada 2 8 2" xfId="13279"/>
    <cellStyle name="Entrada 2 8 2 2" xfId="30285"/>
    <cellStyle name="Entrada 2 8 3" xfId="13280"/>
    <cellStyle name="Entrada 2 8 3 2" xfId="30286"/>
    <cellStyle name="Entrada 2 8 4" xfId="13281"/>
    <cellStyle name="Entrada 2 8 4 2" xfId="30287"/>
    <cellStyle name="Entrada 2 8 5" xfId="13282"/>
    <cellStyle name="Entrada 2 8 5 2" xfId="30288"/>
    <cellStyle name="Entrada 2 8 6" xfId="30284"/>
    <cellStyle name="Entrada 2 9" xfId="13283"/>
    <cellStyle name="Entrada 2 9 2" xfId="13284"/>
    <cellStyle name="Entrada 2 9 2 2" xfId="30290"/>
    <cellStyle name="Entrada 2 9 3" xfId="13285"/>
    <cellStyle name="Entrada 2 9 3 2" xfId="30291"/>
    <cellStyle name="Entrada 2 9 4" xfId="13286"/>
    <cellStyle name="Entrada 2 9 4 2" xfId="30292"/>
    <cellStyle name="Entrada 2 9 5" xfId="13287"/>
    <cellStyle name="Entrada 2 9 5 2" xfId="30293"/>
    <cellStyle name="Entrada 2 9 6" xfId="13288"/>
    <cellStyle name="Entrada 2 9 6 2" xfId="30294"/>
    <cellStyle name="Entrada 2 9 7" xfId="30289"/>
    <cellStyle name="Entrada 20" xfId="3834"/>
    <cellStyle name="Entrada 20 2" xfId="11572"/>
    <cellStyle name="Entrada 20 2 2" xfId="11853"/>
    <cellStyle name="Entrada 20 2 2 2" xfId="30297"/>
    <cellStyle name="Entrada 20 2 2 3" xfId="32988"/>
    <cellStyle name="Entrada 20 2 2 4" xfId="34595"/>
    <cellStyle name="Entrada 20 2 2 5" xfId="40717"/>
    <cellStyle name="Entrada 20 2 3" xfId="11854"/>
    <cellStyle name="Entrada 20 2 3 2" xfId="30298"/>
    <cellStyle name="Entrada 20 2 3 3" xfId="32989"/>
    <cellStyle name="Entrada 20 2 3 4" xfId="34596"/>
    <cellStyle name="Entrada 20 2 3 5" xfId="40718"/>
    <cellStyle name="Entrada 20 2 4" xfId="30296"/>
    <cellStyle name="Entrada 20 2 5" xfId="32987"/>
    <cellStyle name="Entrada 20 2 6" xfId="34594"/>
    <cellStyle name="Entrada 20 2 7" xfId="40716"/>
    <cellStyle name="Entrada 20 3" xfId="11855"/>
    <cellStyle name="Entrada 20 3 2" xfId="30299"/>
    <cellStyle name="Entrada 20 3 3" xfId="32990"/>
    <cellStyle name="Entrada 20 3 4" xfId="34597"/>
    <cellStyle name="Entrada 20 3 5" xfId="40719"/>
    <cellStyle name="Entrada 20 4" xfId="11856"/>
    <cellStyle name="Entrada 20 4 2" xfId="30300"/>
    <cellStyle name="Entrada 20 4 3" xfId="32991"/>
    <cellStyle name="Entrada 20 4 4" xfId="34598"/>
    <cellStyle name="Entrada 20 4 5" xfId="40720"/>
    <cellStyle name="Entrada 20 5" xfId="30295"/>
    <cellStyle name="Entrada 20 6" xfId="32986"/>
    <cellStyle name="Entrada 20 7" xfId="34593"/>
    <cellStyle name="Entrada 20 8" xfId="40715"/>
    <cellStyle name="Entrada 21" xfId="3835"/>
    <cellStyle name="Entrada 21 2" xfId="11573"/>
    <cellStyle name="Entrada 21 2 2" xfId="11857"/>
    <cellStyle name="Entrada 21 2 2 2" xfId="30303"/>
    <cellStyle name="Entrada 21 2 2 3" xfId="32994"/>
    <cellStyle name="Entrada 21 2 2 4" xfId="34601"/>
    <cellStyle name="Entrada 21 2 2 5" xfId="40723"/>
    <cellStyle name="Entrada 21 2 3" xfId="11858"/>
    <cellStyle name="Entrada 21 2 3 2" xfId="30304"/>
    <cellStyle name="Entrada 21 2 3 3" xfId="32995"/>
    <cellStyle name="Entrada 21 2 3 4" xfId="34602"/>
    <cellStyle name="Entrada 21 2 3 5" xfId="40724"/>
    <cellStyle name="Entrada 21 2 4" xfId="30302"/>
    <cellStyle name="Entrada 21 2 5" xfId="32993"/>
    <cellStyle name="Entrada 21 2 6" xfId="34600"/>
    <cellStyle name="Entrada 21 2 7" xfId="40722"/>
    <cellStyle name="Entrada 21 3" xfId="11859"/>
    <cellStyle name="Entrada 21 3 2" xfId="30305"/>
    <cellStyle name="Entrada 21 3 3" xfId="32996"/>
    <cellStyle name="Entrada 21 3 4" xfId="34603"/>
    <cellStyle name="Entrada 21 3 5" xfId="40725"/>
    <cellStyle name="Entrada 21 4" xfId="11860"/>
    <cellStyle name="Entrada 21 4 2" xfId="30306"/>
    <cellStyle name="Entrada 21 4 3" xfId="32997"/>
    <cellStyle name="Entrada 21 4 4" xfId="34604"/>
    <cellStyle name="Entrada 21 4 5" xfId="40726"/>
    <cellStyle name="Entrada 21 5" xfId="30301"/>
    <cellStyle name="Entrada 21 6" xfId="32992"/>
    <cellStyle name="Entrada 21 7" xfId="34599"/>
    <cellStyle name="Entrada 21 8" xfId="40721"/>
    <cellStyle name="Entrada 22" xfId="3836"/>
    <cellStyle name="Entrada 22 2" xfId="11574"/>
    <cellStyle name="Entrada 22 2 2" xfId="11861"/>
    <cellStyle name="Entrada 22 2 2 2" xfId="30309"/>
    <cellStyle name="Entrada 22 2 2 3" xfId="33000"/>
    <cellStyle name="Entrada 22 2 2 4" xfId="34607"/>
    <cellStyle name="Entrada 22 2 2 5" xfId="40729"/>
    <cellStyle name="Entrada 22 2 3" xfId="11862"/>
    <cellStyle name="Entrada 22 2 3 2" xfId="30310"/>
    <cellStyle name="Entrada 22 2 3 3" xfId="33001"/>
    <cellStyle name="Entrada 22 2 3 4" xfId="34608"/>
    <cellStyle name="Entrada 22 2 3 5" xfId="40730"/>
    <cellStyle name="Entrada 22 2 4" xfId="30308"/>
    <cellStyle name="Entrada 22 2 5" xfId="32999"/>
    <cellStyle name="Entrada 22 2 6" xfId="34606"/>
    <cellStyle name="Entrada 22 2 7" xfId="40728"/>
    <cellStyle name="Entrada 22 3" xfId="11863"/>
    <cellStyle name="Entrada 22 3 2" xfId="30311"/>
    <cellStyle name="Entrada 22 3 3" xfId="33002"/>
    <cellStyle name="Entrada 22 3 4" xfId="34609"/>
    <cellStyle name="Entrada 22 3 5" xfId="40731"/>
    <cellStyle name="Entrada 22 4" xfId="11864"/>
    <cellStyle name="Entrada 22 4 2" xfId="30312"/>
    <cellStyle name="Entrada 22 4 3" xfId="33003"/>
    <cellStyle name="Entrada 22 4 4" xfId="34610"/>
    <cellStyle name="Entrada 22 4 5" xfId="40732"/>
    <cellStyle name="Entrada 22 5" xfId="30307"/>
    <cellStyle name="Entrada 22 6" xfId="32998"/>
    <cellStyle name="Entrada 22 7" xfId="34605"/>
    <cellStyle name="Entrada 22 8" xfId="40727"/>
    <cellStyle name="Entrada 23" xfId="3837"/>
    <cellStyle name="Entrada 23 2" xfId="11575"/>
    <cellStyle name="Entrada 23 2 2" xfId="11865"/>
    <cellStyle name="Entrada 23 2 2 2" xfId="30315"/>
    <cellStyle name="Entrada 23 2 2 3" xfId="33006"/>
    <cellStyle name="Entrada 23 2 2 4" xfId="34613"/>
    <cellStyle name="Entrada 23 2 2 5" xfId="40735"/>
    <cellStyle name="Entrada 23 2 3" xfId="11866"/>
    <cellStyle name="Entrada 23 2 3 2" xfId="30316"/>
    <cellStyle name="Entrada 23 2 3 3" xfId="33007"/>
    <cellStyle name="Entrada 23 2 3 4" xfId="34614"/>
    <cellStyle name="Entrada 23 2 3 5" xfId="40736"/>
    <cellStyle name="Entrada 23 2 4" xfId="30314"/>
    <cellStyle name="Entrada 23 2 5" xfId="33005"/>
    <cellStyle name="Entrada 23 2 6" xfId="34612"/>
    <cellStyle name="Entrada 23 2 7" xfId="40734"/>
    <cellStyle name="Entrada 23 3" xfId="11867"/>
    <cellStyle name="Entrada 23 3 2" xfId="30317"/>
    <cellStyle name="Entrada 23 3 3" xfId="33008"/>
    <cellStyle name="Entrada 23 3 4" xfId="34615"/>
    <cellStyle name="Entrada 23 3 5" xfId="40737"/>
    <cellStyle name="Entrada 23 4" xfId="11868"/>
    <cellStyle name="Entrada 23 4 2" xfId="30318"/>
    <cellStyle name="Entrada 23 4 3" xfId="33009"/>
    <cellStyle name="Entrada 23 4 4" xfId="34616"/>
    <cellStyle name="Entrada 23 4 5" xfId="40738"/>
    <cellStyle name="Entrada 23 5" xfId="30313"/>
    <cellStyle name="Entrada 23 6" xfId="33004"/>
    <cellStyle name="Entrada 23 7" xfId="34611"/>
    <cellStyle name="Entrada 23 8" xfId="40733"/>
    <cellStyle name="Entrada 24" xfId="3838"/>
    <cellStyle name="Entrada 24 2" xfId="11576"/>
    <cellStyle name="Entrada 24 2 2" xfId="11869"/>
    <cellStyle name="Entrada 24 2 2 2" xfId="30321"/>
    <cellStyle name="Entrada 24 2 2 3" xfId="33012"/>
    <cellStyle name="Entrada 24 2 2 4" xfId="34619"/>
    <cellStyle name="Entrada 24 2 2 5" xfId="40741"/>
    <cellStyle name="Entrada 24 2 3" xfId="11870"/>
    <cellStyle name="Entrada 24 2 3 2" xfId="30322"/>
    <cellStyle name="Entrada 24 2 3 3" xfId="33013"/>
    <cellStyle name="Entrada 24 2 3 4" xfId="34620"/>
    <cellStyle name="Entrada 24 2 3 5" xfId="40742"/>
    <cellStyle name="Entrada 24 2 4" xfId="30320"/>
    <cellStyle name="Entrada 24 2 5" xfId="33011"/>
    <cellStyle name="Entrada 24 2 6" xfId="34618"/>
    <cellStyle name="Entrada 24 2 7" xfId="40740"/>
    <cellStyle name="Entrada 24 3" xfId="11871"/>
    <cellStyle name="Entrada 24 3 2" xfId="30323"/>
    <cellStyle name="Entrada 24 3 3" xfId="33014"/>
    <cellStyle name="Entrada 24 3 4" xfId="34621"/>
    <cellStyle name="Entrada 24 3 5" xfId="40743"/>
    <cellStyle name="Entrada 24 4" xfId="11872"/>
    <cellStyle name="Entrada 24 4 2" xfId="30324"/>
    <cellStyle name="Entrada 24 4 3" xfId="33015"/>
    <cellStyle name="Entrada 24 4 4" xfId="34622"/>
    <cellStyle name="Entrada 24 4 5" xfId="40744"/>
    <cellStyle name="Entrada 24 5" xfId="30319"/>
    <cellStyle name="Entrada 24 6" xfId="33010"/>
    <cellStyle name="Entrada 24 7" xfId="34617"/>
    <cellStyle name="Entrada 24 8" xfId="40739"/>
    <cellStyle name="Entrada 25" xfId="3839"/>
    <cellStyle name="Entrada 25 2" xfId="11577"/>
    <cellStyle name="Entrada 25 2 2" xfId="11873"/>
    <cellStyle name="Entrada 25 2 2 2" xfId="30327"/>
    <cellStyle name="Entrada 25 2 2 3" xfId="33018"/>
    <cellStyle name="Entrada 25 2 2 4" xfId="34625"/>
    <cellStyle name="Entrada 25 2 2 5" xfId="40747"/>
    <cellStyle name="Entrada 25 2 3" xfId="11874"/>
    <cellStyle name="Entrada 25 2 3 2" xfId="30328"/>
    <cellStyle name="Entrada 25 2 3 3" xfId="33019"/>
    <cellStyle name="Entrada 25 2 3 4" xfId="34626"/>
    <cellStyle name="Entrada 25 2 3 5" xfId="40748"/>
    <cellStyle name="Entrada 25 2 4" xfId="30326"/>
    <cellStyle name="Entrada 25 2 5" xfId="33017"/>
    <cellStyle name="Entrada 25 2 6" xfId="34624"/>
    <cellStyle name="Entrada 25 2 7" xfId="40746"/>
    <cellStyle name="Entrada 25 3" xfId="11875"/>
    <cellStyle name="Entrada 25 3 2" xfId="30329"/>
    <cellStyle name="Entrada 25 3 3" xfId="33020"/>
    <cellStyle name="Entrada 25 3 4" xfId="34627"/>
    <cellStyle name="Entrada 25 3 5" xfId="40749"/>
    <cellStyle name="Entrada 25 4" xfId="11876"/>
    <cellStyle name="Entrada 25 4 2" xfId="30330"/>
    <cellStyle name="Entrada 25 4 3" xfId="33021"/>
    <cellStyle name="Entrada 25 4 4" xfId="34628"/>
    <cellStyle name="Entrada 25 4 5" xfId="40750"/>
    <cellStyle name="Entrada 25 5" xfId="30325"/>
    <cellStyle name="Entrada 25 6" xfId="33016"/>
    <cellStyle name="Entrada 25 7" xfId="34623"/>
    <cellStyle name="Entrada 25 8" xfId="40745"/>
    <cellStyle name="Entrada 26" xfId="3840"/>
    <cellStyle name="Entrada 26 2" xfId="11578"/>
    <cellStyle name="Entrada 26 2 2" xfId="11877"/>
    <cellStyle name="Entrada 26 2 2 2" xfId="30333"/>
    <cellStyle name="Entrada 26 2 2 3" xfId="33024"/>
    <cellStyle name="Entrada 26 2 2 4" xfId="34631"/>
    <cellStyle name="Entrada 26 2 2 5" xfId="40753"/>
    <cellStyle name="Entrada 26 2 3" xfId="11878"/>
    <cellStyle name="Entrada 26 2 3 2" xfId="30334"/>
    <cellStyle name="Entrada 26 2 3 3" xfId="33025"/>
    <cellStyle name="Entrada 26 2 3 4" xfId="34632"/>
    <cellStyle name="Entrada 26 2 3 5" xfId="40754"/>
    <cellStyle name="Entrada 26 2 4" xfId="30332"/>
    <cellStyle name="Entrada 26 2 5" xfId="33023"/>
    <cellStyle name="Entrada 26 2 6" xfId="34630"/>
    <cellStyle name="Entrada 26 2 7" xfId="40752"/>
    <cellStyle name="Entrada 26 3" xfId="11879"/>
    <cellStyle name="Entrada 26 3 2" xfId="30335"/>
    <cellStyle name="Entrada 26 3 3" xfId="33026"/>
    <cellStyle name="Entrada 26 3 4" xfId="34633"/>
    <cellStyle name="Entrada 26 3 5" xfId="40755"/>
    <cellStyle name="Entrada 26 4" xfId="11880"/>
    <cellStyle name="Entrada 26 4 2" xfId="30336"/>
    <cellStyle name="Entrada 26 4 3" xfId="33027"/>
    <cellStyle name="Entrada 26 4 4" xfId="34634"/>
    <cellStyle name="Entrada 26 4 5" xfId="40756"/>
    <cellStyle name="Entrada 26 5" xfId="30331"/>
    <cellStyle name="Entrada 26 6" xfId="33022"/>
    <cellStyle name="Entrada 26 7" xfId="34629"/>
    <cellStyle name="Entrada 26 8" xfId="40751"/>
    <cellStyle name="Entrada 27" xfId="3841"/>
    <cellStyle name="Entrada 27 2" xfId="11579"/>
    <cellStyle name="Entrada 27 2 2" xfId="11881"/>
    <cellStyle name="Entrada 27 2 2 2" xfId="30339"/>
    <cellStyle name="Entrada 27 2 2 3" xfId="33030"/>
    <cellStyle name="Entrada 27 2 2 4" xfId="34637"/>
    <cellStyle name="Entrada 27 2 2 5" xfId="40759"/>
    <cellStyle name="Entrada 27 2 3" xfId="11882"/>
    <cellStyle name="Entrada 27 2 3 2" xfId="30340"/>
    <cellStyle name="Entrada 27 2 3 3" xfId="33031"/>
    <cellStyle name="Entrada 27 2 3 4" xfId="34638"/>
    <cellStyle name="Entrada 27 2 3 5" xfId="40760"/>
    <cellStyle name="Entrada 27 2 4" xfId="30338"/>
    <cellStyle name="Entrada 27 2 5" xfId="33029"/>
    <cellStyle name="Entrada 27 2 6" xfId="34636"/>
    <cellStyle name="Entrada 27 2 7" xfId="40758"/>
    <cellStyle name="Entrada 27 3" xfId="11883"/>
    <cellStyle name="Entrada 27 3 2" xfId="30341"/>
    <cellStyle name="Entrada 27 3 3" xfId="33032"/>
    <cellStyle name="Entrada 27 3 4" xfId="34639"/>
    <cellStyle name="Entrada 27 3 5" xfId="40761"/>
    <cellStyle name="Entrada 27 4" xfId="11884"/>
    <cellStyle name="Entrada 27 4 2" xfId="30342"/>
    <cellStyle name="Entrada 27 4 3" xfId="33033"/>
    <cellStyle name="Entrada 27 4 4" xfId="34640"/>
    <cellStyle name="Entrada 27 4 5" xfId="40762"/>
    <cellStyle name="Entrada 27 5" xfId="30337"/>
    <cellStyle name="Entrada 27 6" xfId="33028"/>
    <cellStyle name="Entrada 27 7" xfId="34635"/>
    <cellStyle name="Entrada 27 8" xfId="40757"/>
    <cellStyle name="Entrada 28" xfId="3842"/>
    <cellStyle name="Entrada 28 2" xfId="11580"/>
    <cellStyle name="Entrada 28 2 2" xfId="11885"/>
    <cellStyle name="Entrada 28 2 2 2" xfId="30345"/>
    <cellStyle name="Entrada 28 2 2 3" xfId="33036"/>
    <cellStyle name="Entrada 28 2 2 4" xfId="34643"/>
    <cellStyle name="Entrada 28 2 2 5" xfId="40765"/>
    <cellStyle name="Entrada 28 2 3" xfId="11886"/>
    <cellStyle name="Entrada 28 2 3 2" xfId="30346"/>
    <cellStyle name="Entrada 28 2 3 3" xfId="33037"/>
    <cellStyle name="Entrada 28 2 3 4" xfId="34644"/>
    <cellStyle name="Entrada 28 2 3 5" xfId="40766"/>
    <cellStyle name="Entrada 28 2 4" xfId="30344"/>
    <cellStyle name="Entrada 28 2 5" xfId="33035"/>
    <cellStyle name="Entrada 28 2 6" xfId="34642"/>
    <cellStyle name="Entrada 28 2 7" xfId="40764"/>
    <cellStyle name="Entrada 28 3" xfId="11887"/>
    <cellStyle name="Entrada 28 3 2" xfId="30347"/>
    <cellStyle name="Entrada 28 3 3" xfId="33038"/>
    <cellStyle name="Entrada 28 3 4" xfId="34645"/>
    <cellStyle name="Entrada 28 3 5" xfId="40767"/>
    <cellStyle name="Entrada 28 4" xfId="11888"/>
    <cellStyle name="Entrada 28 4 2" xfId="30348"/>
    <cellStyle name="Entrada 28 4 3" xfId="33039"/>
    <cellStyle name="Entrada 28 4 4" xfId="34646"/>
    <cellStyle name="Entrada 28 4 5" xfId="40768"/>
    <cellStyle name="Entrada 28 5" xfId="30343"/>
    <cellStyle name="Entrada 28 6" xfId="33034"/>
    <cellStyle name="Entrada 28 7" xfId="34641"/>
    <cellStyle name="Entrada 28 8" xfId="40763"/>
    <cellStyle name="Entrada 29" xfId="3843"/>
    <cellStyle name="Entrada 29 2" xfId="11581"/>
    <cellStyle name="Entrada 29 2 2" xfId="11889"/>
    <cellStyle name="Entrada 29 2 2 2" xfId="30351"/>
    <cellStyle name="Entrada 29 2 2 3" xfId="33042"/>
    <cellStyle name="Entrada 29 2 2 4" xfId="34649"/>
    <cellStyle name="Entrada 29 2 2 5" xfId="40771"/>
    <cellStyle name="Entrada 29 2 3" xfId="11890"/>
    <cellStyle name="Entrada 29 2 3 2" xfId="30352"/>
    <cellStyle name="Entrada 29 2 3 3" xfId="33043"/>
    <cellStyle name="Entrada 29 2 3 4" xfId="34650"/>
    <cellStyle name="Entrada 29 2 3 5" xfId="40772"/>
    <cellStyle name="Entrada 29 2 4" xfId="30350"/>
    <cellStyle name="Entrada 29 2 5" xfId="33041"/>
    <cellStyle name="Entrada 29 2 6" xfId="34648"/>
    <cellStyle name="Entrada 29 2 7" xfId="40770"/>
    <cellStyle name="Entrada 29 3" xfId="11891"/>
    <cellStyle name="Entrada 29 3 2" xfId="30353"/>
    <cellStyle name="Entrada 29 3 3" xfId="33044"/>
    <cellStyle name="Entrada 29 3 4" xfId="34651"/>
    <cellStyle name="Entrada 29 3 5" xfId="40773"/>
    <cellStyle name="Entrada 29 4" xfId="11892"/>
    <cellStyle name="Entrada 29 4 2" xfId="30354"/>
    <cellStyle name="Entrada 29 4 3" xfId="33045"/>
    <cellStyle name="Entrada 29 4 4" xfId="34652"/>
    <cellStyle name="Entrada 29 4 5" xfId="40774"/>
    <cellStyle name="Entrada 29 5" xfId="30349"/>
    <cellStyle name="Entrada 29 6" xfId="33040"/>
    <cellStyle name="Entrada 29 7" xfId="34647"/>
    <cellStyle name="Entrada 29 8" xfId="40769"/>
    <cellStyle name="Entrada 3" xfId="3844"/>
    <cellStyle name="Entrada 3 10" xfId="13289"/>
    <cellStyle name="Entrada 3 10 2" xfId="13290"/>
    <cellStyle name="Entrada 3 10 2 2" xfId="30357"/>
    <cellStyle name="Entrada 3 10 3" xfId="30356"/>
    <cellStyle name="Entrada 3 11" xfId="13291"/>
    <cellStyle name="Entrada 3 11 2" xfId="30358"/>
    <cellStyle name="Entrada 3 12" xfId="30355"/>
    <cellStyle name="Entrada 3 13" xfId="33046"/>
    <cellStyle name="Entrada 3 14" xfId="33539"/>
    <cellStyle name="Entrada 3 15" xfId="34653"/>
    <cellStyle name="Entrada 3 16" xfId="40775"/>
    <cellStyle name="Entrada 3 2" xfId="11582"/>
    <cellStyle name="Entrada 3 2 10" xfId="13292"/>
    <cellStyle name="Entrada 3 2 10 2" xfId="30360"/>
    <cellStyle name="Entrada 3 2 11" xfId="30359"/>
    <cellStyle name="Entrada 3 2 12" xfId="33047"/>
    <cellStyle name="Entrada 3 2 13" xfId="33540"/>
    <cellStyle name="Entrada 3 2 14" xfId="34654"/>
    <cellStyle name="Entrada 3 2 15" xfId="40776"/>
    <cellStyle name="Entrada 3 2 2" xfId="11893"/>
    <cellStyle name="Entrada 3 2 2 10" xfId="40777"/>
    <cellStyle name="Entrada 3 2 2 2" xfId="13293"/>
    <cellStyle name="Entrada 3 2 2 2 2" xfId="30362"/>
    <cellStyle name="Entrada 3 2 2 3" xfId="13294"/>
    <cellStyle name="Entrada 3 2 2 3 2" xfId="30363"/>
    <cellStyle name="Entrada 3 2 2 4" xfId="13295"/>
    <cellStyle name="Entrada 3 2 2 4 2" xfId="30364"/>
    <cellStyle name="Entrada 3 2 2 5" xfId="13296"/>
    <cellStyle name="Entrada 3 2 2 5 2" xfId="30365"/>
    <cellStyle name="Entrada 3 2 2 6" xfId="13297"/>
    <cellStyle name="Entrada 3 2 2 6 2" xfId="30366"/>
    <cellStyle name="Entrada 3 2 2 7" xfId="30361"/>
    <cellStyle name="Entrada 3 2 2 8" xfId="33048"/>
    <cellStyle name="Entrada 3 2 2 9" xfId="34655"/>
    <cellStyle name="Entrada 3 2 3" xfId="11894"/>
    <cellStyle name="Entrada 3 2 3 10" xfId="40778"/>
    <cellStyle name="Entrada 3 2 3 2" xfId="13298"/>
    <cellStyle name="Entrada 3 2 3 2 2" xfId="30368"/>
    <cellStyle name="Entrada 3 2 3 3" xfId="13299"/>
    <cellStyle name="Entrada 3 2 3 3 2" xfId="30369"/>
    <cellStyle name="Entrada 3 2 3 4" xfId="13300"/>
    <cellStyle name="Entrada 3 2 3 4 2" xfId="30370"/>
    <cellStyle name="Entrada 3 2 3 5" xfId="13301"/>
    <cellStyle name="Entrada 3 2 3 5 2" xfId="30371"/>
    <cellStyle name="Entrada 3 2 3 6" xfId="13302"/>
    <cellStyle name="Entrada 3 2 3 6 2" xfId="30372"/>
    <cellStyle name="Entrada 3 2 3 7" xfId="30367"/>
    <cellStyle name="Entrada 3 2 3 8" xfId="33049"/>
    <cellStyle name="Entrada 3 2 3 9" xfId="34656"/>
    <cellStyle name="Entrada 3 2 4" xfId="13303"/>
    <cellStyle name="Entrada 3 2 4 2" xfId="13304"/>
    <cellStyle name="Entrada 3 2 4 2 2" xfId="30374"/>
    <cellStyle name="Entrada 3 2 4 3" xfId="13305"/>
    <cellStyle name="Entrada 3 2 4 3 2" xfId="30375"/>
    <cellStyle name="Entrada 3 2 4 4" xfId="13306"/>
    <cellStyle name="Entrada 3 2 4 4 2" xfId="30376"/>
    <cellStyle name="Entrada 3 2 4 5" xfId="13307"/>
    <cellStyle name="Entrada 3 2 4 5 2" xfId="30377"/>
    <cellStyle name="Entrada 3 2 4 6" xfId="30373"/>
    <cellStyle name="Entrada 3 2 5" xfId="13308"/>
    <cellStyle name="Entrada 3 2 5 2" xfId="13309"/>
    <cellStyle name="Entrada 3 2 5 2 2" xfId="30379"/>
    <cellStyle name="Entrada 3 2 5 3" xfId="13310"/>
    <cellStyle name="Entrada 3 2 5 3 2" xfId="30380"/>
    <cellStyle name="Entrada 3 2 5 4" xfId="13311"/>
    <cellStyle name="Entrada 3 2 5 4 2" xfId="30381"/>
    <cellStyle name="Entrada 3 2 5 5" xfId="13312"/>
    <cellStyle name="Entrada 3 2 5 5 2" xfId="30382"/>
    <cellStyle name="Entrada 3 2 5 6" xfId="30378"/>
    <cellStyle name="Entrada 3 2 6" xfId="13313"/>
    <cellStyle name="Entrada 3 2 6 2" xfId="13314"/>
    <cellStyle name="Entrada 3 2 6 2 2" xfId="30384"/>
    <cellStyle name="Entrada 3 2 6 3" xfId="13315"/>
    <cellStyle name="Entrada 3 2 6 3 2" xfId="30385"/>
    <cellStyle name="Entrada 3 2 6 4" xfId="13316"/>
    <cellStyle name="Entrada 3 2 6 4 2" xfId="30386"/>
    <cellStyle name="Entrada 3 2 6 5" xfId="13317"/>
    <cellStyle name="Entrada 3 2 6 5 2" xfId="30387"/>
    <cellStyle name="Entrada 3 2 6 6" xfId="30383"/>
    <cellStyle name="Entrada 3 2 7" xfId="13318"/>
    <cellStyle name="Entrada 3 2 7 2" xfId="13319"/>
    <cellStyle name="Entrada 3 2 7 2 2" xfId="30389"/>
    <cellStyle name="Entrada 3 2 7 3" xfId="13320"/>
    <cellStyle name="Entrada 3 2 7 3 2" xfId="30390"/>
    <cellStyle name="Entrada 3 2 7 4" xfId="13321"/>
    <cellStyle name="Entrada 3 2 7 4 2" xfId="30391"/>
    <cellStyle name="Entrada 3 2 7 5" xfId="13322"/>
    <cellStyle name="Entrada 3 2 7 5 2" xfId="30392"/>
    <cellStyle name="Entrada 3 2 7 6" xfId="30388"/>
    <cellStyle name="Entrada 3 2 8" xfId="13323"/>
    <cellStyle name="Entrada 3 2 8 2" xfId="13324"/>
    <cellStyle name="Entrada 3 2 8 2 2" xfId="30394"/>
    <cellStyle name="Entrada 3 2 8 3" xfId="13325"/>
    <cellStyle name="Entrada 3 2 8 3 2" xfId="30395"/>
    <cellStyle name="Entrada 3 2 8 4" xfId="13326"/>
    <cellStyle name="Entrada 3 2 8 4 2" xfId="30396"/>
    <cellStyle name="Entrada 3 2 8 5" xfId="13327"/>
    <cellStyle name="Entrada 3 2 8 5 2" xfId="30397"/>
    <cellStyle name="Entrada 3 2 8 6" xfId="13328"/>
    <cellStyle name="Entrada 3 2 8 6 2" xfId="30398"/>
    <cellStyle name="Entrada 3 2 8 7" xfId="30393"/>
    <cellStyle name="Entrada 3 2 9" xfId="13329"/>
    <cellStyle name="Entrada 3 2 9 2" xfId="13330"/>
    <cellStyle name="Entrada 3 2 9 2 2" xfId="30400"/>
    <cellStyle name="Entrada 3 2 9 3" xfId="30399"/>
    <cellStyle name="Entrada 3 3" xfId="11895"/>
    <cellStyle name="Entrada 3 3 10" xfId="40779"/>
    <cellStyle name="Entrada 3 3 2" xfId="13331"/>
    <cellStyle name="Entrada 3 3 2 2" xfId="30402"/>
    <cellStyle name="Entrada 3 3 3" xfId="13332"/>
    <cellStyle name="Entrada 3 3 3 2" xfId="30403"/>
    <cellStyle name="Entrada 3 3 4" xfId="13333"/>
    <cellStyle name="Entrada 3 3 4 2" xfId="30404"/>
    <cellStyle name="Entrada 3 3 5" xfId="13334"/>
    <cellStyle name="Entrada 3 3 5 2" xfId="30405"/>
    <cellStyle name="Entrada 3 3 6" xfId="13335"/>
    <cellStyle name="Entrada 3 3 6 2" xfId="30406"/>
    <cellStyle name="Entrada 3 3 7" xfId="30401"/>
    <cellStyle name="Entrada 3 3 8" xfId="33050"/>
    <cellStyle name="Entrada 3 3 9" xfId="34657"/>
    <cellStyle name="Entrada 3 4" xfId="11896"/>
    <cellStyle name="Entrada 3 4 10" xfId="40780"/>
    <cellStyle name="Entrada 3 4 2" xfId="13336"/>
    <cellStyle name="Entrada 3 4 2 2" xfId="30408"/>
    <cellStyle name="Entrada 3 4 3" xfId="13337"/>
    <cellStyle name="Entrada 3 4 3 2" xfId="30409"/>
    <cellStyle name="Entrada 3 4 4" xfId="13338"/>
    <cellStyle name="Entrada 3 4 4 2" xfId="30410"/>
    <cellStyle name="Entrada 3 4 5" xfId="13339"/>
    <cellStyle name="Entrada 3 4 5 2" xfId="30411"/>
    <cellStyle name="Entrada 3 4 6" xfId="13340"/>
    <cellStyle name="Entrada 3 4 6 2" xfId="30412"/>
    <cellStyle name="Entrada 3 4 7" xfId="30407"/>
    <cellStyle name="Entrada 3 4 8" xfId="33051"/>
    <cellStyle name="Entrada 3 4 9" xfId="34658"/>
    <cellStyle name="Entrada 3 5" xfId="13341"/>
    <cellStyle name="Entrada 3 5 2" xfId="13342"/>
    <cellStyle name="Entrada 3 5 2 2" xfId="30414"/>
    <cellStyle name="Entrada 3 5 3" xfId="13343"/>
    <cellStyle name="Entrada 3 5 3 2" xfId="30415"/>
    <cellStyle name="Entrada 3 5 4" xfId="13344"/>
    <cellStyle name="Entrada 3 5 4 2" xfId="30416"/>
    <cellStyle name="Entrada 3 5 5" xfId="13345"/>
    <cellStyle name="Entrada 3 5 5 2" xfId="30417"/>
    <cellStyle name="Entrada 3 5 6" xfId="30413"/>
    <cellStyle name="Entrada 3 6" xfId="13346"/>
    <cellStyle name="Entrada 3 6 2" xfId="13347"/>
    <cellStyle name="Entrada 3 6 2 2" xfId="30419"/>
    <cellStyle name="Entrada 3 6 3" xfId="13348"/>
    <cellStyle name="Entrada 3 6 3 2" xfId="30420"/>
    <cellStyle name="Entrada 3 6 4" xfId="13349"/>
    <cellStyle name="Entrada 3 6 4 2" xfId="30421"/>
    <cellStyle name="Entrada 3 6 5" xfId="13350"/>
    <cellStyle name="Entrada 3 6 5 2" xfId="30422"/>
    <cellStyle name="Entrada 3 6 6" xfId="30418"/>
    <cellStyle name="Entrada 3 7" xfId="13351"/>
    <cellStyle name="Entrada 3 7 2" xfId="13352"/>
    <cellStyle name="Entrada 3 7 2 2" xfId="30424"/>
    <cellStyle name="Entrada 3 7 3" xfId="13353"/>
    <cellStyle name="Entrada 3 7 3 2" xfId="30425"/>
    <cellStyle name="Entrada 3 7 4" xfId="13354"/>
    <cellStyle name="Entrada 3 7 4 2" xfId="30426"/>
    <cellStyle name="Entrada 3 7 5" xfId="13355"/>
    <cellStyle name="Entrada 3 7 5 2" xfId="30427"/>
    <cellStyle name="Entrada 3 7 6" xfId="30423"/>
    <cellStyle name="Entrada 3 8" xfId="13356"/>
    <cellStyle name="Entrada 3 8 2" xfId="13357"/>
    <cellStyle name="Entrada 3 8 2 2" xfId="30429"/>
    <cellStyle name="Entrada 3 8 3" xfId="13358"/>
    <cellStyle name="Entrada 3 8 3 2" xfId="30430"/>
    <cellStyle name="Entrada 3 8 4" xfId="13359"/>
    <cellStyle name="Entrada 3 8 4 2" xfId="30431"/>
    <cellStyle name="Entrada 3 8 5" xfId="13360"/>
    <cellStyle name="Entrada 3 8 5 2" xfId="30432"/>
    <cellStyle name="Entrada 3 8 6" xfId="30428"/>
    <cellStyle name="Entrada 3 9" xfId="13361"/>
    <cellStyle name="Entrada 3 9 2" xfId="13362"/>
    <cellStyle name="Entrada 3 9 2 2" xfId="30434"/>
    <cellStyle name="Entrada 3 9 3" xfId="13363"/>
    <cellStyle name="Entrada 3 9 3 2" xfId="30435"/>
    <cellStyle name="Entrada 3 9 4" xfId="13364"/>
    <cellStyle name="Entrada 3 9 4 2" xfId="30436"/>
    <cellStyle name="Entrada 3 9 5" xfId="13365"/>
    <cellStyle name="Entrada 3 9 5 2" xfId="30437"/>
    <cellStyle name="Entrada 3 9 6" xfId="13366"/>
    <cellStyle name="Entrada 3 9 6 2" xfId="30438"/>
    <cellStyle name="Entrada 3 9 7" xfId="30433"/>
    <cellStyle name="Entrada 30" xfId="3845"/>
    <cellStyle name="Entrada 30 2" xfId="11583"/>
    <cellStyle name="Entrada 30 2 2" xfId="11897"/>
    <cellStyle name="Entrada 30 2 2 2" xfId="30441"/>
    <cellStyle name="Entrada 30 2 2 3" xfId="33054"/>
    <cellStyle name="Entrada 30 2 2 4" xfId="34661"/>
    <cellStyle name="Entrada 30 2 2 5" xfId="40783"/>
    <cellStyle name="Entrada 30 2 3" xfId="11898"/>
    <cellStyle name="Entrada 30 2 3 2" xfId="30442"/>
    <cellStyle name="Entrada 30 2 3 3" xfId="33055"/>
    <cellStyle name="Entrada 30 2 3 4" xfId="34662"/>
    <cellStyle name="Entrada 30 2 3 5" xfId="40784"/>
    <cellStyle name="Entrada 30 2 4" xfId="30440"/>
    <cellStyle name="Entrada 30 2 5" xfId="33053"/>
    <cellStyle name="Entrada 30 2 6" xfId="34660"/>
    <cellStyle name="Entrada 30 2 7" xfId="40782"/>
    <cellStyle name="Entrada 30 3" xfId="11899"/>
    <cellStyle name="Entrada 30 3 2" xfId="30443"/>
    <cellStyle name="Entrada 30 3 3" xfId="33056"/>
    <cellStyle name="Entrada 30 3 4" xfId="34663"/>
    <cellStyle name="Entrada 30 3 5" xfId="40785"/>
    <cellStyle name="Entrada 30 4" xfId="11900"/>
    <cellStyle name="Entrada 30 4 2" xfId="30444"/>
    <cellStyle name="Entrada 30 4 3" xfId="33057"/>
    <cellStyle name="Entrada 30 4 4" xfId="34664"/>
    <cellStyle name="Entrada 30 4 5" xfId="40786"/>
    <cellStyle name="Entrada 30 5" xfId="30439"/>
    <cellStyle name="Entrada 30 6" xfId="33052"/>
    <cellStyle name="Entrada 30 7" xfId="34659"/>
    <cellStyle name="Entrada 30 8" xfId="40781"/>
    <cellStyle name="Entrada 31" xfId="3846"/>
    <cellStyle name="Entrada 31 2" xfId="11584"/>
    <cellStyle name="Entrada 31 2 2" xfId="11901"/>
    <cellStyle name="Entrada 31 2 2 2" xfId="30447"/>
    <cellStyle name="Entrada 31 2 2 3" xfId="33060"/>
    <cellStyle name="Entrada 31 2 2 4" xfId="34667"/>
    <cellStyle name="Entrada 31 2 2 5" xfId="40789"/>
    <cellStyle name="Entrada 31 2 3" xfId="11902"/>
    <cellStyle name="Entrada 31 2 3 2" xfId="30448"/>
    <cellStyle name="Entrada 31 2 3 3" xfId="33061"/>
    <cellStyle name="Entrada 31 2 3 4" xfId="34668"/>
    <cellStyle name="Entrada 31 2 3 5" xfId="40790"/>
    <cellStyle name="Entrada 31 2 4" xfId="30446"/>
    <cellStyle name="Entrada 31 2 5" xfId="33059"/>
    <cellStyle name="Entrada 31 2 6" xfId="34666"/>
    <cellStyle name="Entrada 31 2 7" xfId="40788"/>
    <cellStyle name="Entrada 31 3" xfId="11903"/>
    <cellStyle name="Entrada 31 3 2" xfId="30449"/>
    <cellStyle name="Entrada 31 3 3" xfId="33062"/>
    <cellStyle name="Entrada 31 3 4" xfId="34669"/>
    <cellStyle name="Entrada 31 3 5" xfId="40791"/>
    <cellStyle name="Entrada 31 4" xfId="11904"/>
    <cellStyle name="Entrada 31 4 2" xfId="30450"/>
    <cellStyle name="Entrada 31 4 3" xfId="33063"/>
    <cellStyle name="Entrada 31 4 4" xfId="34670"/>
    <cellStyle name="Entrada 31 4 5" xfId="40792"/>
    <cellStyle name="Entrada 31 5" xfId="30445"/>
    <cellStyle name="Entrada 31 6" xfId="33058"/>
    <cellStyle name="Entrada 31 7" xfId="34665"/>
    <cellStyle name="Entrada 31 8" xfId="40787"/>
    <cellStyle name="Entrada 32" xfId="3847"/>
    <cellStyle name="Entrada 32 2" xfId="11585"/>
    <cellStyle name="Entrada 32 2 2" xfId="11905"/>
    <cellStyle name="Entrada 32 2 2 2" xfId="30453"/>
    <cellStyle name="Entrada 32 2 2 3" xfId="33066"/>
    <cellStyle name="Entrada 32 2 2 4" xfId="34673"/>
    <cellStyle name="Entrada 32 2 2 5" xfId="40795"/>
    <cellStyle name="Entrada 32 2 3" xfId="11906"/>
    <cellStyle name="Entrada 32 2 3 2" xfId="30454"/>
    <cellStyle name="Entrada 32 2 3 3" xfId="33067"/>
    <cellStyle name="Entrada 32 2 3 4" xfId="34674"/>
    <cellStyle name="Entrada 32 2 3 5" xfId="40796"/>
    <cellStyle name="Entrada 32 2 4" xfId="30452"/>
    <cellStyle name="Entrada 32 2 5" xfId="33065"/>
    <cellStyle name="Entrada 32 2 6" xfId="34672"/>
    <cellStyle name="Entrada 32 2 7" xfId="40794"/>
    <cellStyle name="Entrada 32 3" xfId="11907"/>
    <cellStyle name="Entrada 32 3 2" xfId="30455"/>
    <cellStyle name="Entrada 32 3 3" xfId="33068"/>
    <cellStyle name="Entrada 32 3 4" xfId="34675"/>
    <cellStyle name="Entrada 32 3 5" xfId="40797"/>
    <cellStyle name="Entrada 32 4" xfId="11908"/>
    <cellStyle name="Entrada 32 4 2" xfId="30456"/>
    <cellStyle name="Entrada 32 4 3" xfId="33069"/>
    <cellStyle name="Entrada 32 4 4" xfId="34676"/>
    <cellStyle name="Entrada 32 4 5" xfId="40798"/>
    <cellStyle name="Entrada 32 5" xfId="30451"/>
    <cellStyle name="Entrada 32 6" xfId="33064"/>
    <cellStyle name="Entrada 32 7" xfId="34671"/>
    <cellStyle name="Entrada 32 8" xfId="40793"/>
    <cellStyle name="Entrada 33" xfId="3848"/>
    <cellStyle name="Entrada 33 2" xfId="11586"/>
    <cellStyle name="Entrada 33 2 2" xfId="11909"/>
    <cellStyle name="Entrada 33 2 2 2" xfId="30459"/>
    <cellStyle name="Entrada 33 2 2 3" xfId="33072"/>
    <cellStyle name="Entrada 33 2 2 4" xfId="34679"/>
    <cellStyle name="Entrada 33 2 2 5" xfId="40801"/>
    <cellStyle name="Entrada 33 2 3" xfId="11910"/>
    <cellStyle name="Entrada 33 2 3 2" xfId="30460"/>
    <cellStyle name="Entrada 33 2 3 3" xfId="33073"/>
    <cellStyle name="Entrada 33 2 3 4" xfId="34680"/>
    <cellStyle name="Entrada 33 2 3 5" xfId="40802"/>
    <cellStyle name="Entrada 33 2 4" xfId="30458"/>
    <cellStyle name="Entrada 33 2 5" xfId="33071"/>
    <cellStyle name="Entrada 33 2 6" xfId="34678"/>
    <cellStyle name="Entrada 33 2 7" xfId="40800"/>
    <cellStyle name="Entrada 33 3" xfId="11911"/>
    <cellStyle name="Entrada 33 3 2" xfId="30461"/>
    <cellStyle name="Entrada 33 3 3" xfId="33074"/>
    <cellStyle name="Entrada 33 3 4" xfId="34681"/>
    <cellStyle name="Entrada 33 3 5" xfId="40803"/>
    <cellStyle name="Entrada 33 4" xfId="11912"/>
    <cellStyle name="Entrada 33 4 2" xfId="30462"/>
    <cellStyle name="Entrada 33 4 3" xfId="33075"/>
    <cellStyle name="Entrada 33 4 4" xfId="34682"/>
    <cellStyle name="Entrada 33 4 5" xfId="40804"/>
    <cellStyle name="Entrada 33 5" xfId="30457"/>
    <cellStyle name="Entrada 33 6" xfId="33070"/>
    <cellStyle name="Entrada 33 7" xfId="34677"/>
    <cellStyle name="Entrada 33 8" xfId="40799"/>
    <cellStyle name="Entrada 34" xfId="3849"/>
    <cellStyle name="Entrada 34 2" xfId="11587"/>
    <cellStyle name="Entrada 34 2 2" xfId="11913"/>
    <cellStyle name="Entrada 34 2 2 2" xfId="30465"/>
    <cellStyle name="Entrada 34 2 2 3" xfId="33078"/>
    <cellStyle name="Entrada 34 2 2 4" xfId="34685"/>
    <cellStyle name="Entrada 34 2 2 5" xfId="40807"/>
    <cellStyle name="Entrada 34 2 3" xfId="11914"/>
    <cellStyle name="Entrada 34 2 3 2" xfId="30466"/>
    <cellStyle name="Entrada 34 2 3 3" xfId="33079"/>
    <cellStyle name="Entrada 34 2 3 4" xfId="34686"/>
    <cellStyle name="Entrada 34 2 3 5" xfId="40808"/>
    <cellStyle name="Entrada 34 2 4" xfId="30464"/>
    <cellStyle name="Entrada 34 2 5" xfId="33077"/>
    <cellStyle name="Entrada 34 2 6" xfId="34684"/>
    <cellStyle name="Entrada 34 2 7" xfId="40806"/>
    <cellStyle name="Entrada 34 3" xfId="11915"/>
    <cellStyle name="Entrada 34 3 2" xfId="30467"/>
    <cellStyle name="Entrada 34 3 3" xfId="33080"/>
    <cellStyle name="Entrada 34 3 4" xfId="34687"/>
    <cellStyle name="Entrada 34 3 5" xfId="40809"/>
    <cellStyle name="Entrada 34 4" xfId="11916"/>
    <cellStyle name="Entrada 34 4 2" xfId="30468"/>
    <cellStyle name="Entrada 34 4 3" xfId="33081"/>
    <cellStyle name="Entrada 34 4 4" xfId="34688"/>
    <cellStyle name="Entrada 34 4 5" xfId="40810"/>
    <cellStyle name="Entrada 34 5" xfId="30463"/>
    <cellStyle name="Entrada 34 6" xfId="33076"/>
    <cellStyle name="Entrada 34 7" xfId="34683"/>
    <cellStyle name="Entrada 34 8" xfId="40805"/>
    <cellStyle name="Entrada 35" xfId="3850"/>
    <cellStyle name="Entrada 35 2" xfId="11588"/>
    <cellStyle name="Entrada 35 2 2" xfId="11917"/>
    <cellStyle name="Entrada 35 2 2 2" xfId="30471"/>
    <cellStyle name="Entrada 35 2 2 3" xfId="33084"/>
    <cellStyle name="Entrada 35 2 2 4" xfId="34691"/>
    <cellStyle name="Entrada 35 2 2 5" xfId="40813"/>
    <cellStyle name="Entrada 35 2 3" xfId="11918"/>
    <cellStyle name="Entrada 35 2 3 2" xfId="30472"/>
    <cellStyle name="Entrada 35 2 3 3" xfId="33085"/>
    <cellStyle name="Entrada 35 2 3 4" xfId="34692"/>
    <cellStyle name="Entrada 35 2 3 5" xfId="40814"/>
    <cellStyle name="Entrada 35 2 4" xfId="30470"/>
    <cellStyle name="Entrada 35 2 5" xfId="33083"/>
    <cellStyle name="Entrada 35 2 6" xfId="34690"/>
    <cellStyle name="Entrada 35 2 7" xfId="40812"/>
    <cellStyle name="Entrada 35 3" xfId="11919"/>
    <cellStyle name="Entrada 35 3 2" xfId="30473"/>
    <cellStyle name="Entrada 35 3 3" xfId="33086"/>
    <cellStyle name="Entrada 35 3 4" xfId="34693"/>
    <cellStyle name="Entrada 35 3 5" xfId="40815"/>
    <cellStyle name="Entrada 35 4" xfId="11920"/>
    <cellStyle name="Entrada 35 4 2" xfId="30474"/>
    <cellStyle name="Entrada 35 4 3" xfId="33087"/>
    <cellStyle name="Entrada 35 4 4" xfId="34694"/>
    <cellStyle name="Entrada 35 4 5" xfId="40816"/>
    <cellStyle name="Entrada 35 5" xfId="30469"/>
    <cellStyle name="Entrada 35 6" xfId="33082"/>
    <cellStyle name="Entrada 35 7" xfId="34689"/>
    <cellStyle name="Entrada 35 8" xfId="40811"/>
    <cellStyle name="Entrada 36" xfId="3851"/>
    <cellStyle name="Entrada 36 2" xfId="11589"/>
    <cellStyle name="Entrada 36 2 2" xfId="11921"/>
    <cellStyle name="Entrada 36 2 2 2" xfId="30477"/>
    <cellStyle name="Entrada 36 2 2 3" xfId="33090"/>
    <cellStyle name="Entrada 36 2 2 4" xfId="34697"/>
    <cellStyle name="Entrada 36 2 2 5" xfId="40819"/>
    <cellStyle name="Entrada 36 2 3" xfId="11922"/>
    <cellStyle name="Entrada 36 2 3 2" xfId="30478"/>
    <cellStyle name="Entrada 36 2 3 3" xfId="33091"/>
    <cellStyle name="Entrada 36 2 3 4" xfId="34698"/>
    <cellStyle name="Entrada 36 2 3 5" xfId="40820"/>
    <cellStyle name="Entrada 36 2 4" xfId="30476"/>
    <cellStyle name="Entrada 36 2 5" xfId="33089"/>
    <cellStyle name="Entrada 36 2 6" xfId="34696"/>
    <cellStyle name="Entrada 36 2 7" xfId="40818"/>
    <cellStyle name="Entrada 36 3" xfId="11923"/>
    <cellStyle name="Entrada 36 3 2" xfId="30479"/>
    <cellStyle name="Entrada 36 3 3" xfId="33092"/>
    <cellStyle name="Entrada 36 3 4" xfId="34699"/>
    <cellStyle name="Entrada 36 3 5" xfId="40821"/>
    <cellStyle name="Entrada 36 4" xfId="11924"/>
    <cellStyle name="Entrada 36 4 2" xfId="30480"/>
    <cellStyle name="Entrada 36 4 3" xfId="33093"/>
    <cellStyle name="Entrada 36 4 4" xfId="34700"/>
    <cellStyle name="Entrada 36 4 5" xfId="40822"/>
    <cellStyle name="Entrada 36 5" xfId="30475"/>
    <cellStyle name="Entrada 36 6" xfId="33088"/>
    <cellStyle name="Entrada 36 7" xfId="34695"/>
    <cellStyle name="Entrada 36 8" xfId="40817"/>
    <cellStyle name="Entrada 37" xfId="3852"/>
    <cellStyle name="Entrada 37 2" xfId="11590"/>
    <cellStyle name="Entrada 37 2 2" xfId="11925"/>
    <cellStyle name="Entrada 37 2 2 2" xfId="30483"/>
    <cellStyle name="Entrada 37 2 2 3" xfId="33096"/>
    <cellStyle name="Entrada 37 2 2 4" xfId="34703"/>
    <cellStyle name="Entrada 37 2 2 5" xfId="40825"/>
    <cellStyle name="Entrada 37 2 3" xfId="11926"/>
    <cellStyle name="Entrada 37 2 3 2" xfId="30484"/>
    <cellStyle name="Entrada 37 2 3 3" xfId="33097"/>
    <cellStyle name="Entrada 37 2 3 4" xfId="34704"/>
    <cellStyle name="Entrada 37 2 3 5" xfId="40826"/>
    <cellStyle name="Entrada 37 2 4" xfId="30482"/>
    <cellStyle name="Entrada 37 2 5" xfId="33095"/>
    <cellStyle name="Entrada 37 2 6" xfId="34702"/>
    <cellStyle name="Entrada 37 2 7" xfId="40824"/>
    <cellStyle name="Entrada 37 3" xfId="11927"/>
    <cellStyle name="Entrada 37 3 2" xfId="30485"/>
    <cellStyle name="Entrada 37 3 3" xfId="33098"/>
    <cellStyle name="Entrada 37 3 4" xfId="34705"/>
    <cellStyle name="Entrada 37 3 5" xfId="40827"/>
    <cellStyle name="Entrada 37 4" xfId="11928"/>
    <cellStyle name="Entrada 37 4 2" xfId="30486"/>
    <cellStyle name="Entrada 37 4 3" xfId="33099"/>
    <cellStyle name="Entrada 37 4 4" xfId="34706"/>
    <cellStyle name="Entrada 37 4 5" xfId="40828"/>
    <cellStyle name="Entrada 37 5" xfId="30481"/>
    <cellStyle name="Entrada 37 6" xfId="33094"/>
    <cellStyle name="Entrada 37 7" xfId="34701"/>
    <cellStyle name="Entrada 37 8" xfId="40823"/>
    <cellStyle name="Entrada 38" xfId="3853"/>
    <cellStyle name="Entrada 38 2" xfId="11591"/>
    <cellStyle name="Entrada 38 2 2" xfId="11929"/>
    <cellStyle name="Entrada 38 2 2 2" xfId="30489"/>
    <cellStyle name="Entrada 38 2 2 3" xfId="33102"/>
    <cellStyle name="Entrada 38 2 2 4" xfId="34709"/>
    <cellStyle name="Entrada 38 2 2 5" xfId="40831"/>
    <cellStyle name="Entrada 38 2 3" xfId="11930"/>
    <cellStyle name="Entrada 38 2 3 2" xfId="30490"/>
    <cellStyle name="Entrada 38 2 3 3" xfId="33103"/>
    <cellStyle name="Entrada 38 2 3 4" xfId="34710"/>
    <cellStyle name="Entrada 38 2 3 5" xfId="40832"/>
    <cellStyle name="Entrada 38 2 4" xfId="30488"/>
    <cellStyle name="Entrada 38 2 5" xfId="33101"/>
    <cellStyle name="Entrada 38 2 6" xfId="34708"/>
    <cellStyle name="Entrada 38 2 7" xfId="40830"/>
    <cellStyle name="Entrada 38 3" xfId="11931"/>
    <cellStyle name="Entrada 38 3 2" xfId="30491"/>
    <cellStyle name="Entrada 38 3 3" xfId="33104"/>
    <cellStyle name="Entrada 38 3 4" xfId="34711"/>
    <cellStyle name="Entrada 38 3 5" xfId="40833"/>
    <cellStyle name="Entrada 38 4" xfId="11932"/>
    <cellStyle name="Entrada 38 4 2" xfId="30492"/>
    <cellStyle name="Entrada 38 4 3" xfId="33105"/>
    <cellStyle name="Entrada 38 4 4" xfId="34712"/>
    <cellStyle name="Entrada 38 4 5" xfId="40834"/>
    <cellStyle name="Entrada 38 5" xfId="30487"/>
    <cellStyle name="Entrada 38 6" xfId="33100"/>
    <cellStyle name="Entrada 38 7" xfId="34707"/>
    <cellStyle name="Entrada 38 8" xfId="40829"/>
    <cellStyle name="Entrada 39" xfId="3854"/>
    <cellStyle name="Entrada 39 2" xfId="11592"/>
    <cellStyle name="Entrada 39 2 2" xfId="11933"/>
    <cellStyle name="Entrada 39 2 2 2" xfId="30495"/>
    <cellStyle name="Entrada 39 2 2 3" xfId="33108"/>
    <cellStyle name="Entrada 39 2 2 4" xfId="34715"/>
    <cellStyle name="Entrada 39 2 2 5" xfId="40837"/>
    <cellStyle name="Entrada 39 2 3" xfId="11934"/>
    <cellStyle name="Entrada 39 2 3 2" xfId="30496"/>
    <cellStyle name="Entrada 39 2 3 3" xfId="33109"/>
    <cellStyle name="Entrada 39 2 3 4" xfId="34716"/>
    <cellStyle name="Entrada 39 2 3 5" xfId="40838"/>
    <cellStyle name="Entrada 39 2 4" xfId="30494"/>
    <cellStyle name="Entrada 39 2 5" xfId="33107"/>
    <cellStyle name="Entrada 39 2 6" xfId="34714"/>
    <cellStyle name="Entrada 39 2 7" xfId="40836"/>
    <cellStyle name="Entrada 39 3" xfId="11935"/>
    <cellStyle name="Entrada 39 3 2" xfId="30497"/>
    <cellStyle name="Entrada 39 3 3" xfId="33110"/>
    <cellStyle name="Entrada 39 3 4" xfId="34717"/>
    <cellStyle name="Entrada 39 3 5" xfId="40839"/>
    <cellStyle name="Entrada 39 4" xfId="11936"/>
    <cellStyle name="Entrada 39 4 2" xfId="30498"/>
    <cellStyle name="Entrada 39 4 3" xfId="33111"/>
    <cellStyle name="Entrada 39 4 4" xfId="34718"/>
    <cellStyle name="Entrada 39 4 5" xfId="40840"/>
    <cellStyle name="Entrada 39 5" xfId="30493"/>
    <cellStyle name="Entrada 39 6" xfId="33106"/>
    <cellStyle name="Entrada 39 7" xfId="34713"/>
    <cellStyle name="Entrada 39 8" xfId="40835"/>
    <cellStyle name="Entrada 4" xfId="3855"/>
    <cellStyle name="Entrada 4 10" xfId="13367"/>
    <cellStyle name="Entrada 4 10 2" xfId="13368"/>
    <cellStyle name="Entrada 4 10 2 2" xfId="30501"/>
    <cellStyle name="Entrada 4 10 3" xfId="30500"/>
    <cellStyle name="Entrada 4 11" xfId="13369"/>
    <cellStyle name="Entrada 4 11 2" xfId="30502"/>
    <cellStyle name="Entrada 4 12" xfId="30499"/>
    <cellStyle name="Entrada 4 13" xfId="33112"/>
    <cellStyle name="Entrada 4 14" xfId="33541"/>
    <cellStyle name="Entrada 4 15" xfId="34719"/>
    <cellStyle name="Entrada 4 16" xfId="40841"/>
    <cellStyle name="Entrada 4 2" xfId="11593"/>
    <cellStyle name="Entrada 4 2 10" xfId="13370"/>
    <cellStyle name="Entrada 4 2 10 2" xfId="30504"/>
    <cellStyle name="Entrada 4 2 11" xfId="30503"/>
    <cellStyle name="Entrada 4 2 12" xfId="33113"/>
    <cellStyle name="Entrada 4 2 13" xfId="33542"/>
    <cellStyle name="Entrada 4 2 14" xfId="34720"/>
    <cellStyle name="Entrada 4 2 15" xfId="40842"/>
    <cellStyle name="Entrada 4 2 2" xfId="11937"/>
    <cellStyle name="Entrada 4 2 2 10" xfId="40843"/>
    <cellStyle name="Entrada 4 2 2 2" xfId="13371"/>
    <cellStyle name="Entrada 4 2 2 2 2" xfId="30506"/>
    <cellStyle name="Entrada 4 2 2 3" xfId="13372"/>
    <cellStyle name="Entrada 4 2 2 3 2" xfId="30507"/>
    <cellStyle name="Entrada 4 2 2 4" xfId="13373"/>
    <cellStyle name="Entrada 4 2 2 4 2" xfId="30508"/>
    <cellStyle name="Entrada 4 2 2 5" xfId="13374"/>
    <cellStyle name="Entrada 4 2 2 5 2" xfId="30509"/>
    <cellStyle name="Entrada 4 2 2 6" xfId="13375"/>
    <cellStyle name="Entrada 4 2 2 6 2" xfId="30510"/>
    <cellStyle name="Entrada 4 2 2 7" xfId="30505"/>
    <cellStyle name="Entrada 4 2 2 8" xfId="33114"/>
    <cellStyle name="Entrada 4 2 2 9" xfId="34721"/>
    <cellStyle name="Entrada 4 2 3" xfId="11938"/>
    <cellStyle name="Entrada 4 2 3 10" xfId="40844"/>
    <cellStyle name="Entrada 4 2 3 2" xfId="13376"/>
    <cellStyle name="Entrada 4 2 3 2 2" xfId="30512"/>
    <cellStyle name="Entrada 4 2 3 3" xfId="13377"/>
    <cellStyle name="Entrada 4 2 3 3 2" xfId="30513"/>
    <cellStyle name="Entrada 4 2 3 4" xfId="13378"/>
    <cellStyle name="Entrada 4 2 3 4 2" xfId="30514"/>
    <cellStyle name="Entrada 4 2 3 5" xfId="13379"/>
    <cellStyle name="Entrada 4 2 3 5 2" xfId="30515"/>
    <cellStyle name="Entrada 4 2 3 6" xfId="13380"/>
    <cellStyle name="Entrada 4 2 3 6 2" xfId="30516"/>
    <cellStyle name="Entrada 4 2 3 7" xfId="30511"/>
    <cellStyle name="Entrada 4 2 3 8" xfId="33115"/>
    <cellStyle name="Entrada 4 2 3 9" xfId="34722"/>
    <cellStyle name="Entrada 4 2 4" xfId="13381"/>
    <cellStyle name="Entrada 4 2 4 2" xfId="13382"/>
    <cellStyle name="Entrada 4 2 4 2 2" xfId="30518"/>
    <cellStyle name="Entrada 4 2 4 3" xfId="13383"/>
    <cellStyle name="Entrada 4 2 4 3 2" xfId="30519"/>
    <cellStyle name="Entrada 4 2 4 4" xfId="13384"/>
    <cellStyle name="Entrada 4 2 4 4 2" xfId="30520"/>
    <cellStyle name="Entrada 4 2 4 5" xfId="13385"/>
    <cellStyle name="Entrada 4 2 4 5 2" xfId="30521"/>
    <cellStyle name="Entrada 4 2 4 6" xfId="30517"/>
    <cellStyle name="Entrada 4 2 5" xfId="13386"/>
    <cellStyle name="Entrada 4 2 5 2" xfId="13387"/>
    <cellStyle name="Entrada 4 2 5 2 2" xfId="30523"/>
    <cellStyle name="Entrada 4 2 5 3" xfId="13388"/>
    <cellStyle name="Entrada 4 2 5 3 2" xfId="30524"/>
    <cellStyle name="Entrada 4 2 5 4" xfId="13389"/>
    <cellStyle name="Entrada 4 2 5 4 2" xfId="30525"/>
    <cellStyle name="Entrada 4 2 5 5" xfId="13390"/>
    <cellStyle name="Entrada 4 2 5 5 2" xfId="30526"/>
    <cellStyle name="Entrada 4 2 5 6" xfId="30522"/>
    <cellStyle name="Entrada 4 2 6" xfId="13391"/>
    <cellStyle name="Entrada 4 2 6 2" xfId="13392"/>
    <cellStyle name="Entrada 4 2 6 2 2" xfId="30528"/>
    <cellStyle name="Entrada 4 2 6 3" xfId="13393"/>
    <cellStyle name="Entrada 4 2 6 3 2" xfId="30529"/>
    <cellStyle name="Entrada 4 2 6 4" xfId="13394"/>
    <cellStyle name="Entrada 4 2 6 4 2" xfId="30530"/>
    <cellStyle name="Entrada 4 2 6 5" xfId="13395"/>
    <cellStyle name="Entrada 4 2 6 5 2" xfId="30531"/>
    <cellStyle name="Entrada 4 2 6 6" xfId="30527"/>
    <cellStyle name="Entrada 4 2 7" xfId="13396"/>
    <cellStyle name="Entrada 4 2 7 2" xfId="13397"/>
    <cellStyle name="Entrada 4 2 7 2 2" xfId="30533"/>
    <cellStyle name="Entrada 4 2 7 3" xfId="13398"/>
    <cellStyle name="Entrada 4 2 7 3 2" xfId="30534"/>
    <cellStyle name="Entrada 4 2 7 4" xfId="13399"/>
    <cellStyle name="Entrada 4 2 7 4 2" xfId="30535"/>
    <cellStyle name="Entrada 4 2 7 5" xfId="13400"/>
    <cellStyle name="Entrada 4 2 7 5 2" xfId="30536"/>
    <cellStyle name="Entrada 4 2 7 6" xfId="30532"/>
    <cellStyle name="Entrada 4 2 8" xfId="13401"/>
    <cellStyle name="Entrada 4 2 8 2" xfId="13402"/>
    <cellStyle name="Entrada 4 2 8 2 2" xfId="30538"/>
    <cellStyle name="Entrada 4 2 8 3" xfId="13403"/>
    <cellStyle name="Entrada 4 2 8 3 2" xfId="30539"/>
    <cellStyle name="Entrada 4 2 8 4" xfId="13404"/>
    <cellStyle name="Entrada 4 2 8 4 2" xfId="30540"/>
    <cellStyle name="Entrada 4 2 8 5" xfId="13405"/>
    <cellStyle name="Entrada 4 2 8 5 2" xfId="30541"/>
    <cellStyle name="Entrada 4 2 8 6" xfId="13406"/>
    <cellStyle name="Entrada 4 2 8 6 2" xfId="30542"/>
    <cellStyle name="Entrada 4 2 8 7" xfId="30537"/>
    <cellStyle name="Entrada 4 2 9" xfId="13407"/>
    <cellStyle name="Entrada 4 2 9 2" xfId="13408"/>
    <cellStyle name="Entrada 4 2 9 2 2" xfId="30544"/>
    <cellStyle name="Entrada 4 2 9 3" xfId="30543"/>
    <cellStyle name="Entrada 4 3" xfId="11939"/>
    <cellStyle name="Entrada 4 3 10" xfId="40845"/>
    <cellStyle name="Entrada 4 3 2" xfId="13409"/>
    <cellStyle name="Entrada 4 3 2 2" xfId="30546"/>
    <cellStyle name="Entrada 4 3 3" xfId="13410"/>
    <cellStyle name="Entrada 4 3 3 2" xfId="30547"/>
    <cellStyle name="Entrada 4 3 4" xfId="13411"/>
    <cellStyle name="Entrada 4 3 4 2" xfId="30548"/>
    <cellStyle name="Entrada 4 3 5" xfId="13412"/>
    <cellStyle name="Entrada 4 3 5 2" xfId="30549"/>
    <cellStyle name="Entrada 4 3 6" xfId="13413"/>
    <cellStyle name="Entrada 4 3 6 2" xfId="30550"/>
    <cellStyle name="Entrada 4 3 7" xfId="30545"/>
    <cellStyle name="Entrada 4 3 8" xfId="33116"/>
    <cellStyle name="Entrada 4 3 9" xfId="34723"/>
    <cellStyle name="Entrada 4 4" xfId="11940"/>
    <cellStyle name="Entrada 4 4 10" xfId="40846"/>
    <cellStyle name="Entrada 4 4 2" xfId="13414"/>
    <cellStyle name="Entrada 4 4 2 2" xfId="30552"/>
    <cellStyle name="Entrada 4 4 3" xfId="13415"/>
    <cellStyle name="Entrada 4 4 3 2" xfId="30553"/>
    <cellStyle name="Entrada 4 4 4" xfId="13416"/>
    <cellStyle name="Entrada 4 4 4 2" xfId="30554"/>
    <cellStyle name="Entrada 4 4 5" xfId="13417"/>
    <cellStyle name="Entrada 4 4 5 2" xfId="30555"/>
    <cellStyle name="Entrada 4 4 6" xfId="13418"/>
    <cellStyle name="Entrada 4 4 6 2" xfId="30556"/>
    <cellStyle name="Entrada 4 4 7" xfId="30551"/>
    <cellStyle name="Entrada 4 4 8" xfId="33117"/>
    <cellStyle name="Entrada 4 4 9" xfId="34724"/>
    <cellStyle name="Entrada 4 5" xfId="13419"/>
    <cellStyle name="Entrada 4 5 2" xfId="13420"/>
    <cellStyle name="Entrada 4 5 2 2" xfId="30558"/>
    <cellStyle name="Entrada 4 5 3" xfId="13421"/>
    <cellStyle name="Entrada 4 5 3 2" xfId="30559"/>
    <cellStyle name="Entrada 4 5 4" xfId="13422"/>
    <cellStyle name="Entrada 4 5 4 2" xfId="30560"/>
    <cellStyle name="Entrada 4 5 5" xfId="13423"/>
    <cellStyle name="Entrada 4 5 5 2" xfId="30561"/>
    <cellStyle name="Entrada 4 5 6" xfId="30557"/>
    <cellStyle name="Entrada 4 6" xfId="13424"/>
    <cellStyle name="Entrada 4 6 2" xfId="13425"/>
    <cellStyle name="Entrada 4 6 2 2" xfId="30563"/>
    <cellStyle name="Entrada 4 6 3" xfId="13426"/>
    <cellStyle name="Entrada 4 6 3 2" xfId="30564"/>
    <cellStyle name="Entrada 4 6 4" xfId="13427"/>
    <cellStyle name="Entrada 4 6 4 2" xfId="30565"/>
    <cellStyle name="Entrada 4 6 5" xfId="13428"/>
    <cellStyle name="Entrada 4 6 5 2" xfId="30566"/>
    <cellStyle name="Entrada 4 6 6" xfId="30562"/>
    <cellStyle name="Entrada 4 7" xfId="13429"/>
    <cellStyle name="Entrada 4 7 2" xfId="13430"/>
    <cellStyle name="Entrada 4 7 2 2" xfId="30568"/>
    <cellStyle name="Entrada 4 7 3" xfId="13431"/>
    <cellStyle name="Entrada 4 7 3 2" xfId="30569"/>
    <cellStyle name="Entrada 4 7 4" xfId="13432"/>
    <cellStyle name="Entrada 4 7 4 2" xfId="30570"/>
    <cellStyle name="Entrada 4 7 5" xfId="13433"/>
    <cellStyle name="Entrada 4 7 5 2" xfId="30571"/>
    <cellStyle name="Entrada 4 7 6" xfId="30567"/>
    <cellStyle name="Entrada 4 8" xfId="13434"/>
    <cellStyle name="Entrada 4 8 2" xfId="13435"/>
    <cellStyle name="Entrada 4 8 2 2" xfId="30573"/>
    <cellStyle name="Entrada 4 8 3" xfId="13436"/>
    <cellStyle name="Entrada 4 8 3 2" xfId="30574"/>
    <cellStyle name="Entrada 4 8 4" xfId="13437"/>
    <cellStyle name="Entrada 4 8 4 2" xfId="30575"/>
    <cellStyle name="Entrada 4 8 5" xfId="13438"/>
    <cellStyle name="Entrada 4 8 5 2" xfId="30576"/>
    <cellStyle name="Entrada 4 8 6" xfId="30572"/>
    <cellStyle name="Entrada 4 9" xfId="13439"/>
    <cellStyle name="Entrada 4 9 2" xfId="13440"/>
    <cellStyle name="Entrada 4 9 2 2" xfId="30578"/>
    <cellStyle name="Entrada 4 9 3" xfId="13441"/>
    <cellStyle name="Entrada 4 9 3 2" xfId="30579"/>
    <cellStyle name="Entrada 4 9 4" xfId="13442"/>
    <cellStyle name="Entrada 4 9 4 2" xfId="30580"/>
    <cellStyle name="Entrada 4 9 5" xfId="13443"/>
    <cellStyle name="Entrada 4 9 5 2" xfId="30581"/>
    <cellStyle name="Entrada 4 9 6" xfId="13444"/>
    <cellStyle name="Entrada 4 9 6 2" xfId="30582"/>
    <cellStyle name="Entrada 4 9 7" xfId="30577"/>
    <cellStyle name="Entrada 40" xfId="3856"/>
    <cellStyle name="Entrada 40 2" xfId="11594"/>
    <cellStyle name="Entrada 40 2 2" xfId="11941"/>
    <cellStyle name="Entrada 40 2 2 2" xfId="30585"/>
    <cellStyle name="Entrada 40 2 2 3" xfId="33120"/>
    <cellStyle name="Entrada 40 2 2 4" xfId="34727"/>
    <cellStyle name="Entrada 40 2 2 5" xfId="40849"/>
    <cellStyle name="Entrada 40 2 3" xfId="11942"/>
    <cellStyle name="Entrada 40 2 3 2" xfId="30586"/>
    <cellStyle name="Entrada 40 2 3 3" xfId="33121"/>
    <cellStyle name="Entrada 40 2 3 4" xfId="34728"/>
    <cellStyle name="Entrada 40 2 3 5" xfId="40850"/>
    <cellStyle name="Entrada 40 2 4" xfId="30584"/>
    <cellStyle name="Entrada 40 2 5" xfId="33119"/>
    <cellStyle name="Entrada 40 2 6" xfId="34726"/>
    <cellStyle name="Entrada 40 2 7" xfId="40848"/>
    <cellStyle name="Entrada 40 3" xfId="11943"/>
    <cellStyle name="Entrada 40 3 2" xfId="30587"/>
    <cellStyle name="Entrada 40 3 3" xfId="33122"/>
    <cellStyle name="Entrada 40 3 4" xfId="34729"/>
    <cellStyle name="Entrada 40 3 5" xfId="40851"/>
    <cellStyle name="Entrada 40 4" xfId="11944"/>
    <cellStyle name="Entrada 40 4 2" xfId="30588"/>
    <cellStyle name="Entrada 40 4 3" xfId="33123"/>
    <cellStyle name="Entrada 40 4 4" xfId="34730"/>
    <cellStyle name="Entrada 40 4 5" xfId="40852"/>
    <cellStyle name="Entrada 40 5" xfId="30583"/>
    <cellStyle name="Entrada 40 6" xfId="33118"/>
    <cellStyle name="Entrada 40 7" xfId="34725"/>
    <cellStyle name="Entrada 40 8" xfId="40847"/>
    <cellStyle name="Entrada 41" xfId="3857"/>
    <cellStyle name="Entrada 41 2" xfId="11595"/>
    <cellStyle name="Entrada 41 2 2" xfId="11945"/>
    <cellStyle name="Entrada 41 2 2 2" xfId="30591"/>
    <cellStyle name="Entrada 41 2 2 3" xfId="33126"/>
    <cellStyle name="Entrada 41 2 2 4" xfId="34733"/>
    <cellStyle name="Entrada 41 2 2 5" xfId="40855"/>
    <cellStyle name="Entrada 41 2 3" xfId="11946"/>
    <cellStyle name="Entrada 41 2 3 2" xfId="30592"/>
    <cellStyle name="Entrada 41 2 3 3" xfId="33127"/>
    <cellStyle name="Entrada 41 2 3 4" xfId="34734"/>
    <cellStyle name="Entrada 41 2 3 5" xfId="40856"/>
    <cellStyle name="Entrada 41 2 4" xfId="30590"/>
    <cellStyle name="Entrada 41 2 5" xfId="33125"/>
    <cellStyle name="Entrada 41 2 6" xfId="34732"/>
    <cellStyle name="Entrada 41 2 7" xfId="40854"/>
    <cellStyle name="Entrada 41 3" xfId="11947"/>
    <cellStyle name="Entrada 41 3 2" xfId="30593"/>
    <cellStyle name="Entrada 41 3 3" xfId="33128"/>
    <cellStyle name="Entrada 41 3 4" xfId="34735"/>
    <cellStyle name="Entrada 41 3 5" xfId="40857"/>
    <cellStyle name="Entrada 41 4" xfId="11948"/>
    <cellStyle name="Entrada 41 4 2" xfId="30594"/>
    <cellStyle name="Entrada 41 4 3" xfId="33129"/>
    <cellStyle name="Entrada 41 4 4" xfId="34736"/>
    <cellStyle name="Entrada 41 4 5" xfId="40858"/>
    <cellStyle name="Entrada 41 5" xfId="30589"/>
    <cellStyle name="Entrada 41 6" xfId="33124"/>
    <cellStyle name="Entrada 41 7" xfId="34731"/>
    <cellStyle name="Entrada 41 8" xfId="40853"/>
    <cellStyle name="Entrada 42" xfId="3858"/>
    <cellStyle name="Entrada 42 2" xfId="11596"/>
    <cellStyle name="Entrada 42 2 2" xfId="11949"/>
    <cellStyle name="Entrada 42 2 2 2" xfId="30597"/>
    <cellStyle name="Entrada 42 2 2 3" xfId="33132"/>
    <cellStyle name="Entrada 42 2 2 4" xfId="34739"/>
    <cellStyle name="Entrada 42 2 2 5" xfId="40861"/>
    <cellStyle name="Entrada 42 2 3" xfId="11950"/>
    <cellStyle name="Entrada 42 2 3 2" xfId="30598"/>
    <cellStyle name="Entrada 42 2 3 3" xfId="33133"/>
    <cellStyle name="Entrada 42 2 3 4" xfId="34740"/>
    <cellStyle name="Entrada 42 2 3 5" xfId="40862"/>
    <cellStyle name="Entrada 42 2 4" xfId="30596"/>
    <cellStyle name="Entrada 42 2 5" xfId="33131"/>
    <cellStyle name="Entrada 42 2 6" xfId="34738"/>
    <cellStyle name="Entrada 42 2 7" xfId="40860"/>
    <cellStyle name="Entrada 42 3" xfId="11951"/>
    <cellStyle name="Entrada 42 3 2" xfId="30599"/>
    <cellStyle name="Entrada 42 3 3" xfId="33134"/>
    <cellStyle name="Entrada 42 3 4" xfId="34741"/>
    <cellStyle name="Entrada 42 3 5" xfId="40863"/>
    <cellStyle name="Entrada 42 4" xfId="11952"/>
    <cellStyle name="Entrada 42 4 2" xfId="30600"/>
    <cellStyle name="Entrada 42 4 3" xfId="33135"/>
    <cellStyle name="Entrada 42 4 4" xfId="34742"/>
    <cellStyle name="Entrada 42 4 5" xfId="40864"/>
    <cellStyle name="Entrada 42 5" xfId="30595"/>
    <cellStyle name="Entrada 42 6" xfId="33130"/>
    <cellStyle name="Entrada 42 7" xfId="34737"/>
    <cellStyle name="Entrada 42 8" xfId="40859"/>
    <cellStyle name="Entrada 43" xfId="3859"/>
    <cellStyle name="Entrada 43 2" xfId="11597"/>
    <cellStyle name="Entrada 43 2 2" xfId="11953"/>
    <cellStyle name="Entrada 43 2 2 2" xfId="30603"/>
    <cellStyle name="Entrada 43 2 2 3" xfId="33138"/>
    <cellStyle name="Entrada 43 2 2 4" xfId="34745"/>
    <cellStyle name="Entrada 43 2 2 5" xfId="40867"/>
    <cellStyle name="Entrada 43 2 3" xfId="11954"/>
    <cellStyle name="Entrada 43 2 3 2" xfId="30604"/>
    <cellStyle name="Entrada 43 2 3 3" xfId="33139"/>
    <cellStyle name="Entrada 43 2 3 4" xfId="34746"/>
    <cellStyle name="Entrada 43 2 3 5" xfId="40868"/>
    <cellStyle name="Entrada 43 2 4" xfId="30602"/>
    <cellStyle name="Entrada 43 2 5" xfId="33137"/>
    <cellStyle name="Entrada 43 2 6" xfId="34744"/>
    <cellStyle name="Entrada 43 2 7" xfId="40866"/>
    <cellStyle name="Entrada 43 3" xfId="11955"/>
    <cellStyle name="Entrada 43 3 2" xfId="30605"/>
    <cellStyle name="Entrada 43 3 3" xfId="33140"/>
    <cellStyle name="Entrada 43 3 4" xfId="34747"/>
    <cellStyle name="Entrada 43 3 5" xfId="40869"/>
    <cellStyle name="Entrada 43 4" xfId="11956"/>
    <cellStyle name="Entrada 43 4 2" xfId="30606"/>
    <cellStyle name="Entrada 43 4 3" xfId="33141"/>
    <cellStyle name="Entrada 43 4 4" xfId="34748"/>
    <cellStyle name="Entrada 43 4 5" xfId="40870"/>
    <cellStyle name="Entrada 43 5" xfId="30601"/>
    <cellStyle name="Entrada 43 6" xfId="33136"/>
    <cellStyle name="Entrada 43 7" xfId="34743"/>
    <cellStyle name="Entrada 43 8" xfId="40865"/>
    <cellStyle name="Entrada 44" xfId="3860"/>
    <cellStyle name="Entrada 44 2" xfId="11598"/>
    <cellStyle name="Entrada 44 2 2" xfId="11957"/>
    <cellStyle name="Entrada 44 2 2 2" xfId="30609"/>
    <cellStyle name="Entrada 44 2 2 3" xfId="33144"/>
    <cellStyle name="Entrada 44 2 2 4" xfId="34751"/>
    <cellStyle name="Entrada 44 2 2 5" xfId="40873"/>
    <cellStyle name="Entrada 44 2 3" xfId="11958"/>
    <cellStyle name="Entrada 44 2 3 2" xfId="30610"/>
    <cellStyle name="Entrada 44 2 3 3" xfId="33145"/>
    <cellStyle name="Entrada 44 2 3 4" xfId="34752"/>
    <cellStyle name="Entrada 44 2 3 5" xfId="40874"/>
    <cellStyle name="Entrada 44 2 4" xfId="30608"/>
    <cellStyle name="Entrada 44 2 5" xfId="33143"/>
    <cellStyle name="Entrada 44 2 6" xfId="34750"/>
    <cellStyle name="Entrada 44 2 7" xfId="40872"/>
    <cellStyle name="Entrada 44 3" xfId="11959"/>
    <cellStyle name="Entrada 44 3 2" xfId="30611"/>
    <cellStyle name="Entrada 44 3 3" xfId="33146"/>
    <cellStyle name="Entrada 44 3 4" xfId="34753"/>
    <cellStyle name="Entrada 44 3 5" xfId="40875"/>
    <cellStyle name="Entrada 44 4" xfId="11960"/>
    <cellStyle name="Entrada 44 4 2" xfId="30612"/>
    <cellStyle name="Entrada 44 4 3" xfId="33147"/>
    <cellStyle name="Entrada 44 4 4" xfId="34754"/>
    <cellStyle name="Entrada 44 4 5" xfId="40876"/>
    <cellStyle name="Entrada 44 5" xfId="30607"/>
    <cellStyle name="Entrada 44 6" xfId="33142"/>
    <cellStyle name="Entrada 44 7" xfId="34749"/>
    <cellStyle name="Entrada 44 8" xfId="40871"/>
    <cellStyle name="Entrada 45" xfId="3861"/>
    <cellStyle name="Entrada 45 2" xfId="11599"/>
    <cellStyle name="Entrada 45 2 2" xfId="11961"/>
    <cellStyle name="Entrada 45 2 2 2" xfId="30615"/>
    <cellStyle name="Entrada 45 2 2 3" xfId="33150"/>
    <cellStyle name="Entrada 45 2 2 4" xfId="34757"/>
    <cellStyle name="Entrada 45 2 2 5" xfId="40879"/>
    <cellStyle name="Entrada 45 2 3" xfId="11962"/>
    <cellStyle name="Entrada 45 2 3 2" xfId="30616"/>
    <cellStyle name="Entrada 45 2 3 3" xfId="33151"/>
    <cellStyle name="Entrada 45 2 3 4" xfId="34758"/>
    <cellStyle name="Entrada 45 2 3 5" xfId="40880"/>
    <cellStyle name="Entrada 45 2 4" xfId="30614"/>
    <cellStyle name="Entrada 45 2 5" xfId="33149"/>
    <cellStyle name="Entrada 45 2 6" xfId="34756"/>
    <cellStyle name="Entrada 45 2 7" xfId="40878"/>
    <cellStyle name="Entrada 45 3" xfId="11963"/>
    <cellStyle name="Entrada 45 3 2" xfId="30617"/>
    <cellStyle name="Entrada 45 3 3" xfId="33152"/>
    <cellStyle name="Entrada 45 3 4" xfId="34759"/>
    <cellStyle name="Entrada 45 3 5" xfId="40881"/>
    <cellStyle name="Entrada 45 4" xfId="11964"/>
    <cellStyle name="Entrada 45 4 2" xfId="30618"/>
    <cellStyle name="Entrada 45 4 3" xfId="33153"/>
    <cellStyle name="Entrada 45 4 4" xfId="34760"/>
    <cellStyle name="Entrada 45 4 5" xfId="40882"/>
    <cellStyle name="Entrada 45 5" xfId="30613"/>
    <cellStyle name="Entrada 45 6" xfId="33148"/>
    <cellStyle name="Entrada 45 7" xfId="34755"/>
    <cellStyle name="Entrada 45 8" xfId="40877"/>
    <cellStyle name="Entrada 46" xfId="3862"/>
    <cellStyle name="Entrada 46 2" xfId="11600"/>
    <cellStyle name="Entrada 46 2 2" xfId="11965"/>
    <cellStyle name="Entrada 46 2 2 2" xfId="30621"/>
    <cellStyle name="Entrada 46 2 2 3" xfId="33156"/>
    <cellStyle name="Entrada 46 2 2 4" xfId="34763"/>
    <cellStyle name="Entrada 46 2 2 5" xfId="40885"/>
    <cellStyle name="Entrada 46 2 3" xfId="11966"/>
    <cellStyle name="Entrada 46 2 3 2" xfId="30622"/>
    <cellStyle name="Entrada 46 2 3 3" xfId="33157"/>
    <cellStyle name="Entrada 46 2 3 4" xfId="34764"/>
    <cellStyle name="Entrada 46 2 3 5" xfId="40886"/>
    <cellStyle name="Entrada 46 2 4" xfId="30620"/>
    <cellStyle name="Entrada 46 2 5" xfId="33155"/>
    <cellStyle name="Entrada 46 2 6" xfId="34762"/>
    <cellStyle name="Entrada 46 2 7" xfId="40884"/>
    <cellStyle name="Entrada 46 3" xfId="11967"/>
    <cellStyle name="Entrada 46 3 2" xfId="30623"/>
    <cellStyle name="Entrada 46 3 3" xfId="33158"/>
    <cellStyle name="Entrada 46 3 4" xfId="34765"/>
    <cellStyle name="Entrada 46 3 5" xfId="40887"/>
    <cellStyle name="Entrada 46 4" xfId="11968"/>
    <cellStyle name="Entrada 46 4 2" xfId="30624"/>
    <cellStyle name="Entrada 46 4 3" xfId="33159"/>
    <cellStyle name="Entrada 46 4 4" xfId="34766"/>
    <cellStyle name="Entrada 46 4 5" xfId="40888"/>
    <cellStyle name="Entrada 46 5" xfId="30619"/>
    <cellStyle name="Entrada 46 6" xfId="33154"/>
    <cellStyle name="Entrada 46 7" xfId="34761"/>
    <cellStyle name="Entrada 46 8" xfId="40883"/>
    <cellStyle name="Entrada 47" xfId="3863"/>
    <cellStyle name="Entrada 47 2" xfId="11601"/>
    <cellStyle name="Entrada 47 2 2" xfId="11969"/>
    <cellStyle name="Entrada 47 2 2 2" xfId="30627"/>
    <cellStyle name="Entrada 47 2 2 3" xfId="33162"/>
    <cellStyle name="Entrada 47 2 2 4" xfId="34769"/>
    <cellStyle name="Entrada 47 2 2 5" xfId="40891"/>
    <cellStyle name="Entrada 47 2 3" xfId="11970"/>
    <cellStyle name="Entrada 47 2 3 2" xfId="30628"/>
    <cellStyle name="Entrada 47 2 3 3" xfId="33163"/>
    <cellStyle name="Entrada 47 2 3 4" xfId="34770"/>
    <cellStyle name="Entrada 47 2 3 5" xfId="40892"/>
    <cellStyle name="Entrada 47 2 4" xfId="30626"/>
    <cellStyle name="Entrada 47 2 5" xfId="33161"/>
    <cellStyle name="Entrada 47 2 6" xfId="34768"/>
    <cellStyle name="Entrada 47 2 7" xfId="40890"/>
    <cellStyle name="Entrada 47 3" xfId="11971"/>
    <cellStyle name="Entrada 47 3 2" xfId="30629"/>
    <cellStyle name="Entrada 47 3 3" xfId="33164"/>
    <cellStyle name="Entrada 47 3 4" xfId="34771"/>
    <cellStyle name="Entrada 47 3 5" xfId="40893"/>
    <cellStyle name="Entrada 47 4" xfId="11972"/>
    <cellStyle name="Entrada 47 4 2" xfId="30630"/>
    <cellStyle name="Entrada 47 4 3" xfId="33165"/>
    <cellStyle name="Entrada 47 4 4" xfId="34772"/>
    <cellStyle name="Entrada 47 4 5" xfId="40894"/>
    <cellStyle name="Entrada 47 5" xfId="30625"/>
    <cellStyle name="Entrada 47 6" xfId="33160"/>
    <cellStyle name="Entrada 47 7" xfId="34767"/>
    <cellStyle name="Entrada 47 8" xfId="40889"/>
    <cellStyle name="Entrada 48" xfId="3864"/>
    <cellStyle name="Entrada 48 2" xfId="11602"/>
    <cellStyle name="Entrada 48 2 2" xfId="11973"/>
    <cellStyle name="Entrada 48 2 2 2" xfId="30633"/>
    <cellStyle name="Entrada 48 2 2 3" xfId="33168"/>
    <cellStyle name="Entrada 48 2 2 4" xfId="34775"/>
    <cellStyle name="Entrada 48 2 2 5" xfId="40897"/>
    <cellStyle name="Entrada 48 2 3" xfId="11974"/>
    <cellStyle name="Entrada 48 2 3 2" xfId="30634"/>
    <cellStyle name="Entrada 48 2 3 3" xfId="33169"/>
    <cellStyle name="Entrada 48 2 3 4" xfId="34776"/>
    <cellStyle name="Entrada 48 2 3 5" xfId="40898"/>
    <cellStyle name="Entrada 48 2 4" xfId="30632"/>
    <cellStyle name="Entrada 48 2 5" xfId="33167"/>
    <cellStyle name="Entrada 48 2 6" xfId="34774"/>
    <cellStyle name="Entrada 48 2 7" xfId="40896"/>
    <cellStyle name="Entrada 48 3" xfId="11975"/>
    <cellStyle name="Entrada 48 3 2" xfId="30635"/>
    <cellStyle name="Entrada 48 3 3" xfId="33170"/>
    <cellStyle name="Entrada 48 3 4" xfId="34777"/>
    <cellStyle name="Entrada 48 3 5" xfId="40899"/>
    <cellStyle name="Entrada 48 4" xfId="11976"/>
    <cellStyle name="Entrada 48 4 2" xfId="30636"/>
    <cellStyle name="Entrada 48 4 3" xfId="33171"/>
    <cellStyle name="Entrada 48 4 4" xfId="34778"/>
    <cellStyle name="Entrada 48 4 5" xfId="40900"/>
    <cellStyle name="Entrada 48 5" xfId="30631"/>
    <cellStyle name="Entrada 48 6" xfId="33166"/>
    <cellStyle name="Entrada 48 7" xfId="34773"/>
    <cellStyle name="Entrada 48 8" xfId="40895"/>
    <cellStyle name="Entrada 49" xfId="3865"/>
    <cellStyle name="Entrada 49 2" xfId="11603"/>
    <cellStyle name="Entrada 49 2 2" xfId="11977"/>
    <cellStyle name="Entrada 49 2 2 2" xfId="30639"/>
    <cellStyle name="Entrada 49 2 2 3" xfId="33174"/>
    <cellStyle name="Entrada 49 2 2 4" xfId="34781"/>
    <cellStyle name="Entrada 49 2 2 5" xfId="40903"/>
    <cellStyle name="Entrada 49 2 3" xfId="11978"/>
    <cellStyle name="Entrada 49 2 3 2" xfId="30640"/>
    <cellStyle name="Entrada 49 2 3 3" xfId="33175"/>
    <cellStyle name="Entrada 49 2 3 4" xfId="34782"/>
    <cellStyle name="Entrada 49 2 3 5" xfId="40904"/>
    <cellStyle name="Entrada 49 2 4" xfId="30638"/>
    <cellStyle name="Entrada 49 2 5" xfId="33173"/>
    <cellStyle name="Entrada 49 2 6" xfId="34780"/>
    <cellStyle name="Entrada 49 2 7" xfId="40902"/>
    <cellStyle name="Entrada 49 3" xfId="11979"/>
    <cellStyle name="Entrada 49 3 2" xfId="30641"/>
    <cellStyle name="Entrada 49 3 3" xfId="33176"/>
    <cellStyle name="Entrada 49 3 4" xfId="34783"/>
    <cellStyle name="Entrada 49 3 5" xfId="40905"/>
    <cellStyle name="Entrada 49 4" xfId="11980"/>
    <cellStyle name="Entrada 49 4 2" xfId="30642"/>
    <cellStyle name="Entrada 49 4 3" xfId="33177"/>
    <cellStyle name="Entrada 49 4 4" xfId="34784"/>
    <cellStyle name="Entrada 49 4 5" xfId="40906"/>
    <cellStyle name="Entrada 49 5" xfId="30637"/>
    <cellStyle name="Entrada 49 6" xfId="33172"/>
    <cellStyle name="Entrada 49 7" xfId="34779"/>
    <cellStyle name="Entrada 49 8" xfId="40901"/>
    <cellStyle name="Entrada 5" xfId="3866"/>
    <cellStyle name="Entrada 5 2" xfId="11604"/>
    <cellStyle name="Entrada 5 2 10" xfId="13445"/>
    <cellStyle name="Entrada 5 2 10 2" xfId="30645"/>
    <cellStyle name="Entrada 5 2 11" xfId="30644"/>
    <cellStyle name="Entrada 5 2 12" xfId="33179"/>
    <cellStyle name="Entrada 5 2 13" xfId="33543"/>
    <cellStyle name="Entrada 5 2 14" xfId="34786"/>
    <cellStyle name="Entrada 5 2 15" xfId="40908"/>
    <cellStyle name="Entrada 5 2 2" xfId="11981"/>
    <cellStyle name="Entrada 5 2 2 10" xfId="40909"/>
    <cellStyle name="Entrada 5 2 2 2" xfId="13446"/>
    <cellStyle name="Entrada 5 2 2 2 2" xfId="30647"/>
    <cellStyle name="Entrada 5 2 2 3" xfId="13447"/>
    <cellStyle name="Entrada 5 2 2 3 2" xfId="30648"/>
    <cellStyle name="Entrada 5 2 2 4" xfId="13448"/>
    <cellStyle name="Entrada 5 2 2 4 2" xfId="30649"/>
    <cellStyle name="Entrada 5 2 2 5" xfId="13449"/>
    <cellStyle name="Entrada 5 2 2 5 2" xfId="30650"/>
    <cellStyle name="Entrada 5 2 2 6" xfId="13450"/>
    <cellStyle name="Entrada 5 2 2 6 2" xfId="30651"/>
    <cellStyle name="Entrada 5 2 2 7" xfId="30646"/>
    <cellStyle name="Entrada 5 2 2 8" xfId="33180"/>
    <cellStyle name="Entrada 5 2 2 9" xfId="34787"/>
    <cellStyle name="Entrada 5 2 3" xfId="11982"/>
    <cellStyle name="Entrada 5 2 3 10" xfId="40910"/>
    <cellStyle name="Entrada 5 2 3 2" xfId="13451"/>
    <cellStyle name="Entrada 5 2 3 2 2" xfId="30653"/>
    <cellStyle name="Entrada 5 2 3 3" xfId="13452"/>
    <cellStyle name="Entrada 5 2 3 3 2" xfId="30654"/>
    <cellStyle name="Entrada 5 2 3 4" xfId="13453"/>
    <cellStyle name="Entrada 5 2 3 4 2" xfId="30655"/>
    <cellStyle name="Entrada 5 2 3 5" xfId="13454"/>
    <cellStyle name="Entrada 5 2 3 5 2" xfId="30656"/>
    <cellStyle name="Entrada 5 2 3 6" xfId="13455"/>
    <cellStyle name="Entrada 5 2 3 6 2" xfId="30657"/>
    <cellStyle name="Entrada 5 2 3 7" xfId="30652"/>
    <cellStyle name="Entrada 5 2 3 8" xfId="33181"/>
    <cellStyle name="Entrada 5 2 3 9" xfId="34788"/>
    <cellStyle name="Entrada 5 2 4" xfId="13456"/>
    <cellStyle name="Entrada 5 2 4 2" xfId="13457"/>
    <cellStyle name="Entrada 5 2 4 2 2" xfId="30659"/>
    <cellStyle name="Entrada 5 2 4 3" xfId="13458"/>
    <cellStyle name="Entrada 5 2 4 3 2" xfId="30660"/>
    <cellStyle name="Entrada 5 2 4 4" xfId="13459"/>
    <cellStyle name="Entrada 5 2 4 4 2" xfId="30661"/>
    <cellStyle name="Entrada 5 2 4 5" xfId="13460"/>
    <cellStyle name="Entrada 5 2 4 5 2" xfId="30662"/>
    <cellStyle name="Entrada 5 2 4 6" xfId="30658"/>
    <cellStyle name="Entrada 5 2 5" xfId="13461"/>
    <cellStyle name="Entrada 5 2 5 2" xfId="13462"/>
    <cellStyle name="Entrada 5 2 5 2 2" xfId="30664"/>
    <cellStyle name="Entrada 5 2 5 3" xfId="13463"/>
    <cellStyle name="Entrada 5 2 5 3 2" xfId="30665"/>
    <cellStyle name="Entrada 5 2 5 4" xfId="13464"/>
    <cellStyle name="Entrada 5 2 5 4 2" xfId="30666"/>
    <cellStyle name="Entrada 5 2 5 5" xfId="13465"/>
    <cellStyle name="Entrada 5 2 5 5 2" xfId="30667"/>
    <cellStyle name="Entrada 5 2 5 6" xfId="30663"/>
    <cellStyle name="Entrada 5 2 6" xfId="13466"/>
    <cellStyle name="Entrada 5 2 6 2" xfId="13467"/>
    <cellStyle name="Entrada 5 2 6 2 2" xfId="30669"/>
    <cellStyle name="Entrada 5 2 6 3" xfId="13468"/>
    <cellStyle name="Entrada 5 2 6 3 2" xfId="30670"/>
    <cellStyle name="Entrada 5 2 6 4" xfId="13469"/>
    <cellStyle name="Entrada 5 2 6 4 2" xfId="30671"/>
    <cellStyle name="Entrada 5 2 6 5" xfId="13470"/>
    <cellStyle name="Entrada 5 2 6 5 2" xfId="30672"/>
    <cellStyle name="Entrada 5 2 6 6" xfId="30668"/>
    <cellStyle name="Entrada 5 2 7" xfId="13471"/>
    <cellStyle name="Entrada 5 2 7 2" xfId="13472"/>
    <cellStyle name="Entrada 5 2 7 2 2" xfId="30674"/>
    <cellStyle name="Entrada 5 2 7 3" xfId="13473"/>
    <cellStyle name="Entrada 5 2 7 3 2" xfId="30675"/>
    <cellStyle name="Entrada 5 2 7 4" xfId="13474"/>
    <cellStyle name="Entrada 5 2 7 4 2" xfId="30676"/>
    <cellStyle name="Entrada 5 2 7 5" xfId="13475"/>
    <cellStyle name="Entrada 5 2 7 5 2" xfId="30677"/>
    <cellStyle name="Entrada 5 2 7 6" xfId="30673"/>
    <cellStyle name="Entrada 5 2 8" xfId="13476"/>
    <cellStyle name="Entrada 5 2 8 2" xfId="13477"/>
    <cellStyle name="Entrada 5 2 8 2 2" xfId="30679"/>
    <cellStyle name="Entrada 5 2 8 3" xfId="13478"/>
    <cellStyle name="Entrada 5 2 8 3 2" xfId="30680"/>
    <cellStyle name="Entrada 5 2 8 4" xfId="13479"/>
    <cellStyle name="Entrada 5 2 8 4 2" xfId="30681"/>
    <cellStyle name="Entrada 5 2 8 5" xfId="13480"/>
    <cellStyle name="Entrada 5 2 8 5 2" xfId="30682"/>
    <cellStyle name="Entrada 5 2 8 6" xfId="13481"/>
    <cellStyle name="Entrada 5 2 8 6 2" xfId="30683"/>
    <cellStyle name="Entrada 5 2 8 7" xfId="30678"/>
    <cellStyle name="Entrada 5 2 9" xfId="13482"/>
    <cellStyle name="Entrada 5 2 9 2" xfId="13483"/>
    <cellStyle name="Entrada 5 2 9 2 2" xfId="30685"/>
    <cellStyle name="Entrada 5 2 9 3" xfId="30684"/>
    <cellStyle name="Entrada 5 3" xfId="11983"/>
    <cellStyle name="Entrada 5 3 2" xfId="30686"/>
    <cellStyle name="Entrada 5 3 3" xfId="33182"/>
    <cellStyle name="Entrada 5 3 4" xfId="34789"/>
    <cellStyle name="Entrada 5 3 5" xfId="40911"/>
    <cellStyle name="Entrada 5 4" xfId="11984"/>
    <cellStyle name="Entrada 5 4 2" xfId="30687"/>
    <cellStyle name="Entrada 5 4 3" xfId="33183"/>
    <cellStyle name="Entrada 5 4 4" xfId="34790"/>
    <cellStyle name="Entrada 5 4 5" xfId="40912"/>
    <cellStyle name="Entrada 5 5" xfId="30643"/>
    <cellStyle name="Entrada 5 6" xfId="33178"/>
    <cellStyle name="Entrada 5 7" xfId="34785"/>
    <cellStyle name="Entrada 5 8" xfId="40907"/>
    <cellStyle name="Entrada 50" xfId="3867"/>
    <cellStyle name="Entrada 50 2" xfId="11605"/>
    <cellStyle name="Entrada 50 2 2" xfId="11985"/>
    <cellStyle name="Entrada 50 2 2 2" xfId="30690"/>
    <cellStyle name="Entrada 50 2 2 3" xfId="33186"/>
    <cellStyle name="Entrada 50 2 2 4" xfId="34793"/>
    <cellStyle name="Entrada 50 2 2 5" xfId="40915"/>
    <cellStyle name="Entrada 50 2 3" xfId="11986"/>
    <cellStyle name="Entrada 50 2 3 2" xfId="30691"/>
    <cellStyle name="Entrada 50 2 3 3" xfId="33187"/>
    <cellStyle name="Entrada 50 2 3 4" xfId="34794"/>
    <cellStyle name="Entrada 50 2 3 5" xfId="40916"/>
    <cellStyle name="Entrada 50 2 4" xfId="30689"/>
    <cellStyle name="Entrada 50 2 5" xfId="33185"/>
    <cellStyle name="Entrada 50 2 6" xfId="34792"/>
    <cellStyle name="Entrada 50 2 7" xfId="40914"/>
    <cellStyle name="Entrada 50 3" xfId="11987"/>
    <cellStyle name="Entrada 50 3 2" xfId="30692"/>
    <cellStyle name="Entrada 50 3 3" xfId="33188"/>
    <cellStyle name="Entrada 50 3 4" xfId="34795"/>
    <cellStyle name="Entrada 50 3 5" xfId="40917"/>
    <cellStyle name="Entrada 50 4" xfId="11988"/>
    <cellStyle name="Entrada 50 4 2" xfId="30693"/>
    <cellStyle name="Entrada 50 4 3" xfId="33189"/>
    <cellStyle name="Entrada 50 4 4" xfId="34796"/>
    <cellStyle name="Entrada 50 4 5" xfId="40918"/>
    <cellStyle name="Entrada 50 5" xfId="30688"/>
    <cellStyle name="Entrada 50 6" xfId="33184"/>
    <cellStyle name="Entrada 50 7" xfId="34791"/>
    <cellStyle name="Entrada 50 8" xfId="40913"/>
    <cellStyle name="Entrada 6" xfId="3868"/>
    <cellStyle name="Entrada 6 2" xfId="11606"/>
    <cellStyle name="Entrada 6 2 10" xfId="13484"/>
    <cellStyle name="Entrada 6 2 10 2" xfId="30696"/>
    <cellStyle name="Entrada 6 2 11" xfId="30695"/>
    <cellStyle name="Entrada 6 2 12" xfId="33191"/>
    <cellStyle name="Entrada 6 2 13" xfId="33544"/>
    <cellStyle name="Entrada 6 2 14" xfId="34798"/>
    <cellStyle name="Entrada 6 2 15" xfId="40920"/>
    <cellStyle name="Entrada 6 2 2" xfId="11989"/>
    <cellStyle name="Entrada 6 2 2 10" xfId="40921"/>
    <cellStyle name="Entrada 6 2 2 2" xfId="13485"/>
    <cellStyle name="Entrada 6 2 2 2 2" xfId="30698"/>
    <cellStyle name="Entrada 6 2 2 3" xfId="13486"/>
    <cellStyle name="Entrada 6 2 2 3 2" xfId="30699"/>
    <cellStyle name="Entrada 6 2 2 4" xfId="13487"/>
    <cellStyle name="Entrada 6 2 2 4 2" xfId="30700"/>
    <cellStyle name="Entrada 6 2 2 5" xfId="13488"/>
    <cellStyle name="Entrada 6 2 2 5 2" xfId="30701"/>
    <cellStyle name="Entrada 6 2 2 6" xfId="13489"/>
    <cellStyle name="Entrada 6 2 2 6 2" xfId="30702"/>
    <cellStyle name="Entrada 6 2 2 7" xfId="30697"/>
    <cellStyle name="Entrada 6 2 2 8" xfId="33192"/>
    <cellStyle name="Entrada 6 2 2 9" xfId="34799"/>
    <cellStyle name="Entrada 6 2 3" xfId="11990"/>
    <cellStyle name="Entrada 6 2 3 10" xfId="40922"/>
    <cellStyle name="Entrada 6 2 3 2" xfId="13490"/>
    <cellStyle name="Entrada 6 2 3 2 2" xfId="30704"/>
    <cellStyle name="Entrada 6 2 3 3" xfId="13491"/>
    <cellStyle name="Entrada 6 2 3 3 2" xfId="30705"/>
    <cellStyle name="Entrada 6 2 3 4" xfId="13492"/>
    <cellStyle name="Entrada 6 2 3 4 2" xfId="30706"/>
    <cellStyle name="Entrada 6 2 3 5" xfId="13493"/>
    <cellStyle name="Entrada 6 2 3 5 2" xfId="30707"/>
    <cellStyle name="Entrada 6 2 3 6" xfId="13494"/>
    <cellStyle name="Entrada 6 2 3 6 2" xfId="30708"/>
    <cellStyle name="Entrada 6 2 3 7" xfId="30703"/>
    <cellStyle name="Entrada 6 2 3 8" xfId="33193"/>
    <cellStyle name="Entrada 6 2 3 9" xfId="34800"/>
    <cellStyle name="Entrada 6 2 4" xfId="13495"/>
    <cellStyle name="Entrada 6 2 4 2" xfId="13496"/>
    <cellStyle name="Entrada 6 2 4 2 2" xfId="30710"/>
    <cellStyle name="Entrada 6 2 4 3" xfId="13497"/>
    <cellStyle name="Entrada 6 2 4 3 2" xfId="30711"/>
    <cellStyle name="Entrada 6 2 4 4" xfId="13498"/>
    <cellStyle name="Entrada 6 2 4 4 2" xfId="30712"/>
    <cellStyle name="Entrada 6 2 4 5" xfId="13499"/>
    <cellStyle name="Entrada 6 2 4 5 2" xfId="30713"/>
    <cellStyle name="Entrada 6 2 4 6" xfId="30709"/>
    <cellStyle name="Entrada 6 2 5" xfId="13500"/>
    <cellStyle name="Entrada 6 2 5 2" xfId="13501"/>
    <cellStyle name="Entrada 6 2 5 2 2" xfId="30715"/>
    <cellStyle name="Entrada 6 2 5 3" xfId="13502"/>
    <cellStyle name="Entrada 6 2 5 3 2" xfId="30716"/>
    <cellStyle name="Entrada 6 2 5 4" xfId="13503"/>
    <cellStyle name="Entrada 6 2 5 4 2" xfId="30717"/>
    <cellStyle name="Entrada 6 2 5 5" xfId="13504"/>
    <cellStyle name="Entrada 6 2 5 5 2" xfId="30718"/>
    <cellStyle name="Entrada 6 2 5 6" xfId="30714"/>
    <cellStyle name="Entrada 6 2 6" xfId="13505"/>
    <cellStyle name="Entrada 6 2 6 2" xfId="13506"/>
    <cellStyle name="Entrada 6 2 6 2 2" xfId="30720"/>
    <cellStyle name="Entrada 6 2 6 3" xfId="13507"/>
    <cellStyle name="Entrada 6 2 6 3 2" xfId="30721"/>
    <cellStyle name="Entrada 6 2 6 4" xfId="13508"/>
    <cellStyle name="Entrada 6 2 6 4 2" xfId="30722"/>
    <cellStyle name="Entrada 6 2 6 5" xfId="13509"/>
    <cellStyle name="Entrada 6 2 6 5 2" xfId="30723"/>
    <cellStyle name="Entrada 6 2 6 6" xfId="30719"/>
    <cellStyle name="Entrada 6 2 7" xfId="13510"/>
    <cellStyle name="Entrada 6 2 7 2" xfId="13511"/>
    <cellStyle name="Entrada 6 2 7 2 2" xfId="30725"/>
    <cellStyle name="Entrada 6 2 7 3" xfId="13512"/>
    <cellStyle name="Entrada 6 2 7 3 2" xfId="30726"/>
    <cellStyle name="Entrada 6 2 7 4" xfId="13513"/>
    <cellStyle name="Entrada 6 2 7 4 2" xfId="30727"/>
    <cellStyle name="Entrada 6 2 7 5" xfId="13514"/>
    <cellStyle name="Entrada 6 2 7 5 2" xfId="30728"/>
    <cellStyle name="Entrada 6 2 7 6" xfId="30724"/>
    <cellStyle name="Entrada 6 2 8" xfId="13515"/>
    <cellStyle name="Entrada 6 2 8 2" xfId="13516"/>
    <cellStyle name="Entrada 6 2 8 2 2" xfId="30730"/>
    <cellStyle name="Entrada 6 2 8 3" xfId="13517"/>
    <cellStyle name="Entrada 6 2 8 3 2" xfId="30731"/>
    <cellStyle name="Entrada 6 2 8 4" xfId="13518"/>
    <cellStyle name="Entrada 6 2 8 4 2" xfId="30732"/>
    <cellStyle name="Entrada 6 2 8 5" xfId="13519"/>
    <cellStyle name="Entrada 6 2 8 5 2" xfId="30733"/>
    <cellStyle name="Entrada 6 2 8 6" xfId="13520"/>
    <cellStyle name="Entrada 6 2 8 6 2" xfId="30734"/>
    <cellStyle name="Entrada 6 2 8 7" xfId="30729"/>
    <cellStyle name="Entrada 6 2 9" xfId="13521"/>
    <cellStyle name="Entrada 6 2 9 2" xfId="13522"/>
    <cellStyle name="Entrada 6 2 9 2 2" xfId="30736"/>
    <cellStyle name="Entrada 6 2 9 3" xfId="30735"/>
    <cellStyle name="Entrada 6 3" xfId="11991"/>
    <cellStyle name="Entrada 6 3 2" xfId="30737"/>
    <cellStyle name="Entrada 6 3 3" xfId="33194"/>
    <cellStyle name="Entrada 6 3 4" xfId="34801"/>
    <cellStyle name="Entrada 6 3 5" xfId="40923"/>
    <cellStyle name="Entrada 6 4" xfId="11992"/>
    <cellStyle name="Entrada 6 4 2" xfId="30738"/>
    <cellStyle name="Entrada 6 4 3" xfId="33195"/>
    <cellStyle name="Entrada 6 4 4" xfId="34802"/>
    <cellStyle name="Entrada 6 4 5" xfId="40924"/>
    <cellStyle name="Entrada 6 5" xfId="30694"/>
    <cellStyle name="Entrada 6 6" xfId="33190"/>
    <cellStyle name="Entrada 6 7" xfId="34797"/>
    <cellStyle name="Entrada 6 8" xfId="40919"/>
    <cellStyle name="Entrada 7" xfId="3869"/>
    <cellStyle name="Entrada 7 2" xfId="11607"/>
    <cellStyle name="Entrada 7 2 10" xfId="13523"/>
    <cellStyle name="Entrada 7 2 10 2" xfId="30741"/>
    <cellStyle name="Entrada 7 2 11" xfId="30740"/>
    <cellStyle name="Entrada 7 2 12" xfId="33197"/>
    <cellStyle name="Entrada 7 2 13" xfId="33545"/>
    <cellStyle name="Entrada 7 2 14" xfId="34804"/>
    <cellStyle name="Entrada 7 2 15" xfId="40926"/>
    <cellStyle name="Entrada 7 2 2" xfId="11993"/>
    <cellStyle name="Entrada 7 2 2 10" xfId="40927"/>
    <cellStyle name="Entrada 7 2 2 2" xfId="13524"/>
    <cellStyle name="Entrada 7 2 2 2 2" xfId="30743"/>
    <cellStyle name="Entrada 7 2 2 3" xfId="13525"/>
    <cellStyle name="Entrada 7 2 2 3 2" xfId="30744"/>
    <cellStyle name="Entrada 7 2 2 4" xfId="13526"/>
    <cellStyle name="Entrada 7 2 2 4 2" xfId="30745"/>
    <cellStyle name="Entrada 7 2 2 5" xfId="13527"/>
    <cellStyle name="Entrada 7 2 2 5 2" xfId="30746"/>
    <cellStyle name="Entrada 7 2 2 6" xfId="13528"/>
    <cellStyle name="Entrada 7 2 2 6 2" xfId="30747"/>
    <cellStyle name="Entrada 7 2 2 7" xfId="30742"/>
    <cellStyle name="Entrada 7 2 2 8" xfId="33198"/>
    <cellStyle name="Entrada 7 2 2 9" xfId="34805"/>
    <cellStyle name="Entrada 7 2 3" xfId="11994"/>
    <cellStyle name="Entrada 7 2 3 10" xfId="40928"/>
    <cellStyle name="Entrada 7 2 3 2" xfId="13529"/>
    <cellStyle name="Entrada 7 2 3 2 2" xfId="30749"/>
    <cellStyle name="Entrada 7 2 3 3" xfId="13530"/>
    <cellStyle name="Entrada 7 2 3 3 2" xfId="30750"/>
    <cellStyle name="Entrada 7 2 3 4" xfId="13531"/>
    <cellStyle name="Entrada 7 2 3 4 2" xfId="30751"/>
    <cellStyle name="Entrada 7 2 3 5" xfId="13532"/>
    <cellStyle name="Entrada 7 2 3 5 2" xfId="30752"/>
    <cellStyle name="Entrada 7 2 3 6" xfId="13533"/>
    <cellStyle name="Entrada 7 2 3 6 2" xfId="30753"/>
    <cellStyle name="Entrada 7 2 3 7" xfId="30748"/>
    <cellStyle name="Entrada 7 2 3 8" xfId="33199"/>
    <cellStyle name="Entrada 7 2 3 9" xfId="34806"/>
    <cellStyle name="Entrada 7 2 4" xfId="13534"/>
    <cellStyle name="Entrada 7 2 4 2" xfId="13535"/>
    <cellStyle name="Entrada 7 2 4 2 2" xfId="30755"/>
    <cellStyle name="Entrada 7 2 4 3" xfId="13536"/>
    <cellStyle name="Entrada 7 2 4 3 2" xfId="30756"/>
    <cellStyle name="Entrada 7 2 4 4" xfId="13537"/>
    <cellStyle name="Entrada 7 2 4 4 2" xfId="30757"/>
    <cellStyle name="Entrada 7 2 4 5" xfId="13538"/>
    <cellStyle name="Entrada 7 2 4 5 2" xfId="30758"/>
    <cellStyle name="Entrada 7 2 4 6" xfId="30754"/>
    <cellStyle name="Entrada 7 2 5" xfId="13539"/>
    <cellStyle name="Entrada 7 2 5 2" xfId="13540"/>
    <cellStyle name="Entrada 7 2 5 2 2" xfId="30760"/>
    <cellStyle name="Entrada 7 2 5 3" xfId="13541"/>
    <cellStyle name="Entrada 7 2 5 3 2" xfId="30761"/>
    <cellStyle name="Entrada 7 2 5 4" xfId="13542"/>
    <cellStyle name="Entrada 7 2 5 4 2" xfId="30762"/>
    <cellStyle name="Entrada 7 2 5 5" xfId="13543"/>
    <cellStyle name="Entrada 7 2 5 5 2" xfId="30763"/>
    <cellStyle name="Entrada 7 2 5 6" xfId="30759"/>
    <cellStyle name="Entrada 7 2 6" xfId="13544"/>
    <cellStyle name="Entrada 7 2 6 2" xfId="13545"/>
    <cellStyle name="Entrada 7 2 6 2 2" xfId="30765"/>
    <cellStyle name="Entrada 7 2 6 3" xfId="13546"/>
    <cellStyle name="Entrada 7 2 6 3 2" xfId="30766"/>
    <cellStyle name="Entrada 7 2 6 4" xfId="13547"/>
    <cellStyle name="Entrada 7 2 6 4 2" xfId="30767"/>
    <cellStyle name="Entrada 7 2 6 5" xfId="13548"/>
    <cellStyle name="Entrada 7 2 6 5 2" xfId="30768"/>
    <cellStyle name="Entrada 7 2 6 6" xfId="30764"/>
    <cellStyle name="Entrada 7 2 7" xfId="13549"/>
    <cellStyle name="Entrada 7 2 7 2" xfId="13550"/>
    <cellStyle name="Entrada 7 2 7 2 2" xfId="30770"/>
    <cellStyle name="Entrada 7 2 7 3" xfId="13551"/>
    <cellStyle name="Entrada 7 2 7 3 2" xfId="30771"/>
    <cellStyle name="Entrada 7 2 7 4" xfId="13552"/>
    <cellStyle name="Entrada 7 2 7 4 2" xfId="30772"/>
    <cellStyle name="Entrada 7 2 7 5" xfId="13553"/>
    <cellStyle name="Entrada 7 2 7 5 2" xfId="30773"/>
    <cellStyle name="Entrada 7 2 7 6" xfId="30769"/>
    <cellStyle name="Entrada 7 2 8" xfId="13554"/>
    <cellStyle name="Entrada 7 2 8 2" xfId="13555"/>
    <cellStyle name="Entrada 7 2 8 2 2" xfId="30775"/>
    <cellStyle name="Entrada 7 2 8 3" xfId="13556"/>
    <cellStyle name="Entrada 7 2 8 3 2" xfId="30776"/>
    <cellStyle name="Entrada 7 2 8 4" xfId="13557"/>
    <cellStyle name="Entrada 7 2 8 4 2" xfId="30777"/>
    <cellStyle name="Entrada 7 2 8 5" xfId="13558"/>
    <cellStyle name="Entrada 7 2 8 5 2" xfId="30778"/>
    <cellStyle name="Entrada 7 2 8 6" xfId="13559"/>
    <cellStyle name="Entrada 7 2 8 6 2" xfId="30779"/>
    <cellStyle name="Entrada 7 2 8 7" xfId="30774"/>
    <cellStyle name="Entrada 7 2 9" xfId="13560"/>
    <cellStyle name="Entrada 7 2 9 2" xfId="13561"/>
    <cellStyle name="Entrada 7 2 9 2 2" xfId="30781"/>
    <cellStyle name="Entrada 7 2 9 3" xfId="30780"/>
    <cellStyle name="Entrada 7 3" xfId="11995"/>
    <cellStyle name="Entrada 7 3 2" xfId="30782"/>
    <cellStyle name="Entrada 7 3 3" xfId="33200"/>
    <cellStyle name="Entrada 7 3 4" xfId="34807"/>
    <cellStyle name="Entrada 7 3 5" xfId="40929"/>
    <cellStyle name="Entrada 7 4" xfId="11996"/>
    <cellStyle name="Entrada 7 4 2" xfId="30783"/>
    <cellStyle name="Entrada 7 4 3" xfId="33201"/>
    <cellStyle name="Entrada 7 4 4" xfId="34808"/>
    <cellStyle name="Entrada 7 4 5" xfId="40930"/>
    <cellStyle name="Entrada 7 5" xfId="30739"/>
    <cellStyle name="Entrada 7 6" xfId="33196"/>
    <cellStyle name="Entrada 7 7" xfId="34803"/>
    <cellStyle name="Entrada 7 8" xfId="40925"/>
    <cellStyle name="Entrada 8" xfId="3870"/>
    <cellStyle name="Entrada 8 2" xfId="11608"/>
    <cellStyle name="Entrada 8 2 10" xfId="13562"/>
    <cellStyle name="Entrada 8 2 10 2" xfId="30786"/>
    <cellStyle name="Entrada 8 2 11" xfId="30785"/>
    <cellStyle name="Entrada 8 2 12" xfId="33203"/>
    <cellStyle name="Entrada 8 2 13" xfId="33546"/>
    <cellStyle name="Entrada 8 2 14" xfId="34810"/>
    <cellStyle name="Entrada 8 2 15" xfId="40932"/>
    <cellStyle name="Entrada 8 2 2" xfId="11997"/>
    <cellStyle name="Entrada 8 2 2 10" xfId="40933"/>
    <cellStyle name="Entrada 8 2 2 2" xfId="13563"/>
    <cellStyle name="Entrada 8 2 2 2 2" xfId="30788"/>
    <cellStyle name="Entrada 8 2 2 3" xfId="13564"/>
    <cellStyle name="Entrada 8 2 2 3 2" xfId="30789"/>
    <cellStyle name="Entrada 8 2 2 4" xfId="13565"/>
    <cellStyle name="Entrada 8 2 2 4 2" xfId="30790"/>
    <cellStyle name="Entrada 8 2 2 5" xfId="13566"/>
    <cellStyle name="Entrada 8 2 2 5 2" xfId="30791"/>
    <cellStyle name="Entrada 8 2 2 6" xfId="13567"/>
    <cellStyle name="Entrada 8 2 2 6 2" xfId="30792"/>
    <cellStyle name="Entrada 8 2 2 7" xfId="30787"/>
    <cellStyle name="Entrada 8 2 2 8" xfId="33204"/>
    <cellStyle name="Entrada 8 2 2 9" xfId="34811"/>
    <cellStyle name="Entrada 8 2 3" xfId="11998"/>
    <cellStyle name="Entrada 8 2 3 10" xfId="40934"/>
    <cellStyle name="Entrada 8 2 3 2" xfId="13568"/>
    <cellStyle name="Entrada 8 2 3 2 2" xfId="30794"/>
    <cellStyle name="Entrada 8 2 3 3" xfId="13569"/>
    <cellStyle name="Entrada 8 2 3 3 2" xfId="30795"/>
    <cellStyle name="Entrada 8 2 3 4" xfId="13570"/>
    <cellStyle name="Entrada 8 2 3 4 2" xfId="30796"/>
    <cellStyle name="Entrada 8 2 3 5" xfId="13571"/>
    <cellStyle name="Entrada 8 2 3 5 2" xfId="30797"/>
    <cellStyle name="Entrada 8 2 3 6" xfId="13572"/>
    <cellStyle name="Entrada 8 2 3 6 2" xfId="30798"/>
    <cellStyle name="Entrada 8 2 3 7" xfId="30793"/>
    <cellStyle name="Entrada 8 2 3 8" xfId="33205"/>
    <cellStyle name="Entrada 8 2 3 9" xfId="34812"/>
    <cellStyle name="Entrada 8 2 4" xfId="13573"/>
    <cellStyle name="Entrada 8 2 4 2" xfId="13574"/>
    <cellStyle name="Entrada 8 2 4 2 2" xfId="30800"/>
    <cellStyle name="Entrada 8 2 4 3" xfId="13575"/>
    <cellStyle name="Entrada 8 2 4 3 2" xfId="30801"/>
    <cellStyle name="Entrada 8 2 4 4" xfId="13576"/>
    <cellStyle name="Entrada 8 2 4 4 2" xfId="30802"/>
    <cellStyle name="Entrada 8 2 4 5" xfId="13577"/>
    <cellStyle name="Entrada 8 2 4 5 2" xfId="30803"/>
    <cellStyle name="Entrada 8 2 4 6" xfId="30799"/>
    <cellStyle name="Entrada 8 2 5" xfId="13578"/>
    <cellStyle name="Entrada 8 2 5 2" xfId="13579"/>
    <cellStyle name="Entrada 8 2 5 2 2" xfId="30805"/>
    <cellStyle name="Entrada 8 2 5 3" xfId="13580"/>
    <cellStyle name="Entrada 8 2 5 3 2" xfId="30806"/>
    <cellStyle name="Entrada 8 2 5 4" xfId="13581"/>
    <cellStyle name="Entrada 8 2 5 4 2" xfId="30807"/>
    <cellStyle name="Entrada 8 2 5 5" xfId="13582"/>
    <cellStyle name="Entrada 8 2 5 5 2" xfId="30808"/>
    <cellStyle name="Entrada 8 2 5 6" xfId="30804"/>
    <cellStyle name="Entrada 8 2 6" xfId="13583"/>
    <cellStyle name="Entrada 8 2 6 2" xfId="13584"/>
    <cellStyle name="Entrada 8 2 6 2 2" xfId="30810"/>
    <cellStyle name="Entrada 8 2 6 3" xfId="13585"/>
    <cellStyle name="Entrada 8 2 6 3 2" xfId="30811"/>
    <cellStyle name="Entrada 8 2 6 4" xfId="13586"/>
    <cellStyle name="Entrada 8 2 6 4 2" xfId="30812"/>
    <cellStyle name="Entrada 8 2 6 5" xfId="13587"/>
    <cellStyle name="Entrada 8 2 6 5 2" xfId="30813"/>
    <cellStyle name="Entrada 8 2 6 6" xfId="30809"/>
    <cellStyle name="Entrada 8 2 7" xfId="13588"/>
    <cellStyle name="Entrada 8 2 7 2" xfId="13589"/>
    <cellStyle name="Entrada 8 2 7 2 2" xfId="30815"/>
    <cellStyle name="Entrada 8 2 7 3" xfId="13590"/>
    <cellStyle name="Entrada 8 2 7 3 2" xfId="30816"/>
    <cellStyle name="Entrada 8 2 7 4" xfId="13591"/>
    <cellStyle name="Entrada 8 2 7 4 2" xfId="30817"/>
    <cellStyle name="Entrada 8 2 7 5" xfId="13592"/>
    <cellStyle name="Entrada 8 2 7 5 2" xfId="30818"/>
    <cellStyle name="Entrada 8 2 7 6" xfId="30814"/>
    <cellStyle name="Entrada 8 2 8" xfId="13593"/>
    <cellStyle name="Entrada 8 2 8 2" xfId="13594"/>
    <cellStyle name="Entrada 8 2 8 2 2" xfId="30820"/>
    <cellStyle name="Entrada 8 2 8 3" xfId="13595"/>
    <cellStyle name="Entrada 8 2 8 3 2" xfId="30821"/>
    <cellStyle name="Entrada 8 2 8 4" xfId="13596"/>
    <cellStyle name="Entrada 8 2 8 4 2" xfId="30822"/>
    <cellStyle name="Entrada 8 2 8 5" xfId="13597"/>
    <cellStyle name="Entrada 8 2 8 5 2" xfId="30823"/>
    <cellStyle name="Entrada 8 2 8 6" xfId="13598"/>
    <cellStyle name="Entrada 8 2 8 6 2" xfId="30824"/>
    <cellStyle name="Entrada 8 2 8 7" xfId="30819"/>
    <cellStyle name="Entrada 8 2 9" xfId="13599"/>
    <cellStyle name="Entrada 8 2 9 2" xfId="13600"/>
    <cellStyle name="Entrada 8 2 9 2 2" xfId="30826"/>
    <cellStyle name="Entrada 8 2 9 3" xfId="30825"/>
    <cellStyle name="Entrada 8 3" xfId="11999"/>
    <cellStyle name="Entrada 8 3 2" xfId="30827"/>
    <cellStyle name="Entrada 8 3 3" xfId="33206"/>
    <cellStyle name="Entrada 8 3 4" xfId="34813"/>
    <cellStyle name="Entrada 8 3 5" xfId="40935"/>
    <cellStyle name="Entrada 8 4" xfId="12000"/>
    <cellStyle name="Entrada 8 4 2" xfId="30828"/>
    <cellStyle name="Entrada 8 4 3" xfId="33207"/>
    <cellStyle name="Entrada 8 4 4" xfId="34814"/>
    <cellStyle name="Entrada 8 4 5" xfId="40936"/>
    <cellStyle name="Entrada 8 5" xfId="30784"/>
    <cellStyle name="Entrada 8 6" xfId="33202"/>
    <cellStyle name="Entrada 8 7" xfId="34809"/>
    <cellStyle name="Entrada 8 8" xfId="40931"/>
    <cellStyle name="Entrada 9" xfId="3871"/>
    <cellStyle name="Entrada 9 2" xfId="11609"/>
    <cellStyle name="Entrada 9 2 10" xfId="13601"/>
    <cellStyle name="Entrada 9 2 10 2" xfId="30831"/>
    <cellStyle name="Entrada 9 2 11" xfId="30830"/>
    <cellStyle name="Entrada 9 2 12" xfId="33209"/>
    <cellStyle name="Entrada 9 2 13" xfId="33547"/>
    <cellStyle name="Entrada 9 2 14" xfId="34816"/>
    <cellStyle name="Entrada 9 2 15" xfId="40938"/>
    <cellStyle name="Entrada 9 2 2" xfId="12001"/>
    <cellStyle name="Entrada 9 2 2 10" xfId="40939"/>
    <cellStyle name="Entrada 9 2 2 2" xfId="13602"/>
    <cellStyle name="Entrada 9 2 2 2 2" xfId="30833"/>
    <cellStyle name="Entrada 9 2 2 3" xfId="13603"/>
    <cellStyle name="Entrada 9 2 2 3 2" xfId="30834"/>
    <cellStyle name="Entrada 9 2 2 4" xfId="13604"/>
    <cellStyle name="Entrada 9 2 2 4 2" xfId="30835"/>
    <cellStyle name="Entrada 9 2 2 5" xfId="13605"/>
    <cellStyle name="Entrada 9 2 2 5 2" xfId="30836"/>
    <cellStyle name="Entrada 9 2 2 6" xfId="13606"/>
    <cellStyle name="Entrada 9 2 2 6 2" xfId="30837"/>
    <cellStyle name="Entrada 9 2 2 7" xfId="30832"/>
    <cellStyle name="Entrada 9 2 2 8" xfId="33210"/>
    <cellStyle name="Entrada 9 2 2 9" xfId="34817"/>
    <cellStyle name="Entrada 9 2 3" xfId="12002"/>
    <cellStyle name="Entrada 9 2 3 10" xfId="40940"/>
    <cellStyle name="Entrada 9 2 3 2" xfId="13607"/>
    <cellStyle name="Entrada 9 2 3 2 2" xfId="30839"/>
    <cellStyle name="Entrada 9 2 3 3" xfId="13608"/>
    <cellStyle name="Entrada 9 2 3 3 2" xfId="30840"/>
    <cellStyle name="Entrada 9 2 3 4" xfId="13609"/>
    <cellStyle name="Entrada 9 2 3 4 2" xfId="30841"/>
    <cellStyle name="Entrada 9 2 3 5" xfId="13610"/>
    <cellStyle name="Entrada 9 2 3 5 2" xfId="30842"/>
    <cellStyle name="Entrada 9 2 3 6" xfId="13611"/>
    <cellStyle name="Entrada 9 2 3 6 2" xfId="30843"/>
    <cellStyle name="Entrada 9 2 3 7" xfId="30838"/>
    <cellStyle name="Entrada 9 2 3 8" xfId="33211"/>
    <cellStyle name="Entrada 9 2 3 9" xfId="34818"/>
    <cellStyle name="Entrada 9 2 4" xfId="13612"/>
    <cellStyle name="Entrada 9 2 4 2" xfId="13613"/>
    <cellStyle name="Entrada 9 2 4 2 2" xfId="30845"/>
    <cellStyle name="Entrada 9 2 4 3" xfId="13614"/>
    <cellStyle name="Entrada 9 2 4 3 2" xfId="30846"/>
    <cellStyle name="Entrada 9 2 4 4" xfId="13615"/>
    <cellStyle name="Entrada 9 2 4 4 2" xfId="30847"/>
    <cellStyle name="Entrada 9 2 4 5" xfId="13616"/>
    <cellStyle name="Entrada 9 2 4 5 2" xfId="30848"/>
    <cellStyle name="Entrada 9 2 4 6" xfId="30844"/>
    <cellStyle name="Entrada 9 2 5" xfId="13617"/>
    <cellStyle name="Entrada 9 2 5 2" xfId="13618"/>
    <cellStyle name="Entrada 9 2 5 2 2" xfId="30850"/>
    <cellStyle name="Entrada 9 2 5 3" xfId="13619"/>
    <cellStyle name="Entrada 9 2 5 3 2" xfId="30851"/>
    <cellStyle name="Entrada 9 2 5 4" xfId="13620"/>
    <cellStyle name="Entrada 9 2 5 4 2" xfId="30852"/>
    <cellStyle name="Entrada 9 2 5 5" xfId="13621"/>
    <cellStyle name="Entrada 9 2 5 5 2" xfId="30853"/>
    <cellStyle name="Entrada 9 2 5 6" xfId="30849"/>
    <cellStyle name="Entrada 9 2 6" xfId="13622"/>
    <cellStyle name="Entrada 9 2 6 2" xfId="13623"/>
    <cellStyle name="Entrada 9 2 6 2 2" xfId="30855"/>
    <cellStyle name="Entrada 9 2 6 3" xfId="13624"/>
    <cellStyle name="Entrada 9 2 6 3 2" xfId="30856"/>
    <cellStyle name="Entrada 9 2 6 4" xfId="13625"/>
    <cellStyle name="Entrada 9 2 6 4 2" xfId="30857"/>
    <cellStyle name="Entrada 9 2 6 5" xfId="13626"/>
    <cellStyle name="Entrada 9 2 6 5 2" xfId="30858"/>
    <cellStyle name="Entrada 9 2 6 6" xfId="30854"/>
    <cellStyle name="Entrada 9 2 7" xfId="13627"/>
    <cellStyle name="Entrada 9 2 7 2" xfId="13628"/>
    <cellStyle name="Entrada 9 2 7 2 2" xfId="30860"/>
    <cellStyle name="Entrada 9 2 7 3" xfId="13629"/>
    <cellStyle name="Entrada 9 2 7 3 2" xfId="30861"/>
    <cellStyle name="Entrada 9 2 7 4" xfId="13630"/>
    <cellStyle name="Entrada 9 2 7 4 2" xfId="30862"/>
    <cellStyle name="Entrada 9 2 7 5" xfId="13631"/>
    <cellStyle name="Entrada 9 2 7 5 2" xfId="30863"/>
    <cellStyle name="Entrada 9 2 7 6" xfId="30859"/>
    <cellStyle name="Entrada 9 2 8" xfId="13632"/>
    <cellStyle name="Entrada 9 2 8 2" xfId="13633"/>
    <cellStyle name="Entrada 9 2 8 2 2" xfId="30865"/>
    <cellStyle name="Entrada 9 2 8 3" xfId="13634"/>
    <cellStyle name="Entrada 9 2 8 3 2" xfId="30866"/>
    <cellStyle name="Entrada 9 2 8 4" xfId="13635"/>
    <cellStyle name="Entrada 9 2 8 4 2" xfId="30867"/>
    <cellStyle name="Entrada 9 2 8 5" xfId="13636"/>
    <cellStyle name="Entrada 9 2 8 5 2" xfId="30868"/>
    <cellStyle name="Entrada 9 2 8 6" xfId="13637"/>
    <cellStyle name="Entrada 9 2 8 6 2" xfId="30869"/>
    <cellStyle name="Entrada 9 2 8 7" xfId="30864"/>
    <cellStyle name="Entrada 9 2 9" xfId="13638"/>
    <cellStyle name="Entrada 9 2 9 2" xfId="13639"/>
    <cellStyle name="Entrada 9 2 9 2 2" xfId="30871"/>
    <cellStyle name="Entrada 9 2 9 3" xfId="30870"/>
    <cellStyle name="Entrada 9 3" xfId="12003"/>
    <cellStyle name="Entrada 9 3 2" xfId="30872"/>
    <cellStyle name="Entrada 9 3 3" xfId="33212"/>
    <cellStyle name="Entrada 9 3 4" xfId="34819"/>
    <cellStyle name="Entrada 9 3 5" xfId="40941"/>
    <cellStyle name="Entrada 9 4" xfId="12004"/>
    <cellStyle name="Entrada 9 4 2" xfId="30873"/>
    <cellStyle name="Entrada 9 4 3" xfId="33213"/>
    <cellStyle name="Entrada 9 4 4" xfId="34820"/>
    <cellStyle name="Entrada 9 4 5" xfId="40942"/>
    <cellStyle name="Entrada 9 5" xfId="30829"/>
    <cellStyle name="Entrada 9 6" xfId="33208"/>
    <cellStyle name="Entrada 9 7" xfId="34815"/>
    <cellStyle name="Entrada 9 8" xfId="40937"/>
    <cellStyle name="Estilo 1" xfId="3872"/>
    <cellStyle name="Estilo 1 2" xfId="12005"/>
    <cellStyle name="Estilo 1 2 2" xfId="13640"/>
    <cellStyle name="Estilo 1 2 3" xfId="30875"/>
    <cellStyle name="Estilo 1 2 4" xfId="33215"/>
    <cellStyle name="Estilo 1 2 5" xfId="34822"/>
    <cellStyle name="Estilo 1 3" xfId="12006"/>
    <cellStyle name="Estilo 1 3 2" xfId="30876"/>
    <cellStyle name="Estilo 1 3 3" xfId="33216"/>
    <cellStyle name="Estilo 1 3 4" xfId="34823"/>
    <cellStyle name="Estilo 1 4" xfId="13641"/>
    <cellStyle name="Estilo 1 5" xfId="30874"/>
    <cellStyle name="Estilo 1 6" xfId="33214"/>
    <cellStyle name="Estilo 1 7" xfId="34821"/>
    <cellStyle name="Euro" xfId="3873"/>
    <cellStyle name="Euro 10" xfId="3874"/>
    <cellStyle name="Euro 10 2" xfId="3875"/>
    <cellStyle name="Euro 10 3" xfId="3876"/>
    <cellStyle name="Euro 10 4" xfId="3877"/>
    <cellStyle name="Euro 10 5" xfId="3878"/>
    <cellStyle name="Euro 10 6" xfId="3879"/>
    <cellStyle name="Euro 10 7" xfId="3880"/>
    <cellStyle name="Euro 10 8" xfId="13642"/>
    <cellStyle name="Euro 11" xfId="3881"/>
    <cellStyle name="Euro 11 2" xfId="13643"/>
    <cellStyle name="Euro 11 2 2" xfId="34824"/>
    <cellStyle name="Euro 12" xfId="3882"/>
    <cellStyle name="Euro 13" xfId="3883"/>
    <cellStyle name="Euro 14" xfId="3884"/>
    <cellStyle name="Euro 15" xfId="3885"/>
    <cellStyle name="Euro 16" xfId="3886"/>
    <cellStyle name="Euro 17" xfId="3887"/>
    <cellStyle name="Euro 17 2" xfId="3888"/>
    <cellStyle name="Euro 17 3" xfId="3889"/>
    <cellStyle name="Euro 17 4" xfId="3890"/>
    <cellStyle name="Euro 18" xfId="13644"/>
    <cellStyle name="Euro 2" xfId="3891"/>
    <cellStyle name="Euro 2 10" xfId="3892"/>
    <cellStyle name="Euro 2 10 2" xfId="13645"/>
    <cellStyle name="Euro 2 11" xfId="3893"/>
    <cellStyle name="Euro 2 11 2" xfId="13646"/>
    <cellStyle name="Euro 2 12" xfId="3894"/>
    <cellStyle name="Euro 2 12 2" xfId="13647"/>
    <cellStyle name="Euro 2 13" xfId="3895"/>
    <cellStyle name="Euro 2 13 2" xfId="13648"/>
    <cellStyle name="Euro 2 13 2 2" xfId="34825"/>
    <cellStyle name="Euro 2 14" xfId="3896"/>
    <cellStyle name="Euro 2 15" xfId="3897"/>
    <cellStyle name="Euro 2 16" xfId="3898"/>
    <cellStyle name="Euro 2 17" xfId="3899"/>
    <cellStyle name="Euro 2 18" xfId="3900"/>
    <cellStyle name="Euro 2 19" xfId="3901"/>
    <cellStyle name="Euro 2 2" xfId="3902"/>
    <cellStyle name="Euro 2 2 2" xfId="13649"/>
    <cellStyle name="Euro 2 2 2 2" xfId="34826"/>
    <cellStyle name="Euro 2 2 3" xfId="13650"/>
    <cellStyle name="Euro 2 2 3 2" xfId="34827"/>
    <cellStyle name="Euro 2 2 4" xfId="13651"/>
    <cellStyle name="Euro 2 20" xfId="3903"/>
    <cellStyle name="Euro 2 21" xfId="13652"/>
    <cellStyle name="Euro 2 3" xfId="3904"/>
    <cellStyle name="Euro 2 3 2" xfId="13653"/>
    <cellStyle name="Euro 2 3 2 2" xfId="34828"/>
    <cellStyle name="Euro 2 3 3" xfId="13654"/>
    <cellStyle name="Euro 2 4" xfId="3905"/>
    <cellStyle name="Euro 2 4 2" xfId="13655"/>
    <cellStyle name="Euro 2 4 2 2" xfId="34829"/>
    <cellStyle name="Euro 2 4 3" xfId="13656"/>
    <cellStyle name="Euro 2 5" xfId="3906"/>
    <cellStyle name="Euro 2 5 2" xfId="13657"/>
    <cellStyle name="Euro 2 5 2 2" xfId="34830"/>
    <cellStyle name="Euro 2 5 3" xfId="13658"/>
    <cellStyle name="Euro 2 6" xfId="3907"/>
    <cellStyle name="Euro 2 6 2" xfId="13659"/>
    <cellStyle name="Euro 2 6 2 2" xfId="34831"/>
    <cellStyle name="Euro 2 6 3" xfId="13660"/>
    <cellStyle name="Euro 2 7" xfId="3908"/>
    <cellStyle name="Euro 2 7 2" xfId="13661"/>
    <cellStyle name="Euro 2 8" xfId="3909"/>
    <cellStyle name="Euro 2 8 2" xfId="13662"/>
    <cellStyle name="Euro 2 9" xfId="3910"/>
    <cellStyle name="Euro 2 9 2" xfId="13663"/>
    <cellStyle name="Euro 3" xfId="3911"/>
    <cellStyle name="Euro 3 10" xfId="3912"/>
    <cellStyle name="Euro 3 11" xfId="3913"/>
    <cellStyle name="Euro 3 12" xfId="3914"/>
    <cellStyle name="Euro 3 13" xfId="3915"/>
    <cellStyle name="Euro 3 14" xfId="3916"/>
    <cellStyle name="Euro 3 15" xfId="13664"/>
    <cellStyle name="Euro 3 2" xfId="3917"/>
    <cellStyle name="Euro 3 2 2" xfId="13665"/>
    <cellStyle name="Euro 3 2 2 2" xfId="34832"/>
    <cellStyle name="Euro 3 2 3" xfId="13666"/>
    <cellStyle name="Euro 3 3" xfId="3918"/>
    <cellStyle name="Euro 3 3 2" xfId="13667"/>
    <cellStyle name="Euro 3 4" xfId="3919"/>
    <cellStyle name="Euro 3 4 2" xfId="13668"/>
    <cellStyle name="Euro 3 5" xfId="3920"/>
    <cellStyle name="Euro 3 5 2" xfId="13669"/>
    <cellStyle name="Euro 3 6" xfId="3921"/>
    <cellStyle name="Euro 3 7" xfId="3922"/>
    <cellStyle name="Euro 3 8" xfId="3923"/>
    <cellStyle name="Euro 3 9" xfId="3924"/>
    <cellStyle name="Euro 4" xfId="3925"/>
    <cellStyle name="Euro 4 2" xfId="13670"/>
    <cellStyle name="Euro 4 2 2" xfId="34833"/>
    <cellStyle name="Euro 4 3" xfId="13671"/>
    <cellStyle name="Euro 5" xfId="3926"/>
    <cellStyle name="Euro 5 2" xfId="13672"/>
    <cellStyle name="Euro 6" xfId="3927"/>
    <cellStyle name="Euro 6 2" xfId="13673"/>
    <cellStyle name="Euro 7" xfId="3928"/>
    <cellStyle name="Euro 7 2" xfId="13674"/>
    <cellStyle name="Euro 8" xfId="3929"/>
    <cellStyle name="Euro 8 2" xfId="13675"/>
    <cellStyle name="Euro 9" xfId="3930"/>
    <cellStyle name="Euro 9 2" xfId="13676"/>
    <cellStyle name="Euro_1.Cuadro 1A TEMPRANILLO-1 Mayo-08" xfId="13677"/>
    <cellStyle name="Explanatory Text" xfId="13678"/>
    <cellStyle name="F2" xfId="13679"/>
    <cellStyle name="F2 2" xfId="13680"/>
    <cellStyle name="F2 3" xfId="13681"/>
    <cellStyle name="F2 4" xfId="13682"/>
    <cellStyle name="F2 5" xfId="13683"/>
    <cellStyle name="F2 6" xfId="13684"/>
    <cellStyle name="F2 7" xfId="13685"/>
    <cellStyle name="F2 8" xfId="13686"/>
    <cellStyle name="F2 9" xfId="13687"/>
    <cellStyle name="F2_1.Cuadro 1A TEMPRANILLO-1 Mayo-08" xfId="13688"/>
    <cellStyle name="F3" xfId="13689"/>
    <cellStyle name="F3 2" xfId="13690"/>
    <cellStyle name="F3 3" xfId="13691"/>
    <cellStyle name="F3 4" xfId="13692"/>
    <cellStyle name="F3 5" xfId="13693"/>
    <cellStyle name="F3 6" xfId="13694"/>
    <cellStyle name="F3 7" xfId="13695"/>
    <cellStyle name="F3 8" xfId="13696"/>
    <cellStyle name="F3 9" xfId="13697"/>
    <cellStyle name="F3_1.Cuadro 1A TEMPRANILLO-1 Mayo-08" xfId="13698"/>
    <cellStyle name="F4" xfId="13699"/>
    <cellStyle name="F4 2" xfId="13700"/>
    <cellStyle name="F4 3" xfId="13701"/>
    <cellStyle name="F4 4" xfId="13702"/>
    <cellStyle name="F4 5" xfId="13703"/>
    <cellStyle name="F4 6" xfId="13704"/>
    <cellStyle name="F4 7" xfId="13705"/>
    <cellStyle name="F4 8" xfId="13706"/>
    <cellStyle name="F4 9" xfId="13707"/>
    <cellStyle name="F4_1.Cuadro 1A TEMPRANILLO-1 Mayo-08" xfId="13708"/>
    <cellStyle name="F5" xfId="13709"/>
    <cellStyle name="F5 2" xfId="13710"/>
    <cellStyle name="F5 3" xfId="13711"/>
    <cellStyle name="F5 4" xfId="13712"/>
    <cellStyle name="F5 5" xfId="13713"/>
    <cellStyle name="F5 6" xfId="13714"/>
    <cellStyle name="F5 7" xfId="13715"/>
    <cellStyle name="F5 8" xfId="13716"/>
    <cellStyle name="F5 9" xfId="13717"/>
    <cellStyle name="F5_1.Cuadro 1A TEMPRANILLO-1 Mayo-08" xfId="13718"/>
    <cellStyle name="F6" xfId="13719"/>
    <cellStyle name="F6 2" xfId="13720"/>
    <cellStyle name="F6 3" xfId="13721"/>
    <cellStyle name="F6 4" xfId="13722"/>
    <cellStyle name="F6 5" xfId="13723"/>
    <cellStyle name="F6 6" xfId="13724"/>
    <cellStyle name="F6 7" xfId="13725"/>
    <cellStyle name="F6 8" xfId="13726"/>
    <cellStyle name="F6 9" xfId="13727"/>
    <cellStyle name="F6_1.Cuadro 1A TEMPRANILLO-1 Mayo-08" xfId="13728"/>
    <cellStyle name="F7" xfId="13729"/>
    <cellStyle name="F7 2" xfId="13730"/>
    <cellStyle name="F7 3" xfId="13731"/>
    <cellStyle name="F7 4" xfId="13732"/>
    <cellStyle name="F7 5" xfId="13733"/>
    <cellStyle name="F7 6" xfId="13734"/>
    <cellStyle name="F7 7" xfId="13735"/>
    <cellStyle name="F7 8" xfId="13736"/>
    <cellStyle name="F7 9" xfId="13737"/>
    <cellStyle name="F7_1.Cuadro 1A TEMPRANILLO-1 Mayo-08" xfId="13738"/>
    <cellStyle name="F8" xfId="13739"/>
    <cellStyle name="F8 2" xfId="13740"/>
    <cellStyle name="F8 3" xfId="13741"/>
    <cellStyle name="F8 4" xfId="13742"/>
    <cellStyle name="F8 5" xfId="13743"/>
    <cellStyle name="F8 6" xfId="13744"/>
    <cellStyle name="F8 7" xfId="13745"/>
    <cellStyle name="F8 8" xfId="13746"/>
    <cellStyle name="F8 9" xfId="13747"/>
    <cellStyle name="F8_1.Cuadro 1A TEMPRANILLO-1 Mayo-08" xfId="13748"/>
    <cellStyle name="Fixed" xfId="3931"/>
    <cellStyle name="Fixed 2" xfId="13749"/>
    <cellStyle name="Followed Hyperlink 2" xfId="13750"/>
    <cellStyle name="Followed Hyperlink 3" xfId="13751"/>
    <cellStyle name="Followed Hyperlink 4" xfId="13752"/>
    <cellStyle name="Followed Hyperlink 5" xfId="13753"/>
    <cellStyle name="Followed Hyperlink 6" xfId="13754"/>
    <cellStyle name="Followed Hyperlink 7" xfId="13755"/>
    <cellStyle name="Followed Hyperlink 8" xfId="13756"/>
    <cellStyle name="Followed Hyperlink 9" xfId="13757"/>
    <cellStyle name="Followed Hyperlink_0331longsht" xfId="13758"/>
    <cellStyle name="form" xfId="15"/>
    <cellStyle name="form 2" xfId="13759"/>
    <cellStyle name="form 3" xfId="34834"/>
    <cellStyle name="Formula" xfId="13760"/>
    <cellStyle name="Good" xfId="13761"/>
    <cellStyle name="Good 2" xfId="34836"/>
    <cellStyle name="Good 3" xfId="34835"/>
    <cellStyle name="Grey" xfId="13762"/>
    <cellStyle name="Head 1" xfId="13763"/>
    <cellStyle name="Head 1 2" xfId="13764"/>
    <cellStyle name="HEADER" xfId="13765"/>
    <cellStyle name="Header1" xfId="13766"/>
    <cellStyle name="Header2" xfId="13767"/>
    <cellStyle name="Header2 10" xfId="13768"/>
    <cellStyle name="Header2 10 2" xfId="30878"/>
    <cellStyle name="Header2 10 3" xfId="32525"/>
    <cellStyle name="Header2 11" xfId="30877"/>
    <cellStyle name="Header2 12" xfId="32524"/>
    <cellStyle name="Header2 13" xfId="36658"/>
    <cellStyle name="Header2 2" xfId="13769"/>
    <cellStyle name="Header2 2 2" xfId="13770"/>
    <cellStyle name="Header2 2 2 2" xfId="30880"/>
    <cellStyle name="Header2 2 2 3" xfId="32527"/>
    <cellStyle name="Header2 2 3" xfId="13771"/>
    <cellStyle name="Header2 2 3 2" xfId="30881"/>
    <cellStyle name="Header2 2 3 3" xfId="32528"/>
    <cellStyle name="Header2 2 4" xfId="13772"/>
    <cellStyle name="Header2 2 4 2" xfId="30882"/>
    <cellStyle name="Header2 2 4 3" xfId="32529"/>
    <cellStyle name="Header2 2 5" xfId="13773"/>
    <cellStyle name="Header2 2 5 2" xfId="30883"/>
    <cellStyle name="Header2 2 5 3" xfId="32530"/>
    <cellStyle name="Header2 2 6" xfId="13774"/>
    <cellStyle name="Header2 2 6 2" xfId="30884"/>
    <cellStyle name="Header2 2 6 3" xfId="32531"/>
    <cellStyle name="Header2 2 7" xfId="30879"/>
    <cellStyle name="Header2 2 8" xfId="32526"/>
    <cellStyle name="Header2 3" xfId="13775"/>
    <cellStyle name="Header2 3 2" xfId="13776"/>
    <cellStyle name="Header2 3 2 2" xfId="30886"/>
    <cellStyle name="Header2 3 2 3" xfId="32533"/>
    <cellStyle name="Header2 3 3" xfId="13777"/>
    <cellStyle name="Header2 3 3 2" xfId="30887"/>
    <cellStyle name="Header2 3 3 3" xfId="32534"/>
    <cellStyle name="Header2 3 4" xfId="13778"/>
    <cellStyle name="Header2 3 4 2" xfId="30888"/>
    <cellStyle name="Header2 3 4 3" xfId="32535"/>
    <cellStyle name="Header2 3 5" xfId="13779"/>
    <cellStyle name="Header2 3 5 2" xfId="30889"/>
    <cellStyle name="Header2 3 5 3" xfId="32536"/>
    <cellStyle name="Header2 3 6" xfId="13780"/>
    <cellStyle name="Header2 3 6 2" xfId="30890"/>
    <cellStyle name="Header2 3 6 3" xfId="32537"/>
    <cellStyle name="Header2 3 7" xfId="30885"/>
    <cellStyle name="Header2 3 8" xfId="32532"/>
    <cellStyle name="Header2 4" xfId="13781"/>
    <cellStyle name="Header2 4 2" xfId="13782"/>
    <cellStyle name="Header2 4 2 2" xfId="30892"/>
    <cellStyle name="Header2 4 2 3" xfId="32539"/>
    <cellStyle name="Header2 4 3" xfId="13783"/>
    <cellStyle name="Header2 4 3 2" xfId="30893"/>
    <cellStyle name="Header2 4 3 3" xfId="32540"/>
    <cellStyle name="Header2 4 4" xfId="13784"/>
    <cellStyle name="Header2 4 4 2" xfId="30894"/>
    <cellStyle name="Header2 4 4 3" xfId="32541"/>
    <cellStyle name="Header2 4 5" xfId="13785"/>
    <cellStyle name="Header2 4 5 2" xfId="30895"/>
    <cellStyle name="Header2 4 5 3" xfId="32542"/>
    <cellStyle name="Header2 4 6" xfId="13786"/>
    <cellStyle name="Header2 4 6 2" xfId="30896"/>
    <cellStyle name="Header2 4 6 3" xfId="32543"/>
    <cellStyle name="Header2 4 7" xfId="30891"/>
    <cellStyle name="Header2 4 8" xfId="32538"/>
    <cellStyle name="Header2 5" xfId="13787"/>
    <cellStyle name="Header2 5 2" xfId="13788"/>
    <cellStyle name="Header2 5 2 2" xfId="30898"/>
    <cellStyle name="Header2 5 2 3" xfId="32545"/>
    <cellStyle name="Header2 5 3" xfId="13789"/>
    <cellStyle name="Header2 5 3 2" xfId="30899"/>
    <cellStyle name="Header2 5 3 3" xfId="32546"/>
    <cellStyle name="Header2 5 4" xfId="13790"/>
    <cellStyle name="Header2 5 4 2" xfId="30900"/>
    <cellStyle name="Header2 5 4 3" xfId="32547"/>
    <cellStyle name="Header2 5 5" xfId="13791"/>
    <cellStyle name="Header2 5 5 2" xfId="30901"/>
    <cellStyle name="Header2 5 5 3" xfId="32548"/>
    <cellStyle name="Header2 5 6" xfId="13792"/>
    <cellStyle name="Header2 5 6 2" xfId="30902"/>
    <cellStyle name="Header2 5 6 3" xfId="32549"/>
    <cellStyle name="Header2 5 7" xfId="30897"/>
    <cellStyle name="Header2 5 8" xfId="32544"/>
    <cellStyle name="Header2 6" xfId="13793"/>
    <cellStyle name="Header2 6 2" xfId="13794"/>
    <cellStyle name="Header2 6 2 2" xfId="30904"/>
    <cellStyle name="Header2 6 2 3" xfId="32551"/>
    <cellStyle name="Header2 6 3" xfId="13795"/>
    <cellStyle name="Header2 6 3 2" xfId="30905"/>
    <cellStyle name="Header2 6 3 3" xfId="32552"/>
    <cellStyle name="Header2 6 4" xfId="13796"/>
    <cellStyle name="Header2 6 4 2" xfId="30906"/>
    <cellStyle name="Header2 6 4 3" xfId="32553"/>
    <cellStyle name="Header2 6 5" xfId="13797"/>
    <cellStyle name="Header2 6 5 2" xfId="30907"/>
    <cellStyle name="Header2 6 5 3" xfId="32554"/>
    <cellStyle name="Header2 6 6" xfId="13798"/>
    <cellStyle name="Header2 6 6 2" xfId="30908"/>
    <cellStyle name="Header2 6 6 3" xfId="32555"/>
    <cellStyle name="Header2 6 7" xfId="30903"/>
    <cellStyle name="Header2 6 8" xfId="32550"/>
    <cellStyle name="Header2 7" xfId="13799"/>
    <cellStyle name="Header2 7 2" xfId="13800"/>
    <cellStyle name="Header2 7 2 2" xfId="30910"/>
    <cellStyle name="Header2 7 2 3" xfId="32557"/>
    <cellStyle name="Header2 7 3" xfId="13801"/>
    <cellStyle name="Header2 7 3 2" xfId="30911"/>
    <cellStyle name="Header2 7 3 3" xfId="32558"/>
    <cellStyle name="Header2 7 4" xfId="13802"/>
    <cellStyle name="Header2 7 4 2" xfId="30912"/>
    <cellStyle name="Header2 7 4 3" xfId="32559"/>
    <cellStyle name="Header2 7 5" xfId="13803"/>
    <cellStyle name="Header2 7 5 2" xfId="30913"/>
    <cellStyle name="Header2 7 5 3" xfId="32560"/>
    <cellStyle name="Header2 7 6" xfId="13804"/>
    <cellStyle name="Header2 7 6 2" xfId="30914"/>
    <cellStyle name="Header2 7 6 3" xfId="32561"/>
    <cellStyle name="Header2 7 7" xfId="30909"/>
    <cellStyle name="Header2 7 8" xfId="32556"/>
    <cellStyle name="Header2 8" xfId="13805"/>
    <cellStyle name="Header2 8 2" xfId="13806"/>
    <cellStyle name="Header2 8 2 2" xfId="30916"/>
    <cellStyle name="Header2 8 2 3" xfId="32563"/>
    <cellStyle name="Header2 8 3" xfId="13807"/>
    <cellStyle name="Header2 8 3 2" xfId="30917"/>
    <cellStyle name="Header2 8 3 3" xfId="32564"/>
    <cellStyle name="Header2 8 4" xfId="13808"/>
    <cellStyle name="Header2 8 4 2" xfId="30918"/>
    <cellStyle name="Header2 8 4 3" xfId="32565"/>
    <cellStyle name="Header2 8 5" xfId="13809"/>
    <cellStyle name="Header2 8 5 2" xfId="30919"/>
    <cellStyle name="Header2 8 5 3" xfId="32566"/>
    <cellStyle name="Header2 8 6" xfId="13810"/>
    <cellStyle name="Header2 8 6 2" xfId="30920"/>
    <cellStyle name="Header2 8 6 3" xfId="32567"/>
    <cellStyle name="Header2 8 7" xfId="30915"/>
    <cellStyle name="Header2 8 8" xfId="32562"/>
    <cellStyle name="Header2 9" xfId="13811"/>
    <cellStyle name="Header2 9 2" xfId="13812"/>
    <cellStyle name="Header2 9 2 2" xfId="30922"/>
    <cellStyle name="Header2 9 2 3" xfId="32569"/>
    <cellStyle name="Header2 9 3" xfId="13813"/>
    <cellStyle name="Header2 9 3 2" xfId="30923"/>
    <cellStyle name="Header2 9 3 3" xfId="32570"/>
    <cellStyle name="Header2 9 4" xfId="13814"/>
    <cellStyle name="Header2 9 4 2" xfId="30924"/>
    <cellStyle name="Header2 9 4 3" xfId="32571"/>
    <cellStyle name="Header2 9 5" xfId="13815"/>
    <cellStyle name="Header2 9 5 2" xfId="30925"/>
    <cellStyle name="Header2 9 5 3" xfId="32572"/>
    <cellStyle name="Header2 9 6" xfId="13816"/>
    <cellStyle name="Header2 9 6 2" xfId="30926"/>
    <cellStyle name="Header2 9 6 3" xfId="32573"/>
    <cellStyle name="Header2 9 7" xfId="30921"/>
    <cellStyle name="Header2 9 8" xfId="32568"/>
    <cellStyle name="Heading 1" xfId="13817"/>
    <cellStyle name="Heading 1 2" xfId="13818"/>
    <cellStyle name="Heading 1 2 2" xfId="33548"/>
    <cellStyle name="Heading 1_CARGUE MASIVO INYECCION" xfId="33549"/>
    <cellStyle name="Heading 2" xfId="13819"/>
    <cellStyle name="Heading 2 2" xfId="13820"/>
    <cellStyle name="Heading 2 2 2" xfId="33550"/>
    <cellStyle name="Heading 2_CARGUE MASIVO INYECCION" xfId="33551"/>
    <cellStyle name="Heading 3" xfId="13821"/>
    <cellStyle name="Heading 3 2" xfId="33552"/>
    <cellStyle name="Heading 3_CARGUE MASIVO INYECCION" xfId="33553"/>
    <cellStyle name="Heading 4" xfId="13822"/>
    <cellStyle name="Heading 4 2" xfId="34838"/>
    <cellStyle name="Heading 4 3" xfId="34837"/>
    <cellStyle name="Heading1" xfId="13823"/>
    <cellStyle name="Heading1 2" xfId="13824"/>
    <cellStyle name="Heading1 2 2" xfId="34839"/>
    <cellStyle name="Heading2" xfId="13825"/>
    <cellStyle name="Heading2 2" xfId="13826"/>
    <cellStyle name="Heading2 2 2" xfId="34840"/>
    <cellStyle name="HEADINGS" xfId="13827"/>
    <cellStyle name="HEADINGS 2" xfId="33554"/>
    <cellStyle name="HEADINGSTOP" xfId="13828"/>
    <cellStyle name="Hide" xfId="13829"/>
    <cellStyle name="HIGHLIGHT" xfId="13830"/>
    <cellStyle name="Hipervínculo" xfId="27" builtinId="8"/>
    <cellStyle name="Hipervínculo 2" xfId="13831"/>
    <cellStyle name="Hipervínculo 2 2" xfId="13832"/>
    <cellStyle name="Hipervínculo 2 3" xfId="34841"/>
    <cellStyle name="Hipervínculo 3" xfId="32574"/>
    <cellStyle name="Hipervínculo visitado 2" xfId="13833"/>
    <cellStyle name="Hipervínculo visitado 2 2" xfId="34842"/>
    <cellStyle name="Hipervínculo visitado 3" xfId="34843"/>
    <cellStyle name="Hyperlink" xfId="13834"/>
    <cellStyle name="Hyperlink 2" xfId="13835"/>
    <cellStyle name="Hyperlink 2 2" xfId="13836"/>
    <cellStyle name="Hyperlink 2 2 2" xfId="34845"/>
    <cellStyle name="Hyperlink 2 3" xfId="34844"/>
    <cellStyle name="Hyperlink 3" xfId="13837"/>
    <cellStyle name="Hyperlink 4" xfId="13838"/>
    <cellStyle name="Hyperlink 5" xfId="13839"/>
    <cellStyle name="Hyperlink 6" xfId="13840"/>
    <cellStyle name="Hyperlink 7" xfId="13841"/>
    <cellStyle name="Hyperlink 8" xfId="13842"/>
    <cellStyle name="Hyperlink 9" xfId="13843"/>
    <cellStyle name="Hyperlink_0331ytd_cal" xfId="13844"/>
    <cellStyle name="Hypertextový odkaz" xfId="13845"/>
    <cellStyle name="Incorrecto 10" xfId="3932"/>
    <cellStyle name="Incorrecto 11" xfId="3933"/>
    <cellStyle name="Incorrecto 12" xfId="3934"/>
    <cellStyle name="Incorrecto 13" xfId="3935"/>
    <cellStyle name="Incorrecto 14" xfId="3936"/>
    <cellStyle name="Incorrecto 15" xfId="3937"/>
    <cellStyle name="Incorrecto 16" xfId="3938"/>
    <cellStyle name="Incorrecto 17" xfId="3939"/>
    <cellStyle name="Incorrecto 18" xfId="3940"/>
    <cellStyle name="Incorrecto 19" xfId="3941"/>
    <cellStyle name="Incorrecto 2" xfId="3942"/>
    <cellStyle name="Incorrecto 2 2" xfId="13846"/>
    <cellStyle name="Incorrecto 2 3" xfId="13847"/>
    <cellStyle name="Incorrecto 20" xfId="3943"/>
    <cellStyle name="Incorrecto 21" xfId="3944"/>
    <cellStyle name="Incorrecto 22" xfId="3945"/>
    <cellStyle name="Incorrecto 23" xfId="3946"/>
    <cellStyle name="Incorrecto 24" xfId="3947"/>
    <cellStyle name="Incorrecto 25" xfId="3948"/>
    <cellStyle name="Incorrecto 26" xfId="3949"/>
    <cellStyle name="Incorrecto 27" xfId="3950"/>
    <cellStyle name="Incorrecto 28" xfId="3951"/>
    <cellStyle name="Incorrecto 29" xfId="3952"/>
    <cellStyle name="Incorrecto 3" xfId="3953"/>
    <cellStyle name="Incorrecto 3 2" xfId="13848"/>
    <cellStyle name="Incorrecto 3 3" xfId="13849"/>
    <cellStyle name="Incorrecto 30" xfId="3954"/>
    <cellStyle name="Incorrecto 31" xfId="3955"/>
    <cellStyle name="Incorrecto 32" xfId="3956"/>
    <cellStyle name="Incorrecto 33" xfId="3957"/>
    <cellStyle name="Incorrecto 34" xfId="3958"/>
    <cellStyle name="Incorrecto 35" xfId="3959"/>
    <cellStyle name="Incorrecto 36" xfId="3960"/>
    <cellStyle name="Incorrecto 37" xfId="3961"/>
    <cellStyle name="Incorrecto 38" xfId="3962"/>
    <cellStyle name="Incorrecto 39" xfId="3963"/>
    <cellStyle name="Incorrecto 4" xfId="3964"/>
    <cellStyle name="Incorrecto 4 2" xfId="13850"/>
    <cellStyle name="Incorrecto 4 3" xfId="13851"/>
    <cellStyle name="Incorrecto 40" xfId="3965"/>
    <cellStyle name="Incorrecto 41" xfId="3966"/>
    <cellStyle name="Incorrecto 42" xfId="3967"/>
    <cellStyle name="Incorrecto 43" xfId="3968"/>
    <cellStyle name="Incorrecto 44" xfId="3969"/>
    <cellStyle name="Incorrecto 45" xfId="3970"/>
    <cellStyle name="Incorrecto 46" xfId="3971"/>
    <cellStyle name="Incorrecto 47" xfId="3972"/>
    <cellStyle name="Incorrecto 48" xfId="3973"/>
    <cellStyle name="Incorrecto 49" xfId="3974"/>
    <cellStyle name="Incorrecto 5" xfId="3975"/>
    <cellStyle name="Incorrecto 5 2" xfId="13852"/>
    <cellStyle name="Incorrecto 5 3" xfId="13853"/>
    <cellStyle name="Incorrecto 50" xfId="3976"/>
    <cellStyle name="Incorrecto 6" xfId="3977"/>
    <cellStyle name="Incorrecto 6 2" xfId="13854"/>
    <cellStyle name="Incorrecto 7" xfId="3978"/>
    <cellStyle name="Incorrecto 7 2" xfId="13855"/>
    <cellStyle name="Incorrecto 8" xfId="3979"/>
    <cellStyle name="Incorrecto 8 2" xfId="13856"/>
    <cellStyle name="Incorrecto 9" xfId="3980"/>
    <cellStyle name="Incorrecto 9 2" xfId="13857"/>
    <cellStyle name="Input" xfId="13858"/>
    <cellStyle name="Input [yellow]" xfId="13859"/>
    <cellStyle name="Input [yellow] 2" xfId="13860"/>
    <cellStyle name="Input [yellow] 2 2" xfId="30928"/>
    <cellStyle name="Input [yellow] 3" xfId="13861"/>
    <cellStyle name="Input [yellow] 3 2" xfId="30929"/>
    <cellStyle name="Input [yellow] 4" xfId="30927"/>
    <cellStyle name="Input [yellow] 5" xfId="33555"/>
    <cellStyle name="Input 2" xfId="34847"/>
    <cellStyle name="Input 2 2" xfId="40944"/>
    <cellStyle name="Input 3" xfId="34846"/>
    <cellStyle name="Input 4" xfId="36590"/>
    <cellStyle name="Input 5" xfId="40943"/>
    <cellStyle name="Input 6" xfId="40954"/>
    <cellStyle name="Linked Cell" xfId="13862"/>
    <cellStyle name="Linked Cell 2" xfId="34849"/>
    <cellStyle name="Linked Cell 3" xfId="34848"/>
    <cellStyle name="MEMO" xfId="13863"/>
    <cellStyle name="MEMO 2" xfId="13864"/>
    <cellStyle name="MEMO 3" xfId="34850"/>
    <cellStyle name="Millares" xfId="21" builtinId="3"/>
    <cellStyle name="Millares [0] 2" xfId="3981"/>
    <cellStyle name="Millares [0] 2 2" xfId="3982"/>
    <cellStyle name="Millares [0] 2 2 2" xfId="13865"/>
    <cellStyle name="Millares [0] 2 3" xfId="3983"/>
    <cellStyle name="Millares [0] 2 4" xfId="3984"/>
    <cellStyle name="Millares [0] 2 4 2" xfId="13866"/>
    <cellStyle name="Millares [0] 2 5" xfId="3985"/>
    <cellStyle name="Millares [0] 2 5 2" xfId="13867"/>
    <cellStyle name="Millares [0] 2 6" xfId="13868"/>
    <cellStyle name="Millares [0] 3" xfId="34851"/>
    <cellStyle name="Millares 10" xfId="13869"/>
    <cellStyle name="Millares 10 10" xfId="13870"/>
    <cellStyle name="Millares 10 11" xfId="13871"/>
    <cellStyle name="Millares 10 2" xfId="13872"/>
    <cellStyle name="Millares 10 2 2" xfId="13873"/>
    <cellStyle name="Millares 10 2 3" xfId="13874"/>
    <cellStyle name="Millares 10 2 4" xfId="13875"/>
    <cellStyle name="Millares 10 2 5" xfId="13876"/>
    <cellStyle name="Millares 10 2 6" xfId="13877"/>
    <cellStyle name="Millares 10 2 7" xfId="13878"/>
    <cellStyle name="Millares 10 3" xfId="13879"/>
    <cellStyle name="Millares 10 4" xfId="13880"/>
    <cellStyle name="Millares 10 5" xfId="13881"/>
    <cellStyle name="Millares 10 6" xfId="13882"/>
    <cellStyle name="Millares 10 7" xfId="13883"/>
    <cellStyle name="Millares 10 8" xfId="13884"/>
    <cellStyle name="Millares 10 9" xfId="13885"/>
    <cellStyle name="Millares 11" xfId="13886"/>
    <cellStyle name="Millares 11 10" xfId="13887"/>
    <cellStyle name="Millares 11 2" xfId="13888"/>
    <cellStyle name="Millares 11 2 2" xfId="13889"/>
    <cellStyle name="Millares 11 2 3" xfId="13890"/>
    <cellStyle name="Millares 11 2 4" xfId="13891"/>
    <cellStyle name="Millares 11 2 5" xfId="13892"/>
    <cellStyle name="Millares 11 2 6" xfId="13893"/>
    <cellStyle name="Millares 11 2 7" xfId="13894"/>
    <cellStyle name="Millares 11 3" xfId="13895"/>
    <cellStyle name="Millares 11 4" xfId="13896"/>
    <cellStyle name="Millares 11 5" xfId="13897"/>
    <cellStyle name="Millares 11 6" xfId="13898"/>
    <cellStyle name="Millares 11 7" xfId="13899"/>
    <cellStyle name="Millares 11 8" xfId="13900"/>
    <cellStyle name="Millares 11 9" xfId="13901"/>
    <cellStyle name="Millares 12" xfId="13902"/>
    <cellStyle name="Millares 12 10" xfId="13903"/>
    <cellStyle name="Millares 12 2" xfId="13904"/>
    <cellStyle name="Millares 12 2 2" xfId="13905"/>
    <cellStyle name="Millares 12 2 3" xfId="13906"/>
    <cellStyle name="Millares 12 2 4" xfId="13907"/>
    <cellStyle name="Millares 12 2 5" xfId="13908"/>
    <cellStyle name="Millares 12 2 6" xfId="13909"/>
    <cellStyle name="Millares 12 2 7" xfId="13910"/>
    <cellStyle name="Millares 12 3" xfId="13911"/>
    <cellStyle name="Millares 12 4" xfId="13912"/>
    <cellStyle name="Millares 12 5" xfId="13913"/>
    <cellStyle name="Millares 12 6" xfId="13914"/>
    <cellStyle name="Millares 12 7" xfId="13915"/>
    <cellStyle name="Millares 12 8" xfId="13916"/>
    <cellStyle name="Millares 12 9" xfId="13917"/>
    <cellStyle name="Millares 13" xfId="13918"/>
    <cellStyle name="Millares 13 10" xfId="13919"/>
    <cellStyle name="Millares 13 2" xfId="13920"/>
    <cellStyle name="Millares 13 2 2" xfId="13921"/>
    <cellStyle name="Millares 13 2 3" xfId="13922"/>
    <cellStyle name="Millares 13 2 4" xfId="13923"/>
    <cellStyle name="Millares 13 2 5" xfId="13924"/>
    <cellStyle name="Millares 13 2 6" xfId="13925"/>
    <cellStyle name="Millares 13 2 7" xfId="13926"/>
    <cellStyle name="Millares 13 3" xfId="13927"/>
    <cellStyle name="Millares 13 4" xfId="13928"/>
    <cellStyle name="Millares 13 5" xfId="13929"/>
    <cellStyle name="Millares 13 6" xfId="13930"/>
    <cellStyle name="Millares 13 7" xfId="13931"/>
    <cellStyle name="Millares 13 8" xfId="13932"/>
    <cellStyle name="Millares 13 9" xfId="13933"/>
    <cellStyle name="Millares 14" xfId="13934"/>
    <cellStyle name="Millares 14 10" xfId="13935"/>
    <cellStyle name="Millares 14 2" xfId="13936"/>
    <cellStyle name="Millares 14 2 2" xfId="13937"/>
    <cellStyle name="Millares 14 2 3" xfId="13938"/>
    <cellStyle name="Millares 14 2 4" xfId="13939"/>
    <cellStyle name="Millares 14 2 5" xfId="13940"/>
    <cellStyle name="Millares 14 2 6" xfId="13941"/>
    <cellStyle name="Millares 14 2 7" xfId="13942"/>
    <cellStyle name="Millares 14 3" xfId="13943"/>
    <cellStyle name="Millares 14 4" xfId="13944"/>
    <cellStyle name="Millares 14 5" xfId="13945"/>
    <cellStyle name="Millares 14 6" xfId="13946"/>
    <cellStyle name="Millares 14 7" xfId="13947"/>
    <cellStyle name="Millares 14 8" xfId="13948"/>
    <cellStyle name="Millares 14 9" xfId="13949"/>
    <cellStyle name="Millares 15" xfId="13950"/>
    <cellStyle name="Millares 15 2" xfId="13951"/>
    <cellStyle name="Millares 15 2 2" xfId="13952"/>
    <cellStyle name="Millares 15 2 2 2" xfId="13953"/>
    <cellStyle name="Millares 15 2 2 2 2" xfId="33556"/>
    <cellStyle name="Millares 15 2 3" xfId="13954"/>
    <cellStyle name="Millares 15 2 4" xfId="13955"/>
    <cellStyle name="Millares 15 2 5" xfId="13956"/>
    <cellStyle name="Millares 15 2 6" xfId="13957"/>
    <cellStyle name="Millares 15 2 7" xfId="13958"/>
    <cellStyle name="Millares 15 2 8" xfId="13959"/>
    <cellStyle name="Millares 15 3" xfId="13960"/>
    <cellStyle name="Millares 15 3 2" xfId="13961"/>
    <cellStyle name="Millares 15 3 2 2" xfId="33557"/>
    <cellStyle name="Millares 15 4" xfId="13962"/>
    <cellStyle name="Millares 15 5" xfId="13963"/>
    <cellStyle name="Millares 15 6" xfId="13964"/>
    <cellStyle name="Millares 15 7" xfId="13965"/>
    <cellStyle name="Millares 15 8" xfId="13966"/>
    <cellStyle name="Millares 15 9" xfId="13967"/>
    <cellStyle name="Millares 16" xfId="13968"/>
    <cellStyle name="Millares 16 2" xfId="13969"/>
    <cellStyle name="Millares 16 2 2" xfId="13970"/>
    <cellStyle name="Millares 16 2 3" xfId="13971"/>
    <cellStyle name="Millares 16 2 4" xfId="13972"/>
    <cellStyle name="Millares 16 2 5" xfId="13973"/>
    <cellStyle name="Millares 16 2 6" xfId="13974"/>
    <cellStyle name="Millares 16 2 7" xfId="13975"/>
    <cellStyle name="Millares 16 2 8" xfId="13976"/>
    <cellStyle name="Millares 16 3" xfId="13977"/>
    <cellStyle name="Millares 16 4" xfId="13978"/>
    <cellStyle name="Millares 16 5" xfId="13979"/>
    <cellStyle name="Millares 16 6" xfId="13980"/>
    <cellStyle name="Millares 16 7" xfId="13981"/>
    <cellStyle name="Millares 16 8" xfId="13982"/>
    <cellStyle name="Millares 16 9" xfId="13983"/>
    <cellStyle name="Millares 17" xfId="13984"/>
    <cellStyle name="Millares 17 2" xfId="13985"/>
    <cellStyle name="Millares 17 2 2" xfId="13986"/>
    <cellStyle name="Millares 17 2 3" xfId="13987"/>
    <cellStyle name="Millares 17 2 4" xfId="13988"/>
    <cellStyle name="Millares 17 2 5" xfId="13989"/>
    <cellStyle name="Millares 17 2 6" xfId="13990"/>
    <cellStyle name="Millares 17 2 7" xfId="13991"/>
    <cellStyle name="Millares 17 3" xfId="13992"/>
    <cellStyle name="Millares 17 4" xfId="13993"/>
    <cellStyle name="Millares 17 5" xfId="13994"/>
    <cellStyle name="Millares 17 6" xfId="13995"/>
    <cellStyle name="Millares 17 7" xfId="13996"/>
    <cellStyle name="Millares 17 8" xfId="13997"/>
    <cellStyle name="Millares 17 9" xfId="13998"/>
    <cellStyle name="Millares 18" xfId="13999"/>
    <cellStyle name="Millares 18 2" xfId="14000"/>
    <cellStyle name="Millares 18 2 2" xfId="14001"/>
    <cellStyle name="Millares 18 2 3" xfId="14002"/>
    <cellStyle name="Millares 18 2 4" xfId="14003"/>
    <cellStyle name="Millares 18 2 5" xfId="14004"/>
    <cellStyle name="Millares 18 2 6" xfId="14005"/>
    <cellStyle name="Millares 18 2 7" xfId="14006"/>
    <cellStyle name="Millares 18 3" xfId="14007"/>
    <cellStyle name="Millares 18 4" xfId="14008"/>
    <cellStyle name="Millares 18 5" xfId="14009"/>
    <cellStyle name="Millares 18 6" xfId="14010"/>
    <cellStyle name="Millares 18 7" xfId="14011"/>
    <cellStyle name="Millares 18 8" xfId="14012"/>
    <cellStyle name="Millares 18 9" xfId="14013"/>
    <cellStyle name="Millares 19" xfId="14014"/>
    <cellStyle name="Millares 19 10" xfId="14015"/>
    <cellStyle name="Millares 19 2" xfId="14016"/>
    <cellStyle name="Millares 19 2 2" xfId="14017"/>
    <cellStyle name="Millares 19 2 3" xfId="14018"/>
    <cellStyle name="Millares 19 2 4" xfId="14019"/>
    <cellStyle name="Millares 19 2 5" xfId="14020"/>
    <cellStyle name="Millares 19 2 6" xfId="14021"/>
    <cellStyle name="Millares 19 2 7" xfId="14022"/>
    <cellStyle name="Millares 19 3" xfId="14023"/>
    <cellStyle name="Millares 19 4" xfId="14024"/>
    <cellStyle name="Millares 19 5" xfId="14025"/>
    <cellStyle name="Millares 19 6" xfId="14026"/>
    <cellStyle name="Millares 19 7" xfId="14027"/>
    <cellStyle name="Millares 19 8" xfId="14028"/>
    <cellStyle name="Millares 19 9" xfId="14029"/>
    <cellStyle name="Millares 2" xfId="3986"/>
    <cellStyle name="Millares 2 2" xfId="3987"/>
    <cellStyle name="Millares 2 2 10" xfId="14030"/>
    <cellStyle name="Millares 2 2 10 2" xfId="14031"/>
    <cellStyle name="Millares 2 2 10 2 2" xfId="14032"/>
    <cellStyle name="Millares 2 2 10 2 2 2" xfId="33558"/>
    <cellStyle name="Millares 2 2 10 3" xfId="14033"/>
    <cellStyle name="Millares 2 2 10 3 2" xfId="33559"/>
    <cellStyle name="Millares 2 2 11" xfId="14034"/>
    <cellStyle name="Millares 2 2 11 2" xfId="14035"/>
    <cellStyle name="Millares 2 2 11 2 2" xfId="14036"/>
    <cellStyle name="Millares 2 2 11 2 2 2" xfId="33560"/>
    <cellStyle name="Millares 2 2 11 3" xfId="14037"/>
    <cellStyle name="Millares 2 2 11 3 2" xfId="33561"/>
    <cellStyle name="Millares 2 2 12" xfId="14038"/>
    <cellStyle name="Millares 2 2 12 2" xfId="14039"/>
    <cellStyle name="Millares 2 2 12 2 2" xfId="33562"/>
    <cellStyle name="Millares 2 2 13" xfId="14040"/>
    <cellStyle name="Millares 2 2 14" xfId="14041"/>
    <cellStyle name="Millares 2 2 15" xfId="14042"/>
    <cellStyle name="Millares 2 2 2" xfId="14043"/>
    <cellStyle name="Millares 2 2 2 2" xfId="14044"/>
    <cellStyle name="Millares 2 2 2 2 2" xfId="14045"/>
    <cellStyle name="Millares 2 2 2 2 2 2" xfId="14046"/>
    <cellStyle name="Millares 2 2 2 2 2 2 2" xfId="33563"/>
    <cellStyle name="Millares 2 2 2 2 3" xfId="14047"/>
    <cellStyle name="Millares 2 2 2 2 3 2" xfId="33564"/>
    <cellStyle name="Millares 2 2 2 2 4" xfId="34852"/>
    <cellStyle name="Millares 2 2 2 3" xfId="14048"/>
    <cellStyle name="Millares 2 2 2 3 2" xfId="14049"/>
    <cellStyle name="Millares 2 2 2 3 2 2" xfId="33565"/>
    <cellStyle name="Millares 2 2 2 4" xfId="14050"/>
    <cellStyle name="Millares 2 2 2 5" xfId="14051"/>
    <cellStyle name="Millares 2 2 3" xfId="14052"/>
    <cellStyle name="Millares 2 2 3 2" xfId="14053"/>
    <cellStyle name="Millares 2 2 3 2 2" xfId="14054"/>
    <cellStyle name="Millares 2 2 3 2 2 2" xfId="14055"/>
    <cellStyle name="Millares 2 2 3 2 2 2 2" xfId="33566"/>
    <cellStyle name="Millares 2 2 3 2 3" xfId="14056"/>
    <cellStyle name="Millares 2 2 3 2 3 2" xfId="33567"/>
    <cellStyle name="Millares 2 2 3 2 4" xfId="34854"/>
    <cellStyle name="Millares 2 2 3 3" xfId="14057"/>
    <cellStyle name="Millares 2 2 3 3 2" xfId="14058"/>
    <cellStyle name="Millares 2 2 3 3 2 2" xfId="33568"/>
    <cellStyle name="Millares 2 2 3 4" xfId="14059"/>
    <cellStyle name="Millares 2 2 3 5" xfId="14060"/>
    <cellStyle name="Millares 2 2 3 6" xfId="34853"/>
    <cellStyle name="Millares 2 2 4" xfId="14061"/>
    <cellStyle name="Millares 2 2 4 2" xfId="14062"/>
    <cellStyle name="Millares 2 2 4 2 2" xfId="14063"/>
    <cellStyle name="Millares 2 2 4 2 2 2" xfId="14064"/>
    <cellStyle name="Millares 2 2 4 2 2 2 2" xfId="33569"/>
    <cellStyle name="Millares 2 2 4 2 3" xfId="14065"/>
    <cellStyle name="Millares 2 2 4 2 3 2" xfId="33570"/>
    <cellStyle name="Millares 2 2 4 3" xfId="14066"/>
    <cellStyle name="Millares 2 2 4 3 2" xfId="14067"/>
    <cellStyle name="Millares 2 2 4 3 2 2" xfId="33571"/>
    <cellStyle name="Millares 2 2 4 4" xfId="14068"/>
    <cellStyle name="Millares 2 2 4 5" xfId="14069"/>
    <cellStyle name="Millares 2 2 5" xfId="14070"/>
    <cellStyle name="Millares 2 2 5 2" xfId="14071"/>
    <cellStyle name="Millares 2 2 5 2 2" xfId="14072"/>
    <cellStyle name="Millares 2 2 5 2 2 2" xfId="14073"/>
    <cellStyle name="Millares 2 2 5 2 2 2 2" xfId="33572"/>
    <cellStyle name="Millares 2 2 5 2 3" xfId="14074"/>
    <cellStyle name="Millares 2 2 5 2 3 2" xfId="33573"/>
    <cellStyle name="Millares 2 2 5 3" xfId="14075"/>
    <cellStyle name="Millares 2 2 5 3 2" xfId="14076"/>
    <cellStyle name="Millares 2 2 5 3 2 2" xfId="33574"/>
    <cellStyle name="Millares 2 2 5 4" xfId="14077"/>
    <cellStyle name="Millares 2 2 5 5" xfId="14078"/>
    <cellStyle name="Millares 2 2 5 6" xfId="34855"/>
    <cellStyle name="Millares 2 2 6" xfId="14079"/>
    <cellStyle name="Millares 2 2 6 2" xfId="14080"/>
    <cellStyle name="Millares 2 2 6 2 2" xfId="14081"/>
    <cellStyle name="Millares 2 2 6 2 2 2" xfId="14082"/>
    <cellStyle name="Millares 2 2 6 2 2 2 2" xfId="33575"/>
    <cellStyle name="Millares 2 2 6 2 3" xfId="14083"/>
    <cellStyle name="Millares 2 2 6 2 3 2" xfId="33576"/>
    <cellStyle name="Millares 2 2 6 3" xfId="14084"/>
    <cellStyle name="Millares 2 2 6 3 2" xfId="14085"/>
    <cellStyle name="Millares 2 2 6 3 2 2" xfId="33577"/>
    <cellStyle name="Millares 2 2 6 4" xfId="14086"/>
    <cellStyle name="Millares 2 2 6 4 2" xfId="33578"/>
    <cellStyle name="Millares 2 2 7" xfId="14087"/>
    <cellStyle name="Millares 2 2 7 2" xfId="14088"/>
    <cellStyle name="Millares 2 2 7 2 2" xfId="14089"/>
    <cellStyle name="Millares 2 2 7 2 2 2" xfId="14090"/>
    <cellStyle name="Millares 2 2 7 2 2 2 2" xfId="33579"/>
    <cellStyle name="Millares 2 2 7 2 3" xfId="14091"/>
    <cellStyle name="Millares 2 2 7 2 3 2" xfId="33580"/>
    <cellStyle name="Millares 2 2 7 3" xfId="14092"/>
    <cellStyle name="Millares 2 2 7 3 2" xfId="14093"/>
    <cellStyle name="Millares 2 2 7 3 2 2" xfId="33581"/>
    <cellStyle name="Millares 2 2 7 4" xfId="14094"/>
    <cellStyle name="Millares 2 2 7 4 2" xfId="33582"/>
    <cellStyle name="Millares 2 2 8" xfId="14095"/>
    <cellStyle name="Millares 2 2 8 2" xfId="14096"/>
    <cellStyle name="Millares 2 2 8 2 2" xfId="14097"/>
    <cellStyle name="Millares 2 2 8 2 2 2" xfId="14098"/>
    <cellStyle name="Millares 2 2 8 2 2 2 2" xfId="33583"/>
    <cellStyle name="Millares 2 2 8 2 3" xfId="14099"/>
    <cellStyle name="Millares 2 2 8 2 3 2" xfId="33584"/>
    <cellStyle name="Millares 2 2 8 3" xfId="14100"/>
    <cellStyle name="Millares 2 2 8 3 2" xfId="14101"/>
    <cellStyle name="Millares 2 2 8 3 2 2" xfId="33585"/>
    <cellStyle name="Millares 2 2 8 4" xfId="14102"/>
    <cellStyle name="Millares 2 2 8 4 2" xfId="33586"/>
    <cellStyle name="Millares 2 2 9" xfId="14103"/>
    <cellStyle name="Millares 2 2 9 2" xfId="14104"/>
    <cellStyle name="Millares 2 2 9 2 2" xfId="14105"/>
    <cellStyle name="Millares 2 2 9 2 2 2" xfId="33587"/>
    <cellStyle name="Millares 2 2 9 3" xfId="14106"/>
    <cellStyle name="Millares 2 2 9 3 2" xfId="33588"/>
    <cellStyle name="Millares 2 3" xfId="3988"/>
    <cellStyle name="Millares 2 3 10" xfId="14107"/>
    <cellStyle name="Millares 2 3 10 2" xfId="14108"/>
    <cellStyle name="Millares 2 3 10 2 2" xfId="14109"/>
    <cellStyle name="Millares 2 3 10 2 2 2" xfId="33589"/>
    <cellStyle name="Millares 2 3 10 3" xfId="14110"/>
    <cellStyle name="Millares 2 3 10 3 2" xfId="33590"/>
    <cellStyle name="Millares 2 3 11" xfId="14111"/>
    <cellStyle name="Millares 2 3 11 2" xfId="14112"/>
    <cellStyle name="Millares 2 3 11 2 2" xfId="14113"/>
    <cellStyle name="Millares 2 3 11 2 2 2" xfId="33591"/>
    <cellStyle name="Millares 2 3 11 3" xfId="14114"/>
    <cellStyle name="Millares 2 3 11 3 2" xfId="33592"/>
    <cellStyle name="Millares 2 3 12" xfId="14115"/>
    <cellStyle name="Millares 2 3 12 2" xfId="14116"/>
    <cellStyle name="Millares 2 3 12 2 2" xfId="33593"/>
    <cellStyle name="Millares 2 3 13" xfId="14117"/>
    <cellStyle name="Millares 2 3 14" xfId="14118"/>
    <cellStyle name="Millares 2 3 15" xfId="14119"/>
    <cellStyle name="Millares 2 3 2" xfId="14120"/>
    <cellStyle name="Millares 2 3 2 2" xfId="14121"/>
    <cellStyle name="Millares 2 3 2 2 2" xfId="14122"/>
    <cellStyle name="Millares 2 3 2 2 2 2" xfId="14123"/>
    <cellStyle name="Millares 2 3 2 2 2 2 2" xfId="33594"/>
    <cellStyle name="Millares 2 3 2 2 3" xfId="14124"/>
    <cellStyle name="Millares 2 3 2 2 3 2" xfId="33595"/>
    <cellStyle name="Millares 2 3 2 2 4" xfId="34857"/>
    <cellStyle name="Millares 2 3 2 3" xfId="14125"/>
    <cellStyle name="Millares 2 3 2 3 2" xfId="14126"/>
    <cellStyle name="Millares 2 3 2 3 2 2" xfId="33596"/>
    <cellStyle name="Millares 2 3 2 4" xfId="14127"/>
    <cellStyle name="Millares 2 3 2 4 2" xfId="33597"/>
    <cellStyle name="Millares 2 3 2 5" xfId="34856"/>
    <cellStyle name="Millares 2 3 3" xfId="14128"/>
    <cellStyle name="Millares 2 3 3 2" xfId="14129"/>
    <cellStyle name="Millares 2 3 3 2 2" xfId="14130"/>
    <cellStyle name="Millares 2 3 3 2 2 2" xfId="14131"/>
    <cellStyle name="Millares 2 3 3 2 2 2 2" xfId="33598"/>
    <cellStyle name="Millares 2 3 3 2 3" xfId="14132"/>
    <cellStyle name="Millares 2 3 3 2 3 2" xfId="33599"/>
    <cellStyle name="Millares 2 3 3 3" xfId="14133"/>
    <cellStyle name="Millares 2 3 3 3 2" xfId="14134"/>
    <cellStyle name="Millares 2 3 3 3 2 2" xfId="33600"/>
    <cellStyle name="Millares 2 3 3 4" xfId="14135"/>
    <cellStyle name="Millares 2 3 3 4 2" xfId="33601"/>
    <cellStyle name="Millares 2 3 3 5" xfId="34858"/>
    <cellStyle name="Millares 2 3 4" xfId="14136"/>
    <cellStyle name="Millares 2 3 4 2" xfId="14137"/>
    <cellStyle name="Millares 2 3 4 2 2" xfId="14138"/>
    <cellStyle name="Millares 2 3 4 2 2 2" xfId="14139"/>
    <cellStyle name="Millares 2 3 4 2 2 2 2" xfId="33602"/>
    <cellStyle name="Millares 2 3 4 2 3" xfId="14140"/>
    <cellStyle name="Millares 2 3 4 2 3 2" xfId="33603"/>
    <cellStyle name="Millares 2 3 4 3" xfId="14141"/>
    <cellStyle name="Millares 2 3 4 3 2" xfId="14142"/>
    <cellStyle name="Millares 2 3 4 3 2 2" xfId="33604"/>
    <cellStyle name="Millares 2 3 4 4" xfId="14143"/>
    <cellStyle name="Millares 2 3 4 4 2" xfId="33605"/>
    <cellStyle name="Millares 2 3 4 5" xfId="34859"/>
    <cellStyle name="Millares 2 3 5" xfId="14144"/>
    <cellStyle name="Millares 2 3 5 2" xfId="14145"/>
    <cellStyle name="Millares 2 3 5 2 2" xfId="14146"/>
    <cellStyle name="Millares 2 3 5 2 2 2" xfId="14147"/>
    <cellStyle name="Millares 2 3 5 2 2 2 2" xfId="33606"/>
    <cellStyle name="Millares 2 3 5 2 3" xfId="14148"/>
    <cellStyle name="Millares 2 3 5 2 3 2" xfId="33607"/>
    <cellStyle name="Millares 2 3 5 3" xfId="14149"/>
    <cellStyle name="Millares 2 3 5 3 2" xfId="14150"/>
    <cellStyle name="Millares 2 3 5 3 2 2" xfId="33608"/>
    <cellStyle name="Millares 2 3 5 4" xfId="14151"/>
    <cellStyle name="Millares 2 3 5 4 2" xfId="33609"/>
    <cellStyle name="Millares 2 3 6" xfId="14152"/>
    <cellStyle name="Millares 2 3 6 2" xfId="14153"/>
    <cellStyle name="Millares 2 3 6 2 2" xfId="14154"/>
    <cellStyle name="Millares 2 3 6 2 2 2" xfId="14155"/>
    <cellStyle name="Millares 2 3 6 2 2 2 2" xfId="33610"/>
    <cellStyle name="Millares 2 3 6 2 3" xfId="14156"/>
    <cellStyle name="Millares 2 3 6 2 3 2" xfId="33611"/>
    <cellStyle name="Millares 2 3 6 3" xfId="14157"/>
    <cellStyle name="Millares 2 3 6 3 2" xfId="14158"/>
    <cellStyle name="Millares 2 3 6 3 2 2" xfId="33612"/>
    <cellStyle name="Millares 2 3 6 4" xfId="14159"/>
    <cellStyle name="Millares 2 3 6 4 2" xfId="33613"/>
    <cellStyle name="Millares 2 3 7" xfId="14160"/>
    <cellStyle name="Millares 2 3 7 2" xfId="14161"/>
    <cellStyle name="Millares 2 3 7 2 2" xfId="14162"/>
    <cellStyle name="Millares 2 3 7 2 2 2" xfId="14163"/>
    <cellStyle name="Millares 2 3 7 2 2 2 2" xfId="33614"/>
    <cellStyle name="Millares 2 3 7 2 3" xfId="14164"/>
    <cellStyle name="Millares 2 3 7 2 3 2" xfId="33615"/>
    <cellStyle name="Millares 2 3 7 3" xfId="14165"/>
    <cellStyle name="Millares 2 3 7 3 2" xfId="14166"/>
    <cellStyle name="Millares 2 3 7 3 2 2" xfId="33616"/>
    <cellStyle name="Millares 2 3 7 4" xfId="14167"/>
    <cellStyle name="Millares 2 3 7 4 2" xfId="33617"/>
    <cellStyle name="Millares 2 3 8" xfId="14168"/>
    <cellStyle name="Millares 2 3 8 2" xfId="14169"/>
    <cellStyle name="Millares 2 3 8 2 2" xfId="14170"/>
    <cellStyle name="Millares 2 3 8 2 2 2" xfId="14171"/>
    <cellStyle name="Millares 2 3 8 2 2 2 2" xfId="33618"/>
    <cellStyle name="Millares 2 3 8 2 3" xfId="14172"/>
    <cellStyle name="Millares 2 3 8 2 3 2" xfId="33619"/>
    <cellStyle name="Millares 2 3 8 3" xfId="14173"/>
    <cellStyle name="Millares 2 3 8 3 2" xfId="14174"/>
    <cellStyle name="Millares 2 3 8 3 2 2" xfId="33620"/>
    <cellStyle name="Millares 2 3 8 4" xfId="14175"/>
    <cellStyle name="Millares 2 3 8 4 2" xfId="33621"/>
    <cellStyle name="Millares 2 3 9" xfId="14176"/>
    <cellStyle name="Millares 2 3 9 2" xfId="14177"/>
    <cellStyle name="Millares 2 3 9 2 2" xfId="14178"/>
    <cellStyle name="Millares 2 3 9 2 2 2" xfId="33622"/>
    <cellStyle name="Millares 2 3 9 3" xfId="14179"/>
    <cellStyle name="Millares 2 3 9 3 2" xfId="33623"/>
    <cellStyle name="Millares 2 4" xfId="3989"/>
    <cellStyle name="Millares 2 4 2" xfId="14180"/>
    <cellStyle name="Millares 2 4 2 2" xfId="14181"/>
    <cellStyle name="Millares 2 4 2 2 2" xfId="33624"/>
    <cellStyle name="Millares 2 4 2 3" xfId="34860"/>
    <cellStyle name="Millares 2 4 3" xfId="14182"/>
    <cellStyle name="Millares 2 4 4" xfId="14183"/>
    <cellStyle name="Millares 2 5" xfId="3990"/>
    <cellStyle name="Millares 2 5 2" xfId="14184"/>
    <cellStyle name="Millares 2 5 3" xfId="14185"/>
    <cellStyle name="Millares 2 5 4" xfId="14186"/>
    <cellStyle name="Millares 2 6" xfId="3991"/>
    <cellStyle name="Millares 2 6 2" xfId="14187"/>
    <cellStyle name="Millares 2 6 2 2" xfId="34861"/>
    <cellStyle name="Millares 2 6 3" xfId="14188"/>
    <cellStyle name="Millares 2 6 4" xfId="14189"/>
    <cellStyle name="Millares 2 7" xfId="3992"/>
    <cellStyle name="Millares 2 7 2" xfId="14190"/>
    <cellStyle name="Millares 2 8" xfId="14191"/>
    <cellStyle name="Millares 2 8 2" xfId="34862"/>
    <cellStyle name="Millares 2 9" xfId="14192"/>
    <cellStyle name="Millares 20" xfId="14193"/>
    <cellStyle name="Millares 20 2" xfId="14194"/>
    <cellStyle name="Millares 20 3" xfId="14195"/>
    <cellStyle name="Millares 20 4" xfId="14196"/>
    <cellStyle name="Millares 20 5" xfId="14197"/>
    <cellStyle name="Millares 20 6" xfId="14198"/>
    <cellStyle name="Millares 20 7" xfId="14199"/>
    <cellStyle name="Millares 20 8" xfId="14200"/>
    <cellStyle name="Millares 21" xfId="14201"/>
    <cellStyle name="Millares 21 2" xfId="14202"/>
    <cellStyle name="Millares 21 3" xfId="14203"/>
    <cellStyle name="Millares 21 4" xfId="14204"/>
    <cellStyle name="Millares 21 5" xfId="14205"/>
    <cellStyle name="Millares 21 6" xfId="14206"/>
    <cellStyle name="Millares 21 7" xfId="14207"/>
    <cellStyle name="Millares 22" xfId="14208"/>
    <cellStyle name="Millares 22 2" xfId="14209"/>
    <cellStyle name="Millares 22 3" xfId="14210"/>
    <cellStyle name="Millares 22 4" xfId="14211"/>
    <cellStyle name="Millares 22 5" xfId="14212"/>
    <cellStyle name="Millares 22 6" xfId="14213"/>
    <cellStyle name="Millares 22 7" xfId="14214"/>
    <cellStyle name="Millares 23" xfId="14215"/>
    <cellStyle name="Millares 23 2" xfId="14216"/>
    <cellStyle name="Millares 23 3" xfId="14217"/>
    <cellStyle name="Millares 23 4" xfId="14218"/>
    <cellStyle name="Millares 23 5" xfId="14219"/>
    <cellStyle name="Millares 23 6" xfId="14220"/>
    <cellStyle name="Millares 23 7" xfId="14221"/>
    <cellStyle name="Millares 24" xfId="14222"/>
    <cellStyle name="Millares 24 2" xfId="14223"/>
    <cellStyle name="Millares 24 3" xfId="14224"/>
    <cellStyle name="Millares 24 4" xfId="14225"/>
    <cellStyle name="Millares 24 5" xfId="14226"/>
    <cellStyle name="Millares 24 6" xfId="14227"/>
    <cellStyle name="Millares 24 7" xfId="14228"/>
    <cellStyle name="Millares 25" xfId="14229"/>
    <cellStyle name="Millares 25 2" xfId="14230"/>
    <cellStyle name="Millares 25 3" xfId="14231"/>
    <cellStyle name="Millares 25 4" xfId="14232"/>
    <cellStyle name="Millares 25 5" xfId="14233"/>
    <cellStyle name="Millares 25 6" xfId="14234"/>
    <cellStyle name="Millares 25 7" xfId="14235"/>
    <cellStyle name="Millares 26" xfId="14236"/>
    <cellStyle name="Millares 26 2" xfId="14237"/>
    <cellStyle name="Millares 26 3" xfId="14238"/>
    <cellStyle name="Millares 26 4" xfId="14239"/>
    <cellStyle name="Millares 26 5" xfId="14240"/>
    <cellStyle name="Millares 26 6" xfId="14241"/>
    <cellStyle name="Millares 26 7" xfId="14242"/>
    <cellStyle name="Millares 27" xfId="14243"/>
    <cellStyle name="Millares 27 2" xfId="14244"/>
    <cellStyle name="Millares 27 3" xfId="14245"/>
    <cellStyle name="Millares 27 4" xfId="14246"/>
    <cellStyle name="Millares 27 5" xfId="14247"/>
    <cellStyle name="Millares 27 6" xfId="14248"/>
    <cellStyle name="Millares 27 7" xfId="14249"/>
    <cellStyle name="Millares 28" xfId="14250"/>
    <cellStyle name="Millares 28 2" xfId="14251"/>
    <cellStyle name="Millares 28 3" xfId="14252"/>
    <cellStyle name="Millares 28 4" xfId="14253"/>
    <cellStyle name="Millares 28 5" xfId="14254"/>
    <cellStyle name="Millares 28 6" xfId="14255"/>
    <cellStyle name="Millares 28 7" xfId="14256"/>
    <cellStyle name="Millares 29" xfId="14257"/>
    <cellStyle name="Millares 29 2" xfId="14258"/>
    <cellStyle name="Millares 29 3" xfId="14259"/>
    <cellStyle name="Millares 29 4" xfId="14260"/>
    <cellStyle name="Millares 29 5" xfId="14261"/>
    <cellStyle name="Millares 29 6" xfId="14262"/>
    <cellStyle name="Millares 29 7" xfId="14263"/>
    <cellStyle name="Millares 3" xfId="3993"/>
    <cellStyle name="Millares 3 2" xfId="3994"/>
    <cellStyle name="Millares 3 2 2" xfId="14264"/>
    <cellStyle name="Millares 3 2 2 2" xfId="34863"/>
    <cellStyle name="Millares 3 2 3" xfId="14265"/>
    <cellStyle name="Millares 3 2 4" xfId="14266"/>
    <cellStyle name="Millares 3 3" xfId="3995"/>
    <cellStyle name="Millares 3 3 2" xfId="14267"/>
    <cellStyle name="Millares 3 3 2 2" xfId="34864"/>
    <cellStyle name="Millares 3 3 3" xfId="14268"/>
    <cellStyle name="Millares 3 4" xfId="14269"/>
    <cellStyle name="Millares 3 5" xfId="14270"/>
    <cellStyle name="Millares 30" xfId="14271"/>
    <cellStyle name="Millares 30 2" xfId="14272"/>
    <cellStyle name="Millares 30 3" xfId="14273"/>
    <cellStyle name="Millares 30 4" xfId="14274"/>
    <cellStyle name="Millares 30 5" xfId="14275"/>
    <cellStyle name="Millares 30 6" xfId="14276"/>
    <cellStyle name="Millares 30 7" xfId="14277"/>
    <cellStyle name="Millares 31" xfId="14278"/>
    <cellStyle name="Millares 31 2" xfId="14279"/>
    <cellStyle name="Millares 31 3" xfId="14280"/>
    <cellStyle name="Millares 31 4" xfId="14281"/>
    <cellStyle name="Millares 31 5" xfId="14282"/>
    <cellStyle name="Millares 31 6" xfId="14283"/>
    <cellStyle name="Millares 31 7" xfId="14284"/>
    <cellStyle name="Millares 32" xfId="14285"/>
    <cellStyle name="Millares 32 2" xfId="14286"/>
    <cellStyle name="Millares 32 3" xfId="14287"/>
    <cellStyle name="Millares 32 4" xfId="14288"/>
    <cellStyle name="Millares 32 5" xfId="14289"/>
    <cellStyle name="Millares 32 6" xfId="14290"/>
    <cellStyle name="Millares 32 7" xfId="14291"/>
    <cellStyle name="Millares 33" xfId="14292"/>
    <cellStyle name="Millares 33 2" xfId="14293"/>
    <cellStyle name="Millares 33 3" xfId="14294"/>
    <cellStyle name="Millares 33 4" xfId="14295"/>
    <cellStyle name="Millares 33 5" xfId="14296"/>
    <cellStyle name="Millares 33 6" xfId="14297"/>
    <cellStyle name="Millares 33 7" xfId="14298"/>
    <cellStyle name="Millares 34" xfId="14299"/>
    <cellStyle name="Millares 34 2" xfId="14300"/>
    <cellStyle name="Millares 34 3" xfId="14301"/>
    <cellStyle name="Millares 34 4" xfId="14302"/>
    <cellStyle name="Millares 34 5" xfId="14303"/>
    <cellStyle name="Millares 34 6" xfId="14304"/>
    <cellStyle name="Millares 34 7" xfId="14305"/>
    <cellStyle name="Millares 35" xfId="14306"/>
    <cellStyle name="Millares 35 2" xfId="14307"/>
    <cellStyle name="Millares 35 3" xfId="14308"/>
    <cellStyle name="Millares 35 4" xfId="14309"/>
    <cellStyle name="Millares 35 5" xfId="14310"/>
    <cellStyle name="Millares 35 6" xfId="14311"/>
    <cellStyle name="Millares 35 7" xfId="14312"/>
    <cellStyle name="Millares 36" xfId="14313"/>
    <cellStyle name="Millares 36 2" xfId="14314"/>
    <cellStyle name="Millares 36 3" xfId="14315"/>
    <cellStyle name="Millares 36 4" xfId="14316"/>
    <cellStyle name="Millares 36 5" xfId="14317"/>
    <cellStyle name="Millares 36 6" xfId="14318"/>
    <cellStyle name="Millares 36 7" xfId="14319"/>
    <cellStyle name="Millares 37" xfId="14320"/>
    <cellStyle name="Millares 37 2" xfId="14321"/>
    <cellStyle name="Millares 37 3" xfId="14322"/>
    <cellStyle name="Millares 37 4" xfId="14323"/>
    <cellStyle name="Millares 37 5" xfId="14324"/>
    <cellStyle name="Millares 37 6" xfId="14325"/>
    <cellStyle name="Millares 37 7" xfId="14326"/>
    <cellStyle name="Millares 38" xfId="14327"/>
    <cellStyle name="Millares 38 2" xfId="14328"/>
    <cellStyle name="Millares 38 3" xfId="14329"/>
    <cellStyle name="Millares 38 4" xfId="14330"/>
    <cellStyle name="Millares 38 5" xfId="14331"/>
    <cellStyle name="Millares 38 6" xfId="14332"/>
    <cellStyle name="Millares 38 7" xfId="14333"/>
    <cellStyle name="Millares 39" xfId="14334"/>
    <cellStyle name="Millares 4" xfId="3996"/>
    <cellStyle name="Millares 4 2" xfId="14335"/>
    <cellStyle name="Millares 4 2 2" xfId="34865"/>
    <cellStyle name="Millares 4 3" xfId="14336"/>
    <cellStyle name="Millares 4 3 2" xfId="34866"/>
    <cellStyle name="Millares 4 4" xfId="14337"/>
    <cellStyle name="Millares 4 5" xfId="14338"/>
    <cellStyle name="Millares 40" xfId="14339"/>
    <cellStyle name="Millares 41" xfId="14340"/>
    <cellStyle name="Millares 42" xfId="14341"/>
    <cellStyle name="Millares 43" xfId="14342"/>
    <cellStyle name="Millares 44" xfId="14343"/>
    <cellStyle name="Millares 45" xfId="33625"/>
    <cellStyle name="Millares 46" xfId="33626"/>
    <cellStyle name="Millares 47" xfId="33627"/>
    <cellStyle name="Millares 48" xfId="33628"/>
    <cellStyle name="Millares 49" xfId="33629"/>
    <cellStyle name="Millares 5" xfId="3997"/>
    <cellStyle name="Millares 5 10" xfId="14344"/>
    <cellStyle name="Millares 5 11" xfId="14345"/>
    <cellStyle name="Millares 5 12" xfId="14346"/>
    <cellStyle name="Millares 5 13" xfId="14347"/>
    <cellStyle name="Millares 5 2" xfId="14348"/>
    <cellStyle name="Millares 5 2 2" xfId="14349"/>
    <cellStyle name="Millares 5 2 3" xfId="14350"/>
    <cellStyle name="Millares 5 2 4" xfId="14351"/>
    <cellStyle name="Millares 5 2 5" xfId="14352"/>
    <cellStyle name="Millares 5 2 6" xfId="14353"/>
    <cellStyle name="Millares 5 2 7" xfId="14354"/>
    <cellStyle name="Millares 5 3" xfId="14355"/>
    <cellStyle name="Millares 5 4" xfId="14356"/>
    <cellStyle name="Millares 5 5" xfId="14357"/>
    <cellStyle name="Millares 5 6" xfId="14358"/>
    <cellStyle name="Millares 5 7" xfId="14359"/>
    <cellStyle name="Millares 5 8" xfId="14360"/>
    <cellStyle name="Millares 5 9" xfId="14361"/>
    <cellStyle name="Millares 50" xfId="40959"/>
    <cellStyle name="Millares 51" xfId="40960"/>
    <cellStyle name="Millares 52" xfId="40961"/>
    <cellStyle name="Millares 53" xfId="40962"/>
    <cellStyle name="Millares 54" xfId="40963"/>
    <cellStyle name="Millares 55" xfId="40964"/>
    <cellStyle name="Millares 56" xfId="40966"/>
    <cellStyle name="Millares 57" xfId="40968"/>
    <cellStyle name="Millares 58" xfId="40969"/>
    <cellStyle name="Millares 59" xfId="40970"/>
    <cellStyle name="Millares 6" xfId="3998"/>
    <cellStyle name="Millares 6 10" xfId="14362"/>
    <cellStyle name="Millares 6 11" xfId="14363"/>
    <cellStyle name="Millares 6 2" xfId="14364"/>
    <cellStyle name="Millares 6 2 2" xfId="14365"/>
    <cellStyle name="Millares 6 2 3" xfId="14366"/>
    <cellStyle name="Millares 6 2 4" xfId="14367"/>
    <cellStyle name="Millares 6 2 5" xfId="14368"/>
    <cellStyle name="Millares 6 2 6" xfId="14369"/>
    <cellStyle name="Millares 6 2 7" xfId="14370"/>
    <cellStyle name="Millares 6 3" xfId="14371"/>
    <cellStyle name="Millares 6 4" xfId="14372"/>
    <cellStyle name="Millares 6 5" xfId="14373"/>
    <cellStyle name="Millares 6 6" xfId="14374"/>
    <cellStyle name="Millares 6 7" xfId="14375"/>
    <cellStyle name="Millares 6 8" xfId="14376"/>
    <cellStyle name="Millares 6 9" xfId="14377"/>
    <cellStyle name="Millares 60" xfId="40971"/>
    <cellStyle name="Millares 61" xfId="40972"/>
    <cellStyle name="Millares 62" xfId="40974"/>
    <cellStyle name="Millares 63" xfId="40975"/>
    <cellStyle name="Millares 64" xfId="40976"/>
    <cellStyle name="Millares 65" xfId="40977"/>
    <cellStyle name="Millares 66" xfId="40978"/>
    <cellStyle name="Millares 67" xfId="40979"/>
    <cellStyle name="Millares 68" xfId="40980"/>
    <cellStyle name="Millares 69" xfId="40981"/>
    <cellStyle name="Millares 7" xfId="3999"/>
    <cellStyle name="Millares 7 10" xfId="14378"/>
    <cellStyle name="Millares 7 11" xfId="14379"/>
    <cellStyle name="Millares 7 2" xfId="14380"/>
    <cellStyle name="Millares 7 2 2" xfId="14381"/>
    <cellStyle name="Millares 7 2 3" xfId="14382"/>
    <cellStyle name="Millares 7 2 4" xfId="14383"/>
    <cellStyle name="Millares 7 2 5" xfId="14384"/>
    <cellStyle name="Millares 7 2 6" xfId="14385"/>
    <cellStyle name="Millares 7 2 7" xfId="14386"/>
    <cellStyle name="Millares 7 2 8" xfId="14387"/>
    <cellStyle name="Millares 7 3" xfId="14388"/>
    <cellStyle name="Millares 7 4" xfId="14389"/>
    <cellStyle name="Millares 7 5" xfId="14390"/>
    <cellStyle name="Millares 7 6" xfId="14391"/>
    <cellStyle name="Millares 7 7" xfId="14392"/>
    <cellStyle name="Millares 7 8" xfId="14393"/>
    <cellStyle name="Millares 7 9" xfId="14394"/>
    <cellStyle name="Millares 70" xfId="40982"/>
    <cellStyle name="Millares 71" xfId="40983"/>
    <cellStyle name="Millares 72" xfId="40984"/>
    <cellStyle name="Millares 73" xfId="40985"/>
    <cellStyle name="Millares 74" xfId="40987"/>
    <cellStyle name="Millares 75" xfId="40989"/>
    <cellStyle name="Millares 76" xfId="40991"/>
    <cellStyle name="Millares 77" xfId="40993"/>
    <cellStyle name="Millares 78" xfId="40994"/>
    <cellStyle name="Millares 79" xfId="40998"/>
    <cellStyle name="Millares 8" xfId="4000"/>
    <cellStyle name="Millares 8 10" xfId="14395"/>
    <cellStyle name="Millares 8 11" xfId="14396"/>
    <cellStyle name="Millares 8 2" xfId="14397"/>
    <cellStyle name="Millares 8 2 2" xfId="14398"/>
    <cellStyle name="Millares 8 2 3" xfId="14399"/>
    <cellStyle name="Millares 8 2 4" xfId="14400"/>
    <cellStyle name="Millares 8 2 5" xfId="14401"/>
    <cellStyle name="Millares 8 2 6" xfId="14402"/>
    <cellStyle name="Millares 8 2 7" xfId="14403"/>
    <cellStyle name="Millares 8 3" xfId="14404"/>
    <cellStyle name="Millares 8 4" xfId="14405"/>
    <cellStyle name="Millares 8 5" xfId="14406"/>
    <cellStyle name="Millares 8 6" xfId="14407"/>
    <cellStyle name="Millares 8 7" xfId="14408"/>
    <cellStyle name="Millares 8 8" xfId="14409"/>
    <cellStyle name="Millares 8 9" xfId="14410"/>
    <cellStyle name="Millares 80" xfId="40999"/>
    <cellStyle name="Millares 81" xfId="41001"/>
    <cellStyle name="Millares 82" xfId="41002"/>
    <cellStyle name="Millares 83" xfId="41003"/>
    <cellStyle name="Millares 84" xfId="41004"/>
    <cellStyle name="Millares 85" xfId="41005"/>
    <cellStyle name="Millares 86" xfId="41006"/>
    <cellStyle name="Millares 87" xfId="41007"/>
    <cellStyle name="Millares 88" xfId="41009"/>
    <cellStyle name="Millares 89" xfId="41010"/>
    <cellStyle name="Millares 9" xfId="4001"/>
    <cellStyle name="Millares 9 10" xfId="14411"/>
    <cellStyle name="Millares 9 11" xfId="14412"/>
    <cellStyle name="Millares 9 2" xfId="14413"/>
    <cellStyle name="Millares 9 2 2" xfId="14414"/>
    <cellStyle name="Millares 9 2 3" xfId="14415"/>
    <cellStyle name="Millares 9 2 4" xfId="14416"/>
    <cellStyle name="Millares 9 2 5" xfId="14417"/>
    <cellStyle name="Millares 9 2 6" xfId="14418"/>
    <cellStyle name="Millares 9 2 7" xfId="14419"/>
    <cellStyle name="Millares 9 3" xfId="14420"/>
    <cellStyle name="Millares 9 4" xfId="14421"/>
    <cellStyle name="Millares 9 5" xfId="14422"/>
    <cellStyle name="Millares 9 6" xfId="14423"/>
    <cellStyle name="Millares 9 7" xfId="14424"/>
    <cellStyle name="Millares 9 8" xfId="14425"/>
    <cellStyle name="Millares 9 9" xfId="14426"/>
    <cellStyle name="Millares 90" xfId="41011"/>
    <cellStyle name="Millares 91" xfId="41012"/>
    <cellStyle name="Millares 92" xfId="41013"/>
    <cellStyle name="Millares 93" xfId="41015"/>
    <cellStyle name="Millares 94" xfId="41017"/>
    <cellStyle name="Millares 95" xfId="41018"/>
    <cellStyle name="Millares 96" xfId="41019"/>
    <cellStyle name="Milliers [0]_CREATIVE" xfId="14427"/>
    <cellStyle name="Milliers_CREATIVE" xfId="14428"/>
    <cellStyle name="Moneda" xfId="11612" builtinId="4"/>
    <cellStyle name="Moneda [0]" xfId="40973" builtinId="7"/>
    <cellStyle name="Moneda [0] 10" xfId="14429"/>
    <cellStyle name="Moneda [0] 10 2" xfId="34867"/>
    <cellStyle name="Moneda [0] 2" xfId="4002"/>
    <cellStyle name="Moneda [0] 2 2" xfId="33217"/>
    <cellStyle name="Moneda [0] 2 3" xfId="34868"/>
    <cellStyle name="Moneda [0] 2 4" xfId="40945"/>
    <cellStyle name="Moneda [0] 3" xfId="4003"/>
    <cellStyle name="Moneda [0] 3 2" xfId="33218"/>
    <cellStyle name="Moneda [0] 3 3" xfId="34869"/>
    <cellStyle name="Moneda [0] 3 4" xfId="40946"/>
    <cellStyle name="Moneda [0] 4" xfId="4004"/>
    <cellStyle name="Moneda [0] 4 2" xfId="33219"/>
    <cellStyle name="Moneda [0] 4 3" xfId="34870"/>
    <cellStyle name="Moneda [0] 4 4" xfId="40947"/>
    <cellStyle name="Moneda [0] 5" xfId="4005"/>
    <cellStyle name="Moneda [0] 5 2" xfId="33220"/>
    <cellStyle name="Moneda [0] 5 3" xfId="34871"/>
    <cellStyle name="Moneda [0] 5 4" xfId="40948"/>
    <cellStyle name="Moneda [0] 6" xfId="4006"/>
    <cellStyle name="Moneda [0] 6 2" xfId="33221"/>
    <cellStyle name="Moneda [0] 6 3" xfId="34872"/>
    <cellStyle name="Moneda [0] 6 4" xfId="40949"/>
    <cellStyle name="Moneda [0] 7" xfId="4007"/>
    <cellStyle name="Moneda [0] 7 2" xfId="33222"/>
    <cellStyle name="Moneda [0] 7 3" xfId="34873"/>
    <cellStyle name="Moneda [0] 7 4" xfId="40950"/>
    <cellStyle name="Moneda [0] 8" xfId="4008"/>
    <cellStyle name="Moneda [0] 9" xfId="4009"/>
    <cellStyle name="Moneda 10" xfId="14430"/>
    <cellStyle name="Moneda 10 2" xfId="34874"/>
    <cellStyle name="Moneda 11" xfId="14431"/>
    <cellStyle name="Moneda 11 2" xfId="30930"/>
    <cellStyle name="Moneda 12" xfId="14432"/>
    <cellStyle name="Moneda 12 2" xfId="30931"/>
    <cellStyle name="Moneda 13" xfId="14433"/>
    <cellStyle name="Moneda 13 2" xfId="30932"/>
    <cellStyle name="Moneda 2" xfId="4010"/>
    <cellStyle name="Moneda 2 2" xfId="14434"/>
    <cellStyle name="Moneda 2 2 2" xfId="30933"/>
    <cellStyle name="Moneda 2 2 3" xfId="34875"/>
    <cellStyle name="Moneda 2 3" xfId="14435"/>
    <cellStyle name="Moneda 2 3 2" xfId="30934"/>
    <cellStyle name="Moneda 2 4" xfId="33223"/>
    <cellStyle name="Moneda 3" xfId="4011"/>
    <cellStyle name="Moneda 3 2" xfId="4012"/>
    <cellStyle name="Moneda 3 3" xfId="14436"/>
    <cellStyle name="Moneda 3 3 2" xfId="34876"/>
    <cellStyle name="Moneda 4" xfId="14437"/>
    <cellStyle name="Moneda 5" xfId="14438"/>
    <cellStyle name="Moneda 5 2" xfId="30935"/>
    <cellStyle name="Moneda 6" xfId="14439"/>
    <cellStyle name="Moneda 6 2" xfId="30936"/>
    <cellStyle name="Moneda 7" xfId="14440"/>
    <cellStyle name="Moneda 7 2" xfId="30937"/>
    <cellStyle name="Moneda 8" xfId="14441"/>
    <cellStyle name="Moneda 8 2" xfId="30938"/>
    <cellStyle name="Moneda 9" xfId="14442"/>
    <cellStyle name="Moneda 9 2" xfId="30939"/>
    <cellStyle name="Monétaire [0]_CREATIVE" xfId="14443"/>
    <cellStyle name="Monétaire_CREATIVE" xfId="14444"/>
    <cellStyle name="MS_Arabic" xfId="14445"/>
    <cellStyle name="Neutral 2" xfId="14446"/>
    <cellStyle name="Neutral 2 2" xfId="14447"/>
    <cellStyle name="Neutral 2 3" xfId="34878"/>
    <cellStyle name="Neutral 2 4" xfId="34877"/>
    <cellStyle name="Neutral 3" xfId="14448"/>
    <cellStyle name="Neutral 3 2" xfId="14449"/>
    <cellStyle name="Neutral 3 3" xfId="34879"/>
    <cellStyle name="Neutral 4" xfId="14450"/>
    <cellStyle name="Neutral 4 2" xfId="14451"/>
    <cellStyle name="Neutral 5 2" xfId="14452"/>
    <cellStyle name="Neutral 6 2" xfId="14453"/>
    <cellStyle name="Neutral 7 2" xfId="14454"/>
    <cellStyle name="Neutral 8 2" xfId="14455"/>
    <cellStyle name="Neutral 9 2" xfId="14456"/>
    <cellStyle name="no dec" xfId="14457"/>
    <cellStyle name="Normal" xfId="0" builtinId="0"/>
    <cellStyle name="Normal - Style1" xfId="16"/>
    <cellStyle name="Normal - Style1 10" xfId="14458"/>
    <cellStyle name="Normal - Style1 10 2" xfId="34880"/>
    <cellStyle name="Normal - Style1 11" xfId="14459"/>
    <cellStyle name="Normal - Style1 11 2" xfId="34881"/>
    <cellStyle name="Normal - Style1 12" xfId="14460"/>
    <cellStyle name="Normal - Style1 12 2" xfId="34882"/>
    <cellStyle name="Normal - Style1 13" xfId="14461"/>
    <cellStyle name="Normal - Style1 13 2" xfId="34883"/>
    <cellStyle name="Normal - Style1 14" xfId="14462"/>
    <cellStyle name="Normal - Style1 14 2" xfId="34884"/>
    <cellStyle name="Normal - Style1 15" xfId="14463"/>
    <cellStyle name="Normal - Style1 15 2" xfId="34885"/>
    <cellStyle name="Normal - Style1 16" xfId="14464"/>
    <cellStyle name="Normal - Style1 16 2" xfId="34886"/>
    <cellStyle name="Normal - Style1 17" xfId="14465"/>
    <cellStyle name="Normal - Style1 18" xfId="14466"/>
    <cellStyle name="Normal - Style1 2" xfId="14467"/>
    <cellStyle name="Normal - Style1 2 2" xfId="14468"/>
    <cellStyle name="Normal - Style1 2 2 2" xfId="34887"/>
    <cellStyle name="Normal - Style1 2 3" xfId="14469"/>
    <cellStyle name="Normal - Style1 2 3 2" xfId="34888"/>
    <cellStyle name="Normal - Style1 2 4" xfId="34889"/>
    <cellStyle name="Normal - Style1 3" xfId="14470"/>
    <cellStyle name="Normal - Style1 3 2" xfId="14471"/>
    <cellStyle name="Normal - Style1 3 2 2" xfId="34891"/>
    <cellStyle name="Normal - Style1 3 3" xfId="34892"/>
    <cellStyle name="Normal - Style1 3 3 2" xfId="34893"/>
    <cellStyle name="Normal - Style1 3 4" xfId="34894"/>
    <cellStyle name="Normal - Style1 3 5" xfId="34890"/>
    <cellStyle name="Normal - Style1 4" xfId="14472"/>
    <cellStyle name="Normal - Style1 4 2" xfId="14473"/>
    <cellStyle name="Normal - Style1 4 2 2" xfId="34895"/>
    <cellStyle name="Normal - Style1 4 3" xfId="34896"/>
    <cellStyle name="Normal - Style1 5" xfId="14474"/>
    <cellStyle name="Normal - Style1 5 2" xfId="14475"/>
    <cellStyle name="Normal - Style1 5 2 2" xfId="34897"/>
    <cellStyle name="Normal - Style1 5 3" xfId="34898"/>
    <cellStyle name="Normal - Style1 6" xfId="14476"/>
    <cellStyle name="Normal - Style1 6 2" xfId="14477"/>
    <cellStyle name="Normal - Style1 6 2 2" xfId="34899"/>
    <cellStyle name="Normal - Style1 6 3" xfId="34900"/>
    <cellStyle name="Normal - Style1 7" xfId="14478"/>
    <cellStyle name="Normal - Style1 7 2" xfId="14479"/>
    <cellStyle name="Normal - Style1 7 2 2" xfId="34901"/>
    <cellStyle name="Normal - Style1 7 3" xfId="34902"/>
    <cellStyle name="Normal - Style1 8" xfId="14480"/>
    <cellStyle name="Normal - Style1 8 2" xfId="14481"/>
    <cellStyle name="Normal - Style1 8 2 2" xfId="34903"/>
    <cellStyle name="Normal - Style1 8 3" xfId="34904"/>
    <cellStyle name="Normal - Style1 9" xfId="14482"/>
    <cellStyle name="Normal - Style1 9 2" xfId="14483"/>
    <cellStyle name="Normal - Style1 9 2 2" xfId="34905"/>
    <cellStyle name="Normal - Style1 9 3" xfId="34906"/>
    <cellStyle name="Normal - Style1_1.Cuadro 1A TEMPRANILLO-1 Mayo-08" xfId="14484"/>
    <cellStyle name="Normal 10" xfId="4013"/>
    <cellStyle name="Normal 10 2" xfId="4014"/>
    <cellStyle name="Normal 10 2 10" xfId="14485"/>
    <cellStyle name="Normal 10 2 10 2" xfId="14486"/>
    <cellStyle name="Normal 10 2 10 2 2" xfId="14487"/>
    <cellStyle name="Normal 10 2 10 2 3" xfId="14488"/>
    <cellStyle name="Normal 10 2 10 2 4" xfId="14489"/>
    <cellStyle name="Normal 10 2 10 2 5" xfId="14490"/>
    <cellStyle name="Normal 10 2 10 2 6" xfId="14491"/>
    <cellStyle name="Normal 10 2 10 2 7" xfId="14492"/>
    <cellStyle name="Normal 10 2 10 3" xfId="14493"/>
    <cellStyle name="Normal 10 2 10 4" xfId="14494"/>
    <cellStyle name="Normal 10 2 10 5" xfId="14495"/>
    <cellStyle name="Normal 10 2 10 6" xfId="14496"/>
    <cellStyle name="Normal 10 2 10 7" xfId="14497"/>
    <cellStyle name="Normal 10 2 10 8" xfId="14498"/>
    <cellStyle name="Normal 10 2 11" xfId="14499"/>
    <cellStyle name="Normal 10 2 11 2" xfId="14500"/>
    <cellStyle name="Normal 10 2 11 2 2" xfId="14501"/>
    <cellStyle name="Normal 10 2 11 2 3" xfId="14502"/>
    <cellStyle name="Normal 10 2 11 2 4" xfId="14503"/>
    <cellStyle name="Normal 10 2 11 2 5" xfId="14504"/>
    <cellStyle name="Normal 10 2 11 2 6" xfId="14505"/>
    <cellStyle name="Normal 10 2 11 2 7" xfId="14506"/>
    <cellStyle name="Normal 10 2 11 3" xfId="14507"/>
    <cellStyle name="Normal 10 2 11 4" xfId="14508"/>
    <cellStyle name="Normal 10 2 11 5" xfId="14509"/>
    <cellStyle name="Normal 10 2 11 6" xfId="14510"/>
    <cellStyle name="Normal 10 2 11 7" xfId="14511"/>
    <cellStyle name="Normal 10 2 11 8" xfId="14512"/>
    <cellStyle name="Normal 10 2 12" xfId="14513"/>
    <cellStyle name="Normal 10 2 12 2" xfId="14514"/>
    <cellStyle name="Normal 10 2 12 2 2" xfId="14515"/>
    <cellStyle name="Normal 10 2 12 2 3" xfId="14516"/>
    <cellStyle name="Normal 10 2 12 2 4" xfId="14517"/>
    <cellStyle name="Normal 10 2 12 2 5" xfId="14518"/>
    <cellStyle name="Normal 10 2 12 2 6" xfId="14519"/>
    <cellStyle name="Normal 10 2 12 2 7" xfId="14520"/>
    <cellStyle name="Normal 10 2 12 3" xfId="14521"/>
    <cellStyle name="Normal 10 2 12 4" xfId="14522"/>
    <cellStyle name="Normal 10 2 12 5" xfId="14523"/>
    <cellStyle name="Normal 10 2 12 6" xfId="14524"/>
    <cellStyle name="Normal 10 2 12 7" xfId="14525"/>
    <cellStyle name="Normal 10 2 12 8" xfId="14526"/>
    <cellStyle name="Normal 10 2 13" xfId="14527"/>
    <cellStyle name="Normal 10 2 13 2" xfId="14528"/>
    <cellStyle name="Normal 10 2 13 2 2" xfId="14529"/>
    <cellStyle name="Normal 10 2 13 2 3" xfId="14530"/>
    <cellStyle name="Normal 10 2 13 2 4" xfId="14531"/>
    <cellStyle name="Normal 10 2 13 2 5" xfId="14532"/>
    <cellStyle name="Normal 10 2 13 2 6" xfId="14533"/>
    <cellStyle name="Normal 10 2 13 2 7" xfId="14534"/>
    <cellStyle name="Normal 10 2 13 3" xfId="14535"/>
    <cellStyle name="Normal 10 2 13 4" xfId="14536"/>
    <cellStyle name="Normal 10 2 13 5" xfId="14537"/>
    <cellStyle name="Normal 10 2 13 6" xfId="14538"/>
    <cellStyle name="Normal 10 2 13 7" xfId="14539"/>
    <cellStyle name="Normal 10 2 13 8" xfId="14540"/>
    <cellStyle name="Normal 10 2 14" xfId="14541"/>
    <cellStyle name="Normal 10 2 14 2" xfId="14542"/>
    <cellStyle name="Normal 10 2 14 2 2" xfId="14543"/>
    <cellStyle name="Normal 10 2 14 2 3" xfId="14544"/>
    <cellStyle name="Normal 10 2 14 2 4" xfId="14545"/>
    <cellStyle name="Normal 10 2 14 2 5" xfId="14546"/>
    <cellStyle name="Normal 10 2 14 2 6" xfId="14547"/>
    <cellStyle name="Normal 10 2 14 2 7" xfId="14548"/>
    <cellStyle name="Normal 10 2 14 3" xfId="14549"/>
    <cellStyle name="Normal 10 2 14 4" xfId="14550"/>
    <cellStyle name="Normal 10 2 14 5" xfId="14551"/>
    <cellStyle name="Normal 10 2 14 6" xfId="14552"/>
    <cellStyle name="Normal 10 2 14 7" xfId="14553"/>
    <cellStyle name="Normal 10 2 14 8" xfId="14554"/>
    <cellStyle name="Normal 10 2 15" xfId="14555"/>
    <cellStyle name="Normal 10 2 15 2" xfId="14556"/>
    <cellStyle name="Normal 10 2 15 2 2" xfId="14557"/>
    <cellStyle name="Normal 10 2 15 2 3" xfId="14558"/>
    <cellStyle name="Normal 10 2 15 2 4" xfId="14559"/>
    <cellStyle name="Normal 10 2 15 2 5" xfId="14560"/>
    <cellStyle name="Normal 10 2 15 2 6" xfId="14561"/>
    <cellStyle name="Normal 10 2 15 2 7" xfId="14562"/>
    <cellStyle name="Normal 10 2 15 3" xfId="14563"/>
    <cellStyle name="Normal 10 2 15 4" xfId="14564"/>
    <cellStyle name="Normal 10 2 15 5" xfId="14565"/>
    <cellStyle name="Normal 10 2 15 6" xfId="14566"/>
    <cellStyle name="Normal 10 2 15 7" xfId="14567"/>
    <cellStyle name="Normal 10 2 15 8" xfId="14568"/>
    <cellStyle name="Normal 10 2 16" xfId="14569"/>
    <cellStyle name="Normal 10 2 16 2" xfId="14570"/>
    <cellStyle name="Normal 10 2 16 3" xfId="14571"/>
    <cellStyle name="Normal 10 2 16 4" xfId="14572"/>
    <cellStyle name="Normal 10 2 16 5" xfId="14573"/>
    <cellStyle name="Normal 10 2 16 6" xfId="14574"/>
    <cellStyle name="Normal 10 2 16 7" xfId="14575"/>
    <cellStyle name="Normal 10 2 17" xfId="14576"/>
    <cellStyle name="Normal 10 2 17 2" xfId="14577"/>
    <cellStyle name="Normal 10 2 17 3" xfId="14578"/>
    <cellStyle name="Normal 10 2 17 4" xfId="14579"/>
    <cellStyle name="Normal 10 2 17 5" xfId="14580"/>
    <cellStyle name="Normal 10 2 17 6" xfId="14581"/>
    <cellStyle name="Normal 10 2 17 7" xfId="14582"/>
    <cellStyle name="Normal 10 2 18" xfId="14583"/>
    <cellStyle name="Normal 10 2 18 2" xfId="14584"/>
    <cellStyle name="Normal 10 2 18 3" xfId="14585"/>
    <cellStyle name="Normal 10 2 18 4" xfId="14586"/>
    <cellStyle name="Normal 10 2 18 5" xfId="14587"/>
    <cellStyle name="Normal 10 2 18 6" xfId="14588"/>
    <cellStyle name="Normal 10 2 18 7" xfId="14589"/>
    <cellStyle name="Normal 10 2 19" xfId="14590"/>
    <cellStyle name="Normal 10 2 19 2" xfId="14591"/>
    <cellStyle name="Normal 10 2 19 3" xfId="14592"/>
    <cellStyle name="Normal 10 2 19 4" xfId="14593"/>
    <cellStyle name="Normal 10 2 19 5" xfId="14594"/>
    <cellStyle name="Normal 10 2 19 6" xfId="14595"/>
    <cellStyle name="Normal 10 2 19 7" xfId="14596"/>
    <cellStyle name="Normal 10 2 2" xfId="14597"/>
    <cellStyle name="Normal 10 2 2 2" xfId="14598"/>
    <cellStyle name="Normal 10 2 2 2 2" xfId="14599"/>
    <cellStyle name="Normal 10 2 2 2 3" xfId="14600"/>
    <cellStyle name="Normal 10 2 2 2 4" xfId="14601"/>
    <cellStyle name="Normal 10 2 2 2 5" xfId="14602"/>
    <cellStyle name="Normal 10 2 2 2 6" xfId="14603"/>
    <cellStyle name="Normal 10 2 2 2 7" xfId="14604"/>
    <cellStyle name="Normal 10 2 2 3" xfId="14605"/>
    <cellStyle name="Normal 10 2 2 4" xfId="14606"/>
    <cellStyle name="Normal 10 2 2 5" xfId="14607"/>
    <cellStyle name="Normal 10 2 2 6" xfId="14608"/>
    <cellStyle name="Normal 10 2 2 7" xfId="14609"/>
    <cellStyle name="Normal 10 2 2 8" xfId="14610"/>
    <cellStyle name="Normal 10 2 2 9" xfId="14611"/>
    <cellStyle name="Normal 10 2 20" xfId="14612"/>
    <cellStyle name="Normal 10 2 20 2" xfId="14613"/>
    <cellStyle name="Normal 10 2 20 3" xfId="14614"/>
    <cellStyle name="Normal 10 2 20 4" xfId="14615"/>
    <cellStyle name="Normal 10 2 20 5" xfId="14616"/>
    <cellStyle name="Normal 10 2 20 6" xfId="14617"/>
    <cellStyle name="Normal 10 2 20 7" xfId="14618"/>
    <cellStyle name="Normal 10 2 21" xfId="14619"/>
    <cellStyle name="Normal 10 2 21 2" xfId="14620"/>
    <cellStyle name="Normal 10 2 21 3" xfId="14621"/>
    <cellStyle name="Normal 10 2 21 4" xfId="14622"/>
    <cellStyle name="Normal 10 2 21 5" xfId="14623"/>
    <cellStyle name="Normal 10 2 21 6" xfId="14624"/>
    <cellStyle name="Normal 10 2 21 7" xfId="14625"/>
    <cellStyle name="Normal 10 2 22" xfId="14626"/>
    <cellStyle name="Normal 10 2 22 2" xfId="14627"/>
    <cellStyle name="Normal 10 2 22 3" xfId="14628"/>
    <cellStyle name="Normal 10 2 22 4" xfId="14629"/>
    <cellStyle name="Normal 10 2 22 5" xfId="14630"/>
    <cellStyle name="Normal 10 2 22 6" xfId="14631"/>
    <cellStyle name="Normal 10 2 22 7" xfId="14632"/>
    <cellStyle name="Normal 10 2 23" xfId="14633"/>
    <cellStyle name="Normal 10 2 23 2" xfId="14634"/>
    <cellStyle name="Normal 10 2 23 3" xfId="14635"/>
    <cellStyle name="Normal 10 2 23 4" xfId="14636"/>
    <cellStyle name="Normal 10 2 23 5" xfId="14637"/>
    <cellStyle name="Normal 10 2 23 6" xfId="14638"/>
    <cellStyle name="Normal 10 2 23 7" xfId="14639"/>
    <cellStyle name="Normal 10 2 24" xfId="14640"/>
    <cellStyle name="Normal 10 2 24 2" xfId="14641"/>
    <cellStyle name="Normal 10 2 24 3" xfId="14642"/>
    <cellStyle name="Normal 10 2 24 4" xfId="14643"/>
    <cellStyle name="Normal 10 2 24 5" xfId="14644"/>
    <cellStyle name="Normal 10 2 24 6" xfId="14645"/>
    <cellStyle name="Normal 10 2 24 7" xfId="14646"/>
    <cellStyle name="Normal 10 2 25" xfId="14647"/>
    <cellStyle name="Normal 10 2 25 2" xfId="14648"/>
    <cellStyle name="Normal 10 2 25 3" xfId="14649"/>
    <cellStyle name="Normal 10 2 25 4" xfId="14650"/>
    <cellStyle name="Normal 10 2 25 5" xfId="14651"/>
    <cellStyle name="Normal 10 2 25 6" xfId="14652"/>
    <cellStyle name="Normal 10 2 25 7" xfId="14653"/>
    <cellStyle name="Normal 10 2 26" xfId="14654"/>
    <cellStyle name="Normal 10 2 26 2" xfId="14655"/>
    <cellStyle name="Normal 10 2 26 3" xfId="14656"/>
    <cellStyle name="Normal 10 2 26 4" xfId="14657"/>
    <cellStyle name="Normal 10 2 26 5" xfId="14658"/>
    <cellStyle name="Normal 10 2 26 6" xfId="14659"/>
    <cellStyle name="Normal 10 2 26 7" xfId="14660"/>
    <cellStyle name="Normal 10 2 27" xfId="14661"/>
    <cellStyle name="Normal 10 2 27 2" xfId="14662"/>
    <cellStyle name="Normal 10 2 27 3" xfId="14663"/>
    <cellStyle name="Normal 10 2 27 4" xfId="14664"/>
    <cellStyle name="Normal 10 2 27 5" xfId="14665"/>
    <cellStyle name="Normal 10 2 27 6" xfId="14666"/>
    <cellStyle name="Normal 10 2 27 7" xfId="14667"/>
    <cellStyle name="Normal 10 2 28" xfId="14668"/>
    <cellStyle name="Normal 10 2 28 2" xfId="14669"/>
    <cellStyle name="Normal 10 2 28 3" xfId="14670"/>
    <cellStyle name="Normal 10 2 28 4" xfId="14671"/>
    <cellStyle name="Normal 10 2 28 5" xfId="14672"/>
    <cellStyle name="Normal 10 2 28 6" xfId="14673"/>
    <cellStyle name="Normal 10 2 28 7" xfId="14674"/>
    <cellStyle name="Normal 10 2 29" xfId="14675"/>
    <cellStyle name="Normal 10 2 29 2" xfId="14676"/>
    <cellStyle name="Normal 10 2 29 3" xfId="14677"/>
    <cellStyle name="Normal 10 2 29 4" xfId="14678"/>
    <cellStyle name="Normal 10 2 29 5" xfId="14679"/>
    <cellStyle name="Normal 10 2 29 6" xfId="14680"/>
    <cellStyle name="Normal 10 2 29 7" xfId="14681"/>
    <cellStyle name="Normal 10 2 3" xfId="14682"/>
    <cellStyle name="Normal 10 2 3 2" xfId="14683"/>
    <cellStyle name="Normal 10 2 3 2 2" xfId="14684"/>
    <cellStyle name="Normal 10 2 3 2 3" xfId="14685"/>
    <cellStyle name="Normal 10 2 3 2 4" xfId="14686"/>
    <cellStyle name="Normal 10 2 3 2 5" xfId="14687"/>
    <cellStyle name="Normal 10 2 3 2 6" xfId="14688"/>
    <cellStyle name="Normal 10 2 3 2 7" xfId="14689"/>
    <cellStyle name="Normal 10 2 3 3" xfId="14690"/>
    <cellStyle name="Normal 10 2 3 4" xfId="14691"/>
    <cellStyle name="Normal 10 2 3 5" xfId="14692"/>
    <cellStyle name="Normal 10 2 3 6" xfId="14693"/>
    <cellStyle name="Normal 10 2 3 7" xfId="14694"/>
    <cellStyle name="Normal 10 2 3 8" xfId="14695"/>
    <cellStyle name="Normal 10 2 30" xfId="14696"/>
    <cellStyle name="Normal 10 2 30 2" xfId="14697"/>
    <cellStyle name="Normal 10 2 30 3" xfId="14698"/>
    <cellStyle name="Normal 10 2 30 4" xfId="14699"/>
    <cellStyle name="Normal 10 2 30 5" xfId="14700"/>
    <cellStyle name="Normal 10 2 30 6" xfId="14701"/>
    <cellStyle name="Normal 10 2 30 7" xfId="14702"/>
    <cellStyle name="Normal 10 2 31" xfId="14703"/>
    <cellStyle name="Normal 10 2 31 2" xfId="14704"/>
    <cellStyle name="Normal 10 2 31 3" xfId="14705"/>
    <cellStyle name="Normal 10 2 31 4" xfId="14706"/>
    <cellStyle name="Normal 10 2 31 5" xfId="14707"/>
    <cellStyle name="Normal 10 2 31 6" xfId="14708"/>
    <cellStyle name="Normal 10 2 31 7" xfId="14709"/>
    <cellStyle name="Normal 10 2 32" xfId="14710"/>
    <cellStyle name="Normal 10 2 32 2" xfId="14711"/>
    <cellStyle name="Normal 10 2 32 3" xfId="14712"/>
    <cellStyle name="Normal 10 2 32 4" xfId="14713"/>
    <cellStyle name="Normal 10 2 32 5" xfId="14714"/>
    <cellStyle name="Normal 10 2 32 6" xfId="14715"/>
    <cellStyle name="Normal 10 2 32 7" xfId="14716"/>
    <cellStyle name="Normal 10 2 33" xfId="14717"/>
    <cellStyle name="Normal 10 2 33 2" xfId="14718"/>
    <cellStyle name="Normal 10 2 33 3" xfId="14719"/>
    <cellStyle name="Normal 10 2 33 4" xfId="14720"/>
    <cellStyle name="Normal 10 2 33 5" xfId="14721"/>
    <cellStyle name="Normal 10 2 33 6" xfId="14722"/>
    <cellStyle name="Normal 10 2 33 7" xfId="14723"/>
    <cellStyle name="Normal 10 2 34" xfId="14724"/>
    <cellStyle name="Normal 10 2 34 2" xfId="14725"/>
    <cellStyle name="Normal 10 2 34 3" xfId="14726"/>
    <cellStyle name="Normal 10 2 34 4" xfId="14727"/>
    <cellStyle name="Normal 10 2 34 5" xfId="14728"/>
    <cellStyle name="Normal 10 2 34 6" xfId="14729"/>
    <cellStyle name="Normal 10 2 34 7" xfId="14730"/>
    <cellStyle name="Normal 10 2 35" xfId="14731"/>
    <cellStyle name="Normal 10 2 35 2" xfId="14732"/>
    <cellStyle name="Normal 10 2 35 3" xfId="14733"/>
    <cellStyle name="Normal 10 2 35 4" xfId="14734"/>
    <cellStyle name="Normal 10 2 35 5" xfId="14735"/>
    <cellStyle name="Normal 10 2 35 6" xfId="14736"/>
    <cellStyle name="Normal 10 2 35 7" xfId="14737"/>
    <cellStyle name="Normal 10 2 36" xfId="14738"/>
    <cellStyle name="Normal 10 2 37" xfId="14739"/>
    <cellStyle name="Normal 10 2 38" xfId="14740"/>
    <cellStyle name="Normal 10 2 39" xfId="14741"/>
    <cellStyle name="Normal 10 2 4" xfId="14742"/>
    <cellStyle name="Normal 10 2 4 2" xfId="14743"/>
    <cellStyle name="Normal 10 2 4 2 2" xfId="14744"/>
    <cellStyle name="Normal 10 2 4 2 3" xfId="14745"/>
    <cellStyle name="Normal 10 2 4 2 4" xfId="14746"/>
    <cellStyle name="Normal 10 2 4 2 5" xfId="14747"/>
    <cellStyle name="Normal 10 2 4 2 6" xfId="14748"/>
    <cellStyle name="Normal 10 2 4 2 7" xfId="14749"/>
    <cellStyle name="Normal 10 2 4 3" xfId="14750"/>
    <cellStyle name="Normal 10 2 4 4" xfId="14751"/>
    <cellStyle name="Normal 10 2 4 5" xfId="14752"/>
    <cellStyle name="Normal 10 2 4 6" xfId="14753"/>
    <cellStyle name="Normal 10 2 4 7" xfId="14754"/>
    <cellStyle name="Normal 10 2 4 8" xfId="14755"/>
    <cellStyle name="Normal 10 2 40" xfId="14756"/>
    <cellStyle name="Normal 10 2 41" xfId="14757"/>
    <cellStyle name="Normal 10 2 42" xfId="14758"/>
    <cellStyle name="Normal 10 2 43" xfId="14759"/>
    <cellStyle name="Normal 10 2 44" xfId="14760"/>
    <cellStyle name="Normal 10 2 5" xfId="14761"/>
    <cellStyle name="Normal 10 2 5 2" xfId="14762"/>
    <cellStyle name="Normal 10 2 5 2 2" xfId="14763"/>
    <cellStyle name="Normal 10 2 5 2 3" xfId="14764"/>
    <cellStyle name="Normal 10 2 5 2 4" xfId="14765"/>
    <cellStyle name="Normal 10 2 5 2 5" xfId="14766"/>
    <cellStyle name="Normal 10 2 5 2 6" xfId="14767"/>
    <cellStyle name="Normal 10 2 5 2 7" xfId="14768"/>
    <cellStyle name="Normal 10 2 5 3" xfId="14769"/>
    <cellStyle name="Normal 10 2 5 4" xfId="14770"/>
    <cellStyle name="Normal 10 2 5 5" xfId="14771"/>
    <cellStyle name="Normal 10 2 5 6" xfId="14772"/>
    <cellStyle name="Normal 10 2 5 7" xfId="14773"/>
    <cellStyle name="Normal 10 2 5 8" xfId="14774"/>
    <cellStyle name="Normal 10 2 6" xfId="14775"/>
    <cellStyle name="Normal 10 2 6 2" xfId="14776"/>
    <cellStyle name="Normal 10 2 6 2 2" xfId="14777"/>
    <cellStyle name="Normal 10 2 6 2 3" xfId="14778"/>
    <cellStyle name="Normal 10 2 6 2 4" xfId="14779"/>
    <cellStyle name="Normal 10 2 6 2 5" xfId="14780"/>
    <cellStyle name="Normal 10 2 6 2 6" xfId="14781"/>
    <cellStyle name="Normal 10 2 6 2 7" xfId="14782"/>
    <cellStyle name="Normal 10 2 6 3" xfId="14783"/>
    <cellStyle name="Normal 10 2 6 4" xfId="14784"/>
    <cellStyle name="Normal 10 2 6 5" xfId="14785"/>
    <cellStyle name="Normal 10 2 6 6" xfId="14786"/>
    <cellStyle name="Normal 10 2 6 7" xfId="14787"/>
    <cellStyle name="Normal 10 2 6 8" xfId="14788"/>
    <cellStyle name="Normal 10 2 7" xfId="14789"/>
    <cellStyle name="Normal 10 2 7 2" xfId="14790"/>
    <cellStyle name="Normal 10 2 7 2 2" xfId="14791"/>
    <cellStyle name="Normal 10 2 7 2 3" xfId="14792"/>
    <cellStyle name="Normal 10 2 7 2 4" xfId="14793"/>
    <cellStyle name="Normal 10 2 7 2 5" xfId="14794"/>
    <cellStyle name="Normal 10 2 7 2 6" xfId="14795"/>
    <cellStyle name="Normal 10 2 7 2 7" xfId="14796"/>
    <cellStyle name="Normal 10 2 7 3" xfId="14797"/>
    <cellStyle name="Normal 10 2 7 4" xfId="14798"/>
    <cellStyle name="Normal 10 2 7 5" xfId="14799"/>
    <cellStyle name="Normal 10 2 7 6" xfId="14800"/>
    <cellStyle name="Normal 10 2 7 7" xfId="14801"/>
    <cellStyle name="Normal 10 2 7 8" xfId="14802"/>
    <cellStyle name="Normal 10 2 8" xfId="14803"/>
    <cellStyle name="Normal 10 2 8 2" xfId="14804"/>
    <cellStyle name="Normal 10 2 8 2 2" xfId="14805"/>
    <cellStyle name="Normal 10 2 8 2 3" xfId="14806"/>
    <cellStyle name="Normal 10 2 8 2 4" xfId="14807"/>
    <cellStyle name="Normal 10 2 8 2 5" xfId="14808"/>
    <cellStyle name="Normal 10 2 8 2 6" xfId="14809"/>
    <cellStyle name="Normal 10 2 8 2 7" xfId="14810"/>
    <cellStyle name="Normal 10 2 8 3" xfId="14811"/>
    <cellStyle name="Normal 10 2 8 4" xfId="14812"/>
    <cellStyle name="Normal 10 2 8 5" xfId="14813"/>
    <cellStyle name="Normal 10 2 8 6" xfId="14814"/>
    <cellStyle name="Normal 10 2 8 7" xfId="14815"/>
    <cellStyle name="Normal 10 2 8 8" xfId="14816"/>
    <cellStyle name="Normal 10 2 9" xfId="14817"/>
    <cellStyle name="Normal 10 2 9 2" xfId="14818"/>
    <cellStyle name="Normal 10 2 9 2 2" xfId="14819"/>
    <cellStyle name="Normal 10 2 9 2 3" xfId="14820"/>
    <cellStyle name="Normal 10 2 9 2 4" xfId="14821"/>
    <cellStyle name="Normal 10 2 9 2 5" xfId="14822"/>
    <cellStyle name="Normal 10 2 9 2 6" xfId="14823"/>
    <cellStyle name="Normal 10 2 9 2 7" xfId="14824"/>
    <cellStyle name="Normal 10 2 9 3" xfId="14825"/>
    <cellStyle name="Normal 10 2 9 4" xfId="14826"/>
    <cellStyle name="Normal 10 2 9 5" xfId="14827"/>
    <cellStyle name="Normal 10 2 9 6" xfId="14828"/>
    <cellStyle name="Normal 10 2 9 7" xfId="14829"/>
    <cellStyle name="Normal 10 2 9 8" xfId="14830"/>
    <cellStyle name="Normal 10 3" xfId="4015"/>
    <cellStyle name="Normal 10 3 2" xfId="14831"/>
    <cellStyle name="Normal 10 3 2 2" xfId="34907"/>
    <cellStyle name="Normal 10 3 3" xfId="14832"/>
    <cellStyle name="Normal 10 3 4" xfId="14833"/>
    <cellStyle name="Normal 10 3 5" xfId="14834"/>
    <cellStyle name="Normal 10 4" xfId="4016"/>
    <cellStyle name="Normal 10 4 2" xfId="14835"/>
    <cellStyle name="Normal 10 4 2 2" xfId="33630"/>
    <cellStyle name="Normal 10 4 3" xfId="14836"/>
    <cellStyle name="Normal 10 5" xfId="4017"/>
    <cellStyle name="Normal 10 5 2" xfId="14837"/>
    <cellStyle name="Normal 10 6" xfId="14838"/>
    <cellStyle name="Normal 10 7" xfId="14839"/>
    <cellStyle name="Normal 100" xfId="14840"/>
    <cellStyle name="Normal 101" xfId="14841"/>
    <cellStyle name="Normal 102" xfId="14842"/>
    <cellStyle name="Normal 102 2" xfId="14843"/>
    <cellStyle name="Normal 103" xfId="14844"/>
    <cellStyle name="Normal 103 2" xfId="14845"/>
    <cellStyle name="Normal 104" xfId="14846"/>
    <cellStyle name="Normal 104 2" xfId="14847"/>
    <cellStyle name="Normal 104 2 2" xfId="34908"/>
    <cellStyle name="Normal 104 3" xfId="34909"/>
    <cellStyle name="Normal 105" xfId="14848"/>
    <cellStyle name="Normal 105 2" xfId="14849"/>
    <cellStyle name="Normal 105 2 2" xfId="34910"/>
    <cellStyle name="Normal 105 3" xfId="34911"/>
    <cellStyle name="Normal 106" xfId="14850"/>
    <cellStyle name="Normal 106 2" xfId="14851"/>
    <cellStyle name="Normal 106 2 2" xfId="34912"/>
    <cellStyle name="Normal 106 3" xfId="34913"/>
    <cellStyle name="Normal 107" xfId="14852"/>
    <cellStyle name="Normal 107 2" xfId="14853"/>
    <cellStyle name="Normal 107 2 2" xfId="34914"/>
    <cellStyle name="Normal 107 3" xfId="34915"/>
    <cellStyle name="Normal 108" xfId="14854"/>
    <cellStyle name="Normal 108 2" xfId="14855"/>
    <cellStyle name="Normal 108 2 2" xfId="34916"/>
    <cellStyle name="Normal 108 3" xfId="34917"/>
    <cellStyle name="Normal 109" xfId="14856"/>
    <cellStyle name="Normal 109 2" xfId="14857"/>
    <cellStyle name="Normal 109 2 2" xfId="34918"/>
    <cellStyle name="Normal 109 3" xfId="34919"/>
    <cellStyle name="Normal 11" xfId="4018"/>
    <cellStyle name="Normal 11 2" xfId="4019"/>
    <cellStyle name="Normal 11 2 2" xfId="14858"/>
    <cellStyle name="Normal 11 2 3" xfId="14859"/>
    <cellStyle name="Normal 11 3" xfId="14860"/>
    <cellStyle name="Normal 11 3 2" xfId="14861"/>
    <cellStyle name="Normal 11 3 2 2" xfId="33631"/>
    <cellStyle name="Normal 11 3 2 3" xfId="34921"/>
    <cellStyle name="Normal 11 3 3" xfId="14862"/>
    <cellStyle name="Normal 11 3 4" xfId="34920"/>
    <cellStyle name="Normal 11 4" xfId="14863"/>
    <cellStyle name="Normal 11 4 2" xfId="14864"/>
    <cellStyle name="Normal 11 4 2 2" xfId="34923"/>
    <cellStyle name="Normal 11 4 3" xfId="34922"/>
    <cellStyle name="Normal 11 5" xfId="14865"/>
    <cellStyle name="Normal 11 5 2" xfId="34925"/>
    <cellStyle name="Normal 11 5 3" xfId="34924"/>
    <cellStyle name="Normal 11 6" xfId="14866"/>
    <cellStyle name="Normal 11 6 2" xfId="14867"/>
    <cellStyle name="Normal 11 6 3" xfId="34926"/>
    <cellStyle name="Normal 11 7" xfId="14868"/>
    <cellStyle name="Normal 110" xfId="14869"/>
    <cellStyle name="Normal 110 2" xfId="14870"/>
    <cellStyle name="Normal 110 2 2" xfId="34927"/>
    <cellStyle name="Normal 110 3" xfId="34928"/>
    <cellStyle name="Normal 111" xfId="14871"/>
    <cellStyle name="Normal 111 2" xfId="14872"/>
    <cellStyle name="Normal 111 2 2" xfId="34929"/>
    <cellStyle name="Normal 111 3" xfId="34930"/>
    <cellStyle name="Normal 112" xfId="14873"/>
    <cellStyle name="Normal 112 2" xfId="14874"/>
    <cellStyle name="Normal 112 2 2" xfId="34931"/>
    <cellStyle name="Normal 112 3" xfId="34932"/>
    <cellStyle name="Normal 113" xfId="14875"/>
    <cellStyle name="Normal 113 2" xfId="14876"/>
    <cellStyle name="Normal 113 2 2" xfId="34933"/>
    <cellStyle name="Normal 113 3" xfId="34934"/>
    <cellStyle name="Normal 114" xfId="14877"/>
    <cellStyle name="Normal 114 2" xfId="14878"/>
    <cellStyle name="Normal 114 2 2" xfId="34935"/>
    <cellStyle name="Normal 114 3" xfId="34936"/>
    <cellStyle name="Normal 115" xfId="14879"/>
    <cellStyle name="Normal 115 2" xfId="14880"/>
    <cellStyle name="Normal 115 2 2" xfId="34937"/>
    <cellStyle name="Normal 115 3" xfId="34938"/>
    <cellStyle name="Normal 116" xfId="14881"/>
    <cellStyle name="Normal 116 2" xfId="14882"/>
    <cellStyle name="Normal 116 2 2" xfId="34939"/>
    <cellStyle name="Normal 116 3" xfId="34940"/>
    <cellStyle name="Normal 117" xfId="14883"/>
    <cellStyle name="Normal 117 2" xfId="14884"/>
    <cellStyle name="Normal 117 2 2" xfId="34941"/>
    <cellStyle name="Normal 117 3" xfId="34942"/>
    <cellStyle name="Normal 118" xfId="14885"/>
    <cellStyle name="Normal 118 2" xfId="14886"/>
    <cellStyle name="Normal 118 2 2" xfId="34943"/>
    <cellStyle name="Normal 118 3" xfId="34944"/>
    <cellStyle name="Normal 119" xfId="14887"/>
    <cellStyle name="Normal 119 2" xfId="14888"/>
    <cellStyle name="Normal 119 2 2" xfId="34945"/>
    <cellStyle name="Normal 119 3" xfId="34946"/>
    <cellStyle name="Normal 12" xfId="4020"/>
    <cellStyle name="Normal 12 2" xfId="14889"/>
    <cellStyle name="Normal 12 2 2" xfId="34947"/>
    <cellStyle name="Normal 12 3" xfId="14890"/>
    <cellStyle name="Normal 12 3 2" xfId="34948"/>
    <cellStyle name="Normal 12 4" xfId="14891"/>
    <cellStyle name="Normal 12 4 2" xfId="14892"/>
    <cellStyle name="Normal 12 4 3" xfId="34949"/>
    <cellStyle name="Normal 120" xfId="14893"/>
    <cellStyle name="Normal 121" xfId="14894"/>
    <cellStyle name="Normal 122" xfId="14895"/>
    <cellStyle name="Normal 123" xfId="14896"/>
    <cellStyle name="Normal 123 2" xfId="14897"/>
    <cellStyle name="Normal 124" xfId="14898"/>
    <cellStyle name="Normal 124 2" xfId="14899"/>
    <cellStyle name="Normal 125" xfId="14900"/>
    <cellStyle name="Normal 125 2" xfId="14901"/>
    <cellStyle name="Normal 126" xfId="14902"/>
    <cellStyle name="Normal 126 2" xfId="14903"/>
    <cellStyle name="Normal 127" xfId="14904"/>
    <cellStyle name="Normal 127 2" xfId="14905"/>
    <cellStyle name="Normal 128" xfId="14906"/>
    <cellStyle name="Normal 128 2" xfId="14907"/>
    <cellStyle name="Normal 128 2 2" xfId="34950"/>
    <cellStyle name="Normal 128 3" xfId="34951"/>
    <cellStyle name="Normal 129" xfId="14908"/>
    <cellStyle name="Normal 129 10" xfId="14909"/>
    <cellStyle name="Normal 129 2" xfId="14910"/>
    <cellStyle name="Normal 129 2 2" xfId="34952"/>
    <cellStyle name="Normal 129 3" xfId="14911"/>
    <cellStyle name="Normal 129 3 2" xfId="14912"/>
    <cellStyle name="Normal 129 3 3" xfId="14913"/>
    <cellStyle name="Normal 129 3 4" xfId="14914"/>
    <cellStyle name="Normal 129 3 5" xfId="14915"/>
    <cellStyle name="Normal 129 3 6" xfId="14916"/>
    <cellStyle name="Normal 129 3 7" xfId="14917"/>
    <cellStyle name="Normal 129 3 8" xfId="34953"/>
    <cellStyle name="Normal 129 4" xfId="14918"/>
    <cellStyle name="Normal 129 5" xfId="14919"/>
    <cellStyle name="Normal 129 6" xfId="14920"/>
    <cellStyle name="Normal 129 7" xfId="14921"/>
    <cellStyle name="Normal 129 8" xfId="14922"/>
    <cellStyle name="Normal 129 9" xfId="14923"/>
    <cellStyle name="Normal 13" xfId="4021"/>
    <cellStyle name="Normal 13 2" xfId="14924"/>
    <cellStyle name="Normal 13 2 2" xfId="14925"/>
    <cellStyle name="Normal 13 2 2 2" xfId="33632"/>
    <cellStyle name="Normal 13 2 2 3" xfId="34955"/>
    <cellStyle name="Normal 13 2 3" xfId="14926"/>
    <cellStyle name="Normal 13 2 4" xfId="34954"/>
    <cellStyle name="Normal 13 3" xfId="14927"/>
    <cellStyle name="Normal 13 3 2" xfId="33633"/>
    <cellStyle name="Normal 13 3 2 2" xfId="34957"/>
    <cellStyle name="Normal 13 3 3" xfId="34956"/>
    <cellStyle name="Normal 13 4" xfId="14928"/>
    <cellStyle name="Normal 13 4 2" xfId="34958"/>
    <cellStyle name="Normal 13 5" xfId="14929"/>
    <cellStyle name="Normal 13 5 2" xfId="14930"/>
    <cellStyle name="Normal 130" xfId="14931"/>
    <cellStyle name="Normal 130 2" xfId="14932"/>
    <cellStyle name="Normal 130 2 2" xfId="34959"/>
    <cellStyle name="Normal 130 3" xfId="34960"/>
    <cellStyle name="Normal 131" xfId="14933"/>
    <cellStyle name="Normal 131 2" xfId="14934"/>
    <cellStyle name="Normal 131 2 2" xfId="34961"/>
    <cellStyle name="Normal 131 3" xfId="34962"/>
    <cellStyle name="Normal 132" xfId="14935"/>
    <cellStyle name="Normal 132 2" xfId="14936"/>
    <cellStyle name="Normal 132 2 2" xfId="34963"/>
    <cellStyle name="Normal 132 3" xfId="34964"/>
    <cellStyle name="Normal 133" xfId="14937"/>
    <cellStyle name="Normal 133 2" xfId="14938"/>
    <cellStyle name="Normal 133 2 2" xfId="34965"/>
    <cellStyle name="Normal 133 3" xfId="34966"/>
    <cellStyle name="Normal 134" xfId="14939"/>
    <cellStyle name="Normal 134 2" xfId="14940"/>
    <cellStyle name="Normal 134 2 2" xfId="34967"/>
    <cellStyle name="Normal 134 3" xfId="34968"/>
    <cellStyle name="Normal 135" xfId="14941"/>
    <cellStyle name="Normal 135 2" xfId="14942"/>
    <cellStyle name="Normal 135 2 2" xfId="34969"/>
    <cellStyle name="Normal 135 3" xfId="34970"/>
    <cellStyle name="Normal 136" xfId="14943"/>
    <cellStyle name="Normal 136 2" xfId="14944"/>
    <cellStyle name="Normal 136 2 2" xfId="34971"/>
    <cellStyle name="Normal 136 3" xfId="34972"/>
    <cellStyle name="Normal 137" xfId="14945"/>
    <cellStyle name="Normal 137 2" xfId="14946"/>
    <cellStyle name="Normal 137 2 2" xfId="34973"/>
    <cellStyle name="Normal 137 3" xfId="34974"/>
    <cellStyle name="Normal 138" xfId="14947"/>
    <cellStyle name="Normal 138 2" xfId="14948"/>
    <cellStyle name="Normal 138 2 2" xfId="34975"/>
    <cellStyle name="Normal 138 3" xfId="34976"/>
    <cellStyle name="Normal 139" xfId="14949"/>
    <cellStyle name="Normal 139 2" xfId="14950"/>
    <cellStyle name="Normal 139 2 2" xfId="34977"/>
    <cellStyle name="Normal 139 3" xfId="34978"/>
    <cellStyle name="Normal 14" xfId="4022"/>
    <cellStyle name="Normal 14 2" xfId="14951"/>
    <cellStyle name="Normal 14 2 2" xfId="14952"/>
    <cellStyle name="Normal 14 2 2 2" xfId="33634"/>
    <cellStyle name="Normal 14 2 2 3" xfId="34980"/>
    <cellStyle name="Normal 14 2 3" xfId="14953"/>
    <cellStyle name="Normal 14 2 4" xfId="34979"/>
    <cellStyle name="Normal 14 3" xfId="14954"/>
    <cellStyle name="Normal 14 3 2" xfId="14955"/>
    <cellStyle name="Normal 14 3 3" xfId="34981"/>
    <cellStyle name="Normal 14 4" xfId="14956"/>
    <cellStyle name="Normal 14 5" xfId="14957"/>
    <cellStyle name="Normal 140" xfId="14958"/>
    <cellStyle name="Normal 140 2" xfId="14959"/>
    <cellStyle name="Normal 140 2 2" xfId="34982"/>
    <cellStyle name="Normal 140 3" xfId="34983"/>
    <cellStyle name="Normal 141" xfId="14960"/>
    <cellStyle name="Normal 141 2" xfId="14961"/>
    <cellStyle name="Normal 141 2 2" xfId="34984"/>
    <cellStyle name="Normal 141 3" xfId="34985"/>
    <cellStyle name="Normal 142" xfId="14962"/>
    <cellStyle name="Normal 142 2" xfId="14963"/>
    <cellStyle name="Normal 142 2 2" xfId="34986"/>
    <cellStyle name="Normal 142 3" xfId="34987"/>
    <cellStyle name="Normal 143" xfId="14964"/>
    <cellStyle name="Normal 143 2" xfId="14965"/>
    <cellStyle name="Normal 143 2 2" xfId="34988"/>
    <cellStyle name="Normal 143 3" xfId="34989"/>
    <cellStyle name="Normal 144" xfId="14966"/>
    <cellStyle name="Normal 144 2" xfId="14967"/>
    <cellStyle name="Normal 144 2 2" xfId="34990"/>
    <cellStyle name="Normal 144 3" xfId="34991"/>
    <cellStyle name="Normal 145" xfId="14968"/>
    <cellStyle name="Normal 145 2" xfId="14969"/>
    <cellStyle name="Normal 145 2 2" xfId="34992"/>
    <cellStyle name="Normal 145 3" xfId="34993"/>
    <cellStyle name="Normal 146" xfId="14970"/>
    <cellStyle name="Normal 146 2" xfId="14971"/>
    <cellStyle name="Normal 146 2 2" xfId="34994"/>
    <cellStyle name="Normal 146 3" xfId="34995"/>
    <cellStyle name="Normal 147" xfId="14972"/>
    <cellStyle name="Normal 147 2" xfId="14973"/>
    <cellStyle name="Normal 148" xfId="14974"/>
    <cellStyle name="Normal 148 2" xfId="14975"/>
    <cellStyle name="Normal 149" xfId="14976"/>
    <cellStyle name="Normal 149 2" xfId="14977"/>
    <cellStyle name="Normal 15" xfId="4023"/>
    <cellStyle name="Normal 15 2" xfId="14978"/>
    <cellStyle name="Normal 15 2 2" xfId="14979"/>
    <cellStyle name="Normal 15 2 2 2" xfId="14980"/>
    <cellStyle name="Normal 15 2 3" xfId="14981"/>
    <cellStyle name="Normal 15 3" xfId="14982"/>
    <cellStyle name="Normal 15 3 2" xfId="14983"/>
    <cellStyle name="Normal 15 3 3" xfId="34996"/>
    <cellStyle name="Normal 15 4" xfId="14984"/>
    <cellStyle name="Normal 15 5" xfId="14985"/>
    <cellStyle name="Normal 150" xfId="14986"/>
    <cellStyle name="Normal 151" xfId="14987"/>
    <cellStyle name="Normal 152" xfId="14988"/>
    <cellStyle name="Normal 152 10" xfId="14989"/>
    <cellStyle name="Normal 152 2" xfId="14990"/>
    <cellStyle name="Normal 152 3" xfId="14991"/>
    <cellStyle name="Normal 152 3 2" xfId="14992"/>
    <cellStyle name="Normal 152 3 3" xfId="14993"/>
    <cellStyle name="Normal 152 3 4" xfId="14994"/>
    <cellStyle name="Normal 152 3 5" xfId="14995"/>
    <cellStyle name="Normal 152 3 6" xfId="14996"/>
    <cellStyle name="Normal 152 3 7" xfId="14997"/>
    <cellStyle name="Normal 152 4" xfId="14998"/>
    <cellStyle name="Normal 152 5" xfId="14999"/>
    <cellStyle name="Normal 152 6" xfId="15000"/>
    <cellStyle name="Normal 152 7" xfId="15001"/>
    <cellStyle name="Normal 152 8" xfId="15002"/>
    <cellStyle name="Normal 152 9" xfId="15003"/>
    <cellStyle name="Normal 153" xfId="15004"/>
    <cellStyle name="Normal 153 10" xfId="15005"/>
    <cellStyle name="Normal 153 2" xfId="15006"/>
    <cellStyle name="Normal 153 3" xfId="15007"/>
    <cellStyle name="Normal 153 3 2" xfId="15008"/>
    <cellStyle name="Normal 153 3 3" xfId="15009"/>
    <cellStyle name="Normal 153 3 4" xfId="15010"/>
    <cellStyle name="Normal 153 3 5" xfId="15011"/>
    <cellStyle name="Normal 153 3 6" xfId="15012"/>
    <cellStyle name="Normal 153 3 7" xfId="15013"/>
    <cellStyle name="Normal 153 4" xfId="15014"/>
    <cellStyle name="Normal 153 5" xfId="15015"/>
    <cellStyle name="Normal 153 6" xfId="15016"/>
    <cellStyle name="Normal 153 7" xfId="15017"/>
    <cellStyle name="Normal 153 8" xfId="15018"/>
    <cellStyle name="Normal 153 9" xfId="15019"/>
    <cellStyle name="Normal 154" xfId="15020"/>
    <cellStyle name="Normal 154 10" xfId="15021"/>
    <cellStyle name="Normal 154 2" xfId="15022"/>
    <cellStyle name="Normal 154 3" xfId="15023"/>
    <cellStyle name="Normal 154 3 2" xfId="15024"/>
    <cellStyle name="Normal 154 3 3" xfId="15025"/>
    <cellStyle name="Normal 154 3 4" xfId="15026"/>
    <cellStyle name="Normal 154 3 5" xfId="15027"/>
    <cellStyle name="Normal 154 3 6" xfId="15028"/>
    <cellStyle name="Normal 154 3 7" xfId="15029"/>
    <cellStyle name="Normal 154 4" xfId="15030"/>
    <cellStyle name="Normal 154 5" xfId="15031"/>
    <cellStyle name="Normal 154 6" xfId="15032"/>
    <cellStyle name="Normal 154 7" xfId="15033"/>
    <cellStyle name="Normal 154 8" xfId="15034"/>
    <cellStyle name="Normal 154 9" xfId="15035"/>
    <cellStyle name="Normal 155" xfId="15036"/>
    <cellStyle name="Normal 155 10" xfId="15037"/>
    <cellStyle name="Normal 155 2" xfId="15038"/>
    <cellStyle name="Normal 155 3" xfId="15039"/>
    <cellStyle name="Normal 155 3 2" xfId="15040"/>
    <cellStyle name="Normal 155 3 3" xfId="15041"/>
    <cellStyle name="Normal 155 3 4" xfId="15042"/>
    <cellStyle name="Normal 155 3 5" xfId="15043"/>
    <cellStyle name="Normal 155 3 6" xfId="15044"/>
    <cellStyle name="Normal 155 3 7" xfId="15045"/>
    <cellStyle name="Normal 155 4" xfId="15046"/>
    <cellStyle name="Normal 155 5" xfId="15047"/>
    <cellStyle name="Normal 155 6" xfId="15048"/>
    <cellStyle name="Normal 155 7" xfId="15049"/>
    <cellStyle name="Normal 155 8" xfId="15050"/>
    <cellStyle name="Normal 155 9" xfId="15051"/>
    <cellStyle name="Normal 156" xfId="15052"/>
    <cellStyle name="Normal 156 10" xfId="15053"/>
    <cellStyle name="Normal 156 2" xfId="15054"/>
    <cellStyle name="Normal 156 3" xfId="15055"/>
    <cellStyle name="Normal 156 3 2" xfId="15056"/>
    <cellStyle name="Normal 156 3 3" xfId="15057"/>
    <cellStyle name="Normal 156 3 4" xfId="15058"/>
    <cellStyle name="Normal 156 3 5" xfId="15059"/>
    <cellStyle name="Normal 156 3 6" xfId="15060"/>
    <cellStyle name="Normal 156 3 7" xfId="15061"/>
    <cellStyle name="Normal 156 4" xfId="15062"/>
    <cellStyle name="Normal 156 5" xfId="15063"/>
    <cellStyle name="Normal 156 6" xfId="15064"/>
    <cellStyle name="Normal 156 7" xfId="15065"/>
    <cellStyle name="Normal 156 8" xfId="15066"/>
    <cellStyle name="Normal 156 9" xfId="15067"/>
    <cellStyle name="Normal 157" xfId="15068"/>
    <cellStyle name="Normal 157 10" xfId="15069"/>
    <cellStyle name="Normal 157 2" xfId="15070"/>
    <cellStyle name="Normal 157 3" xfId="15071"/>
    <cellStyle name="Normal 157 3 2" xfId="15072"/>
    <cellStyle name="Normal 157 3 3" xfId="15073"/>
    <cellStyle name="Normal 157 3 4" xfId="15074"/>
    <cellStyle name="Normal 157 3 5" xfId="15075"/>
    <cellStyle name="Normal 157 3 6" xfId="15076"/>
    <cellStyle name="Normal 157 3 7" xfId="15077"/>
    <cellStyle name="Normal 157 4" xfId="15078"/>
    <cellStyle name="Normal 157 5" xfId="15079"/>
    <cellStyle name="Normal 157 6" xfId="15080"/>
    <cellStyle name="Normal 157 7" xfId="15081"/>
    <cellStyle name="Normal 157 8" xfId="15082"/>
    <cellStyle name="Normal 157 9" xfId="15083"/>
    <cellStyle name="Normal 158" xfId="15084"/>
    <cellStyle name="Normal 158 10" xfId="15085"/>
    <cellStyle name="Normal 158 2" xfId="15086"/>
    <cellStyle name="Normal 158 3" xfId="15087"/>
    <cellStyle name="Normal 158 3 2" xfId="15088"/>
    <cellStyle name="Normal 158 3 3" xfId="15089"/>
    <cellStyle name="Normal 158 3 4" xfId="15090"/>
    <cellStyle name="Normal 158 3 5" xfId="15091"/>
    <cellStyle name="Normal 158 3 6" xfId="15092"/>
    <cellStyle name="Normal 158 3 7" xfId="15093"/>
    <cellStyle name="Normal 158 4" xfId="15094"/>
    <cellStyle name="Normal 158 5" xfId="15095"/>
    <cellStyle name="Normal 158 6" xfId="15096"/>
    <cellStyle name="Normal 158 7" xfId="15097"/>
    <cellStyle name="Normal 158 8" xfId="15098"/>
    <cellStyle name="Normal 158 9" xfId="15099"/>
    <cellStyle name="Normal 159" xfId="15100"/>
    <cellStyle name="Normal 159 10" xfId="15101"/>
    <cellStyle name="Normal 159 2" xfId="15102"/>
    <cellStyle name="Normal 159 3" xfId="15103"/>
    <cellStyle name="Normal 159 3 2" xfId="15104"/>
    <cellStyle name="Normal 159 3 3" xfId="15105"/>
    <cellStyle name="Normal 159 3 4" xfId="15106"/>
    <cellStyle name="Normal 159 3 5" xfId="15107"/>
    <cellStyle name="Normal 159 3 6" xfId="15108"/>
    <cellStyle name="Normal 159 3 7" xfId="15109"/>
    <cellStyle name="Normal 159 4" xfId="15110"/>
    <cellStyle name="Normal 159 5" xfId="15111"/>
    <cellStyle name="Normal 159 6" xfId="15112"/>
    <cellStyle name="Normal 159 7" xfId="15113"/>
    <cellStyle name="Normal 159 8" xfId="15114"/>
    <cellStyle name="Normal 159 9" xfId="15115"/>
    <cellStyle name="Normal 16" xfId="4024"/>
    <cellStyle name="Normal 16 2" xfId="15116"/>
    <cellStyle name="Normal 16 2 2" xfId="15117"/>
    <cellStyle name="Normal 16 2 2 2" xfId="33635"/>
    <cellStyle name="Normal 16 2 3" xfId="15118"/>
    <cellStyle name="Normal 16 2 4" xfId="34997"/>
    <cellStyle name="Normal 16 3" xfId="15119"/>
    <cellStyle name="Normal 16 3 2" xfId="15120"/>
    <cellStyle name="Normal 16 4" xfId="15121"/>
    <cellStyle name="Normal 16 5" xfId="15122"/>
    <cellStyle name="Normal 160" xfId="15123"/>
    <cellStyle name="Normal 160 10" xfId="15124"/>
    <cellStyle name="Normal 160 2" xfId="15125"/>
    <cellStyle name="Normal 160 3" xfId="15126"/>
    <cellStyle name="Normal 160 3 2" xfId="15127"/>
    <cellStyle name="Normal 160 3 3" xfId="15128"/>
    <cellStyle name="Normal 160 3 4" xfId="15129"/>
    <cellStyle name="Normal 160 3 5" xfId="15130"/>
    <cellStyle name="Normal 160 3 6" xfId="15131"/>
    <cellStyle name="Normal 160 3 7" xfId="15132"/>
    <cellStyle name="Normal 160 4" xfId="15133"/>
    <cellStyle name="Normal 160 5" xfId="15134"/>
    <cellStyle name="Normal 160 6" xfId="15135"/>
    <cellStyle name="Normal 160 7" xfId="15136"/>
    <cellStyle name="Normal 160 8" xfId="15137"/>
    <cellStyle name="Normal 160 9" xfId="15138"/>
    <cellStyle name="Normal 161" xfId="15139"/>
    <cellStyle name="Normal 161 2" xfId="15140"/>
    <cellStyle name="Normal 162" xfId="15141"/>
    <cellStyle name="Normal 162 2" xfId="15142"/>
    <cellStyle name="Normal 163" xfId="15143"/>
    <cellStyle name="Normal 163 2" xfId="15144"/>
    <cellStyle name="Normal 164" xfId="15145"/>
    <cellStyle name="Normal 164 2" xfId="15146"/>
    <cellStyle name="Normal 165" xfId="15147"/>
    <cellStyle name="Normal 165 2" xfId="15148"/>
    <cellStyle name="Normal 166" xfId="15149"/>
    <cellStyle name="Normal 166 2" xfId="15150"/>
    <cellStyle name="Normal 167" xfId="15151"/>
    <cellStyle name="Normal 167 2" xfId="15152"/>
    <cellStyle name="Normal 168" xfId="15153"/>
    <cellStyle name="Normal 168 2" xfId="15154"/>
    <cellStyle name="Normal 169" xfId="15155"/>
    <cellStyle name="Normal 169 2" xfId="15156"/>
    <cellStyle name="Normal 17" xfId="4025"/>
    <cellStyle name="Normal 17 2" xfId="15157"/>
    <cellStyle name="Normal 17 2 2" xfId="15158"/>
    <cellStyle name="Normal 17 2 2 2" xfId="33636"/>
    <cellStyle name="Normal 17 2 3" xfId="15159"/>
    <cellStyle name="Normal 17 2 4" xfId="34998"/>
    <cellStyle name="Normal 17 3" xfId="15160"/>
    <cellStyle name="Normal 17 3 2" xfId="15161"/>
    <cellStyle name="Normal 17 4" xfId="15162"/>
    <cellStyle name="Normal 17 5" xfId="15163"/>
    <cellStyle name="Normal 170" xfId="15164"/>
    <cellStyle name="Normal 170 2" xfId="15165"/>
    <cellStyle name="Normal 171" xfId="15166"/>
    <cellStyle name="Normal 171 2" xfId="15167"/>
    <cellStyle name="Normal 172" xfId="15168"/>
    <cellStyle name="Normal 172 2" xfId="15169"/>
    <cellStyle name="Normal 173" xfId="15170"/>
    <cellStyle name="Normal 173 2" xfId="15171"/>
    <cellStyle name="Normal 174" xfId="15172"/>
    <cellStyle name="Normal 174 2" xfId="15173"/>
    <cellStyle name="Normal 175" xfId="15174"/>
    <cellStyle name="Normal 175 2" xfId="15175"/>
    <cellStyle name="Normal 176" xfId="15176"/>
    <cellStyle name="Normal 176 2" xfId="15177"/>
    <cellStyle name="Normal 177" xfId="15178"/>
    <cellStyle name="Normal 177 2" xfId="15179"/>
    <cellStyle name="Normal 178" xfId="15180"/>
    <cellStyle name="Normal 178 2" xfId="15181"/>
    <cellStyle name="Normal 179" xfId="15182"/>
    <cellStyle name="Normal 179 2" xfId="15183"/>
    <cellStyle name="Normal 18" xfId="4026"/>
    <cellStyle name="Normal 18 2" xfId="15184"/>
    <cellStyle name="Normal 18 2 2" xfId="15185"/>
    <cellStyle name="Normal 18 2 3" xfId="34999"/>
    <cellStyle name="Normal 18 3" xfId="15186"/>
    <cellStyle name="Normal 18 4" xfId="15187"/>
    <cellStyle name="Normal 18 5" xfId="15188"/>
    <cellStyle name="Normal 18 5 2" xfId="15189"/>
    <cellStyle name="Normal 180" xfId="15190"/>
    <cellStyle name="Normal 180 2" xfId="15191"/>
    <cellStyle name="Normal 181" xfId="15192"/>
    <cellStyle name="Normal 181 2" xfId="15193"/>
    <cellStyle name="Normal 182" xfId="15194"/>
    <cellStyle name="Normal 182 2" xfId="15195"/>
    <cellStyle name="Normal 183" xfId="15196"/>
    <cellStyle name="Normal 183 2" xfId="15197"/>
    <cellStyle name="Normal 184" xfId="15198"/>
    <cellStyle name="Normal 184 2" xfId="35000"/>
    <cellStyle name="Normal 185" xfId="15199"/>
    <cellStyle name="Normal 185 2" xfId="35001"/>
    <cellStyle name="Normal 186" xfId="15200"/>
    <cellStyle name="Normal 186 2" xfId="35002"/>
    <cellStyle name="Normal 187" xfId="15201"/>
    <cellStyle name="Normal 187 2" xfId="35003"/>
    <cellStyle name="Normal 188" xfId="15202"/>
    <cellStyle name="Normal 188 2" xfId="35004"/>
    <cellStyle name="Normal 189" xfId="15203"/>
    <cellStyle name="Normal 189 10" xfId="15204"/>
    <cellStyle name="Normal 189 2" xfId="15205"/>
    <cellStyle name="Normal 189 3" xfId="15206"/>
    <cellStyle name="Normal 189 3 2" xfId="15207"/>
    <cellStyle name="Normal 189 3 3" xfId="15208"/>
    <cellStyle name="Normal 189 3 4" xfId="15209"/>
    <cellStyle name="Normal 189 3 5" xfId="15210"/>
    <cellStyle name="Normal 189 3 6" xfId="15211"/>
    <cellStyle name="Normal 189 3 7" xfId="15212"/>
    <cellStyle name="Normal 189 4" xfId="15213"/>
    <cellStyle name="Normal 189 5" xfId="15214"/>
    <cellStyle name="Normal 189 6" xfId="15215"/>
    <cellStyle name="Normal 189 7" xfId="15216"/>
    <cellStyle name="Normal 189 8" xfId="15217"/>
    <cellStyle name="Normal 189 9" xfId="15218"/>
    <cellStyle name="Normal 19" xfId="4027"/>
    <cellStyle name="Normal 19 2" xfId="15219"/>
    <cellStyle name="Normal 19 2 2" xfId="15220"/>
    <cellStyle name="Normal 19 2 2 2" xfId="35005"/>
    <cellStyle name="Normal 19 3" xfId="15221"/>
    <cellStyle name="Normal 19 3 2" xfId="35006"/>
    <cellStyle name="Normal 19 4" xfId="15222"/>
    <cellStyle name="Normal 190" xfId="15223"/>
    <cellStyle name="Normal 190 10" xfId="15224"/>
    <cellStyle name="Normal 190 2" xfId="15225"/>
    <cellStyle name="Normal 190 3" xfId="15226"/>
    <cellStyle name="Normal 190 3 2" xfId="15227"/>
    <cellStyle name="Normal 190 3 3" xfId="15228"/>
    <cellStyle name="Normal 190 3 4" xfId="15229"/>
    <cellStyle name="Normal 190 3 5" xfId="15230"/>
    <cellStyle name="Normal 190 3 6" xfId="15231"/>
    <cellStyle name="Normal 190 3 7" xfId="15232"/>
    <cellStyle name="Normal 190 4" xfId="15233"/>
    <cellStyle name="Normal 190 5" xfId="15234"/>
    <cellStyle name="Normal 190 6" xfId="15235"/>
    <cellStyle name="Normal 190 7" xfId="15236"/>
    <cellStyle name="Normal 190 8" xfId="15237"/>
    <cellStyle name="Normal 190 9" xfId="15238"/>
    <cellStyle name="Normal 191" xfId="15239"/>
    <cellStyle name="Normal 191 10" xfId="15240"/>
    <cellStyle name="Normal 191 2" xfId="15241"/>
    <cellStyle name="Normal 191 2 2" xfId="15242"/>
    <cellStyle name="Normal 191 2 3" xfId="15243"/>
    <cellStyle name="Normal 191 2 4" xfId="15244"/>
    <cellStyle name="Normal 191 2 5" xfId="15245"/>
    <cellStyle name="Normal 191 2 6" xfId="15246"/>
    <cellStyle name="Normal 191 2 7" xfId="15247"/>
    <cellStyle name="Normal 191 3" xfId="15248"/>
    <cellStyle name="Normal 191 4" xfId="15249"/>
    <cellStyle name="Normal 191 5" xfId="15250"/>
    <cellStyle name="Normal 191 6" xfId="15251"/>
    <cellStyle name="Normal 191 7" xfId="15252"/>
    <cellStyle name="Normal 191 8" xfId="15253"/>
    <cellStyle name="Normal 191 9" xfId="15254"/>
    <cellStyle name="Normal 192" xfId="15255"/>
    <cellStyle name="Normal 192 10" xfId="15256"/>
    <cellStyle name="Normal 192 2" xfId="15257"/>
    <cellStyle name="Normal 192 2 2" xfId="15258"/>
    <cellStyle name="Normal 192 2 3" xfId="15259"/>
    <cellStyle name="Normal 192 2 4" xfId="15260"/>
    <cellStyle name="Normal 192 2 5" xfId="15261"/>
    <cellStyle name="Normal 192 2 6" xfId="15262"/>
    <cellStyle name="Normal 192 2 7" xfId="15263"/>
    <cellStyle name="Normal 192 3" xfId="15264"/>
    <cellStyle name="Normal 192 4" xfId="15265"/>
    <cellStyle name="Normal 192 5" xfId="15266"/>
    <cellStyle name="Normal 192 6" xfId="15267"/>
    <cellStyle name="Normal 192 7" xfId="15268"/>
    <cellStyle name="Normal 192 8" xfId="15269"/>
    <cellStyle name="Normal 192 9" xfId="15270"/>
    <cellStyle name="Normal 193" xfId="15271"/>
    <cellStyle name="Normal 193 10" xfId="15272"/>
    <cellStyle name="Normal 193 2" xfId="15273"/>
    <cellStyle name="Normal 193 2 2" xfId="15274"/>
    <cellStyle name="Normal 193 2 3" xfId="15275"/>
    <cellStyle name="Normal 193 2 4" xfId="15276"/>
    <cellStyle name="Normal 193 2 5" xfId="15277"/>
    <cellStyle name="Normal 193 2 6" xfId="15278"/>
    <cellStyle name="Normal 193 2 7" xfId="15279"/>
    <cellStyle name="Normal 193 3" xfId="15280"/>
    <cellStyle name="Normal 193 4" xfId="15281"/>
    <cellStyle name="Normal 193 5" xfId="15282"/>
    <cellStyle name="Normal 193 6" xfId="15283"/>
    <cellStyle name="Normal 193 7" xfId="15284"/>
    <cellStyle name="Normal 193 8" xfId="15285"/>
    <cellStyle name="Normal 193 9" xfId="15286"/>
    <cellStyle name="Normal 194" xfId="15287"/>
    <cellStyle name="Normal 194 10" xfId="15288"/>
    <cellStyle name="Normal 194 2" xfId="15289"/>
    <cellStyle name="Normal 194 2 2" xfId="15290"/>
    <cellStyle name="Normal 194 2 3" xfId="15291"/>
    <cellStyle name="Normal 194 2 4" xfId="15292"/>
    <cellStyle name="Normal 194 2 5" xfId="15293"/>
    <cellStyle name="Normal 194 2 6" xfId="15294"/>
    <cellStyle name="Normal 194 2 7" xfId="15295"/>
    <cellStyle name="Normal 194 2 8" xfId="15296"/>
    <cellStyle name="Normal 194 2 9" xfId="15297"/>
    <cellStyle name="Normal 194 3" xfId="15298"/>
    <cellStyle name="Normal 194 4" xfId="15299"/>
    <cellStyle name="Normal 194 5" xfId="15300"/>
    <cellStyle name="Normal 194 6" xfId="15301"/>
    <cellStyle name="Normal 194 7" xfId="15302"/>
    <cellStyle name="Normal 194 8" xfId="15303"/>
    <cellStyle name="Normal 194 9" xfId="15304"/>
    <cellStyle name="Normal 195" xfId="15305"/>
    <cellStyle name="Normal 195 2" xfId="15306"/>
    <cellStyle name="Normal 195 3" xfId="15307"/>
    <cellStyle name="Normal 196" xfId="15308"/>
    <cellStyle name="Normal 196 2" xfId="15309"/>
    <cellStyle name="Normal 196 3" xfId="15310"/>
    <cellStyle name="Normal 197" xfId="15311"/>
    <cellStyle name="Normal 197 2" xfId="15312"/>
    <cellStyle name="Normal 197 3" xfId="15313"/>
    <cellStyle name="Normal 198" xfId="15314"/>
    <cellStyle name="Normal 198 2" xfId="15315"/>
    <cellStyle name="Normal 199" xfId="15316"/>
    <cellStyle name="Normal 199 2" xfId="15317"/>
    <cellStyle name="Normal 199 3" xfId="15318"/>
    <cellStyle name="Normal 199 4" xfId="15319"/>
    <cellStyle name="Normal 199 5" xfId="15320"/>
    <cellStyle name="Normal 199 6" xfId="15321"/>
    <cellStyle name="Normal 199 7" xfId="15322"/>
    <cellStyle name="Normal 199 8" xfId="15323"/>
    <cellStyle name="Normal 199 9" xfId="15324"/>
    <cellStyle name="Normal 2" xfId="1"/>
    <cellStyle name="Normal 2 10" xfId="4028"/>
    <cellStyle name="Normal 2 10 10" xfId="15325"/>
    <cellStyle name="Normal 2 10 10 2" xfId="15326"/>
    <cellStyle name="Normal 2 10 10 2 2" xfId="15327"/>
    <cellStyle name="Normal 2 10 10 2 3" xfId="15328"/>
    <cellStyle name="Normal 2 10 10 2 4" xfId="15329"/>
    <cellStyle name="Normal 2 10 10 2 5" xfId="15330"/>
    <cellStyle name="Normal 2 10 10 2 6" xfId="15331"/>
    <cellStyle name="Normal 2 10 10 2 7" xfId="15332"/>
    <cellStyle name="Normal 2 10 10 3" xfId="15333"/>
    <cellStyle name="Normal 2 10 10 4" xfId="15334"/>
    <cellStyle name="Normal 2 10 10 5" xfId="15335"/>
    <cellStyle name="Normal 2 10 10 6" xfId="15336"/>
    <cellStyle name="Normal 2 10 10 7" xfId="15337"/>
    <cellStyle name="Normal 2 10 10 8" xfId="15338"/>
    <cellStyle name="Normal 2 10 11" xfId="15339"/>
    <cellStyle name="Normal 2 10 11 2" xfId="15340"/>
    <cellStyle name="Normal 2 10 11 2 2" xfId="15341"/>
    <cellStyle name="Normal 2 10 11 2 3" xfId="15342"/>
    <cellStyle name="Normal 2 10 11 2 4" xfId="15343"/>
    <cellStyle name="Normal 2 10 11 2 5" xfId="15344"/>
    <cellStyle name="Normal 2 10 11 2 6" xfId="15345"/>
    <cellStyle name="Normal 2 10 11 2 7" xfId="15346"/>
    <cellStyle name="Normal 2 10 11 3" xfId="15347"/>
    <cellStyle name="Normal 2 10 11 4" xfId="15348"/>
    <cellStyle name="Normal 2 10 11 5" xfId="15349"/>
    <cellStyle name="Normal 2 10 11 6" xfId="15350"/>
    <cellStyle name="Normal 2 10 11 7" xfId="15351"/>
    <cellStyle name="Normal 2 10 11 8" xfId="15352"/>
    <cellStyle name="Normal 2 10 12" xfId="15353"/>
    <cellStyle name="Normal 2 10 12 2" xfId="15354"/>
    <cellStyle name="Normal 2 10 12 2 2" xfId="15355"/>
    <cellStyle name="Normal 2 10 12 2 3" xfId="15356"/>
    <cellStyle name="Normal 2 10 12 2 4" xfId="15357"/>
    <cellStyle name="Normal 2 10 12 2 5" xfId="15358"/>
    <cellStyle name="Normal 2 10 12 2 6" xfId="15359"/>
    <cellStyle name="Normal 2 10 12 2 7" xfId="15360"/>
    <cellStyle name="Normal 2 10 12 3" xfId="15361"/>
    <cellStyle name="Normal 2 10 12 4" xfId="15362"/>
    <cellStyle name="Normal 2 10 12 5" xfId="15363"/>
    <cellStyle name="Normal 2 10 12 6" xfId="15364"/>
    <cellStyle name="Normal 2 10 12 7" xfId="15365"/>
    <cellStyle name="Normal 2 10 12 8" xfId="15366"/>
    <cellStyle name="Normal 2 10 13" xfId="15367"/>
    <cellStyle name="Normal 2 10 13 2" xfId="15368"/>
    <cellStyle name="Normal 2 10 13 2 2" xfId="15369"/>
    <cellStyle name="Normal 2 10 13 2 3" xfId="15370"/>
    <cellStyle name="Normal 2 10 13 2 4" xfId="15371"/>
    <cellStyle name="Normal 2 10 13 2 5" xfId="15372"/>
    <cellStyle name="Normal 2 10 13 2 6" xfId="15373"/>
    <cellStyle name="Normal 2 10 13 2 7" xfId="15374"/>
    <cellStyle name="Normal 2 10 13 3" xfId="15375"/>
    <cellStyle name="Normal 2 10 13 4" xfId="15376"/>
    <cellStyle name="Normal 2 10 13 5" xfId="15377"/>
    <cellStyle name="Normal 2 10 13 6" xfId="15378"/>
    <cellStyle name="Normal 2 10 13 7" xfId="15379"/>
    <cellStyle name="Normal 2 10 13 8" xfId="15380"/>
    <cellStyle name="Normal 2 10 14" xfId="15381"/>
    <cellStyle name="Normal 2 10 14 2" xfId="15382"/>
    <cellStyle name="Normal 2 10 14 2 2" xfId="15383"/>
    <cellStyle name="Normal 2 10 14 2 3" xfId="15384"/>
    <cellStyle name="Normal 2 10 14 2 4" xfId="15385"/>
    <cellStyle name="Normal 2 10 14 2 5" xfId="15386"/>
    <cellStyle name="Normal 2 10 14 2 6" xfId="15387"/>
    <cellStyle name="Normal 2 10 14 2 7" xfId="15388"/>
    <cellStyle name="Normal 2 10 14 3" xfId="15389"/>
    <cellStyle name="Normal 2 10 14 4" xfId="15390"/>
    <cellStyle name="Normal 2 10 14 5" xfId="15391"/>
    <cellStyle name="Normal 2 10 14 6" xfId="15392"/>
    <cellStyle name="Normal 2 10 14 7" xfId="15393"/>
    <cellStyle name="Normal 2 10 14 8" xfId="15394"/>
    <cellStyle name="Normal 2 10 15" xfId="15395"/>
    <cellStyle name="Normal 2 10 15 2" xfId="15396"/>
    <cellStyle name="Normal 2 10 15 2 2" xfId="15397"/>
    <cellStyle name="Normal 2 10 15 2 3" xfId="15398"/>
    <cellStyle name="Normal 2 10 15 2 4" xfId="15399"/>
    <cellStyle name="Normal 2 10 15 2 5" xfId="15400"/>
    <cellStyle name="Normal 2 10 15 2 6" xfId="15401"/>
    <cellStyle name="Normal 2 10 15 2 7" xfId="15402"/>
    <cellStyle name="Normal 2 10 15 3" xfId="15403"/>
    <cellStyle name="Normal 2 10 15 4" xfId="15404"/>
    <cellStyle name="Normal 2 10 15 5" xfId="15405"/>
    <cellStyle name="Normal 2 10 15 6" xfId="15406"/>
    <cellStyle name="Normal 2 10 15 7" xfId="15407"/>
    <cellStyle name="Normal 2 10 15 8" xfId="15408"/>
    <cellStyle name="Normal 2 10 16" xfId="15409"/>
    <cellStyle name="Normal 2 10 16 2" xfId="15410"/>
    <cellStyle name="Normal 2 10 16 3" xfId="15411"/>
    <cellStyle name="Normal 2 10 16 4" xfId="15412"/>
    <cellStyle name="Normal 2 10 16 5" xfId="15413"/>
    <cellStyle name="Normal 2 10 16 6" xfId="15414"/>
    <cellStyle name="Normal 2 10 16 7" xfId="15415"/>
    <cellStyle name="Normal 2 10 17" xfId="15416"/>
    <cellStyle name="Normal 2 10 17 2" xfId="15417"/>
    <cellStyle name="Normal 2 10 17 3" xfId="15418"/>
    <cellStyle name="Normal 2 10 17 4" xfId="15419"/>
    <cellStyle name="Normal 2 10 17 5" xfId="15420"/>
    <cellStyle name="Normal 2 10 17 6" xfId="15421"/>
    <cellStyle name="Normal 2 10 17 7" xfId="15422"/>
    <cellStyle name="Normal 2 10 18" xfId="15423"/>
    <cellStyle name="Normal 2 10 18 2" xfId="15424"/>
    <cellStyle name="Normal 2 10 18 3" xfId="15425"/>
    <cellStyle name="Normal 2 10 18 4" xfId="15426"/>
    <cellStyle name="Normal 2 10 18 5" xfId="15427"/>
    <cellStyle name="Normal 2 10 18 6" xfId="15428"/>
    <cellStyle name="Normal 2 10 18 7" xfId="15429"/>
    <cellStyle name="Normal 2 10 19" xfId="15430"/>
    <cellStyle name="Normal 2 10 19 2" xfId="15431"/>
    <cellStyle name="Normal 2 10 19 3" xfId="15432"/>
    <cellStyle name="Normal 2 10 19 4" xfId="15433"/>
    <cellStyle name="Normal 2 10 19 5" xfId="15434"/>
    <cellStyle name="Normal 2 10 19 6" xfId="15435"/>
    <cellStyle name="Normal 2 10 19 7" xfId="15436"/>
    <cellStyle name="Normal 2 10 2" xfId="4029"/>
    <cellStyle name="Normal 2 10 2 2" xfId="15437"/>
    <cellStyle name="Normal 2 10 2 2 2" xfId="15438"/>
    <cellStyle name="Normal 2 10 2 2 3" xfId="15439"/>
    <cellStyle name="Normal 2 10 2 2 4" xfId="15440"/>
    <cellStyle name="Normal 2 10 2 2 5" xfId="15441"/>
    <cellStyle name="Normal 2 10 2 2 6" xfId="15442"/>
    <cellStyle name="Normal 2 10 2 2 7" xfId="15443"/>
    <cellStyle name="Normal 2 10 2 3" xfId="15444"/>
    <cellStyle name="Normal 2 10 2 4" xfId="15445"/>
    <cellStyle name="Normal 2 10 2 5" xfId="15446"/>
    <cellStyle name="Normal 2 10 2 6" xfId="15447"/>
    <cellStyle name="Normal 2 10 2 7" xfId="15448"/>
    <cellStyle name="Normal 2 10 2 8" xfId="15449"/>
    <cellStyle name="Normal 2 10 2 9" xfId="15450"/>
    <cellStyle name="Normal 2 10 20" xfId="15451"/>
    <cellStyle name="Normal 2 10 20 2" xfId="15452"/>
    <cellStyle name="Normal 2 10 20 3" xfId="15453"/>
    <cellStyle name="Normal 2 10 20 4" xfId="15454"/>
    <cellStyle name="Normal 2 10 20 5" xfId="15455"/>
    <cellStyle name="Normal 2 10 20 6" xfId="15456"/>
    <cellStyle name="Normal 2 10 20 7" xfId="15457"/>
    <cellStyle name="Normal 2 10 21" xfId="15458"/>
    <cellStyle name="Normal 2 10 21 2" xfId="15459"/>
    <cellStyle name="Normal 2 10 21 3" xfId="15460"/>
    <cellStyle name="Normal 2 10 21 4" xfId="15461"/>
    <cellStyle name="Normal 2 10 21 5" xfId="15462"/>
    <cellStyle name="Normal 2 10 21 6" xfId="15463"/>
    <cellStyle name="Normal 2 10 21 7" xfId="15464"/>
    <cellStyle name="Normal 2 10 22" xfId="15465"/>
    <cellStyle name="Normal 2 10 22 2" xfId="15466"/>
    <cellStyle name="Normal 2 10 22 3" xfId="15467"/>
    <cellStyle name="Normal 2 10 22 4" xfId="15468"/>
    <cellStyle name="Normal 2 10 22 5" xfId="15469"/>
    <cellStyle name="Normal 2 10 22 6" xfId="15470"/>
    <cellStyle name="Normal 2 10 22 7" xfId="15471"/>
    <cellStyle name="Normal 2 10 23" xfId="15472"/>
    <cellStyle name="Normal 2 10 23 2" xfId="15473"/>
    <cellStyle name="Normal 2 10 23 3" xfId="15474"/>
    <cellStyle name="Normal 2 10 23 4" xfId="15475"/>
    <cellStyle name="Normal 2 10 23 5" xfId="15476"/>
    <cellStyle name="Normal 2 10 23 6" xfId="15477"/>
    <cellStyle name="Normal 2 10 23 7" xfId="15478"/>
    <cellStyle name="Normal 2 10 24" xfId="15479"/>
    <cellStyle name="Normal 2 10 24 2" xfId="15480"/>
    <cellStyle name="Normal 2 10 24 3" xfId="15481"/>
    <cellStyle name="Normal 2 10 24 4" xfId="15482"/>
    <cellStyle name="Normal 2 10 24 5" xfId="15483"/>
    <cellStyle name="Normal 2 10 24 6" xfId="15484"/>
    <cellStyle name="Normal 2 10 24 7" xfId="15485"/>
    <cellStyle name="Normal 2 10 25" xfId="15486"/>
    <cellStyle name="Normal 2 10 25 2" xfId="15487"/>
    <cellStyle name="Normal 2 10 25 3" xfId="15488"/>
    <cellStyle name="Normal 2 10 25 4" xfId="15489"/>
    <cellStyle name="Normal 2 10 25 5" xfId="15490"/>
    <cellStyle name="Normal 2 10 25 6" xfId="15491"/>
    <cellStyle name="Normal 2 10 25 7" xfId="15492"/>
    <cellStyle name="Normal 2 10 26" xfId="15493"/>
    <cellStyle name="Normal 2 10 26 2" xfId="15494"/>
    <cellStyle name="Normal 2 10 26 3" xfId="15495"/>
    <cellStyle name="Normal 2 10 26 4" xfId="15496"/>
    <cellStyle name="Normal 2 10 26 5" xfId="15497"/>
    <cellStyle name="Normal 2 10 26 6" xfId="15498"/>
    <cellStyle name="Normal 2 10 26 7" xfId="15499"/>
    <cellStyle name="Normal 2 10 27" xfId="15500"/>
    <cellStyle name="Normal 2 10 27 2" xfId="15501"/>
    <cellStyle name="Normal 2 10 27 3" xfId="15502"/>
    <cellStyle name="Normal 2 10 27 4" xfId="15503"/>
    <cellStyle name="Normal 2 10 27 5" xfId="15504"/>
    <cellStyle name="Normal 2 10 27 6" xfId="15505"/>
    <cellStyle name="Normal 2 10 27 7" xfId="15506"/>
    <cellStyle name="Normal 2 10 28" xfId="15507"/>
    <cellStyle name="Normal 2 10 28 2" xfId="15508"/>
    <cellStyle name="Normal 2 10 28 3" xfId="15509"/>
    <cellStyle name="Normal 2 10 28 4" xfId="15510"/>
    <cellStyle name="Normal 2 10 28 5" xfId="15511"/>
    <cellStyle name="Normal 2 10 28 6" xfId="15512"/>
    <cellStyle name="Normal 2 10 28 7" xfId="15513"/>
    <cellStyle name="Normal 2 10 29" xfId="15514"/>
    <cellStyle name="Normal 2 10 29 2" xfId="15515"/>
    <cellStyle name="Normal 2 10 29 3" xfId="15516"/>
    <cellStyle name="Normal 2 10 29 4" xfId="15517"/>
    <cellStyle name="Normal 2 10 29 5" xfId="15518"/>
    <cellStyle name="Normal 2 10 29 6" xfId="15519"/>
    <cellStyle name="Normal 2 10 29 7" xfId="15520"/>
    <cellStyle name="Normal 2 10 3" xfId="4030"/>
    <cellStyle name="Normal 2 10 3 2" xfId="15521"/>
    <cellStyle name="Normal 2 10 3 2 2" xfId="15522"/>
    <cellStyle name="Normal 2 10 3 2 3" xfId="15523"/>
    <cellStyle name="Normal 2 10 3 2 4" xfId="15524"/>
    <cellStyle name="Normal 2 10 3 2 5" xfId="15525"/>
    <cellStyle name="Normal 2 10 3 2 6" xfId="15526"/>
    <cellStyle name="Normal 2 10 3 2 7" xfId="15527"/>
    <cellStyle name="Normal 2 10 3 3" xfId="15528"/>
    <cellStyle name="Normal 2 10 3 4" xfId="15529"/>
    <cellStyle name="Normal 2 10 3 5" xfId="15530"/>
    <cellStyle name="Normal 2 10 3 6" xfId="15531"/>
    <cellStyle name="Normal 2 10 3 7" xfId="15532"/>
    <cellStyle name="Normal 2 10 3 8" xfId="15533"/>
    <cellStyle name="Normal 2 10 3 9" xfId="15534"/>
    <cellStyle name="Normal 2 10 30" xfId="15535"/>
    <cellStyle name="Normal 2 10 30 2" xfId="15536"/>
    <cellStyle name="Normal 2 10 30 3" xfId="15537"/>
    <cellStyle name="Normal 2 10 30 4" xfId="15538"/>
    <cellStyle name="Normal 2 10 30 5" xfId="15539"/>
    <cellStyle name="Normal 2 10 30 6" xfId="15540"/>
    <cellStyle name="Normal 2 10 30 7" xfId="15541"/>
    <cellStyle name="Normal 2 10 31" xfId="15542"/>
    <cellStyle name="Normal 2 10 31 2" xfId="15543"/>
    <cellStyle name="Normal 2 10 31 3" xfId="15544"/>
    <cellStyle name="Normal 2 10 31 4" xfId="15545"/>
    <cellStyle name="Normal 2 10 31 5" xfId="15546"/>
    <cellStyle name="Normal 2 10 31 6" xfId="15547"/>
    <cellStyle name="Normal 2 10 31 7" xfId="15548"/>
    <cellStyle name="Normal 2 10 32" xfId="15549"/>
    <cellStyle name="Normal 2 10 32 2" xfId="15550"/>
    <cellStyle name="Normal 2 10 32 3" xfId="15551"/>
    <cellStyle name="Normal 2 10 32 4" xfId="15552"/>
    <cellStyle name="Normal 2 10 32 5" xfId="15553"/>
    <cellStyle name="Normal 2 10 32 6" xfId="15554"/>
    <cellStyle name="Normal 2 10 32 7" xfId="15555"/>
    <cellStyle name="Normal 2 10 33" xfId="15556"/>
    <cellStyle name="Normal 2 10 33 2" xfId="15557"/>
    <cellStyle name="Normal 2 10 33 3" xfId="15558"/>
    <cellStyle name="Normal 2 10 33 4" xfId="15559"/>
    <cellStyle name="Normal 2 10 33 5" xfId="15560"/>
    <cellStyle name="Normal 2 10 33 6" xfId="15561"/>
    <cellStyle name="Normal 2 10 33 7" xfId="15562"/>
    <cellStyle name="Normal 2 10 34" xfId="15563"/>
    <cellStyle name="Normal 2 10 34 2" xfId="15564"/>
    <cellStyle name="Normal 2 10 34 3" xfId="15565"/>
    <cellStyle name="Normal 2 10 34 4" xfId="15566"/>
    <cellStyle name="Normal 2 10 34 5" xfId="15567"/>
    <cellStyle name="Normal 2 10 34 6" xfId="15568"/>
    <cellStyle name="Normal 2 10 34 7" xfId="15569"/>
    <cellStyle name="Normal 2 10 35" xfId="15570"/>
    <cellStyle name="Normal 2 10 35 2" xfId="15571"/>
    <cellStyle name="Normal 2 10 35 3" xfId="15572"/>
    <cellStyle name="Normal 2 10 35 4" xfId="15573"/>
    <cellStyle name="Normal 2 10 35 5" xfId="15574"/>
    <cellStyle name="Normal 2 10 35 6" xfId="15575"/>
    <cellStyle name="Normal 2 10 35 7" xfId="15576"/>
    <cellStyle name="Normal 2 10 36" xfId="15577"/>
    <cellStyle name="Normal 2 10 37" xfId="15578"/>
    <cellStyle name="Normal 2 10 38" xfId="15579"/>
    <cellStyle name="Normal 2 10 39" xfId="15580"/>
    <cellStyle name="Normal 2 10 4" xfId="4031"/>
    <cellStyle name="Normal 2 10 4 2" xfId="15581"/>
    <cellStyle name="Normal 2 10 4 2 2" xfId="15582"/>
    <cellStyle name="Normal 2 10 4 2 3" xfId="15583"/>
    <cellStyle name="Normal 2 10 4 2 4" xfId="15584"/>
    <cellStyle name="Normal 2 10 4 2 5" xfId="15585"/>
    <cellStyle name="Normal 2 10 4 2 6" xfId="15586"/>
    <cellStyle name="Normal 2 10 4 2 7" xfId="15587"/>
    <cellStyle name="Normal 2 10 4 3" xfId="15588"/>
    <cellStyle name="Normal 2 10 4 4" xfId="15589"/>
    <cellStyle name="Normal 2 10 4 5" xfId="15590"/>
    <cellStyle name="Normal 2 10 4 6" xfId="15591"/>
    <cellStyle name="Normal 2 10 4 7" xfId="15592"/>
    <cellStyle name="Normal 2 10 4 8" xfId="15593"/>
    <cellStyle name="Normal 2 10 4 9" xfId="15594"/>
    <cellStyle name="Normal 2 10 40" xfId="15595"/>
    <cellStyle name="Normal 2 10 41" xfId="15596"/>
    <cellStyle name="Normal 2 10 42" xfId="15597"/>
    <cellStyle name="Normal 2 10 5" xfId="4032"/>
    <cellStyle name="Normal 2 10 5 2" xfId="15598"/>
    <cellStyle name="Normal 2 10 5 2 2" xfId="15599"/>
    <cellStyle name="Normal 2 10 5 2 3" xfId="15600"/>
    <cellStyle name="Normal 2 10 5 2 4" xfId="15601"/>
    <cellStyle name="Normal 2 10 5 2 5" xfId="15602"/>
    <cellStyle name="Normal 2 10 5 2 6" xfId="15603"/>
    <cellStyle name="Normal 2 10 5 2 7" xfId="15604"/>
    <cellStyle name="Normal 2 10 5 3" xfId="15605"/>
    <cellStyle name="Normal 2 10 5 4" xfId="15606"/>
    <cellStyle name="Normal 2 10 5 5" xfId="15607"/>
    <cellStyle name="Normal 2 10 5 6" xfId="15608"/>
    <cellStyle name="Normal 2 10 5 7" xfId="15609"/>
    <cellStyle name="Normal 2 10 5 8" xfId="15610"/>
    <cellStyle name="Normal 2 10 5 9" xfId="15611"/>
    <cellStyle name="Normal 2 10 6" xfId="4033"/>
    <cellStyle name="Normal 2 10 6 2" xfId="15612"/>
    <cellStyle name="Normal 2 10 6 2 2" xfId="15613"/>
    <cellStyle name="Normal 2 10 6 2 3" xfId="15614"/>
    <cellStyle name="Normal 2 10 6 2 4" xfId="15615"/>
    <cellStyle name="Normal 2 10 6 2 5" xfId="15616"/>
    <cellStyle name="Normal 2 10 6 2 6" xfId="15617"/>
    <cellStyle name="Normal 2 10 6 2 7" xfId="15618"/>
    <cellStyle name="Normal 2 10 6 3" xfId="15619"/>
    <cellStyle name="Normal 2 10 6 4" xfId="15620"/>
    <cellStyle name="Normal 2 10 6 5" xfId="15621"/>
    <cellStyle name="Normal 2 10 6 6" xfId="15622"/>
    <cellStyle name="Normal 2 10 6 7" xfId="15623"/>
    <cellStyle name="Normal 2 10 6 8" xfId="15624"/>
    <cellStyle name="Normal 2 10 6 9" xfId="15625"/>
    <cellStyle name="Normal 2 10 7" xfId="4034"/>
    <cellStyle name="Normal 2 10 7 2" xfId="15626"/>
    <cellStyle name="Normal 2 10 7 2 2" xfId="15627"/>
    <cellStyle name="Normal 2 10 7 2 3" xfId="15628"/>
    <cellStyle name="Normal 2 10 7 2 4" xfId="15629"/>
    <cellStyle name="Normal 2 10 7 2 5" xfId="15630"/>
    <cellStyle name="Normal 2 10 7 2 6" xfId="15631"/>
    <cellStyle name="Normal 2 10 7 2 7" xfId="15632"/>
    <cellStyle name="Normal 2 10 7 3" xfId="15633"/>
    <cellStyle name="Normal 2 10 7 4" xfId="15634"/>
    <cellStyle name="Normal 2 10 7 5" xfId="15635"/>
    <cellStyle name="Normal 2 10 7 6" xfId="15636"/>
    <cellStyle name="Normal 2 10 7 7" xfId="15637"/>
    <cellStyle name="Normal 2 10 7 8" xfId="15638"/>
    <cellStyle name="Normal 2 10 7 9" xfId="15639"/>
    <cellStyle name="Normal 2 10 8" xfId="15640"/>
    <cellStyle name="Normal 2 10 8 2" xfId="15641"/>
    <cellStyle name="Normal 2 10 8 2 2" xfId="15642"/>
    <cellStyle name="Normal 2 10 8 2 3" xfId="15643"/>
    <cellStyle name="Normal 2 10 8 2 4" xfId="15644"/>
    <cellStyle name="Normal 2 10 8 2 5" xfId="15645"/>
    <cellStyle name="Normal 2 10 8 2 6" xfId="15646"/>
    <cellStyle name="Normal 2 10 8 2 7" xfId="15647"/>
    <cellStyle name="Normal 2 10 8 3" xfId="15648"/>
    <cellStyle name="Normal 2 10 8 4" xfId="15649"/>
    <cellStyle name="Normal 2 10 8 5" xfId="15650"/>
    <cellStyle name="Normal 2 10 8 6" xfId="15651"/>
    <cellStyle name="Normal 2 10 8 7" xfId="15652"/>
    <cellStyle name="Normal 2 10 8 8" xfId="15653"/>
    <cellStyle name="Normal 2 10 9" xfId="15654"/>
    <cellStyle name="Normal 2 10 9 2" xfId="15655"/>
    <cellStyle name="Normal 2 10 9 2 2" xfId="15656"/>
    <cellStyle name="Normal 2 10 9 2 3" xfId="15657"/>
    <cellStyle name="Normal 2 10 9 2 4" xfId="15658"/>
    <cellStyle name="Normal 2 10 9 2 5" xfId="15659"/>
    <cellStyle name="Normal 2 10 9 2 6" xfId="15660"/>
    <cellStyle name="Normal 2 10 9 2 7" xfId="15661"/>
    <cellStyle name="Normal 2 10 9 3" xfId="15662"/>
    <cellStyle name="Normal 2 10 9 4" xfId="15663"/>
    <cellStyle name="Normal 2 10 9 5" xfId="15664"/>
    <cellStyle name="Normal 2 10 9 6" xfId="15665"/>
    <cellStyle name="Normal 2 10 9 7" xfId="15666"/>
    <cellStyle name="Normal 2 10 9 8" xfId="15667"/>
    <cellStyle name="Normal 2 11" xfId="4035"/>
    <cellStyle name="Normal 2 11 10" xfId="15668"/>
    <cellStyle name="Normal 2 11 10 2" xfId="15669"/>
    <cellStyle name="Normal 2 11 10 2 2" xfId="15670"/>
    <cellStyle name="Normal 2 11 10 2 3" xfId="15671"/>
    <cellStyle name="Normal 2 11 10 2 4" xfId="15672"/>
    <cellStyle name="Normal 2 11 10 2 5" xfId="15673"/>
    <cellStyle name="Normal 2 11 10 2 6" xfId="15674"/>
    <cellStyle name="Normal 2 11 10 2 7" xfId="15675"/>
    <cellStyle name="Normal 2 11 10 3" xfId="15676"/>
    <cellStyle name="Normal 2 11 10 4" xfId="15677"/>
    <cellStyle name="Normal 2 11 10 5" xfId="15678"/>
    <cellStyle name="Normal 2 11 10 6" xfId="15679"/>
    <cellStyle name="Normal 2 11 10 7" xfId="15680"/>
    <cellStyle name="Normal 2 11 10 8" xfId="15681"/>
    <cellStyle name="Normal 2 11 11" xfId="15682"/>
    <cellStyle name="Normal 2 11 11 2" xfId="15683"/>
    <cellStyle name="Normal 2 11 11 2 2" xfId="15684"/>
    <cellStyle name="Normal 2 11 11 2 3" xfId="15685"/>
    <cellStyle name="Normal 2 11 11 2 4" xfId="15686"/>
    <cellStyle name="Normal 2 11 11 2 5" xfId="15687"/>
    <cellStyle name="Normal 2 11 11 2 6" xfId="15688"/>
    <cellStyle name="Normal 2 11 11 2 7" xfId="15689"/>
    <cellStyle name="Normal 2 11 11 3" xfId="15690"/>
    <cellStyle name="Normal 2 11 11 4" xfId="15691"/>
    <cellStyle name="Normal 2 11 11 5" xfId="15692"/>
    <cellStyle name="Normal 2 11 11 6" xfId="15693"/>
    <cellStyle name="Normal 2 11 11 7" xfId="15694"/>
    <cellStyle name="Normal 2 11 11 8" xfId="15695"/>
    <cellStyle name="Normal 2 11 12" xfId="15696"/>
    <cellStyle name="Normal 2 11 12 2" xfId="15697"/>
    <cellStyle name="Normal 2 11 12 2 2" xfId="15698"/>
    <cellStyle name="Normal 2 11 12 2 3" xfId="15699"/>
    <cellStyle name="Normal 2 11 12 2 4" xfId="15700"/>
    <cellStyle name="Normal 2 11 12 2 5" xfId="15701"/>
    <cellStyle name="Normal 2 11 12 2 6" xfId="15702"/>
    <cellStyle name="Normal 2 11 12 2 7" xfId="15703"/>
    <cellStyle name="Normal 2 11 12 3" xfId="15704"/>
    <cellStyle name="Normal 2 11 12 4" xfId="15705"/>
    <cellStyle name="Normal 2 11 12 5" xfId="15706"/>
    <cellStyle name="Normal 2 11 12 6" xfId="15707"/>
    <cellStyle name="Normal 2 11 12 7" xfId="15708"/>
    <cellStyle name="Normal 2 11 12 8" xfId="15709"/>
    <cellStyle name="Normal 2 11 13" xfId="15710"/>
    <cellStyle name="Normal 2 11 13 2" xfId="15711"/>
    <cellStyle name="Normal 2 11 13 2 2" xfId="15712"/>
    <cellStyle name="Normal 2 11 13 2 3" xfId="15713"/>
    <cellStyle name="Normal 2 11 13 2 4" xfId="15714"/>
    <cellStyle name="Normal 2 11 13 2 5" xfId="15715"/>
    <cellStyle name="Normal 2 11 13 2 6" xfId="15716"/>
    <cellStyle name="Normal 2 11 13 2 7" xfId="15717"/>
    <cellStyle name="Normal 2 11 13 3" xfId="15718"/>
    <cellStyle name="Normal 2 11 13 4" xfId="15719"/>
    <cellStyle name="Normal 2 11 13 5" xfId="15720"/>
    <cellStyle name="Normal 2 11 13 6" xfId="15721"/>
    <cellStyle name="Normal 2 11 13 7" xfId="15722"/>
    <cellStyle name="Normal 2 11 13 8" xfId="15723"/>
    <cellStyle name="Normal 2 11 14" xfId="15724"/>
    <cellStyle name="Normal 2 11 14 2" xfId="15725"/>
    <cellStyle name="Normal 2 11 14 2 2" xfId="15726"/>
    <cellStyle name="Normal 2 11 14 2 3" xfId="15727"/>
    <cellStyle name="Normal 2 11 14 2 4" xfId="15728"/>
    <cellStyle name="Normal 2 11 14 2 5" xfId="15729"/>
    <cellStyle name="Normal 2 11 14 2 6" xfId="15730"/>
    <cellStyle name="Normal 2 11 14 2 7" xfId="15731"/>
    <cellStyle name="Normal 2 11 14 3" xfId="15732"/>
    <cellStyle name="Normal 2 11 14 4" xfId="15733"/>
    <cellStyle name="Normal 2 11 14 5" xfId="15734"/>
    <cellStyle name="Normal 2 11 14 6" xfId="15735"/>
    <cellStyle name="Normal 2 11 14 7" xfId="15736"/>
    <cellStyle name="Normal 2 11 14 8" xfId="15737"/>
    <cellStyle name="Normal 2 11 15" xfId="15738"/>
    <cellStyle name="Normal 2 11 15 2" xfId="15739"/>
    <cellStyle name="Normal 2 11 15 2 2" xfId="15740"/>
    <cellStyle name="Normal 2 11 15 2 3" xfId="15741"/>
    <cellStyle name="Normal 2 11 15 2 4" xfId="15742"/>
    <cellStyle name="Normal 2 11 15 2 5" xfId="15743"/>
    <cellStyle name="Normal 2 11 15 2 6" xfId="15744"/>
    <cellStyle name="Normal 2 11 15 2 7" xfId="15745"/>
    <cellStyle name="Normal 2 11 15 3" xfId="15746"/>
    <cellStyle name="Normal 2 11 15 4" xfId="15747"/>
    <cellStyle name="Normal 2 11 15 5" xfId="15748"/>
    <cellStyle name="Normal 2 11 15 6" xfId="15749"/>
    <cellStyle name="Normal 2 11 15 7" xfId="15750"/>
    <cellStyle name="Normal 2 11 15 8" xfId="15751"/>
    <cellStyle name="Normal 2 11 16" xfId="15752"/>
    <cellStyle name="Normal 2 11 16 2" xfId="15753"/>
    <cellStyle name="Normal 2 11 16 3" xfId="15754"/>
    <cellStyle name="Normal 2 11 16 4" xfId="15755"/>
    <cellStyle name="Normal 2 11 16 5" xfId="15756"/>
    <cellStyle name="Normal 2 11 16 6" xfId="15757"/>
    <cellStyle name="Normal 2 11 16 7" xfId="15758"/>
    <cellStyle name="Normal 2 11 17" xfId="15759"/>
    <cellStyle name="Normal 2 11 17 2" xfId="15760"/>
    <cellStyle name="Normal 2 11 17 3" xfId="15761"/>
    <cellStyle name="Normal 2 11 17 4" xfId="15762"/>
    <cellStyle name="Normal 2 11 17 5" xfId="15763"/>
    <cellStyle name="Normal 2 11 17 6" xfId="15764"/>
    <cellStyle name="Normal 2 11 17 7" xfId="15765"/>
    <cellStyle name="Normal 2 11 18" xfId="15766"/>
    <cellStyle name="Normal 2 11 18 2" xfId="15767"/>
    <cellStyle name="Normal 2 11 18 3" xfId="15768"/>
    <cellStyle name="Normal 2 11 18 4" xfId="15769"/>
    <cellStyle name="Normal 2 11 18 5" xfId="15770"/>
    <cellStyle name="Normal 2 11 18 6" xfId="15771"/>
    <cellStyle name="Normal 2 11 18 7" xfId="15772"/>
    <cellStyle name="Normal 2 11 19" xfId="15773"/>
    <cellStyle name="Normal 2 11 19 2" xfId="15774"/>
    <cellStyle name="Normal 2 11 19 3" xfId="15775"/>
    <cellStyle name="Normal 2 11 19 4" xfId="15776"/>
    <cellStyle name="Normal 2 11 19 5" xfId="15777"/>
    <cellStyle name="Normal 2 11 19 6" xfId="15778"/>
    <cellStyle name="Normal 2 11 19 7" xfId="15779"/>
    <cellStyle name="Normal 2 11 2" xfId="15780"/>
    <cellStyle name="Normal 2 11 2 2" xfId="15781"/>
    <cellStyle name="Normal 2 11 2 2 2" xfId="15782"/>
    <cellStyle name="Normal 2 11 2 2 3" xfId="15783"/>
    <cellStyle name="Normal 2 11 2 2 4" xfId="15784"/>
    <cellStyle name="Normal 2 11 2 2 5" xfId="15785"/>
    <cellStyle name="Normal 2 11 2 2 6" xfId="15786"/>
    <cellStyle name="Normal 2 11 2 2 7" xfId="15787"/>
    <cellStyle name="Normal 2 11 2 3" xfId="15788"/>
    <cellStyle name="Normal 2 11 2 4" xfId="15789"/>
    <cellStyle name="Normal 2 11 2 5" xfId="15790"/>
    <cellStyle name="Normal 2 11 2 6" xfId="15791"/>
    <cellStyle name="Normal 2 11 2 7" xfId="15792"/>
    <cellStyle name="Normal 2 11 2 8" xfId="15793"/>
    <cellStyle name="Normal 2 11 20" xfId="15794"/>
    <cellStyle name="Normal 2 11 20 2" xfId="15795"/>
    <cellStyle name="Normal 2 11 20 3" xfId="15796"/>
    <cellStyle name="Normal 2 11 20 4" xfId="15797"/>
    <cellStyle name="Normal 2 11 20 5" xfId="15798"/>
    <cellStyle name="Normal 2 11 20 6" xfId="15799"/>
    <cellStyle name="Normal 2 11 20 7" xfId="15800"/>
    <cellStyle name="Normal 2 11 21" xfId="15801"/>
    <cellStyle name="Normal 2 11 21 2" xfId="15802"/>
    <cellStyle name="Normal 2 11 21 3" xfId="15803"/>
    <cellStyle name="Normal 2 11 21 4" xfId="15804"/>
    <cellStyle name="Normal 2 11 21 5" xfId="15805"/>
    <cellStyle name="Normal 2 11 21 6" xfId="15806"/>
    <cellStyle name="Normal 2 11 21 7" xfId="15807"/>
    <cellStyle name="Normal 2 11 22" xfId="15808"/>
    <cellStyle name="Normal 2 11 22 2" xfId="15809"/>
    <cellStyle name="Normal 2 11 22 3" xfId="15810"/>
    <cellStyle name="Normal 2 11 22 4" xfId="15811"/>
    <cellStyle name="Normal 2 11 22 5" xfId="15812"/>
    <cellStyle name="Normal 2 11 22 6" xfId="15813"/>
    <cellStyle name="Normal 2 11 22 7" xfId="15814"/>
    <cellStyle name="Normal 2 11 23" xfId="15815"/>
    <cellStyle name="Normal 2 11 23 2" xfId="15816"/>
    <cellStyle name="Normal 2 11 23 3" xfId="15817"/>
    <cellStyle name="Normal 2 11 23 4" xfId="15818"/>
    <cellStyle name="Normal 2 11 23 5" xfId="15819"/>
    <cellStyle name="Normal 2 11 23 6" xfId="15820"/>
    <cellStyle name="Normal 2 11 23 7" xfId="15821"/>
    <cellStyle name="Normal 2 11 24" xfId="15822"/>
    <cellStyle name="Normal 2 11 24 2" xfId="15823"/>
    <cellStyle name="Normal 2 11 24 3" xfId="15824"/>
    <cellStyle name="Normal 2 11 24 4" xfId="15825"/>
    <cellStyle name="Normal 2 11 24 5" xfId="15826"/>
    <cellStyle name="Normal 2 11 24 6" xfId="15827"/>
    <cellStyle name="Normal 2 11 24 7" xfId="15828"/>
    <cellStyle name="Normal 2 11 25" xfId="15829"/>
    <cellStyle name="Normal 2 11 25 2" xfId="15830"/>
    <cellStyle name="Normal 2 11 25 3" xfId="15831"/>
    <cellStyle name="Normal 2 11 25 4" xfId="15832"/>
    <cellStyle name="Normal 2 11 25 5" xfId="15833"/>
    <cellStyle name="Normal 2 11 25 6" xfId="15834"/>
    <cellStyle name="Normal 2 11 25 7" xfId="15835"/>
    <cellStyle name="Normal 2 11 26" xfId="15836"/>
    <cellStyle name="Normal 2 11 26 2" xfId="15837"/>
    <cellStyle name="Normal 2 11 26 3" xfId="15838"/>
    <cellStyle name="Normal 2 11 26 4" xfId="15839"/>
    <cellStyle name="Normal 2 11 26 5" xfId="15840"/>
    <cellStyle name="Normal 2 11 26 6" xfId="15841"/>
    <cellStyle name="Normal 2 11 26 7" xfId="15842"/>
    <cellStyle name="Normal 2 11 27" xfId="15843"/>
    <cellStyle name="Normal 2 11 27 2" xfId="15844"/>
    <cellStyle name="Normal 2 11 27 3" xfId="15845"/>
    <cellStyle name="Normal 2 11 27 4" xfId="15846"/>
    <cellStyle name="Normal 2 11 27 5" xfId="15847"/>
    <cellStyle name="Normal 2 11 27 6" xfId="15848"/>
    <cellStyle name="Normal 2 11 27 7" xfId="15849"/>
    <cellStyle name="Normal 2 11 28" xfId="15850"/>
    <cellStyle name="Normal 2 11 28 2" xfId="15851"/>
    <cellStyle name="Normal 2 11 28 3" xfId="15852"/>
    <cellStyle name="Normal 2 11 28 4" xfId="15853"/>
    <cellStyle name="Normal 2 11 28 5" xfId="15854"/>
    <cellStyle name="Normal 2 11 28 6" xfId="15855"/>
    <cellStyle name="Normal 2 11 28 7" xfId="15856"/>
    <cellStyle name="Normal 2 11 29" xfId="15857"/>
    <cellStyle name="Normal 2 11 29 2" xfId="15858"/>
    <cellStyle name="Normal 2 11 29 3" xfId="15859"/>
    <cellStyle name="Normal 2 11 29 4" xfId="15860"/>
    <cellStyle name="Normal 2 11 29 5" xfId="15861"/>
    <cellStyle name="Normal 2 11 29 6" xfId="15862"/>
    <cellStyle name="Normal 2 11 29 7" xfId="15863"/>
    <cellStyle name="Normal 2 11 3" xfId="15864"/>
    <cellStyle name="Normal 2 11 3 2" xfId="15865"/>
    <cellStyle name="Normal 2 11 3 2 2" xfId="15866"/>
    <cellStyle name="Normal 2 11 3 2 3" xfId="15867"/>
    <cellStyle name="Normal 2 11 3 2 4" xfId="15868"/>
    <cellStyle name="Normal 2 11 3 2 5" xfId="15869"/>
    <cellStyle name="Normal 2 11 3 2 6" xfId="15870"/>
    <cellStyle name="Normal 2 11 3 2 7" xfId="15871"/>
    <cellStyle name="Normal 2 11 3 3" xfId="15872"/>
    <cellStyle name="Normal 2 11 3 4" xfId="15873"/>
    <cellStyle name="Normal 2 11 3 5" xfId="15874"/>
    <cellStyle name="Normal 2 11 3 6" xfId="15875"/>
    <cellStyle name="Normal 2 11 3 7" xfId="15876"/>
    <cellStyle name="Normal 2 11 3 8" xfId="15877"/>
    <cellStyle name="Normal 2 11 30" xfId="15878"/>
    <cellStyle name="Normal 2 11 30 2" xfId="15879"/>
    <cellStyle name="Normal 2 11 30 3" xfId="15880"/>
    <cellStyle name="Normal 2 11 30 4" xfId="15881"/>
    <cellStyle name="Normal 2 11 30 5" xfId="15882"/>
    <cellStyle name="Normal 2 11 30 6" xfId="15883"/>
    <cellStyle name="Normal 2 11 30 7" xfId="15884"/>
    <cellStyle name="Normal 2 11 31" xfId="15885"/>
    <cellStyle name="Normal 2 11 31 2" xfId="15886"/>
    <cellStyle name="Normal 2 11 31 3" xfId="15887"/>
    <cellStyle name="Normal 2 11 31 4" xfId="15888"/>
    <cellStyle name="Normal 2 11 31 5" xfId="15889"/>
    <cellStyle name="Normal 2 11 31 6" xfId="15890"/>
    <cellStyle name="Normal 2 11 31 7" xfId="15891"/>
    <cellStyle name="Normal 2 11 32" xfId="15892"/>
    <cellStyle name="Normal 2 11 32 2" xfId="15893"/>
    <cellStyle name="Normal 2 11 32 3" xfId="15894"/>
    <cellStyle name="Normal 2 11 32 4" xfId="15895"/>
    <cellStyle name="Normal 2 11 32 5" xfId="15896"/>
    <cellStyle name="Normal 2 11 32 6" xfId="15897"/>
    <cellStyle name="Normal 2 11 32 7" xfId="15898"/>
    <cellStyle name="Normal 2 11 33" xfId="15899"/>
    <cellStyle name="Normal 2 11 33 2" xfId="15900"/>
    <cellStyle name="Normal 2 11 33 3" xfId="15901"/>
    <cellStyle name="Normal 2 11 33 4" xfId="15902"/>
    <cellStyle name="Normal 2 11 33 5" xfId="15903"/>
    <cellStyle name="Normal 2 11 33 6" xfId="15904"/>
    <cellStyle name="Normal 2 11 33 7" xfId="15905"/>
    <cellStyle name="Normal 2 11 34" xfId="15906"/>
    <cellStyle name="Normal 2 11 34 2" xfId="15907"/>
    <cellStyle name="Normal 2 11 34 3" xfId="15908"/>
    <cellStyle name="Normal 2 11 34 4" xfId="15909"/>
    <cellStyle name="Normal 2 11 34 5" xfId="15910"/>
    <cellStyle name="Normal 2 11 34 6" xfId="15911"/>
    <cellStyle name="Normal 2 11 34 7" xfId="15912"/>
    <cellStyle name="Normal 2 11 35" xfId="15913"/>
    <cellStyle name="Normal 2 11 35 2" xfId="15914"/>
    <cellStyle name="Normal 2 11 35 3" xfId="15915"/>
    <cellStyle name="Normal 2 11 35 4" xfId="15916"/>
    <cellStyle name="Normal 2 11 35 5" xfId="15917"/>
    <cellStyle name="Normal 2 11 35 6" xfId="15918"/>
    <cellStyle name="Normal 2 11 35 7" xfId="15919"/>
    <cellStyle name="Normal 2 11 36" xfId="15920"/>
    <cellStyle name="Normal 2 11 37" xfId="15921"/>
    <cellStyle name="Normal 2 11 38" xfId="15922"/>
    <cellStyle name="Normal 2 11 39" xfId="15923"/>
    <cellStyle name="Normal 2 11 4" xfId="15924"/>
    <cellStyle name="Normal 2 11 4 2" xfId="15925"/>
    <cellStyle name="Normal 2 11 4 2 2" xfId="15926"/>
    <cellStyle name="Normal 2 11 4 2 3" xfId="15927"/>
    <cellStyle name="Normal 2 11 4 2 4" xfId="15928"/>
    <cellStyle name="Normal 2 11 4 2 5" xfId="15929"/>
    <cellStyle name="Normal 2 11 4 2 6" xfId="15930"/>
    <cellStyle name="Normal 2 11 4 2 7" xfId="15931"/>
    <cellStyle name="Normal 2 11 4 3" xfId="15932"/>
    <cellStyle name="Normal 2 11 4 4" xfId="15933"/>
    <cellStyle name="Normal 2 11 4 5" xfId="15934"/>
    <cellStyle name="Normal 2 11 4 6" xfId="15935"/>
    <cellStyle name="Normal 2 11 4 7" xfId="15936"/>
    <cellStyle name="Normal 2 11 4 8" xfId="15937"/>
    <cellStyle name="Normal 2 11 40" xfId="15938"/>
    <cellStyle name="Normal 2 11 41" xfId="15939"/>
    <cellStyle name="Normal 2 11 42" xfId="15940"/>
    <cellStyle name="Normal 2 11 5" xfId="15941"/>
    <cellStyle name="Normal 2 11 5 2" xfId="15942"/>
    <cellStyle name="Normal 2 11 5 2 2" xfId="15943"/>
    <cellStyle name="Normal 2 11 5 2 3" xfId="15944"/>
    <cellStyle name="Normal 2 11 5 2 4" xfId="15945"/>
    <cellStyle name="Normal 2 11 5 2 5" xfId="15946"/>
    <cellStyle name="Normal 2 11 5 2 6" xfId="15947"/>
    <cellStyle name="Normal 2 11 5 2 7" xfId="15948"/>
    <cellStyle name="Normal 2 11 5 3" xfId="15949"/>
    <cellStyle name="Normal 2 11 5 4" xfId="15950"/>
    <cellStyle name="Normal 2 11 5 5" xfId="15951"/>
    <cellStyle name="Normal 2 11 5 6" xfId="15952"/>
    <cellStyle name="Normal 2 11 5 7" xfId="15953"/>
    <cellStyle name="Normal 2 11 5 8" xfId="15954"/>
    <cellStyle name="Normal 2 11 6" xfId="15955"/>
    <cellStyle name="Normal 2 11 6 2" xfId="15956"/>
    <cellStyle name="Normal 2 11 6 2 2" xfId="15957"/>
    <cellStyle name="Normal 2 11 6 2 3" xfId="15958"/>
    <cellStyle name="Normal 2 11 6 2 4" xfId="15959"/>
    <cellStyle name="Normal 2 11 6 2 5" xfId="15960"/>
    <cellStyle name="Normal 2 11 6 2 6" xfId="15961"/>
    <cellStyle name="Normal 2 11 6 2 7" xfId="15962"/>
    <cellStyle name="Normal 2 11 6 3" xfId="15963"/>
    <cellStyle name="Normal 2 11 6 4" xfId="15964"/>
    <cellStyle name="Normal 2 11 6 5" xfId="15965"/>
    <cellStyle name="Normal 2 11 6 6" xfId="15966"/>
    <cellStyle name="Normal 2 11 6 7" xfId="15967"/>
    <cellStyle name="Normal 2 11 6 8" xfId="15968"/>
    <cellStyle name="Normal 2 11 7" xfId="15969"/>
    <cellStyle name="Normal 2 11 7 2" xfId="15970"/>
    <cellStyle name="Normal 2 11 7 2 2" xfId="15971"/>
    <cellStyle name="Normal 2 11 7 2 3" xfId="15972"/>
    <cellStyle name="Normal 2 11 7 2 4" xfId="15973"/>
    <cellStyle name="Normal 2 11 7 2 5" xfId="15974"/>
    <cellStyle name="Normal 2 11 7 2 6" xfId="15975"/>
    <cellStyle name="Normal 2 11 7 2 7" xfId="15976"/>
    <cellStyle name="Normal 2 11 7 3" xfId="15977"/>
    <cellStyle name="Normal 2 11 7 4" xfId="15978"/>
    <cellStyle name="Normal 2 11 7 5" xfId="15979"/>
    <cellStyle name="Normal 2 11 7 6" xfId="15980"/>
    <cellStyle name="Normal 2 11 7 7" xfId="15981"/>
    <cellStyle name="Normal 2 11 7 8" xfId="15982"/>
    <cellStyle name="Normal 2 11 8" xfId="15983"/>
    <cellStyle name="Normal 2 11 8 2" xfId="15984"/>
    <cellStyle name="Normal 2 11 8 2 2" xfId="15985"/>
    <cellStyle name="Normal 2 11 8 2 3" xfId="15986"/>
    <cellStyle name="Normal 2 11 8 2 4" xfId="15987"/>
    <cellStyle name="Normal 2 11 8 2 5" xfId="15988"/>
    <cellStyle name="Normal 2 11 8 2 6" xfId="15989"/>
    <cellStyle name="Normal 2 11 8 2 7" xfId="15990"/>
    <cellStyle name="Normal 2 11 8 3" xfId="15991"/>
    <cellStyle name="Normal 2 11 8 4" xfId="15992"/>
    <cellStyle name="Normal 2 11 8 5" xfId="15993"/>
    <cellStyle name="Normal 2 11 8 6" xfId="15994"/>
    <cellStyle name="Normal 2 11 8 7" xfId="15995"/>
    <cellStyle name="Normal 2 11 8 8" xfId="15996"/>
    <cellStyle name="Normal 2 11 9" xfId="15997"/>
    <cellStyle name="Normal 2 11 9 2" xfId="15998"/>
    <cellStyle name="Normal 2 11 9 2 2" xfId="15999"/>
    <cellStyle name="Normal 2 11 9 2 3" xfId="16000"/>
    <cellStyle name="Normal 2 11 9 2 4" xfId="16001"/>
    <cellStyle name="Normal 2 11 9 2 5" xfId="16002"/>
    <cellStyle name="Normal 2 11 9 2 6" xfId="16003"/>
    <cellStyle name="Normal 2 11 9 2 7" xfId="16004"/>
    <cellStyle name="Normal 2 11 9 3" xfId="16005"/>
    <cellStyle name="Normal 2 11 9 4" xfId="16006"/>
    <cellStyle name="Normal 2 11 9 5" xfId="16007"/>
    <cellStyle name="Normal 2 11 9 6" xfId="16008"/>
    <cellStyle name="Normal 2 11 9 7" xfId="16009"/>
    <cellStyle name="Normal 2 11 9 8" xfId="16010"/>
    <cellStyle name="Normal 2 12" xfId="4036"/>
    <cellStyle name="Normal 2 12 10" xfId="16011"/>
    <cellStyle name="Normal 2 12 10 2" xfId="16012"/>
    <cellStyle name="Normal 2 12 10 2 2" xfId="16013"/>
    <cellStyle name="Normal 2 12 10 2 3" xfId="16014"/>
    <cellStyle name="Normal 2 12 10 2 4" xfId="16015"/>
    <cellStyle name="Normal 2 12 10 2 5" xfId="16016"/>
    <cellStyle name="Normal 2 12 10 2 6" xfId="16017"/>
    <cellStyle name="Normal 2 12 10 2 7" xfId="16018"/>
    <cellStyle name="Normal 2 12 10 3" xfId="16019"/>
    <cellStyle name="Normal 2 12 10 4" xfId="16020"/>
    <cellStyle name="Normal 2 12 10 5" xfId="16021"/>
    <cellStyle name="Normal 2 12 10 6" xfId="16022"/>
    <cellStyle name="Normal 2 12 10 7" xfId="16023"/>
    <cellStyle name="Normal 2 12 10 8" xfId="16024"/>
    <cellStyle name="Normal 2 12 11" xfId="16025"/>
    <cellStyle name="Normal 2 12 11 2" xfId="16026"/>
    <cellStyle name="Normal 2 12 11 2 2" xfId="16027"/>
    <cellStyle name="Normal 2 12 11 2 3" xfId="16028"/>
    <cellStyle name="Normal 2 12 11 2 4" xfId="16029"/>
    <cellStyle name="Normal 2 12 11 2 5" xfId="16030"/>
    <cellStyle name="Normal 2 12 11 2 6" xfId="16031"/>
    <cellStyle name="Normal 2 12 11 2 7" xfId="16032"/>
    <cellStyle name="Normal 2 12 11 3" xfId="16033"/>
    <cellStyle name="Normal 2 12 11 4" xfId="16034"/>
    <cellStyle name="Normal 2 12 11 5" xfId="16035"/>
    <cellStyle name="Normal 2 12 11 6" xfId="16036"/>
    <cellStyle name="Normal 2 12 11 7" xfId="16037"/>
    <cellStyle name="Normal 2 12 11 8" xfId="16038"/>
    <cellStyle name="Normal 2 12 12" xfId="16039"/>
    <cellStyle name="Normal 2 12 12 2" xfId="16040"/>
    <cellStyle name="Normal 2 12 12 2 2" xfId="16041"/>
    <cellStyle name="Normal 2 12 12 2 3" xfId="16042"/>
    <cellStyle name="Normal 2 12 12 2 4" xfId="16043"/>
    <cellStyle name="Normal 2 12 12 2 5" xfId="16044"/>
    <cellStyle name="Normal 2 12 12 2 6" xfId="16045"/>
    <cellStyle name="Normal 2 12 12 2 7" xfId="16046"/>
    <cellStyle name="Normal 2 12 12 3" xfId="16047"/>
    <cellStyle name="Normal 2 12 12 4" xfId="16048"/>
    <cellStyle name="Normal 2 12 12 5" xfId="16049"/>
    <cellStyle name="Normal 2 12 12 6" xfId="16050"/>
    <cellStyle name="Normal 2 12 12 7" xfId="16051"/>
    <cellStyle name="Normal 2 12 12 8" xfId="16052"/>
    <cellStyle name="Normal 2 12 13" xfId="16053"/>
    <cellStyle name="Normal 2 12 13 2" xfId="16054"/>
    <cellStyle name="Normal 2 12 13 2 2" xfId="16055"/>
    <cellStyle name="Normal 2 12 13 2 3" xfId="16056"/>
    <cellStyle name="Normal 2 12 13 2 4" xfId="16057"/>
    <cellStyle name="Normal 2 12 13 2 5" xfId="16058"/>
    <cellStyle name="Normal 2 12 13 2 6" xfId="16059"/>
    <cellStyle name="Normal 2 12 13 2 7" xfId="16060"/>
    <cellStyle name="Normal 2 12 13 3" xfId="16061"/>
    <cellStyle name="Normal 2 12 13 4" xfId="16062"/>
    <cellStyle name="Normal 2 12 13 5" xfId="16063"/>
    <cellStyle name="Normal 2 12 13 6" xfId="16064"/>
    <cellStyle name="Normal 2 12 13 7" xfId="16065"/>
    <cellStyle name="Normal 2 12 13 8" xfId="16066"/>
    <cellStyle name="Normal 2 12 14" xfId="16067"/>
    <cellStyle name="Normal 2 12 14 2" xfId="16068"/>
    <cellStyle name="Normal 2 12 14 2 2" xfId="16069"/>
    <cellStyle name="Normal 2 12 14 2 3" xfId="16070"/>
    <cellStyle name="Normal 2 12 14 2 4" xfId="16071"/>
    <cellStyle name="Normal 2 12 14 2 5" xfId="16072"/>
    <cellStyle name="Normal 2 12 14 2 6" xfId="16073"/>
    <cellStyle name="Normal 2 12 14 2 7" xfId="16074"/>
    <cellStyle name="Normal 2 12 14 3" xfId="16075"/>
    <cellStyle name="Normal 2 12 14 4" xfId="16076"/>
    <cellStyle name="Normal 2 12 14 5" xfId="16077"/>
    <cellStyle name="Normal 2 12 14 6" xfId="16078"/>
    <cellStyle name="Normal 2 12 14 7" xfId="16079"/>
    <cellStyle name="Normal 2 12 14 8" xfId="16080"/>
    <cellStyle name="Normal 2 12 15" xfId="16081"/>
    <cellStyle name="Normal 2 12 15 2" xfId="16082"/>
    <cellStyle name="Normal 2 12 15 2 2" xfId="16083"/>
    <cellStyle name="Normal 2 12 15 2 3" xfId="16084"/>
    <cellStyle name="Normal 2 12 15 2 4" xfId="16085"/>
    <cellStyle name="Normal 2 12 15 2 5" xfId="16086"/>
    <cellStyle name="Normal 2 12 15 2 6" xfId="16087"/>
    <cellStyle name="Normal 2 12 15 2 7" xfId="16088"/>
    <cellStyle name="Normal 2 12 15 3" xfId="16089"/>
    <cellStyle name="Normal 2 12 15 4" xfId="16090"/>
    <cellStyle name="Normal 2 12 15 5" xfId="16091"/>
    <cellStyle name="Normal 2 12 15 6" xfId="16092"/>
    <cellStyle name="Normal 2 12 15 7" xfId="16093"/>
    <cellStyle name="Normal 2 12 15 8" xfId="16094"/>
    <cellStyle name="Normal 2 12 16" xfId="16095"/>
    <cellStyle name="Normal 2 12 16 2" xfId="16096"/>
    <cellStyle name="Normal 2 12 16 3" xfId="16097"/>
    <cellStyle name="Normal 2 12 16 4" xfId="16098"/>
    <cellStyle name="Normal 2 12 16 5" xfId="16099"/>
    <cellStyle name="Normal 2 12 16 6" xfId="16100"/>
    <cellStyle name="Normal 2 12 16 7" xfId="16101"/>
    <cellStyle name="Normal 2 12 17" xfId="16102"/>
    <cellStyle name="Normal 2 12 17 2" xfId="16103"/>
    <cellStyle name="Normal 2 12 17 3" xfId="16104"/>
    <cellStyle name="Normal 2 12 17 4" xfId="16105"/>
    <cellStyle name="Normal 2 12 17 5" xfId="16106"/>
    <cellStyle name="Normal 2 12 17 6" xfId="16107"/>
    <cellStyle name="Normal 2 12 17 7" xfId="16108"/>
    <cellStyle name="Normal 2 12 18" xfId="16109"/>
    <cellStyle name="Normal 2 12 18 2" xfId="16110"/>
    <cellStyle name="Normal 2 12 18 3" xfId="16111"/>
    <cellStyle name="Normal 2 12 18 4" xfId="16112"/>
    <cellStyle name="Normal 2 12 18 5" xfId="16113"/>
    <cellStyle name="Normal 2 12 18 6" xfId="16114"/>
    <cellStyle name="Normal 2 12 18 7" xfId="16115"/>
    <cellStyle name="Normal 2 12 19" xfId="16116"/>
    <cellStyle name="Normal 2 12 19 2" xfId="16117"/>
    <cellStyle name="Normal 2 12 19 3" xfId="16118"/>
    <cellStyle name="Normal 2 12 19 4" xfId="16119"/>
    <cellStyle name="Normal 2 12 19 5" xfId="16120"/>
    <cellStyle name="Normal 2 12 19 6" xfId="16121"/>
    <cellStyle name="Normal 2 12 19 7" xfId="16122"/>
    <cellStyle name="Normal 2 12 2" xfId="16123"/>
    <cellStyle name="Normal 2 12 2 2" xfId="16124"/>
    <cellStyle name="Normal 2 12 2 2 2" xfId="16125"/>
    <cellStyle name="Normal 2 12 2 2 3" xfId="16126"/>
    <cellStyle name="Normal 2 12 2 2 4" xfId="16127"/>
    <cellStyle name="Normal 2 12 2 2 5" xfId="16128"/>
    <cellStyle name="Normal 2 12 2 2 6" xfId="16129"/>
    <cellStyle name="Normal 2 12 2 2 7" xfId="16130"/>
    <cellStyle name="Normal 2 12 2 3" xfId="16131"/>
    <cellStyle name="Normal 2 12 2 4" xfId="16132"/>
    <cellStyle name="Normal 2 12 2 5" xfId="16133"/>
    <cellStyle name="Normal 2 12 2 6" xfId="16134"/>
    <cellStyle name="Normal 2 12 2 7" xfId="16135"/>
    <cellStyle name="Normal 2 12 2 8" xfId="16136"/>
    <cellStyle name="Normal 2 12 20" xfId="16137"/>
    <cellStyle name="Normal 2 12 20 2" xfId="16138"/>
    <cellStyle name="Normal 2 12 20 3" xfId="16139"/>
    <cellStyle name="Normal 2 12 20 4" xfId="16140"/>
    <cellStyle name="Normal 2 12 20 5" xfId="16141"/>
    <cellStyle name="Normal 2 12 20 6" xfId="16142"/>
    <cellStyle name="Normal 2 12 20 7" xfId="16143"/>
    <cellStyle name="Normal 2 12 21" xfId="16144"/>
    <cellStyle name="Normal 2 12 21 2" xfId="16145"/>
    <cellStyle name="Normal 2 12 21 3" xfId="16146"/>
    <cellStyle name="Normal 2 12 21 4" xfId="16147"/>
    <cellStyle name="Normal 2 12 21 5" xfId="16148"/>
    <cellStyle name="Normal 2 12 21 6" xfId="16149"/>
    <cellStyle name="Normal 2 12 21 7" xfId="16150"/>
    <cellStyle name="Normal 2 12 22" xfId="16151"/>
    <cellStyle name="Normal 2 12 22 2" xfId="16152"/>
    <cellStyle name="Normal 2 12 22 3" xfId="16153"/>
    <cellStyle name="Normal 2 12 22 4" xfId="16154"/>
    <cellStyle name="Normal 2 12 22 5" xfId="16155"/>
    <cellStyle name="Normal 2 12 22 6" xfId="16156"/>
    <cellStyle name="Normal 2 12 22 7" xfId="16157"/>
    <cellStyle name="Normal 2 12 23" xfId="16158"/>
    <cellStyle name="Normal 2 12 23 2" xfId="16159"/>
    <cellStyle name="Normal 2 12 23 3" xfId="16160"/>
    <cellStyle name="Normal 2 12 23 4" xfId="16161"/>
    <cellStyle name="Normal 2 12 23 5" xfId="16162"/>
    <cellStyle name="Normal 2 12 23 6" xfId="16163"/>
    <cellStyle name="Normal 2 12 23 7" xfId="16164"/>
    <cellStyle name="Normal 2 12 24" xfId="16165"/>
    <cellStyle name="Normal 2 12 24 2" xfId="16166"/>
    <cellStyle name="Normal 2 12 24 3" xfId="16167"/>
    <cellStyle name="Normal 2 12 24 4" xfId="16168"/>
    <cellStyle name="Normal 2 12 24 5" xfId="16169"/>
    <cellStyle name="Normal 2 12 24 6" xfId="16170"/>
    <cellStyle name="Normal 2 12 24 7" xfId="16171"/>
    <cellStyle name="Normal 2 12 25" xfId="16172"/>
    <cellStyle name="Normal 2 12 25 2" xfId="16173"/>
    <cellStyle name="Normal 2 12 25 3" xfId="16174"/>
    <cellStyle name="Normal 2 12 25 4" xfId="16175"/>
    <cellStyle name="Normal 2 12 25 5" xfId="16176"/>
    <cellStyle name="Normal 2 12 25 6" xfId="16177"/>
    <cellStyle name="Normal 2 12 25 7" xfId="16178"/>
    <cellStyle name="Normal 2 12 26" xfId="16179"/>
    <cellStyle name="Normal 2 12 26 2" xfId="16180"/>
    <cellStyle name="Normal 2 12 26 3" xfId="16181"/>
    <cellStyle name="Normal 2 12 26 4" xfId="16182"/>
    <cellStyle name="Normal 2 12 26 5" xfId="16183"/>
    <cellStyle name="Normal 2 12 26 6" xfId="16184"/>
    <cellStyle name="Normal 2 12 26 7" xfId="16185"/>
    <cellStyle name="Normal 2 12 27" xfId="16186"/>
    <cellStyle name="Normal 2 12 27 2" xfId="16187"/>
    <cellStyle name="Normal 2 12 27 3" xfId="16188"/>
    <cellStyle name="Normal 2 12 27 4" xfId="16189"/>
    <cellStyle name="Normal 2 12 27 5" xfId="16190"/>
    <cellStyle name="Normal 2 12 27 6" xfId="16191"/>
    <cellStyle name="Normal 2 12 27 7" xfId="16192"/>
    <cellStyle name="Normal 2 12 28" xfId="16193"/>
    <cellStyle name="Normal 2 12 28 2" xfId="16194"/>
    <cellStyle name="Normal 2 12 28 3" xfId="16195"/>
    <cellStyle name="Normal 2 12 28 4" xfId="16196"/>
    <cellStyle name="Normal 2 12 28 5" xfId="16197"/>
    <cellStyle name="Normal 2 12 28 6" xfId="16198"/>
    <cellStyle name="Normal 2 12 28 7" xfId="16199"/>
    <cellStyle name="Normal 2 12 29" xfId="16200"/>
    <cellStyle name="Normal 2 12 29 2" xfId="16201"/>
    <cellStyle name="Normal 2 12 29 3" xfId="16202"/>
    <cellStyle name="Normal 2 12 29 4" xfId="16203"/>
    <cellStyle name="Normal 2 12 29 5" xfId="16204"/>
    <cellStyle name="Normal 2 12 29 6" xfId="16205"/>
    <cellStyle name="Normal 2 12 29 7" xfId="16206"/>
    <cellStyle name="Normal 2 12 3" xfId="16207"/>
    <cellStyle name="Normal 2 12 3 2" xfId="16208"/>
    <cellStyle name="Normal 2 12 3 2 2" xfId="16209"/>
    <cellStyle name="Normal 2 12 3 2 3" xfId="16210"/>
    <cellStyle name="Normal 2 12 3 2 4" xfId="16211"/>
    <cellStyle name="Normal 2 12 3 2 5" xfId="16212"/>
    <cellStyle name="Normal 2 12 3 2 6" xfId="16213"/>
    <cellStyle name="Normal 2 12 3 2 7" xfId="16214"/>
    <cellStyle name="Normal 2 12 3 3" xfId="16215"/>
    <cellStyle name="Normal 2 12 3 4" xfId="16216"/>
    <cellStyle name="Normal 2 12 3 5" xfId="16217"/>
    <cellStyle name="Normal 2 12 3 6" xfId="16218"/>
    <cellStyle name="Normal 2 12 3 7" xfId="16219"/>
    <cellStyle name="Normal 2 12 3 8" xfId="16220"/>
    <cellStyle name="Normal 2 12 30" xfId="16221"/>
    <cellStyle name="Normal 2 12 30 2" xfId="16222"/>
    <cellStyle name="Normal 2 12 30 3" xfId="16223"/>
    <cellStyle name="Normal 2 12 30 4" xfId="16224"/>
    <cellStyle name="Normal 2 12 30 5" xfId="16225"/>
    <cellStyle name="Normal 2 12 30 6" xfId="16226"/>
    <cellStyle name="Normal 2 12 30 7" xfId="16227"/>
    <cellStyle name="Normal 2 12 31" xfId="16228"/>
    <cellStyle name="Normal 2 12 31 2" xfId="16229"/>
    <cellStyle name="Normal 2 12 31 3" xfId="16230"/>
    <cellStyle name="Normal 2 12 31 4" xfId="16231"/>
    <cellStyle name="Normal 2 12 31 5" xfId="16232"/>
    <cellStyle name="Normal 2 12 31 6" xfId="16233"/>
    <cellStyle name="Normal 2 12 31 7" xfId="16234"/>
    <cellStyle name="Normal 2 12 32" xfId="16235"/>
    <cellStyle name="Normal 2 12 32 2" xfId="16236"/>
    <cellStyle name="Normal 2 12 32 3" xfId="16237"/>
    <cellStyle name="Normal 2 12 32 4" xfId="16238"/>
    <cellStyle name="Normal 2 12 32 5" xfId="16239"/>
    <cellStyle name="Normal 2 12 32 6" xfId="16240"/>
    <cellStyle name="Normal 2 12 32 7" xfId="16241"/>
    <cellStyle name="Normal 2 12 33" xfId="16242"/>
    <cellStyle name="Normal 2 12 33 2" xfId="16243"/>
    <cellStyle name="Normal 2 12 33 3" xfId="16244"/>
    <cellStyle name="Normal 2 12 33 4" xfId="16245"/>
    <cellStyle name="Normal 2 12 33 5" xfId="16246"/>
    <cellStyle name="Normal 2 12 33 6" xfId="16247"/>
    <cellStyle name="Normal 2 12 33 7" xfId="16248"/>
    <cellStyle name="Normal 2 12 34" xfId="16249"/>
    <cellStyle name="Normal 2 12 34 2" xfId="16250"/>
    <cellStyle name="Normal 2 12 34 3" xfId="16251"/>
    <cellStyle name="Normal 2 12 34 4" xfId="16252"/>
    <cellStyle name="Normal 2 12 34 5" xfId="16253"/>
    <cellStyle name="Normal 2 12 34 6" xfId="16254"/>
    <cellStyle name="Normal 2 12 34 7" xfId="16255"/>
    <cellStyle name="Normal 2 12 35" xfId="16256"/>
    <cellStyle name="Normal 2 12 35 2" xfId="16257"/>
    <cellStyle name="Normal 2 12 35 3" xfId="16258"/>
    <cellStyle name="Normal 2 12 35 4" xfId="16259"/>
    <cellStyle name="Normal 2 12 35 5" xfId="16260"/>
    <cellStyle name="Normal 2 12 35 6" xfId="16261"/>
    <cellStyle name="Normal 2 12 35 7" xfId="16262"/>
    <cellStyle name="Normal 2 12 36" xfId="16263"/>
    <cellStyle name="Normal 2 12 37" xfId="16264"/>
    <cellStyle name="Normal 2 12 38" xfId="16265"/>
    <cellStyle name="Normal 2 12 39" xfId="16266"/>
    <cellStyle name="Normal 2 12 4" xfId="16267"/>
    <cellStyle name="Normal 2 12 4 2" xfId="16268"/>
    <cellStyle name="Normal 2 12 4 2 2" xfId="16269"/>
    <cellStyle name="Normal 2 12 4 2 3" xfId="16270"/>
    <cellStyle name="Normal 2 12 4 2 4" xfId="16271"/>
    <cellStyle name="Normal 2 12 4 2 5" xfId="16272"/>
    <cellStyle name="Normal 2 12 4 2 6" xfId="16273"/>
    <cellStyle name="Normal 2 12 4 2 7" xfId="16274"/>
    <cellStyle name="Normal 2 12 4 3" xfId="16275"/>
    <cellStyle name="Normal 2 12 4 4" xfId="16276"/>
    <cellStyle name="Normal 2 12 4 5" xfId="16277"/>
    <cellStyle name="Normal 2 12 4 6" xfId="16278"/>
    <cellStyle name="Normal 2 12 4 7" xfId="16279"/>
    <cellStyle name="Normal 2 12 4 8" xfId="16280"/>
    <cellStyle name="Normal 2 12 40" xfId="16281"/>
    <cellStyle name="Normal 2 12 41" xfId="16282"/>
    <cellStyle name="Normal 2 12 42" xfId="16283"/>
    <cellStyle name="Normal 2 12 5" xfId="16284"/>
    <cellStyle name="Normal 2 12 5 2" xfId="16285"/>
    <cellStyle name="Normal 2 12 5 2 2" xfId="16286"/>
    <cellStyle name="Normal 2 12 5 2 3" xfId="16287"/>
    <cellStyle name="Normal 2 12 5 2 4" xfId="16288"/>
    <cellStyle name="Normal 2 12 5 2 5" xfId="16289"/>
    <cellStyle name="Normal 2 12 5 2 6" xfId="16290"/>
    <cellStyle name="Normal 2 12 5 2 7" xfId="16291"/>
    <cellStyle name="Normal 2 12 5 3" xfId="16292"/>
    <cellStyle name="Normal 2 12 5 4" xfId="16293"/>
    <cellStyle name="Normal 2 12 5 5" xfId="16294"/>
    <cellStyle name="Normal 2 12 5 6" xfId="16295"/>
    <cellStyle name="Normal 2 12 5 7" xfId="16296"/>
    <cellStyle name="Normal 2 12 5 8" xfId="16297"/>
    <cellStyle name="Normal 2 12 6" xfId="16298"/>
    <cellStyle name="Normal 2 12 6 2" xfId="16299"/>
    <cellStyle name="Normal 2 12 6 2 2" xfId="16300"/>
    <cellStyle name="Normal 2 12 6 2 3" xfId="16301"/>
    <cellStyle name="Normal 2 12 6 2 4" xfId="16302"/>
    <cellStyle name="Normal 2 12 6 2 5" xfId="16303"/>
    <cellStyle name="Normal 2 12 6 2 6" xfId="16304"/>
    <cellStyle name="Normal 2 12 6 2 7" xfId="16305"/>
    <cellStyle name="Normal 2 12 6 3" xfId="16306"/>
    <cellStyle name="Normal 2 12 6 4" xfId="16307"/>
    <cellStyle name="Normal 2 12 6 5" xfId="16308"/>
    <cellStyle name="Normal 2 12 6 6" xfId="16309"/>
    <cellStyle name="Normal 2 12 6 7" xfId="16310"/>
    <cellStyle name="Normal 2 12 6 8" xfId="16311"/>
    <cellStyle name="Normal 2 12 7" xfId="16312"/>
    <cellStyle name="Normal 2 12 7 2" xfId="16313"/>
    <cellStyle name="Normal 2 12 7 2 2" xfId="16314"/>
    <cellStyle name="Normal 2 12 7 2 3" xfId="16315"/>
    <cellStyle name="Normal 2 12 7 2 4" xfId="16316"/>
    <cellStyle name="Normal 2 12 7 2 5" xfId="16317"/>
    <cellStyle name="Normal 2 12 7 2 6" xfId="16318"/>
    <cellStyle name="Normal 2 12 7 2 7" xfId="16319"/>
    <cellStyle name="Normal 2 12 7 3" xfId="16320"/>
    <cellStyle name="Normal 2 12 7 4" xfId="16321"/>
    <cellStyle name="Normal 2 12 7 5" xfId="16322"/>
    <cellStyle name="Normal 2 12 7 6" xfId="16323"/>
    <cellStyle name="Normal 2 12 7 7" xfId="16324"/>
    <cellStyle name="Normal 2 12 7 8" xfId="16325"/>
    <cellStyle name="Normal 2 12 8" xfId="16326"/>
    <cellStyle name="Normal 2 12 8 2" xfId="16327"/>
    <cellStyle name="Normal 2 12 8 2 2" xfId="16328"/>
    <cellStyle name="Normal 2 12 8 2 3" xfId="16329"/>
    <cellStyle name="Normal 2 12 8 2 4" xfId="16330"/>
    <cellStyle name="Normal 2 12 8 2 5" xfId="16331"/>
    <cellStyle name="Normal 2 12 8 2 6" xfId="16332"/>
    <cellStyle name="Normal 2 12 8 2 7" xfId="16333"/>
    <cellStyle name="Normal 2 12 8 3" xfId="16334"/>
    <cellStyle name="Normal 2 12 8 4" xfId="16335"/>
    <cellStyle name="Normal 2 12 8 5" xfId="16336"/>
    <cellStyle name="Normal 2 12 8 6" xfId="16337"/>
    <cellStyle name="Normal 2 12 8 7" xfId="16338"/>
    <cellStyle name="Normal 2 12 8 8" xfId="16339"/>
    <cellStyle name="Normal 2 12 9" xfId="16340"/>
    <cellStyle name="Normal 2 12 9 2" xfId="16341"/>
    <cellStyle name="Normal 2 12 9 2 2" xfId="16342"/>
    <cellStyle name="Normal 2 12 9 2 3" xfId="16343"/>
    <cellStyle name="Normal 2 12 9 2 4" xfId="16344"/>
    <cellStyle name="Normal 2 12 9 2 5" xfId="16345"/>
    <cellStyle name="Normal 2 12 9 2 6" xfId="16346"/>
    <cellStyle name="Normal 2 12 9 2 7" xfId="16347"/>
    <cellStyle name="Normal 2 12 9 3" xfId="16348"/>
    <cellStyle name="Normal 2 12 9 4" xfId="16349"/>
    <cellStyle name="Normal 2 12 9 5" xfId="16350"/>
    <cellStyle name="Normal 2 12 9 6" xfId="16351"/>
    <cellStyle name="Normal 2 12 9 7" xfId="16352"/>
    <cellStyle name="Normal 2 12 9 8" xfId="16353"/>
    <cellStyle name="Normal 2 13" xfId="4037"/>
    <cellStyle name="Normal 2 13 10" xfId="16354"/>
    <cellStyle name="Normal 2 13 10 2" xfId="16355"/>
    <cellStyle name="Normal 2 13 10 2 2" xfId="16356"/>
    <cellStyle name="Normal 2 13 10 2 3" xfId="16357"/>
    <cellStyle name="Normal 2 13 10 2 4" xfId="16358"/>
    <cellStyle name="Normal 2 13 10 2 5" xfId="16359"/>
    <cellStyle name="Normal 2 13 10 2 6" xfId="16360"/>
    <cellStyle name="Normal 2 13 10 2 7" xfId="16361"/>
    <cellStyle name="Normal 2 13 10 3" xfId="16362"/>
    <cellStyle name="Normal 2 13 10 4" xfId="16363"/>
    <cellStyle name="Normal 2 13 10 5" xfId="16364"/>
    <cellStyle name="Normal 2 13 10 6" xfId="16365"/>
    <cellStyle name="Normal 2 13 10 7" xfId="16366"/>
    <cellStyle name="Normal 2 13 10 8" xfId="16367"/>
    <cellStyle name="Normal 2 13 11" xfId="16368"/>
    <cellStyle name="Normal 2 13 11 2" xfId="16369"/>
    <cellStyle name="Normal 2 13 11 2 2" xfId="16370"/>
    <cellStyle name="Normal 2 13 11 2 3" xfId="16371"/>
    <cellStyle name="Normal 2 13 11 2 4" xfId="16372"/>
    <cellStyle name="Normal 2 13 11 2 5" xfId="16373"/>
    <cellStyle name="Normal 2 13 11 2 6" xfId="16374"/>
    <cellStyle name="Normal 2 13 11 2 7" xfId="16375"/>
    <cellStyle name="Normal 2 13 11 3" xfId="16376"/>
    <cellStyle name="Normal 2 13 11 4" xfId="16377"/>
    <cellStyle name="Normal 2 13 11 5" xfId="16378"/>
    <cellStyle name="Normal 2 13 11 6" xfId="16379"/>
    <cellStyle name="Normal 2 13 11 7" xfId="16380"/>
    <cellStyle name="Normal 2 13 11 8" xfId="16381"/>
    <cellStyle name="Normal 2 13 12" xfId="16382"/>
    <cellStyle name="Normal 2 13 12 2" xfId="16383"/>
    <cellStyle name="Normal 2 13 12 2 2" xfId="16384"/>
    <cellStyle name="Normal 2 13 12 2 3" xfId="16385"/>
    <cellStyle name="Normal 2 13 12 2 4" xfId="16386"/>
    <cellStyle name="Normal 2 13 12 2 5" xfId="16387"/>
    <cellStyle name="Normal 2 13 12 2 6" xfId="16388"/>
    <cellStyle name="Normal 2 13 12 2 7" xfId="16389"/>
    <cellStyle name="Normal 2 13 12 3" xfId="16390"/>
    <cellStyle name="Normal 2 13 12 4" xfId="16391"/>
    <cellStyle name="Normal 2 13 12 5" xfId="16392"/>
    <cellStyle name="Normal 2 13 12 6" xfId="16393"/>
    <cellStyle name="Normal 2 13 12 7" xfId="16394"/>
    <cellStyle name="Normal 2 13 12 8" xfId="16395"/>
    <cellStyle name="Normal 2 13 13" xfId="16396"/>
    <cellStyle name="Normal 2 13 13 2" xfId="16397"/>
    <cellStyle name="Normal 2 13 13 2 2" xfId="16398"/>
    <cellStyle name="Normal 2 13 13 2 3" xfId="16399"/>
    <cellStyle name="Normal 2 13 13 2 4" xfId="16400"/>
    <cellStyle name="Normal 2 13 13 2 5" xfId="16401"/>
    <cellStyle name="Normal 2 13 13 2 6" xfId="16402"/>
    <cellStyle name="Normal 2 13 13 2 7" xfId="16403"/>
    <cellStyle name="Normal 2 13 13 3" xfId="16404"/>
    <cellStyle name="Normal 2 13 13 4" xfId="16405"/>
    <cellStyle name="Normal 2 13 13 5" xfId="16406"/>
    <cellStyle name="Normal 2 13 13 6" xfId="16407"/>
    <cellStyle name="Normal 2 13 13 7" xfId="16408"/>
    <cellStyle name="Normal 2 13 13 8" xfId="16409"/>
    <cellStyle name="Normal 2 13 14" xfId="16410"/>
    <cellStyle name="Normal 2 13 14 2" xfId="16411"/>
    <cellStyle name="Normal 2 13 14 2 2" xfId="16412"/>
    <cellStyle name="Normal 2 13 14 2 3" xfId="16413"/>
    <cellStyle name="Normal 2 13 14 2 4" xfId="16414"/>
    <cellStyle name="Normal 2 13 14 2 5" xfId="16415"/>
    <cellStyle name="Normal 2 13 14 2 6" xfId="16416"/>
    <cellStyle name="Normal 2 13 14 2 7" xfId="16417"/>
    <cellStyle name="Normal 2 13 14 3" xfId="16418"/>
    <cellStyle name="Normal 2 13 14 4" xfId="16419"/>
    <cellStyle name="Normal 2 13 14 5" xfId="16420"/>
    <cellStyle name="Normal 2 13 14 6" xfId="16421"/>
    <cellStyle name="Normal 2 13 14 7" xfId="16422"/>
    <cellStyle name="Normal 2 13 14 8" xfId="16423"/>
    <cellStyle name="Normal 2 13 15" xfId="16424"/>
    <cellStyle name="Normal 2 13 15 2" xfId="16425"/>
    <cellStyle name="Normal 2 13 15 2 2" xfId="16426"/>
    <cellStyle name="Normal 2 13 15 2 3" xfId="16427"/>
    <cellStyle name="Normal 2 13 15 2 4" xfId="16428"/>
    <cellStyle name="Normal 2 13 15 2 5" xfId="16429"/>
    <cellStyle name="Normal 2 13 15 2 6" xfId="16430"/>
    <cellStyle name="Normal 2 13 15 2 7" xfId="16431"/>
    <cellStyle name="Normal 2 13 15 3" xfId="16432"/>
    <cellStyle name="Normal 2 13 15 4" xfId="16433"/>
    <cellStyle name="Normal 2 13 15 5" xfId="16434"/>
    <cellStyle name="Normal 2 13 15 6" xfId="16435"/>
    <cellStyle name="Normal 2 13 15 7" xfId="16436"/>
    <cellStyle name="Normal 2 13 15 8" xfId="16437"/>
    <cellStyle name="Normal 2 13 16" xfId="16438"/>
    <cellStyle name="Normal 2 13 16 2" xfId="16439"/>
    <cellStyle name="Normal 2 13 16 3" xfId="16440"/>
    <cellStyle name="Normal 2 13 16 4" xfId="16441"/>
    <cellStyle name="Normal 2 13 16 5" xfId="16442"/>
    <cellStyle name="Normal 2 13 16 6" xfId="16443"/>
    <cellStyle name="Normal 2 13 16 7" xfId="16444"/>
    <cellStyle name="Normal 2 13 17" xfId="16445"/>
    <cellStyle name="Normal 2 13 17 2" xfId="16446"/>
    <cellStyle name="Normal 2 13 17 3" xfId="16447"/>
    <cellStyle name="Normal 2 13 17 4" xfId="16448"/>
    <cellStyle name="Normal 2 13 17 5" xfId="16449"/>
    <cellStyle name="Normal 2 13 17 6" xfId="16450"/>
    <cellStyle name="Normal 2 13 17 7" xfId="16451"/>
    <cellStyle name="Normal 2 13 18" xfId="16452"/>
    <cellStyle name="Normal 2 13 18 2" xfId="16453"/>
    <cellStyle name="Normal 2 13 18 3" xfId="16454"/>
    <cellStyle name="Normal 2 13 18 4" xfId="16455"/>
    <cellStyle name="Normal 2 13 18 5" xfId="16456"/>
    <cellStyle name="Normal 2 13 18 6" xfId="16457"/>
    <cellStyle name="Normal 2 13 18 7" xfId="16458"/>
    <cellStyle name="Normal 2 13 19" xfId="16459"/>
    <cellStyle name="Normal 2 13 19 2" xfId="16460"/>
    <cellStyle name="Normal 2 13 19 3" xfId="16461"/>
    <cellStyle name="Normal 2 13 19 4" xfId="16462"/>
    <cellStyle name="Normal 2 13 19 5" xfId="16463"/>
    <cellStyle name="Normal 2 13 19 6" xfId="16464"/>
    <cellStyle name="Normal 2 13 19 7" xfId="16465"/>
    <cellStyle name="Normal 2 13 2" xfId="16466"/>
    <cellStyle name="Normal 2 13 2 2" xfId="16467"/>
    <cellStyle name="Normal 2 13 2 2 2" xfId="16468"/>
    <cellStyle name="Normal 2 13 2 2 3" xfId="16469"/>
    <cellStyle name="Normal 2 13 2 2 4" xfId="16470"/>
    <cellStyle name="Normal 2 13 2 2 5" xfId="16471"/>
    <cellStyle name="Normal 2 13 2 2 6" xfId="16472"/>
    <cellStyle name="Normal 2 13 2 2 7" xfId="16473"/>
    <cellStyle name="Normal 2 13 2 3" xfId="16474"/>
    <cellStyle name="Normal 2 13 2 4" xfId="16475"/>
    <cellStyle name="Normal 2 13 2 5" xfId="16476"/>
    <cellStyle name="Normal 2 13 2 6" xfId="16477"/>
    <cellStyle name="Normal 2 13 2 7" xfId="16478"/>
    <cellStyle name="Normal 2 13 2 8" xfId="16479"/>
    <cellStyle name="Normal 2 13 20" xfId="16480"/>
    <cellStyle name="Normal 2 13 20 2" xfId="16481"/>
    <cellStyle name="Normal 2 13 20 3" xfId="16482"/>
    <cellStyle name="Normal 2 13 20 4" xfId="16483"/>
    <cellStyle name="Normal 2 13 20 5" xfId="16484"/>
    <cellStyle name="Normal 2 13 20 6" xfId="16485"/>
    <cellStyle name="Normal 2 13 20 7" xfId="16486"/>
    <cellStyle name="Normal 2 13 21" xfId="16487"/>
    <cellStyle name="Normal 2 13 21 2" xfId="16488"/>
    <cellStyle name="Normal 2 13 21 3" xfId="16489"/>
    <cellStyle name="Normal 2 13 21 4" xfId="16490"/>
    <cellStyle name="Normal 2 13 21 5" xfId="16491"/>
    <cellStyle name="Normal 2 13 21 6" xfId="16492"/>
    <cellStyle name="Normal 2 13 21 7" xfId="16493"/>
    <cellStyle name="Normal 2 13 22" xfId="16494"/>
    <cellStyle name="Normal 2 13 22 2" xfId="16495"/>
    <cellStyle name="Normal 2 13 22 3" xfId="16496"/>
    <cellStyle name="Normal 2 13 22 4" xfId="16497"/>
    <cellStyle name="Normal 2 13 22 5" xfId="16498"/>
    <cellStyle name="Normal 2 13 22 6" xfId="16499"/>
    <cellStyle name="Normal 2 13 22 7" xfId="16500"/>
    <cellStyle name="Normal 2 13 23" xfId="16501"/>
    <cellStyle name="Normal 2 13 23 2" xfId="16502"/>
    <cellStyle name="Normal 2 13 23 3" xfId="16503"/>
    <cellStyle name="Normal 2 13 23 4" xfId="16504"/>
    <cellStyle name="Normal 2 13 23 5" xfId="16505"/>
    <cellStyle name="Normal 2 13 23 6" xfId="16506"/>
    <cellStyle name="Normal 2 13 23 7" xfId="16507"/>
    <cellStyle name="Normal 2 13 24" xfId="16508"/>
    <cellStyle name="Normal 2 13 24 2" xfId="16509"/>
    <cellStyle name="Normal 2 13 24 3" xfId="16510"/>
    <cellStyle name="Normal 2 13 24 4" xfId="16511"/>
    <cellStyle name="Normal 2 13 24 5" xfId="16512"/>
    <cellStyle name="Normal 2 13 24 6" xfId="16513"/>
    <cellStyle name="Normal 2 13 24 7" xfId="16514"/>
    <cellStyle name="Normal 2 13 25" xfId="16515"/>
    <cellStyle name="Normal 2 13 25 2" xfId="16516"/>
    <cellStyle name="Normal 2 13 25 3" xfId="16517"/>
    <cellStyle name="Normal 2 13 25 4" xfId="16518"/>
    <cellStyle name="Normal 2 13 25 5" xfId="16519"/>
    <cellStyle name="Normal 2 13 25 6" xfId="16520"/>
    <cellStyle name="Normal 2 13 25 7" xfId="16521"/>
    <cellStyle name="Normal 2 13 26" xfId="16522"/>
    <cellStyle name="Normal 2 13 26 2" xfId="16523"/>
    <cellStyle name="Normal 2 13 26 3" xfId="16524"/>
    <cellStyle name="Normal 2 13 26 4" xfId="16525"/>
    <cellStyle name="Normal 2 13 26 5" xfId="16526"/>
    <cellStyle name="Normal 2 13 26 6" xfId="16527"/>
    <cellStyle name="Normal 2 13 26 7" xfId="16528"/>
    <cellStyle name="Normal 2 13 27" xfId="16529"/>
    <cellStyle name="Normal 2 13 27 2" xfId="16530"/>
    <cellStyle name="Normal 2 13 27 3" xfId="16531"/>
    <cellStyle name="Normal 2 13 27 4" xfId="16532"/>
    <cellStyle name="Normal 2 13 27 5" xfId="16533"/>
    <cellStyle name="Normal 2 13 27 6" xfId="16534"/>
    <cellStyle name="Normal 2 13 27 7" xfId="16535"/>
    <cellStyle name="Normal 2 13 28" xfId="16536"/>
    <cellStyle name="Normal 2 13 28 2" xfId="16537"/>
    <cellStyle name="Normal 2 13 28 3" xfId="16538"/>
    <cellStyle name="Normal 2 13 28 4" xfId="16539"/>
    <cellStyle name="Normal 2 13 28 5" xfId="16540"/>
    <cellStyle name="Normal 2 13 28 6" xfId="16541"/>
    <cellStyle name="Normal 2 13 28 7" xfId="16542"/>
    <cellStyle name="Normal 2 13 29" xfId="16543"/>
    <cellStyle name="Normal 2 13 29 2" xfId="16544"/>
    <cellStyle name="Normal 2 13 29 3" xfId="16545"/>
    <cellStyle name="Normal 2 13 29 4" xfId="16546"/>
    <cellStyle name="Normal 2 13 29 5" xfId="16547"/>
    <cellStyle name="Normal 2 13 29 6" xfId="16548"/>
    <cellStyle name="Normal 2 13 29 7" xfId="16549"/>
    <cellStyle name="Normal 2 13 3" xfId="16550"/>
    <cellStyle name="Normal 2 13 3 2" xfId="16551"/>
    <cellStyle name="Normal 2 13 3 2 2" xfId="16552"/>
    <cellStyle name="Normal 2 13 3 2 3" xfId="16553"/>
    <cellStyle name="Normal 2 13 3 2 4" xfId="16554"/>
    <cellStyle name="Normal 2 13 3 2 5" xfId="16555"/>
    <cellStyle name="Normal 2 13 3 2 6" xfId="16556"/>
    <cellStyle name="Normal 2 13 3 2 7" xfId="16557"/>
    <cellStyle name="Normal 2 13 3 3" xfId="16558"/>
    <cellStyle name="Normal 2 13 3 4" xfId="16559"/>
    <cellStyle name="Normal 2 13 3 5" xfId="16560"/>
    <cellStyle name="Normal 2 13 3 6" xfId="16561"/>
    <cellStyle name="Normal 2 13 3 7" xfId="16562"/>
    <cellStyle name="Normal 2 13 3 8" xfId="16563"/>
    <cellStyle name="Normal 2 13 30" xfId="16564"/>
    <cellStyle name="Normal 2 13 30 2" xfId="16565"/>
    <cellStyle name="Normal 2 13 30 3" xfId="16566"/>
    <cellStyle name="Normal 2 13 30 4" xfId="16567"/>
    <cellStyle name="Normal 2 13 30 5" xfId="16568"/>
    <cellStyle name="Normal 2 13 30 6" xfId="16569"/>
    <cellStyle name="Normal 2 13 30 7" xfId="16570"/>
    <cellStyle name="Normal 2 13 31" xfId="16571"/>
    <cellStyle name="Normal 2 13 31 2" xfId="16572"/>
    <cellStyle name="Normal 2 13 31 3" xfId="16573"/>
    <cellStyle name="Normal 2 13 31 4" xfId="16574"/>
    <cellStyle name="Normal 2 13 31 5" xfId="16575"/>
    <cellStyle name="Normal 2 13 31 6" xfId="16576"/>
    <cellStyle name="Normal 2 13 31 7" xfId="16577"/>
    <cellStyle name="Normal 2 13 32" xfId="16578"/>
    <cellStyle name="Normal 2 13 32 2" xfId="16579"/>
    <cellStyle name="Normal 2 13 32 3" xfId="16580"/>
    <cellStyle name="Normal 2 13 32 4" xfId="16581"/>
    <cellStyle name="Normal 2 13 32 5" xfId="16582"/>
    <cellStyle name="Normal 2 13 32 6" xfId="16583"/>
    <cellStyle name="Normal 2 13 32 7" xfId="16584"/>
    <cellStyle name="Normal 2 13 33" xfId="16585"/>
    <cellStyle name="Normal 2 13 33 2" xfId="16586"/>
    <cellStyle name="Normal 2 13 33 3" xfId="16587"/>
    <cellStyle name="Normal 2 13 33 4" xfId="16588"/>
    <cellStyle name="Normal 2 13 33 5" xfId="16589"/>
    <cellStyle name="Normal 2 13 33 6" xfId="16590"/>
    <cellStyle name="Normal 2 13 33 7" xfId="16591"/>
    <cellStyle name="Normal 2 13 34" xfId="16592"/>
    <cellStyle name="Normal 2 13 34 2" xfId="16593"/>
    <cellStyle name="Normal 2 13 34 3" xfId="16594"/>
    <cellStyle name="Normal 2 13 34 4" xfId="16595"/>
    <cellStyle name="Normal 2 13 34 5" xfId="16596"/>
    <cellStyle name="Normal 2 13 34 6" xfId="16597"/>
    <cellStyle name="Normal 2 13 34 7" xfId="16598"/>
    <cellStyle name="Normal 2 13 35" xfId="16599"/>
    <cellStyle name="Normal 2 13 35 2" xfId="16600"/>
    <cellStyle name="Normal 2 13 35 3" xfId="16601"/>
    <cellStyle name="Normal 2 13 35 4" xfId="16602"/>
    <cellStyle name="Normal 2 13 35 5" xfId="16603"/>
    <cellStyle name="Normal 2 13 35 6" xfId="16604"/>
    <cellStyle name="Normal 2 13 35 7" xfId="16605"/>
    <cellStyle name="Normal 2 13 36" xfId="16606"/>
    <cellStyle name="Normal 2 13 37" xfId="16607"/>
    <cellStyle name="Normal 2 13 38" xfId="16608"/>
    <cellStyle name="Normal 2 13 39" xfId="16609"/>
    <cellStyle name="Normal 2 13 4" xfId="16610"/>
    <cellStyle name="Normal 2 13 4 2" xfId="16611"/>
    <cellStyle name="Normal 2 13 4 2 2" xfId="16612"/>
    <cellStyle name="Normal 2 13 4 2 3" xfId="16613"/>
    <cellStyle name="Normal 2 13 4 2 4" xfId="16614"/>
    <cellStyle name="Normal 2 13 4 2 5" xfId="16615"/>
    <cellStyle name="Normal 2 13 4 2 6" xfId="16616"/>
    <cellStyle name="Normal 2 13 4 2 7" xfId="16617"/>
    <cellStyle name="Normal 2 13 4 3" xfId="16618"/>
    <cellStyle name="Normal 2 13 4 4" xfId="16619"/>
    <cellStyle name="Normal 2 13 4 5" xfId="16620"/>
    <cellStyle name="Normal 2 13 4 6" xfId="16621"/>
    <cellStyle name="Normal 2 13 4 7" xfId="16622"/>
    <cellStyle name="Normal 2 13 4 8" xfId="16623"/>
    <cellStyle name="Normal 2 13 40" xfId="16624"/>
    <cellStyle name="Normal 2 13 41" xfId="16625"/>
    <cellStyle name="Normal 2 13 42" xfId="16626"/>
    <cellStyle name="Normal 2 13 5" xfId="16627"/>
    <cellStyle name="Normal 2 13 5 2" xfId="16628"/>
    <cellStyle name="Normal 2 13 5 2 2" xfId="16629"/>
    <cellStyle name="Normal 2 13 5 2 3" xfId="16630"/>
    <cellStyle name="Normal 2 13 5 2 4" xfId="16631"/>
    <cellStyle name="Normal 2 13 5 2 5" xfId="16632"/>
    <cellStyle name="Normal 2 13 5 2 6" xfId="16633"/>
    <cellStyle name="Normal 2 13 5 2 7" xfId="16634"/>
    <cellStyle name="Normal 2 13 5 3" xfId="16635"/>
    <cellStyle name="Normal 2 13 5 4" xfId="16636"/>
    <cellStyle name="Normal 2 13 5 5" xfId="16637"/>
    <cellStyle name="Normal 2 13 5 6" xfId="16638"/>
    <cellStyle name="Normal 2 13 5 7" xfId="16639"/>
    <cellStyle name="Normal 2 13 5 8" xfId="16640"/>
    <cellStyle name="Normal 2 13 6" xfId="16641"/>
    <cellStyle name="Normal 2 13 6 2" xfId="16642"/>
    <cellStyle name="Normal 2 13 6 2 2" xfId="16643"/>
    <cellStyle name="Normal 2 13 6 2 3" xfId="16644"/>
    <cellStyle name="Normal 2 13 6 2 4" xfId="16645"/>
    <cellStyle name="Normal 2 13 6 2 5" xfId="16646"/>
    <cellStyle name="Normal 2 13 6 2 6" xfId="16647"/>
    <cellStyle name="Normal 2 13 6 2 7" xfId="16648"/>
    <cellStyle name="Normal 2 13 6 3" xfId="16649"/>
    <cellStyle name="Normal 2 13 6 4" xfId="16650"/>
    <cellStyle name="Normal 2 13 6 5" xfId="16651"/>
    <cellStyle name="Normal 2 13 6 6" xfId="16652"/>
    <cellStyle name="Normal 2 13 6 7" xfId="16653"/>
    <cellStyle name="Normal 2 13 6 8" xfId="16654"/>
    <cellStyle name="Normal 2 13 7" xfId="16655"/>
    <cellStyle name="Normal 2 13 7 2" xfId="16656"/>
    <cellStyle name="Normal 2 13 7 2 2" xfId="16657"/>
    <cellStyle name="Normal 2 13 7 2 3" xfId="16658"/>
    <cellStyle name="Normal 2 13 7 2 4" xfId="16659"/>
    <cellStyle name="Normal 2 13 7 2 5" xfId="16660"/>
    <cellStyle name="Normal 2 13 7 2 6" xfId="16661"/>
    <cellStyle name="Normal 2 13 7 2 7" xfId="16662"/>
    <cellStyle name="Normal 2 13 7 3" xfId="16663"/>
    <cellStyle name="Normal 2 13 7 4" xfId="16664"/>
    <cellStyle name="Normal 2 13 7 5" xfId="16665"/>
    <cellStyle name="Normal 2 13 7 6" xfId="16666"/>
    <cellStyle name="Normal 2 13 7 7" xfId="16667"/>
    <cellStyle name="Normal 2 13 7 8" xfId="16668"/>
    <cellStyle name="Normal 2 13 8" xfId="16669"/>
    <cellStyle name="Normal 2 13 8 2" xfId="16670"/>
    <cellStyle name="Normal 2 13 8 2 2" xfId="16671"/>
    <cellStyle name="Normal 2 13 8 2 3" xfId="16672"/>
    <cellStyle name="Normal 2 13 8 2 4" xfId="16673"/>
    <cellStyle name="Normal 2 13 8 2 5" xfId="16674"/>
    <cellStyle name="Normal 2 13 8 2 6" xfId="16675"/>
    <cellStyle name="Normal 2 13 8 2 7" xfId="16676"/>
    <cellStyle name="Normal 2 13 8 3" xfId="16677"/>
    <cellStyle name="Normal 2 13 8 4" xfId="16678"/>
    <cellStyle name="Normal 2 13 8 5" xfId="16679"/>
    <cellStyle name="Normal 2 13 8 6" xfId="16680"/>
    <cellStyle name="Normal 2 13 8 7" xfId="16681"/>
    <cellStyle name="Normal 2 13 8 8" xfId="16682"/>
    <cellStyle name="Normal 2 13 9" xfId="16683"/>
    <cellStyle name="Normal 2 13 9 2" xfId="16684"/>
    <cellStyle name="Normal 2 13 9 2 2" xfId="16685"/>
    <cellStyle name="Normal 2 13 9 2 3" xfId="16686"/>
    <cellStyle name="Normal 2 13 9 2 4" xfId="16687"/>
    <cellStyle name="Normal 2 13 9 2 5" xfId="16688"/>
    <cellStyle name="Normal 2 13 9 2 6" xfId="16689"/>
    <cellStyle name="Normal 2 13 9 2 7" xfId="16690"/>
    <cellStyle name="Normal 2 13 9 3" xfId="16691"/>
    <cellStyle name="Normal 2 13 9 4" xfId="16692"/>
    <cellStyle name="Normal 2 13 9 5" xfId="16693"/>
    <cellStyle name="Normal 2 13 9 6" xfId="16694"/>
    <cellStyle name="Normal 2 13 9 7" xfId="16695"/>
    <cellStyle name="Normal 2 13 9 8" xfId="16696"/>
    <cellStyle name="Normal 2 14" xfId="4038"/>
    <cellStyle name="Normal 2 14 10" xfId="16697"/>
    <cellStyle name="Normal 2 14 10 2" xfId="16698"/>
    <cellStyle name="Normal 2 14 10 2 2" xfId="16699"/>
    <cellStyle name="Normal 2 14 10 2 3" xfId="16700"/>
    <cellStyle name="Normal 2 14 10 2 4" xfId="16701"/>
    <cellStyle name="Normal 2 14 10 2 5" xfId="16702"/>
    <cellStyle name="Normal 2 14 10 2 6" xfId="16703"/>
    <cellStyle name="Normal 2 14 10 2 7" xfId="16704"/>
    <cellStyle name="Normal 2 14 10 3" xfId="16705"/>
    <cellStyle name="Normal 2 14 10 4" xfId="16706"/>
    <cellStyle name="Normal 2 14 10 5" xfId="16707"/>
    <cellStyle name="Normal 2 14 10 6" xfId="16708"/>
    <cellStyle name="Normal 2 14 10 7" xfId="16709"/>
    <cellStyle name="Normal 2 14 10 8" xfId="16710"/>
    <cellStyle name="Normal 2 14 11" xfId="16711"/>
    <cellStyle name="Normal 2 14 11 2" xfId="16712"/>
    <cellStyle name="Normal 2 14 11 2 2" xfId="16713"/>
    <cellStyle name="Normal 2 14 11 2 3" xfId="16714"/>
    <cellStyle name="Normal 2 14 11 2 4" xfId="16715"/>
    <cellStyle name="Normal 2 14 11 2 5" xfId="16716"/>
    <cellStyle name="Normal 2 14 11 2 6" xfId="16717"/>
    <cellStyle name="Normal 2 14 11 2 7" xfId="16718"/>
    <cellStyle name="Normal 2 14 11 3" xfId="16719"/>
    <cellStyle name="Normal 2 14 11 4" xfId="16720"/>
    <cellStyle name="Normal 2 14 11 5" xfId="16721"/>
    <cellStyle name="Normal 2 14 11 6" xfId="16722"/>
    <cellStyle name="Normal 2 14 11 7" xfId="16723"/>
    <cellStyle name="Normal 2 14 11 8" xfId="16724"/>
    <cellStyle name="Normal 2 14 12" xfId="16725"/>
    <cellStyle name="Normal 2 14 12 2" xfId="16726"/>
    <cellStyle name="Normal 2 14 12 2 2" xfId="16727"/>
    <cellStyle name="Normal 2 14 12 2 3" xfId="16728"/>
    <cellStyle name="Normal 2 14 12 2 4" xfId="16729"/>
    <cellStyle name="Normal 2 14 12 2 5" xfId="16730"/>
    <cellStyle name="Normal 2 14 12 2 6" xfId="16731"/>
    <cellStyle name="Normal 2 14 12 2 7" xfId="16732"/>
    <cellStyle name="Normal 2 14 12 3" xfId="16733"/>
    <cellStyle name="Normal 2 14 12 4" xfId="16734"/>
    <cellStyle name="Normal 2 14 12 5" xfId="16735"/>
    <cellStyle name="Normal 2 14 12 6" xfId="16736"/>
    <cellStyle name="Normal 2 14 12 7" xfId="16737"/>
    <cellStyle name="Normal 2 14 12 8" xfId="16738"/>
    <cellStyle name="Normal 2 14 13" xfId="16739"/>
    <cellStyle name="Normal 2 14 13 2" xfId="16740"/>
    <cellStyle name="Normal 2 14 13 2 2" xfId="16741"/>
    <cellStyle name="Normal 2 14 13 2 3" xfId="16742"/>
    <cellStyle name="Normal 2 14 13 2 4" xfId="16743"/>
    <cellStyle name="Normal 2 14 13 2 5" xfId="16744"/>
    <cellStyle name="Normal 2 14 13 2 6" xfId="16745"/>
    <cellStyle name="Normal 2 14 13 2 7" xfId="16746"/>
    <cellStyle name="Normal 2 14 13 3" xfId="16747"/>
    <cellStyle name="Normal 2 14 13 4" xfId="16748"/>
    <cellStyle name="Normal 2 14 13 5" xfId="16749"/>
    <cellStyle name="Normal 2 14 13 6" xfId="16750"/>
    <cellStyle name="Normal 2 14 13 7" xfId="16751"/>
    <cellStyle name="Normal 2 14 13 8" xfId="16752"/>
    <cellStyle name="Normal 2 14 14" xfId="16753"/>
    <cellStyle name="Normal 2 14 14 2" xfId="16754"/>
    <cellStyle name="Normal 2 14 14 2 2" xfId="16755"/>
    <cellStyle name="Normal 2 14 14 2 3" xfId="16756"/>
    <cellStyle name="Normal 2 14 14 2 4" xfId="16757"/>
    <cellStyle name="Normal 2 14 14 2 5" xfId="16758"/>
    <cellStyle name="Normal 2 14 14 2 6" xfId="16759"/>
    <cellStyle name="Normal 2 14 14 2 7" xfId="16760"/>
    <cellStyle name="Normal 2 14 14 3" xfId="16761"/>
    <cellStyle name="Normal 2 14 14 4" xfId="16762"/>
    <cellStyle name="Normal 2 14 14 5" xfId="16763"/>
    <cellStyle name="Normal 2 14 14 6" xfId="16764"/>
    <cellStyle name="Normal 2 14 14 7" xfId="16765"/>
    <cellStyle name="Normal 2 14 14 8" xfId="16766"/>
    <cellStyle name="Normal 2 14 15" xfId="16767"/>
    <cellStyle name="Normal 2 14 15 2" xfId="16768"/>
    <cellStyle name="Normal 2 14 15 2 2" xfId="16769"/>
    <cellStyle name="Normal 2 14 15 2 3" xfId="16770"/>
    <cellStyle name="Normal 2 14 15 2 4" xfId="16771"/>
    <cellStyle name="Normal 2 14 15 2 5" xfId="16772"/>
    <cellStyle name="Normal 2 14 15 2 6" xfId="16773"/>
    <cellStyle name="Normal 2 14 15 2 7" xfId="16774"/>
    <cellStyle name="Normal 2 14 15 3" xfId="16775"/>
    <cellStyle name="Normal 2 14 15 4" xfId="16776"/>
    <cellStyle name="Normal 2 14 15 5" xfId="16777"/>
    <cellStyle name="Normal 2 14 15 6" xfId="16778"/>
    <cellStyle name="Normal 2 14 15 7" xfId="16779"/>
    <cellStyle name="Normal 2 14 15 8" xfId="16780"/>
    <cellStyle name="Normal 2 14 16" xfId="16781"/>
    <cellStyle name="Normal 2 14 16 2" xfId="16782"/>
    <cellStyle name="Normal 2 14 16 3" xfId="16783"/>
    <cellStyle name="Normal 2 14 16 4" xfId="16784"/>
    <cellStyle name="Normal 2 14 16 5" xfId="16785"/>
    <cellStyle name="Normal 2 14 16 6" xfId="16786"/>
    <cellStyle name="Normal 2 14 16 7" xfId="16787"/>
    <cellStyle name="Normal 2 14 17" xfId="16788"/>
    <cellStyle name="Normal 2 14 17 2" xfId="16789"/>
    <cellStyle name="Normal 2 14 17 3" xfId="16790"/>
    <cellStyle name="Normal 2 14 17 4" xfId="16791"/>
    <cellStyle name="Normal 2 14 17 5" xfId="16792"/>
    <cellStyle name="Normal 2 14 17 6" xfId="16793"/>
    <cellStyle name="Normal 2 14 17 7" xfId="16794"/>
    <cellStyle name="Normal 2 14 18" xfId="16795"/>
    <cellStyle name="Normal 2 14 18 2" xfId="16796"/>
    <cellStyle name="Normal 2 14 18 3" xfId="16797"/>
    <cellStyle name="Normal 2 14 18 4" xfId="16798"/>
    <cellStyle name="Normal 2 14 18 5" xfId="16799"/>
    <cellStyle name="Normal 2 14 18 6" xfId="16800"/>
    <cellStyle name="Normal 2 14 18 7" xfId="16801"/>
    <cellStyle name="Normal 2 14 19" xfId="16802"/>
    <cellStyle name="Normal 2 14 19 2" xfId="16803"/>
    <cellStyle name="Normal 2 14 19 3" xfId="16804"/>
    <cellStyle name="Normal 2 14 19 4" xfId="16805"/>
    <cellStyle name="Normal 2 14 19 5" xfId="16806"/>
    <cellStyle name="Normal 2 14 19 6" xfId="16807"/>
    <cellStyle name="Normal 2 14 19 7" xfId="16808"/>
    <cellStyle name="Normal 2 14 2" xfId="16809"/>
    <cellStyle name="Normal 2 14 2 2" xfId="16810"/>
    <cellStyle name="Normal 2 14 2 2 2" xfId="16811"/>
    <cellStyle name="Normal 2 14 2 2 3" xfId="16812"/>
    <cellStyle name="Normal 2 14 2 2 4" xfId="16813"/>
    <cellStyle name="Normal 2 14 2 2 5" xfId="16814"/>
    <cellStyle name="Normal 2 14 2 2 6" xfId="16815"/>
    <cellStyle name="Normal 2 14 2 2 7" xfId="16816"/>
    <cellStyle name="Normal 2 14 2 3" xfId="16817"/>
    <cellStyle name="Normal 2 14 2 4" xfId="16818"/>
    <cellStyle name="Normal 2 14 2 5" xfId="16819"/>
    <cellStyle name="Normal 2 14 2 6" xfId="16820"/>
    <cellStyle name="Normal 2 14 2 7" xfId="16821"/>
    <cellStyle name="Normal 2 14 2 8" xfId="16822"/>
    <cellStyle name="Normal 2 14 20" xfId="16823"/>
    <cellStyle name="Normal 2 14 20 2" xfId="16824"/>
    <cellStyle name="Normal 2 14 20 3" xfId="16825"/>
    <cellStyle name="Normal 2 14 20 4" xfId="16826"/>
    <cellStyle name="Normal 2 14 20 5" xfId="16827"/>
    <cellStyle name="Normal 2 14 20 6" xfId="16828"/>
    <cellStyle name="Normal 2 14 20 7" xfId="16829"/>
    <cellStyle name="Normal 2 14 21" xfId="16830"/>
    <cellStyle name="Normal 2 14 21 2" xfId="16831"/>
    <cellStyle name="Normal 2 14 21 3" xfId="16832"/>
    <cellStyle name="Normal 2 14 21 4" xfId="16833"/>
    <cellStyle name="Normal 2 14 21 5" xfId="16834"/>
    <cellStyle name="Normal 2 14 21 6" xfId="16835"/>
    <cellStyle name="Normal 2 14 21 7" xfId="16836"/>
    <cellStyle name="Normal 2 14 22" xfId="16837"/>
    <cellStyle name="Normal 2 14 22 2" xfId="16838"/>
    <cellStyle name="Normal 2 14 22 3" xfId="16839"/>
    <cellStyle name="Normal 2 14 22 4" xfId="16840"/>
    <cellStyle name="Normal 2 14 22 5" xfId="16841"/>
    <cellStyle name="Normal 2 14 22 6" xfId="16842"/>
    <cellStyle name="Normal 2 14 22 7" xfId="16843"/>
    <cellStyle name="Normal 2 14 23" xfId="16844"/>
    <cellStyle name="Normal 2 14 23 2" xfId="16845"/>
    <cellStyle name="Normal 2 14 23 3" xfId="16846"/>
    <cellStyle name="Normal 2 14 23 4" xfId="16847"/>
    <cellStyle name="Normal 2 14 23 5" xfId="16848"/>
    <cellStyle name="Normal 2 14 23 6" xfId="16849"/>
    <cellStyle name="Normal 2 14 23 7" xfId="16850"/>
    <cellStyle name="Normal 2 14 24" xfId="16851"/>
    <cellStyle name="Normal 2 14 24 2" xfId="16852"/>
    <cellStyle name="Normal 2 14 24 3" xfId="16853"/>
    <cellStyle name="Normal 2 14 24 4" xfId="16854"/>
    <cellStyle name="Normal 2 14 24 5" xfId="16855"/>
    <cellStyle name="Normal 2 14 24 6" xfId="16856"/>
    <cellStyle name="Normal 2 14 24 7" xfId="16857"/>
    <cellStyle name="Normal 2 14 25" xfId="16858"/>
    <cellStyle name="Normal 2 14 25 2" xfId="16859"/>
    <cellStyle name="Normal 2 14 25 3" xfId="16860"/>
    <cellStyle name="Normal 2 14 25 4" xfId="16861"/>
    <cellStyle name="Normal 2 14 25 5" xfId="16862"/>
    <cellStyle name="Normal 2 14 25 6" xfId="16863"/>
    <cellStyle name="Normal 2 14 25 7" xfId="16864"/>
    <cellStyle name="Normal 2 14 26" xfId="16865"/>
    <cellStyle name="Normal 2 14 26 2" xfId="16866"/>
    <cellStyle name="Normal 2 14 26 3" xfId="16867"/>
    <cellStyle name="Normal 2 14 26 4" xfId="16868"/>
    <cellStyle name="Normal 2 14 26 5" xfId="16869"/>
    <cellStyle name="Normal 2 14 26 6" xfId="16870"/>
    <cellStyle name="Normal 2 14 26 7" xfId="16871"/>
    <cellStyle name="Normal 2 14 27" xfId="16872"/>
    <cellStyle name="Normal 2 14 27 2" xfId="16873"/>
    <cellStyle name="Normal 2 14 27 3" xfId="16874"/>
    <cellStyle name="Normal 2 14 27 4" xfId="16875"/>
    <cellStyle name="Normal 2 14 27 5" xfId="16876"/>
    <cellStyle name="Normal 2 14 27 6" xfId="16877"/>
    <cellStyle name="Normal 2 14 27 7" xfId="16878"/>
    <cellStyle name="Normal 2 14 28" xfId="16879"/>
    <cellStyle name="Normal 2 14 28 2" xfId="16880"/>
    <cellStyle name="Normal 2 14 28 3" xfId="16881"/>
    <cellStyle name="Normal 2 14 28 4" xfId="16882"/>
    <cellStyle name="Normal 2 14 28 5" xfId="16883"/>
    <cellStyle name="Normal 2 14 28 6" xfId="16884"/>
    <cellStyle name="Normal 2 14 28 7" xfId="16885"/>
    <cellStyle name="Normal 2 14 29" xfId="16886"/>
    <cellStyle name="Normal 2 14 29 2" xfId="16887"/>
    <cellStyle name="Normal 2 14 29 3" xfId="16888"/>
    <cellStyle name="Normal 2 14 29 4" xfId="16889"/>
    <cellStyle name="Normal 2 14 29 5" xfId="16890"/>
    <cellStyle name="Normal 2 14 29 6" xfId="16891"/>
    <cellStyle name="Normal 2 14 29 7" xfId="16892"/>
    <cellStyle name="Normal 2 14 3" xfId="16893"/>
    <cellStyle name="Normal 2 14 3 2" xfId="16894"/>
    <cellStyle name="Normal 2 14 3 2 2" xfId="16895"/>
    <cellStyle name="Normal 2 14 3 2 3" xfId="16896"/>
    <cellStyle name="Normal 2 14 3 2 4" xfId="16897"/>
    <cellStyle name="Normal 2 14 3 2 5" xfId="16898"/>
    <cellStyle name="Normal 2 14 3 2 6" xfId="16899"/>
    <cellStyle name="Normal 2 14 3 2 7" xfId="16900"/>
    <cellStyle name="Normal 2 14 3 3" xfId="16901"/>
    <cellStyle name="Normal 2 14 3 4" xfId="16902"/>
    <cellStyle name="Normal 2 14 3 5" xfId="16903"/>
    <cellStyle name="Normal 2 14 3 6" xfId="16904"/>
    <cellStyle name="Normal 2 14 3 7" xfId="16905"/>
    <cellStyle name="Normal 2 14 3 8" xfId="16906"/>
    <cellStyle name="Normal 2 14 30" xfId="16907"/>
    <cellStyle name="Normal 2 14 30 2" xfId="16908"/>
    <cellStyle name="Normal 2 14 30 3" xfId="16909"/>
    <cellStyle name="Normal 2 14 30 4" xfId="16910"/>
    <cellStyle name="Normal 2 14 30 5" xfId="16911"/>
    <cellStyle name="Normal 2 14 30 6" xfId="16912"/>
    <cellStyle name="Normal 2 14 30 7" xfId="16913"/>
    <cellStyle name="Normal 2 14 31" xfId="16914"/>
    <cellStyle name="Normal 2 14 31 2" xfId="16915"/>
    <cellStyle name="Normal 2 14 31 3" xfId="16916"/>
    <cellStyle name="Normal 2 14 31 4" xfId="16917"/>
    <cellStyle name="Normal 2 14 31 5" xfId="16918"/>
    <cellStyle name="Normal 2 14 31 6" xfId="16919"/>
    <cellStyle name="Normal 2 14 31 7" xfId="16920"/>
    <cellStyle name="Normal 2 14 32" xfId="16921"/>
    <cellStyle name="Normal 2 14 32 2" xfId="16922"/>
    <cellStyle name="Normal 2 14 32 3" xfId="16923"/>
    <cellStyle name="Normal 2 14 32 4" xfId="16924"/>
    <cellStyle name="Normal 2 14 32 5" xfId="16925"/>
    <cellStyle name="Normal 2 14 32 6" xfId="16926"/>
    <cellStyle name="Normal 2 14 32 7" xfId="16927"/>
    <cellStyle name="Normal 2 14 33" xfId="16928"/>
    <cellStyle name="Normal 2 14 33 2" xfId="16929"/>
    <cellStyle name="Normal 2 14 33 3" xfId="16930"/>
    <cellStyle name="Normal 2 14 33 4" xfId="16931"/>
    <cellStyle name="Normal 2 14 33 5" xfId="16932"/>
    <cellStyle name="Normal 2 14 33 6" xfId="16933"/>
    <cellStyle name="Normal 2 14 33 7" xfId="16934"/>
    <cellStyle name="Normal 2 14 34" xfId="16935"/>
    <cellStyle name="Normal 2 14 34 2" xfId="16936"/>
    <cellStyle name="Normal 2 14 34 3" xfId="16937"/>
    <cellStyle name="Normal 2 14 34 4" xfId="16938"/>
    <cellStyle name="Normal 2 14 34 5" xfId="16939"/>
    <cellStyle name="Normal 2 14 34 6" xfId="16940"/>
    <cellStyle name="Normal 2 14 34 7" xfId="16941"/>
    <cellStyle name="Normal 2 14 35" xfId="16942"/>
    <cellStyle name="Normal 2 14 35 2" xfId="16943"/>
    <cellStyle name="Normal 2 14 35 3" xfId="16944"/>
    <cellStyle name="Normal 2 14 35 4" xfId="16945"/>
    <cellStyle name="Normal 2 14 35 5" xfId="16946"/>
    <cellStyle name="Normal 2 14 35 6" xfId="16947"/>
    <cellStyle name="Normal 2 14 35 7" xfId="16948"/>
    <cellStyle name="Normal 2 14 36" xfId="16949"/>
    <cellStyle name="Normal 2 14 37" xfId="16950"/>
    <cellStyle name="Normal 2 14 38" xfId="16951"/>
    <cellStyle name="Normal 2 14 39" xfId="16952"/>
    <cellStyle name="Normal 2 14 4" xfId="16953"/>
    <cellStyle name="Normal 2 14 4 2" xfId="16954"/>
    <cellStyle name="Normal 2 14 4 2 2" xfId="16955"/>
    <cellStyle name="Normal 2 14 4 2 3" xfId="16956"/>
    <cellStyle name="Normal 2 14 4 2 4" xfId="16957"/>
    <cellStyle name="Normal 2 14 4 2 5" xfId="16958"/>
    <cellStyle name="Normal 2 14 4 2 6" xfId="16959"/>
    <cellStyle name="Normal 2 14 4 2 7" xfId="16960"/>
    <cellStyle name="Normal 2 14 4 3" xfId="16961"/>
    <cellStyle name="Normal 2 14 4 4" xfId="16962"/>
    <cellStyle name="Normal 2 14 4 5" xfId="16963"/>
    <cellStyle name="Normal 2 14 4 6" xfId="16964"/>
    <cellStyle name="Normal 2 14 4 7" xfId="16965"/>
    <cellStyle name="Normal 2 14 4 8" xfId="16966"/>
    <cellStyle name="Normal 2 14 40" xfId="16967"/>
    <cellStyle name="Normal 2 14 41" xfId="16968"/>
    <cellStyle name="Normal 2 14 42" xfId="16969"/>
    <cellStyle name="Normal 2 14 5" xfId="16970"/>
    <cellStyle name="Normal 2 14 5 2" xfId="16971"/>
    <cellStyle name="Normal 2 14 5 2 2" xfId="16972"/>
    <cellStyle name="Normal 2 14 5 2 3" xfId="16973"/>
    <cellStyle name="Normal 2 14 5 2 4" xfId="16974"/>
    <cellStyle name="Normal 2 14 5 2 5" xfId="16975"/>
    <cellStyle name="Normal 2 14 5 2 6" xfId="16976"/>
    <cellStyle name="Normal 2 14 5 2 7" xfId="16977"/>
    <cellStyle name="Normal 2 14 5 3" xfId="16978"/>
    <cellStyle name="Normal 2 14 5 4" xfId="16979"/>
    <cellStyle name="Normal 2 14 5 5" xfId="16980"/>
    <cellStyle name="Normal 2 14 5 6" xfId="16981"/>
    <cellStyle name="Normal 2 14 5 7" xfId="16982"/>
    <cellStyle name="Normal 2 14 5 8" xfId="16983"/>
    <cellStyle name="Normal 2 14 6" xfId="16984"/>
    <cellStyle name="Normal 2 14 6 2" xfId="16985"/>
    <cellStyle name="Normal 2 14 6 2 2" xfId="16986"/>
    <cellStyle name="Normal 2 14 6 2 3" xfId="16987"/>
    <cellStyle name="Normal 2 14 6 2 4" xfId="16988"/>
    <cellStyle name="Normal 2 14 6 2 5" xfId="16989"/>
    <cellStyle name="Normal 2 14 6 2 6" xfId="16990"/>
    <cellStyle name="Normal 2 14 6 2 7" xfId="16991"/>
    <cellStyle name="Normal 2 14 6 3" xfId="16992"/>
    <cellStyle name="Normal 2 14 6 4" xfId="16993"/>
    <cellStyle name="Normal 2 14 6 5" xfId="16994"/>
    <cellStyle name="Normal 2 14 6 6" xfId="16995"/>
    <cellStyle name="Normal 2 14 6 7" xfId="16996"/>
    <cellStyle name="Normal 2 14 6 8" xfId="16997"/>
    <cellStyle name="Normal 2 14 7" xfId="16998"/>
    <cellStyle name="Normal 2 14 7 2" xfId="16999"/>
    <cellStyle name="Normal 2 14 7 2 2" xfId="17000"/>
    <cellStyle name="Normal 2 14 7 2 3" xfId="17001"/>
    <cellStyle name="Normal 2 14 7 2 4" xfId="17002"/>
    <cellStyle name="Normal 2 14 7 2 5" xfId="17003"/>
    <cellStyle name="Normal 2 14 7 2 6" xfId="17004"/>
    <cellStyle name="Normal 2 14 7 2 7" xfId="17005"/>
    <cellStyle name="Normal 2 14 7 3" xfId="17006"/>
    <cellStyle name="Normal 2 14 7 4" xfId="17007"/>
    <cellStyle name="Normal 2 14 7 5" xfId="17008"/>
    <cellStyle name="Normal 2 14 7 6" xfId="17009"/>
    <cellStyle name="Normal 2 14 7 7" xfId="17010"/>
    <cellStyle name="Normal 2 14 7 8" xfId="17011"/>
    <cellStyle name="Normal 2 14 8" xfId="17012"/>
    <cellStyle name="Normal 2 14 8 2" xfId="17013"/>
    <cellStyle name="Normal 2 14 8 2 2" xfId="17014"/>
    <cellStyle name="Normal 2 14 8 2 3" xfId="17015"/>
    <cellStyle name="Normal 2 14 8 2 4" xfId="17016"/>
    <cellStyle name="Normal 2 14 8 2 5" xfId="17017"/>
    <cellStyle name="Normal 2 14 8 2 6" xfId="17018"/>
    <cellStyle name="Normal 2 14 8 2 7" xfId="17019"/>
    <cellStyle name="Normal 2 14 8 3" xfId="17020"/>
    <cellStyle name="Normal 2 14 8 4" xfId="17021"/>
    <cellStyle name="Normal 2 14 8 5" xfId="17022"/>
    <cellStyle name="Normal 2 14 8 6" xfId="17023"/>
    <cellStyle name="Normal 2 14 8 7" xfId="17024"/>
    <cellStyle name="Normal 2 14 8 8" xfId="17025"/>
    <cellStyle name="Normal 2 14 9" xfId="17026"/>
    <cellStyle name="Normal 2 14 9 2" xfId="17027"/>
    <cellStyle name="Normal 2 14 9 2 2" xfId="17028"/>
    <cellStyle name="Normal 2 14 9 2 3" xfId="17029"/>
    <cellStyle name="Normal 2 14 9 2 4" xfId="17030"/>
    <cellStyle name="Normal 2 14 9 2 5" xfId="17031"/>
    <cellStyle name="Normal 2 14 9 2 6" xfId="17032"/>
    <cellStyle name="Normal 2 14 9 2 7" xfId="17033"/>
    <cellStyle name="Normal 2 14 9 3" xfId="17034"/>
    <cellStyle name="Normal 2 14 9 4" xfId="17035"/>
    <cellStyle name="Normal 2 14 9 5" xfId="17036"/>
    <cellStyle name="Normal 2 14 9 6" xfId="17037"/>
    <cellStyle name="Normal 2 14 9 7" xfId="17038"/>
    <cellStyle name="Normal 2 14 9 8" xfId="17039"/>
    <cellStyle name="Normal 2 15" xfId="4039"/>
    <cellStyle name="Normal 2 15 2" xfId="17040"/>
    <cellStyle name="Normal 2 15 2 2" xfId="17041"/>
    <cellStyle name="Normal 2 15 2 3" xfId="17042"/>
    <cellStyle name="Normal 2 15 2 4" xfId="17043"/>
    <cellStyle name="Normal 2 15 2 5" xfId="17044"/>
    <cellStyle name="Normal 2 15 2 6" xfId="17045"/>
    <cellStyle name="Normal 2 15 2 7" xfId="17046"/>
    <cellStyle name="Normal 2 15 2 8" xfId="35007"/>
    <cellStyle name="Normal 2 15 3" xfId="17047"/>
    <cellStyle name="Normal 2 15 4" xfId="17048"/>
    <cellStyle name="Normal 2 15 5" xfId="17049"/>
    <cellStyle name="Normal 2 15 6" xfId="17050"/>
    <cellStyle name="Normal 2 15 7" xfId="17051"/>
    <cellStyle name="Normal 2 15 8" xfId="17052"/>
    <cellStyle name="Normal 2 15 9" xfId="17053"/>
    <cellStyle name="Normal 2 16" xfId="4040"/>
    <cellStyle name="Normal 2 16 2" xfId="17054"/>
    <cellStyle name="Normal 2 16 3" xfId="17055"/>
    <cellStyle name="Normal 2 17" xfId="4041"/>
    <cellStyle name="Normal 2 17 2" xfId="17056"/>
    <cellStyle name="Normal 2 18" xfId="4042"/>
    <cellStyle name="Normal 2 18 10" xfId="4043"/>
    <cellStyle name="Normal 2 18 10 2" xfId="4044"/>
    <cellStyle name="Normal 2 18 10 2 2" xfId="35008"/>
    <cellStyle name="Normal 2 18 10 3" xfId="4045"/>
    <cellStyle name="Normal 2 18 10 3 2" xfId="35009"/>
    <cellStyle name="Normal 2 18 10 4" xfId="4046"/>
    <cellStyle name="Normal 2 18 10 4 2" xfId="35010"/>
    <cellStyle name="Normal 2 18 10 5" xfId="35011"/>
    <cellStyle name="Normal 2 18 10_01-04-2012" xfId="4047"/>
    <cellStyle name="Normal 2 18 11" xfId="4048"/>
    <cellStyle name="Normal 2 18 11 2" xfId="4049"/>
    <cellStyle name="Normal 2 18 11 2 2" xfId="35012"/>
    <cellStyle name="Normal 2 18 11 3" xfId="4050"/>
    <cellStyle name="Normal 2 18 11 3 2" xfId="35013"/>
    <cellStyle name="Normal 2 18 11 4" xfId="4051"/>
    <cellStyle name="Normal 2 18 11 4 2" xfId="35014"/>
    <cellStyle name="Normal 2 18 11 5" xfId="35015"/>
    <cellStyle name="Normal 2 18 11_01-04-2012" xfId="4052"/>
    <cellStyle name="Normal 2 18 12" xfId="4053"/>
    <cellStyle name="Normal 2 18 12 2" xfId="4054"/>
    <cellStyle name="Normal 2 18 12 2 2" xfId="35016"/>
    <cellStyle name="Normal 2 18 12 3" xfId="4055"/>
    <cellStyle name="Normal 2 18 12 3 2" xfId="35017"/>
    <cellStyle name="Normal 2 18 12 4" xfId="4056"/>
    <cellStyle name="Normal 2 18 12 4 2" xfId="35018"/>
    <cellStyle name="Normal 2 18 12 5" xfId="35019"/>
    <cellStyle name="Normal 2 18 12_01-04-2012" xfId="4057"/>
    <cellStyle name="Normal 2 18 13" xfId="4058"/>
    <cellStyle name="Normal 2 18 13 2" xfId="4059"/>
    <cellStyle name="Normal 2 18 13 2 2" xfId="35020"/>
    <cellStyle name="Normal 2 18 13 3" xfId="4060"/>
    <cellStyle name="Normal 2 18 13 3 2" xfId="35021"/>
    <cellStyle name="Normal 2 18 13 4" xfId="4061"/>
    <cellStyle name="Normal 2 18 13 4 2" xfId="35022"/>
    <cellStyle name="Normal 2 18 13 5" xfId="35023"/>
    <cellStyle name="Normal 2 18 13_01-04-2012" xfId="4062"/>
    <cellStyle name="Normal 2 18 14" xfId="4063"/>
    <cellStyle name="Normal 2 18 14 2" xfId="35024"/>
    <cellStyle name="Normal 2 18 15" xfId="4064"/>
    <cellStyle name="Normal 2 18 15 2" xfId="35025"/>
    <cellStyle name="Normal 2 18 16" xfId="4065"/>
    <cellStyle name="Normal 2 18 16 2" xfId="35026"/>
    <cellStyle name="Normal 2 18 17" xfId="17057"/>
    <cellStyle name="Normal 2 18 17 2" xfId="35027"/>
    <cellStyle name="Normal 2 18 18" xfId="17058"/>
    <cellStyle name="Normal 2 18 19" xfId="17059"/>
    <cellStyle name="Normal 2 18 2" xfId="4066"/>
    <cellStyle name="Normal 2 18 2 2" xfId="4067"/>
    <cellStyle name="Normal 2 18 2 2 2" xfId="35028"/>
    <cellStyle name="Normal 2 18 2 3" xfId="4068"/>
    <cellStyle name="Normal 2 18 2 3 2" xfId="35029"/>
    <cellStyle name="Normal 2 18 2 4" xfId="4069"/>
    <cellStyle name="Normal 2 18 2 4 2" xfId="35030"/>
    <cellStyle name="Normal 2 18 2 5" xfId="35031"/>
    <cellStyle name="Normal 2 18 2_01-04-2012" xfId="4070"/>
    <cellStyle name="Normal 2 18 20" xfId="17060"/>
    <cellStyle name="Normal 2 18 21" xfId="17061"/>
    <cellStyle name="Normal 2 18 22" xfId="17062"/>
    <cellStyle name="Normal 2 18 23" xfId="33637"/>
    <cellStyle name="Normal 2 18 3" xfId="4071"/>
    <cellStyle name="Normal 2 18 3 2" xfId="4072"/>
    <cellStyle name="Normal 2 18 3 2 2" xfId="35032"/>
    <cellStyle name="Normal 2 18 3 3" xfId="4073"/>
    <cellStyle name="Normal 2 18 3 3 2" xfId="35033"/>
    <cellStyle name="Normal 2 18 3 4" xfId="4074"/>
    <cellStyle name="Normal 2 18 3 4 2" xfId="35034"/>
    <cellStyle name="Normal 2 18 3 5" xfId="35035"/>
    <cellStyle name="Normal 2 18 3_01-04-2012" xfId="4075"/>
    <cellStyle name="Normal 2 18 4" xfId="4076"/>
    <cellStyle name="Normal 2 18 4 2" xfId="4077"/>
    <cellStyle name="Normal 2 18 4 2 2" xfId="35036"/>
    <cellStyle name="Normal 2 18 4 3" xfId="4078"/>
    <cellStyle name="Normal 2 18 4 3 2" xfId="35037"/>
    <cellStyle name="Normal 2 18 4 4" xfId="4079"/>
    <cellStyle name="Normal 2 18 4 4 2" xfId="35038"/>
    <cellStyle name="Normal 2 18 4 5" xfId="35039"/>
    <cellStyle name="Normal 2 18 4_01-04-2012" xfId="4080"/>
    <cellStyle name="Normal 2 18 5" xfId="4081"/>
    <cellStyle name="Normal 2 18 5 2" xfId="4082"/>
    <cellStyle name="Normal 2 18 5 2 2" xfId="35040"/>
    <cellStyle name="Normal 2 18 5 3" xfId="4083"/>
    <cellStyle name="Normal 2 18 5 3 2" xfId="35041"/>
    <cellStyle name="Normal 2 18 5 4" xfId="4084"/>
    <cellStyle name="Normal 2 18 5 4 2" xfId="35042"/>
    <cellStyle name="Normal 2 18 5 5" xfId="35043"/>
    <cellStyle name="Normal 2 18 5_01-04-2012" xfId="4085"/>
    <cellStyle name="Normal 2 18 6" xfId="4086"/>
    <cellStyle name="Normal 2 18 6 2" xfId="4087"/>
    <cellStyle name="Normal 2 18 6 2 2" xfId="35044"/>
    <cellStyle name="Normal 2 18 6 3" xfId="4088"/>
    <cellStyle name="Normal 2 18 6 3 2" xfId="35045"/>
    <cellStyle name="Normal 2 18 6 4" xfId="4089"/>
    <cellStyle name="Normal 2 18 6 4 2" xfId="35046"/>
    <cellStyle name="Normal 2 18 6 5" xfId="35047"/>
    <cellStyle name="Normal 2 18 6_01-04-2012" xfId="4090"/>
    <cellStyle name="Normal 2 18 7" xfId="4091"/>
    <cellStyle name="Normal 2 18 7 2" xfId="4092"/>
    <cellStyle name="Normal 2 18 7 2 2" xfId="35048"/>
    <cellStyle name="Normal 2 18 7 3" xfId="4093"/>
    <cellStyle name="Normal 2 18 7 3 2" xfId="35049"/>
    <cellStyle name="Normal 2 18 7 4" xfId="4094"/>
    <cellStyle name="Normal 2 18 7 4 2" xfId="35050"/>
    <cellStyle name="Normal 2 18 7 5" xfId="35051"/>
    <cellStyle name="Normal 2 18 7_01-04-2012" xfId="4095"/>
    <cellStyle name="Normal 2 18 8" xfId="4096"/>
    <cellStyle name="Normal 2 18 8 2" xfId="4097"/>
    <cellStyle name="Normal 2 18 8 2 2" xfId="35052"/>
    <cellStyle name="Normal 2 18 8 3" xfId="4098"/>
    <cellStyle name="Normal 2 18 8 3 2" xfId="35053"/>
    <cellStyle name="Normal 2 18 8 4" xfId="4099"/>
    <cellStyle name="Normal 2 18 8 4 2" xfId="35054"/>
    <cellStyle name="Normal 2 18 8 5" xfId="35055"/>
    <cellStyle name="Normal 2 18 8_01-04-2012" xfId="4100"/>
    <cellStyle name="Normal 2 18 9" xfId="4101"/>
    <cellStyle name="Normal 2 18 9 2" xfId="4102"/>
    <cellStyle name="Normal 2 18 9 2 2" xfId="35056"/>
    <cellStyle name="Normal 2 18 9 3" xfId="4103"/>
    <cellStyle name="Normal 2 18 9 3 2" xfId="35057"/>
    <cellStyle name="Normal 2 18 9 4" xfId="4104"/>
    <cellStyle name="Normal 2 18 9 4 2" xfId="35058"/>
    <cellStyle name="Normal 2 18 9 5" xfId="35059"/>
    <cellStyle name="Normal 2 18 9_01-04-2012" xfId="4105"/>
    <cellStyle name="Normal 2 18_01-04-2012" xfId="4106"/>
    <cellStyle name="Normal 2 19" xfId="4107"/>
    <cellStyle name="Normal 2 19 10" xfId="4108"/>
    <cellStyle name="Normal 2 19 10 2" xfId="4109"/>
    <cellStyle name="Normal 2 19 10 2 2" xfId="35060"/>
    <cellStyle name="Normal 2 19 10 3" xfId="4110"/>
    <cellStyle name="Normal 2 19 10 3 2" xfId="35061"/>
    <cellStyle name="Normal 2 19 10 4" xfId="4111"/>
    <cellStyle name="Normal 2 19 10 4 2" xfId="35062"/>
    <cellStyle name="Normal 2 19 10 5" xfId="35063"/>
    <cellStyle name="Normal 2 19 10_01-04-2012" xfId="4112"/>
    <cellStyle name="Normal 2 19 11" xfId="4113"/>
    <cellStyle name="Normal 2 19 11 2" xfId="4114"/>
    <cellStyle name="Normal 2 19 11 2 2" xfId="35064"/>
    <cellStyle name="Normal 2 19 11 3" xfId="4115"/>
    <cellStyle name="Normal 2 19 11 3 2" xfId="35065"/>
    <cellStyle name="Normal 2 19 11 4" xfId="4116"/>
    <cellStyle name="Normal 2 19 11 4 2" xfId="35066"/>
    <cellStyle name="Normal 2 19 11 5" xfId="35067"/>
    <cellStyle name="Normal 2 19 11_01-04-2012" xfId="4117"/>
    <cellStyle name="Normal 2 19 12" xfId="4118"/>
    <cellStyle name="Normal 2 19 12 2" xfId="4119"/>
    <cellStyle name="Normal 2 19 12 2 2" xfId="35068"/>
    <cellStyle name="Normal 2 19 12 3" xfId="4120"/>
    <cellStyle name="Normal 2 19 12 3 2" xfId="35069"/>
    <cellStyle name="Normal 2 19 12 4" xfId="4121"/>
    <cellStyle name="Normal 2 19 12 4 2" xfId="35070"/>
    <cellStyle name="Normal 2 19 12 5" xfId="35071"/>
    <cellStyle name="Normal 2 19 12_01-04-2012" xfId="4122"/>
    <cellStyle name="Normal 2 19 13" xfId="4123"/>
    <cellStyle name="Normal 2 19 13 2" xfId="4124"/>
    <cellStyle name="Normal 2 19 13 2 2" xfId="35072"/>
    <cellStyle name="Normal 2 19 13 3" xfId="4125"/>
    <cellStyle name="Normal 2 19 13 3 2" xfId="35073"/>
    <cellStyle name="Normal 2 19 13 4" xfId="4126"/>
    <cellStyle name="Normal 2 19 13 4 2" xfId="35074"/>
    <cellStyle name="Normal 2 19 13 5" xfId="35075"/>
    <cellStyle name="Normal 2 19 13_01-04-2012" xfId="4127"/>
    <cellStyle name="Normal 2 19 14" xfId="4128"/>
    <cellStyle name="Normal 2 19 14 2" xfId="35076"/>
    <cellStyle name="Normal 2 19 15" xfId="4129"/>
    <cellStyle name="Normal 2 19 15 2" xfId="35077"/>
    <cellStyle name="Normal 2 19 16" xfId="4130"/>
    <cellStyle name="Normal 2 19 16 2" xfId="35078"/>
    <cellStyle name="Normal 2 19 17" xfId="35079"/>
    <cellStyle name="Normal 2 19 2" xfId="4131"/>
    <cellStyle name="Normal 2 19 2 2" xfId="4132"/>
    <cellStyle name="Normal 2 19 2 2 2" xfId="35080"/>
    <cellStyle name="Normal 2 19 2 3" xfId="4133"/>
    <cellStyle name="Normal 2 19 2 3 2" xfId="35081"/>
    <cellStyle name="Normal 2 19 2 4" xfId="4134"/>
    <cellStyle name="Normal 2 19 2 4 2" xfId="35082"/>
    <cellStyle name="Normal 2 19 2 5" xfId="35083"/>
    <cellStyle name="Normal 2 19 2_01-04-2012" xfId="4135"/>
    <cellStyle name="Normal 2 19 3" xfId="4136"/>
    <cellStyle name="Normal 2 19 3 2" xfId="4137"/>
    <cellStyle name="Normal 2 19 3 2 2" xfId="35084"/>
    <cellStyle name="Normal 2 19 3 3" xfId="4138"/>
    <cellStyle name="Normal 2 19 3 3 2" xfId="35085"/>
    <cellStyle name="Normal 2 19 3 4" xfId="4139"/>
    <cellStyle name="Normal 2 19 3 4 2" xfId="35086"/>
    <cellStyle name="Normal 2 19 3 5" xfId="35087"/>
    <cellStyle name="Normal 2 19 3_01-04-2012" xfId="4140"/>
    <cellStyle name="Normal 2 19 4" xfId="4141"/>
    <cellStyle name="Normal 2 19 4 2" xfId="4142"/>
    <cellStyle name="Normal 2 19 4 2 2" xfId="35088"/>
    <cellStyle name="Normal 2 19 4 3" xfId="4143"/>
    <cellStyle name="Normal 2 19 4 3 2" xfId="35089"/>
    <cellStyle name="Normal 2 19 4 4" xfId="4144"/>
    <cellStyle name="Normal 2 19 4 4 2" xfId="35090"/>
    <cellStyle name="Normal 2 19 4 5" xfId="35091"/>
    <cellStyle name="Normal 2 19 4_01-04-2012" xfId="4145"/>
    <cellStyle name="Normal 2 19 5" xfId="4146"/>
    <cellStyle name="Normal 2 19 5 2" xfId="4147"/>
    <cellStyle name="Normal 2 19 5 2 2" xfId="35092"/>
    <cellStyle name="Normal 2 19 5 3" xfId="4148"/>
    <cellStyle name="Normal 2 19 5 3 2" xfId="35093"/>
    <cellStyle name="Normal 2 19 5 4" xfId="4149"/>
    <cellStyle name="Normal 2 19 5 4 2" xfId="35094"/>
    <cellStyle name="Normal 2 19 5 5" xfId="35095"/>
    <cellStyle name="Normal 2 19 5_01-04-2012" xfId="4150"/>
    <cellStyle name="Normal 2 19 6" xfId="4151"/>
    <cellStyle name="Normal 2 19 6 2" xfId="4152"/>
    <cellStyle name="Normal 2 19 6 2 2" xfId="35096"/>
    <cellStyle name="Normal 2 19 6 3" xfId="4153"/>
    <cellStyle name="Normal 2 19 6 3 2" xfId="35097"/>
    <cellStyle name="Normal 2 19 6 4" xfId="4154"/>
    <cellStyle name="Normal 2 19 6 4 2" xfId="35098"/>
    <cellStyle name="Normal 2 19 6 5" xfId="35099"/>
    <cellStyle name="Normal 2 19 6_01-04-2012" xfId="4155"/>
    <cellStyle name="Normal 2 19 7" xfId="4156"/>
    <cellStyle name="Normal 2 19 7 2" xfId="4157"/>
    <cellStyle name="Normal 2 19 7 2 2" xfId="35100"/>
    <cellStyle name="Normal 2 19 7 3" xfId="4158"/>
    <cellStyle name="Normal 2 19 7 3 2" xfId="35101"/>
    <cellStyle name="Normal 2 19 7 4" xfId="4159"/>
    <cellStyle name="Normal 2 19 7 4 2" xfId="35102"/>
    <cellStyle name="Normal 2 19 7 5" xfId="35103"/>
    <cellStyle name="Normal 2 19 7_01-04-2012" xfId="4160"/>
    <cellStyle name="Normal 2 19 8" xfId="4161"/>
    <cellStyle name="Normal 2 19 8 2" xfId="4162"/>
    <cellStyle name="Normal 2 19 8 2 2" xfId="35104"/>
    <cellStyle name="Normal 2 19 8 3" xfId="4163"/>
    <cellStyle name="Normal 2 19 8 3 2" xfId="35105"/>
    <cellStyle name="Normal 2 19 8 4" xfId="4164"/>
    <cellStyle name="Normal 2 19 8 4 2" xfId="35106"/>
    <cellStyle name="Normal 2 19 8 5" xfId="35107"/>
    <cellStyle name="Normal 2 19 8_01-04-2012" xfId="4165"/>
    <cellStyle name="Normal 2 19 9" xfId="4166"/>
    <cellStyle name="Normal 2 19 9 2" xfId="4167"/>
    <cellStyle name="Normal 2 19 9 2 2" xfId="35108"/>
    <cellStyle name="Normal 2 19 9 3" xfId="4168"/>
    <cellStyle name="Normal 2 19 9 3 2" xfId="35109"/>
    <cellStyle name="Normal 2 19 9 4" xfId="4169"/>
    <cellStyle name="Normal 2 19 9 4 2" xfId="35110"/>
    <cellStyle name="Normal 2 19 9 5" xfId="35111"/>
    <cellStyle name="Normal 2 19 9_01-04-2012" xfId="4170"/>
    <cellStyle name="Normal 2 19_01-04-2012" xfId="4171"/>
    <cellStyle name="Normal 2 2" xfId="5"/>
    <cellStyle name="Normal 2 2 10" xfId="4172"/>
    <cellStyle name="Normal 2 2 10 10" xfId="4173"/>
    <cellStyle name="Normal 2 2 10 11" xfId="4174"/>
    <cellStyle name="Normal 2 2 10 12" xfId="4175"/>
    <cellStyle name="Normal 2 2 10 13" xfId="4176"/>
    <cellStyle name="Normal 2 2 10 14" xfId="4177"/>
    <cellStyle name="Normal 2 2 10 15" xfId="4178"/>
    <cellStyle name="Normal 2 2 10 16" xfId="4179"/>
    <cellStyle name="Normal 2 2 10 17" xfId="4180"/>
    <cellStyle name="Normal 2 2 10 18" xfId="4181"/>
    <cellStyle name="Normal 2 2 10 19" xfId="4182"/>
    <cellStyle name="Normal 2 2 10 2" xfId="4183"/>
    <cellStyle name="Normal 2 2 10 2 2" xfId="4184"/>
    <cellStyle name="Normal 2 2 10 2 2 2" xfId="4185"/>
    <cellStyle name="Normal 2 2 10 2 2 2 2" xfId="35113"/>
    <cellStyle name="Normal 2 2 10 2 2 3" xfId="4186"/>
    <cellStyle name="Normal 2 2 10 2 2 3 2" xfId="35114"/>
    <cellStyle name="Normal 2 2 10 2 2 4" xfId="4187"/>
    <cellStyle name="Normal 2 2 10 2 2 4 2" xfId="35115"/>
    <cellStyle name="Normal 2 2 10 2 2 5" xfId="17063"/>
    <cellStyle name="Normal 2 2 10 2 2 5 2" xfId="35116"/>
    <cellStyle name="Normal 2 2 10 2 2_01-04-2012" xfId="4188"/>
    <cellStyle name="Normal 2 2 10 2 3" xfId="4189"/>
    <cellStyle name="Normal 2 2 10 2 3 2" xfId="4190"/>
    <cellStyle name="Normal 2 2 10 2 3 2 2" xfId="35117"/>
    <cellStyle name="Normal 2 2 10 2 3 3" xfId="4191"/>
    <cellStyle name="Normal 2 2 10 2 3 3 2" xfId="35118"/>
    <cellStyle name="Normal 2 2 10 2 3 4" xfId="4192"/>
    <cellStyle name="Normal 2 2 10 2 3 4 2" xfId="35119"/>
    <cellStyle name="Normal 2 2 10 2 3 5" xfId="17064"/>
    <cellStyle name="Normal 2 2 10 2 3 5 2" xfId="35120"/>
    <cellStyle name="Normal 2 2 10 2 3_01-04-2012" xfId="4193"/>
    <cellStyle name="Normal 2 2 10 2 4" xfId="4194"/>
    <cellStyle name="Normal 2 2 10 2 4 2" xfId="4195"/>
    <cellStyle name="Normal 2 2 10 2 4 2 2" xfId="35121"/>
    <cellStyle name="Normal 2 2 10 2 4 3" xfId="4196"/>
    <cellStyle name="Normal 2 2 10 2 4 3 2" xfId="35122"/>
    <cellStyle name="Normal 2 2 10 2 4 4" xfId="4197"/>
    <cellStyle name="Normal 2 2 10 2 4 4 2" xfId="35123"/>
    <cellStyle name="Normal 2 2 10 2 4 5" xfId="17065"/>
    <cellStyle name="Normal 2 2 10 2 4 5 2" xfId="35124"/>
    <cellStyle name="Normal 2 2 10 2 4_01-04-2012" xfId="4198"/>
    <cellStyle name="Normal 2 2 10 2 5" xfId="4199"/>
    <cellStyle name="Normal 2 2 10 2 5 2" xfId="17066"/>
    <cellStyle name="Normal 2 2 10 2 5 2 2" xfId="35125"/>
    <cellStyle name="Normal 2 2 10 2 6" xfId="4200"/>
    <cellStyle name="Normal 2 2 10 2 6 2" xfId="17067"/>
    <cellStyle name="Normal 2 2 10 2 6 2 2" xfId="35126"/>
    <cellStyle name="Normal 2 2 10 2 7" xfId="4201"/>
    <cellStyle name="Normal 2 2 10 2 7 2" xfId="17068"/>
    <cellStyle name="Normal 2 2 10 2 7 2 2" xfId="35127"/>
    <cellStyle name="Normal 2 2 10 2 8" xfId="17069"/>
    <cellStyle name="Normal 2 2 10 2 8 2" xfId="35128"/>
    <cellStyle name="Normal 2 2 10 2_01-04-2012" xfId="4202"/>
    <cellStyle name="Normal 2 2 10 20" xfId="4203"/>
    <cellStyle name="Normal 2 2 10 21" xfId="4204"/>
    <cellStyle name="Normal 2 2 10 22" xfId="4205"/>
    <cellStyle name="Normal 2 2 10 23" xfId="4206"/>
    <cellStyle name="Normal 2 2 10 24" xfId="4207"/>
    <cellStyle name="Normal 2 2 10 25" xfId="4208"/>
    <cellStyle name="Normal 2 2 10 26" xfId="4209"/>
    <cellStyle name="Normal 2 2 10 26 2" xfId="35129"/>
    <cellStyle name="Normal 2 2 10 27" xfId="4210"/>
    <cellStyle name="Normal 2 2 10 27 2" xfId="35130"/>
    <cellStyle name="Normal 2 2 10 28" xfId="4211"/>
    <cellStyle name="Normal 2 2 10 28 2" xfId="35131"/>
    <cellStyle name="Normal 2 2 10 29" xfId="4212"/>
    <cellStyle name="Normal 2 2 10 29 2" xfId="35132"/>
    <cellStyle name="Normal 2 2 10 3" xfId="4213"/>
    <cellStyle name="Normal 2 2 10 3 10" xfId="17070"/>
    <cellStyle name="Normal 2 2 10 3 2" xfId="4214"/>
    <cellStyle name="Normal 2 2 10 3 2 2" xfId="4215"/>
    <cellStyle name="Normal 2 2 10 3 2 2 2" xfId="35133"/>
    <cellStyle name="Normal 2 2 10 3 2 3" xfId="4216"/>
    <cellStyle name="Normal 2 2 10 3 2 3 2" xfId="35134"/>
    <cellStyle name="Normal 2 2 10 3 2 4" xfId="4217"/>
    <cellStyle name="Normal 2 2 10 3 2 4 2" xfId="35135"/>
    <cellStyle name="Normal 2 2 10 3 2 5" xfId="35136"/>
    <cellStyle name="Normal 2 2 10 3 2_01-04-2012" xfId="4218"/>
    <cellStyle name="Normal 2 2 10 3 3" xfId="4219"/>
    <cellStyle name="Normal 2 2 10 3 3 2" xfId="4220"/>
    <cellStyle name="Normal 2 2 10 3 3 2 2" xfId="35137"/>
    <cellStyle name="Normal 2 2 10 3 3 3" xfId="4221"/>
    <cellStyle name="Normal 2 2 10 3 3 3 2" xfId="35138"/>
    <cellStyle name="Normal 2 2 10 3 3 4" xfId="4222"/>
    <cellStyle name="Normal 2 2 10 3 3 4 2" xfId="35139"/>
    <cellStyle name="Normal 2 2 10 3 3 5" xfId="35140"/>
    <cellStyle name="Normal 2 2 10 3 3_01-04-2012" xfId="4223"/>
    <cellStyle name="Normal 2 2 10 3 4" xfId="4224"/>
    <cellStyle name="Normal 2 2 10 3 4 2" xfId="4225"/>
    <cellStyle name="Normal 2 2 10 3 4 2 2" xfId="35141"/>
    <cellStyle name="Normal 2 2 10 3 4 3" xfId="4226"/>
    <cellStyle name="Normal 2 2 10 3 4 3 2" xfId="35142"/>
    <cellStyle name="Normal 2 2 10 3 4 4" xfId="4227"/>
    <cellStyle name="Normal 2 2 10 3 4 4 2" xfId="35143"/>
    <cellStyle name="Normal 2 2 10 3 4 5" xfId="35144"/>
    <cellStyle name="Normal 2 2 10 3 4_01-04-2012" xfId="4228"/>
    <cellStyle name="Normal 2 2 10 3 5" xfId="4229"/>
    <cellStyle name="Normal 2 2 10 3 5 2" xfId="35145"/>
    <cellStyle name="Normal 2 2 10 3 6" xfId="4230"/>
    <cellStyle name="Normal 2 2 10 3 6 2" xfId="35146"/>
    <cellStyle name="Normal 2 2 10 3 7" xfId="4231"/>
    <cellStyle name="Normal 2 2 10 3 7 2" xfId="35147"/>
    <cellStyle name="Normal 2 2 10 3 8" xfId="17071"/>
    <cellStyle name="Normal 2 2 10 3 8 2" xfId="35148"/>
    <cellStyle name="Normal 2 2 10 3 9" xfId="17072"/>
    <cellStyle name="Normal 2 2 10 3_01-04-2012" xfId="4232"/>
    <cellStyle name="Normal 2 2 10 30" xfId="17073"/>
    <cellStyle name="Normal 2 2 10 30 2" xfId="35149"/>
    <cellStyle name="Normal 2 2 10 4" xfId="4233"/>
    <cellStyle name="Normal 2 2 10 4 10" xfId="17074"/>
    <cellStyle name="Normal 2 2 10 4 2" xfId="4234"/>
    <cellStyle name="Normal 2 2 10 4 2 2" xfId="4235"/>
    <cellStyle name="Normal 2 2 10 4 2 2 2" xfId="35150"/>
    <cellStyle name="Normal 2 2 10 4 2 3" xfId="4236"/>
    <cellStyle name="Normal 2 2 10 4 2 3 2" xfId="35151"/>
    <cellStyle name="Normal 2 2 10 4 2 4" xfId="4237"/>
    <cellStyle name="Normal 2 2 10 4 2 4 2" xfId="35152"/>
    <cellStyle name="Normal 2 2 10 4 2 5" xfId="35153"/>
    <cellStyle name="Normal 2 2 10 4 2_01-04-2012" xfId="4238"/>
    <cellStyle name="Normal 2 2 10 4 3" xfId="4239"/>
    <cellStyle name="Normal 2 2 10 4 3 2" xfId="4240"/>
    <cellStyle name="Normal 2 2 10 4 3 2 2" xfId="35154"/>
    <cellStyle name="Normal 2 2 10 4 3 3" xfId="4241"/>
    <cellStyle name="Normal 2 2 10 4 3 3 2" xfId="35155"/>
    <cellStyle name="Normal 2 2 10 4 3 4" xfId="4242"/>
    <cellStyle name="Normal 2 2 10 4 3 4 2" xfId="35156"/>
    <cellStyle name="Normal 2 2 10 4 3 5" xfId="35157"/>
    <cellStyle name="Normal 2 2 10 4 3_01-04-2012" xfId="4243"/>
    <cellStyle name="Normal 2 2 10 4 4" xfId="4244"/>
    <cellStyle name="Normal 2 2 10 4 4 2" xfId="4245"/>
    <cellStyle name="Normal 2 2 10 4 4 2 2" xfId="35158"/>
    <cellStyle name="Normal 2 2 10 4 4 3" xfId="4246"/>
    <cellStyle name="Normal 2 2 10 4 4 3 2" xfId="35159"/>
    <cellStyle name="Normal 2 2 10 4 4 4" xfId="4247"/>
    <cellStyle name="Normal 2 2 10 4 4 4 2" xfId="35160"/>
    <cellStyle name="Normal 2 2 10 4 4 5" xfId="35161"/>
    <cellStyle name="Normal 2 2 10 4 4_01-04-2012" xfId="4248"/>
    <cellStyle name="Normal 2 2 10 4 5" xfId="4249"/>
    <cellStyle name="Normal 2 2 10 4 5 2" xfId="35162"/>
    <cellStyle name="Normal 2 2 10 4 6" xfId="4250"/>
    <cellStyle name="Normal 2 2 10 4 6 2" xfId="35163"/>
    <cellStyle name="Normal 2 2 10 4 7" xfId="4251"/>
    <cellStyle name="Normal 2 2 10 4 7 2" xfId="35164"/>
    <cellStyle name="Normal 2 2 10 4 8" xfId="17075"/>
    <cellStyle name="Normal 2 2 10 4 8 2" xfId="35165"/>
    <cellStyle name="Normal 2 2 10 4 9" xfId="17076"/>
    <cellStyle name="Normal 2 2 10 4_01-04-2012" xfId="4252"/>
    <cellStyle name="Normal 2 2 10 5" xfId="4253"/>
    <cellStyle name="Normal 2 2 10 5 2" xfId="4254"/>
    <cellStyle name="Normal 2 2 10 5 2 2" xfId="35166"/>
    <cellStyle name="Normal 2 2 10 5 3" xfId="4255"/>
    <cellStyle name="Normal 2 2 10 5 3 2" xfId="35167"/>
    <cellStyle name="Normal 2 2 10 5 4" xfId="4256"/>
    <cellStyle name="Normal 2 2 10 5 4 2" xfId="35168"/>
    <cellStyle name="Normal 2 2 10 5 5" xfId="17077"/>
    <cellStyle name="Normal 2 2 10 5 5 2" xfId="35169"/>
    <cellStyle name="Normal 2 2 10 5_01-04-2012" xfId="4257"/>
    <cellStyle name="Normal 2 2 10 6" xfId="4258"/>
    <cellStyle name="Normal 2 2 10 6 2" xfId="4259"/>
    <cellStyle name="Normal 2 2 10 6 2 2" xfId="35170"/>
    <cellStyle name="Normal 2 2 10 6 3" xfId="4260"/>
    <cellStyle name="Normal 2 2 10 6 3 2" xfId="35171"/>
    <cellStyle name="Normal 2 2 10 6 4" xfId="4261"/>
    <cellStyle name="Normal 2 2 10 6 4 2" xfId="35172"/>
    <cellStyle name="Normal 2 2 10 6 5" xfId="17078"/>
    <cellStyle name="Normal 2 2 10 6 5 2" xfId="35173"/>
    <cellStyle name="Normal 2 2 10 6_01-04-2012" xfId="4262"/>
    <cellStyle name="Normal 2 2 10 7" xfId="4263"/>
    <cellStyle name="Normal 2 2 10 7 2" xfId="4264"/>
    <cellStyle name="Normal 2 2 10 7 2 2" xfId="35174"/>
    <cellStyle name="Normal 2 2 10 7 3" xfId="4265"/>
    <cellStyle name="Normal 2 2 10 7 3 2" xfId="35175"/>
    <cellStyle name="Normal 2 2 10 7 4" xfId="4266"/>
    <cellStyle name="Normal 2 2 10 7 4 2" xfId="35176"/>
    <cellStyle name="Normal 2 2 10 7 5" xfId="17079"/>
    <cellStyle name="Normal 2 2 10 7 5 2" xfId="35177"/>
    <cellStyle name="Normal 2 2 10 7_01-04-2012" xfId="4267"/>
    <cellStyle name="Normal 2 2 10 8" xfId="4268"/>
    <cellStyle name="Normal 2 2 10 8 2" xfId="4269"/>
    <cellStyle name="Normal 2 2 10 8 2 2" xfId="35178"/>
    <cellStyle name="Normal 2 2 10 8 3" xfId="4270"/>
    <cellStyle name="Normal 2 2 10 8 3 2" xfId="35179"/>
    <cellStyle name="Normal 2 2 10 8 4" xfId="4271"/>
    <cellStyle name="Normal 2 2 10 8 4 2" xfId="35180"/>
    <cellStyle name="Normal 2 2 10 8 5" xfId="17080"/>
    <cellStyle name="Normal 2 2 10 8 5 2" xfId="35181"/>
    <cellStyle name="Normal 2 2 10 8_01-04-2012" xfId="4272"/>
    <cellStyle name="Normal 2 2 10 9" xfId="4273"/>
    <cellStyle name="Normal 2 2 10 9 2" xfId="4274"/>
    <cellStyle name="Normal 2 2 10 9 2 2" xfId="35182"/>
    <cellStyle name="Normal 2 2 10 9 3" xfId="4275"/>
    <cellStyle name="Normal 2 2 10 9 3 2" xfId="35183"/>
    <cellStyle name="Normal 2 2 10 9 4" xfId="4276"/>
    <cellStyle name="Normal 2 2 10 9 4 2" xfId="35184"/>
    <cellStyle name="Normal 2 2 10 9 5" xfId="35185"/>
    <cellStyle name="Normal 2 2 10 9_01-04-2012" xfId="4277"/>
    <cellStyle name="Normal 2 2 10_01-04-2012" xfId="4278"/>
    <cellStyle name="Normal 2 2 100" xfId="32919"/>
    <cellStyle name="Normal 2 2 101" xfId="35112"/>
    <cellStyle name="Normal 2 2 102" xfId="36093"/>
    <cellStyle name="Normal 2 2 103" xfId="40951"/>
    <cellStyle name="Normal 2 2 104" xfId="40955"/>
    <cellStyle name="Normal 2 2 11" xfId="4279"/>
    <cellStyle name="Normal 2 2 11 10" xfId="4280"/>
    <cellStyle name="Normal 2 2 11 11" xfId="4281"/>
    <cellStyle name="Normal 2 2 11 12" xfId="4282"/>
    <cellStyle name="Normal 2 2 11 13" xfId="4283"/>
    <cellStyle name="Normal 2 2 11 14" xfId="4284"/>
    <cellStyle name="Normal 2 2 11 14 2" xfId="35186"/>
    <cellStyle name="Normal 2 2 11 15" xfId="4285"/>
    <cellStyle name="Normal 2 2 11 15 2" xfId="35187"/>
    <cellStyle name="Normal 2 2 11 16" xfId="4286"/>
    <cellStyle name="Normal 2 2 11 16 2" xfId="35188"/>
    <cellStyle name="Normal 2 2 11 17" xfId="4287"/>
    <cellStyle name="Normal 2 2 11 17 2" xfId="35189"/>
    <cellStyle name="Normal 2 2 11 18" xfId="17081"/>
    <cellStyle name="Normal 2 2 11 18 2" xfId="35190"/>
    <cellStyle name="Normal 2 2 11 2" xfId="4288"/>
    <cellStyle name="Normal 2 2 11 2 2" xfId="4289"/>
    <cellStyle name="Normal 2 2 11 2 2 2" xfId="4290"/>
    <cellStyle name="Normal 2 2 11 2 2 2 2" xfId="35191"/>
    <cellStyle name="Normal 2 2 11 2 2 3" xfId="4291"/>
    <cellStyle name="Normal 2 2 11 2 2 3 2" xfId="35192"/>
    <cellStyle name="Normal 2 2 11 2 2 4" xfId="4292"/>
    <cellStyle name="Normal 2 2 11 2 2 4 2" xfId="35193"/>
    <cellStyle name="Normal 2 2 11 2 2 5" xfId="17082"/>
    <cellStyle name="Normal 2 2 11 2 2 5 2" xfId="35194"/>
    <cellStyle name="Normal 2 2 11 2 2_01-04-2012" xfId="4293"/>
    <cellStyle name="Normal 2 2 11 2 3" xfId="4294"/>
    <cellStyle name="Normal 2 2 11 2 3 2" xfId="4295"/>
    <cellStyle name="Normal 2 2 11 2 3 2 2" xfId="35195"/>
    <cellStyle name="Normal 2 2 11 2 3 3" xfId="4296"/>
    <cellStyle name="Normal 2 2 11 2 3 3 2" xfId="35196"/>
    <cellStyle name="Normal 2 2 11 2 3 4" xfId="4297"/>
    <cellStyle name="Normal 2 2 11 2 3 4 2" xfId="35197"/>
    <cellStyle name="Normal 2 2 11 2 3 5" xfId="17083"/>
    <cellStyle name="Normal 2 2 11 2 3 5 2" xfId="35198"/>
    <cellStyle name="Normal 2 2 11 2 3_01-04-2012" xfId="4298"/>
    <cellStyle name="Normal 2 2 11 2 4" xfId="4299"/>
    <cellStyle name="Normal 2 2 11 2 4 2" xfId="4300"/>
    <cellStyle name="Normal 2 2 11 2 4 2 2" xfId="35199"/>
    <cellStyle name="Normal 2 2 11 2 4 3" xfId="4301"/>
    <cellStyle name="Normal 2 2 11 2 4 3 2" xfId="35200"/>
    <cellStyle name="Normal 2 2 11 2 4 4" xfId="4302"/>
    <cellStyle name="Normal 2 2 11 2 4 4 2" xfId="35201"/>
    <cellStyle name="Normal 2 2 11 2 4 5" xfId="17084"/>
    <cellStyle name="Normal 2 2 11 2 4 5 2" xfId="35202"/>
    <cellStyle name="Normal 2 2 11 2 4_01-04-2012" xfId="4303"/>
    <cellStyle name="Normal 2 2 11 2 5" xfId="4304"/>
    <cellStyle name="Normal 2 2 11 2 5 2" xfId="17085"/>
    <cellStyle name="Normal 2 2 11 2 5 2 2" xfId="35203"/>
    <cellStyle name="Normal 2 2 11 2 6" xfId="4305"/>
    <cellStyle name="Normal 2 2 11 2 6 2" xfId="17086"/>
    <cellStyle name="Normal 2 2 11 2 6 2 2" xfId="35204"/>
    <cellStyle name="Normal 2 2 11 2 7" xfId="4306"/>
    <cellStyle name="Normal 2 2 11 2 7 2" xfId="17087"/>
    <cellStyle name="Normal 2 2 11 2 7 2 2" xfId="35205"/>
    <cellStyle name="Normal 2 2 11 2 8" xfId="17088"/>
    <cellStyle name="Normal 2 2 11 2 8 2" xfId="35206"/>
    <cellStyle name="Normal 2 2 11 2_01-04-2012" xfId="4307"/>
    <cellStyle name="Normal 2 2 11 3" xfId="4308"/>
    <cellStyle name="Normal 2 2 11 3 10" xfId="17089"/>
    <cellStyle name="Normal 2 2 11 3 2" xfId="4309"/>
    <cellStyle name="Normal 2 2 11 3 2 2" xfId="4310"/>
    <cellStyle name="Normal 2 2 11 3 2 2 2" xfId="35207"/>
    <cellStyle name="Normal 2 2 11 3 2 3" xfId="4311"/>
    <cellStyle name="Normal 2 2 11 3 2 3 2" xfId="35208"/>
    <cellStyle name="Normal 2 2 11 3 2 4" xfId="4312"/>
    <cellStyle name="Normal 2 2 11 3 2 4 2" xfId="35209"/>
    <cellStyle name="Normal 2 2 11 3 2 5" xfId="35210"/>
    <cellStyle name="Normal 2 2 11 3 2_01-04-2012" xfId="4313"/>
    <cellStyle name="Normal 2 2 11 3 3" xfId="4314"/>
    <cellStyle name="Normal 2 2 11 3 3 2" xfId="4315"/>
    <cellStyle name="Normal 2 2 11 3 3 2 2" xfId="35211"/>
    <cellStyle name="Normal 2 2 11 3 3 3" xfId="4316"/>
    <cellStyle name="Normal 2 2 11 3 3 3 2" xfId="35212"/>
    <cellStyle name="Normal 2 2 11 3 3 4" xfId="4317"/>
    <cellStyle name="Normal 2 2 11 3 3 4 2" xfId="35213"/>
    <cellStyle name="Normal 2 2 11 3 3 5" xfId="35214"/>
    <cellStyle name="Normal 2 2 11 3 3_01-04-2012" xfId="4318"/>
    <cellStyle name="Normal 2 2 11 3 4" xfId="4319"/>
    <cellStyle name="Normal 2 2 11 3 4 2" xfId="4320"/>
    <cellStyle name="Normal 2 2 11 3 4 2 2" xfId="35215"/>
    <cellStyle name="Normal 2 2 11 3 4 3" xfId="4321"/>
    <cellStyle name="Normal 2 2 11 3 4 3 2" xfId="35216"/>
    <cellStyle name="Normal 2 2 11 3 4 4" xfId="4322"/>
    <cellStyle name="Normal 2 2 11 3 4 4 2" xfId="35217"/>
    <cellStyle name="Normal 2 2 11 3 4 5" xfId="35218"/>
    <cellStyle name="Normal 2 2 11 3 4_01-04-2012" xfId="4323"/>
    <cellStyle name="Normal 2 2 11 3 5" xfId="4324"/>
    <cellStyle name="Normal 2 2 11 3 5 2" xfId="35219"/>
    <cellStyle name="Normal 2 2 11 3 6" xfId="4325"/>
    <cellStyle name="Normal 2 2 11 3 6 2" xfId="35220"/>
    <cellStyle name="Normal 2 2 11 3 7" xfId="4326"/>
    <cellStyle name="Normal 2 2 11 3 7 2" xfId="35221"/>
    <cellStyle name="Normal 2 2 11 3 8" xfId="17090"/>
    <cellStyle name="Normal 2 2 11 3 8 2" xfId="35222"/>
    <cellStyle name="Normal 2 2 11 3 9" xfId="17091"/>
    <cellStyle name="Normal 2 2 11 3_01-04-2012" xfId="4327"/>
    <cellStyle name="Normal 2 2 11 4" xfId="4328"/>
    <cellStyle name="Normal 2 2 11 4 10" xfId="17092"/>
    <cellStyle name="Normal 2 2 11 4 2" xfId="4329"/>
    <cellStyle name="Normal 2 2 11 4 2 2" xfId="4330"/>
    <cellStyle name="Normal 2 2 11 4 2 2 2" xfId="35223"/>
    <cellStyle name="Normal 2 2 11 4 2 3" xfId="4331"/>
    <cellStyle name="Normal 2 2 11 4 2 3 2" xfId="35224"/>
    <cellStyle name="Normal 2 2 11 4 2 4" xfId="4332"/>
    <cellStyle name="Normal 2 2 11 4 2 4 2" xfId="35225"/>
    <cellStyle name="Normal 2 2 11 4 2 5" xfId="35226"/>
    <cellStyle name="Normal 2 2 11 4 2_01-04-2012" xfId="4333"/>
    <cellStyle name="Normal 2 2 11 4 3" xfId="4334"/>
    <cellStyle name="Normal 2 2 11 4 3 2" xfId="4335"/>
    <cellStyle name="Normal 2 2 11 4 3 2 2" xfId="35227"/>
    <cellStyle name="Normal 2 2 11 4 3 3" xfId="4336"/>
    <cellStyle name="Normal 2 2 11 4 3 3 2" xfId="35228"/>
    <cellStyle name="Normal 2 2 11 4 3 4" xfId="4337"/>
    <cellStyle name="Normal 2 2 11 4 3 4 2" xfId="35229"/>
    <cellStyle name="Normal 2 2 11 4 3 5" xfId="35230"/>
    <cellStyle name="Normal 2 2 11 4 3_01-04-2012" xfId="4338"/>
    <cellStyle name="Normal 2 2 11 4 4" xfId="4339"/>
    <cellStyle name="Normal 2 2 11 4 4 2" xfId="4340"/>
    <cellStyle name="Normal 2 2 11 4 4 2 2" xfId="35231"/>
    <cellStyle name="Normal 2 2 11 4 4 3" xfId="4341"/>
    <cellStyle name="Normal 2 2 11 4 4 3 2" xfId="35232"/>
    <cellStyle name="Normal 2 2 11 4 4 4" xfId="4342"/>
    <cellStyle name="Normal 2 2 11 4 4 4 2" xfId="35233"/>
    <cellStyle name="Normal 2 2 11 4 4 5" xfId="35234"/>
    <cellStyle name="Normal 2 2 11 4 4_01-04-2012" xfId="4343"/>
    <cellStyle name="Normal 2 2 11 4 5" xfId="4344"/>
    <cellStyle name="Normal 2 2 11 4 5 2" xfId="35235"/>
    <cellStyle name="Normal 2 2 11 4 6" xfId="4345"/>
    <cellStyle name="Normal 2 2 11 4 6 2" xfId="35236"/>
    <cellStyle name="Normal 2 2 11 4 7" xfId="4346"/>
    <cellStyle name="Normal 2 2 11 4 7 2" xfId="35237"/>
    <cellStyle name="Normal 2 2 11 4 8" xfId="17093"/>
    <cellStyle name="Normal 2 2 11 4 8 2" xfId="35238"/>
    <cellStyle name="Normal 2 2 11 4 9" xfId="17094"/>
    <cellStyle name="Normal 2 2 11 4_01-04-2012" xfId="4347"/>
    <cellStyle name="Normal 2 2 11 5" xfId="4348"/>
    <cellStyle name="Normal 2 2 11 5 2" xfId="4349"/>
    <cellStyle name="Normal 2 2 11 5 2 2" xfId="35239"/>
    <cellStyle name="Normal 2 2 11 5 3" xfId="4350"/>
    <cellStyle name="Normal 2 2 11 5 3 2" xfId="35240"/>
    <cellStyle name="Normal 2 2 11 5 4" xfId="4351"/>
    <cellStyle name="Normal 2 2 11 5 4 2" xfId="35241"/>
    <cellStyle name="Normal 2 2 11 5 5" xfId="17095"/>
    <cellStyle name="Normal 2 2 11 5 5 2" xfId="35242"/>
    <cellStyle name="Normal 2 2 11 5_01-04-2012" xfId="4352"/>
    <cellStyle name="Normal 2 2 11 6" xfId="4353"/>
    <cellStyle name="Normal 2 2 11 6 2" xfId="4354"/>
    <cellStyle name="Normal 2 2 11 6 2 2" xfId="35243"/>
    <cellStyle name="Normal 2 2 11 6 3" xfId="4355"/>
    <cellStyle name="Normal 2 2 11 6 3 2" xfId="35244"/>
    <cellStyle name="Normal 2 2 11 6 4" xfId="4356"/>
    <cellStyle name="Normal 2 2 11 6 4 2" xfId="35245"/>
    <cellStyle name="Normal 2 2 11 6 5" xfId="17096"/>
    <cellStyle name="Normal 2 2 11 6 5 2" xfId="35246"/>
    <cellStyle name="Normal 2 2 11 6_01-04-2012" xfId="4357"/>
    <cellStyle name="Normal 2 2 11 7" xfId="4358"/>
    <cellStyle name="Normal 2 2 11 7 2" xfId="4359"/>
    <cellStyle name="Normal 2 2 11 7 2 2" xfId="35247"/>
    <cellStyle name="Normal 2 2 11 7 3" xfId="4360"/>
    <cellStyle name="Normal 2 2 11 7 3 2" xfId="35248"/>
    <cellStyle name="Normal 2 2 11 7 4" xfId="4361"/>
    <cellStyle name="Normal 2 2 11 7 4 2" xfId="35249"/>
    <cellStyle name="Normal 2 2 11 7 5" xfId="17097"/>
    <cellStyle name="Normal 2 2 11 7 5 2" xfId="35250"/>
    <cellStyle name="Normal 2 2 11 7_01-04-2012" xfId="4362"/>
    <cellStyle name="Normal 2 2 11 8" xfId="4363"/>
    <cellStyle name="Normal 2 2 11 8 2" xfId="4364"/>
    <cellStyle name="Normal 2 2 11 8 2 2" xfId="35251"/>
    <cellStyle name="Normal 2 2 11 8 3" xfId="4365"/>
    <cellStyle name="Normal 2 2 11 8 3 2" xfId="35252"/>
    <cellStyle name="Normal 2 2 11 8 4" xfId="4366"/>
    <cellStyle name="Normal 2 2 11 8 4 2" xfId="35253"/>
    <cellStyle name="Normal 2 2 11 8 5" xfId="17098"/>
    <cellStyle name="Normal 2 2 11 8 5 2" xfId="35254"/>
    <cellStyle name="Normal 2 2 11 8_01-04-2012" xfId="4367"/>
    <cellStyle name="Normal 2 2 11 9" xfId="4368"/>
    <cellStyle name="Normal 2 2 11 9 2" xfId="4369"/>
    <cellStyle name="Normal 2 2 11 9 2 2" xfId="35255"/>
    <cellStyle name="Normal 2 2 11 9 3" xfId="4370"/>
    <cellStyle name="Normal 2 2 11 9 3 2" xfId="35256"/>
    <cellStyle name="Normal 2 2 11 9 4" xfId="4371"/>
    <cellStyle name="Normal 2 2 11 9 4 2" xfId="35257"/>
    <cellStyle name="Normal 2 2 11 9 5" xfId="35258"/>
    <cellStyle name="Normal 2 2 11 9_01-04-2012" xfId="4372"/>
    <cellStyle name="Normal 2 2 11_01-04-2012" xfId="4373"/>
    <cellStyle name="Normal 2 2 12" xfId="4374"/>
    <cellStyle name="Normal 2 2 12 10" xfId="4375"/>
    <cellStyle name="Normal 2 2 12 11" xfId="4376"/>
    <cellStyle name="Normal 2 2 12 12" xfId="4377"/>
    <cellStyle name="Normal 2 2 12 13" xfId="4378"/>
    <cellStyle name="Normal 2 2 12 14" xfId="4379"/>
    <cellStyle name="Normal 2 2 12 14 2" xfId="35259"/>
    <cellStyle name="Normal 2 2 12 15" xfId="4380"/>
    <cellStyle name="Normal 2 2 12 15 2" xfId="35260"/>
    <cellStyle name="Normal 2 2 12 16" xfId="4381"/>
    <cellStyle name="Normal 2 2 12 16 2" xfId="35261"/>
    <cellStyle name="Normal 2 2 12 17" xfId="4382"/>
    <cellStyle name="Normal 2 2 12 17 2" xfId="35262"/>
    <cellStyle name="Normal 2 2 12 18" xfId="17099"/>
    <cellStyle name="Normal 2 2 12 18 2" xfId="35263"/>
    <cellStyle name="Normal 2 2 12 2" xfId="4383"/>
    <cellStyle name="Normal 2 2 12 2 2" xfId="4384"/>
    <cellStyle name="Normal 2 2 12 2 2 2" xfId="4385"/>
    <cellStyle name="Normal 2 2 12 2 2 2 2" xfId="35264"/>
    <cellStyle name="Normal 2 2 12 2 2 3" xfId="4386"/>
    <cellStyle name="Normal 2 2 12 2 2 3 2" xfId="35265"/>
    <cellStyle name="Normal 2 2 12 2 2 4" xfId="4387"/>
    <cellStyle name="Normal 2 2 12 2 2 4 2" xfId="35266"/>
    <cellStyle name="Normal 2 2 12 2 2 5" xfId="17100"/>
    <cellStyle name="Normal 2 2 12 2 2 5 2" xfId="35267"/>
    <cellStyle name="Normal 2 2 12 2 2_01-04-2012" xfId="4388"/>
    <cellStyle name="Normal 2 2 12 2 3" xfId="4389"/>
    <cellStyle name="Normal 2 2 12 2 3 2" xfId="4390"/>
    <cellStyle name="Normal 2 2 12 2 3 2 2" xfId="35268"/>
    <cellStyle name="Normal 2 2 12 2 3 3" xfId="4391"/>
    <cellStyle name="Normal 2 2 12 2 3 3 2" xfId="35269"/>
    <cellStyle name="Normal 2 2 12 2 3 4" xfId="4392"/>
    <cellStyle name="Normal 2 2 12 2 3 4 2" xfId="35270"/>
    <cellStyle name="Normal 2 2 12 2 3 5" xfId="17101"/>
    <cellStyle name="Normal 2 2 12 2 3 5 2" xfId="35271"/>
    <cellStyle name="Normal 2 2 12 2 3_01-04-2012" xfId="4393"/>
    <cellStyle name="Normal 2 2 12 2 4" xfId="4394"/>
    <cellStyle name="Normal 2 2 12 2 4 2" xfId="4395"/>
    <cellStyle name="Normal 2 2 12 2 4 2 2" xfId="35272"/>
    <cellStyle name="Normal 2 2 12 2 4 3" xfId="4396"/>
    <cellStyle name="Normal 2 2 12 2 4 3 2" xfId="35273"/>
    <cellStyle name="Normal 2 2 12 2 4 4" xfId="4397"/>
    <cellStyle name="Normal 2 2 12 2 4 4 2" xfId="35274"/>
    <cellStyle name="Normal 2 2 12 2 4 5" xfId="17102"/>
    <cellStyle name="Normal 2 2 12 2 4 5 2" xfId="35275"/>
    <cellStyle name="Normal 2 2 12 2 4_01-04-2012" xfId="4398"/>
    <cellStyle name="Normal 2 2 12 2 5" xfId="4399"/>
    <cellStyle name="Normal 2 2 12 2 5 2" xfId="17103"/>
    <cellStyle name="Normal 2 2 12 2 5 2 2" xfId="35276"/>
    <cellStyle name="Normal 2 2 12 2 6" xfId="4400"/>
    <cellStyle name="Normal 2 2 12 2 6 2" xfId="17104"/>
    <cellStyle name="Normal 2 2 12 2 6 2 2" xfId="35277"/>
    <cellStyle name="Normal 2 2 12 2 7" xfId="4401"/>
    <cellStyle name="Normal 2 2 12 2 7 2" xfId="17105"/>
    <cellStyle name="Normal 2 2 12 2 7 2 2" xfId="35278"/>
    <cellStyle name="Normal 2 2 12 2 8" xfId="17106"/>
    <cellStyle name="Normal 2 2 12 2 8 2" xfId="35279"/>
    <cellStyle name="Normal 2 2 12 2_01-04-2012" xfId="4402"/>
    <cellStyle name="Normal 2 2 12 3" xfId="4403"/>
    <cellStyle name="Normal 2 2 12 3 10" xfId="17107"/>
    <cellStyle name="Normal 2 2 12 3 2" xfId="4404"/>
    <cellStyle name="Normal 2 2 12 3 2 2" xfId="4405"/>
    <cellStyle name="Normal 2 2 12 3 2 2 2" xfId="35280"/>
    <cellStyle name="Normal 2 2 12 3 2 3" xfId="4406"/>
    <cellStyle name="Normal 2 2 12 3 2 3 2" xfId="35281"/>
    <cellStyle name="Normal 2 2 12 3 2 4" xfId="4407"/>
    <cellStyle name="Normal 2 2 12 3 2 4 2" xfId="35282"/>
    <cellStyle name="Normal 2 2 12 3 2 5" xfId="35283"/>
    <cellStyle name="Normal 2 2 12 3 2_01-04-2012" xfId="4408"/>
    <cellStyle name="Normal 2 2 12 3 3" xfId="4409"/>
    <cellStyle name="Normal 2 2 12 3 3 2" xfId="4410"/>
    <cellStyle name="Normal 2 2 12 3 3 2 2" xfId="35284"/>
    <cellStyle name="Normal 2 2 12 3 3 3" xfId="4411"/>
    <cellStyle name="Normal 2 2 12 3 3 3 2" xfId="35285"/>
    <cellStyle name="Normal 2 2 12 3 3 4" xfId="4412"/>
    <cellStyle name="Normal 2 2 12 3 3 4 2" xfId="35286"/>
    <cellStyle name="Normal 2 2 12 3 3 5" xfId="35287"/>
    <cellStyle name="Normal 2 2 12 3 3_01-04-2012" xfId="4413"/>
    <cellStyle name="Normal 2 2 12 3 4" xfId="4414"/>
    <cellStyle name="Normal 2 2 12 3 4 2" xfId="4415"/>
    <cellStyle name="Normal 2 2 12 3 4 2 2" xfId="35288"/>
    <cellStyle name="Normal 2 2 12 3 4 3" xfId="4416"/>
    <cellStyle name="Normal 2 2 12 3 4 3 2" xfId="35289"/>
    <cellStyle name="Normal 2 2 12 3 4 4" xfId="4417"/>
    <cellStyle name="Normal 2 2 12 3 4 4 2" xfId="35290"/>
    <cellStyle name="Normal 2 2 12 3 4 5" xfId="35291"/>
    <cellStyle name="Normal 2 2 12 3 4_01-04-2012" xfId="4418"/>
    <cellStyle name="Normal 2 2 12 3 5" xfId="4419"/>
    <cellStyle name="Normal 2 2 12 3 5 2" xfId="35292"/>
    <cellStyle name="Normal 2 2 12 3 6" xfId="4420"/>
    <cellStyle name="Normal 2 2 12 3 6 2" xfId="35293"/>
    <cellStyle name="Normal 2 2 12 3 7" xfId="4421"/>
    <cellStyle name="Normal 2 2 12 3 7 2" xfId="35294"/>
    <cellStyle name="Normal 2 2 12 3 8" xfId="17108"/>
    <cellStyle name="Normal 2 2 12 3 8 2" xfId="35295"/>
    <cellStyle name="Normal 2 2 12 3 9" xfId="17109"/>
    <cellStyle name="Normal 2 2 12 3_01-04-2012" xfId="4422"/>
    <cellStyle name="Normal 2 2 12 4" xfId="4423"/>
    <cellStyle name="Normal 2 2 12 4 10" xfId="17110"/>
    <cellStyle name="Normal 2 2 12 4 2" xfId="4424"/>
    <cellStyle name="Normal 2 2 12 4 2 2" xfId="4425"/>
    <cellStyle name="Normal 2 2 12 4 2 2 2" xfId="35296"/>
    <cellStyle name="Normal 2 2 12 4 2 3" xfId="4426"/>
    <cellStyle name="Normal 2 2 12 4 2 3 2" xfId="35297"/>
    <cellStyle name="Normal 2 2 12 4 2 4" xfId="4427"/>
    <cellStyle name="Normal 2 2 12 4 2 4 2" xfId="35298"/>
    <cellStyle name="Normal 2 2 12 4 2 5" xfId="35299"/>
    <cellStyle name="Normal 2 2 12 4 2_01-04-2012" xfId="4428"/>
    <cellStyle name="Normal 2 2 12 4 3" xfId="4429"/>
    <cellStyle name="Normal 2 2 12 4 3 2" xfId="4430"/>
    <cellStyle name="Normal 2 2 12 4 3 2 2" xfId="35300"/>
    <cellStyle name="Normal 2 2 12 4 3 3" xfId="4431"/>
    <cellStyle name="Normal 2 2 12 4 3 3 2" xfId="35301"/>
    <cellStyle name="Normal 2 2 12 4 3 4" xfId="4432"/>
    <cellStyle name="Normal 2 2 12 4 3 4 2" xfId="35302"/>
    <cellStyle name="Normal 2 2 12 4 3 5" xfId="35303"/>
    <cellStyle name="Normal 2 2 12 4 3_01-04-2012" xfId="4433"/>
    <cellStyle name="Normal 2 2 12 4 4" xfId="4434"/>
    <cellStyle name="Normal 2 2 12 4 4 2" xfId="4435"/>
    <cellStyle name="Normal 2 2 12 4 4 2 2" xfId="35304"/>
    <cellStyle name="Normal 2 2 12 4 4 3" xfId="4436"/>
    <cellStyle name="Normal 2 2 12 4 4 3 2" xfId="35305"/>
    <cellStyle name="Normal 2 2 12 4 4 4" xfId="4437"/>
    <cellStyle name="Normal 2 2 12 4 4 4 2" xfId="35306"/>
    <cellStyle name="Normal 2 2 12 4 4 5" xfId="35307"/>
    <cellStyle name="Normal 2 2 12 4 4_01-04-2012" xfId="4438"/>
    <cellStyle name="Normal 2 2 12 4 5" xfId="4439"/>
    <cellStyle name="Normal 2 2 12 4 5 2" xfId="35308"/>
    <cellStyle name="Normal 2 2 12 4 6" xfId="4440"/>
    <cellStyle name="Normal 2 2 12 4 6 2" xfId="35309"/>
    <cellStyle name="Normal 2 2 12 4 7" xfId="4441"/>
    <cellStyle name="Normal 2 2 12 4 7 2" xfId="35310"/>
    <cellStyle name="Normal 2 2 12 4 8" xfId="17111"/>
    <cellStyle name="Normal 2 2 12 4 8 2" xfId="35311"/>
    <cellStyle name="Normal 2 2 12 4 9" xfId="17112"/>
    <cellStyle name="Normal 2 2 12 4_01-04-2012" xfId="4442"/>
    <cellStyle name="Normal 2 2 12 5" xfId="4443"/>
    <cellStyle name="Normal 2 2 12 5 2" xfId="4444"/>
    <cellStyle name="Normal 2 2 12 5 2 2" xfId="35312"/>
    <cellStyle name="Normal 2 2 12 5 3" xfId="4445"/>
    <cellStyle name="Normal 2 2 12 5 3 2" xfId="35313"/>
    <cellStyle name="Normal 2 2 12 5 4" xfId="4446"/>
    <cellStyle name="Normal 2 2 12 5 4 2" xfId="35314"/>
    <cellStyle name="Normal 2 2 12 5 5" xfId="17113"/>
    <cellStyle name="Normal 2 2 12 5 5 2" xfId="35315"/>
    <cellStyle name="Normal 2 2 12 5_01-04-2012" xfId="4447"/>
    <cellStyle name="Normal 2 2 12 6" xfId="4448"/>
    <cellStyle name="Normal 2 2 12 6 2" xfId="4449"/>
    <cellStyle name="Normal 2 2 12 6 2 2" xfId="35316"/>
    <cellStyle name="Normal 2 2 12 6 3" xfId="4450"/>
    <cellStyle name="Normal 2 2 12 6 3 2" xfId="35317"/>
    <cellStyle name="Normal 2 2 12 6 4" xfId="4451"/>
    <cellStyle name="Normal 2 2 12 6 4 2" xfId="35318"/>
    <cellStyle name="Normal 2 2 12 6 5" xfId="17114"/>
    <cellStyle name="Normal 2 2 12 6 5 2" xfId="35319"/>
    <cellStyle name="Normal 2 2 12 6_01-04-2012" xfId="4452"/>
    <cellStyle name="Normal 2 2 12 7" xfId="4453"/>
    <cellStyle name="Normal 2 2 12 7 2" xfId="4454"/>
    <cellStyle name="Normal 2 2 12 7 2 2" xfId="35320"/>
    <cellStyle name="Normal 2 2 12 7 3" xfId="4455"/>
    <cellStyle name="Normal 2 2 12 7 3 2" xfId="35321"/>
    <cellStyle name="Normal 2 2 12 7 4" xfId="4456"/>
    <cellStyle name="Normal 2 2 12 7 4 2" xfId="35322"/>
    <cellStyle name="Normal 2 2 12 7 5" xfId="17115"/>
    <cellStyle name="Normal 2 2 12 7 5 2" xfId="35323"/>
    <cellStyle name="Normal 2 2 12 7_01-04-2012" xfId="4457"/>
    <cellStyle name="Normal 2 2 12 8" xfId="4458"/>
    <cellStyle name="Normal 2 2 12 8 2" xfId="4459"/>
    <cellStyle name="Normal 2 2 12 8 2 2" xfId="35324"/>
    <cellStyle name="Normal 2 2 12 8 3" xfId="4460"/>
    <cellStyle name="Normal 2 2 12 8 3 2" xfId="35325"/>
    <cellStyle name="Normal 2 2 12 8 4" xfId="4461"/>
    <cellStyle name="Normal 2 2 12 8 4 2" xfId="35326"/>
    <cellStyle name="Normal 2 2 12 8 5" xfId="17116"/>
    <cellStyle name="Normal 2 2 12 8 5 2" xfId="35327"/>
    <cellStyle name="Normal 2 2 12 8_01-04-2012" xfId="4462"/>
    <cellStyle name="Normal 2 2 12 9" xfId="4463"/>
    <cellStyle name="Normal 2 2 12 9 2" xfId="4464"/>
    <cellStyle name="Normal 2 2 12 9 2 2" xfId="35328"/>
    <cellStyle name="Normal 2 2 12 9 3" xfId="4465"/>
    <cellStyle name="Normal 2 2 12 9 3 2" xfId="35329"/>
    <cellStyle name="Normal 2 2 12 9 4" xfId="4466"/>
    <cellStyle name="Normal 2 2 12 9 4 2" xfId="35330"/>
    <cellStyle name="Normal 2 2 12 9 5" xfId="35331"/>
    <cellStyle name="Normal 2 2 12 9_01-04-2012" xfId="4467"/>
    <cellStyle name="Normal 2 2 12_01-04-2012" xfId="4468"/>
    <cellStyle name="Normal 2 2 13" xfId="4469"/>
    <cellStyle name="Normal 2 2 13 10" xfId="4470"/>
    <cellStyle name="Normal 2 2 13 10 2" xfId="35332"/>
    <cellStyle name="Normal 2 2 13 11" xfId="4471"/>
    <cellStyle name="Normal 2 2 13 11 2" xfId="35333"/>
    <cellStyle name="Normal 2 2 13 12" xfId="17117"/>
    <cellStyle name="Normal 2 2 13 12 2" xfId="35334"/>
    <cellStyle name="Normal 2 2 13 2" xfId="4472"/>
    <cellStyle name="Normal 2 2 13 2 2" xfId="4473"/>
    <cellStyle name="Normal 2 2 13 2 2 2" xfId="17118"/>
    <cellStyle name="Normal 2 2 13 2 2 2 2" xfId="35335"/>
    <cellStyle name="Normal 2 2 13 2 3" xfId="4474"/>
    <cellStyle name="Normal 2 2 13 2 3 2" xfId="17119"/>
    <cellStyle name="Normal 2 2 13 2 3 2 2" xfId="35336"/>
    <cellStyle name="Normal 2 2 13 2 4" xfId="4475"/>
    <cellStyle name="Normal 2 2 13 2 4 2" xfId="17120"/>
    <cellStyle name="Normal 2 2 13 2 4 2 2" xfId="35337"/>
    <cellStyle name="Normal 2 2 13 2 5" xfId="17121"/>
    <cellStyle name="Normal 2 2 13 2 5 2" xfId="35338"/>
    <cellStyle name="Normal 2 2 13 2 6" xfId="17122"/>
    <cellStyle name="Normal 2 2 13 2 7" xfId="17123"/>
    <cellStyle name="Normal 2 2 13 2 8" xfId="17124"/>
    <cellStyle name="Normal 2 2 13 2_01-04-2012" xfId="4476"/>
    <cellStyle name="Normal 2 2 13 3" xfId="4477"/>
    <cellStyle name="Normal 2 2 13 3 2" xfId="4478"/>
    <cellStyle name="Normal 2 2 13 3 2 2" xfId="35339"/>
    <cellStyle name="Normal 2 2 13 3 3" xfId="4479"/>
    <cellStyle name="Normal 2 2 13 3 3 2" xfId="35340"/>
    <cellStyle name="Normal 2 2 13 3 4" xfId="4480"/>
    <cellStyle name="Normal 2 2 13 3 4 2" xfId="35341"/>
    <cellStyle name="Normal 2 2 13 3 5" xfId="17125"/>
    <cellStyle name="Normal 2 2 13 3 5 2" xfId="35342"/>
    <cellStyle name="Normal 2 2 13 3_01-04-2012" xfId="4481"/>
    <cellStyle name="Normal 2 2 13 4" xfId="4482"/>
    <cellStyle name="Normal 2 2 13 4 2" xfId="4483"/>
    <cellStyle name="Normal 2 2 13 4 2 2" xfId="35343"/>
    <cellStyle name="Normal 2 2 13 4 3" xfId="4484"/>
    <cellStyle name="Normal 2 2 13 4 3 2" xfId="35344"/>
    <cellStyle name="Normal 2 2 13 4 4" xfId="4485"/>
    <cellStyle name="Normal 2 2 13 4 4 2" xfId="35345"/>
    <cellStyle name="Normal 2 2 13 4 5" xfId="17126"/>
    <cellStyle name="Normal 2 2 13 4 5 2" xfId="35346"/>
    <cellStyle name="Normal 2 2 13 4_01-04-2012" xfId="4486"/>
    <cellStyle name="Normal 2 2 13 5" xfId="4487"/>
    <cellStyle name="Normal 2 2 13 5 2" xfId="17127"/>
    <cellStyle name="Normal 2 2 13 6" xfId="4488"/>
    <cellStyle name="Normal 2 2 13 6 2" xfId="17128"/>
    <cellStyle name="Normal 2 2 13 7" xfId="4489"/>
    <cellStyle name="Normal 2 2 13 7 2" xfId="17129"/>
    <cellStyle name="Normal 2 2 13 8" xfId="4490"/>
    <cellStyle name="Normal 2 2 13 8 2" xfId="17130"/>
    <cellStyle name="Normal 2 2 13 9" xfId="4491"/>
    <cellStyle name="Normal 2 2 13 9 2" xfId="35347"/>
    <cellStyle name="Normal 2 2 13_01-04-2012" xfId="4492"/>
    <cellStyle name="Normal 2 2 14" xfId="4493"/>
    <cellStyle name="Normal 2 2 14 10" xfId="4494"/>
    <cellStyle name="Normal 2 2 14 10 2" xfId="35348"/>
    <cellStyle name="Normal 2 2 14 11" xfId="4495"/>
    <cellStyle name="Normal 2 2 14 11 2" xfId="35349"/>
    <cellStyle name="Normal 2 2 14 12" xfId="17131"/>
    <cellStyle name="Normal 2 2 14 12 2" xfId="35350"/>
    <cellStyle name="Normal 2 2 14 2" xfId="4496"/>
    <cellStyle name="Normal 2 2 14 2 2" xfId="4497"/>
    <cellStyle name="Normal 2 2 14 2 2 2" xfId="17132"/>
    <cellStyle name="Normal 2 2 14 2 2 2 2" xfId="35351"/>
    <cellStyle name="Normal 2 2 14 2 3" xfId="4498"/>
    <cellStyle name="Normal 2 2 14 2 3 2" xfId="17133"/>
    <cellStyle name="Normal 2 2 14 2 3 2 2" xfId="35352"/>
    <cellStyle name="Normal 2 2 14 2 4" xfId="4499"/>
    <cellStyle name="Normal 2 2 14 2 4 2" xfId="17134"/>
    <cellStyle name="Normal 2 2 14 2 4 2 2" xfId="35353"/>
    <cellStyle name="Normal 2 2 14 2 5" xfId="17135"/>
    <cellStyle name="Normal 2 2 14 2 5 2" xfId="35354"/>
    <cellStyle name="Normal 2 2 14 2 6" xfId="17136"/>
    <cellStyle name="Normal 2 2 14 2 7" xfId="17137"/>
    <cellStyle name="Normal 2 2 14 2 8" xfId="17138"/>
    <cellStyle name="Normal 2 2 14 2_01-04-2012" xfId="4500"/>
    <cellStyle name="Normal 2 2 14 3" xfId="4501"/>
    <cellStyle name="Normal 2 2 14 3 2" xfId="4502"/>
    <cellStyle name="Normal 2 2 14 3 2 2" xfId="35355"/>
    <cellStyle name="Normal 2 2 14 3 3" xfId="4503"/>
    <cellStyle name="Normal 2 2 14 3 3 2" xfId="35356"/>
    <cellStyle name="Normal 2 2 14 3 4" xfId="4504"/>
    <cellStyle name="Normal 2 2 14 3 4 2" xfId="35357"/>
    <cellStyle name="Normal 2 2 14 3 5" xfId="17139"/>
    <cellStyle name="Normal 2 2 14 3 5 2" xfId="35358"/>
    <cellStyle name="Normal 2 2 14 3_01-04-2012" xfId="4505"/>
    <cellStyle name="Normal 2 2 14 4" xfId="4506"/>
    <cellStyle name="Normal 2 2 14 4 2" xfId="4507"/>
    <cellStyle name="Normal 2 2 14 4 2 2" xfId="35359"/>
    <cellStyle name="Normal 2 2 14 4 3" xfId="4508"/>
    <cellStyle name="Normal 2 2 14 4 3 2" xfId="35360"/>
    <cellStyle name="Normal 2 2 14 4 4" xfId="4509"/>
    <cellStyle name="Normal 2 2 14 4 4 2" xfId="35361"/>
    <cellStyle name="Normal 2 2 14 4 5" xfId="17140"/>
    <cellStyle name="Normal 2 2 14 4 5 2" xfId="35362"/>
    <cellStyle name="Normal 2 2 14 4_01-04-2012" xfId="4510"/>
    <cellStyle name="Normal 2 2 14 5" xfId="4511"/>
    <cellStyle name="Normal 2 2 14 5 2" xfId="4512"/>
    <cellStyle name="Normal 2 2 14 5 2 2" xfId="35363"/>
    <cellStyle name="Normal 2 2 14 5 3" xfId="4513"/>
    <cellStyle name="Normal 2 2 14 5 3 2" xfId="35364"/>
    <cellStyle name="Normal 2 2 14 5 4" xfId="4514"/>
    <cellStyle name="Normal 2 2 14 5 4 2" xfId="35365"/>
    <cellStyle name="Normal 2 2 14 5 5" xfId="17141"/>
    <cellStyle name="Normal 2 2 14 5 5 2" xfId="35366"/>
    <cellStyle name="Normal 2 2 14 5_01-04-2012" xfId="4515"/>
    <cellStyle name="Normal 2 2 14 6" xfId="4516"/>
    <cellStyle name="Normal 2 2 14 6 2" xfId="4517"/>
    <cellStyle name="Normal 2 2 14 6 2 2" xfId="35367"/>
    <cellStyle name="Normal 2 2 14 6 3" xfId="4518"/>
    <cellStyle name="Normal 2 2 14 6 3 2" xfId="35368"/>
    <cellStyle name="Normal 2 2 14 6 4" xfId="4519"/>
    <cellStyle name="Normal 2 2 14 6 4 2" xfId="35369"/>
    <cellStyle name="Normal 2 2 14 6 5" xfId="17142"/>
    <cellStyle name="Normal 2 2 14 6 5 2" xfId="35370"/>
    <cellStyle name="Normal 2 2 14 6_01-04-2012" xfId="4520"/>
    <cellStyle name="Normal 2 2 14 7" xfId="4521"/>
    <cellStyle name="Normal 2 2 14 7 2" xfId="4522"/>
    <cellStyle name="Normal 2 2 14 7 2 2" xfId="35371"/>
    <cellStyle name="Normal 2 2 14 7 3" xfId="4523"/>
    <cellStyle name="Normal 2 2 14 7 3 2" xfId="35372"/>
    <cellStyle name="Normal 2 2 14 7 4" xfId="4524"/>
    <cellStyle name="Normal 2 2 14 7 4 2" xfId="35373"/>
    <cellStyle name="Normal 2 2 14 7 5" xfId="17143"/>
    <cellStyle name="Normal 2 2 14 7 5 2" xfId="35374"/>
    <cellStyle name="Normal 2 2 14 7_01-04-2012" xfId="4525"/>
    <cellStyle name="Normal 2 2 14 8" xfId="4526"/>
    <cellStyle name="Normal 2 2 14 8 2" xfId="4527"/>
    <cellStyle name="Normal 2 2 14 8 2 2" xfId="35375"/>
    <cellStyle name="Normal 2 2 14 8 3" xfId="4528"/>
    <cellStyle name="Normal 2 2 14 8 3 2" xfId="35376"/>
    <cellStyle name="Normal 2 2 14 8 4" xfId="4529"/>
    <cellStyle name="Normal 2 2 14 8 4 2" xfId="35377"/>
    <cellStyle name="Normal 2 2 14 8 5" xfId="17144"/>
    <cellStyle name="Normal 2 2 14 8 5 2" xfId="35378"/>
    <cellStyle name="Normal 2 2 14 8_01-04-2012" xfId="4530"/>
    <cellStyle name="Normal 2 2 14 9" xfId="4531"/>
    <cellStyle name="Normal 2 2 14 9 2" xfId="35379"/>
    <cellStyle name="Normal 2 2 14_01-04-2012" xfId="4532"/>
    <cellStyle name="Normal 2 2 15" xfId="4533"/>
    <cellStyle name="Normal 2 2 15 2" xfId="4534"/>
    <cellStyle name="Normal 2 2 15 2 2" xfId="4535"/>
    <cellStyle name="Normal 2 2 15 2 2 2" xfId="17145"/>
    <cellStyle name="Normal 2 2 15 2 2 2 2" xfId="35380"/>
    <cellStyle name="Normal 2 2 15 2 3" xfId="4536"/>
    <cellStyle name="Normal 2 2 15 2 3 2" xfId="17146"/>
    <cellStyle name="Normal 2 2 15 2 3 2 2" xfId="35381"/>
    <cellStyle name="Normal 2 2 15 2 4" xfId="4537"/>
    <cellStyle name="Normal 2 2 15 2 4 2" xfId="17147"/>
    <cellStyle name="Normal 2 2 15 2 4 2 2" xfId="35382"/>
    <cellStyle name="Normal 2 2 15 2 5" xfId="17148"/>
    <cellStyle name="Normal 2 2 15 2 5 2" xfId="35383"/>
    <cellStyle name="Normal 2 2 15 2 6" xfId="17149"/>
    <cellStyle name="Normal 2 2 15 2 7" xfId="17150"/>
    <cellStyle name="Normal 2 2 15 2 8" xfId="17151"/>
    <cellStyle name="Normal 2 2 15 2_01-04-2012" xfId="4538"/>
    <cellStyle name="Normal 2 2 15 3" xfId="4539"/>
    <cellStyle name="Normal 2 2 15 3 2" xfId="4540"/>
    <cellStyle name="Normal 2 2 15 3 2 2" xfId="35384"/>
    <cellStyle name="Normal 2 2 15 3 3" xfId="4541"/>
    <cellStyle name="Normal 2 2 15 3 3 2" xfId="35385"/>
    <cellStyle name="Normal 2 2 15 3 4" xfId="4542"/>
    <cellStyle name="Normal 2 2 15 3 4 2" xfId="35386"/>
    <cellStyle name="Normal 2 2 15 3 5" xfId="17152"/>
    <cellStyle name="Normal 2 2 15 3 5 2" xfId="35387"/>
    <cellStyle name="Normal 2 2 15 3_01-04-2012" xfId="4543"/>
    <cellStyle name="Normal 2 2 15 4" xfId="4544"/>
    <cellStyle name="Normal 2 2 15 4 2" xfId="4545"/>
    <cellStyle name="Normal 2 2 15 4 2 2" xfId="35388"/>
    <cellStyle name="Normal 2 2 15 4 3" xfId="4546"/>
    <cellStyle name="Normal 2 2 15 4 3 2" xfId="35389"/>
    <cellStyle name="Normal 2 2 15 4 4" xfId="4547"/>
    <cellStyle name="Normal 2 2 15 4 4 2" xfId="35390"/>
    <cellStyle name="Normal 2 2 15 4 5" xfId="17153"/>
    <cellStyle name="Normal 2 2 15 4 5 2" xfId="35391"/>
    <cellStyle name="Normal 2 2 15 4_01-04-2012" xfId="4548"/>
    <cellStyle name="Normal 2 2 15 5" xfId="4549"/>
    <cellStyle name="Normal 2 2 15 5 2" xfId="17154"/>
    <cellStyle name="Normal 2 2 15 5 2 2" xfId="35392"/>
    <cellStyle name="Normal 2 2 15 6" xfId="4550"/>
    <cellStyle name="Normal 2 2 15 6 2" xfId="17155"/>
    <cellStyle name="Normal 2 2 15 6 2 2" xfId="35393"/>
    <cellStyle name="Normal 2 2 15 7" xfId="4551"/>
    <cellStyle name="Normal 2 2 15 7 2" xfId="17156"/>
    <cellStyle name="Normal 2 2 15 7 2 2" xfId="35394"/>
    <cellStyle name="Normal 2 2 15 8" xfId="17157"/>
    <cellStyle name="Normal 2 2 15 8 2" xfId="35395"/>
    <cellStyle name="Normal 2 2 15 9" xfId="17158"/>
    <cellStyle name="Normal 2 2 15_01-04-2012" xfId="4552"/>
    <cellStyle name="Normal 2 2 16" xfId="4553"/>
    <cellStyle name="Normal 2 2 16 2" xfId="4554"/>
    <cellStyle name="Normal 2 2 16 2 2" xfId="17159"/>
    <cellStyle name="Normal 2 2 16 2 2 2" xfId="35396"/>
    <cellStyle name="Normal 2 2 16 2 3" xfId="17160"/>
    <cellStyle name="Normal 2 2 16 2 4" xfId="17161"/>
    <cellStyle name="Normal 2 2 16 2 5" xfId="17162"/>
    <cellStyle name="Normal 2 2 16 2 6" xfId="17163"/>
    <cellStyle name="Normal 2 2 16 2 7" xfId="17164"/>
    <cellStyle name="Normal 2 2 16 2 8" xfId="17165"/>
    <cellStyle name="Normal 2 2 16 3" xfId="4555"/>
    <cellStyle name="Normal 2 2 16 3 2" xfId="17166"/>
    <cellStyle name="Normal 2 2 16 3 2 2" xfId="35397"/>
    <cellStyle name="Normal 2 2 16 4" xfId="4556"/>
    <cellStyle name="Normal 2 2 16 4 2" xfId="17167"/>
    <cellStyle name="Normal 2 2 16 4 2 2" xfId="35398"/>
    <cellStyle name="Normal 2 2 16 5" xfId="17168"/>
    <cellStyle name="Normal 2 2 16 5 2" xfId="35399"/>
    <cellStyle name="Normal 2 2 16 6" xfId="17169"/>
    <cellStyle name="Normal 2 2 16 7" xfId="17170"/>
    <cellStyle name="Normal 2 2 16 8" xfId="17171"/>
    <cellStyle name="Normal 2 2 16 9" xfId="17172"/>
    <cellStyle name="Normal 2 2 16_01-04-2012" xfId="4557"/>
    <cellStyle name="Normal 2 2 17" xfId="4558"/>
    <cellStyle name="Normal 2 2 17 2" xfId="4559"/>
    <cellStyle name="Normal 2 2 17 2 2" xfId="17173"/>
    <cellStyle name="Normal 2 2 17 2 2 2" xfId="35400"/>
    <cellStyle name="Normal 2 2 17 2 3" xfId="17174"/>
    <cellStyle name="Normal 2 2 17 2 4" xfId="17175"/>
    <cellStyle name="Normal 2 2 17 2 5" xfId="17176"/>
    <cellStyle name="Normal 2 2 17 2 6" xfId="17177"/>
    <cellStyle name="Normal 2 2 17 2 7" xfId="17178"/>
    <cellStyle name="Normal 2 2 17 2 8" xfId="17179"/>
    <cellStyle name="Normal 2 2 17 3" xfId="4560"/>
    <cellStyle name="Normal 2 2 17 3 2" xfId="17180"/>
    <cellStyle name="Normal 2 2 17 3 2 2" xfId="35401"/>
    <cellStyle name="Normal 2 2 17 4" xfId="4561"/>
    <cellStyle name="Normal 2 2 17 4 2" xfId="17181"/>
    <cellStyle name="Normal 2 2 17 4 2 2" xfId="35402"/>
    <cellStyle name="Normal 2 2 17 5" xfId="17182"/>
    <cellStyle name="Normal 2 2 17 5 2" xfId="35403"/>
    <cellStyle name="Normal 2 2 17 6" xfId="17183"/>
    <cellStyle name="Normal 2 2 17 7" xfId="17184"/>
    <cellStyle name="Normal 2 2 17 8" xfId="17185"/>
    <cellStyle name="Normal 2 2 17 9" xfId="17186"/>
    <cellStyle name="Normal 2 2 17_01-04-2012" xfId="4562"/>
    <cellStyle name="Normal 2 2 18" xfId="4563"/>
    <cellStyle name="Normal 2 2 18 2" xfId="4564"/>
    <cellStyle name="Normal 2 2 18 2 2" xfId="17187"/>
    <cellStyle name="Normal 2 2 18 2 2 2" xfId="35404"/>
    <cellStyle name="Normal 2 2 18 3" xfId="4565"/>
    <cellStyle name="Normal 2 2 18 3 2" xfId="17188"/>
    <cellStyle name="Normal 2 2 18 3 2 2" xfId="35405"/>
    <cellStyle name="Normal 2 2 18 4" xfId="4566"/>
    <cellStyle name="Normal 2 2 18 4 2" xfId="17189"/>
    <cellStyle name="Normal 2 2 18 4 2 2" xfId="35406"/>
    <cellStyle name="Normal 2 2 18 5" xfId="17190"/>
    <cellStyle name="Normal 2 2 18 5 2" xfId="35407"/>
    <cellStyle name="Normal 2 2 18 6" xfId="17191"/>
    <cellStyle name="Normal 2 2 18 7" xfId="17192"/>
    <cellStyle name="Normal 2 2 18 8" xfId="17193"/>
    <cellStyle name="Normal 2 2 18_01-04-2012" xfId="4567"/>
    <cellStyle name="Normal 2 2 19" xfId="4568"/>
    <cellStyle name="Normal 2 2 19 2" xfId="4569"/>
    <cellStyle name="Normal 2 2 19 2 2" xfId="17194"/>
    <cellStyle name="Normal 2 2 19 2 2 2" xfId="35408"/>
    <cellStyle name="Normal 2 2 19 3" xfId="4570"/>
    <cellStyle name="Normal 2 2 19 3 2" xfId="17195"/>
    <cellStyle name="Normal 2 2 19 3 2 2" xfId="35409"/>
    <cellStyle name="Normal 2 2 19 4" xfId="4571"/>
    <cellStyle name="Normal 2 2 19 4 2" xfId="17196"/>
    <cellStyle name="Normal 2 2 19 4 2 2" xfId="35410"/>
    <cellStyle name="Normal 2 2 19 5" xfId="17197"/>
    <cellStyle name="Normal 2 2 19 5 2" xfId="35411"/>
    <cellStyle name="Normal 2 2 19 6" xfId="17198"/>
    <cellStyle name="Normal 2 2 19 7" xfId="17199"/>
    <cellStyle name="Normal 2 2 19 8" xfId="17200"/>
    <cellStyle name="Normal 2 2 19_01-04-2012" xfId="4572"/>
    <cellStyle name="Normal 2 2 2" xfId="22"/>
    <cellStyle name="Normal 2 2 2 10" xfId="4574"/>
    <cellStyle name="Normal 2 2 2 11" xfId="4575"/>
    <cellStyle name="Normal 2 2 2 12" xfId="4576"/>
    <cellStyle name="Normal 2 2 2 13" xfId="4577"/>
    <cellStyle name="Normal 2 2 2 14" xfId="4578"/>
    <cellStyle name="Normal 2 2 2 15" xfId="4579"/>
    <cellStyle name="Normal 2 2 2 16" xfId="4580"/>
    <cellStyle name="Normal 2 2 2 17" xfId="4581"/>
    <cellStyle name="Normal 2 2 2 18" xfId="4582"/>
    <cellStyle name="Normal 2 2 2 19" xfId="4583"/>
    <cellStyle name="Normal 2 2 2 2" xfId="4584"/>
    <cellStyle name="Normal 2 2 2 2 10" xfId="17201"/>
    <cellStyle name="Normal 2 2 2 2 2" xfId="4585"/>
    <cellStyle name="Normal 2 2 2 2 2 2" xfId="4586"/>
    <cellStyle name="Normal 2 2 2 2 2 2 2" xfId="35412"/>
    <cellStyle name="Normal 2 2 2 2 2 3" xfId="4587"/>
    <cellStyle name="Normal 2 2 2 2 2 3 2" xfId="35413"/>
    <cellStyle name="Normal 2 2 2 2 2 4" xfId="4588"/>
    <cellStyle name="Normal 2 2 2 2 2 4 2" xfId="35414"/>
    <cellStyle name="Normal 2 2 2 2 2 5" xfId="35415"/>
    <cellStyle name="Normal 2 2 2 2 2_01-04-2012" xfId="4589"/>
    <cellStyle name="Normal 2 2 2 2 3" xfId="4590"/>
    <cellStyle name="Normal 2 2 2 2 3 2" xfId="4591"/>
    <cellStyle name="Normal 2 2 2 2 3 2 2" xfId="35416"/>
    <cellStyle name="Normal 2 2 2 2 3 3" xfId="4592"/>
    <cellStyle name="Normal 2 2 2 2 3 3 2" xfId="35417"/>
    <cellStyle name="Normal 2 2 2 2 3 4" xfId="4593"/>
    <cellStyle name="Normal 2 2 2 2 3 4 2" xfId="35418"/>
    <cellStyle name="Normal 2 2 2 2 3 5" xfId="35419"/>
    <cellStyle name="Normal 2 2 2 2 3_01-04-2012" xfId="4594"/>
    <cellStyle name="Normal 2 2 2 2 4" xfId="4595"/>
    <cellStyle name="Normal 2 2 2 2 4 2" xfId="4596"/>
    <cellStyle name="Normal 2 2 2 2 4 2 2" xfId="35420"/>
    <cellStyle name="Normal 2 2 2 2 4 3" xfId="4597"/>
    <cellStyle name="Normal 2 2 2 2 4 3 2" xfId="35421"/>
    <cellStyle name="Normal 2 2 2 2 4 4" xfId="4598"/>
    <cellStyle name="Normal 2 2 2 2 4 4 2" xfId="35422"/>
    <cellStyle name="Normal 2 2 2 2 4 5" xfId="35423"/>
    <cellStyle name="Normal 2 2 2 2 4_01-04-2012" xfId="4599"/>
    <cellStyle name="Normal 2 2 2 2 5" xfId="4600"/>
    <cellStyle name="Normal 2 2 2 2 5 2" xfId="35424"/>
    <cellStyle name="Normal 2 2 2 2 6" xfId="4601"/>
    <cellStyle name="Normal 2 2 2 2 6 2" xfId="35425"/>
    <cellStyle name="Normal 2 2 2 2 7" xfId="4602"/>
    <cellStyle name="Normal 2 2 2 2 7 2" xfId="35426"/>
    <cellStyle name="Normal 2 2 2 2 8" xfId="17202"/>
    <cellStyle name="Normal 2 2 2 2 8 2" xfId="35427"/>
    <cellStyle name="Normal 2 2 2 2 9" xfId="17203"/>
    <cellStyle name="Normal 2 2 2 2_01-04-2012" xfId="4603"/>
    <cellStyle name="Normal 2 2 2 20" xfId="4604"/>
    <cellStyle name="Normal 2 2 2 21" xfId="4605"/>
    <cellStyle name="Normal 2 2 2 22" xfId="4606"/>
    <cellStyle name="Normal 2 2 2 23" xfId="4607"/>
    <cellStyle name="Normal 2 2 2 24" xfId="4608"/>
    <cellStyle name="Normal 2 2 2 25" xfId="4609"/>
    <cellStyle name="Normal 2 2 2 26" xfId="4610"/>
    <cellStyle name="Normal 2 2 2 26 2" xfId="35428"/>
    <cellStyle name="Normal 2 2 2 27" xfId="4611"/>
    <cellStyle name="Normal 2 2 2 27 2" xfId="35429"/>
    <cellStyle name="Normal 2 2 2 28" xfId="4612"/>
    <cellStyle name="Normal 2 2 2 28 2" xfId="35430"/>
    <cellStyle name="Normal 2 2 2 29" xfId="4613"/>
    <cellStyle name="Normal 2 2 2 29 2" xfId="35431"/>
    <cellStyle name="Normal 2 2 2 3" xfId="4614"/>
    <cellStyle name="Normal 2 2 2 3 2" xfId="4615"/>
    <cellStyle name="Normal 2 2 2 3 2 2" xfId="4616"/>
    <cellStyle name="Normal 2 2 2 3 2 2 2" xfId="35432"/>
    <cellStyle name="Normal 2 2 2 3 2 3" xfId="4617"/>
    <cellStyle name="Normal 2 2 2 3 2 3 2" xfId="35433"/>
    <cellStyle name="Normal 2 2 2 3 2 4" xfId="4618"/>
    <cellStyle name="Normal 2 2 2 3 2 4 2" xfId="35434"/>
    <cellStyle name="Normal 2 2 2 3 2 5" xfId="35435"/>
    <cellStyle name="Normal 2 2 2 3 2_01-04-2012" xfId="4619"/>
    <cellStyle name="Normal 2 2 2 3 3" xfId="4620"/>
    <cellStyle name="Normal 2 2 2 3 3 2" xfId="4621"/>
    <cellStyle name="Normal 2 2 2 3 3 2 2" xfId="35436"/>
    <cellStyle name="Normal 2 2 2 3 3 3" xfId="4622"/>
    <cellStyle name="Normal 2 2 2 3 3 3 2" xfId="35437"/>
    <cellStyle name="Normal 2 2 2 3 3 4" xfId="4623"/>
    <cellStyle name="Normal 2 2 2 3 3 4 2" xfId="35438"/>
    <cellStyle name="Normal 2 2 2 3 3 5" xfId="35439"/>
    <cellStyle name="Normal 2 2 2 3 3_01-04-2012" xfId="4624"/>
    <cellStyle name="Normal 2 2 2 3 4" xfId="4625"/>
    <cellStyle name="Normal 2 2 2 3 4 2" xfId="4626"/>
    <cellStyle name="Normal 2 2 2 3 4 2 2" xfId="35440"/>
    <cellStyle name="Normal 2 2 2 3 4 3" xfId="4627"/>
    <cellStyle name="Normal 2 2 2 3 4 3 2" xfId="35441"/>
    <cellStyle name="Normal 2 2 2 3 4 4" xfId="4628"/>
    <cellStyle name="Normal 2 2 2 3 4 4 2" xfId="35442"/>
    <cellStyle name="Normal 2 2 2 3 4 5" xfId="35443"/>
    <cellStyle name="Normal 2 2 2 3 4_01-04-2012" xfId="4629"/>
    <cellStyle name="Normal 2 2 2 3 5" xfId="4630"/>
    <cellStyle name="Normal 2 2 2 3 5 2" xfId="35444"/>
    <cellStyle name="Normal 2 2 2 3 6" xfId="4631"/>
    <cellStyle name="Normal 2 2 2 3 6 2" xfId="35445"/>
    <cellStyle name="Normal 2 2 2 3 7" xfId="4632"/>
    <cellStyle name="Normal 2 2 2 3 7 2" xfId="35446"/>
    <cellStyle name="Normal 2 2 2 3 8" xfId="35447"/>
    <cellStyle name="Normal 2 2 2 3_01-04-2012" xfId="4633"/>
    <cellStyle name="Normal 2 2 2 30" xfId="4573"/>
    <cellStyle name="Normal 2 2 2 30 2" xfId="35448"/>
    <cellStyle name="Normal 2 2 2 4" xfId="4634"/>
    <cellStyle name="Normal 2 2 2 4 2" xfId="4635"/>
    <cellStyle name="Normal 2 2 2 4 2 2" xfId="4636"/>
    <cellStyle name="Normal 2 2 2 4 2 2 2" xfId="35449"/>
    <cellStyle name="Normal 2 2 2 4 2 3" xfId="4637"/>
    <cellStyle name="Normal 2 2 2 4 2 3 2" xfId="35450"/>
    <cellStyle name="Normal 2 2 2 4 2 4" xfId="4638"/>
    <cellStyle name="Normal 2 2 2 4 2 4 2" xfId="35451"/>
    <cellStyle name="Normal 2 2 2 4 2 5" xfId="35452"/>
    <cellStyle name="Normal 2 2 2 4 2_01-04-2012" xfId="4639"/>
    <cellStyle name="Normal 2 2 2 4 3" xfId="4640"/>
    <cellStyle name="Normal 2 2 2 4 3 2" xfId="4641"/>
    <cellStyle name="Normal 2 2 2 4 3 2 2" xfId="35453"/>
    <cellStyle name="Normal 2 2 2 4 3 3" xfId="4642"/>
    <cellStyle name="Normal 2 2 2 4 3 3 2" xfId="35454"/>
    <cellStyle name="Normal 2 2 2 4 3 4" xfId="4643"/>
    <cellStyle name="Normal 2 2 2 4 3 4 2" xfId="35455"/>
    <cellStyle name="Normal 2 2 2 4 3 5" xfId="35456"/>
    <cellStyle name="Normal 2 2 2 4 3_01-04-2012" xfId="4644"/>
    <cellStyle name="Normal 2 2 2 4 4" xfId="4645"/>
    <cellStyle name="Normal 2 2 2 4 4 2" xfId="4646"/>
    <cellStyle name="Normal 2 2 2 4 4 2 2" xfId="35457"/>
    <cellStyle name="Normal 2 2 2 4 4 3" xfId="4647"/>
    <cellStyle name="Normal 2 2 2 4 4 3 2" xfId="35458"/>
    <cellStyle name="Normal 2 2 2 4 4 4" xfId="4648"/>
    <cellStyle name="Normal 2 2 2 4 4 4 2" xfId="35459"/>
    <cellStyle name="Normal 2 2 2 4 4 5" xfId="35460"/>
    <cellStyle name="Normal 2 2 2 4 4_01-04-2012" xfId="4649"/>
    <cellStyle name="Normal 2 2 2 4 5" xfId="4650"/>
    <cellStyle name="Normal 2 2 2 4 5 2" xfId="35461"/>
    <cellStyle name="Normal 2 2 2 4 6" xfId="4651"/>
    <cellStyle name="Normal 2 2 2 4 6 2" xfId="35462"/>
    <cellStyle name="Normal 2 2 2 4 7" xfId="4652"/>
    <cellStyle name="Normal 2 2 2 4 7 2" xfId="35463"/>
    <cellStyle name="Normal 2 2 2 4 8" xfId="35464"/>
    <cellStyle name="Normal 2 2 2 4_01-04-2012" xfId="4653"/>
    <cellStyle name="Normal 2 2 2 5" xfId="4654"/>
    <cellStyle name="Normal 2 2 2 5 2" xfId="4655"/>
    <cellStyle name="Normal 2 2 2 5 2 2" xfId="35465"/>
    <cellStyle name="Normal 2 2 2 5 3" xfId="4656"/>
    <cellStyle name="Normal 2 2 2 5 3 2" xfId="35466"/>
    <cellStyle name="Normal 2 2 2 5 4" xfId="4657"/>
    <cellStyle name="Normal 2 2 2 5 4 2" xfId="35467"/>
    <cellStyle name="Normal 2 2 2 5 5" xfId="35468"/>
    <cellStyle name="Normal 2 2 2 5_01-04-2012" xfId="4658"/>
    <cellStyle name="Normal 2 2 2 6" xfId="4659"/>
    <cellStyle name="Normal 2 2 2 6 2" xfId="4660"/>
    <cellStyle name="Normal 2 2 2 6 2 2" xfId="35469"/>
    <cellStyle name="Normal 2 2 2 6 3" xfId="4661"/>
    <cellStyle name="Normal 2 2 2 6 3 2" xfId="35470"/>
    <cellStyle name="Normal 2 2 2 6 4" xfId="4662"/>
    <cellStyle name="Normal 2 2 2 6 4 2" xfId="35471"/>
    <cellStyle name="Normal 2 2 2 6 5" xfId="35472"/>
    <cellStyle name="Normal 2 2 2 6_01-04-2012" xfId="4663"/>
    <cellStyle name="Normal 2 2 2 7" xfId="4664"/>
    <cellStyle name="Normal 2 2 2 7 2" xfId="4665"/>
    <cellStyle name="Normal 2 2 2 7 2 2" xfId="35473"/>
    <cellStyle name="Normal 2 2 2 7 3" xfId="4666"/>
    <cellStyle name="Normal 2 2 2 7 3 2" xfId="35474"/>
    <cellStyle name="Normal 2 2 2 7 4" xfId="4667"/>
    <cellStyle name="Normal 2 2 2 7 4 2" xfId="35475"/>
    <cellStyle name="Normal 2 2 2 7 5" xfId="35476"/>
    <cellStyle name="Normal 2 2 2 7_01-04-2012" xfId="4668"/>
    <cellStyle name="Normal 2 2 2 8" xfId="4669"/>
    <cellStyle name="Normal 2 2 2 8 2" xfId="4670"/>
    <cellStyle name="Normal 2 2 2 8 2 2" xfId="35477"/>
    <cellStyle name="Normal 2 2 2 8 3" xfId="4671"/>
    <cellStyle name="Normal 2 2 2 8 3 2" xfId="35478"/>
    <cellStyle name="Normal 2 2 2 8 4" xfId="4672"/>
    <cellStyle name="Normal 2 2 2 8 4 2" xfId="35479"/>
    <cellStyle name="Normal 2 2 2 8 5" xfId="35480"/>
    <cellStyle name="Normal 2 2 2 8_01-04-2012" xfId="4673"/>
    <cellStyle name="Normal 2 2 2 9" xfId="4674"/>
    <cellStyle name="Normal 2 2 2 9 2" xfId="4675"/>
    <cellStyle name="Normal 2 2 2 9 2 2" xfId="35481"/>
    <cellStyle name="Normal 2 2 2 9 3" xfId="4676"/>
    <cellStyle name="Normal 2 2 2 9 3 2" xfId="35482"/>
    <cellStyle name="Normal 2 2 2 9 4" xfId="4677"/>
    <cellStyle name="Normal 2 2 2 9 4 2" xfId="35483"/>
    <cellStyle name="Normal 2 2 2 9 5" xfId="35484"/>
    <cellStyle name="Normal 2 2 2 9_01-04-2012" xfId="4678"/>
    <cellStyle name="Normal 2 2 2_01-04-2012" xfId="4679"/>
    <cellStyle name="Normal 2 2 20" xfId="4680"/>
    <cellStyle name="Normal 2 2 20 2" xfId="17204"/>
    <cellStyle name="Normal 2 2 20 3" xfId="17205"/>
    <cellStyle name="Normal 2 2 20 4" xfId="17206"/>
    <cellStyle name="Normal 2 2 20 5" xfId="17207"/>
    <cellStyle name="Normal 2 2 20 6" xfId="17208"/>
    <cellStyle name="Normal 2 2 20 7" xfId="17209"/>
    <cellStyle name="Normal 2 2 20 8" xfId="17210"/>
    <cellStyle name="Normal 2 2 21" xfId="4681"/>
    <cellStyle name="Normal 2 2 21 2" xfId="17211"/>
    <cellStyle name="Normal 2 2 21 3" xfId="17212"/>
    <cellStyle name="Normal 2 2 21 4" xfId="17213"/>
    <cellStyle name="Normal 2 2 21 5" xfId="17214"/>
    <cellStyle name="Normal 2 2 21 6" xfId="17215"/>
    <cellStyle name="Normal 2 2 21 7" xfId="17216"/>
    <cellStyle name="Normal 2 2 21 8" xfId="17217"/>
    <cellStyle name="Normal 2 2 22" xfId="4682"/>
    <cellStyle name="Normal 2 2 22 2" xfId="17218"/>
    <cellStyle name="Normal 2 2 22 3" xfId="17219"/>
    <cellStyle name="Normal 2 2 22 4" xfId="17220"/>
    <cellStyle name="Normal 2 2 22 5" xfId="17221"/>
    <cellStyle name="Normal 2 2 22 6" xfId="17222"/>
    <cellStyle name="Normal 2 2 22 7" xfId="17223"/>
    <cellStyle name="Normal 2 2 22 8" xfId="17224"/>
    <cellStyle name="Normal 2 2 23" xfId="4683"/>
    <cellStyle name="Normal 2 2 23 2" xfId="17225"/>
    <cellStyle name="Normal 2 2 23 3" xfId="17226"/>
    <cellStyle name="Normal 2 2 23 4" xfId="17227"/>
    <cellStyle name="Normal 2 2 23 5" xfId="17228"/>
    <cellStyle name="Normal 2 2 23 6" xfId="17229"/>
    <cellStyle name="Normal 2 2 23 7" xfId="17230"/>
    <cellStyle name="Normal 2 2 23 8" xfId="17231"/>
    <cellStyle name="Normal 2 2 24" xfId="4684"/>
    <cellStyle name="Normal 2 2 24 2" xfId="17232"/>
    <cellStyle name="Normal 2 2 24 3" xfId="17233"/>
    <cellStyle name="Normal 2 2 24 4" xfId="17234"/>
    <cellStyle name="Normal 2 2 24 5" xfId="17235"/>
    <cellStyle name="Normal 2 2 24 6" xfId="17236"/>
    <cellStyle name="Normal 2 2 24 7" xfId="17237"/>
    <cellStyle name="Normal 2 2 24 8" xfId="17238"/>
    <cellStyle name="Normal 2 2 25" xfId="4685"/>
    <cellStyle name="Normal 2 2 25 2" xfId="17239"/>
    <cellStyle name="Normal 2 2 25 3" xfId="17240"/>
    <cellStyle name="Normal 2 2 25 4" xfId="17241"/>
    <cellStyle name="Normal 2 2 25 5" xfId="17242"/>
    <cellStyle name="Normal 2 2 25 6" xfId="17243"/>
    <cellStyle name="Normal 2 2 25 7" xfId="17244"/>
    <cellStyle name="Normal 2 2 25 8" xfId="17245"/>
    <cellStyle name="Normal 2 2 26" xfId="4686"/>
    <cellStyle name="Normal 2 2 26 2" xfId="17246"/>
    <cellStyle name="Normal 2 2 26 3" xfId="17247"/>
    <cellStyle name="Normal 2 2 26 4" xfId="17248"/>
    <cellStyle name="Normal 2 2 26 5" xfId="17249"/>
    <cellStyle name="Normal 2 2 26 6" xfId="17250"/>
    <cellStyle name="Normal 2 2 26 7" xfId="17251"/>
    <cellStyle name="Normal 2 2 26 8" xfId="17252"/>
    <cellStyle name="Normal 2 2 27" xfId="4687"/>
    <cellStyle name="Normal 2 2 27 2" xfId="17253"/>
    <cellStyle name="Normal 2 2 27 3" xfId="17254"/>
    <cellStyle name="Normal 2 2 27 4" xfId="17255"/>
    <cellStyle name="Normal 2 2 27 5" xfId="17256"/>
    <cellStyle name="Normal 2 2 27 6" xfId="17257"/>
    <cellStyle name="Normal 2 2 27 7" xfId="17258"/>
    <cellStyle name="Normal 2 2 27 8" xfId="17259"/>
    <cellStyle name="Normal 2 2 28" xfId="4688"/>
    <cellStyle name="Normal 2 2 28 2" xfId="17260"/>
    <cellStyle name="Normal 2 2 28 3" xfId="17261"/>
    <cellStyle name="Normal 2 2 28 4" xfId="17262"/>
    <cellStyle name="Normal 2 2 28 5" xfId="17263"/>
    <cellStyle name="Normal 2 2 28 6" xfId="17264"/>
    <cellStyle name="Normal 2 2 28 7" xfId="17265"/>
    <cellStyle name="Normal 2 2 28 8" xfId="17266"/>
    <cellStyle name="Normal 2 2 29" xfId="4689"/>
    <cellStyle name="Normal 2 2 29 2" xfId="17267"/>
    <cellStyle name="Normal 2 2 29 3" xfId="17268"/>
    <cellStyle name="Normal 2 2 29 4" xfId="17269"/>
    <cellStyle name="Normal 2 2 29 5" xfId="17270"/>
    <cellStyle name="Normal 2 2 29 6" xfId="17271"/>
    <cellStyle name="Normal 2 2 29 7" xfId="17272"/>
    <cellStyle name="Normal 2 2 29 8" xfId="17273"/>
    <cellStyle name="Normal 2 2 3" xfId="4690"/>
    <cellStyle name="Normal 2 2 3 10" xfId="4691"/>
    <cellStyle name="Normal 2 2 3 11" xfId="4692"/>
    <cellStyle name="Normal 2 2 3 12" xfId="4693"/>
    <cellStyle name="Normal 2 2 3 13" xfId="4694"/>
    <cellStyle name="Normal 2 2 3 14" xfId="4695"/>
    <cellStyle name="Normal 2 2 3 15" xfId="4696"/>
    <cellStyle name="Normal 2 2 3 16" xfId="4697"/>
    <cellStyle name="Normal 2 2 3 17" xfId="4698"/>
    <cellStyle name="Normal 2 2 3 18" xfId="4699"/>
    <cellStyle name="Normal 2 2 3 19" xfId="4700"/>
    <cellStyle name="Normal 2 2 3 2" xfId="4701"/>
    <cellStyle name="Normal 2 2 3 2 10" xfId="17274"/>
    <cellStyle name="Normal 2 2 3 2 2" xfId="4702"/>
    <cellStyle name="Normal 2 2 3 2 2 2" xfId="4703"/>
    <cellStyle name="Normal 2 2 3 2 2 2 2" xfId="35485"/>
    <cellStyle name="Normal 2 2 3 2 2 3" xfId="4704"/>
    <cellStyle name="Normal 2 2 3 2 2 3 2" xfId="35486"/>
    <cellStyle name="Normal 2 2 3 2 2 4" xfId="4705"/>
    <cellStyle name="Normal 2 2 3 2 2 4 2" xfId="35487"/>
    <cellStyle name="Normal 2 2 3 2 2 5" xfId="35488"/>
    <cellStyle name="Normal 2 2 3 2 2_01-04-2012" xfId="4706"/>
    <cellStyle name="Normal 2 2 3 2 3" xfId="4707"/>
    <cellStyle name="Normal 2 2 3 2 3 2" xfId="4708"/>
    <cellStyle name="Normal 2 2 3 2 3 2 2" xfId="35489"/>
    <cellStyle name="Normal 2 2 3 2 3 3" xfId="4709"/>
    <cellStyle name="Normal 2 2 3 2 3 3 2" xfId="35490"/>
    <cellStyle name="Normal 2 2 3 2 3 4" xfId="4710"/>
    <cellStyle name="Normal 2 2 3 2 3 4 2" xfId="35491"/>
    <cellStyle name="Normal 2 2 3 2 3 5" xfId="35492"/>
    <cellStyle name="Normal 2 2 3 2 3_01-04-2012" xfId="4711"/>
    <cellStyle name="Normal 2 2 3 2 4" xfId="4712"/>
    <cellStyle name="Normal 2 2 3 2 4 2" xfId="4713"/>
    <cellStyle name="Normal 2 2 3 2 4 2 2" xfId="35493"/>
    <cellStyle name="Normal 2 2 3 2 4 3" xfId="4714"/>
    <cellStyle name="Normal 2 2 3 2 4 3 2" xfId="35494"/>
    <cellStyle name="Normal 2 2 3 2 4 4" xfId="4715"/>
    <cellStyle name="Normal 2 2 3 2 4 4 2" xfId="35495"/>
    <cellStyle name="Normal 2 2 3 2 4 5" xfId="35496"/>
    <cellStyle name="Normal 2 2 3 2 4_01-04-2012" xfId="4716"/>
    <cellStyle name="Normal 2 2 3 2 5" xfId="4717"/>
    <cellStyle name="Normal 2 2 3 2 5 2" xfId="35497"/>
    <cellStyle name="Normal 2 2 3 2 6" xfId="4718"/>
    <cellStyle name="Normal 2 2 3 2 6 2" xfId="35498"/>
    <cellStyle name="Normal 2 2 3 2 7" xfId="4719"/>
    <cellStyle name="Normal 2 2 3 2 7 2" xfId="35499"/>
    <cellStyle name="Normal 2 2 3 2 8" xfId="17275"/>
    <cellStyle name="Normal 2 2 3 2 8 2" xfId="35500"/>
    <cellStyle name="Normal 2 2 3 2 9" xfId="17276"/>
    <cellStyle name="Normal 2 2 3 2_01-04-2012" xfId="4720"/>
    <cellStyle name="Normal 2 2 3 20" xfId="4721"/>
    <cellStyle name="Normal 2 2 3 21" xfId="4722"/>
    <cellStyle name="Normal 2 2 3 22" xfId="4723"/>
    <cellStyle name="Normal 2 2 3 23" xfId="4724"/>
    <cellStyle name="Normal 2 2 3 24" xfId="4725"/>
    <cellStyle name="Normal 2 2 3 25" xfId="4726"/>
    <cellStyle name="Normal 2 2 3 26" xfId="4727"/>
    <cellStyle name="Normal 2 2 3 26 2" xfId="35501"/>
    <cellStyle name="Normal 2 2 3 27" xfId="4728"/>
    <cellStyle name="Normal 2 2 3 27 2" xfId="35502"/>
    <cellStyle name="Normal 2 2 3 28" xfId="4729"/>
    <cellStyle name="Normal 2 2 3 28 2" xfId="35503"/>
    <cellStyle name="Normal 2 2 3 29" xfId="4730"/>
    <cellStyle name="Normal 2 2 3 29 2" xfId="35504"/>
    <cellStyle name="Normal 2 2 3 3" xfId="4731"/>
    <cellStyle name="Normal 2 2 3 3 10" xfId="17277"/>
    <cellStyle name="Normal 2 2 3 3 2" xfId="4732"/>
    <cellStyle name="Normal 2 2 3 3 2 2" xfId="4733"/>
    <cellStyle name="Normal 2 2 3 3 2 2 2" xfId="35505"/>
    <cellStyle name="Normal 2 2 3 3 2 3" xfId="4734"/>
    <cellStyle name="Normal 2 2 3 3 2 3 2" xfId="35506"/>
    <cellStyle name="Normal 2 2 3 3 2 4" xfId="4735"/>
    <cellStyle name="Normal 2 2 3 3 2 4 2" xfId="35507"/>
    <cellStyle name="Normal 2 2 3 3 2 5" xfId="35508"/>
    <cellStyle name="Normal 2 2 3 3 2_01-04-2012" xfId="4736"/>
    <cellStyle name="Normal 2 2 3 3 3" xfId="4737"/>
    <cellStyle name="Normal 2 2 3 3 3 2" xfId="4738"/>
    <cellStyle name="Normal 2 2 3 3 3 2 2" xfId="35509"/>
    <cellStyle name="Normal 2 2 3 3 3 3" xfId="4739"/>
    <cellStyle name="Normal 2 2 3 3 3 3 2" xfId="35510"/>
    <cellStyle name="Normal 2 2 3 3 3 4" xfId="4740"/>
    <cellStyle name="Normal 2 2 3 3 3 4 2" xfId="35511"/>
    <cellStyle name="Normal 2 2 3 3 3 5" xfId="35512"/>
    <cellStyle name="Normal 2 2 3 3 3_01-04-2012" xfId="4741"/>
    <cellStyle name="Normal 2 2 3 3 4" xfId="4742"/>
    <cellStyle name="Normal 2 2 3 3 4 2" xfId="4743"/>
    <cellStyle name="Normal 2 2 3 3 4 2 2" xfId="35513"/>
    <cellStyle name="Normal 2 2 3 3 4 3" xfId="4744"/>
    <cellStyle name="Normal 2 2 3 3 4 3 2" xfId="35514"/>
    <cellStyle name="Normal 2 2 3 3 4 4" xfId="4745"/>
    <cellStyle name="Normal 2 2 3 3 4 4 2" xfId="35515"/>
    <cellStyle name="Normal 2 2 3 3 4 5" xfId="35516"/>
    <cellStyle name="Normal 2 2 3 3 4_01-04-2012" xfId="4746"/>
    <cellStyle name="Normal 2 2 3 3 5" xfId="4747"/>
    <cellStyle name="Normal 2 2 3 3 5 2" xfId="35517"/>
    <cellStyle name="Normal 2 2 3 3 6" xfId="4748"/>
    <cellStyle name="Normal 2 2 3 3 6 2" xfId="35518"/>
    <cellStyle name="Normal 2 2 3 3 7" xfId="4749"/>
    <cellStyle name="Normal 2 2 3 3 7 2" xfId="35519"/>
    <cellStyle name="Normal 2 2 3 3 8" xfId="17278"/>
    <cellStyle name="Normal 2 2 3 3 8 2" xfId="35520"/>
    <cellStyle name="Normal 2 2 3 3 9" xfId="17279"/>
    <cellStyle name="Normal 2 2 3 3_01-04-2012" xfId="4750"/>
    <cellStyle name="Normal 2 2 3 30" xfId="17280"/>
    <cellStyle name="Normal 2 2 3 30 2" xfId="35521"/>
    <cellStyle name="Normal 2 2 3 31" xfId="17281"/>
    <cellStyle name="Normal 2 2 3 32" xfId="17282"/>
    <cellStyle name="Normal 2 2 3 33" xfId="17283"/>
    <cellStyle name="Normal 2 2 3 34" xfId="17284"/>
    <cellStyle name="Normal 2 2 3 35" xfId="17285"/>
    <cellStyle name="Normal 2 2 3 36" xfId="33638"/>
    <cellStyle name="Normal 2 2 3 4" xfId="4751"/>
    <cellStyle name="Normal 2 2 3 4 2" xfId="4752"/>
    <cellStyle name="Normal 2 2 3 4 2 2" xfId="4753"/>
    <cellStyle name="Normal 2 2 3 4 2 2 2" xfId="35522"/>
    <cellStyle name="Normal 2 2 3 4 2 3" xfId="4754"/>
    <cellStyle name="Normal 2 2 3 4 2 3 2" xfId="35523"/>
    <cellStyle name="Normal 2 2 3 4 2 4" xfId="4755"/>
    <cellStyle name="Normal 2 2 3 4 2 4 2" xfId="35524"/>
    <cellStyle name="Normal 2 2 3 4 2 5" xfId="35525"/>
    <cellStyle name="Normal 2 2 3 4 2_01-04-2012" xfId="4756"/>
    <cellStyle name="Normal 2 2 3 4 3" xfId="4757"/>
    <cellStyle name="Normal 2 2 3 4 3 2" xfId="4758"/>
    <cellStyle name="Normal 2 2 3 4 3 2 2" xfId="35526"/>
    <cellStyle name="Normal 2 2 3 4 3 3" xfId="4759"/>
    <cellStyle name="Normal 2 2 3 4 3 3 2" xfId="35527"/>
    <cellStyle name="Normal 2 2 3 4 3 4" xfId="4760"/>
    <cellStyle name="Normal 2 2 3 4 3 4 2" xfId="35528"/>
    <cellStyle name="Normal 2 2 3 4 3 5" xfId="35529"/>
    <cellStyle name="Normal 2 2 3 4 3_01-04-2012" xfId="4761"/>
    <cellStyle name="Normal 2 2 3 4 4" xfId="4762"/>
    <cellStyle name="Normal 2 2 3 4 4 2" xfId="4763"/>
    <cellStyle name="Normal 2 2 3 4 4 2 2" xfId="35530"/>
    <cellStyle name="Normal 2 2 3 4 4 3" xfId="4764"/>
    <cellStyle name="Normal 2 2 3 4 4 3 2" xfId="35531"/>
    <cellStyle name="Normal 2 2 3 4 4 4" xfId="4765"/>
    <cellStyle name="Normal 2 2 3 4 4 4 2" xfId="35532"/>
    <cellStyle name="Normal 2 2 3 4 4 5" xfId="35533"/>
    <cellStyle name="Normal 2 2 3 4 4_01-04-2012" xfId="4766"/>
    <cellStyle name="Normal 2 2 3 4 5" xfId="4767"/>
    <cellStyle name="Normal 2 2 3 4 5 2" xfId="35534"/>
    <cellStyle name="Normal 2 2 3 4 6" xfId="4768"/>
    <cellStyle name="Normal 2 2 3 4 6 2" xfId="35535"/>
    <cellStyle name="Normal 2 2 3 4 7" xfId="4769"/>
    <cellStyle name="Normal 2 2 3 4 7 2" xfId="35536"/>
    <cellStyle name="Normal 2 2 3 4 8" xfId="35537"/>
    <cellStyle name="Normal 2 2 3 4_01-04-2012" xfId="4770"/>
    <cellStyle name="Normal 2 2 3 5" xfId="4771"/>
    <cellStyle name="Normal 2 2 3 5 2" xfId="4772"/>
    <cellStyle name="Normal 2 2 3 5 2 2" xfId="35538"/>
    <cellStyle name="Normal 2 2 3 5 3" xfId="4773"/>
    <cellStyle name="Normal 2 2 3 5 3 2" xfId="35539"/>
    <cellStyle name="Normal 2 2 3 5 4" xfId="4774"/>
    <cellStyle name="Normal 2 2 3 5 4 2" xfId="35540"/>
    <cellStyle name="Normal 2 2 3 5 5" xfId="35541"/>
    <cellStyle name="Normal 2 2 3 5_01-04-2012" xfId="4775"/>
    <cellStyle name="Normal 2 2 3 6" xfId="4776"/>
    <cellStyle name="Normal 2 2 3 6 2" xfId="4777"/>
    <cellStyle name="Normal 2 2 3 6 2 2" xfId="35542"/>
    <cellStyle name="Normal 2 2 3 6 3" xfId="4778"/>
    <cellStyle name="Normal 2 2 3 6 3 2" xfId="35543"/>
    <cellStyle name="Normal 2 2 3 6 4" xfId="4779"/>
    <cellStyle name="Normal 2 2 3 6 4 2" xfId="35544"/>
    <cellStyle name="Normal 2 2 3 6 5" xfId="35545"/>
    <cellStyle name="Normal 2 2 3 6_01-04-2012" xfId="4780"/>
    <cellStyle name="Normal 2 2 3 7" xfId="4781"/>
    <cellStyle name="Normal 2 2 3 7 2" xfId="4782"/>
    <cellStyle name="Normal 2 2 3 7 2 2" xfId="35546"/>
    <cellStyle name="Normal 2 2 3 7 3" xfId="4783"/>
    <cellStyle name="Normal 2 2 3 7 3 2" xfId="35547"/>
    <cellStyle name="Normal 2 2 3 7 4" xfId="4784"/>
    <cellStyle name="Normal 2 2 3 7 4 2" xfId="35548"/>
    <cellStyle name="Normal 2 2 3 7 5" xfId="35549"/>
    <cellStyle name="Normal 2 2 3 7_01-04-2012" xfId="4785"/>
    <cellStyle name="Normal 2 2 3 8" xfId="4786"/>
    <cellStyle name="Normal 2 2 3 8 2" xfId="4787"/>
    <cellStyle name="Normal 2 2 3 8 2 2" xfId="35550"/>
    <cellStyle name="Normal 2 2 3 8 3" xfId="4788"/>
    <cellStyle name="Normal 2 2 3 8 3 2" xfId="35551"/>
    <cellStyle name="Normal 2 2 3 8 4" xfId="4789"/>
    <cellStyle name="Normal 2 2 3 8 4 2" xfId="35552"/>
    <cellStyle name="Normal 2 2 3 8 5" xfId="35553"/>
    <cellStyle name="Normal 2 2 3 8_01-04-2012" xfId="4790"/>
    <cellStyle name="Normal 2 2 3 9" xfId="4791"/>
    <cellStyle name="Normal 2 2 3 9 2" xfId="4792"/>
    <cellStyle name="Normal 2 2 3 9 2 2" xfId="35554"/>
    <cellStyle name="Normal 2 2 3 9 3" xfId="4793"/>
    <cellStyle name="Normal 2 2 3 9 3 2" xfId="35555"/>
    <cellStyle name="Normal 2 2 3 9 4" xfId="4794"/>
    <cellStyle name="Normal 2 2 3 9 4 2" xfId="35556"/>
    <cellStyle name="Normal 2 2 3 9 5" xfId="35557"/>
    <cellStyle name="Normal 2 2 3 9_01-04-2012" xfId="4795"/>
    <cellStyle name="Normal 2 2 3_01-04-2012" xfId="4796"/>
    <cellStyle name="Normal 2 2 30" xfId="4797"/>
    <cellStyle name="Normal 2 2 30 2" xfId="17286"/>
    <cellStyle name="Normal 2 2 30 3" xfId="17287"/>
    <cellStyle name="Normal 2 2 30 4" xfId="17288"/>
    <cellStyle name="Normal 2 2 30 5" xfId="17289"/>
    <cellStyle name="Normal 2 2 30 6" xfId="17290"/>
    <cellStyle name="Normal 2 2 30 7" xfId="17291"/>
    <cellStyle name="Normal 2 2 30 8" xfId="17292"/>
    <cellStyle name="Normal 2 2 31" xfId="4798"/>
    <cellStyle name="Normal 2 2 31 2" xfId="17293"/>
    <cellStyle name="Normal 2 2 31 3" xfId="17294"/>
    <cellStyle name="Normal 2 2 31 4" xfId="17295"/>
    <cellStyle name="Normal 2 2 31 5" xfId="17296"/>
    <cellStyle name="Normal 2 2 31 6" xfId="17297"/>
    <cellStyle name="Normal 2 2 31 7" xfId="17298"/>
    <cellStyle name="Normal 2 2 31 8" xfId="17299"/>
    <cellStyle name="Normal 2 2 32" xfId="4799"/>
    <cellStyle name="Normal 2 2 32 2" xfId="4800"/>
    <cellStyle name="Normal 2 2 32 2 2" xfId="17300"/>
    <cellStyle name="Normal 2 2 32 2 2 2" xfId="35558"/>
    <cellStyle name="Normal 2 2 32 3" xfId="4801"/>
    <cellStyle name="Normal 2 2 32 3 2" xfId="17301"/>
    <cellStyle name="Normal 2 2 32 3 2 2" xfId="35559"/>
    <cellStyle name="Normal 2 2 32 4" xfId="4802"/>
    <cellStyle name="Normal 2 2 32 4 2" xfId="17302"/>
    <cellStyle name="Normal 2 2 32 4 2 2" xfId="35560"/>
    <cellStyle name="Normal 2 2 32 5" xfId="17303"/>
    <cellStyle name="Normal 2 2 32 5 2" xfId="35561"/>
    <cellStyle name="Normal 2 2 32 6" xfId="17304"/>
    <cellStyle name="Normal 2 2 32 7" xfId="17305"/>
    <cellStyle name="Normal 2 2 32 8" xfId="17306"/>
    <cellStyle name="Normal 2 2 32_01-04-2012" xfId="4803"/>
    <cellStyle name="Normal 2 2 33" xfId="4804"/>
    <cellStyle name="Normal 2 2 33 2" xfId="17307"/>
    <cellStyle name="Normal 2 2 33 3" xfId="17308"/>
    <cellStyle name="Normal 2 2 33 4" xfId="17309"/>
    <cellStyle name="Normal 2 2 33 5" xfId="17310"/>
    <cellStyle name="Normal 2 2 33 6" xfId="17311"/>
    <cellStyle name="Normal 2 2 33 7" xfId="17312"/>
    <cellStyle name="Normal 2 2 33 8" xfId="17313"/>
    <cellStyle name="Normal 2 2 34" xfId="4805"/>
    <cellStyle name="Normal 2 2 34 2" xfId="17314"/>
    <cellStyle name="Normal 2 2 34 3" xfId="17315"/>
    <cellStyle name="Normal 2 2 34 4" xfId="17316"/>
    <cellStyle name="Normal 2 2 34 5" xfId="17317"/>
    <cellStyle name="Normal 2 2 34 6" xfId="17318"/>
    <cellStyle name="Normal 2 2 34 7" xfId="17319"/>
    <cellStyle name="Normal 2 2 34 8" xfId="17320"/>
    <cellStyle name="Normal 2 2 35" xfId="4806"/>
    <cellStyle name="Normal 2 2 35 2" xfId="17321"/>
    <cellStyle name="Normal 2 2 35 3" xfId="17322"/>
    <cellStyle name="Normal 2 2 35 4" xfId="17323"/>
    <cellStyle name="Normal 2 2 35 5" xfId="17324"/>
    <cellStyle name="Normal 2 2 35 6" xfId="17325"/>
    <cellStyle name="Normal 2 2 35 7" xfId="17326"/>
    <cellStyle name="Normal 2 2 35 8" xfId="17327"/>
    <cellStyle name="Normal 2 2 36" xfId="4807"/>
    <cellStyle name="Normal 2 2 36 2" xfId="17328"/>
    <cellStyle name="Normal 2 2 36 3" xfId="17329"/>
    <cellStyle name="Normal 2 2 36 4" xfId="17330"/>
    <cellStyle name="Normal 2 2 36 5" xfId="17331"/>
    <cellStyle name="Normal 2 2 36 6" xfId="17332"/>
    <cellStyle name="Normal 2 2 36 7" xfId="17333"/>
    <cellStyle name="Normal 2 2 36 8" xfId="17334"/>
    <cellStyle name="Normal 2 2 37" xfId="4808"/>
    <cellStyle name="Normal 2 2 37 2" xfId="17335"/>
    <cellStyle name="Normal 2 2 37 3" xfId="17336"/>
    <cellStyle name="Normal 2 2 37 4" xfId="17337"/>
    <cellStyle name="Normal 2 2 37 5" xfId="17338"/>
    <cellStyle name="Normal 2 2 37 6" xfId="17339"/>
    <cellStyle name="Normal 2 2 37 7" xfId="17340"/>
    <cellStyle name="Normal 2 2 37 8" xfId="17341"/>
    <cellStyle name="Normal 2 2 38" xfId="4809"/>
    <cellStyle name="Normal 2 2 38 2" xfId="17342"/>
    <cellStyle name="Normal 2 2 39" xfId="4810"/>
    <cellStyle name="Normal 2 2 39 2" xfId="17343"/>
    <cellStyle name="Normal 2 2 4" xfId="4811"/>
    <cellStyle name="Normal 2 2 4 10" xfId="4812"/>
    <cellStyle name="Normal 2 2 4 11" xfId="4813"/>
    <cellStyle name="Normal 2 2 4 12" xfId="4814"/>
    <cellStyle name="Normal 2 2 4 13" xfId="4815"/>
    <cellStyle name="Normal 2 2 4 14" xfId="4816"/>
    <cellStyle name="Normal 2 2 4 15" xfId="4817"/>
    <cellStyle name="Normal 2 2 4 16" xfId="4818"/>
    <cellStyle name="Normal 2 2 4 17" xfId="4819"/>
    <cellStyle name="Normal 2 2 4 18" xfId="4820"/>
    <cellStyle name="Normal 2 2 4 19" xfId="4821"/>
    <cellStyle name="Normal 2 2 4 2" xfId="4822"/>
    <cellStyle name="Normal 2 2 4 2 2" xfId="4823"/>
    <cellStyle name="Normal 2 2 4 2 2 2" xfId="4824"/>
    <cellStyle name="Normal 2 2 4 2 2 2 2" xfId="35562"/>
    <cellStyle name="Normal 2 2 4 2 2 3" xfId="4825"/>
    <cellStyle name="Normal 2 2 4 2 2 3 2" xfId="35563"/>
    <cellStyle name="Normal 2 2 4 2 2 4" xfId="4826"/>
    <cellStyle name="Normal 2 2 4 2 2 4 2" xfId="35564"/>
    <cellStyle name="Normal 2 2 4 2 2 5" xfId="17344"/>
    <cellStyle name="Normal 2 2 4 2 2 5 2" xfId="35565"/>
    <cellStyle name="Normal 2 2 4 2 2_01-04-2012" xfId="4827"/>
    <cellStyle name="Normal 2 2 4 2 3" xfId="4828"/>
    <cellStyle name="Normal 2 2 4 2 3 2" xfId="4829"/>
    <cellStyle name="Normal 2 2 4 2 3 2 2" xfId="35566"/>
    <cellStyle name="Normal 2 2 4 2 3 3" xfId="4830"/>
    <cellStyle name="Normal 2 2 4 2 3 3 2" xfId="35567"/>
    <cellStyle name="Normal 2 2 4 2 3 4" xfId="4831"/>
    <cellStyle name="Normal 2 2 4 2 3 4 2" xfId="35568"/>
    <cellStyle name="Normal 2 2 4 2 3 5" xfId="17345"/>
    <cellStyle name="Normal 2 2 4 2 3 5 2" xfId="35569"/>
    <cellStyle name="Normal 2 2 4 2 3_01-04-2012" xfId="4832"/>
    <cellStyle name="Normal 2 2 4 2 4" xfId="4833"/>
    <cellStyle name="Normal 2 2 4 2 4 2" xfId="4834"/>
    <cellStyle name="Normal 2 2 4 2 4 2 2" xfId="35570"/>
    <cellStyle name="Normal 2 2 4 2 4 3" xfId="4835"/>
    <cellStyle name="Normal 2 2 4 2 4 3 2" xfId="35571"/>
    <cellStyle name="Normal 2 2 4 2 4 4" xfId="4836"/>
    <cellStyle name="Normal 2 2 4 2 4 4 2" xfId="35572"/>
    <cellStyle name="Normal 2 2 4 2 4 5" xfId="17346"/>
    <cellStyle name="Normal 2 2 4 2 4 5 2" xfId="35573"/>
    <cellStyle name="Normal 2 2 4 2 4_01-04-2012" xfId="4837"/>
    <cellStyle name="Normal 2 2 4 2 5" xfId="4838"/>
    <cellStyle name="Normal 2 2 4 2 5 2" xfId="17347"/>
    <cellStyle name="Normal 2 2 4 2 5 2 2" xfId="35574"/>
    <cellStyle name="Normal 2 2 4 2 6" xfId="4839"/>
    <cellStyle name="Normal 2 2 4 2 6 2" xfId="17348"/>
    <cellStyle name="Normal 2 2 4 2 6 2 2" xfId="35575"/>
    <cellStyle name="Normal 2 2 4 2 7" xfId="4840"/>
    <cellStyle name="Normal 2 2 4 2 7 2" xfId="17349"/>
    <cellStyle name="Normal 2 2 4 2 7 2 2" xfId="35576"/>
    <cellStyle name="Normal 2 2 4 2 8" xfId="17350"/>
    <cellStyle name="Normal 2 2 4 2 8 2" xfId="35577"/>
    <cellStyle name="Normal 2 2 4 2_01-04-2012" xfId="4841"/>
    <cellStyle name="Normal 2 2 4 20" xfId="4842"/>
    <cellStyle name="Normal 2 2 4 21" xfId="4843"/>
    <cellStyle name="Normal 2 2 4 22" xfId="4844"/>
    <cellStyle name="Normal 2 2 4 23" xfId="4845"/>
    <cellStyle name="Normal 2 2 4 24" xfId="4846"/>
    <cellStyle name="Normal 2 2 4 25" xfId="4847"/>
    <cellStyle name="Normal 2 2 4 26" xfId="4848"/>
    <cellStyle name="Normal 2 2 4 26 2" xfId="35578"/>
    <cellStyle name="Normal 2 2 4 27" xfId="4849"/>
    <cellStyle name="Normal 2 2 4 27 2" xfId="35579"/>
    <cellStyle name="Normal 2 2 4 28" xfId="4850"/>
    <cellStyle name="Normal 2 2 4 28 2" xfId="35580"/>
    <cellStyle name="Normal 2 2 4 29" xfId="4851"/>
    <cellStyle name="Normal 2 2 4 29 2" xfId="35581"/>
    <cellStyle name="Normal 2 2 4 3" xfId="4852"/>
    <cellStyle name="Normal 2 2 4 3 10" xfId="17351"/>
    <cellStyle name="Normal 2 2 4 3 2" xfId="4853"/>
    <cellStyle name="Normal 2 2 4 3 2 2" xfId="4854"/>
    <cellStyle name="Normal 2 2 4 3 2 2 2" xfId="35582"/>
    <cellStyle name="Normal 2 2 4 3 2 3" xfId="4855"/>
    <cellStyle name="Normal 2 2 4 3 2 3 2" xfId="35583"/>
    <cellStyle name="Normal 2 2 4 3 2 4" xfId="4856"/>
    <cellStyle name="Normal 2 2 4 3 2 4 2" xfId="35584"/>
    <cellStyle name="Normal 2 2 4 3 2 5" xfId="35585"/>
    <cellStyle name="Normal 2 2 4 3 2_01-04-2012" xfId="4857"/>
    <cellStyle name="Normal 2 2 4 3 3" xfId="4858"/>
    <cellStyle name="Normal 2 2 4 3 3 2" xfId="4859"/>
    <cellStyle name="Normal 2 2 4 3 3 2 2" xfId="35586"/>
    <cellStyle name="Normal 2 2 4 3 3 3" xfId="4860"/>
    <cellStyle name="Normal 2 2 4 3 3 3 2" xfId="35587"/>
    <cellStyle name="Normal 2 2 4 3 3 4" xfId="4861"/>
    <cellStyle name="Normal 2 2 4 3 3 4 2" xfId="35588"/>
    <cellStyle name="Normal 2 2 4 3 3 5" xfId="35589"/>
    <cellStyle name="Normal 2 2 4 3 3_01-04-2012" xfId="4862"/>
    <cellStyle name="Normal 2 2 4 3 4" xfId="4863"/>
    <cellStyle name="Normal 2 2 4 3 4 2" xfId="4864"/>
    <cellStyle name="Normal 2 2 4 3 4 2 2" xfId="35590"/>
    <cellStyle name="Normal 2 2 4 3 4 3" xfId="4865"/>
    <cellStyle name="Normal 2 2 4 3 4 3 2" xfId="35591"/>
    <cellStyle name="Normal 2 2 4 3 4 4" xfId="4866"/>
    <cellStyle name="Normal 2 2 4 3 4 4 2" xfId="35592"/>
    <cellStyle name="Normal 2 2 4 3 4 5" xfId="35593"/>
    <cellStyle name="Normal 2 2 4 3 4_01-04-2012" xfId="4867"/>
    <cellStyle name="Normal 2 2 4 3 5" xfId="4868"/>
    <cellStyle name="Normal 2 2 4 3 5 2" xfId="35594"/>
    <cellStyle name="Normal 2 2 4 3 6" xfId="4869"/>
    <cellStyle name="Normal 2 2 4 3 6 2" xfId="35595"/>
    <cellStyle name="Normal 2 2 4 3 7" xfId="4870"/>
    <cellStyle name="Normal 2 2 4 3 7 2" xfId="35596"/>
    <cellStyle name="Normal 2 2 4 3 8" xfId="17352"/>
    <cellStyle name="Normal 2 2 4 3 8 2" xfId="35597"/>
    <cellStyle name="Normal 2 2 4 3 9" xfId="17353"/>
    <cellStyle name="Normal 2 2 4 3_01-04-2012" xfId="4871"/>
    <cellStyle name="Normal 2 2 4 30" xfId="17354"/>
    <cellStyle name="Normal 2 2 4 30 2" xfId="35598"/>
    <cellStyle name="Normal 2 2 4 4" xfId="4872"/>
    <cellStyle name="Normal 2 2 4 4 10" xfId="17355"/>
    <cellStyle name="Normal 2 2 4 4 2" xfId="4873"/>
    <cellStyle name="Normal 2 2 4 4 2 2" xfId="4874"/>
    <cellStyle name="Normal 2 2 4 4 2 2 2" xfId="35599"/>
    <cellStyle name="Normal 2 2 4 4 2 3" xfId="4875"/>
    <cellStyle name="Normal 2 2 4 4 2 3 2" xfId="35600"/>
    <cellStyle name="Normal 2 2 4 4 2 4" xfId="4876"/>
    <cellStyle name="Normal 2 2 4 4 2 4 2" xfId="35601"/>
    <cellStyle name="Normal 2 2 4 4 2 5" xfId="35602"/>
    <cellStyle name="Normal 2 2 4 4 2_01-04-2012" xfId="4877"/>
    <cellStyle name="Normal 2 2 4 4 3" xfId="4878"/>
    <cellStyle name="Normal 2 2 4 4 3 2" xfId="4879"/>
    <cellStyle name="Normal 2 2 4 4 3 2 2" xfId="35603"/>
    <cellStyle name="Normal 2 2 4 4 3 3" xfId="4880"/>
    <cellStyle name="Normal 2 2 4 4 3 3 2" xfId="35604"/>
    <cellStyle name="Normal 2 2 4 4 3 4" xfId="4881"/>
    <cellStyle name="Normal 2 2 4 4 3 4 2" xfId="35605"/>
    <cellStyle name="Normal 2 2 4 4 3 5" xfId="35606"/>
    <cellStyle name="Normal 2 2 4 4 3_01-04-2012" xfId="4882"/>
    <cellStyle name="Normal 2 2 4 4 4" xfId="4883"/>
    <cellStyle name="Normal 2 2 4 4 4 2" xfId="4884"/>
    <cellStyle name="Normal 2 2 4 4 4 2 2" xfId="35607"/>
    <cellStyle name="Normal 2 2 4 4 4 3" xfId="4885"/>
    <cellStyle name="Normal 2 2 4 4 4 3 2" xfId="35608"/>
    <cellStyle name="Normal 2 2 4 4 4 4" xfId="4886"/>
    <cellStyle name="Normal 2 2 4 4 4 4 2" xfId="35609"/>
    <cellStyle name="Normal 2 2 4 4 4 5" xfId="35610"/>
    <cellStyle name="Normal 2 2 4 4 4_01-04-2012" xfId="4887"/>
    <cellStyle name="Normal 2 2 4 4 5" xfId="4888"/>
    <cellStyle name="Normal 2 2 4 4 5 2" xfId="35611"/>
    <cellStyle name="Normal 2 2 4 4 6" xfId="4889"/>
    <cellStyle name="Normal 2 2 4 4 6 2" xfId="35612"/>
    <cellStyle name="Normal 2 2 4 4 7" xfId="4890"/>
    <cellStyle name="Normal 2 2 4 4 7 2" xfId="35613"/>
    <cellStyle name="Normal 2 2 4 4 8" xfId="17356"/>
    <cellStyle name="Normal 2 2 4 4 8 2" xfId="35614"/>
    <cellStyle name="Normal 2 2 4 4 9" xfId="17357"/>
    <cellStyle name="Normal 2 2 4 4_01-04-2012" xfId="4891"/>
    <cellStyle name="Normal 2 2 4 5" xfId="4892"/>
    <cellStyle name="Normal 2 2 4 5 2" xfId="4893"/>
    <cellStyle name="Normal 2 2 4 5 2 2" xfId="35615"/>
    <cellStyle name="Normal 2 2 4 5 3" xfId="4894"/>
    <cellStyle name="Normal 2 2 4 5 3 2" xfId="35616"/>
    <cellStyle name="Normal 2 2 4 5 4" xfId="4895"/>
    <cellStyle name="Normal 2 2 4 5 4 2" xfId="35617"/>
    <cellStyle name="Normal 2 2 4 5 5" xfId="17358"/>
    <cellStyle name="Normal 2 2 4 5 5 2" xfId="35618"/>
    <cellStyle name="Normal 2 2 4 5_01-04-2012" xfId="4896"/>
    <cellStyle name="Normal 2 2 4 6" xfId="4897"/>
    <cellStyle name="Normal 2 2 4 6 2" xfId="4898"/>
    <cellStyle name="Normal 2 2 4 6 2 2" xfId="35619"/>
    <cellStyle name="Normal 2 2 4 6 3" xfId="4899"/>
    <cellStyle name="Normal 2 2 4 6 3 2" xfId="35620"/>
    <cellStyle name="Normal 2 2 4 6 4" xfId="4900"/>
    <cellStyle name="Normal 2 2 4 6 4 2" xfId="35621"/>
    <cellStyle name="Normal 2 2 4 6 5" xfId="17359"/>
    <cellStyle name="Normal 2 2 4 6 5 2" xfId="35622"/>
    <cellStyle name="Normal 2 2 4 6_01-04-2012" xfId="4901"/>
    <cellStyle name="Normal 2 2 4 7" xfId="4902"/>
    <cellStyle name="Normal 2 2 4 7 2" xfId="4903"/>
    <cellStyle name="Normal 2 2 4 7 2 2" xfId="35623"/>
    <cellStyle name="Normal 2 2 4 7 3" xfId="4904"/>
    <cellStyle name="Normal 2 2 4 7 3 2" xfId="35624"/>
    <cellStyle name="Normal 2 2 4 7 4" xfId="4905"/>
    <cellStyle name="Normal 2 2 4 7 4 2" xfId="35625"/>
    <cellStyle name="Normal 2 2 4 7 5" xfId="17360"/>
    <cellStyle name="Normal 2 2 4 7 5 2" xfId="35626"/>
    <cellStyle name="Normal 2 2 4 7_01-04-2012" xfId="4906"/>
    <cellStyle name="Normal 2 2 4 8" xfId="4907"/>
    <cellStyle name="Normal 2 2 4 8 2" xfId="4908"/>
    <cellStyle name="Normal 2 2 4 8 2 2" xfId="35627"/>
    <cellStyle name="Normal 2 2 4 8 3" xfId="4909"/>
    <cellStyle name="Normal 2 2 4 8 3 2" xfId="35628"/>
    <cellStyle name="Normal 2 2 4 8 4" xfId="4910"/>
    <cellStyle name="Normal 2 2 4 8 4 2" xfId="35629"/>
    <cellStyle name="Normal 2 2 4 8 5" xfId="17361"/>
    <cellStyle name="Normal 2 2 4 8 5 2" xfId="35630"/>
    <cellStyle name="Normal 2 2 4 8_01-04-2012" xfId="4911"/>
    <cellStyle name="Normal 2 2 4 9" xfId="4912"/>
    <cellStyle name="Normal 2 2 4 9 2" xfId="4913"/>
    <cellStyle name="Normal 2 2 4 9 2 2" xfId="35631"/>
    <cellStyle name="Normal 2 2 4 9 3" xfId="4914"/>
    <cellStyle name="Normal 2 2 4 9 3 2" xfId="35632"/>
    <cellStyle name="Normal 2 2 4 9 4" xfId="4915"/>
    <cellStyle name="Normal 2 2 4 9 4 2" xfId="35633"/>
    <cellStyle name="Normal 2 2 4 9 5" xfId="35634"/>
    <cellStyle name="Normal 2 2 4 9_01-04-2012" xfId="4916"/>
    <cellStyle name="Normal 2 2 4_01-04-2012" xfId="4917"/>
    <cellStyle name="Normal 2 2 40" xfId="4918"/>
    <cellStyle name="Normal 2 2 40 2" xfId="17362"/>
    <cellStyle name="Normal 2 2 41" xfId="4919"/>
    <cellStyle name="Normal 2 2 41 2" xfId="17363"/>
    <cellStyle name="Normal 2 2 42" xfId="4920"/>
    <cellStyle name="Normal 2 2 42 2" xfId="17364"/>
    <cellStyle name="Normal 2 2 43" xfId="4921"/>
    <cellStyle name="Normal 2 2 43 2" xfId="17365"/>
    <cellStyle name="Normal 2 2 44" xfId="4922"/>
    <cellStyle name="Normal 2 2 44 2" xfId="17366"/>
    <cellStyle name="Normal 2 2 45" xfId="4923"/>
    <cellStyle name="Normal 2 2 45 2" xfId="17367"/>
    <cellStyle name="Normal 2 2 46" xfId="4924"/>
    <cellStyle name="Normal 2 2 46 2" xfId="17368"/>
    <cellStyle name="Normal 2 2 47" xfId="4925"/>
    <cellStyle name="Normal 2 2 47 2" xfId="4926"/>
    <cellStyle name="Normal 2 2 47 2 2" xfId="35635"/>
    <cellStyle name="Normal 2 2 47 3" xfId="4927"/>
    <cellStyle name="Normal 2 2 47 3 2" xfId="35636"/>
    <cellStyle name="Normal 2 2 47 4" xfId="4928"/>
    <cellStyle name="Normal 2 2 47 4 2" xfId="35637"/>
    <cellStyle name="Normal 2 2 47 5" xfId="17369"/>
    <cellStyle name="Normal 2 2 47 5 2" xfId="35638"/>
    <cellStyle name="Normal 2 2 47_01-04-2012" xfId="4929"/>
    <cellStyle name="Normal 2 2 48" xfId="4930"/>
    <cellStyle name="Normal 2 2 48 2" xfId="4931"/>
    <cellStyle name="Normal 2 2 48 2 2" xfId="35639"/>
    <cellStyle name="Normal 2 2 48 3" xfId="4932"/>
    <cellStyle name="Normal 2 2 48 3 2" xfId="35640"/>
    <cellStyle name="Normal 2 2 48 4" xfId="4933"/>
    <cellStyle name="Normal 2 2 48 4 2" xfId="35641"/>
    <cellStyle name="Normal 2 2 48 5" xfId="35642"/>
    <cellStyle name="Normal 2 2 48_01-04-2012" xfId="4934"/>
    <cellStyle name="Normal 2 2 49" xfId="4935"/>
    <cellStyle name="Normal 2 2 49 2" xfId="4936"/>
    <cellStyle name="Normal 2 2 49 2 2" xfId="35643"/>
    <cellStyle name="Normal 2 2 49 3" xfId="4937"/>
    <cellStyle name="Normal 2 2 49 3 2" xfId="35644"/>
    <cellStyle name="Normal 2 2 49 4" xfId="4938"/>
    <cellStyle name="Normal 2 2 49 4 2" xfId="35645"/>
    <cellStyle name="Normal 2 2 49 5" xfId="35646"/>
    <cellStyle name="Normal 2 2 49_01-04-2012" xfId="4939"/>
    <cellStyle name="Normal 2 2 5" xfId="4940"/>
    <cellStyle name="Normal 2 2 5 10" xfId="4941"/>
    <cellStyle name="Normal 2 2 5 11" xfId="4942"/>
    <cellStyle name="Normal 2 2 5 12" xfId="4943"/>
    <cellStyle name="Normal 2 2 5 13" xfId="4944"/>
    <cellStyle name="Normal 2 2 5 14" xfId="4945"/>
    <cellStyle name="Normal 2 2 5 15" xfId="4946"/>
    <cellStyle name="Normal 2 2 5 16" xfId="4947"/>
    <cellStyle name="Normal 2 2 5 17" xfId="4948"/>
    <cellStyle name="Normal 2 2 5 18" xfId="4949"/>
    <cellStyle name="Normal 2 2 5 19" xfId="4950"/>
    <cellStyle name="Normal 2 2 5 2" xfId="4951"/>
    <cellStyle name="Normal 2 2 5 2 2" xfId="4952"/>
    <cellStyle name="Normal 2 2 5 2 2 2" xfId="4953"/>
    <cellStyle name="Normal 2 2 5 2 2 2 2" xfId="35647"/>
    <cellStyle name="Normal 2 2 5 2 2 3" xfId="4954"/>
    <cellStyle name="Normal 2 2 5 2 2 3 2" xfId="35648"/>
    <cellStyle name="Normal 2 2 5 2 2 4" xfId="4955"/>
    <cellStyle name="Normal 2 2 5 2 2 4 2" xfId="35649"/>
    <cellStyle name="Normal 2 2 5 2 2 5" xfId="17370"/>
    <cellStyle name="Normal 2 2 5 2 2 5 2" xfId="35650"/>
    <cellStyle name="Normal 2 2 5 2 2_01-04-2012" xfId="4956"/>
    <cellStyle name="Normal 2 2 5 2 3" xfId="4957"/>
    <cellStyle name="Normal 2 2 5 2 3 2" xfId="4958"/>
    <cellStyle name="Normal 2 2 5 2 3 2 2" xfId="35651"/>
    <cellStyle name="Normal 2 2 5 2 3 3" xfId="4959"/>
    <cellStyle name="Normal 2 2 5 2 3 3 2" xfId="35652"/>
    <cellStyle name="Normal 2 2 5 2 3 4" xfId="4960"/>
    <cellStyle name="Normal 2 2 5 2 3 4 2" xfId="35653"/>
    <cellStyle name="Normal 2 2 5 2 3 5" xfId="17371"/>
    <cellStyle name="Normal 2 2 5 2 3 5 2" xfId="35654"/>
    <cellStyle name="Normal 2 2 5 2 3_01-04-2012" xfId="4961"/>
    <cellStyle name="Normal 2 2 5 2 4" xfId="4962"/>
    <cellStyle name="Normal 2 2 5 2 4 2" xfId="4963"/>
    <cellStyle name="Normal 2 2 5 2 4 2 2" xfId="35655"/>
    <cellStyle name="Normal 2 2 5 2 4 3" xfId="4964"/>
    <cellStyle name="Normal 2 2 5 2 4 3 2" xfId="35656"/>
    <cellStyle name="Normal 2 2 5 2 4 4" xfId="4965"/>
    <cellStyle name="Normal 2 2 5 2 4 4 2" xfId="35657"/>
    <cellStyle name="Normal 2 2 5 2 4 5" xfId="17372"/>
    <cellStyle name="Normal 2 2 5 2 4 5 2" xfId="35658"/>
    <cellStyle name="Normal 2 2 5 2 4_01-04-2012" xfId="4966"/>
    <cellStyle name="Normal 2 2 5 2 5" xfId="4967"/>
    <cellStyle name="Normal 2 2 5 2 5 2" xfId="17373"/>
    <cellStyle name="Normal 2 2 5 2 5 2 2" xfId="35659"/>
    <cellStyle name="Normal 2 2 5 2 6" xfId="4968"/>
    <cellStyle name="Normal 2 2 5 2 6 2" xfId="17374"/>
    <cellStyle name="Normal 2 2 5 2 6 2 2" xfId="35660"/>
    <cellStyle name="Normal 2 2 5 2 7" xfId="4969"/>
    <cellStyle name="Normal 2 2 5 2 7 2" xfId="17375"/>
    <cellStyle name="Normal 2 2 5 2 7 2 2" xfId="35661"/>
    <cellStyle name="Normal 2 2 5 2 8" xfId="17376"/>
    <cellStyle name="Normal 2 2 5 2 8 2" xfId="35662"/>
    <cellStyle name="Normal 2 2 5 2_01-04-2012" xfId="4970"/>
    <cellStyle name="Normal 2 2 5 20" xfId="4971"/>
    <cellStyle name="Normal 2 2 5 21" xfId="4972"/>
    <cellStyle name="Normal 2 2 5 22" xfId="4973"/>
    <cellStyle name="Normal 2 2 5 23" xfId="4974"/>
    <cellStyle name="Normal 2 2 5 24" xfId="4975"/>
    <cellStyle name="Normal 2 2 5 25" xfId="4976"/>
    <cellStyle name="Normal 2 2 5 26" xfId="4977"/>
    <cellStyle name="Normal 2 2 5 26 2" xfId="35663"/>
    <cellStyle name="Normal 2 2 5 27" xfId="4978"/>
    <cellStyle name="Normal 2 2 5 27 2" xfId="35664"/>
    <cellStyle name="Normal 2 2 5 28" xfId="4979"/>
    <cellStyle name="Normal 2 2 5 28 2" xfId="35665"/>
    <cellStyle name="Normal 2 2 5 29" xfId="4980"/>
    <cellStyle name="Normal 2 2 5 29 2" xfId="35666"/>
    <cellStyle name="Normal 2 2 5 3" xfId="4981"/>
    <cellStyle name="Normal 2 2 5 3 10" xfId="17377"/>
    <cellStyle name="Normal 2 2 5 3 2" xfId="4982"/>
    <cellStyle name="Normal 2 2 5 3 2 2" xfId="4983"/>
    <cellStyle name="Normal 2 2 5 3 2 2 2" xfId="35667"/>
    <cellStyle name="Normal 2 2 5 3 2 3" xfId="4984"/>
    <cellStyle name="Normal 2 2 5 3 2 3 2" xfId="35668"/>
    <cellStyle name="Normal 2 2 5 3 2 4" xfId="4985"/>
    <cellStyle name="Normal 2 2 5 3 2 4 2" xfId="35669"/>
    <cellStyle name="Normal 2 2 5 3 2 5" xfId="35670"/>
    <cellStyle name="Normal 2 2 5 3 2_01-04-2012" xfId="4986"/>
    <cellStyle name="Normal 2 2 5 3 3" xfId="4987"/>
    <cellStyle name="Normal 2 2 5 3 3 2" xfId="4988"/>
    <cellStyle name="Normal 2 2 5 3 3 2 2" xfId="35671"/>
    <cellStyle name="Normal 2 2 5 3 3 3" xfId="4989"/>
    <cellStyle name="Normal 2 2 5 3 3 3 2" xfId="35672"/>
    <cellStyle name="Normal 2 2 5 3 3 4" xfId="4990"/>
    <cellStyle name="Normal 2 2 5 3 3 4 2" xfId="35673"/>
    <cellStyle name="Normal 2 2 5 3 3 5" xfId="35674"/>
    <cellStyle name="Normal 2 2 5 3 3_01-04-2012" xfId="4991"/>
    <cellStyle name="Normal 2 2 5 3 4" xfId="4992"/>
    <cellStyle name="Normal 2 2 5 3 4 2" xfId="4993"/>
    <cellStyle name="Normal 2 2 5 3 4 2 2" xfId="35675"/>
    <cellStyle name="Normal 2 2 5 3 4 3" xfId="4994"/>
    <cellStyle name="Normal 2 2 5 3 4 3 2" xfId="35676"/>
    <cellStyle name="Normal 2 2 5 3 4 4" xfId="4995"/>
    <cellStyle name="Normal 2 2 5 3 4 4 2" xfId="35677"/>
    <cellStyle name="Normal 2 2 5 3 4 5" xfId="35678"/>
    <cellStyle name="Normal 2 2 5 3 4_01-04-2012" xfId="4996"/>
    <cellStyle name="Normal 2 2 5 3 5" xfId="4997"/>
    <cellStyle name="Normal 2 2 5 3 5 2" xfId="35679"/>
    <cellStyle name="Normal 2 2 5 3 6" xfId="4998"/>
    <cellStyle name="Normal 2 2 5 3 6 2" xfId="35680"/>
    <cellStyle name="Normal 2 2 5 3 7" xfId="4999"/>
    <cellStyle name="Normal 2 2 5 3 7 2" xfId="35681"/>
    <cellStyle name="Normal 2 2 5 3 8" xfId="17378"/>
    <cellStyle name="Normal 2 2 5 3 8 2" xfId="35682"/>
    <cellStyle name="Normal 2 2 5 3 9" xfId="17379"/>
    <cellStyle name="Normal 2 2 5 3_01-04-2012" xfId="5000"/>
    <cellStyle name="Normal 2 2 5 30" xfId="17380"/>
    <cellStyle name="Normal 2 2 5 30 2" xfId="35683"/>
    <cellStyle name="Normal 2 2 5 4" xfId="5001"/>
    <cellStyle name="Normal 2 2 5 4 10" xfId="17381"/>
    <cellStyle name="Normal 2 2 5 4 2" xfId="5002"/>
    <cellStyle name="Normal 2 2 5 4 2 2" xfId="5003"/>
    <cellStyle name="Normal 2 2 5 4 2 2 2" xfId="35684"/>
    <cellStyle name="Normal 2 2 5 4 2 3" xfId="5004"/>
    <cellStyle name="Normal 2 2 5 4 2 3 2" xfId="35685"/>
    <cellStyle name="Normal 2 2 5 4 2 4" xfId="5005"/>
    <cellStyle name="Normal 2 2 5 4 2 4 2" xfId="35686"/>
    <cellStyle name="Normal 2 2 5 4 2 5" xfId="35687"/>
    <cellStyle name="Normal 2 2 5 4 2_01-04-2012" xfId="5006"/>
    <cellStyle name="Normal 2 2 5 4 3" xfId="5007"/>
    <cellStyle name="Normal 2 2 5 4 3 2" xfId="5008"/>
    <cellStyle name="Normal 2 2 5 4 3 2 2" xfId="35688"/>
    <cellStyle name="Normal 2 2 5 4 3 3" xfId="5009"/>
    <cellStyle name="Normal 2 2 5 4 3 3 2" xfId="35689"/>
    <cellStyle name="Normal 2 2 5 4 3 4" xfId="5010"/>
    <cellStyle name="Normal 2 2 5 4 3 4 2" xfId="35690"/>
    <cellStyle name="Normal 2 2 5 4 3 5" xfId="35691"/>
    <cellStyle name="Normal 2 2 5 4 3_01-04-2012" xfId="5011"/>
    <cellStyle name="Normal 2 2 5 4 4" xfId="5012"/>
    <cellStyle name="Normal 2 2 5 4 4 2" xfId="5013"/>
    <cellStyle name="Normal 2 2 5 4 4 2 2" xfId="35692"/>
    <cellStyle name="Normal 2 2 5 4 4 3" xfId="5014"/>
    <cellStyle name="Normal 2 2 5 4 4 3 2" xfId="35693"/>
    <cellStyle name="Normal 2 2 5 4 4 4" xfId="5015"/>
    <cellStyle name="Normal 2 2 5 4 4 4 2" xfId="35694"/>
    <cellStyle name="Normal 2 2 5 4 4 5" xfId="35695"/>
    <cellStyle name="Normal 2 2 5 4 4_01-04-2012" xfId="5016"/>
    <cellStyle name="Normal 2 2 5 4 5" xfId="5017"/>
    <cellStyle name="Normal 2 2 5 4 5 2" xfId="35696"/>
    <cellStyle name="Normal 2 2 5 4 6" xfId="5018"/>
    <cellStyle name="Normal 2 2 5 4 6 2" xfId="35697"/>
    <cellStyle name="Normal 2 2 5 4 7" xfId="5019"/>
    <cellStyle name="Normal 2 2 5 4 7 2" xfId="35698"/>
    <cellStyle name="Normal 2 2 5 4 8" xfId="17382"/>
    <cellStyle name="Normal 2 2 5 4 8 2" xfId="35699"/>
    <cellStyle name="Normal 2 2 5 4 9" xfId="17383"/>
    <cellStyle name="Normal 2 2 5 4_01-04-2012" xfId="5020"/>
    <cellStyle name="Normal 2 2 5 5" xfId="5021"/>
    <cellStyle name="Normal 2 2 5 5 2" xfId="5022"/>
    <cellStyle name="Normal 2 2 5 5 2 2" xfId="35700"/>
    <cellStyle name="Normal 2 2 5 5 3" xfId="5023"/>
    <cellStyle name="Normal 2 2 5 5 3 2" xfId="35701"/>
    <cellStyle name="Normal 2 2 5 5 4" xfId="5024"/>
    <cellStyle name="Normal 2 2 5 5 4 2" xfId="35702"/>
    <cellStyle name="Normal 2 2 5 5 5" xfId="17384"/>
    <cellStyle name="Normal 2 2 5 5 5 2" xfId="35703"/>
    <cellStyle name="Normal 2 2 5 5_01-04-2012" xfId="5025"/>
    <cellStyle name="Normal 2 2 5 6" xfId="5026"/>
    <cellStyle name="Normal 2 2 5 6 2" xfId="5027"/>
    <cellStyle name="Normal 2 2 5 6 2 2" xfId="35704"/>
    <cellStyle name="Normal 2 2 5 6 3" xfId="5028"/>
    <cellStyle name="Normal 2 2 5 6 3 2" xfId="35705"/>
    <cellStyle name="Normal 2 2 5 6 4" xfId="5029"/>
    <cellStyle name="Normal 2 2 5 6 4 2" xfId="35706"/>
    <cellStyle name="Normal 2 2 5 6 5" xfId="17385"/>
    <cellStyle name="Normal 2 2 5 6 5 2" xfId="35707"/>
    <cellStyle name="Normal 2 2 5 6_01-04-2012" xfId="5030"/>
    <cellStyle name="Normal 2 2 5 7" xfId="5031"/>
    <cellStyle name="Normal 2 2 5 7 2" xfId="5032"/>
    <cellStyle name="Normal 2 2 5 7 2 2" xfId="35708"/>
    <cellStyle name="Normal 2 2 5 7 3" xfId="5033"/>
    <cellStyle name="Normal 2 2 5 7 3 2" xfId="35709"/>
    <cellStyle name="Normal 2 2 5 7 4" xfId="5034"/>
    <cellStyle name="Normal 2 2 5 7 4 2" xfId="35710"/>
    <cellStyle name="Normal 2 2 5 7 5" xfId="17386"/>
    <cellStyle name="Normal 2 2 5 7 5 2" xfId="35711"/>
    <cellStyle name="Normal 2 2 5 7_01-04-2012" xfId="5035"/>
    <cellStyle name="Normal 2 2 5 8" xfId="5036"/>
    <cellStyle name="Normal 2 2 5 8 2" xfId="5037"/>
    <cellStyle name="Normal 2 2 5 8 2 2" xfId="35712"/>
    <cellStyle name="Normal 2 2 5 8 3" xfId="5038"/>
    <cellStyle name="Normal 2 2 5 8 3 2" xfId="35713"/>
    <cellStyle name="Normal 2 2 5 8 4" xfId="5039"/>
    <cellStyle name="Normal 2 2 5 8 4 2" xfId="35714"/>
    <cellStyle name="Normal 2 2 5 8 5" xfId="17387"/>
    <cellStyle name="Normal 2 2 5 8 5 2" xfId="35715"/>
    <cellStyle name="Normal 2 2 5 8_01-04-2012" xfId="5040"/>
    <cellStyle name="Normal 2 2 5 9" xfId="5041"/>
    <cellStyle name="Normal 2 2 5 9 2" xfId="5042"/>
    <cellStyle name="Normal 2 2 5 9 2 2" xfId="35716"/>
    <cellStyle name="Normal 2 2 5 9 3" xfId="5043"/>
    <cellStyle name="Normal 2 2 5 9 3 2" xfId="35717"/>
    <cellStyle name="Normal 2 2 5 9 4" xfId="5044"/>
    <cellStyle name="Normal 2 2 5 9 4 2" xfId="35718"/>
    <cellStyle name="Normal 2 2 5 9 5" xfId="35719"/>
    <cellStyle name="Normal 2 2 5 9_01-04-2012" xfId="5045"/>
    <cellStyle name="Normal 2 2 5_01-04-2012" xfId="5046"/>
    <cellStyle name="Normal 2 2 50" xfId="5047"/>
    <cellStyle name="Normal 2 2 51" xfId="5048"/>
    <cellStyle name="Normal 2 2 52" xfId="5049"/>
    <cellStyle name="Normal 2 2 53" xfId="5050"/>
    <cellStyle name="Normal 2 2 54" xfId="5051"/>
    <cellStyle name="Normal 2 2 55" xfId="5052"/>
    <cellStyle name="Normal 2 2 56" xfId="5053"/>
    <cellStyle name="Normal 2 2 57" xfId="5054"/>
    <cellStyle name="Normal 2 2 58" xfId="5055"/>
    <cellStyle name="Normal 2 2 59" xfId="5056"/>
    <cellStyle name="Normal 2 2 6" xfId="5057"/>
    <cellStyle name="Normal 2 2 6 10" xfId="5058"/>
    <cellStyle name="Normal 2 2 6 11" xfId="5059"/>
    <cellStyle name="Normal 2 2 6 12" xfId="5060"/>
    <cellStyle name="Normal 2 2 6 13" xfId="5061"/>
    <cellStyle name="Normal 2 2 6 14" xfId="5062"/>
    <cellStyle name="Normal 2 2 6 15" xfId="5063"/>
    <cellStyle name="Normal 2 2 6 16" xfId="5064"/>
    <cellStyle name="Normal 2 2 6 17" xfId="5065"/>
    <cellStyle name="Normal 2 2 6 18" xfId="5066"/>
    <cellStyle name="Normal 2 2 6 19" xfId="5067"/>
    <cellStyle name="Normal 2 2 6 2" xfId="5068"/>
    <cellStyle name="Normal 2 2 6 2 2" xfId="5069"/>
    <cellStyle name="Normal 2 2 6 2 2 2" xfId="5070"/>
    <cellStyle name="Normal 2 2 6 2 2 2 2" xfId="35720"/>
    <cellStyle name="Normal 2 2 6 2 2 3" xfId="5071"/>
    <cellStyle name="Normal 2 2 6 2 2 3 2" xfId="35721"/>
    <cellStyle name="Normal 2 2 6 2 2 4" xfId="5072"/>
    <cellStyle name="Normal 2 2 6 2 2 4 2" xfId="35722"/>
    <cellStyle name="Normal 2 2 6 2 2 5" xfId="17388"/>
    <cellStyle name="Normal 2 2 6 2 2 5 2" xfId="35723"/>
    <cellStyle name="Normal 2 2 6 2 2_01-04-2012" xfId="5073"/>
    <cellStyle name="Normal 2 2 6 2 3" xfId="5074"/>
    <cellStyle name="Normal 2 2 6 2 3 2" xfId="5075"/>
    <cellStyle name="Normal 2 2 6 2 3 2 2" xfId="35724"/>
    <cellStyle name="Normal 2 2 6 2 3 3" xfId="5076"/>
    <cellStyle name="Normal 2 2 6 2 3 3 2" xfId="35725"/>
    <cellStyle name="Normal 2 2 6 2 3 4" xfId="5077"/>
    <cellStyle name="Normal 2 2 6 2 3 4 2" xfId="35726"/>
    <cellStyle name="Normal 2 2 6 2 3 5" xfId="17389"/>
    <cellStyle name="Normal 2 2 6 2 3 5 2" xfId="35727"/>
    <cellStyle name="Normal 2 2 6 2 3_01-04-2012" xfId="5078"/>
    <cellStyle name="Normal 2 2 6 2 4" xfId="5079"/>
    <cellStyle name="Normal 2 2 6 2 4 2" xfId="5080"/>
    <cellStyle name="Normal 2 2 6 2 4 2 2" xfId="35728"/>
    <cellStyle name="Normal 2 2 6 2 4 3" xfId="5081"/>
    <cellStyle name="Normal 2 2 6 2 4 3 2" xfId="35729"/>
    <cellStyle name="Normal 2 2 6 2 4 4" xfId="5082"/>
    <cellStyle name="Normal 2 2 6 2 4 4 2" xfId="35730"/>
    <cellStyle name="Normal 2 2 6 2 4 5" xfId="17390"/>
    <cellStyle name="Normal 2 2 6 2 4 5 2" xfId="35731"/>
    <cellStyle name="Normal 2 2 6 2 4_01-04-2012" xfId="5083"/>
    <cellStyle name="Normal 2 2 6 2 5" xfId="5084"/>
    <cellStyle name="Normal 2 2 6 2 5 2" xfId="17391"/>
    <cellStyle name="Normal 2 2 6 2 5 2 2" xfId="35732"/>
    <cellStyle name="Normal 2 2 6 2 6" xfId="5085"/>
    <cellStyle name="Normal 2 2 6 2 6 2" xfId="17392"/>
    <cellStyle name="Normal 2 2 6 2 6 2 2" xfId="35733"/>
    <cellStyle name="Normal 2 2 6 2 7" xfId="5086"/>
    <cellStyle name="Normal 2 2 6 2 7 2" xfId="17393"/>
    <cellStyle name="Normal 2 2 6 2 7 2 2" xfId="35734"/>
    <cellStyle name="Normal 2 2 6 2 8" xfId="17394"/>
    <cellStyle name="Normal 2 2 6 2 8 2" xfId="35735"/>
    <cellStyle name="Normal 2 2 6 2_01-04-2012" xfId="5087"/>
    <cellStyle name="Normal 2 2 6 20" xfId="5088"/>
    <cellStyle name="Normal 2 2 6 21" xfId="5089"/>
    <cellStyle name="Normal 2 2 6 22" xfId="5090"/>
    <cellStyle name="Normal 2 2 6 23" xfId="5091"/>
    <cellStyle name="Normal 2 2 6 24" xfId="5092"/>
    <cellStyle name="Normal 2 2 6 25" xfId="5093"/>
    <cellStyle name="Normal 2 2 6 26" xfId="5094"/>
    <cellStyle name="Normal 2 2 6 26 2" xfId="35736"/>
    <cellStyle name="Normal 2 2 6 27" xfId="5095"/>
    <cellStyle name="Normal 2 2 6 27 2" xfId="35737"/>
    <cellStyle name="Normal 2 2 6 28" xfId="5096"/>
    <cellStyle name="Normal 2 2 6 28 2" xfId="35738"/>
    <cellStyle name="Normal 2 2 6 29" xfId="5097"/>
    <cellStyle name="Normal 2 2 6 29 2" xfId="35739"/>
    <cellStyle name="Normal 2 2 6 3" xfId="5098"/>
    <cellStyle name="Normal 2 2 6 3 10" xfId="17395"/>
    <cellStyle name="Normal 2 2 6 3 2" xfId="5099"/>
    <cellStyle name="Normal 2 2 6 3 2 2" xfId="5100"/>
    <cellStyle name="Normal 2 2 6 3 2 2 2" xfId="35740"/>
    <cellStyle name="Normal 2 2 6 3 2 3" xfId="5101"/>
    <cellStyle name="Normal 2 2 6 3 2 3 2" xfId="35741"/>
    <cellStyle name="Normal 2 2 6 3 2 4" xfId="5102"/>
    <cellStyle name="Normal 2 2 6 3 2 4 2" xfId="35742"/>
    <cellStyle name="Normal 2 2 6 3 2 5" xfId="35743"/>
    <cellStyle name="Normal 2 2 6 3 2_01-04-2012" xfId="5103"/>
    <cellStyle name="Normal 2 2 6 3 3" xfId="5104"/>
    <cellStyle name="Normal 2 2 6 3 3 2" xfId="5105"/>
    <cellStyle name="Normal 2 2 6 3 3 2 2" xfId="35744"/>
    <cellStyle name="Normal 2 2 6 3 3 3" xfId="5106"/>
    <cellStyle name="Normal 2 2 6 3 3 3 2" xfId="35745"/>
    <cellStyle name="Normal 2 2 6 3 3 4" xfId="5107"/>
    <cellStyle name="Normal 2 2 6 3 3 4 2" xfId="35746"/>
    <cellStyle name="Normal 2 2 6 3 3 5" xfId="35747"/>
    <cellStyle name="Normal 2 2 6 3 3_01-04-2012" xfId="5108"/>
    <cellStyle name="Normal 2 2 6 3 4" xfId="5109"/>
    <cellStyle name="Normal 2 2 6 3 4 2" xfId="5110"/>
    <cellStyle name="Normal 2 2 6 3 4 2 2" xfId="35748"/>
    <cellStyle name="Normal 2 2 6 3 4 3" xfId="5111"/>
    <cellStyle name="Normal 2 2 6 3 4 3 2" xfId="35749"/>
    <cellStyle name="Normal 2 2 6 3 4 4" xfId="5112"/>
    <cellStyle name="Normal 2 2 6 3 4 4 2" xfId="35750"/>
    <cellStyle name="Normal 2 2 6 3 4 5" xfId="35751"/>
    <cellStyle name="Normal 2 2 6 3 4_01-04-2012" xfId="5113"/>
    <cellStyle name="Normal 2 2 6 3 5" xfId="5114"/>
    <cellStyle name="Normal 2 2 6 3 5 2" xfId="35752"/>
    <cellStyle name="Normal 2 2 6 3 6" xfId="5115"/>
    <cellStyle name="Normal 2 2 6 3 6 2" xfId="35753"/>
    <cellStyle name="Normal 2 2 6 3 7" xfId="5116"/>
    <cellStyle name="Normal 2 2 6 3 7 2" xfId="35754"/>
    <cellStyle name="Normal 2 2 6 3 8" xfId="17396"/>
    <cellStyle name="Normal 2 2 6 3 8 2" xfId="35755"/>
    <cellStyle name="Normal 2 2 6 3 9" xfId="17397"/>
    <cellStyle name="Normal 2 2 6 3_01-04-2012" xfId="5117"/>
    <cellStyle name="Normal 2 2 6 30" xfId="17398"/>
    <cellStyle name="Normal 2 2 6 30 2" xfId="35756"/>
    <cellStyle name="Normal 2 2 6 4" xfId="5118"/>
    <cellStyle name="Normal 2 2 6 4 10" xfId="17399"/>
    <cellStyle name="Normal 2 2 6 4 2" xfId="5119"/>
    <cellStyle name="Normal 2 2 6 4 2 2" xfId="5120"/>
    <cellStyle name="Normal 2 2 6 4 2 2 2" xfId="35757"/>
    <cellStyle name="Normal 2 2 6 4 2 3" xfId="5121"/>
    <cellStyle name="Normal 2 2 6 4 2 3 2" xfId="35758"/>
    <cellStyle name="Normal 2 2 6 4 2 4" xfId="5122"/>
    <cellStyle name="Normal 2 2 6 4 2 4 2" xfId="35759"/>
    <cellStyle name="Normal 2 2 6 4 2 5" xfId="35760"/>
    <cellStyle name="Normal 2 2 6 4 2_01-04-2012" xfId="5123"/>
    <cellStyle name="Normal 2 2 6 4 3" xfId="5124"/>
    <cellStyle name="Normal 2 2 6 4 3 2" xfId="5125"/>
    <cellStyle name="Normal 2 2 6 4 3 2 2" xfId="35761"/>
    <cellStyle name="Normal 2 2 6 4 3 3" xfId="5126"/>
    <cellStyle name="Normal 2 2 6 4 3 3 2" xfId="35762"/>
    <cellStyle name="Normal 2 2 6 4 3 4" xfId="5127"/>
    <cellStyle name="Normal 2 2 6 4 3 4 2" xfId="35763"/>
    <cellStyle name="Normal 2 2 6 4 3 5" xfId="35764"/>
    <cellStyle name="Normal 2 2 6 4 3_01-04-2012" xfId="5128"/>
    <cellStyle name="Normal 2 2 6 4 4" xfId="5129"/>
    <cellStyle name="Normal 2 2 6 4 4 2" xfId="5130"/>
    <cellStyle name="Normal 2 2 6 4 4 2 2" xfId="35765"/>
    <cellStyle name="Normal 2 2 6 4 4 3" xfId="5131"/>
    <cellStyle name="Normal 2 2 6 4 4 3 2" xfId="35766"/>
    <cellStyle name="Normal 2 2 6 4 4 4" xfId="5132"/>
    <cellStyle name="Normal 2 2 6 4 4 4 2" xfId="35767"/>
    <cellStyle name="Normal 2 2 6 4 4 5" xfId="35768"/>
    <cellStyle name="Normal 2 2 6 4 4_01-04-2012" xfId="5133"/>
    <cellStyle name="Normal 2 2 6 4 5" xfId="5134"/>
    <cellStyle name="Normal 2 2 6 4 5 2" xfId="35769"/>
    <cellStyle name="Normal 2 2 6 4 6" xfId="5135"/>
    <cellStyle name="Normal 2 2 6 4 6 2" xfId="35770"/>
    <cellStyle name="Normal 2 2 6 4 7" xfId="5136"/>
    <cellStyle name="Normal 2 2 6 4 7 2" xfId="35771"/>
    <cellStyle name="Normal 2 2 6 4 8" xfId="17400"/>
    <cellStyle name="Normal 2 2 6 4 8 2" xfId="35772"/>
    <cellStyle name="Normal 2 2 6 4 9" xfId="17401"/>
    <cellStyle name="Normal 2 2 6 4_01-04-2012" xfId="5137"/>
    <cellStyle name="Normal 2 2 6 5" xfId="5138"/>
    <cellStyle name="Normal 2 2 6 5 2" xfId="5139"/>
    <cellStyle name="Normal 2 2 6 5 2 2" xfId="35773"/>
    <cellStyle name="Normal 2 2 6 5 3" xfId="5140"/>
    <cellStyle name="Normal 2 2 6 5 3 2" xfId="35774"/>
    <cellStyle name="Normal 2 2 6 5 4" xfId="5141"/>
    <cellStyle name="Normal 2 2 6 5 4 2" xfId="35775"/>
    <cellStyle name="Normal 2 2 6 5 5" xfId="17402"/>
    <cellStyle name="Normal 2 2 6 5 5 2" xfId="35776"/>
    <cellStyle name="Normal 2 2 6 5_01-04-2012" xfId="5142"/>
    <cellStyle name="Normal 2 2 6 6" xfId="5143"/>
    <cellStyle name="Normal 2 2 6 6 2" xfId="5144"/>
    <cellStyle name="Normal 2 2 6 6 2 2" xfId="35777"/>
    <cellStyle name="Normal 2 2 6 6 3" xfId="5145"/>
    <cellStyle name="Normal 2 2 6 6 3 2" xfId="35778"/>
    <cellStyle name="Normal 2 2 6 6 4" xfId="5146"/>
    <cellStyle name="Normal 2 2 6 6 4 2" xfId="35779"/>
    <cellStyle name="Normal 2 2 6 6 5" xfId="17403"/>
    <cellStyle name="Normal 2 2 6 6 5 2" xfId="35780"/>
    <cellStyle name="Normal 2 2 6 6_01-04-2012" xfId="5147"/>
    <cellStyle name="Normal 2 2 6 7" xfId="5148"/>
    <cellStyle name="Normal 2 2 6 7 2" xfId="5149"/>
    <cellStyle name="Normal 2 2 6 7 2 2" xfId="35781"/>
    <cellStyle name="Normal 2 2 6 7 3" xfId="5150"/>
    <cellStyle name="Normal 2 2 6 7 3 2" xfId="35782"/>
    <cellStyle name="Normal 2 2 6 7 4" xfId="5151"/>
    <cellStyle name="Normal 2 2 6 7 4 2" xfId="35783"/>
    <cellStyle name="Normal 2 2 6 7 5" xfId="17404"/>
    <cellStyle name="Normal 2 2 6 7 5 2" xfId="35784"/>
    <cellStyle name="Normal 2 2 6 7_01-04-2012" xfId="5152"/>
    <cellStyle name="Normal 2 2 6 8" xfId="5153"/>
    <cellStyle name="Normal 2 2 6 8 2" xfId="5154"/>
    <cellStyle name="Normal 2 2 6 8 2 2" xfId="35785"/>
    <cellStyle name="Normal 2 2 6 8 3" xfId="5155"/>
    <cellStyle name="Normal 2 2 6 8 3 2" xfId="35786"/>
    <cellStyle name="Normal 2 2 6 8 4" xfId="5156"/>
    <cellStyle name="Normal 2 2 6 8 4 2" xfId="35787"/>
    <cellStyle name="Normal 2 2 6 8 5" xfId="17405"/>
    <cellStyle name="Normal 2 2 6 8 5 2" xfId="35788"/>
    <cellStyle name="Normal 2 2 6 8_01-04-2012" xfId="5157"/>
    <cellStyle name="Normal 2 2 6 9" xfId="5158"/>
    <cellStyle name="Normal 2 2 6 9 2" xfId="5159"/>
    <cellStyle name="Normal 2 2 6 9 2 2" xfId="35789"/>
    <cellStyle name="Normal 2 2 6 9 3" xfId="5160"/>
    <cellStyle name="Normal 2 2 6 9 3 2" xfId="35790"/>
    <cellStyle name="Normal 2 2 6 9 4" xfId="5161"/>
    <cellStyle name="Normal 2 2 6 9 4 2" xfId="35791"/>
    <cellStyle name="Normal 2 2 6 9 5" xfId="35792"/>
    <cellStyle name="Normal 2 2 6 9_01-04-2012" xfId="5162"/>
    <cellStyle name="Normal 2 2 6_01-04-2012" xfId="5163"/>
    <cellStyle name="Normal 2 2 60" xfId="5164"/>
    <cellStyle name="Normal 2 2 61" xfId="5165"/>
    <cellStyle name="Normal 2 2 62" xfId="5166"/>
    <cellStyle name="Normal 2 2 62 2" xfId="5167"/>
    <cellStyle name="Normal 2 2 62 2 2" xfId="35793"/>
    <cellStyle name="Normal 2 2 62 3" xfId="5168"/>
    <cellStyle name="Normal 2 2 62 3 2" xfId="35794"/>
    <cellStyle name="Normal 2 2 62 4" xfId="5169"/>
    <cellStyle name="Normal 2 2 62 4 2" xfId="35795"/>
    <cellStyle name="Normal 2 2 62 5" xfId="35796"/>
    <cellStyle name="Normal 2 2 62_01-04-2012" xfId="5170"/>
    <cellStyle name="Normal 2 2 63" xfId="5171"/>
    <cellStyle name="Normal 2 2 63 2" xfId="5172"/>
    <cellStyle name="Normal 2 2 63 2 2" xfId="35797"/>
    <cellStyle name="Normal 2 2 63 3" xfId="5173"/>
    <cellStyle name="Normal 2 2 63 3 2" xfId="35798"/>
    <cellStyle name="Normal 2 2 63 4" xfId="5174"/>
    <cellStyle name="Normal 2 2 63 4 2" xfId="35799"/>
    <cellStyle name="Normal 2 2 63 5" xfId="35800"/>
    <cellStyle name="Normal 2 2 63_01-04-2012" xfId="5175"/>
    <cellStyle name="Normal 2 2 64" xfId="5176"/>
    <cellStyle name="Normal 2 2 64 2" xfId="5177"/>
    <cellStyle name="Normal 2 2 64 2 2" xfId="35801"/>
    <cellStyle name="Normal 2 2 64 3" xfId="5178"/>
    <cellStyle name="Normal 2 2 64 3 2" xfId="35802"/>
    <cellStyle name="Normal 2 2 64 4" xfId="5179"/>
    <cellStyle name="Normal 2 2 64 4 2" xfId="35803"/>
    <cellStyle name="Normal 2 2 64 5" xfId="35804"/>
    <cellStyle name="Normal 2 2 64_01-04-2012" xfId="5180"/>
    <cellStyle name="Normal 2 2 65" xfId="5181"/>
    <cellStyle name="Normal 2 2 66" xfId="5182"/>
    <cellStyle name="Normal 2 2 67" xfId="5183"/>
    <cellStyle name="Normal 2 2 67 2" xfId="5184"/>
    <cellStyle name="Normal 2 2 67 2 2" xfId="35805"/>
    <cellStyle name="Normal 2 2 67 3" xfId="5185"/>
    <cellStyle name="Normal 2 2 67 3 2" xfId="35806"/>
    <cellStyle name="Normal 2 2 67 4" xfId="5186"/>
    <cellStyle name="Normal 2 2 67 4 2" xfId="35807"/>
    <cellStyle name="Normal 2 2 67 5" xfId="35808"/>
    <cellStyle name="Normal 2 2 67_01-04-2012" xfId="5187"/>
    <cellStyle name="Normal 2 2 68" xfId="5188"/>
    <cellStyle name="Normal 2 2 68 2" xfId="5189"/>
    <cellStyle name="Normal 2 2 68 2 2" xfId="35809"/>
    <cellStyle name="Normal 2 2 68 3" xfId="5190"/>
    <cellStyle name="Normal 2 2 68 3 2" xfId="35810"/>
    <cellStyle name="Normal 2 2 68 4" xfId="5191"/>
    <cellStyle name="Normal 2 2 68 4 2" xfId="35811"/>
    <cellStyle name="Normal 2 2 68 5" xfId="35812"/>
    <cellStyle name="Normal 2 2 68_01-04-2012" xfId="5192"/>
    <cellStyle name="Normal 2 2 69" xfId="5193"/>
    <cellStyle name="Normal 2 2 69 2" xfId="5194"/>
    <cellStyle name="Normal 2 2 69 2 2" xfId="35813"/>
    <cellStyle name="Normal 2 2 69 3" xfId="5195"/>
    <cellStyle name="Normal 2 2 69 3 2" xfId="35814"/>
    <cellStyle name="Normal 2 2 69 4" xfId="5196"/>
    <cellStyle name="Normal 2 2 69 4 2" xfId="35815"/>
    <cellStyle name="Normal 2 2 69 5" xfId="35816"/>
    <cellStyle name="Normal 2 2 69_01-04-2012" xfId="5197"/>
    <cellStyle name="Normal 2 2 7" xfId="5198"/>
    <cellStyle name="Normal 2 2 7 10" xfId="5199"/>
    <cellStyle name="Normal 2 2 7 11" xfId="5200"/>
    <cellStyle name="Normal 2 2 7 12" xfId="5201"/>
    <cellStyle name="Normal 2 2 7 13" xfId="5202"/>
    <cellStyle name="Normal 2 2 7 14" xfId="5203"/>
    <cellStyle name="Normal 2 2 7 15" xfId="5204"/>
    <cellStyle name="Normal 2 2 7 16" xfId="5205"/>
    <cellStyle name="Normal 2 2 7 17" xfId="5206"/>
    <cellStyle name="Normal 2 2 7 18" xfId="5207"/>
    <cellStyle name="Normal 2 2 7 19" xfId="5208"/>
    <cellStyle name="Normal 2 2 7 2" xfId="5209"/>
    <cellStyle name="Normal 2 2 7 2 2" xfId="5210"/>
    <cellStyle name="Normal 2 2 7 2 2 2" xfId="5211"/>
    <cellStyle name="Normal 2 2 7 2 2 2 2" xfId="35817"/>
    <cellStyle name="Normal 2 2 7 2 2 3" xfId="5212"/>
    <cellStyle name="Normal 2 2 7 2 2 3 2" xfId="35818"/>
    <cellStyle name="Normal 2 2 7 2 2 4" xfId="5213"/>
    <cellStyle name="Normal 2 2 7 2 2 4 2" xfId="35819"/>
    <cellStyle name="Normal 2 2 7 2 2 5" xfId="17406"/>
    <cellStyle name="Normal 2 2 7 2 2 5 2" xfId="35820"/>
    <cellStyle name="Normal 2 2 7 2 2_01-04-2012" xfId="5214"/>
    <cellStyle name="Normal 2 2 7 2 3" xfId="5215"/>
    <cellStyle name="Normal 2 2 7 2 3 2" xfId="5216"/>
    <cellStyle name="Normal 2 2 7 2 3 2 2" xfId="35821"/>
    <cellStyle name="Normal 2 2 7 2 3 3" xfId="5217"/>
    <cellStyle name="Normal 2 2 7 2 3 3 2" xfId="35822"/>
    <cellStyle name="Normal 2 2 7 2 3 4" xfId="5218"/>
    <cellStyle name="Normal 2 2 7 2 3 4 2" xfId="35823"/>
    <cellStyle name="Normal 2 2 7 2 3 5" xfId="17407"/>
    <cellStyle name="Normal 2 2 7 2 3 5 2" xfId="35824"/>
    <cellStyle name="Normal 2 2 7 2 3_01-04-2012" xfId="5219"/>
    <cellStyle name="Normal 2 2 7 2 4" xfId="5220"/>
    <cellStyle name="Normal 2 2 7 2 4 2" xfId="5221"/>
    <cellStyle name="Normal 2 2 7 2 4 2 2" xfId="35825"/>
    <cellStyle name="Normal 2 2 7 2 4 3" xfId="5222"/>
    <cellStyle name="Normal 2 2 7 2 4 3 2" xfId="35826"/>
    <cellStyle name="Normal 2 2 7 2 4 4" xfId="5223"/>
    <cellStyle name="Normal 2 2 7 2 4 4 2" xfId="35827"/>
    <cellStyle name="Normal 2 2 7 2 4 5" xfId="17408"/>
    <cellStyle name="Normal 2 2 7 2 4 5 2" xfId="35828"/>
    <cellStyle name="Normal 2 2 7 2 4_01-04-2012" xfId="5224"/>
    <cellStyle name="Normal 2 2 7 2 5" xfId="5225"/>
    <cellStyle name="Normal 2 2 7 2 5 2" xfId="17409"/>
    <cellStyle name="Normal 2 2 7 2 5 2 2" xfId="35829"/>
    <cellStyle name="Normal 2 2 7 2 6" xfId="5226"/>
    <cellStyle name="Normal 2 2 7 2 6 2" xfId="17410"/>
    <cellStyle name="Normal 2 2 7 2 6 2 2" xfId="35830"/>
    <cellStyle name="Normal 2 2 7 2 7" xfId="5227"/>
    <cellStyle name="Normal 2 2 7 2 7 2" xfId="17411"/>
    <cellStyle name="Normal 2 2 7 2 7 2 2" xfId="35831"/>
    <cellStyle name="Normal 2 2 7 2 8" xfId="17412"/>
    <cellStyle name="Normal 2 2 7 2 8 2" xfId="35832"/>
    <cellStyle name="Normal 2 2 7 2_01-04-2012" xfId="5228"/>
    <cellStyle name="Normal 2 2 7 20" xfId="5229"/>
    <cellStyle name="Normal 2 2 7 21" xfId="5230"/>
    <cellStyle name="Normal 2 2 7 22" xfId="5231"/>
    <cellStyle name="Normal 2 2 7 23" xfId="5232"/>
    <cellStyle name="Normal 2 2 7 24" xfId="5233"/>
    <cellStyle name="Normal 2 2 7 25" xfId="5234"/>
    <cellStyle name="Normal 2 2 7 26" xfId="5235"/>
    <cellStyle name="Normal 2 2 7 26 2" xfId="35833"/>
    <cellStyle name="Normal 2 2 7 27" xfId="5236"/>
    <cellStyle name="Normal 2 2 7 27 2" xfId="35834"/>
    <cellStyle name="Normal 2 2 7 28" xfId="5237"/>
    <cellStyle name="Normal 2 2 7 28 2" xfId="35835"/>
    <cellStyle name="Normal 2 2 7 29" xfId="5238"/>
    <cellStyle name="Normal 2 2 7 29 2" xfId="35836"/>
    <cellStyle name="Normal 2 2 7 3" xfId="5239"/>
    <cellStyle name="Normal 2 2 7 3 10" xfId="17413"/>
    <cellStyle name="Normal 2 2 7 3 2" xfId="5240"/>
    <cellStyle name="Normal 2 2 7 3 2 2" xfId="5241"/>
    <cellStyle name="Normal 2 2 7 3 2 2 2" xfId="35837"/>
    <cellStyle name="Normal 2 2 7 3 2 3" xfId="5242"/>
    <cellStyle name="Normal 2 2 7 3 2 3 2" xfId="35838"/>
    <cellStyle name="Normal 2 2 7 3 2 4" xfId="5243"/>
    <cellStyle name="Normal 2 2 7 3 2 4 2" xfId="35839"/>
    <cellStyle name="Normal 2 2 7 3 2 5" xfId="35840"/>
    <cellStyle name="Normal 2 2 7 3 2_01-04-2012" xfId="5244"/>
    <cellStyle name="Normal 2 2 7 3 3" xfId="5245"/>
    <cellStyle name="Normal 2 2 7 3 3 2" xfId="5246"/>
    <cellStyle name="Normal 2 2 7 3 3 2 2" xfId="35841"/>
    <cellStyle name="Normal 2 2 7 3 3 3" xfId="5247"/>
    <cellStyle name="Normal 2 2 7 3 3 3 2" xfId="35842"/>
    <cellStyle name="Normal 2 2 7 3 3 4" xfId="5248"/>
    <cellStyle name="Normal 2 2 7 3 3 4 2" xfId="35843"/>
    <cellStyle name="Normal 2 2 7 3 3 5" xfId="35844"/>
    <cellStyle name="Normal 2 2 7 3 3_01-04-2012" xfId="5249"/>
    <cellStyle name="Normal 2 2 7 3 4" xfId="5250"/>
    <cellStyle name="Normal 2 2 7 3 4 2" xfId="5251"/>
    <cellStyle name="Normal 2 2 7 3 4 2 2" xfId="35845"/>
    <cellStyle name="Normal 2 2 7 3 4 3" xfId="5252"/>
    <cellStyle name="Normal 2 2 7 3 4 3 2" xfId="35846"/>
    <cellStyle name="Normal 2 2 7 3 4 4" xfId="5253"/>
    <cellStyle name="Normal 2 2 7 3 4 4 2" xfId="35847"/>
    <cellStyle name="Normal 2 2 7 3 4 5" xfId="35848"/>
    <cellStyle name="Normal 2 2 7 3 4_01-04-2012" xfId="5254"/>
    <cellStyle name="Normal 2 2 7 3 5" xfId="5255"/>
    <cellStyle name="Normal 2 2 7 3 5 2" xfId="35849"/>
    <cellStyle name="Normal 2 2 7 3 6" xfId="5256"/>
    <cellStyle name="Normal 2 2 7 3 6 2" xfId="35850"/>
    <cellStyle name="Normal 2 2 7 3 7" xfId="5257"/>
    <cellStyle name="Normal 2 2 7 3 7 2" xfId="35851"/>
    <cellStyle name="Normal 2 2 7 3 8" xfId="17414"/>
    <cellStyle name="Normal 2 2 7 3 8 2" xfId="35852"/>
    <cellStyle name="Normal 2 2 7 3 9" xfId="17415"/>
    <cellStyle name="Normal 2 2 7 3_01-04-2012" xfId="5258"/>
    <cellStyle name="Normal 2 2 7 30" xfId="17416"/>
    <cellStyle name="Normal 2 2 7 30 2" xfId="35853"/>
    <cellStyle name="Normal 2 2 7 4" xfId="5259"/>
    <cellStyle name="Normal 2 2 7 4 10" xfId="17417"/>
    <cellStyle name="Normal 2 2 7 4 2" xfId="5260"/>
    <cellStyle name="Normal 2 2 7 4 2 2" xfId="5261"/>
    <cellStyle name="Normal 2 2 7 4 2 2 2" xfId="35854"/>
    <cellStyle name="Normal 2 2 7 4 2 3" xfId="5262"/>
    <cellStyle name="Normal 2 2 7 4 2 3 2" xfId="35855"/>
    <cellStyle name="Normal 2 2 7 4 2 4" xfId="5263"/>
    <cellStyle name="Normal 2 2 7 4 2 4 2" xfId="35856"/>
    <cellStyle name="Normal 2 2 7 4 2 5" xfId="35857"/>
    <cellStyle name="Normal 2 2 7 4 2_01-04-2012" xfId="5264"/>
    <cellStyle name="Normal 2 2 7 4 3" xfId="5265"/>
    <cellStyle name="Normal 2 2 7 4 3 2" xfId="5266"/>
    <cellStyle name="Normal 2 2 7 4 3 2 2" xfId="35858"/>
    <cellStyle name="Normal 2 2 7 4 3 3" xfId="5267"/>
    <cellStyle name="Normal 2 2 7 4 3 3 2" xfId="35859"/>
    <cellStyle name="Normal 2 2 7 4 3 4" xfId="5268"/>
    <cellStyle name="Normal 2 2 7 4 3 4 2" xfId="35860"/>
    <cellStyle name="Normal 2 2 7 4 3 5" xfId="35861"/>
    <cellStyle name="Normal 2 2 7 4 3_01-04-2012" xfId="5269"/>
    <cellStyle name="Normal 2 2 7 4 4" xfId="5270"/>
    <cellStyle name="Normal 2 2 7 4 4 2" xfId="5271"/>
    <cellStyle name="Normal 2 2 7 4 4 2 2" xfId="35862"/>
    <cellStyle name="Normal 2 2 7 4 4 3" xfId="5272"/>
    <cellStyle name="Normal 2 2 7 4 4 3 2" xfId="35863"/>
    <cellStyle name="Normal 2 2 7 4 4 4" xfId="5273"/>
    <cellStyle name="Normal 2 2 7 4 4 4 2" xfId="35864"/>
    <cellStyle name="Normal 2 2 7 4 4 5" xfId="35865"/>
    <cellStyle name="Normal 2 2 7 4 4_01-04-2012" xfId="5274"/>
    <cellStyle name="Normal 2 2 7 4 5" xfId="5275"/>
    <cellStyle name="Normal 2 2 7 4 5 2" xfId="35866"/>
    <cellStyle name="Normal 2 2 7 4 6" xfId="5276"/>
    <cellStyle name="Normal 2 2 7 4 6 2" xfId="35867"/>
    <cellStyle name="Normal 2 2 7 4 7" xfId="5277"/>
    <cellStyle name="Normal 2 2 7 4 7 2" xfId="35868"/>
    <cellStyle name="Normal 2 2 7 4 8" xfId="17418"/>
    <cellStyle name="Normal 2 2 7 4 8 2" xfId="35869"/>
    <cellStyle name="Normal 2 2 7 4 9" xfId="17419"/>
    <cellStyle name="Normal 2 2 7 4_01-04-2012" xfId="5278"/>
    <cellStyle name="Normal 2 2 7 5" xfId="5279"/>
    <cellStyle name="Normal 2 2 7 5 2" xfId="5280"/>
    <cellStyle name="Normal 2 2 7 5 2 2" xfId="35870"/>
    <cellStyle name="Normal 2 2 7 5 3" xfId="5281"/>
    <cellStyle name="Normal 2 2 7 5 3 2" xfId="35871"/>
    <cellStyle name="Normal 2 2 7 5 4" xfId="5282"/>
    <cellStyle name="Normal 2 2 7 5 4 2" xfId="35872"/>
    <cellStyle name="Normal 2 2 7 5 5" xfId="17420"/>
    <cellStyle name="Normal 2 2 7 5 5 2" xfId="35873"/>
    <cellStyle name="Normal 2 2 7 5_01-04-2012" xfId="5283"/>
    <cellStyle name="Normal 2 2 7 6" xfId="5284"/>
    <cellStyle name="Normal 2 2 7 6 2" xfId="5285"/>
    <cellStyle name="Normal 2 2 7 6 2 2" xfId="35874"/>
    <cellStyle name="Normal 2 2 7 6 3" xfId="5286"/>
    <cellStyle name="Normal 2 2 7 6 3 2" xfId="35875"/>
    <cellStyle name="Normal 2 2 7 6 4" xfId="5287"/>
    <cellStyle name="Normal 2 2 7 6 4 2" xfId="35876"/>
    <cellStyle name="Normal 2 2 7 6 5" xfId="17421"/>
    <cellStyle name="Normal 2 2 7 6 5 2" xfId="35877"/>
    <cellStyle name="Normal 2 2 7 6_01-04-2012" xfId="5288"/>
    <cellStyle name="Normal 2 2 7 7" xfId="5289"/>
    <cellStyle name="Normal 2 2 7 7 2" xfId="5290"/>
    <cellStyle name="Normal 2 2 7 7 2 2" xfId="35878"/>
    <cellStyle name="Normal 2 2 7 7 3" xfId="5291"/>
    <cellStyle name="Normal 2 2 7 7 3 2" xfId="35879"/>
    <cellStyle name="Normal 2 2 7 7 4" xfId="5292"/>
    <cellStyle name="Normal 2 2 7 7 4 2" xfId="35880"/>
    <cellStyle name="Normal 2 2 7 7 5" xfId="17422"/>
    <cellStyle name="Normal 2 2 7 7 5 2" xfId="35881"/>
    <cellStyle name="Normal 2 2 7 7_01-04-2012" xfId="5293"/>
    <cellStyle name="Normal 2 2 7 8" xfId="5294"/>
    <cellStyle name="Normal 2 2 7 8 2" xfId="5295"/>
    <cellStyle name="Normal 2 2 7 8 2 2" xfId="35882"/>
    <cellStyle name="Normal 2 2 7 8 3" xfId="5296"/>
    <cellStyle name="Normal 2 2 7 8 3 2" xfId="35883"/>
    <cellStyle name="Normal 2 2 7 8 4" xfId="5297"/>
    <cellStyle name="Normal 2 2 7 8 4 2" xfId="35884"/>
    <cellStyle name="Normal 2 2 7 8 5" xfId="17423"/>
    <cellStyle name="Normal 2 2 7 8 5 2" xfId="35885"/>
    <cellStyle name="Normal 2 2 7 8_01-04-2012" xfId="5298"/>
    <cellStyle name="Normal 2 2 7 9" xfId="5299"/>
    <cellStyle name="Normal 2 2 7 9 2" xfId="5300"/>
    <cellStyle name="Normal 2 2 7 9 2 2" xfId="35886"/>
    <cellStyle name="Normal 2 2 7 9 3" xfId="5301"/>
    <cellStyle name="Normal 2 2 7 9 3 2" xfId="35887"/>
    <cellStyle name="Normal 2 2 7 9 4" xfId="5302"/>
    <cellStyle name="Normal 2 2 7 9 4 2" xfId="35888"/>
    <cellStyle name="Normal 2 2 7 9 5" xfId="35889"/>
    <cellStyle name="Normal 2 2 7 9_01-04-2012" xfId="5303"/>
    <cellStyle name="Normal 2 2 7_01-04-2012" xfId="5304"/>
    <cellStyle name="Normal 2 2 70" xfId="5305"/>
    <cellStyle name="Normal 2 2 70 2" xfId="5306"/>
    <cellStyle name="Normal 2 2 70 2 2" xfId="35890"/>
    <cellStyle name="Normal 2 2 70 3" xfId="5307"/>
    <cellStyle name="Normal 2 2 70 3 2" xfId="35891"/>
    <cellStyle name="Normal 2 2 70 4" xfId="5308"/>
    <cellStyle name="Normal 2 2 70 4 2" xfId="35892"/>
    <cellStyle name="Normal 2 2 70 5" xfId="35893"/>
    <cellStyle name="Normal 2 2 70_01-04-2012" xfId="5309"/>
    <cellStyle name="Normal 2 2 71" xfId="5310"/>
    <cellStyle name="Normal 2 2 71 2" xfId="5311"/>
    <cellStyle name="Normal 2 2 71 2 2" xfId="35894"/>
    <cellStyle name="Normal 2 2 71 3" xfId="5312"/>
    <cellStyle name="Normal 2 2 71 3 2" xfId="35895"/>
    <cellStyle name="Normal 2 2 71 4" xfId="5313"/>
    <cellStyle name="Normal 2 2 71 4 2" xfId="35896"/>
    <cellStyle name="Normal 2 2 71 5" xfId="35897"/>
    <cellStyle name="Normal 2 2 71_01-04-2012" xfId="5314"/>
    <cellStyle name="Normal 2 2 72" xfId="5315"/>
    <cellStyle name="Normal 2 2 72 2" xfId="5316"/>
    <cellStyle name="Normal 2 2 72 2 2" xfId="35898"/>
    <cellStyle name="Normal 2 2 72 3" xfId="5317"/>
    <cellStyle name="Normal 2 2 72 3 2" xfId="35899"/>
    <cellStyle name="Normal 2 2 72 4" xfId="5318"/>
    <cellStyle name="Normal 2 2 72 4 2" xfId="35900"/>
    <cellStyle name="Normal 2 2 72 5" xfId="35901"/>
    <cellStyle name="Normal 2 2 72_01-04-2012" xfId="5319"/>
    <cellStyle name="Normal 2 2 73" xfId="5320"/>
    <cellStyle name="Normal 2 2 73 2" xfId="5321"/>
    <cellStyle name="Normal 2 2 73 2 2" xfId="35902"/>
    <cellStyle name="Normal 2 2 73 3" xfId="5322"/>
    <cellStyle name="Normal 2 2 73 3 2" xfId="35903"/>
    <cellStyle name="Normal 2 2 73 4" xfId="5323"/>
    <cellStyle name="Normal 2 2 73 4 2" xfId="35904"/>
    <cellStyle name="Normal 2 2 73 5" xfId="35905"/>
    <cellStyle name="Normal 2 2 73_01-04-2012" xfId="5324"/>
    <cellStyle name="Normal 2 2 74" xfId="5325"/>
    <cellStyle name="Normal 2 2 74 2" xfId="5326"/>
    <cellStyle name="Normal 2 2 74 2 2" xfId="35906"/>
    <cellStyle name="Normal 2 2 74 3" xfId="5327"/>
    <cellStyle name="Normal 2 2 74 3 2" xfId="35907"/>
    <cellStyle name="Normal 2 2 74 4" xfId="5328"/>
    <cellStyle name="Normal 2 2 74 4 2" xfId="35908"/>
    <cellStyle name="Normal 2 2 74 5" xfId="35909"/>
    <cellStyle name="Normal 2 2 74_01-04-2012" xfId="5329"/>
    <cellStyle name="Normal 2 2 75" xfId="5330"/>
    <cellStyle name="Normal 2 2 75 2" xfId="5331"/>
    <cellStyle name="Normal 2 2 75 2 2" xfId="35910"/>
    <cellStyle name="Normal 2 2 75 3" xfId="5332"/>
    <cellStyle name="Normal 2 2 75 3 2" xfId="35911"/>
    <cellStyle name="Normal 2 2 75 4" xfId="5333"/>
    <cellStyle name="Normal 2 2 75 4 2" xfId="35912"/>
    <cellStyle name="Normal 2 2 75 5" xfId="35913"/>
    <cellStyle name="Normal 2 2 75_01-04-2012" xfId="5334"/>
    <cellStyle name="Normal 2 2 76" xfId="5335"/>
    <cellStyle name="Normal 2 2 76 2" xfId="5336"/>
    <cellStyle name="Normal 2 2 76 2 2" xfId="35914"/>
    <cellStyle name="Normal 2 2 76 3" xfId="5337"/>
    <cellStyle name="Normal 2 2 76 3 2" xfId="35915"/>
    <cellStyle name="Normal 2 2 76 4" xfId="5338"/>
    <cellStyle name="Normal 2 2 76 4 2" xfId="35916"/>
    <cellStyle name="Normal 2 2 76 5" xfId="35917"/>
    <cellStyle name="Normal 2 2 76_01-04-2012" xfId="5339"/>
    <cellStyle name="Normal 2 2 77" xfId="5340"/>
    <cellStyle name="Normal 2 2 77 2" xfId="5341"/>
    <cellStyle name="Normal 2 2 77 2 2" xfId="35918"/>
    <cellStyle name="Normal 2 2 77 3" xfId="5342"/>
    <cellStyle name="Normal 2 2 77 3 2" xfId="35919"/>
    <cellStyle name="Normal 2 2 77 4" xfId="5343"/>
    <cellStyle name="Normal 2 2 77 4 2" xfId="35920"/>
    <cellStyle name="Normal 2 2 77 5" xfId="35921"/>
    <cellStyle name="Normal 2 2 77_01-04-2012" xfId="5344"/>
    <cellStyle name="Normal 2 2 78" xfId="5345"/>
    <cellStyle name="Normal 2 2 78 2" xfId="5346"/>
    <cellStyle name="Normal 2 2 78 2 2" xfId="35922"/>
    <cellStyle name="Normal 2 2 78 3" xfId="5347"/>
    <cellStyle name="Normal 2 2 78 3 2" xfId="35923"/>
    <cellStyle name="Normal 2 2 78 4" xfId="5348"/>
    <cellStyle name="Normal 2 2 78 4 2" xfId="35924"/>
    <cellStyle name="Normal 2 2 78 5" xfId="35925"/>
    <cellStyle name="Normal 2 2 78_01-04-2012" xfId="5349"/>
    <cellStyle name="Normal 2 2 79" xfId="5350"/>
    <cellStyle name="Normal 2 2 79 2" xfId="5351"/>
    <cellStyle name="Normal 2 2 79 2 2" xfId="35926"/>
    <cellStyle name="Normal 2 2 79 3" xfId="5352"/>
    <cellStyle name="Normal 2 2 79 3 2" xfId="35927"/>
    <cellStyle name="Normal 2 2 79 4" xfId="5353"/>
    <cellStyle name="Normal 2 2 79 4 2" xfId="35928"/>
    <cellStyle name="Normal 2 2 79 5" xfId="35929"/>
    <cellStyle name="Normal 2 2 79_01-04-2012" xfId="5354"/>
    <cellStyle name="Normal 2 2 8" xfId="5355"/>
    <cellStyle name="Normal 2 2 8 10" xfId="5356"/>
    <cellStyle name="Normal 2 2 8 11" xfId="5357"/>
    <cellStyle name="Normal 2 2 8 12" xfId="5358"/>
    <cellStyle name="Normal 2 2 8 13" xfId="5359"/>
    <cellStyle name="Normal 2 2 8 14" xfId="5360"/>
    <cellStyle name="Normal 2 2 8 15" xfId="5361"/>
    <cellStyle name="Normal 2 2 8 16" xfId="5362"/>
    <cellStyle name="Normal 2 2 8 17" xfId="5363"/>
    <cellStyle name="Normal 2 2 8 18" xfId="5364"/>
    <cellStyle name="Normal 2 2 8 19" xfId="5365"/>
    <cellStyle name="Normal 2 2 8 2" xfId="5366"/>
    <cellStyle name="Normal 2 2 8 2 2" xfId="5367"/>
    <cellStyle name="Normal 2 2 8 2 2 2" xfId="5368"/>
    <cellStyle name="Normal 2 2 8 2 2 2 2" xfId="35930"/>
    <cellStyle name="Normal 2 2 8 2 2 3" xfId="5369"/>
    <cellStyle name="Normal 2 2 8 2 2 3 2" xfId="35931"/>
    <cellStyle name="Normal 2 2 8 2 2 4" xfId="5370"/>
    <cellStyle name="Normal 2 2 8 2 2 4 2" xfId="35932"/>
    <cellStyle name="Normal 2 2 8 2 2 5" xfId="17424"/>
    <cellStyle name="Normal 2 2 8 2 2 5 2" xfId="35933"/>
    <cellStyle name="Normal 2 2 8 2 2_01-04-2012" xfId="5371"/>
    <cellStyle name="Normal 2 2 8 2 3" xfId="5372"/>
    <cellStyle name="Normal 2 2 8 2 3 2" xfId="5373"/>
    <cellStyle name="Normal 2 2 8 2 3 2 2" xfId="35934"/>
    <cellStyle name="Normal 2 2 8 2 3 3" xfId="5374"/>
    <cellStyle name="Normal 2 2 8 2 3 3 2" xfId="35935"/>
    <cellStyle name="Normal 2 2 8 2 3 4" xfId="5375"/>
    <cellStyle name="Normal 2 2 8 2 3 4 2" xfId="35936"/>
    <cellStyle name="Normal 2 2 8 2 3 5" xfId="17425"/>
    <cellStyle name="Normal 2 2 8 2 3 5 2" xfId="35937"/>
    <cellStyle name="Normal 2 2 8 2 3_01-04-2012" xfId="5376"/>
    <cellStyle name="Normal 2 2 8 2 4" xfId="5377"/>
    <cellStyle name="Normal 2 2 8 2 4 2" xfId="5378"/>
    <cellStyle name="Normal 2 2 8 2 4 2 2" xfId="35938"/>
    <cellStyle name="Normal 2 2 8 2 4 3" xfId="5379"/>
    <cellStyle name="Normal 2 2 8 2 4 3 2" xfId="35939"/>
    <cellStyle name="Normal 2 2 8 2 4 4" xfId="5380"/>
    <cellStyle name="Normal 2 2 8 2 4 4 2" xfId="35940"/>
    <cellStyle name="Normal 2 2 8 2 4 5" xfId="17426"/>
    <cellStyle name="Normal 2 2 8 2 4 5 2" xfId="35941"/>
    <cellStyle name="Normal 2 2 8 2 4_01-04-2012" xfId="5381"/>
    <cellStyle name="Normal 2 2 8 2 5" xfId="5382"/>
    <cellStyle name="Normal 2 2 8 2 5 2" xfId="17427"/>
    <cellStyle name="Normal 2 2 8 2 5 2 2" xfId="35942"/>
    <cellStyle name="Normal 2 2 8 2 6" xfId="5383"/>
    <cellStyle name="Normal 2 2 8 2 6 2" xfId="17428"/>
    <cellStyle name="Normal 2 2 8 2 6 2 2" xfId="35943"/>
    <cellStyle name="Normal 2 2 8 2 7" xfId="5384"/>
    <cellStyle name="Normal 2 2 8 2 7 2" xfId="17429"/>
    <cellStyle name="Normal 2 2 8 2 7 2 2" xfId="35944"/>
    <cellStyle name="Normal 2 2 8 2 8" xfId="17430"/>
    <cellStyle name="Normal 2 2 8 2 8 2" xfId="35945"/>
    <cellStyle name="Normal 2 2 8 2_01-04-2012" xfId="5385"/>
    <cellStyle name="Normal 2 2 8 20" xfId="5386"/>
    <cellStyle name="Normal 2 2 8 21" xfId="5387"/>
    <cellStyle name="Normal 2 2 8 22" xfId="5388"/>
    <cellStyle name="Normal 2 2 8 23" xfId="5389"/>
    <cellStyle name="Normal 2 2 8 24" xfId="5390"/>
    <cellStyle name="Normal 2 2 8 25" xfId="5391"/>
    <cellStyle name="Normal 2 2 8 26" xfId="5392"/>
    <cellStyle name="Normal 2 2 8 26 2" xfId="35946"/>
    <cellStyle name="Normal 2 2 8 27" xfId="5393"/>
    <cellStyle name="Normal 2 2 8 27 2" xfId="35947"/>
    <cellStyle name="Normal 2 2 8 28" xfId="5394"/>
    <cellStyle name="Normal 2 2 8 28 2" xfId="35948"/>
    <cellStyle name="Normal 2 2 8 29" xfId="5395"/>
    <cellStyle name="Normal 2 2 8 29 2" xfId="35949"/>
    <cellStyle name="Normal 2 2 8 3" xfId="5396"/>
    <cellStyle name="Normal 2 2 8 3 10" xfId="17431"/>
    <cellStyle name="Normal 2 2 8 3 2" xfId="5397"/>
    <cellStyle name="Normal 2 2 8 3 2 2" xfId="5398"/>
    <cellStyle name="Normal 2 2 8 3 2 2 2" xfId="35950"/>
    <cellStyle name="Normal 2 2 8 3 2 3" xfId="5399"/>
    <cellStyle name="Normal 2 2 8 3 2 3 2" xfId="35951"/>
    <cellStyle name="Normal 2 2 8 3 2 4" xfId="5400"/>
    <cellStyle name="Normal 2 2 8 3 2 4 2" xfId="35952"/>
    <cellStyle name="Normal 2 2 8 3 2 5" xfId="35953"/>
    <cellStyle name="Normal 2 2 8 3 2_01-04-2012" xfId="5401"/>
    <cellStyle name="Normal 2 2 8 3 3" xfId="5402"/>
    <cellStyle name="Normal 2 2 8 3 3 2" xfId="5403"/>
    <cellStyle name="Normal 2 2 8 3 3 2 2" xfId="35954"/>
    <cellStyle name="Normal 2 2 8 3 3 3" xfId="5404"/>
    <cellStyle name="Normal 2 2 8 3 3 3 2" xfId="35955"/>
    <cellStyle name="Normal 2 2 8 3 3 4" xfId="5405"/>
    <cellStyle name="Normal 2 2 8 3 3 4 2" xfId="35956"/>
    <cellStyle name="Normal 2 2 8 3 3 5" xfId="35957"/>
    <cellStyle name="Normal 2 2 8 3 3_01-04-2012" xfId="5406"/>
    <cellStyle name="Normal 2 2 8 3 4" xfId="5407"/>
    <cellStyle name="Normal 2 2 8 3 4 2" xfId="5408"/>
    <cellStyle name="Normal 2 2 8 3 4 2 2" xfId="35958"/>
    <cellStyle name="Normal 2 2 8 3 4 3" xfId="5409"/>
    <cellStyle name="Normal 2 2 8 3 4 3 2" xfId="35959"/>
    <cellStyle name="Normal 2 2 8 3 4 4" xfId="5410"/>
    <cellStyle name="Normal 2 2 8 3 4 4 2" xfId="35960"/>
    <cellStyle name="Normal 2 2 8 3 4 5" xfId="35961"/>
    <cellStyle name="Normal 2 2 8 3 4_01-04-2012" xfId="5411"/>
    <cellStyle name="Normal 2 2 8 3 5" xfId="5412"/>
    <cellStyle name="Normal 2 2 8 3 5 2" xfId="35962"/>
    <cellStyle name="Normal 2 2 8 3 6" xfId="5413"/>
    <cellStyle name="Normal 2 2 8 3 6 2" xfId="35963"/>
    <cellStyle name="Normal 2 2 8 3 7" xfId="5414"/>
    <cellStyle name="Normal 2 2 8 3 7 2" xfId="35964"/>
    <cellStyle name="Normal 2 2 8 3 8" xfId="17432"/>
    <cellStyle name="Normal 2 2 8 3 8 2" xfId="35965"/>
    <cellStyle name="Normal 2 2 8 3 9" xfId="17433"/>
    <cellStyle name="Normal 2 2 8 3_01-04-2012" xfId="5415"/>
    <cellStyle name="Normal 2 2 8 30" xfId="17434"/>
    <cellStyle name="Normal 2 2 8 30 2" xfId="35966"/>
    <cellStyle name="Normal 2 2 8 4" xfId="5416"/>
    <cellStyle name="Normal 2 2 8 4 10" xfId="17435"/>
    <cellStyle name="Normal 2 2 8 4 2" xfId="5417"/>
    <cellStyle name="Normal 2 2 8 4 2 2" xfId="5418"/>
    <cellStyle name="Normal 2 2 8 4 2 2 2" xfId="35967"/>
    <cellStyle name="Normal 2 2 8 4 2 3" xfId="5419"/>
    <cellStyle name="Normal 2 2 8 4 2 3 2" xfId="35968"/>
    <cellStyle name="Normal 2 2 8 4 2 4" xfId="5420"/>
    <cellStyle name="Normal 2 2 8 4 2 4 2" xfId="35969"/>
    <cellStyle name="Normal 2 2 8 4 2 5" xfId="35970"/>
    <cellStyle name="Normal 2 2 8 4 2_01-04-2012" xfId="5421"/>
    <cellStyle name="Normal 2 2 8 4 3" xfId="5422"/>
    <cellStyle name="Normal 2 2 8 4 3 2" xfId="5423"/>
    <cellStyle name="Normal 2 2 8 4 3 2 2" xfId="35971"/>
    <cellStyle name="Normal 2 2 8 4 3 3" xfId="5424"/>
    <cellStyle name="Normal 2 2 8 4 3 3 2" xfId="35972"/>
    <cellStyle name="Normal 2 2 8 4 3 4" xfId="5425"/>
    <cellStyle name="Normal 2 2 8 4 3 4 2" xfId="35973"/>
    <cellStyle name="Normal 2 2 8 4 3 5" xfId="35974"/>
    <cellStyle name="Normal 2 2 8 4 3_01-04-2012" xfId="5426"/>
    <cellStyle name="Normal 2 2 8 4 4" xfId="5427"/>
    <cellStyle name="Normal 2 2 8 4 4 2" xfId="5428"/>
    <cellStyle name="Normal 2 2 8 4 4 2 2" xfId="35975"/>
    <cellStyle name="Normal 2 2 8 4 4 3" xfId="5429"/>
    <cellStyle name="Normal 2 2 8 4 4 3 2" xfId="35976"/>
    <cellStyle name="Normal 2 2 8 4 4 4" xfId="5430"/>
    <cellStyle name="Normal 2 2 8 4 4 4 2" xfId="35977"/>
    <cellStyle name="Normal 2 2 8 4 4 5" xfId="35978"/>
    <cellStyle name="Normal 2 2 8 4 4_01-04-2012" xfId="5431"/>
    <cellStyle name="Normal 2 2 8 4 5" xfId="5432"/>
    <cellStyle name="Normal 2 2 8 4 5 2" xfId="35979"/>
    <cellStyle name="Normal 2 2 8 4 6" xfId="5433"/>
    <cellStyle name="Normal 2 2 8 4 6 2" xfId="35980"/>
    <cellStyle name="Normal 2 2 8 4 7" xfId="5434"/>
    <cellStyle name="Normal 2 2 8 4 7 2" xfId="35981"/>
    <cellStyle name="Normal 2 2 8 4 8" xfId="17436"/>
    <cellStyle name="Normal 2 2 8 4 8 2" xfId="35982"/>
    <cellStyle name="Normal 2 2 8 4 9" xfId="17437"/>
    <cellStyle name="Normal 2 2 8 4_01-04-2012" xfId="5435"/>
    <cellStyle name="Normal 2 2 8 5" xfId="5436"/>
    <cellStyle name="Normal 2 2 8 5 2" xfId="5437"/>
    <cellStyle name="Normal 2 2 8 5 2 2" xfId="35983"/>
    <cellStyle name="Normal 2 2 8 5 3" xfId="5438"/>
    <cellStyle name="Normal 2 2 8 5 3 2" xfId="35984"/>
    <cellStyle name="Normal 2 2 8 5 4" xfId="5439"/>
    <cellStyle name="Normal 2 2 8 5 4 2" xfId="35985"/>
    <cellStyle name="Normal 2 2 8 5 5" xfId="17438"/>
    <cellStyle name="Normal 2 2 8 5 5 2" xfId="35986"/>
    <cellStyle name="Normal 2 2 8 5_01-04-2012" xfId="5440"/>
    <cellStyle name="Normal 2 2 8 6" xfId="5441"/>
    <cellStyle name="Normal 2 2 8 6 2" xfId="5442"/>
    <cellStyle name="Normal 2 2 8 6 2 2" xfId="35987"/>
    <cellStyle name="Normal 2 2 8 6 3" xfId="5443"/>
    <cellStyle name="Normal 2 2 8 6 3 2" xfId="35988"/>
    <cellStyle name="Normal 2 2 8 6 4" xfId="5444"/>
    <cellStyle name="Normal 2 2 8 6 4 2" xfId="35989"/>
    <cellStyle name="Normal 2 2 8 6 5" xfId="17439"/>
    <cellStyle name="Normal 2 2 8 6 5 2" xfId="35990"/>
    <cellStyle name="Normal 2 2 8 6_01-04-2012" xfId="5445"/>
    <cellStyle name="Normal 2 2 8 7" xfId="5446"/>
    <cellStyle name="Normal 2 2 8 7 2" xfId="5447"/>
    <cellStyle name="Normal 2 2 8 7 2 2" xfId="35991"/>
    <cellStyle name="Normal 2 2 8 7 3" xfId="5448"/>
    <cellStyle name="Normal 2 2 8 7 3 2" xfId="35992"/>
    <cellStyle name="Normal 2 2 8 7 4" xfId="5449"/>
    <cellStyle name="Normal 2 2 8 7 4 2" xfId="35993"/>
    <cellStyle name="Normal 2 2 8 7 5" xfId="17440"/>
    <cellStyle name="Normal 2 2 8 7 5 2" xfId="35994"/>
    <cellStyle name="Normal 2 2 8 7_01-04-2012" xfId="5450"/>
    <cellStyle name="Normal 2 2 8 8" xfId="5451"/>
    <cellStyle name="Normal 2 2 8 8 2" xfId="5452"/>
    <cellStyle name="Normal 2 2 8 8 2 2" xfId="35995"/>
    <cellStyle name="Normal 2 2 8 8 3" xfId="5453"/>
    <cellStyle name="Normal 2 2 8 8 3 2" xfId="35996"/>
    <cellStyle name="Normal 2 2 8 8 4" xfId="5454"/>
    <cellStyle name="Normal 2 2 8 8 4 2" xfId="35997"/>
    <cellStyle name="Normal 2 2 8 8 5" xfId="17441"/>
    <cellStyle name="Normal 2 2 8 8 5 2" xfId="35998"/>
    <cellStyle name="Normal 2 2 8 8_01-04-2012" xfId="5455"/>
    <cellStyle name="Normal 2 2 8 9" xfId="5456"/>
    <cellStyle name="Normal 2 2 8 9 2" xfId="5457"/>
    <cellStyle name="Normal 2 2 8 9 2 2" xfId="35999"/>
    <cellStyle name="Normal 2 2 8 9 3" xfId="5458"/>
    <cellStyle name="Normal 2 2 8 9 3 2" xfId="36000"/>
    <cellStyle name="Normal 2 2 8 9 4" xfId="5459"/>
    <cellStyle name="Normal 2 2 8 9 4 2" xfId="36001"/>
    <cellStyle name="Normal 2 2 8 9 5" xfId="36002"/>
    <cellStyle name="Normal 2 2 8 9_01-04-2012" xfId="5460"/>
    <cellStyle name="Normal 2 2 8_01-04-2012" xfId="5461"/>
    <cellStyle name="Normal 2 2 80" xfId="5462"/>
    <cellStyle name="Normal 2 2 80 2" xfId="5463"/>
    <cellStyle name="Normal 2 2 80 2 2" xfId="36003"/>
    <cellStyle name="Normal 2 2 80 3" xfId="5464"/>
    <cellStyle name="Normal 2 2 80 3 2" xfId="36004"/>
    <cellStyle name="Normal 2 2 80 4" xfId="5465"/>
    <cellStyle name="Normal 2 2 80 4 2" xfId="36005"/>
    <cellStyle name="Normal 2 2 80 5" xfId="36006"/>
    <cellStyle name="Normal 2 2 80_01-04-2012" xfId="5466"/>
    <cellStyle name="Normal 2 2 81" xfId="5467"/>
    <cellStyle name="Normal 2 2 81 2" xfId="5468"/>
    <cellStyle name="Normal 2 2 81 2 2" xfId="36007"/>
    <cellStyle name="Normal 2 2 81 3" xfId="5469"/>
    <cellStyle name="Normal 2 2 81 3 2" xfId="36008"/>
    <cellStyle name="Normal 2 2 81 4" xfId="5470"/>
    <cellStyle name="Normal 2 2 81 4 2" xfId="36009"/>
    <cellStyle name="Normal 2 2 81 5" xfId="36010"/>
    <cellStyle name="Normal 2 2 81_01-04-2012" xfId="5471"/>
    <cellStyle name="Normal 2 2 82" xfId="5472"/>
    <cellStyle name="Normal 2 2 82 2" xfId="36011"/>
    <cellStyle name="Normal 2 2 83" xfId="5473"/>
    <cellStyle name="Normal 2 2 83 2" xfId="36012"/>
    <cellStyle name="Normal 2 2 84" xfId="5474"/>
    <cellStyle name="Normal 2 2 84 2" xfId="36013"/>
    <cellStyle name="Normal 2 2 85" xfId="5475"/>
    <cellStyle name="Normal 2 2 85 2" xfId="36014"/>
    <cellStyle name="Normal 2 2 86" xfId="5476"/>
    <cellStyle name="Normal 2 2 86 2" xfId="36015"/>
    <cellStyle name="Normal 2 2 87" xfId="5477"/>
    <cellStyle name="Normal 2 2 87 2" xfId="36016"/>
    <cellStyle name="Normal 2 2 88" xfId="5478"/>
    <cellStyle name="Normal 2 2 88 2" xfId="36017"/>
    <cellStyle name="Normal 2 2 89" xfId="5479"/>
    <cellStyle name="Normal 2 2 89 2" xfId="36018"/>
    <cellStyle name="Normal 2 2 9" xfId="5480"/>
    <cellStyle name="Normal 2 2 9 10" xfId="5481"/>
    <cellStyle name="Normal 2 2 9 11" xfId="5482"/>
    <cellStyle name="Normal 2 2 9 12" xfId="5483"/>
    <cellStyle name="Normal 2 2 9 13" xfId="5484"/>
    <cellStyle name="Normal 2 2 9 14" xfId="5485"/>
    <cellStyle name="Normal 2 2 9 15" xfId="5486"/>
    <cellStyle name="Normal 2 2 9 16" xfId="5487"/>
    <cellStyle name="Normal 2 2 9 17" xfId="5488"/>
    <cellStyle name="Normal 2 2 9 18" xfId="5489"/>
    <cellStyle name="Normal 2 2 9 19" xfId="5490"/>
    <cellStyle name="Normal 2 2 9 2" xfId="5491"/>
    <cellStyle name="Normal 2 2 9 2 2" xfId="5492"/>
    <cellStyle name="Normal 2 2 9 2 2 2" xfId="5493"/>
    <cellStyle name="Normal 2 2 9 2 2 2 2" xfId="36019"/>
    <cellStyle name="Normal 2 2 9 2 2 3" xfId="5494"/>
    <cellStyle name="Normal 2 2 9 2 2 3 2" xfId="36020"/>
    <cellStyle name="Normal 2 2 9 2 2 4" xfId="5495"/>
    <cellStyle name="Normal 2 2 9 2 2 4 2" xfId="36021"/>
    <cellStyle name="Normal 2 2 9 2 2 5" xfId="17442"/>
    <cellStyle name="Normal 2 2 9 2 2 5 2" xfId="36022"/>
    <cellStyle name="Normal 2 2 9 2 2_01-04-2012" xfId="5496"/>
    <cellStyle name="Normal 2 2 9 2 3" xfId="5497"/>
    <cellStyle name="Normal 2 2 9 2 3 2" xfId="5498"/>
    <cellStyle name="Normal 2 2 9 2 3 2 2" xfId="36023"/>
    <cellStyle name="Normal 2 2 9 2 3 3" xfId="5499"/>
    <cellStyle name="Normal 2 2 9 2 3 3 2" xfId="36024"/>
    <cellStyle name="Normal 2 2 9 2 3 4" xfId="5500"/>
    <cellStyle name="Normal 2 2 9 2 3 4 2" xfId="36025"/>
    <cellStyle name="Normal 2 2 9 2 3 5" xfId="17443"/>
    <cellStyle name="Normal 2 2 9 2 3 5 2" xfId="36026"/>
    <cellStyle name="Normal 2 2 9 2 3_01-04-2012" xfId="5501"/>
    <cellStyle name="Normal 2 2 9 2 4" xfId="5502"/>
    <cellStyle name="Normal 2 2 9 2 4 2" xfId="5503"/>
    <cellStyle name="Normal 2 2 9 2 4 2 2" xfId="36027"/>
    <cellStyle name="Normal 2 2 9 2 4 3" xfId="5504"/>
    <cellStyle name="Normal 2 2 9 2 4 3 2" xfId="36028"/>
    <cellStyle name="Normal 2 2 9 2 4 4" xfId="5505"/>
    <cellStyle name="Normal 2 2 9 2 4 4 2" xfId="36029"/>
    <cellStyle name="Normal 2 2 9 2 4 5" xfId="17444"/>
    <cellStyle name="Normal 2 2 9 2 4 5 2" xfId="36030"/>
    <cellStyle name="Normal 2 2 9 2 4_01-04-2012" xfId="5506"/>
    <cellStyle name="Normal 2 2 9 2 5" xfId="5507"/>
    <cellStyle name="Normal 2 2 9 2 5 2" xfId="17445"/>
    <cellStyle name="Normal 2 2 9 2 5 2 2" xfId="36031"/>
    <cellStyle name="Normal 2 2 9 2 6" xfId="5508"/>
    <cellStyle name="Normal 2 2 9 2 6 2" xfId="17446"/>
    <cellStyle name="Normal 2 2 9 2 6 2 2" xfId="36032"/>
    <cellStyle name="Normal 2 2 9 2 7" xfId="5509"/>
    <cellStyle name="Normal 2 2 9 2 7 2" xfId="17447"/>
    <cellStyle name="Normal 2 2 9 2 7 2 2" xfId="36033"/>
    <cellStyle name="Normal 2 2 9 2 8" xfId="17448"/>
    <cellStyle name="Normal 2 2 9 2 8 2" xfId="36034"/>
    <cellStyle name="Normal 2 2 9 2_01-04-2012" xfId="5510"/>
    <cellStyle name="Normal 2 2 9 20" xfId="5511"/>
    <cellStyle name="Normal 2 2 9 21" xfId="5512"/>
    <cellStyle name="Normal 2 2 9 22" xfId="5513"/>
    <cellStyle name="Normal 2 2 9 23" xfId="5514"/>
    <cellStyle name="Normal 2 2 9 24" xfId="5515"/>
    <cellStyle name="Normal 2 2 9 25" xfId="5516"/>
    <cellStyle name="Normal 2 2 9 26" xfId="5517"/>
    <cellStyle name="Normal 2 2 9 26 2" xfId="36035"/>
    <cellStyle name="Normal 2 2 9 27" xfId="5518"/>
    <cellStyle name="Normal 2 2 9 27 2" xfId="36036"/>
    <cellStyle name="Normal 2 2 9 28" xfId="5519"/>
    <cellStyle name="Normal 2 2 9 28 2" xfId="36037"/>
    <cellStyle name="Normal 2 2 9 29" xfId="5520"/>
    <cellStyle name="Normal 2 2 9 29 2" xfId="36038"/>
    <cellStyle name="Normal 2 2 9 3" xfId="5521"/>
    <cellStyle name="Normal 2 2 9 3 10" xfId="17449"/>
    <cellStyle name="Normal 2 2 9 3 2" xfId="5522"/>
    <cellStyle name="Normal 2 2 9 3 2 2" xfId="5523"/>
    <cellStyle name="Normal 2 2 9 3 2 2 2" xfId="36039"/>
    <cellStyle name="Normal 2 2 9 3 2 3" xfId="5524"/>
    <cellStyle name="Normal 2 2 9 3 2 3 2" xfId="36040"/>
    <cellStyle name="Normal 2 2 9 3 2 4" xfId="5525"/>
    <cellStyle name="Normal 2 2 9 3 2 4 2" xfId="36041"/>
    <cellStyle name="Normal 2 2 9 3 2 5" xfId="36042"/>
    <cellStyle name="Normal 2 2 9 3 2_01-04-2012" xfId="5526"/>
    <cellStyle name="Normal 2 2 9 3 3" xfId="5527"/>
    <cellStyle name="Normal 2 2 9 3 3 2" xfId="5528"/>
    <cellStyle name="Normal 2 2 9 3 3 2 2" xfId="36043"/>
    <cellStyle name="Normal 2 2 9 3 3 3" xfId="5529"/>
    <cellStyle name="Normal 2 2 9 3 3 3 2" xfId="36044"/>
    <cellStyle name="Normal 2 2 9 3 3 4" xfId="5530"/>
    <cellStyle name="Normal 2 2 9 3 3 4 2" xfId="36045"/>
    <cellStyle name="Normal 2 2 9 3 3 5" xfId="36046"/>
    <cellStyle name="Normal 2 2 9 3 3_01-04-2012" xfId="5531"/>
    <cellStyle name="Normal 2 2 9 3 4" xfId="5532"/>
    <cellStyle name="Normal 2 2 9 3 4 2" xfId="5533"/>
    <cellStyle name="Normal 2 2 9 3 4 2 2" xfId="36047"/>
    <cellStyle name="Normal 2 2 9 3 4 3" xfId="5534"/>
    <cellStyle name="Normal 2 2 9 3 4 3 2" xfId="36048"/>
    <cellStyle name="Normal 2 2 9 3 4 4" xfId="5535"/>
    <cellStyle name="Normal 2 2 9 3 4 4 2" xfId="36049"/>
    <cellStyle name="Normal 2 2 9 3 4 5" xfId="36050"/>
    <cellStyle name="Normal 2 2 9 3 4_01-04-2012" xfId="5536"/>
    <cellStyle name="Normal 2 2 9 3 5" xfId="5537"/>
    <cellStyle name="Normal 2 2 9 3 5 2" xfId="36051"/>
    <cellStyle name="Normal 2 2 9 3 6" xfId="5538"/>
    <cellStyle name="Normal 2 2 9 3 6 2" xfId="36052"/>
    <cellStyle name="Normal 2 2 9 3 7" xfId="5539"/>
    <cellStyle name="Normal 2 2 9 3 7 2" xfId="36053"/>
    <cellStyle name="Normal 2 2 9 3 8" xfId="17450"/>
    <cellStyle name="Normal 2 2 9 3 8 2" xfId="36054"/>
    <cellStyle name="Normal 2 2 9 3 9" xfId="17451"/>
    <cellStyle name="Normal 2 2 9 3_01-04-2012" xfId="5540"/>
    <cellStyle name="Normal 2 2 9 30" xfId="17452"/>
    <cellStyle name="Normal 2 2 9 30 2" xfId="36055"/>
    <cellStyle name="Normal 2 2 9 4" xfId="5541"/>
    <cellStyle name="Normal 2 2 9 4 10" xfId="17453"/>
    <cellStyle name="Normal 2 2 9 4 2" xfId="5542"/>
    <cellStyle name="Normal 2 2 9 4 2 2" xfId="5543"/>
    <cellStyle name="Normal 2 2 9 4 2 2 2" xfId="36056"/>
    <cellStyle name="Normal 2 2 9 4 2 3" xfId="5544"/>
    <cellStyle name="Normal 2 2 9 4 2 3 2" xfId="36057"/>
    <cellStyle name="Normal 2 2 9 4 2 4" xfId="5545"/>
    <cellStyle name="Normal 2 2 9 4 2 4 2" xfId="36058"/>
    <cellStyle name="Normal 2 2 9 4 2 5" xfId="36059"/>
    <cellStyle name="Normal 2 2 9 4 2_01-04-2012" xfId="5546"/>
    <cellStyle name="Normal 2 2 9 4 3" xfId="5547"/>
    <cellStyle name="Normal 2 2 9 4 3 2" xfId="5548"/>
    <cellStyle name="Normal 2 2 9 4 3 2 2" xfId="36060"/>
    <cellStyle name="Normal 2 2 9 4 3 3" xfId="5549"/>
    <cellStyle name="Normal 2 2 9 4 3 3 2" xfId="36061"/>
    <cellStyle name="Normal 2 2 9 4 3 4" xfId="5550"/>
    <cellStyle name="Normal 2 2 9 4 3 4 2" xfId="36062"/>
    <cellStyle name="Normal 2 2 9 4 3 5" xfId="36063"/>
    <cellStyle name="Normal 2 2 9 4 3_01-04-2012" xfId="5551"/>
    <cellStyle name="Normal 2 2 9 4 4" xfId="5552"/>
    <cellStyle name="Normal 2 2 9 4 4 2" xfId="5553"/>
    <cellStyle name="Normal 2 2 9 4 4 2 2" xfId="36064"/>
    <cellStyle name="Normal 2 2 9 4 4 3" xfId="5554"/>
    <cellStyle name="Normal 2 2 9 4 4 3 2" xfId="36065"/>
    <cellStyle name="Normal 2 2 9 4 4 4" xfId="5555"/>
    <cellStyle name="Normal 2 2 9 4 4 4 2" xfId="36066"/>
    <cellStyle name="Normal 2 2 9 4 4 5" xfId="36067"/>
    <cellStyle name="Normal 2 2 9 4 4_01-04-2012" xfId="5556"/>
    <cellStyle name="Normal 2 2 9 4 5" xfId="5557"/>
    <cellStyle name="Normal 2 2 9 4 5 2" xfId="36068"/>
    <cellStyle name="Normal 2 2 9 4 6" xfId="5558"/>
    <cellStyle name="Normal 2 2 9 4 6 2" xfId="36069"/>
    <cellStyle name="Normal 2 2 9 4 7" xfId="5559"/>
    <cellStyle name="Normal 2 2 9 4 7 2" xfId="36070"/>
    <cellStyle name="Normal 2 2 9 4 8" xfId="17454"/>
    <cellStyle name="Normal 2 2 9 4 8 2" xfId="36071"/>
    <cellStyle name="Normal 2 2 9 4 9" xfId="17455"/>
    <cellStyle name="Normal 2 2 9 4_01-04-2012" xfId="5560"/>
    <cellStyle name="Normal 2 2 9 5" xfId="5561"/>
    <cellStyle name="Normal 2 2 9 5 2" xfId="5562"/>
    <cellStyle name="Normal 2 2 9 5 2 2" xfId="36072"/>
    <cellStyle name="Normal 2 2 9 5 3" xfId="5563"/>
    <cellStyle name="Normal 2 2 9 5 3 2" xfId="36073"/>
    <cellStyle name="Normal 2 2 9 5 4" xfId="5564"/>
    <cellStyle name="Normal 2 2 9 5 4 2" xfId="36074"/>
    <cellStyle name="Normal 2 2 9 5 5" xfId="17456"/>
    <cellStyle name="Normal 2 2 9 5 5 2" xfId="36075"/>
    <cellStyle name="Normal 2 2 9 5_01-04-2012" xfId="5565"/>
    <cellStyle name="Normal 2 2 9 6" xfId="5566"/>
    <cellStyle name="Normal 2 2 9 6 2" xfId="5567"/>
    <cellStyle name="Normal 2 2 9 6 2 2" xfId="36076"/>
    <cellStyle name="Normal 2 2 9 6 3" xfId="5568"/>
    <cellStyle name="Normal 2 2 9 6 3 2" xfId="36077"/>
    <cellStyle name="Normal 2 2 9 6 4" xfId="5569"/>
    <cellStyle name="Normal 2 2 9 6 4 2" xfId="36078"/>
    <cellStyle name="Normal 2 2 9 6 5" xfId="17457"/>
    <cellStyle name="Normal 2 2 9 6 5 2" xfId="36079"/>
    <cellStyle name="Normal 2 2 9 6_01-04-2012" xfId="5570"/>
    <cellStyle name="Normal 2 2 9 7" xfId="5571"/>
    <cellStyle name="Normal 2 2 9 7 2" xfId="5572"/>
    <cellStyle name="Normal 2 2 9 7 2 2" xfId="36080"/>
    <cellStyle name="Normal 2 2 9 7 3" xfId="5573"/>
    <cellStyle name="Normal 2 2 9 7 3 2" xfId="36081"/>
    <cellStyle name="Normal 2 2 9 7 4" xfId="5574"/>
    <cellStyle name="Normal 2 2 9 7 4 2" xfId="36082"/>
    <cellStyle name="Normal 2 2 9 7 5" xfId="17458"/>
    <cellStyle name="Normal 2 2 9 7 5 2" xfId="36083"/>
    <cellStyle name="Normal 2 2 9 7_01-04-2012" xfId="5575"/>
    <cellStyle name="Normal 2 2 9 8" xfId="5576"/>
    <cellStyle name="Normal 2 2 9 8 2" xfId="5577"/>
    <cellStyle name="Normal 2 2 9 8 2 2" xfId="36084"/>
    <cellStyle name="Normal 2 2 9 8 3" xfId="5578"/>
    <cellStyle name="Normal 2 2 9 8 3 2" xfId="36085"/>
    <cellStyle name="Normal 2 2 9 8 4" xfId="5579"/>
    <cellStyle name="Normal 2 2 9 8 4 2" xfId="36086"/>
    <cellStyle name="Normal 2 2 9 8 5" xfId="17459"/>
    <cellStyle name="Normal 2 2 9 8 5 2" xfId="36087"/>
    <cellStyle name="Normal 2 2 9 8_01-04-2012" xfId="5580"/>
    <cellStyle name="Normal 2 2 9 9" xfId="5581"/>
    <cellStyle name="Normal 2 2 9 9 2" xfId="5582"/>
    <cellStyle name="Normal 2 2 9 9 2 2" xfId="36088"/>
    <cellStyle name="Normal 2 2 9 9 3" xfId="5583"/>
    <cellStyle name="Normal 2 2 9 9 3 2" xfId="36089"/>
    <cellStyle name="Normal 2 2 9 9 4" xfId="5584"/>
    <cellStyle name="Normal 2 2 9 9 4 2" xfId="36090"/>
    <cellStyle name="Normal 2 2 9 9 5" xfId="36091"/>
    <cellStyle name="Normal 2 2 9 9_01-04-2012" xfId="5585"/>
    <cellStyle name="Normal 2 2 9_01-04-2012" xfId="5586"/>
    <cellStyle name="Normal 2 2 90" xfId="5587"/>
    <cellStyle name="Normal 2 2 90 2" xfId="36092"/>
    <cellStyle name="Normal 2 2 91" xfId="5588"/>
    <cellStyle name="Normal 2 2 91 2" xfId="36094"/>
    <cellStyle name="Normal 2 2 92" xfId="5589"/>
    <cellStyle name="Normal 2 2 92 2" xfId="36095"/>
    <cellStyle name="Normal 2 2 93" xfId="5590"/>
    <cellStyle name="Normal 2 2 93 2" xfId="36096"/>
    <cellStyle name="Normal 2 2 94" xfId="5591"/>
    <cellStyle name="Normal 2 2 94 2" xfId="36097"/>
    <cellStyle name="Normal 2 2 95" xfId="5592"/>
    <cellStyle name="Normal 2 2 95 2" xfId="36098"/>
    <cellStyle name="Normal 2 2 96" xfId="11610"/>
    <cellStyle name="Normal 2 2 97" xfId="17460"/>
    <cellStyle name="Normal 2 2 98" xfId="33224"/>
    <cellStyle name="Normal 2 2 99" xfId="33228"/>
    <cellStyle name="Normal 2 2_01-04-2012" xfId="5593"/>
    <cellStyle name="Normal 2 20" xfId="5594"/>
    <cellStyle name="Normal 2 20 10" xfId="5595"/>
    <cellStyle name="Normal 2 20 10 2" xfId="5596"/>
    <cellStyle name="Normal 2 20 10 2 2" xfId="36099"/>
    <cellStyle name="Normal 2 20 10 3" xfId="5597"/>
    <cellStyle name="Normal 2 20 10 3 2" xfId="36100"/>
    <cellStyle name="Normal 2 20 10 4" xfId="5598"/>
    <cellStyle name="Normal 2 20 10 4 2" xfId="36101"/>
    <cellStyle name="Normal 2 20 10 5" xfId="36102"/>
    <cellStyle name="Normal 2 20 10_01-04-2012" xfId="5599"/>
    <cellStyle name="Normal 2 20 11" xfId="5600"/>
    <cellStyle name="Normal 2 20 11 2" xfId="5601"/>
    <cellStyle name="Normal 2 20 11 2 2" xfId="36103"/>
    <cellStyle name="Normal 2 20 11 3" xfId="5602"/>
    <cellStyle name="Normal 2 20 11 3 2" xfId="36104"/>
    <cellStyle name="Normal 2 20 11 4" xfId="5603"/>
    <cellStyle name="Normal 2 20 11 4 2" xfId="36105"/>
    <cellStyle name="Normal 2 20 11 5" xfId="36106"/>
    <cellStyle name="Normal 2 20 11_01-04-2012" xfId="5604"/>
    <cellStyle name="Normal 2 20 12" xfId="5605"/>
    <cellStyle name="Normal 2 20 12 2" xfId="5606"/>
    <cellStyle name="Normal 2 20 12 2 2" xfId="36107"/>
    <cellStyle name="Normal 2 20 12 3" xfId="5607"/>
    <cellStyle name="Normal 2 20 12 3 2" xfId="36108"/>
    <cellStyle name="Normal 2 20 12 4" xfId="5608"/>
    <cellStyle name="Normal 2 20 12 4 2" xfId="36109"/>
    <cellStyle name="Normal 2 20 12 5" xfId="36110"/>
    <cellStyle name="Normal 2 20 12_01-04-2012" xfId="5609"/>
    <cellStyle name="Normal 2 20 13" xfId="5610"/>
    <cellStyle name="Normal 2 20 13 2" xfId="5611"/>
    <cellStyle name="Normal 2 20 13 2 2" xfId="36111"/>
    <cellStyle name="Normal 2 20 13 3" xfId="5612"/>
    <cellStyle name="Normal 2 20 13 3 2" xfId="36112"/>
    <cellStyle name="Normal 2 20 13 4" xfId="5613"/>
    <cellStyle name="Normal 2 20 13 4 2" xfId="36113"/>
    <cellStyle name="Normal 2 20 13 5" xfId="36114"/>
    <cellStyle name="Normal 2 20 13_01-04-2012" xfId="5614"/>
    <cellStyle name="Normal 2 20 14" xfId="5615"/>
    <cellStyle name="Normal 2 20 14 2" xfId="36115"/>
    <cellStyle name="Normal 2 20 15" xfId="5616"/>
    <cellStyle name="Normal 2 20 15 2" xfId="36116"/>
    <cellStyle name="Normal 2 20 16" xfId="5617"/>
    <cellStyle name="Normal 2 20 16 2" xfId="36117"/>
    <cellStyle name="Normal 2 20 17" xfId="36118"/>
    <cellStyle name="Normal 2 20 2" xfId="5618"/>
    <cellStyle name="Normal 2 20 2 2" xfId="5619"/>
    <cellStyle name="Normal 2 20 2 2 2" xfId="36119"/>
    <cellStyle name="Normal 2 20 2 3" xfId="5620"/>
    <cellStyle name="Normal 2 20 2 3 2" xfId="36120"/>
    <cellStyle name="Normal 2 20 2 4" xfId="5621"/>
    <cellStyle name="Normal 2 20 2 4 2" xfId="36121"/>
    <cellStyle name="Normal 2 20 2 5" xfId="36122"/>
    <cellStyle name="Normal 2 20 2_01-04-2012" xfId="5622"/>
    <cellStyle name="Normal 2 20 3" xfId="5623"/>
    <cellStyle name="Normal 2 20 3 2" xfId="5624"/>
    <cellStyle name="Normal 2 20 3 2 2" xfId="36123"/>
    <cellStyle name="Normal 2 20 3 3" xfId="5625"/>
    <cellStyle name="Normal 2 20 3 3 2" xfId="36124"/>
    <cellStyle name="Normal 2 20 3 4" xfId="5626"/>
    <cellStyle name="Normal 2 20 3 4 2" xfId="36125"/>
    <cellStyle name="Normal 2 20 3 5" xfId="36126"/>
    <cellStyle name="Normal 2 20 3_01-04-2012" xfId="5627"/>
    <cellStyle name="Normal 2 20 4" xfId="5628"/>
    <cellStyle name="Normal 2 20 4 2" xfId="5629"/>
    <cellStyle name="Normal 2 20 4 2 2" xfId="36127"/>
    <cellStyle name="Normal 2 20 4 3" xfId="5630"/>
    <cellStyle name="Normal 2 20 4 3 2" xfId="36128"/>
    <cellStyle name="Normal 2 20 4 4" xfId="5631"/>
    <cellStyle name="Normal 2 20 4 4 2" xfId="36129"/>
    <cellStyle name="Normal 2 20 4 5" xfId="36130"/>
    <cellStyle name="Normal 2 20 4_01-04-2012" xfId="5632"/>
    <cellStyle name="Normal 2 20 5" xfId="5633"/>
    <cellStyle name="Normal 2 20 5 2" xfId="5634"/>
    <cellStyle name="Normal 2 20 5 2 2" xfId="36131"/>
    <cellStyle name="Normal 2 20 5 3" xfId="5635"/>
    <cellStyle name="Normal 2 20 5 3 2" xfId="36132"/>
    <cellStyle name="Normal 2 20 5 4" xfId="5636"/>
    <cellStyle name="Normal 2 20 5 4 2" xfId="36133"/>
    <cellStyle name="Normal 2 20 5 5" xfId="36134"/>
    <cellStyle name="Normal 2 20 5_01-04-2012" xfId="5637"/>
    <cellStyle name="Normal 2 20 6" xfId="5638"/>
    <cellStyle name="Normal 2 20 6 2" xfId="5639"/>
    <cellStyle name="Normal 2 20 6 2 2" xfId="36135"/>
    <cellStyle name="Normal 2 20 6 3" xfId="5640"/>
    <cellStyle name="Normal 2 20 6 3 2" xfId="36136"/>
    <cellStyle name="Normal 2 20 6 4" xfId="5641"/>
    <cellStyle name="Normal 2 20 6 4 2" xfId="36137"/>
    <cellStyle name="Normal 2 20 6 5" xfId="36138"/>
    <cellStyle name="Normal 2 20 6_01-04-2012" xfId="5642"/>
    <cellStyle name="Normal 2 20 7" xfId="5643"/>
    <cellStyle name="Normal 2 20 7 2" xfId="5644"/>
    <cellStyle name="Normal 2 20 7 2 2" xfId="36139"/>
    <cellStyle name="Normal 2 20 7 3" xfId="5645"/>
    <cellStyle name="Normal 2 20 7 3 2" xfId="36140"/>
    <cellStyle name="Normal 2 20 7 4" xfId="5646"/>
    <cellStyle name="Normal 2 20 7 4 2" xfId="36141"/>
    <cellStyle name="Normal 2 20 7 5" xfId="36142"/>
    <cellStyle name="Normal 2 20 7_01-04-2012" xfId="5647"/>
    <cellStyle name="Normal 2 20 8" xfId="5648"/>
    <cellStyle name="Normal 2 20 8 2" xfId="5649"/>
    <cellStyle name="Normal 2 20 8 2 2" xfId="36143"/>
    <cellStyle name="Normal 2 20 8 3" xfId="5650"/>
    <cellStyle name="Normal 2 20 8 3 2" xfId="36144"/>
    <cellStyle name="Normal 2 20 8 4" xfId="5651"/>
    <cellStyle name="Normal 2 20 8 4 2" xfId="36145"/>
    <cellStyle name="Normal 2 20 8 5" xfId="36146"/>
    <cellStyle name="Normal 2 20 8_01-04-2012" xfId="5652"/>
    <cellStyle name="Normal 2 20 9" xfId="5653"/>
    <cellStyle name="Normal 2 20 9 2" xfId="5654"/>
    <cellStyle name="Normal 2 20 9 2 2" xfId="36147"/>
    <cellStyle name="Normal 2 20 9 3" xfId="5655"/>
    <cellStyle name="Normal 2 20 9 3 2" xfId="36148"/>
    <cellStyle name="Normal 2 20 9 4" xfId="5656"/>
    <cellStyle name="Normal 2 20 9 4 2" xfId="36149"/>
    <cellStyle name="Normal 2 20 9 5" xfId="36150"/>
    <cellStyle name="Normal 2 20 9_01-04-2012" xfId="5657"/>
    <cellStyle name="Normal 2 20_01-04-2012" xfId="5658"/>
    <cellStyle name="Normal 2 21" xfId="5659"/>
    <cellStyle name="Normal 2 21 10" xfId="5660"/>
    <cellStyle name="Normal 2 21 10 2" xfId="5661"/>
    <cellStyle name="Normal 2 21 10 2 2" xfId="36151"/>
    <cellStyle name="Normal 2 21 10 3" xfId="5662"/>
    <cellStyle name="Normal 2 21 10 3 2" xfId="36152"/>
    <cellStyle name="Normal 2 21 10 4" xfId="5663"/>
    <cellStyle name="Normal 2 21 10 4 2" xfId="36153"/>
    <cellStyle name="Normal 2 21 10 5" xfId="36154"/>
    <cellStyle name="Normal 2 21 10_01-04-2012" xfId="5664"/>
    <cellStyle name="Normal 2 21 11" xfId="5665"/>
    <cellStyle name="Normal 2 21 11 2" xfId="5666"/>
    <cellStyle name="Normal 2 21 11 2 2" xfId="36155"/>
    <cellStyle name="Normal 2 21 11 3" xfId="5667"/>
    <cellStyle name="Normal 2 21 11 3 2" xfId="36156"/>
    <cellStyle name="Normal 2 21 11 4" xfId="5668"/>
    <cellStyle name="Normal 2 21 11 4 2" xfId="36157"/>
    <cellStyle name="Normal 2 21 11 5" xfId="36158"/>
    <cellStyle name="Normal 2 21 11_01-04-2012" xfId="5669"/>
    <cellStyle name="Normal 2 21 12" xfId="5670"/>
    <cellStyle name="Normal 2 21 12 2" xfId="5671"/>
    <cellStyle name="Normal 2 21 12 2 2" xfId="36159"/>
    <cellStyle name="Normal 2 21 12 3" xfId="5672"/>
    <cellStyle name="Normal 2 21 12 3 2" xfId="36160"/>
    <cellStyle name="Normal 2 21 12 4" xfId="5673"/>
    <cellStyle name="Normal 2 21 12 4 2" xfId="36161"/>
    <cellStyle name="Normal 2 21 12 5" xfId="36162"/>
    <cellStyle name="Normal 2 21 12_01-04-2012" xfId="5674"/>
    <cellStyle name="Normal 2 21 13" xfId="5675"/>
    <cellStyle name="Normal 2 21 13 2" xfId="5676"/>
    <cellStyle name="Normal 2 21 13 2 2" xfId="36163"/>
    <cellStyle name="Normal 2 21 13 3" xfId="5677"/>
    <cellStyle name="Normal 2 21 13 3 2" xfId="36164"/>
    <cellStyle name="Normal 2 21 13 4" xfId="5678"/>
    <cellStyle name="Normal 2 21 13 4 2" xfId="36165"/>
    <cellStyle name="Normal 2 21 13 5" xfId="36166"/>
    <cellStyle name="Normal 2 21 13_01-04-2012" xfId="5679"/>
    <cellStyle name="Normal 2 21 14" xfId="5680"/>
    <cellStyle name="Normal 2 21 14 2" xfId="36167"/>
    <cellStyle name="Normal 2 21 15" xfId="5681"/>
    <cellStyle name="Normal 2 21 15 2" xfId="36168"/>
    <cellStyle name="Normal 2 21 16" xfId="5682"/>
    <cellStyle name="Normal 2 21 16 2" xfId="36169"/>
    <cellStyle name="Normal 2 21 17" xfId="36170"/>
    <cellStyle name="Normal 2 21 2" xfId="5683"/>
    <cellStyle name="Normal 2 21 2 2" xfId="5684"/>
    <cellStyle name="Normal 2 21 2 2 2" xfId="36171"/>
    <cellStyle name="Normal 2 21 2 3" xfId="5685"/>
    <cellStyle name="Normal 2 21 2 3 2" xfId="36172"/>
    <cellStyle name="Normal 2 21 2 4" xfId="5686"/>
    <cellStyle name="Normal 2 21 2 4 2" xfId="36173"/>
    <cellStyle name="Normal 2 21 2 5" xfId="36174"/>
    <cellStyle name="Normal 2 21 2_01-04-2012" xfId="5687"/>
    <cellStyle name="Normal 2 21 3" xfId="5688"/>
    <cellStyle name="Normal 2 21 3 2" xfId="5689"/>
    <cellStyle name="Normal 2 21 3 2 2" xfId="36175"/>
    <cellStyle name="Normal 2 21 3 3" xfId="5690"/>
    <cellStyle name="Normal 2 21 3 3 2" xfId="36176"/>
    <cellStyle name="Normal 2 21 3 4" xfId="5691"/>
    <cellStyle name="Normal 2 21 3 4 2" xfId="36177"/>
    <cellStyle name="Normal 2 21 3 5" xfId="36178"/>
    <cellStyle name="Normal 2 21 3_01-04-2012" xfId="5692"/>
    <cellStyle name="Normal 2 21 4" xfId="5693"/>
    <cellStyle name="Normal 2 21 4 2" xfId="5694"/>
    <cellStyle name="Normal 2 21 4 2 2" xfId="36179"/>
    <cellStyle name="Normal 2 21 4 3" xfId="5695"/>
    <cellStyle name="Normal 2 21 4 3 2" xfId="36180"/>
    <cellStyle name="Normal 2 21 4 4" xfId="5696"/>
    <cellStyle name="Normal 2 21 4 4 2" xfId="36181"/>
    <cellStyle name="Normal 2 21 4 5" xfId="36182"/>
    <cellStyle name="Normal 2 21 4_01-04-2012" xfId="5697"/>
    <cellStyle name="Normal 2 21 5" xfId="5698"/>
    <cellStyle name="Normal 2 21 5 2" xfId="5699"/>
    <cellStyle name="Normal 2 21 5 2 2" xfId="36183"/>
    <cellStyle name="Normal 2 21 5 3" xfId="5700"/>
    <cellStyle name="Normal 2 21 5 3 2" xfId="36184"/>
    <cellStyle name="Normal 2 21 5 4" xfId="5701"/>
    <cellStyle name="Normal 2 21 5 4 2" xfId="36185"/>
    <cellStyle name="Normal 2 21 5 5" xfId="36186"/>
    <cellStyle name="Normal 2 21 5_01-04-2012" xfId="5702"/>
    <cellStyle name="Normal 2 21 6" xfId="5703"/>
    <cellStyle name="Normal 2 21 6 2" xfId="5704"/>
    <cellStyle name="Normal 2 21 6 2 2" xfId="36187"/>
    <cellStyle name="Normal 2 21 6 3" xfId="5705"/>
    <cellStyle name="Normal 2 21 6 3 2" xfId="36188"/>
    <cellStyle name="Normal 2 21 6 4" xfId="5706"/>
    <cellStyle name="Normal 2 21 6 4 2" xfId="36189"/>
    <cellStyle name="Normal 2 21 6 5" xfId="36190"/>
    <cellStyle name="Normal 2 21 6_01-04-2012" xfId="5707"/>
    <cellStyle name="Normal 2 21 7" xfId="5708"/>
    <cellStyle name="Normal 2 21 7 2" xfId="5709"/>
    <cellStyle name="Normal 2 21 7 2 2" xfId="36191"/>
    <cellStyle name="Normal 2 21 7 3" xfId="5710"/>
    <cellStyle name="Normal 2 21 7 3 2" xfId="36192"/>
    <cellStyle name="Normal 2 21 7 4" xfId="5711"/>
    <cellStyle name="Normal 2 21 7 4 2" xfId="36193"/>
    <cellStyle name="Normal 2 21 7 5" xfId="36194"/>
    <cellStyle name="Normal 2 21 7_01-04-2012" xfId="5712"/>
    <cellStyle name="Normal 2 21 8" xfId="5713"/>
    <cellStyle name="Normal 2 21 8 2" xfId="5714"/>
    <cellStyle name="Normal 2 21 8 2 2" xfId="36195"/>
    <cellStyle name="Normal 2 21 8 3" xfId="5715"/>
    <cellStyle name="Normal 2 21 8 3 2" xfId="36196"/>
    <cellStyle name="Normal 2 21 8 4" xfId="5716"/>
    <cellStyle name="Normal 2 21 8 4 2" xfId="36197"/>
    <cellStyle name="Normal 2 21 8 5" xfId="36198"/>
    <cellStyle name="Normal 2 21 8_01-04-2012" xfId="5717"/>
    <cellStyle name="Normal 2 21 9" xfId="5718"/>
    <cellStyle name="Normal 2 21 9 2" xfId="5719"/>
    <cellStyle name="Normal 2 21 9 2 2" xfId="36199"/>
    <cellStyle name="Normal 2 21 9 3" xfId="5720"/>
    <cellStyle name="Normal 2 21 9 3 2" xfId="36200"/>
    <cellStyle name="Normal 2 21 9 4" xfId="5721"/>
    <cellStyle name="Normal 2 21 9 4 2" xfId="36201"/>
    <cellStyle name="Normal 2 21 9 5" xfId="36202"/>
    <cellStyle name="Normal 2 21 9_01-04-2012" xfId="5722"/>
    <cellStyle name="Normal 2 21_01-04-2012" xfId="5723"/>
    <cellStyle name="Normal 2 22" xfId="5724"/>
    <cellStyle name="Normal 2 22 10" xfId="5725"/>
    <cellStyle name="Normal 2 22 10 2" xfId="5726"/>
    <cellStyle name="Normal 2 22 10 2 2" xfId="36203"/>
    <cellStyle name="Normal 2 22 10 3" xfId="5727"/>
    <cellStyle name="Normal 2 22 10 3 2" xfId="36204"/>
    <cellStyle name="Normal 2 22 10 4" xfId="5728"/>
    <cellStyle name="Normal 2 22 10 4 2" xfId="36205"/>
    <cellStyle name="Normal 2 22 10 5" xfId="36206"/>
    <cellStyle name="Normal 2 22 10_01-04-2012" xfId="5729"/>
    <cellStyle name="Normal 2 22 11" xfId="5730"/>
    <cellStyle name="Normal 2 22 11 2" xfId="5731"/>
    <cellStyle name="Normal 2 22 11 2 2" xfId="36207"/>
    <cellStyle name="Normal 2 22 11 3" xfId="5732"/>
    <cellStyle name="Normal 2 22 11 3 2" xfId="36208"/>
    <cellStyle name="Normal 2 22 11 4" xfId="5733"/>
    <cellStyle name="Normal 2 22 11 4 2" xfId="36209"/>
    <cellStyle name="Normal 2 22 11 5" xfId="36210"/>
    <cellStyle name="Normal 2 22 11_01-04-2012" xfId="5734"/>
    <cellStyle name="Normal 2 22 12" xfId="5735"/>
    <cellStyle name="Normal 2 22 12 2" xfId="5736"/>
    <cellStyle name="Normal 2 22 12 2 2" xfId="36211"/>
    <cellStyle name="Normal 2 22 12 3" xfId="5737"/>
    <cellStyle name="Normal 2 22 12 3 2" xfId="36212"/>
    <cellStyle name="Normal 2 22 12 4" xfId="5738"/>
    <cellStyle name="Normal 2 22 12 4 2" xfId="36213"/>
    <cellStyle name="Normal 2 22 12 5" xfId="36214"/>
    <cellStyle name="Normal 2 22 12_01-04-2012" xfId="5739"/>
    <cellStyle name="Normal 2 22 13" xfId="5740"/>
    <cellStyle name="Normal 2 22 13 2" xfId="5741"/>
    <cellStyle name="Normal 2 22 13 2 2" xfId="36215"/>
    <cellStyle name="Normal 2 22 13 3" xfId="5742"/>
    <cellStyle name="Normal 2 22 13 3 2" xfId="36216"/>
    <cellStyle name="Normal 2 22 13 4" xfId="5743"/>
    <cellStyle name="Normal 2 22 13 4 2" xfId="36217"/>
    <cellStyle name="Normal 2 22 13 5" xfId="36218"/>
    <cellStyle name="Normal 2 22 13_01-04-2012" xfId="5744"/>
    <cellStyle name="Normal 2 22 14" xfId="5745"/>
    <cellStyle name="Normal 2 22 14 2" xfId="36219"/>
    <cellStyle name="Normal 2 22 15" xfId="5746"/>
    <cellStyle name="Normal 2 22 15 2" xfId="36220"/>
    <cellStyle name="Normal 2 22 16" xfId="5747"/>
    <cellStyle name="Normal 2 22 16 2" xfId="36221"/>
    <cellStyle name="Normal 2 22 17" xfId="36222"/>
    <cellStyle name="Normal 2 22 2" xfId="5748"/>
    <cellStyle name="Normal 2 22 2 2" xfId="5749"/>
    <cellStyle name="Normal 2 22 2 2 2" xfId="36223"/>
    <cellStyle name="Normal 2 22 2 3" xfId="5750"/>
    <cellStyle name="Normal 2 22 2 3 2" xfId="36224"/>
    <cellStyle name="Normal 2 22 2 4" xfId="5751"/>
    <cellStyle name="Normal 2 22 2 4 2" xfId="36225"/>
    <cellStyle name="Normal 2 22 2 5" xfId="36226"/>
    <cellStyle name="Normal 2 22 2_01-04-2012" xfId="5752"/>
    <cellStyle name="Normal 2 22 3" xfId="5753"/>
    <cellStyle name="Normal 2 22 3 2" xfId="5754"/>
    <cellStyle name="Normal 2 22 3 2 2" xfId="36227"/>
    <cellStyle name="Normal 2 22 3 3" xfId="5755"/>
    <cellStyle name="Normal 2 22 3 3 2" xfId="36228"/>
    <cellStyle name="Normal 2 22 3 4" xfId="5756"/>
    <cellStyle name="Normal 2 22 3 4 2" xfId="36229"/>
    <cellStyle name="Normal 2 22 3 5" xfId="36230"/>
    <cellStyle name="Normal 2 22 3_01-04-2012" xfId="5757"/>
    <cellStyle name="Normal 2 22 4" xfId="5758"/>
    <cellStyle name="Normal 2 22 4 2" xfId="5759"/>
    <cellStyle name="Normal 2 22 4 2 2" xfId="36231"/>
    <cellStyle name="Normal 2 22 4 3" xfId="5760"/>
    <cellStyle name="Normal 2 22 4 3 2" xfId="36232"/>
    <cellStyle name="Normal 2 22 4 4" xfId="5761"/>
    <cellStyle name="Normal 2 22 4 4 2" xfId="36233"/>
    <cellStyle name="Normal 2 22 4 5" xfId="36234"/>
    <cellStyle name="Normal 2 22 4_01-04-2012" xfId="5762"/>
    <cellStyle name="Normal 2 22 5" xfId="5763"/>
    <cellStyle name="Normal 2 22 5 2" xfId="5764"/>
    <cellStyle name="Normal 2 22 5 2 2" xfId="36235"/>
    <cellStyle name="Normal 2 22 5 3" xfId="5765"/>
    <cellStyle name="Normal 2 22 5 3 2" xfId="36236"/>
    <cellStyle name="Normal 2 22 5 4" xfId="5766"/>
    <cellStyle name="Normal 2 22 5 4 2" xfId="36237"/>
    <cellStyle name="Normal 2 22 5 5" xfId="36238"/>
    <cellStyle name="Normal 2 22 5_01-04-2012" xfId="5767"/>
    <cellStyle name="Normal 2 22 6" xfId="5768"/>
    <cellStyle name="Normal 2 22 6 2" xfId="5769"/>
    <cellStyle name="Normal 2 22 6 2 2" xfId="36239"/>
    <cellStyle name="Normal 2 22 6 3" xfId="5770"/>
    <cellStyle name="Normal 2 22 6 3 2" xfId="36240"/>
    <cellStyle name="Normal 2 22 6 4" xfId="5771"/>
    <cellStyle name="Normal 2 22 6 4 2" xfId="36241"/>
    <cellStyle name="Normal 2 22 6 5" xfId="36242"/>
    <cellStyle name="Normal 2 22 6_01-04-2012" xfId="5772"/>
    <cellStyle name="Normal 2 22 7" xfId="5773"/>
    <cellStyle name="Normal 2 22 7 2" xfId="5774"/>
    <cellStyle name="Normal 2 22 7 2 2" xfId="36243"/>
    <cellStyle name="Normal 2 22 7 3" xfId="5775"/>
    <cellStyle name="Normal 2 22 7 3 2" xfId="36244"/>
    <cellStyle name="Normal 2 22 7 4" xfId="5776"/>
    <cellStyle name="Normal 2 22 7 4 2" xfId="36245"/>
    <cellStyle name="Normal 2 22 7 5" xfId="36246"/>
    <cellStyle name="Normal 2 22 7_01-04-2012" xfId="5777"/>
    <cellStyle name="Normal 2 22 8" xfId="5778"/>
    <cellStyle name="Normal 2 22 8 2" xfId="5779"/>
    <cellStyle name="Normal 2 22 8 2 2" xfId="36247"/>
    <cellStyle name="Normal 2 22 8 3" xfId="5780"/>
    <cellStyle name="Normal 2 22 8 3 2" xfId="36248"/>
    <cellStyle name="Normal 2 22 8 4" xfId="5781"/>
    <cellStyle name="Normal 2 22 8 4 2" xfId="36249"/>
    <cellStyle name="Normal 2 22 8 5" xfId="36250"/>
    <cellStyle name="Normal 2 22 8_01-04-2012" xfId="5782"/>
    <cellStyle name="Normal 2 22 9" xfId="5783"/>
    <cellStyle name="Normal 2 22 9 2" xfId="5784"/>
    <cellStyle name="Normal 2 22 9 2 2" xfId="36251"/>
    <cellStyle name="Normal 2 22 9 3" xfId="5785"/>
    <cellStyle name="Normal 2 22 9 3 2" xfId="36252"/>
    <cellStyle name="Normal 2 22 9 4" xfId="5786"/>
    <cellStyle name="Normal 2 22 9 4 2" xfId="36253"/>
    <cellStyle name="Normal 2 22 9 5" xfId="36254"/>
    <cellStyle name="Normal 2 22 9_01-04-2012" xfId="5787"/>
    <cellStyle name="Normal 2 22_01-04-2012" xfId="5788"/>
    <cellStyle name="Normal 2 23" xfId="5789"/>
    <cellStyle name="Normal 2 23 10" xfId="5790"/>
    <cellStyle name="Normal 2 23 10 2" xfId="5791"/>
    <cellStyle name="Normal 2 23 10 2 2" xfId="36255"/>
    <cellStyle name="Normal 2 23 10 3" xfId="5792"/>
    <cellStyle name="Normal 2 23 10 3 2" xfId="36256"/>
    <cellStyle name="Normal 2 23 10 4" xfId="5793"/>
    <cellStyle name="Normal 2 23 10 4 2" xfId="36257"/>
    <cellStyle name="Normal 2 23 10 5" xfId="36258"/>
    <cellStyle name="Normal 2 23 10_01-04-2012" xfId="5794"/>
    <cellStyle name="Normal 2 23 11" xfId="5795"/>
    <cellStyle name="Normal 2 23 11 2" xfId="5796"/>
    <cellStyle name="Normal 2 23 11 2 2" xfId="36259"/>
    <cellStyle name="Normal 2 23 11 3" xfId="5797"/>
    <cellStyle name="Normal 2 23 11 3 2" xfId="36260"/>
    <cellStyle name="Normal 2 23 11 4" xfId="5798"/>
    <cellStyle name="Normal 2 23 11 4 2" xfId="36261"/>
    <cellStyle name="Normal 2 23 11 5" xfId="36262"/>
    <cellStyle name="Normal 2 23 11_01-04-2012" xfId="5799"/>
    <cellStyle name="Normal 2 23 12" xfId="5800"/>
    <cellStyle name="Normal 2 23 12 2" xfId="5801"/>
    <cellStyle name="Normal 2 23 12 2 2" xfId="36263"/>
    <cellStyle name="Normal 2 23 12 3" xfId="5802"/>
    <cellStyle name="Normal 2 23 12 3 2" xfId="36264"/>
    <cellStyle name="Normal 2 23 12 4" xfId="5803"/>
    <cellStyle name="Normal 2 23 12 4 2" xfId="36265"/>
    <cellStyle name="Normal 2 23 12 5" xfId="36266"/>
    <cellStyle name="Normal 2 23 12_01-04-2012" xfId="5804"/>
    <cellStyle name="Normal 2 23 13" xfId="5805"/>
    <cellStyle name="Normal 2 23 13 2" xfId="5806"/>
    <cellStyle name="Normal 2 23 13 2 2" xfId="36267"/>
    <cellStyle name="Normal 2 23 13 3" xfId="5807"/>
    <cellStyle name="Normal 2 23 13 3 2" xfId="36268"/>
    <cellStyle name="Normal 2 23 13 4" xfId="5808"/>
    <cellStyle name="Normal 2 23 13 4 2" xfId="36269"/>
    <cellStyle name="Normal 2 23 13 5" xfId="36270"/>
    <cellStyle name="Normal 2 23 13_01-04-2012" xfId="5809"/>
    <cellStyle name="Normal 2 23 14" xfId="5810"/>
    <cellStyle name="Normal 2 23 14 2" xfId="36271"/>
    <cellStyle name="Normal 2 23 15" xfId="5811"/>
    <cellStyle name="Normal 2 23 15 2" xfId="36272"/>
    <cellStyle name="Normal 2 23 16" xfId="5812"/>
    <cellStyle name="Normal 2 23 16 2" xfId="36273"/>
    <cellStyle name="Normal 2 23 17" xfId="36274"/>
    <cellStyle name="Normal 2 23 2" xfId="5813"/>
    <cellStyle name="Normal 2 23 2 2" xfId="5814"/>
    <cellStyle name="Normal 2 23 2 2 2" xfId="36275"/>
    <cellStyle name="Normal 2 23 2 3" xfId="5815"/>
    <cellStyle name="Normal 2 23 2 3 2" xfId="36276"/>
    <cellStyle name="Normal 2 23 2 4" xfId="5816"/>
    <cellStyle name="Normal 2 23 2 4 2" xfId="36277"/>
    <cellStyle name="Normal 2 23 2 5" xfId="36278"/>
    <cellStyle name="Normal 2 23 2_01-04-2012" xfId="5817"/>
    <cellStyle name="Normal 2 23 3" xfId="5818"/>
    <cellStyle name="Normal 2 23 3 2" xfId="5819"/>
    <cellStyle name="Normal 2 23 3 2 2" xfId="36279"/>
    <cellStyle name="Normal 2 23 3 3" xfId="5820"/>
    <cellStyle name="Normal 2 23 3 3 2" xfId="36280"/>
    <cellStyle name="Normal 2 23 3 4" xfId="5821"/>
    <cellStyle name="Normal 2 23 3 4 2" xfId="36281"/>
    <cellStyle name="Normal 2 23 3 5" xfId="36282"/>
    <cellStyle name="Normal 2 23 3_01-04-2012" xfId="5822"/>
    <cellStyle name="Normal 2 23 4" xfId="5823"/>
    <cellStyle name="Normal 2 23 4 2" xfId="5824"/>
    <cellStyle name="Normal 2 23 4 2 2" xfId="36283"/>
    <cellStyle name="Normal 2 23 4 3" xfId="5825"/>
    <cellStyle name="Normal 2 23 4 3 2" xfId="36284"/>
    <cellStyle name="Normal 2 23 4 4" xfId="5826"/>
    <cellStyle name="Normal 2 23 4 4 2" xfId="36285"/>
    <cellStyle name="Normal 2 23 4 5" xfId="36286"/>
    <cellStyle name="Normal 2 23 4_01-04-2012" xfId="5827"/>
    <cellStyle name="Normal 2 23 5" xfId="5828"/>
    <cellStyle name="Normal 2 23 5 2" xfId="5829"/>
    <cellStyle name="Normal 2 23 5 2 2" xfId="36287"/>
    <cellStyle name="Normal 2 23 5 3" xfId="5830"/>
    <cellStyle name="Normal 2 23 5 3 2" xfId="36288"/>
    <cellStyle name="Normal 2 23 5 4" xfId="5831"/>
    <cellStyle name="Normal 2 23 5 4 2" xfId="36289"/>
    <cellStyle name="Normal 2 23 5 5" xfId="36290"/>
    <cellStyle name="Normal 2 23 5_01-04-2012" xfId="5832"/>
    <cellStyle name="Normal 2 23 6" xfId="5833"/>
    <cellStyle name="Normal 2 23 6 2" xfId="5834"/>
    <cellStyle name="Normal 2 23 6 2 2" xfId="36291"/>
    <cellStyle name="Normal 2 23 6 3" xfId="5835"/>
    <cellStyle name="Normal 2 23 6 3 2" xfId="36292"/>
    <cellStyle name="Normal 2 23 6 4" xfId="5836"/>
    <cellStyle name="Normal 2 23 6 4 2" xfId="36293"/>
    <cellStyle name="Normal 2 23 6 5" xfId="36294"/>
    <cellStyle name="Normal 2 23 6_01-04-2012" xfId="5837"/>
    <cellStyle name="Normal 2 23 7" xfId="5838"/>
    <cellStyle name="Normal 2 23 7 2" xfId="5839"/>
    <cellStyle name="Normal 2 23 7 2 2" xfId="36295"/>
    <cellStyle name="Normal 2 23 7 3" xfId="5840"/>
    <cellStyle name="Normal 2 23 7 3 2" xfId="36296"/>
    <cellStyle name="Normal 2 23 7 4" xfId="5841"/>
    <cellStyle name="Normal 2 23 7 4 2" xfId="36297"/>
    <cellStyle name="Normal 2 23 7 5" xfId="36298"/>
    <cellStyle name="Normal 2 23 7_01-04-2012" xfId="5842"/>
    <cellStyle name="Normal 2 23 8" xfId="5843"/>
    <cellStyle name="Normal 2 23 8 2" xfId="5844"/>
    <cellStyle name="Normal 2 23 8 2 2" xfId="36299"/>
    <cellStyle name="Normal 2 23 8 3" xfId="5845"/>
    <cellStyle name="Normal 2 23 8 3 2" xfId="36300"/>
    <cellStyle name="Normal 2 23 8 4" xfId="5846"/>
    <cellStyle name="Normal 2 23 8 4 2" xfId="36301"/>
    <cellStyle name="Normal 2 23 8 5" xfId="36302"/>
    <cellStyle name="Normal 2 23 8_01-04-2012" xfId="5847"/>
    <cellStyle name="Normal 2 23 9" xfId="5848"/>
    <cellStyle name="Normal 2 23 9 2" xfId="5849"/>
    <cellStyle name="Normal 2 23 9 2 2" xfId="36303"/>
    <cellStyle name="Normal 2 23 9 3" xfId="5850"/>
    <cellStyle name="Normal 2 23 9 3 2" xfId="36304"/>
    <cellStyle name="Normal 2 23 9 4" xfId="5851"/>
    <cellStyle name="Normal 2 23 9 4 2" xfId="36305"/>
    <cellStyle name="Normal 2 23 9 5" xfId="36306"/>
    <cellStyle name="Normal 2 23 9_01-04-2012" xfId="5852"/>
    <cellStyle name="Normal 2 23_01-04-2012" xfId="5853"/>
    <cellStyle name="Normal 2 24" xfId="5854"/>
    <cellStyle name="Normal 2 24 10" xfId="5855"/>
    <cellStyle name="Normal 2 24 10 2" xfId="5856"/>
    <cellStyle name="Normal 2 24 10 2 2" xfId="36307"/>
    <cellStyle name="Normal 2 24 10 3" xfId="5857"/>
    <cellStyle name="Normal 2 24 10 3 2" xfId="36308"/>
    <cellStyle name="Normal 2 24 10 4" xfId="5858"/>
    <cellStyle name="Normal 2 24 10 4 2" xfId="36309"/>
    <cellStyle name="Normal 2 24 10 5" xfId="36310"/>
    <cellStyle name="Normal 2 24 10_01-04-2012" xfId="5859"/>
    <cellStyle name="Normal 2 24 11" xfId="5860"/>
    <cellStyle name="Normal 2 24 11 2" xfId="5861"/>
    <cellStyle name="Normal 2 24 11 2 2" xfId="36311"/>
    <cellStyle name="Normal 2 24 11 3" xfId="5862"/>
    <cellStyle name="Normal 2 24 11 3 2" xfId="36312"/>
    <cellStyle name="Normal 2 24 11 4" xfId="5863"/>
    <cellStyle name="Normal 2 24 11 4 2" xfId="36313"/>
    <cellStyle name="Normal 2 24 11 5" xfId="36314"/>
    <cellStyle name="Normal 2 24 11_01-04-2012" xfId="5864"/>
    <cellStyle name="Normal 2 24 12" xfId="5865"/>
    <cellStyle name="Normal 2 24 12 2" xfId="5866"/>
    <cellStyle name="Normal 2 24 12 2 2" xfId="36315"/>
    <cellStyle name="Normal 2 24 12 3" xfId="5867"/>
    <cellStyle name="Normal 2 24 12 3 2" xfId="36316"/>
    <cellStyle name="Normal 2 24 12 4" xfId="5868"/>
    <cellStyle name="Normal 2 24 12 4 2" xfId="36317"/>
    <cellStyle name="Normal 2 24 12 5" xfId="36318"/>
    <cellStyle name="Normal 2 24 12_01-04-2012" xfId="5869"/>
    <cellStyle name="Normal 2 24 13" xfId="5870"/>
    <cellStyle name="Normal 2 24 13 2" xfId="5871"/>
    <cellStyle name="Normal 2 24 13 2 2" xfId="36319"/>
    <cellStyle name="Normal 2 24 13 3" xfId="5872"/>
    <cellStyle name="Normal 2 24 13 3 2" xfId="36320"/>
    <cellStyle name="Normal 2 24 13 4" xfId="5873"/>
    <cellStyle name="Normal 2 24 13 4 2" xfId="36321"/>
    <cellStyle name="Normal 2 24 13 5" xfId="36322"/>
    <cellStyle name="Normal 2 24 13_01-04-2012" xfId="5874"/>
    <cellStyle name="Normal 2 24 14" xfId="5875"/>
    <cellStyle name="Normal 2 24 14 2" xfId="36323"/>
    <cellStyle name="Normal 2 24 15" xfId="5876"/>
    <cellStyle name="Normal 2 24 15 2" xfId="36324"/>
    <cellStyle name="Normal 2 24 16" xfId="5877"/>
    <cellStyle name="Normal 2 24 16 2" xfId="36325"/>
    <cellStyle name="Normal 2 24 17" xfId="36326"/>
    <cellStyle name="Normal 2 24 2" xfId="5878"/>
    <cellStyle name="Normal 2 24 2 2" xfId="5879"/>
    <cellStyle name="Normal 2 24 2 2 2" xfId="36327"/>
    <cellStyle name="Normal 2 24 2 3" xfId="5880"/>
    <cellStyle name="Normal 2 24 2 3 2" xfId="36328"/>
    <cellStyle name="Normal 2 24 2 4" xfId="5881"/>
    <cellStyle name="Normal 2 24 2 4 2" xfId="36329"/>
    <cellStyle name="Normal 2 24 2 5" xfId="36330"/>
    <cellStyle name="Normal 2 24 2_01-04-2012" xfId="5882"/>
    <cellStyle name="Normal 2 24 3" xfId="5883"/>
    <cellStyle name="Normal 2 24 3 2" xfId="5884"/>
    <cellStyle name="Normal 2 24 3 2 2" xfId="36331"/>
    <cellStyle name="Normal 2 24 3 3" xfId="5885"/>
    <cellStyle name="Normal 2 24 3 3 2" xfId="36332"/>
    <cellStyle name="Normal 2 24 3 4" xfId="5886"/>
    <cellStyle name="Normal 2 24 3 4 2" xfId="36333"/>
    <cellStyle name="Normal 2 24 3 5" xfId="36334"/>
    <cellStyle name="Normal 2 24 3_01-04-2012" xfId="5887"/>
    <cellStyle name="Normal 2 24 4" xfId="5888"/>
    <cellStyle name="Normal 2 24 4 2" xfId="5889"/>
    <cellStyle name="Normal 2 24 4 2 2" xfId="36335"/>
    <cellStyle name="Normal 2 24 4 3" xfId="5890"/>
    <cellStyle name="Normal 2 24 4 3 2" xfId="36336"/>
    <cellStyle name="Normal 2 24 4 4" xfId="5891"/>
    <cellStyle name="Normal 2 24 4 4 2" xfId="36337"/>
    <cellStyle name="Normal 2 24 4 5" xfId="36338"/>
    <cellStyle name="Normal 2 24 4_01-04-2012" xfId="5892"/>
    <cellStyle name="Normal 2 24 5" xfId="5893"/>
    <cellStyle name="Normal 2 24 5 2" xfId="5894"/>
    <cellStyle name="Normal 2 24 5 2 2" xfId="36339"/>
    <cellStyle name="Normal 2 24 5 3" xfId="5895"/>
    <cellStyle name="Normal 2 24 5 3 2" xfId="36340"/>
    <cellStyle name="Normal 2 24 5 4" xfId="5896"/>
    <cellStyle name="Normal 2 24 5 4 2" xfId="36341"/>
    <cellStyle name="Normal 2 24 5 5" xfId="36342"/>
    <cellStyle name="Normal 2 24 5_01-04-2012" xfId="5897"/>
    <cellStyle name="Normal 2 24 6" xfId="5898"/>
    <cellStyle name="Normal 2 24 6 2" xfId="5899"/>
    <cellStyle name="Normal 2 24 6 2 2" xfId="36343"/>
    <cellStyle name="Normal 2 24 6 3" xfId="5900"/>
    <cellStyle name="Normal 2 24 6 3 2" xfId="36344"/>
    <cellStyle name="Normal 2 24 6 4" xfId="5901"/>
    <cellStyle name="Normal 2 24 6 4 2" xfId="36345"/>
    <cellStyle name="Normal 2 24 6 5" xfId="36346"/>
    <cellStyle name="Normal 2 24 6_01-04-2012" xfId="5902"/>
    <cellStyle name="Normal 2 24 7" xfId="5903"/>
    <cellStyle name="Normal 2 24 7 2" xfId="5904"/>
    <cellStyle name="Normal 2 24 7 2 2" xfId="36347"/>
    <cellStyle name="Normal 2 24 7 3" xfId="5905"/>
    <cellStyle name="Normal 2 24 7 3 2" xfId="36348"/>
    <cellStyle name="Normal 2 24 7 4" xfId="5906"/>
    <cellStyle name="Normal 2 24 7 4 2" xfId="36349"/>
    <cellStyle name="Normal 2 24 7 5" xfId="36350"/>
    <cellStyle name="Normal 2 24 7_01-04-2012" xfId="5907"/>
    <cellStyle name="Normal 2 24 8" xfId="5908"/>
    <cellStyle name="Normal 2 24 8 2" xfId="5909"/>
    <cellStyle name="Normal 2 24 8 2 2" xfId="36351"/>
    <cellStyle name="Normal 2 24 8 3" xfId="5910"/>
    <cellStyle name="Normal 2 24 8 3 2" xfId="36352"/>
    <cellStyle name="Normal 2 24 8 4" xfId="5911"/>
    <cellStyle name="Normal 2 24 8 4 2" xfId="36353"/>
    <cellStyle name="Normal 2 24 8 5" xfId="36354"/>
    <cellStyle name="Normal 2 24 8_01-04-2012" xfId="5912"/>
    <cellStyle name="Normal 2 24 9" xfId="5913"/>
    <cellStyle name="Normal 2 24 9 2" xfId="5914"/>
    <cellStyle name="Normal 2 24 9 2 2" xfId="36355"/>
    <cellStyle name="Normal 2 24 9 3" xfId="5915"/>
    <cellStyle name="Normal 2 24 9 3 2" xfId="36356"/>
    <cellStyle name="Normal 2 24 9 4" xfId="5916"/>
    <cellStyle name="Normal 2 24 9 4 2" xfId="36357"/>
    <cellStyle name="Normal 2 24 9 5" xfId="36358"/>
    <cellStyle name="Normal 2 24 9_01-04-2012" xfId="5917"/>
    <cellStyle name="Normal 2 24_01-04-2012" xfId="5918"/>
    <cellStyle name="Normal 2 25" xfId="5919"/>
    <cellStyle name="Normal 2 25 10" xfId="5920"/>
    <cellStyle name="Normal 2 25 10 2" xfId="5921"/>
    <cellStyle name="Normal 2 25 10 2 2" xfId="36359"/>
    <cellStyle name="Normal 2 25 10 3" xfId="5922"/>
    <cellStyle name="Normal 2 25 10 3 2" xfId="36360"/>
    <cellStyle name="Normal 2 25 10 4" xfId="5923"/>
    <cellStyle name="Normal 2 25 10 4 2" xfId="36361"/>
    <cellStyle name="Normal 2 25 10 5" xfId="36362"/>
    <cellStyle name="Normal 2 25 10_01-04-2012" xfId="5924"/>
    <cellStyle name="Normal 2 25 11" xfId="5925"/>
    <cellStyle name="Normal 2 25 11 2" xfId="5926"/>
    <cellStyle name="Normal 2 25 11 2 2" xfId="36363"/>
    <cellStyle name="Normal 2 25 11 3" xfId="5927"/>
    <cellStyle name="Normal 2 25 11 3 2" xfId="36364"/>
    <cellStyle name="Normal 2 25 11 4" xfId="5928"/>
    <cellStyle name="Normal 2 25 11 4 2" xfId="36365"/>
    <cellStyle name="Normal 2 25 11 5" xfId="36366"/>
    <cellStyle name="Normal 2 25 11_01-04-2012" xfId="5929"/>
    <cellStyle name="Normal 2 25 12" xfId="5930"/>
    <cellStyle name="Normal 2 25 12 2" xfId="5931"/>
    <cellStyle name="Normal 2 25 12 2 2" xfId="36367"/>
    <cellStyle name="Normal 2 25 12 3" xfId="5932"/>
    <cellStyle name="Normal 2 25 12 3 2" xfId="36368"/>
    <cellStyle name="Normal 2 25 12 4" xfId="5933"/>
    <cellStyle name="Normal 2 25 12 4 2" xfId="36369"/>
    <cellStyle name="Normal 2 25 12 5" xfId="36370"/>
    <cellStyle name="Normal 2 25 12_01-04-2012" xfId="5934"/>
    <cellStyle name="Normal 2 25 13" xfId="5935"/>
    <cellStyle name="Normal 2 25 13 2" xfId="5936"/>
    <cellStyle name="Normal 2 25 13 2 2" xfId="36371"/>
    <cellStyle name="Normal 2 25 13 3" xfId="5937"/>
    <cellStyle name="Normal 2 25 13 3 2" xfId="36372"/>
    <cellStyle name="Normal 2 25 13 4" xfId="5938"/>
    <cellStyle name="Normal 2 25 13 4 2" xfId="36373"/>
    <cellStyle name="Normal 2 25 13 5" xfId="36374"/>
    <cellStyle name="Normal 2 25 13_01-04-2012" xfId="5939"/>
    <cellStyle name="Normal 2 25 14" xfId="5940"/>
    <cellStyle name="Normal 2 25 14 2" xfId="36375"/>
    <cellStyle name="Normal 2 25 15" xfId="5941"/>
    <cellStyle name="Normal 2 25 15 2" xfId="36376"/>
    <cellStyle name="Normal 2 25 16" xfId="5942"/>
    <cellStyle name="Normal 2 25 16 2" xfId="36377"/>
    <cellStyle name="Normal 2 25 17" xfId="36378"/>
    <cellStyle name="Normal 2 25 2" xfId="5943"/>
    <cellStyle name="Normal 2 25 2 2" xfId="5944"/>
    <cellStyle name="Normal 2 25 2 2 2" xfId="36379"/>
    <cellStyle name="Normal 2 25 2 3" xfId="5945"/>
    <cellStyle name="Normal 2 25 2 3 2" xfId="36380"/>
    <cellStyle name="Normal 2 25 2 4" xfId="5946"/>
    <cellStyle name="Normal 2 25 2 4 2" xfId="36381"/>
    <cellStyle name="Normal 2 25 2 5" xfId="36382"/>
    <cellStyle name="Normal 2 25 2_01-04-2012" xfId="5947"/>
    <cellStyle name="Normal 2 25 3" xfId="5948"/>
    <cellStyle name="Normal 2 25 3 2" xfId="5949"/>
    <cellStyle name="Normal 2 25 3 2 2" xfId="36383"/>
    <cellStyle name="Normal 2 25 3 3" xfId="5950"/>
    <cellStyle name="Normal 2 25 3 3 2" xfId="36384"/>
    <cellStyle name="Normal 2 25 3 4" xfId="5951"/>
    <cellStyle name="Normal 2 25 3 4 2" xfId="36385"/>
    <cellStyle name="Normal 2 25 3 5" xfId="36386"/>
    <cellStyle name="Normal 2 25 3_01-04-2012" xfId="5952"/>
    <cellStyle name="Normal 2 25 4" xfId="5953"/>
    <cellStyle name="Normal 2 25 4 2" xfId="5954"/>
    <cellStyle name="Normal 2 25 4 2 2" xfId="36387"/>
    <cellStyle name="Normal 2 25 4 3" xfId="5955"/>
    <cellStyle name="Normal 2 25 4 3 2" xfId="36388"/>
    <cellStyle name="Normal 2 25 4 4" xfId="5956"/>
    <cellStyle name="Normal 2 25 4 4 2" xfId="36389"/>
    <cellStyle name="Normal 2 25 4 5" xfId="36390"/>
    <cellStyle name="Normal 2 25 4_01-04-2012" xfId="5957"/>
    <cellStyle name="Normal 2 25 5" xfId="5958"/>
    <cellStyle name="Normal 2 25 5 2" xfId="5959"/>
    <cellStyle name="Normal 2 25 5 2 2" xfId="36391"/>
    <cellStyle name="Normal 2 25 5 3" xfId="5960"/>
    <cellStyle name="Normal 2 25 5 3 2" xfId="36392"/>
    <cellStyle name="Normal 2 25 5 4" xfId="5961"/>
    <cellStyle name="Normal 2 25 5 4 2" xfId="36393"/>
    <cellStyle name="Normal 2 25 5 5" xfId="36394"/>
    <cellStyle name="Normal 2 25 5_01-04-2012" xfId="5962"/>
    <cellStyle name="Normal 2 25 6" xfId="5963"/>
    <cellStyle name="Normal 2 25 6 2" xfId="5964"/>
    <cellStyle name="Normal 2 25 6 2 2" xfId="36395"/>
    <cellStyle name="Normal 2 25 6 3" xfId="5965"/>
    <cellStyle name="Normal 2 25 6 3 2" xfId="36396"/>
    <cellStyle name="Normal 2 25 6 4" xfId="5966"/>
    <cellStyle name="Normal 2 25 6 4 2" xfId="36397"/>
    <cellStyle name="Normal 2 25 6 5" xfId="36398"/>
    <cellStyle name="Normal 2 25 6_01-04-2012" xfId="5967"/>
    <cellStyle name="Normal 2 25 7" xfId="5968"/>
    <cellStyle name="Normal 2 25 7 2" xfId="5969"/>
    <cellStyle name="Normal 2 25 7 2 2" xfId="36399"/>
    <cellStyle name="Normal 2 25 7 3" xfId="5970"/>
    <cellStyle name="Normal 2 25 7 3 2" xfId="36400"/>
    <cellStyle name="Normal 2 25 7 4" xfId="5971"/>
    <cellStyle name="Normal 2 25 7 4 2" xfId="36401"/>
    <cellStyle name="Normal 2 25 7 5" xfId="36402"/>
    <cellStyle name="Normal 2 25 7_01-04-2012" xfId="5972"/>
    <cellStyle name="Normal 2 25 8" xfId="5973"/>
    <cellStyle name="Normal 2 25 8 2" xfId="5974"/>
    <cellStyle name="Normal 2 25 8 2 2" xfId="36403"/>
    <cellStyle name="Normal 2 25 8 3" xfId="5975"/>
    <cellStyle name="Normal 2 25 8 3 2" xfId="36404"/>
    <cellStyle name="Normal 2 25 8 4" xfId="5976"/>
    <cellStyle name="Normal 2 25 8 4 2" xfId="36405"/>
    <cellStyle name="Normal 2 25 8 5" xfId="36406"/>
    <cellStyle name="Normal 2 25 8_01-04-2012" xfId="5977"/>
    <cellStyle name="Normal 2 25 9" xfId="5978"/>
    <cellStyle name="Normal 2 25 9 2" xfId="5979"/>
    <cellStyle name="Normal 2 25 9 2 2" xfId="36407"/>
    <cellStyle name="Normal 2 25 9 3" xfId="5980"/>
    <cellStyle name="Normal 2 25 9 3 2" xfId="36408"/>
    <cellStyle name="Normal 2 25 9 4" xfId="5981"/>
    <cellStyle name="Normal 2 25 9 4 2" xfId="36409"/>
    <cellStyle name="Normal 2 25 9 5" xfId="36410"/>
    <cellStyle name="Normal 2 25 9_01-04-2012" xfId="5982"/>
    <cellStyle name="Normal 2 25_01-04-2012" xfId="5983"/>
    <cellStyle name="Normal 2 26" xfId="5984"/>
    <cellStyle name="Normal 2 26 2" xfId="5985"/>
    <cellStyle name="Normal 2 26 2 2" xfId="36411"/>
    <cellStyle name="Normal 2 26 3" xfId="5986"/>
    <cellStyle name="Normal 2 26 3 2" xfId="36412"/>
    <cellStyle name="Normal 2 26 4" xfId="5987"/>
    <cellStyle name="Normal 2 26 4 2" xfId="36413"/>
    <cellStyle name="Normal 2 26 5" xfId="36414"/>
    <cellStyle name="Normal 2 26_01-04-2012" xfId="5988"/>
    <cellStyle name="Normal 2 27" xfId="5989"/>
    <cellStyle name="Normal 2 27 2" xfId="5990"/>
    <cellStyle name="Normal 2 27 2 2" xfId="36415"/>
    <cellStyle name="Normal 2 27 3" xfId="5991"/>
    <cellStyle name="Normal 2 27 3 2" xfId="36416"/>
    <cellStyle name="Normal 2 27 4" xfId="5992"/>
    <cellStyle name="Normal 2 27 4 2" xfId="36417"/>
    <cellStyle name="Normal 2 27 5" xfId="36418"/>
    <cellStyle name="Normal 2 27_01-04-2012" xfId="5993"/>
    <cellStyle name="Normal 2 28" xfId="5994"/>
    <cellStyle name="Normal 2 28 2" xfId="5995"/>
    <cellStyle name="Normal 2 28 2 2" xfId="36419"/>
    <cellStyle name="Normal 2 28 3" xfId="5996"/>
    <cellStyle name="Normal 2 28 3 2" xfId="36420"/>
    <cellStyle name="Normal 2 28 4" xfId="5997"/>
    <cellStyle name="Normal 2 28 4 2" xfId="36421"/>
    <cellStyle name="Normal 2 28 5" xfId="36422"/>
    <cellStyle name="Normal 2 28_01-04-2012" xfId="5998"/>
    <cellStyle name="Normal 2 29" xfId="5999"/>
    <cellStyle name="Normal 2 29 2" xfId="6000"/>
    <cellStyle name="Normal 2 29 2 2" xfId="36423"/>
    <cellStyle name="Normal 2 29 3" xfId="6001"/>
    <cellStyle name="Normal 2 29 3 2" xfId="36424"/>
    <cellStyle name="Normal 2 29 4" xfId="6002"/>
    <cellStyle name="Normal 2 29 4 2" xfId="36425"/>
    <cellStyle name="Normal 2 29 5" xfId="36426"/>
    <cellStyle name="Normal 2 29_01-04-2012" xfId="6003"/>
    <cellStyle name="Normal 2 3" xfId="17"/>
    <cellStyle name="Normal 2 3 10" xfId="6004"/>
    <cellStyle name="Normal 2 3 10 2" xfId="17461"/>
    <cellStyle name="Normal 2 3 10 2 2" xfId="17462"/>
    <cellStyle name="Normal 2 3 10 2 3" xfId="17463"/>
    <cellStyle name="Normal 2 3 10 2 4" xfId="17464"/>
    <cellStyle name="Normal 2 3 10 2 5" xfId="17465"/>
    <cellStyle name="Normal 2 3 10 2 6" xfId="17466"/>
    <cellStyle name="Normal 2 3 10 2 7" xfId="17467"/>
    <cellStyle name="Normal 2 3 10 3" xfId="17468"/>
    <cellStyle name="Normal 2 3 10 4" xfId="17469"/>
    <cellStyle name="Normal 2 3 10 5" xfId="17470"/>
    <cellStyle name="Normal 2 3 10 6" xfId="17471"/>
    <cellStyle name="Normal 2 3 10 7" xfId="17472"/>
    <cellStyle name="Normal 2 3 10 8" xfId="17473"/>
    <cellStyle name="Normal 2 3 10 9" xfId="17474"/>
    <cellStyle name="Normal 2 3 11" xfId="6005"/>
    <cellStyle name="Normal 2 3 11 2" xfId="17475"/>
    <cellStyle name="Normal 2 3 11 2 2" xfId="17476"/>
    <cellStyle name="Normal 2 3 11 2 3" xfId="17477"/>
    <cellStyle name="Normal 2 3 11 2 4" xfId="17478"/>
    <cellStyle name="Normal 2 3 11 2 5" xfId="17479"/>
    <cellStyle name="Normal 2 3 11 2 6" xfId="17480"/>
    <cellStyle name="Normal 2 3 11 2 7" xfId="17481"/>
    <cellStyle name="Normal 2 3 11 3" xfId="17482"/>
    <cellStyle name="Normal 2 3 11 4" xfId="17483"/>
    <cellStyle name="Normal 2 3 11 5" xfId="17484"/>
    <cellStyle name="Normal 2 3 11 6" xfId="17485"/>
    <cellStyle name="Normal 2 3 11 7" xfId="17486"/>
    <cellStyle name="Normal 2 3 11 8" xfId="17487"/>
    <cellStyle name="Normal 2 3 11 9" xfId="17488"/>
    <cellStyle name="Normal 2 3 12" xfId="6006"/>
    <cellStyle name="Normal 2 3 12 2" xfId="17489"/>
    <cellStyle name="Normal 2 3 12 2 2" xfId="17490"/>
    <cellStyle name="Normal 2 3 12 2 3" xfId="17491"/>
    <cellStyle name="Normal 2 3 12 2 4" xfId="17492"/>
    <cellStyle name="Normal 2 3 12 2 5" xfId="17493"/>
    <cellStyle name="Normal 2 3 12 2 6" xfId="17494"/>
    <cellStyle name="Normal 2 3 12 2 7" xfId="17495"/>
    <cellStyle name="Normal 2 3 12 3" xfId="17496"/>
    <cellStyle name="Normal 2 3 12 4" xfId="17497"/>
    <cellStyle name="Normal 2 3 12 5" xfId="17498"/>
    <cellStyle name="Normal 2 3 12 6" xfId="17499"/>
    <cellStyle name="Normal 2 3 12 7" xfId="17500"/>
    <cellStyle name="Normal 2 3 12 8" xfId="17501"/>
    <cellStyle name="Normal 2 3 12 9" xfId="17502"/>
    <cellStyle name="Normal 2 3 13" xfId="6007"/>
    <cellStyle name="Normal 2 3 13 2" xfId="17503"/>
    <cellStyle name="Normal 2 3 13 2 2" xfId="17504"/>
    <cellStyle name="Normal 2 3 13 2 3" xfId="17505"/>
    <cellStyle name="Normal 2 3 13 2 4" xfId="17506"/>
    <cellStyle name="Normal 2 3 13 2 5" xfId="17507"/>
    <cellStyle name="Normal 2 3 13 2 6" xfId="17508"/>
    <cellStyle name="Normal 2 3 13 2 7" xfId="17509"/>
    <cellStyle name="Normal 2 3 13 3" xfId="17510"/>
    <cellStyle name="Normal 2 3 13 4" xfId="17511"/>
    <cellStyle name="Normal 2 3 13 5" xfId="17512"/>
    <cellStyle name="Normal 2 3 13 6" xfId="17513"/>
    <cellStyle name="Normal 2 3 13 7" xfId="17514"/>
    <cellStyle name="Normal 2 3 13 8" xfId="17515"/>
    <cellStyle name="Normal 2 3 13 9" xfId="17516"/>
    <cellStyle name="Normal 2 3 14" xfId="6008"/>
    <cellStyle name="Normal 2 3 14 2" xfId="17517"/>
    <cellStyle name="Normal 2 3 14 2 2" xfId="17518"/>
    <cellStyle name="Normal 2 3 14 2 3" xfId="17519"/>
    <cellStyle name="Normal 2 3 14 2 4" xfId="17520"/>
    <cellStyle name="Normal 2 3 14 2 5" xfId="17521"/>
    <cellStyle name="Normal 2 3 14 2 6" xfId="17522"/>
    <cellStyle name="Normal 2 3 14 2 7" xfId="17523"/>
    <cellStyle name="Normal 2 3 14 3" xfId="17524"/>
    <cellStyle name="Normal 2 3 14 4" xfId="17525"/>
    <cellStyle name="Normal 2 3 14 5" xfId="17526"/>
    <cellStyle name="Normal 2 3 14 6" xfId="17527"/>
    <cellStyle name="Normal 2 3 14 7" xfId="17528"/>
    <cellStyle name="Normal 2 3 14 8" xfId="17529"/>
    <cellStyle name="Normal 2 3 14 9" xfId="17530"/>
    <cellStyle name="Normal 2 3 15" xfId="6009"/>
    <cellStyle name="Normal 2 3 15 2" xfId="17531"/>
    <cellStyle name="Normal 2 3 15 2 2" xfId="17532"/>
    <cellStyle name="Normal 2 3 15 2 3" xfId="17533"/>
    <cellStyle name="Normal 2 3 15 2 4" xfId="17534"/>
    <cellStyle name="Normal 2 3 15 2 5" xfId="17535"/>
    <cellStyle name="Normal 2 3 15 2 6" xfId="17536"/>
    <cellStyle name="Normal 2 3 15 2 7" xfId="17537"/>
    <cellStyle name="Normal 2 3 15 3" xfId="17538"/>
    <cellStyle name="Normal 2 3 15 4" xfId="17539"/>
    <cellStyle name="Normal 2 3 15 5" xfId="17540"/>
    <cellStyle name="Normal 2 3 15 6" xfId="17541"/>
    <cellStyle name="Normal 2 3 15 7" xfId="17542"/>
    <cellStyle name="Normal 2 3 15 8" xfId="17543"/>
    <cellStyle name="Normal 2 3 15 9" xfId="17544"/>
    <cellStyle name="Normal 2 3 16" xfId="6010"/>
    <cellStyle name="Normal 2 3 16 2" xfId="17545"/>
    <cellStyle name="Normal 2 3 16 3" xfId="17546"/>
    <cellStyle name="Normal 2 3 16 4" xfId="17547"/>
    <cellStyle name="Normal 2 3 16 5" xfId="17548"/>
    <cellStyle name="Normal 2 3 16 6" xfId="17549"/>
    <cellStyle name="Normal 2 3 16 7" xfId="17550"/>
    <cellStyle name="Normal 2 3 16 8" xfId="17551"/>
    <cellStyle name="Normal 2 3 17" xfId="6011"/>
    <cellStyle name="Normal 2 3 17 2" xfId="17552"/>
    <cellStyle name="Normal 2 3 17 3" xfId="17553"/>
    <cellStyle name="Normal 2 3 17 4" xfId="17554"/>
    <cellStyle name="Normal 2 3 17 5" xfId="17555"/>
    <cellStyle name="Normal 2 3 17 6" xfId="17556"/>
    <cellStyle name="Normal 2 3 17 7" xfId="17557"/>
    <cellStyle name="Normal 2 3 17 8" xfId="17558"/>
    <cellStyle name="Normal 2 3 18" xfId="6012"/>
    <cellStyle name="Normal 2 3 18 2" xfId="17559"/>
    <cellStyle name="Normal 2 3 18 3" xfId="17560"/>
    <cellStyle name="Normal 2 3 18 4" xfId="17561"/>
    <cellStyle name="Normal 2 3 18 5" xfId="17562"/>
    <cellStyle name="Normal 2 3 18 6" xfId="17563"/>
    <cellStyle name="Normal 2 3 18 7" xfId="17564"/>
    <cellStyle name="Normal 2 3 18 8" xfId="17565"/>
    <cellStyle name="Normal 2 3 19" xfId="6013"/>
    <cellStyle name="Normal 2 3 19 2" xfId="17566"/>
    <cellStyle name="Normal 2 3 19 3" xfId="17567"/>
    <cellStyle name="Normal 2 3 19 4" xfId="17568"/>
    <cellStyle name="Normal 2 3 19 5" xfId="17569"/>
    <cellStyle name="Normal 2 3 19 6" xfId="17570"/>
    <cellStyle name="Normal 2 3 19 7" xfId="17571"/>
    <cellStyle name="Normal 2 3 19 8" xfId="17572"/>
    <cellStyle name="Normal 2 3 2" xfId="6014"/>
    <cellStyle name="Normal 2 3 2 2" xfId="17573"/>
    <cellStyle name="Normal 2 3 2 2 2" xfId="17574"/>
    <cellStyle name="Normal 2 3 2 2 2 2" xfId="17575"/>
    <cellStyle name="Normal 2 3 2 2 3" xfId="17576"/>
    <cellStyle name="Normal 2 3 2 2 4" xfId="17577"/>
    <cellStyle name="Normal 2 3 2 2 5" xfId="17578"/>
    <cellStyle name="Normal 2 3 2 2 6" xfId="17579"/>
    <cellStyle name="Normal 2 3 2 2 7" xfId="17580"/>
    <cellStyle name="Normal 2 3 2 3" xfId="17581"/>
    <cellStyle name="Normal 2 3 2 3 2" xfId="17582"/>
    <cellStyle name="Normal 2 3 2 4" xfId="17583"/>
    <cellStyle name="Normal 2 3 2 5" xfId="17584"/>
    <cellStyle name="Normal 2 3 2 6" xfId="17585"/>
    <cellStyle name="Normal 2 3 2 7" xfId="17586"/>
    <cellStyle name="Normal 2 3 2 8" xfId="17587"/>
    <cellStyle name="Normal 2 3 2 9" xfId="17588"/>
    <cellStyle name="Normal 2 3 20" xfId="6015"/>
    <cellStyle name="Normal 2 3 20 2" xfId="17589"/>
    <cellStyle name="Normal 2 3 20 3" xfId="17590"/>
    <cellStyle name="Normal 2 3 20 4" xfId="17591"/>
    <cellStyle name="Normal 2 3 20 5" xfId="17592"/>
    <cellStyle name="Normal 2 3 20 6" xfId="17593"/>
    <cellStyle name="Normal 2 3 20 7" xfId="17594"/>
    <cellStyle name="Normal 2 3 20 8" xfId="17595"/>
    <cellStyle name="Normal 2 3 21" xfId="6016"/>
    <cellStyle name="Normal 2 3 21 2" xfId="17596"/>
    <cellStyle name="Normal 2 3 21 3" xfId="17597"/>
    <cellStyle name="Normal 2 3 21 4" xfId="17598"/>
    <cellStyle name="Normal 2 3 21 5" xfId="17599"/>
    <cellStyle name="Normal 2 3 21 6" xfId="17600"/>
    <cellStyle name="Normal 2 3 21 7" xfId="17601"/>
    <cellStyle name="Normal 2 3 21 8" xfId="17602"/>
    <cellStyle name="Normal 2 3 22" xfId="6017"/>
    <cellStyle name="Normal 2 3 22 2" xfId="17603"/>
    <cellStyle name="Normal 2 3 22 3" xfId="17604"/>
    <cellStyle name="Normal 2 3 22 4" xfId="17605"/>
    <cellStyle name="Normal 2 3 22 5" xfId="17606"/>
    <cellStyle name="Normal 2 3 22 6" xfId="17607"/>
    <cellStyle name="Normal 2 3 22 7" xfId="17608"/>
    <cellStyle name="Normal 2 3 22 8" xfId="17609"/>
    <cellStyle name="Normal 2 3 23" xfId="6018"/>
    <cellStyle name="Normal 2 3 23 2" xfId="17610"/>
    <cellStyle name="Normal 2 3 23 3" xfId="17611"/>
    <cellStyle name="Normal 2 3 23 4" xfId="17612"/>
    <cellStyle name="Normal 2 3 23 5" xfId="17613"/>
    <cellStyle name="Normal 2 3 23 6" xfId="17614"/>
    <cellStyle name="Normal 2 3 23 7" xfId="17615"/>
    <cellStyle name="Normal 2 3 23 8" xfId="17616"/>
    <cellStyle name="Normal 2 3 24" xfId="6019"/>
    <cellStyle name="Normal 2 3 24 2" xfId="17617"/>
    <cellStyle name="Normal 2 3 24 3" xfId="17618"/>
    <cellStyle name="Normal 2 3 24 4" xfId="17619"/>
    <cellStyle name="Normal 2 3 24 5" xfId="17620"/>
    <cellStyle name="Normal 2 3 24 6" xfId="17621"/>
    <cellStyle name="Normal 2 3 24 7" xfId="17622"/>
    <cellStyle name="Normal 2 3 24 8" xfId="17623"/>
    <cellStyle name="Normal 2 3 25" xfId="6020"/>
    <cellStyle name="Normal 2 3 25 2" xfId="17624"/>
    <cellStyle name="Normal 2 3 25 3" xfId="17625"/>
    <cellStyle name="Normal 2 3 25 4" xfId="17626"/>
    <cellStyle name="Normal 2 3 25 5" xfId="17627"/>
    <cellStyle name="Normal 2 3 25 6" xfId="17628"/>
    <cellStyle name="Normal 2 3 25 7" xfId="17629"/>
    <cellStyle name="Normal 2 3 25 8" xfId="17630"/>
    <cellStyle name="Normal 2 3 26" xfId="6021"/>
    <cellStyle name="Normal 2 3 26 2" xfId="17631"/>
    <cellStyle name="Normal 2 3 26 3" xfId="17632"/>
    <cellStyle name="Normal 2 3 26 4" xfId="17633"/>
    <cellStyle name="Normal 2 3 26 5" xfId="17634"/>
    <cellStyle name="Normal 2 3 26 6" xfId="17635"/>
    <cellStyle name="Normal 2 3 26 7" xfId="17636"/>
    <cellStyle name="Normal 2 3 26 8" xfId="17637"/>
    <cellStyle name="Normal 2 3 27" xfId="6022"/>
    <cellStyle name="Normal 2 3 27 2" xfId="17638"/>
    <cellStyle name="Normal 2 3 27 3" xfId="17639"/>
    <cellStyle name="Normal 2 3 27 4" xfId="17640"/>
    <cellStyle name="Normal 2 3 27 5" xfId="17641"/>
    <cellStyle name="Normal 2 3 27 6" xfId="17642"/>
    <cellStyle name="Normal 2 3 27 7" xfId="17643"/>
    <cellStyle name="Normal 2 3 27 8" xfId="17644"/>
    <cellStyle name="Normal 2 3 28" xfId="6023"/>
    <cellStyle name="Normal 2 3 28 2" xfId="17645"/>
    <cellStyle name="Normal 2 3 28 3" xfId="17646"/>
    <cellStyle name="Normal 2 3 28 4" xfId="17647"/>
    <cellStyle name="Normal 2 3 28 5" xfId="17648"/>
    <cellStyle name="Normal 2 3 28 6" xfId="17649"/>
    <cellStyle name="Normal 2 3 28 7" xfId="17650"/>
    <cellStyle name="Normal 2 3 28 8" xfId="17651"/>
    <cellStyle name="Normal 2 3 29" xfId="6024"/>
    <cellStyle name="Normal 2 3 29 2" xfId="17652"/>
    <cellStyle name="Normal 2 3 29 3" xfId="17653"/>
    <cellStyle name="Normal 2 3 29 4" xfId="17654"/>
    <cellStyle name="Normal 2 3 29 5" xfId="17655"/>
    <cellStyle name="Normal 2 3 29 6" xfId="17656"/>
    <cellStyle name="Normal 2 3 29 7" xfId="17657"/>
    <cellStyle name="Normal 2 3 29 8" xfId="17658"/>
    <cellStyle name="Normal 2 3 3" xfId="6025"/>
    <cellStyle name="Normal 2 3 3 2" xfId="17659"/>
    <cellStyle name="Normal 2 3 3 2 2" xfId="17660"/>
    <cellStyle name="Normal 2 3 3 2 3" xfId="17661"/>
    <cellStyle name="Normal 2 3 3 2 4" xfId="17662"/>
    <cellStyle name="Normal 2 3 3 2 5" xfId="17663"/>
    <cellStyle name="Normal 2 3 3 2 6" xfId="17664"/>
    <cellStyle name="Normal 2 3 3 2 7" xfId="17665"/>
    <cellStyle name="Normal 2 3 3 3" xfId="17666"/>
    <cellStyle name="Normal 2 3 3 3 2" xfId="17667"/>
    <cellStyle name="Normal 2 3 3 4" xfId="17668"/>
    <cellStyle name="Normal 2 3 3 5" xfId="17669"/>
    <cellStyle name="Normal 2 3 3 6" xfId="17670"/>
    <cellStyle name="Normal 2 3 3 7" xfId="17671"/>
    <cellStyle name="Normal 2 3 3 8" xfId="17672"/>
    <cellStyle name="Normal 2 3 3 9" xfId="17673"/>
    <cellStyle name="Normal 2 3 30" xfId="6026"/>
    <cellStyle name="Normal 2 3 30 2" xfId="17674"/>
    <cellStyle name="Normal 2 3 30 3" xfId="17675"/>
    <cellStyle name="Normal 2 3 30 4" xfId="17676"/>
    <cellStyle name="Normal 2 3 30 5" xfId="17677"/>
    <cellStyle name="Normal 2 3 30 6" xfId="17678"/>
    <cellStyle name="Normal 2 3 30 7" xfId="17679"/>
    <cellStyle name="Normal 2 3 30 8" xfId="17680"/>
    <cellStyle name="Normal 2 3 31" xfId="6027"/>
    <cellStyle name="Normal 2 3 31 2" xfId="17681"/>
    <cellStyle name="Normal 2 3 31 3" xfId="17682"/>
    <cellStyle name="Normal 2 3 31 4" xfId="17683"/>
    <cellStyle name="Normal 2 3 31 5" xfId="17684"/>
    <cellStyle name="Normal 2 3 31 6" xfId="17685"/>
    <cellStyle name="Normal 2 3 31 7" xfId="17686"/>
    <cellStyle name="Normal 2 3 31 8" xfId="17687"/>
    <cellStyle name="Normal 2 3 32" xfId="6028"/>
    <cellStyle name="Normal 2 3 32 2" xfId="17688"/>
    <cellStyle name="Normal 2 3 32 3" xfId="17689"/>
    <cellStyle name="Normal 2 3 32 4" xfId="17690"/>
    <cellStyle name="Normal 2 3 32 5" xfId="17691"/>
    <cellStyle name="Normal 2 3 32 6" xfId="17692"/>
    <cellStyle name="Normal 2 3 32 7" xfId="17693"/>
    <cellStyle name="Normal 2 3 32 8" xfId="17694"/>
    <cellStyle name="Normal 2 3 33" xfId="6029"/>
    <cellStyle name="Normal 2 3 33 2" xfId="17695"/>
    <cellStyle name="Normal 2 3 33 3" xfId="17696"/>
    <cellStyle name="Normal 2 3 33 4" xfId="17697"/>
    <cellStyle name="Normal 2 3 33 5" xfId="17698"/>
    <cellStyle name="Normal 2 3 33 6" xfId="17699"/>
    <cellStyle name="Normal 2 3 33 7" xfId="17700"/>
    <cellStyle name="Normal 2 3 33 8" xfId="17701"/>
    <cellStyle name="Normal 2 3 34" xfId="6030"/>
    <cellStyle name="Normal 2 3 34 2" xfId="17702"/>
    <cellStyle name="Normal 2 3 34 3" xfId="17703"/>
    <cellStyle name="Normal 2 3 34 4" xfId="17704"/>
    <cellStyle name="Normal 2 3 34 5" xfId="17705"/>
    <cellStyle name="Normal 2 3 34 6" xfId="17706"/>
    <cellStyle name="Normal 2 3 34 7" xfId="17707"/>
    <cellStyle name="Normal 2 3 34 8" xfId="17708"/>
    <cellStyle name="Normal 2 3 35" xfId="6031"/>
    <cellStyle name="Normal 2 3 35 2" xfId="17709"/>
    <cellStyle name="Normal 2 3 35 3" xfId="17710"/>
    <cellStyle name="Normal 2 3 35 4" xfId="17711"/>
    <cellStyle name="Normal 2 3 35 5" xfId="17712"/>
    <cellStyle name="Normal 2 3 35 6" xfId="17713"/>
    <cellStyle name="Normal 2 3 35 7" xfId="17714"/>
    <cellStyle name="Normal 2 3 35 8" xfId="17715"/>
    <cellStyle name="Normal 2 3 36" xfId="6032"/>
    <cellStyle name="Normal 2 3 36 2" xfId="17716"/>
    <cellStyle name="Normal 2 3 36 3" xfId="17717"/>
    <cellStyle name="Normal 2 3 37" xfId="6033"/>
    <cellStyle name="Normal 2 3 37 2" xfId="17718"/>
    <cellStyle name="Normal 2 3 38" xfId="6034"/>
    <cellStyle name="Normal 2 3 38 2" xfId="17719"/>
    <cellStyle name="Normal 2 3 39" xfId="6035"/>
    <cellStyle name="Normal 2 3 39 2" xfId="17720"/>
    <cellStyle name="Normal 2 3 4" xfId="6036"/>
    <cellStyle name="Normal 2 3 4 2" xfId="17721"/>
    <cellStyle name="Normal 2 3 4 2 2" xfId="17722"/>
    <cellStyle name="Normal 2 3 4 2 3" xfId="17723"/>
    <cellStyle name="Normal 2 3 4 2 4" xfId="17724"/>
    <cellStyle name="Normal 2 3 4 2 5" xfId="17725"/>
    <cellStyle name="Normal 2 3 4 2 6" xfId="17726"/>
    <cellStyle name="Normal 2 3 4 2 7" xfId="17727"/>
    <cellStyle name="Normal 2 3 4 3" xfId="17728"/>
    <cellStyle name="Normal 2 3 4 4" xfId="17729"/>
    <cellStyle name="Normal 2 3 4 5" xfId="17730"/>
    <cellStyle name="Normal 2 3 4 6" xfId="17731"/>
    <cellStyle name="Normal 2 3 4 7" xfId="17732"/>
    <cellStyle name="Normal 2 3 4 8" xfId="17733"/>
    <cellStyle name="Normal 2 3 4 9" xfId="17734"/>
    <cellStyle name="Normal 2 3 40" xfId="6037"/>
    <cellStyle name="Normal 2 3 40 2" xfId="17735"/>
    <cellStyle name="Normal 2 3 41" xfId="6038"/>
    <cellStyle name="Normal 2 3 41 2" xfId="17736"/>
    <cellStyle name="Normal 2 3 42" xfId="6039"/>
    <cellStyle name="Normal 2 3 42 2" xfId="17737"/>
    <cellStyle name="Normal 2 3 43" xfId="6040"/>
    <cellStyle name="Normal 2 3 43 2" xfId="17738"/>
    <cellStyle name="Normal 2 3 44" xfId="6041"/>
    <cellStyle name="Normal 2 3 44 2" xfId="17739"/>
    <cellStyle name="Normal 2 3 45" xfId="6042"/>
    <cellStyle name="Normal 2 3 46" xfId="6043"/>
    <cellStyle name="Normal 2 3 47" xfId="6044"/>
    <cellStyle name="Normal 2 3 48" xfId="6045"/>
    <cellStyle name="Normal 2 3 49" xfId="6046"/>
    <cellStyle name="Normal 2 3 5" xfId="6047"/>
    <cellStyle name="Normal 2 3 5 2" xfId="17740"/>
    <cellStyle name="Normal 2 3 5 2 2" xfId="17741"/>
    <cellStyle name="Normal 2 3 5 2 3" xfId="17742"/>
    <cellStyle name="Normal 2 3 5 2 4" xfId="17743"/>
    <cellStyle name="Normal 2 3 5 2 5" xfId="17744"/>
    <cellStyle name="Normal 2 3 5 2 6" xfId="17745"/>
    <cellStyle name="Normal 2 3 5 2 7" xfId="17746"/>
    <cellStyle name="Normal 2 3 5 3" xfId="17747"/>
    <cellStyle name="Normal 2 3 5 4" xfId="17748"/>
    <cellStyle name="Normal 2 3 5 5" xfId="17749"/>
    <cellStyle name="Normal 2 3 5 6" xfId="17750"/>
    <cellStyle name="Normal 2 3 5 7" xfId="17751"/>
    <cellStyle name="Normal 2 3 5 8" xfId="17752"/>
    <cellStyle name="Normal 2 3 5 9" xfId="17753"/>
    <cellStyle name="Normal 2 3 50" xfId="6048"/>
    <cellStyle name="Normal 2 3 51" xfId="6049"/>
    <cellStyle name="Normal 2 3 52" xfId="6050"/>
    <cellStyle name="Normal 2 3 53" xfId="6051"/>
    <cellStyle name="Normal 2 3 54" xfId="6052"/>
    <cellStyle name="Normal 2 3 54 2" xfId="36427"/>
    <cellStyle name="Normal 2 3 55" xfId="6053"/>
    <cellStyle name="Normal 2 3 55 2" xfId="36428"/>
    <cellStyle name="Normal 2 3 56" xfId="6054"/>
    <cellStyle name="Normal 2 3 56 2" xfId="36429"/>
    <cellStyle name="Normal 2 3 57" xfId="17754"/>
    <cellStyle name="Normal 2 3 6" xfId="6055"/>
    <cellStyle name="Normal 2 3 6 2" xfId="17755"/>
    <cellStyle name="Normal 2 3 6 2 2" xfId="17756"/>
    <cellStyle name="Normal 2 3 6 2 3" xfId="17757"/>
    <cellStyle name="Normal 2 3 6 2 4" xfId="17758"/>
    <cellStyle name="Normal 2 3 6 2 5" xfId="17759"/>
    <cellStyle name="Normal 2 3 6 2 6" xfId="17760"/>
    <cellStyle name="Normal 2 3 6 2 7" xfId="17761"/>
    <cellStyle name="Normal 2 3 6 3" xfId="17762"/>
    <cellStyle name="Normal 2 3 6 4" xfId="17763"/>
    <cellStyle name="Normal 2 3 6 5" xfId="17764"/>
    <cellStyle name="Normal 2 3 6 6" xfId="17765"/>
    <cellStyle name="Normal 2 3 6 7" xfId="17766"/>
    <cellStyle name="Normal 2 3 6 8" xfId="17767"/>
    <cellStyle name="Normal 2 3 6 9" xfId="17768"/>
    <cellStyle name="Normal 2 3 7" xfId="6056"/>
    <cellStyle name="Normal 2 3 7 2" xfId="17769"/>
    <cellStyle name="Normal 2 3 7 2 2" xfId="17770"/>
    <cellStyle name="Normal 2 3 7 2 3" xfId="17771"/>
    <cellStyle name="Normal 2 3 7 2 4" xfId="17772"/>
    <cellStyle name="Normal 2 3 7 2 5" xfId="17773"/>
    <cellStyle name="Normal 2 3 7 2 6" xfId="17774"/>
    <cellStyle name="Normal 2 3 7 2 7" xfId="17775"/>
    <cellStyle name="Normal 2 3 7 3" xfId="17776"/>
    <cellStyle name="Normal 2 3 7 4" xfId="17777"/>
    <cellStyle name="Normal 2 3 7 5" xfId="17778"/>
    <cellStyle name="Normal 2 3 7 6" xfId="17779"/>
    <cellStyle name="Normal 2 3 7 7" xfId="17780"/>
    <cellStyle name="Normal 2 3 7 8" xfId="17781"/>
    <cellStyle name="Normal 2 3 7 9" xfId="17782"/>
    <cellStyle name="Normal 2 3 8" xfId="6057"/>
    <cellStyle name="Normal 2 3 8 2" xfId="17783"/>
    <cellStyle name="Normal 2 3 8 2 2" xfId="17784"/>
    <cellStyle name="Normal 2 3 8 2 3" xfId="17785"/>
    <cellStyle name="Normal 2 3 8 2 4" xfId="17786"/>
    <cellStyle name="Normal 2 3 8 2 5" xfId="17787"/>
    <cellStyle name="Normal 2 3 8 2 6" xfId="17788"/>
    <cellStyle name="Normal 2 3 8 2 7" xfId="17789"/>
    <cellStyle name="Normal 2 3 8 3" xfId="17790"/>
    <cellStyle name="Normal 2 3 8 4" xfId="17791"/>
    <cellStyle name="Normal 2 3 8 5" xfId="17792"/>
    <cellStyle name="Normal 2 3 8 6" xfId="17793"/>
    <cellStyle name="Normal 2 3 8 7" xfId="17794"/>
    <cellStyle name="Normal 2 3 8 8" xfId="17795"/>
    <cellStyle name="Normal 2 3 8 9" xfId="17796"/>
    <cellStyle name="Normal 2 3 9" xfId="6058"/>
    <cellStyle name="Normal 2 3 9 2" xfId="17797"/>
    <cellStyle name="Normal 2 3 9 2 2" xfId="17798"/>
    <cellStyle name="Normal 2 3 9 2 3" xfId="17799"/>
    <cellStyle name="Normal 2 3 9 2 4" xfId="17800"/>
    <cellStyle name="Normal 2 3 9 2 5" xfId="17801"/>
    <cellStyle name="Normal 2 3 9 2 6" xfId="17802"/>
    <cellStyle name="Normal 2 3 9 2 7" xfId="17803"/>
    <cellStyle name="Normal 2 3 9 3" xfId="17804"/>
    <cellStyle name="Normal 2 3 9 4" xfId="17805"/>
    <cellStyle name="Normal 2 3 9 5" xfId="17806"/>
    <cellStyle name="Normal 2 3 9 6" xfId="17807"/>
    <cellStyle name="Normal 2 3 9 7" xfId="17808"/>
    <cellStyle name="Normal 2 3 9 8" xfId="17809"/>
    <cellStyle name="Normal 2 3 9 9" xfId="17810"/>
    <cellStyle name="Normal 2 3_01-04-2012" xfId="6059"/>
    <cellStyle name="Normal 2 30" xfId="6060"/>
    <cellStyle name="Normal 2 30 2" xfId="6061"/>
    <cellStyle name="Normal 2 30 2 2" xfId="36430"/>
    <cellStyle name="Normal 2 30 3" xfId="6062"/>
    <cellStyle name="Normal 2 30 3 2" xfId="36431"/>
    <cellStyle name="Normal 2 30 4" xfId="6063"/>
    <cellStyle name="Normal 2 30 4 2" xfId="36432"/>
    <cellStyle name="Normal 2 30 5" xfId="36433"/>
    <cellStyle name="Normal 2 30_01-04-2012" xfId="6064"/>
    <cellStyle name="Normal 2 31" xfId="6065"/>
    <cellStyle name="Normal 2 31 2" xfId="6066"/>
    <cellStyle name="Normal 2 31 2 2" xfId="36434"/>
    <cellStyle name="Normal 2 31 3" xfId="6067"/>
    <cellStyle name="Normal 2 31 3 2" xfId="36435"/>
    <cellStyle name="Normal 2 31 4" xfId="6068"/>
    <cellStyle name="Normal 2 31 4 2" xfId="36436"/>
    <cellStyle name="Normal 2 31 5" xfId="36437"/>
    <cellStyle name="Normal 2 31_01-04-2012" xfId="6069"/>
    <cellStyle name="Normal 2 32" xfId="6070"/>
    <cellStyle name="Normal 2 32 2" xfId="6071"/>
    <cellStyle name="Normal 2 32 2 2" xfId="36438"/>
    <cellStyle name="Normal 2 32 3" xfId="6072"/>
    <cellStyle name="Normal 2 32 3 2" xfId="36439"/>
    <cellStyle name="Normal 2 32 4" xfId="6073"/>
    <cellStyle name="Normal 2 32 4 2" xfId="36440"/>
    <cellStyle name="Normal 2 32 5" xfId="36441"/>
    <cellStyle name="Normal 2 32_01-04-2012" xfId="6074"/>
    <cellStyle name="Normal 2 33" xfId="6075"/>
    <cellStyle name="Normal 2 33 2" xfId="6076"/>
    <cellStyle name="Normal 2 33 2 2" xfId="36442"/>
    <cellStyle name="Normal 2 33 3" xfId="6077"/>
    <cellStyle name="Normal 2 33 3 2" xfId="36443"/>
    <cellStyle name="Normal 2 33 4" xfId="6078"/>
    <cellStyle name="Normal 2 33 4 2" xfId="36444"/>
    <cellStyle name="Normal 2 33 5" xfId="36445"/>
    <cellStyle name="Normal 2 33_01-04-2012" xfId="6079"/>
    <cellStyle name="Normal 2 34" xfId="6080"/>
    <cellStyle name="Normal 2 34 2" xfId="6081"/>
    <cellStyle name="Normal 2 34 2 2" xfId="36446"/>
    <cellStyle name="Normal 2 34 3" xfId="6082"/>
    <cellStyle name="Normal 2 34 3 2" xfId="36447"/>
    <cellStyle name="Normal 2 34 4" xfId="6083"/>
    <cellStyle name="Normal 2 34 4 2" xfId="36448"/>
    <cellStyle name="Normal 2 34 5" xfId="36449"/>
    <cellStyle name="Normal 2 34_01-04-2012" xfId="6084"/>
    <cellStyle name="Normal 2 35" xfId="6085"/>
    <cellStyle name="Normal 2 35 2" xfId="6086"/>
    <cellStyle name="Normal 2 35 2 2" xfId="36450"/>
    <cellStyle name="Normal 2 35 3" xfId="6087"/>
    <cellStyle name="Normal 2 35 3 2" xfId="36451"/>
    <cellStyle name="Normal 2 35 4" xfId="6088"/>
    <cellStyle name="Normal 2 35 4 2" xfId="36452"/>
    <cellStyle name="Normal 2 35 5" xfId="36453"/>
    <cellStyle name="Normal 2 35_01-04-2012" xfId="6089"/>
    <cellStyle name="Normal 2 36" xfId="6090"/>
    <cellStyle name="Normal 2 36 2" xfId="6091"/>
    <cellStyle name="Normal 2 36 2 2" xfId="36454"/>
    <cellStyle name="Normal 2 36 3" xfId="6092"/>
    <cellStyle name="Normal 2 36 3 2" xfId="36455"/>
    <cellStyle name="Normal 2 36 4" xfId="6093"/>
    <cellStyle name="Normal 2 36 4 2" xfId="36456"/>
    <cellStyle name="Normal 2 36 5" xfId="36457"/>
    <cellStyle name="Normal 2 36_01-04-2012" xfId="6094"/>
    <cellStyle name="Normal 2 37" xfId="6095"/>
    <cellStyle name="Normal 2 37 2" xfId="6096"/>
    <cellStyle name="Normal 2 37 2 2" xfId="36458"/>
    <cellStyle name="Normal 2 37 3" xfId="6097"/>
    <cellStyle name="Normal 2 37 3 2" xfId="36459"/>
    <cellStyle name="Normal 2 37 4" xfId="6098"/>
    <cellStyle name="Normal 2 37 4 2" xfId="36460"/>
    <cellStyle name="Normal 2 37 5" xfId="36461"/>
    <cellStyle name="Normal 2 37_01-04-2012" xfId="6099"/>
    <cellStyle name="Normal 2 38" xfId="6100"/>
    <cellStyle name="Normal 2 38 2" xfId="6101"/>
    <cellStyle name="Normal 2 38 2 2" xfId="36462"/>
    <cellStyle name="Normal 2 38 3" xfId="6102"/>
    <cellStyle name="Normal 2 38 3 2" xfId="36463"/>
    <cellStyle name="Normal 2 38 4" xfId="6103"/>
    <cellStyle name="Normal 2 38 4 2" xfId="36464"/>
    <cellStyle name="Normal 2 38 5" xfId="36465"/>
    <cellStyle name="Normal 2 38_01-04-2012" xfId="6104"/>
    <cellStyle name="Normal 2 39" xfId="6105"/>
    <cellStyle name="Normal 2 39 2" xfId="6106"/>
    <cellStyle name="Normal 2 39 2 2" xfId="36466"/>
    <cellStyle name="Normal 2 39 3" xfId="6107"/>
    <cellStyle name="Normal 2 39 3 2" xfId="36467"/>
    <cellStyle name="Normal 2 39 4" xfId="6108"/>
    <cellStyle name="Normal 2 39 4 2" xfId="36468"/>
    <cellStyle name="Normal 2 39 5" xfId="36469"/>
    <cellStyle name="Normal 2 39_01-04-2012" xfId="6109"/>
    <cellStyle name="Normal 2 4" xfId="6110"/>
    <cellStyle name="Normal 2 4 10" xfId="17811"/>
    <cellStyle name="Normal 2 4 10 2" xfId="17812"/>
    <cellStyle name="Normal 2 4 10 2 2" xfId="17813"/>
    <cellStyle name="Normal 2 4 10 2 3" xfId="17814"/>
    <cellStyle name="Normal 2 4 10 2 4" xfId="17815"/>
    <cellStyle name="Normal 2 4 10 2 5" xfId="17816"/>
    <cellStyle name="Normal 2 4 10 2 6" xfId="17817"/>
    <cellStyle name="Normal 2 4 10 2 7" xfId="17818"/>
    <cellStyle name="Normal 2 4 10 3" xfId="17819"/>
    <cellStyle name="Normal 2 4 10 4" xfId="17820"/>
    <cellStyle name="Normal 2 4 10 5" xfId="17821"/>
    <cellStyle name="Normal 2 4 10 6" xfId="17822"/>
    <cellStyle name="Normal 2 4 10 7" xfId="17823"/>
    <cellStyle name="Normal 2 4 10 8" xfId="17824"/>
    <cellStyle name="Normal 2 4 11" xfId="17825"/>
    <cellStyle name="Normal 2 4 11 2" xfId="17826"/>
    <cellStyle name="Normal 2 4 11 2 2" xfId="17827"/>
    <cellStyle name="Normal 2 4 11 2 3" xfId="17828"/>
    <cellStyle name="Normal 2 4 11 2 4" xfId="17829"/>
    <cellStyle name="Normal 2 4 11 2 5" xfId="17830"/>
    <cellStyle name="Normal 2 4 11 2 6" xfId="17831"/>
    <cellStyle name="Normal 2 4 11 2 7" xfId="17832"/>
    <cellStyle name="Normal 2 4 11 3" xfId="17833"/>
    <cellStyle name="Normal 2 4 11 4" xfId="17834"/>
    <cellStyle name="Normal 2 4 11 5" xfId="17835"/>
    <cellStyle name="Normal 2 4 11 6" xfId="17836"/>
    <cellStyle name="Normal 2 4 11 7" xfId="17837"/>
    <cellStyle name="Normal 2 4 11 8" xfId="17838"/>
    <cellStyle name="Normal 2 4 12" xfId="17839"/>
    <cellStyle name="Normal 2 4 12 2" xfId="17840"/>
    <cellStyle name="Normal 2 4 12 2 2" xfId="17841"/>
    <cellStyle name="Normal 2 4 12 2 3" xfId="17842"/>
    <cellStyle name="Normal 2 4 12 2 4" xfId="17843"/>
    <cellStyle name="Normal 2 4 12 2 5" xfId="17844"/>
    <cellStyle name="Normal 2 4 12 2 6" xfId="17845"/>
    <cellStyle name="Normal 2 4 12 2 7" xfId="17846"/>
    <cellStyle name="Normal 2 4 12 3" xfId="17847"/>
    <cellStyle name="Normal 2 4 12 4" xfId="17848"/>
    <cellStyle name="Normal 2 4 12 5" xfId="17849"/>
    <cellStyle name="Normal 2 4 12 6" xfId="17850"/>
    <cellStyle name="Normal 2 4 12 7" xfId="17851"/>
    <cellStyle name="Normal 2 4 12 8" xfId="17852"/>
    <cellStyle name="Normal 2 4 13" xfId="17853"/>
    <cellStyle name="Normal 2 4 13 2" xfId="17854"/>
    <cellStyle name="Normal 2 4 13 2 2" xfId="17855"/>
    <cellStyle name="Normal 2 4 13 2 3" xfId="17856"/>
    <cellStyle name="Normal 2 4 13 2 4" xfId="17857"/>
    <cellStyle name="Normal 2 4 13 2 5" xfId="17858"/>
    <cellStyle name="Normal 2 4 13 2 6" xfId="17859"/>
    <cellStyle name="Normal 2 4 13 2 7" xfId="17860"/>
    <cellStyle name="Normal 2 4 13 3" xfId="17861"/>
    <cellStyle name="Normal 2 4 13 4" xfId="17862"/>
    <cellStyle name="Normal 2 4 13 5" xfId="17863"/>
    <cellStyle name="Normal 2 4 13 6" xfId="17864"/>
    <cellStyle name="Normal 2 4 13 7" xfId="17865"/>
    <cellStyle name="Normal 2 4 13 8" xfId="17866"/>
    <cellStyle name="Normal 2 4 14" xfId="17867"/>
    <cellStyle name="Normal 2 4 14 2" xfId="17868"/>
    <cellStyle name="Normal 2 4 14 2 2" xfId="17869"/>
    <cellStyle name="Normal 2 4 14 2 3" xfId="17870"/>
    <cellStyle name="Normal 2 4 14 2 4" xfId="17871"/>
    <cellStyle name="Normal 2 4 14 2 5" xfId="17872"/>
    <cellStyle name="Normal 2 4 14 2 6" xfId="17873"/>
    <cellStyle name="Normal 2 4 14 2 7" xfId="17874"/>
    <cellStyle name="Normal 2 4 14 3" xfId="17875"/>
    <cellStyle name="Normal 2 4 14 4" xfId="17876"/>
    <cellStyle name="Normal 2 4 14 5" xfId="17877"/>
    <cellStyle name="Normal 2 4 14 6" xfId="17878"/>
    <cellStyle name="Normal 2 4 14 7" xfId="17879"/>
    <cellStyle name="Normal 2 4 14 8" xfId="17880"/>
    <cellStyle name="Normal 2 4 15" xfId="17881"/>
    <cellStyle name="Normal 2 4 15 2" xfId="17882"/>
    <cellStyle name="Normal 2 4 15 2 2" xfId="17883"/>
    <cellStyle name="Normal 2 4 15 2 3" xfId="17884"/>
    <cellStyle name="Normal 2 4 15 2 4" xfId="17885"/>
    <cellStyle name="Normal 2 4 15 2 5" xfId="17886"/>
    <cellStyle name="Normal 2 4 15 2 6" xfId="17887"/>
    <cellStyle name="Normal 2 4 15 2 7" xfId="17888"/>
    <cellStyle name="Normal 2 4 15 3" xfId="17889"/>
    <cellStyle name="Normal 2 4 15 4" xfId="17890"/>
    <cellStyle name="Normal 2 4 15 5" xfId="17891"/>
    <cellStyle name="Normal 2 4 15 6" xfId="17892"/>
    <cellStyle name="Normal 2 4 15 7" xfId="17893"/>
    <cellStyle name="Normal 2 4 15 8" xfId="17894"/>
    <cellStyle name="Normal 2 4 16" xfId="17895"/>
    <cellStyle name="Normal 2 4 16 2" xfId="17896"/>
    <cellStyle name="Normal 2 4 16 3" xfId="17897"/>
    <cellStyle name="Normal 2 4 16 4" xfId="17898"/>
    <cellStyle name="Normal 2 4 16 5" xfId="17899"/>
    <cellStyle name="Normal 2 4 16 6" xfId="17900"/>
    <cellStyle name="Normal 2 4 16 7" xfId="17901"/>
    <cellStyle name="Normal 2 4 17" xfId="17902"/>
    <cellStyle name="Normal 2 4 17 2" xfId="17903"/>
    <cellStyle name="Normal 2 4 17 3" xfId="17904"/>
    <cellStyle name="Normal 2 4 17 4" xfId="17905"/>
    <cellStyle name="Normal 2 4 17 5" xfId="17906"/>
    <cellStyle name="Normal 2 4 17 6" xfId="17907"/>
    <cellStyle name="Normal 2 4 17 7" xfId="17908"/>
    <cellStyle name="Normal 2 4 18" xfId="17909"/>
    <cellStyle name="Normal 2 4 18 2" xfId="17910"/>
    <cellStyle name="Normal 2 4 18 3" xfId="17911"/>
    <cellStyle name="Normal 2 4 18 4" xfId="17912"/>
    <cellStyle name="Normal 2 4 18 5" xfId="17913"/>
    <cellStyle name="Normal 2 4 18 6" xfId="17914"/>
    <cellStyle name="Normal 2 4 18 7" xfId="17915"/>
    <cellStyle name="Normal 2 4 19" xfId="17916"/>
    <cellStyle name="Normal 2 4 19 2" xfId="17917"/>
    <cellStyle name="Normal 2 4 19 3" xfId="17918"/>
    <cellStyle name="Normal 2 4 19 4" xfId="17919"/>
    <cellStyle name="Normal 2 4 19 5" xfId="17920"/>
    <cellStyle name="Normal 2 4 19 6" xfId="17921"/>
    <cellStyle name="Normal 2 4 19 7" xfId="17922"/>
    <cellStyle name="Normal 2 4 2" xfId="17923"/>
    <cellStyle name="Normal 2 4 2 2" xfId="17924"/>
    <cellStyle name="Normal 2 4 2 2 2" xfId="17925"/>
    <cellStyle name="Normal 2 4 2 2 3" xfId="17926"/>
    <cellStyle name="Normal 2 4 2 2 4" xfId="17927"/>
    <cellStyle name="Normal 2 4 2 2 5" xfId="17928"/>
    <cellStyle name="Normal 2 4 2 2 6" xfId="17929"/>
    <cellStyle name="Normal 2 4 2 2 7" xfId="17930"/>
    <cellStyle name="Normal 2 4 2 3" xfId="17931"/>
    <cellStyle name="Normal 2 4 2 4" xfId="17932"/>
    <cellStyle name="Normal 2 4 2 5" xfId="17933"/>
    <cellStyle name="Normal 2 4 2 6" xfId="17934"/>
    <cellStyle name="Normal 2 4 2 7" xfId="17935"/>
    <cellStyle name="Normal 2 4 2 8" xfId="17936"/>
    <cellStyle name="Normal 2 4 2 9" xfId="17937"/>
    <cellStyle name="Normal 2 4 20" xfId="17938"/>
    <cellStyle name="Normal 2 4 20 2" xfId="17939"/>
    <cellStyle name="Normal 2 4 20 3" xfId="17940"/>
    <cellStyle name="Normal 2 4 20 4" xfId="17941"/>
    <cellStyle name="Normal 2 4 20 5" xfId="17942"/>
    <cellStyle name="Normal 2 4 20 6" xfId="17943"/>
    <cellStyle name="Normal 2 4 20 7" xfId="17944"/>
    <cellStyle name="Normal 2 4 21" xfId="17945"/>
    <cellStyle name="Normal 2 4 21 2" xfId="17946"/>
    <cellStyle name="Normal 2 4 21 3" xfId="17947"/>
    <cellStyle name="Normal 2 4 21 4" xfId="17948"/>
    <cellStyle name="Normal 2 4 21 5" xfId="17949"/>
    <cellStyle name="Normal 2 4 21 6" xfId="17950"/>
    <cellStyle name="Normal 2 4 21 7" xfId="17951"/>
    <cellStyle name="Normal 2 4 22" xfId="17952"/>
    <cellStyle name="Normal 2 4 22 2" xfId="17953"/>
    <cellStyle name="Normal 2 4 22 3" xfId="17954"/>
    <cellStyle name="Normal 2 4 22 4" xfId="17955"/>
    <cellStyle name="Normal 2 4 22 5" xfId="17956"/>
    <cellStyle name="Normal 2 4 22 6" xfId="17957"/>
    <cellStyle name="Normal 2 4 22 7" xfId="17958"/>
    <cellStyle name="Normal 2 4 23" xfId="17959"/>
    <cellStyle name="Normal 2 4 23 2" xfId="17960"/>
    <cellStyle name="Normal 2 4 23 3" xfId="17961"/>
    <cellStyle name="Normal 2 4 23 4" xfId="17962"/>
    <cellStyle name="Normal 2 4 23 5" xfId="17963"/>
    <cellStyle name="Normal 2 4 23 6" xfId="17964"/>
    <cellStyle name="Normal 2 4 23 7" xfId="17965"/>
    <cellStyle name="Normal 2 4 24" xfId="17966"/>
    <cellStyle name="Normal 2 4 24 2" xfId="17967"/>
    <cellStyle name="Normal 2 4 24 3" xfId="17968"/>
    <cellStyle name="Normal 2 4 24 4" xfId="17969"/>
    <cellStyle name="Normal 2 4 24 5" xfId="17970"/>
    <cellStyle name="Normal 2 4 24 6" xfId="17971"/>
    <cellStyle name="Normal 2 4 24 7" xfId="17972"/>
    <cellStyle name="Normal 2 4 25" xfId="17973"/>
    <cellStyle name="Normal 2 4 25 2" xfId="17974"/>
    <cellStyle name="Normal 2 4 25 3" xfId="17975"/>
    <cellStyle name="Normal 2 4 25 4" xfId="17976"/>
    <cellStyle name="Normal 2 4 25 5" xfId="17977"/>
    <cellStyle name="Normal 2 4 25 6" xfId="17978"/>
    <cellStyle name="Normal 2 4 25 7" xfId="17979"/>
    <cellStyle name="Normal 2 4 26" xfId="17980"/>
    <cellStyle name="Normal 2 4 26 2" xfId="17981"/>
    <cellStyle name="Normal 2 4 26 3" xfId="17982"/>
    <cellStyle name="Normal 2 4 26 4" xfId="17983"/>
    <cellStyle name="Normal 2 4 26 5" xfId="17984"/>
    <cellStyle name="Normal 2 4 26 6" xfId="17985"/>
    <cellStyle name="Normal 2 4 26 7" xfId="17986"/>
    <cellStyle name="Normal 2 4 27" xfId="17987"/>
    <cellStyle name="Normal 2 4 27 2" xfId="17988"/>
    <cellStyle name="Normal 2 4 27 3" xfId="17989"/>
    <cellStyle name="Normal 2 4 27 4" xfId="17990"/>
    <cellStyle name="Normal 2 4 27 5" xfId="17991"/>
    <cellStyle name="Normal 2 4 27 6" xfId="17992"/>
    <cellStyle name="Normal 2 4 27 7" xfId="17993"/>
    <cellStyle name="Normal 2 4 28" xfId="17994"/>
    <cellStyle name="Normal 2 4 28 2" xfId="17995"/>
    <cellStyle name="Normal 2 4 28 3" xfId="17996"/>
    <cellStyle name="Normal 2 4 28 4" xfId="17997"/>
    <cellStyle name="Normal 2 4 28 5" xfId="17998"/>
    <cellStyle name="Normal 2 4 28 6" xfId="17999"/>
    <cellStyle name="Normal 2 4 28 7" xfId="18000"/>
    <cellStyle name="Normal 2 4 29" xfId="18001"/>
    <cellStyle name="Normal 2 4 29 2" xfId="18002"/>
    <cellStyle name="Normal 2 4 29 3" xfId="18003"/>
    <cellStyle name="Normal 2 4 29 4" xfId="18004"/>
    <cellStyle name="Normal 2 4 29 5" xfId="18005"/>
    <cellStyle name="Normal 2 4 29 6" xfId="18006"/>
    <cellStyle name="Normal 2 4 29 7" xfId="18007"/>
    <cellStyle name="Normal 2 4 3" xfId="18008"/>
    <cellStyle name="Normal 2 4 3 2" xfId="18009"/>
    <cellStyle name="Normal 2 4 3 2 2" xfId="18010"/>
    <cellStyle name="Normal 2 4 3 2 3" xfId="18011"/>
    <cellStyle name="Normal 2 4 3 2 4" xfId="18012"/>
    <cellStyle name="Normal 2 4 3 2 5" xfId="18013"/>
    <cellStyle name="Normal 2 4 3 2 6" xfId="18014"/>
    <cellStyle name="Normal 2 4 3 2 7" xfId="18015"/>
    <cellStyle name="Normal 2 4 3 3" xfId="18016"/>
    <cellStyle name="Normal 2 4 3 4" xfId="18017"/>
    <cellStyle name="Normal 2 4 3 5" xfId="18018"/>
    <cellStyle name="Normal 2 4 3 6" xfId="18019"/>
    <cellStyle name="Normal 2 4 3 7" xfId="18020"/>
    <cellStyle name="Normal 2 4 3 8" xfId="18021"/>
    <cellStyle name="Normal 2 4 3 9" xfId="36470"/>
    <cellStyle name="Normal 2 4 30" xfId="18022"/>
    <cellStyle name="Normal 2 4 30 2" xfId="18023"/>
    <cellStyle name="Normal 2 4 30 3" xfId="18024"/>
    <cellStyle name="Normal 2 4 30 4" xfId="18025"/>
    <cellStyle name="Normal 2 4 30 5" xfId="18026"/>
    <cellStyle name="Normal 2 4 30 6" xfId="18027"/>
    <cellStyle name="Normal 2 4 30 7" xfId="18028"/>
    <cellStyle name="Normal 2 4 31" xfId="18029"/>
    <cellStyle name="Normal 2 4 31 2" xfId="18030"/>
    <cellStyle name="Normal 2 4 31 3" xfId="18031"/>
    <cellStyle name="Normal 2 4 31 4" xfId="18032"/>
    <cellStyle name="Normal 2 4 31 5" xfId="18033"/>
    <cellStyle name="Normal 2 4 31 6" xfId="18034"/>
    <cellStyle name="Normal 2 4 31 7" xfId="18035"/>
    <cellStyle name="Normal 2 4 32" xfId="18036"/>
    <cellStyle name="Normal 2 4 32 2" xfId="18037"/>
    <cellStyle name="Normal 2 4 32 3" xfId="18038"/>
    <cellStyle name="Normal 2 4 32 4" xfId="18039"/>
    <cellStyle name="Normal 2 4 32 5" xfId="18040"/>
    <cellStyle name="Normal 2 4 32 6" xfId="18041"/>
    <cellStyle name="Normal 2 4 32 7" xfId="18042"/>
    <cellStyle name="Normal 2 4 33" xfId="18043"/>
    <cellStyle name="Normal 2 4 33 2" xfId="18044"/>
    <cellStyle name="Normal 2 4 33 3" xfId="18045"/>
    <cellStyle name="Normal 2 4 33 4" xfId="18046"/>
    <cellStyle name="Normal 2 4 33 5" xfId="18047"/>
    <cellStyle name="Normal 2 4 33 6" xfId="18048"/>
    <cellStyle name="Normal 2 4 33 7" xfId="18049"/>
    <cellStyle name="Normal 2 4 34" xfId="18050"/>
    <cellStyle name="Normal 2 4 34 2" xfId="18051"/>
    <cellStyle name="Normal 2 4 34 3" xfId="18052"/>
    <cellStyle name="Normal 2 4 34 4" xfId="18053"/>
    <cellStyle name="Normal 2 4 34 5" xfId="18054"/>
    <cellStyle name="Normal 2 4 34 6" xfId="18055"/>
    <cellStyle name="Normal 2 4 34 7" xfId="18056"/>
    <cellStyle name="Normal 2 4 35" xfId="18057"/>
    <cellStyle name="Normal 2 4 35 2" xfId="18058"/>
    <cellStyle name="Normal 2 4 35 3" xfId="18059"/>
    <cellStyle name="Normal 2 4 35 4" xfId="18060"/>
    <cellStyle name="Normal 2 4 35 5" xfId="18061"/>
    <cellStyle name="Normal 2 4 35 6" xfId="18062"/>
    <cellStyle name="Normal 2 4 35 7" xfId="18063"/>
    <cellStyle name="Normal 2 4 36" xfId="18064"/>
    <cellStyle name="Normal 2 4 37" xfId="18065"/>
    <cellStyle name="Normal 2 4 38" xfId="18066"/>
    <cellStyle name="Normal 2 4 39" xfId="18067"/>
    <cellStyle name="Normal 2 4 4" xfId="18068"/>
    <cellStyle name="Normal 2 4 4 2" xfId="18069"/>
    <cellStyle name="Normal 2 4 4 2 2" xfId="18070"/>
    <cellStyle name="Normal 2 4 4 2 3" xfId="18071"/>
    <cellStyle name="Normal 2 4 4 2 4" xfId="18072"/>
    <cellStyle name="Normal 2 4 4 2 5" xfId="18073"/>
    <cellStyle name="Normal 2 4 4 2 6" xfId="18074"/>
    <cellStyle name="Normal 2 4 4 2 7" xfId="18075"/>
    <cellStyle name="Normal 2 4 4 3" xfId="18076"/>
    <cellStyle name="Normal 2 4 4 4" xfId="18077"/>
    <cellStyle name="Normal 2 4 4 5" xfId="18078"/>
    <cellStyle name="Normal 2 4 4 6" xfId="18079"/>
    <cellStyle name="Normal 2 4 4 7" xfId="18080"/>
    <cellStyle name="Normal 2 4 4 8" xfId="18081"/>
    <cellStyle name="Normal 2 4 40" xfId="18082"/>
    <cellStyle name="Normal 2 4 41" xfId="18083"/>
    <cellStyle name="Normal 2 4 42" xfId="18084"/>
    <cellStyle name="Normal 2 4 43" xfId="18085"/>
    <cellStyle name="Normal 2 4 5" xfId="18086"/>
    <cellStyle name="Normal 2 4 5 2" xfId="18087"/>
    <cellStyle name="Normal 2 4 5 2 2" xfId="18088"/>
    <cellStyle name="Normal 2 4 5 2 3" xfId="18089"/>
    <cellStyle name="Normal 2 4 5 2 4" xfId="18090"/>
    <cellStyle name="Normal 2 4 5 2 5" xfId="18091"/>
    <cellStyle name="Normal 2 4 5 2 6" xfId="18092"/>
    <cellStyle name="Normal 2 4 5 2 7" xfId="18093"/>
    <cellStyle name="Normal 2 4 5 3" xfId="18094"/>
    <cellStyle name="Normal 2 4 5 4" xfId="18095"/>
    <cellStyle name="Normal 2 4 5 5" xfId="18096"/>
    <cellStyle name="Normal 2 4 5 6" xfId="18097"/>
    <cellStyle name="Normal 2 4 5 7" xfId="18098"/>
    <cellStyle name="Normal 2 4 5 8" xfId="18099"/>
    <cellStyle name="Normal 2 4 6" xfId="18100"/>
    <cellStyle name="Normal 2 4 6 2" xfId="18101"/>
    <cellStyle name="Normal 2 4 6 2 2" xfId="18102"/>
    <cellStyle name="Normal 2 4 6 2 3" xfId="18103"/>
    <cellStyle name="Normal 2 4 6 2 4" xfId="18104"/>
    <cellStyle name="Normal 2 4 6 2 5" xfId="18105"/>
    <cellStyle name="Normal 2 4 6 2 6" xfId="18106"/>
    <cellStyle name="Normal 2 4 6 2 7" xfId="18107"/>
    <cellStyle name="Normal 2 4 6 3" xfId="18108"/>
    <cellStyle name="Normal 2 4 6 4" xfId="18109"/>
    <cellStyle name="Normal 2 4 6 5" xfId="18110"/>
    <cellStyle name="Normal 2 4 6 6" xfId="18111"/>
    <cellStyle name="Normal 2 4 6 7" xfId="18112"/>
    <cellStyle name="Normal 2 4 6 8" xfId="18113"/>
    <cellStyle name="Normal 2 4 7" xfId="18114"/>
    <cellStyle name="Normal 2 4 7 2" xfId="18115"/>
    <cellStyle name="Normal 2 4 7 2 2" xfId="18116"/>
    <cellStyle name="Normal 2 4 7 2 3" xfId="18117"/>
    <cellStyle name="Normal 2 4 7 2 4" xfId="18118"/>
    <cellStyle name="Normal 2 4 7 2 5" xfId="18119"/>
    <cellStyle name="Normal 2 4 7 2 6" xfId="18120"/>
    <cellStyle name="Normal 2 4 7 2 7" xfId="18121"/>
    <cellStyle name="Normal 2 4 7 3" xfId="18122"/>
    <cellStyle name="Normal 2 4 7 4" xfId="18123"/>
    <cellStyle name="Normal 2 4 7 5" xfId="18124"/>
    <cellStyle name="Normal 2 4 7 6" xfId="18125"/>
    <cellStyle name="Normal 2 4 7 7" xfId="18126"/>
    <cellStyle name="Normal 2 4 7 8" xfId="18127"/>
    <cellStyle name="Normal 2 4 8" xfId="18128"/>
    <cellStyle name="Normal 2 4 8 2" xfId="18129"/>
    <cellStyle name="Normal 2 4 8 2 2" xfId="18130"/>
    <cellStyle name="Normal 2 4 8 2 3" xfId="18131"/>
    <cellStyle name="Normal 2 4 8 2 4" xfId="18132"/>
    <cellStyle name="Normal 2 4 8 2 5" xfId="18133"/>
    <cellStyle name="Normal 2 4 8 2 6" xfId="18134"/>
    <cellStyle name="Normal 2 4 8 2 7" xfId="18135"/>
    <cellStyle name="Normal 2 4 8 3" xfId="18136"/>
    <cellStyle name="Normal 2 4 8 4" xfId="18137"/>
    <cellStyle name="Normal 2 4 8 5" xfId="18138"/>
    <cellStyle name="Normal 2 4 8 6" xfId="18139"/>
    <cellStyle name="Normal 2 4 8 7" xfId="18140"/>
    <cellStyle name="Normal 2 4 8 8" xfId="18141"/>
    <cellStyle name="Normal 2 4 9" xfId="18142"/>
    <cellStyle name="Normal 2 4 9 2" xfId="18143"/>
    <cellStyle name="Normal 2 4 9 2 2" xfId="18144"/>
    <cellStyle name="Normal 2 4 9 2 3" xfId="18145"/>
    <cellStyle name="Normal 2 4 9 2 4" xfId="18146"/>
    <cellStyle name="Normal 2 4 9 2 5" xfId="18147"/>
    <cellStyle name="Normal 2 4 9 2 6" xfId="18148"/>
    <cellStyle name="Normal 2 4 9 2 7" xfId="18149"/>
    <cellStyle name="Normal 2 4 9 3" xfId="18150"/>
    <cellStyle name="Normal 2 4 9 4" xfId="18151"/>
    <cellStyle name="Normal 2 4 9 5" xfId="18152"/>
    <cellStyle name="Normal 2 4 9 6" xfId="18153"/>
    <cellStyle name="Normal 2 4 9 7" xfId="18154"/>
    <cellStyle name="Normal 2 4 9 8" xfId="18155"/>
    <cellStyle name="Normal 2 40" xfId="6111"/>
    <cellStyle name="Normal 2 40 2" xfId="6112"/>
    <cellStyle name="Normal 2 40 2 2" xfId="36471"/>
    <cellStyle name="Normal 2 40 3" xfId="6113"/>
    <cellStyle name="Normal 2 40 3 2" xfId="36472"/>
    <cellStyle name="Normal 2 40 4" xfId="6114"/>
    <cellStyle name="Normal 2 40 4 2" xfId="36473"/>
    <cellStyle name="Normal 2 40 5" xfId="36474"/>
    <cellStyle name="Normal 2 40_01-04-2012" xfId="6115"/>
    <cellStyle name="Normal 2 41" xfId="6116"/>
    <cellStyle name="Normal 2 41 2" xfId="6117"/>
    <cellStyle name="Normal 2 41 2 2" xfId="36475"/>
    <cellStyle name="Normal 2 41 3" xfId="6118"/>
    <cellStyle name="Normal 2 41 3 2" xfId="36476"/>
    <cellStyle name="Normal 2 41 4" xfId="6119"/>
    <cellStyle name="Normal 2 41 4 2" xfId="36477"/>
    <cellStyle name="Normal 2 41 5" xfId="36478"/>
    <cellStyle name="Normal 2 41_01-04-2012" xfId="6120"/>
    <cellStyle name="Normal 2 42" xfId="6121"/>
    <cellStyle name="Normal 2 42 2" xfId="6122"/>
    <cellStyle name="Normal 2 42 2 2" xfId="36479"/>
    <cellStyle name="Normal 2 42 3" xfId="6123"/>
    <cellStyle name="Normal 2 42 3 2" xfId="36480"/>
    <cellStyle name="Normal 2 42 4" xfId="6124"/>
    <cellStyle name="Normal 2 42 4 2" xfId="36481"/>
    <cellStyle name="Normal 2 42 5" xfId="36482"/>
    <cellStyle name="Normal 2 42_01-04-2012" xfId="6125"/>
    <cellStyle name="Normal 2 43" xfId="6126"/>
    <cellStyle name="Normal 2 43 2" xfId="6127"/>
    <cellStyle name="Normal 2 43 2 2" xfId="36483"/>
    <cellStyle name="Normal 2 43 3" xfId="6128"/>
    <cellStyle name="Normal 2 43 3 2" xfId="36484"/>
    <cellStyle name="Normal 2 43 4" xfId="6129"/>
    <cellStyle name="Normal 2 43 4 2" xfId="36485"/>
    <cellStyle name="Normal 2 43 5" xfId="36486"/>
    <cellStyle name="Normal 2 43_01-04-2012" xfId="6130"/>
    <cellStyle name="Normal 2 44" xfId="6131"/>
    <cellStyle name="Normal 2 44 2" xfId="6132"/>
    <cellStyle name="Normal 2 44 2 2" xfId="36487"/>
    <cellStyle name="Normal 2 44 3" xfId="6133"/>
    <cellStyle name="Normal 2 44 3 2" xfId="36488"/>
    <cellStyle name="Normal 2 44 4" xfId="6134"/>
    <cellStyle name="Normal 2 44 4 2" xfId="36489"/>
    <cellStyle name="Normal 2 44 5" xfId="36490"/>
    <cellStyle name="Normal 2 44_01-04-2012" xfId="6135"/>
    <cellStyle name="Normal 2 45" xfId="6136"/>
    <cellStyle name="Normal 2 45 2" xfId="6137"/>
    <cellStyle name="Normal 2 45 2 2" xfId="36491"/>
    <cellStyle name="Normal 2 45 3" xfId="6138"/>
    <cellStyle name="Normal 2 45 3 2" xfId="36492"/>
    <cellStyle name="Normal 2 45 4" xfId="6139"/>
    <cellStyle name="Normal 2 45 4 2" xfId="36493"/>
    <cellStyle name="Normal 2 45 5" xfId="36494"/>
    <cellStyle name="Normal 2 45_01-04-2012" xfId="6140"/>
    <cellStyle name="Normal 2 46" xfId="6141"/>
    <cellStyle name="Normal 2 46 2" xfId="6142"/>
    <cellStyle name="Normal 2 46 2 2" xfId="36495"/>
    <cellStyle name="Normal 2 46 3" xfId="6143"/>
    <cellStyle name="Normal 2 46 3 2" xfId="36496"/>
    <cellStyle name="Normal 2 46 4" xfId="6144"/>
    <cellStyle name="Normal 2 46 4 2" xfId="36497"/>
    <cellStyle name="Normal 2 46 5" xfId="36498"/>
    <cellStyle name="Normal 2 46_01-04-2012" xfId="6145"/>
    <cellStyle name="Normal 2 47" xfId="6146"/>
    <cellStyle name="Normal 2 47 2" xfId="6147"/>
    <cellStyle name="Normal 2 47 2 2" xfId="36499"/>
    <cellStyle name="Normal 2 47 3" xfId="6148"/>
    <cellStyle name="Normal 2 47 3 2" xfId="36500"/>
    <cellStyle name="Normal 2 47 4" xfId="6149"/>
    <cellStyle name="Normal 2 47 4 2" xfId="36501"/>
    <cellStyle name="Normal 2 47 5" xfId="36502"/>
    <cellStyle name="Normal 2 47_01-04-2012" xfId="6150"/>
    <cellStyle name="Normal 2 48" xfId="6151"/>
    <cellStyle name="Normal 2 48 2" xfId="6152"/>
    <cellStyle name="Normal 2 48 2 2" xfId="36503"/>
    <cellStyle name="Normal 2 48 3" xfId="6153"/>
    <cellStyle name="Normal 2 48 3 2" xfId="36504"/>
    <cellStyle name="Normal 2 48 4" xfId="6154"/>
    <cellStyle name="Normal 2 48 4 2" xfId="36505"/>
    <cellStyle name="Normal 2 48 5" xfId="36506"/>
    <cellStyle name="Normal 2 48_01-04-2012" xfId="6155"/>
    <cellStyle name="Normal 2 49" xfId="6156"/>
    <cellStyle name="Normal 2 49 2" xfId="6157"/>
    <cellStyle name="Normal 2 49 2 2" xfId="36507"/>
    <cellStyle name="Normal 2 49 3" xfId="6158"/>
    <cellStyle name="Normal 2 49 3 2" xfId="36508"/>
    <cellStyle name="Normal 2 49 4" xfId="6159"/>
    <cellStyle name="Normal 2 49 4 2" xfId="36509"/>
    <cellStyle name="Normal 2 49 5" xfId="36510"/>
    <cellStyle name="Normal 2 49_01-04-2012" xfId="6160"/>
    <cellStyle name="Normal 2 5" xfId="6161"/>
    <cellStyle name="Normal 2 5 10" xfId="18156"/>
    <cellStyle name="Normal 2 5 10 2" xfId="18157"/>
    <cellStyle name="Normal 2 5 10 2 2" xfId="18158"/>
    <cellStyle name="Normal 2 5 10 2 3" xfId="18159"/>
    <cellStyle name="Normal 2 5 10 2 4" xfId="18160"/>
    <cellStyle name="Normal 2 5 10 2 5" xfId="18161"/>
    <cellStyle name="Normal 2 5 10 2 6" xfId="18162"/>
    <cellStyle name="Normal 2 5 10 2 7" xfId="18163"/>
    <cellStyle name="Normal 2 5 10 3" xfId="18164"/>
    <cellStyle name="Normal 2 5 10 4" xfId="18165"/>
    <cellStyle name="Normal 2 5 10 5" xfId="18166"/>
    <cellStyle name="Normal 2 5 10 6" xfId="18167"/>
    <cellStyle name="Normal 2 5 10 7" xfId="18168"/>
    <cellStyle name="Normal 2 5 10 8" xfId="18169"/>
    <cellStyle name="Normal 2 5 11" xfId="18170"/>
    <cellStyle name="Normal 2 5 11 2" xfId="18171"/>
    <cellStyle name="Normal 2 5 11 2 2" xfId="18172"/>
    <cellStyle name="Normal 2 5 11 2 3" xfId="18173"/>
    <cellStyle name="Normal 2 5 11 2 4" xfId="18174"/>
    <cellStyle name="Normal 2 5 11 2 5" xfId="18175"/>
    <cellStyle name="Normal 2 5 11 2 6" xfId="18176"/>
    <cellStyle name="Normal 2 5 11 2 7" xfId="18177"/>
    <cellStyle name="Normal 2 5 11 3" xfId="18178"/>
    <cellStyle name="Normal 2 5 11 4" xfId="18179"/>
    <cellStyle name="Normal 2 5 11 5" xfId="18180"/>
    <cellStyle name="Normal 2 5 11 6" xfId="18181"/>
    <cellStyle name="Normal 2 5 11 7" xfId="18182"/>
    <cellStyle name="Normal 2 5 11 8" xfId="18183"/>
    <cellStyle name="Normal 2 5 12" xfId="18184"/>
    <cellStyle name="Normal 2 5 12 2" xfId="18185"/>
    <cellStyle name="Normal 2 5 12 2 2" xfId="18186"/>
    <cellStyle name="Normal 2 5 12 2 3" xfId="18187"/>
    <cellStyle name="Normal 2 5 12 2 4" xfId="18188"/>
    <cellStyle name="Normal 2 5 12 2 5" xfId="18189"/>
    <cellStyle name="Normal 2 5 12 2 6" xfId="18190"/>
    <cellStyle name="Normal 2 5 12 2 7" xfId="18191"/>
    <cellStyle name="Normal 2 5 12 3" xfId="18192"/>
    <cellStyle name="Normal 2 5 12 4" xfId="18193"/>
    <cellStyle name="Normal 2 5 12 5" xfId="18194"/>
    <cellStyle name="Normal 2 5 12 6" xfId="18195"/>
    <cellStyle name="Normal 2 5 12 7" xfId="18196"/>
    <cellStyle name="Normal 2 5 12 8" xfId="18197"/>
    <cellStyle name="Normal 2 5 13" xfId="18198"/>
    <cellStyle name="Normal 2 5 13 2" xfId="18199"/>
    <cellStyle name="Normal 2 5 13 2 2" xfId="18200"/>
    <cellStyle name="Normal 2 5 13 2 3" xfId="18201"/>
    <cellStyle name="Normal 2 5 13 2 4" xfId="18202"/>
    <cellStyle name="Normal 2 5 13 2 5" xfId="18203"/>
    <cellStyle name="Normal 2 5 13 2 6" xfId="18204"/>
    <cellStyle name="Normal 2 5 13 2 7" xfId="18205"/>
    <cellStyle name="Normal 2 5 13 3" xfId="18206"/>
    <cellStyle name="Normal 2 5 13 4" xfId="18207"/>
    <cellStyle name="Normal 2 5 13 5" xfId="18208"/>
    <cellStyle name="Normal 2 5 13 6" xfId="18209"/>
    <cellStyle name="Normal 2 5 13 7" xfId="18210"/>
    <cellStyle name="Normal 2 5 13 8" xfId="18211"/>
    <cellStyle name="Normal 2 5 14" xfId="18212"/>
    <cellStyle name="Normal 2 5 14 2" xfId="18213"/>
    <cellStyle name="Normal 2 5 14 2 2" xfId="18214"/>
    <cellStyle name="Normal 2 5 14 2 3" xfId="18215"/>
    <cellStyle name="Normal 2 5 14 2 4" xfId="18216"/>
    <cellStyle name="Normal 2 5 14 2 5" xfId="18217"/>
    <cellStyle name="Normal 2 5 14 2 6" xfId="18218"/>
    <cellStyle name="Normal 2 5 14 2 7" xfId="18219"/>
    <cellStyle name="Normal 2 5 14 3" xfId="18220"/>
    <cellStyle name="Normal 2 5 14 4" xfId="18221"/>
    <cellStyle name="Normal 2 5 14 5" xfId="18222"/>
    <cellStyle name="Normal 2 5 14 6" xfId="18223"/>
    <cellStyle name="Normal 2 5 14 7" xfId="18224"/>
    <cellStyle name="Normal 2 5 14 8" xfId="18225"/>
    <cellStyle name="Normal 2 5 15" xfId="18226"/>
    <cellStyle name="Normal 2 5 15 2" xfId="18227"/>
    <cellStyle name="Normal 2 5 15 2 2" xfId="18228"/>
    <cellStyle name="Normal 2 5 15 2 3" xfId="18229"/>
    <cellStyle name="Normal 2 5 15 2 4" xfId="18230"/>
    <cellStyle name="Normal 2 5 15 2 5" xfId="18231"/>
    <cellStyle name="Normal 2 5 15 2 6" xfId="18232"/>
    <cellStyle name="Normal 2 5 15 2 7" xfId="18233"/>
    <cellStyle name="Normal 2 5 15 3" xfId="18234"/>
    <cellStyle name="Normal 2 5 15 4" xfId="18235"/>
    <cellStyle name="Normal 2 5 15 5" xfId="18236"/>
    <cellStyle name="Normal 2 5 15 6" xfId="18237"/>
    <cellStyle name="Normal 2 5 15 7" xfId="18238"/>
    <cellStyle name="Normal 2 5 15 8" xfId="18239"/>
    <cellStyle name="Normal 2 5 16" xfId="18240"/>
    <cellStyle name="Normal 2 5 16 2" xfId="18241"/>
    <cellStyle name="Normal 2 5 16 3" xfId="18242"/>
    <cellStyle name="Normal 2 5 16 4" xfId="18243"/>
    <cellStyle name="Normal 2 5 16 5" xfId="18244"/>
    <cellStyle name="Normal 2 5 16 6" xfId="18245"/>
    <cellStyle name="Normal 2 5 16 7" xfId="18246"/>
    <cellStyle name="Normal 2 5 17" xfId="18247"/>
    <cellStyle name="Normal 2 5 17 2" xfId="18248"/>
    <cellStyle name="Normal 2 5 17 3" xfId="18249"/>
    <cellStyle name="Normal 2 5 17 4" xfId="18250"/>
    <cellStyle name="Normal 2 5 17 5" xfId="18251"/>
    <cellStyle name="Normal 2 5 17 6" xfId="18252"/>
    <cellStyle name="Normal 2 5 17 7" xfId="18253"/>
    <cellStyle name="Normal 2 5 18" xfId="18254"/>
    <cellStyle name="Normal 2 5 18 2" xfId="18255"/>
    <cellStyle name="Normal 2 5 18 3" xfId="18256"/>
    <cellStyle name="Normal 2 5 18 4" xfId="18257"/>
    <cellStyle name="Normal 2 5 18 5" xfId="18258"/>
    <cellStyle name="Normal 2 5 18 6" xfId="18259"/>
    <cellStyle name="Normal 2 5 18 7" xfId="18260"/>
    <cellStyle name="Normal 2 5 19" xfId="18261"/>
    <cellStyle name="Normal 2 5 19 2" xfId="18262"/>
    <cellStyle name="Normal 2 5 19 3" xfId="18263"/>
    <cellStyle name="Normal 2 5 19 4" xfId="18264"/>
    <cellStyle name="Normal 2 5 19 5" xfId="18265"/>
    <cellStyle name="Normal 2 5 19 6" xfId="18266"/>
    <cellStyle name="Normal 2 5 19 7" xfId="18267"/>
    <cellStyle name="Normal 2 5 2" xfId="18268"/>
    <cellStyle name="Normal 2 5 2 2" xfId="18269"/>
    <cellStyle name="Normal 2 5 2 2 2" xfId="18270"/>
    <cellStyle name="Normal 2 5 2 2 3" xfId="18271"/>
    <cellStyle name="Normal 2 5 2 2 4" xfId="18272"/>
    <cellStyle name="Normal 2 5 2 2 5" xfId="18273"/>
    <cellStyle name="Normal 2 5 2 2 6" xfId="18274"/>
    <cellStyle name="Normal 2 5 2 2 7" xfId="18275"/>
    <cellStyle name="Normal 2 5 2 3" xfId="18276"/>
    <cellStyle name="Normal 2 5 2 4" xfId="18277"/>
    <cellStyle name="Normal 2 5 2 5" xfId="18278"/>
    <cellStyle name="Normal 2 5 2 6" xfId="18279"/>
    <cellStyle name="Normal 2 5 2 7" xfId="18280"/>
    <cellStyle name="Normal 2 5 2 8" xfId="18281"/>
    <cellStyle name="Normal 2 5 20" xfId="18282"/>
    <cellStyle name="Normal 2 5 20 2" xfId="18283"/>
    <cellStyle name="Normal 2 5 20 3" xfId="18284"/>
    <cellStyle name="Normal 2 5 20 4" xfId="18285"/>
    <cellStyle name="Normal 2 5 20 5" xfId="18286"/>
    <cellStyle name="Normal 2 5 20 6" xfId="18287"/>
    <cellStyle name="Normal 2 5 20 7" xfId="18288"/>
    <cellStyle name="Normal 2 5 21" xfId="18289"/>
    <cellStyle name="Normal 2 5 21 2" xfId="18290"/>
    <cellStyle name="Normal 2 5 21 3" xfId="18291"/>
    <cellStyle name="Normal 2 5 21 4" xfId="18292"/>
    <cellStyle name="Normal 2 5 21 5" xfId="18293"/>
    <cellStyle name="Normal 2 5 21 6" xfId="18294"/>
    <cellStyle name="Normal 2 5 21 7" xfId="18295"/>
    <cellStyle name="Normal 2 5 22" xfId="18296"/>
    <cellStyle name="Normal 2 5 22 2" xfId="18297"/>
    <cellStyle name="Normal 2 5 22 3" xfId="18298"/>
    <cellStyle name="Normal 2 5 22 4" xfId="18299"/>
    <cellStyle name="Normal 2 5 22 5" xfId="18300"/>
    <cellStyle name="Normal 2 5 22 6" xfId="18301"/>
    <cellStyle name="Normal 2 5 22 7" xfId="18302"/>
    <cellStyle name="Normal 2 5 23" xfId="18303"/>
    <cellStyle name="Normal 2 5 23 2" xfId="18304"/>
    <cellStyle name="Normal 2 5 23 3" xfId="18305"/>
    <cellStyle name="Normal 2 5 23 4" xfId="18306"/>
    <cellStyle name="Normal 2 5 23 5" xfId="18307"/>
    <cellStyle name="Normal 2 5 23 6" xfId="18308"/>
    <cellStyle name="Normal 2 5 23 7" xfId="18309"/>
    <cellStyle name="Normal 2 5 24" xfId="18310"/>
    <cellStyle name="Normal 2 5 24 2" xfId="18311"/>
    <cellStyle name="Normal 2 5 24 3" xfId="18312"/>
    <cellStyle name="Normal 2 5 24 4" xfId="18313"/>
    <cellStyle name="Normal 2 5 24 5" xfId="18314"/>
    <cellStyle name="Normal 2 5 24 6" xfId="18315"/>
    <cellStyle name="Normal 2 5 24 7" xfId="18316"/>
    <cellStyle name="Normal 2 5 25" xfId="18317"/>
    <cellStyle name="Normal 2 5 25 2" xfId="18318"/>
    <cellStyle name="Normal 2 5 25 3" xfId="18319"/>
    <cellStyle name="Normal 2 5 25 4" xfId="18320"/>
    <cellStyle name="Normal 2 5 25 5" xfId="18321"/>
    <cellStyle name="Normal 2 5 25 6" xfId="18322"/>
    <cellStyle name="Normal 2 5 25 7" xfId="18323"/>
    <cellStyle name="Normal 2 5 26" xfId="18324"/>
    <cellStyle name="Normal 2 5 26 2" xfId="18325"/>
    <cellStyle name="Normal 2 5 26 3" xfId="18326"/>
    <cellStyle name="Normal 2 5 26 4" xfId="18327"/>
    <cellStyle name="Normal 2 5 26 5" xfId="18328"/>
    <cellStyle name="Normal 2 5 26 6" xfId="18329"/>
    <cellStyle name="Normal 2 5 26 7" xfId="18330"/>
    <cellStyle name="Normal 2 5 27" xfId="18331"/>
    <cellStyle name="Normal 2 5 27 2" xfId="18332"/>
    <cellStyle name="Normal 2 5 27 3" xfId="18333"/>
    <cellStyle name="Normal 2 5 27 4" xfId="18334"/>
    <cellStyle name="Normal 2 5 27 5" xfId="18335"/>
    <cellStyle name="Normal 2 5 27 6" xfId="18336"/>
    <cellStyle name="Normal 2 5 27 7" xfId="18337"/>
    <cellStyle name="Normal 2 5 28" xfId="18338"/>
    <cellStyle name="Normal 2 5 28 2" xfId="18339"/>
    <cellStyle name="Normal 2 5 28 3" xfId="18340"/>
    <cellStyle name="Normal 2 5 28 4" xfId="18341"/>
    <cellStyle name="Normal 2 5 28 5" xfId="18342"/>
    <cellStyle name="Normal 2 5 28 6" xfId="18343"/>
    <cellStyle name="Normal 2 5 28 7" xfId="18344"/>
    <cellStyle name="Normal 2 5 29" xfId="18345"/>
    <cellStyle name="Normal 2 5 29 2" xfId="18346"/>
    <cellStyle name="Normal 2 5 29 3" xfId="18347"/>
    <cellStyle name="Normal 2 5 29 4" xfId="18348"/>
    <cellStyle name="Normal 2 5 29 5" xfId="18349"/>
    <cellStyle name="Normal 2 5 29 6" xfId="18350"/>
    <cellStyle name="Normal 2 5 29 7" xfId="18351"/>
    <cellStyle name="Normal 2 5 3" xfId="18352"/>
    <cellStyle name="Normal 2 5 3 2" xfId="18353"/>
    <cellStyle name="Normal 2 5 3 2 2" xfId="18354"/>
    <cellStyle name="Normal 2 5 3 2 3" xfId="18355"/>
    <cellStyle name="Normal 2 5 3 2 4" xfId="18356"/>
    <cellStyle name="Normal 2 5 3 2 5" xfId="18357"/>
    <cellStyle name="Normal 2 5 3 2 6" xfId="18358"/>
    <cellStyle name="Normal 2 5 3 2 7" xfId="18359"/>
    <cellStyle name="Normal 2 5 3 3" xfId="18360"/>
    <cellStyle name="Normal 2 5 3 4" xfId="18361"/>
    <cellStyle name="Normal 2 5 3 5" xfId="18362"/>
    <cellStyle name="Normal 2 5 3 6" xfId="18363"/>
    <cellStyle name="Normal 2 5 3 7" xfId="18364"/>
    <cellStyle name="Normal 2 5 3 8" xfId="18365"/>
    <cellStyle name="Normal 2 5 30" xfId="18366"/>
    <cellStyle name="Normal 2 5 30 2" xfId="18367"/>
    <cellStyle name="Normal 2 5 30 3" xfId="18368"/>
    <cellStyle name="Normal 2 5 30 4" xfId="18369"/>
    <cellStyle name="Normal 2 5 30 5" xfId="18370"/>
    <cellStyle name="Normal 2 5 30 6" xfId="18371"/>
    <cellStyle name="Normal 2 5 30 7" xfId="18372"/>
    <cellStyle name="Normal 2 5 31" xfId="18373"/>
    <cellStyle name="Normal 2 5 31 2" xfId="18374"/>
    <cellStyle name="Normal 2 5 31 3" xfId="18375"/>
    <cellStyle name="Normal 2 5 31 4" xfId="18376"/>
    <cellStyle name="Normal 2 5 31 5" xfId="18377"/>
    <cellStyle name="Normal 2 5 31 6" xfId="18378"/>
    <cellStyle name="Normal 2 5 31 7" xfId="18379"/>
    <cellStyle name="Normal 2 5 32" xfId="18380"/>
    <cellStyle name="Normal 2 5 32 2" xfId="18381"/>
    <cellStyle name="Normal 2 5 32 3" xfId="18382"/>
    <cellStyle name="Normal 2 5 32 4" xfId="18383"/>
    <cellStyle name="Normal 2 5 32 5" xfId="18384"/>
    <cellStyle name="Normal 2 5 32 6" xfId="18385"/>
    <cellStyle name="Normal 2 5 32 7" xfId="18386"/>
    <cellStyle name="Normal 2 5 33" xfId="18387"/>
    <cellStyle name="Normal 2 5 33 2" xfId="18388"/>
    <cellStyle name="Normal 2 5 33 3" xfId="18389"/>
    <cellStyle name="Normal 2 5 33 4" xfId="18390"/>
    <cellStyle name="Normal 2 5 33 5" xfId="18391"/>
    <cellStyle name="Normal 2 5 33 6" xfId="18392"/>
    <cellStyle name="Normal 2 5 33 7" xfId="18393"/>
    <cellStyle name="Normal 2 5 34" xfId="18394"/>
    <cellStyle name="Normal 2 5 34 2" xfId="18395"/>
    <cellStyle name="Normal 2 5 34 3" xfId="18396"/>
    <cellStyle name="Normal 2 5 34 4" xfId="18397"/>
    <cellStyle name="Normal 2 5 34 5" xfId="18398"/>
    <cellStyle name="Normal 2 5 34 6" xfId="18399"/>
    <cellStyle name="Normal 2 5 34 7" xfId="18400"/>
    <cellStyle name="Normal 2 5 35" xfId="18401"/>
    <cellStyle name="Normal 2 5 35 2" xfId="18402"/>
    <cellStyle name="Normal 2 5 35 3" xfId="18403"/>
    <cellStyle name="Normal 2 5 35 4" xfId="18404"/>
    <cellStyle name="Normal 2 5 35 5" xfId="18405"/>
    <cellStyle name="Normal 2 5 35 6" xfId="18406"/>
    <cellStyle name="Normal 2 5 35 7" xfId="18407"/>
    <cellStyle name="Normal 2 5 36" xfId="18408"/>
    <cellStyle name="Normal 2 5 37" xfId="18409"/>
    <cellStyle name="Normal 2 5 38" xfId="18410"/>
    <cellStyle name="Normal 2 5 39" xfId="18411"/>
    <cellStyle name="Normal 2 5 4" xfId="18412"/>
    <cellStyle name="Normal 2 5 4 2" xfId="18413"/>
    <cellStyle name="Normal 2 5 4 2 2" xfId="18414"/>
    <cellStyle name="Normal 2 5 4 2 3" xfId="18415"/>
    <cellStyle name="Normal 2 5 4 2 4" xfId="18416"/>
    <cellStyle name="Normal 2 5 4 2 5" xfId="18417"/>
    <cellStyle name="Normal 2 5 4 2 6" xfId="18418"/>
    <cellStyle name="Normal 2 5 4 2 7" xfId="18419"/>
    <cellStyle name="Normal 2 5 4 3" xfId="18420"/>
    <cellStyle name="Normal 2 5 4 4" xfId="18421"/>
    <cellStyle name="Normal 2 5 4 5" xfId="18422"/>
    <cellStyle name="Normal 2 5 4 6" xfId="18423"/>
    <cellStyle name="Normal 2 5 4 7" xfId="18424"/>
    <cellStyle name="Normal 2 5 4 8" xfId="18425"/>
    <cellStyle name="Normal 2 5 40" xfId="18426"/>
    <cellStyle name="Normal 2 5 41" xfId="18427"/>
    <cellStyle name="Normal 2 5 42" xfId="18428"/>
    <cellStyle name="Normal 2 5 43" xfId="18429"/>
    <cellStyle name="Normal 2 5 44" xfId="18430"/>
    <cellStyle name="Normal 2 5 5" xfId="18431"/>
    <cellStyle name="Normal 2 5 5 2" xfId="18432"/>
    <cellStyle name="Normal 2 5 5 2 2" xfId="18433"/>
    <cellStyle name="Normal 2 5 5 2 3" xfId="18434"/>
    <cellStyle name="Normal 2 5 5 2 4" xfId="18435"/>
    <cellStyle name="Normal 2 5 5 2 5" xfId="18436"/>
    <cellStyle name="Normal 2 5 5 2 6" xfId="18437"/>
    <cellStyle name="Normal 2 5 5 2 7" xfId="18438"/>
    <cellStyle name="Normal 2 5 5 3" xfId="18439"/>
    <cellStyle name="Normal 2 5 5 4" xfId="18440"/>
    <cellStyle name="Normal 2 5 5 5" xfId="18441"/>
    <cellStyle name="Normal 2 5 5 6" xfId="18442"/>
    <cellStyle name="Normal 2 5 5 7" xfId="18443"/>
    <cellStyle name="Normal 2 5 5 8" xfId="18444"/>
    <cellStyle name="Normal 2 5 6" xfId="18445"/>
    <cellStyle name="Normal 2 5 6 2" xfId="18446"/>
    <cellStyle name="Normal 2 5 6 2 2" xfId="18447"/>
    <cellStyle name="Normal 2 5 6 2 3" xfId="18448"/>
    <cellStyle name="Normal 2 5 6 2 4" xfId="18449"/>
    <cellStyle name="Normal 2 5 6 2 5" xfId="18450"/>
    <cellStyle name="Normal 2 5 6 2 6" xfId="18451"/>
    <cellStyle name="Normal 2 5 6 2 7" xfId="18452"/>
    <cellStyle name="Normal 2 5 6 3" xfId="18453"/>
    <cellStyle name="Normal 2 5 6 4" xfId="18454"/>
    <cellStyle name="Normal 2 5 6 5" xfId="18455"/>
    <cellStyle name="Normal 2 5 6 6" xfId="18456"/>
    <cellStyle name="Normal 2 5 6 7" xfId="18457"/>
    <cellStyle name="Normal 2 5 6 8" xfId="18458"/>
    <cellStyle name="Normal 2 5 7" xfId="18459"/>
    <cellStyle name="Normal 2 5 7 2" xfId="18460"/>
    <cellStyle name="Normal 2 5 7 2 2" xfId="18461"/>
    <cellStyle name="Normal 2 5 7 2 3" xfId="18462"/>
    <cellStyle name="Normal 2 5 7 2 4" xfId="18463"/>
    <cellStyle name="Normal 2 5 7 2 5" xfId="18464"/>
    <cellStyle name="Normal 2 5 7 2 6" xfId="18465"/>
    <cellStyle name="Normal 2 5 7 2 7" xfId="18466"/>
    <cellStyle name="Normal 2 5 7 3" xfId="18467"/>
    <cellStyle name="Normal 2 5 7 4" xfId="18468"/>
    <cellStyle name="Normal 2 5 7 5" xfId="18469"/>
    <cellStyle name="Normal 2 5 7 6" xfId="18470"/>
    <cellStyle name="Normal 2 5 7 7" xfId="18471"/>
    <cellStyle name="Normal 2 5 7 8" xfId="18472"/>
    <cellStyle name="Normal 2 5 8" xfId="18473"/>
    <cellStyle name="Normal 2 5 8 2" xfId="18474"/>
    <cellStyle name="Normal 2 5 8 2 2" xfId="18475"/>
    <cellStyle name="Normal 2 5 8 2 3" xfId="18476"/>
    <cellStyle name="Normal 2 5 8 2 4" xfId="18477"/>
    <cellStyle name="Normal 2 5 8 2 5" xfId="18478"/>
    <cellStyle name="Normal 2 5 8 2 6" xfId="18479"/>
    <cellStyle name="Normal 2 5 8 2 7" xfId="18480"/>
    <cellStyle name="Normal 2 5 8 3" xfId="18481"/>
    <cellStyle name="Normal 2 5 8 4" xfId="18482"/>
    <cellStyle name="Normal 2 5 8 5" xfId="18483"/>
    <cellStyle name="Normal 2 5 8 6" xfId="18484"/>
    <cellStyle name="Normal 2 5 8 7" xfId="18485"/>
    <cellStyle name="Normal 2 5 8 8" xfId="18486"/>
    <cellStyle name="Normal 2 5 9" xfId="18487"/>
    <cellStyle name="Normal 2 5 9 2" xfId="18488"/>
    <cellStyle name="Normal 2 5 9 2 2" xfId="18489"/>
    <cellStyle name="Normal 2 5 9 2 3" xfId="18490"/>
    <cellStyle name="Normal 2 5 9 2 4" xfId="18491"/>
    <cellStyle name="Normal 2 5 9 2 5" xfId="18492"/>
    <cellStyle name="Normal 2 5 9 2 6" xfId="18493"/>
    <cellStyle name="Normal 2 5 9 2 7" xfId="18494"/>
    <cellStyle name="Normal 2 5 9 3" xfId="18495"/>
    <cellStyle name="Normal 2 5 9 4" xfId="18496"/>
    <cellStyle name="Normal 2 5 9 5" xfId="18497"/>
    <cellStyle name="Normal 2 5 9 6" xfId="18498"/>
    <cellStyle name="Normal 2 5 9 7" xfId="18499"/>
    <cellStyle name="Normal 2 5 9 8" xfId="18500"/>
    <cellStyle name="Normal 2 50" xfId="6162"/>
    <cellStyle name="Normal 2 50 2" xfId="6163"/>
    <cellStyle name="Normal 2 50 2 2" xfId="36511"/>
    <cellStyle name="Normal 2 50 3" xfId="6164"/>
    <cellStyle name="Normal 2 50 3 2" xfId="36512"/>
    <cellStyle name="Normal 2 50 4" xfId="6165"/>
    <cellStyle name="Normal 2 50 4 2" xfId="36513"/>
    <cellStyle name="Normal 2 50 5" xfId="36514"/>
    <cellStyle name="Normal 2 50_01-04-2012" xfId="6166"/>
    <cellStyle name="Normal 2 51" xfId="6167"/>
    <cellStyle name="Normal 2 51 2" xfId="6168"/>
    <cellStyle name="Normal 2 51 2 2" xfId="36515"/>
    <cellStyle name="Normal 2 51 3" xfId="6169"/>
    <cellStyle name="Normal 2 51 3 2" xfId="36516"/>
    <cellStyle name="Normal 2 51 4" xfId="6170"/>
    <cellStyle name="Normal 2 51 4 2" xfId="36517"/>
    <cellStyle name="Normal 2 51 5" xfId="36518"/>
    <cellStyle name="Normal 2 51_01-04-2012" xfId="6171"/>
    <cellStyle name="Normal 2 52" xfId="6172"/>
    <cellStyle name="Normal 2 52 2" xfId="6173"/>
    <cellStyle name="Normal 2 52 2 2" xfId="36519"/>
    <cellStyle name="Normal 2 52 3" xfId="6174"/>
    <cellStyle name="Normal 2 52 3 2" xfId="36520"/>
    <cellStyle name="Normal 2 52 4" xfId="6175"/>
    <cellStyle name="Normal 2 52 4 2" xfId="36521"/>
    <cellStyle name="Normal 2 52 5" xfId="36522"/>
    <cellStyle name="Normal 2 52_01-04-2012" xfId="6176"/>
    <cellStyle name="Normal 2 53" xfId="6177"/>
    <cellStyle name="Normal 2 53 2" xfId="6178"/>
    <cellStyle name="Normal 2 53 2 2" xfId="36523"/>
    <cellStyle name="Normal 2 53 3" xfId="6179"/>
    <cellStyle name="Normal 2 53 3 2" xfId="36524"/>
    <cellStyle name="Normal 2 53 4" xfId="6180"/>
    <cellStyle name="Normal 2 53 4 2" xfId="36525"/>
    <cellStyle name="Normal 2 53 5" xfId="36526"/>
    <cellStyle name="Normal 2 53_01-04-2012" xfId="6181"/>
    <cellStyle name="Normal 2 54" xfId="6182"/>
    <cellStyle name="Normal 2 54 2" xfId="6183"/>
    <cellStyle name="Normal 2 54 2 2" xfId="36527"/>
    <cellStyle name="Normal 2 54 3" xfId="6184"/>
    <cellStyle name="Normal 2 54 3 2" xfId="36528"/>
    <cellStyle name="Normal 2 54 4" xfId="6185"/>
    <cellStyle name="Normal 2 54 4 2" xfId="36529"/>
    <cellStyle name="Normal 2 54 5" xfId="36530"/>
    <cellStyle name="Normal 2 54_01-04-2012" xfId="6186"/>
    <cellStyle name="Normal 2 55" xfId="6187"/>
    <cellStyle name="Normal 2 55 2" xfId="6188"/>
    <cellStyle name="Normal 2 55 2 2" xfId="36531"/>
    <cellStyle name="Normal 2 55 3" xfId="6189"/>
    <cellStyle name="Normal 2 55 3 2" xfId="36532"/>
    <cellStyle name="Normal 2 55 4" xfId="6190"/>
    <cellStyle name="Normal 2 55 4 2" xfId="36533"/>
    <cellStyle name="Normal 2 55 5" xfId="36534"/>
    <cellStyle name="Normal 2 55_01-04-2012" xfId="6191"/>
    <cellStyle name="Normal 2 56" xfId="6192"/>
    <cellStyle name="Normal 2 56 2" xfId="6193"/>
    <cellStyle name="Normal 2 56 2 2" xfId="36535"/>
    <cellStyle name="Normal 2 56 3" xfId="6194"/>
    <cellStyle name="Normal 2 56 3 2" xfId="36536"/>
    <cellStyle name="Normal 2 56 4" xfId="6195"/>
    <cellStyle name="Normal 2 56 4 2" xfId="36537"/>
    <cellStyle name="Normal 2 56 5" xfId="36538"/>
    <cellStyle name="Normal 2 56_01-04-2012" xfId="6196"/>
    <cellStyle name="Normal 2 57" xfId="6197"/>
    <cellStyle name="Normal 2 58" xfId="6198"/>
    <cellStyle name="Normal 2 59" xfId="11611"/>
    <cellStyle name="Normal 2 6" xfId="6199"/>
    <cellStyle name="Normal 2 6 10" xfId="18501"/>
    <cellStyle name="Normal 2 6 10 2" xfId="18502"/>
    <cellStyle name="Normal 2 6 10 2 2" xfId="18503"/>
    <cellStyle name="Normal 2 6 10 2 3" xfId="18504"/>
    <cellStyle name="Normal 2 6 10 2 4" xfId="18505"/>
    <cellStyle name="Normal 2 6 10 2 5" xfId="18506"/>
    <cellStyle name="Normal 2 6 10 2 6" xfId="18507"/>
    <cellStyle name="Normal 2 6 10 2 7" xfId="18508"/>
    <cellStyle name="Normal 2 6 10 3" xfId="18509"/>
    <cellStyle name="Normal 2 6 10 4" xfId="18510"/>
    <cellStyle name="Normal 2 6 10 5" xfId="18511"/>
    <cellStyle name="Normal 2 6 10 6" xfId="18512"/>
    <cellStyle name="Normal 2 6 10 7" xfId="18513"/>
    <cellStyle name="Normal 2 6 10 8" xfId="18514"/>
    <cellStyle name="Normal 2 6 11" xfId="18515"/>
    <cellStyle name="Normal 2 6 11 2" xfId="18516"/>
    <cellStyle name="Normal 2 6 11 2 2" xfId="18517"/>
    <cellStyle name="Normal 2 6 11 2 3" xfId="18518"/>
    <cellStyle name="Normal 2 6 11 2 4" xfId="18519"/>
    <cellStyle name="Normal 2 6 11 2 5" xfId="18520"/>
    <cellStyle name="Normal 2 6 11 2 6" xfId="18521"/>
    <cellStyle name="Normal 2 6 11 2 7" xfId="18522"/>
    <cellStyle name="Normal 2 6 11 3" xfId="18523"/>
    <cellStyle name="Normal 2 6 11 4" xfId="18524"/>
    <cellStyle name="Normal 2 6 11 5" xfId="18525"/>
    <cellStyle name="Normal 2 6 11 6" xfId="18526"/>
    <cellStyle name="Normal 2 6 11 7" xfId="18527"/>
    <cellStyle name="Normal 2 6 11 8" xfId="18528"/>
    <cellStyle name="Normal 2 6 12" xfId="18529"/>
    <cellStyle name="Normal 2 6 12 2" xfId="18530"/>
    <cellStyle name="Normal 2 6 12 2 2" xfId="18531"/>
    <cellStyle name="Normal 2 6 12 2 3" xfId="18532"/>
    <cellStyle name="Normal 2 6 12 2 4" xfId="18533"/>
    <cellStyle name="Normal 2 6 12 2 5" xfId="18534"/>
    <cellStyle name="Normal 2 6 12 2 6" xfId="18535"/>
    <cellStyle name="Normal 2 6 12 2 7" xfId="18536"/>
    <cellStyle name="Normal 2 6 12 3" xfId="18537"/>
    <cellStyle name="Normal 2 6 12 4" xfId="18538"/>
    <cellStyle name="Normal 2 6 12 5" xfId="18539"/>
    <cellStyle name="Normal 2 6 12 6" xfId="18540"/>
    <cellStyle name="Normal 2 6 12 7" xfId="18541"/>
    <cellStyle name="Normal 2 6 12 8" xfId="18542"/>
    <cellStyle name="Normal 2 6 13" xfId="18543"/>
    <cellStyle name="Normal 2 6 13 2" xfId="18544"/>
    <cellStyle name="Normal 2 6 13 2 2" xfId="18545"/>
    <cellStyle name="Normal 2 6 13 2 3" xfId="18546"/>
    <cellStyle name="Normal 2 6 13 2 4" xfId="18547"/>
    <cellStyle name="Normal 2 6 13 2 5" xfId="18548"/>
    <cellStyle name="Normal 2 6 13 2 6" xfId="18549"/>
    <cellStyle name="Normal 2 6 13 2 7" xfId="18550"/>
    <cellStyle name="Normal 2 6 13 3" xfId="18551"/>
    <cellStyle name="Normal 2 6 13 4" xfId="18552"/>
    <cellStyle name="Normal 2 6 13 5" xfId="18553"/>
    <cellStyle name="Normal 2 6 13 6" xfId="18554"/>
    <cellStyle name="Normal 2 6 13 7" xfId="18555"/>
    <cellStyle name="Normal 2 6 13 8" xfId="18556"/>
    <cellStyle name="Normal 2 6 14" xfId="18557"/>
    <cellStyle name="Normal 2 6 14 2" xfId="18558"/>
    <cellStyle name="Normal 2 6 14 2 2" xfId="18559"/>
    <cellStyle name="Normal 2 6 14 2 3" xfId="18560"/>
    <cellStyle name="Normal 2 6 14 2 4" xfId="18561"/>
    <cellStyle name="Normal 2 6 14 2 5" xfId="18562"/>
    <cellStyle name="Normal 2 6 14 2 6" xfId="18563"/>
    <cellStyle name="Normal 2 6 14 2 7" xfId="18564"/>
    <cellStyle name="Normal 2 6 14 3" xfId="18565"/>
    <cellStyle name="Normal 2 6 14 4" xfId="18566"/>
    <cellStyle name="Normal 2 6 14 5" xfId="18567"/>
    <cellStyle name="Normal 2 6 14 6" xfId="18568"/>
    <cellStyle name="Normal 2 6 14 7" xfId="18569"/>
    <cellStyle name="Normal 2 6 14 8" xfId="18570"/>
    <cellStyle name="Normal 2 6 15" xfId="18571"/>
    <cellStyle name="Normal 2 6 15 2" xfId="18572"/>
    <cellStyle name="Normal 2 6 15 2 2" xfId="18573"/>
    <cellStyle name="Normal 2 6 15 2 3" xfId="18574"/>
    <cellStyle name="Normal 2 6 15 2 4" xfId="18575"/>
    <cellStyle name="Normal 2 6 15 2 5" xfId="18576"/>
    <cellStyle name="Normal 2 6 15 2 6" xfId="18577"/>
    <cellStyle name="Normal 2 6 15 2 7" xfId="18578"/>
    <cellStyle name="Normal 2 6 15 3" xfId="18579"/>
    <cellStyle name="Normal 2 6 15 4" xfId="18580"/>
    <cellStyle name="Normal 2 6 15 5" xfId="18581"/>
    <cellStyle name="Normal 2 6 15 6" xfId="18582"/>
    <cellStyle name="Normal 2 6 15 7" xfId="18583"/>
    <cellStyle name="Normal 2 6 15 8" xfId="18584"/>
    <cellStyle name="Normal 2 6 16" xfId="18585"/>
    <cellStyle name="Normal 2 6 16 2" xfId="18586"/>
    <cellStyle name="Normal 2 6 16 3" xfId="18587"/>
    <cellStyle name="Normal 2 6 16 4" xfId="18588"/>
    <cellStyle name="Normal 2 6 16 5" xfId="18589"/>
    <cellStyle name="Normal 2 6 16 6" xfId="18590"/>
    <cellStyle name="Normal 2 6 16 7" xfId="18591"/>
    <cellStyle name="Normal 2 6 17" xfId="18592"/>
    <cellStyle name="Normal 2 6 17 2" xfId="18593"/>
    <cellStyle name="Normal 2 6 17 3" xfId="18594"/>
    <cellStyle name="Normal 2 6 17 4" xfId="18595"/>
    <cellStyle name="Normal 2 6 17 5" xfId="18596"/>
    <cellStyle name="Normal 2 6 17 6" xfId="18597"/>
    <cellStyle name="Normal 2 6 17 7" xfId="18598"/>
    <cellStyle name="Normal 2 6 18" xfId="18599"/>
    <cellStyle name="Normal 2 6 18 2" xfId="18600"/>
    <cellStyle name="Normal 2 6 18 3" xfId="18601"/>
    <cellStyle name="Normal 2 6 18 4" xfId="18602"/>
    <cellStyle name="Normal 2 6 18 5" xfId="18603"/>
    <cellStyle name="Normal 2 6 18 6" xfId="18604"/>
    <cellStyle name="Normal 2 6 18 7" xfId="18605"/>
    <cellStyle name="Normal 2 6 19" xfId="18606"/>
    <cellStyle name="Normal 2 6 19 2" xfId="18607"/>
    <cellStyle name="Normal 2 6 19 3" xfId="18608"/>
    <cellStyle name="Normal 2 6 19 4" xfId="18609"/>
    <cellStyle name="Normal 2 6 19 5" xfId="18610"/>
    <cellStyle name="Normal 2 6 19 6" xfId="18611"/>
    <cellStyle name="Normal 2 6 19 7" xfId="18612"/>
    <cellStyle name="Normal 2 6 2" xfId="18613"/>
    <cellStyle name="Normal 2 6 2 2" xfId="18614"/>
    <cellStyle name="Normal 2 6 2 2 2" xfId="18615"/>
    <cellStyle name="Normal 2 6 2 2 3" xfId="18616"/>
    <cellStyle name="Normal 2 6 2 2 4" xfId="18617"/>
    <cellStyle name="Normal 2 6 2 2 5" xfId="18618"/>
    <cellStyle name="Normal 2 6 2 2 6" xfId="18619"/>
    <cellStyle name="Normal 2 6 2 2 7" xfId="18620"/>
    <cellStyle name="Normal 2 6 2 3" xfId="18621"/>
    <cellStyle name="Normal 2 6 2 4" xfId="18622"/>
    <cellStyle name="Normal 2 6 2 5" xfId="18623"/>
    <cellStyle name="Normal 2 6 2 6" xfId="18624"/>
    <cellStyle name="Normal 2 6 2 7" xfId="18625"/>
    <cellStyle name="Normal 2 6 2 8" xfId="18626"/>
    <cellStyle name="Normal 2 6 20" xfId="18627"/>
    <cellStyle name="Normal 2 6 20 2" xfId="18628"/>
    <cellStyle name="Normal 2 6 20 3" xfId="18629"/>
    <cellStyle name="Normal 2 6 20 4" xfId="18630"/>
    <cellStyle name="Normal 2 6 20 5" xfId="18631"/>
    <cellStyle name="Normal 2 6 20 6" xfId="18632"/>
    <cellStyle name="Normal 2 6 20 7" xfId="18633"/>
    <cellStyle name="Normal 2 6 21" xfId="18634"/>
    <cellStyle name="Normal 2 6 21 2" xfId="18635"/>
    <cellStyle name="Normal 2 6 21 3" xfId="18636"/>
    <cellStyle name="Normal 2 6 21 4" xfId="18637"/>
    <cellStyle name="Normal 2 6 21 5" xfId="18638"/>
    <cellStyle name="Normal 2 6 21 6" xfId="18639"/>
    <cellStyle name="Normal 2 6 21 7" xfId="18640"/>
    <cellStyle name="Normal 2 6 22" xfId="18641"/>
    <cellStyle name="Normal 2 6 22 2" xfId="18642"/>
    <cellStyle name="Normal 2 6 22 3" xfId="18643"/>
    <cellStyle name="Normal 2 6 22 4" xfId="18644"/>
    <cellStyle name="Normal 2 6 22 5" xfId="18645"/>
    <cellStyle name="Normal 2 6 22 6" xfId="18646"/>
    <cellStyle name="Normal 2 6 22 7" xfId="18647"/>
    <cellStyle name="Normal 2 6 23" xfId="18648"/>
    <cellStyle name="Normal 2 6 23 2" xfId="18649"/>
    <cellStyle name="Normal 2 6 23 3" xfId="18650"/>
    <cellStyle name="Normal 2 6 23 4" xfId="18651"/>
    <cellStyle name="Normal 2 6 23 5" xfId="18652"/>
    <cellStyle name="Normal 2 6 23 6" xfId="18653"/>
    <cellStyle name="Normal 2 6 23 7" xfId="18654"/>
    <cellStyle name="Normal 2 6 24" xfId="18655"/>
    <cellStyle name="Normal 2 6 24 2" xfId="18656"/>
    <cellStyle name="Normal 2 6 24 3" xfId="18657"/>
    <cellStyle name="Normal 2 6 24 4" xfId="18658"/>
    <cellStyle name="Normal 2 6 24 5" xfId="18659"/>
    <cellStyle name="Normal 2 6 24 6" xfId="18660"/>
    <cellStyle name="Normal 2 6 24 7" xfId="18661"/>
    <cellStyle name="Normal 2 6 25" xfId="18662"/>
    <cellStyle name="Normal 2 6 25 2" xfId="18663"/>
    <cellStyle name="Normal 2 6 25 3" xfId="18664"/>
    <cellStyle name="Normal 2 6 25 4" xfId="18665"/>
    <cellStyle name="Normal 2 6 25 5" xfId="18666"/>
    <cellStyle name="Normal 2 6 25 6" xfId="18667"/>
    <cellStyle name="Normal 2 6 25 7" xfId="18668"/>
    <cellStyle name="Normal 2 6 26" xfId="18669"/>
    <cellStyle name="Normal 2 6 26 2" xfId="18670"/>
    <cellStyle name="Normal 2 6 26 3" xfId="18671"/>
    <cellStyle name="Normal 2 6 26 4" xfId="18672"/>
    <cellStyle name="Normal 2 6 26 5" xfId="18673"/>
    <cellStyle name="Normal 2 6 26 6" xfId="18674"/>
    <cellStyle name="Normal 2 6 26 7" xfId="18675"/>
    <cellStyle name="Normal 2 6 27" xfId="18676"/>
    <cellStyle name="Normal 2 6 27 2" xfId="18677"/>
    <cellStyle name="Normal 2 6 27 3" xfId="18678"/>
    <cellStyle name="Normal 2 6 27 4" xfId="18679"/>
    <cellStyle name="Normal 2 6 27 5" xfId="18680"/>
    <cellStyle name="Normal 2 6 27 6" xfId="18681"/>
    <cellStyle name="Normal 2 6 27 7" xfId="18682"/>
    <cellStyle name="Normal 2 6 28" xfId="18683"/>
    <cellStyle name="Normal 2 6 28 2" xfId="18684"/>
    <cellStyle name="Normal 2 6 28 3" xfId="18685"/>
    <cellStyle name="Normal 2 6 28 4" xfId="18686"/>
    <cellStyle name="Normal 2 6 28 5" xfId="18687"/>
    <cellStyle name="Normal 2 6 28 6" xfId="18688"/>
    <cellStyle name="Normal 2 6 28 7" xfId="18689"/>
    <cellStyle name="Normal 2 6 29" xfId="18690"/>
    <cellStyle name="Normal 2 6 29 2" xfId="18691"/>
    <cellStyle name="Normal 2 6 29 3" xfId="18692"/>
    <cellStyle name="Normal 2 6 29 4" xfId="18693"/>
    <cellStyle name="Normal 2 6 29 5" xfId="18694"/>
    <cellStyle name="Normal 2 6 29 6" xfId="18695"/>
    <cellStyle name="Normal 2 6 29 7" xfId="18696"/>
    <cellStyle name="Normal 2 6 3" xfId="18697"/>
    <cellStyle name="Normal 2 6 3 2" xfId="18698"/>
    <cellStyle name="Normal 2 6 3 2 2" xfId="18699"/>
    <cellStyle name="Normal 2 6 3 2 3" xfId="18700"/>
    <cellStyle name="Normal 2 6 3 2 4" xfId="18701"/>
    <cellStyle name="Normal 2 6 3 2 5" xfId="18702"/>
    <cellStyle name="Normal 2 6 3 2 6" xfId="18703"/>
    <cellStyle name="Normal 2 6 3 2 7" xfId="18704"/>
    <cellStyle name="Normal 2 6 3 3" xfId="18705"/>
    <cellStyle name="Normal 2 6 3 4" xfId="18706"/>
    <cellStyle name="Normal 2 6 3 5" xfId="18707"/>
    <cellStyle name="Normal 2 6 3 6" xfId="18708"/>
    <cellStyle name="Normal 2 6 3 7" xfId="18709"/>
    <cellStyle name="Normal 2 6 3 8" xfId="18710"/>
    <cellStyle name="Normal 2 6 30" xfId="18711"/>
    <cellStyle name="Normal 2 6 30 2" xfId="18712"/>
    <cellStyle name="Normal 2 6 30 3" xfId="18713"/>
    <cellStyle name="Normal 2 6 30 4" xfId="18714"/>
    <cellStyle name="Normal 2 6 30 5" xfId="18715"/>
    <cellStyle name="Normal 2 6 30 6" xfId="18716"/>
    <cellStyle name="Normal 2 6 30 7" xfId="18717"/>
    <cellStyle name="Normal 2 6 31" xfId="18718"/>
    <cellStyle name="Normal 2 6 31 2" xfId="18719"/>
    <cellStyle name="Normal 2 6 31 3" xfId="18720"/>
    <cellStyle name="Normal 2 6 31 4" xfId="18721"/>
    <cellStyle name="Normal 2 6 31 5" xfId="18722"/>
    <cellStyle name="Normal 2 6 31 6" xfId="18723"/>
    <cellStyle name="Normal 2 6 31 7" xfId="18724"/>
    <cellStyle name="Normal 2 6 32" xfId="18725"/>
    <cellStyle name="Normal 2 6 32 2" xfId="18726"/>
    <cellStyle name="Normal 2 6 32 3" xfId="18727"/>
    <cellStyle name="Normal 2 6 32 4" xfId="18728"/>
    <cellStyle name="Normal 2 6 32 5" xfId="18729"/>
    <cellStyle name="Normal 2 6 32 6" xfId="18730"/>
    <cellStyle name="Normal 2 6 32 7" xfId="18731"/>
    <cellStyle name="Normal 2 6 33" xfId="18732"/>
    <cellStyle name="Normal 2 6 33 2" xfId="18733"/>
    <cellStyle name="Normal 2 6 33 3" xfId="18734"/>
    <cellStyle name="Normal 2 6 33 4" xfId="18735"/>
    <cellStyle name="Normal 2 6 33 5" xfId="18736"/>
    <cellStyle name="Normal 2 6 33 6" xfId="18737"/>
    <cellStyle name="Normal 2 6 33 7" xfId="18738"/>
    <cellStyle name="Normal 2 6 34" xfId="18739"/>
    <cellStyle name="Normal 2 6 34 2" xfId="18740"/>
    <cellStyle name="Normal 2 6 34 3" xfId="18741"/>
    <cellStyle name="Normal 2 6 34 4" xfId="18742"/>
    <cellStyle name="Normal 2 6 34 5" xfId="18743"/>
    <cellStyle name="Normal 2 6 34 6" xfId="18744"/>
    <cellStyle name="Normal 2 6 34 7" xfId="18745"/>
    <cellStyle name="Normal 2 6 35" xfId="18746"/>
    <cellStyle name="Normal 2 6 35 2" xfId="18747"/>
    <cellStyle name="Normal 2 6 35 3" xfId="18748"/>
    <cellStyle name="Normal 2 6 35 4" xfId="18749"/>
    <cellStyle name="Normal 2 6 35 5" xfId="18750"/>
    <cellStyle name="Normal 2 6 35 6" xfId="18751"/>
    <cellStyle name="Normal 2 6 35 7" xfId="18752"/>
    <cellStyle name="Normal 2 6 36" xfId="18753"/>
    <cellStyle name="Normal 2 6 36 2" xfId="18754"/>
    <cellStyle name="Normal 2 6 37" xfId="18755"/>
    <cellStyle name="Normal 2 6 38" xfId="18756"/>
    <cellStyle name="Normal 2 6 39" xfId="18757"/>
    <cellStyle name="Normal 2 6 4" xfId="18758"/>
    <cellStyle name="Normal 2 6 4 2" xfId="18759"/>
    <cellStyle name="Normal 2 6 4 2 2" xfId="18760"/>
    <cellStyle name="Normal 2 6 4 2 3" xfId="18761"/>
    <cellStyle name="Normal 2 6 4 2 4" xfId="18762"/>
    <cellStyle name="Normal 2 6 4 2 5" xfId="18763"/>
    <cellStyle name="Normal 2 6 4 2 6" xfId="18764"/>
    <cellStyle name="Normal 2 6 4 2 7" xfId="18765"/>
    <cellStyle name="Normal 2 6 4 3" xfId="18766"/>
    <cellStyle name="Normal 2 6 4 4" xfId="18767"/>
    <cellStyle name="Normal 2 6 4 5" xfId="18768"/>
    <cellStyle name="Normal 2 6 4 6" xfId="18769"/>
    <cellStyle name="Normal 2 6 4 7" xfId="18770"/>
    <cellStyle name="Normal 2 6 4 8" xfId="18771"/>
    <cellStyle name="Normal 2 6 40" xfId="18772"/>
    <cellStyle name="Normal 2 6 41" xfId="18773"/>
    <cellStyle name="Normal 2 6 42" xfId="18774"/>
    <cellStyle name="Normal 2 6 43" xfId="18775"/>
    <cellStyle name="Normal 2 6 44" xfId="18776"/>
    <cellStyle name="Normal 2 6 5" xfId="18777"/>
    <cellStyle name="Normal 2 6 5 2" xfId="18778"/>
    <cellStyle name="Normal 2 6 5 2 2" xfId="18779"/>
    <cellStyle name="Normal 2 6 5 2 3" xfId="18780"/>
    <cellStyle name="Normal 2 6 5 2 4" xfId="18781"/>
    <cellStyle name="Normal 2 6 5 2 5" xfId="18782"/>
    <cellStyle name="Normal 2 6 5 2 6" xfId="18783"/>
    <cellStyle name="Normal 2 6 5 2 7" xfId="18784"/>
    <cellStyle name="Normal 2 6 5 3" xfId="18785"/>
    <cellStyle name="Normal 2 6 5 4" xfId="18786"/>
    <cellStyle name="Normal 2 6 5 5" xfId="18787"/>
    <cellStyle name="Normal 2 6 5 6" xfId="18788"/>
    <cellStyle name="Normal 2 6 5 7" xfId="18789"/>
    <cellStyle name="Normal 2 6 5 8" xfId="18790"/>
    <cellStyle name="Normal 2 6 6" xfId="18791"/>
    <cellStyle name="Normal 2 6 6 2" xfId="18792"/>
    <cellStyle name="Normal 2 6 6 2 2" xfId="18793"/>
    <cellStyle name="Normal 2 6 6 2 3" xfId="18794"/>
    <cellStyle name="Normal 2 6 6 2 4" xfId="18795"/>
    <cellStyle name="Normal 2 6 6 2 5" xfId="18796"/>
    <cellStyle name="Normal 2 6 6 2 6" xfId="18797"/>
    <cellStyle name="Normal 2 6 6 2 7" xfId="18798"/>
    <cellStyle name="Normal 2 6 6 3" xfId="18799"/>
    <cellStyle name="Normal 2 6 6 4" xfId="18800"/>
    <cellStyle name="Normal 2 6 6 5" xfId="18801"/>
    <cellStyle name="Normal 2 6 6 6" xfId="18802"/>
    <cellStyle name="Normal 2 6 6 7" xfId="18803"/>
    <cellStyle name="Normal 2 6 6 8" xfId="18804"/>
    <cellStyle name="Normal 2 6 7" xfId="18805"/>
    <cellStyle name="Normal 2 6 7 2" xfId="18806"/>
    <cellStyle name="Normal 2 6 7 2 2" xfId="18807"/>
    <cellStyle name="Normal 2 6 7 2 3" xfId="18808"/>
    <cellStyle name="Normal 2 6 7 2 4" xfId="18809"/>
    <cellStyle name="Normal 2 6 7 2 5" xfId="18810"/>
    <cellStyle name="Normal 2 6 7 2 6" xfId="18811"/>
    <cellStyle name="Normal 2 6 7 2 7" xfId="18812"/>
    <cellStyle name="Normal 2 6 7 3" xfId="18813"/>
    <cellStyle name="Normal 2 6 7 4" xfId="18814"/>
    <cellStyle name="Normal 2 6 7 5" xfId="18815"/>
    <cellStyle name="Normal 2 6 7 6" xfId="18816"/>
    <cellStyle name="Normal 2 6 7 7" xfId="18817"/>
    <cellStyle name="Normal 2 6 7 8" xfId="18818"/>
    <cellStyle name="Normal 2 6 8" xfId="18819"/>
    <cellStyle name="Normal 2 6 8 2" xfId="18820"/>
    <cellStyle name="Normal 2 6 8 2 2" xfId="18821"/>
    <cellStyle name="Normal 2 6 8 2 3" xfId="18822"/>
    <cellStyle name="Normal 2 6 8 2 4" xfId="18823"/>
    <cellStyle name="Normal 2 6 8 2 5" xfId="18824"/>
    <cellStyle name="Normal 2 6 8 2 6" xfId="18825"/>
    <cellStyle name="Normal 2 6 8 2 7" xfId="18826"/>
    <cellStyle name="Normal 2 6 8 3" xfId="18827"/>
    <cellStyle name="Normal 2 6 8 4" xfId="18828"/>
    <cellStyle name="Normal 2 6 8 5" xfId="18829"/>
    <cellStyle name="Normal 2 6 8 6" xfId="18830"/>
    <cellStyle name="Normal 2 6 8 7" xfId="18831"/>
    <cellStyle name="Normal 2 6 8 8" xfId="18832"/>
    <cellStyle name="Normal 2 6 9" xfId="18833"/>
    <cellStyle name="Normal 2 6 9 2" xfId="18834"/>
    <cellStyle name="Normal 2 6 9 2 2" xfId="18835"/>
    <cellStyle name="Normal 2 6 9 2 3" xfId="18836"/>
    <cellStyle name="Normal 2 6 9 2 4" xfId="18837"/>
    <cellStyle name="Normal 2 6 9 2 5" xfId="18838"/>
    <cellStyle name="Normal 2 6 9 2 6" xfId="18839"/>
    <cellStyle name="Normal 2 6 9 2 7" xfId="18840"/>
    <cellStyle name="Normal 2 6 9 3" xfId="18841"/>
    <cellStyle name="Normal 2 6 9 4" xfId="18842"/>
    <cellStyle name="Normal 2 6 9 5" xfId="18843"/>
    <cellStyle name="Normal 2 6 9 6" xfId="18844"/>
    <cellStyle name="Normal 2 6 9 7" xfId="18845"/>
    <cellStyle name="Normal 2 6 9 8" xfId="18846"/>
    <cellStyle name="Normal 2 60" xfId="36539"/>
    <cellStyle name="Normal 2 7" xfId="6200"/>
    <cellStyle name="Normal 2 7 10" xfId="18847"/>
    <cellStyle name="Normal 2 7 10 2" xfId="18848"/>
    <cellStyle name="Normal 2 7 10 2 2" xfId="18849"/>
    <cellStyle name="Normal 2 7 10 2 3" xfId="18850"/>
    <cellStyle name="Normal 2 7 10 2 4" xfId="18851"/>
    <cellStyle name="Normal 2 7 10 2 5" xfId="18852"/>
    <cellStyle name="Normal 2 7 10 2 6" xfId="18853"/>
    <cellStyle name="Normal 2 7 10 2 7" xfId="18854"/>
    <cellStyle name="Normal 2 7 10 3" xfId="18855"/>
    <cellStyle name="Normal 2 7 10 4" xfId="18856"/>
    <cellStyle name="Normal 2 7 10 5" xfId="18857"/>
    <cellStyle name="Normal 2 7 10 6" xfId="18858"/>
    <cellStyle name="Normal 2 7 10 7" xfId="18859"/>
    <cellStyle name="Normal 2 7 10 8" xfId="18860"/>
    <cellStyle name="Normal 2 7 11" xfId="18861"/>
    <cellStyle name="Normal 2 7 11 2" xfId="18862"/>
    <cellStyle name="Normal 2 7 11 2 2" xfId="18863"/>
    <cellStyle name="Normal 2 7 11 2 3" xfId="18864"/>
    <cellStyle name="Normal 2 7 11 2 4" xfId="18865"/>
    <cellStyle name="Normal 2 7 11 2 5" xfId="18866"/>
    <cellStyle name="Normal 2 7 11 2 6" xfId="18867"/>
    <cellStyle name="Normal 2 7 11 2 7" xfId="18868"/>
    <cellStyle name="Normal 2 7 11 3" xfId="18869"/>
    <cellStyle name="Normal 2 7 11 4" xfId="18870"/>
    <cellStyle name="Normal 2 7 11 5" xfId="18871"/>
    <cellStyle name="Normal 2 7 11 6" xfId="18872"/>
    <cellStyle name="Normal 2 7 11 7" xfId="18873"/>
    <cellStyle name="Normal 2 7 11 8" xfId="18874"/>
    <cellStyle name="Normal 2 7 12" xfId="18875"/>
    <cellStyle name="Normal 2 7 12 2" xfId="18876"/>
    <cellStyle name="Normal 2 7 12 2 2" xfId="18877"/>
    <cellStyle name="Normal 2 7 12 2 3" xfId="18878"/>
    <cellStyle name="Normal 2 7 12 2 4" xfId="18879"/>
    <cellStyle name="Normal 2 7 12 2 5" xfId="18880"/>
    <cellStyle name="Normal 2 7 12 2 6" xfId="18881"/>
    <cellStyle name="Normal 2 7 12 2 7" xfId="18882"/>
    <cellStyle name="Normal 2 7 12 3" xfId="18883"/>
    <cellStyle name="Normal 2 7 12 4" xfId="18884"/>
    <cellStyle name="Normal 2 7 12 5" xfId="18885"/>
    <cellStyle name="Normal 2 7 12 6" xfId="18886"/>
    <cellStyle name="Normal 2 7 12 7" xfId="18887"/>
    <cellStyle name="Normal 2 7 12 8" xfId="18888"/>
    <cellStyle name="Normal 2 7 13" xfId="18889"/>
    <cellStyle name="Normal 2 7 13 2" xfId="18890"/>
    <cellStyle name="Normal 2 7 13 2 2" xfId="18891"/>
    <cellStyle name="Normal 2 7 13 2 3" xfId="18892"/>
    <cellStyle name="Normal 2 7 13 2 4" xfId="18893"/>
    <cellStyle name="Normal 2 7 13 2 5" xfId="18894"/>
    <cellStyle name="Normal 2 7 13 2 6" xfId="18895"/>
    <cellStyle name="Normal 2 7 13 2 7" xfId="18896"/>
    <cellStyle name="Normal 2 7 13 3" xfId="18897"/>
    <cellStyle name="Normal 2 7 13 4" xfId="18898"/>
    <cellStyle name="Normal 2 7 13 5" xfId="18899"/>
    <cellStyle name="Normal 2 7 13 6" xfId="18900"/>
    <cellStyle name="Normal 2 7 13 7" xfId="18901"/>
    <cellStyle name="Normal 2 7 13 8" xfId="18902"/>
    <cellStyle name="Normal 2 7 14" xfId="18903"/>
    <cellStyle name="Normal 2 7 14 2" xfId="18904"/>
    <cellStyle name="Normal 2 7 14 2 2" xfId="18905"/>
    <cellStyle name="Normal 2 7 14 2 3" xfId="18906"/>
    <cellStyle name="Normal 2 7 14 2 4" xfId="18907"/>
    <cellStyle name="Normal 2 7 14 2 5" xfId="18908"/>
    <cellStyle name="Normal 2 7 14 2 6" xfId="18909"/>
    <cellStyle name="Normal 2 7 14 2 7" xfId="18910"/>
    <cellStyle name="Normal 2 7 14 3" xfId="18911"/>
    <cellStyle name="Normal 2 7 14 4" xfId="18912"/>
    <cellStyle name="Normal 2 7 14 5" xfId="18913"/>
    <cellStyle name="Normal 2 7 14 6" xfId="18914"/>
    <cellStyle name="Normal 2 7 14 7" xfId="18915"/>
    <cellStyle name="Normal 2 7 14 8" xfId="18916"/>
    <cellStyle name="Normal 2 7 15" xfId="18917"/>
    <cellStyle name="Normal 2 7 15 2" xfId="18918"/>
    <cellStyle name="Normal 2 7 15 2 2" xfId="18919"/>
    <cellStyle name="Normal 2 7 15 2 3" xfId="18920"/>
    <cellStyle name="Normal 2 7 15 2 4" xfId="18921"/>
    <cellStyle name="Normal 2 7 15 2 5" xfId="18922"/>
    <cellStyle name="Normal 2 7 15 2 6" xfId="18923"/>
    <cellStyle name="Normal 2 7 15 2 7" xfId="18924"/>
    <cellStyle name="Normal 2 7 15 3" xfId="18925"/>
    <cellStyle name="Normal 2 7 15 4" xfId="18926"/>
    <cellStyle name="Normal 2 7 15 5" xfId="18927"/>
    <cellStyle name="Normal 2 7 15 6" xfId="18928"/>
    <cellStyle name="Normal 2 7 15 7" xfId="18929"/>
    <cellStyle name="Normal 2 7 15 8" xfId="18930"/>
    <cellStyle name="Normal 2 7 16" xfId="18931"/>
    <cellStyle name="Normal 2 7 16 2" xfId="18932"/>
    <cellStyle name="Normal 2 7 16 3" xfId="18933"/>
    <cellStyle name="Normal 2 7 16 4" xfId="18934"/>
    <cellStyle name="Normal 2 7 16 5" xfId="18935"/>
    <cellStyle name="Normal 2 7 16 6" xfId="18936"/>
    <cellStyle name="Normal 2 7 16 7" xfId="18937"/>
    <cellStyle name="Normal 2 7 17" xfId="18938"/>
    <cellStyle name="Normal 2 7 17 2" xfId="18939"/>
    <cellStyle name="Normal 2 7 17 3" xfId="18940"/>
    <cellStyle name="Normal 2 7 17 4" xfId="18941"/>
    <cellStyle name="Normal 2 7 17 5" xfId="18942"/>
    <cellStyle name="Normal 2 7 17 6" xfId="18943"/>
    <cellStyle name="Normal 2 7 17 7" xfId="18944"/>
    <cellStyle name="Normal 2 7 18" xfId="18945"/>
    <cellStyle name="Normal 2 7 18 2" xfId="18946"/>
    <cellStyle name="Normal 2 7 18 3" xfId="18947"/>
    <cellStyle name="Normal 2 7 18 4" xfId="18948"/>
    <cellStyle name="Normal 2 7 18 5" xfId="18949"/>
    <cellStyle name="Normal 2 7 18 6" xfId="18950"/>
    <cellStyle name="Normal 2 7 18 7" xfId="18951"/>
    <cellStyle name="Normal 2 7 19" xfId="18952"/>
    <cellStyle name="Normal 2 7 19 2" xfId="18953"/>
    <cellStyle name="Normal 2 7 19 3" xfId="18954"/>
    <cellStyle name="Normal 2 7 19 4" xfId="18955"/>
    <cellStyle name="Normal 2 7 19 5" xfId="18956"/>
    <cellStyle name="Normal 2 7 19 6" xfId="18957"/>
    <cellStyle name="Normal 2 7 19 7" xfId="18958"/>
    <cellStyle name="Normal 2 7 2" xfId="18959"/>
    <cellStyle name="Normal 2 7 2 2" xfId="18960"/>
    <cellStyle name="Normal 2 7 2 2 2" xfId="18961"/>
    <cellStyle name="Normal 2 7 2 2 3" xfId="18962"/>
    <cellStyle name="Normal 2 7 2 2 4" xfId="18963"/>
    <cellStyle name="Normal 2 7 2 2 5" xfId="18964"/>
    <cellStyle name="Normal 2 7 2 2 6" xfId="18965"/>
    <cellStyle name="Normal 2 7 2 2 7" xfId="18966"/>
    <cellStyle name="Normal 2 7 2 3" xfId="18967"/>
    <cellStyle name="Normal 2 7 2 4" xfId="18968"/>
    <cellStyle name="Normal 2 7 2 5" xfId="18969"/>
    <cellStyle name="Normal 2 7 2 6" xfId="18970"/>
    <cellStyle name="Normal 2 7 2 7" xfId="18971"/>
    <cellStyle name="Normal 2 7 2 8" xfId="18972"/>
    <cellStyle name="Normal 2 7 20" xfId="18973"/>
    <cellStyle name="Normal 2 7 20 2" xfId="18974"/>
    <cellStyle name="Normal 2 7 20 3" xfId="18975"/>
    <cellStyle name="Normal 2 7 20 4" xfId="18976"/>
    <cellStyle name="Normal 2 7 20 5" xfId="18977"/>
    <cellStyle name="Normal 2 7 20 6" xfId="18978"/>
    <cellStyle name="Normal 2 7 20 7" xfId="18979"/>
    <cellStyle name="Normal 2 7 21" xfId="18980"/>
    <cellStyle name="Normal 2 7 21 2" xfId="18981"/>
    <cellStyle name="Normal 2 7 21 3" xfId="18982"/>
    <cellStyle name="Normal 2 7 21 4" xfId="18983"/>
    <cellStyle name="Normal 2 7 21 5" xfId="18984"/>
    <cellStyle name="Normal 2 7 21 6" xfId="18985"/>
    <cellStyle name="Normal 2 7 21 7" xfId="18986"/>
    <cellStyle name="Normal 2 7 22" xfId="18987"/>
    <cellStyle name="Normal 2 7 22 2" xfId="18988"/>
    <cellStyle name="Normal 2 7 22 3" xfId="18989"/>
    <cellStyle name="Normal 2 7 22 4" xfId="18990"/>
    <cellStyle name="Normal 2 7 22 5" xfId="18991"/>
    <cellStyle name="Normal 2 7 22 6" xfId="18992"/>
    <cellStyle name="Normal 2 7 22 7" xfId="18993"/>
    <cellStyle name="Normal 2 7 23" xfId="18994"/>
    <cellStyle name="Normal 2 7 23 2" xfId="18995"/>
    <cellStyle name="Normal 2 7 23 3" xfId="18996"/>
    <cellStyle name="Normal 2 7 23 4" xfId="18997"/>
    <cellStyle name="Normal 2 7 23 5" xfId="18998"/>
    <cellStyle name="Normal 2 7 23 6" xfId="18999"/>
    <cellStyle name="Normal 2 7 23 7" xfId="19000"/>
    <cellStyle name="Normal 2 7 24" xfId="19001"/>
    <cellStyle name="Normal 2 7 24 2" xfId="19002"/>
    <cellStyle name="Normal 2 7 24 3" xfId="19003"/>
    <cellStyle name="Normal 2 7 24 4" xfId="19004"/>
    <cellStyle name="Normal 2 7 24 5" xfId="19005"/>
    <cellStyle name="Normal 2 7 24 6" xfId="19006"/>
    <cellStyle name="Normal 2 7 24 7" xfId="19007"/>
    <cellStyle name="Normal 2 7 25" xfId="19008"/>
    <cellStyle name="Normal 2 7 25 2" xfId="19009"/>
    <cellStyle name="Normal 2 7 25 3" xfId="19010"/>
    <cellStyle name="Normal 2 7 25 4" xfId="19011"/>
    <cellStyle name="Normal 2 7 25 5" xfId="19012"/>
    <cellStyle name="Normal 2 7 25 6" xfId="19013"/>
    <cellStyle name="Normal 2 7 25 7" xfId="19014"/>
    <cellStyle name="Normal 2 7 26" xfId="19015"/>
    <cellStyle name="Normal 2 7 26 2" xfId="19016"/>
    <cellStyle name="Normal 2 7 26 3" xfId="19017"/>
    <cellStyle name="Normal 2 7 26 4" xfId="19018"/>
    <cellStyle name="Normal 2 7 26 5" xfId="19019"/>
    <cellStyle name="Normal 2 7 26 6" xfId="19020"/>
    <cellStyle name="Normal 2 7 26 7" xfId="19021"/>
    <cellStyle name="Normal 2 7 27" xfId="19022"/>
    <cellStyle name="Normal 2 7 27 2" xfId="19023"/>
    <cellStyle name="Normal 2 7 27 3" xfId="19024"/>
    <cellStyle name="Normal 2 7 27 4" xfId="19025"/>
    <cellStyle name="Normal 2 7 27 5" xfId="19026"/>
    <cellStyle name="Normal 2 7 27 6" xfId="19027"/>
    <cellStyle name="Normal 2 7 27 7" xfId="19028"/>
    <cellStyle name="Normal 2 7 28" xfId="19029"/>
    <cellStyle name="Normal 2 7 28 2" xfId="19030"/>
    <cellStyle name="Normal 2 7 28 3" xfId="19031"/>
    <cellStyle name="Normal 2 7 28 4" xfId="19032"/>
    <cellStyle name="Normal 2 7 28 5" xfId="19033"/>
    <cellStyle name="Normal 2 7 28 6" xfId="19034"/>
    <cellStyle name="Normal 2 7 28 7" xfId="19035"/>
    <cellStyle name="Normal 2 7 29" xfId="19036"/>
    <cellStyle name="Normal 2 7 29 2" xfId="19037"/>
    <cellStyle name="Normal 2 7 29 3" xfId="19038"/>
    <cellStyle name="Normal 2 7 29 4" xfId="19039"/>
    <cellStyle name="Normal 2 7 29 5" xfId="19040"/>
    <cellStyle name="Normal 2 7 29 6" xfId="19041"/>
    <cellStyle name="Normal 2 7 29 7" xfId="19042"/>
    <cellStyle name="Normal 2 7 3" xfId="19043"/>
    <cellStyle name="Normal 2 7 3 2" xfId="19044"/>
    <cellStyle name="Normal 2 7 3 2 2" xfId="19045"/>
    <cellStyle name="Normal 2 7 3 2 3" xfId="19046"/>
    <cellStyle name="Normal 2 7 3 2 4" xfId="19047"/>
    <cellStyle name="Normal 2 7 3 2 5" xfId="19048"/>
    <cellStyle name="Normal 2 7 3 2 6" xfId="19049"/>
    <cellStyle name="Normal 2 7 3 2 7" xfId="19050"/>
    <cellStyle name="Normal 2 7 3 3" xfId="19051"/>
    <cellStyle name="Normal 2 7 3 4" xfId="19052"/>
    <cellStyle name="Normal 2 7 3 5" xfId="19053"/>
    <cellStyle name="Normal 2 7 3 6" xfId="19054"/>
    <cellStyle name="Normal 2 7 3 7" xfId="19055"/>
    <cellStyle name="Normal 2 7 3 8" xfId="19056"/>
    <cellStyle name="Normal 2 7 30" xfId="19057"/>
    <cellStyle name="Normal 2 7 30 2" xfId="19058"/>
    <cellStyle name="Normal 2 7 30 3" xfId="19059"/>
    <cellStyle name="Normal 2 7 30 4" xfId="19060"/>
    <cellStyle name="Normal 2 7 30 5" xfId="19061"/>
    <cellStyle name="Normal 2 7 30 6" xfId="19062"/>
    <cellStyle name="Normal 2 7 30 7" xfId="19063"/>
    <cellStyle name="Normal 2 7 31" xfId="19064"/>
    <cellStyle name="Normal 2 7 31 2" xfId="19065"/>
    <cellStyle name="Normal 2 7 31 3" xfId="19066"/>
    <cellStyle name="Normal 2 7 31 4" xfId="19067"/>
    <cellStyle name="Normal 2 7 31 5" xfId="19068"/>
    <cellStyle name="Normal 2 7 31 6" xfId="19069"/>
    <cellStyle name="Normal 2 7 31 7" xfId="19070"/>
    <cellStyle name="Normal 2 7 32" xfId="19071"/>
    <cellStyle name="Normal 2 7 32 2" xfId="19072"/>
    <cellStyle name="Normal 2 7 32 3" xfId="19073"/>
    <cellStyle name="Normal 2 7 32 4" xfId="19074"/>
    <cellStyle name="Normal 2 7 32 5" xfId="19075"/>
    <cellStyle name="Normal 2 7 32 6" xfId="19076"/>
    <cellStyle name="Normal 2 7 32 7" xfId="19077"/>
    <cellStyle name="Normal 2 7 33" xfId="19078"/>
    <cellStyle name="Normal 2 7 33 2" xfId="19079"/>
    <cellStyle name="Normal 2 7 33 3" xfId="19080"/>
    <cellStyle name="Normal 2 7 33 4" xfId="19081"/>
    <cellStyle name="Normal 2 7 33 5" xfId="19082"/>
    <cellStyle name="Normal 2 7 33 6" xfId="19083"/>
    <cellStyle name="Normal 2 7 33 7" xfId="19084"/>
    <cellStyle name="Normal 2 7 34" xfId="19085"/>
    <cellStyle name="Normal 2 7 34 2" xfId="19086"/>
    <cellStyle name="Normal 2 7 34 3" xfId="19087"/>
    <cellStyle name="Normal 2 7 34 4" xfId="19088"/>
    <cellStyle name="Normal 2 7 34 5" xfId="19089"/>
    <cellStyle name="Normal 2 7 34 6" xfId="19090"/>
    <cellStyle name="Normal 2 7 34 7" xfId="19091"/>
    <cellStyle name="Normal 2 7 35" xfId="19092"/>
    <cellStyle name="Normal 2 7 35 2" xfId="19093"/>
    <cellStyle name="Normal 2 7 35 3" xfId="19094"/>
    <cellStyle name="Normal 2 7 35 4" xfId="19095"/>
    <cellStyle name="Normal 2 7 35 5" xfId="19096"/>
    <cellStyle name="Normal 2 7 35 6" xfId="19097"/>
    <cellStyle name="Normal 2 7 35 7" xfId="19098"/>
    <cellStyle name="Normal 2 7 36" xfId="19099"/>
    <cellStyle name="Normal 2 7 37" xfId="19100"/>
    <cellStyle name="Normal 2 7 38" xfId="19101"/>
    <cellStyle name="Normal 2 7 39" xfId="19102"/>
    <cellStyle name="Normal 2 7 4" xfId="19103"/>
    <cellStyle name="Normal 2 7 4 2" xfId="19104"/>
    <cellStyle name="Normal 2 7 4 2 2" xfId="19105"/>
    <cellStyle name="Normal 2 7 4 2 3" xfId="19106"/>
    <cellStyle name="Normal 2 7 4 2 4" xfId="19107"/>
    <cellStyle name="Normal 2 7 4 2 5" xfId="19108"/>
    <cellStyle name="Normal 2 7 4 2 6" xfId="19109"/>
    <cellStyle name="Normal 2 7 4 2 7" xfId="19110"/>
    <cellStyle name="Normal 2 7 4 3" xfId="19111"/>
    <cellStyle name="Normal 2 7 4 4" xfId="19112"/>
    <cellStyle name="Normal 2 7 4 5" xfId="19113"/>
    <cellStyle name="Normal 2 7 4 6" xfId="19114"/>
    <cellStyle name="Normal 2 7 4 7" xfId="19115"/>
    <cellStyle name="Normal 2 7 4 8" xfId="19116"/>
    <cellStyle name="Normal 2 7 40" xfId="19117"/>
    <cellStyle name="Normal 2 7 41" xfId="19118"/>
    <cellStyle name="Normal 2 7 42" xfId="19119"/>
    <cellStyle name="Normal 2 7 43" xfId="19120"/>
    <cellStyle name="Normal 2 7 5" xfId="19121"/>
    <cellStyle name="Normal 2 7 5 2" xfId="19122"/>
    <cellStyle name="Normal 2 7 5 2 2" xfId="19123"/>
    <cellStyle name="Normal 2 7 5 2 3" xfId="19124"/>
    <cellStyle name="Normal 2 7 5 2 4" xfId="19125"/>
    <cellStyle name="Normal 2 7 5 2 5" xfId="19126"/>
    <cellStyle name="Normal 2 7 5 2 6" xfId="19127"/>
    <cellStyle name="Normal 2 7 5 2 7" xfId="19128"/>
    <cellStyle name="Normal 2 7 5 3" xfId="19129"/>
    <cellStyle name="Normal 2 7 5 4" xfId="19130"/>
    <cellStyle name="Normal 2 7 5 5" xfId="19131"/>
    <cellStyle name="Normal 2 7 5 6" xfId="19132"/>
    <cellStyle name="Normal 2 7 5 7" xfId="19133"/>
    <cellStyle name="Normal 2 7 5 8" xfId="19134"/>
    <cellStyle name="Normal 2 7 6" xfId="19135"/>
    <cellStyle name="Normal 2 7 6 2" xfId="19136"/>
    <cellStyle name="Normal 2 7 6 2 2" xfId="19137"/>
    <cellStyle name="Normal 2 7 6 2 3" xfId="19138"/>
    <cellStyle name="Normal 2 7 6 2 4" xfId="19139"/>
    <cellStyle name="Normal 2 7 6 2 5" xfId="19140"/>
    <cellStyle name="Normal 2 7 6 2 6" xfId="19141"/>
    <cellStyle name="Normal 2 7 6 2 7" xfId="19142"/>
    <cellStyle name="Normal 2 7 6 3" xfId="19143"/>
    <cellStyle name="Normal 2 7 6 4" xfId="19144"/>
    <cellStyle name="Normal 2 7 6 5" xfId="19145"/>
    <cellStyle name="Normal 2 7 6 6" xfId="19146"/>
    <cellStyle name="Normal 2 7 6 7" xfId="19147"/>
    <cellStyle name="Normal 2 7 6 8" xfId="19148"/>
    <cellStyle name="Normal 2 7 7" xfId="19149"/>
    <cellStyle name="Normal 2 7 7 2" xfId="19150"/>
    <cellStyle name="Normal 2 7 7 2 2" xfId="19151"/>
    <cellStyle name="Normal 2 7 7 2 3" xfId="19152"/>
    <cellStyle name="Normal 2 7 7 2 4" xfId="19153"/>
    <cellStyle name="Normal 2 7 7 2 5" xfId="19154"/>
    <cellStyle name="Normal 2 7 7 2 6" xfId="19155"/>
    <cellStyle name="Normal 2 7 7 2 7" xfId="19156"/>
    <cellStyle name="Normal 2 7 7 3" xfId="19157"/>
    <cellStyle name="Normal 2 7 7 4" xfId="19158"/>
    <cellStyle name="Normal 2 7 7 5" xfId="19159"/>
    <cellStyle name="Normal 2 7 7 6" xfId="19160"/>
    <cellStyle name="Normal 2 7 7 7" xfId="19161"/>
    <cellStyle name="Normal 2 7 7 8" xfId="19162"/>
    <cellStyle name="Normal 2 7 8" xfId="19163"/>
    <cellStyle name="Normal 2 7 8 2" xfId="19164"/>
    <cellStyle name="Normal 2 7 8 2 2" xfId="19165"/>
    <cellStyle name="Normal 2 7 8 2 3" xfId="19166"/>
    <cellStyle name="Normal 2 7 8 2 4" xfId="19167"/>
    <cellStyle name="Normal 2 7 8 2 5" xfId="19168"/>
    <cellStyle name="Normal 2 7 8 2 6" xfId="19169"/>
    <cellStyle name="Normal 2 7 8 2 7" xfId="19170"/>
    <cellStyle name="Normal 2 7 8 3" xfId="19171"/>
    <cellStyle name="Normal 2 7 8 4" xfId="19172"/>
    <cellStyle name="Normal 2 7 8 5" xfId="19173"/>
    <cellStyle name="Normal 2 7 8 6" xfId="19174"/>
    <cellStyle name="Normal 2 7 8 7" xfId="19175"/>
    <cellStyle name="Normal 2 7 8 8" xfId="19176"/>
    <cellStyle name="Normal 2 7 9" xfId="19177"/>
    <cellStyle name="Normal 2 7 9 2" xfId="19178"/>
    <cellStyle name="Normal 2 7 9 2 2" xfId="19179"/>
    <cellStyle name="Normal 2 7 9 2 3" xfId="19180"/>
    <cellStyle name="Normal 2 7 9 2 4" xfId="19181"/>
    <cellStyle name="Normal 2 7 9 2 5" xfId="19182"/>
    <cellStyle name="Normal 2 7 9 2 6" xfId="19183"/>
    <cellStyle name="Normal 2 7 9 2 7" xfId="19184"/>
    <cellStyle name="Normal 2 7 9 3" xfId="19185"/>
    <cellStyle name="Normal 2 7 9 4" xfId="19186"/>
    <cellStyle name="Normal 2 7 9 5" xfId="19187"/>
    <cellStyle name="Normal 2 7 9 6" xfId="19188"/>
    <cellStyle name="Normal 2 7 9 7" xfId="19189"/>
    <cellStyle name="Normal 2 7 9 8" xfId="19190"/>
    <cellStyle name="Normal 2 8" xfId="6201"/>
    <cellStyle name="Normal 2 8 10" xfId="19191"/>
    <cellStyle name="Normal 2 8 10 2" xfId="19192"/>
    <cellStyle name="Normal 2 8 10 2 2" xfId="19193"/>
    <cellStyle name="Normal 2 8 10 2 3" xfId="19194"/>
    <cellStyle name="Normal 2 8 10 2 4" xfId="19195"/>
    <cellStyle name="Normal 2 8 10 2 5" xfId="19196"/>
    <cellStyle name="Normal 2 8 10 2 6" xfId="19197"/>
    <cellStyle name="Normal 2 8 10 2 7" xfId="19198"/>
    <cellStyle name="Normal 2 8 10 3" xfId="19199"/>
    <cellStyle name="Normal 2 8 10 4" xfId="19200"/>
    <cellStyle name="Normal 2 8 10 5" xfId="19201"/>
    <cellStyle name="Normal 2 8 10 6" xfId="19202"/>
    <cellStyle name="Normal 2 8 10 7" xfId="19203"/>
    <cellStyle name="Normal 2 8 10 8" xfId="19204"/>
    <cellStyle name="Normal 2 8 11" xfId="19205"/>
    <cellStyle name="Normal 2 8 11 2" xfId="19206"/>
    <cellStyle name="Normal 2 8 11 2 2" xfId="19207"/>
    <cellStyle name="Normal 2 8 11 2 3" xfId="19208"/>
    <cellStyle name="Normal 2 8 11 2 4" xfId="19209"/>
    <cellStyle name="Normal 2 8 11 2 5" xfId="19210"/>
    <cellStyle name="Normal 2 8 11 2 6" xfId="19211"/>
    <cellStyle name="Normal 2 8 11 2 7" xfId="19212"/>
    <cellStyle name="Normal 2 8 11 3" xfId="19213"/>
    <cellStyle name="Normal 2 8 11 4" xfId="19214"/>
    <cellStyle name="Normal 2 8 11 5" xfId="19215"/>
    <cellStyle name="Normal 2 8 11 6" xfId="19216"/>
    <cellStyle name="Normal 2 8 11 7" xfId="19217"/>
    <cellStyle name="Normal 2 8 11 8" xfId="19218"/>
    <cellStyle name="Normal 2 8 12" xfId="19219"/>
    <cellStyle name="Normal 2 8 12 2" xfId="19220"/>
    <cellStyle name="Normal 2 8 12 2 2" xfId="19221"/>
    <cellStyle name="Normal 2 8 12 2 3" xfId="19222"/>
    <cellStyle name="Normal 2 8 12 2 4" xfId="19223"/>
    <cellStyle name="Normal 2 8 12 2 5" xfId="19224"/>
    <cellStyle name="Normal 2 8 12 2 6" xfId="19225"/>
    <cellStyle name="Normal 2 8 12 2 7" xfId="19226"/>
    <cellStyle name="Normal 2 8 12 3" xfId="19227"/>
    <cellStyle name="Normal 2 8 12 4" xfId="19228"/>
    <cellStyle name="Normal 2 8 12 5" xfId="19229"/>
    <cellStyle name="Normal 2 8 12 6" xfId="19230"/>
    <cellStyle name="Normal 2 8 12 7" xfId="19231"/>
    <cellStyle name="Normal 2 8 12 8" xfId="19232"/>
    <cellStyle name="Normal 2 8 13" xfId="19233"/>
    <cellStyle name="Normal 2 8 13 2" xfId="19234"/>
    <cellStyle name="Normal 2 8 13 2 2" xfId="19235"/>
    <cellStyle name="Normal 2 8 13 2 3" xfId="19236"/>
    <cellStyle name="Normal 2 8 13 2 4" xfId="19237"/>
    <cellStyle name="Normal 2 8 13 2 5" xfId="19238"/>
    <cellStyle name="Normal 2 8 13 2 6" xfId="19239"/>
    <cellStyle name="Normal 2 8 13 2 7" xfId="19240"/>
    <cellStyle name="Normal 2 8 13 3" xfId="19241"/>
    <cellStyle name="Normal 2 8 13 4" xfId="19242"/>
    <cellStyle name="Normal 2 8 13 5" xfId="19243"/>
    <cellStyle name="Normal 2 8 13 6" xfId="19244"/>
    <cellStyle name="Normal 2 8 13 7" xfId="19245"/>
    <cellStyle name="Normal 2 8 13 8" xfId="19246"/>
    <cellStyle name="Normal 2 8 14" xfId="19247"/>
    <cellStyle name="Normal 2 8 14 2" xfId="19248"/>
    <cellStyle name="Normal 2 8 14 2 2" xfId="19249"/>
    <cellStyle name="Normal 2 8 14 2 3" xfId="19250"/>
    <cellStyle name="Normal 2 8 14 2 4" xfId="19251"/>
    <cellStyle name="Normal 2 8 14 2 5" xfId="19252"/>
    <cellStyle name="Normal 2 8 14 2 6" xfId="19253"/>
    <cellStyle name="Normal 2 8 14 2 7" xfId="19254"/>
    <cellStyle name="Normal 2 8 14 3" xfId="19255"/>
    <cellStyle name="Normal 2 8 14 4" xfId="19256"/>
    <cellStyle name="Normal 2 8 14 5" xfId="19257"/>
    <cellStyle name="Normal 2 8 14 6" xfId="19258"/>
    <cellStyle name="Normal 2 8 14 7" xfId="19259"/>
    <cellStyle name="Normal 2 8 14 8" xfId="19260"/>
    <cellStyle name="Normal 2 8 15" xfId="19261"/>
    <cellStyle name="Normal 2 8 15 2" xfId="19262"/>
    <cellStyle name="Normal 2 8 15 2 2" xfId="19263"/>
    <cellStyle name="Normal 2 8 15 2 3" xfId="19264"/>
    <cellStyle name="Normal 2 8 15 2 4" xfId="19265"/>
    <cellStyle name="Normal 2 8 15 2 5" xfId="19266"/>
    <cellStyle name="Normal 2 8 15 2 6" xfId="19267"/>
    <cellStyle name="Normal 2 8 15 2 7" xfId="19268"/>
    <cellStyle name="Normal 2 8 15 3" xfId="19269"/>
    <cellStyle name="Normal 2 8 15 4" xfId="19270"/>
    <cellStyle name="Normal 2 8 15 5" xfId="19271"/>
    <cellStyle name="Normal 2 8 15 6" xfId="19272"/>
    <cellStyle name="Normal 2 8 15 7" xfId="19273"/>
    <cellStyle name="Normal 2 8 15 8" xfId="19274"/>
    <cellStyle name="Normal 2 8 16" xfId="19275"/>
    <cellStyle name="Normal 2 8 16 2" xfId="19276"/>
    <cellStyle name="Normal 2 8 16 3" xfId="19277"/>
    <cellStyle name="Normal 2 8 16 4" xfId="19278"/>
    <cellStyle name="Normal 2 8 16 5" xfId="19279"/>
    <cellStyle name="Normal 2 8 16 6" xfId="19280"/>
    <cellStyle name="Normal 2 8 16 7" xfId="19281"/>
    <cellStyle name="Normal 2 8 17" xfId="19282"/>
    <cellStyle name="Normal 2 8 17 2" xfId="19283"/>
    <cellStyle name="Normal 2 8 17 3" xfId="19284"/>
    <cellStyle name="Normal 2 8 17 4" xfId="19285"/>
    <cellStyle name="Normal 2 8 17 5" xfId="19286"/>
    <cellStyle name="Normal 2 8 17 6" xfId="19287"/>
    <cellStyle name="Normal 2 8 17 7" xfId="19288"/>
    <cellStyle name="Normal 2 8 18" xfId="19289"/>
    <cellStyle name="Normal 2 8 18 2" xfId="19290"/>
    <cellStyle name="Normal 2 8 18 3" xfId="19291"/>
    <cellStyle name="Normal 2 8 18 4" xfId="19292"/>
    <cellStyle name="Normal 2 8 18 5" xfId="19293"/>
    <cellStyle name="Normal 2 8 18 6" xfId="19294"/>
    <cellStyle name="Normal 2 8 18 7" xfId="19295"/>
    <cellStyle name="Normal 2 8 19" xfId="19296"/>
    <cellStyle name="Normal 2 8 19 2" xfId="19297"/>
    <cellStyle name="Normal 2 8 19 3" xfId="19298"/>
    <cellStyle name="Normal 2 8 19 4" xfId="19299"/>
    <cellStyle name="Normal 2 8 19 5" xfId="19300"/>
    <cellStyle name="Normal 2 8 19 6" xfId="19301"/>
    <cellStyle name="Normal 2 8 19 7" xfId="19302"/>
    <cellStyle name="Normal 2 8 2" xfId="19303"/>
    <cellStyle name="Normal 2 8 2 2" xfId="19304"/>
    <cellStyle name="Normal 2 8 2 2 2" xfId="19305"/>
    <cellStyle name="Normal 2 8 2 2 3" xfId="19306"/>
    <cellStyle name="Normal 2 8 2 2 4" xfId="19307"/>
    <cellStyle name="Normal 2 8 2 2 5" xfId="19308"/>
    <cellStyle name="Normal 2 8 2 2 6" xfId="19309"/>
    <cellStyle name="Normal 2 8 2 2 7" xfId="19310"/>
    <cellStyle name="Normal 2 8 2 3" xfId="19311"/>
    <cellStyle name="Normal 2 8 2 4" xfId="19312"/>
    <cellStyle name="Normal 2 8 2 5" xfId="19313"/>
    <cellStyle name="Normal 2 8 2 6" xfId="19314"/>
    <cellStyle name="Normal 2 8 2 7" xfId="19315"/>
    <cellStyle name="Normal 2 8 2 8" xfId="19316"/>
    <cellStyle name="Normal 2 8 20" xfId="19317"/>
    <cellStyle name="Normal 2 8 20 2" xfId="19318"/>
    <cellStyle name="Normal 2 8 20 3" xfId="19319"/>
    <cellStyle name="Normal 2 8 20 4" xfId="19320"/>
    <cellStyle name="Normal 2 8 20 5" xfId="19321"/>
    <cellStyle name="Normal 2 8 20 6" xfId="19322"/>
    <cellStyle name="Normal 2 8 20 7" xfId="19323"/>
    <cellStyle name="Normal 2 8 21" xfId="19324"/>
    <cellStyle name="Normal 2 8 21 2" xfId="19325"/>
    <cellStyle name="Normal 2 8 21 3" xfId="19326"/>
    <cellStyle name="Normal 2 8 21 4" xfId="19327"/>
    <cellStyle name="Normal 2 8 21 5" xfId="19328"/>
    <cellStyle name="Normal 2 8 21 6" xfId="19329"/>
    <cellStyle name="Normal 2 8 21 7" xfId="19330"/>
    <cellStyle name="Normal 2 8 22" xfId="19331"/>
    <cellStyle name="Normal 2 8 22 2" xfId="19332"/>
    <cellStyle name="Normal 2 8 22 3" xfId="19333"/>
    <cellStyle name="Normal 2 8 22 4" xfId="19334"/>
    <cellStyle name="Normal 2 8 22 5" xfId="19335"/>
    <cellStyle name="Normal 2 8 22 6" xfId="19336"/>
    <cellStyle name="Normal 2 8 22 7" xfId="19337"/>
    <cellStyle name="Normal 2 8 23" xfId="19338"/>
    <cellStyle name="Normal 2 8 23 2" xfId="19339"/>
    <cellStyle name="Normal 2 8 23 3" xfId="19340"/>
    <cellStyle name="Normal 2 8 23 4" xfId="19341"/>
    <cellStyle name="Normal 2 8 23 5" xfId="19342"/>
    <cellStyle name="Normal 2 8 23 6" xfId="19343"/>
    <cellStyle name="Normal 2 8 23 7" xfId="19344"/>
    <cellStyle name="Normal 2 8 24" xfId="19345"/>
    <cellStyle name="Normal 2 8 24 2" xfId="19346"/>
    <cellStyle name="Normal 2 8 24 3" xfId="19347"/>
    <cellStyle name="Normal 2 8 24 4" xfId="19348"/>
    <cellStyle name="Normal 2 8 24 5" xfId="19349"/>
    <cellStyle name="Normal 2 8 24 6" xfId="19350"/>
    <cellStyle name="Normal 2 8 24 7" xfId="19351"/>
    <cellStyle name="Normal 2 8 25" xfId="19352"/>
    <cellStyle name="Normal 2 8 25 2" xfId="19353"/>
    <cellStyle name="Normal 2 8 25 3" xfId="19354"/>
    <cellStyle name="Normal 2 8 25 4" xfId="19355"/>
    <cellStyle name="Normal 2 8 25 5" xfId="19356"/>
    <cellStyle name="Normal 2 8 25 6" xfId="19357"/>
    <cellStyle name="Normal 2 8 25 7" xfId="19358"/>
    <cellStyle name="Normal 2 8 26" xfId="19359"/>
    <cellStyle name="Normal 2 8 26 2" xfId="19360"/>
    <cellStyle name="Normal 2 8 26 3" xfId="19361"/>
    <cellStyle name="Normal 2 8 26 4" xfId="19362"/>
    <cellStyle name="Normal 2 8 26 5" xfId="19363"/>
    <cellStyle name="Normal 2 8 26 6" xfId="19364"/>
    <cellStyle name="Normal 2 8 26 7" xfId="19365"/>
    <cellStyle name="Normal 2 8 27" xfId="19366"/>
    <cellStyle name="Normal 2 8 27 2" xfId="19367"/>
    <cellStyle name="Normal 2 8 27 3" xfId="19368"/>
    <cellStyle name="Normal 2 8 27 4" xfId="19369"/>
    <cellStyle name="Normal 2 8 27 5" xfId="19370"/>
    <cellStyle name="Normal 2 8 27 6" xfId="19371"/>
    <cellStyle name="Normal 2 8 27 7" xfId="19372"/>
    <cellStyle name="Normal 2 8 28" xfId="19373"/>
    <cellStyle name="Normal 2 8 28 2" xfId="19374"/>
    <cellStyle name="Normal 2 8 28 3" xfId="19375"/>
    <cellStyle name="Normal 2 8 28 4" xfId="19376"/>
    <cellStyle name="Normal 2 8 28 5" xfId="19377"/>
    <cellStyle name="Normal 2 8 28 6" xfId="19378"/>
    <cellStyle name="Normal 2 8 28 7" xfId="19379"/>
    <cellStyle name="Normal 2 8 29" xfId="19380"/>
    <cellStyle name="Normal 2 8 29 2" xfId="19381"/>
    <cellStyle name="Normal 2 8 29 3" xfId="19382"/>
    <cellStyle name="Normal 2 8 29 4" xfId="19383"/>
    <cellStyle name="Normal 2 8 29 5" xfId="19384"/>
    <cellStyle name="Normal 2 8 29 6" xfId="19385"/>
    <cellStyle name="Normal 2 8 29 7" xfId="19386"/>
    <cellStyle name="Normal 2 8 3" xfId="19387"/>
    <cellStyle name="Normal 2 8 3 2" xfId="19388"/>
    <cellStyle name="Normal 2 8 3 2 2" xfId="19389"/>
    <cellStyle name="Normal 2 8 3 2 3" xfId="19390"/>
    <cellStyle name="Normal 2 8 3 2 4" xfId="19391"/>
    <cellStyle name="Normal 2 8 3 2 5" xfId="19392"/>
    <cellStyle name="Normal 2 8 3 2 6" xfId="19393"/>
    <cellStyle name="Normal 2 8 3 2 7" xfId="19394"/>
    <cellStyle name="Normal 2 8 3 3" xfId="19395"/>
    <cellStyle name="Normal 2 8 3 4" xfId="19396"/>
    <cellStyle name="Normal 2 8 3 5" xfId="19397"/>
    <cellStyle name="Normal 2 8 3 6" xfId="19398"/>
    <cellStyle name="Normal 2 8 3 7" xfId="19399"/>
    <cellStyle name="Normal 2 8 3 8" xfId="19400"/>
    <cellStyle name="Normal 2 8 30" xfId="19401"/>
    <cellStyle name="Normal 2 8 30 2" xfId="19402"/>
    <cellStyle name="Normal 2 8 30 3" xfId="19403"/>
    <cellStyle name="Normal 2 8 30 4" xfId="19404"/>
    <cellStyle name="Normal 2 8 30 5" xfId="19405"/>
    <cellStyle name="Normal 2 8 30 6" xfId="19406"/>
    <cellStyle name="Normal 2 8 30 7" xfId="19407"/>
    <cellStyle name="Normal 2 8 31" xfId="19408"/>
    <cellStyle name="Normal 2 8 31 2" xfId="19409"/>
    <cellStyle name="Normal 2 8 31 3" xfId="19410"/>
    <cellStyle name="Normal 2 8 31 4" xfId="19411"/>
    <cellStyle name="Normal 2 8 31 5" xfId="19412"/>
    <cellStyle name="Normal 2 8 31 6" xfId="19413"/>
    <cellStyle name="Normal 2 8 31 7" xfId="19414"/>
    <cellStyle name="Normal 2 8 32" xfId="19415"/>
    <cellStyle name="Normal 2 8 32 2" xfId="19416"/>
    <cellStyle name="Normal 2 8 32 3" xfId="19417"/>
    <cellStyle name="Normal 2 8 32 4" xfId="19418"/>
    <cellStyle name="Normal 2 8 32 5" xfId="19419"/>
    <cellStyle name="Normal 2 8 32 6" xfId="19420"/>
    <cellStyle name="Normal 2 8 32 7" xfId="19421"/>
    <cellStyle name="Normal 2 8 33" xfId="19422"/>
    <cellStyle name="Normal 2 8 33 2" xfId="19423"/>
    <cellStyle name="Normal 2 8 33 3" xfId="19424"/>
    <cellStyle name="Normal 2 8 33 4" xfId="19425"/>
    <cellStyle name="Normal 2 8 33 5" xfId="19426"/>
    <cellStyle name="Normal 2 8 33 6" xfId="19427"/>
    <cellStyle name="Normal 2 8 33 7" xfId="19428"/>
    <cellStyle name="Normal 2 8 34" xfId="19429"/>
    <cellStyle name="Normal 2 8 34 2" xfId="19430"/>
    <cellStyle name="Normal 2 8 34 3" xfId="19431"/>
    <cellStyle name="Normal 2 8 34 4" xfId="19432"/>
    <cellStyle name="Normal 2 8 34 5" xfId="19433"/>
    <cellStyle name="Normal 2 8 34 6" xfId="19434"/>
    <cellStyle name="Normal 2 8 34 7" xfId="19435"/>
    <cellStyle name="Normal 2 8 35" xfId="19436"/>
    <cellStyle name="Normal 2 8 35 2" xfId="19437"/>
    <cellStyle name="Normal 2 8 35 3" xfId="19438"/>
    <cellStyle name="Normal 2 8 35 4" xfId="19439"/>
    <cellStyle name="Normal 2 8 35 5" xfId="19440"/>
    <cellStyle name="Normal 2 8 35 6" xfId="19441"/>
    <cellStyle name="Normal 2 8 35 7" xfId="19442"/>
    <cellStyle name="Normal 2 8 36" xfId="19443"/>
    <cellStyle name="Normal 2 8 37" xfId="19444"/>
    <cellStyle name="Normal 2 8 38" xfId="19445"/>
    <cellStyle name="Normal 2 8 39" xfId="19446"/>
    <cellStyle name="Normal 2 8 4" xfId="19447"/>
    <cellStyle name="Normal 2 8 4 2" xfId="19448"/>
    <cellStyle name="Normal 2 8 4 2 2" xfId="19449"/>
    <cellStyle name="Normal 2 8 4 2 3" xfId="19450"/>
    <cellStyle name="Normal 2 8 4 2 4" xfId="19451"/>
    <cellStyle name="Normal 2 8 4 2 5" xfId="19452"/>
    <cellStyle name="Normal 2 8 4 2 6" xfId="19453"/>
    <cellStyle name="Normal 2 8 4 2 7" xfId="19454"/>
    <cellStyle name="Normal 2 8 4 3" xfId="19455"/>
    <cellStyle name="Normal 2 8 4 4" xfId="19456"/>
    <cellStyle name="Normal 2 8 4 5" xfId="19457"/>
    <cellStyle name="Normal 2 8 4 6" xfId="19458"/>
    <cellStyle name="Normal 2 8 4 7" xfId="19459"/>
    <cellStyle name="Normal 2 8 4 8" xfId="19460"/>
    <cellStyle name="Normal 2 8 40" xfId="19461"/>
    <cellStyle name="Normal 2 8 41" xfId="19462"/>
    <cellStyle name="Normal 2 8 42" xfId="19463"/>
    <cellStyle name="Normal 2 8 43" xfId="19464"/>
    <cellStyle name="Normal 2 8 5" xfId="19465"/>
    <cellStyle name="Normal 2 8 5 2" xfId="19466"/>
    <cellStyle name="Normal 2 8 5 2 2" xfId="19467"/>
    <cellStyle name="Normal 2 8 5 2 3" xfId="19468"/>
    <cellStyle name="Normal 2 8 5 2 4" xfId="19469"/>
    <cellStyle name="Normal 2 8 5 2 5" xfId="19470"/>
    <cellStyle name="Normal 2 8 5 2 6" xfId="19471"/>
    <cellStyle name="Normal 2 8 5 2 7" xfId="19472"/>
    <cellStyle name="Normal 2 8 5 3" xfId="19473"/>
    <cellStyle name="Normal 2 8 5 4" xfId="19474"/>
    <cellStyle name="Normal 2 8 5 5" xfId="19475"/>
    <cellStyle name="Normal 2 8 5 6" xfId="19476"/>
    <cellStyle name="Normal 2 8 5 7" xfId="19477"/>
    <cellStyle name="Normal 2 8 5 8" xfId="19478"/>
    <cellStyle name="Normal 2 8 6" xfId="19479"/>
    <cellStyle name="Normal 2 8 6 2" xfId="19480"/>
    <cellStyle name="Normal 2 8 6 2 2" xfId="19481"/>
    <cellStyle name="Normal 2 8 6 2 3" xfId="19482"/>
    <cellStyle name="Normal 2 8 6 2 4" xfId="19483"/>
    <cellStyle name="Normal 2 8 6 2 5" xfId="19484"/>
    <cellStyle name="Normal 2 8 6 2 6" xfId="19485"/>
    <cellStyle name="Normal 2 8 6 2 7" xfId="19486"/>
    <cellStyle name="Normal 2 8 6 3" xfId="19487"/>
    <cellStyle name="Normal 2 8 6 4" xfId="19488"/>
    <cellStyle name="Normal 2 8 6 5" xfId="19489"/>
    <cellStyle name="Normal 2 8 6 6" xfId="19490"/>
    <cellStyle name="Normal 2 8 6 7" xfId="19491"/>
    <cellStyle name="Normal 2 8 6 8" xfId="19492"/>
    <cellStyle name="Normal 2 8 7" xfId="19493"/>
    <cellStyle name="Normal 2 8 7 2" xfId="19494"/>
    <cellStyle name="Normal 2 8 7 2 2" xfId="19495"/>
    <cellStyle name="Normal 2 8 7 2 3" xfId="19496"/>
    <cellStyle name="Normal 2 8 7 2 4" xfId="19497"/>
    <cellStyle name="Normal 2 8 7 2 5" xfId="19498"/>
    <cellStyle name="Normal 2 8 7 2 6" xfId="19499"/>
    <cellStyle name="Normal 2 8 7 2 7" xfId="19500"/>
    <cellStyle name="Normal 2 8 7 3" xfId="19501"/>
    <cellStyle name="Normal 2 8 7 4" xfId="19502"/>
    <cellStyle name="Normal 2 8 7 5" xfId="19503"/>
    <cellStyle name="Normal 2 8 7 6" xfId="19504"/>
    <cellStyle name="Normal 2 8 7 7" xfId="19505"/>
    <cellStyle name="Normal 2 8 7 8" xfId="19506"/>
    <cellStyle name="Normal 2 8 8" xfId="19507"/>
    <cellStyle name="Normal 2 8 8 2" xfId="19508"/>
    <cellStyle name="Normal 2 8 8 2 2" xfId="19509"/>
    <cellStyle name="Normal 2 8 8 2 3" xfId="19510"/>
    <cellStyle name="Normal 2 8 8 2 4" xfId="19511"/>
    <cellStyle name="Normal 2 8 8 2 5" xfId="19512"/>
    <cellStyle name="Normal 2 8 8 2 6" xfId="19513"/>
    <cellStyle name="Normal 2 8 8 2 7" xfId="19514"/>
    <cellStyle name="Normal 2 8 8 3" xfId="19515"/>
    <cellStyle name="Normal 2 8 8 4" xfId="19516"/>
    <cellStyle name="Normal 2 8 8 5" xfId="19517"/>
    <cellStyle name="Normal 2 8 8 6" xfId="19518"/>
    <cellStyle name="Normal 2 8 8 7" xfId="19519"/>
    <cellStyle name="Normal 2 8 8 8" xfId="19520"/>
    <cellStyle name="Normal 2 8 9" xfId="19521"/>
    <cellStyle name="Normal 2 8 9 2" xfId="19522"/>
    <cellStyle name="Normal 2 8 9 2 2" xfId="19523"/>
    <cellStyle name="Normal 2 8 9 2 3" xfId="19524"/>
    <cellStyle name="Normal 2 8 9 2 4" xfId="19525"/>
    <cellStyle name="Normal 2 8 9 2 5" xfId="19526"/>
    <cellStyle name="Normal 2 8 9 2 6" xfId="19527"/>
    <cellStyle name="Normal 2 8 9 2 7" xfId="19528"/>
    <cellStyle name="Normal 2 8 9 3" xfId="19529"/>
    <cellStyle name="Normal 2 8 9 4" xfId="19530"/>
    <cellStyle name="Normal 2 8 9 5" xfId="19531"/>
    <cellStyle name="Normal 2 8 9 6" xfId="19532"/>
    <cellStyle name="Normal 2 8 9 7" xfId="19533"/>
    <cellStyle name="Normal 2 8 9 8" xfId="19534"/>
    <cellStyle name="Normal 2 9" xfId="6202"/>
    <cellStyle name="Normal 2 9 10" xfId="19535"/>
    <cellStyle name="Normal 2 9 10 2" xfId="19536"/>
    <cellStyle name="Normal 2 9 10 2 2" xfId="19537"/>
    <cellStyle name="Normal 2 9 10 2 3" xfId="19538"/>
    <cellStyle name="Normal 2 9 10 2 4" xfId="19539"/>
    <cellStyle name="Normal 2 9 10 2 5" xfId="19540"/>
    <cellStyle name="Normal 2 9 10 2 6" xfId="19541"/>
    <cellStyle name="Normal 2 9 10 2 7" xfId="19542"/>
    <cellStyle name="Normal 2 9 10 3" xfId="19543"/>
    <cellStyle name="Normal 2 9 10 4" xfId="19544"/>
    <cellStyle name="Normal 2 9 10 5" xfId="19545"/>
    <cellStyle name="Normal 2 9 10 6" xfId="19546"/>
    <cellStyle name="Normal 2 9 10 7" xfId="19547"/>
    <cellStyle name="Normal 2 9 10 8" xfId="19548"/>
    <cellStyle name="Normal 2 9 11" xfId="19549"/>
    <cellStyle name="Normal 2 9 11 2" xfId="19550"/>
    <cellStyle name="Normal 2 9 11 2 2" xfId="19551"/>
    <cellStyle name="Normal 2 9 11 2 3" xfId="19552"/>
    <cellStyle name="Normal 2 9 11 2 4" xfId="19553"/>
    <cellStyle name="Normal 2 9 11 2 5" xfId="19554"/>
    <cellStyle name="Normal 2 9 11 2 6" xfId="19555"/>
    <cellStyle name="Normal 2 9 11 2 7" xfId="19556"/>
    <cellStyle name="Normal 2 9 11 3" xfId="19557"/>
    <cellStyle name="Normal 2 9 11 4" xfId="19558"/>
    <cellStyle name="Normal 2 9 11 5" xfId="19559"/>
    <cellStyle name="Normal 2 9 11 6" xfId="19560"/>
    <cellStyle name="Normal 2 9 11 7" xfId="19561"/>
    <cellStyle name="Normal 2 9 11 8" xfId="19562"/>
    <cellStyle name="Normal 2 9 12" xfId="19563"/>
    <cellStyle name="Normal 2 9 12 2" xfId="19564"/>
    <cellStyle name="Normal 2 9 12 2 2" xfId="19565"/>
    <cellStyle name="Normal 2 9 12 2 3" xfId="19566"/>
    <cellStyle name="Normal 2 9 12 2 4" xfId="19567"/>
    <cellStyle name="Normal 2 9 12 2 5" xfId="19568"/>
    <cellStyle name="Normal 2 9 12 2 6" xfId="19569"/>
    <cellStyle name="Normal 2 9 12 2 7" xfId="19570"/>
    <cellStyle name="Normal 2 9 12 3" xfId="19571"/>
    <cellStyle name="Normal 2 9 12 4" xfId="19572"/>
    <cellStyle name="Normal 2 9 12 5" xfId="19573"/>
    <cellStyle name="Normal 2 9 12 6" xfId="19574"/>
    <cellStyle name="Normal 2 9 12 7" xfId="19575"/>
    <cellStyle name="Normal 2 9 12 8" xfId="19576"/>
    <cellStyle name="Normal 2 9 13" xfId="19577"/>
    <cellStyle name="Normal 2 9 13 2" xfId="19578"/>
    <cellStyle name="Normal 2 9 13 2 2" xfId="19579"/>
    <cellStyle name="Normal 2 9 13 2 3" xfId="19580"/>
    <cellStyle name="Normal 2 9 13 2 4" xfId="19581"/>
    <cellStyle name="Normal 2 9 13 2 5" xfId="19582"/>
    <cellStyle name="Normal 2 9 13 2 6" xfId="19583"/>
    <cellStyle name="Normal 2 9 13 2 7" xfId="19584"/>
    <cellStyle name="Normal 2 9 13 3" xfId="19585"/>
    <cellStyle name="Normal 2 9 13 4" xfId="19586"/>
    <cellStyle name="Normal 2 9 13 5" xfId="19587"/>
    <cellStyle name="Normal 2 9 13 6" xfId="19588"/>
    <cellStyle name="Normal 2 9 13 7" xfId="19589"/>
    <cellStyle name="Normal 2 9 13 8" xfId="19590"/>
    <cellStyle name="Normal 2 9 14" xfId="19591"/>
    <cellStyle name="Normal 2 9 14 2" xfId="19592"/>
    <cellStyle name="Normal 2 9 14 2 2" xfId="19593"/>
    <cellStyle name="Normal 2 9 14 2 3" xfId="19594"/>
    <cellStyle name="Normal 2 9 14 2 4" xfId="19595"/>
    <cellStyle name="Normal 2 9 14 2 5" xfId="19596"/>
    <cellStyle name="Normal 2 9 14 2 6" xfId="19597"/>
    <cellStyle name="Normal 2 9 14 2 7" xfId="19598"/>
    <cellStyle name="Normal 2 9 14 3" xfId="19599"/>
    <cellStyle name="Normal 2 9 14 4" xfId="19600"/>
    <cellStyle name="Normal 2 9 14 5" xfId="19601"/>
    <cellStyle name="Normal 2 9 14 6" xfId="19602"/>
    <cellStyle name="Normal 2 9 14 7" xfId="19603"/>
    <cellStyle name="Normal 2 9 14 8" xfId="19604"/>
    <cellStyle name="Normal 2 9 15" xfId="19605"/>
    <cellStyle name="Normal 2 9 15 2" xfId="19606"/>
    <cellStyle name="Normal 2 9 15 2 2" xfId="19607"/>
    <cellStyle name="Normal 2 9 15 2 3" xfId="19608"/>
    <cellStyle name="Normal 2 9 15 2 4" xfId="19609"/>
    <cellStyle name="Normal 2 9 15 2 5" xfId="19610"/>
    <cellStyle name="Normal 2 9 15 2 6" xfId="19611"/>
    <cellStyle name="Normal 2 9 15 2 7" xfId="19612"/>
    <cellStyle name="Normal 2 9 15 3" xfId="19613"/>
    <cellStyle name="Normal 2 9 15 4" xfId="19614"/>
    <cellStyle name="Normal 2 9 15 5" xfId="19615"/>
    <cellStyle name="Normal 2 9 15 6" xfId="19616"/>
    <cellStyle name="Normal 2 9 15 7" xfId="19617"/>
    <cellStyle name="Normal 2 9 15 8" xfId="19618"/>
    <cellStyle name="Normal 2 9 16" xfId="19619"/>
    <cellStyle name="Normal 2 9 16 2" xfId="19620"/>
    <cellStyle name="Normal 2 9 16 3" xfId="19621"/>
    <cellStyle name="Normal 2 9 16 4" xfId="19622"/>
    <cellStyle name="Normal 2 9 16 5" xfId="19623"/>
    <cellStyle name="Normal 2 9 16 6" xfId="19624"/>
    <cellStyle name="Normal 2 9 16 7" xfId="19625"/>
    <cellStyle name="Normal 2 9 17" xfId="19626"/>
    <cellStyle name="Normal 2 9 17 2" xfId="19627"/>
    <cellStyle name="Normal 2 9 17 3" xfId="19628"/>
    <cellStyle name="Normal 2 9 17 4" xfId="19629"/>
    <cellStyle name="Normal 2 9 17 5" xfId="19630"/>
    <cellStyle name="Normal 2 9 17 6" xfId="19631"/>
    <cellStyle name="Normal 2 9 17 7" xfId="19632"/>
    <cellStyle name="Normal 2 9 18" xfId="19633"/>
    <cellStyle name="Normal 2 9 18 2" xfId="19634"/>
    <cellStyle name="Normal 2 9 18 3" xfId="19635"/>
    <cellStyle name="Normal 2 9 18 4" xfId="19636"/>
    <cellStyle name="Normal 2 9 18 5" xfId="19637"/>
    <cellStyle name="Normal 2 9 18 6" xfId="19638"/>
    <cellStyle name="Normal 2 9 18 7" xfId="19639"/>
    <cellStyle name="Normal 2 9 19" xfId="19640"/>
    <cellStyle name="Normal 2 9 19 2" xfId="19641"/>
    <cellStyle name="Normal 2 9 19 3" xfId="19642"/>
    <cellStyle name="Normal 2 9 19 4" xfId="19643"/>
    <cellStyle name="Normal 2 9 19 5" xfId="19644"/>
    <cellStyle name="Normal 2 9 19 6" xfId="19645"/>
    <cellStyle name="Normal 2 9 19 7" xfId="19646"/>
    <cellStyle name="Normal 2 9 2" xfId="19647"/>
    <cellStyle name="Normal 2 9 2 2" xfId="19648"/>
    <cellStyle name="Normal 2 9 2 2 2" xfId="19649"/>
    <cellStyle name="Normal 2 9 2 2 3" xfId="19650"/>
    <cellStyle name="Normal 2 9 2 2 4" xfId="19651"/>
    <cellStyle name="Normal 2 9 2 2 5" xfId="19652"/>
    <cellStyle name="Normal 2 9 2 2 6" xfId="19653"/>
    <cellStyle name="Normal 2 9 2 2 7" xfId="19654"/>
    <cellStyle name="Normal 2 9 2 3" xfId="19655"/>
    <cellStyle name="Normal 2 9 2 4" xfId="19656"/>
    <cellStyle name="Normal 2 9 2 5" xfId="19657"/>
    <cellStyle name="Normal 2 9 2 6" xfId="19658"/>
    <cellStyle name="Normal 2 9 2 7" xfId="19659"/>
    <cellStyle name="Normal 2 9 2 8" xfId="19660"/>
    <cellStyle name="Normal 2 9 20" xfId="19661"/>
    <cellStyle name="Normal 2 9 20 2" xfId="19662"/>
    <cellStyle name="Normal 2 9 20 3" xfId="19663"/>
    <cellStyle name="Normal 2 9 20 4" xfId="19664"/>
    <cellStyle name="Normal 2 9 20 5" xfId="19665"/>
    <cellStyle name="Normal 2 9 20 6" xfId="19666"/>
    <cellStyle name="Normal 2 9 20 7" xfId="19667"/>
    <cellStyle name="Normal 2 9 21" xfId="19668"/>
    <cellStyle name="Normal 2 9 21 2" xfId="19669"/>
    <cellStyle name="Normal 2 9 21 3" xfId="19670"/>
    <cellStyle name="Normal 2 9 21 4" xfId="19671"/>
    <cellStyle name="Normal 2 9 21 5" xfId="19672"/>
    <cellStyle name="Normal 2 9 21 6" xfId="19673"/>
    <cellStyle name="Normal 2 9 21 7" xfId="19674"/>
    <cellStyle name="Normal 2 9 22" xfId="19675"/>
    <cellStyle name="Normal 2 9 22 2" xfId="19676"/>
    <cellStyle name="Normal 2 9 22 3" xfId="19677"/>
    <cellStyle name="Normal 2 9 22 4" xfId="19678"/>
    <cellStyle name="Normal 2 9 22 5" xfId="19679"/>
    <cellStyle name="Normal 2 9 22 6" xfId="19680"/>
    <cellStyle name="Normal 2 9 22 7" xfId="19681"/>
    <cellStyle name="Normal 2 9 23" xfId="19682"/>
    <cellStyle name="Normal 2 9 23 2" xfId="19683"/>
    <cellStyle name="Normal 2 9 23 3" xfId="19684"/>
    <cellStyle name="Normal 2 9 23 4" xfId="19685"/>
    <cellStyle name="Normal 2 9 23 5" xfId="19686"/>
    <cellStyle name="Normal 2 9 23 6" xfId="19687"/>
    <cellStyle name="Normal 2 9 23 7" xfId="19688"/>
    <cellStyle name="Normal 2 9 24" xfId="19689"/>
    <cellStyle name="Normal 2 9 24 2" xfId="19690"/>
    <cellStyle name="Normal 2 9 24 3" xfId="19691"/>
    <cellStyle name="Normal 2 9 24 4" xfId="19692"/>
    <cellStyle name="Normal 2 9 24 5" xfId="19693"/>
    <cellStyle name="Normal 2 9 24 6" xfId="19694"/>
    <cellStyle name="Normal 2 9 24 7" xfId="19695"/>
    <cellStyle name="Normal 2 9 25" xfId="19696"/>
    <cellStyle name="Normal 2 9 25 2" xfId="19697"/>
    <cellStyle name="Normal 2 9 25 3" xfId="19698"/>
    <cellStyle name="Normal 2 9 25 4" xfId="19699"/>
    <cellStyle name="Normal 2 9 25 5" xfId="19700"/>
    <cellStyle name="Normal 2 9 25 6" xfId="19701"/>
    <cellStyle name="Normal 2 9 25 7" xfId="19702"/>
    <cellStyle name="Normal 2 9 26" xfId="19703"/>
    <cellStyle name="Normal 2 9 26 2" xfId="19704"/>
    <cellStyle name="Normal 2 9 26 3" xfId="19705"/>
    <cellStyle name="Normal 2 9 26 4" xfId="19706"/>
    <cellStyle name="Normal 2 9 26 5" xfId="19707"/>
    <cellStyle name="Normal 2 9 26 6" xfId="19708"/>
    <cellStyle name="Normal 2 9 26 7" xfId="19709"/>
    <cellStyle name="Normal 2 9 27" xfId="19710"/>
    <cellStyle name="Normal 2 9 27 2" xfId="19711"/>
    <cellStyle name="Normal 2 9 27 3" xfId="19712"/>
    <cellStyle name="Normal 2 9 27 4" xfId="19713"/>
    <cellStyle name="Normal 2 9 27 5" xfId="19714"/>
    <cellStyle name="Normal 2 9 27 6" xfId="19715"/>
    <cellStyle name="Normal 2 9 27 7" xfId="19716"/>
    <cellStyle name="Normal 2 9 28" xfId="19717"/>
    <cellStyle name="Normal 2 9 28 2" xfId="19718"/>
    <cellStyle name="Normal 2 9 28 3" xfId="19719"/>
    <cellStyle name="Normal 2 9 28 4" xfId="19720"/>
    <cellStyle name="Normal 2 9 28 5" xfId="19721"/>
    <cellStyle name="Normal 2 9 28 6" xfId="19722"/>
    <cellStyle name="Normal 2 9 28 7" xfId="19723"/>
    <cellStyle name="Normal 2 9 29" xfId="19724"/>
    <cellStyle name="Normal 2 9 29 2" xfId="19725"/>
    <cellStyle name="Normal 2 9 29 3" xfId="19726"/>
    <cellStyle name="Normal 2 9 29 4" xfId="19727"/>
    <cellStyle name="Normal 2 9 29 5" xfId="19728"/>
    <cellStyle name="Normal 2 9 29 6" xfId="19729"/>
    <cellStyle name="Normal 2 9 29 7" xfId="19730"/>
    <cellStyle name="Normal 2 9 3" xfId="19731"/>
    <cellStyle name="Normal 2 9 3 2" xfId="19732"/>
    <cellStyle name="Normal 2 9 3 2 2" xfId="19733"/>
    <cellStyle name="Normal 2 9 3 2 3" xfId="19734"/>
    <cellStyle name="Normal 2 9 3 2 4" xfId="19735"/>
    <cellStyle name="Normal 2 9 3 2 5" xfId="19736"/>
    <cellStyle name="Normal 2 9 3 2 6" xfId="19737"/>
    <cellStyle name="Normal 2 9 3 2 7" xfId="19738"/>
    <cellStyle name="Normal 2 9 3 3" xfId="19739"/>
    <cellStyle name="Normal 2 9 3 4" xfId="19740"/>
    <cellStyle name="Normal 2 9 3 5" xfId="19741"/>
    <cellStyle name="Normal 2 9 3 6" xfId="19742"/>
    <cellStyle name="Normal 2 9 3 7" xfId="19743"/>
    <cellStyle name="Normal 2 9 3 8" xfId="19744"/>
    <cellStyle name="Normal 2 9 30" xfId="19745"/>
    <cellStyle name="Normal 2 9 30 2" xfId="19746"/>
    <cellStyle name="Normal 2 9 30 3" xfId="19747"/>
    <cellStyle name="Normal 2 9 30 4" xfId="19748"/>
    <cellStyle name="Normal 2 9 30 5" xfId="19749"/>
    <cellStyle name="Normal 2 9 30 6" xfId="19750"/>
    <cellStyle name="Normal 2 9 30 7" xfId="19751"/>
    <cellStyle name="Normal 2 9 31" xfId="19752"/>
    <cellStyle name="Normal 2 9 31 2" xfId="19753"/>
    <cellStyle name="Normal 2 9 31 3" xfId="19754"/>
    <cellStyle name="Normal 2 9 31 4" xfId="19755"/>
    <cellStyle name="Normal 2 9 31 5" xfId="19756"/>
    <cellStyle name="Normal 2 9 31 6" xfId="19757"/>
    <cellStyle name="Normal 2 9 31 7" xfId="19758"/>
    <cellStyle name="Normal 2 9 32" xfId="19759"/>
    <cellStyle name="Normal 2 9 32 2" xfId="19760"/>
    <cellStyle name="Normal 2 9 32 3" xfId="19761"/>
    <cellStyle name="Normal 2 9 32 4" xfId="19762"/>
    <cellStyle name="Normal 2 9 32 5" xfId="19763"/>
    <cellStyle name="Normal 2 9 32 6" xfId="19764"/>
    <cellStyle name="Normal 2 9 32 7" xfId="19765"/>
    <cellStyle name="Normal 2 9 33" xfId="19766"/>
    <cellStyle name="Normal 2 9 33 2" xfId="19767"/>
    <cellStyle name="Normal 2 9 33 3" xfId="19768"/>
    <cellStyle name="Normal 2 9 33 4" xfId="19769"/>
    <cellStyle name="Normal 2 9 33 5" xfId="19770"/>
    <cellStyle name="Normal 2 9 33 6" xfId="19771"/>
    <cellStyle name="Normal 2 9 33 7" xfId="19772"/>
    <cellStyle name="Normal 2 9 34" xfId="19773"/>
    <cellStyle name="Normal 2 9 34 2" xfId="19774"/>
    <cellStyle name="Normal 2 9 34 3" xfId="19775"/>
    <cellStyle name="Normal 2 9 34 4" xfId="19776"/>
    <cellStyle name="Normal 2 9 34 5" xfId="19777"/>
    <cellStyle name="Normal 2 9 34 6" xfId="19778"/>
    <cellStyle name="Normal 2 9 34 7" xfId="19779"/>
    <cellStyle name="Normal 2 9 35" xfId="19780"/>
    <cellStyle name="Normal 2 9 35 2" xfId="19781"/>
    <cellStyle name="Normal 2 9 35 3" xfId="19782"/>
    <cellStyle name="Normal 2 9 35 4" xfId="19783"/>
    <cellStyle name="Normal 2 9 35 5" xfId="19784"/>
    <cellStyle name="Normal 2 9 35 6" xfId="19785"/>
    <cellStyle name="Normal 2 9 35 7" xfId="19786"/>
    <cellStyle name="Normal 2 9 36" xfId="19787"/>
    <cellStyle name="Normal 2 9 37" xfId="19788"/>
    <cellStyle name="Normal 2 9 38" xfId="19789"/>
    <cellStyle name="Normal 2 9 39" xfId="19790"/>
    <cellStyle name="Normal 2 9 4" xfId="19791"/>
    <cellStyle name="Normal 2 9 4 2" xfId="19792"/>
    <cellStyle name="Normal 2 9 4 2 2" xfId="19793"/>
    <cellStyle name="Normal 2 9 4 2 3" xfId="19794"/>
    <cellStyle name="Normal 2 9 4 2 4" xfId="19795"/>
    <cellStyle name="Normal 2 9 4 2 5" xfId="19796"/>
    <cellStyle name="Normal 2 9 4 2 6" xfId="19797"/>
    <cellStyle name="Normal 2 9 4 2 7" xfId="19798"/>
    <cellStyle name="Normal 2 9 4 3" xfId="19799"/>
    <cellStyle name="Normal 2 9 4 4" xfId="19800"/>
    <cellStyle name="Normal 2 9 4 5" xfId="19801"/>
    <cellStyle name="Normal 2 9 4 6" xfId="19802"/>
    <cellStyle name="Normal 2 9 4 7" xfId="19803"/>
    <cellStyle name="Normal 2 9 4 8" xfId="19804"/>
    <cellStyle name="Normal 2 9 40" xfId="19805"/>
    <cellStyle name="Normal 2 9 41" xfId="19806"/>
    <cellStyle name="Normal 2 9 42" xfId="19807"/>
    <cellStyle name="Normal 2 9 5" xfId="19808"/>
    <cellStyle name="Normal 2 9 5 2" xfId="19809"/>
    <cellStyle name="Normal 2 9 5 2 2" xfId="19810"/>
    <cellStyle name="Normal 2 9 5 2 3" xfId="19811"/>
    <cellStyle name="Normal 2 9 5 2 4" xfId="19812"/>
    <cellStyle name="Normal 2 9 5 2 5" xfId="19813"/>
    <cellStyle name="Normal 2 9 5 2 6" xfId="19814"/>
    <cellStyle name="Normal 2 9 5 2 7" xfId="19815"/>
    <cellStyle name="Normal 2 9 5 3" xfId="19816"/>
    <cellStyle name="Normal 2 9 5 4" xfId="19817"/>
    <cellStyle name="Normal 2 9 5 5" xfId="19818"/>
    <cellStyle name="Normal 2 9 5 6" xfId="19819"/>
    <cellStyle name="Normal 2 9 5 7" xfId="19820"/>
    <cellStyle name="Normal 2 9 5 8" xfId="19821"/>
    <cellStyle name="Normal 2 9 6" xfId="19822"/>
    <cellStyle name="Normal 2 9 6 2" xfId="19823"/>
    <cellStyle name="Normal 2 9 6 2 2" xfId="19824"/>
    <cellStyle name="Normal 2 9 6 2 3" xfId="19825"/>
    <cellStyle name="Normal 2 9 6 2 4" xfId="19826"/>
    <cellStyle name="Normal 2 9 6 2 5" xfId="19827"/>
    <cellStyle name="Normal 2 9 6 2 6" xfId="19828"/>
    <cellStyle name="Normal 2 9 6 2 7" xfId="19829"/>
    <cellStyle name="Normal 2 9 6 3" xfId="19830"/>
    <cellStyle name="Normal 2 9 6 4" xfId="19831"/>
    <cellStyle name="Normal 2 9 6 5" xfId="19832"/>
    <cellStyle name="Normal 2 9 6 6" xfId="19833"/>
    <cellStyle name="Normal 2 9 6 7" xfId="19834"/>
    <cellStyle name="Normal 2 9 6 8" xfId="19835"/>
    <cellStyle name="Normal 2 9 7" xfId="19836"/>
    <cellStyle name="Normal 2 9 7 2" xfId="19837"/>
    <cellStyle name="Normal 2 9 7 2 2" xfId="19838"/>
    <cellStyle name="Normal 2 9 7 2 3" xfId="19839"/>
    <cellStyle name="Normal 2 9 7 2 4" xfId="19840"/>
    <cellStyle name="Normal 2 9 7 2 5" xfId="19841"/>
    <cellStyle name="Normal 2 9 7 2 6" xfId="19842"/>
    <cellStyle name="Normal 2 9 7 2 7" xfId="19843"/>
    <cellStyle name="Normal 2 9 7 3" xfId="19844"/>
    <cellStyle name="Normal 2 9 7 4" xfId="19845"/>
    <cellStyle name="Normal 2 9 7 5" xfId="19846"/>
    <cellStyle name="Normal 2 9 7 6" xfId="19847"/>
    <cellStyle name="Normal 2 9 7 7" xfId="19848"/>
    <cellStyle name="Normal 2 9 7 8" xfId="19849"/>
    <cellStyle name="Normal 2 9 8" xfId="19850"/>
    <cellStyle name="Normal 2 9 8 2" xfId="19851"/>
    <cellStyle name="Normal 2 9 8 2 2" xfId="19852"/>
    <cellStyle name="Normal 2 9 8 2 3" xfId="19853"/>
    <cellStyle name="Normal 2 9 8 2 4" xfId="19854"/>
    <cellStyle name="Normal 2 9 8 2 5" xfId="19855"/>
    <cellStyle name="Normal 2 9 8 2 6" xfId="19856"/>
    <cellStyle name="Normal 2 9 8 2 7" xfId="19857"/>
    <cellStyle name="Normal 2 9 8 3" xfId="19858"/>
    <cellStyle name="Normal 2 9 8 4" xfId="19859"/>
    <cellStyle name="Normal 2 9 8 5" xfId="19860"/>
    <cellStyle name="Normal 2 9 8 6" xfId="19861"/>
    <cellStyle name="Normal 2 9 8 7" xfId="19862"/>
    <cellStyle name="Normal 2 9 8 8" xfId="19863"/>
    <cellStyle name="Normal 2 9 9" xfId="19864"/>
    <cellStyle name="Normal 2 9 9 2" xfId="19865"/>
    <cellStyle name="Normal 2 9 9 2 2" xfId="19866"/>
    <cellStyle name="Normal 2 9 9 2 3" xfId="19867"/>
    <cellStyle name="Normal 2 9 9 2 4" xfId="19868"/>
    <cellStyle name="Normal 2 9 9 2 5" xfId="19869"/>
    <cellStyle name="Normal 2 9 9 2 6" xfId="19870"/>
    <cellStyle name="Normal 2 9 9 2 7" xfId="19871"/>
    <cellStyle name="Normal 2 9 9 3" xfId="19872"/>
    <cellStyle name="Normal 2 9 9 4" xfId="19873"/>
    <cellStyle name="Normal 2 9 9 5" xfId="19874"/>
    <cellStyle name="Normal 2 9 9 6" xfId="19875"/>
    <cellStyle name="Normal 2 9 9 7" xfId="19876"/>
    <cellStyle name="Normal 2 9 9 8" xfId="19877"/>
    <cellStyle name="Normal 2_Abr. (1)" xfId="19878"/>
    <cellStyle name="Normal 20" xfId="6203"/>
    <cellStyle name="Normal 20 2" xfId="19879"/>
    <cellStyle name="Normal 20 2 2" xfId="33639"/>
    <cellStyle name="Normal 20 2 2 2" xfId="36541"/>
    <cellStyle name="Normal 20 2 3" xfId="36540"/>
    <cellStyle name="Normal 20 3" xfId="19880"/>
    <cellStyle name="Normal 20 3 2" xfId="36542"/>
    <cellStyle name="Normal 20 4" xfId="19881"/>
    <cellStyle name="Normal 200" xfId="19882"/>
    <cellStyle name="Normal 200 2" xfId="19883"/>
    <cellStyle name="Normal 200 3" xfId="19884"/>
    <cellStyle name="Normal 200 4" xfId="19885"/>
    <cellStyle name="Normal 200 5" xfId="19886"/>
    <cellStyle name="Normal 200 6" xfId="19887"/>
    <cellStyle name="Normal 200 7" xfId="19888"/>
    <cellStyle name="Normal 200 8" xfId="19889"/>
    <cellStyle name="Normal 200 9" xfId="19890"/>
    <cellStyle name="Normal 201" xfId="19891"/>
    <cellStyle name="Normal 201 2" xfId="19892"/>
    <cellStyle name="Normal 202" xfId="19893"/>
    <cellStyle name="Normal 202 2" xfId="19894"/>
    <cellStyle name="Normal 203" xfId="19895"/>
    <cellStyle name="Normal 203 2" xfId="19896"/>
    <cellStyle name="Normal 204" xfId="19897"/>
    <cellStyle name="Normal 204 2" xfId="19898"/>
    <cellStyle name="Normal 205" xfId="19899"/>
    <cellStyle name="Normal 205 2" xfId="19900"/>
    <cellStyle name="Normal 206" xfId="19901"/>
    <cellStyle name="Normal 206 2" xfId="19902"/>
    <cellStyle name="Normal 207" xfId="19903"/>
    <cellStyle name="Normal 207 2" xfId="19904"/>
    <cellStyle name="Normal 208" xfId="19905"/>
    <cellStyle name="Normal 209" xfId="19906"/>
    <cellStyle name="Normal 21" xfId="6204"/>
    <cellStyle name="Normal 21 2" xfId="19907"/>
    <cellStyle name="Normal 21 2 2" xfId="19908"/>
    <cellStyle name="Normal 21 2 2 2" xfId="36543"/>
    <cellStyle name="Normal 21 3" xfId="19909"/>
    <cellStyle name="Normal 21 3 2" xfId="36545"/>
    <cellStyle name="Normal 21 3 3" xfId="36544"/>
    <cellStyle name="Normal 21 4" xfId="19910"/>
    <cellStyle name="Normal 210" xfId="19911"/>
    <cellStyle name="Normal 210 2" xfId="19912"/>
    <cellStyle name="Normal 211" xfId="19913"/>
    <cellStyle name="Normal 211 2" xfId="19914"/>
    <cellStyle name="Normal 212" xfId="19915"/>
    <cellStyle name="Normal 212 2" xfId="19916"/>
    <cellStyle name="Normal 213" xfId="19917"/>
    <cellStyle name="Normal 213 2" xfId="19918"/>
    <cellStyle name="Normal 214" xfId="19919"/>
    <cellStyle name="Normal 214 2" xfId="19920"/>
    <cellStyle name="Normal 215" xfId="19921"/>
    <cellStyle name="Normal 215 2" xfId="19922"/>
    <cellStyle name="Normal 216" xfId="19923"/>
    <cellStyle name="Normal 216 2" xfId="19924"/>
    <cellStyle name="Normal 217" xfId="19925"/>
    <cellStyle name="Normal 217 2" xfId="19926"/>
    <cellStyle name="Normal 218" xfId="19927"/>
    <cellStyle name="Normal 218 2" xfId="19928"/>
    <cellStyle name="Normal 219" xfId="19929"/>
    <cellStyle name="Normal 219 2" xfId="19930"/>
    <cellStyle name="Normal 22" xfId="6205"/>
    <cellStyle name="Normal 22 2" xfId="19931"/>
    <cellStyle name="Normal 22 2 2" xfId="19932"/>
    <cellStyle name="Normal 22 2 2 2" xfId="36546"/>
    <cellStyle name="Normal 22 3" xfId="19933"/>
    <cellStyle name="Normal 22 3 2" xfId="36548"/>
    <cellStyle name="Normal 22 3 3" xfId="36547"/>
    <cellStyle name="Normal 22 4" xfId="19934"/>
    <cellStyle name="Normal 220" xfId="19935"/>
    <cellStyle name="Normal 220 2" xfId="19936"/>
    <cellStyle name="Normal 221" xfId="19937"/>
    <cellStyle name="Normal 221 2" xfId="19938"/>
    <cellStyle name="Normal 222" xfId="19939"/>
    <cellStyle name="Normal 222 2" xfId="19940"/>
    <cellStyle name="Normal 223" xfId="19941"/>
    <cellStyle name="Normal 223 2" xfId="19942"/>
    <cellStyle name="Normal 224" xfId="19943"/>
    <cellStyle name="Normal 225" xfId="19944"/>
    <cellStyle name="Normal 226" xfId="19945"/>
    <cellStyle name="Normal 226 2" xfId="19946"/>
    <cellStyle name="Normal 227" xfId="19947"/>
    <cellStyle name="Normal 227 2" xfId="19948"/>
    <cellStyle name="Normal 227 3" xfId="19949"/>
    <cellStyle name="Normal 227 4" xfId="19950"/>
    <cellStyle name="Normal 227 5" xfId="19951"/>
    <cellStyle name="Normal 227 6" xfId="19952"/>
    <cellStyle name="Normal 227 7" xfId="19953"/>
    <cellStyle name="Normal 227 8" xfId="19954"/>
    <cellStyle name="Normal 227 9" xfId="19955"/>
    <cellStyle name="Normal 228" xfId="19956"/>
    <cellStyle name="Normal 229" xfId="19957"/>
    <cellStyle name="Normal 23" xfId="6206"/>
    <cellStyle name="Normal 23 2" xfId="19958"/>
    <cellStyle name="Normal 23 2 2" xfId="19959"/>
    <cellStyle name="Normal 23 2 2 2" xfId="33640"/>
    <cellStyle name="Normal 23 2 2 3" xfId="36549"/>
    <cellStyle name="Normal 23 2 3" xfId="19960"/>
    <cellStyle name="Normal 23 3" xfId="19961"/>
    <cellStyle name="Normal 23 3 2" xfId="33641"/>
    <cellStyle name="Normal 23 3 2 2" xfId="36551"/>
    <cellStyle name="Normal 23 3 3" xfId="36550"/>
    <cellStyle name="Normal 23 4" xfId="19962"/>
    <cellStyle name="Normal 23 4 2" xfId="36552"/>
    <cellStyle name="Normal 23 5" xfId="19963"/>
    <cellStyle name="Normal 230" xfId="19964"/>
    <cellStyle name="Normal 231" xfId="19965"/>
    <cellStyle name="Normal 232" xfId="19966"/>
    <cellStyle name="Normal 233" xfId="19967"/>
    <cellStyle name="Normal 234" xfId="19968"/>
    <cellStyle name="Normal 234 2" xfId="19969"/>
    <cellStyle name="Normal 234 3" xfId="19970"/>
    <cellStyle name="Normal 234 4" xfId="19971"/>
    <cellStyle name="Normal 234 5" xfId="19972"/>
    <cellStyle name="Normal 234 6" xfId="19973"/>
    <cellStyle name="Normal 234 7" xfId="19974"/>
    <cellStyle name="Normal 234 8" xfId="19975"/>
    <cellStyle name="Normal 234 9" xfId="19976"/>
    <cellStyle name="Normal 235" xfId="19977"/>
    <cellStyle name="Normal 236" xfId="19978"/>
    <cellStyle name="Normal 237" xfId="19979"/>
    <cellStyle name="Normal 238" xfId="19980"/>
    <cellStyle name="Normal 239" xfId="19981"/>
    <cellStyle name="Normal 24" xfId="6207"/>
    <cellStyle name="Normal 24 2" xfId="19982"/>
    <cellStyle name="Normal 24 2 2" xfId="19983"/>
    <cellStyle name="Normal 24 3" xfId="19984"/>
    <cellStyle name="Normal 24 3 2" xfId="33642"/>
    <cellStyle name="Normal 24 3 3" xfId="36553"/>
    <cellStyle name="Normal 24 4" xfId="19985"/>
    <cellStyle name="Normal 24 5" xfId="19986"/>
    <cellStyle name="Normal 240" xfId="19987"/>
    <cellStyle name="Normal 241" xfId="19988"/>
    <cellStyle name="Normal 242" xfId="19989"/>
    <cellStyle name="Normal 242 2" xfId="19990"/>
    <cellStyle name="Normal 242 3" xfId="19991"/>
    <cellStyle name="Normal 242 4" xfId="19992"/>
    <cellStyle name="Normal 242 5" xfId="19993"/>
    <cellStyle name="Normal 242 6" xfId="19994"/>
    <cellStyle name="Normal 242 7" xfId="19995"/>
    <cellStyle name="Normal 242 8" xfId="19996"/>
    <cellStyle name="Normal 242 9" xfId="19997"/>
    <cellStyle name="Normal 243" xfId="19998"/>
    <cellStyle name="Normal 243 2" xfId="19999"/>
    <cellStyle name="Normal 243 3" xfId="20000"/>
    <cellStyle name="Normal 243 4" xfId="20001"/>
    <cellStyle name="Normal 243 5" xfId="20002"/>
    <cellStyle name="Normal 243 6" xfId="20003"/>
    <cellStyle name="Normal 243 7" xfId="20004"/>
    <cellStyle name="Normal 243 8" xfId="20005"/>
    <cellStyle name="Normal 243 9" xfId="20006"/>
    <cellStyle name="Normal 244" xfId="20007"/>
    <cellStyle name="Normal 245" xfId="20008"/>
    <cellStyle name="Normal 246" xfId="20009"/>
    <cellStyle name="Normal 246 2" xfId="20010"/>
    <cellStyle name="Normal 246 3" xfId="20011"/>
    <cellStyle name="Normal 246 4" xfId="20012"/>
    <cellStyle name="Normal 246 5" xfId="20013"/>
    <cellStyle name="Normal 246 6" xfId="20014"/>
    <cellStyle name="Normal 246 7" xfId="20015"/>
    <cellStyle name="Normal 246 8" xfId="20016"/>
    <cellStyle name="Normal 246 9" xfId="20017"/>
    <cellStyle name="Normal 247" xfId="20018"/>
    <cellStyle name="Normal 247 2" xfId="20019"/>
    <cellStyle name="Normal 247 3" xfId="20020"/>
    <cellStyle name="Normal 247 4" xfId="20021"/>
    <cellStyle name="Normal 247 5" xfId="20022"/>
    <cellStyle name="Normal 247 6" xfId="20023"/>
    <cellStyle name="Normal 247 7" xfId="20024"/>
    <cellStyle name="Normal 247 8" xfId="20025"/>
    <cellStyle name="Normal 247 9" xfId="20026"/>
    <cellStyle name="Normal 248" xfId="20027"/>
    <cellStyle name="Normal 249" xfId="20028"/>
    <cellStyle name="Normal 25" xfId="6208"/>
    <cellStyle name="Normal 25 2" xfId="20029"/>
    <cellStyle name="Normal 25 2 2" xfId="33643"/>
    <cellStyle name="Normal 25 3" xfId="20030"/>
    <cellStyle name="Normal 25 3 2" xfId="36554"/>
    <cellStyle name="Normal 25 4" xfId="20031"/>
    <cellStyle name="Normal 25 5" xfId="20032"/>
    <cellStyle name="Normal 250" xfId="20033"/>
    <cellStyle name="Normal 251" xfId="20034"/>
    <cellStyle name="Normal 251 10" xfId="20035"/>
    <cellStyle name="Normal 251 2" xfId="20036"/>
    <cellStyle name="Normal 251 2 2" xfId="20037"/>
    <cellStyle name="Normal 251 3" xfId="20038"/>
    <cellStyle name="Normal 251 4" xfId="20039"/>
    <cellStyle name="Normal 251 5" xfId="20040"/>
    <cellStyle name="Normal 251 6" xfId="20041"/>
    <cellStyle name="Normal 251 7" xfId="20042"/>
    <cellStyle name="Normal 251 8" xfId="20043"/>
    <cellStyle name="Normal 251 9" xfId="20044"/>
    <cellStyle name="Normal 252" xfId="20045"/>
    <cellStyle name="Normal 252 2" xfId="20046"/>
    <cellStyle name="Normal 253" xfId="20047"/>
    <cellStyle name="Normal 253 2" xfId="20048"/>
    <cellStyle name="Normal 254" xfId="20049"/>
    <cellStyle name="Normal 254 2" xfId="20050"/>
    <cellStyle name="Normal 255" xfId="20051"/>
    <cellStyle name="Normal 255 2" xfId="20052"/>
    <cellStyle name="Normal 256" xfId="20053"/>
    <cellStyle name="Normal 256 2" xfId="20054"/>
    <cellStyle name="Normal 256 3" xfId="20055"/>
    <cellStyle name="Normal 256 4" xfId="20056"/>
    <cellStyle name="Normal 256 5" xfId="20057"/>
    <cellStyle name="Normal 256 6" xfId="20058"/>
    <cellStyle name="Normal 256 7" xfId="20059"/>
    <cellStyle name="Normal 256 8" xfId="20060"/>
    <cellStyle name="Normal 256 9" xfId="20061"/>
    <cellStyle name="Normal 257" xfId="20062"/>
    <cellStyle name="Normal 257 2" xfId="20063"/>
    <cellStyle name="Normal 257 3" xfId="20064"/>
    <cellStyle name="Normal 257 4" xfId="20065"/>
    <cellStyle name="Normal 257 5" xfId="20066"/>
    <cellStyle name="Normal 257 6" xfId="20067"/>
    <cellStyle name="Normal 257 7" xfId="20068"/>
    <cellStyle name="Normal 257 8" xfId="20069"/>
    <cellStyle name="Normal 257 9" xfId="20070"/>
    <cellStyle name="Normal 258" xfId="20071"/>
    <cellStyle name="Normal 258 2" xfId="20072"/>
    <cellStyle name="Normal 258 3" xfId="20073"/>
    <cellStyle name="Normal 258 4" xfId="20074"/>
    <cellStyle name="Normal 258 5" xfId="20075"/>
    <cellStyle name="Normal 258 6" xfId="20076"/>
    <cellStyle name="Normal 258 7" xfId="20077"/>
    <cellStyle name="Normal 258 8" xfId="20078"/>
    <cellStyle name="Normal 258 9" xfId="20079"/>
    <cellStyle name="Normal 259" xfId="20080"/>
    <cellStyle name="Normal 259 2" xfId="20081"/>
    <cellStyle name="Normal 259 3" xfId="20082"/>
    <cellStyle name="Normal 259 4" xfId="20083"/>
    <cellStyle name="Normal 259 5" xfId="20084"/>
    <cellStyle name="Normal 259 6" xfId="20085"/>
    <cellStyle name="Normal 259 7" xfId="20086"/>
    <cellStyle name="Normal 259 8" xfId="20087"/>
    <cellStyle name="Normal 259 9" xfId="20088"/>
    <cellStyle name="Normal 26" xfId="6209"/>
    <cellStyle name="Normal 26 2" xfId="20089"/>
    <cellStyle name="Normal 26 2 2" xfId="33644"/>
    <cellStyle name="Normal 26 2 3" xfId="36555"/>
    <cellStyle name="Normal 26 3" xfId="20090"/>
    <cellStyle name="Normal 26 4" xfId="20091"/>
    <cellStyle name="Normal 260" xfId="20092"/>
    <cellStyle name="Normal 260 2" xfId="20093"/>
    <cellStyle name="Normal 260 3" xfId="20094"/>
    <cellStyle name="Normal 260 4" xfId="20095"/>
    <cellStyle name="Normal 260 5" xfId="20096"/>
    <cellStyle name="Normal 260 6" xfId="20097"/>
    <cellStyle name="Normal 260 7" xfId="20098"/>
    <cellStyle name="Normal 260 8" xfId="20099"/>
    <cellStyle name="Normal 260 9" xfId="20100"/>
    <cellStyle name="Normal 261" xfId="20101"/>
    <cellStyle name="Normal 261 2" xfId="20102"/>
    <cellStyle name="Normal 261 3" xfId="20103"/>
    <cellStyle name="Normal 261 4" xfId="20104"/>
    <cellStyle name="Normal 261 5" xfId="20105"/>
    <cellStyle name="Normal 261 6" xfId="20106"/>
    <cellStyle name="Normal 261 7" xfId="20107"/>
    <cellStyle name="Normal 261 8" xfId="20108"/>
    <cellStyle name="Normal 261 9" xfId="20109"/>
    <cellStyle name="Normal 262" xfId="20110"/>
    <cellStyle name="Normal 262 2" xfId="20111"/>
    <cellStyle name="Normal 262 3" xfId="20112"/>
    <cellStyle name="Normal 262 4" xfId="20113"/>
    <cellStyle name="Normal 262 5" xfId="20114"/>
    <cellStyle name="Normal 262 6" xfId="20115"/>
    <cellStyle name="Normal 262 7" xfId="20116"/>
    <cellStyle name="Normal 262 8" xfId="20117"/>
    <cellStyle name="Normal 262 9" xfId="20118"/>
    <cellStyle name="Normal 263" xfId="20119"/>
    <cellStyle name="Normal 263 10" xfId="20120"/>
    <cellStyle name="Normal 263 2" xfId="20121"/>
    <cellStyle name="Normal 263 3" xfId="20122"/>
    <cellStyle name="Normal 263 4" xfId="20123"/>
    <cellStyle name="Normal 263 5" xfId="20124"/>
    <cellStyle name="Normal 263 6" xfId="20125"/>
    <cellStyle name="Normal 263 7" xfId="20126"/>
    <cellStyle name="Normal 263 8" xfId="20127"/>
    <cellStyle name="Normal 263 9" xfId="20128"/>
    <cellStyle name="Normal 264" xfId="20129"/>
    <cellStyle name="Normal 265" xfId="20130"/>
    <cellStyle name="Normal 266" xfId="20131"/>
    <cellStyle name="Normal 267" xfId="20132"/>
    <cellStyle name="Normal 268" xfId="20133"/>
    <cellStyle name="Normal 268 2" xfId="20134"/>
    <cellStyle name="Normal 268 3" xfId="20135"/>
    <cellStyle name="Normal 268 4" xfId="20136"/>
    <cellStyle name="Normal 268 5" xfId="20137"/>
    <cellStyle name="Normal 268 6" xfId="20138"/>
    <cellStyle name="Normal 268 7" xfId="20139"/>
    <cellStyle name="Normal 268 8" xfId="20140"/>
    <cellStyle name="Normal 268 9" xfId="20141"/>
    <cellStyle name="Normal 269" xfId="20142"/>
    <cellStyle name="Normal 269 2" xfId="20143"/>
    <cellStyle name="Normal 269 3" xfId="20144"/>
    <cellStyle name="Normal 269 4" xfId="20145"/>
    <cellStyle name="Normal 269 5" xfId="20146"/>
    <cellStyle name="Normal 269 6" xfId="20147"/>
    <cellStyle name="Normal 269 7" xfId="20148"/>
    <cellStyle name="Normal 269 8" xfId="20149"/>
    <cellStyle name="Normal 27" xfId="6210"/>
    <cellStyle name="Normal 27 2" xfId="20150"/>
    <cellStyle name="Normal 27 2 2" xfId="33645"/>
    <cellStyle name="Normal 27 2 2 2" xfId="36556"/>
    <cellStyle name="Normal 27 3" xfId="20151"/>
    <cellStyle name="Normal 27 3 2" xfId="36558"/>
    <cellStyle name="Normal 27 3 3" xfId="36557"/>
    <cellStyle name="Normal 27 4" xfId="20152"/>
    <cellStyle name="Normal 270" xfId="20153"/>
    <cellStyle name="Normal 270 2" xfId="20154"/>
    <cellStyle name="Normal 270 3" xfId="20155"/>
    <cellStyle name="Normal 270 4" xfId="20156"/>
    <cellStyle name="Normal 270 5" xfId="20157"/>
    <cellStyle name="Normal 270 6" xfId="20158"/>
    <cellStyle name="Normal 270 7" xfId="20159"/>
    <cellStyle name="Normal 271" xfId="20160"/>
    <cellStyle name="Normal 271 2" xfId="20161"/>
    <cellStyle name="Normal 272" xfId="20162"/>
    <cellStyle name="Normal 272 2" xfId="20163"/>
    <cellStyle name="Normal 273" xfId="20164"/>
    <cellStyle name="Normal 273 2" xfId="20165"/>
    <cellStyle name="Normal 274" xfId="20166"/>
    <cellStyle name="Normal 274 2" xfId="20167"/>
    <cellStyle name="Normal 275" xfId="20168"/>
    <cellStyle name="Normal 276" xfId="20169"/>
    <cellStyle name="Normal 277" xfId="20170"/>
    <cellStyle name="Normal 278" xfId="20171"/>
    <cellStyle name="Normal 279" xfId="20172"/>
    <cellStyle name="Normal 28" xfId="6211"/>
    <cellStyle name="Normal 28 2" xfId="20173"/>
    <cellStyle name="Normal 28 2 2" xfId="33646"/>
    <cellStyle name="Normal 28 2 2 2" xfId="36559"/>
    <cellStyle name="Normal 28 3" xfId="20174"/>
    <cellStyle name="Normal 28 3 2" xfId="36561"/>
    <cellStyle name="Normal 28 3 3" xfId="36560"/>
    <cellStyle name="Normal 28 4" xfId="20175"/>
    <cellStyle name="Normal 280" xfId="20176"/>
    <cellStyle name="Normal 281" xfId="20177"/>
    <cellStyle name="Normal 282" xfId="20178"/>
    <cellStyle name="Normal 283" xfId="20179"/>
    <cellStyle name="Normal 284" xfId="20180"/>
    <cellStyle name="Normal 285" xfId="20181"/>
    <cellStyle name="Normal 286" xfId="20182"/>
    <cellStyle name="Normal 287" xfId="20183"/>
    <cellStyle name="Normal 288" xfId="20184"/>
    <cellStyle name="Normal 289" xfId="20185"/>
    <cellStyle name="Normal 29" xfId="6212"/>
    <cellStyle name="Normal 29 2" xfId="20186"/>
    <cellStyle name="Normal 29 2 2" xfId="36563"/>
    <cellStyle name="Normal 29 2 3" xfId="36562"/>
    <cellStyle name="Normal 29 3" xfId="20187"/>
    <cellStyle name="Normal 290" xfId="20188"/>
    <cellStyle name="Normal 291" xfId="20189"/>
    <cellStyle name="Normal 292" xfId="20190"/>
    <cellStyle name="Normal 293" xfId="20191"/>
    <cellStyle name="Normal 294" xfId="20192"/>
    <cellStyle name="Normal 295" xfId="20193"/>
    <cellStyle name="Normal 296" xfId="20194"/>
    <cellStyle name="Normal 297" xfId="20195"/>
    <cellStyle name="Normal 298" xfId="20196"/>
    <cellStyle name="Normal 299" xfId="20197"/>
    <cellStyle name="Normal 3" xfId="18"/>
    <cellStyle name="Normal 3 10" xfId="6214"/>
    <cellStyle name="Normal 3 10 10" xfId="6215"/>
    <cellStyle name="Normal 3 10 10 2" xfId="36565"/>
    <cellStyle name="Normal 3 10 11" xfId="6216"/>
    <cellStyle name="Normal 3 10 11 2" xfId="36566"/>
    <cellStyle name="Normal 3 10 12" xfId="6217"/>
    <cellStyle name="Normal 3 10 12 2" xfId="36567"/>
    <cellStyle name="Normal 3 10 13" xfId="6218"/>
    <cellStyle name="Normal 3 10 13 2" xfId="36568"/>
    <cellStyle name="Normal 3 10 14" xfId="20198"/>
    <cellStyle name="Normal 3 10 14 2" xfId="36569"/>
    <cellStyle name="Normal 3 10 2" xfId="6219"/>
    <cellStyle name="Normal 3 10 2 2" xfId="6220"/>
    <cellStyle name="Normal 3 10 2 2 2" xfId="6221"/>
    <cellStyle name="Normal 3 10 2 2 2 2" xfId="36570"/>
    <cellStyle name="Normal 3 10 2 2 3" xfId="6222"/>
    <cellStyle name="Normal 3 10 2 2 3 2" xfId="36571"/>
    <cellStyle name="Normal 3 10 2 2 4" xfId="6223"/>
    <cellStyle name="Normal 3 10 2 2 4 2" xfId="36572"/>
    <cellStyle name="Normal 3 10 2 2 5" xfId="36573"/>
    <cellStyle name="Normal 3 10 2 2_01-04-2012" xfId="6224"/>
    <cellStyle name="Normal 3 10 2 3" xfId="6225"/>
    <cellStyle name="Normal 3 10 2 3 2" xfId="6226"/>
    <cellStyle name="Normal 3 10 2 3 2 2" xfId="36574"/>
    <cellStyle name="Normal 3 10 2 3 3" xfId="6227"/>
    <cellStyle name="Normal 3 10 2 3 3 2" xfId="36575"/>
    <cellStyle name="Normal 3 10 2 3 4" xfId="6228"/>
    <cellStyle name="Normal 3 10 2 3 4 2" xfId="36576"/>
    <cellStyle name="Normal 3 10 2 3 5" xfId="36577"/>
    <cellStyle name="Normal 3 10 2 3_01-04-2012" xfId="6229"/>
    <cellStyle name="Normal 3 10 2 4" xfId="6230"/>
    <cellStyle name="Normal 3 10 2 4 2" xfId="6231"/>
    <cellStyle name="Normal 3 10 2 4 2 2" xfId="36578"/>
    <cellStyle name="Normal 3 10 2 4 3" xfId="6232"/>
    <cellStyle name="Normal 3 10 2 4 3 2" xfId="36579"/>
    <cellStyle name="Normal 3 10 2 4 4" xfId="6233"/>
    <cellStyle name="Normal 3 10 2 4 4 2" xfId="36580"/>
    <cellStyle name="Normal 3 10 2 4 5" xfId="36581"/>
    <cellStyle name="Normal 3 10 2 4_01-04-2012" xfId="6234"/>
    <cellStyle name="Normal 3 10 2 5" xfId="6235"/>
    <cellStyle name="Normal 3 10 2 5 2" xfId="36582"/>
    <cellStyle name="Normal 3 10 2 6" xfId="6236"/>
    <cellStyle name="Normal 3 10 2 6 2" xfId="36583"/>
    <cellStyle name="Normal 3 10 2 7" xfId="6237"/>
    <cellStyle name="Normal 3 10 2 7 2" xfId="36584"/>
    <cellStyle name="Normal 3 10 2 8" xfId="36585"/>
    <cellStyle name="Normal 3 10 2_01-04-2012" xfId="6238"/>
    <cellStyle name="Normal 3 10 3" xfId="6239"/>
    <cellStyle name="Normal 3 10 3 2" xfId="6240"/>
    <cellStyle name="Normal 3 10 3 2 2" xfId="6241"/>
    <cellStyle name="Normal 3 10 3 2 2 2" xfId="36586"/>
    <cellStyle name="Normal 3 10 3 2 3" xfId="6242"/>
    <cellStyle name="Normal 3 10 3 2 3 2" xfId="36587"/>
    <cellStyle name="Normal 3 10 3 2 4" xfId="6243"/>
    <cellStyle name="Normal 3 10 3 2 4 2" xfId="36588"/>
    <cellStyle name="Normal 3 10 3 2 5" xfId="36589"/>
    <cellStyle name="Normal 3 10 3 2_01-04-2012" xfId="6244"/>
    <cellStyle name="Normal 3 10 3 3" xfId="6245"/>
    <cellStyle name="Normal 3 10 3 3 2" xfId="6246"/>
    <cellStyle name="Normal 3 10 3 3 2 2" xfId="36591"/>
    <cellStyle name="Normal 3 10 3 3 3" xfId="6247"/>
    <cellStyle name="Normal 3 10 3 3 3 2" xfId="36592"/>
    <cellStyle name="Normal 3 10 3 3 4" xfId="6248"/>
    <cellStyle name="Normal 3 10 3 3 4 2" xfId="36593"/>
    <cellStyle name="Normal 3 10 3 3 5" xfId="36594"/>
    <cellStyle name="Normal 3 10 3 3_01-04-2012" xfId="6249"/>
    <cellStyle name="Normal 3 10 3 4" xfId="6250"/>
    <cellStyle name="Normal 3 10 3 4 2" xfId="6251"/>
    <cellStyle name="Normal 3 10 3 4 2 2" xfId="36595"/>
    <cellStyle name="Normal 3 10 3 4 3" xfId="6252"/>
    <cellStyle name="Normal 3 10 3 4 3 2" xfId="36596"/>
    <cellStyle name="Normal 3 10 3 4 4" xfId="6253"/>
    <cellStyle name="Normal 3 10 3 4 4 2" xfId="36597"/>
    <cellStyle name="Normal 3 10 3 4 5" xfId="36598"/>
    <cellStyle name="Normal 3 10 3 4_01-04-2012" xfId="6254"/>
    <cellStyle name="Normal 3 10 3 5" xfId="6255"/>
    <cellStyle name="Normal 3 10 3 5 2" xfId="36599"/>
    <cellStyle name="Normal 3 10 3 6" xfId="6256"/>
    <cellStyle name="Normal 3 10 3 6 2" xfId="36600"/>
    <cellStyle name="Normal 3 10 3 7" xfId="6257"/>
    <cellStyle name="Normal 3 10 3 7 2" xfId="36601"/>
    <cellStyle name="Normal 3 10 3 8" xfId="36602"/>
    <cellStyle name="Normal 3 10 3_01-04-2012" xfId="6258"/>
    <cellStyle name="Normal 3 10 4" xfId="6259"/>
    <cellStyle name="Normal 3 10 4 2" xfId="6260"/>
    <cellStyle name="Normal 3 10 4 2 2" xfId="6261"/>
    <cellStyle name="Normal 3 10 4 2 2 2" xfId="36603"/>
    <cellStyle name="Normal 3 10 4 2 3" xfId="6262"/>
    <cellStyle name="Normal 3 10 4 2 3 2" xfId="36604"/>
    <cellStyle name="Normal 3 10 4 2 4" xfId="6263"/>
    <cellStyle name="Normal 3 10 4 2 4 2" xfId="36605"/>
    <cellStyle name="Normal 3 10 4 2 5" xfId="36606"/>
    <cellStyle name="Normal 3 10 4 2_01-04-2012" xfId="6264"/>
    <cellStyle name="Normal 3 10 4 3" xfId="6265"/>
    <cellStyle name="Normal 3 10 4 3 2" xfId="6266"/>
    <cellStyle name="Normal 3 10 4 3 2 2" xfId="36607"/>
    <cellStyle name="Normal 3 10 4 3 3" xfId="6267"/>
    <cellStyle name="Normal 3 10 4 3 3 2" xfId="36608"/>
    <cellStyle name="Normal 3 10 4 3 4" xfId="6268"/>
    <cellStyle name="Normal 3 10 4 3 4 2" xfId="36609"/>
    <cellStyle name="Normal 3 10 4 3 5" xfId="36610"/>
    <cellStyle name="Normal 3 10 4 3_01-04-2012" xfId="6269"/>
    <cellStyle name="Normal 3 10 4 4" xfId="6270"/>
    <cellStyle name="Normal 3 10 4 4 2" xfId="6271"/>
    <cellStyle name="Normal 3 10 4 4 2 2" xfId="36611"/>
    <cellStyle name="Normal 3 10 4 4 3" xfId="6272"/>
    <cellStyle name="Normal 3 10 4 4 3 2" xfId="36612"/>
    <cellStyle name="Normal 3 10 4 4 4" xfId="6273"/>
    <cellStyle name="Normal 3 10 4 4 4 2" xfId="36613"/>
    <cellStyle name="Normal 3 10 4 4 5" xfId="36614"/>
    <cellStyle name="Normal 3 10 4 4_01-04-2012" xfId="6274"/>
    <cellStyle name="Normal 3 10 4 5" xfId="6275"/>
    <cellStyle name="Normal 3 10 4 5 2" xfId="36615"/>
    <cellStyle name="Normal 3 10 4 6" xfId="6276"/>
    <cellStyle name="Normal 3 10 4 6 2" xfId="36616"/>
    <cellStyle name="Normal 3 10 4 7" xfId="6277"/>
    <cellStyle name="Normal 3 10 4 7 2" xfId="36617"/>
    <cellStyle name="Normal 3 10 4 8" xfId="36618"/>
    <cellStyle name="Normal 3 10 4_01-04-2012" xfId="6278"/>
    <cellStyle name="Normal 3 10 5" xfId="6279"/>
    <cellStyle name="Normal 3 10 5 2" xfId="6280"/>
    <cellStyle name="Normal 3 10 5 2 2" xfId="36619"/>
    <cellStyle name="Normal 3 10 5 3" xfId="6281"/>
    <cellStyle name="Normal 3 10 5 3 2" xfId="36620"/>
    <cellStyle name="Normal 3 10 5 4" xfId="6282"/>
    <cellStyle name="Normal 3 10 5 4 2" xfId="36621"/>
    <cellStyle name="Normal 3 10 5 5" xfId="36622"/>
    <cellStyle name="Normal 3 10 5_01-04-2012" xfId="6283"/>
    <cellStyle name="Normal 3 10 6" xfId="6284"/>
    <cellStyle name="Normal 3 10 6 2" xfId="6285"/>
    <cellStyle name="Normal 3 10 6 2 2" xfId="36623"/>
    <cellStyle name="Normal 3 10 6 3" xfId="6286"/>
    <cellStyle name="Normal 3 10 6 3 2" xfId="36624"/>
    <cellStyle name="Normal 3 10 6 4" xfId="6287"/>
    <cellStyle name="Normal 3 10 6 4 2" xfId="36625"/>
    <cellStyle name="Normal 3 10 6 5" xfId="36626"/>
    <cellStyle name="Normal 3 10 6_01-04-2012" xfId="6288"/>
    <cellStyle name="Normal 3 10 7" xfId="6289"/>
    <cellStyle name="Normal 3 10 7 2" xfId="6290"/>
    <cellStyle name="Normal 3 10 7 2 2" xfId="36627"/>
    <cellStyle name="Normal 3 10 7 3" xfId="6291"/>
    <cellStyle name="Normal 3 10 7 3 2" xfId="36628"/>
    <cellStyle name="Normal 3 10 7 4" xfId="6292"/>
    <cellStyle name="Normal 3 10 7 4 2" xfId="36629"/>
    <cellStyle name="Normal 3 10 7 5" xfId="36630"/>
    <cellStyle name="Normal 3 10 7_01-04-2012" xfId="6293"/>
    <cellStyle name="Normal 3 10 8" xfId="6294"/>
    <cellStyle name="Normal 3 10 8 2" xfId="6295"/>
    <cellStyle name="Normal 3 10 8 2 2" xfId="36631"/>
    <cellStyle name="Normal 3 10 8 3" xfId="6296"/>
    <cellStyle name="Normal 3 10 8 3 2" xfId="36632"/>
    <cellStyle name="Normal 3 10 8 4" xfId="6297"/>
    <cellStyle name="Normal 3 10 8 4 2" xfId="36633"/>
    <cellStyle name="Normal 3 10 8 5" xfId="36634"/>
    <cellStyle name="Normal 3 10 8_01-04-2012" xfId="6298"/>
    <cellStyle name="Normal 3 10 9" xfId="6299"/>
    <cellStyle name="Normal 3 10 9 2" xfId="6300"/>
    <cellStyle name="Normal 3 10 9 2 2" xfId="36635"/>
    <cellStyle name="Normal 3 10 9 3" xfId="6301"/>
    <cellStyle name="Normal 3 10 9 3 2" xfId="36636"/>
    <cellStyle name="Normal 3 10 9 4" xfId="6302"/>
    <cellStyle name="Normal 3 10 9 4 2" xfId="36637"/>
    <cellStyle name="Normal 3 10 9 5" xfId="36638"/>
    <cellStyle name="Normal 3 10 9_01-04-2012" xfId="6303"/>
    <cellStyle name="Normal 3 10_01-04-2012" xfId="6304"/>
    <cellStyle name="Normal 3 100" xfId="40952"/>
    <cellStyle name="Normal 3 101" xfId="40956"/>
    <cellStyle name="Normal 3 11" xfId="6305"/>
    <cellStyle name="Normal 3 11 10" xfId="6306"/>
    <cellStyle name="Normal 3 11 10 2" xfId="36639"/>
    <cellStyle name="Normal 3 11 11" xfId="6307"/>
    <cellStyle name="Normal 3 11 11 2" xfId="36640"/>
    <cellStyle name="Normal 3 11 12" xfId="6308"/>
    <cellStyle name="Normal 3 11 12 2" xfId="36641"/>
    <cellStyle name="Normal 3 11 13" xfId="6309"/>
    <cellStyle name="Normal 3 11 13 2" xfId="36642"/>
    <cellStyle name="Normal 3 11 14" xfId="20199"/>
    <cellStyle name="Normal 3 11 14 2" xfId="36643"/>
    <cellStyle name="Normal 3 11 2" xfId="6310"/>
    <cellStyle name="Normal 3 11 2 2" xfId="6311"/>
    <cellStyle name="Normal 3 11 2 2 2" xfId="6312"/>
    <cellStyle name="Normal 3 11 2 2 2 2" xfId="36644"/>
    <cellStyle name="Normal 3 11 2 2 3" xfId="6313"/>
    <cellStyle name="Normal 3 11 2 2 3 2" xfId="36645"/>
    <cellStyle name="Normal 3 11 2 2 4" xfId="6314"/>
    <cellStyle name="Normal 3 11 2 2 4 2" xfId="36646"/>
    <cellStyle name="Normal 3 11 2 2 5" xfId="36647"/>
    <cellStyle name="Normal 3 11 2 2_01-04-2012" xfId="6315"/>
    <cellStyle name="Normal 3 11 2 3" xfId="6316"/>
    <cellStyle name="Normal 3 11 2 3 2" xfId="6317"/>
    <cellStyle name="Normal 3 11 2 3 2 2" xfId="36648"/>
    <cellStyle name="Normal 3 11 2 3 3" xfId="6318"/>
    <cellStyle name="Normal 3 11 2 3 3 2" xfId="36649"/>
    <cellStyle name="Normal 3 11 2 3 4" xfId="6319"/>
    <cellStyle name="Normal 3 11 2 3 4 2" xfId="36650"/>
    <cellStyle name="Normal 3 11 2 3 5" xfId="36651"/>
    <cellStyle name="Normal 3 11 2 3_01-04-2012" xfId="6320"/>
    <cellStyle name="Normal 3 11 2 4" xfId="6321"/>
    <cellStyle name="Normal 3 11 2 4 2" xfId="6322"/>
    <cellStyle name="Normal 3 11 2 4 2 2" xfId="36652"/>
    <cellStyle name="Normal 3 11 2 4 3" xfId="6323"/>
    <cellStyle name="Normal 3 11 2 4 3 2" xfId="36653"/>
    <cellStyle name="Normal 3 11 2 4 4" xfId="6324"/>
    <cellStyle name="Normal 3 11 2 4 4 2" xfId="36654"/>
    <cellStyle name="Normal 3 11 2 4 5" xfId="36655"/>
    <cellStyle name="Normal 3 11 2 4_01-04-2012" xfId="6325"/>
    <cellStyle name="Normal 3 11 2 5" xfId="6326"/>
    <cellStyle name="Normal 3 11 2 5 2" xfId="36656"/>
    <cellStyle name="Normal 3 11 2 6" xfId="6327"/>
    <cellStyle name="Normal 3 11 2 6 2" xfId="36657"/>
    <cellStyle name="Normal 3 11 2 7" xfId="6328"/>
    <cellStyle name="Normal 3 11 2 7 2" xfId="36659"/>
    <cellStyle name="Normal 3 11 2 8" xfId="36660"/>
    <cellStyle name="Normal 3 11 2_01-04-2012" xfId="6329"/>
    <cellStyle name="Normal 3 11 3" xfId="6330"/>
    <cellStyle name="Normal 3 11 3 2" xfId="6331"/>
    <cellStyle name="Normal 3 11 3 2 2" xfId="6332"/>
    <cellStyle name="Normal 3 11 3 2 2 2" xfId="36661"/>
    <cellStyle name="Normal 3 11 3 2 3" xfId="6333"/>
    <cellStyle name="Normal 3 11 3 2 3 2" xfId="36662"/>
    <cellStyle name="Normal 3 11 3 2 4" xfId="6334"/>
    <cellStyle name="Normal 3 11 3 2 4 2" xfId="36663"/>
    <cellStyle name="Normal 3 11 3 2 5" xfId="36664"/>
    <cellStyle name="Normal 3 11 3 2_01-04-2012" xfId="6335"/>
    <cellStyle name="Normal 3 11 3 3" xfId="6336"/>
    <cellStyle name="Normal 3 11 3 3 2" xfId="6337"/>
    <cellStyle name="Normal 3 11 3 3 2 2" xfId="36665"/>
    <cellStyle name="Normal 3 11 3 3 3" xfId="6338"/>
    <cellStyle name="Normal 3 11 3 3 3 2" xfId="36666"/>
    <cellStyle name="Normal 3 11 3 3 4" xfId="6339"/>
    <cellStyle name="Normal 3 11 3 3 4 2" xfId="36667"/>
    <cellStyle name="Normal 3 11 3 3 5" xfId="36668"/>
    <cellStyle name="Normal 3 11 3 3_01-04-2012" xfId="6340"/>
    <cellStyle name="Normal 3 11 3 4" xfId="6341"/>
    <cellStyle name="Normal 3 11 3 4 2" xfId="6342"/>
    <cellStyle name="Normal 3 11 3 4 2 2" xfId="36669"/>
    <cellStyle name="Normal 3 11 3 4 3" xfId="6343"/>
    <cellStyle name="Normal 3 11 3 4 3 2" xfId="36670"/>
    <cellStyle name="Normal 3 11 3 4 4" xfId="6344"/>
    <cellStyle name="Normal 3 11 3 4 4 2" xfId="36671"/>
    <cellStyle name="Normal 3 11 3 4 5" xfId="36672"/>
    <cellStyle name="Normal 3 11 3 4_01-04-2012" xfId="6345"/>
    <cellStyle name="Normal 3 11 3 5" xfId="6346"/>
    <cellStyle name="Normal 3 11 3 5 2" xfId="36673"/>
    <cellStyle name="Normal 3 11 3 6" xfId="6347"/>
    <cellStyle name="Normal 3 11 3 6 2" xfId="36674"/>
    <cellStyle name="Normal 3 11 3 7" xfId="6348"/>
    <cellStyle name="Normal 3 11 3 7 2" xfId="36675"/>
    <cellStyle name="Normal 3 11 3 8" xfId="36676"/>
    <cellStyle name="Normal 3 11 3_01-04-2012" xfId="6349"/>
    <cellStyle name="Normal 3 11 4" xfId="6350"/>
    <cellStyle name="Normal 3 11 4 2" xfId="6351"/>
    <cellStyle name="Normal 3 11 4 2 2" xfId="6352"/>
    <cellStyle name="Normal 3 11 4 2 2 2" xfId="36677"/>
    <cellStyle name="Normal 3 11 4 2 3" xfId="6353"/>
    <cellStyle name="Normal 3 11 4 2 3 2" xfId="36678"/>
    <cellStyle name="Normal 3 11 4 2 4" xfId="6354"/>
    <cellStyle name="Normal 3 11 4 2 4 2" xfId="36679"/>
    <cellStyle name="Normal 3 11 4 2 5" xfId="36680"/>
    <cellStyle name="Normal 3 11 4 2_01-04-2012" xfId="6355"/>
    <cellStyle name="Normal 3 11 4 3" xfId="6356"/>
    <cellStyle name="Normal 3 11 4 3 2" xfId="6357"/>
    <cellStyle name="Normal 3 11 4 3 2 2" xfId="36681"/>
    <cellStyle name="Normal 3 11 4 3 3" xfId="6358"/>
    <cellStyle name="Normal 3 11 4 3 3 2" xfId="36682"/>
    <cellStyle name="Normal 3 11 4 3 4" xfId="6359"/>
    <cellStyle name="Normal 3 11 4 3 4 2" xfId="36683"/>
    <cellStyle name="Normal 3 11 4 3 5" xfId="36684"/>
    <cellStyle name="Normal 3 11 4 3_01-04-2012" xfId="6360"/>
    <cellStyle name="Normal 3 11 4 4" xfId="6361"/>
    <cellStyle name="Normal 3 11 4 4 2" xfId="6362"/>
    <cellStyle name="Normal 3 11 4 4 2 2" xfId="36685"/>
    <cellStyle name="Normal 3 11 4 4 3" xfId="6363"/>
    <cellStyle name="Normal 3 11 4 4 3 2" xfId="36686"/>
    <cellStyle name="Normal 3 11 4 4 4" xfId="6364"/>
    <cellStyle name="Normal 3 11 4 4 4 2" xfId="36687"/>
    <cellStyle name="Normal 3 11 4 4 5" xfId="36688"/>
    <cellStyle name="Normal 3 11 4 4_01-04-2012" xfId="6365"/>
    <cellStyle name="Normal 3 11 4 5" xfId="6366"/>
    <cellStyle name="Normal 3 11 4 5 2" xfId="36689"/>
    <cellStyle name="Normal 3 11 4 6" xfId="6367"/>
    <cellStyle name="Normal 3 11 4 6 2" xfId="36690"/>
    <cellStyle name="Normal 3 11 4 7" xfId="6368"/>
    <cellStyle name="Normal 3 11 4 7 2" xfId="36691"/>
    <cellStyle name="Normal 3 11 4 8" xfId="36692"/>
    <cellStyle name="Normal 3 11 4_01-04-2012" xfId="6369"/>
    <cellStyle name="Normal 3 11 5" xfId="6370"/>
    <cellStyle name="Normal 3 11 5 2" xfId="6371"/>
    <cellStyle name="Normal 3 11 5 2 2" xfId="36693"/>
    <cellStyle name="Normal 3 11 5 3" xfId="6372"/>
    <cellStyle name="Normal 3 11 5 3 2" xfId="36694"/>
    <cellStyle name="Normal 3 11 5 4" xfId="6373"/>
    <cellStyle name="Normal 3 11 5 4 2" xfId="36695"/>
    <cellStyle name="Normal 3 11 5 5" xfId="36696"/>
    <cellStyle name="Normal 3 11 5_01-04-2012" xfId="6374"/>
    <cellStyle name="Normal 3 11 6" xfId="6375"/>
    <cellStyle name="Normal 3 11 6 2" xfId="6376"/>
    <cellStyle name="Normal 3 11 6 2 2" xfId="36697"/>
    <cellStyle name="Normal 3 11 6 3" xfId="6377"/>
    <cellStyle name="Normal 3 11 6 3 2" xfId="36698"/>
    <cellStyle name="Normal 3 11 6 4" xfId="6378"/>
    <cellStyle name="Normal 3 11 6 4 2" xfId="36699"/>
    <cellStyle name="Normal 3 11 6 5" xfId="36700"/>
    <cellStyle name="Normal 3 11 6_01-04-2012" xfId="6379"/>
    <cellStyle name="Normal 3 11 7" xfId="6380"/>
    <cellStyle name="Normal 3 11 7 2" xfId="6381"/>
    <cellStyle name="Normal 3 11 7 2 2" xfId="36701"/>
    <cellStyle name="Normal 3 11 7 3" xfId="6382"/>
    <cellStyle name="Normal 3 11 7 3 2" xfId="36702"/>
    <cellStyle name="Normal 3 11 7 4" xfId="6383"/>
    <cellStyle name="Normal 3 11 7 4 2" xfId="36703"/>
    <cellStyle name="Normal 3 11 7 5" xfId="36704"/>
    <cellStyle name="Normal 3 11 7_01-04-2012" xfId="6384"/>
    <cellStyle name="Normal 3 11 8" xfId="6385"/>
    <cellStyle name="Normal 3 11 8 2" xfId="6386"/>
    <cellStyle name="Normal 3 11 8 2 2" xfId="36705"/>
    <cellStyle name="Normal 3 11 8 3" xfId="6387"/>
    <cellStyle name="Normal 3 11 8 3 2" xfId="36706"/>
    <cellStyle name="Normal 3 11 8 4" xfId="6388"/>
    <cellStyle name="Normal 3 11 8 4 2" xfId="36707"/>
    <cellStyle name="Normal 3 11 8 5" xfId="36708"/>
    <cellStyle name="Normal 3 11 8_01-04-2012" xfId="6389"/>
    <cellStyle name="Normal 3 11 9" xfId="6390"/>
    <cellStyle name="Normal 3 11 9 2" xfId="6391"/>
    <cellStyle name="Normal 3 11 9 2 2" xfId="36709"/>
    <cellStyle name="Normal 3 11 9 3" xfId="6392"/>
    <cellStyle name="Normal 3 11 9 3 2" xfId="36710"/>
    <cellStyle name="Normal 3 11 9 4" xfId="6393"/>
    <cellStyle name="Normal 3 11 9 4 2" xfId="36711"/>
    <cellStyle name="Normal 3 11 9 5" xfId="36712"/>
    <cellStyle name="Normal 3 11 9_01-04-2012" xfId="6394"/>
    <cellStyle name="Normal 3 11_01-04-2012" xfId="6395"/>
    <cellStyle name="Normal 3 12" xfId="6396"/>
    <cellStyle name="Normal 3 12 10" xfId="6397"/>
    <cellStyle name="Normal 3 12 10 2" xfId="36713"/>
    <cellStyle name="Normal 3 12 11" xfId="6398"/>
    <cellStyle name="Normal 3 12 11 2" xfId="36714"/>
    <cellStyle name="Normal 3 12 12" xfId="6399"/>
    <cellStyle name="Normal 3 12 12 2" xfId="36715"/>
    <cellStyle name="Normal 3 12 13" xfId="6400"/>
    <cellStyle name="Normal 3 12 13 2" xfId="36716"/>
    <cellStyle name="Normal 3 12 14" xfId="20200"/>
    <cellStyle name="Normal 3 12 14 2" xfId="36717"/>
    <cellStyle name="Normal 3 12 2" xfId="6401"/>
    <cellStyle name="Normal 3 12 2 2" xfId="6402"/>
    <cellStyle name="Normal 3 12 2 2 2" xfId="6403"/>
    <cellStyle name="Normal 3 12 2 2 2 2" xfId="36718"/>
    <cellStyle name="Normal 3 12 2 2 3" xfId="6404"/>
    <cellStyle name="Normal 3 12 2 2 3 2" xfId="36719"/>
    <cellStyle name="Normal 3 12 2 2 4" xfId="6405"/>
    <cellStyle name="Normal 3 12 2 2 4 2" xfId="36720"/>
    <cellStyle name="Normal 3 12 2 2 5" xfId="36721"/>
    <cellStyle name="Normal 3 12 2 2_01-04-2012" xfId="6406"/>
    <cellStyle name="Normal 3 12 2 3" xfId="6407"/>
    <cellStyle name="Normal 3 12 2 3 2" xfId="6408"/>
    <cellStyle name="Normal 3 12 2 3 2 2" xfId="36722"/>
    <cellStyle name="Normal 3 12 2 3 3" xfId="6409"/>
    <cellStyle name="Normal 3 12 2 3 3 2" xfId="36723"/>
    <cellStyle name="Normal 3 12 2 3 4" xfId="6410"/>
    <cellStyle name="Normal 3 12 2 3 4 2" xfId="36724"/>
    <cellStyle name="Normal 3 12 2 3 5" xfId="36725"/>
    <cellStyle name="Normal 3 12 2 3_01-04-2012" xfId="6411"/>
    <cellStyle name="Normal 3 12 2 4" xfId="6412"/>
    <cellStyle name="Normal 3 12 2 4 2" xfId="6413"/>
    <cellStyle name="Normal 3 12 2 4 2 2" xfId="36726"/>
    <cellStyle name="Normal 3 12 2 4 3" xfId="6414"/>
    <cellStyle name="Normal 3 12 2 4 3 2" xfId="36727"/>
    <cellStyle name="Normal 3 12 2 4 4" xfId="6415"/>
    <cellStyle name="Normal 3 12 2 4 4 2" xfId="36728"/>
    <cellStyle name="Normal 3 12 2 4 5" xfId="36729"/>
    <cellStyle name="Normal 3 12 2 4_01-04-2012" xfId="6416"/>
    <cellStyle name="Normal 3 12 2 5" xfId="6417"/>
    <cellStyle name="Normal 3 12 2 5 2" xfId="36730"/>
    <cellStyle name="Normal 3 12 2 6" xfId="6418"/>
    <cellStyle name="Normal 3 12 2 6 2" xfId="36731"/>
    <cellStyle name="Normal 3 12 2 7" xfId="6419"/>
    <cellStyle name="Normal 3 12 2 7 2" xfId="36732"/>
    <cellStyle name="Normal 3 12 2 8" xfId="36733"/>
    <cellStyle name="Normal 3 12 2_01-04-2012" xfId="6420"/>
    <cellStyle name="Normal 3 12 3" xfId="6421"/>
    <cellStyle name="Normal 3 12 3 2" xfId="6422"/>
    <cellStyle name="Normal 3 12 3 2 2" xfId="6423"/>
    <cellStyle name="Normal 3 12 3 2 2 2" xfId="36734"/>
    <cellStyle name="Normal 3 12 3 2 3" xfId="6424"/>
    <cellStyle name="Normal 3 12 3 2 3 2" xfId="36735"/>
    <cellStyle name="Normal 3 12 3 2 4" xfId="6425"/>
    <cellStyle name="Normal 3 12 3 2 4 2" xfId="36736"/>
    <cellStyle name="Normal 3 12 3 2 5" xfId="36737"/>
    <cellStyle name="Normal 3 12 3 2_01-04-2012" xfId="6426"/>
    <cellStyle name="Normal 3 12 3 3" xfId="6427"/>
    <cellStyle name="Normal 3 12 3 3 2" xfId="6428"/>
    <cellStyle name="Normal 3 12 3 3 2 2" xfId="36738"/>
    <cellStyle name="Normal 3 12 3 3 3" xfId="6429"/>
    <cellStyle name="Normal 3 12 3 3 3 2" xfId="36739"/>
    <cellStyle name="Normal 3 12 3 3 4" xfId="6430"/>
    <cellStyle name="Normal 3 12 3 3 4 2" xfId="36740"/>
    <cellStyle name="Normal 3 12 3 3 5" xfId="36741"/>
    <cellStyle name="Normal 3 12 3 3_01-04-2012" xfId="6431"/>
    <cellStyle name="Normal 3 12 3 4" xfId="6432"/>
    <cellStyle name="Normal 3 12 3 4 2" xfId="6433"/>
    <cellStyle name="Normal 3 12 3 4 2 2" xfId="36742"/>
    <cellStyle name="Normal 3 12 3 4 3" xfId="6434"/>
    <cellStyle name="Normal 3 12 3 4 3 2" xfId="36743"/>
    <cellStyle name="Normal 3 12 3 4 4" xfId="6435"/>
    <cellStyle name="Normal 3 12 3 4 4 2" xfId="36744"/>
    <cellStyle name="Normal 3 12 3 4 5" xfId="36745"/>
    <cellStyle name="Normal 3 12 3 4_01-04-2012" xfId="6436"/>
    <cellStyle name="Normal 3 12 3 5" xfId="6437"/>
    <cellStyle name="Normal 3 12 3 5 2" xfId="36746"/>
    <cellStyle name="Normal 3 12 3 6" xfId="6438"/>
    <cellStyle name="Normal 3 12 3 6 2" xfId="36747"/>
    <cellStyle name="Normal 3 12 3 7" xfId="6439"/>
    <cellStyle name="Normal 3 12 3 7 2" xfId="36748"/>
    <cellStyle name="Normal 3 12 3 8" xfId="36749"/>
    <cellStyle name="Normal 3 12 3_01-04-2012" xfId="6440"/>
    <cellStyle name="Normal 3 12 4" xfId="6441"/>
    <cellStyle name="Normal 3 12 4 2" xfId="6442"/>
    <cellStyle name="Normal 3 12 4 2 2" xfId="6443"/>
    <cellStyle name="Normal 3 12 4 2 2 2" xfId="36750"/>
    <cellStyle name="Normal 3 12 4 2 3" xfId="6444"/>
    <cellStyle name="Normal 3 12 4 2 3 2" xfId="36751"/>
    <cellStyle name="Normal 3 12 4 2 4" xfId="6445"/>
    <cellStyle name="Normal 3 12 4 2 4 2" xfId="36752"/>
    <cellStyle name="Normal 3 12 4 2 5" xfId="36753"/>
    <cellStyle name="Normal 3 12 4 2_01-04-2012" xfId="6446"/>
    <cellStyle name="Normal 3 12 4 3" xfId="6447"/>
    <cellStyle name="Normal 3 12 4 3 2" xfId="6448"/>
    <cellStyle name="Normal 3 12 4 3 2 2" xfId="36754"/>
    <cellStyle name="Normal 3 12 4 3 3" xfId="6449"/>
    <cellStyle name="Normal 3 12 4 3 3 2" xfId="36755"/>
    <cellStyle name="Normal 3 12 4 3 4" xfId="6450"/>
    <cellStyle name="Normal 3 12 4 3 4 2" xfId="36756"/>
    <cellStyle name="Normal 3 12 4 3 5" xfId="36757"/>
    <cellStyle name="Normal 3 12 4 3_01-04-2012" xfId="6451"/>
    <cellStyle name="Normal 3 12 4 4" xfId="6452"/>
    <cellStyle name="Normal 3 12 4 4 2" xfId="6453"/>
    <cellStyle name="Normal 3 12 4 4 2 2" xfId="36758"/>
    <cellStyle name="Normal 3 12 4 4 3" xfId="6454"/>
    <cellStyle name="Normal 3 12 4 4 3 2" xfId="36759"/>
    <cellStyle name="Normal 3 12 4 4 4" xfId="6455"/>
    <cellStyle name="Normal 3 12 4 4 4 2" xfId="36760"/>
    <cellStyle name="Normal 3 12 4 4 5" xfId="36761"/>
    <cellStyle name="Normal 3 12 4 4_01-04-2012" xfId="6456"/>
    <cellStyle name="Normal 3 12 4 5" xfId="6457"/>
    <cellStyle name="Normal 3 12 4 5 2" xfId="36762"/>
    <cellStyle name="Normal 3 12 4 6" xfId="6458"/>
    <cellStyle name="Normal 3 12 4 6 2" xfId="36763"/>
    <cellStyle name="Normal 3 12 4 7" xfId="6459"/>
    <cellStyle name="Normal 3 12 4 7 2" xfId="36764"/>
    <cellStyle name="Normal 3 12 4 8" xfId="36765"/>
    <cellStyle name="Normal 3 12 4_01-04-2012" xfId="6460"/>
    <cellStyle name="Normal 3 12 5" xfId="6461"/>
    <cellStyle name="Normal 3 12 5 2" xfId="6462"/>
    <cellStyle name="Normal 3 12 5 2 2" xfId="36766"/>
    <cellStyle name="Normal 3 12 5 3" xfId="6463"/>
    <cellStyle name="Normal 3 12 5 3 2" xfId="36767"/>
    <cellStyle name="Normal 3 12 5 4" xfId="6464"/>
    <cellStyle name="Normal 3 12 5 4 2" xfId="36768"/>
    <cellStyle name="Normal 3 12 5 5" xfId="36769"/>
    <cellStyle name="Normal 3 12 5_01-04-2012" xfId="6465"/>
    <cellStyle name="Normal 3 12 6" xfId="6466"/>
    <cellStyle name="Normal 3 12 6 2" xfId="6467"/>
    <cellStyle name="Normal 3 12 6 2 2" xfId="36770"/>
    <cellStyle name="Normal 3 12 6 3" xfId="6468"/>
    <cellStyle name="Normal 3 12 6 3 2" xfId="36771"/>
    <cellStyle name="Normal 3 12 6 4" xfId="6469"/>
    <cellStyle name="Normal 3 12 6 4 2" xfId="36772"/>
    <cellStyle name="Normal 3 12 6 5" xfId="36773"/>
    <cellStyle name="Normal 3 12 6_01-04-2012" xfId="6470"/>
    <cellStyle name="Normal 3 12 7" xfId="6471"/>
    <cellStyle name="Normal 3 12 7 2" xfId="6472"/>
    <cellStyle name="Normal 3 12 7 2 2" xfId="36774"/>
    <cellStyle name="Normal 3 12 7 3" xfId="6473"/>
    <cellStyle name="Normal 3 12 7 3 2" xfId="36775"/>
    <cellStyle name="Normal 3 12 7 4" xfId="6474"/>
    <cellStyle name="Normal 3 12 7 4 2" xfId="36776"/>
    <cellStyle name="Normal 3 12 7 5" xfId="36777"/>
    <cellStyle name="Normal 3 12 7_01-04-2012" xfId="6475"/>
    <cellStyle name="Normal 3 12 8" xfId="6476"/>
    <cellStyle name="Normal 3 12 8 2" xfId="6477"/>
    <cellStyle name="Normal 3 12 8 2 2" xfId="36778"/>
    <cellStyle name="Normal 3 12 8 3" xfId="6478"/>
    <cellStyle name="Normal 3 12 8 3 2" xfId="36779"/>
    <cellStyle name="Normal 3 12 8 4" xfId="6479"/>
    <cellStyle name="Normal 3 12 8 4 2" xfId="36780"/>
    <cellStyle name="Normal 3 12 8 5" xfId="36781"/>
    <cellStyle name="Normal 3 12 8_01-04-2012" xfId="6480"/>
    <cellStyle name="Normal 3 12 9" xfId="6481"/>
    <cellStyle name="Normal 3 12 9 2" xfId="6482"/>
    <cellStyle name="Normal 3 12 9 2 2" xfId="36782"/>
    <cellStyle name="Normal 3 12 9 3" xfId="6483"/>
    <cellStyle name="Normal 3 12 9 3 2" xfId="36783"/>
    <cellStyle name="Normal 3 12 9 4" xfId="6484"/>
    <cellStyle name="Normal 3 12 9 4 2" xfId="36784"/>
    <cellStyle name="Normal 3 12 9 5" xfId="36785"/>
    <cellStyle name="Normal 3 12 9_01-04-2012" xfId="6485"/>
    <cellStyle name="Normal 3 12_01-04-2012" xfId="6486"/>
    <cellStyle name="Normal 3 13" xfId="6487"/>
    <cellStyle name="Normal 3 13 10" xfId="20201"/>
    <cellStyle name="Normal 3 13 2" xfId="6488"/>
    <cellStyle name="Normal 3 13 2 2" xfId="6489"/>
    <cellStyle name="Normal 3 13 2 2 2" xfId="36786"/>
    <cellStyle name="Normal 3 13 2 3" xfId="6490"/>
    <cellStyle name="Normal 3 13 2 3 2" xfId="36787"/>
    <cellStyle name="Normal 3 13 2 4" xfId="6491"/>
    <cellStyle name="Normal 3 13 2 4 2" xfId="36788"/>
    <cellStyle name="Normal 3 13 2 5" xfId="36789"/>
    <cellStyle name="Normal 3 13 2_01-04-2012" xfId="6492"/>
    <cellStyle name="Normal 3 13 3" xfId="6493"/>
    <cellStyle name="Normal 3 13 3 2" xfId="6494"/>
    <cellStyle name="Normal 3 13 3 2 2" xfId="36790"/>
    <cellStyle name="Normal 3 13 3 3" xfId="6495"/>
    <cellStyle name="Normal 3 13 3 3 2" xfId="36791"/>
    <cellStyle name="Normal 3 13 3 4" xfId="6496"/>
    <cellStyle name="Normal 3 13 3 4 2" xfId="36792"/>
    <cellStyle name="Normal 3 13 3 5" xfId="36793"/>
    <cellStyle name="Normal 3 13 3_01-04-2012" xfId="6497"/>
    <cellStyle name="Normal 3 13 4" xfId="6498"/>
    <cellStyle name="Normal 3 13 4 2" xfId="6499"/>
    <cellStyle name="Normal 3 13 4 2 2" xfId="36794"/>
    <cellStyle name="Normal 3 13 4 3" xfId="6500"/>
    <cellStyle name="Normal 3 13 4 3 2" xfId="36795"/>
    <cellStyle name="Normal 3 13 4 4" xfId="6501"/>
    <cellStyle name="Normal 3 13 4 4 2" xfId="36796"/>
    <cellStyle name="Normal 3 13 4 5" xfId="36797"/>
    <cellStyle name="Normal 3 13 4_01-04-2012" xfId="6502"/>
    <cellStyle name="Normal 3 13 5" xfId="6503"/>
    <cellStyle name="Normal 3 13 5 2" xfId="36798"/>
    <cellStyle name="Normal 3 13 6" xfId="6504"/>
    <cellStyle name="Normal 3 13 6 2" xfId="36799"/>
    <cellStyle name="Normal 3 13 7" xfId="6505"/>
    <cellStyle name="Normal 3 13 7 2" xfId="36800"/>
    <cellStyle name="Normal 3 13 8" xfId="20202"/>
    <cellStyle name="Normal 3 13 8 2" xfId="36801"/>
    <cellStyle name="Normal 3 13 9" xfId="20203"/>
    <cellStyle name="Normal 3 13_01-04-2012" xfId="6506"/>
    <cellStyle name="Normal 3 14" xfId="6507"/>
    <cellStyle name="Normal 3 14 2" xfId="6508"/>
    <cellStyle name="Normal 3 14 2 2" xfId="6509"/>
    <cellStyle name="Normal 3 14 2 2 2" xfId="36802"/>
    <cellStyle name="Normal 3 14 2 3" xfId="6510"/>
    <cellStyle name="Normal 3 14 2 3 2" xfId="36803"/>
    <cellStyle name="Normal 3 14 2 4" xfId="6511"/>
    <cellStyle name="Normal 3 14 2 4 2" xfId="36804"/>
    <cellStyle name="Normal 3 14 2 5" xfId="36805"/>
    <cellStyle name="Normal 3 14 2_01-04-2012" xfId="6512"/>
    <cellStyle name="Normal 3 14 3" xfId="6513"/>
    <cellStyle name="Normal 3 14 3 2" xfId="6514"/>
    <cellStyle name="Normal 3 14 3 2 2" xfId="36806"/>
    <cellStyle name="Normal 3 14 3 3" xfId="6515"/>
    <cellStyle name="Normal 3 14 3 3 2" xfId="36807"/>
    <cellStyle name="Normal 3 14 3 4" xfId="6516"/>
    <cellStyle name="Normal 3 14 3 4 2" xfId="36808"/>
    <cellStyle name="Normal 3 14 3 5" xfId="36809"/>
    <cellStyle name="Normal 3 14 3_01-04-2012" xfId="6517"/>
    <cellStyle name="Normal 3 14 4" xfId="6518"/>
    <cellStyle name="Normal 3 14 4 2" xfId="6519"/>
    <cellStyle name="Normal 3 14 4 2 2" xfId="36810"/>
    <cellStyle name="Normal 3 14 4 3" xfId="6520"/>
    <cellStyle name="Normal 3 14 4 3 2" xfId="36811"/>
    <cellStyle name="Normal 3 14 4 4" xfId="6521"/>
    <cellStyle name="Normal 3 14 4 4 2" xfId="36812"/>
    <cellStyle name="Normal 3 14 4 5" xfId="36813"/>
    <cellStyle name="Normal 3 14 4_01-04-2012" xfId="6522"/>
    <cellStyle name="Normal 3 14 5" xfId="6523"/>
    <cellStyle name="Normal 3 14 5 2" xfId="36814"/>
    <cellStyle name="Normal 3 14 6" xfId="6524"/>
    <cellStyle name="Normal 3 14 6 2" xfId="36815"/>
    <cellStyle name="Normal 3 14 7" xfId="6525"/>
    <cellStyle name="Normal 3 14 7 2" xfId="36816"/>
    <cellStyle name="Normal 3 14 8" xfId="36817"/>
    <cellStyle name="Normal 3 14_01-04-2012" xfId="6526"/>
    <cellStyle name="Normal 3 15" xfId="6527"/>
    <cellStyle name="Normal 3 15 2" xfId="6528"/>
    <cellStyle name="Normal 3 15 2 2" xfId="6529"/>
    <cellStyle name="Normal 3 15 2 2 2" xfId="36818"/>
    <cellStyle name="Normal 3 15 2 3" xfId="6530"/>
    <cellStyle name="Normal 3 15 2 3 2" xfId="36819"/>
    <cellStyle name="Normal 3 15 2 4" xfId="6531"/>
    <cellStyle name="Normal 3 15 2 4 2" xfId="36820"/>
    <cellStyle name="Normal 3 15 2 5" xfId="36821"/>
    <cellStyle name="Normal 3 15 2_01-04-2012" xfId="6532"/>
    <cellStyle name="Normal 3 15 3" xfId="6533"/>
    <cellStyle name="Normal 3 15 3 2" xfId="6534"/>
    <cellStyle name="Normal 3 15 3 2 2" xfId="36822"/>
    <cellStyle name="Normal 3 15 3 3" xfId="6535"/>
    <cellStyle name="Normal 3 15 3 3 2" xfId="36823"/>
    <cellStyle name="Normal 3 15 3 4" xfId="6536"/>
    <cellStyle name="Normal 3 15 3 4 2" xfId="36824"/>
    <cellStyle name="Normal 3 15 3 5" xfId="36825"/>
    <cellStyle name="Normal 3 15 3_01-04-2012" xfId="6537"/>
    <cellStyle name="Normal 3 15 4" xfId="6538"/>
    <cellStyle name="Normal 3 15 4 2" xfId="6539"/>
    <cellStyle name="Normal 3 15 4 2 2" xfId="36826"/>
    <cellStyle name="Normal 3 15 4 3" xfId="6540"/>
    <cellStyle name="Normal 3 15 4 3 2" xfId="36827"/>
    <cellStyle name="Normal 3 15 4 4" xfId="6541"/>
    <cellStyle name="Normal 3 15 4 4 2" xfId="36828"/>
    <cellStyle name="Normal 3 15 4 5" xfId="36829"/>
    <cellStyle name="Normal 3 15 4_01-04-2012" xfId="6542"/>
    <cellStyle name="Normal 3 15 5" xfId="6543"/>
    <cellStyle name="Normal 3 15 5 2" xfId="36830"/>
    <cellStyle name="Normal 3 15 6" xfId="6544"/>
    <cellStyle name="Normal 3 15 6 2" xfId="36831"/>
    <cellStyle name="Normal 3 15 7" xfId="6545"/>
    <cellStyle name="Normal 3 15 7 2" xfId="36832"/>
    <cellStyle name="Normal 3 15 8" xfId="36833"/>
    <cellStyle name="Normal 3 15_01-04-2012" xfId="6546"/>
    <cellStyle name="Normal 3 16" xfId="6547"/>
    <cellStyle name="Normal 3 16 2" xfId="6548"/>
    <cellStyle name="Normal 3 16 2 2" xfId="36834"/>
    <cellStyle name="Normal 3 16 3" xfId="6549"/>
    <cellStyle name="Normal 3 16 3 2" xfId="36835"/>
    <cellStyle name="Normal 3 16 4" xfId="6550"/>
    <cellStyle name="Normal 3 16 4 2" xfId="36836"/>
    <cellStyle name="Normal 3 16 5" xfId="36837"/>
    <cellStyle name="Normal 3 16_01-04-2012" xfId="6551"/>
    <cellStyle name="Normal 3 17" xfId="6552"/>
    <cellStyle name="Normal 3 17 2" xfId="6553"/>
    <cellStyle name="Normal 3 17 2 2" xfId="36838"/>
    <cellStyle name="Normal 3 17 3" xfId="6554"/>
    <cellStyle name="Normal 3 17 3 2" xfId="36839"/>
    <cellStyle name="Normal 3 17 4" xfId="6555"/>
    <cellStyle name="Normal 3 17 4 2" xfId="36840"/>
    <cellStyle name="Normal 3 17 5" xfId="36841"/>
    <cellStyle name="Normal 3 17_01-04-2012" xfId="6556"/>
    <cellStyle name="Normal 3 18" xfId="6557"/>
    <cellStyle name="Normal 3 18 2" xfId="6558"/>
    <cellStyle name="Normal 3 18 2 2" xfId="36842"/>
    <cellStyle name="Normal 3 18 3" xfId="6559"/>
    <cellStyle name="Normal 3 18 3 2" xfId="36843"/>
    <cellStyle name="Normal 3 18 4" xfId="6560"/>
    <cellStyle name="Normal 3 18 4 2" xfId="36844"/>
    <cellStyle name="Normal 3 18 5" xfId="36845"/>
    <cellStyle name="Normal 3 18_01-04-2012" xfId="6561"/>
    <cellStyle name="Normal 3 19" xfId="6562"/>
    <cellStyle name="Normal 3 19 2" xfId="6563"/>
    <cellStyle name="Normal 3 19 2 2" xfId="36846"/>
    <cellStyle name="Normal 3 19 3" xfId="6564"/>
    <cellStyle name="Normal 3 19 3 2" xfId="36847"/>
    <cellStyle name="Normal 3 19 4" xfId="6565"/>
    <cellStyle name="Normal 3 19 4 2" xfId="36848"/>
    <cellStyle name="Normal 3 19 5" xfId="36849"/>
    <cellStyle name="Normal 3 19_01-04-2012" xfId="6566"/>
    <cellStyle name="Normal 3 2" xfId="25"/>
    <cellStyle name="Normal 3 2 10" xfId="6568"/>
    <cellStyle name="Normal 3 2 11" xfId="6569"/>
    <cellStyle name="Normal 3 2 12" xfId="6570"/>
    <cellStyle name="Normal 3 2 13" xfId="6571"/>
    <cellStyle name="Normal 3 2 14" xfId="6572"/>
    <cellStyle name="Normal 3 2 15" xfId="6573"/>
    <cellStyle name="Normal 3 2 16" xfId="6574"/>
    <cellStyle name="Normal 3 2 17" xfId="6575"/>
    <cellStyle name="Normal 3 2 18" xfId="6576"/>
    <cellStyle name="Normal 3 2 19" xfId="6577"/>
    <cellStyle name="Normal 3 2 2" xfId="6578"/>
    <cellStyle name="Normal 3 2 2 10" xfId="20204"/>
    <cellStyle name="Normal 3 2 2 2" xfId="6579"/>
    <cellStyle name="Normal 3 2 2 2 2" xfId="6580"/>
    <cellStyle name="Normal 3 2 2 2 2 2" xfId="36850"/>
    <cellStyle name="Normal 3 2 2 2 3" xfId="6581"/>
    <cellStyle name="Normal 3 2 2 2 3 2" xfId="36851"/>
    <cellStyle name="Normal 3 2 2 2 4" xfId="6582"/>
    <cellStyle name="Normal 3 2 2 2 4 2" xfId="36852"/>
    <cellStyle name="Normal 3 2 2 2 5" xfId="36853"/>
    <cellStyle name="Normal 3 2 2 2_01-04-2012" xfId="6583"/>
    <cellStyle name="Normal 3 2 2 3" xfId="6584"/>
    <cellStyle name="Normal 3 2 2 3 2" xfId="6585"/>
    <cellStyle name="Normal 3 2 2 3 2 2" xfId="36854"/>
    <cellStyle name="Normal 3 2 2 3 3" xfId="6586"/>
    <cellStyle name="Normal 3 2 2 3 3 2" xfId="36855"/>
    <cellStyle name="Normal 3 2 2 3 4" xfId="6587"/>
    <cellStyle name="Normal 3 2 2 3 4 2" xfId="36856"/>
    <cellStyle name="Normal 3 2 2 3 5" xfId="36857"/>
    <cellStyle name="Normal 3 2 2 3_01-04-2012" xfId="6588"/>
    <cellStyle name="Normal 3 2 2 4" xfId="6589"/>
    <cellStyle name="Normal 3 2 2 4 2" xfId="6590"/>
    <cellStyle name="Normal 3 2 2 4 2 2" xfId="36858"/>
    <cellStyle name="Normal 3 2 2 4 3" xfId="6591"/>
    <cellStyle name="Normal 3 2 2 4 3 2" xfId="36859"/>
    <cellStyle name="Normal 3 2 2 4 4" xfId="6592"/>
    <cellStyle name="Normal 3 2 2 4 4 2" xfId="36860"/>
    <cellStyle name="Normal 3 2 2 4 5" xfId="36861"/>
    <cellStyle name="Normal 3 2 2 4_01-04-2012" xfId="6593"/>
    <cellStyle name="Normal 3 2 2 5" xfId="6594"/>
    <cellStyle name="Normal 3 2 2 5 2" xfId="36862"/>
    <cellStyle name="Normal 3 2 2 6" xfId="6595"/>
    <cellStyle name="Normal 3 2 2 6 2" xfId="36863"/>
    <cellStyle name="Normal 3 2 2 7" xfId="6596"/>
    <cellStyle name="Normal 3 2 2 7 2" xfId="36864"/>
    <cellStyle name="Normal 3 2 2 8" xfId="20205"/>
    <cellStyle name="Normal 3 2 2 8 2" xfId="36865"/>
    <cellStyle name="Normal 3 2 2 9" xfId="20206"/>
    <cellStyle name="Normal 3 2 2_01-04-2012" xfId="6597"/>
    <cellStyle name="Normal 3 2 20" xfId="6598"/>
    <cellStyle name="Normal 3 2 21" xfId="6599"/>
    <cellStyle name="Normal 3 2 21 2" xfId="6600"/>
    <cellStyle name="Normal 3 2 21 2 2" xfId="36866"/>
    <cellStyle name="Normal 3 2 21 3" xfId="6601"/>
    <cellStyle name="Normal 3 2 21 3 2" xfId="36867"/>
    <cellStyle name="Normal 3 2 21 4" xfId="6602"/>
    <cellStyle name="Normal 3 2 21 4 2" xfId="36868"/>
    <cellStyle name="Normal 3 2 21 5" xfId="36869"/>
    <cellStyle name="Normal 3 2 21_01-04-2012" xfId="6603"/>
    <cellStyle name="Normal 3 2 22" xfId="6604"/>
    <cellStyle name="Normal 3 2 23" xfId="6605"/>
    <cellStyle name="Normal 3 2 24" xfId="6606"/>
    <cellStyle name="Normal 3 2 25" xfId="6607"/>
    <cellStyle name="Normal 3 2 26" xfId="6608"/>
    <cellStyle name="Normal 3 2 27" xfId="6609"/>
    <cellStyle name="Normal 3 2 28" xfId="6610"/>
    <cellStyle name="Normal 3 2 29" xfId="6611"/>
    <cellStyle name="Normal 3 2 3" xfId="6612"/>
    <cellStyle name="Normal 3 2 3 10" xfId="20207"/>
    <cellStyle name="Normal 3 2 3 2" xfId="6613"/>
    <cellStyle name="Normal 3 2 3 2 2" xfId="6614"/>
    <cellStyle name="Normal 3 2 3 2 2 2" xfId="36870"/>
    <cellStyle name="Normal 3 2 3 2 3" xfId="6615"/>
    <cellStyle name="Normal 3 2 3 2 3 2" xfId="36871"/>
    <cellStyle name="Normal 3 2 3 2 4" xfId="6616"/>
    <cellStyle name="Normal 3 2 3 2 4 2" xfId="36872"/>
    <cellStyle name="Normal 3 2 3 2 5" xfId="36873"/>
    <cellStyle name="Normal 3 2 3 2_01-04-2012" xfId="6617"/>
    <cellStyle name="Normal 3 2 3 3" xfId="6618"/>
    <cellStyle name="Normal 3 2 3 3 2" xfId="6619"/>
    <cellStyle name="Normal 3 2 3 3 2 2" xfId="36874"/>
    <cellStyle name="Normal 3 2 3 3 3" xfId="6620"/>
    <cellStyle name="Normal 3 2 3 3 3 2" xfId="36875"/>
    <cellStyle name="Normal 3 2 3 3 4" xfId="6621"/>
    <cellStyle name="Normal 3 2 3 3 4 2" xfId="36876"/>
    <cellStyle name="Normal 3 2 3 3 5" xfId="36877"/>
    <cellStyle name="Normal 3 2 3 3_01-04-2012" xfId="6622"/>
    <cellStyle name="Normal 3 2 3 4" xfId="6623"/>
    <cellStyle name="Normal 3 2 3 4 2" xfId="6624"/>
    <cellStyle name="Normal 3 2 3 4 2 2" xfId="36878"/>
    <cellStyle name="Normal 3 2 3 4 3" xfId="6625"/>
    <cellStyle name="Normal 3 2 3 4 3 2" xfId="36879"/>
    <cellStyle name="Normal 3 2 3 4 4" xfId="6626"/>
    <cellStyle name="Normal 3 2 3 4 4 2" xfId="36880"/>
    <cellStyle name="Normal 3 2 3 4 5" xfId="36881"/>
    <cellStyle name="Normal 3 2 3 4_01-04-2012" xfId="6627"/>
    <cellStyle name="Normal 3 2 3 5" xfId="6628"/>
    <cellStyle name="Normal 3 2 3 5 2" xfId="36882"/>
    <cellStyle name="Normal 3 2 3 6" xfId="6629"/>
    <cellStyle name="Normal 3 2 3 6 2" xfId="36883"/>
    <cellStyle name="Normal 3 2 3 7" xfId="6630"/>
    <cellStyle name="Normal 3 2 3 7 2" xfId="36884"/>
    <cellStyle name="Normal 3 2 3 8" xfId="20208"/>
    <cellStyle name="Normal 3 2 3 8 2" xfId="36885"/>
    <cellStyle name="Normal 3 2 3 9" xfId="20209"/>
    <cellStyle name="Normal 3 2 3_01-04-2012" xfId="6631"/>
    <cellStyle name="Normal 3 2 30" xfId="6632"/>
    <cellStyle name="Normal 3 2 31" xfId="6633"/>
    <cellStyle name="Normal 3 2 32" xfId="6634"/>
    <cellStyle name="Normal 3 2 33" xfId="6635"/>
    <cellStyle name="Normal 3 2 34" xfId="6636"/>
    <cellStyle name="Normal 3 2 35" xfId="6637"/>
    <cellStyle name="Normal 3 2 36" xfId="6638"/>
    <cellStyle name="Normal 3 2 37" xfId="6639"/>
    <cellStyle name="Normal 3 2 38" xfId="6640"/>
    <cellStyle name="Normal 3 2 39" xfId="6641"/>
    <cellStyle name="Normal 3 2 4" xfId="6642"/>
    <cellStyle name="Normal 3 2 4 2" xfId="6643"/>
    <cellStyle name="Normal 3 2 4 2 2" xfId="6644"/>
    <cellStyle name="Normal 3 2 4 2 2 2" xfId="36886"/>
    <cellStyle name="Normal 3 2 4 2 3" xfId="6645"/>
    <cellStyle name="Normal 3 2 4 2 3 2" xfId="36887"/>
    <cellStyle name="Normal 3 2 4 2 4" xfId="6646"/>
    <cellStyle name="Normal 3 2 4 2 4 2" xfId="36888"/>
    <cellStyle name="Normal 3 2 4 2 5" xfId="36889"/>
    <cellStyle name="Normal 3 2 4 2_01-04-2012" xfId="6647"/>
    <cellStyle name="Normal 3 2 4 3" xfId="6648"/>
    <cellStyle name="Normal 3 2 4 3 2" xfId="6649"/>
    <cellStyle name="Normal 3 2 4 3 2 2" xfId="36890"/>
    <cellStyle name="Normal 3 2 4 3 3" xfId="6650"/>
    <cellStyle name="Normal 3 2 4 3 3 2" xfId="36891"/>
    <cellStyle name="Normal 3 2 4 3 4" xfId="6651"/>
    <cellStyle name="Normal 3 2 4 3 4 2" xfId="36892"/>
    <cellStyle name="Normal 3 2 4 3 5" xfId="36893"/>
    <cellStyle name="Normal 3 2 4 3_01-04-2012" xfId="6652"/>
    <cellStyle name="Normal 3 2 4 4" xfId="6653"/>
    <cellStyle name="Normal 3 2 4 4 2" xfId="6654"/>
    <cellStyle name="Normal 3 2 4 4 2 2" xfId="36894"/>
    <cellStyle name="Normal 3 2 4 4 3" xfId="6655"/>
    <cellStyle name="Normal 3 2 4 4 3 2" xfId="36895"/>
    <cellStyle name="Normal 3 2 4 4 4" xfId="6656"/>
    <cellStyle name="Normal 3 2 4 4 4 2" xfId="36896"/>
    <cellStyle name="Normal 3 2 4 4 5" xfId="36897"/>
    <cellStyle name="Normal 3 2 4 4_01-04-2012" xfId="6657"/>
    <cellStyle name="Normal 3 2 4 5" xfId="6658"/>
    <cellStyle name="Normal 3 2 4 5 2" xfId="36898"/>
    <cellStyle name="Normal 3 2 4 6" xfId="6659"/>
    <cellStyle name="Normal 3 2 4 6 2" xfId="36899"/>
    <cellStyle name="Normal 3 2 4 7" xfId="6660"/>
    <cellStyle name="Normal 3 2 4 7 2" xfId="36900"/>
    <cellStyle name="Normal 3 2 4 8" xfId="36901"/>
    <cellStyle name="Normal 3 2 4_01-04-2012" xfId="6661"/>
    <cellStyle name="Normal 3 2 40" xfId="6662"/>
    <cellStyle name="Normal 3 2 41" xfId="6663"/>
    <cellStyle name="Normal 3 2 42" xfId="6664"/>
    <cellStyle name="Normal 3 2 43" xfId="6665"/>
    <cellStyle name="Normal 3 2 44" xfId="6666"/>
    <cellStyle name="Normal 3 2 45" xfId="6667"/>
    <cellStyle name="Normal 3 2 46" xfId="6668"/>
    <cellStyle name="Normal 3 2 47" xfId="6669"/>
    <cellStyle name="Normal 3 2 48" xfId="6670"/>
    <cellStyle name="Normal 3 2 49" xfId="6671"/>
    <cellStyle name="Normal 3 2 5" xfId="6672"/>
    <cellStyle name="Normal 3 2 5 2" xfId="6673"/>
    <cellStyle name="Normal 3 2 5 2 2" xfId="36902"/>
    <cellStyle name="Normal 3 2 5 3" xfId="6674"/>
    <cellStyle name="Normal 3 2 5 3 2" xfId="36903"/>
    <cellStyle name="Normal 3 2 5 4" xfId="6675"/>
    <cellStyle name="Normal 3 2 5 4 2" xfId="36904"/>
    <cellStyle name="Normal 3 2 5 5" xfId="36905"/>
    <cellStyle name="Normal 3 2 5_01-04-2012" xfId="6676"/>
    <cellStyle name="Normal 3 2 50" xfId="6677"/>
    <cellStyle name="Normal 3 2 51" xfId="6678"/>
    <cellStyle name="Normal 3 2 52" xfId="6679"/>
    <cellStyle name="Normal 3 2 53" xfId="6680"/>
    <cellStyle name="Normal 3 2 54" xfId="6681"/>
    <cellStyle name="Normal 3 2 55" xfId="6682"/>
    <cellStyle name="Normal 3 2 56" xfId="6683"/>
    <cellStyle name="Normal 3 2 57" xfId="6684"/>
    <cellStyle name="Normal 3 2 58" xfId="6685"/>
    <cellStyle name="Normal 3 2 58 2" xfId="36906"/>
    <cellStyle name="Normal 3 2 59" xfId="6686"/>
    <cellStyle name="Normal 3 2 59 2" xfId="36907"/>
    <cellStyle name="Normal 3 2 6" xfId="6687"/>
    <cellStyle name="Normal 3 2 6 2" xfId="6688"/>
    <cellStyle name="Normal 3 2 6 2 2" xfId="20210"/>
    <cellStyle name="Normal 3 2 6 2 2 2" xfId="36908"/>
    <cellStyle name="Normal 3 2 6 3" xfId="6689"/>
    <cellStyle name="Normal 3 2 6 3 2" xfId="36909"/>
    <cellStyle name="Normal 3 2 6 4" xfId="6690"/>
    <cellStyle name="Normal 3 2 6 4 2" xfId="36910"/>
    <cellStyle name="Normal 3 2 6 5" xfId="36911"/>
    <cellStyle name="Normal 3 2 6_01-04-2012" xfId="6691"/>
    <cellStyle name="Normal 3 2 60" xfId="6692"/>
    <cellStyle name="Normal 3 2 60 2" xfId="36912"/>
    <cellStyle name="Normal 3 2 61" xfId="6693"/>
    <cellStyle name="Normal 3 2 61 2" xfId="36913"/>
    <cellStyle name="Normal 3 2 62" xfId="6694"/>
    <cellStyle name="Normal 3 2 62 2" xfId="36914"/>
    <cellStyle name="Normal 3 2 63" xfId="6695"/>
    <cellStyle name="Normal 3 2 64" xfId="6567"/>
    <cellStyle name="Normal 3 2 7" xfId="6696"/>
    <cellStyle name="Normal 3 2 7 2" xfId="6697"/>
    <cellStyle name="Normal 3 2 7 2 2" xfId="36915"/>
    <cellStyle name="Normal 3 2 7 3" xfId="6698"/>
    <cellStyle name="Normal 3 2 7 3 2" xfId="36916"/>
    <cellStyle name="Normal 3 2 7 4" xfId="6699"/>
    <cellStyle name="Normal 3 2 7 4 2" xfId="36917"/>
    <cellStyle name="Normal 3 2 7 5" xfId="36918"/>
    <cellStyle name="Normal 3 2 7_01-04-2012" xfId="6700"/>
    <cellStyle name="Normal 3 2 8" xfId="6701"/>
    <cellStyle name="Normal 3 2 8 2" xfId="6702"/>
    <cellStyle name="Normal 3 2 8 2 2" xfId="36919"/>
    <cellStyle name="Normal 3 2 8 3" xfId="6703"/>
    <cellStyle name="Normal 3 2 8 3 2" xfId="36920"/>
    <cellStyle name="Normal 3 2 8 4" xfId="6704"/>
    <cellStyle name="Normal 3 2 8 4 2" xfId="36921"/>
    <cellStyle name="Normal 3 2 8 5" xfId="36922"/>
    <cellStyle name="Normal 3 2 8_01-04-2012" xfId="6705"/>
    <cellStyle name="Normal 3 2 9" xfId="6706"/>
    <cellStyle name="Normal 3 2_01-04-2012" xfId="6707"/>
    <cellStyle name="Normal 3 20" xfId="6708"/>
    <cellStyle name="Normal 3 21" xfId="6709"/>
    <cellStyle name="Normal 3 22" xfId="6710"/>
    <cellStyle name="Normal 3 23" xfId="6711"/>
    <cellStyle name="Normal 3 24" xfId="6712"/>
    <cellStyle name="Normal 3 25" xfId="6713"/>
    <cellStyle name="Normal 3 26" xfId="6714"/>
    <cellStyle name="Normal 3 27" xfId="6715"/>
    <cellStyle name="Normal 3 28" xfId="6716"/>
    <cellStyle name="Normal 3 29" xfId="6717"/>
    <cellStyle name="Normal 3 3" xfId="6718"/>
    <cellStyle name="Normal 3 3 10" xfId="6719"/>
    <cellStyle name="Normal 3 3 11" xfId="6720"/>
    <cellStyle name="Normal 3 3 12" xfId="6721"/>
    <cellStyle name="Normal 3 3 13" xfId="6722"/>
    <cellStyle name="Normal 3 3 14" xfId="6723"/>
    <cellStyle name="Normal 3 3 15" xfId="6724"/>
    <cellStyle name="Normal 3 3 16" xfId="6725"/>
    <cellStyle name="Normal 3 3 17" xfId="6726"/>
    <cellStyle name="Normal 3 3 18" xfId="6727"/>
    <cellStyle name="Normal 3 3 19" xfId="6728"/>
    <cellStyle name="Normal 3 3 2" xfId="6729"/>
    <cellStyle name="Normal 3 3 2 10" xfId="20211"/>
    <cellStyle name="Normal 3 3 2 2" xfId="6730"/>
    <cellStyle name="Normal 3 3 2 2 2" xfId="6731"/>
    <cellStyle name="Normal 3 3 2 2 2 2" xfId="36923"/>
    <cellStyle name="Normal 3 3 2 2 3" xfId="6732"/>
    <cellStyle name="Normal 3 3 2 2 3 2" xfId="36924"/>
    <cellStyle name="Normal 3 3 2 2 4" xfId="6733"/>
    <cellStyle name="Normal 3 3 2 2 4 2" xfId="36925"/>
    <cellStyle name="Normal 3 3 2 2 5" xfId="36926"/>
    <cellStyle name="Normal 3 3 2 2_01-04-2012" xfId="6734"/>
    <cellStyle name="Normal 3 3 2 3" xfId="6735"/>
    <cellStyle name="Normal 3 3 2 3 2" xfId="6736"/>
    <cellStyle name="Normal 3 3 2 3 2 2" xfId="36927"/>
    <cellStyle name="Normal 3 3 2 3 3" xfId="6737"/>
    <cellStyle name="Normal 3 3 2 3 3 2" xfId="36928"/>
    <cellStyle name="Normal 3 3 2 3 4" xfId="6738"/>
    <cellStyle name="Normal 3 3 2 3 4 2" xfId="36929"/>
    <cellStyle name="Normal 3 3 2 3 5" xfId="36930"/>
    <cellStyle name="Normal 3 3 2 3_01-04-2012" xfId="6739"/>
    <cellStyle name="Normal 3 3 2 4" xfId="6740"/>
    <cellStyle name="Normal 3 3 2 4 2" xfId="6741"/>
    <cellStyle name="Normal 3 3 2 4 2 2" xfId="36931"/>
    <cellStyle name="Normal 3 3 2 4 3" xfId="6742"/>
    <cellStyle name="Normal 3 3 2 4 3 2" xfId="36932"/>
    <cellStyle name="Normal 3 3 2 4 4" xfId="6743"/>
    <cellStyle name="Normal 3 3 2 4 4 2" xfId="36933"/>
    <cellStyle name="Normal 3 3 2 4 5" xfId="36934"/>
    <cellStyle name="Normal 3 3 2 4_01-04-2012" xfId="6744"/>
    <cellStyle name="Normal 3 3 2 5" xfId="6745"/>
    <cellStyle name="Normal 3 3 2 5 2" xfId="36935"/>
    <cellStyle name="Normal 3 3 2 6" xfId="6746"/>
    <cellStyle name="Normal 3 3 2 6 2" xfId="36936"/>
    <cellStyle name="Normal 3 3 2 7" xfId="6747"/>
    <cellStyle name="Normal 3 3 2 7 2" xfId="36937"/>
    <cellStyle name="Normal 3 3 2 8" xfId="20212"/>
    <cellStyle name="Normal 3 3 2 8 2" xfId="36938"/>
    <cellStyle name="Normal 3 3 2 9" xfId="20213"/>
    <cellStyle name="Normal 3 3 2_01-04-2012" xfId="6748"/>
    <cellStyle name="Normal 3 3 20" xfId="6749"/>
    <cellStyle name="Normal 3 3 21" xfId="6750"/>
    <cellStyle name="Normal 3 3 21 2" xfId="6751"/>
    <cellStyle name="Normal 3 3 21 2 2" xfId="36939"/>
    <cellStyle name="Normal 3 3 21 3" xfId="6752"/>
    <cellStyle name="Normal 3 3 21 3 2" xfId="36940"/>
    <cellStyle name="Normal 3 3 21 4" xfId="6753"/>
    <cellStyle name="Normal 3 3 21 4 2" xfId="36941"/>
    <cellStyle name="Normal 3 3 21 5" xfId="36942"/>
    <cellStyle name="Normal 3 3 21_01-04-2012" xfId="6754"/>
    <cellStyle name="Normal 3 3 22" xfId="6755"/>
    <cellStyle name="Normal 3 3 23" xfId="6756"/>
    <cellStyle name="Normal 3 3 24" xfId="6757"/>
    <cellStyle name="Normal 3 3 25" xfId="6758"/>
    <cellStyle name="Normal 3 3 26" xfId="6759"/>
    <cellStyle name="Normal 3 3 27" xfId="6760"/>
    <cellStyle name="Normal 3 3 28" xfId="6761"/>
    <cellStyle name="Normal 3 3 29" xfId="6762"/>
    <cellStyle name="Normal 3 3 3" xfId="6763"/>
    <cellStyle name="Normal 3 3 3 10" xfId="20214"/>
    <cellStyle name="Normal 3 3 3 2" xfId="6764"/>
    <cellStyle name="Normal 3 3 3 2 2" xfId="6765"/>
    <cellStyle name="Normal 3 3 3 2 2 2" xfId="36943"/>
    <cellStyle name="Normal 3 3 3 2 3" xfId="6766"/>
    <cellStyle name="Normal 3 3 3 2 3 2" xfId="36944"/>
    <cellStyle name="Normal 3 3 3 2 4" xfId="6767"/>
    <cellStyle name="Normal 3 3 3 2 4 2" xfId="36945"/>
    <cellStyle name="Normal 3 3 3 2 5" xfId="36946"/>
    <cellStyle name="Normal 3 3 3 2_01-04-2012" xfId="6768"/>
    <cellStyle name="Normal 3 3 3 3" xfId="6769"/>
    <cellStyle name="Normal 3 3 3 3 2" xfId="6770"/>
    <cellStyle name="Normal 3 3 3 3 2 2" xfId="36947"/>
    <cellStyle name="Normal 3 3 3 3 3" xfId="6771"/>
    <cellStyle name="Normal 3 3 3 3 3 2" xfId="36948"/>
    <cellStyle name="Normal 3 3 3 3 4" xfId="6772"/>
    <cellStyle name="Normal 3 3 3 3 4 2" xfId="36949"/>
    <cellStyle name="Normal 3 3 3 3 5" xfId="36950"/>
    <cellStyle name="Normal 3 3 3 3_01-04-2012" xfId="6773"/>
    <cellStyle name="Normal 3 3 3 4" xfId="6774"/>
    <cellStyle name="Normal 3 3 3 4 2" xfId="6775"/>
    <cellStyle name="Normal 3 3 3 4 2 2" xfId="36951"/>
    <cellStyle name="Normal 3 3 3 4 3" xfId="6776"/>
    <cellStyle name="Normal 3 3 3 4 3 2" xfId="36952"/>
    <cellStyle name="Normal 3 3 3 4 4" xfId="6777"/>
    <cellStyle name="Normal 3 3 3 4 4 2" xfId="36953"/>
    <cellStyle name="Normal 3 3 3 4 5" xfId="36954"/>
    <cellStyle name="Normal 3 3 3 4_01-04-2012" xfId="6778"/>
    <cellStyle name="Normal 3 3 3 5" xfId="6779"/>
    <cellStyle name="Normal 3 3 3 5 2" xfId="36955"/>
    <cellStyle name="Normal 3 3 3 6" xfId="6780"/>
    <cellStyle name="Normal 3 3 3 6 2" xfId="36956"/>
    <cellStyle name="Normal 3 3 3 7" xfId="6781"/>
    <cellStyle name="Normal 3 3 3 7 2" xfId="36957"/>
    <cellStyle name="Normal 3 3 3 8" xfId="20215"/>
    <cellStyle name="Normal 3 3 3 8 2" xfId="36958"/>
    <cellStyle name="Normal 3 3 3 9" xfId="20216"/>
    <cellStyle name="Normal 3 3 3_01-04-2012" xfId="6782"/>
    <cellStyle name="Normal 3 3 30" xfId="6783"/>
    <cellStyle name="Normal 3 3 31" xfId="6784"/>
    <cellStyle name="Normal 3 3 32" xfId="6785"/>
    <cellStyle name="Normal 3 3 33" xfId="6786"/>
    <cellStyle name="Normal 3 3 34" xfId="6787"/>
    <cellStyle name="Normal 3 3 35" xfId="6788"/>
    <cellStyle name="Normal 3 3 36" xfId="6789"/>
    <cellStyle name="Normal 3 3 37" xfId="6790"/>
    <cellStyle name="Normal 3 3 38" xfId="6791"/>
    <cellStyle name="Normal 3 3 39" xfId="6792"/>
    <cellStyle name="Normal 3 3 4" xfId="6793"/>
    <cellStyle name="Normal 3 3 4 10" xfId="20217"/>
    <cellStyle name="Normal 3 3 4 2" xfId="6794"/>
    <cellStyle name="Normal 3 3 4 2 2" xfId="6795"/>
    <cellStyle name="Normal 3 3 4 2 2 2" xfId="36959"/>
    <cellStyle name="Normal 3 3 4 2 3" xfId="6796"/>
    <cellStyle name="Normal 3 3 4 2 3 2" xfId="36960"/>
    <cellStyle name="Normal 3 3 4 2 4" xfId="6797"/>
    <cellStyle name="Normal 3 3 4 2 4 2" xfId="36961"/>
    <cellStyle name="Normal 3 3 4 2 5" xfId="36962"/>
    <cellStyle name="Normal 3 3 4 2_01-04-2012" xfId="6798"/>
    <cellStyle name="Normal 3 3 4 3" xfId="6799"/>
    <cellStyle name="Normal 3 3 4 3 2" xfId="6800"/>
    <cellStyle name="Normal 3 3 4 3 2 2" xfId="36963"/>
    <cellStyle name="Normal 3 3 4 3 3" xfId="6801"/>
    <cellStyle name="Normal 3 3 4 3 3 2" xfId="36964"/>
    <cellStyle name="Normal 3 3 4 3 4" xfId="6802"/>
    <cellStyle name="Normal 3 3 4 3 4 2" xfId="36965"/>
    <cellStyle name="Normal 3 3 4 3 5" xfId="36966"/>
    <cellStyle name="Normal 3 3 4 3_01-04-2012" xfId="6803"/>
    <cellStyle name="Normal 3 3 4 4" xfId="6804"/>
    <cellStyle name="Normal 3 3 4 4 2" xfId="6805"/>
    <cellStyle name="Normal 3 3 4 4 2 2" xfId="36967"/>
    <cellStyle name="Normal 3 3 4 4 3" xfId="6806"/>
    <cellStyle name="Normal 3 3 4 4 3 2" xfId="36968"/>
    <cellStyle name="Normal 3 3 4 4 4" xfId="6807"/>
    <cellStyle name="Normal 3 3 4 4 4 2" xfId="36969"/>
    <cellStyle name="Normal 3 3 4 4 5" xfId="36970"/>
    <cellStyle name="Normal 3 3 4 4_01-04-2012" xfId="6808"/>
    <cellStyle name="Normal 3 3 4 5" xfId="6809"/>
    <cellStyle name="Normal 3 3 4 5 2" xfId="36971"/>
    <cellStyle name="Normal 3 3 4 6" xfId="6810"/>
    <cellStyle name="Normal 3 3 4 6 2" xfId="36972"/>
    <cellStyle name="Normal 3 3 4 7" xfId="6811"/>
    <cellStyle name="Normal 3 3 4 7 2" xfId="36973"/>
    <cellStyle name="Normal 3 3 4 8" xfId="20218"/>
    <cellStyle name="Normal 3 3 4 8 2" xfId="36974"/>
    <cellStyle name="Normal 3 3 4 9" xfId="20219"/>
    <cellStyle name="Normal 3 3 4_01-04-2012" xfId="6812"/>
    <cellStyle name="Normal 3 3 40" xfId="6813"/>
    <cellStyle name="Normal 3 3 41" xfId="6814"/>
    <cellStyle name="Normal 3 3 42" xfId="6815"/>
    <cellStyle name="Normal 3 3 43" xfId="6816"/>
    <cellStyle name="Normal 3 3 44" xfId="6817"/>
    <cellStyle name="Normal 3 3 45" xfId="6818"/>
    <cellStyle name="Normal 3 3 46" xfId="6819"/>
    <cellStyle name="Normal 3 3 47" xfId="6820"/>
    <cellStyle name="Normal 3 3 48" xfId="6821"/>
    <cellStyle name="Normal 3 3 49" xfId="6822"/>
    <cellStyle name="Normal 3 3 5" xfId="6823"/>
    <cellStyle name="Normal 3 3 5 2" xfId="6824"/>
    <cellStyle name="Normal 3 3 5 2 2" xfId="36975"/>
    <cellStyle name="Normal 3 3 5 3" xfId="6825"/>
    <cellStyle name="Normal 3 3 5 3 2" xfId="36976"/>
    <cellStyle name="Normal 3 3 5 4" xfId="6826"/>
    <cellStyle name="Normal 3 3 5 4 2" xfId="36977"/>
    <cellStyle name="Normal 3 3 5 5" xfId="36978"/>
    <cellStyle name="Normal 3 3 5_01-04-2012" xfId="6827"/>
    <cellStyle name="Normal 3 3 50" xfId="6828"/>
    <cellStyle name="Normal 3 3 51" xfId="6829"/>
    <cellStyle name="Normal 3 3 52" xfId="6830"/>
    <cellStyle name="Normal 3 3 53" xfId="6831"/>
    <cellStyle name="Normal 3 3 54" xfId="6832"/>
    <cellStyle name="Normal 3 3 55" xfId="6833"/>
    <cellStyle name="Normal 3 3 56" xfId="6834"/>
    <cellStyle name="Normal 3 3 57" xfId="6835"/>
    <cellStyle name="Normal 3 3 58" xfId="6836"/>
    <cellStyle name="Normal 3 3 58 2" xfId="36979"/>
    <cellStyle name="Normal 3 3 59" xfId="6837"/>
    <cellStyle name="Normal 3 3 59 2" xfId="36980"/>
    <cellStyle name="Normal 3 3 6" xfId="6838"/>
    <cellStyle name="Normal 3 3 6 2" xfId="6839"/>
    <cellStyle name="Normal 3 3 6 2 2" xfId="36981"/>
    <cellStyle name="Normal 3 3 6 3" xfId="6840"/>
    <cellStyle name="Normal 3 3 6 3 2" xfId="36982"/>
    <cellStyle name="Normal 3 3 6 4" xfId="6841"/>
    <cellStyle name="Normal 3 3 6 4 2" xfId="36983"/>
    <cellStyle name="Normal 3 3 6 5" xfId="36984"/>
    <cellStyle name="Normal 3 3 6_01-04-2012" xfId="6842"/>
    <cellStyle name="Normal 3 3 60" xfId="6843"/>
    <cellStyle name="Normal 3 3 60 2" xfId="36985"/>
    <cellStyle name="Normal 3 3 61" xfId="6844"/>
    <cellStyle name="Normal 3 3 61 2" xfId="36986"/>
    <cellStyle name="Normal 3 3 62" xfId="20220"/>
    <cellStyle name="Normal 3 3 62 2" xfId="36987"/>
    <cellStyle name="Normal 3 3 63" xfId="20221"/>
    <cellStyle name="Normal 3 3 64" xfId="20222"/>
    <cellStyle name="Normal 3 3 7" xfId="6845"/>
    <cellStyle name="Normal 3 3 7 2" xfId="6846"/>
    <cellStyle name="Normal 3 3 7 2 2" xfId="36988"/>
    <cellStyle name="Normal 3 3 7 3" xfId="6847"/>
    <cellStyle name="Normal 3 3 7 3 2" xfId="36989"/>
    <cellStyle name="Normal 3 3 7 4" xfId="6848"/>
    <cellStyle name="Normal 3 3 7 4 2" xfId="36990"/>
    <cellStyle name="Normal 3 3 7 5" xfId="36991"/>
    <cellStyle name="Normal 3 3 7_01-04-2012" xfId="6849"/>
    <cellStyle name="Normal 3 3 8" xfId="6850"/>
    <cellStyle name="Normal 3 3 8 2" xfId="6851"/>
    <cellStyle name="Normal 3 3 8 2 2" xfId="36992"/>
    <cellStyle name="Normal 3 3 8 3" xfId="6852"/>
    <cellStyle name="Normal 3 3 8 3 2" xfId="36993"/>
    <cellStyle name="Normal 3 3 8 4" xfId="6853"/>
    <cellStyle name="Normal 3 3 8 4 2" xfId="36994"/>
    <cellStyle name="Normal 3 3 8 5" xfId="36995"/>
    <cellStyle name="Normal 3 3 8_01-04-2012" xfId="6854"/>
    <cellStyle name="Normal 3 3 9" xfId="6855"/>
    <cellStyle name="Normal 3 3_01-04-2012" xfId="6856"/>
    <cellStyle name="Normal 3 30" xfId="6857"/>
    <cellStyle name="Normal 3 31" xfId="6858"/>
    <cellStyle name="Normal 3 32" xfId="6859"/>
    <cellStyle name="Normal 3 32 2" xfId="6860"/>
    <cellStyle name="Normal 3 32 2 2" xfId="36996"/>
    <cellStyle name="Normal 3 32 3" xfId="6861"/>
    <cellStyle name="Normal 3 32 3 2" xfId="36997"/>
    <cellStyle name="Normal 3 32 4" xfId="6862"/>
    <cellStyle name="Normal 3 32 4 2" xfId="36998"/>
    <cellStyle name="Normal 3 32 5" xfId="36999"/>
    <cellStyle name="Normal 3 32_01-04-2012" xfId="6863"/>
    <cellStyle name="Normal 3 33" xfId="6864"/>
    <cellStyle name="Normal 3 34" xfId="6865"/>
    <cellStyle name="Normal 3 35" xfId="6866"/>
    <cellStyle name="Normal 3 36" xfId="6867"/>
    <cellStyle name="Normal 3 37" xfId="6868"/>
    <cellStyle name="Normal 3 38" xfId="6869"/>
    <cellStyle name="Normal 3 39" xfId="6870"/>
    <cellStyle name="Normal 3 4" xfId="6871"/>
    <cellStyle name="Normal 3 4 10" xfId="6872"/>
    <cellStyle name="Normal 3 4 10 2" xfId="37000"/>
    <cellStyle name="Normal 3 4 11" xfId="6873"/>
    <cellStyle name="Normal 3 4 11 2" xfId="37001"/>
    <cellStyle name="Normal 3 4 12" xfId="6874"/>
    <cellStyle name="Normal 3 4 12 2" xfId="37002"/>
    <cellStyle name="Normal 3 4 13" xfId="6875"/>
    <cellStyle name="Normal 3 4 13 2" xfId="37003"/>
    <cellStyle name="Normal 3 4 14" xfId="20223"/>
    <cellStyle name="Normal 3 4 14 2" xfId="37004"/>
    <cellStyle name="Normal 3 4 2" xfId="6876"/>
    <cellStyle name="Normal 3 4 2 10" xfId="20224"/>
    <cellStyle name="Normal 3 4 2 2" xfId="6877"/>
    <cellStyle name="Normal 3 4 2 2 2" xfId="6878"/>
    <cellStyle name="Normal 3 4 2 2 2 2" xfId="37005"/>
    <cellStyle name="Normal 3 4 2 2 3" xfId="6879"/>
    <cellStyle name="Normal 3 4 2 2 3 2" xfId="37006"/>
    <cellStyle name="Normal 3 4 2 2 4" xfId="6880"/>
    <cellStyle name="Normal 3 4 2 2 4 2" xfId="37007"/>
    <cellStyle name="Normal 3 4 2 2 5" xfId="37008"/>
    <cellStyle name="Normal 3 4 2 2_01-04-2012" xfId="6881"/>
    <cellStyle name="Normal 3 4 2 3" xfId="6882"/>
    <cellStyle name="Normal 3 4 2 3 2" xfId="6883"/>
    <cellStyle name="Normal 3 4 2 3 2 2" xfId="37009"/>
    <cellStyle name="Normal 3 4 2 3 3" xfId="6884"/>
    <cellStyle name="Normal 3 4 2 3 3 2" xfId="37010"/>
    <cellStyle name="Normal 3 4 2 3 4" xfId="6885"/>
    <cellStyle name="Normal 3 4 2 3 4 2" xfId="37011"/>
    <cellStyle name="Normal 3 4 2 3 5" xfId="37012"/>
    <cellStyle name="Normal 3 4 2 3_01-04-2012" xfId="6886"/>
    <cellStyle name="Normal 3 4 2 4" xfId="6887"/>
    <cellStyle name="Normal 3 4 2 4 2" xfId="6888"/>
    <cellStyle name="Normal 3 4 2 4 2 2" xfId="37013"/>
    <cellStyle name="Normal 3 4 2 4 3" xfId="6889"/>
    <cellStyle name="Normal 3 4 2 4 3 2" xfId="37014"/>
    <cellStyle name="Normal 3 4 2 4 4" xfId="6890"/>
    <cellStyle name="Normal 3 4 2 4 4 2" xfId="37015"/>
    <cellStyle name="Normal 3 4 2 4 5" xfId="37016"/>
    <cellStyle name="Normal 3 4 2 4_01-04-2012" xfId="6891"/>
    <cellStyle name="Normal 3 4 2 5" xfId="6892"/>
    <cellStyle name="Normal 3 4 2 5 2" xfId="37017"/>
    <cellStyle name="Normal 3 4 2 6" xfId="6893"/>
    <cellStyle name="Normal 3 4 2 6 2" xfId="37018"/>
    <cellStyle name="Normal 3 4 2 7" xfId="6894"/>
    <cellStyle name="Normal 3 4 2 7 2" xfId="37019"/>
    <cellStyle name="Normal 3 4 2 8" xfId="20225"/>
    <cellStyle name="Normal 3 4 2 8 2" xfId="37020"/>
    <cellStyle name="Normal 3 4 2 9" xfId="20226"/>
    <cellStyle name="Normal 3 4 2_01-04-2012" xfId="6895"/>
    <cellStyle name="Normal 3 4 3" xfId="6896"/>
    <cellStyle name="Normal 3 4 3 2" xfId="6897"/>
    <cellStyle name="Normal 3 4 3 2 2" xfId="6898"/>
    <cellStyle name="Normal 3 4 3 2 2 2" xfId="37021"/>
    <cellStyle name="Normal 3 4 3 2 3" xfId="6899"/>
    <cellStyle name="Normal 3 4 3 2 3 2" xfId="37022"/>
    <cellStyle name="Normal 3 4 3 2 4" xfId="6900"/>
    <cellStyle name="Normal 3 4 3 2 4 2" xfId="37023"/>
    <cellStyle name="Normal 3 4 3 2 5" xfId="37024"/>
    <cellStyle name="Normal 3 4 3 2_01-04-2012" xfId="6901"/>
    <cellStyle name="Normal 3 4 3 3" xfId="6902"/>
    <cellStyle name="Normal 3 4 3 3 2" xfId="6903"/>
    <cellStyle name="Normal 3 4 3 3 2 2" xfId="37025"/>
    <cellStyle name="Normal 3 4 3 3 3" xfId="6904"/>
    <cellStyle name="Normal 3 4 3 3 3 2" xfId="37026"/>
    <cellStyle name="Normal 3 4 3 3 4" xfId="6905"/>
    <cellStyle name="Normal 3 4 3 3 4 2" xfId="37027"/>
    <cellStyle name="Normal 3 4 3 3 5" xfId="37028"/>
    <cellStyle name="Normal 3 4 3 3_01-04-2012" xfId="6906"/>
    <cellStyle name="Normal 3 4 3 4" xfId="6907"/>
    <cellStyle name="Normal 3 4 3 4 2" xfId="6908"/>
    <cellStyle name="Normal 3 4 3 4 2 2" xfId="37029"/>
    <cellStyle name="Normal 3 4 3 4 3" xfId="6909"/>
    <cellStyle name="Normal 3 4 3 4 3 2" xfId="37030"/>
    <cellStyle name="Normal 3 4 3 4 4" xfId="6910"/>
    <cellStyle name="Normal 3 4 3 4 4 2" xfId="37031"/>
    <cellStyle name="Normal 3 4 3 4 5" xfId="37032"/>
    <cellStyle name="Normal 3 4 3 4_01-04-2012" xfId="6911"/>
    <cellStyle name="Normal 3 4 3 5" xfId="6912"/>
    <cellStyle name="Normal 3 4 3 5 2" xfId="37033"/>
    <cellStyle name="Normal 3 4 3 6" xfId="6913"/>
    <cellStyle name="Normal 3 4 3 6 2" xfId="37034"/>
    <cellStyle name="Normal 3 4 3 7" xfId="6914"/>
    <cellStyle name="Normal 3 4 3 7 2" xfId="37035"/>
    <cellStyle name="Normal 3 4 3 8" xfId="37036"/>
    <cellStyle name="Normal 3 4 3_01-04-2012" xfId="6915"/>
    <cellStyle name="Normal 3 4 4" xfId="6916"/>
    <cellStyle name="Normal 3 4 4 2" xfId="6917"/>
    <cellStyle name="Normal 3 4 4 2 2" xfId="6918"/>
    <cellStyle name="Normal 3 4 4 2 2 2" xfId="37037"/>
    <cellStyle name="Normal 3 4 4 2 3" xfId="6919"/>
    <cellStyle name="Normal 3 4 4 2 3 2" xfId="37038"/>
    <cellStyle name="Normal 3 4 4 2 4" xfId="6920"/>
    <cellStyle name="Normal 3 4 4 2 4 2" xfId="37039"/>
    <cellStyle name="Normal 3 4 4 2 5" xfId="37040"/>
    <cellStyle name="Normal 3 4 4 2_01-04-2012" xfId="6921"/>
    <cellStyle name="Normal 3 4 4 3" xfId="6922"/>
    <cellStyle name="Normal 3 4 4 3 2" xfId="6923"/>
    <cellStyle name="Normal 3 4 4 3 2 2" xfId="37041"/>
    <cellStyle name="Normal 3 4 4 3 3" xfId="6924"/>
    <cellStyle name="Normal 3 4 4 3 3 2" xfId="37042"/>
    <cellStyle name="Normal 3 4 4 3 4" xfId="6925"/>
    <cellStyle name="Normal 3 4 4 3 4 2" xfId="37043"/>
    <cellStyle name="Normal 3 4 4 3 5" xfId="37044"/>
    <cellStyle name="Normal 3 4 4 3_01-04-2012" xfId="6926"/>
    <cellStyle name="Normal 3 4 4 4" xfId="6927"/>
    <cellStyle name="Normal 3 4 4 4 2" xfId="6928"/>
    <cellStyle name="Normal 3 4 4 4 2 2" xfId="37045"/>
    <cellStyle name="Normal 3 4 4 4 3" xfId="6929"/>
    <cellStyle name="Normal 3 4 4 4 3 2" xfId="37046"/>
    <cellStyle name="Normal 3 4 4 4 4" xfId="6930"/>
    <cellStyle name="Normal 3 4 4 4 4 2" xfId="37047"/>
    <cellStyle name="Normal 3 4 4 4 5" xfId="37048"/>
    <cellStyle name="Normal 3 4 4 4_01-04-2012" xfId="6931"/>
    <cellStyle name="Normal 3 4 4 5" xfId="6932"/>
    <cellStyle name="Normal 3 4 4 5 2" xfId="37049"/>
    <cellStyle name="Normal 3 4 4 6" xfId="6933"/>
    <cellStyle name="Normal 3 4 4 6 2" xfId="37050"/>
    <cellStyle name="Normal 3 4 4 7" xfId="6934"/>
    <cellStyle name="Normal 3 4 4 7 2" xfId="37051"/>
    <cellStyle name="Normal 3 4 4 8" xfId="37052"/>
    <cellStyle name="Normal 3 4 4_01-04-2012" xfId="6935"/>
    <cellStyle name="Normal 3 4 5" xfId="6936"/>
    <cellStyle name="Normal 3 4 5 2" xfId="6937"/>
    <cellStyle name="Normal 3 4 5 2 2" xfId="37053"/>
    <cellStyle name="Normal 3 4 5 3" xfId="6938"/>
    <cellStyle name="Normal 3 4 5 3 2" xfId="37054"/>
    <cellStyle name="Normal 3 4 5 4" xfId="6939"/>
    <cellStyle name="Normal 3 4 5 4 2" xfId="37055"/>
    <cellStyle name="Normal 3 4 5 5" xfId="37056"/>
    <cellStyle name="Normal 3 4 5_01-04-2012" xfId="6940"/>
    <cellStyle name="Normal 3 4 6" xfId="6941"/>
    <cellStyle name="Normal 3 4 6 2" xfId="6942"/>
    <cellStyle name="Normal 3 4 6 2 2" xfId="37057"/>
    <cellStyle name="Normal 3 4 6 3" xfId="6943"/>
    <cellStyle name="Normal 3 4 6 3 2" xfId="37058"/>
    <cellStyle name="Normal 3 4 6 4" xfId="6944"/>
    <cellStyle name="Normal 3 4 6 4 2" xfId="37059"/>
    <cellStyle name="Normal 3 4 6 5" xfId="37060"/>
    <cellStyle name="Normal 3 4 6_01-04-2012" xfId="6945"/>
    <cellStyle name="Normal 3 4 7" xfId="6946"/>
    <cellStyle name="Normal 3 4 7 2" xfId="6947"/>
    <cellStyle name="Normal 3 4 7 2 2" xfId="37061"/>
    <cellStyle name="Normal 3 4 7 3" xfId="6948"/>
    <cellStyle name="Normal 3 4 7 3 2" xfId="37062"/>
    <cellStyle name="Normal 3 4 7 4" xfId="6949"/>
    <cellStyle name="Normal 3 4 7 4 2" xfId="37063"/>
    <cellStyle name="Normal 3 4 7 5" xfId="37064"/>
    <cellStyle name="Normal 3 4 7_01-04-2012" xfId="6950"/>
    <cellStyle name="Normal 3 4 8" xfId="6951"/>
    <cellStyle name="Normal 3 4 8 2" xfId="6952"/>
    <cellStyle name="Normal 3 4 8 2 2" xfId="37065"/>
    <cellStyle name="Normal 3 4 8 3" xfId="6953"/>
    <cellStyle name="Normal 3 4 8 3 2" xfId="37066"/>
    <cellStyle name="Normal 3 4 8 4" xfId="6954"/>
    <cellStyle name="Normal 3 4 8 4 2" xfId="37067"/>
    <cellStyle name="Normal 3 4 8 5" xfId="37068"/>
    <cellStyle name="Normal 3 4 8_01-04-2012" xfId="6955"/>
    <cellStyle name="Normal 3 4 9" xfId="6956"/>
    <cellStyle name="Normal 3 4 9 2" xfId="6957"/>
    <cellStyle name="Normal 3 4 9 2 2" xfId="37069"/>
    <cellStyle name="Normal 3 4 9 3" xfId="6958"/>
    <cellStyle name="Normal 3 4 9 3 2" xfId="37070"/>
    <cellStyle name="Normal 3 4 9 4" xfId="6959"/>
    <cellStyle name="Normal 3 4 9 4 2" xfId="37071"/>
    <cellStyle name="Normal 3 4 9 5" xfId="37072"/>
    <cellStyle name="Normal 3 4 9_01-04-2012" xfId="6960"/>
    <cellStyle name="Normal 3 4_01-04-2012" xfId="6961"/>
    <cellStyle name="Normal 3 40" xfId="6962"/>
    <cellStyle name="Normal 3 41" xfId="6963"/>
    <cellStyle name="Normal 3 42" xfId="6964"/>
    <cellStyle name="Normal 3 43" xfId="6965"/>
    <cellStyle name="Normal 3 44" xfId="6966"/>
    <cellStyle name="Normal 3 45" xfId="6967"/>
    <cellStyle name="Normal 3 46" xfId="6968"/>
    <cellStyle name="Normal 3 47" xfId="6969"/>
    <cellStyle name="Normal 3 48" xfId="6970"/>
    <cellStyle name="Normal 3 49" xfId="6971"/>
    <cellStyle name="Normal 3 5" xfId="6972"/>
    <cellStyle name="Normal 3 5 10" xfId="6973"/>
    <cellStyle name="Normal 3 5 10 2" xfId="37073"/>
    <cellStyle name="Normal 3 5 11" xfId="6974"/>
    <cellStyle name="Normal 3 5 11 2" xfId="37074"/>
    <cellStyle name="Normal 3 5 12" xfId="6975"/>
    <cellStyle name="Normal 3 5 12 2" xfId="37075"/>
    <cellStyle name="Normal 3 5 13" xfId="6976"/>
    <cellStyle name="Normal 3 5 13 2" xfId="37076"/>
    <cellStyle name="Normal 3 5 14" xfId="20227"/>
    <cellStyle name="Normal 3 5 14 2" xfId="37077"/>
    <cellStyle name="Normal 3 5 2" xfId="6977"/>
    <cellStyle name="Normal 3 5 2 2" xfId="6978"/>
    <cellStyle name="Normal 3 5 2 2 2" xfId="6979"/>
    <cellStyle name="Normal 3 5 2 2 2 2" xfId="37078"/>
    <cellStyle name="Normal 3 5 2 2 3" xfId="6980"/>
    <cellStyle name="Normal 3 5 2 2 3 2" xfId="37079"/>
    <cellStyle name="Normal 3 5 2 2 4" xfId="6981"/>
    <cellStyle name="Normal 3 5 2 2 4 2" xfId="37080"/>
    <cellStyle name="Normal 3 5 2 2 5" xfId="37081"/>
    <cellStyle name="Normal 3 5 2 2_01-04-2012" xfId="6982"/>
    <cellStyle name="Normal 3 5 2 3" xfId="6983"/>
    <cellStyle name="Normal 3 5 2 3 2" xfId="6984"/>
    <cellStyle name="Normal 3 5 2 3 2 2" xfId="37082"/>
    <cellStyle name="Normal 3 5 2 3 3" xfId="6985"/>
    <cellStyle name="Normal 3 5 2 3 3 2" xfId="37083"/>
    <cellStyle name="Normal 3 5 2 3 4" xfId="6986"/>
    <cellStyle name="Normal 3 5 2 3 4 2" xfId="37084"/>
    <cellStyle name="Normal 3 5 2 3 5" xfId="37085"/>
    <cellStyle name="Normal 3 5 2 3_01-04-2012" xfId="6987"/>
    <cellStyle name="Normal 3 5 2 4" xfId="6988"/>
    <cellStyle name="Normal 3 5 2 4 2" xfId="6989"/>
    <cellStyle name="Normal 3 5 2 4 2 2" xfId="37086"/>
    <cellStyle name="Normal 3 5 2 4 3" xfId="6990"/>
    <cellStyle name="Normal 3 5 2 4 3 2" xfId="37087"/>
    <cellStyle name="Normal 3 5 2 4 4" xfId="6991"/>
    <cellStyle name="Normal 3 5 2 4 4 2" xfId="37088"/>
    <cellStyle name="Normal 3 5 2 4 5" xfId="37089"/>
    <cellStyle name="Normal 3 5 2 4_01-04-2012" xfId="6992"/>
    <cellStyle name="Normal 3 5 2 5" xfId="6993"/>
    <cellStyle name="Normal 3 5 2 5 2" xfId="37090"/>
    <cellStyle name="Normal 3 5 2 6" xfId="6994"/>
    <cellStyle name="Normal 3 5 2 6 2" xfId="37091"/>
    <cellStyle name="Normal 3 5 2 7" xfId="6995"/>
    <cellStyle name="Normal 3 5 2 7 2" xfId="37092"/>
    <cellStyle name="Normal 3 5 2 8" xfId="33647"/>
    <cellStyle name="Normal 3 5 2 8 2" xfId="37093"/>
    <cellStyle name="Normal 3 5 2_01-04-2012" xfId="6996"/>
    <cellStyle name="Normal 3 5 3" xfId="6997"/>
    <cellStyle name="Normal 3 5 3 2" xfId="6998"/>
    <cellStyle name="Normal 3 5 3 2 2" xfId="6999"/>
    <cellStyle name="Normal 3 5 3 2 2 2" xfId="37094"/>
    <cellStyle name="Normal 3 5 3 2 3" xfId="7000"/>
    <cellStyle name="Normal 3 5 3 2 3 2" xfId="37095"/>
    <cellStyle name="Normal 3 5 3 2 4" xfId="7001"/>
    <cellStyle name="Normal 3 5 3 2 4 2" xfId="37096"/>
    <cellStyle name="Normal 3 5 3 2 5" xfId="37097"/>
    <cellStyle name="Normal 3 5 3 2_01-04-2012" xfId="7002"/>
    <cellStyle name="Normal 3 5 3 3" xfId="7003"/>
    <cellStyle name="Normal 3 5 3 3 2" xfId="7004"/>
    <cellStyle name="Normal 3 5 3 3 2 2" xfId="37098"/>
    <cellStyle name="Normal 3 5 3 3 3" xfId="7005"/>
    <cellStyle name="Normal 3 5 3 3 3 2" xfId="37099"/>
    <cellStyle name="Normal 3 5 3 3 4" xfId="7006"/>
    <cellStyle name="Normal 3 5 3 3 4 2" xfId="37100"/>
    <cellStyle name="Normal 3 5 3 3 5" xfId="37101"/>
    <cellStyle name="Normal 3 5 3 3_01-04-2012" xfId="7007"/>
    <cellStyle name="Normal 3 5 3 4" xfId="7008"/>
    <cellStyle name="Normal 3 5 3 4 2" xfId="7009"/>
    <cellStyle name="Normal 3 5 3 4 2 2" xfId="37102"/>
    <cellStyle name="Normal 3 5 3 4 3" xfId="7010"/>
    <cellStyle name="Normal 3 5 3 4 3 2" xfId="37103"/>
    <cellStyle name="Normal 3 5 3 4 4" xfId="7011"/>
    <cellStyle name="Normal 3 5 3 4 4 2" xfId="37104"/>
    <cellStyle name="Normal 3 5 3 4 5" xfId="37105"/>
    <cellStyle name="Normal 3 5 3 4_01-04-2012" xfId="7012"/>
    <cellStyle name="Normal 3 5 3 5" xfId="7013"/>
    <cellStyle name="Normal 3 5 3 5 2" xfId="37106"/>
    <cellStyle name="Normal 3 5 3 6" xfId="7014"/>
    <cellStyle name="Normal 3 5 3 6 2" xfId="37107"/>
    <cellStyle name="Normal 3 5 3 7" xfId="7015"/>
    <cellStyle name="Normal 3 5 3 7 2" xfId="37108"/>
    <cellStyle name="Normal 3 5 3 8" xfId="37109"/>
    <cellStyle name="Normal 3 5 3_01-04-2012" xfId="7016"/>
    <cellStyle name="Normal 3 5 4" xfId="7017"/>
    <cellStyle name="Normal 3 5 4 2" xfId="7018"/>
    <cellStyle name="Normal 3 5 4 2 2" xfId="7019"/>
    <cellStyle name="Normal 3 5 4 2 2 2" xfId="37110"/>
    <cellStyle name="Normal 3 5 4 2 3" xfId="7020"/>
    <cellStyle name="Normal 3 5 4 2 3 2" xfId="37111"/>
    <cellStyle name="Normal 3 5 4 2 4" xfId="7021"/>
    <cellStyle name="Normal 3 5 4 2 4 2" xfId="37112"/>
    <cellStyle name="Normal 3 5 4 2 5" xfId="37113"/>
    <cellStyle name="Normal 3 5 4 2_01-04-2012" xfId="7022"/>
    <cellStyle name="Normal 3 5 4 3" xfId="7023"/>
    <cellStyle name="Normal 3 5 4 3 2" xfId="7024"/>
    <cellStyle name="Normal 3 5 4 3 2 2" xfId="37114"/>
    <cellStyle name="Normal 3 5 4 3 3" xfId="7025"/>
    <cellStyle name="Normal 3 5 4 3 3 2" xfId="37115"/>
    <cellStyle name="Normal 3 5 4 3 4" xfId="7026"/>
    <cellStyle name="Normal 3 5 4 3 4 2" xfId="37116"/>
    <cellStyle name="Normal 3 5 4 3 5" xfId="37117"/>
    <cellStyle name="Normal 3 5 4 3_01-04-2012" xfId="7027"/>
    <cellStyle name="Normal 3 5 4 4" xfId="7028"/>
    <cellStyle name="Normal 3 5 4 4 2" xfId="7029"/>
    <cellStyle name="Normal 3 5 4 4 2 2" xfId="37118"/>
    <cellStyle name="Normal 3 5 4 4 3" xfId="7030"/>
    <cellStyle name="Normal 3 5 4 4 3 2" xfId="37119"/>
    <cellStyle name="Normal 3 5 4 4 4" xfId="7031"/>
    <cellStyle name="Normal 3 5 4 4 4 2" xfId="37120"/>
    <cellStyle name="Normal 3 5 4 4 5" xfId="37121"/>
    <cellStyle name="Normal 3 5 4 4_01-04-2012" xfId="7032"/>
    <cellStyle name="Normal 3 5 4 5" xfId="7033"/>
    <cellStyle name="Normal 3 5 4 5 2" xfId="37122"/>
    <cellStyle name="Normal 3 5 4 6" xfId="7034"/>
    <cellStyle name="Normal 3 5 4 6 2" xfId="37123"/>
    <cellStyle name="Normal 3 5 4 7" xfId="7035"/>
    <cellStyle name="Normal 3 5 4 7 2" xfId="37124"/>
    <cellStyle name="Normal 3 5 4 8" xfId="37125"/>
    <cellStyle name="Normal 3 5 4_01-04-2012" xfId="7036"/>
    <cellStyle name="Normal 3 5 5" xfId="7037"/>
    <cellStyle name="Normal 3 5 5 2" xfId="7038"/>
    <cellStyle name="Normal 3 5 5 2 2" xfId="37126"/>
    <cellStyle name="Normal 3 5 5 3" xfId="7039"/>
    <cellStyle name="Normal 3 5 5 3 2" xfId="37127"/>
    <cellStyle name="Normal 3 5 5 4" xfId="7040"/>
    <cellStyle name="Normal 3 5 5 4 2" xfId="37128"/>
    <cellStyle name="Normal 3 5 5 5" xfId="37129"/>
    <cellStyle name="Normal 3 5 5_01-04-2012" xfId="7041"/>
    <cellStyle name="Normal 3 5 6" xfId="7042"/>
    <cellStyle name="Normal 3 5 6 2" xfId="7043"/>
    <cellStyle name="Normal 3 5 6 2 2" xfId="37130"/>
    <cellStyle name="Normal 3 5 6 3" xfId="7044"/>
    <cellStyle name="Normal 3 5 6 3 2" xfId="37131"/>
    <cellStyle name="Normal 3 5 6 4" xfId="7045"/>
    <cellStyle name="Normal 3 5 6 4 2" xfId="37132"/>
    <cellStyle name="Normal 3 5 6 5" xfId="37133"/>
    <cellStyle name="Normal 3 5 6_01-04-2012" xfId="7046"/>
    <cellStyle name="Normal 3 5 7" xfId="7047"/>
    <cellStyle name="Normal 3 5 7 2" xfId="7048"/>
    <cellStyle name="Normal 3 5 7 2 2" xfId="37134"/>
    <cellStyle name="Normal 3 5 7 3" xfId="7049"/>
    <cellStyle name="Normal 3 5 7 3 2" xfId="37135"/>
    <cellStyle name="Normal 3 5 7 4" xfId="7050"/>
    <cellStyle name="Normal 3 5 7 4 2" xfId="37136"/>
    <cellStyle name="Normal 3 5 7 5" xfId="37137"/>
    <cellStyle name="Normal 3 5 7_01-04-2012" xfId="7051"/>
    <cellStyle name="Normal 3 5 8" xfId="7052"/>
    <cellStyle name="Normal 3 5 8 2" xfId="7053"/>
    <cellStyle name="Normal 3 5 8 2 2" xfId="37138"/>
    <cellStyle name="Normal 3 5 8 3" xfId="7054"/>
    <cellStyle name="Normal 3 5 8 3 2" xfId="37139"/>
    <cellStyle name="Normal 3 5 8 4" xfId="7055"/>
    <cellStyle name="Normal 3 5 8 4 2" xfId="37140"/>
    <cellStyle name="Normal 3 5 8 5" xfId="37141"/>
    <cellStyle name="Normal 3 5 8_01-04-2012" xfId="7056"/>
    <cellStyle name="Normal 3 5 9" xfId="7057"/>
    <cellStyle name="Normal 3 5 9 2" xfId="7058"/>
    <cellStyle name="Normal 3 5 9 2 2" xfId="37142"/>
    <cellStyle name="Normal 3 5 9 3" xfId="7059"/>
    <cellStyle name="Normal 3 5 9 3 2" xfId="37143"/>
    <cellStyle name="Normal 3 5 9 4" xfId="7060"/>
    <cellStyle name="Normal 3 5 9 4 2" xfId="37144"/>
    <cellStyle name="Normal 3 5 9 5" xfId="37145"/>
    <cellStyle name="Normal 3 5 9_01-04-2012" xfId="7061"/>
    <cellStyle name="Normal 3 5_01-04-2012" xfId="7062"/>
    <cellStyle name="Normal 3 50" xfId="7063"/>
    <cellStyle name="Normal 3 51" xfId="7064"/>
    <cellStyle name="Normal 3 52" xfId="7065"/>
    <cellStyle name="Normal 3 53" xfId="7066"/>
    <cellStyle name="Normal 3 54" xfId="7067"/>
    <cellStyle name="Normal 3 55" xfId="7068"/>
    <cellStyle name="Normal 3 56" xfId="7069"/>
    <cellStyle name="Normal 3 57" xfId="7070"/>
    <cellStyle name="Normal 3 58" xfId="7071"/>
    <cellStyle name="Normal 3 59" xfId="7072"/>
    <cellStyle name="Normal 3 6" xfId="7073"/>
    <cellStyle name="Normal 3 6 10" xfId="7074"/>
    <cellStyle name="Normal 3 6 10 2" xfId="37146"/>
    <cellStyle name="Normal 3 6 11" xfId="7075"/>
    <cellStyle name="Normal 3 6 11 2" xfId="37147"/>
    <cellStyle name="Normal 3 6 12" xfId="7076"/>
    <cellStyle name="Normal 3 6 12 2" xfId="37148"/>
    <cellStyle name="Normal 3 6 13" xfId="7077"/>
    <cellStyle name="Normal 3 6 13 2" xfId="37149"/>
    <cellStyle name="Normal 3 6 14" xfId="20228"/>
    <cellStyle name="Normal 3 6 14 2" xfId="37150"/>
    <cellStyle name="Normal 3 6 2" xfId="7078"/>
    <cellStyle name="Normal 3 6 2 2" xfId="7079"/>
    <cellStyle name="Normal 3 6 2 2 2" xfId="7080"/>
    <cellStyle name="Normal 3 6 2 2 2 2" xfId="37151"/>
    <cellStyle name="Normal 3 6 2 2 3" xfId="7081"/>
    <cellStyle name="Normal 3 6 2 2 3 2" xfId="37152"/>
    <cellStyle name="Normal 3 6 2 2 4" xfId="7082"/>
    <cellStyle name="Normal 3 6 2 2 4 2" xfId="37153"/>
    <cellStyle name="Normal 3 6 2 2 5" xfId="37154"/>
    <cellStyle name="Normal 3 6 2 2_01-04-2012" xfId="7083"/>
    <cellStyle name="Normal 3 6 2 3" xfId="7084"/>
    <cellStyle name="Normal 3 6 2 3 2" xfId="7085"/>
    <cellStyle name="Normal 3 6 2 3 2 2" xfId="37155"/>
    <cellStyle name="Normal 3 6 2 3 3" xfId="7086"/>
    <cellStyle name="Normal 3 6 2 3 3 2" xfId="37156"/>
    <cellStyle name="Normal 3 6 2 3 4" xfId="7087"/>
    <cellStyle name="Normal 3 6 2 3 4 2" xfId="37157"/>
    <cellStyle name="Normal 3 6 2 3 5" xfId="37158"/>
    <cellStyle name="Normal 3 6 2 3_01-04-2012" xfId="7088"/>
    <cellStyle name="Normal 3 6 2 4" xfId="7089"/>
    <cellStyle name="Normal 3 6 2 4 2" xfId="7090"/>
    <cellStyle name="Normal 3 6 2 4 2 2" xfId="37159"/>
    <cellStyle name="Normal 3 6 2 4 3" xfId="7091"/>
    <cellStyle name="Normal 3 6 2 4 3 2" xfId="37160"/>
    <cellStyle name="Normal 3 6 2 4 4" xfId="7092"/>
    <cellStyle name="Normal 3 6 2 4 4 2" xfId="37161"/>
    <cellStyle name="Normal 3 6 2 4 5" xfId="37162"/>
    <cellStyle name="Normal 3 6 2 4_01-04-2012" xfId="7093"/>
    <cellStyle name="Normal 3 6 2 5" xfId="7094"/>
    <cellStyle name="Normal 3 6 2 5 2" xfId="37163"/>
    <cellStyle name="Normal 3 6 2 6" xfId="7095"/>
    <cellStyle name="Normal 3 6 2 6 2" xfId="37164"/>
    <cellStyle name="Normal 3 6 2 7" xfId="7096"/>
    <cellStyle name="Normal 3 6 2 7 2" xfId="37165"/>
    <cellStyle name="Normal 3 6 2 8" xfId="37166"/>
    <cellStyle name="Normal 3 6 2_01-04-2012" xfId="7097"/>
    <cellStyle name="Normal 3 6 3" xfId="7098"/>
    <cellStyle name="Normal 3 6 3 2" xfId="7099"/>
    <cellStyle name="Normal 3 6 3 2 2" xfId="7100"/>
    <cellStyle name="Normal 3 6 3 2 2 2" xfId="37167"/>
    <cellStyle name="Normal 3 6 3 2 3" xfId="7101"/>
    <cellStyle name="Normal 3 6 3 2 3 2" xfId="37168"/>
    <cellStyle name="Normal 3 6 3 2 4" xfId="7102"/>
    <cellStyle name="Normal 3 6 3 2 4 2" xfId="37169"/>
    <cellStyle name="Normal 3 6 3 2 5" xfId="37170"/>
    <cellStyle name="Normal 3 6 3 2_01-04-2012" xfId="7103"/>
    <cellStyle name="Normal 3 6 3 3" xfId="7104"/>
    <cellStyle name="Normal 3 6 3 3 2" xfId="7105"/>
    <cellStyle name="Normal 3 6 3 3 2 2" xfId="37171"/>
    <cellStyle name="Normal 3 6 3 3 3" xfId="7106"/>
    <cellStyle name="Normal 3 6 3 3 3 2" xfId="37172"/>
    <cellStyle name="Normal 3 6 3 3 4" xfId="7107"/>
    <cellStyle name="Normal 3 6 3 3 4 2" xfId="37173"/>
    <cellStyle name="Normal 3 6 3 3 5" xfId="37174"/>
    <cellStyle name="Normal 3 6 3 3_01-04-2012" xfId="7108"/>
    <cellStyle name="Normal 3 6 3 4" xfId="7109"/>
    <cellStyle name="Normal 3 6 3 4 2" xfId="7110"/>
    <cellStyle name="Normal 3 6 3 4 2 2" xfId="37175"/>
    <cellStyle name="Normal 3 6 3 4 3" xfId="7111"/>
    <cellStyle name="Normal 3 6 3 4 3 2" xfId="37176"/>
    <cellStyle name="Normal 3 6 3 4 4" xfId="7112"/>
    <cellStyle name="Normal 3 6 3 4 4 2" xfId="37177"/>
    <cellStyle name="Normal 3 6 3 4 5" xfId="37178"/>
    <cellStyle name="Normal 3 6 3 4_01-04-2012" xfId="7113"/>
    <cellStyle name="Normal 3 6 3 5" xfId="7114"/>
    <cellStyle name="Normal 3 6 3 5 2" xfId="37179"/>
    <cellStyle name="Normal 3 6 3 6" xfId="7115"/>
    <cellStyle name="Normal 3 6 3 6 2" xfId="37180"/>
    <cellStyle name="Normal 3 6 3 7" xfId="7116"/>
    <cellStyle name="Normal 3 6 3 7 2" xfId="37181"/>
    <cellStyle name="Normal 3 6 3 8" xfId="37182"/>
    <cellStyle name="Normal 3 6 3_01-04-2012" xfId="7117"/>
    <cellStyle name="Normal 3 6 4" xfId="7118"/>
    <cellStyle name="Normal 3 6 4 2" xfId="7119"/>
    <cellStyle name="Normal 3 6 4 2 2" xfId="7120"/>
    <cellStyle name="Normal 3 6 4 2 2 2" xfId="37183"/>
    <cellStyle name="Normal 3 6 4 2 3" xfId="7121"/>
    <cellStyle name="Normal 3 6 4 2 3 2" xfId="37184"/>
    <cellStyle name="Normal 3 6 4 2 4" xfId="7122"/>
    <cellStyle name="Normal 3 6 4 2 4 2" xfId="37185"/>
    <cellStyle name="Normal 3 6 4 2 5" xfId="37186"/>
    <cellStyle name="Normal 3 6 4 2_01-04-2012" xfId="7123"/>
    <cellStyle name="Normal 3 6 4 3" xfId="7124"/>
    <cellStyle name="Normal 3 6 4 3 2" xfId="7125"/>
    <cellStyle name="Normal 3 6 4 3 2 2" xfId="37187"/>
    <cellStyle name="Normal 3 6 4 3 3" xfId="7126"/>
    <cellStyle name="Normal 3 6 4 3 3 2" xfId="37188"/>
    <cellStyle name="Normal 3 6 4 3 4" xfId="7127"/>
    <cellStyle name="Normal 3 6 4 3 4 2" xfId="37189"/>
    <cellStyle name="Normal 3 6 4 3 5" xfId="37190"/>
    <cellStyle name="Normal 3 6 4 3_01-04-2012" xfId="7128"/>
    <cellStyle name="Normal 3 6 4 4" xfId="7129"/>
    <cellStyle name="Normal 3 6 4 4 2" xfId="7130"/>
    <cellStyle name="Normal 3 6 4 4 2 2" xfId="37191"/>
    <cellStyle name="Normal 3 6 4 4 3" xfId="7131"/>
    <cellStyle name="Normal 3 6 4 4 3 2" xfId="37192"/>
    <cellStyle name="Normal 3 6 4 4 4" xfId="7132"/>
    <cellStyle name="Normal 3 6 4 4 4 2" xfId="37193"/>
    <cellStyle name="Normal 3 6 4 4 5" xfId="37194"/>
    <cellStyle name="Normal 3 6 4 4_01-04-2012" xfId="7133"/>
    <cellStyle name="Normal 3 6 4 5" xfId="7134"/>
    <cellStyle name="Normal 3 6 4 5 2" xfId="37195"/>
    <cellStyle name="Normal 3 6 4 6" xfId="7135"/>
    <cellStyle name="Normal 3 6 4 6 2" xfId="37196"/>
    <cellStyle name="Normal 3 6 4 7" xfId="7136"/>
    <cellStyle name="Normal 3 6 4 7 2" xfId="37197"/>
    <cellStyle name="Normal 3 6 4 8" xfId="37198"/>
    <cellStyle name="Normal 3 6 4_01-04-2012" xfId="7137"/>
    <cellStyle name="Normal 3 6 5" xfId="7138"/>
    <cellStyle name="Normal 3 6 5 2" xfId="7139"/>
    <cellStyle name="Normal 3 6 5 2 2" xfId="37199"/>
    <cellStyle name="Normal 3 6 5 3" xfId="7140"/>
    <cellStyle name="Normal 3 6 5 3 2" xfId="37200"/>
    <cellStyle name="Normal 3 6 5 4" xfId="7141"/>
    <cellStyle name="Normal 3 6 5 4 2" xfId="37201"/>
    <cellStyle name="Normal 3 6 5 5" xfId="37202"/>
    <cellStyle name="Normal 3 6 5_01-04-2012" xfId="7142"/>
    <cellStyle name="Normal 3 6 6" xfId="7143"/>
    <cellStyle name="Normal 3 6 6 2" xfId="7144"/>
    <cellStyle name="Normal 3 6 6 2 2" xfId="20229"/>
    <cellStyle name="Normal 3 6 6 2 2 2" xfId="37203"/>
    <cellStyle name="Normal 3 6 6 3" xfId="7145"/>
    <cellStyle name="Normal 3 6 6 3 2" xfId="37204"/>
    <cellStyle name="Normal 3 6 6 4" xfId="7146"/>
    <cellStyle name="Normal 3 6 6 4 2" xfId="20230"/>
    <cellStyle name="Normal 3 6 6 4 2 2" xfId="37205"/>
    <cellStyle name="Normal 3 6 6 5" xfId="37206"/>
    <cellStyle name="Normal 3 6 6_01-04-2012" xfId="7147"/>
    <cellStyle name="Normal 3 6 7" xfId="7148"/>
    <cellStyle name="Normal 3 6 7 2" xfId="7149"/>
    <cellStyle name="Normal 3 6 7 2 2" xfId="20231"/>
    <cellStyle name="Normal 3 6 7 2 2 2" xfId="37207"/>
    <cellStyle name="Normal 3 6 7 3" xfId="7150"/>
    <cellStyle name="Normal 3 6 7 3 2" xfId="37208"/>
    <cellStyle name="Normal 3 6 7 4" xfId="7151"/>
    <cellStyle name="Normal 3 6 7 4 2" xfId="37209"/>
    <cellStyle name="Normal 3 6 7 5" xfId="37210"/>
    <cellStyle name="Normal 3 6 7_01-04-2012" xfId="7152"/>
    <cellStyle name="Normal 3 6 8" xfId="7153"/>
    <cellStyle name="Normal 3 6 8 2" xfId="7154"/>
    <cellStyle name="Normal 3 6 8 2 2" xfId="37211"/>
    <cellStyle name="Normal 3 6 8 3" xfId="7155"/>
    <cellStyle name="Normal 3 6 8 3 2" xfId="37212"/>
    <cellStyle name="Normal 3 6 8 4" xfId="7156"/>
    <cellStyle name="Normal 3 6 8 4 2" xfId="37213"/>
    <cellStyle name="Normal 3 6 8 5" xfId="37214"/>
    <cellStyle name="Normal 3 6 8_01-04-2012" xfId="7157"/>
    <cellStyle name="Normal 3 6 9" xfId="7158"/>
    <cellStyle name="Normal 3 6 9 2" xfId="7159"/>
    <cellStyle name="Normal 3 6 9 2 2" xfId="37215"/>
    <cellStyle name="Normal 3 6 9 3" xfId="7160"/>
    <cellStyle name="Normal 3 6 9 3 2" xfId="37216"/>
    <cellStyle name="Normal 3 6 9 4" xfId="7161"/>
    <cellStyle name="Normal 3 6 9 4 2" xfId="37217"/>
    <cellStyle name="Normal 3 6 9 5" xfId="37218"/>
    <cellStyle name="Normal 3 6 9_01-04-2012" xfId="7162"/>
    <cellStyle name="Normal 3 6_01-04-2012" xfId="7163"/>
    <cellStyle name="Normal 3 60" xfId="7164"/>
    <cellStyle name="Normal 3 61" xfId="7165"/>
    <cellStyle name="Normal 3 62" xfId="7166"/>
    <cellStyle name="Normal 3 63" xfId="7167"/>
    <cellStyle name="Normal 3 64" xfId="7168"/>
    <cellStyle name="Normal 3 65" xfId="7169"/>
    <cellStyle name="Normal 3 66" xfId="7170"/>
    <cellStyle name="Normal 3 67" xfId="7171"/>
    <cellStyle name="Normal 3 68" xfId="7172"/>
    <cellStyle name="Normal 3 69" xfId="7173"/>
    <cellStyle name="Normal 3 7" xfId="7174"/>
    <cellStyle name="Normal 3 7 10" xfId="7175"/>
    <cellStyle name="Normal 3 7 10 2" xfId="37219"/>
    <cellStyle name="Normal 3 7 11" xfId="7176"/>
    <cellStyle name="Normal 3 7 11 2" xfId="37220"/>
    <cellStyle name="Normal 3 7 12" xfId="7177"/>
    <cellStyle name="Normal 3 7 12 2" xfId="37221"/>
    <cellStyle name="Normal 3 7 13" xfId="7178"/>
    <cellStyle name="Normal 3 7 13 2" xfId="37222"/>
    <cellStyle name="Normal 3 7 14" xfId="20232"/>
    <cellStyle name="Normal 3 7 14 2" xfId="37223"/>
    <cellStyle name="Normal 3 7 2" xfId="7179"/>
    <cellStyle name="Normal 3 7 2 2" xfId="7180"/>
    <cellStyle name="Normal 3 7 2 2 2" xfId="7181"/>
    <cellStyle name="Normal 3 7 2 2 2 2" xfId="37224"/>
    <cellStyle name="Normal 3 7 2 2 3" xfId="7182"/>
    <cellStyle name="Normal 3 7 2 2 3 2" xfId="37225"/>
    <cellStyle name="Normal 3 7 2 2 4" xfId="7183"/>
    <cellStyle name="Normal 3 7 2 2 4 2" xfId="37226"/>
    <cellStyle name="Normal 3 7 2 2 5" xfId="37227"/>
    <cellStyle name="Normal 3 7 2 2_01-04-2012" xfId="7184"/>
    <cellStyle name="Normal 3 7 2 3" xfId="7185"/>
    <cellStyle name="Normal 3 7 2 3 2" xfId="7186"/>
    <cellStyle name="Normal 3 7 2 3 2 2" xfId="37228"/>
    <cellStyle name="Normal 3 7 2 3 3" xfId="7187"/>
    <cellStyle name="Normal 3 7 2 3 3 2" xfId="37229"/>
    <cellStyle name="Normal 3 7 2 3 4" xfId="7188"/>
    <cellStyle name="Normal 3 7 2 3 4 2" xfId="37230"/>
    <cellStyle name="Normal 3 7 2 3 5" xfId="37231"/>
    <cellStyle name="Normal 3 7 2 3_01-04-2012" xfId="7189"/>
    <cellStyle name="Normal 3 7 2 4" xfId="7190"/>
    <cellStyle name="Normal 3 7 2 4 2" xfId="7191"/>
    <cellStyle name="Normal 3 7 2 4 2 2" xfId="37232"/>
    <cellStyle name="Normal 3 7 2 4 3" xfId="7192"/>
    <cellStyle name="Normal 3 7 2 4 3 2" xfId="37233"/>
    <cellStyle name="Normal 3 7 2 4 4" xfId="7193"/>
    <cellStyle name="Normal 3 7 2 4 4 2" xfId="37234"/>
    <cellStyle name="Normal 3 7 2 4 5" xfId="37235"/>
    <cellStyle name="Normal 3 7 2 4_01-04-2012" xfId="7194"/>
    <cellStyle name="Normal 3 7 2 5" xfId="7195"/>
    <cellStyle name="Normal 3 7 2 5 2" xfId="37236"/>
    <cellStyle name="Normal 3 7 2 6" xfId="7196"/>
    <cellStyle name="Normal 3 7 2 6 2" xfId="37237"/>
    <cellStyle name="Normal 3 7 2 7" xfId="7197"/>
    <cellStyle name="Normal 3 7 2 7 2" xfId="37238"/>
    <cellStyle name="Normal 3 7 2 8" xfId="37239"/>
    <cellStyle name="Normal 3 7 2_01-04-2012" xfId="7198"/>
    <cellStyle name="Normal 3 7 3" xfId="7199"/>
    <cellStyle name="Normal 3 7 3 2" xfId="7200"/>
    <cellStyle name="Normal 3 7 3 2 2" xfId="7201"/>
    <cellStyle name="Normal 3 7 3 2 2 2" xfId="37240"/>
    <cellStyle name="Normal 3 7 3 2 3" xfId="7202"/>
    <cellStyle name="Normal 3 7 3 2 3 2" xfId="37241"/>
    <cellStyle name="Normal 3 7 3 2 4" xfId="7203"/>
    <cellStyle name="Normal 3 7 3 2 4 2" xfId="37242"/>
    <cellStyle name="Normal 3 7 3 2 5" xfId="37243"/>
    <cellStyle name="Normal 3 7 3 2_01-04-2012" xfId="7204"/>
    <cellStyle name="Normal 3 7 3 3" xfId="7205"/>
    <cellStyle name="Normal 3 7 3 3 2" xfId="7206"/>
    <cellStyle name="Normal 3 7 3 3 2 2" xfId="37244"/>
    <cellStyle name="Normal 3 7 3 3 3" xfId="7207"/>
    <cellStyle name="Normal 3 7 3 3 3 2" xfId="37245"/>
    <cellStyle name="Normal 3 7 3 3 4" xfId="7208"/>
    <cellStyle name="Normal 3 7 3 3 4 2" xfId="37246"/>
    <cellStyle name="Normal 3 7 3 3 5" xfId="37247"/>
    <cellStyle name="Normal 3 7 3 3_01-04-2012" xfId="7209"/>
    <cellStyle name="Normal 3 7 3 4" xfId="7210"/>
    <cellStyle name="Normal 3 7 3 4 2" xfId="7211"/>
    <cellStyle name="Normal 3 7 3 4 2 2" xfId="37248"/>
    <cellStyle name="Normal 3 7 3 4 3" xfId="7212"/>
    <cellStyle name="Normal 3 7 3 4 3 2" xfId="37249"/>
    <cellStyle name="Normal 3 7 3 4 4" xfId="7213"/>
    <cellStyle name="Normal 3 7 3 4 4 2" xfId="37250"/>
    <cellStyle name="Normal 3 7 3 4 5" xfId="37251"/>
    <cellStyle name="Normal 3 7 3 4_01-04-2012" xfId="7214"/>
    <cellStyle name="Normal 3 7 3 5" xfId="7215"/>
    <cellStyle name="Normal 3 7 3 5 2" xfId="37252"/>
    <cellStyle name="Normal 3 7 3 6" xfId="7216"/>
    <cellStyle name="Normal 3 7 3 6 2" xfId="37253"/>
    <cellStyle name="Normal 3 7 3 7" xfId="7217"/>
    <cellStyle name="Normal 3 7 3 7 2" xfId="37254"/>
    <cellStyle name="Normal 3 7 3 8" xfId="37255"/>
    <cellStyle name="Normal 3 7 3_01-04-2012" xfId="7218"/>
    <cellStyle name="Normal 3 7 4" xfId="7219"/>
    <cellStyle name="Normal 3 7 4 2" xfId="7220"/>
    <cellStyle name="Normal 3 7 4 2 2" xfId="7221"/>
    <cellStyle name="Normal 3 7 4 2 2 2" xfId="37256"/>
    <cellStyle name="Normal 3 7 4 2 3" xfId="7222"/>
    <cellStyle name="Normal 3 7 4 2 3 2" xfId="37257"/>
    <cellStyle name="Normal 3 7 4 2 4" xfId="7223"/>
    <cellStyle name="Normal 3 7 4 2 4 2" xfId="37258"/>
    <cellStyle name="Normal 3 7 4 2 5" xfId="37259"/>
    <cellStyle name="Normal 3 7 4 2_01-04-2012" xfId="7224"/>
    <cellStyle name="Normal 3 7 4 3" xfId="7225"/>
    <cellStyle name="Normal 3 7 4 3 2" xfId="7226"/>
    <cellStyle name="Normal 3 7 4 3 2 2" xfId="37260"/>
    <cellStyle name="Normal 3 7 4 3 3" xfId="7227"/>
    <cellStyle name="Normal 3 7 4 3 3 2" xfId="37261"/>
    <cellStyle name="Normal 3 7 4 3 4" xfId="7228"/>
    <cellStyle name="Normal 3 7 4 3 4 2" xfId="37262"/>
    <cellStyle name="Normal 3 7 4 3 5" xfId="37263"/>
    <cellStyle name="Normal 3 7 4 3_01-04-2012" xfId="7229"/>
    <cellStyle name="Normal 3 7 4 4" xfId="7230"/>
    <cellStyle name="Normal 3 7 4 4 2" xfId="7231"/>
    <cellStyle name="Normal 3 7 4 4 2 2" xfId="37264"/>
    <cellStyle name="Normal 3 7 4 4 3" xfId="7232"/>
    <cellStyle name="Normal 3 7 4 4 3 2" xfId="37265"/>
    <cellStyle name="Normal 3 7 4 4 4" xfId="7233"/>
    <cellStyle name="Normal 3 7 4 4 4 2" xfId="37266"/>
    <cellStyle name="Normal 3 7 4 4 5" xfId="37267"/>
    <cellStyle name="Normal 3 7 4 4_01-04-2012" xfId="7234"/>
    <cellStyle name="Normal 3 7 4 5" xfId="7235"/>
    <cellStyle name="Normal 3 7 4 5 2" xfId="37268"/>
    <cellStyle name="Normal 3 7 4 6" xfId="7236"/>
    <cellStyle name="Normal 3 7 4 6 2" xfId="37269"/>
    <cellStyle name="Normal 3 7 4 7" xfId="7237"/>
    <cellStyle name="Normal 3 7 4 7 2" xfId="37270"/>
    <cellStyle name="Normal 3 7 4 8" xfId="37271"/>
    <cellStyle name="Normal 3 7 4_01-04-2012" xfId="7238"/>
    <cellStyle name="Normal 3 7 5" xfId="7239"/>
    <cellStyle name="Normal 3 7 5 2" xfId="7240"/>
    <cellStyle name="Normal 3 7 5 2 2" xfId="37272"/>
    <cellStyle name="Normal 3 7 5 3" xfId="7241"/>
    <cellStyle name="Normal 3 7 5 3 2" xfId="37273"/>
    <cellStyle name="Normal 3 7 5 4" xfId="7242"/>
    <cellStyle name="Normal 3 7 5 4 2" xfId="37274"/>
    <cellStyle name="Normal 3 7 5 5" xfId="37275"/>
    <cellStyle name="Normal 3 7 5_01-04-2012" xfId="7243"/>
    <cellStyle name="Normal 3 7 6" xfId="7244"/>
    <cellStyle name="Normal 3 7 6 2" xfId="7245"/>
    <cellStyle name="Normal 3 7 6 2 2" xfId="37276"/>
    <cellStyle name="Normal 3 7 6 3" xfId="7246"/>
    <cellStyle name="Normal 3 7 6 3 2" xfId="37277"/>
    <cellStyle name="Normal 3 7 6 4" xfId="7247"/>
    <cellStyle name="Normal 3 7 6 4 2" xfId="37278"/>
    <cellStyle name="Normal 3 7 6 5" xfId="37279"/>
    <cellStyle name="Normal 3 7 6_01-04-2012" xfId="7248"/>
    <cellStyle name="Normal 3 7 7" xfId="7249"/>
    <cellStyle name="Normal 3 7 7 2" xfId="7250"/>
    <cellStyle name="Normal 3 7 7 2 2" xfId="37280"/>
    <cellStyle name="Normal 3 7 7 3" xfId="7251"/>
    <cellStyle name="Normal 3 7 7 3 2" xfId="37281"/>
    <cellStyle name="Normal 3 7 7 4" xfId="7252"/>
    <cellStyle name="Normal 3 7 7 4 2" xfId="37282"/>
    <cellStyle name="Normal 3 7 7 5" xfId="37283"/>
    <cellStyle name="Normal 3 7 7_01-04-2012" xfId="7253"/>
    <cellStyle name="Normal 3 7 8" xfId="7254"/>
    <cellStyle name="Normal 3 7 8 2" xfId="7255"/>
    <cellStyle name="Normal 3 7 8 2 2" xfId="37284"/>
    <cellStyle name="Normal 3 7 8 3" xfId="7256"/>
    <cellStyle name="Normal 3 7 8 3 2" xfId="37285"/>
    <cellStyle name="Normal 3 7 8 4" xfId="7257"/>
    <cellStyle name="Normal 3 7 8 4 2" xfId="37286"/>
    <cellStyle name="Normal 3 7 8 5" xfId="37287"/>
    <cellStyle name="Normal 3 7 8_01-04-2012" xfId="7258"/>
    <cellStyle name="Normal 3 7 9" xfId="7259"/>
    <cellStyle name="Normal 3 7 9 2" xfId="7260"/>
    <cellStyle name="Normal 3 7 9 2 2" xfId="37288"/>
    <cellStyle name="Normal 3 7 9 3" xfId="7261"/>
    <cellStyle name="Normal 3 7 9 3 2" xfId="37289"/>
    <cellStyle name="Normal 3 7 9 4" xfId="7262"/>
    <cellStyle name="Normal 3 7 9 4 2" xfId="37290"/>
    <cellStyle name="Normal 3 7 9 5" xfId="37291"/>
    <cellStyle name="Normal 3 7 9_01-04-2012" xfId="7263"/>
    <cellStyle name="Normal 3 7_01-04-2012" xfId="7264"/>
    <cellStyle name="Normal 3 70" xfId="7265"/>
    <cellStyle name="Normal 3 71" xfId="7266"/>
    <cellStyle name="Normal 3 72" xfId="7267"/>
    <cellStyle name="Normal 3 73" xfId="7268"/>
    <cellStyle name="Normal 3 74" xfId="7269"/>
    <cellStyle name="Normal 3 75" xfId="7270"/>
    <cellStyle name="Normal 3 76" xfId="7271"/>
    <cellStyle name="Normal 3 77" xfId="7272"/>
    <cellStyle name="Normal 3 78" xfId="7273"/>
    <cellStyle name="Normal 3 78 2" xfId="37292"/>
    <cellStyle name="Normal 3 79" xfId="7274"/>
    <cellStyle name="Normal 3 79 2" xfId="37293"/>
    <cellStyle name="Normal 3 8" xfId="7275"/>
    <cellStyle name="Normal 3 8 10" xfId="7276"/>
    <cellStyle name="Normal 3 8 10 2" xfId="37294"/>
    <cellStyle name="Normal 3 8 11" xfId="7277"/>
    <cellStyle name="Normal 3 8 11 2" xfId="37295"/>
    <cellStyle name="Normal 3 8 12" xfId="7278"/>
    <cellStyle name="Normal 3 8 12 2" xfId="37296"/>
    <cellStyle name="Normal 3 8 13" xfId="7279"/>
    <cellStyle name="Normal 3 8 13 2" xfId="37297"/>
    <cellStyle name="Normal 3 8 14" xfId="20233"/>
    <cellStyle name="Normal 3 8 14 2" xfId="37298"/>
    <cellStyle name="Normal 3 8 2" xfId="7280"/>
    <cellStyle name="Normal 3 8 2 2" xfId="7281"/>
    <cellStyle name="Normal 3 8 2 2 2" xfId="7282"/>
    <cellStyle name="Normal 3 8 2 2 2 2" xfId="37299"/>
    <cellStyle name="Normal 3 8 2 2 3" xfId="7283"/>
    <cellStyle name="Normal 3 8 2 2 3 2" xfId="37300"/>
    <cellStyle name="Normal 3 8 2 2 4" xfId="7284"/>
    <cellStyle name="Normal 3 8 2 2 4 2" xfId="37301"/>
    <cellStyle name="Normal 3 8 2 2 5" xfId="37302"/>
    <cellStyle name="Normal 3 8 2 2_01-04-2012" xfId="7285"/>
    <cellStyle name="Normal 3 8 2 3" xfId="7286"/>
    <cellStyle name="Normal 3 8 2 3 2" xfId="7287"/>
    <cellStyle name="Normal 3 8 2 3 2 2" xfId="37303"/>
    <cellStyle name="Normal 3 8 2 3 3" xfId="7288"/>
    <cellStyle name="Normal 3 8 2 3 3 2" xfId="37304"/>
    <cellStyle name="Normal 3 8 2 3 4" xfId="7289"/>
    <cellStyle name="Normal 3 8 2 3 4 2" xfId="37305"/>
    <cellStyle name="Normal 3 8 2 3 5" xfId="37306"/>
    <cellStyle name="Normal 3 8 2 3_01-04-2012" xfId="7290"/>
    <cellStyle name="Normal 3 8 2 4" xfId="7291"/>
    <cellStyle name="Normal 3 8 2 4 2" xfId="7292"/>
    <cellStyle name="Normal 3 8 2 4 2 2" xfId="37307"/>
    <cellStyle name="Normal 3 8 2 4 3" xfId="7293"/>
    <cellStyle name="Normal 3 8 2 4 3 2" xfId="37308"/>
    <cellStyle name="Normal 3 8 2 4 4" xfId="7294"/>
    <cellStyle name="Normal 3 8 2 4 4 2" xfId="37309"/>
    <cellStyle name="Normal 3 8 2 4 5" xfId="37310"/>
    <cellStyle name="Normal 3 8 2 4_01-04-2012" xfId="7295"/>
    <cellStyle name="Normal 3 8 2 5" xfId="7296"/>
    <cellStyle name="Normal 3 8 2 5 2" xfId="37311"/>
    <cellStyle name="Normal 3 8 2 6" xfId="7297"/>
    <cellStyle name="Normal 3 8 2 6 2" xfId="37312"/>
    <cellStyle name="Normal 3 8 2 7" xfId="7298"/>
    <cellStyle name="Normal 3 8 2 7 2" xfId="37313"/>
    <cellStyle name="Normal 3 8 2 8" xfId="37314"/>
    <cellStyle name="Normal 3 8 2_01-04-2012" xfId="7299"/>
    <cellStyle name="Normal 3 8 3" xfId="7300"/>
    <cellStyle name="Normal 3 8 3 2" xfId="7301"/>
    <cellStyle name="Normal 3 8 3 2 2" xfId="7302"/>
    <cellStyle name="Normal 3 8 3 2 2 2" xfId="37315"/>
    <cellStyle name="Normal 3 8 3 2 3" xfId="7303"/>
    <cellStyle name="Normal 3 8 3 2 3 2" xfId="37316"/>
    <cellStyle name="Normal 3 8 3 2 4" xfId="7304"/>
    <cellStyle name="Normal 3 8 3 2 4 2" xfId="37317"/>
    <cellStyle name="Normal 3 8 3 2 5" xfId="37318"/>
    <cellStyle name="Normal 3 8 3 2_01-04-2012" xfId="7305"/>
    <cellStyle name="Normal 3 8 3 3" xfId="7306"/>
    <cellStyle name="Normal 3 8 3 3 2" xfId="7307"/>
    <cellStyle name="Normal 3 8 3 3 2 2" xfId="37319"/>
    <cellStyle name="Normal 3 8 3 3 3" xfId="7308"/>
    <cellStyle name="Normal 3 8 3 3 3 2" xfId="37320"/>
    <cellStyle name="Normal 3 8 3 3 4" xfId="7309"/>
    <cellStyle name="Normal 3 8 3 3 4 2" xfId="37321"/>
    <cellStyle name="Normal 3 8 3 3 5" xfId="37322"/>
    <cellStyle name="Normal 3 8 3 3_01-04-2012" xfId="7310"/>
    <cellStyle name="Normal 3 8 3 4" xfId="7311"/>
    <cellStyle name="Normal 3 8 3 4 2" xfId="7312"/>
    <cellStyle name="Normal 3 8 3 4 2 2" xfId="37323"/>
    <cellStyle name="Normal 3 8 3 4 3" xfId="7313"/>
    <cellStyle name="Normal 3 8 3 4 3 2" xfId="37324"/>
    <cellStyle name="Normal 3 8 3 4 4" xfId="7314"/>
    <cellStyle name="Normal 3 8 3 4 4 2" xfId="37325"/>
    <cellStyle name="Normal 3 8 3 4 5" xfId="37326"/>
    <cellStyle name="Normal 3 8 3 4_01-04-2012" xfId="7315"/>
    <cellStyle name="Normal 3 8 3 5" xfId="7316"/>
    <cellStyle name="Normal 3 8 3 5 2" xfId="37327"/>
    <cellStyle name="Normal 3 8 3 6" xfId="7317"/>
    <cellStyle name="Normal 3 8 3 6 2" xfId="37328"/>
    <cellStyle name="Normal 3 8 3 7" xfId="7318"/>
    <cellStyle name="Normal 3 8 3 7 2" xfId="37329"/>
    <cellStyle name="Normal 3 8 3 8" xfId="37330"/>
    <cellStyle name="Normal 3 8 3_01-04-2012" xfId="7319"/>
    <cellStyle name="Normal 3 8 4" xfId="7320"/>
    <cellStyle name="Normal 3 8 4 2" xfId="7321"/>
    <cellStyle name="Normal 3 8 4 2 2" xfId="7322"/>
    <cellStyle name="Normal 3 8 4 2 2 2" xfId="37331"/>
    <cellStyle name="Normal 3 8 4 2 3" xfId="7323"/>
    <cellStyle name="Normal 3 8 4 2 3 2" xfId="37332"/>
    <cellStyle name="Normal 3 8 4 2 4" xfId="7324"/>
    <cellStyle name="Normal 3 8 4 2 4 2" xfId="37333"/>
    <cellStyle name="Normal 3 8 4 2 5" xfId="37334"/>
    <cellStyle name="Normal 3 8 4 2_01-04-2012" xfId="7325"/>
    <cellStyle name="Normal 3 8 4 3" xfId="7326"/>
    <cellStyle name="Normal 3 8 4 3 2" xfId="7327"/>
    <cellStyle name="Normal 3 8 4 3 2 2" xfId="37335"/>
    <cellStyle name="Normal 3 8 4 3 3" xfId="7328"/>
    <cellStyle name="Normal 3 8 4 3 3 2" xfId="37336"/>
    <cellStyle name="Normal 3 8 4 3 4" xfId="7329"/>
    <cellStyle name="Normal 3 8 4 3 4 2" xfId="37337"/>
    <cellStyle name="Normal 3 8 4 3 5" xfId="37338"/>
    <cellStyle name="Normal 3 8 4 3_01-04-2012" xfId="7330"/>
    <cellStyle name="Normal 3 8 4 4" xfId="7331"/>
    <cellStyle name="Normal 3 8 4 4 2" xfId="7332"/>
    <cellStyle name="Normal 3 8 4 4 2 2" xfId="37339"/>
    <cellStyle name="Normal 3 8 4 4 3" xfId="7333"/>
    <cellStyle name="Normal 3 8 4 4 3 2" xfId="37340"/>
    <cellStyle name="Normal 3 8 4 4 4" xfId="7334"/>
    <cellStyle name="Normal 3 8 4 4 4 2" xfId="37341"/>
    <cellStyle name="Normal 3 8 4 4 5" xfId="37342"/>
    <cellStyle name="Normal 3 8 4 4_01-04-2012" xfId="7335"/>
    <cellStyle name="Normal 3 8 4 5" xfId="7336"/>
    <cellStyle name="Normal 3 8 4 5 2" xfId="37343"/>
    <cellStyle name="Normal 3 8 4 6" xfId="7337"/>
    <cellStyle name="Normal 3 8 4 6 2" xfId="37344"/>
    <cellStyle name="Normal 3 8 4 7" xfId="7338"/>
    <cellStyle name="Normal 3 8 4 7 2" xfId="37345"/>
    <cellStyle name="Normal 3 8 4 8" xfId="37346"/>
    <cellStyle name="Normal 3 8 4_01-04-2012" xfId="7339"/>
    <cellStyle name="Normal 3 8 5" xfId="7340"/>
    <cellStyle name="Normal 3 8 5 2" xfId="7341"/>
    <cellStyle name="Normal 3 8 5 2 2" xfId="37347"/>
    <cellStyle name="Normal 3 8 5 3" xfId="7342"/>
    <cellStyle name="Normal 3 8 5 3 2" xfId="37348"/>
    <cellStyle name="Normal 3 8 5 4" xfId="7343"/>
    <cellStyle name="Normal 3 8 5 4 2" xfId="37349"/>
    <cellStyle name="Normal 3 8 5 5" xfId="37350"/>
    <cellStyle name="Normal 3 8 5_01-04-2012" xfId="7344"/>
    <cellStyle name="Normal 3 8 6" xfId="7345"/>
    <cellStyle name="Normal 3 8 6 2" xfId="7346"/>
    <cellStyle name="Normal 3 8 6 2 2" xfId="37351"/>
    <cellStyle name="Normal 3 8 6 3" xfId="7347"/>
    <cellStyle name="Normal 3 8 6 3 2" xfId="37352"/>
    <cellStyle name="Normal 3 8 6 4" xfId="7348"/>
    <cellStyle name="Normal 3 8 6 4 2" xfId="37353"/>
    <cellStyle name="Normal 3 8 6 5" xfId="37354"/>
    <cellStyle name="Normal 3 8 6_01-04-2012" xfId="7349"/>
    <cellStyle name="Normal 3 8 7" xfId="7350"/>
    <cellStyle name="Normal 3 8 7 2" xfId="7351"/>
    <cellStyle name="Normal 3 8 7 2 2" xfId="37355"/>
    <cellStyle name="Normal 3 8 7 3" xfId="7352"/>
    <cellStyle name="Normal 3 8 7 3 2" xfId="37356"/>
    <cellStyle name="Normal 3 8 7 4" xfId="7353"/>
    <cellStyle name="Normal 3 8 7 4 2" xfId="37357"/>
    <cellStyle name="Normal 3 8 7 5" xfId="37358"/>
    <cellStyle name="Normal 3 8 7_01-04-2012" xfId="7354"/>
    <cellStyle name="Normal 3 8 8" xfId="7355"/>
    <cellStyle name="Normal 3 8 8 2" xfId="7356"/>
    <cellStyle name="Normal 3 8 8 2 2" xfId="37359"/>
    <cellStyle name="Normal 3 8 8 3" xfId="7357"/>
    <cellStyle name="Normal 3 8 8 3 2" xfId="37360"/>
    <cellStyle name="Normal 3 8 8 4" xfId="7358"/>
    <cellStyle name="Normal 3 8 8 4 2" xfId="37361"/>
    <cellStyle name="Normal 3 8 8 5" xfId="37362"/>
    <cellStyle name="Normal 3 8 8_01-04-2012" xfId="7359"/>
    <cellStyle name="Normal 3 8 9" xfId="7360"/>
    <cellStyle name="Normal 3 8 9 2" xfId="7361"/>
    <cellStyle name="Normal 3 8 9 2 2" xfId="37363"/>
    <cellStyle name="Normal 3 8 9 3" xfId="7362"/>
    <cellStyle name="Normal 3 8 9 3 2" xfId="37364"/>
    <cellStyle name="Normal 3 8 9 4" xfId="7363"/>
    <cellStyle name="Normal 3 8 9 4 2" xfId="37365"/>
    <cellStyle name="Normal 3 8 9 5" xfId="37366"/>
    <cellStyle name="Normal 3 8 9_01-04-2012" xfId="7364"/>
    <cellStyle name="Normal 3 8_01-04-2012" xfId="7365"/>
    <cellStyle name="Normal 3 80" xfId="7366"/>
    <cellStyle name="Normal 3 80 2" xfId="37367"/>
    <cellStyle name="Normal 3 81" xfId="7367"/>
    <cellStyle name="Normal 3 81 2" xfId="37368"/>
    <cellStyle name="Normal 3 82" xfId="7368"/>
    <cellStyle name="Normal 3 82 2" xfId="37369"/>
    <cellStyle name="Normal 3 83" xfId="7369"/>
    <cellStyle name="Normal 3 84" xfId="7370"/>
    <cellStyle name="Normal 3 85" xfId="7371"/>
    <cellStyle name="Normal 3 86" xfId="7372"/>
    <cellStyle name="Normal 3 87" xfId="7373"/>
    <cellStyle name="Normal 3 88" xfId="7374"/>
    <cellStyle name="Normal 3 89" xfId="7375"/>
    <cellStyle name="Normal 3 9" xfId="7376"/>
    <cellStyle name="Normal 3 9 10" xfId="7377"/>
    <cellStyle name="Normal 3 9 10 2" xfId="37370"/>
    <cellStyle name="Normal 3 9 11" xfId="7378"/>
    <cellStyle name="Normal 3 9 11 2" xfId="37371"/>
    <cellStyle name="Normal 3 9 12" xfId="7379"/>
    <cellStyle name="Normal 3 9 12 2" xfId="37372"/>
    <cellStyle name="Normal 3 9 13" xfId="7380"/>
    <cellStyle name="Normal 3 9 13 2" xfId="37373"/>
    <cellStyle name="Normal 3 9 14" xfId="20234"/>
    <cellStyle name="Normal 3 9 14 2" xfId="37374"/>
    <cellStyle name="Normal 3 9 2" xfId="7381"/>
    <cellStyle name="Normal 3 9 2 2" xfId="7382"/>
    <cellStyle name="Normal 3 9 2 2 2" xfId="7383"/>
    <cellStyle name="Normal 3 9 2 2 2 2" xfId="37375"/>
    <cellStyle name="Normal 3 9 2 2 3" xfId="7384"/>
    <cellStyle name="Normal 3 9 2 2 3 2" xfId="37376"/>
    <cellStyle name="Normal 3 9 2 2 4" xfId="7385"/>
    <cellStyle name="Normal 3 9 2 2 4 2" xfId="37377"/>
    <cellStyle name="Normal 3 9 2 2 5" xfId="37378"/>
    <cellStyle name="Normal 3 9 2 2_01-04-2012" xfId="7386"/>
    <cellStyle name="Normal 3 9 2 3" xfId="7387"/>
    <cellStyle name="Normal 3 9 2 3 2" xfId="7388"/>
    <cellStyle name="Normal 3 9 2 3 2 2" xfId="37379"/>
    <cellStyle name="Normal 3 9 2 3 3" xfId="7389"/>
    <cellStyle name="Normal 3 9 2 3 3 2" xfId="37380"/>
    <cellStyle name="Normal 3 9 2 3 4" xfId="7390"/>
    <cellStyle name="Normal 3 9 2 3 4 2" xfId="37381"/>
    <cellStyle name="Normal 3 9 2 3 5" xfId="37382"/>
    <cellStyle name="Normal 3 9 2 3_01-04-2012" xfId="7391"/>
    <cellStyle name="Normal 3 9 2 4" xfId="7392"/>
    <cellStyle name="Normal 3 9 2 4 2" xfId="7393"/>
    <cellStyle name="Normal 3 9 2 4 2 2" xfId="37383"/>
    <cellStyle name="Normal 3 9 2 4 3" xfId="7394"/>
    <cellStyle name="Normal 3 9 2 4 3 2" xfId="37384"/>
    <cellStyle name="Normal 3 9 2 4 4" xfId="7395"/>
    <cellStyle name="Normal 3 9 2 4 4 2" xfId="37385"/>
    <cellStyle name="Normal 3 9 2 4 5" xfId="37386"/>
    <cellStyle name="Normal 3 9 2 4_01-04-2012" xfId="7396"/>
    <cellStyle name="Normal 3 9 2 5" xfId="7397"/>
    <cellStyle name="Normal 3 9 2 5 2" xfId="37387"/>
    <cellStyle name="Normal 3 9 2 6" xfId="7398"/>
    <cellStyle name="Normal 3 9 2 6 2" xfId="37388"/>
    <cellStyle name="Normal 3 9 2 7" xfId="7399"/>
    <cellStyle name="Normal 3 9 2 7 2" xfId="37389"/>
    <cellStyle name="Normal 3 9 2 8" xfId="37390"/>
    <cellStyle name="Normal 3 9 2_01-04-2012" xfId="7400"/>
    <cellStyle name="Normal 3 9 3" xfId="7401"/>
    <cellStyle name="Normal 3 9 3 2" xfId="7402"/>
    <cellStyle name="Normal 3 9 3 2 2" xfId="7403"/>
    <cellStyle name="Normal 3 9 3 2 2 2" xfId="37391"/>
    <cellStyle name="Normal 3 9 3 2 3" xfId="7404"/>
    <cellStyle name="Normal 3 9 3 2 3 2" xfId="37392"/>
    <cellStyle name="Normal 3 9 3 2 4" xfId="7405"/>
    <cellStyle name="Normal 3 9 3 2 4 2" xfId="37393"/>
    <cellStyle name="Normal 3 9 3 2 5" xfId="37394"/>
    <cellStyle name="Normal 3 9 3 2_01-04-2012" xfId="7406"/>
    <cellStyle name="Normal 3 9 3 3" xfId="7407"/>
    <cellStyle name="Normal 3 9 3 3 2" xfId="7408"/>
    <cellStyle name="Normal 3 9 3 3 2 2" xfId="37395"/>
    <cellStyle name="Normal 3 9 3 3 3" xfId="7409"/>
    <cellStyle name="Normal 3 9 3 3 3 2" xfId="37396"/>
    <cellStyle name="Normal 3 9 3 3 4" xfId="7410"/>
    <cellStyle name="Normal 3 9 3 3 4 2" xfId="37397"/>
    <cellStyle name="Normal 3 9 3 3 5" xfId="37398"/>
    <cellStyle name="Normal 3 9 3 3_01-04-2012" xfId="7411"/>
    <cellStyle name="Normal 3 9 3 4" xfId="7412"/>
    <cellStyle name="Normal 3 9 3 4 2" xfId="7413"/>
    <cellStyle name="Normal 3 9 3 4 2 2" xfId="37399"/>
    <cellStyle name="Normal 3 9 3 4 3" xfId="7414"/>
    <cellStyle name="Normal 3 9 3 4 3 2" xfId="37400"/>
    <cellStyle name="Normal 3 9 3 4 4" xfId="7415"/>
    <cellStyle name="Normal 3 9 3 4 4 2" xfId="37401"/>
    <cellStyle name="Normal 3 9 3 4 5" xfId="37402"/>
    <cellStyle name="Normal 3 9 3 4_01-04-2012" xfId="7416"/>
    <cellStyle name="Normal 3 9 3 5" xfId="7417"/>
    <cellStyle name="Normal 3 9 3 5 2" xfId="37403"/>
    <cellStyle name="Normal 3 9 3 6" xfId="7418"/>
    <cellStyle name="Normal 3 9 3 6 2" xfId="37404"/>
    <cellStyle name="Normal 3 9 3 7" xfId="7419"/>
    <cellStyle name="Normal 3 9 3 7 2" xfId="37405"/>
    <cellStyle name="Normal 3 9 3 8" xfId="37406"/>
    <cellStyle name="Normal 3 9 3_01-04-2012" xfId="7420"/>
    <cellStyle name="Normal 3 9 4" xfId="7421"/>
    <cellStyle name="Normal 3 9 4 2" xfId="7422"/>
    <cellStyle name="Normal 3 9 4 2 2" xfId="7423"/>
    <cellStyle name="Normal 3 9 4 2 2 2" xfId="37407"/>
    <cellStyle name="Normal 3 9 4 2 3" xfId="7424"/>
    <cellStyle name="Normal 3 9 4 2 3 2" xfId="37408"/>
    <cellStyle name="Normal 3 9 4 2 4" xfId="7425"/>
    <cellStyle name="Normal 3 9 4 2 4 2" xfId="37409"/>
    <cellStyle name="Normal 3 9 4 2 5" xfId="37410"/>
    <cellStyle name="Normal 3 9 4 2_01-04-2012" xfId="7426"/>
    <cellStyle name="Normal 3 9 4 3" xfId="7427"/>
    <cellStyle name="Normal 3 9 4 3 2" xfId="7428"/>
    <cellStyle name="Normal 3 9 4 3 2 2" xfId="37411"/>
    <cellStyle name="Normal 3 9 4 3 3" xfId="7429"/>
    <cellStyle name="Normal 3 9 4 3 3 2" xfId="37412"/>
    <cellStyle name="Normal 3 9 4 3 4" xfId="7430"/>
    <cellStyle name="Normal 3 9 4 3 4 2" xfId="37413"/>
    <cellStyle name="Normal 3 9 4 3 5" xfId="37414"/>
    <cellStyle name="Normal 3 9 4 3_01-04-2012" xfId="7431"/>
    <cellStyle name="Normal 3 9 4 4" xfId="7432"/>
    <cellStyle name="Normal 3 9 4 4 2" xfId="7433"/>
    <cellStyle name="Normal 3 9 4 4 2 2" xfId="37415"/>
    <cellStyle name="Normal 3 9 4 4 3" xfId="7434"/>
    <cellStyle name="Normal 3 9 4 4 3 2" xfId="37416"/>
    <cellStyle name="Normal 3 9 4 4 4" xfId="7435"/>
    <cellStyle name="Normal 3 9 4 4 4 2" xfId="37417"/>
    <cellStyle name="Normal 3 9 4 4 5" xfId="37418"/>
    <cellStyle name="Normal 3 9 4 4_01-04-2012" xfId="7436"/>
    <cellStyle name="Normal 3 9 4 5" xfId="7437"/>
    <cellStyle name="Normal 3 9 4 5 2" xfId="37419"/>
    <cellStyle name="Normal 3 9 4 6" xfId="7438"/>
    <cellStyle name="Normal 3 9 4 6 2" xfId="37420"/>
    <cellStyle name="Normal 3 9 4 7" xfId="7439"/>
    <cellStyle name="Normal 3 9 4 7 2" xfId="37421"/>
    <cellStyle name="Normal 3 9 4 8" xfId="37422"/>
    <cellStyle name="Normal 3 9 4_01-04-2012" xfId="7440"/>
    <cellStyle name="Normal 3 9 5" xfId="7441"/>
    <cellStyle name="Normal 3 9 5 2" xfId="7442"/>
    <cellStyle name="Normal 3 9 5 2 2" xfId="37423"/>
    <cellStyle name="Normal 3 9 5 3" xfId="7443"/>
    <cellStyle name="Normal 3 9 5 3 2" xfId="37424"/>
    <cellStyle name="Normal 3 9 5 4" xfId="7444"/>
    <cellStyle name="Normal 3 9 5 4 2" xfId="37425"/>
    <cellStyle name="Normal 3 9 5 5" xfId="37426"/>
    <cellStyle name="Normal 3 9 5_01-04-2012" xfId="7445"/>
    <cellStyle name="Normal 3 9 6" xfId="7446"/>
    <cellStyle name="Normal 3 9 6 2" xfId="7447"/>
    <cellStyle name="Normal 3 9 6 2 2" xfId="37427"/>
    <cellStyle name="Normal 3 9 6 3" xfId="7448"/>
    <cellStyle name="Normal 3 9 6 3 2" xfId="37428"/>
    <cellStyle name="Normal 3 9 6 4" xfId="7449"/>
    <cellStyle name="Normal 3 9 6 4 2" xfId="37429"/>
    <cellStyle name="Normal 3 9 6 5" xfId="37430"/>
    <cellStyle name="Normal 3 9 6_01-04-2012" xfId="7450"/>
    <cellStyle name="Normal 3 9 7" xfId="7451"/>
    <cellStyle name="Normal 3 9 7 2" xfId="7452"/>
    <cellStyle name="Normal 3 9 7 2 2" xfId="37431"/>
    <cellStyle name="Normal 3 9 7 3" xfId="7453"/>
    <cellStyle name="Normal 3 9 7 3 2" xfId="37432"/>
    <cellStyle name="Normal 3 9 7 4" xfId="7454"/>
    <cellStyle name="Normal 3 9 7 4 2" xfId="37433"/>
    <cellStyle name="Normal 3 9 7 5" xfId="37434"/>
    <cellStyle name="Normal 3 9 7_01-04-2012" xfId="7455"/>
    <cellStyle name="Normal 3 9 8" xfId="7456"/>
    <cellStyle name="Normal 3 9 8 2" xfId="7457"/>
    <cellStyle name="Normal 3 9 8 2 2" xfId="37435"/>
    <cellStyle name="Normal 3 9 8 3" xfId="7458"/>
    <cellStyle name="Normal 3 9 8 3 2" xfId="37436"/>
    <cellStyle name="Normal 3 9 8 4" xfId="7459"/>
    <cellStyle name="Normal 3 9 8 4 2" xfId="37437"/>
    <cellStyle name="Normal 3 9 8 5" xfId="37438"/>
    <cellStyle name="Normal 3 9 8_01-04-2012" xfId="7460"/>
    <cellStyle name="Normal 3 9 9" xfId="7461"/>
    <cellStyle name="Normal 3 9 9 2" xfId="7462"/>
    <cellStyle name="Normal 3 9 9 2 2" xfId="37439"/>
    <cellStyle name="Normal 3 9 9 3" xfId="7463"/>
    <cellStyle name="Normal 3 9 9 3 2" xfId="37440"/>
    <cellStyle name="Normal 3 9 9 4" xfId="7464"/>
    <cellStyle name="Normal 3 9 9 4 2" xfId="37441"/>
    <cellStyle name="Normal 3 9 9 5" xfId="37442"/>
    <cellStyle name="Normal 3 9 9_01-04-2012" xfId="7465"/>
    <cellStyle name="Normal 3 9_01-04-2012" xfId="7466"/>
    <cellStyle name="Normal 3 90" xfId="7467"/>
    <cellStyle name="Normal 3 91" xfId="7468"/>
    <cellStyle name="Normal 3 92" xfId="7469"/>
    <cellStyle name="Normal 3 93" xfId="6213"/>
    <cellStyle name="Normal 3 93 2" xfId="37443"/>
    <cellStyle name="Normal 3 94" xfId="20235"/>
    <cellStyle name="Normal 3 94 2" xfId="37444"/>
    <cellStyle name="Normal 3 95" xfId="33227"/>
    <cellStyle name="Normal 3 96" xfId="33225"/>
    <cellStyle name="Normal 3 97" xfId="33226"/>
    <cellStyle name="Normal 3 98" xfId="36564"/>
    <cellStyle name="Normal 3 99" xfId="34260"/>
    <cellStyle name="Normal 3_01-04-2012" xfId="7470"/>
    <cellStyle name="Normal 30" xfId="7471"/>
    <cellStyle name="Normal 30 10" xfId="7472"/>
    <cellStyle name="Normal 30 10 2" xfId="7473"/>
    <cellStyle name="Normal 30 10 2 2" xfId="37445"/>
    <cellStyle name="Normal 30 10 3" xfId="7474"/>
    <cellStyle name="Normal 30 10 3 2" xfId="37446"/>
    <cellStyle name="Normal 30 10 4" xfId="7475"/>
    <cellStyle name="Normal 30 10 4 2" xfId="37447"/>
    <cellStyle name="Normal 30 10 5" xfId="37448"/>
    <cellStyle name="Normal 30 10_01-04-2012" xfId="7476"/>
    <cellStyle name="Normal 30 11" xfId="7477"/>
    <cellStyle name="Normal 30 11 2" xfId="7478"/>
    <cellStyle name="Normal 30 11 2 2" xfId="37449"/>
    <cellStyle name="Normal 30 11 3" xfId="7479"/>
    <cellStyle name="Normal 30 11 3 2" xfId="37450"/>
    <cellStyle name="Normal 30 11 4" xfId="7480"/>
    <cellStyle name="Normal 30 11 4 2" xfId="37451"/>
    <cellStyle name="Normal 30 11 5" xfId="37452"/>
    <cellStyle name="Normal 30 11_01-04-2012" xfId="7481"/>
    <cellStyle name="Normal 30 12" xfId="7482"/>
    <cellStyle name="Normal 30 12 2" xfId="7483"/>
    <cellStyle name="Normal 30 12 2 2" xfId="37453"/>
    <cellStyle name="Normal 30 12 3" xfId="7484"/>
    <cellStyle name="Normal 30 12 3 2" xfId="37454"/>
    <cellStyle name="Normal 30 12 4" xfId="7485"/>
    <cellStyle name="Normal 30 12 4 2" xfId="37455"/>
    <cellStyle name="Normal 30 12 5" xfId="37456"/>
    <cellStyle name="Normal 30 12_01-04-2012" xfId="7486"/>
    <cellStyle name="Normal 30 13" xfId="7487"/>
    <cellStyle name="Normal 30 13 2" xfId="7488"/>
    <cellStyle name="Normal 30 13 2 2" xfId="37457"/>
    <cellStyle name="Normal 30 13 3" xfId="7489"/>
    <cellStyle name="Normal 30 13 3 2" xfId="37458"/>
    <cellStyle name="Normal 30 13 4" xfId="7490"/>
    <cellStyle name="Normal 30 13 4 2" xfId="37459"/>
    <cellStyle name="Normal 30 13 5" xfId="37460"/>
    <cellStyle name="Normal 30 13_01-04-2012" xfId="7491"/>
    <cellStyle name="Normal 30 14" xfId="7492"/>
    <cellStyle name="Normal 30 14 2" xfId="7493"/>
    <cellStyle name="Normal 30 14 2 2" xfId="37461"/>
    <cellStyle name="Normal 30 14 3" xfId="7494"/>
    <cellStyle name="Normal 30 14 3 2" xfId="37462"/>
    <cellStyle name="Normal 30 14 4" xfId="7495"/>
    <cellStyle name="Normal 30 14 4 2" xfId="37463"/>
    <cellStyle name="Normal 30 14 5" xfId="37464"/>
    <cellStyle name="Normal 30 14_01-04-2012" xfId="7496"/>
    <cellStyle name="Normal 30 15" xfId="7497"/>
    <cellStyle name="Normal 30 15 2" xfId="7498"/>
    <cellStyle name="Normal 30 15 2 2" xfId="37465"/>
    <cellStyle name="Normal 30 15 3" xfId="7499"/>
    <cellStyle name="Normal 30 15 3 2" xfId="37466"/>
    <cellStyle name="Normal 30 15 4" xfId="7500"/>
    <cellStyle name="Normal 30 15 4 2" xfId="37467"/>
    <cellStyle name="Normal 30 15 5" xfId="37468"/>
    <cellStyle name="Normal 30 15_01-04-2012" xfId="7501"/>
    <cellStyle name="Normal 30 16" xfId="7502"/>
    <cellStyle name="Normal 30 16 2" xfId="7503"/>
    <cellStyle name="Normal 30 16 2 2" xfId="37469"/>
    <cellStyle name="Normal 30 16 3" xfId="7504"/>
    <cellStyle name="Normal 30 16 3 2" xfId="37470"/>
    <cellStyle name="Normal 30 16 4" xfId="7505"/>
    <cellStyle name="Normal 30 16 4 2" xfId="37471"/>
    <cellStyle name="Normal 30 16 5" xfId="37472"/>
    <cellStyle name="Normal 30 16_01-04-2012" xfId="7506"/>
    <cellStyle name="Normal 30 17" xfId="7507"/>
    <cellStyle name="Normal 30 17 2" xfId="7508"/>
    <cellStyle name="Normal 30 17 2 2" xfId="37473"/>
    <cellStyle name="Normal 30 17 3" xfId="7509"/>
    <cellStyle name="Normal 30 17 3 2" xfId="37474"/>
    <cellStyle name="Normal 30 17 4" xfId="7510"/>
    <cellStyle name="Normal 30 17 4 2" xfId="37475"/>
    <cellStyle name="Normal 30 17 5" xfId="37476"/>
    <cellStyle name="Normal 30 17_01-04-2012" xfId="7511"/>
    <cellStyle name="Normal 30 18" xfId="7512"/>
    <cellStyle name="Normal 30 18 2" xfId="7513"/>
    <cellStyle name="Normal 30 18 2 2" xfId="37477"/>
    <cellStyle name="Normal 30 18 3" xfId="7514"/>
    <cellStyle name="Normal 30 18 3 2" xfId="37478"/>
    <cellStyle name="Normal 30 18 4" xfId="7515"/>
    <cellStyle name="Normal 30 18 4 2" xfId="37479"/>
    <cellStyle name="Normal 30 18 5" xfId="37480"/>
    <cellStyle name="Normal 30 18_01-04-2012" xfId="7516"/>
    <cellStyle name="Normal 30 19" xfId="7517"/>
    <cellStyle name="Normal 30 19 2" xfId="7518"/>
    <cellStyle name="Normal 30 19 2 2" xfId="37481"/>
    <cellStyle name="Normal 30 19 3" xfId="7519"/>
    <cellStyle name="Normal 30 19 3 2" xfId="37482"/>
    <cellStyle name="Normal 30 19 4" xfId="7520"/>
    <cellStyle name="Normal 30 19 4 2" xfId="37483"/>
    <cellStyle name="Normal 30 19 5" xfId="37484"/>
    <cellStyle name="Normal 30 19_01-04-2012" xfId="7521"/>
    <cellStyle name="Normal 30 2" xfId="7522"/>
    <cellStyle name="Normal 30 2 2" xfId="7523"/>
    <cellStyle name="Normal 30 2 2 2" xfId="33649"/>
    <cellStyle name="Normal 30 2 2 2 2" xfId="37485"/>
    <cellStyle name="Normal 30 2 3" xfId="7524"/>
    <cellStyle name="Normal 30 2 3 2" xfId="37486"/>
    <cellStyle name="Normal 30 2 4" xfId="7525"/>
    <cellStyle name="Normal 30 2 4 2" xfId="37487"/>
    <cellStyle name="Normal 30 2 5" xfId="20236"/>
    <cellStyle name="Normal 30 2 5 2" xfId="37488"/>
    <cellStyle name="Normal 30 2_01-04-2012" xfId="7526"/>
    <cellStyle name="Normal 30 20" xfId="7527"/>
    <cellStyle name="Normal 30 20 2" xfId="7528"/>
    <cellStyle name="Normal 30 20 2 2" xfId="37489"/>
    <cellStyle name="Normal 30 20 3" xfId="7529"/>
    <cellStyle name="Normal 30 20 3 2" xfId="37490"/>
    <cellStyle name="Normal 30 20 4" xfId="7530"/>
    <cellStyle name="Normal 30 20 4 2" xfId="37491"/>
    <cellStyle name="Normal 30 20 5" xfId="37492"/>
    <cellStyle name="Normal 30 20_01-04-2012" xfId="7531"/>
    <cellStyle name="Normal 30 21" xfId="7532"/>
    <cellStyle name="Normal 30 21 2" xfId="7533"/>
    <cellStyle name="Normal 30 21 2 2" xfId="37493"/>
    <cellStyle name="Normal 30 21 3" xfId="7534"/>
    <cellStyle name="Normal 30 21 3 2" xfId="37494"/>
    <cellStyle name="Normal 30 21 4" xfId="7535"/>
    <cellStyle name="Normal 30 21 4 2" xfId="37495"/>
    <cellStyle name="Normal 30 21 5" xfId="37496"/>
    <cellStyle name="Normal 30 21_01-04-2012" xfId="7536"/>
    <cellStyle name="Normal 30 22" xfId="7537"/>
    <cellStyle name="Normal 30 22 2" xfId="7538"/>
    <cellStyle name="Normal 30 22 2 2" xfId="37497"/>
    <cellStyle name="Normal 30 22 3" xfId="7539"/>
    <cellStyle name="Normal 30 22 3 2" xfId="37498"/>
    <cellStyle name="Normal 30 22 4" xfId="7540"/>
    <cellStyle name="Normal 30 22 4 2" xfId="37499"/>
    <cellStyle name="Normal 30 22 5" xfId="37500"/>
    <cellStyle name="Normal 30 22_01-04-2012" xfId="7541"/>
    <cellStyle name="Normal 30 23" xfId="7542"/>
    <cellStyle name="Normal 30 23 2" xfId="7543"/>
    <cellStyle name="Normal 30 23 2 2" xfId="37501"/>
    <cellStyle name="Normal 30 23 3" xfId="7544"/>
    <cellStyle name="Normal 30 23 3 2" xfId="37502"/>
    <cellStyle name="Normal 30 23 4" xfId="7545"/>
    <cellStyle name="Normal 30 23 4 2" xfId="37503"/>
    <cellStyle name="Normal 30 23 5" xfId="37504"/>
    <cellStyle name="Normal 30 23_01-04-2012" xfId="7546"/>
    <cellStyle name="Normal 30 24" xfId="7547"/>
    <cellStyle name="Normal 30 24 2" xfId="7548"/>
    <cellStyle name="Normal 30 24 2 2" xfId="37505"/>
    <cellStyle name="Normal 30 24 3" xfId="7549"/>
    <cellStyle name="Normal 30 24 3 2" xfId="37506"/>
    <cellStyle name="Normal 30 24 4" xfId="7550"/>
    <cellStyle name="Normal 30 24 4 2" xfId="37507"/>
    <cellStyle name="Normal 30 24 5" xfId="37508"/>
    <cellStyle name="Normal 30 24_01-04-2012" xfId="7551"/>
    <cellStyle name="Normal 30 25" xfId="7552"/>
    <cellStyle name="Normal 30 25 2" xfId="7553"/>
    <cellStyle name="Normal 30 25 2 2" xfId="37509"/>
    <cellStyle name="Normal 30 25 3" xfId="7554"/>
    <cellStyle name="Normal 30 25 3 2" xfId="37510"/>
    <cellStyle name="Normal 30 25 4" xfId="7555"/>
    <cellStyle name="Normal 30 25 4 2" xfId="37511"/>
    <cellStyle name="Normal 30 25 5" xfId="37512"/>
    <cellStyle name="Normal 30 25_01-04-2012" xfId="7556"/>
    <cellStyle name="Normal 30 26" xfId="7557"/>
    <cellStyle name="Normal 30 26 2" xfId="7558"/>
    <cellStyle name="Normal 30 26 2 2" xfId="37513"/>
    <cellStyle name="Normal 30 26 3" xfId="7559"/>
    <cellStyle name="Normal 30 26 3 2" xfId="37514"/>
    <cellStyle name="Normal 30 26 4" xfId="7560"/>
    <cellStyle name="Normal 30 26 4 2" xfId="37515"/>
    <cellStyle name="Normal 30 26 5" xfId="37516"/>
    <cellStyle name="Normal 30 26_01-04-2012" xfId="7561"/>
    <cellStyle name="Normal 30 27" xfId="7562"/>
    <cellStyle name="Normal 30 27 2" xfId="7563"/>
    <cellStyle name="Normal 30 27 2 2" xfId="37517"/>
    <cellStyle name="Normal 30 27 3" xfId="7564"/>
    <cellStyle name="Normal 30 27 3 2" xfId="37518"/>
    <cellStyle name="Normal 30 27 4" xfId="7565"/>
    <cellStyle name="Normal 30 27 4 2" xfId="37519"/>
    <cellStyle name="Normal 30 27 5" xfId="37520"/>
    <cellStyle name="Normal 30 27_01-04-2012" xfId="7566"/>
    <cellStyle name="Normal 30 28" xfId="7567"/>
    <cellStyle name="Normal 30 28 2" xfId="7568"/>
    <cellStyle name="Normal 30 28 2 2" xfId="37521"/>
    <cellStyle name="Normal 30 28 3" xfId="7569"/>
    <cellStyle name="Normal 30 28 3 2" xfId="37522"/>
    <cellStyle name="Normal 30 28 4" xfId="7570"/>
    <cellStyle name="Normal 30 28 4 2" xfId="37523"/>
    <cellStyle name="Normal 30 28 5" xfId="37524"/>
    <cellStyle name="Normal 30 28_01-04-2012" xfId="7571"/>
    <cellStyle name="Normal 30 29" xfId="7572"/>
    <cellStyle name="Normal 30 29 2" xfId="7573"/>
    <cellStyle name="Normal 30 29 2 2" xfId="37525"/>
    <cellStyle name="Normal 30 29 3" xfId="7574"/>
    <cellStyle name="Normal 30 29 3 2" xfId="37526"/>
    <cellStyle name="Normal 30 29 4" xfId="7575"/>
    <cellStyle name="Normal 30 29 4 2" xfId="37527"/>
    <cellStyle name="Normal 30 29 5" xfId="37528"/>
    <cellStyle name="Normal 30 29_01-04-2012" xfId="7576"/>
    <cellStyle name="Normal 30 3" xfId="7577"/>
    <cellStyle name="Normal 30 3 2" xfId="7578"/>
    <cellStyle name="Normal 30 3 2 2" xfId="20237"/>
    <cellStyle name="Normal 30 3 2 2 2" xfId="37529"/>
    <cellStyle name="Normal 30 3 3" xfId="7579"/>
    <cellStyle name="Normal 30 3 3 2" xfId="20238"/>
    <cellStyle name="Normal 30 3 3 2 2" xfId="37530"/>
    <cellStyle name="Normal 30 3 4" xfId="7580"/>
    <cellStyle name="Normal 30 3 4 2" xfId="20239"/>
    <cellStyle name="Normal 30 3 4 2 2" xfId="37531"/>
    <cellStyle name="Normal 30 3 5" xfId="20240"/>
    <cellStyle name="Normal 30 3 5 2" xfId="37532"/>
    <cellStyle name="Normal 30 3_01-04-2012" xfId="7581"/>
    <cellStyle name="Normal 30 30" xfId="7582"/>
    <cellStyle name="Normal 30 30 2" xfId="7583"/>
    <cellStyle name="Normal 30 30 2 2" xfId="37533"/>
    <cellStyle name="Normal 30 30 3" xfId="7584"/>
    <cellStyle name="Normal 30 30 3 2" xfId="37534"/>
    <cellStyle name="Normal 30 30 4" xfId="7585"/>
    <cellStyle name="Normal 30 30 4 2" xfId="37535"/>
    <cellStyle name="Normal 30 30 5" xfId="37536"/>
    <cellStyle name="Normal 30 30_01-04-2012" xfId="7586"/>
    <cellStyle name="Normal 30 31" xfId="7587"/>
    <cellStyle name="Normal 30 31 2" xfId="7588"/>
    <cellStyle name="Normal 30 31 2 2" xfId="37537"/>
    <cellStyle name="Normal 30 31 3" xfId="7589"/>
    <cellStyle name="Normal 30 31 3 2" xfId="37538"/>
    <cellStyle name="Normal 30 31 4" xfId="7590"/>
    <cellStyle name="Normal 30 31 4 2" xfId="37539"/>
    <cellStyle name="Normal 30 31 5" xfId="37540"/>
    <cellStyle name="Normal 30 31_01-04-2012" xfId="7591"/>
    <cellStyle name="Normal 30 32" xfId="7592"/>
    <cellStyle name="Normal 30 32 2" xfId="7593"/>
    <cellStyle name="Normal 30 32 2 2" xfId="37541"/>
    <cellStyle name="Normal 30 32 3" xfId="7594"/>
    <cellStyle name="Normal 30 32 3 2" xfId="37542"/>
    <cellStyle name="Normal 30 32 4" xfId="7595"/>
    <cellStyle name="Normal 30 32 4 2" xfId="37543"/>
    <cellStyle name="Normal 30 32 5" xfId="37544"/>
    <cellStyle name="Normal 30 32_01-04-2012" xfId="7596"/>
    <cellStyle name="Normal 30 33" xfId="7597"/>
    <cellStyle name="Normal 30 33 2" xfId="7598"/>
    <cellStyle name="Normal 30 33 2 2" xfId="37545"/>
    <cellStyle name="Normal 30 33 3" xfId="7599"/>
    <cellStyle name="Normal 30 33 3 2" xfId="37546"/>
    <cellStyle name="Normal 30 33 4" xfId="7600"/>
    <cellStyle name="Normal 30 33 4 2" xfId="37547"/>
    <cellStyle name="Normal 30 33 5" xfId="37548"/>
    <cellStyle name="Normal 30 33_01-04-2012" xfId="7601"/>
    <cellStyle name="Normal 30 34" xfId="7602"/>
    <cellStyle name="Normal 30 34 2" xfId="7603"/>
    <cellStyle name="Normal 30 34 2 2" xfId="37549"/>
    <cellStyle name="Normal 30 34 3" xfId="7604"/>
    <cellStyle name="Normal 30 34 3 2" xfId="37550"/>
    <cellStyle name="Normal 30 34 4" xfId="7605"/>
    <cellStyle name="Normal 30 34 4 2" xfId="37551"/>
    <cellStyle name="Normal 30 34 5" xfId="37552"/>
    <cellStyle name="Normal 30 34_01-04-2012" xfId="7606"/>
    <cellStyle name="Normal 30 35" xfId="7607"/>
    <cellStyle name="Normal 30 35 2" xfId="7608"/>
    <cellStyle name="Normal 30 35 2 2" xfId="37553"/>
    <cellStyle name="Normal 30 35 3" xfId="7609"/>
    <cellStyle name="Normal 30 35 3 2" xfId="37554"/>
    <cellStyle name="Normal 30 35 4" xfId="7610"/>
    <cellStyle name="Normal 30 35 4 2" xfId="37555"/>
    <cellStyle name="Normal 30 35 5" xfId="37556"/>
    <cellStyle name="Normal 30 35_01-04-2012" xfId="7611"/>
    <cellStyle name="Normal 30 36" xfId="7612"/>
    <cellStyle name="Normal 30 36 2" xfId="7613"/>
    <cellStyle name="Normal 30 36 2 2" xfId="37557"/>
    <cellStyle name="Normal 30 36 3" xfId="7614"/>
    <cellStyle name="Normal 30 36 3 2" xfId="37558"/>
    <cellStyle name="Normal 30 36 4" xfId="7615"/>
    <cellStyle name="Normal 30 36 4 2" xfId="37559"/>
    <cellStyle name="Normal 30 36 5" xfId="37560"/>
    <cellStyle name="Normal 30 36_01-04-2012" xfId="7616"/>
    <cellStyle name="Normal 30 37" xfId="7617"/>
    <cellStyle name="Normal 30 37 2" xfId="7618"/>
    <cellStyle name="Normal 30 37 2 2" xfId="37561"/>
    <cellStyle name="Normal 30 37 3" xfId="7619"/>
    <cellStyle name="Normal 30 37 3 2" xfId="37562"/>
    <cellStyle name="Normal 30 37 4" xfId="7620"/>
    <cellStyle name="Normal 30 37 4 2" xfId="37563"/>
    <cellStyle name="Normal 30 37 5" xfId="37564"/>
    <cellStyle name="Normal 30 37_01-04-2012" xfId="7621"/>
    <cellStyle name="Normal 30 38" xfId="7622"/>
    <cellStyle name="Normal 30 38 2" xfId="37565"/>
    <cellStyle name="Normal 30 39" xfId="7623"/>
    <cellStyle name="Normal 30 39 2" xfId="37566"/>
    <cellStyle name="Normal 30 4" xfId="7624"/>
    <cellStyle name="Normal 30 4 2" xfId="7625"/>
    <cellStyle name="Normal 30 4 2 2" xfId="37567"/>
    <cellStyle name="Normal 30 4 3" xfId="7626"/>
    <cellStyle name="Normal 30 4 3 2" xfId="37568"/>
    <cellStyle name="Normal 30 4 4" xfId="7627"/>
    <cellStyle name="Normal 30 4 4 2" xfId="37569"/>
    <cellStyle name="Normal 30 4 5" xfId="37570"/>
    <cellStyle name="Normal 30 4_01-04-2012" xfId="7628"/>
    <cellStyle name="Normal 30 40" xfId="7629"/>
    <cellStyle name="Normal 30 40 2" xfId="37571"/>
    <cellStyle name="Normal 30 41" xfId="20241"/>
    <cellStyle name="Normal 30 41 2" xfId="37572"/>
    <cellStyle name="Normal 30 42" xfId="20242"/>
    <cellStyle name="Normal 30 43" xfId="20243"/>
    <cellStyle name="Normal 30 44" xfId="20244"/>
    <cellStyle name="Normal 30 45" xfId="20245"/>
    <cellStyle name="Normal 30 46" xfId="20246"/>
    <cellStyle name="Normal 30 47" xfId="33648"/>
    <cellStyle name="Normal 30 5" xfId="7630"/>
    <cellStyle name="Normal 30 5 2" xfId="7631"/>
    <cellStyle name="Normal 30 5 2 2" xfId="37573"/>
    <cellStyle name="Normal 30 5 3" xfId="7632"/>
    <cellStyle name="Normal 30 5 3 2" xfId="37574"/>
    <cellStyle name="Normal 30 5 4" xfId="7633"/>
    <cellStyle name="Normal 30 5 4 2" xfId="37575"/>
    <cellStyle name="Normal 30 5 5" xfId="37576"/>
    <cellStyle name="Normal 30 5_01-04-2012" xfId="7634"/>
    <cellStyle name="Normal 30 6" xfId="7635"/>
    <cellStyle name="Normal 30 6 2" xfId="7636"/>
    <cellStyle name="Normal 30 6 2 2" xfId="37577"/>
    <cellStyle name="Normal 30 6 3" xfId="7637"/>
    <cellStyle name="Normal 30 6 3 2" xfId="37578"/>
    <cellStyle name="Normal 30 6 4" xfId="7638"/>
    <cellStyle name="Normal 30 6 4 2" xfId="37579"/>
    <cellStyle name="Normal 30 6 5" xfId="37580"/>
    <cellStyle name="Normal 30 6_01-04-2012" xfId="7639"/>
    <cellStyle name="Normal 30 7" xfId="7640"/>
    <cellStyle name="Normal 30 7 2" xfId="7641"/>
    <cellStyle name="Normal 30 7 2 2" xfId="37581"/>
    <cellStyle name="Normal 30 7 3" xfId="7642"/>
    <cellStyle name="Normal 30 7 3 2" xfId="37582"/>
    <cellStyle name="Normal 30 7 4" xfId="7643"/>
    <cellStyle name="Normal 30 7 4 2" xfId="37583"/>
    <cellStyle name="Normal 30 7 5" xfId="37584"/>
    <cellStyle name="Normal 30 7_01-04-2012" xfId="7644"/>
    <cellStyle name="Normal 30 8" xfId="7645"/>
    <cellStyle name="Normal 30 8 2" xfId="7646"/>
    <cellStyle name="Normal 30 8 2 2" xfId="37585"/>
    <cellStyle name="Normal 30 8 3" xfId="7647"/>
    <cellStyle name="Normal 30 8 3 2" xfId="37586"/>
    <cellStyle name="Normal 30 8 4" xfId="7648"/>
    <cellStyle name="Normal 30 8 4 2" xfId="37587"/>
    <cellStyle name="Normal 30 8 5" xfId="37588"/>
    <cellStyle name="Normal 30 8_01-04-2012" xfId="7649"/>
    <cellStyle name="Normal 30 9" xfId="7650"/>
    <cellStyle name="Normal 30 9 2" xfId="7651"/>
    <cellStyle name="Normal 30 9 2 2" xfId="37589"/>
    <cellStyle name="Normal 30 9 3" xfId="7652"/>
    <cellStyle name="Normal 30 9 3 2" xfId="37590"/>
    <cellStyle name="Normal 30 9 4" xfId="7653"/>
    <cellStyle name="Normal 30 9 4 2" xfId="37591"/>
    <cellStyle name="Normal 30 9 5" xfId="37592"/>
    <cellStyle name="Normal 30 9_01-04-2012" xfId="7654"/>
    <cellStyle name="Normal 30_01-04-2012" xfId="7655"/>
    <cellStyle name="Normal 300" xfId="20247"/>
    <cellStyle name="Normal 301" xfId="20248"/>
    <cellStyle name="Normal 302" xfId="20249"/>
    <cellStyle name="Normal 303" xfId="20250"/>
    <cellStyle name="Normal 304" xfId="20251"/>
    <cellStyle name="Normal 305" xfId="20252"/>
    <cellStyle name="Normal 306" xfId="20253"/>
    <cellStyle name="Normal 307" xfId="20254"/>
    <cellStyle name="Normal 308" xfId="20255"/>
    <cellStyle name="Normal 309" xfId="20256"/>
    <cellStyle name="Normal 31" xfId="7656"/>
    <cellStyle name="Normal 31 10" xfId="7657"/>
    <cellStyle name="Normal 31 10 2" xfId="7658"/>
    <cellStyle name="Normal 31 10 2 2" xfId="37593"/>
    <cellStyle name="Normal 31 10 3" xfId="7659"/>
    <cellStyle name="Normal 31 10 3 2" xfId="37594"/>
    <cellStyle name="Normal 31 10 4" xfId="7660"/>
    <cellStyle name="Normal 31 10 4 2" xfId="37595"/>
    <cellStyle name="Normal 31 10 5" xfId="37596"/>
    <cellStyle name="Normal 31 10_01-04-2012" xfId="7661"/>
    <cellStyle name="Normal 31 11" xfId="7662"/>
    <cellStyle name="Normal 31 11 2" xfId="7663"/>
    <cellStyle name="Normal 31 11 2 2" xfId="37597"/>
    <cellStyle name="Normal 31 11 3" xfId="7664"/>
    <cellStyle name="Normal 31 11 3 2" xfId="37598"/>
    <cellStyle name="Normal 31 11 4" xfId="7665"/>
    <cellStyle name="Normal 31 11 4 2" xfId="37599"/>
    <cellStyle name="Normal 31 11 5" xfId="37600"/>
    <cellStyle name="Normal 31 11_01-04-2012" xfId="7666"/>
    <cellStyle name="Normal 31 12" xfId="7667"/>
    <cellStyle name="Normal 31 12 2" xfId="7668"/>
    <cellStyle name="Normal 31 12 2 2" xfId="37601"/>
    <cellStyle name="Normal 31 12 3" xfId="7669"/>
    <cellStyle name="Normal 31 12 3 2" xfId="37602"/>
    <cellStyle name="Normal 31 12 4" xfId="7670"/>
    <cellStyle name="Normal 31 12 4 2" xfId="37603"/>
    <cellStyle name="Normal 31 12 5" xfId="37604"/>
    <cellStyle name="Normal 31 12_01-04-2012" xfId="7671"/>
    <cellStyle name="Normal 31 13" xfId="7672"/>
    <cellStyle name="Normal 31 13 2" xfId="7673"/>
    <cellStyle name="Normal 31 13 2 2" xfId="37605"/>
    <cellStyle name="Normal 31 13 3" xfId="7674"/>
    <cellStyle name="Normal 31 13 3 2" xfId="37606"/>
    <cellStyle name="Normal 31 13 4" xfId="7675"/>
    <cellStyle name="Normal 31 13 4 2" xfId="37607"/>
    <cellStyle name="Normal 31 13 5" xfId="37608"/>
    <cellStyle name="Normal 31 13_01-04-2012" xfId="7676"/>
    <cellStyle name="Normal 31 14" xfId="7677"/>
    <cellStyle name="Normal 31 14 2" xfId="7678"/>
    <cellStyle name="Normal 31 14 2 2" xfId="37609"/>
    <cellStyle name="Normal 31 14 3" xfId="7679"/>
    <cellStyle name="Normal 31 14 3 2" xfId="37610"/>
    <cellStyle name="Normal 31 14 4" xfId="7680"/>
    <cellStyle name="Normal 31 14 4 2" xfId="37611"/>
    <cellStyle name="Normal 31 14 5" xfId="37612"/>
    <cellStyle name="Normal 31 14_01-04-2012" xfId="7681"/>
    <cellStyle name="Normal 31 15" xfId="7682"/>
    <cellStyle name="Normal 31 15 2" xfId="7683"/>
    <cellStyle name="Normal 31 15 2 2" xfId="37613"/>
    <cellStyle name="Normal 31 15 3" xfId="7684"/>
    <cellStyle name="Normal 31 15 3 2" xfId="37614"/>
    <cellStyle name="Normal 31 15 4" xfId="7685"/>
    <cellStyle name="Normal 31 15 4 2" xfId="37615"/>
    <cellStyle name="Normal 31 15 5" xfId="37616"/>
    <cellStyle name="Normal 31 15_01-04-2012" xfId="7686"/>
    <cellStyle name="Normal 31 16" xfId="7687"/>
    <cellStyle name="Normal 31 16 2" xfId="7688"/>
    <cellStyle name="Normal 31 16 2 2" xfId="37617"/>
    <cellStyle name="Normal 31 16 3" xfId="7689"/>
    <cellStyle name="Normal 31 16 3 2" xfId="37618"/>
    <cellStyle name="Normal 31 16 4" xfId="7690"/>
    <cellStyle name="Normal 31 16 4 2" xfId="37619"/>
    <cellStyle name="Normal 31 16 5" xfId="37620"/>
    <cellStyle name="Normal 31 16_01-04-2012" xfId="7691"/>
    <cellStyle name="Normal 31 17" xfId="7692"/>
    <cellStyle name="Normal 31 17 2" xfId="7693"/>
    <cellStyle name="Normal 31 17 2 2" xfId="37621"/>
    <cellStyle name="Normal 31 17 3" xfId="7694"/>
    <cellStyle name="Normal 31 17 3 2" xfId="37622"/>
    <cellStyle name="Normal 31 17 4" xfId="7695"/>
    <cellStyle name="Normal 31 17 4 2" xfId="37623"/>
    <cellStyle name="Normal 31 17 5" xfId="37624"/>
    <cellStyle name="Normal 31 17_01-04-2012" xfId="7696"/>
    <cellStyle name="Normal 31 18" xfId="7697"/>
    <cellStyle name="Normal 31 18 2" xfId="7698"/>
    <cellStyle name="Normal 31 18 2 2" xfId="37625"/>
    <cellStyle name="Normal 31 18 3" xfId="7699"/>
    <cellStyle name="Normal 31 18 3 2" xfId="37626"/>
    <cellStyle name="Normal 31 18 4" xfId="7700"/>
    <cellStyle name="Normal 31 18 4 2" xfId="37627"/>
    <cellStyle name="Normal 31 18 5" xfId="37628"/>
    <cellStyle name="Normal 31 18_01-04-2012" xfId="7701"/>
    <cellStyle name="Normal 31 19" xfId="7702"/>
    <cellStyle name="Normal 31 19 2" xfId="7703"/>
    <cellStyle name="Normal 31 19 2 2" xfId="37629"/>
    <cellStyle name="Normal 31 19 3" xfId="7704"/>
    <cellStyle name="Normal 31 19 3 2" xfId="37630"/>
    <cellStyle name="Normal 31 19 4" xfId="7705"/>
    <cellStyle name="Normal 31 19 4 2" xfId="37631"/>
    <cellStyle name="Normal 31 19 5" xfId="37632"/>
    <cellStyle name="Normal 31 19_01-04-2012" xfId="7706"/>
    <cellStyle name="Normal 31 2" xfId="7707"/>
    <cellStyle name="Normal 31 2 2" xfId="7708"/>
    <cellStyle name="Normal 31 2 2 2" xfId="33651"/>
    <cellStyle name="Normal 31 2 2 2 2" xfId="37633"/>
    <cellStyle name="Normal 31 2 3" xfId="7709"/>
    <cellStyle name="Normal 31 2 3 2" xfId="37634"/>
    <cellStyle name="Normal 31 2 4" xfId="7710"/>
    <cellStyle name="Normal 31 2 4 2" xfId="37635"/>
    <cellStyle name="Normal 31 2 5" xfId="20257"/>
    <cellStyle name="Normal 31 2 5 2" xfId="37636"/>
    <cellStyle name="Normal 31 2_01-04-2012" xfId="7711"/>
    <cellStyle name="Normal 31 20" xfId="7712"/>
    <cellStyle name="Normal 31 20 2" xfId="7713"/>
    <cellStyle name="Normal 31 20 2 2" xfId="37637"/>
    <cellStyle name="Normal 31 20 3" xfId="7714"/>
    <cellStyle name="Normal 31 20 3 2" xfId="37638"/>
    <cellStyle name="Normal 31 20 4" xfId="7715"/>
    <cellStyle name="Normal 31 20 4 2" xfId="37639"/>
    <cellStyle name="Normal 31 20 5" xfId="37640"/>
    <cellStyle name="Normal 31 20_01-04-2012" xfId="7716"/>
    <cellStyle name="Normal 31 21" xfId="7717"/>
    <cellStyle name="Normal 31 21 2" xfId="7718"/>
    <cellStyle name="Normal 31 21 2 2" xfId="37641"/>
    <cellStyle name="Normal 31 21 3" xfId="7719"/>
    <cellStyle name="Normal 31 21 3 2" xfId="37642"/>
    <cellStyle name="Normal 31 21 4" xfId="7720"/>
    <cellStyle name="Normal 31 21 4 2" xfId="37643"/>
    <cellStyle name="Normal 31 21 5" xfId="37644"/>
    <cellStyle name="Normal 31 21_01-04-2012" xfId="7721"/>
    <cellStyle name="Normal 31 22" xfId="7722"/>
    <cellStyle name="Normal 31 22 2" xfId="7723"/>
    <cellStyle name="Normal 31 22 2 2" xfId="37645"/>
    <cellStyle name="Normal 31 22 3" xfId="7724"/>
    <cellStyle name="Normal 31 22 3 2" xfId="37646"/>
    <cellStyle name="Normal 31 22 4" xfId="7725"/>
    <cellStyle name="Normal 31 22 4 2" xfId="37647"/>
    <cellStyle name="Normal 31 22 5" xfId="37648"/>
    <cellStyle name="Normal 31 22_01-04-2012" xfId="7726"/>
    <cellStyle name="Normal 31 23" xfId="7727"/>
    <cellStyle name="Normal 31 23 2" xfId="7728"/>
    <cellStyle name="Normal 31 23 2 2" xfId="37649"/>
    <cellStyle name="Normal 31 23 3" xfId="7729"/>
    <cellStyle name="Normal 31 23 3 2" xfId="37650"/>
    <cellStyle name="Normal 31 23 4" xfId="7730"/>
    <cellStyle name="Normal 31 23 4 2" xfId="37651"/>
    <cellStyle name="Normal 31 23 5" xfId="37652"/>
    <cellStyle name="Normal 31 23_01-04-2012" xfId="7731"/>
    <cellStyle name="Normal 31 24" xfId="7732"/>
    <cellStyle name="Normal 31 24 2" xfId="7733"/>
    <cellStyle name="Normal 31 24 2 2" xfId="37653"/>
    <cellStyle name="Normal 31 24 3" xfId="7734"/>
    <cellStyle name="Normal 31 24 3 2" xfId="37654"/>
    <cellStyle name="Normal 31 24 4" xfId="7735"/>
    <cellStyle name="Normal 31 24 4 2" xfId="37655"/>
    <cellStyle name="Normal 31 24 5" xfId="37656"/>
    <cellStyle name="Normal 31 24_01-04-2012" xfId="7736"/>
    <cellStyle name="Normal 31 25" xfId="7737"/>
    <cellStyle name="Normal 31 25 2" xfId="7738"/>
    <cellStyle name="Normal 31 25 2 2" xfId="37657"/>
    <cellStyle name="Normal 31 25 3" xfId="7739"/>
    <cellStyle name="Normal 31 25 3 2" xfId="37658"/>
    <cellStyle name="Normal 31 25 4" xfId="7740"/>
    <cellStyle name="Normal 31 25 4 2" xfId="37659"/>
    <cellStyle name="Normal 31 25 5" xfId="37660"/>
    <cellStyle name="Normal 31 25_01-04-2012" xfId="7741"/>
    <cellStyle name="Normal 31 26" xfId="7742"/>
    <cellStyle name="Normal 31 26 2" xfId="7743"/>
    <cellStyle name="Normal 31 26 2 2" xfId="37661"/>
    <cellStyle name="Normal 31 26 3" xfId="7744"/>
    <cellStyle name="Normal 31 26 3 2" xfId="37662"/>
    <cellStyle name="Normal 31 26 4" xfId="7745"/>
    <cellStyle name="Normal 31 26 4 2" xfId="37663"/>
    <cellStyle name="Normal 31 26 5" xfId="37664"/>
    <cellStyle name="Normal 31 26_01-04-2012" xfId="7746"/>
    <cellStyle name="Normal 31 27" xfId="7747"/>
    <cellStyle name="Normal 31 27 2" xfId="7748"/>
    <cellStyle name="Normal 31 27 2 2" xfId="37665"/>
    <cellStyle name="Normal 31 27 3" xfId="7749"/>
    <cellStyle name="Normal 31 27 3 2" xfId="37666"/>
    <cellStyle name="Normal 31 27 4" xfId="7750"/>
    <cellStyle name="Normal 31 27 4 2" xfId="37667"/>
    <cellStyle name="Normal 31 27 5" xfId="37668"/>
    <cellStyle name="Normal 31 27_01-04-2012" xfId="7751"/>
    <cellStyle name="Normal 31 28" xfId="7752"/>
    <cellStyle name="Normal 31 28 2" xfId="7753"/>
    <cellStyle name="Normal 31 28 2 2" xfId="37669"/>
    <cellStyle name="Normal 31 28 3" xfId="7754"/>
    <cellStyle name="Normal 31 28 3 2" xfId="37670"/>
    <cellStyle name="Normal 31 28 4" xfId="7755"/>
    <cellStyle name="Normal 31 28 4 2" xfId="37671"/>
    <cellStyle name="Normal 31 28 5" xfId="37672"/>
    <cellStyle name="Normal 31 28_01-04-2012" xfId="7756"/>
    <cellStyle name="Normal 31 29" xfId="7757"/>
    <cellStyle name="Normal 31 29 2" xfId="7758"/>
    <cellStyle name="Normal 31 29 2 2" xfId="37673"/>
    <cellStyle name="Normal 31 29 3" xfId="7759"/>
    <cellStyle name="Normal 31 29 3 2" xfId="37674"/>
    <cellStyle name="Normal 31 29 4" xfId="7760"/>
    <cellStyle name="Normal 31 29 4 2" xfId="37675"/>
    <cellStyle name="Normal 31 29 5" xfId="37676"/>
    <cellStyle name="Normal 31 29_01-04-2012" xfId="7761"/>
    <cellStyle name="Normal 31 3" xfId="7762"/>
    <cellStyle name="Normal 31 3 2" xfId="7763"/>
    <cellStyle name="Normal 31 3 2 2" xfId="37677"/>
    <cellStyle name="Normal 31 3 3" xfId="7764"/>
    <cellStyle name="Normal 31 3 3 2" xfId="37678"/>
    <cellStyle name="Normal 31 3 4" xfId="7765"/>
    <cellStyle name="Normal 31 3 4 2" xfId="37679"/>
    <cellStyle name="Normal 31 3 5" xfId="20258"/>
    <cellStyle name="Normal 31 3 5 2" xfId="37680"/>
    <cellStyle name="Normal 31 3_01-04-2012" xfId="7766"/>
    <cellStyle name="Normal 31 30" xfId="7767"/>
    <cellStyle name="Normal 31 30 2" xfId="7768"/>
    <cellStyle name="Normal 31 30 2 2" xfId="37681"/>
    <cellStyle name="Normal 31 30 3" xfId="7769"/>
    <cellStyle name="Normal 31 30 3 2" xfId="37682"/>
    <cellStyle name="Normal 31 30 4" xfId="7770"/>
    <cellStyle name="Normal 31 30 4 2" xfId="37683"/>
    <cellStyle name="Normal 31 30 5" xfId="37684"/>
    <cellStyle name="Normal 31 30_01-04-2012" xfId="7771"/>
    <cellStyle name="Normal 31 31" xfId="7772"/>
    <cellStyle name="Normal 31 31 2" xfId="7773"/>
    <cellStyle name="Normal 31 31 2 2" xfId="37685"/>
    <cellStyle name="Normal 31 31 3" xfId="7774"/>
    <cellStyle name="Normal 31 31 3 2" xfId="37686"/>
    <cellStyle name="Normal 31 31 4" xfId="7775"/>
    <cellStyle name="Normal 31 31 4 2" xfId="37687"/>
    <cellStyle name="Normal 31 31 5" xfId="37688"/>
    <cellStyle name="Normal 31 31_01-04-2012" xfId="7776"/>
    <cellStyle name="Normal 31 32" xfId="7777"/>
    <cellStyle name="Normal 31 32 2" xfId="7778"/>
    <cellStyle name="Normal 31 32 2 2" xfId="37689"/>
    <cellStyle name="Normal 31 32 3" xfId="7779"/>
    <cellStyle name="Normal 31 32 3 2" xfId="37690"/>
    <cellStyle name="Normal 31 32 4" xfId="7780"/>
    <cellStyle name="Normal 31 32 4 2" xfId="37691"/>
    <cellStyle name="Normal 31 32 5" xfId="37692"/>
    <cellStyle name="Normal 31 32_01-04-2012" xfId="7781"/>
    <cellStyle name="Normal 31 33" xfId="7782"/>
    <cellStyle name="Normal 31 33 2" xfId="7783"/>
    <cellStyle name="Normal 31 33 2 2" xfId="37693"/>
    <cellStyle name="Normal 31 33 3" xfId="7784"/>
    <cellStyle name="Normal 31 33 3 2" xfId="37694"/>
    <cellStyle name="Normal 31 33 4" xfId="7785"/>
    <cellStyle name="Normal 31 33 4 2" xfId="37695"/>
    <cellStyle name="Normal 31 33 5" xfId="37696"/>
    <cellStyle name="Normal 31 33_01-04-2012" xfId="7786"/>
    <cellStyle name="Normal 31 34" xfId="7787"/>
    <cellStyle name="Normal 31 34 2" xfId="7788"/>
    <cellStyle name="Normal 31 34 2 2" xfId="37697"/>
    <cellStyle name="Normal 31 34 3" xfId="7789"/>
    <cellStyle name="Normal 31 34 3 2" xfId="37698"/>
    <cellStyle name="Normal 31 34 4" xfId="7790"/>
    <cellStyle name="Normal 31 34 4 2" xfId="37699"/>
    <cellStyle name="Normal 31 34 5" xfId="37700"/>
    <cellStyle name="Normal 31 34_01-04-2012" xfId="7791"/>
    <cellStyle name="Normal 31 35" xfId="7792"/>
    <cellStyle name="Normal 31 35 2" xfId="7793"/>
    <cellStyle name="Normal 31 35 2 2" xfId="37701"/>
    <cellStyle name="Normal 31 35 3" xfId="7794"/>
    <cellStyle name="Normal 31 35 3 2" xfId="37702"/>
    <cellStyle name="Normal 31 35 4" xfId="7795"/>
    <cellStyle name="Normal 31 35 4 2" xfId="37703"/>
    <cellStyle name="Normal 31 35 5" xfId="37704"/>
    <cellStyle name="Normal 31 35_01-04-2012" xfId="7796"/>
    <cellStyle name="Normal 31 36" xfId="7797"/>
    <cellStyle name="Normal 31 36 2" xfId="7798"/>
    <cellStyle name="Normal 31 36 2 2" xfId="37705"/>
    <cellStyle name="Normal 31 36 3" xfId="7799"/>
    <cellStyle name="Normal 31 36 3 2" xfId="37706"/>
    <cellStyle name="Normal 31 36 4" xfId="7800"/>
    <cellStyle name="Normal 31 36 4 2" xfId="37707"/>
    <cellStyle name="Normal 31 36 5" xfId="37708"/>
    <cellStyle name="Normal 31 36_01-04-2012" xfId="7801"/>
    <cellStyle name="Normal 31 37" xfId="7802"/>
    <cellStyle name="Normal 31 37 2" xfId="7803"/>
    <cellStyle name="Normal 31 37 2 2" xfId="37709"/>
    <cellStyle name="Normal 31 37 3" xfId="7804"/>
    <cellStyle name="Normal 31 37 3 2" xfId="37710"/>
    <cellStyle name="Normal 31 37 4" xfId="7805"/>
    <cellStyle name="Normal 31 37 4 2" xfId="37711"/>
    <cellStyle name="Normal 31 37 5" xfId="37712"/>
    <cellStyle name="Normal 31 37_01-04-2012" xfId="7806"/>
    <cellStyle name="Normal 31 38" xfId="7807"/>
    <cellStyle name="Normal 31 38 2" xfId="37713"/>
    <cellStyle name="Normal 31 39" xfId="7808"/>
    <cellStyle name="Normal 31 39 2" xfId="37714"/>
    <cellStyle name="Normal 31 4" xfId="7809"/>
    <cellStyle name="Normal 31 4 2" xfId="7810"/>
    <cellStyle name="Normal 31 4 2 2" xfId="37715"/>
    <cellStyle name="Normal 31 4 3" xfId="7811"/>
    <cellStyle name="Normal 31 4 3 2" xfId="37716"/>
    <cellStyle name="Normal 31 4 4" xfId="7812"/>
    <cellStyle name="Normal 31 4 4 2" xfId="37717"/>
    <cellStyle name="Normal 31 4 5" xfId="37718"/>
    <cellStyle name="Normal 31 4_01-04-2012" xfId="7813"/>
    <cellStyle name="Normal 31 40" xfId="7814"/>
    <cellStyle name="Normal 31 40 2" xfId="37719"/>
    <cellStyle name="Normal 31 41" xfId="20259"/>
    <cellStyle name="Normal 31 41 2" xfId="37720"/>
    <cellStyle name="Normal 31 42" xfId="20260"/>
    <cellStyle name="Normal 31 43" xfId="20261"/>
    <cellStyle name="Normal 31 44" xfId="20262"/>
    <cellStyle name="Normal 31 45" xfId="20263"/>
    <cellStyle name="Normal 31 46" xfId="20264"/>
    <cellStyle name="Normal 31 47" xfId="33650"/>
    <cellStyle name="Normal 31 5" xfId="7815"/>
    <cellStyle name="Normal 31 5 2" xfId="7816"/>
    <cellStyle name="Normal 31 5 2 2" xfId="37721"/>
    <cellStyle name="Normal 31 5 3" xfId="7817"/>
    <cellStyle name="Normal 31 5 3 2" xfId="37722"/>
    <cellStyle name="Normal 31 5 4" xfId="7818"/>
    <cellStyle name="Normal 31 5 4 2" xfId="37723"/>
    <cellStyle name="Normal 31 5 5" xfId="37724"/>
    <cellStyle name="Normal 31 5_01-04-2012" xfId="7819"/>
    <cellStyle name="Normal 31 6" xfId="7820"/>
    <cellStyle name="Normal 31 6 2" xfId="7821"/>
    <cellStyle name="Normal 31 6 2 2" xfId="37725"/>
    <cellStyle name="Normal 31 6 3" xfId="7822"/>
    <cellStyle name="Normal 31 6 3 2" xfId="37726"/>
    <cellStyle name="Normal 31 6 4" xfId="7823"/>
    <cellStyle name="Normal 31 6 4 2" xfId="37727"/>
    <cellStyle name="Normal 31 6 5" xfId="37728"/>
    <cellStyle name="Normal 31 6_01-04-2012" xfId="7824"/>
    <cellStyle name="Normal 31 7" xfId="7825"/>
    <cellStyle name="Normal 31 7 2" xfId="7826"/>
    <cellStyle name="Normal 31 7 2 2" xfId="37729"/>
    <cellStyle name="Normal 31 7 3" xfId="7827"/>
    <cellStyle name="Normal 31 7 3 2" xfId="37730"/>
    <cellStyle name="Normal 31 7 4" xfId="7828"/>
    <cellStyle name="Normal 31 7 4 2" xfId="37731"/>
    <cellStyle name="Normal 31 7 5" xfId="37732"/>
    <cellStyle name="Normal 31 7_01-04-2012" xfId="7829"/>
    <cellStyle name="Normal 31 8" xfId="7830"/>
    <cellStyle name="Normal 31 8 2" xfId="7831"/>
    <cellStyle name="Normal 31 8 2 2" xfId="37733"/>
    <cellStyle name="Normal 31 8 3" xfId="7832"/>
    <cellStyle name="Normal 31 8 3 2" xfId="37734"/>
    <cellStyle name="Normal 31 8 4" xfId="7833"/>
    <cellStyle name="Normal 31 8 4 2" xfId="37735"/>
    <cellStyle name="Normal 31 8 5" xfId="37736"/>
    <cellStyle name="Normal 31 8_01-04-2012" xfId="7834"/>
    <cellStyle name="Normal 31 9" xfId="7835"/>
    <cellStyle name="Normal 31 9 2" xfId="7836"/>
    <cellStyle name="Normal 31 9 2 2" xfId="37737"/>
    <cellStyle name="Normal 31 9 3" xfId="7837"/>
    <cellStyle name="Normal 31 9 3 2" xfId="37738"/>
    <cellStyle name="Normal 31 9 4" xfId="7838"/>
    <cellStyle name="Normal 31 9 4 2" xfId="37739"/>
    <cellStyle name="Normal 31 9 5" xfId="37740"/>
    <cellStyle name="Normal 31 9_01-04-2012" xfId="7839"/>
    <cellStyle name="Normal 31_01-04-2012" xfId="7840"/>
    <cellStyle name="Normal 310" xfId="20265"/>
    <cellStyle name="Normal 311" xfId="20266"/>
    <cellStyle name="Normal 312" xfId="20267"/>
    <cellStyle name="Normal 313" xfId="20268"/>
    <cellStyle name="Normal 314" xfId="20269"/>
    <cellStyle name="Normal 315" xfId="20270"/>
    <cellStyle name="Normal 316" xfId="20271"/>
    <cellStyle name="Normal 317" xfId="20272"/>
    <cellStyle name="Normal 318" xfId="20273"/>
    <cellStyle name="Normal 319" xfId="20274"/>
    <cellStyle name="Normal 32" xfId="7841"/>
    <cellStyle name="Normal 32 10" xfId="7842"/>
    <cellStyle name="Normal 32 10 2" xfId="7843"/>
    <cellStyle name="Normal 32 10 2 2" xfId="37741"/>
    <cellStyle name="Normal 32 10 3" xfId="7844"/>
    <cellStyle name="Normal 32 10 3 2" xfId="37742"/>
    <cellStyle name="Normal 32 10 4" xfId="7845"/>
    <cellStyle name="Normal 32 10 4 2" xfId="37743"/>
    <cellStyle name="Normal 32 10 5" xfId="37744"/>
    <cellStyle name="Normal 32 10_01-04-2012" xfId="7846"/>
    <cellStyle name="Normal 32 11" xfId="7847"/>
    <cellStyle name="Normal 32 11 2" xfId="7848"/>
    <cellStyle name="Normal 32 11 2 2" xfId="37745"/>
    <cellStyle name="Normal 32 11 3" xfId="7849"/>
    <cellStyle name="Normal 32 11 3 2" xfId="37746"/>
    <cellStyle name="Normal 32 11 4" xfId="7850"/>
    <cellStyle name="Normal 32 11 4 2" xfId="37747"/>
    <cellStyle name="Normal 32 11 5" xfId="37748"/>
    <cellStyle name="Normal 32 11_01-04-2012" xfId="7851"/>
    <cellStyle name="Normal 32 12" xfId="7852"/>
    <cellStyle name="Normal 32 12 2" xfId="7853"/>
    <cellStyle name="Normal 32 12 2 2" xfId="37749"/>
    <cellStyle name="Normal 32 12 3" xfId="7854"/>
    <cellStyle name="Normal 32 12 3 2" xfId="37750"/>
    <cellStyle name="Normal 32 12 4" xfId="7855"/>
    <cellStyle name="Normal 32 12 4 2" xfId="37751"/>
    <cellStyle name="Normal 32 12 5" xfId="37752"/>
    <cellStyle name="Normal 32 12_01-04-2012" xfId="7856"/>
    <cellStyle name="Normal 32 13" xfId="7857"/>
    <cellStyle name="Normal 32 13 2" xfId="7858"/>
    <cellStyle name="Normal 32 13 2 2" xfId="37753"/>
    <cellStyle name="Normal 32 13 3" xfId="7859"/>
    <cellStyle name="Normal 32 13 3 2" xfId="37754"/>
    <cellStyle name="Normal 32 13 4" xfId="7860"/>
    <cellStyle name="Normal 32 13 4 2" xfId="37755"/>
    <cellStyle name="Normal 32 13 5" xfId="37756"/>
    <cellStyle name="Normal 32 13_01-04-2012" xfId="7861"/>
    <cellStyle name="Normal 32 14" xfId="7862"/>
    <cellStyle name="Normal 32 14 2" xfId="7863"/>
    <cellStyle name="Normal 32 14 2 2" xfId="37757"/>
    <cellStyle name="Normal 32 14 3" xfId="7864"/>
    <cellStyle name="Normal 32 14 3 2" xfId="37758"/>
    <cellStyle name="Normal 32 14 4" xfId="7865"/>
    <cellStyle name="Normal 32 14 4 2" xfId="37759"/>
    <cellStyle name="Normal 32 14 5" xfId="37760"/>
    <cellStyle name="Normal 32 14_01-04-2012" xfId="7866"/>
    <cellStyle name="Normal 32 15" xfId="7867"/>
    <cellStyle name="Normal 32 15 2" xfId="7868"/>
    <cellStyle name="Normal 32 15 2 2" xfId="37761"/>
    <cellStyle name="Normal 32 15 3" xfId="7869"/>
    <cellStyle name="Normal 32 15 3 2" xfId="37762"/>
    <cellStyle name="Normal 32 15 4" xfId="7870"/>
    <cellStyle name="Normal 32 15 4 2" xfId="37763"/>
    <cellStyle name="Normal 32 15 5" xfId="37764"/>
    <cellStyle name="Normal 32 15_01-04-2012" xfId="7871"/>
    <cellStyle name="Normal 32 16" xfId="7872"/>
    <cellStyle name="Normal 32 16 2" xfId="7873"/>
    <cellStyle name="Normal 32 16 2 2" xfId="37765"/>
    <cellStyle name="Normal 32 16 3" xfId="7874"/>
    <cellStyle name="Normal 32 16 3 2" xfId="37766"/>
    <cellStyle name="Normal 32 16 4" xfId="7875"/>
    <cellStyle name="Normal 32 16 4 2" xfId="37767"/>
    <cellStyle name="Normal 32 16 5" xfId="37768"/>
    <cellStyle name="Normal 32 16_01-04-2012" xfId="7876"/>
    <cellStyle name="Normal 32 17" xfId="7877"/>
    <cellStyle name="Normal 32 17 2" xfId="7878"/>
    <cellStyle name="Normal 32 17 2 2" xfId="37769"/>
    <cellStyle name="Normal 32 17 3" xfId="7879"/>
    <cellStyle name="Normal 32 17 3 2" xfId="37770"/>
    <cellStyle name="Normal 32 17 4" xfId="7880"/>
    <cellStyle name="Normal 32 17 4 2" xfId="37771"/>
    <cellStyle name="Normal 32 17 5" xfId="37772"/>
    <cellStyle name="Normal 32 17_01-04-2012" xfId="7881"/>
    <cellStyle name="Normal 32 18" xfId="7882"/>
    <cellStyle name="Normal 32 18 2" xfId="7883"/>
    <cellStyle name="Normal 32 18 2 2" xfId="37773"/>
    <cellStyle name="Normal 32 18 3" xfId="7884"/>
    <cellStyle name="Normal 32 18 3 2" xfId="37774"/>
    <cellStyle name="Normal 32 18 4" xfId="7885"/>
    <cellStyle name="Normal 32 18 4 2" xfId="37775"/>
    <cellStyle name="Normal 32 18 5" xfId="37776"/>
    <cellStyle name="Normal 32 18_01-04-2012" xfId="7886"/>
    <cellStyle name="Normal 32 19" xfId="7887"/>
    <cellStyle name="Normal 32 19 2" xfId="7888"/>
    <cellStyle name="Normal 32 19 2 2" xfId="37777"/>
    <cellStyle name="Normal 32 19 3" xfId="7889"/>
    <cellStyle name="Normal 32 19 3 2" xfId="37778"/>
    <cellStyle name="Normal 32 19 4" xfId="7890"/>
    <cellStyle name="Normal 32 19 4 2" xfId="37779"/>
    <cellStyle name="Normal 32 19 5" xfId="37780"/>
    <cellStyle name="Normal 32 19_01-04-2012" xfId="7891"/>
    <cellStyle name="Normal 32 2" xfId="7892"/>
    <cellStyle name="Normal 32 2 2" xfId="7893"/>
    <cellStyle name="Normal 32 2 2 2" xfId="33653"/>
    <cellStyle name="Normal 32 2 2 2 2" xfId="37781"/>
    <cellStyle name="Normal 32 2 3" xfId="7894"/>
    <cellStyle name="Normal 32 2 3 2" xfId="37782"/>
    <cellStyle name="Normal 32 2 4" xfId="7895"/>
    <cellStyle name="Normal 32 2 4 2" xfId="37783"/>
    <cellStyle name="Normal 32 2 5" xfId="20275"/>
    <cellStyle name="Normal 32 2 5 2" xfId="37784"/>
    <cellStyle name="Normal 32 2_01-04-2012" xfId="7896"/>
    <cellStyle name="Normal 32 20" xfId="7897"/>
    <cellStyle name="Normal 32 20 2" xfId="7898"/>
    <cellStyle name="Normal 32 20 2 2" xfId="37785"/>
    <cellStyle name="Normal 32 20 3" xfId="7899"/>
    <cellStyle name="Normal 32 20 3 2" xfId="37786"/>
    <cellStyle name="Normal 32 20 4" xfId="7900"/>
    <cellStyle name="Normal 32 20 4 2" xfId="37787"/>
    <cellStyle name="Normal 32 20 5" xfId="37788"/>
    <cellStyle name="Normal 32 20_01-04-2012" xfId="7901"/>
    <cellStyle name="Normal 32 21" xfId="7902"/>
    <cellStyle name="Normal 32 21 2" xfId="7903"/>
    <cellStyle name="Normal 32 21 2 2" xfId="37789"/>
    <cellStyle name="Normal 32 21 3" xfId="7904"/>
    <cellStyle name="Normal 32 21 3 2" xfId="37790"/>
    <cellStyle name="Normal 32 21 4" xfId="7905"/>
    <cellStyle name="Normal 32 21 4 2" xfId="37791"/>
    <cellStyle name="Normal 32 21 5" xfId="37792"/>
    <cellStyle name="Normal 32 21_01-04-2012" xfId="7906"/>
    <cellStyle name="Normal 32 22" xfId="7907"/>
    <cellStyle name="Normal 32 22 2" xfId="7908"/>
    <cellStyle name="Normal 32 22 2 2" xfId="37793"/>
    <cellStyle name="Normal 32 22 3" xfId="7909"/>
    <cellStyle name="Normal 32 22 3 2" xfId="37794"/>
    <cellStyle name="Normal 32 22 4" xfId="7910"/>
    <cellStyle name="Normal 32 22 4 2" xfId="37795"/>
    <cellStyle name="Normal 32 22 5" xfId="37796"/>
    <cellStyle name="Normal 32 22_01-04-2012" xfId="7911"/>
    <cellStyle name="Normal 32 23" xfId="7912"/>
    <cellStyle name="Normal 32 23 2" xfId="7913"/>
    <cellStyle name="Normal 32 23 2 2" xfId="37797"/>
    <cellStyle name="Normal 32 23 3" xfId="7914"/>
    <cellStyle name="Normal 32 23 3 2" xfId="37798"/>
    <cellStyle name="Normal 32 23 4" xfId="7915"/>
    <cellStyle name="Normal 32 23 4 2" xfId="37799"/>
    <cellStyle name="Normal 32 23 5" xfId="37800"/>
    <cellStyle name="Normal 32 23_01-04-2012" xfId="7916"/>
    <cellStyle name="Normal 32 24" xfId="7917"/>
    <cellStyle name="Normal 32 24 2" xfId="7918"/>
    <cellStyle name="Normal 32 24 2 2" xfId="37801"/>
    <cellStyle name="Normal 32 24 3" xfId="7919"/>
    <cellStyle name="Normal 32 24 3 2" xfId="37802"/>
    <cellStyle name="Normal 32 24 4" xfId="7920"/>
    <cellStyle name="Normal 32 24 4 2" xfId="37803"/>
    <cellStyle name="Normal 32 24 5" xfId="37804"/>
    <cellStyle name="Normal 32 24_01-04-2012" xfId="7921"/>
    <cellStyle name="Normal 32 25" xfId="7922"/>
    <cellStyle name="Normal 32 25 2" xfId="7923"/>
    <cellStyle name="Normal 32 25 2 2" xfId="37805"/>
    <cellStyle name="Normal 32 25 3" xfId="7924"/>
    <cellStyle name="Normal 32 25 3 2" xfId="37806"/>
    <cellStyle name="Normal 32 25 4" xfId="7925"/>
    <cellStyle name="Normal 32 25 4 2" xfId="37807"/>
    <cellStyle name="Normal 32 25 5" xfId="37808"/>
    <cellStyle name="Normal 32 25_01-04-2012" xfId="7926"/>
    <cellStyle name="Normal 32 26" xfId="7927"/>
    <cellStyle name="Normal 32 26 2" xfId="7928"/>
    <cellStyle name="Normal 32 26 2 2" xfId="37809"/>
    <cellStyle name="Normal 32 26 3" xfId="7929"/>
    <cellStyle name="Normal 32 26 3 2" xfId="37810"/>
    <cellStyle name="Normal 32 26 4" xfId="7930"/>
    <cellStyle name="Normal 32 26 4 2" xfId="37811"/>
    <cellStyle name="Normal 32 26 5" xfId="37812"/>
    <cellStyle name="Normal 32 26_01-04-2012" xfId="7931"/>
    <cellStyle name="Normal 32 27" xfId="7932"/>
    <cellStyle name="Normal 32 27 2" xfId="7933"/>
    <cellStyle name="Normal 32 27 2 2" xfId="37813"/>
    <cellStyle name="Normal 32 27 3" xfId="7934"/>
    <cellStyle name="Normal 32 27 3 2" xfId="37814"/>
    <cellStyle name="Normal 32 27 4" xfId="7935"/>
    <cellStyle name="Normal 32 27 4 2" xfId="37815"/>
    <cellStyle name="Normal 32 27 5" xfId="37816"/>
    <cellStyle name="Normal 32 27_01-04-2012" xfId="7936"/>
    <cellStyle name="Normal 32 28" xfId="7937"/>
    <cellStyle name="Normal 32 28 2" xfId="7938"/>
    <cellStyle name="Normal 32 28 2 2" xfId="37817"/>
    <cellStyle name="Normal 32 28 3" xfId="7939"/>
    <cellStyle name="Normal 32 28 3 2" xfId="37818"/>
    <cellStyle name="Normal 32 28 4" xfId="7940"/>
    <cellStyle name="Normal 32 28 4 2" xfId="37819"/>
    <cellStyle name="Normal 32 28 5" xfId="37820"/>
    <cellStyle name="Normal 32 28_01-04-2012" xfId="7941"/>
    <cellStyle name="Normal 32 29" xfId="7942"/>
    <cellStyle name="Normal 32 29 2" xfId="7943"/>
    <cellStyle name="Normal 32 29 2 2" xfId="37821"/>
    <cellStyle name="Normal 32 29 3" xfId="7944"/>
    <cellStyle name="Normal 32 29 3 2" xfId="37822"/>
    <cellStyle name="Normal 32 29 4" xfId="7945"/>
    <cellStyle name="Normal 32 29 4 2" xfId="37823"/>
    <cellStyle name="Normal 32 29 5" xfId="37824"/>
    <cellStyle name="Normal 32 29_01-04-2012" xfId="7946"/>
    <cellStyle name="Normal 32 3" xfId="7947"/>
    <cellStyle name="Normal 32 3 2" xfId="7948"/>
    <cellStyle name="Normal 32 3 2 2" xfId="37825"/>
    <cellStyle name="Normal 32 3 3" xfId="7949"/>
    <cellStyle name="Normal 32 3 3 2" xfId="37826"/>
    <cellStyle name="Normal 32 3 4" xfId="7950"/>
    <cellStyle name="Normal 32 3 4 2" xfId="37827"/>
    <cellStyle name="Normal 32 3 5" xfId="20276"/>
    <cellStyle name="Normal 32 3 5 2" xfId="37828"/>
    <cellStyle name="Normal 32 3_01-04-2012" xfId="7951"/>
    <cellStyle name="Normal 32 30" xfId="7952"/>
    <cellStyle name="Normal 32 30 2" xfId="7953"/>
    <cellStyle name="Normal 32 30 2 2" xfId="37829"/>
    <cellStyle name="Normal 32 30 3" xfId="7954"/>
    <cellStyle name="Normal 32 30 3 2" xfId="37830"/>
    <cellStyle name="Normal 32 30 4" xfId="7955"/>
    <cellStyle name="Normal 32 30 4 2" xfId="37831"/>
    <cellStyle name="Normal 32 30 5" xfId="37832"/>
    <cellStyle name="Normal 32 30_01-04-2012" xfId="7956"/>
    <cellStyle name="Normal 32 31" xfId="7957"/>
    <cellStyle name="Normal 32 31 2" xfId="7958"/>
    <cellStyle name="Normal 32 31 2 2" xfId="37833"/>
    <cellStyle name="Normal 32 31 3" xfId="7959"/>
    <cellStyle name="Normal 32 31 3 2" xfId="37834"/>
    <cellStyle name="Normal 32 31 4" xfId="7960"/>
    <cellStyle name="Normal 32 31 4 2" xfId="37835"/>
    <cellStyle name="Normal 32 31 5" xfId="37836"/>
    <cellStyle name="Normal 32 31_01-04-2012" xfId="7961"/>
    <cellStyle name="Normal 32 32" xfId="7962"/>
    <cellStyle name="Normal 32 32 2" xfId="7963"/>
    <cellStyle name="Normal 32 32 2 2" xfId="37837"/>
    <cellStyle name="Normal 32 32 3" xfId="7964"/>
    <cellStyle name="Normal 32 32 3 2" xfId="37838"/>
    <cellStyle name="Normal 32 32 4" xfId="7965"/>
    <cellStyle name="Normal 32 32 4 2" xfId="37839"/>
    <cellStyle name="Normal 32 32 5" xfId="37840"/>
    <cellStyle name="Normal 32 32_01-04-2012" xfId="7966"/>
    <cellStyle name="Normal 32 33" xfId="7967"/>
    <cellStyle name="Normal 32 33 2" xfId="7968"/>
    <cellStyle name="Normal 32 33 2 2" xfId="37841"/>
    <cellStyle name="Normal 32 33 3" xfId="7969"/>
    <cellStyle name="Normal 32 33 3 2" xfId="37842"/>
    <cellStyle name="Normal 32 33 4" xfId="7970"/>
    <cellStyle name="Normal 32 33 4 2" xfId="37843"/>
    <cellStyle name="Normal 32 33 5" xfId="37844"/>
    <cellStyle name="Normal 32 33_01-04-2012" xfId="7971"/>
    <cellStyle name="Normal 32 34" xfId="7972"/>
    <cellStyle name="Normal 32 34 2" xfId="7973"/>
    <cellStyle name="Normal 32 34 2 2" xfId="37845"/>
    <cellStyle name="Normal 32 34 3" xfId="7974"/>
    <cellStyle name="Normal 32 34 3 2" xfId="37846"/>
    <cellStyle name="Normal 32 34 4" xfId="7975"/>
    <cellStyle name="Normal 32 34 4 2" xfId="37847"/>
    <cellStyle name="Normal 32 34 5" xfId="37848"/>
    <cellStyle name="Normal 32 34_01-04-2012" xfId="7976"/>
    <cellStyle name="Normal 32 35" xfId="7977"/>
    <cellStyle name="Normal 32 35 2" xfId="7978"/>
    <cellStyle name="Normal 32 35 2 2" xfId="37849"/>
    <cellStyle name="Normal 32 35 3" xfId="7979"/>
    <cellStyle name="Normal 32 35 3 2" xfId="37850"/>
    <cellStyle name="Normal 32 35 4" xfId="7980"/>
    <cellStyle name="Normal 32 35 4 2" xfId="37851"/>
    <cellStyle name="Normal 32 35 5" xfId="37852"/>
    <cellStyle name="Normal 32 35_01-04-2012" xfId="7981"/>
    <cellStyle name="Normal 32 36" xfId="7982"/>
    <cellStyle name="Normal 32 36 2" xfId="7983"/>
    <cellStyle name="Normal 32 36 2 2" xfId="37853"/>
    <cellStyle name="Normal 32 36 3" xfId="7984"/>
    <cellStyle name="Normal 32 36 3 2" xfId="37854"/>
    <cellStyle name="Normal 32 36 4" xfId="7985"/>
    <cellStyle name="Normal 32 36 4 2" xfId="37855"/>
    <cellStyle name="Normal 32 36 5" xfId="37856"/>
    <cellStyle name="Normal 32 36_01-04-2012" xfId="7986"/>
    <cellStyle name="Normal 32 37" xfId="7987"/>
    <cellStyle name="Normal 32 37 2" xfId="7988"/>
    <cellStyle name="Normal 32 37 2 2" xfId="37857"/>
    <cellStyle name="Normal 32 37 3" xfId="7989"/>
    <cellStyle name="Normal 32 37 3 2" xfId="37858"/>
    <cellStyle name="Normal 32 37 4" xfId="7990"/>
    <cellStyle name="Normal 32 37 4 2" xfId="37859"/>
    <cellStyle name="Normal 32 37 5" xfId="37860"/>
    <cellStyle name="Normal 32 37_01-04-2012" xfId="7991"/>
    <cellStyle name="Normal 32 38" xfId="7992"/>
    <cellStyle name="Normal 32 38 2" xfId="37861"/>
    <cellStyle name="Normal 32 39" xfId="7993"/>
    <cellStyle name="Normal 32 39 2" xfId="37862"/>
    <cellStyle name="Normal 32 4" xfId="7994"/>
    <cellStyle name="Normal 32 4 2" xfId="7995"/>
    <cellStyle name="Normal 32 4 2 2" xfId="37863"/>
    <cellStyle name="Normal 32 4 3" xfId="7996"/>
    <cellStyle name="Normal 32 4 3 2" xfId="37864"/>
    <cellStyle name="Normal 32 4 4" xfId="7997"/>
    <cellStyle name="Normal 32 4 4 2" xfId="37865"/>
    <cellStyle name="Normal 32 4 5" xfId="37866"/>
    <cellStyle name="Normal 32 4_01-04-2012" xfId="7998"/>
    <cellStyle name="Normal 32 40" xfId="7999"/>
    <cellStyle name="Normal 32 40 2" xfId="37867"/>
    <cellStyle name="Normal 32 41" xfId="20277"/>
    <cellStyle name="Normal 32 41 2" xfId="37868"/>
    <cellStyle name="Normal 32 42" xfId="20278"/>
    <cellStyle name="Normal 32 43" xfId="20279"/>
    <cellStyle name="Normal 32 44" xfId="20280"/>
    <cellStyle name="Normal 32 45" xfId="20281"/>
    <cellStyle name="Normal 32 46" xfId="20282"/>
    <cellStyle name="Normal 32 47" xfId="33652"/>
    <cellStyle name="Normal 32 5" xfId="8000"/>
    <cellStyle name="Normal 32 5 2" xfId="8001"/>
    <cellStyle name="Normal 32 5 2 2" xfId="37869"/>
    <cellStyle name="Normal 32 5 3" xfId="8002"/>
    <cellStyle name="Normal 32 5 3 2" xfId="37870"/>
    <cellStyle name="Normal 32 5 4" xfId="8003"/>
    <cellStyle name="Normal 32 5 4 2" xfId="37871"/>
    <cellStyle name="Normal 32 5 5" xfId="37872"/>
    <cellStyle name="Normal 32 5_01-04-2012" xfId="8004"/>
    <cellStyle name="Normal 32 6" xfId="8005"/>
    <cellStyle name="Normal 32 6 2" xfId="8006"/>
    <cellStyle name="Normal 32 6 2 2" xfId="37873"/>
    <cellStyle name="Normal 32 6 3" xfId="8007"/>
    <cellStyle name="Normal 32 6 3 2" xfId="37874"/>
    <cellStyle name="Normal 32 6 4" xfId="8008"/>
    <cellStyle name="Normal 32 6 4 2" xfId="37875"/>
    <cellStyle name="Normal 32 6 5" xfId="37876"/>
    <cellStyle name="Normal 32 6_01-04-2012" xfId="8009"/>
    <cellStyle name="Normal 32 7" xfId="8010"/>
    <cellStyle name="Normal 32 7 2" xfId="8011"/>
    <cellStyle name="Normal 32 7 2 2" xfId="37877"/>
    <cellStyle name="Normal 32 7 3" xfId="8012"/>
    <cellStyle name="Normal 32 7 3 2" xfId="37878"/>
    <cellStyle name="Normal 32 7 4" xfId="8013"/>
    <cellStyle name="Normal 32 7 4 2" xfId="37879"/>
    <cellStyle name="Normal 32 7 5" xfId="37880"/>
    <cellStyle name="Normal 32 7_01-04-2012" xfId="8014"/>
    <cellStyle name="Normal 32 8" xfId="8015"/>
    <cellStyle name="Normal 32 8 2" xfId="8016"/>
    <cellStyle name="Normal 32 8 2 2" xfId="37881"/>
    <cellStyle name="Normal 32 8 3" xfId="8017"/>
    <cellStyle name="Normal 32 8 3 2" xfId="37882"/>
    <cellStyle name="Normal 32 8 4" xfId="8018"/>
    <cellStyle name="Normal 32 8 4 2" xfId="37883"/>
    <cellStyle name="Normal 32 8 5" xfId="37884"/>
    <cellStyle name="Normal 32 8_01-04-2012" xfId="8019"/>
    <cellStyle name="Normal 32 9" xfId="8020"/>
    <cellStyle name="Normal 32 9 2" xfId="8021"/>
    <cellStyle name="Normal 32 9 2 2" xfId="37885"/>
    <cellStyle name="Normal 32 9 3" xfId="8022"/>
    <cellStyle name="Normal 32 9 3 2" xfId="37886"/>
    <cellStyle name="Normal 32 9 4" xfId="8023"/>
    <cellStyle name="Normal 32 9 4 2" xfId="37887"/>
    <cellStyle name="Normal 32 9 5" xfId="37888"/>
    <cellStyle name="Normal 32 9_01-04-2012" xfId="8024"/>
    <cellStyle name="Normal 32_01-04-2012" xfId="8025"/>
    <cellStyle name="Normal 320" xfId="20283"/>
    <cellStyle name="Normal 321" xfId="20284"/>
    <cellStyle name="Normal 322" xfId="20285"/>
    <cellStyle name="Normal 323" xfId="20286"/>
    <cellStyle name="Normal 324" xfId="20287"/>
    <cellStyle name="Normal 325" xfId="20288"/>
    <cellStyle name="Normal 326" xfId="20289"/>
    <cellStyle name="Normal 327" xfId="20290"/>
    <cellStyle name="Normal 328" xfId="20291"/>
    <cellStyle name="Normal 329" xfId="20292"/>
    <cellStyle name="Normal 33" xfId="8026"/>
    <cellStyle name="Normal 33 10" xfId="8027"/>
    <cellStyle name="Normal 33 10 2" xfId="8028"/>
    <cellStyle name="Normal 33 10 2 2" xfId="37889"/>
    <cellStyle name="Normal 33 10 3" xfId="8029"/>
    <cellStyle name="Normal 33 10 3 2" xfId="37890"/>
    <cellStyle name="Normal 33 10 4" xfId="8030"/>
    <cellStyle name="Normal 33 10 4 2" xfId="37891"/>
    <cellStyle name="Normal 33 10 5" xfId="37892"/>
    <cellStyle name="Normal 33 10_01-04-2012" xfId="8031"/>
    <cellStyle name="Normal 33 11" xfId="8032"/>
    <cellStyle name="Normal 33 11 2" xfId="8033"/>
    <cellStyle name="Normal 33 11 2 2" xfId="37893"/>
    <cellStyle name="Normal 33 11 3" xfId="8034"/>
    <cellStyle name="Normal 33 11 3 2" xfId="37894"/>
    <cellStyle name="Normal 33 11 4" xfId="8035"/>
    <cellStyle name="Normal 33 11 4 2" xfId="37895"/>
    <cellStyle name="Normal 33 11 5" xfId="37896"/>
    <cellStyle name="Normal 33 11_01-04-2012" xfId="8036"/>
    <cellStyle name="Normal 33 12" xfId="8037"/>
    <cellStyle name="Normal 33 12 2" xfId="8038"/>
    <cellStyle name="Normal 33 12 2 2" xfId="37897"/>
    <cellStyle name="Normal 33 12 3" xfId="8039"/>
    <cellStyle name="Normal 33 12 3 2" xfId="37898"/>
    <cellStyle name="Normal 33 12 4" xfId="8040"/>
    <cellStyle name="Normal 33 12 4 2" xfId="37899"/>
    <cellStyle name="Normal 33 12 5" xfId="37900"/>
    <cellStyle name="Normal 33 12_01-04-2012" xfId="8041"/>
    <cellStyle name="Normal 33 13" xfId="8042"/>
    <cellStyle name="Normal 33 13 2" xfId="8043"/>
    <cellStyle name="Normal 33 13 2 2" xfId="37901"/>
    <cellStyle name="Normal 33 13 3" xfId="8044"/>
    <cellStyle name="Normal 33 13 3 2" xfId="37902"/>
    <cellStyle name="Normal 33 13 4" xfId="8045"/>
    <cellStyle name="Normal 33 13 4 2" xfId="37903"/>
    <cellStyle name="Normal 33 13 5" xfId="37904"/>
    <cellStyle name="Normal 33 13_01-04-2012" xfId="8046"/>
    <cellStyle name="Normal 33 14" xfId="8047"/>
    <cellStyle name="Normal 33 14 2" xfId="8048"/>
    <cellStyle name="Normal 33 14 2 2" xfId="37905"/>
    <cellStyle name="Normal 33 14 3" xfId="8049"/>
    <cellStyle name="Normal 33 14 3 2" xfId="37906"/>
    <cellStyle name="Normal 33 14 4" xfId="8050"/>
    <cellStyle name="Normal 33 14 4 2" xfId="37907"/>
    <cellStyle name="Normal 33 14 5" xfId="37908"/>
    <cellStyle name="Normal 33 14_01-04-2012" xfId="8051"/>
    <cellStyle name="Normal 33 15" xfId="8052"/>
    <cellStyle name="Normal 33 15 2" xfId="8053"/>
    <cellStyle name="Normal 33 15 2 2" xfId="37909"/>
    <cellStyle name="Normal 33 15 3" xfId="8054"/>
    <cellStyle name="Normal 33 15 3 2" xfId="37910"/>
    <cellStyle name="Normal 33 15 4" xfId="8055"/>
    <cellStyle name="Normal 33 15 4 2" xfId="37911"/>
    <cellStyle name="Normal 33 15 5" xfId="37912"/>
    <cellStyle name="Normal 33 15_01-04-2012" xfId="8056"/>
    <cellStyle name="Normal 33 16" xfId="8057"/>
    <cellStyle name="Normal 33 16 2" xfId="8058"/>
    <cellStyle name="Normal 33 16 2 2" xfId="37913"/>
    <cellStyle name="Normal 33 16 3" xfId="8059"/>
    <cellStyle name="Normal 33 16 3 2" xfId="37914"/>
    <cellStyle name="Normal 33 16 4" xfId="8060"/>
    <cellStyle name="Normal 33 16 4 2" xfId="37915"/>
    <cellStyle name="Normal 33 16 5" xfId="37916"/>
    <cellStyle name="Normal 33 16_01-04-2012" xfId="8061"/>
    <cellStyle name="Normal 33 17" xfId="8062"/>
    <cellStyle name="Normal 33 17 2" xfId="8063"/>
    <cellStyle name="Normal 33 17 2 2" xfId="37917"/>
    <cellStyle name="Normal 33 17 3" xfId="8064"/>
    <cellStyle name="Normal 33 17 3 2" xfId="37918"/>
    <cellStyle name="Normal 33 17 4" xfId="8065"/>
    <cellStyle name="Normal 33 17 4 2" xfId="37919"/>
    <cellStyle name="Normal 33 17 5" xfId="37920"/>
    <cellStyle name="Normal 33 17_01-04-2012" xfId="8066"/>
    <cellStyle name="Normal 33 18" xfId="8067"/>
    <cellStyle name="Normal 33 18 2" xfId="8068"/>
    <cellStyle name="Normal 33 18 2 2" xfId="37921"/>
    <cellStyle name="Normal 33 18 3" xfId="8069"/>
    <cellStyle name="Normal 33 18 3 2" xfId="37922"/>
    <cellStyle name="Normal 33 18 4" xfId="8070"/>
    <cellStyle name="Normal 33 18 4 2" xfId="37923"/>
    <cellStyle name="Normal 33 18 5" xfId="37924"/>
    <cellStyle name="Normal 33 18_01-04-2012" xfId="8071"/>
    <cellStyle name="Normal 33 19" xfId="8072"/>
    <cellStyle name="Normal 33 19 2" xfId="8073"/>
    <cellStyle name="Normal 33 19 2 2" xfId="37925"/>
    <cellStyle name="Normal 33 19 3" xfId="8074"/>
    <cellStyle name="Normal 33 19 3 2" xfId="37926"/>
    <cellStyle name="Normal 33 19 4" xfId="8075"/>
    <cellStyle name="Normal 33 19 4 2" xfId="37927"/>
    <cellStyle name="Normal 33 19 5" xfId="37928"/>
    <cellStyle name="Normal 33 19_01-04-2012" xfId="8076"/>
    <cellStyle name="Normal 33 2" xfId="8077"/>
    <cellStyle name="Normal 33 2 2" xfId="8078"/>
    <cellStyle name="Normal 33 2 2 2" xfId="33655"/>
    <cellStyle name="Normal 33 2 2 2 2" xfId="37929"/>
    <cellStyle name="Normal 33 2 3" xfId="8079"/>
    <cellStyle name="Normal 33 2 3 2" xfId="37930"/>
    <cellStyle name="Normal 33 2 4" xfId="8080"/>
    <cellStyle name="Normal 33 2 4 2" xfId="37931"/>
    <cellStyle name="Normal 33 2 5" xfId="20293"/>
    <cellStyle name="Normal 33 2 5 2" xfId="37932"/>
    <cellStyle name="Normal 33 2_01-04-2012" xfId="8081"/>
    <cellStyle name="Normal 33 20" xfId="8082"/>
    <cellStyle name="Normal 33 20 2" xfId="8083"/>
    <cellStyle name="Normal 33 20 2 2" xfId="37933"/>
    <cellStyle name="Normal 33 20 3" xfId="8084"/>
    <cellStyle name="Normal 33 20 3 2" xfId="37934"/>
    <cellStyle name="Normal 33 20 4" xfId="8085"/>
    <cellStyle name="Normal 33 20 4 2" xfId="37935"/>
    <cellStyle name="Normal 33 20 5" xfId="37936"/>
    <cellStyle name="Normal 33 20_01-04-2012" xfId="8086"/>
    <cellStyle name="Normal 33 21" xfId="8087"/>
    <cellStyle name="Normal 33 21 2" xfId="8088"/>
    <cellStyle name="Normal 33 21 2 2" xfId="37937"/>
    <cellStyle name="Normal 33 21 3" xfId="8089"/>
    <cellStyle name="Normal 33 21 3 2" xfId="37938"/>
    <cellStyle name="Normal 33 21 4" xfId="8090"/>
    <cellStyle name="Normal 33 21 4 2" xfId="37939"/>
    <cellStyle name="Normal 33 21 5" xfId="37940"/>
    <cellStyle name="Normal 33 21_01-04-2012" xfId="8091"/>
    <cellStyle name="Normal 33 22" xfId="8092"/>
    <cellStyle name="Normal 33 22 2" xfId="8093"/>
    <cellStyle name="Normal 33 22 2 2" xfId="37941"/>
    <cellStyle name="Normal 33 22 3" xfId="8094"/>
    <cellStyle name="Normal 33 22 3 2" xfId="37942"/>
    <cellStyle name="Normal 33 22 4" xfId="8095"/>
    <cellStyle name="Normal 33 22 4 2" xfId="37943"/>
    <cellStyle name="Normal 33 22 5" xfId="37944"/>
    <cellStyle name="Normal 33 22_01-04-2012" xfId="8096"/>
    <cellStyle name="Normal 33 23" xfId="8097"/>
    <cellStyle name="Normal 33 23 2" xfId="8098"/>
    <cellStyle name="Normal 33 23 2 2" xfId="37945"/>
    <cellStyle name="Normal 33 23 3" xfId="8099"/>
    <cellStyle name="Normal 33 23 3 2" xfId="37946"/>
    <cellStyle name="Normal 33 23 4" xfId="8100"/>
    <cellStyle name="Normal 33 23 4 2" xfId="37947"/>
    <cellStyle name="Normal 33 23 5" xfId="37948"/>
    <cellStyle name="Normal 33 23_01-04-2012" xfId="8101"/>
    <cellStyle name="Normal 33 24" xfId="8102"/>
    <cellStyle name="Normal 33 24 2" xfId="8103"/>
    <cellStyle name="Normal 33 24 2 2" xfId="37949"/>
    <cellStyle name="Normal 33 24 3" xfId="8104"/>
    <cellStyle name="Normal 33 24 3 2" xfId="37950"/>
    <cellStyle name="Normal 33 24 4" xfId="8105"/>
    <cellStyle name="Normal 33 24 4 2" xfId="37951"/>
    <cellStyle name="Normal 33 24 5" xfId="37952"/>
    <cellStyle name="Normal 33 24_01-04-2012" xfId="8106"/>
    <cellStyle name="Normal 33 25" xfId="8107"/>
    <cellStyle name="Normal 33 25 2" xfId="8108"/>
    <cellStyle name="Normal 33 25 2 2" xfId="37953"/>
    <cellStyle name="Normal 33 25 3" xfId="8109"/>
    <cellStyle name="Normal 33 25 3 2" xfId="37954"/>
    <cellStyle name="Normal 33 25 4" xfId="8110"/>
    <cellStyle name="Normal 33 25 4 2" xfId="37955"/>
    <cellStyle name="Normal 33 25 5" xfId="37956"/>
    <cellStyle name="Normal 33 25_01-04-2012" xfId="8111"/>
    <cellStyle name="Normal 33 26" xfId="8112"/>
    <cellStyle name="Normal 33 26 2" xfId="8113"/>
    <cellStyle name="Normal 33 26 2 2" xfId="37957"/>
    <cellStyle name="Normal 33 26 3" xfId="8114"/>
    <cellStyle name="Normal 33 26 3 2" xfId="37958"/>
    <cellStyle name="Normal 33 26 4" xfId="8115"/>
    <cellStyle name="Normal 33 26 4 2" xfId="37959"/>
    <cellStyle name="Normal 33 26 5" xfId="37960"/>
    <cellStyle name="Normal 33 26_01-04-2012" xfId="8116"/>
    <cellStyle name="Normal 33 27" xfId="8117"/>
    <cellStyle name="Normal 33 27 2" xfId="8118"/>
    <cellStyle name="Normal 33 27 2 2" xfId="37961"/>
    <cellStyle name="Normal 33 27 3" xfId="8119"/>
    <cellStyle name="Normal 33 27 3 2" xfId="37962"/>
    <cellStyle name="Normal 33 27 4" xfId="8120"/>
    <cellStyle name="Normal 33 27 4 2" xfId="37963"/>
    <cellStyle name="Normal 33 27 5" xfId="37964"/>
    <cellStyle name="Normal 33 27_01-04-2012" xfId="8121"/>
    <cellStyle name="Normal 33 28" xfId="8122"/>
    <cellStyle name="Normal 33 28 2" xfId="8123"/>
    <cellStyle name="Normal 33 28 2 2" xfId="37965"/>
    <cellStyle name="Normal 33 28 3" xfId="8124"/>
    <cellStyle name="Normal 33 28 3 2" xfId="37966"/>
    <cellStyle name="Normal 33 28 4" xfId="8125"/>
    <cellStyle name="Normal 33 28 4 2" xfId="37967"/>
    <cellStyle name="Normal 33 28 5" xfId="37968"/>
    <cellStyle name="Normal 33 28_01-04-2012" xfId="8126"/>
    <cellStyle name="Normal 33 29" xfId="8127"/>
    <cellStyle name="Normal 33 29 2" xfId="8128"/>
    <cellStyle name="Normal 33 29 2 2" xfId="37969"/>
    <cellStyle name="Normal 33 29 3" xfId="8129"/>
    <cellStyle name="Normal 33 29 3 2" xfId="37970"/>
    <cellStyle name="Normal 33 29 4" xfId="8130"/>
    <cellStyle name="Normal 33 29 4 2" xfId="37971"/>
    <cellStyle name="Normal 33 29 5" xfId="37972"/>
    <cellStyle name="Normal 33 29_01-04-2012" xfId="8131"/>
    <cellStyle name="Normal 33 3" xfId="8132"/>
    <cellStyle name="Normal 33 3 2" xfId="8133"/>
    <cellStyle name="Normal 33 3 2 2" xfId="37973"/>
    <cellStyle name="Normal 33 3 3" xfId="8134"/>
    <cellStyle name="Normal 33 3 3 2" xfId="37974"/>
    <cellStyle name="Normal 33 3 4" xfId="8135"/>
    <cellStyle name="Normal 33 3 4 2" xfId="37975"/>
    <cellStyle name="Normal 33 3 5" xfId="20294"/>
    <cellStyle name="Normal 33 3 5 2" xfId="37976"/>
    <cellStyle name="Normal 33 3_01-04-2012" xfId="8136"/>
    <cellStyle name="Normal 33 30" xfId="8137"/>
    <cellStyle name="Normal 33 30 2" xfId="8138"/>
    <cellStyle name="Normal 33 30 2 2" xfId="37977"/>
    <cellStyle name="Normal 33 30 3" xfId="8139"/>
    <cellStyle name="Normal 33 30 3 2" xfId="37978"/>
    <cellStyle name="Normal 33 30 4" xfId="8140"/>
    <cellStyle name="Normal 33 30 4 2" xfId="37979"/>
    <cellStyle name="Normal 33 30 5" xfId="37980"/>
    <cellStyle name="Normal 33 30_01-04-2012" xfId="8141"/>
    <cellStyle name="Normal 33 31" xfId="8142"/>
    <cellStyle name="Normal 33 31 2" xfId="8143"/>
    <cellStyle name="Normal 33 31 2 2" xfId="37981"/>
    <cellStyle name="Normal 33 31 3" xfId="8144"/>
    <cellStyle name="Normal 33 31 3 2" xfId="37982"/>
    <cellStyle name="Normal 33 31 4" xfId="8145"/>
    <cellStyle name="Normal 33 31 4 2" xfId="37983"/>
    <cellStyle name="Normal 33 31 5" xfId="37984"/>
    <cellStyle name="Normal 33 31_01-04-2012" xfId="8146"/>
    <cellStyle name="Normal 33 32" xfId="8147"/>
    <cellStyle name="Normal 33 32 2" xfId="8148"/>
    <cellStyle name="Normal 33 32 2 2" xfId="37985"/>
    <cellStyle name="Normal 33 32 3" xfId="8149"/>
    <cellStyle name="Normal 33 32 3 2" xfId="37986"/>
    <cellStyle name="Normal 33 32 4" xfId="8150"/>
    <cellStyle name="Normal 33 32 4 2" xfId="37987"/>
    <cellStyle name="Normal 33 32 5" xfId="37988"/>
    <cellStyle name="Normal 33 32_01-04-2012" xfId="8151"/>
    <cellStyle name="Normal 33 33" xfId="8152"/>
    <cellStyle name="Normal 33 33 2" xfId="8153"/>
    <cellStyle name="Normal 33 33 2 2" xfId="37989"/>
    <cellStyle name="Normal 33 33 3" xfId="8154"/>
    <cellStyle name="Normal 33 33 3 2" xfId="37990"/>
    <cellStyle name="Normal 33 33 4" xfId="8155"/>
    <cellStyle name="Normal 33 33 4 2" xfId="37991"/>
    <cellStyle name="Normal 33 33 5" xfId="37992"/>
    <cellStyle name="Normal 33 33_01-04-2012" xfId="8156"/>
    <cellStyle name="Normal 33 34" xfId="8157"/>
    <cellStyle name="Normal 33 34 2" xfId="8158"/>
    <cellStyle name="Normal 33 34 2 2" xfId="37993"/>
    <cellStyle name="Normal 33 34 3" xfId="8159"/>
    <cellStyle name="Normal 33 34 3 2" xfId="37994"/>
    <cellStyle name="Normal 33 34 4" xfId="8160"/>
    <cellStyle name="Normal 33 34 4 2" xfId="37995"/>
    <cellStyle name="Normal 33 34 5" xfId="37996"/>
    <cellStyle name="Normal 33 34_01-04-2012" xfId="8161"/>
    <cellStyle name="Normal 33 35" xfId="8162"/>
    <cellStyle name="Normal 33 35 2" xfId="8163"/>
    <cellStyle name="Normal 33 35 2 2" xfId="37997"/>
    <cellStyle name="Normal 33 35 3" xfId="8164"/>
    <cellStyle name="Normal 33 35 3 2" xfId="37998"/>
    <cellStyle name="Normal 33 35 4" xfId="8165"/>
    <cellStyle name="Normal 33 35 4 2" xfId="37999"/>
    <cellStyle name="Normal 33 35 5" xfId="38000"/>
    <cellStyle name="Normal 33 35_01-04-2012" xfId="8166"/>
    <cellStyle name="Normal 33 36" xfId="8167"/>
    <cellStyle name="Normal 33 36 2" xfId="8168"/>
    <cellStyle name="Normal 33 36 2 2" xfId="38001"/>
    <cellStyle name="Normal 33 36 3" xfId="8169"/>
    <cellStyle name="Normal 33 36 3 2" xfId="38002"/>
    <cellStyle name="Normal 33 36 4" xfId="8170"/>
    <cellStyle name="Normal 33 36 4 2" xfId="38003"/>
    <cellStyle name="Normal 33 36 5" xfId="38004"/>
    <cellStyle name="Normal 33 36_01-04-2012" xfId="8171"/>
    <cellStyle name="Normal 33 37" xfId="8172"/>
    <cellStyle name="Normal 33 37 2" xfId="8173"/>
    <cellStyle name="Normal 33 37 2 2" xfId="38005"/>
    <cellStyle name="Normal 33 37 3" xfId="8174"/>
    <cellStyle name="Normal 33 37 3 2" xfId="38006"/>
    <cellStyle name="Normal 33 37 4" xfId="8175"/>
    <cellStyle name="Normal 33 37 4 2" xfId="38007"/>
    <cellStyle name="Normal 33 37 5" xfId="38008"/>
    <cellStyle name="Normal 33 37_01-04-2012" xfId="8176"/>
    <cellStyle name="Normal 33 38" xfId="8177"/>
    <cellStyle name="Normal 33 38 2" xfId="38009"/>
    <cellStyle name="Normal 33 39" xfId="8178"/>
    <cellStyle name="Normal 33 39 2" xfId="38010"/>
    <cellStyle name="Normal 33 4" xfId="8179"/>
    <cellStyle name="Normal 33 4 2" xfId="8180"/>
    <cellStyle name="Normal 33 4 2 2" xfId="38011"/>
    <cellStyle name="Normal 33 4 3" xfId="8181"/>
    <cellStyle name="Normal 33 4 3 2" xfId="38012"/>
    <cellStyle name="Normal 33 4 4" xfId="8182"/>
    <cellStyle name="Normal 33 4 4 2" xfId="38013"/>
    <cellStyle name="Normal 33 4 5" xfId="38014"/>
    <cellStyle name="Normal 33 4_01-04-2012" xfId="8183"/>
    <cellStyle name="Normal 33 40" xfId="8184"/>
    <cellStyle name="Normal 33 40 2" xfId="38015"/>
    <cellStyle name="Normal 33 41" xfId="20295"/>
    <cellStyle name="Normal 33 41 2" xfId="38016"/>
    <cellStyle name="Normal 33 42" xfId="20296"/>
    <cellStyle name="Normal 33 43" xfId="20297"/>
    <cellStyle name="Normal 33 44" xfId="20298"/>
    <cellStyle name="Normal 33 45" xfId="20299"/>
    <cellStyle name="Normal 33 46" xfId="20300"/>
    <cellStyle name="Normal 33 47" xfId="33654"/>
    <cellStyle name="Normal 33 5" xfId="8185"/>
    <cellStyle name="Normal 33 5 2" xfId="8186"/>
    <cellStyle name="Normal 33 5 2 2" xfId="38017"/>
    <cellStyle name="Normal 33 5 3" xfId="8187"/>
    <cellStyle name="Normal 33 5 3 2" xfId="38018"/>
    <cellStyle name="Normal 33 5 4" xfId="8188"/>
    <cellStyle name="Normal 33 5 4 2" xfId="38019"/>
    <cellStyle name="Normal 33 5 5" xfId="38020"/>
    <cellStyle name="Normal 33 5_01-04-2012" xfId="8189"/>
    <cellStyle name="Normal 33 6" xfId="8190"/>
    <cellStyle name="Normal 33 6 2" xfId="8191"/>
    <cellStyle name="Normal 33 6 2 2" xfId="38021"/>
    <cellStyle name="Normal 33 6 3" xfId="8192"/>
    <cellStyle name="Normal 33 6 3 2" xfId="38022"/>
    <cellStyle name="Normal 33 6 4" xfId="8193"/>
    <cellStyle name="Normal 33 6 4 2" xfId="38023"/>
    <cellStyle name="Normal 33 6 5" xfId="38024"/>
    <cellStyle name="Normal 33 6_01-04-2012" xfId="8194"/>
    <cellStyle name="Normal 33 7" xfId="8195"/>
    <cellStyle name="Normal 33 7 2" xfId="8196"/>
    <cellStyle name="Normal 33 7 2 2" xfId="38025"/>
    <cellStyle name="Normal 33 7 3" xfId="8197"/>
    <cellStyle name="Normal 33 7 3 2" xfId="38026"/>
    <cellStyle name="Normal 33 7 4" xfId="8198"/>
    <cellStyle name="Normal 33 7 4 2" xfId="38027"/>
    <cellStyle name="Normal 33 7 5" xfId="38028"/>
    <cellStyle name="Normal 33 7_01-04-2012" xfId="8199"/>
    <cellStyle name="Normal 33 8" xfId="8200"/>
    <cellStyle name="Normal 33 8 2" xfId="8201"/>
    <cellStyle name="Normal 33 8 2 2" xfId="38029"/>
    <cellStyle name="Normal 33 8 3" xfId="8202"/>
    <cellStyle name="Normal 33 8 3 2" xfId="38030"/>
    <cellStyle name="Normal 33 8 4" xfId="8203"/>
    <cellStyle name="Normal 33 8 4 2" xfId="38031"/>
    <cellStyle name="Normal 33 8 5" xfId="38032"/>
    <cellStyle name="Normal 33 8_01-04-2012" xfId="8204"/>
    <cellStyle name="Normal 33 9" xfId="8205"/>
    <cellStyle name="Normal 33 9 2" xfId="8206"/>
    <cellStyle name="Normal 33 9 2 2" xfId="38033"/>
    <cellStyle name="Normal 33 9 3" xfId="8207"/>
    <cellStyle name="Normal 33 9 3 2" xfId="38034"/>
    <cellStyle name="Normal 33 9 4" xfId="8208"/>
    <cellStyle name="Normal 33 9 4 2" xfId="38035"/>
    <cellStyle name="Normal 33 9 5" xfId="38036"/>
    <cellStyle name="Normal 33 9_01-04-2012" xfId="8209"/>
    <cellStyle name="Normal 33_01-04-2012" xfId="8210"/>
    <cellStyle name="Normal 330" xfId="20301"/>
    <cellStyle name="Normal 331" xfId="20302"/>
    <cellStyle name="Normal 332" xfId="20303"/>
    <cellStyle name="Normal 333" xfId="20304"/>
    <cellStyle name="Normal 334" xfId="20305"/>
    <cellStyle name="Normal 335" xfId="20306"/>
    <cellStyle name="Normal 336" xfId="20307"/>
    <cellStyle name="Normal 337" xfId="20308"/>
    <cellStyle name="Normal 338" xfId="20309"/>
    <cellStyle name="Normal 339" xfId="20310"/>
    <cellStyle name="Normal 34" xfId="8211"/>
    <cellStyle name="Normal 34 10" xfId="8212"/>
    <cellStyle name="Normal 34 10 2" xfId="8213"/>
    <cellStyle name="Normal 34 10 2 2" xfId="38037"/>
    <cellStyle name="Normal 34 10 3" xfId="8214"/>
    <cellStyle name="Normal 34 10 3 2" xfId="38038"/>
    <cellStyle name="Normal 34 10 4" xfId="8215"/>
    <cellStyle name="Normal 34 10 4 2" xfId="38039"/>
    <cellStyle name="Normal 34 10 5" xfId="38040"/>
    <cellStyle name="Normal 34 10_01-04-2012" xfId="8216"/>
    <cellStyle name="Normal 34 11" xfId="8217"/>
    <cellStyle name="Normal 34 11 2" xfId="8218"/>
    <cellStyle name="Normal 34 11 2 2" xfId="38041"/>
    <cellStyle name="Normal 34 11 3" xfId="8219"/>
    <cellStyle name="Normal 34 11 3 2" xfId="38042"/>
    <cellStyle name="Normal 34 11 4" xfId="8220"/>
    <cellStyle name="Normal 34 11 4 2" xfId="38043"/>
    <cellStyle name="Normal 34 11 5" xfId="38044"/>
    <cellStyle name="Normal 34 11_01-04-2012" xfId="8221"/>
    <cellStyle name="Normal 34 12" xfId="8222"/>
    <cellStyle name="Normal 34 12 2" xfId="8223"/>
    <cellStyle name="Normal 34 12 2 2" xfId="38045"/>
    <cellStyle name="Normal 34 12 3" xfId="8224"/>
    <cellStyle name="Normal 34 12 3 2" xfId="38046"/>
    <cellStyle name="Normal 34 12 4" xfId="8225"/>
    <cellStyle name="Normal 34 12 4 2" xfId="38047"/>
    <cellStyle name="Normal 34 12 5" xfId="38048"/>
    <cellStyle name="Normal 34 12_01-04-2012" xfId="8226"/>
    <cellStyle name="Normal 34 13" xfId="8227"/>
    <cellStyle name="Normal 34 13 2" xfId="8228"/>
    <cellStyle name="Normal 34 13 2 2" xfId="38049"/>
    <cellStyle name="Normal 34 13 3" xfId="8229"/>
    <cellStyle name="Normal 34 13 3 2" xfId="38050"/>
    <cellStyle name="Normal 34 13 4" xfId="8230"/>
    <cellStyle name="Normal 34 13 4 2" xfId="38051"/>
    <cellStyle name="Normal 34 13 5" xfId="38052"/>
    <cellStyle name="Normal 34 13_01-04-2012" xfId="8231"/>
    <cellStyle name="Normal 34 14" xfId="8232"/>
    <cellStyle name="Normal 34 14 2" xfId="8233"/>
    <cellStyle name="Normal 34 14 2 2" xfId="38053"/>
    <cellStyle name="Normal 34 14 3" xfId="8234"/>
    <cellStyle name="Normal 34 14 3 2" xfId="38054"/>
    <cellStyle name="Normal 34 14 4" xfId="8235"/>
    <cellStyle name="Normal 34 14 4 2" xfId="38055"/>
    <cellStyle name="Normal 34 14 5" xfId="38056"/>
    <cellStyle name="Normal 34 14_01-04-2012" xfId="8236"/>
    <cellStyle name="Normal 34 15" xfId="8237"/>
    <cellStyle name="Normal 34 15 2" xfId="8238"/>
    <cellStyle name="Normal 34 15 2 2" xfId="38057"/>
    <cellStyle name="Normal 34 15 3" xfId="8239"/>
    <cellStyle name="Normal 34 15 3 2" xfId="38058"/>
    <cellStyle name="Normal 34 15 4" xfId="8240"/>
    <cellStyle name="Normal 34 15 4 2" xfId="38059"/>
    <cellStyle name="Normal 34 15 5" xfId="38060"/>
    <cellStyle name="Normal 34 15_01-04-2012" xfId="8241"/>
    <cellStyle name="Normal 34 16" xfId="8242"/>
    <cellStyle name="Normal 34 16 2" xfId="8243"/>
    <cellStyle name="Normal 34 16 2 2" xfId="38061"/>
    <cellStyle name="Normal 34 16 3" xfId="8244"/>
    <cellStyle name="Normal 34 16 3 2" xfId="38062"/>
    <cellStyle name="Normal 34 16 4" xfId="8245"/>
    <cellStyle name="Normal 34 16 4 2" xfId="38063"/>
    <cellStyle name="Normal 34 16 5" xfId="38064"/>
    <cellStyle name="Normal 34 16_01-04-2012" xfId="8246"/>
    <cellStyle name="Normal 34 17" xfId="8247"/>
    <cellStyle name="Normal 34 17 2" xfId="8248"/>
    <cellStyle name="Normal 34 17 2 2" xfId="38065"/>
    <cellStyle name="Normal 34 17 3" xfId="8249"/>
    <cellStyle name="Normal 34 17 3 2" xfId="38066"/>
    <cellStyle name="Normal 34 17 4" xfId="8250"/>
    <cellStyle name="Normal 34 17 4 2" xfId="38067"/>
    <cellStyle name="Normal 34 17 5" xfId="38068"/>
    <cellStyle name="Normal 34 17_01-04-2012" xfId="8251"/>
    <cellStyle name="Normal 34 18" xfId="8252"/>
    <cellStyle name="Normal 34 18 2" xfId="8253"/>
    <cellStyle name="Normal 34 18 2 2" xfId="38069"/>
    <cellStyle name="Normal 34 18 3" xfId="8254"/>
    <cellStyle name="Normal 34 18 3 2" xfId="38070"/>
    <cellStyle name="Normal 34 18 4" xfId="8255"/>
    <cellStyle name="Normal 34 18 4 2" xfId="38071"/>
    <cellStyle name="Normal 34 18 5" xfId="38072"/>
    <cellStyle name="Normal 34 18_01-04-2012" xfId="8256"/>
    <cellStyle name="Normal 34 19" xfId="8257"/>
    <cellStyle name="Normal 34 19 2" xfId="8258"/>
    <cellStyle name="Normal 34 19 2 2" xfId="38073"/>
    <cellStyle name="Normal 34 19 3" xfId="8259"/>
    <cellStyle name="Normal 34 19 3 2" xfId="38074"/>
    <cellStyle name="Normal 34 19 4" xfId="8260"/>
    <cellStyle name="Normal 34 19 4 2" xfId="38075"/>
    <cellStyle name="Normal 34 19 5" xfId="38076"/>
    <cellStyle name="Normal 34 19_01-04-2012" xfId="8261"/>
    <cellStyle name="Normal 34 2" xfId="8262"/>
    <cellStyle name="Normal 34 2 2" xfId="8263"/>
    <cellStyle name="Normal 34 2 2 2" xfId="38077"/>
    <cellStyle name="Normal 34 2 3" xfId="8264"/>
    <cellStyle name="Normal 34 2 3 2" xfId="38078"/>
    <cellStyle name="Normal 34 2 4" xfId="8265"/>
    <cellStyle name="Normal 34 2 4 2" xfId="38079"/>
    <cellStyle name="Normal 34 2 5" xfId="20311"/>
    <cellStyle name="Normal 34 2 5 2" xfId="38080"/>
    <cellStyle name="Normal 34 2_01-04-2012" xfId="8266"/>
    <cellStyle name="Normal 34 20" xfId="8267"/>
    <cellStyle name="Normal 34 20 2" xfId="8268"/>
    <cellStyle name="Normal 34 20 2 2" xfId="38081"/>
    <cellStyle name="Normal 34 20 3" xfId="8269"/>
    <cellStyle name="Normal 34 20 3 2" xfId="38082"/>
    <cellStyle name="Normal 34 20 4" xfId="8270"/>
    <cellStyle name="Normal 34 20 4 2" xfId="38083"/>
    <cellStyle name="Normal 34 20 5" xfId="38084"/>
    <cellStyle name="Normal 34 20_01-04-2012" xfId="8271"/>
    <cellStyle name="Normal 34 21" xfId="8272"/>
    <cellStyle name="Normal 34 21 2" xfId="8273"/>
    <cellStyle name="Normal 34 21 2 2" xfId="38085"/>
    <cellStyle name="Normal 34 21 3" xfId="8274"/>
    <cellStyle name="Normal 34 21 3 2" xfId="38086"/>
    <cellStyle name="Normal 34 21 4" xfId="8275"/>
    <cellStyle name="Normal 34 21 4 2" xfId="38087"/>
    <cellStyle name="Normal 34 21 5" xfId="38088"/>
    <cellStyle name="Normal 34 21_01-04-2012" xfId="8276"/>
    <cellStyle name="Normal 34 22" xfId="8277"/>
    <cellStyle name="Normal 34 22 2" xfId="8278"/>
    <cellStyle name="Normal 34 22 2 2" xfId="38089"/>
    <cellStyle name="Normal 34 22 3" xfId="8279"/>
    <cellStyle name="Normal 34 22 3 2" xfId="38090"/>
    <cellStyle name="Normal 34 22 4" xfId="8280"/>
    <cellStyle name="Normal 34 22 4 2" xfId="38091"/>
    <cellStyle name="Normal 34 22 5" xfId="38092"/>
    <cellStyle name="Normal 34 22_01-04-2012" xfId="8281"/>
    <cellStyle name="Normal 34 23" xfId="8282"/>
    <cellStyle name="Normal 34 23 2" xfId="8283"/>
    <cellStyle name="Normal 34 23 2 2" xfId="38093"/>
    <cellStyle name="Normal 34 23 3" xfId="8284"/>
    <cellStyle name="Normal 34 23 3 2" xfId="38094"/>
    <cellStyle name="Normal 34 23 4" xfId="8285"/>
    <cellStyle name="Normal 34 23 4 2" xfId="38095"/>
    <cellStyle name="Normal 34 23 5" xfId="38096"/>
    <cellStyle name="Normal 34 23_01-04-2012" xfId="8286"/>
    <cellStyle name="Normal 34 24" xfId="8287"/>
    <cellStyle name="Normal 34 24 2" xfId="8288"/>
    <cellStyle name="Normal 34 24 2 2" xfId="38097"/>
    <cellStyle name="Normal 34 24 3" xfId="8289"/>
    <cellStyle name="Normal 34 24 3 2" xfId="38098"/>
    <cellStyle name="Normal 34 24 4" xfId="8290"/>
    <cellStyle name="Normal 34 24 4 2" xfId="38099"/>
    <cellStyle name="Normal 34 24 5" xfId="38100"/>
    <cellStyle name="Normal 34 24_01-04-2012" xfId="8291"/>
    <cellStyle name="Normal 34 25" xfId="8292"/>
    <cellStyle name="Normal 34 25 2" xfId="8293"/>
    <cellStyle name="Normal 34 25 2 2" xfId="38101"/>
    <cellStyle name="Normal 34 25 3" xfId="8294"/>
    <cellStyle name="Normal 34 25 3 2" xfId="38102"/>
    <cellStyle name="Normal 34 25 4" xfId="8295"/>
    <cellStyle name="Normal 34 25 4 2" xfId="38103"/>
    <cellStyle name="Normal 34 25 5" xfId="38104"/>
    <cellStyle name="Normal 34 25_01-04-2012" xfId="8296"/>
    <cellStyle name="Normal 34 26" xfId="8297"/>
    <cellStyle name="Normal 34 26 2" xfId="8298"/>
    <cellStyle name="Normal 34 26 2 2" xfId="38105"/>
    <cellStyle name="Normal 34 26 3" xfId="8299"/>
    <cellStyle name="Normal 34 26 3 2" xfId="38106"/>
    <cellStyle name="Normal 34 26 4" xfId="8300"/>
    <cellStyle name="Normal 34 26 4 2" xfId="38107"/>
    <cellStyle name="Normal 34 26 5" xfId="38108"/>
    <cellStyle name="Normal 34 26_01-04-2012" xfId="8301"/>
    <cellStyle name="Normal 34 27" xfId="8302"/>
    <cellStyle name="Normal 34 27 2" xfId="8303"/>
    <cellStyle name="Normal 34 27 2 2" xfId="38109"/>
    <cellStyle name="Normal 34 27 3" xfId="8304"/>
    <cellStyle name="Normal 34 27 3 2" xfId="38110"/>
    <cellStyle name="Normal 34 27 4" xfId="8305"/>
    <cellStyle name="Normal 34 27 4 2" xfId="38111"/>
    <cellStyle name="Normal 34 27 5" xfId="38112"/>
    <cellStyle name="Normal 34 27_01-04-2012" xfId="8306"/>
    <cellStyle name="Normal 34 28" xfId="8307"/>
    <cellStyle name="Normal 34 28 2" xfId="8308"/>
    <cellStyle name="Normal 34 28 2 2" xfId="38113"/>
    <cellStyle name="Normal 34 28 3" xfId="8309"/>
    <cellStyle name="Normal 34 28 3 2" xfId="38114"/>
    <cellStyle name="Normal 34 28 4" xfId="8310"/>
    <cellStyle name="Normal 34 28 4 2" xfId="38115"/>
    <cellStyle name="Normal 34 28 5" xfId="38116"/>
    <cellStyle name="Normal 34 28_01-04-2012" xfId="8311"/>
    <cellStyle name="Normal 34 29" xfId="8312"/>
    <cellStyle name="Normal 34 29 2" xfId="8313"/>
    <cellStyle name="Normal 34 29 2 2" xfId="38117"/>
    <cellStyle name="Normal 34 29 3" xfId="8314"/>
    <cellStyle name="Normal 34 29 3 2" xfId="38118"/>
    <cellStyle name="Normal 34 29 4" xfId="8315"/>
    <cellStyle name="Normal 34 29 4 2" xfId="38119"/>
    <cellStyle name="Normal 34 29 5" xfId="38120"/>
    <cellStyle name="Normal 34 29_01-04-2012" xfId="8316"/>
    <cellStyle name="Normal 34 3" xfId="8317"/>
    <cellStyle name="Normal 34 3 2" xfId="8318"/>
    <cellStyle name="Normal 34 3 2 2" xfId="38121"/>
    <cellStyle name="Normal 34 3 3" xfId="8319"/>
    <cellStyle name="Normal 34 3 3 2" xfId="38122"/>
    <cellStyle name="Normal 34 3 4" xfId="8320"/>
    <cellStyle name="Normal 34 3 4 2" xfId="38123"/>
    <cellStyle name="Normal 34 3 5" xfId="38124"/>
    <cellStyle name="Normal 34 3_01-04-2012" xfId="8321"/>
    <cellStyle name="Normal 34 30" xfId="8322"/>
    <cellStyle name="Normal 34 30 2" xfId="8323"/>
    <cellStyle name="Normal 34 30 2 2" xfId="38125"/>
    <cellStyle name="Normal 34 30 3" xfId="8324"/>
    <cellStyle name="Normal 34 30 3 2" xfId="38126"/>
    <cellStyle name="Normal 34 30 4" xfId="8325"/>
    <cellStyle name="Normal 34 30 4 2" xfId="38127"/>
    <cellStyle name="Normal 34 30 5" xfId="38128"/>
    <cellStyle name="Normal 34 30_01-04-2012" xfId="8326"/>
    <cellStyle name="Normal 34 31" xfId="8327"/>
    <cellStyle name="Normal 34 31 2" xfId="8328"/>
    <cellStyle name="Normal 34 31 2 2" xfId="38129"/>
    <cellStyle name="Normal 34 31 3" xfId="8329"/>
    <cellStyle name="Normal 34 31 3 2" xfId="38130"/>
    <cellStyle name="Normal 34 31 4" xfId="8330"/>
    <cellStyle name="Normal 34 31 4 2" xfId="38131"/>
    <cellStyle name="Normal 34 31 5" xfId="38132"/>
    <cellStyle name="Normal 34 31_01-04-2012" xfId="8331"/>
    <cellStyle name="Normal 34 32" xfId="8332"/>
    <cellStyle name="Normal 34 32 2" xfId="8333"/>
    <cellStyle name="Normal 34 32 2 2" xfId="38133"/>
    <cellStyle name="Normal 34 32 3" xfId="8334"/>
    <cellStyle name="Normal 34 32 3 2" xfId="38134"/>
    <cellStyle name="Normal 34 32 4" xfId="8335"/>
    <cellStyle name="Normal 34 32 4 2" xfId="38135"/>
    <cellStyle name="Normal 34 32 5" xfId="38136"/>
    <cellStyle name="Normal 34 32_01-04-2012" xfId="8336"/>
    <cellStyle name="Normal 34 33" xfId="8337"/>
    <cellStyle name="Normal 34 33 2" xfId="8338"/>
    <cellStyle name="Normal 34 33 2 2" xfId="38137"/>
    <cellStyle name="Normal 34 33 3" xfId="8339"/>
    <cellStyle name="Normal 34 33 3 2" xfId="38138"/>
    <cellStyle name="Normal 34 33 4" xfId="8340"/>
    <cellStyle name="Normal 34 33 4 2" xfId="38139"/>
    <cellStyle name="Normal 34 33 5" xfId="38140"/>
    <cellStyle name="Normal 34 33_01-04-2012" xfId="8341"/>
    <cellStyle name="Normal 34 34" xfId="8342"/>
    <cellStyle name="Normal 34 34 2" xfId="8343"/>
    <cellStyle name="Normal 34 34 2 2" xfId="38141"/>
    <cellStyle name="Normal 34 34 3" xfId="8344"/>
    <cellStyle name="Normal 34 34 3 2" xfId="38142"/>
    <cellStyle name="Normal 34 34 4" xfId="8345"/>
    <cellStyle name="Normal 34 34 4 2" xfId="38143"/>
    <cellStyle name="Normal 34 34 5" xfId="38144"/>
    <cellStyle name="Normal 34 34_01-04-2012" xfId="8346"/>
    <cellStyle name="Normal 34 35" xfId="8347"/>
    <cellStyle name="Normal 34 35 2" xfId="8348"/>
    <cellStyle name="Normal 34 35 2 2" xfId="38145"/>
    <cellStyle name="Normal 34 35 3" xfId="8349"/>
    <cellStyle name="Normal 34 35 3 2" xfId="38146"/>
    <cellStyle name="Normal 34 35 4" xfId="8350"/>
    <cellStyle name="Normal 34 35 4 2" xfId="38147"/>
    <cellStyle name="Normal 34 35 5" xfId="38148"/>
    <cellStyle name="Normal 34 35_01-04-2012" xfId="8351"/>
    <cellStyle name="Normal 34 36" xfId="8352"/>
    <cellStyle name="Normal 34 36 2" xfId="8353"/>
    <cellStyle name="Normal 34 36 2 2" xfId="38149"/>
    <cellStyle name="Normal 34 36 3" xfId="8354"/>
    <cellStyle name="Normal 34 36 3 2" xfId="38150"/>
    <cellStyle name="Normal 34 36 4" xfId="8355"/>
    <cellStyle name="Normal 34 36 4 2" xfId="38151"/>
    <cellStyle name="Normal 34 36 5" xfId="38152"/>
    <cellStyle name="Normal 34 36_01-04-2012" xfId="8356"/>
    <cellStyle name="Normal 34 37" xfId="8357"/>
    <cellStyle name="Normal 34 37 2" xfId="8358"/>
    <cellStyle name="Normal 34 37 2 2" xfId="38153"/>
    <cellStyle name="Normal 34 37 3" xfId="8359"/>
    <cellStyle name="Normal 34 37 3 2" xfId="38154"/>
    <cellStyle name="Normal 34 37 4" xfId="8360"/>
    <cellStyle name="Normal 34 37 4 2" xfId="38155"/>
    <cellStyle name="Normal 34 37 5" xfId="38156"/>
    <cellStyle name="Normal 34 37_01-04-2012" xfId="8361"/>
    <cellStyle name="Normal 34 38" xfId="8362"/>
    <cellStyle name="Normal 34 38 2" xfId="38157"/>
    <cellStyle name="Normal 34 39" xfId="8363"/>
    <cellStyle name="Normal 34 39 2" xfId="38158"/>
    <cellStyle name="Normal 34 4" xfId="8364"/>
    <cellStyle name="Normal 34 4 2" xfId="8365"/>
    <cellStyle name="Normal 34 4 2 2" xfId="38159"/>
    <cellStyle name="Normal 34 4 3" xfId="8366"/>
    <cellStyle name="Normal 34 4 3 2" xfId="38160"/>
    <cellStyle name="Normal 34 4 4" xfId="8367"/>
    <cellStyle name="Normal 34 4 4 2" xfId="38161"/>
    <cellStyle name="Normal 34 4 5" xfId="38162"/>
    <cellStyle name="Normal 34 4_01-04-2012" xfId="8368"/>
    <cellStyle name="Normal 34 40" xfId="8369"/>
    <cellStyle name="Normal 34 40 2" xfId="38163"/>
    <cellStyle name="Normal 34 41" xfId="20312"/>
    <cellStyle name="Normal 34 41 2" xfId="38164"/>
    <cellStyle name="Normal 34 42" xfId="20313"/>
    <cellStyle name="Normal 34 43" xfId="20314"/>
    <cellStyle name="Normal 34 44" xfId="20315"/>
    <cellStyle name="Normal 34 45" xfId="20316"/>
    <cellStyle name="Normal 34 46" xfId="20317"/>
    <cellStyle name="Normal 34 47" xfId="33656"/>
    <cellStyle name="Normal 34 5" xfId="8370"/>
    <cellStyle name="Normal 34 5 2" xfId="8371"/>
    <cellStyle name="Normal 34 5 2 2" xfId="38165"/>
    <cellStyle name="Normal 34 5 3" xfId="8372"/>
    <cellStyle name="Normal 34 5 3 2" xfId="38166"/>
    <cellStyle name="Normal 34 5 4" xfId="8373"/>
    <cellStyle name="Normal 34 5 4 2" xfId="38167"/>
    <cellStyle name="Normal 34 5 5" xfId="38168"/>
    <cellStyle name="Normal 34 5_01-04-2012" xfId="8374"/>
    <cellStyle name="Normal 34 6" xfId="8375"/>
    <cellStyle name="Normal 34 6 2" xfId="8376"/>
    <cellStyle name="Normal 34 6 2 2" xfId="38169"/>
    <cellStyle name="Normal 34 6 3" xfId="8377"/>
    <cellStyle name="Normal 34 6 3 2" xfId="38170"/>
    <cellStyle name="Normal 34 6 4" xfId="8378"/>
    <cellStyle name="Normal 34 6 4 2" xfId="38171"/>
    <cellStyle name="Normal 34 6 5" xfId="38172"/>
    <cellStyle name="Normal 34 6_01-04-2012" xfId="8379"/>
    <cellStyle name="Normal 34 7" xfId="8380"/>
    <cellStyle name="Normal 34 7 2" xfId="8381"/>
    <cellStyle name="Normal 34 7 2 2" xfId="38173"/>
    <cellStyle name="Normal 34 7 3" xfId="8382"/>
    <cellStyle name="Normal 34 7 3 2" xfId="38174"/>
    <cellStyle name="Normal 34 7 4" xfId="8383"/>
    <cellStyle name="Normal 34 7 4 2" xfId="38175"/>
    <cellStyle name="Normal 34 7 5" xfId="38176"/>
    <cellStyle name="Normal 34 7_01-04-2012" xfId="8384"/>
    <cellStyle name="Normal 34 8" xfId="8385"/>
    <cellStyle name="Normal 34 8 2" xfId="8386"/>
    <cellStyle name="Normal 34 8 2 2" xfId="38177"/>
    <cellStyle name="Normal 34 8 3" xfId="8387"/>
    <cellStyle name="Normal 34 8 3 2" xfId="38178"/>
    <cellStyle name="Normal 34 8 4" xfId="8388"/>
    <cellStyle name="Normal 34 8 4 2" xfId="38179"/>
    <cellStyle name="Normal 34 8 5" xfId="38180"/>
    <cellStyle name="Normal 34 8_01-04-2012" xfId="8389"/>
    <cellStyle name="Normal 34 9" xfId="8390"/>
    <cellStyle name="Normal 34 9 2" xfId="8391"/>
    <cellStyle name="Normal 34 9 2 2" xfId="38181"/>
    <cellStyle name="Normal 34 9 3" xfId="8392"/>
    <cellStyle name="Normal 34 9 3 2" xfId="38182"/>
    <cellStyle name="Normal 34 9 4" xfId="8393"/>
    <cellStyle name="Normal 34 9 4 2" xfId="38183"/>
    <cellStyle name="Normal 34 9 5" xfId="38184"/>
    <cellStyle name="Normal 34 9_01-04-2012" xfId="8394"/>
    <cellStyle name="Normal 34_01-04-2012" xfId="8395"/>
    <cellStyle name="Normal 340" xfId="20318"/>
    <cellStyle name="Normal 341" xfId="20319"/>
    <cellStyle name="Normal 342" xfId="20320"/>
    <cellStyle name="Normal 343" xfId="20321"/>
    <cellStyle name="Normal 344" xfId="20322"/>
    <cellStyle name="Normal 345" xfId="20323"/>
    <cellStyle name="Normal 346" xfId="20324"/>
    <cellStyle name="Normal 347" xfId="20325"/>
    <cellStyle name="Normal 348" xfId="20326"/>
    <cellStyle name="Normal 349" xfId="20327"/>
    <cellStyle name="Normal 35" xfId="8396"/>
    <cellStyle name="Normal 35 10" xfId="8397"/>
    <cellStyle name="Normal 35 10 2" xfId="8398"/>
    <cellStyle name="Normal 35 10 2 2" xfId="38185"/>
    <cellStyle name="Normal 35 10 3" xfId="8399"/>
    <cellStyle name="Normal 35 10 3 2" xfId="38186"/>
    <cellStyle name="Normal 35 10 4" xfId="8400"/>
    <cellStyle name="Normal 35 10 4 2" xfId="38187"/>
    <cellStyle name="Normal 35 10 5" xfId="38188"/>
    <cellStyle name="Normal 35 10_01-04-2012" xfId="8401"/>
    <cellStyle name="Normal 35 11" xfId="8402"/>
    <cellStyle name="Normal 35 11 2" xfId="8403"/>
    <cellStyle name="Normal 35 11 2 2" xfId="38189"/>
    <cellStyle name="Normal 35 11 3" xfId="8404"/>
    <cellStyle name="Normal 35 11 3 2" xfId="38190"/>
    <cellStyle name="Normal 35 11 4" xfId="8405"/>
    <cellStyle name="Normal 35 11 4 2" xfId="38191"/>
    <cellStyle name="Normal 35 11 5" xfId="38192"/>
    <cellStyle name="Normal 35 11_01-04-2012" xfId="8406"/>
    <cellStyle name="Normal 35 12" xfId="8407"/>
    <cellStyle name="Normal 35 12 2" xfId="8408"/>
    <cellStyle name="Normal 35 12 2 2" xfId="38193"/>
    <cellStyle name="Normal 35 12 3" xfId="8409"/>
    <cellStyle name="Normal 35 12 3 2" xfId="38194"/>
    <cellStyle name="Normal 35 12 4" xfId="8410"/>
    <cellStyle name="Normal 35 12 4 2" xfId="38195"/>
    <cellStyle name="Normal 35 12 5" xfId="38196"/>
    <cellStyle name="Normal 35 12_01-04-2012" xfId="8411"/>
    <cellStyle name="Normal 35 13" xfId="8412"/>
    <cellStyle name="Normal 35 13 2" xfId="8413"/>
    <cellStyle name="Normal 35 13 2 2" xfId="38197"/>
    <cellStyle name="Normal 35 13 3" xfId="8414"/>
    <cellStyle name="Normal 35 13 3 2" xfId="38198"/>
    <cellStyle name="Normal 35 13 4" xfId="8415"/>
    <cellStyle name="Normal 35 13 4 2" xfId="38199"/>
    <cellStyle name="Normal 35 13 5" xfId="38200"/>
    <cellStyle name="Normal 35 13_01-04-2012" xfId="8416"/>
    <cellStyle name="Normal 35 14" xfId="8417"/>
    <cellStyle name="Normal 35 14 2" xfId="8418"/>
    <cellStyle name="Normal 35 14 2 2" xfId="38201"/>
    <cellStyle name="Normal 35 14 3" xfId="8419"/>
    <cellStyle name="Normal 35 14 3 2" xfId="38202"/>
    <cellStyle name="Normal 35 14 4" xfId="8420"/>
    <cellStyle name="Normal 35 14 4 2" xfId="38203"/>
    <cellStyle name="Normal 35 14 5" xfId="38204"/>
    <cellStyle name="Normal 35 14_01-04-2012" xfId="8421"/>
    <cellStyle name="Normal 35 15" xfId="8422"/>
    <cellStyle name="Normal 35 15 2" xfId="8423"/>
    <cellStyle name="Normal 35 15 2 2" xfId="38205"/>
    <cellStyle name="Normal 35 15 3" xfId="8424"/>
    <cellStyle name="Normal 35 15 3 2" xfId="38206"/>
    <cellStyle name="Normal 35 15 4" xfId="8425"/>
    <cellStyle name="Normal 35 15 4 2" xfId="38207"/>
    <cellStyle name="Normal 35 15 5" xfId="38208"/>
    <cellStyle name="Normal 35 15_01-04-2012" xfId="8426"/>
    <cellStyle name="Normal 35 16" xfId="8427"/>
    <cellStyle name="Normal 35 16 2" xfId="8428"/>
    <cellStyle name="Normal 35 16 2 2" xfId="38209"/>
    <cellStyle name="Normal 35 16 3" xfId="8429"/>
    <cellStyle name="Normal 35 16 3 2" xfId="38210"/>
    <cellStyle name="Normal 35 16 4" xfId="8430"/>
    <cellStyle name="Normal 35 16 4 2" xfId="38211"/>
    <cellStyle name="Normal 35 16 5" xfId="38212"/>
    <cellStyle name="Normal 35 16_01-04-2012" xfId="8431"/>
    <cellStyle name="Normal 35 17" xfId="8432"/>
    <cellStyle name="Normal 35 17 2" xfId="8433"/>
    <cellStyle name="Normal 35 17 2 2" xfId="38213"/>
    <cellStyle name="Normal 35 17 3" xfId="8434"/>
    <cellStyle name="Normal 35 17 3 2" xfId="38214"/>
    <cellStyle name="Normal 35 17 4" xfId="8435"/>
    <cellStyle name="Normal 35 17 4 2" xfId="38215"/>
    <cellStyle name="Normal 35 17 5" xfId="38216"/>
    <cellStyle name="Normal 35 17_01-04-2012" xfId="8436"/>
    <cellStyle name="Normal 35 18" xfId="8437"/>
    <cellStyle name="Normal 35 18 2" xfId="8438"/>
    <cellStyle name="Normal 35 18 2 2" xfId="38217"/>
    <cellStyle name="Normal 35 18 3" xfId="8439"/>
    <cellStyle name="Normal 35 18 3 2" xfId="38218"/>
    <cellStyle name="Normal 35 18 4" xfId="8440"/>
    <cellStyle name="Normal 35 18 4 2" xfId="38219"/>
    <cellStyle name="Normal 35 18 5" xfId="38220"/>
    <cellStyle name="Normal 35 18_01-04-2012" xfId="8441"/>
    <cellStyle name="Normal 35 19" xfId="8442"/>
    <cellStyle name="Normal 35 19 2" xfId="8443"/>
    <cellStyle name="Normal 35 19 2 2" xfId="38221"/>
    <cellStyle name="Normal 35 19 3" xfId="8444"/>
    <cellStyle name="Normal 35 19 3 2" xfId="38222"/>
    <cellStyle name="Normal 35 19 4" xfId="8445"/>
    <cellStyle name="Normal 35 19 4 2" xfId="38223"/>
    <cellStyle name="Normal 35 19 5" xfId="38224"/>
    <cellStyle name="Normal 35 19_01-04-2012" xfId="8446"/>
    <cellStyle name="Normal 35 2" xfId="8447"/>
    <cellStyle name="Normal 35 2 2" xfId="8448"/>
    <cellStyle name="Normal 35 2 2 2" xfId="38225"/>
    <cellStyle name="Normal 35 2 3" xfId="8449"/>
    <cellStyle name="Normal 35 2 3 2" xfId="38226"/>
    <cellStyle name="Normal 35 2 4" xfId="8450"/>
    <cellStyle name="Normal 35 2 4 2" xfId="38227"/>
    <cellStyle name="Normal 35 2 5" xfId="20328"/>
    <cellStyle name="Normal 35 2 5 2" xfId="38228"/>
    <cellStyle name="Normal 35 2_01-04-2012" xfId="8451"/>
    <cellStyle name="Normal 35 20" xfId="8452"/>
    <cellStyle name="Normal 35 20 2" xfId="8453"/>
    <cellStyle name="Normal 35 20 2 2" xfId="38229"/>
    <cellStyle name="Normal 35 20 3" xfId="8454"/>
    <cellStyle name="Normal 35 20 3 2" xfId="38230"/>
    <cellStyle name="Normal 35 20 4" xfId="8455"/>
    <cellStyle name="Normal 35 20 4 2" xfId="38231"/>
    <cellStyle name="Normal 35 20 5" xfId="38232"/>
    <cellStyle name="Normal 35 20_01-04-2012" xfId="8456"/>
    <cellStyle name="Normal 35 21" xfId="8457"/>
    <cellStyle name="Normal 35 21 2" xfId="8458"/>
    <cellStyle name="Normal 35 21 2 2" xfId="38233"/>
    <cellStyle name="Normal 35 21 3" xfId="8459"/>
    <cellStyle name="Normal 35 21 3 2" xfId="38234"/>
    <cellStyle name="Normal 35 21 4" xfId="8460"/>
    <cellStyle name="Normal 35 21 4 2" xfId="38235"/>
    <cellStyle name="Normal 35 21 5" xfId="38236"/>
    <cellStyle name="Normal 35 21_01-04-2012" xfId="8461"/>
    <cellStyle name="Normal 35 22" xfId="8462"/>
    <cellStyle name="Normal 35 22 2" xfId="8463"/>
    <cellStyle name="Normal 35 22 2 2" xfId="38237"/>
    <cellStyle name="Normal 35 22 3" xfId="8464"/>
    <cellStyle name="Normal 35 22 3 2" xfId="38238"/>
    <cellStyle name="Normal 35 22 4" xfId="8465"/>
    <cellStyle name="Normal 35 22 4 2" xfId="38239"/>
    <cellStyle name="Normal 35 22 5" xfId="38240"/>
    <cellStyle name="Normal 35 22_01-04-2012" xfId="8466"/>
    <cellStyle name="Normal 35 23" xfId="8467"/>
    <cellStyle name="Normal 35 23 2" xfId="8468"/>
    <cellStyle name="Normal 35 23 2 2" xfId="38241"/>
    <cellStyle name="Normal 35 23 3" xfId="8469"/>
    <cellStyle name="Normal 35 23 3 2" xfId="38242"/>
    <cellStyle name="Normal 35 23 4" xfId="8470"/>
    <cellStyle name="Normal 35 23 4 2" xfId="38243"/>
    <cellStyle name="Normal 35 23 5" xfId="38244"/>
    <cellStyle name="Normal 35 23_01-04-2012" xfId="8471"/>
    <cellStyle name="Normal 35 24" xfId="8472"/>
    <cellStyle name="Normal 35 24 2" xfId="8473"/>
    <cellStyle name="Normal 35 24 2 2" xfId="38245"/>
    <cellStyle name="Normal 35 24 3" xfId="8474"/>
    <cellStyle name="Normal 35 24 3 2" xfId="38246"/>
    <cellStyle name="Normal 35 24 4" xfId="8475"/>
    <cellStyle name="Normal 35 24 4 2" xfId="38247"/>
    <cellStyle name="Normal 35 24 5" xfId="38248"/>
    <cellStyle name="Normal 35 24_01-04-2012" xfId="8476"/>
    <cellStyle name="Normal 35 25" xfId="8477"/>
    <cellStyle name="Normal 35 25 2" xfId="8478"/>
    <cellStyle name="Normal 35 25 2 2" xfId="38249"/>
    <cellStyle name="Normal 35 25 3" xfId="8479"/>
    <cellStyle name="Normal 35 25 3 2" xfId="38250"/>
    <cellStyle name="Normal 35 25 4" xfId="8480"/>
    <cellStyle name="Normal 35 25 4 2" xfId="38251"/>
    <cellStyle name="Normal 35 25 5" xfId="38252"/>
    <cellStyle name="Normal 35 25_01-04-2012" xfId="8481"/>
    <cellStyle name="Normal 35 26" xfId="8482"/>
    <cellStyle name="Normal 35 26 2" xfId="8483"/>
    <cellStyle name="Normal 35 26 2 2" xfId="38253"/>
    <cellStyle name="Normal 35 26 3" xfId="8484"/>
    <cellStyle name="Normal 35 26 3 2" xfId="38254"/>
    <cellStyle name="Normal 35 26 4" xfId="8485"/>
    <cellStyle name="Normal 35 26 4 2" xfId="38255"/>
    <cellStyle name="Normal 35 26 5" xfId="38256"/>
    <cellStyle name="Normal 35 26_01-04-2012" xfId="8486"/>
    <cellStyle name="Normal 35 27" xfId="8487"/>
    <cellStyle name="Normal 35 27 2" xfId="8488"/>
    <cellStyle name="Normal 35 27 2 2" xfId="38257"/>
    <cellStyle name="Normal 35 27 3" xfId="8489"/>
    <cellStyle name="Normal 35 27 3 2" xfId="38258"/>
    <cellStyle name="Normal 35 27 4" xfId="8490"/>
    <cellStyle name="Normal 35 27 4 2" xfId="38259"/>
    <cellStyle name="Normal 35 27 5" xfId="38260"/>
    <cellStyle name="Normal 35 27_01-04-2012" xfId="8491"/>
    <cellStyle name="Normal 35 28" xfId="8492"/>
    <cellStyle name="Normal 35 28 2" xfId="8493"/>
    <cellStyle name="Normal 35 28 2 2" xfId="38261"/>
    <cellStyle name="Normal 35 28 3" xfId="8494"/>
    <cellStyle name="Normal 35 28 3 2" xfId="38262"/>
    <cellStyle name="Normal 35 28 4" xfId="8495"/>
    <cellStyle name="Normal 35 28 4 2" xfId="38263"/>
    <cellStyle name="Normal 35 28 5" xfId="38264"/>
    <cellStyle name="Normal 35 28_01-04-2012" xfId="8496"/>
    <cellStyle name="Normal 35 29" xfId="8497"/>
    <cellStyle name="Normal 35 29 2" xfId="8498"/>
    <cellStyle name="Normal 35 29 2 2" xfId="38265"/>
    <cellStyle name="Normal 35 29 3" xfId="8499"/>
    <cellStyle name="Normal 35 29 3 2" xfId="38266"/>
    <cellStyle name="Normal 35 29 4" xfId="8500"/>
    <cellStyle name="Normal 35 29 4 2" xfId="38267"/>
    <cellStyle name="Normal 35 29 5" xfId="38268"/>
    <cellStyle name="Normal 35 29_01-04-2012" xfId="8501"/>
    <cellStyle name="Normal 35 3" xfId="8502"/>
    <cellStyle name="Normal 35 3 2" xfId="8503"/>
    <cellStyle name="Normal 35 3 2 2" xfId="38269"/>
    <cellStyle name="Normal 35 3 3" xfId="8504"/>
    <cellStyle name="Normal 35 3 3 2" xfId="38270"/>
    <cellStyle name="Normal 35 3 4" xfId="8505"/>
    <cellStyle name="Normal 35 3 4 2" xfId="38271"/>
    <cellStyle name="Normal 35 3 5" xfId="38272"/>
    <cellStyle name="Normal 35 3_01-04-2012" xfId="8506"/>
    <cellStyle name="Normal 35 30" xfId="8507"/>
    <cellStyle name="Normal 35 30 2" xfId="8508"/>
    <cellStyle name="Normal 35 30 2 2" xfId="38273"/>
    <cellStyle name="Normal 35 30 3" xfId="8509"/>
    <cellStyle name="Normal 35 30 3 2" xfId="38274"/>
    <cellStyle name="Normal 35 30 4" xfId="8510"/>
    <cellStyle name="Normal 35 30 4 2" xfId="38275"/>
    <cellStyle name="Normal 35 30 5" xfId="38276"/>
    <cellStyle name="Normal 35 30_01-04-2012" xfId="8511"/>
    <cellStyle name="Normal 35 31" xfId="8512"/>
    <cellStyle name="Normal 35 31 2" xfId="8513"/>
    <cellStyle name="Normal 35 31 2 2" xfId="38277"/>
    <cellStyle name="Normal 35 31 3" xfId="8514"/>
    <cellStyle name="Normal 35 31 3 2" xfId="38278"/>
    <cellStyle name="Normal 35 31 4" xfId="8515"/>
    <cellStyle name="Normal 35 31 4 2" xfId="38279"/>
    <cellStyle name="Normal 35 31 5" xfId="38280"/>
    <cellStyle name="Normal 35 31_01-04-2012" xfId="8516"/>
    <cellStyle name="Normal 35 32" xfId="8517"/>
    <cellStyle name="Normal 35 32 2" xfId="8518"/>
    <cellStyle name="Normal 35 32 2 2" xfId="38281"/>
    <cellStyle name="Normal 35 32 3" xfId="8519"/>
    <cellStyle name="Normal 35 32 3 2" xfId="38282"/>
    <cellStyle name="Normal 35 32 4" xfId="8520"/>
    <cellStyle name="Normal 35 32 4 2" xfId="38283"/>
    <cellStyle name="Normal 35 32 5" xfId="38284"/>
    <cellStyle name="Normal 35 32_01-04-2012" xfId="8521"/>
    <cellStyle name="Normal 35 33" xfId="8522"/>
    <cellStyle name="Normal 35 33 2" xfId="8523"/>
    <cellStyle name="Normal 35 33 2 2" xfId="38285"/>
    <cellStyle name="Normal 35 33 3" xfId="8524"/>
    <cellStyle name="Normal 35 33 3 2" xfId="38286"/>
    <cellStyle name="Normal 35 33 4" xfId="8525"/>
    <cellStyle name="Normal 35 33 4 2" xfId="38287"/>
    <cellStyle name="Normal 35 33 5" xfId="38288"/>
    <cellStyle name="Normal 35 33_01-04-2012" xfId="8526"/>
    <cellStyle name="Normal 35 34" xfId="8527"/>
    <cellStyle name="Normal 35 34 2" xfId="8528"/>
    <cellStyle name="Normal 35 34 2 2" xfId="38289"/>
    <cellStyle name="Normal 35 34 3" xfId="8529"/>
    <cellStyle name="Normal 35 34 3 2" xfId="38290"/>
    <cellStyle name="Normal 35 34 4" xfId="8530"/>
    <cellStyle name="Normal 35 34 4 2" xfId="38291"/>
    <cellStyle name="Normal 35 34 5" xfId="38292"/>
    <cellStyle name="Normal 35 34_01-04-2012" xfId="8531"/>
    <cellStyle name="Normal 35 35" xfId="8532"/>
    <cellStyle name="Normal 35 35 2" xfId="8533"/>
    <cellStyle name="Normal 35 35 2 2" xfId="38293"/>
    <cellStyle name="Normal 35 35 3" xfId="8534"/>
    <cellStyle name="Normal 35 35 3 2" xfId="38294"/>
    <cellStyle name="Normal 35 35 4" xfId="8535"/>
    <cellStyle name="Normal 35 35 4 2" xfId="38295"/>
    <cellStyle name="Normal 35 35 5" xfId="38296"/>
    <cellStyle name="Normal 35 35_01-04-2012" xfId="8536"/>
    <cellStyle name="Normal 35 36" xfId="8537"/>
    <cellStyle name="Normal 35 36 2" xfId="8538"/>
    <cellStyle name="Normal 35 36 2 2" xfId="38297"/>
    <cellStyle name="Normal 35 36 3" xfId="8539"/>
    <cellStyle name="Normal 35 36 3 2" xfId="38298"/>
    <cellStyle name="Normal 35 36 4" xfId="8540"/>
    <cellStyle name="Normal 35 36 4 2" xfId="38299"/>
    <cellStyle name="Normal 35 36 5" xfId="38300"/>
    <cellStyle name="Normal 35 36_01-04-2012" xfId="8541"/>
    <cellStyle name="Normal 35 37" xfId="8542"/>
    <cellStyle name="Normal 35 37 2" xfId="8543"/>
    <cellStyle name="Normal 35 37 2 2" xfId="38301"/>
    <cellStyle name="Normal 35 37 3" xfId="8544"/>
    <cellStyle name="Normal 35 37 3 2" xfId="38302"/>
    <cellStyle name="Normal 35 37 4" xfId="8545"/>
    <cellStyle name="Normal 35 37 4 2" xfId="38303"/>
    <cellStyle name="Normal 35 37 5" xfId="38304"/>
    <cellStyle name="Normal 35 37_01-04-2012" xfId="8546"/>
    <cellStyle name="Normal 35 38" xfId="8547"/>
    <cellStyle name="Normal 35 38 2" xfId="38305"/>
    <cellStyle name="Normal 35 39" xfId="8548"/>
    <cellStyle name="Normal 35 39 2" xfId="38306"/>
    <cellStyle name="Normal 35 4" xfId="8549"/>
    <cellStyle name="Normal 35 4 2" xfId="8550"/>
    <cellStyle name="Normal 35 4 2 2" xfId="38307"/>
    <cellStyle name="Normal 35 4 3" xfId="8551"/>
    <cellStyle name="Normal 35 4 3 2" xfId="38308"/>
    <cellStyle name="Normal 35 4 4" xfId="8552"/>
    <cellStyle name="Normal 35 4 4 2" xfId="38309"/>
    <cellStyle name="Normal 35 4 5" xfId="38310"/>
    <cellStyle name="Normal 35 4_01-04-2012" xfId="8553"/>
    <cellStyle name="Normal 35 40" xfId="8554"/>
    <cellStyle name="Normal 35 40 2" xfId="38311"/>
    <cellStyle name="Normal 35 41" xfId="20329"/>
    <cellStyle name="Normal 35 41 2" xfId="38312"/>
    <cellStyle name="Normal 35 42" xfId="20330"/>
    <cellStyle name="Normal 35 43" xfId="20331"/>
    <cellStyle name="Normal 35 44" xfId="20332"/>
    <cellStyle name="Normal 35 45" xfId="20333"/>
    <cellStyle name="Normal 35 46" xfId="20334"/>
    <cellStyle name="Normal 35 47" xfId="33657"/>
    <cellStyle name="Normal 35 5" xfId="8555"/>
    <cellStyle name="Normal 35 5 2" xfId="8556"/>
    <cellStyle name="Normal 35 5 2 2" xfId="38313"/>
    <cellStyle name="Normal 35 5 3" xfId="8557"/>
    <cellStyle name="Normal 35 5 3 2" xfId="38314"/>
    <cellStyle name="Normal 35 5 4" xfId="8558"/>
    <cellStyle name="Normal 35 5 4 2" xfId="38315"/>
    <cellStyle name="Normal 35 5 5" xfId="38316"/>
    <cellStyle name="Normal 35 5_01-04-2012" xfId="8559"/>
    <cellStyle name="Normal 35 6" xfId="8560"/>
    <cellStyle name="Normal 35 6 2" xfId="8561"/>
    <cellStyle name="Normal 35 6 2 2" xfId="38317"/>
    <cellStyle name="Normal 35 6 3" xfId="8562"/>
    <cellStyle name="Normal 35 6 3 2" xfId="38318"/>
    <cellStyle name="Normal 35 6 4" xfId="8563"/>
    <cellStyle name="Normal 35 6 4 2" xfId="38319"/>
    <cellStyle name="Normal 35 6 5" xfId="38320"/>
    <cellStyle name="Normal 35 6_01-04-2012" xfId="8564"/>
    <cellStyle name="Normal 35 7" xfId="8565"/>
    <cellStyle name="Normal 35 7 2" xfId="8566"/>
    <cellStyle name="Normal 35 7 2 2" xfId="38321"/>
    <cellStyle name="Normal 35 7 3" xfId="8567"/>
    <cellStyle name="Normal 35 7 3 2" xfId="38322"/>
    <cellStyle name="Normal 35 7 4" xfId="8568"/>
    <cellStyle name="Normal 35 7 4 2" xfId="38323"/>
    <cellStyle name="Normal 35 7 5" xfId="38324"/>
    <cellStyle name="Normal 35 7_01-04-2012" xfId="8569"/>
    <cellStyle name="Normal 35 8" xfId="8570"/>
    <cellStyle name="Normal 35 8 2" xfId="8571"/>
    <cellStyle name="Normal 35 8 2 2" xfId="38325"/>
    <cellStyle name="Normal 35 8 3" xfId="8572"/>
    <cellStyle name="Normal 35 8 3 2" xfId="38326"/>
    <cellStyle name="Normal 35 8 4" xfId="8573"/>
    <cellStyle name="Normal 35 8 4 2" xfId="38327"/>
    <cellStyle name="Normal 35 8 5" xfId="38328"/>
    <cellStyle name="Normal 35 8_01-04-2012" xfId="8574"/>
    <cellStyle name="Normal 35 9" xfId="8575"/>
    <cellStyle name="Normal 35 9 2" xfId="8576"/>
    <cellStyle name="Normal 35 9 2 2" xfId="38329"/>
    <cellStyle name="Normal 35 9 3" xfId="8577"/>
    <cellStyle name="Normal 35 9 3 2" xfId="38330"/>
    <cellStyle name="Normal 35 9 4" xfId="8578"/>
    <cellStyle name="Normal 35 9 4 2" xfId="38331"/>
    <cellStyle name="Normal 35 9 5" xfId="38332"/>
    <cellStyle name="Normal 35 9_01-04-2012" xfId="8579"/>
    <cellStyle name="Normal 35_01-04-2012" xfId="8580"/>
    <cellStyle name="Normal 350" xfId="20335"/>
    <cellStyle name="Normal 351" xfId="20336"/>
    <cellStyle name="Normal 352" xfId="20337"/>
    <cellStyle name="Normal 353" xfId="20338"/>
    <cellStyle name="Normal 354" xfId="20339"/>
    <cellStyle name="Normal 355" xfId="20340"/>
    <cellStyle name="Normal 356" xfId="20341"/>
    <cellStyle name="Normal 357" xfId="20342"/>
    <cellStyle name="Normal 358" xfId="20343"/>
    <cellStyle name="Normal 359" xfId="20344"/>
    <cellStyle name="Normal 36" xfId="8581"/>
    <cellStyle name="Normal 36 10" xfId="8582"/>
    <cellStyle name="Normal 36 10 2" xfId="8583"/>
    <cellStyle name="Normal 36 10 2 2" xfId="38333"/>
    <cellStyle name="Normal 36 10 3" xfId="8584"/>
    <cellStyle name="Normal 36 10 3 2" xfId="38334"/>
    <cellStyle name="Normal 36 10 4" xfId="8585"/>
    <cellStyle name="Normal 36 10 4 2" xfId="38335"/>
    <cellStyle name="Normal 36 10 5" xfId="38336"/>
    <cellStyle name="Normal 36 10_01-04-2012" xfId="8586"/>
    <cellStyle name="Normal 36 11" xfId="8587"/>
    <cellStyle name="Normal 36 11 2" xfId="8588"/>
    <cellStyle name="Normal 36 11 2 2" xfId="38337"/>
    <cellStyle name="Normal 36 11 3" xfId="8589"/>
    <cellStyle name="Normal 36 11 3 2" xfId="38338"/>
    <cellStyle name="Normal 36 11 4" xfId="8590"/>
    <cellStyle name="Normal 36 11 4 2" xfId="38339"/>
    <cellStyle name="Normal 36 11 5" xfId="38340"/>
    <cellStyle name="Normal 36 11_01-04-2012" xfId="8591"/>
    <cellStyle name="Normal 36 12" xfId="8592"/>
    <cellStyle name="Normal 36 12 2" xfId="8593"/>
    <cellStyle name="Normal 36 12 2 2" xfId="38341"/>
    <cellStyle name="Normal 36 12 3" xfId="8594"/>
    <cellStyle name="Normal 36 12 3 2" xfId="38342"/>
    <cellStyle name="Normal 36 12 4" xfId="8595"/>
    <cellStyle name="Normal 36 12 4 2" xfId="38343"/>
    <cellStyle name="Normal 36 12 5" xfId="38344"/>
    <cellStyle name="Normal 36 12_01-04-2012" xfId="8596"/>
    <cellStyle name="Normal 36 13" xfId="8597"/>
    <cellStyle name="Normal 36 13 2" xfId="8598"/>
    <cellStyle name="Normal 36 13 2 2" xfId="38345"/>
    <cellStyle name="Normal 36 13 3" xfId="8599"/>
    <cellStyle name="Normal 36 13 3 2" xfId="38346"/>
    <cellStyle name="Normal 36 13 4" xfId="8600"/>
    <cellStyle name="Normal 36 13 4 2" xfId="38347"/>
    <cellStyle name="Normal 36 13 5" xfId="38348"/>
    <cellStyle name="Normal 36 13_01-04-2012" xfId="8601"/>
    <cellStyle name="Normal 36 14" xfId="8602"/>
    <cellStyle name="Normal 36 14 2" xfId="8603"/>
    <cellStyle name="Normal 36 14 2 2" xfId="38349"/>
    <cellStyle name="Normal 36 14 3" xfId="8604"/>
    <cellStyle name="Normal 36 14 3 2" xfId="38350"/>
    <cellStyle name="Normal 36 14 4" xfId="8605"/>
    <cellStyle name="Normal 36 14 4 2" xfId="38351"/>
    <cellStyle name="Normal 36 14 5" xfId="38352"/>
    <cellStyle name="Normal 36 14_01-04-2012" xfId="8606"/>
    <cellStyle name="Normal 36 15" xfId="8607"/>
    <cellStyle name="Normal 36 15 2" xfId="8608"/>
    <cellStyle name="Normal 36 15 2 2" xfId="38353"/>
    <cellStyle name="Normal 36 15 3" xfId="8609"/>
    <cellStyle name="Normal 36 15 3 2" xfId="38354"/>
    <cellStyle name="Normal 36 15 4" xfId="8610"/>
    <cellStyle name="Normal 36 15 4 2" xfId="38355"/>
    <cellStyle name="Normal 36 15 5" xfId="38356"/>
    <cellStyle name="Normal 36 15_01-04-2012" xfId="8611"/>
    <cellStyle name="Normal 36 16" xfId="8612"/>
    <cellStyle name="Normal 36 16 2" xfId="8613"/>
    <cellStyle name="Normal 36 16 2 2" xfId="38357"/>
    <cellStyle name="Normal 36 16 3" xfId="8614"/>
    <cellStyle name="Normal 36 16 3 2" xfId="38358"/>
    <cellStyle name="Normal 36 16 4" xfId="8615"/>
    <cellStyle name="Normal 36 16 4 2" xfId="38359"/>
    <cellStyle name="Normal 36 16 5" xfId="38360"/>
    <cellStyle name="Normal 36 16_01-04-2012" xfId="8616"/>
    <cellStyle name="Normal 36 17" xfId="8617"/>
    <cellStyle name="Normal 36 17 2" xfId="8618"/>
    <cellStyle name="Normal 36 17 2 2" xfId="38361"/>
    <cellStyle name="Normal 36 17 3" xfId="8619"/>
    <cellStyle name="Normal 36 17 3 2" xfId="38362"/>
    <cellStyle name="Normal 36 17 4" xfId="8620"/>
    <cellStyle name="Normal 36 17 4 2" xfId="38363"/>
    <cellStyle name="Normal 36 17 5" xfId="38364"/>
    <cellStyle name="Normal 36 17_01-04-2012" xfId="8621"/>
    <cellStyle name="Normal 36 18" xfId="8622"/>
    <cellStyle name="Normal 36 18 2" xfId="8623"/>
    <cellStyle name="Normal 36 18 2 2" xfId="38365"/>
    <cellStyle name="Normal 36 18 3" xfId="8624"/>
    <cellStyle name="Normal 36 18 3 2" xfId="38366"/>
    <cellStyle name="Normal 36 18 4" xfId="8625"/>
    <cellStyle name="Normal 36 18 4 2" xfId="38367"/>
    <cellStyle name="Normal 36 18 5" xfId="38368"/>
    <cellStyle name="Normal 36 18_01-04-2012" xfId="8626"/>
    <cellStyle name="Normal 36 19" xfId="8627"/>
    <cellStyle name="Normal 36 19 2" xfId="8628"/>
    <cellStyle name="Normal 36 19 2 2" xfId="38369"/>
    <cellStyle name="Normal 36 19 3" xfId="8629"/>
    <cellStyle name="Normal 36 19 3 2" xfId="38370"/>
    <cellStyle name="Normal 36 19 4" xfId="8630"/>
    <cellStyle name="Normal 36 19 4 2" xfId="38371"/>
    <cellStyle name="Normal 36 19 5" xfId="38372"/>
    <cellStyle name="Normal 36 19_01-04-2012" xfId="8631"/>
    <cellStyle name="Normal 36 2" xfId="8632"/>
    <cellStyle name="Normal 36 2 2" xfId="8633"/>
    <cellStyle name="Normal 36 2 2 2" xfId="33659"/>
    <cellStyle name="Normal 36 2 2 2 2" xfId="38373"/>
    <cellStyle name="Normal 36 2 3" xfId="8634"/>
    <cellStyle name="Normal 36 2 3 2" xfId="38374"/>
    <cellStyle name="Normal 36 2 4" xfId="8635"/>
    <cellStyle name="Normal 36 2 4 2" xfId="38375"/>
    <cellStyle name="Normal 36 2 5" xfId="20345"/>
    <cellStyle name="Normal 36 2 5 2" xfId="38376"/>
    <cellStyle name="Normal 36 2_01-04-2012" xfId="8636"/>
    <cellStyle name="Normal 36 20" xfId="8637"/>
    <cellStyle name="Normal 36 20 2" xfId="8638"/>
    <cellStyle name="Normal 36 20 2 2" xfId="38377"/>
    <cellStyle name="Normal 36 20 3" xfId="8639"/>
    <cellStyle name="Normal 36 20 3 2" xfId="38378"/>
    <cellStyle name="Normal 36 20 4" xfId="8640"/>
    <cellStyle name="Normal 36 20 4 2" xfId="38379"/>
    <cellStyle name="Normal 36 20 5" xfId="38380"/>
    <cellStyle name="Normal 36 20_01-04-2012" xfId="8641"/>
    <cellStyle name="Normal 36 21" xfId="8642"/>
    <cellStyle name="Normal 36 21 2" xfId="8643"/>
    <cellStyle name="Normal 36 21 2 2" xfId="38381"/>
    <cellStyle name="Normal 36 21 3" xfId="8644"/>
    <cellStyle name="Normal 36 21 3 2" xfId="38382"/>
    <cellStyle name="Normal 36 21 4" xfId="8645"/>
    <cellStyle name="Normal 36 21 4 2" xfId="38383"/>
    <cellStyle name="Normal 36 21 5" xfId="38384"/>
    <cellStyle name="Normal 36 21_01-04-2012" xfId="8646"/>
    <cellStyle name="Normal 36 22" xfId="8647"/>
    <cellStyle name="Normal 36 22 2" xfId="8648"/>
    <cellStyle name="Normal 36 22 2 2" xfId="38385"/>
    <cellStyle name="Normal 36 22 3" xfId="8649"/>
    <cellStyle name="Normal 36 22 3 2" xfId="38386"/>
    <cellStyle name="Normal 36 22 4" xfId="8650"/>
    <cellStyle name="Normal 36 22 4 2" xfId="38387"/>
    <cellStyle name="Normal 36 22 5" xfId="38388"/>
    <cellStyle name="Normal 36 22_01-04-2012" xfId="8651"/>
    <cellStyle name="Normal 36 23" xfId="8652"/>
    <cellStyle name="Normal 36 23 2" xfId="8653"/>
    <cellStyle name="Normal 36 23 2 2" xfId="38389"/>
    <cellStyle name="Normal 36 23 3" xfId="8654"/>
    <cellStyle name="Normal 36 23 3 2" xfId="38390"/>
    <cellStyle name="Normal 36 23 4" xfId="8655"/>
    <cellStyle name="Normal 36 23 4 2" xfId="38391"/>
    <cellStyle name="Normal 36 23 5" xfId="38392"/>
    <cellStyle name="Normal 36 23_01-04-2012" xfId="8656"/>
    <cellStyle name="Normal 36 24" xfId="8657"/>
    <cellStyle name="Normal 36 24 2" xfId="8658"/>
    <cellStyle name="Normal 36 24 2 2" xfId="38393"/>
    <cellStyle name="Normal 36 24 3" xfId="8659"/>
    <cellStyle name="Normal 36 24 3 2" xfId="38394"/>
    <cellStyle name="Normal 36 24 4" xfId="8660"/>
    <cellStyle name="Normal 36 24 4 2" xfId="38395"/>
    <cellStyle name="Normal 36 24 5" xfId="38396"/>
    <cellStyle name="Normal 36 24_01-04-2012" xfId="8661"/>
    <cellStyle name="Normal 36 25" xfId="8662"/>
    <cellStyle name="Normal 36 25 2" xfId="8663"/>
    <cellStyle name="Normal 36 25 2 2" xfId="38397"/>
    <cellStyle name="Normal 36 25 3" xfId="8664"/>
    <cellStyle name="Normal 36 25 3 2" xfId="38398"/>
    <cellStyle name="Normal 36 25 4" xfId="8665"/>
    <cellStyle name="Normal 36 25 4 2" xfId="38399"/>
    <cellStyle name="Normal 36 25 5" xfId="38400"/>
    <cellStyle name="Normal 36 25_01-04-2012" xfId="8666"/>
    <cellStyle name="Normal 36 26" xfId="8667"/>
    <cellStyle name="Normal 36 26 2" xfId="8668"/>
    <cellStyle name="Normal 36 26 2 2" xfId="38401"/>
    <cellStyle name="Normal 36 26 3" xfId="8669"/>
    <cellStyle name="Normal 36 26 3 2" xfId="38402"/>
    <cellStyle name="Normal 36 26 4" xfId="8670"/>
    <cellStyle name="Normal 36 26 4 2" xfId="38403"/>
    <cellStyle name="Normal 36 26 5" xfId="38404"/>
    <cellStyle name="Normal 36 26_01-04-2012" xfId="8671"/>
    <cellStyle name="Normal 36 27" xfId="8672"/>
    <cellStyle name="Normal 36 27 2" xfId="8673"/>
    <cellStyle name="Normal 36 27 2 2" xfId="38405"/>
    <cellStyle name="Normal 36 27 3" xfId="8674"/>
    <cellStyle name="Normal 36 27 3 2" xfId="38406"/>
    <cellStyle name="Normal 36 27 4" xfId="8675"/>
    <cellStyle name="Normal 36 27 4 2" xfId="38407"/>
    <cellStyle name="Normal 36 27 5" xfId="38408"/>
    <cellStyle name="Normal 36 27_01-04-2012" xfId="8676"/>
    <cellStyle name="Normal 36 28" xfId="8677"/>
    <cellStyle name="Normal 36 28 2" xfId="8678"/>
    <cellStyle name="Normal 36 28 2 2" xfId="38409"/>
    <cellStyle name="Normal 36 28 3" xfId="8679"/>
    <cellStyle name="Normal 36 28 3 2" xfId="38410"/>
    <cellStyle name="Normal 36 28 4" xfId="8680"/>
    <cellStyle name="Normal 36 28 4 2" xfId="38411"/>
    <cellStyle name="Normal 36 28 5" xfId="38412"/>
    <cellStyle name="Normal 36 28_01-04-2012" xfId="8681"/>
    <cellStyle name="Normal 36 29" xfId="8682"/>
    <cellStyle name="Normal 36 29 2" xfId="8683"/>
    <cellStyle name="Normal 36 29 2 2" xfId="38413"/>
    <cellStyle name="Normal 36 29 3" xfId="8684"/>
    <cellStyle name="Normal 36 29 3 2" xfId="38414"/>
    <cellStyle name="Normal 36 29 4" xfId="8685"/>
    <cellStyle name="Normal 36 29 4 2" xfId="38415"/>
    <cellStyle name="Normal 36 29 5" xfId="38416"/>
    <cellStyle name="Normal 36 29_01-04-2012" xfId="8686"/>
    <cellStyle name="Normal 36 3" xfId="8687"/>
    <cellStyle name="Normal 36 3 2" xfId="8688"/>
    <cellStyle name="Normal 36 3 2 2" xfId="38417"/>
    <cellStyle name="Normal 36 3 3" xfId="8689"/>
    <cellStyle name="Normal 36 3 3 2" xfId="38418"/>
    <cellStyle name="Normal 36 3 4" xfId="8690"/>
    <cellStyle name="Normal 36 3 4 2" xfId="38419"/>
    <cellStyle name="Normal 36 3 5" xfId="20346"/>
    <cellStyle name="Normal 36 3 5 2" xfId="38420"/>
    <cellStyle name="Normal 36 3_01-04-2012" xfId="8691"/>
    <cellStyle name="Normal 36 30" xfId="8692"/>
    <cellStyle name="Normal 36 30 2" xfId="8693"/>
    <cellStyle name="Normal 36 30 2 2" xfId="38421"/>
    <cellStyle name="Normal 36 30 3" xfId="8694"/>
    <cellStyle name="Normal 36 30 3 2" xfId="38422"/>
    <cellStyle name="Normal 36 30 4" xfId="8695"/>
    <cellStyle name="Normal 36 30 4 2" xfId="38423"/>
    <cellStyle name="Normal 36 30 5" xfId="38424"/>
    <cellStyle name="Normal 36 30_01-04-2012" xfId="8696"/>
    <cellStyle name="Normal 36 31" xfId="8697"/>
    <cellStyle name="Normal 36 31 2" xfId="8698"/>
    <cellStyle name="Normal 36 31 2 2" xfId="38425"/>
    <cellStyle name="Normal 36 31 3" xfId="8699"/>
    <cellStyle name="Normal 36 31 3 2" xfId="38426"/>
    <cellStyle name="Normal 36 31 4" xfId="8700"/>
    <cellStyle name="Normal 36 31 4 2" xfId="38427"/>
    <cellStyle name="Normal 36 31 5" xfId="38428"/>
    <cellStyle name="Normal 36 31_01-04-2012" xfId="8701"/>
    <cellStyle name="Normal 36 32" xfId="8702"/>
    <cellStyle name="Normal 36 32 2" xfId="8703"/>
    <cellStyle name="Normal 36 32 2 2" xfId="38429"/>
    <cellStyle name="Normal 36 32 3" xfId="8704"/>
    <cellStyle name="Normal 36 32 3 2" xfId="38430"/>
    <cellStyle name="Normal 36 32 4" xfId="8705"/>
    <cellStyle name="Normal 36 32 4 2" xfId="38431"/>
    <cellStyle name="Normal 36 32 5" xfId="38432"/>
    <cellStyle name="Normal 36 32_01-04-2012" xfId="8706"/>
    <cellStyle name="Normal 36 33" xfId="8707"/>
    <cellStyle name="Normal 36 33 2" xfId="8708"/>
    <cellStyle name="Normal 36 33 2 2" xfId="38433"/>
    <cellStyle name="Normal 36 33 3" xfId="8709"/>
    <cellStyle name="Normal 36 33 3 2" xfId="38434"/>
    <cellStyle name="Normal 36 33 4" xfId="8710"/>
    <cellStyle name="Normal 36 33 4 2" xfId="38435"/>
    <cellStyle name="Normal 36 33 5" xfId="38436"/>
    <cellStyle name="Normal 36 33_01-04-2012" xfId="8711"/>
    <cellStyle name="Normal 36 34" xfId="8712"/>
    <cellStyle name="Normal 36 34 2" xfId="8713"/>
    <cellStyle name="Normal 36 34 2 2" xfId="38437"/>
    <cellStyle name="Normal 36 34 3" xfId="8714"/>
    <cellStyle name="Normal 36 34 3 2" xfId="38438"/>
    <cellStyle name="Normal 36 34 4" xfId="8715"/>
    <cellStyle name="Normal 36 34 4 2" xfId="38439"/>
    <cellStyle name="Normal 36 34 5" xfId="38440"/>
    <cellStyle name="Normal 36 34_01-04-2012" xfId="8716"/>
    <cellStyle name="Normal 36 35" xfId="8717"/>
    <cellStyle name="Normal 36 35 2" xfId="8718"/>
    <cellStyle name="Normal 36 35 2 2" xfId="38441"/>
    <cellStyle name="Normal 36 35 3" xfId="8719"/>
    <cellStyle name="Normal 36 35 3 2" xfId="38442"/>
    <cellStyle name="Normal 36 35 4" xfId="8720"/>
    <cellStyle name="Normal 36 35 4 2" xfId="38443"/>
    <cellStyle name="Normal 36 35 5" xfId="38444"/>
    <cellStyle name="Normal 36 35_01-04-2012" xfId="8721"/>
    <cellStyle name="Normal 36 36" xfId="8722"/>
    <cellStyle name="Normal 36 36 2" xfId="8723"/>
    <cellStyle name="Normal 36 36 2 2" xfId="38445"/>
    <cellStyle name="Normal 36 36 3" xfId="8724"/>
    <cellStyle name="Normal 36 36 3 2" xfId="38446"/>
    <cellStyle name="Normal 36 36 4" xfId="8725"/>
    <cellStyle name="Normal 36 36 4 2" xfId="38447"/>
    <cellStyle name="Normal 36 36 5" xfId="38448"/>
    <cellStyle name="Normal 36 36_01-04-2012" xfId="8726"/>
    <cellStyle name="Normal 36 37" xfId="8727"/>
    <cellStyle name="Normal 36 37 2" xfId="8728"/>
    <cellStyle name="Normal 36 37 2 2" xfId="38449"/>
    <cellStyle name="Normal 36 37 3" xfId="8729"/>
    <cellStyle name="Normal 36 37 3 2" xfId="38450"/>
    <cellStyle name="Normal 36 37 4" xfId="8730"/>
    <cellStyle name="Normal 36 37 4 2" xfId="38451"/>
    <cellStyle name="Normal 36 37 5" xfId="38452"/>
    <cellStyle name="Normal 36 37_01-04-2012" xfId="8731"/>
    <cellStyle name="Normal 36 38" xfId="8732"/>
    <cellStyle name="Normal 36 38 2" xfId="38453"/>
    <cellStyle name="Normal 36 39" xfId="8733"/>
    <cellStyle name="Normal 36 39 2" xfId="38454"/>
    <cellStyle name="Normal 36 4" xfId="8734"/>
    <cellStyle name="Normal 36 4 2" xfId="8735"/>
    <cellStyle name="Normal 36 4 2 2" xfId="38455"/>
    <cellStyle name="Normal 36 4 3" xfId="8736"/>
    <cellStyle name="Normal 36 4 3 2" xfId="38456"/>
    <cellStyle name="Normal 36 4 4" xfId="8737"/>
    <cellStyle name="Normal 36 4 4 2" xfId="38457"/>
    <cellStyle name="Normal 36 4 5" xfId="38458"/>
    <cellStyle name="Normal 36 4_01-04-2012" xfId="8738"/>
    <cellStyle name="Normal 36 40" xfId="8739"/>
    <cellStyle name="Normal 36 40 2" xfId="38459"/>
    <cellStyle name="Normal 36 41" xfId="20347"/>
    <cellStyle name="Normal 36 41 2" xfId="38460"/>
    <cellStyle name="Normal 36 42" xfId="20348"/>
    <cellStyle name="Normal 36 43" xfId="20349"/>
    <cellStyle name="Normal 36 44" xfId="20350"/>
    <cellStyle name="Normal 36 45" xfId="20351"/>
    <cellStyle name="Normal 36 46" xfId="20352"/>
    <cellStyle name="Normal 36 47" xfId="33658"/>
    <cellStyle name="Normal 36 5" xfId="8740"/>
    <cellStyle name="Normal 36 5 2" xfId="8741"/>
    <cellStyle name="Normal 36 5 2 2" xfId="38461"/>
    <cellStyle name="Normal 36 5 3" xfId="8742"/>
    <cellStyle name="Normal 36 5 3 2" xfId="38462"/>
    <cellStyle name="Normal 36 5 4" xfId="8743"/>
    <cellStyle name="Normal 36 5 4 2" xfId="38463"/>
    <cellStyle name="Normal 36 5 5" xfId="38464"/>
    <cellStyle name="Normal 36 5_01-04-2012" xfId="8744"/>
    <cellStyle name="Normal 36 6" xfId="8745"/>
    <cellStyle name="Normal 36 6 2" xfId="8746"/>
    <cellStyle name="Normal 36 6 2 2" xfId="38465"/>
    <cellStyle name="Normal 36 6 3" xfId="8747"/>
    <cellStyle name="Normal 36 6 3 2" xfId="38466"/>
    <cellStyle name="Normal 36 6 4" xfId="8748"/>
    <cellStyle name="Normal 36 6 4 2" xfId="38467"/>
    <cellStyle name="Normal 36 6 5" xfId="38468"/>
    <cellStyle name="Normal 36 6_01-04-2012" xfId="8749"/>
    <cellStyle name="Normal 36 7" xfId="8750"/>
    <cellStyle name="Normal 36 7 2" xfId="8751"/>
    <cellStyle name="Normal 36 7 2 2" xfId="38469"/>
    <cellStyle name="Normal 36 7 3" xfId="8752"/>
    <cellStyle name="Normal 36 7 3 2" xfId="38470"/>
    <cellStyle name="Normal 36 7 4" xfId="8753"/>
    <cellStyle name="Normal 36 7 4 2" xfId="38471"/>
    <cellStyle name="Normal 36 7 5" xfId="38472"/>
    <cellStyle name="Normal 36 7_01-04-2012" xfId="8754"/>
    <cellStyle name="Normal 36 8" xfId="8755"/>
    <cellStyle name="Normal 36 8 2" xfId="8756"/>
    <cellStyle name="Normal 36 8 2 2" xfId="38473"/>
    <cellStyle name="Normal 36 8 3" xfId="8757"/>
    <cellStyle name="Normal 36 8 3 2" xfId="38474"/>
    <cellStyle name="Normal 36 8 4" xfId="8758"/>
    <cellStyle name="Normal 36 8 4 2" xfId="38475"/>
    <cellStyle name="Normal 36 8 5" xfId="38476"/>
    <cellStyle name="Normal 36 8_01-04-2012" xfId="8759"/>
    <cellStyle name="Normal 36 9" xfId="8760"/>
    <cellStyle name="Normal 36 9 2" xfId="8761"/>
    <cellStyle name="Normal 36 9 2 2" xfId="38477"/>
    <cellStyle name="Normal 36 9 3" xfId="8762"/>
    <cellStyle name="Normal 36 9 3 2" xfId="38478"/>
    <cellStyle name="Normal 36 9 4" xfId="8763"/>
    <cellStyle name="Normal 36 9 4 2" xfId="38479"/>
    <cellStyle name="Normal 36 9 5" xfId="38480"/>
    <cellStyle name="Normal 36 9_01-04-2012" xfId="8764"/>
    <cellStyle name="Normal 36_01-04-2012" xfId="8765"/>
    <cellStyle name="Normal 360" xfId="20353"/>
    <cellStyle name="Normal 361" xfId="20354"/>
    <cellStyle name="Normal 362" xfId="20355"/>
    <cellStyle name="Normal 363" xfId="20356"/>
    <cellStyle name="Normal 364" xfId="20357"/>
    <cellStyle name="Normal 365" xfId="20358"/>
    <cellStyle name="Normal 366" xfId="20359"/>
    <cellStyle name="Normal 366 2" xfId="20360"/>
    <cellStyle name="Normal 367" xfId="20361"/>
    <cellStyle name="Normal 368" xfId="20362"/>
    <cellStyle name="Normal 369" xfId="20363"/>
    <cellStyle name="Normal 37" xfId="8766"/>
    <cellStyle name="Normal 37 10" xfId="8767"/>
    <cellStyle name="Normal 37 10 2" xfId="8768"/>
    <cellStyle name="Normal 37 10 2 2" xfId="38481"/>
    <cellStyle name="Normal 37 10 3" xfId="8769"/>
    <cellStyle name="Normal 37 10 3 2" xfId="38482"/>
    <cellStyle name="Normal 37 10 4" xfId="8770"/>
    <cellStyle name="Normal 37 10 4 2" xfId="38483"/>
    <cellStyle name="Normal 37 10 5" xfId="38484"/>
    <cellStyle name="Normal 37 10_01-04-2012" xfId="8771"/>
    <cellStyle name="Normal 37 11" xfId="8772"/>
    <cellStyle name="Normal 37 11 2" xfId="8773"/>
    <cellStyle name="Normal 37 11 2 2" xfId="38485"/>
    <cellStyle name="Normal 37 11 3" xfId="8774"/>
    <cellStyle name="Normal 37 11 3 2" xfId="38486"/>
    <cellStyle name="Normal 37 11 4" xfId="8775"/>
    <cellStyle name="Normal 37 11 4 2" xfId="38487"/>
    <cellStyle name="Normal 37 11 5" xfId="38488"/>
    <cellStyle name="Normal 37 11_01-04-2012" xfId="8776"/>
    <cellStyle name="Normal 37 12" xfId="8777"/>
    <cellStyle name="Normal 37 12 2" xfId="8778"/>
    <cellStyle name="Normal 37 12 2 2" xfId="38489"/>
    <cellStyle name="Normal 37 12 3" xfId="8779"/>
    <cellStyle name="Normal 37 12 3 2" xfId="38490"/>
    <cellStyle name="Normal 37 12 4" xfId="8780"/>
    <cellStyle name="Normal 37 12 4 2" xfId="38491"/>
    <cellStyle name="Normal 37 12 5" xfId="38492"/>
    <cellStyle name="Normal 37 12_01-04-2012" xfId="8781"/>
    <cellStyle name="Normal 37 13" xfId="8782"/>
    <cellStyle name="Normal 37 13 2" xfId="8783"/>
    <cellStyle name="Normal 37 13 2 2" xfId="38493"/>
    <cellStyle name="Normal 37 13 3" xfId="8784"/>
    <cellStyle name="Normal 37 13 3 2" xfId="38494"/>
    <cellStyle name="Normal 37 13 4" xfId="8785"/>
    <cellStyle name="Normal 37 13 4 2" xfId="38495"/>
    <cellStyle name="Normal 37 13 5" xfId="38496"/>
    <cellStyle name="Normal 37 13_01-04-2012" xfId="8786"/>
    <cellStyle name="Normal 37 14" xfId="8787"/>
    <cellStyle name="Normal 37 14 2" xfId="8788"/>
    <cellStyle name="Normal 37 14 2 2" xfId="38497"/>
    <cellStyle name="Normal 37 14 3" xfId="8789"/>
    <cellStyle name="Normal 37 14 3 2" xfId="38498"/>
    <cellStyle name="Normal 37 14 4" xfId="8790"/>
    <cellStyle name="Normal 37 14 4 2" xfId="38499"/>
    <cellStyle name="Normal 37 14 5" xfId="38500"/>
    <cellStyle name="Normal 37 14_01-04-2012" xfId="8791"/>
    <cellStyle name="Normal 37 15" xfId="8792"/>
    <cellStyle name="Normal 37 15 2" xfId="8793"/>
    <cellStyle name="Normal 37 15 2 2" xfId="38501"/>
    <cellStyle name="Normal 37 15 3" xfId="8794"/>
    <cellStyle name="Normal 37 15 3 2" xfId="38502"/>
    <cellStyle name="Normal 37 15 4" xfId="8795"/>
    <cellStyle name="Normal 37 15 4 2" xfId="38503"/>
    <cellStyle name="Normal 37 15 5" xfId="38504"/>
    <cellStyle name="Normal 37 15_01-04-2012" xfId="8796"/>
    <cellStyle name="Normal 37 16" xfId="8797"/>
    <cellStyle name="Normal 37 16 2" xfId="8798"/>
    <cellStyle name="Normal 37 16 2 2" xfId="38505"/>
    <cellStyle name="Normal 37 16 3" xfId="8799"/>
    <cellStyle name="Normal 37 16 3 2" xfId="38506"/>
    <cellStyle name="Normal 37 16 4" xfId="8800"/>
    <cellStyle name="Normal 37 16 4 2" xfId="38507"/>
    <cellStyle name="Normal 37 16 5" xfId="38508"/>
    <cellStyle name="Normal 37 16_01-04-2012" xfId="8801"/>
    <cellStyle name="Normal 37 17" xfId="8802"/>
    <cellStyle name="Normal 37 17 2" xfId="8803"/>
    <cellStyle name="Normal 37 17 2 2" xfId="38509"/>
    <cellStyle name="Normal 37 17 3" xfId="8804"/>
    <cellStyle name="Normal 37 17 3 2" xfId="38510"/>
    <cellStyle name="Normal 37 17 4" xfId="8805"/>
    <cellStyle name="Normal 37 17 4 2" xfId="38511"/>
    <cellStyle name="Normal 37 17 5" xfId="38512"/>
    <cellStyle name="Normal 37 17_01-04-2012" xfId="8806"/>
    <cellStyle name="Normal 37 18" xfId="8807"/>
    <cellStyle name="Normal 37 18 2" xfId="8808"/>
    <cellStyle name="Normal 37 18 2 2" xfId="38513"/>
    <cellStyle name="Normal 37 18 3" xfId="8809"/>
    <cellStyle name="Normal 37 18 3 2" xfId="38514"/>
    <cellStyle name="Normal 37 18 4" xfId="8810"/>
    <cellStyle name="Normal 37 18 4 2" xfId="38515"/>
    <cellStyle name="Normal 37 18 5" xfId="38516"/>
    <cellStyle name="Normal 37 18_01-04-2012" xfId="8811"/>
    <cellStyle name="Normal 37 19" xfId="8812"/>
    <cellStyle name="Normal 37 19 2" xfId="8813"/>
    <cellStyle name="Normal 37 19 2 2" xfId="38517"/>
    <cellStyle name="Normal 37 19 3" xfId="8814"/>
    <cellStyle name="Normal 37 19 3 2" xfId="38518"/>
    <cellStyle name="Normal 37 19 4" xfId="8815"/>
    <cellStyle name="Normal 37 19 4 2" xfId="38519"/>
    <cellStyle name="Normal 37 19 5" xfId="38520"/>
    <cellStyle name="Normal 37 19_01-04-2012" xfId="8816"/>
    <cellStyle name="Normal 37 2" xfId="8817"/>
    <cellStyle name="Normal 37 2 2" xfId="8818"/>
    <cellStyle name="Normal 37 2 2 2" xfId="33661"/>
    <cellStyle name="Normal 37 2 2 2 2" xfId="38521"/>
    <cellStyle name="Normal 37 2 3" xfId="8819"/>
    <cellStyle name="Normal 37 2 3 2" xfId="38522"/>
    <cellStyle name="Normal 37 2 4" xfId="8820"/>
    <cellStyle name="Normal 37 2 4 2" xfId="38523"/>
    <cellStyle name="Normal 37 2 5" xfId="20364"/>
    <cellStyle name="Normal 37 2 5 2" xfId="38524"/>
    <cellStyle name="Normal 37 2_01-04-2012" xfId="8821"/>
    <cellStyle name="Normal 37 20" xfId="8822"/>
    <cellStyle name="Normal 37 20 2" xfId="8823"/>
    <cellStyle name="Normal 37 20 2 2" xfId="38525"/>
    <cellStyle name="Normal 37 20 3" xfId="8824"/>
    <cellStyle name="Normal 37 20 3 2" xfId="38526"/>
    <cellStyle name="Normal 37 20 4" xfId="8825"/>
    <cellStyle name="Normal 37 20 4 2" xfId="38527"/>
    <cellStyle name="Normal 37 20 5" xfId="38528"/>
    <cellStyle name="Normal 37 20_01-04-2012" xfId="8826"/>
    <cellStyle name="Normal 37 21" xfId="8827"/>
    <cellStyle name="Normal 37 21 2" xfId="8828"/>
    <cellStyle name="Normal 37 21 2 2" xfId="38529"/>
    <cellStyle name="Normal 37 21 3" xfId="8829"/>
    <cellStyle name="Normal 37 21 3 2" xfId="38530"/>
    <cellStyle name="Normal 37 21 4" xfId="8830"/>
    <cellStyle name="Normal 37 21 4 2" xfId="38531"/>
    <cellStyle name="Normal 37 21 5" xfId="38532"/>
    <cellStyle name="Normal 37 21_01-04-2012" xfId="8831"/>
    <cellStyle name="Normal 37 22" xfId="8832"/>
    <cellStyle name="Normal 37 22 2" xfId="8833"/>
    <cellStyle name="Normal 37 22 2 2" xfId="38533"/>
    <cellStyle name="Normal 37 22 3" xfId="8834"/>
    <cellStyle name="Normal 37 22 3 2" xfId="38534"/>
    <cellStyle name="Normal 37 22 4" xfId="8835"/>
    <cellStyle name="Normal 37 22 4 2" xfId="38535"/>
    <cellStyle name="Normal 37 22 5" xfId="38536"/>
    <cellStyle name="Normal 37 22_01-04-2012" xfId="8836"/>
    <cellStyle name="Normal 37 23" xfId="8837"/>
    <cellStyle name="Normal 37 23 2" xfId="8838"/>
    <cellStyle name="Normal 37 23 2 2" xfId="38537"/>
    <cellStyle name="Normal 37 23 3" xfId="8839"/>
    <cellStyle name="Normal 37 23 3 2" xfId="38538"/>
    <cellStyle name="Normal 37 23 4" xfId="8840"/>
    <cellStyle name="Normal 37 23 4 2" xfId="38539"/>
    <cellStyle name="Normal 37 23 5" xfId="38540"/>
    <cellStyle name="Normal 37 23_01-04-2012" xfId="8841"/>
    <cellStyle name="Normal 37 24" xfId="8842"/>
    <cellStyle name="Normal 37 24 2" xfId="8843"/>
    <cellStyle name="Normal 37 24 2 2" xfId="38541"/>
    <cellStyle name="Normal 37 24 3" xfId="8844"/>
    <cellStyle name="Normal 37 24 3 2" xfId="38542"/>
    <cellStyle name="Normal 37 24 4" xfId="8845"/>
    <cellStyle name="Normal 37 24 4 2" xfId="38543"/>
    <cellStyle name="Normal 37 24 5" xfId="38544"/>
    <cellStyle name="Normal 37 24_01-04-2012" xfId="8846"/>
    <cellStyle name="Normal 37 25" xfId="8847"/>
    <cellStyle name="Normal 37 25 2" xfId="8848"/>
    <cellStyle name="Normal 37 25 2 2" xfId="38545"/>
    <cellStyle name="Normal 37 25 3" xfId="8849"/>
    <cellStyle name="Normal 37 25 3 2" xfId="38546"/>
    <cellStyle name="Normal 37 25 4" xfId="8850"/>
    <cellStyle name="Normal 37 25 4 2" xfId="38547"/>
    <cellStyle name="Normal 37 25 5" xfId="38548"/>
    <cellStyle name="Normal 37 25_01-04-2012" xfId="8851"/>
    <cellStyle name="Normal 37 26" xfId="8852"/>
    <cellStyle name="Normal 37 26 2" xfId="8853"/>
    <cellStyle name="Normal 37 26 2 2" xfId="38549"/>
    <cellStyle name="Normal 37 26 3" xfId="8854"/>
    <cellStyle name="Normal 37 26 3 2" xfId="38550"/>
    <cellStyle name="Normal 37 26 4" xfId="8855"/>
    <cellStyle name="Normal 37 26 4 2" xfId="38551"/>
    <cellStyle name="Normal 37 26 5" xfId="38552"/>
    <cellStyle name="Normal 37 26_01-04-2012" xfId="8856"/>
    <cellStyle name="Normal 37 27" xfId="8857"/>
    <cellStyle name="Normal 37 27 2" xfId="8858"/>
    <cellStyle name="Normal 37 27 2 2" xfId="38553"/>
    <cellStyle name="Normal 37 27 3" xfId="8859"/>
    <cellStyle name="Normal 37 27 3 2" xfId="38554"/>
    <cellStyle name="Normal 37 27 4" xfId="8860"/>
    <cellStyle name="Normal 37 27 4 2" xfId="38555"/>
    <cellStyle name="Normal 37 27 5" xfId="38556"/>
    <cellStyle name="Normal 37 27_01-04-2012" xfId="8861"/>
    <cellStyle name="Normal 37 28" xfId="8862"/>
    <cellStyle name="Normal 37 28 2" xfId="8863"/>
    <cellStyle name="Normal 37 28 2 2" xfId="38557"/>
    <cellStyle name="Normal 37 28 3" xfId="8864"/>
    <cellStyle name="Normal 37 28 3 2" xfId="38558"/>
    <cellStyle name="Normal 37 28 4" xfId="8865"/>
    <cellStyle name="Normal 37 28 4 2" xfId="38559"/>
    <cellStyle name="Normal 37 28 5" xfId="38560"/>
    <cellStyle name="Normal 37 28_01-04-2012" xfId="8866"/>
    <cellStyle name="Normal 37 29" xfId="8867"/>
    <cellStyle name="Normal 37 29 2" xfId="8868"/>
    <cellStyle name="Normal 37 29 2 2" xfId="38561"/>
    <cellStyle name="Normal 37 29 3" xfId="8869"/>
    <cellStyle name="Normal 37 29 3 2" xfId="38562"/>
    <cellStyle name="Normal 37 29 4" xfId="8870"/>
    <cellStyle name="Normal 37 29 4 2" xfId="38563"/>
    <cellStyle name="Normal 37 29 5" xfId="38564"/>
    <cellStyle name="Normal 37 29_01-04-2012" xfId="8871"/>
    <cellStyle name="Normal 37 3" xfId="8872"/>
    <cellStyle name="Normal 37 3 2" xfId="8873"/>
    <cellStyle name="Normal 37 3 2 2" xfId="38565"/>
    <cellStyle name="Normal 37 3 3" xfId="8874"/>
    <cellStyle name="Normal 37 3 3 2" xfId="38566"/>
    <cellStyle name="Normal 37 3 4" xfId="8875"/>
    <cellStyle name="Normal 37 3 4 2" xfId="38567"/>
    <cellStyle name="Normal 37 3 5" xfId="20365"/>
    <cellStyle name="Normal 37 3 5 2" xfId="38568"/>
    <cellStyle name="Normal 37 3_01-04-2012" xfId="8876"/>
    <cellStyle name="Normal 37 30" xfId="8877"/>
    <cellStyle name="Normal 37 30 2" xfId="8878"/>
    <cellStyle name="Normal 37 30 2 2" xfId="38569"/>
    <cellStyle name="Normal 37 30 3" xfId="8879"/>
    <cellStyle name="Normal 37 30 3 2" xfId="38570"/>
    <cellStyle name="Normal 37 30 4" xfId="8880"/>
    <cellStyle name="Normal 37 30 4 2" xfId="38571"/>
    <cellStyle name="Normal 37 30 5" xfId="38572"/>
    <cellStyle name="Normal 37 30_01-04-2012" xfId="8881"/>
    <cellStyle name="Normal 37 31" xfId="8882"/>
    <cellStyle name="Normal 37 31 2" xfId="8883"/>
    <cellStyle name="Normal 37 31 2 2" xfId="38573"/>
    <cellStyle name="Normal 37 31 3" xfId="8884"/>
    <cellStyle name="Normal 37 31 3 2" xfId="38574"/>
    <cellStyle name="Normal 37 31 4" xfId="8885"/>
    <cellStyle name="Normal 37 31 4 2" xfId="38575"/>
    <cellStyle name="Normal 37 31 5" xfId="38576"/>
    <cellStyle name="Normal 37 31_01-04-2012" xfId="8886"/>
    <cellStyle name="Normal 37 32" xfId="8887"/>
    <cellStyle name="Normal 37 32 2" xfId="8888"/>
    <cellStyle name="Normal 37 32 2 2" xfId="38577"/>
    <cellStyle name="Normal 37 32 3" xfId="8889"/>
    <cellStyle name="Normal 37 32 3 2" xfId="38578"/>
    <cellStyle name="Normal 37 32 4" xfId="8890"/>
    <cellStyle name="Normal 37 32 4 2" xfId="38579"/>
    <cellStyle name="Normal 37 32 5" xfId="38580"/>
    <cellStyle name="Normal 37 32_01-04-2012" xfId="8891"/>
    <cellStyle name="Normal 37 33" xfId="8892"/>
    <cellStyle name="Normal 37 33 2" xfId="8893"/>
    <cellStyle name="Normal 37 33 2 2" xfId="38581"/>
    <cellStyle name="Normal 37 33 3" xfId="8894"/>
    <cellStyle name="Normal 37 33 3 2" xfId="38582"/>
    <cellStyle name="Normal 37 33 4" xfId="8895"/>
    <cellStyle name="Normal 37 33 4 2" xfId="38583"/>
    <cellStyle name="Normal 37 33 5" xfId="38584"/>
    <cellStyle name="Normal 37 33_01-04-2012" xfId="8896"/>
    <cellStyle name="Normal 37 34" xfId="8897"/>
    <cellStyle name="Normal 37 34 2" xfId="8898"/>
    <cellStyle name="Normal 37 34 2 2" xfId="38585"/>
    <cellStyle name="Normal 37 34 3" xfId="8899"/>
    <cellStyle name="Normal 37 34 3 2" xfId="38586"/>
    <cellStyle name="Normal 37 34 4" xfId="8900"/>
    <cellStyle name="Normal 37 34 4 2" xfId="38587"/>
    <cellStyle name="Normal 37 34 5" xfId="38588"/>
    <cellStyle name="Normal 37 34_01-04-2012" xfId="8901"/>
    <cellStyle name="Normal 37 35" xfId="8902"/>
    <cellStyle name="Normal 37 35 2" xfId="8903"/>
    <cellStyle name="Normal 37 35 2 2" xfId="38589"/>
    <cellStyle name="Normal 37 35 3" xfId="8904"/>
    <cellStyle name="Normal 37 35 3 2" xfId="38590"/>
    <cellStyle name="Normal 37 35 4" xfId="8905"/>
    <cellStyle name="Normal 37 35 4 2" xfId="38591"/>
    <cellStyle name="Normal 37 35 5" xfId="38592"/>
    <cellStyle name="Normal 37 35_01-04-2012" xfId="8906"/>
    <cellStyle name="Normal 37 36" xfId="8907"/>
    <cellStyle name="Normal 37 36 2" xfId="8908"/>
    <cellStyle name="Normal 37 36 2 2" xfId="38593"/>
    <cellStyle name="Normal 37 36 3" xfId="8909"/>
    <cellStyle name="Normal 37 36 3 2" xfId="38594"/>
    <cellStyle name="Normal 37 36 4" xfId="8910"/>
    <cellStyle name="Normal 37 36 4 2" xfId="38595"/>
    <cellStyle name="Normal 37 36 5" xfId="38596"/>
    <cellStyle name="Normal 37 36_01-04-2012" xfId="8911"/>
    <cellStyle name="Normal 37 37" xfId="8912"/>
    <cellStyle name="Normal 37 37 2" xfId="8913"/>
    <cellStyle name="Normal 37 37 2 2" xfId="38597"/>
    <cellStyle name="Normal 37 37 3" xfId="8914"/>
    <cellStyle name="Normal 37 37 3 2" xfId="38598"/>
    <cellStyle name="Normal 37 37 4" xfId="8915"/>
    <cellStyle name="Normal 37 37 4 2" xfId="38599"/>
    <cellStyle name="Normal 37 37 5" xfId="38600"/>
    <cellStyle name="Normal 37 37_01-04-2012" xfId="8916"/>
    <cellStyle name="Normal 37 38" xfId="8917"/>
    <cellStyle name="Normal 37 38 2" xfId="38601"/>
    <cellStyle name="Normal 37 39" xfId="8918"/>
    <cellStyle name="Normal 37 39 2" xfId="38602"/>
    <cellStyle name="Normal 37 4" xfId="8919"/>
    <cellStyle name="Normal 37 4 2" xfId="8920"/>
    <cellStyle name="Normal 37 4 2 2" xfId="38603"/>
    <cellStyle name="Normal 37 4 3" xfId="8921"/>
    <cellStyle name="Normal 37 4 3 2" xfId="38604"/>
    <cellStyle name="Normal 37 4 4" xfId="8922"/>
    <cellStyle name="Normal 37 4 4 2" xfId="38605"/>
    <cellStyle name="Normal 37 4 5" xfId="38606"/>
    <cellStyle name="Normal 37 4_01-04-2012" xfId="8923"/>
    <cellStyle name="Normal 37 40" xfId="8924"/>
    <cellStyle name="Normal 37 40 2" xfId="38607"/>
    <cellStyle name="Normal 37 41" xfId="20366"/>
    <cellStyle name="Normal 37 41 2" xfId="38608"/>
    <cellStyle name="Normal 37 42" xfId="20367"/>
    <cellStyle name="Normal 37 43" xfId="20368"/>
    <cellStyle name="Normal 37 44" xfId="20369"/>
    <cellStyle name="Normal 37 45" xfId="20370"/>
    <cellStyle name="Normal 37 46" xfId="20371"/>
    <cellStyle name="Normal 37 47" xfId="33660"/>
    <cellStyle name="Normal 37 5" xfId="8925"/>
    <cellStyle name="Normal 37 5 2" xfId="8926"/>
    <cellStyle name="Normal 37 5 2 2" xfId="38609"/>
    <cellStyle name="Normal 37 5 3" xfId="8927"/>
    <cellStyle name="Normal 37 5 3 2" xfId="38610"/>
    <cellStyle name="Normal 37 5 4" xfId="8928"/>
    <cellStyle name="Normal 37 5 4 2" xfId="38611"/>
    <cellStyle name="Normal 37 5 5" xfId="38612"/>
    <cellStyle name="Normal 37 5_01-04-2012" xfId="8929"/>
    <cellStyle name="Normal 37 6" xfId="8930"/>
    <cellStyle name="Normal 37 6 2" xfId="8931"/>
    <cellStyle name="Normal 37 6 2 2" xfId="38613"/>
    <cellStyle name="Normal 37 6 3" xfId="8932"/>
    <cellStyle name="Normal 37 6 3 2" xfId="38614"/>
    <cellStyle name="Normal 37 6 4" xfId="8933"/>
    <cellStyle name="Normal 37 6 4 2" xfId="38615"/>
    <cellStyle name="Normal 37 6 5" xfId="38616"/>
    <cellStyle name="Normal 37 6_01-04-2012" xfId="8934"/>
    <cellStyle name="Normal 37 7" xfId="8935"/>
    <cellStyle name="Normal 37 7 2" xfId="8936"/>
    <cellStyle name="Normal 37 7 2 2" xfId="38617"/>
    <cellStyle name="Normal 37 7 3" xfId="8937"/>
    <cellStyle name="Normal 37 7 3 2" xfId="38618"/>
    <cellStyle name="Normal 37 7 4" xfId="8938"/>
    <cellStyle name="Normal 37 7 4 2" xfId="38619"/>
    <cellStyle name="Normal 37 7 5" xfId="38620"/>
    <cellStyle name="Normal 37 7_01-04-2012" xfId="8939"/>
    <cellStyle name="Normal 37 8" xfId="8940"/>
    <cellStyle name="Normal 37 8 2" xfId="8941"/>
    <cellStyle name="Normal 37 8 2 2" xfId="38621"/>
    <cellStyle name="Normal 37 8 3" xfId="8942"/>
    <cellStyle name="Normal 37 8 3 2" xfId="38622"/>
    <cellStyle name="Normal 37 8 4" xfId="8943"/>
    <cellStyle name="Normal 37 8 4 2" xfId="38623"/>
    <cellStyle name="Normal 37 8 5" xfId="38624"/>
    <cellStyle name="Normal 37 8_01-04-2012" xfId="8944"/>
    <cellStyle name="Normal 37 9" xfId="8945"/>
    <cellStyle name="Normal 37 9 2" xfId="8946"/>
    <cellStyle name="Normal 37 9 2 2" xfId="38625"/>
    <cellStyle name="Normal 37 9 3" xfId="8947"/>
    <cellStyle name="Normal 37 9 3 2" xfId="38626"/>
    <cellStyle name="Normal 37 9 4" xfId="8948"/>
    <cellStyle name="Normal 37 9 4 2" xfId="38627"/>
    <cellStyle name="Normal 37 9 5" xfId="38628"/>
    <cellStyle name="Normal 37 9_01-04-2012" xfId="8949"/>
    <cellStyle name="Normal 37_01-04-2012" xfId="8950"/>
    <cellStyle name="Normal 370" xfId="20372"/>
    <cellStyle name="Normal 371" xfId="20373"/>
    <cellStyle name="Normal 372" xfId="20374"/>
    <cellStyle name="Normal 373" xfId="20375"/>
    <cellStyle name="Normal 374" xfId="20376"/>
    <cellStyle name="Normal 375" xfId="20377"/>
    <cellStyle name="Normal 376" xfId="20378"/>
    <cellStyle name="Normal 377" xfId="20379"/>
    <cellStyle name="Normal 378" xfId="20380"/>
    <cellStyle name="Normal 379" xfId="20381"/>
    <cellStyle name="Normal 38" xfId="8951"/>
    <cellStyle name="Normal 38 10" xfId="8952"/>
    <cellStyle name="Normal 38 10 2" xfId="8953"/>
    <cellStyle name="Normal 38 10 2 2" xfId="38629"/>
    <cellStyle name="Normal 38 10 3" xfId="8954"/>
    <cellStyle name="Normal 38 10 3 2" xfId="38630"/>
    <cellStyle name="Normal 38 10 4" xfId="8955"/>
    <cellStyle name="Normal 38 10 4 2" xfId="38631"/>
    <cellStyle name="Normal 38 10 5" xfId="38632"/>
    <cellStyle name="Normal 38 10_01-04-2012" xfId="8956"/>
    <cellStyle name="Normal 38 11" xfId="8957"/>
    <cellStyle name="Normal 38 11 2" xfId="8958"/>
    <cellStyle name="Normal 38 11 2 2" xfId="38633"/>
    <cellStyle name="Normal 38 11 3" xfId="8959"/>
    <cellStyle name="Normal 38 11 3 2" xfId="38634"/>
    <cellStyle name="Normal 38 11 4" xfId="8960"/>
    <cellStyle name="Normal 38 11 4 2" xfId="38635"/>
    <cellStyle name="Normal 38 11 5" xfId="38636"/>
    <cellStyle name="Normal 38 11_01-04-2012" xfId="8961"/>
    <cellStyle name="Normal 38 12" xfId="8962"/>
    <cellStyle name="Normal 38 12 2" xfId="8963"/>
    <cellStyle name="Normal 38 12 2 2" xfId="38637"/>
    <cellStyle name="Normal 38 12 3" xfId="8964"/>
    <cellStyle name="Normal 38 12 3 2" xfId="38638"/>
    <cellStyle name="Normal 38 12 4" xfId="8965"/>
    <cellStyle name="Normal 38 12 4 2" xfId="38639"/>
    <cellStyle name="Normal 38 12 5" xfId="38640"/>
    <cellStyle name="Normal 38 12_01-04-2012" xfId="8966"/>
    <cellStyle name="Normal 38 13" xfId="8967"/>
    <cellStyle name="Normal 38 13 2" xfId="8968"/>
    <cellStyle name="Normal 38 13 2 2" xfId="38641"/>
    <cellStyle name="Normal 38 13 3" xfId="8969"/>
    <cellStyle name="Normal 38 13 3 2" xfId="38642"/>
    <cellStyle name="Normal 38 13 4" xfId="8970"/>
    <cellStyle name="Normal 38 13 4 2" xfId="38643"/>
    <cellStyle name="Normal 38 13 5" xfId="38644"/>
    <cellStyle name="Normal 38 13_01-04-2012" xfId="8971"/>
    <cellStyle name="Normal 38 14" xfId="8972"/>
    <cellStyle name="Normal 38 14 2" xfId="8973"/>
    <cellStyle name="Normal 38 14 2 2" xfId="38645"/>
    <cellStyle name="Normal 38 14 3" xfId="8974"/>
    <cellStyle name="Normal 38 14 3 2" xfId="38646"/>
    <cellStyle name="Normal 38 14 4" xfId="8975"/>
    <cellStyle name="Normal 38 14 4 2" xfId="38647"/>
    <cellStyle name="Normal 38 14 5" xfId="38648"/>
    <cellStyle name="Normal 38 14_01-04-2012" xfId="8976"/>
    <cellStyle name="Normal 38 15" xfId="8977"/>
    <cellStyle name="Normal 38 15 2" xfId="8978"/>
    <cellStyle name="Normal 38 15 2 2" xfId="38649"/>
    <cellStyle name="Normal 38 15 3" xfId="8979"/>
    <cellStyle name="Normal 38 15 3 2" xfId="38650"/>
    <cellStyle name="Normal 38 15 4" xfId="8980"/>
    <cellStyle name="Normal 38 15 4 2" xfId="38651"/>
    <cellStyle name="Normal 38 15 5" xfId="38652"/>
    <cellStyle name="Normal 38 15_01-04-2012" xfId="8981"/>
    <cellStyle name="Normal 38 16" xfId="8982"/>
    <cellStyle name="Normal 38 16 2" xfId="8983"/>
    <cellStyle name="Normal 38 16 2 2" xfId="38653"/>
    <cellStyle name="Normal 38 16 3" xfId="8984"/>
    <cellStyle name="Normal 38 16 3 2" xfId="38654"/>
    <cellStyle name="Normal 38 16 4" xfId="8985"/>
    <cellStyle name="Normal 38 16 4 2" xfId="38655"/>
    <cellStyle name="Normal 38 16 5" xfId="38656"/>
    <cellStyle name="Normal 38 16_01-04-2012" xfId="8986"/>
    <cellStyle name="Normal 38 17" xfId="8987"/>
    <cellStyle name="Normal 38 17 2" xfId="8988"/>
    <cellStyle name="Normal 38 17 2 2" xfId="38657"/>
    <cellStyle name="Normal 38 17 3" xfId="8989"/>
    <cellStyle name="Normal 38 17 3 2" xfId="38658"/>
    <cellStyle name="Normal 38 17 4" xfId="8990"/>
    <cellStyle name="Normal 38 17 4 2" xfId="38659"/>
    <cellStyle name="Normal 38 17 5" xfId="38660"/>
    <cellStyle name="Normal 38 17_01-04-2012" xfId="8991"/>
    <cellStyle name="Normal 38 18" xfId="8992"/>
    <cellStyle name="Normal 38 18 2" xfId="8993"/>
    <cellStyle name="Normal 38 18 2 2" xfId="38661"/>
    <cellStyle name="Normal 38 18 3" xfId="8994"/>
    <cellStyle name="Normal 38 18 3 2" xfId="38662"/>
    <cellStyle name="Normal 38 18 4" xfId="8995"/>
    <cellStyle name="Normal 38 18 4 2" xfId="38663"/>
    <cellStyle name="Normal 38 18 5" xfId="38664"/>
    <cellStyle name="Normal 38 18_01-04-2012" xfId="8996"/>
    <cellStyle name="Normal 38 19" xfId="8997"/>
    <cellStyle name="Normal 38 19 2" xfId="8998"/>
    <cellStyle name="Normal 38 19 2 2" xfId="38665"/>
    <cellStyle name="Normal 38 19 3" xfId="8999"/>
    <cellStyle name="Normal 38 19 3 2" xfId="38666"/>
    <cellStyle name="Normal 38 19 4" xfId="9000"/>
    <cellStyle name="Normal 38 19 4 2" xfId="38667"/>
    <cellStyle name="Normal 38 19 5" xfId="38668"/>
    <cellStyle name="Normal 38 19_01-04-2012" xfId="9001"/>
    <cellStyle name="Normal 38 2" xfId="9002"/>
    <cellStyle name="Normal 38 2 2" xfId="9003"/>
    <cellStyle name="Normal 38 2 2 2" xfId="33663"/>
    <cellStyle name="Normal 38 2 2 2 2" xfId="38669"/>
    <cellStyle name="Normal 38 2 3" xfId="9004"/>
    <cellStyle name="Normal 38 2 3 2" xfId="38670"/>
    <cellStyle name="Normal 38 2 4" xfId="9005"/>
    <cellStyle name="Normal 38 2 4 2" xfId="38671"/>
    <cellStyle name="Normal 38 2 5" xfId="20382"/>
    <cellStyle name="Normal 38 2 5 2" xfId="38672"/>
    <cellStyle name="Normal 38 2_01-04-2012" xfId="9006"/>
    <cellStyle name="Normal 38 20" xfId="9007"/>
    <cellStyle name="Normal 38 20 2" xfId="9008"/>
    <cellStyle name="Normal 38 20 2 2" xfId="38673"/>
    <cellStyle name="Normal 38 20 3" xfId="9009"/>
    <cellStyle name="Normal 38 20 3 2" xfId="38674"/>
    <cellStyle name="Normal 38 20 4" xfId="9010"/>
    <cellStyle name="Normal 38 20 4 2" xfId="38675"/>
    <cellStyle name="Normal 38 20 5" xfId="38676"/>
    <cellStyle name="Normal 38 20_01-04-2012" xfId="9011"/>
    <cellStyle name="Normal 38 21" xfId="9012"/>
    <cellStyle name="Normal 38 21 2" xfId="9013"/>
    <cellStyle name="Normal 38 21 2 2" xfId="38677"/>
    <cellStyle name="Normal 38 21 3" xfId="9014"/>
    <cellStyle name="Normal 38 21 3 2" xfId="38678"/>
    <cellStyle name="Normal 38 21 4" xfId="9015"/>
    <cellStyle name="Normal 38 21 4 2" xfId="38679"/>
    <cellStyle name="Normal 38 21 5" xfId="38680"/>
    <cellStyle name="Normal 38 21_01-04-2012" xfId="9016"/>
    <cellStyle name="Normal 38 22" xfId="9017"/>
    <cellStyle name="Normal 38 22 2" xfId="9018"/>
    <cellStyle name="Normal 38 22 2 2" xfId="38681"/>
    <cellStyle name="Normal 38 22 3" xfId="9019"/>
    <cellStyle name="Normal 38 22 3 2" xfId="38682"/>
    <cellStyle name="Normal 38 22 4" xfId="9020"/>
    <cellStyle name="Normal 38 22 4 2" xfId="38683"/>
    <cellStyle name="Normal 38 22 5" xfId="38684"/>
    <cellStyle name="Normal 38 22_01-04-2012" xfId="9021"/>
    <cellStyle name="Normal 38 23" xfId="9022"/>
    <cellStyle name="Normal 38 23 2" xfId="9023"/>
    <cellStyle name="Normal 38 23 2 2" xfId="38685"/>
    <cellStyle name="Normal 38 23 3" xfId="9024"/>
    <cellStyle name="Normal 38 23 3 2" xfId="38686"/>
    <cellStyle name="Normal 38 23 4" xfId="9025"/>
    <cellStyle name="Normal 38 23 4 2" xfId="38687"/>
    <cellStyle name="Normal 38 23 5" xfId="38688"/>
    <cellStyle name="Normal 38 23_01-04-2012" xfId="9026"/>
    <cellStyle name="Normal 38 24" xfId="9027"/>
    <cellStyle name="Normal 38 24 2" xfId="9028"/>
    <cellStyle name="Normal 38 24 2 2" xfId="38689"/>
    <cellStyle name="Normal 38 24 3" xfId="9029"/>
    <cellStyle name="Normal 38 24 3 2" xfId="38690"/>
    <cellStyle name="Normal 38 24 4" xfId="9030"/>
    <cellStyle name="Normal 38 24 4 2" xfId="38691"/>
    <cellStyle name="Normal 38 24 5" xfId="38692"/>
    <cellStyle name="Normal 38 24_01-04-2012" xfId="9031"/>
    <cellStyle name="Normal 38 25" xfId="9032"/>
    <cellStyle name="Normal 38 25 2" xfId="9033"/>
    <cellStyle name="Normal 38 25 2 2" xfId="38693"/>
    <cellStyle name="Normal 38 25 3" xfId="9034"/>
    <cellStyle name="Normal 38 25 3 2" xfId="38694"/>
    <cellStyle name="Normal 38 25 4" xfId="9035"/>
    <cellStyle name="Normal 38 25 4 2" xfId="38695"/>
    <cellStyle name="Normal 38 25 5" xfId="38696"/>
    <cellStyle name="Normal 38 25_01-04-2012" xfId="9036"/>
    <cellStyle name="Normal 38 26" xfId="9037"/>
    <cellStyle name="Normal 38 26 2" xfId="9038"/>
    <cellStyle name="Normal 38 26 2 2" xfId="38697"/>
    <cellStyle name="Normal 38 26 3" xfId="9039"/>
    <cellStyle name="Normal 38 26 3 2" xfId="38698"/>
    <cellStyle name="Normal 38 26 4" xfId="9040"/>
    <cellStyle name="Normal 38 26 4 2" xfId="38699"/>
    <cellStyle name="Normal 38 26 5" xfId="38700"/>
    <cellStyle name="Normal 38 26_01-04-2012" xfId="9041"/>
    <cellStyle name="Normal 38 27" xfId="9042"/>
    <cellStyle name="Normal 38 27 2" xfId="9043"/>
    <cellStyle name="Normal 38 27 2 2" xfId="38701"/>
    <cellStyle name="Normal 38 27 3" xfId="9044"/>
    <cellStyle name="Normal 38 27 3 2" xfId="38702"/>
    <cellStyle name="Normal 38 27 4" xfId="9045"/>
    <cellStyle name="Normal 38 27 4 2" xfId="38703"/>
    <cellStyle name="Normal 38 27 5" xfId="38704"/>
    <cellStyle name="Normal 38 27_01-04-2012" xfId="9046"/>
    <cellStyle name="Normal 38 28" xfId="9047"/>
    <cellStyle name="Normal 38 28 2" xfId="9048"/>
    <cellStyle name="Normal 38 28 2 2" xfId="38705"/>
    <cellStyle name="Normal 38 28 3" xfId="9049"/>
    <cellStyle name="Normal 38 28 3 2" xfId="38706"/>
    <cellStyle name="Normal 38 28 4" xfId="9050"/>
    <cellStyle name="Normal 38 28 4 2" xfId="38707"/>
    <cellStyle name="Normal 38 28 5" xfId="38708"/>
    <cellStyle name="Normal 38 28_01-04-2012" xfId="9051"/>
    <cellStyle name="Normal 38 29" xfId="9052"/>
    <cellStyle name="Normal 38 29 2" xfId="9053"/>
    <cellStyle name="Normal 38 29 2 2" xfId="38709"/>
    <cellStyle name="Normal 38 29 3" xfId="9054"/>
    <cellStyle name="Normal 38 29 3 2" xfId="38710"/>
    <cellStyle name="Normal 38 29 4" xfId="9055"/>
    <cellStyle name="Normal 38 29 4 2" xfId="38711"/>
    <cellStyle name="Normal 38 29 5" xfId="38712"/>
    <cellStyle name="Normal 38 29_01-04-2012" xfId="9056"/>
    <cellStyle name="Normal 38 3" xfId="9057"/>
    <cellStyle name="Normal 38 3 2" xfId="9058"/>
    <cellStyle name="Normal 38 3 2 2" xfId="38713"/>
    <cellStyle name="Normal 38 3 3" xfId="9059"/>
    <cellStyle name="Normal 38 3 3 2" xfId="38714"/>
    <cellStyle name="Normal 38 3 4" xfId="9060"/>
    <cellStyle name="Normal 38 3 4 2" xfId="38715"/>
    <cellStyle name="Normal 38 3 5" xfId="20383"/>
    <cellStyle name="Normal 38 3 5 2" xfId="38716"/>
    <cellStyle name="Normal 38 3_01-04-2012" xfId="9061"/>
    <cellStyle name="Normal 38 30" xfId="9062"/>
    <cellStyle name="Normal 38 30 2" xfId="9063"/>
    <cellStyle name="Normal 38 30 2 2" xfId="38717"/>
    <cellStyle name="Normal 38 30 3" xfId="9064"/>
    <cellStyle name="Normal 38 30 3 2" xfId="38718"/>
    <cellStyle name="Normal 38 30 4" xfId="9065"/>
    <cellStyle name="Normal 38 30 4 2" xfId="38719"/>
    <cellStyle name="Normal 38 30 5" xfId="38720"/>
    <cellStyle name="Normal 38 30_01-04-2012" xfId="9066"/>
    <cellStyle name="Normal 38 31" xfId="9067"/>
    <cellStyle name="Normal 38 31 2" xfId="9068"/>
    <cellStyle name="Normal 38 31 2 2" xfId="38721"/>
    <cellStyle name="Normal 38 31 3" xfId="9069"/>
    <cellStyle name="Normal 38 31 3 2" xfId="38722"/>
    <cellStyle name="Normal 38 31 4" xfId="9070"/>
    <cellStyle name="Normal 38 31 4 2" xfId="38723"/>
    <cellStyle name="Normal 38 31 5" xfId="38724"/>
    <cellStyle name="Normal 38 31_01-04-2012" xfId="9071"/>
    <cellStyle name="Normal 38 32" xfId="9072"/>
    <cellStyle name="Normal 38 32 2" xfId="9073"/>
    <cellStyle name="Normal 38 32 2 2" xfId="38725"/>
    <cellStyle name="Normal 38 32 3" xfId="9074"/>
    <cellStyle name="Normal 38 32 3 2" xfId="38726"/>
    <cellStyle name="Normal 38 32 4" xfId="9075"/>
    <cellStyle name="Normal 38 32 4 2" xfId="38727"/>
    <cellStyle name="Normal 38 32 5" xfId="38728"/>
    <cellStyle name="Normal 38 32_01-04-2012" xfId="9076"/>
    <cellStyle name="Normal 38 33" xfId="9077"/>
    <cellStyle name="Normal 38 33 2" xfId="9078"/>
    <cellStyle name="Normal 38 33 2 2" xfId="38729"/>
    <cellStyle name="Normal 38 33 3" xfId="9079"/>
    <cellStyle name="Normal 38 33 3 2" xfId="38730"/>
    <cellStyle name="Normal 38 33 4" xfId="9080"/>
    <cellStyle name="Normal 38 33 4 2" xfId="38731"/>
    <cellStyle name="Normal 38 33 5" xfId="38732"/>
    <cellStyle name="Normal 38 33_01-04-2012" xfId="9081"/>
    <cellStyle name="Normal 38 34" xfId="9082"/>
    <cellStyle name="Normal 38 34 2" xfId="9083"/>
    <cellStyle name="Normal 38 34 2 2" xfId="38733"/>
    <cellStyle name="Normal 38 34 3" xfId="9084"/>
    <cellStyle name="Normal 38 34 3 2" xfId="38734"/>
    <cellStyle name="Normal 38 34 4" xfId="9085"/>
    <cellStyle name="Normal 38 34 4 2" xfId="38735"/>
    <cellStyle name="Normal 38 34 5" xfId="38736"/>
    <cellStyle name="Normal 38 34_01-04-2012" xfId="9086"/>
    <cellStyle name="Normal 38 35" xfId="9087"/>
    <cellStyle name="Normal 38 35 2" xfId="9088"/>
    <cellStyle name="Normal 38 35 2 2" xfId="38737"/>
    <cellStyle name="Normal 38 35 3" xfId="9089"/>
    <cellStyle name="Normal 38 35 3 2" xfId="38738"/>
    <cellStyle name="Normal 38 35 4" xfId="9090"/>
    <cellStyle name="Normal 38 35 4 2" xfId="38739"/>
    <cellStyle name="Normal 38 35 5" xfId="38740"/>
    <cellStyle name="Normal 38 35_01-04-2012" xfId="9091"/>
    <cellStyle name="Normal 38 36" xfId="9092"/>
    <cellStyle name="Normal 38 36 2" xfId="9093"/>
    <cellStyle name="Normal 38 36 2 2" xfId="38741"/>
    <cellStyle name="Normal 38 36 3" xfId="9094"/>
    <cellStyle name="Normal 38 36 3 2" xfId="38742"/>
    <cellStyle name="Normal 38 36 4" xfId="9095"/>
    <cellStyle name="Normal 38 36 4 2" xfId="38743"/>
    <cellStyle name="Normal 38 36 5" xfId="38744"/>
    <cellStyle name="Normal 38 36_01-04-2012" xfId="9096"/>
    <cellStyle name="Normal 38 37" xfId="9097"/>
    <cellStyle name="Normal 38 37 2" xfId="9098"/>
    <cellStyle name="Normal 38 37 2 2" xfId="38745"/>
    <cellStyle name="Normal 38 37 3" xfId="9099"/>
    <cellStyle name="Normal 38 37 3 2" xfId="38746"/>
    <cellStyle name="Normal 38 37 4" xfId="9100"/>
    <cellStyle name="Normal 38 37 4 2" xfId="38747"/>
    <cellStyle name="Normal 38 37 5" xfId="38748"/>
    <cellStyle name="Normal 38 37_01-04-2012" xfId="9101"/>
    <cellStyle name="Normal 38 38" xfId="9102"/>
    <cellStyle name="Normal 38 38 2" xfId="38749"/>
    <cellStyle name="Normal 38 39" xfId="9103"/>
    <cellStyle name="Normal 38 39 2" xfId="38750"/>
    <cellStyle name="Normal 38 4" xfId="9104"/>
    <cellStyle name="Normal 38 4 2" xfId="9105"/>
    <cellStyle name="Normal 38 4 2 2" xfId="38751"/>
    <cellStyle name="Normal 38 4 3" xfId="9106"/>
    <cellStyle name="Normal 38 4 3 2" xfId="38752"/>
    <cellStyle name="Normal 38 4 4" xfId="9107"/>
    <cellStyle name="Normal 38 4 4 2" xfId="38753"/>
    <cellStyle name="Normal 38 4 5" xfId="38754"/>
    <cellStyle name="Normal 38 4_01-04-2012" xfId="9108"/>
    <cellStyle name="Normal 38 40" xfId="9109"/>
    <cellStyle name="Normal 38 40 2" xfId="38755"/>
    <cellStyle name="Normal 38 41" xfId="20384"/>
    <cellStyle name="Normal 38 41 2" xfId="38756"/>
    <cellStyle name="Normal 38 42" xfId="20385"/>
    <cellStyle name="Normal 38 43" xfId="20386"/>
    <cellStyle name="Normal 38 44" xfId="20387"/>
    <cellStyle name="Normal 38 45" xfId="20388"/>
    <cellStyle name="Normal 38 46" xfId="20389"/>
    <cellStyle name="Normal 38 47" xfId="33662"/>
    <cellStyle name="Normal 38 5" xfId="9110"/>
    <cellStyle name="Normal 38 5 2" xfId="9111"/>
    <cellStyle name="Normal 38 5 2 2" xfId="38757"/>
    <cellStyle name="Normal 38 5 3" xfId="9112"/>
    <cellStyle name="Normal 38 5 3 2" xfId="38758"/>
    <cellStyle name="Normal 38 5 4" xfId="9113"/>
    <cellStyle name="Normal 38 5 4 2" xfId="38759"/>
    <cellStyle name="Normal 38 5 5" xfId="38760"/>
    <cellStyle name="Normal 38 5_01-04-2012" xfId="9114"/>
    <cellStyle name="Normal 38 6" xfId="9115"/>
    <cellStyle name="Normal 38 6 2" xfId="9116"/>
    <cellStyle name="Normal 38 6 2 2" xfId="38761"/>
    <cellStyle name="Normal 38 6 3" xfId="9117"/>
    <cellStyle name="Normal 38 6 3 2" xfId="38762"/>
    <cellStyle name="Normal 38 6 4" xfId="9118"/>
    <cellStyle name="Normal 38 6 4 2" xfId="38763"/>
    <cellStyle name="Normal 38 6 5" xfId="38764"/>
    <cellStyle name="Normal 38 6_01-04-2012" xfId="9119"/>
    <cellStyle name="Normal 38 7" xfId="9120"/>
    <cellStyle name="Normal 38 7 2" xfId="9121"/>
    <cellStyle name="Normal 38 7 2 2" xfId="38765"/>
    <cellStyle name="Normal 38 7 3" xfId="9122"/>
    <cellStyle name="Normal 38 7 3 2" xfId="38766"/>
    <cellStyle name="Normal 38 7 4" xfId="9123"/>
    <cellStyle name="Normal 38 7 4 2" xfId="38767"/>
    <cellStyle name="Normal 38 7 5" xfId="38768"/>
    <cellStyle name="Normal 38 7_01-04-2012" xfId="9124"/>
    <cellStyle name="Normal 38 8" xfId="9125"/>
    <cellStyle name="Normal 38 8 2" xfId="9126"/>
    <cellStyle name="Normal 38 8 2 2" xfId="38769"/>
    <cellStyle name="Normal 38 8 3" xfId="9127"/>
    <cellStyle name="Normal 38 8 3 2" xfId="38770"/>
    <cellStyle name="Normal 38 8 4" xfId="9128"/>
    <cellStyle name="Normal 38 8 4 2" xfId="38771"/>
    <cellStyle name="Normal 38 8 5" xfId="38772"/>
    <cellStyle name="Normal 38 8_01-04-2012" xfId="9129"/>
    <cellStyle name="Normal 38 9" xfId="9130"/>
    <cellStyle name="Normal 38 9 2" xfId="9131"/>
    <cellStyle name="Normal 38 9 2 2" xfId="38773"/>
    <cellStyle name="Normal 38 9 3" xfId="9132"/>
    <cellStyle name="Normal 38 9 3 2" xfId="38774"/>
    <cellStyle name="Normal 38 9 4" xfId="9133"/>
    <cellStyle name="Normal 38 9 4 2" xfId="38775"/>
    <cellStyle name="Normal 38 9 5" xfId="38776"/>
    <cellStyle name="Normal 38 9_01-04-2012" xfId="9134"/>
    <cellStyle name="Normal 38_01-04-2012" xfId="9135"/>
    <cellStyle name="Normal 380" xfId="20390"/>
    <cellStyle name="Normal 381" xfId="20391"/>
    <cellStyle name="Normal 382" xfId="20392"/>
    <cellStyle name="Normal 383" xfId="20393"/>
    <cellStyle name="Normal 384" xfId="20394"/>
    <cellStyle name="Normal 385" xfId="20395"/>
    <cellStyle name="Normal 386" xfId="20396"/>
    <cellStyle name="Normal 387" xfId="20397"/>
    <cellStyle name="Normal 388" xfId="20398"/>
    <cellStyle name="Normal 389" xfId="20399"/>
    <cellStyle name="Normal 39" xfId="9136"/>
    <cellStyle name="Normal 39 10" xfId="9137"/>
    <cellStyle name="Normal 39 10 2" xfId="9138"/>
    <cellStyle name="Normal 39 10 2 2" xfId="38777"/>
    <cellStyle name="Normal 39 10 3" xfId="9139"/>
    <cellStyle name="Normal 39 10 3 2" xfId="38778"/>
    <cellStyle name="Normal 39 10 4" xfId="9140"/>
    <cellStyle name="Normal 39 10 4 2" xfId="38779"/>
    <cellStyle name="Normal 39 10 5" xfId="38780"/>
    <cellStyle name="Normal 39 10_01-04-2012" xfId="9141"/>
    <cellStyle name="Normal 39 11" xfId="9142"/>
    <cellStyle name="Normal 39 11 2" xfId="9143"/>
    <cellStyle name="Normal 39 11 2 2" xfId="38781"/>
    <cellStyle name="Normal 39 11 3" xfId="9144"/>
    <cellStyle name="Normal 39 11 3 2" xfId="38782"/>
    <cellStyle name="Normal 39 11 4" xfId="9145"/>
    <cellStyle name="Normal 39 11 4 2" xfId="38783"/>
    <cellStyle name="Normal 39 11 5" xfId="38784"/>
    <cellStyle name="Normal 39 11_01-04-2012" xfId="9146"/>
    <cellStyle name="Normal 39 12" xfId="9147"/>
    <cellStyle name="Normal 39 12 2" xfId="9148"/>
    <cellStyle name="Normal 39 12 2 2" xfId="38785"/>
    <cellStyle name="Normal 39 12 3" xfId="9149"/>
    <cellStyle name="Normal 39 12 3 2" xfId="38786"/>
    <cellStyle name="Normal 39 12 4" xfId="9150"/>
    <cellStyle name="Normal 39 12 4 2" xfId="38787"/>
    <cellStyle name="Normal 39 12 5" xfId="38788"/>
    <cellStyle name="Normal 39 12_01-04-2012" xfId="9151"/>
    <cellStyle name="Normal 39 13" xfId="9152"/>
    <cellStyle name="Normal 39 13 2" xfId="9153"/>
    <cellStyle name="Normal 39 13 2 2" xfId="38789"/>
    <cellStyle name="Normal 39 13 3" xfId="9154"/>
    <cellStyle name="Normal 39 13 3 2" xfId="38790"/>
    <cellStyle name="Normal 39 13 4" xfId="9155"/>
    <cellStyle name="Normal 39 13 4 2" xfId="38791"/>
    <cellStyle name="Normal 39 13 5" xfId="38792"/>
    <cellStyle name="Normal 39 13_01-04-2012" xfId="9156"/>
    <cellStyle name="Normal 39 14" xfId="9157"/>
    <cellStyle name="Normal 39 14 2" xfId="9158"/>
    <cellStyle name="Normal 39 14 2 2" xfId="38793"/>
    <cellStyle name="Normal 39 14 3" xfId="9159"/>
    <cellStyle name="Normal 39 14 3 2" xfId="38794"/>
    <cellStyle name="Normal 39 14 4" xfId="9160"/>
    <cellStyle name="Normal 39 14 4 2" xfId="38795"/>
    <cellStyle name="Normal 39 14 5" xfId="38796"/>
    <cellStyle name="Normal 39 14_01-04-2012" xfId="9161"/>
    <cellStyle name="Normal 39 15" xfId="9162"/>
    <cellStyle name="Normal 39 15 2" xfId="9163"/>
    <cellStyle name="Normal 39 15 2 2" xfId="38797"/>
    <cellStyle name="Normal 39 15 3" xfId="9164"/>
    <cellStyle name="Normal 39 15 3 2" xfId="38798"/>
    <cellStyle name="Normal 39 15 4" xfId="9165"/>
    <cellStyle name="Normal 39 15 4 2" xfId="38799"/>
    <cellStyle name="Normal 39 15 5" xfId="38800"/>
    <cellStyle name="Normal 39 15_01-04-2012" xfId="9166"/>
    <cellStyle name="Normal 39 16" xfId="9167"/>
    <cellStyle name="Normal 39 16 2" xfId="9168"/>
    <cellStyle name="Normal 39 16 2 2" xfId="38801"/>
    <cellStyle name="Normal 39 16 3" xfId="9169"/>
    <cellStyle name="Normal 39 16 3 2" xfId="38802"/>
    <cellStyle name="Normal 39 16 4" xfId="9170"/>
    <cellStyle name="Normal 39 16 4 2" xfId="38803"/>
    <cellStyle name="Normal 39 16 5" xfId="38804"/>
    <cellStyle name="Normal 39 16_01-04-2012" xfId="9171"/>
    <cellStyle name="Normal 39 17" xfId="9172"/>
    <cellStyle name="Normal 39 17 2" xfId="9173"/>
    <cellStyle name="Normal 39 17 2 2" xfId="38805"/>
    <cellStyle name="Normal 39 17 3" xfId="9174"/>
    <cellStyle name="Normal 39 17 3 2" xfId="38806"/>
    <cellStyle name="Normal 39 17 4" xfId="9175"/>
    <cellStyle name="Normal 39 17 4 2" xfId="38807"/>
    <cellStyle name="Normal 39 17 5" xfId="38808"/>
    <cellStyle name="Normal 39 17_01-04-2012" xfId="9176"/>
    <cellStyle name="Normal 39 18" xfId="9177"/>
    <cellStyle name="Normal 39 18 2" xfId="9178"/>
    <cellStyle name="Normal 39 18 2 2" xfId="38809"/>
    <cellStyle name="Normal 39 18 3" xfId="9179"/>
    <cellStyle name="Normal 39 18 3 2" xfId="38810"/>
    <cellStyle name="Normal 39 18 4" xfId="9180"/>
    <cellStyle name="Normal 39 18 4 2" xfId="38811"/>
    <cellStyle name="Normal 39 18 5" xfId="38812"/>
    <cellStyle name="Normal 39 18_01-04-2012" xfId="9181"/>
    <cellStyle name="Normal 39 19" xfId="9182"/>
    <cellStyle name="Normal 39 19 2" xfId="9183"/>
    <cellStyle name="Normal 39 19 2 2" xfId="38813"/>
    <cellStyle name="Normal 39 19 3" xfId="9184"/>
    <cellStyle name="Normal 39 19 3 2" xfId="38814"/>
    <cellStyle name="Normal 39 19 4" xfId="9185"/>
    <cellStyle name="Normal 39 19 4 2" xfId="38815"/>
    <cellStyle name="Normal 39 19 5" xfId="38816"/>
    <cellStyle name="Normal 39 19_01-04-2012" xfId="9186"/>
    <cellStyle name="Normal 39 2" xfId="9187"/>
    <cellStyle name="Normal 39 2 2" xfId="9188"/>
    <cellStyle name="Normal 39 2 2 2" xfId="33665"/>
    <cellStyle name="Normal 39 2 2 2 2" xfId="38817"/>
    <cellStyle name="Normal 39 2 3" xfId="9189"/>
    <cellStyle name="Normal 39 2 3 2" xfId="38818"/>
    <cellStyle name="Normal 39 2 4" xfId="9190"/>
    <cellStyle name="Normal 39 2 4 2" xfId="38819"/>
    <cellStyle name="Normal 39 2 5" xfId="20400"/>
    <cellStyle name="Normal 39 2 5 2" xfId="38820"/>
    <cellStyle name="Normal 39 2_01-04-2012" xfId="9191"/>
    <cellStyle name="Normal 39 20" xfId="9192"/>
    <cellStyle name="Normal 39 20 2" xfId="9193"/>
    <cellStyle name="Normal 39 20 2 2" xfId="38821"/>
    <cellStyle name="Normal 39 20 3" xfId="9194"/>
    <cellStyle name="Normal 39 20 3 2" xfId="38822"/>
    <cellStyle name="Normal 39 20 4" xfId="9195"/>
    <cellStyle name="Normal 39 20 4 2" xfId="38823"/>
    <cellStyle name="Normal 39 20 5" xfId="38824"/>
    <cellStyle name="Normal 39 20_01-04-2012" xfId="9196"/>
    <cellStyle name="Normal 39 21" xfId="9197"/>
    <cellStyle name="Normal 39 21 2" xfId="9198"/>
    <cellStyle name="Normal 39 21 2 2" xfId="38825"/>
    <cellStyle name="Normal 39 21 3" xfId="9199"/>
    <cellStyle name="Normal 39 21 3 2" xfId="38826"/>
    <cellStyle name="Normal 39 21 4" xfId="9200"/>
    <cellStyle name="Normal 39 21 4 2" xfId="38827"/>
    <cellStyle name="Normal 39 21 5" xfId="38828"/>
    <cellStyle name="Normal 39 21_01-04-2012" xfId="9201"/>
    <cellStyle name="Normal 39 22" xfId="9202"/>
    <cellStyle name="Normal 39 22 2" xfId="9203"/>
    <cellStyle name="Normal 39 22 2 2" xfId="38829"/>
    <cellStyle name="Normal 39 22 3" xfId="9204"/>
    <cellStyle name="Normal 39 22 3 2" xfId="38830"/>
    <cellStyle name="Normal 39 22 4" xfId="9205"/>
    <cellStyle name="Normal 39 22 4 2" xfId="38831"/>
    <cellStyle name="Normal 39 22 5" xfId="38832"/>
    <cellStyle name="Normal 39 22_01-04-2012" xfId="9206"/>
    <cellStyle name="Normal 39 23" xfId="9207"/>
    <cellStyle name="Normal 39 23 2" xfId="9208"/>
    <cellStyle name="Normal 39 23 2 2" xfId="38833"/>
    <cellStyle name="Normal 39 23 3" xfId="9209"/>
    <cellStyle name="Normal 39 23 3 2" xfId="38834"/>
    <cellStyle name="Normal 39 23 4" xfId="9210"/>
    <cellStyle name="Normal 39 23 4 2" xfId="38835"/>
    <cellStyle name="Normal 39 23 5" xfId="38836"/>
    <cellStyle name="Normal 39 23_01-04-2012" xfId="9211"/>
    <cellStyle name="Normal 39 24" xfId="9212"/>
    <cellStyle name="Normal 39 24 2" xfId="9213"/>
    <cellStyle name="Normal 39 24 2 2" xfId="38837"/>
    <cellStyle name="Normal 39 24 3" xfId="9214"/>
    <cellStyle name="Normal 39 24 3 2" xfId="38838"/>
    <cellStyle name="Normal 39 24 4" xfId="9215"/>
    <cellStyle name="Normal 39 24 4 2" xfId="38839"/>
    <cellStyle name="Normal 39 24 5" xfId="38840"/>
    <cellStyle name="Normal 39 24_01-04-2012" xfId="9216"/>
    <cellStyle name="Normal 39 25" xfId="9217"/>
    <cellStyle name="Normal 39 25 2" xfId="9218"/>
    <cellStyle name="Normal 39 25 2 2" xfId="38841"/>
    <cellStyle name="Normal 39 25 3" xfId="9219"/>
    <cellStyle name="Normal 39 25 3 2" xfId="38842"/>
    <cellStyle name="Normal 39 25 4" xfId="9220"/>
    <cellStyle name="Normal 39 25 4 2" xfId="38843"/>
    <cellStyle name="Normal 39 25 5" xfId="38844"/>
    <cellStyle name="Normal 39 25_01-04-2012" xfId="9221"/>
    <cellStyle name="Normal 39 26" xfId="9222"/>
    <cellStyle name="Normal 39 26 2" xfId="9223"/>
    <cellStyle name="Normal 39 26 2 2" xfId="38845"/>
    <cellStyle name="Normal 39 26 3" xfId="9224"/>
    <cellStyle name="Normal 39 26 3 2" xfId="38846"/>
    <cellStyle name="Normal 39 26 4" xfId="9225"/>
    <cellStyle name="Normal 39 26 4 2" xfId="38847"/>
    <cellStyle name="Normal 39 26 5" xfId="38848"/>
    <cellStyle name="Normal 39 26_01-04-2012" xfId="9226"/>
    <cellStyle name="Normal 39 27" xfId="9227"/>
    <cellStyle name="Normal 39 27 2" xfId="9228"/>
    <cellStyle name="Normal 39 27 2 2" xfId="38849"/>
    <cellStyle name="Normal 39 27 3" xfId="9229"/>
    <cellStyle name="Normal 39 27 3 2" xfId="38850"/>
    <cellStyle name="Normal 39 27 4" xfId="9230"/>
    <cellStyle name="Normal 39 27 4 2" xfId="38851"/>
    <cellStyle name="Normal 39 27 5" xfId="38852"/>
    <cellStyle name="Normal 39 27_01-04-2012" xfId="9231"/>
    <cellStyle name="Normal 39 28" xfId="9232"/>
    <cellStyle name="Normal 39 28 2" xfId="9233"/>
    <cellStyle name="Normal 39 28 2 2" xfId="38853"/>
    <cellStyle name="Normal 39 28 3" xfId="9234"/>
    <cellStyle name="Normal 39 28 3 2" xfId="38854"/>
    <cellStyle name="Normal 39 28 4" xfId="9235"/>
    <cellStyle name="Normal 39 28 4 2" xfId="38855"/>
    <cellStyle name="Normal 39 28 5" xfId="38856"/>
    <cellStyle name="Normal 39 28_01-04-2012" xfId="9236"/>
    <cellStyle name="Normal 39 29" xfId="9237"/>
    <cellStyle name="Normal 39 29 2" xfId="9238"/>
    <cellStyle name="Normal 39 29 2 2" xfId="38857"/>
    <cellStyle name="Normal 39 29 3" xfId="9239"/>
    <cellStyle name="Normal 39 29 3 2" xfId="38858"/>
    <cellStyle name="Normal 39 29 4" xfId="9240"/>
    <cellStyle name="Normal 39 29 4 2" xfId="38859"/>
    <cellStyle name="Normal 39 29 5" xfId="38860"/>
    <cellStyle name="Normal 39 29_01-04-2012" xfId="9241"/>
    <cellStyle name="Normal 39 3" xfId="9242"/>
    <cellStyle name="Normal 39 3 2" xfId="9243"/>
    <cellStyle name="Normal 39 3 2 2" xfId="38861"/>
    <cellStyle name="Normal 39 3 3" xfId="9244"/>
    <cellStyle name="Normal 39 3 3 2" xfId="38862"/>
    <cellStyle name="Normal 39 3 4" xfId="9245"/>
    <cellStyle name="Normal 39 3 4 2" xfId="38863"/>
    <cellStyle name="Normal 39 3 5" xfId="20401"/>
    <cellStyle name="Normal 39 3 5 2" xfId="38864"/>
    <cellStyle name="Normal 39 3_01-04-2012" xfId="9246"/>
    <cellStyle name="Normal 39 30" xfId="9247"/>
    <cellStyle name="Normal 39 30 2" xfId="9248"/>
    <cellStyle name="Normal 39 30 2 2" xfId="38865"/>
    <cellStyle name="Normal 39 30 3" xfId="9249"/>
    <cellStyle name="Normal 39 30 3 2" xfId="38866"/>
    <cellStyle name="Normal 39 30 4" xfId="9250"/>
    <cellStyle name="Normal 39 30 4 2" xfId="38867"/>
    <cellStyle name="Normal 39 30 5" xfId="38868"/>
    <cellStyle name="Normal 39 30_01-04-2012" xfId="9251"/>
    <cellStyle name="Normal 39 31" xfId="9252"/>
    <cellStyle name="Normal 39 31 2" xfId="9253"/>
    <cellStyle name="Normal 39 31 2 2" xfId="38869"/>
    <cellStyle name="Normal 39 31 3" xfId="9254"/>
    <cellStyle name="Normal 39 31 3 2" xfId="38870"/>
    <cellStyle name="Normal 39 31 4" xfId="9255"/>
    <cellStyle name="Normal 39 31 4 2" xfId="38871"/>
    <cellStyle name="Normal 39 31 5" xfId="38872"/>
    <cellStyle name="Normal 39 31_01-04-2012" xfId="9256"/>
    <cellStyle name="Normal 39 32" xfId="9257"/>
    <cellStyle name="Normal 39 32 2" xfId="9258"/>
    <cellStyle name="Normal 39 32 2 2" xfId="38873"/>
    <cellStyle name="Normal 39 32 3" xfId="9259"/>
    <cellStyle name="Normal 39 32 3 2" xfId="38874"/>
    <cellStyle name="Normal 39 32 4" xfId="9260"/>
    <cellStyle name="Normal 39 32 4 2" xfId="38875"/>
    <cellStyle name="Normal 39 32 5" xfId="38876"/>
    <cellStyle name="Normal 39 32_01-04-2012" xfId="9261"/>
    <cellStyle name="Normal 39 33" xfId="9262"/>
    <cellStyle name="Normal 39 33 2" xfId="9263"/>
    <cellStyle name="Normal 39 33 2 2" xfId="38877"/>
    <cellStyle name="Normal 39 33 3" xfId="9264"/>
    <cellStyle name="Normal 39 33 3 2" xfId="38878"/>
    <cellStyle name="Normal 39 33 4" xfId="9265"/>
    <cellStyle name="Normal 39 33 4 2" xfId="38879"/>
    <cellStyle name="Normal 39 33 5" xfId="38880"/>
    <cellStyle name="Normal 39 33_01-04-2012" xfId="9266"/>
    <cellStyle name="Normal 39 34" xfId="9267"/>
    <cellStyle name="Normal 39 34 2" xfId="9268"/>
    <cellStyle name="Normal 39 34 2 2" xfId="38881"/>
    <cellStyle name="Normal 39 34 3" xfId="9269"/>
    <cellStyle name="Normal 39 34 3 2" xfId="38882"/>
    <cellStyle name="Normal 39 34 4" xfId="9270"/>
    <cellStyle name="Normal 39 34 4 2" xfId="38883"/>
    <cellStyle name="Normal 39 34 5" xfId="38884"/>
    <cellStyle name="Normal 39 34_01-04-2012" xfId="9271"/>
    <cellStyle name="Normal 39 35" xfId="9272"/>
    <cellStyle name="Normal 39 35 2" xfId="9273"/>
    <cellStyle name="Normal 39 35 2 2" xfId="38885"/>
    <cellStyle name="Normal 39 35 3" xfId="9274"/>
    <cellStyle name="Normal 39 35 3 2" xfId="38886"/>
    <cellStyle name="Normal 39 35 4" xfId="9275"/>
    <cellStyle name="Normal 39 35 4 2" xfId="38887"/>
    <cellStyle name="Normal 39 35 5" xfId="38888"/>
    <cellStyle name="Normal 39 35_01-04-2012" xfId="9276"/>
    <cellStyle name="Normal 39 36" xfId="9277"/>
    <cellStyle name="Normal 39 36 2" xfId="9278"/>
    <cellStyle name="Normal 39 36 2 2" xfId="38889"/>
    <cellStyle name="Normal 39 36 3" xfId="9279"/>
    <cellStyle name="Normal 39 36 3 2" xfId="38890"/>
    <cellStyle name="Normal 39 36 4" xfId="9280"/>
    <cellStyle name="Normal 39 36 4 2" xfId="38891"/>
    <cellStyle name="Normal 39 36 5" xfId="38892"/>
    <cellStyle name="Normal 39 36_01-04-2012" xfId="9281"/>
    <cellStyle name="Normal 39 37" xfId="9282"/>
    <cellStyle name="Normal 39 37 2" xfId="9283"/>
    <cellStyle name="Normal 39 37 2 2" xfId="38893"/>
    <cellStyle name="Normal 39 37 3" xfId="9284"/>
    <cellStyle name="Normal 39 37 3 2" xfId="38894"/>
    <cellStyle name="Normal 39 37 4" xfId="9285"/>
    <cellStyle name="Normal 39 37 4 2" xfId="38895"/>
    <cellStyle name="Normal 39 37 5" xfId="38896"/>
    <cellStyle name="Normal 39 37_01-04-2012" xfId="9286"/>
    <cellStyle name="Normal 39 38" xfId="9287"/>
    <cellStyle name="Normal 39 38 2" xfId="38897"/>
    <cellStyle name="Normal 39 39" xfId="9288"/>
    <cellStyle name="Normal 39 39 2" xfId="38898"/>
    <cellStyle name="Normal 39 4" xfId="9289"/>
    <cellStyle name="Normal 39 4 2" xfId="9290"/>
    <cellStyle name="Normal 39 4 2 2" xfId="38899"/>
    <cellStyle name="Normal 39 4 3" xfId="9291"/>
    <cellStyle name="Normal 39 4 3 2" xfId="38900"/>
    <cellStyle name="Normal 39 4 4" xfId="9292"/>
    <cellStyle name="Normal 39 4 4 2" xfId="38901"/>
    <cellStyle name="Normal 39 4 5" xfId="38902"/>
    <cellStyle name="Normal 39 4_01-04-2012" xfId="9293"/>
    <cellStyle name="Normal 39 40" xfId="9294"/>
    <cellStyle name="Normal 39 40 2" xfId="38903"/>
    <cellStyle name="Normal 39 41" xfId="20402"/>
    <cellStyle name="Normal 39 41 2" xfId="38904"/>
    <cellStyle name="Normal 39 42" xfId="20403"/>
    <cellStyle name="Normal 39 43" xfId="20404"/>
    <cellStyle name="Normal 39 44" xfId="20405"/>
    <cellStyle name="Normal 39 45" xfId="20406"/>
    <cellStyle name="Normal 39 46" xfId="20407"/>
    <cellStyle name="Normal 39 47" xfId="33664"/>
    <cellStyle name="Normal 39 5" xfId="9295"/>
    <cellStyle name="Normal 39 5 2" xfId="9296"/>
    <cellStyle name="Normal 39 5 2 2" xfId="38905"/>
    <cellStyle name="Normal 39 5 3" xfId="9297"/>
    <cellStyle name="Normal 39 5 3 2" xfId="38906"/>
    <cellStyle name="Normal 39 5 4" xfId="9298"/>
    <cellStyle name="Normal 39 5 4 2" xfId="38907"/>
    <cellStyle name="Normal 39 5 5" xfId="38908"/>
    <cellStyle name="Normal 39 5_01-04-2012" xfId="9299"/>
    <cellStyle name="Normal 39 6" xfId="9300"/>
    <cellStyle name="Normal 39 6 2" xfId="9301"/>
    <cellStyle name="Normal 39 6 2 2" xfId="38909"/>
    <cellStyle name="Normal 39 6 3" xfId="9302"/>
    <cellStyle name="Normal 39 6 3 2" xfId="38910"/>
    <cellStyle name="Normal 39 6 4" xfId="9303"/>
    <cellStyle name="Normal 39 6 4 2" xfId="38911"/>
    <cellStyle name="Normal 39 6 5" xfId="38912"/>
    <cellStyle name="Normal 39 6_01-04-2012" xfId="9304"/>
    <cellStyle name="Normal 39 7" xfId="9305"/>
    <cellStyle name="Normal 39 7 2" xfId="9306"/>
    <cellStyle name="Normal 39 7 2 2" xfId="38913"/>
    <cellStyle name="Normal 39 7 3" xfId="9307"/>
    <cellStyle name="Normal 39 7 3 2" xfId="38914"/>
    <cellStyle name="Normal 39 7 4" xfId="9308"/>
    <cellStyle name="Normal 39 7 4 2" xfId="38915"/>
    <cellStyle name="Normal 39 7 5" xfId="38916"/>
    <cellStyle name="Normal 39 7_01-04-2012" xfId="9309"/>
    <cellStyle name="Normal 39 8" xfId="9310"/>
    <cellStyle name="Normal 39 8 2" xfId="9311"/>
    <cellStyle name="Normal 39 8 2 2" xfId="38917"/>
    <cellStyle name="Normal 39 8 3" xfId="9312"/>
    <cellStyle name="Normal 39 8 3 2" xfId="38918"/>
    <cellStyle name="Normal 39 8 4" xfId="9313"/>
    <cellStyle name="Normal 39 8 4 2" xfId="38919"/>
    <cellStyle name="Normal 39 8 5" xfId="38920"/>
    <cellStyle name="Normal 39 8_01-04-2012" xfId="9314"/>
    <cellStyle name="Normal 39 9" xfId="9315"/>
    <cellStyle name="Normal 39 9 2" xfId="9316"/>
    <cellStyle name="Normal 39 9 2 2" xfId="38921"/>
    <cellStyle name="Normal 39 9 3" xfId="9317"/>
    <cellStyle name="Normal 39 9 3 2" xfId="38922"/>
    <cellStyle name="Normal 39 9 4" xfId="9318"/>
    <cellStyle name="Normal 39 9 4 2" xfId="38923"/>
    <cellStyle name="Normal 39 9 5" xfId="38924"/>
    <cellStyle name="Normal 39 9_01-04-2012" xfId="9319"/>
    <cellStyle name="Normal 39_01-04-2012" xfId="9320"/>
    <cellStyle name="Normal 390" xfId="20408"/>
    <cellStyle name="Normal 391" xfId="20409"/>
    <cellStyle name="Normal 392" xfId="20410"/>
    <cellStyle name="Normal 393" xfId="20411"/>
    <cellStyle name="Normal 394" xfId="20412"/>
    <cellStyle name="Normal 395" xfId="20413"/>
    <cellStyle name="Normal 396" xfId="20414"/>
    <cellStyle name="Normal 397" xfId="20415"/>
    <cellStyle name="Normal 398" xfId="20416"/>
    <cellStyle name="Normal 399" xfId="20417"/>
    <cellStyle name="Normal 4" xfId="4"/>
    <cellStyle name="Normal 4 10" xfId="9322"/>
    <cellStyle name="Normal 4 10 2" xfId="20418"/>
    <cellStyle name="Normal 4 10 2 2" xfId="20419"/>
    <cellStyle name="Normal 4 10 2 3" xfId="20420"/>
    <cellStyle name="Normal 4 10 2 4" xfId="20421"/>
    <cellStyle name="Normal 4 10 2 5" xfId="20422"/>
    <cellStyle name="Normal 4 10 2 6" xfId="20423"/>
    <cellStyle name="Normal 4 10 2 7" xfId="20424"/>
    <cellStyle name="Normal 4 10 3" xfId="20425"/>
    <cellStyle name="Normal 4 10 4" xfId="20426"/>
    <cellStyle name="Normal 4 10 5" xfId="20427"/>
    <cellStyle name="Normal 4 10 6" xfId="20428"/>
    <cellStyle name="Normal 4 10 7" xfId="20429"/>
    <cellStyle name="Normal 4 10 8" xfId="20430"/>
    <cellStyle name="Normal 4 10 9" xfId="20431"/>
    <cellStyle name="Normal 4 11" xfId="9323"/>
    <cellStyle name="Normal 4 11 2" xfId="20432"/>
    <cellStyle name="Normal 4 11 2 2" xfId="20433"/>
    <cellStyle name="Normal 4 11 2 3" xfId="20434"/>
    <cellStyle name="Normal 4 11 2 4" xfId="20435"/>
    <cellStyle name="Normal 4 11 2 5" xfId="20436"/>
    <cellStyle name="Normal 4 11 2 6" xfId="20437"/>
    <cellStyle name="Normal 4 11 2 7" xfId="20438"/>
    <cellStyle name="Normal 4 11 3" xfId="20439"/>
    <cellStyle name="Normal 4 11 4" xfId="20440"/>
    <cellStyle name="Normal 4 11 5" xfId="20441"/>
    <cellStyle name="Normal 4 11 6" xfId="20442"/>
    <cellStyle name="Normal 4 11 7" xfId="20443"/>
    <cellStyle name="Normal 4 11 8" xfId="20444"/>
    <cellStyle name="Normal 4 11 9" xfId="20445"/>
    <cellStyle name="Normal 4 12" xfId="9324"/>
    <cellStyle name="Normal 4 12 2" xfId="20446"/>
    <cellStyle name="Normal 4 12 2 2" xfId="20447"/>
    <cellStyle name="Normal 4 12 2 3" xfId="20448"/>
    <cellStyle name="Normal 4 12 2 4" xfId="20449"/>
    <cellStyle name="Normal 4 12 2 5" xfId="20450"/>
    <cellStyle name="Normal 4 12 2 6" xfId="20451"/>
    <cellStyle name="Normal 4 12 2 7" xfId="20452"/>
    <cellStyle name="Normal 4 12 3" xfId="20453"/>
    <cellStyle name="Normal 4 12 4" xfId="20454"/>
    <cellStyle name="Normal 4 12 5" xfId="20455"/>
    <cellStyle name="Normal 4 12 6" xfId="20456"/>
    <cellStyle name="Normal 4 12 7" xfId="20457"/>
    <cellStyle name="Normal 4 12 8" xfId="20458"/>
    <cellStyle name="Normal 4 12 9" xfId="20459"/>
    <cellStyle name="Normal 4 13" xfId="9325"/>
    <cellStyle name="Normal 4 13 2" xfId="20460"/>
    <cellStyle name="Normal 4 13 2 2" xfId="20461"/>
    <cellStyle name="Normal 4 13 2 3" xfId="20462"/>
    <cellStyle name="Normal 4 13 2 4" xfId="20463"/>
    <cellStyle name="Normal 4 13 2 5" xfId="20464"/>
    <cellStyle name="Normal 4 13 2 6" xfId="20465"/>
    <cellStyle name="Normal 4 13 2 7" xfId="20466"/>
    <cellStyle name="Normal 4 13 3" xfId="20467"/>
    <cellStyle name="Normal 4 13 4" xfId="20468"/>
    <cellStyle name="Normal 4 13 5" xfId="20469"/>
    <cellStyle name="Normal 4 13 6" xfId="20470"/>
    <cellStyle name="Normal 4 13 7" xfId="20471"/>
    <cellStyle name="Normal 4 13 8" xfId="20472"/>
    <cellStyle name="Normal 4 13 9" xfId="20473"/>
    <cellStyle name="Normal 4 14" xfId="9326"/>
    <cellStyle name="Normal 4 14 2" xfId="20474"/>
    <cellStyle name="Normal 4 14 2 2" xfId="20475"/>
    <cellStyle name="Normal 4 14 2 3" xfId="20476"/>
    <cellStyle name="Normal 4 14 2 4" xfId="20477"/>
    <cellStyle name="Normal 4 14 2 5" xfId="20478"/>
    <cellStyle name="Normal 4 14 2 6" xfId="20479"/>
    <cellStyle name="Normal 4 14 2 7" xfId="20480"/>
    <cellStyle name="Normal 4 14 3" xfId="20481"/>
    <cellStyle name="Normal 4 14 4" xfId="20482"/>
    <cellStyle name="Normal 4 14 5" xfId="20483"/>
    <cellStyle name="Normal 4 14 6" xfId="20484"/>
    <cellStyle name="Normal 4 14 7" xfId="20485"/>
    <cellStyle name="Normal 4 14 8" xfId="20486"/>
    <cellStyle name="Normal 4 14 9" xfId="20487"/>
    <cellStyle name="Normal 4 15" xfId="9327"/>
    <cellStyle name="Normal 4 15 2" xfId="20488"/>
    <cellStyle name="Normal 4 15 2 2" xfId="20489"/>
    <cellStyle name="Normal 4 15 2 3" xfId="20490"/>
    <cellStyle name="Normal 4 15 2 4" xfId="20491"/>
    <cellStyle name="Normal 4 15 2 5" xfId="20492"/>
    <cellStyle name="Normal 4 15 2 6" xfId="20493"/>
    <cellStyle name="Normal 4 15 2 7" xfId="20494"/>
    <cellStyle name="Normal 4 15 3" xfId="20495"/>
    <cellStyle name="Normal 4 15 4" xfId="20496"/>
    <cellStyle name="Normal 4 15 5" xfId="20497"/>
    <cellStyle name="Normal 4 15 6" xfId="20498"/>
    <cellStyle name="Normal 4 15 7" xfId="20499"/>
    <cellStyle name="Normal 4 15 8" xfId="20500"/>
    <cellStyle name="Normal 4 15 9" xfId="20501"/>
    <cellStyle name="Normal 4 16" xfId="9328"/>
    <cellStyle name="Normal 4 16 2" xfId="20502"/>
    <cellStyle name="Normal 4 16 2 2" xfId="20503"/>
    <cellStyle name="Normal 4 16 2 3" xfId="20504"/>
    <cellStyle name="Normal 4 16 2 4" xfId="20505"/>
    <cellStyle name="Normal 4 16 2 5" xfId="20506"/>
    <cellStyle name="Normal 4 16 2 6" xfId="20507"/>
    <cellStyle name="Normal 4 16 2 7" xfId="20508"/>
    <cellStyle name="Normal 4 16 3" xfId="20509"/>
    <cellStyle name="Normal 4 16 4" xfId="20510"/>
    <cellStyle name="Normal 4 16 5" xfId="20511"/>
    <cellStyle name="Normal 4 16 6" xfId="20512"/>
    <cellStyle name="Normal 4 16 7" xfId="20513"/>
    <cellStyle name="Normal 4 16 8" xfId="20514"/>
    <cellStyle name="Normal 4 16 9" xfId="20515"/>
    <cellStyle name="Normal 4 17" xfId="9329"/>
    <cellStyle name="Normal 4 17 2" xfId="20516"/>
    <cellStyle name="Normal 4 17 2 2" xfId="20517"/>
    <cellStyle name="Normal 4 17 2 3" xfId="20518"/>
    <cellStyle name="Normal 4 17 2 4" xfId="20519"/>
    <cellStyle name="Normal 4 17 2 5" xfId="20520"/>
    <cellStyle name="Normal 4 17 2 6" xfId="20521"/>
    <cellStyle name="Normal 4 17 2 7" xfId="20522"/>
    <cellStyle name="Normal 4 17 3" xfId="20523"/>
    <cellStyle name="Normal 4 17 4" xfId="20524"/>
    <cellStyle name="Normal 4 17 5" xfId="20525"/>
    <cellStyle name="Normal 4 17 6" xfId="20526"/>
    <cellStyle name="Normal 4 17 7" xfId="20527"/>
    <cellStyle name="Normal 4 17 8" xfId="20528"/>
    <cellStyle name="Normal 4 17 9" xfId="20529"/>
    <cellStyle name="Normal 4 18" xfId="9330"/>
    <cellStyle name="Normal 4 18 2" xfId="20530"/>
    <cellStyle name="Normal 4 18 2 2" xfId="20531"/>
    <cellStyle name="Normal 4 18 2 3" xfId="20532"/>
    <cellStyle name="Normal 4 18 2 4" xfId="20533"/>
    <cellStyle name="Normal 4 18 2 5" xfId="20534"/>
    <cellStyle name="Normal 4 18 2 6" xfId="20535"/>
    <cellStyle name="Normal 4 18 2 7" xfId="20536"/>
    <cellStyle name="Normal 4 18 3" xfId="20537"/>
    <cellStyle name="Normal 4 18 4" xfId="20538"/>
    <cellStyle name="Normal 4 18 5" xfId="20539"/>
    <cellStyle name="Normal 4 18 6" xfId="20540"/>
    <cellStyle name="Normal 4 18 7" xfId="20541"/>
    <cellStyle name="Normal 4 18 8" xfId="20542"/>
    <cellStyle name="Normal 4 18 9" xfId="20543"/>
    <cellStyle name="Normal 4 19" xfId="9331"/>
    <cellStyle name="Normal 4 19 2" xfId="20544"/>
    <cellStyle name="Normal 4 19 2 2" xfId="20545"/>
    <cellStyle name="Normal 4 19 2 3" xfId="20546"/>
    <cellStyle name="Normal 4 19 2 4" xfId="20547"/>
    <cellStyle name="Normal 4 19 2 5" xfId="20548"/>
    <cellStyle name="Normal 4 19 2 6" xfId="20549"/>
    <cellStyle name="Normal 4 19 2 7" xfId="20550"/>
    <cellStyle name="Normal 4 19 3" xfId="20551"/>
    <cellStyle name="Normal 4 19 4" xfId="20552"/>
    <cellStyle name="Normal 4 19 5" xfId="20553"/>
    <cellStyle name="Normal 4 19 6" xfId="20554"/>
    <cellStyle name="Normal 4 19 7" xfId="20555"/>
    <cellStyle name="Normal 4 19 8" xfId="20556"/>
    <cellStyle name="Normal 4 19 9" xfId="20557"/>
    <cellStyle name="Normal 4 2" xfId="9332"/>
    <cellStyle name="Normal 4 2 10" xfId="20558"/>
    <cellStyle name="Normal 4 2 10 2" xfId="20559"/>
    <cellStyle name="Normal 4 2 10 2 2" xfId="33666"/>
    <cellStyle name="Normal 4 2 10 3" xfId="33667"/>
    <cellStyle name="Normal 4 2 11" xfId="20560"/>
    <cellStyle name="Normal 4 2 11 2" xfId="20561"/>
    <cellStyle name="Normal 4 2 11 2 2" xfId="33668"/>
    <cellStyle name="Normal 4 2 11 3" xfId="33669"/>
    <cellStyle name="Normal 4 2 12" xfId="20562"/>
    <cellStyle name="Normal 4 2 12 2" xfId="33670"/>
    <cellStyle name="Normal 4 2 13" xfId="20563"/>
    <cellStyle name="Normal 4 2 14" xfId="20564"/>
    <cellStyle name="Normal 4 2 2" xfId="20565"/>
    <cellStyle name="Normal 4 2 2 2" xfId="20566"/>
    <cellStyle name="Normal 4 2 2 2 2" xfId="20567"/>
    <cellStyle name="Normal 4 2 2 2 2 2" xfId="20568"/>
    <cellStyle name="Normal 4 2 2 2 3" xfId="20569"/>
    <cellStyle name="Normal 4 2 2 3" xfId="20570"/>
    <cellStyle name="Normal 4 2 2 3 2" xfId="20571"/>
    <cellStyle name="Normal 4 2 2 4" xfId="20572"/>
    <cellStyle name="Normal 4 2 2 4 2" xfId="33671"/>
    <cellStyle name="Normal 4 2 2 5" xfId="20573"/>
    <cellStyle name="Normal 4 2 2 6" xfId="20574"/>
    <cellStyle name="Normal 4 2 2 7" xfId="20575"/>
    <cellStyle name="Normal 4 2 2 8" xfId="20576"/>
    <cellStyle name="Normal 4 2 3" xfId="20577"/>
    <cellStyle name="Normal 4 2 3 2" xfId="20578"/>
    <cellStyle name="Normal 4 2 3 2 2" xfId="20579"/>
    <cellStyle name="Normal 4 2 3 2 2 2" xfId="33672"/>
    <cellStyle name="Normal 4 2 3 2 3" xfId="33673"/>
    <cellStyle name="Normal 4 2 3 3" xfId="20580"/>
    <cellStyle name="Normal 4 2 3 3 2" xfId="33674"/>
    <cellStyle name="Normal 4 2 3 4" xfId="20581"/>
    <cellStyle name="Normal 4 2 4" xfId="20582"/>
    <cellStyle name="Normal 4 2 4 2" xfId="20583"/>
    <cellStyle name="Normal 4 2 4 2 2" xfId="20584"/>
    <cellStyle name="Normal 4 2 4 2 2 2" xfId="33675"/>
    <cellStyle name="Normal 4 2 4 2 3" xfId="33676"/>
    <cellStyle name="Normal 4 2 4 3" xfId="20585"/>
    <cellStyle name="Normal 4 2 4 3 2" xfId="33677"/>
    <cellStyle name="Normal 4 2 4 4" xfId="20586"/>
    <cellStyle name="Normal 4 2 4 5" xfId="38925"/>
    <cellStyle name="Normal 4 2 5" xfId="20587"/>
    <cellStyle name="Normal 4 2 5 2" xfId="20588"/>
    <cellStyle name="Normal 4 2 5 2 2" xfId="20589"/>
    <cellStyle name="Normal 4 2 5 2 2 2" xfId="33678"/>
    <cellStyle name="Normal 4 2 5 2 3" xfId="33679"/>
    <cellStyle name="Normal 4 2 5 3" xfId="20590"/>
    <cellStyle name="Normal 4 2 5 3 2" xfId="33680"/>
    <cellStyle name="Normal 4 2 5 4" xfId="33681"/>
    <cellStyle name="Normal 4 2 6" xfId="20591"/>
    <cellStyle name="Normal 4 2 6 2" xfId="20592"/>
    <cellStyle name="Normal 4 2 6 2 2" xfId="20593"/>
    <cellStyle name="Normal 4 2 6 2 2 2" xfId="33682"/>
    <cellStyle name="Normal 4 2 6 2 3" xfId="33683"/>
    <cellStyle name="Normal 4 2 6 3" xfId="20594"/>
    <cellStyle name="Normal 4 2 6 3 2" xfId="33684"/>
    <cellStyle name="Normal 4 2 6 4" xfId="33685"/>
    <cellStyle name="Normal 4 2 7" xfId="20595"/>
    <cellStyle name="Normal 4 2 7 2" xfId="20596"/>
    <cellStyle name="Normal 4 2 7 2 2" xfId="20597"/>
    <cellStyle name="Normal 4 2 7 2 2 2" xfId="33686"/>
    <cellStyle name="Normal 4 2 7 2 3" xfId="33687"/>
    <cellStyle name="Normal 4 2 7 3" xfId="20598"/>
    <cellStyle name="Normal 4 2 7 3 2" xfId="33688"/>
    <cellStyle name="Normal 4 2 7 4" xfId="33689"/>
    <cellStyle name="Normal 4 2 8" xfId="20599"/>
    <cellStyle name="Normal 4 2 8 2" xfId="20600"/>
    <cellStyle name="Normal 4 2 8 2 2" xfId="20601"/>
    <cellStyle name="Normal 4 2 8 2 2 2" xfId="33690"/>
    <cellStyle name="Normal 4 2 8 2 3" xfId="33691"/>
    <cellStyle name="Normal 4 2 8 3" xfId="20602"/>
    <cellStyle name="Normal 4 2 8 3 2" xfId="33692"/>
    <cellStyle name="Normal 4 2 8 4" xfId="33693"/>
    <cellStyle name="Normal 4 2 9" xfId="20603"/>
    <cellStyle name="Normal 4 2 9 2" xfId="20604"/>
    <cellStyle name="Normal 4 2 9 2 2" xfId="33694"/>
    <cellStyle name="Normal 4 2 9 3" xfId="33695"/>
    <cellStyle name="Normal 4 20" xfId="9333"/>
    <cellStyle name="Normal 4 20 2" xfId="20605"/>
    <cellStyle name="Normal 4 20 2 2" xfId="20606"/>
    <cellStyle name="Normal 4 20 2 3" xfId="20607"/>
    <cellStyle name="Normal 4 20 2 4" xfId="20608"/>
    <cellStyle name="Normal 4 20 2 5" xfId="20609"/>
    <cellStyle name="Normal 4 20 2 6" xfId="20610"/>
    <cellStyle name="Normal 4 20 2 7" xfId="20611"/>
    <cellStyle name="Normal 4 20 3" xfId="20612"/>
    <cellStyle name="Normal 4 20 4" xfId="20613"/>
    <cellStyle name="Normal 4 20 5" xfId="20614"/>
    <cellStyle name="Normal 4 20 6" xfId="20615"/>
    <cellStyle name="Normal 4 20 7" xfId="20616"/>
    <cellStyle name="Normal 4 20 8" xfId="20617"/>
    <cellStyle name="Normal 4 20 9" xfId="20618"/>
    <cellStyle name="Normal 4 21" xfId="9334"/>
    <cellStyle name="Normal 4 21 2" xfId="20619"/>
    <cellStyle name="Normal 4 21 2 2" xfId="20620"/>
    <cellStyle name="Normal 4 21 2 3" xfId="20621"/>
    <cellStyle name="Normal 4 21 2 4" xfId="20622"/>
    <cellStyle name="Normal 4 21 2 5" xfId="20623"/>
    <cellStyle name="Normal 4 21 2 6" xfId="20624"/>
    <cellStyle name="Normal 4 21 2 7" xfId="20625"/>
    <cellStyle name="Normal 4 21 3" xfId="20626"/>
    <cellStyle name="Normal 4 21 4" xfId="20627"/>
    <cellStyle name="Normal 4 21 5" xfId="20628"/>
    <cellStyle name="Normal 4 21 6" xfId="20629"/>
    <cellStyle name="Normal 4 21 7" xfId="20630"/>
    <cellStyle name="Normal 4 21 8" xfId="20631"/>
    <cellStyle name="Normal 4 21 9" xfId="20632"/>
    <cellStyle name="Normal 4 22" xfId="9335"/>
    <cellStyle name="Normal 4 22 2" xfId="20633"/>
    <cellStyle name="Normal 4 22 2 2" xfId="20634"/>
    <cellStyle name="Normal 4 22 2 3" xfId="20635"/>
    <cellStyle name="Normal 4 22 2 4" xfId="20636"/>
    <cellStyle name="Normal 4 22 2 5" xfId="20637"/>
    <cellStyle name="Normal 4 22 2 6" xfId="20638"/>
    <cellStyle name="Normal 4 22 2 7" xfId="20639"/>
    <cellStyle name="Normal 4 22 3" xfId="20640"/>
    <cellStyle name="Normal 4 22 4" xfId="20641"/>
    <cellStyle name="Normal 4 22 5" xfId="20642"/>
    <cellStyle name="Normal 4 22 6" xfId="20643"/>
    <cellStyle name="Normal 4 22 7" xfId="20644"/>
    <cellStyle name="Normal 4 22 8" xfId="20645"/>
    <cellStyle name="Normal 4 22 9" xfId="20646"/>
    <cellStyle name="Normal 4 23" xfId="9336"/>
    <cellStyle name="Normal 4 23 2" xfId="20647"/>
    <cellStyle name="Normal 4 23 3" xfId="20648"/>
    <cellStyle name="Normal 4 23 4" xfId="20649"/>
    <cellStyle name="Normal 4 23 5" xfId="20650"/>
    <cellStyle name="Normal 4 23 6" xfId="20651"/>
    <cellStyle name="Normal 4 23 7" xfId="20652"/>
    <cellStyle name="Normal 4 23 8" xfId="20653"/>
    <cellStyle name="Normal 4 24" xfId="9337"/>
    <cellStyle name="Normal 4 24 2" xfId="20654"/>
    <cellStyle name="Normal 4 24 3" xfId="20655"/>
    <cellStyle name="Normal 4 24 4" xfId="20656"/>
    <cellStyle name="Normal 4 24 5" xfId="20657"/>
    <cellStyle name="Normal 4 24 6" xfId="20658"/>
    <cellStyle name="Normal 4 24 7" xfId="20659"/>
    <cellStyle name="Normal 4 24 8" xfId="20660"/>
    <cellStyle name="Normal 4 25" xfId="9338"/>
    <cellStyle name="Normal 4 25 2" xfId="20661"/>
    <cellStyle name="Normal 4 25 3" xfId="20662"/>
    <cellStyle name="Normal 4 25 4" xfId="20663"/>
    <cellStyle name="Normal 4 25 5" xfId="20664"/>
    <cellStyle name="Normal 4 25 6" xfId="20665"/>
    <cellStyle name="Normal 4 25 7" xfId="20666"/>
    <cellStyle name="Normal 4 25 8" xfId="20667"/>
    <cellStyle name="Normal 4 26" xfId="9339"/>
    <cellStyle name="Normal 4 26 2" xfId="20668"/>
    <cellStyle name="Normal 4 26 3" xfId="20669"/>
    <cellStyle name="Normal 4 26 4" xfId="20670"/>
    <cellStyle name="Normal 4 26 5" xfId="20671"/>
    <cellStyle name="Normal 4 26 6" xfId="20672"/>
    <cellStyle name="Normal 4 26 7" xfId="20673"/>
    <cellStyle name="Normal 4 26 8" xfId="20674"/>
    <cellStyle name="Normal 4 27" xfId="9340"/>
    <cellStyle name="Normal 4 27 2" xfId="20675"/>
    <cellStyle name="Normal 4 27 3" xfId="20676"/>
    <cellStyle name="Normal 4 27 4" xfId="20677"/>
    <cellStyle name="Normal 4 27 5" xfId="20678"/>
    <cellStyle name="Normal 4 27 6" xfId="20679"/>
    <cellStyle name="Normal 4 27 7" xfId="20680"/>
    <cellStyle name="Normal 4 27 8" xfId="20681"/>
    <cellStyle name="Normal 4 28" xfId="9341"/>
    <cellStyle name="Normal 4 28 2" xfId="20682"/>
    <cellStyle name="Normal 4 28 3" xfId="20683"/>
    <cellStyle name="Normal 4 28 4" xfId="20684"/>
    <cellStyle name="Normal 4 28 5" xfId="20685"/>
    <cellStyle name="Normal 4 28 6" xfId="20686"/>
    <cellStyle name="Normal 4 28 7" xfId="20687"/>
    <cellStyle name="Normal 4 28 8" xfId="20688"/>
    <cellStyle name="Normal 4 29" xfId="9342"/>
    <cellStyle name="Normal 4 29 2" xfId="20689"/>
    <cellStyle name="Normal 4 29 3" xfId="20690"/>
    <cellStyle name="Normal 4 29 4" xfId="20691"/>
    <cellStyle name="Normal 4 29 5" xfId="20692"/>
    <cellStyle name="Normal 4 29 6" xfId="20693"/>
    <cellStyle name="Normal 4 29 7" xfId="20694"/>
    <cellStyle name="Normal 4 29 8" xfId="20695"/>
    <cellStyle name="Normal 4 3" xfId="9343"/>
    <cellStyle name="Normal 4 3 10" xfId="20696"/>
    <cellStyle name="Normal 4 3 10 2" xfId="20697"/>
    <cellStyle name="Normal 4 3 10 2 2" xfId="33696"/>
    <cellStyle name="Normal 4 3 10 3" xfId="33697"/>
    <cellStyle name="Normal 4 3 11" xfId="20698"/>
    <cellStyle name="Normal 4 3 11 2" xfId="20699"/>
    <cellStyle name="Normal 4 3 11 2 2" xfId="33698"/>
    <cellStyle name="Normal 4 3 11 3" xfId="33699"/>
    <cellStyle name="Normal 4 3 12" xfId="20700"/>
    <cellStyle name="Normal 4 3 12 2" xfId="33700"/>
    <cellStyle name="Normal 4 3 13" xfId="20701"/>
    <cellStyle name="Normal 4 3 14" xfId="20702"/>
    <cellStyle name="Normal 4 3 2" xfId="20703"/>
    <cellStyle name="Normal 4 3 2 2" xfId="20704"/>
    <cellStyle name="Normal 4 3 2 2 2" xfId="20705"/>
    <cellStyle name="Normal 4 3 2 2 2 2" xfId="33701"/>
    <cellStyle name="Normal 4 3 2 2 3" xfId="33702"/>
    <cellStyle name="Normal 4 3 2 3" xfId="20706"/>
    <cellStyle name="Normal 4 3 2 3 2" xfId="33703"/>
    <cellStyle name="Normal 4 3 2 4" xfId="33704"/>
    <cellStyle name="Normal 4 3 2 5" xfId="38926"/>
    <cellStyle name="Normal 4 3 3" xfId="20707"/>
    <cellStyle name="Normal 4 3 3 2" xfId="20708"/>
    <cellStyle name="Normal 4 3 3 2 2" xfId="20709"/>
    <cellStyle name="Normal 4 3 3 2 2 2" xfId="33705"/>
    <cellStyle name="Normal 4 3 3 2 3" xfId="33706"/>
    <cellStyle name="Normal 4 3 3 3" xfId="20710"/>
    <cellStyle name="Normal 4 3 3 3 2" xfId="33707"/>
    <cellStyle name="Normal 4 3 3 4" xfId="33708"/>
    <cellStyle name="Normal 4 3 4" xfId="20711"/>
    <cellStyle name="Normal 4 3 4 2" xfId="20712"/>
    <cellStyle name="Normal 4 3 4 2 2" xfId="20713"/>
    <cellStyle name="Normal 4 3 4 2 2 2" xfId="33709"/>
    <cellStyle name="Normal 4 3 4 2 3" xfId="33710"/>
    <cellStyle name="Normal 4 3 4 3" xfId="20714"/>
    <cellStyle name="Normal 4 3 4 3 2" xfId="33711"/>
    <cellStyle name="Normal 4 3 4 4" xfId="33712"/>
    <cellStyle name="Normal 4 3 5" xfId="20715"/>
    <cellStyle name="Normal 4 3 5 2" xfId="20716"/>
    <cellStyle name="Normal 4 3 5 2 2" xfId="20717"/>
    <cellStyle name="Normal 4 3 5 2 2 2" xfId="33713"/>
    <cellStyle name="Normal 4 3 5 2 3" xfId="33714"/>
    <cellStyle name="Normal 4 3 5 3" xfId="20718"/>
    <cellStyle name="Normal 4 3 5 3 2" xfId="33715"/>
    <cellStyle name="Normal 4 3 5 4" xfId="33716"/>
    <cellStyle name="Normal 4 3 6" xfId="20719"/>
    <cellStyle name="Normal 4 3 6 2" xfId="20720"/>
    <cellStyle name="Normal 4 3 6 2 2" xfId="20721"/>
    <cellStyle name="Normal 4 3 6 2 2 2" xfId="33717"/>
    <cellStyle name="Normal 4 3 6 2 3" xfId="33718"/>
    <cellStyle name="Normal 4 3 6 3" xfId="20722"/>
    <cellStyle name="Normal 4 3 6 3 2" xfId="33719"/>
    <cellStyle name="Normal 4 3 6 4" xfId="33720"/>
    <cellStyle name="Normal 4 3 7" xfId="20723"/>
    <cellStyle name="Normal 4 3 7 2" xfId="20724"/>
    <cellStyle name="Normal 4 3 7 2 2" xfId="20725"/>
    <cellStyle name="Normal 4 3 7 2 2 2" xfId="33721"/>
    <cellStyle name="Normal 4 3 7 2 3" xfId="33722"/>
    <cellStyle name="Normal 4 3 7 3" xfId="20726"/>
    <cellStyle name="Normal 4 3 7 3 2" xfId="33723"/>
    <cellStyle name="Normal 4 3 7 4" xfId="33724"/>
    <cellStyle name="Normal 4 3 8" xfId="20727"/>
    <cellStyle name="Normal 4 3 8 2" xfId="20728"/>
    <cellStyle name="Normal 4 3 8 2 2" xfId="20729"/>
    <cellStyle name="Normal 4 3 8 2 2 2" xfId="33725"/>
    <cellStyle name="Normal 4 3 8 2 3" xfId="33726"/>
    <cellStyle name="Normal 4 3 8 3" xfId="20730"/>
    <cellStyle name="Normal 4 3 8 3 2" xfId="33727"/>
    <cellStyle name="Normal 4 3 8 4" xfId="33728"/>
    <cellStyle name="Normal 4 3 9" xfId="20731"/>
    <cellStyle name="Normal 4 3 9 2" xfId="20732"/>
    <cellStyle name="Normal 4 3 9 2 2" xfId="33729"/>
    <cellStyle name="Normal 4 3 9 3" xfId="33730"/>
    <cellStyle name="Normal 4 30" xfId="9344"/>
    <cellStyle name="Normal 4 30 2" xfId="20733"/>
    <cellStyle name="Normal 4 30 3" xfId="20734"/>
    <cellStyle name="Normal 4 30 4" xfId="20735"/>
    <cellStyle name="Normal 4 30 5" xfId="20736"/>
    <cellStyle name="Normal 4 30 6" xfId="20737"/>
    <cellStyle name="Normal 4 30 7" xfId="20738"/>
    <cellStyle name="Normal 4 30 8" xfId="20739"/>
    <cellStyle name="Normal 4 31" xfId="9345"/>
    <cellStyle name="Normal 4 31 2" xfId="20740"/>
    <cellStyle name="Normal 4 31 3" xfId="20741"/>
    <cellStyle name="Normal 4 31 4" xfId="20742"/>
    <cellStyle name="Normal 4 31 5" xfId="20743"/>
    <cellStyle name="Normal 4 31 6" xfId="20744"/>
    <cellStyle name="Normal 4 31 7" xfId="20745"/>
    <cellStyle name="Normal 4 31 8" xfId="20746"/>
    <cellStyle name="Normal 4 32" xfId="9346"/>
    <cellStyle name="Normal 4 32 2" xfId="20747"/>
    <cellStyle name="Normal 4 32 3" xfId="20748"/>
    <cellStyle name="Normal 4 32 4" xfId="20749"/>
    <cellStyle name="Normal 4 32 5" xfId="20750"/>
    <cellStyle name="Normal 4 32 6" xfId="20751"/>
    <cellStyle name="Normal 4 32 7" xfId="20752"/>
    <cellStyle name="Normal 4 32 8" xfId="20753"/>
    <cellStyle name="Normal 4 33" xfId="9347"/>
    <cellStyle name="Normal 4 33 2" xfId="20754"/>
    <cellStyle name="Normal 4 33 3" xfId="20755"/>
    <cellStyle name="Normal 4 33 4" xfId="20756"/>
    <cellStyle name="Normal 4 33 5" xfId="20757"/>
    <cellStyle name="Normal 4 33 6" xfId="20758"/>
    <cellStyle name="Normal 4 33 7" xfId="20759"/>
    <cellStyle name="Normal 4 33 8" xfId="20760"/>
    <cellStyle name="Normal 4 34" xfId="9348"/>
    <cellStyle name="Normal 4 34 2" xfId="20761"/>
    <cellStyle name="Normal 4 34 3" xfId="20762"/>
    <cellStyle name="Normal 4 34 4" xfId="20763"/>
    <cellStyle name="Normal 4 34 5" xfId="20764"/>
    <cellStyle name="Normal 4 34 6" xfId="20765"/>
    <cellStyle name="Normal 4 34 7" xfId="20766"/>
    <cellStyle name="Normal 4 34 8" xfId="20767"/>
    <cellStyle name="Normal 4 35" xfId="9349"/>
    <cellStyle name="Normal 4 35 2" xfId="20768"/>
    <cellStyle name="Normal 4 35 3" xfId="20769"/>
    <cellStyle name="Normal 4 35 4" xfId="20770"/>
    <cellStyle name="Normal 4 35 5" xfId="20771"/>
    <cellStyle name="Normal 4 35 6" xfId="20772"/>
    <cellStyle name="Normal 4 35 7" xfId="20773"/>
    <cellStyle name="Normal 4 35 8" xfId="20774"/>
    <cellStyle name="Normal 4 36" xfId="9350"/>
    <cellStyle name="Normal 4 36 2" xfId="20775"/>
    <cellStyle name="Normal 4 36 3" xfId="20776"/>
    <cellStyle name="Normal 4 36 4" xfId="20777"/>
    <cellStyle name="Normal 4 36 5" xfId="20778"/>
    <cellStyle name="Normal 4 36 6" xfId="20779"/>
    <cellStyle name="Normal 4 36 7" xfId="20780"/>
    <cellStyle name="Normal 4 36 8" xfId="20781"/>
    <cellStyle name="Normal 4 37" xfId="9351"/>
    <cellStyle name="Normal 4 37 2" xfId="20782"/>
    <cellStyle name="Normal 4 37 3" xfId="20783"/>
    <cellStyle name="Normal 4 37 4" xfId="20784"/>
    <cellStyle name="Normal 4 37 5" xfId="20785"/>
    <cellStyle name="Normal 4 37 6" xfId="20786"/>
    <cellStyle name="Normal 4 37 7" xfId="20787"/>
    <cellStyle name="Normal 4 37 8" xfId="20788"/>
    <cellStyle name="Normal 4 38" xfId="9352"/>
    <cellStyle name="Normal 4 38 2" xfId="20789"/>
    <cellStyle name="Normal 4 38 3" xfId="20790"/>
    <cellStyle name="Normal 4 38 4" xfId="20791"/>
    <cellStyle name="Normal 4 38 5" xfId="20792"/>
    <cellStyle name="Normal 4 38 6" xfId="20793"/>
    <cellStyle name="Normal 4 38 7" xfId="20794"/>
    <cellStyle name="Normal 4 38 8" xfId="20795"/>
    <cellStyle name="Normal 4 39" xfId="9353"/>
    <cellStyle name="Normal 4 39 2" xfId="20796"/>
    <cellStyle name="Normal 4 39 3" xfId="20797"/>
    <cellStyle name="Normal 4 39 4" xfId="20798"/>
    <cellStyle name="Normal 4 39 5" xfId="20799"/>
    <cellStyle name="Normal 4 39 6" xfId="20800"/>
    <cellStyle name="Normal 4 39 7" xfId="20801"/>
    <cellStyle name="Normal 4 39 8" xfId="20802"/>
    <cellStyle name="Normal 4 4" xfId="9354"/>
    <cellStyle name="Normal 4 4 2" xfId="20803"/>
    <cellStyle name="Normal 4 4 2 2" xfId="33731"/>
    <cellStyle name="Normal 4 4 2 3" xfId="38927"/>
    <cellStyle name="Normal 4 4 3" xfId="20804"/>
    <cellStyle name="Normal 4 4 4" xfId="20805"/>
    <cellStyle name="Normal 4 40" xfId="9355"/>
    <cellStyle name="Normal 4 40 2" xfId="20806"/>
    <cellStyle name="Normal 4 40 3" xfId="20807"/>
    <cellStyle name="Normal 4 40 4" xfId="20808"/>
    <cellStyle name="Normal 4 40 5" xfId="20809"/>
    <cellStyle name="Normal 4 40 6" xfId="20810"/>
    <cellStyle name="Normal 4 40 7" xfId="20811"/>
    <cellStyle name="Normal 4 40 8" xfId="20812"/>
    <cellStyle name="Normal 4 41" xfId="9356"/>
    <cellStyle name="Normal 4 41 2" xfId="20813"/>
    <cellStyle name="Normal 4 41 3" xfId="20814"/>
    <cellStyle name="Normal 4 41 4" xfId="20815"/>
    <cellStyle name="Normal 4 41 5" xfId="20816"/>
    <cellStyle name="Normal 4 41 6" xfId="20817"/>
    <cellStyle name="Normal 4 41 7" xfId="20818"/>
    <cellStyle name="Normal 4 41 8" xfId="20819"/>
    <cellStyle name="Normal 4 42" xfId="9357"/>
    <cellStyle name="Normal 4 42 2" xfId="20820"/>
    <cellStyle name="Normal 4 42 3" xfId="20821"/>
    <cellStyle name="Normal 4 42 4" xfId="20822"/>
    <cellStyle name="Normal 4 42 5" xfId="20823"/>
    <cellStyle name="Normal 4 42 6" xfId="20824"/>
    <cellStyle name="Normal 4 42 7" xfId="20825"/>
    <cellStyle name="Normal 4 42 8" xfId="20826"/>
    <cellStyle name="Normal 4 43" xfId="9358"/>
    <cellStyle name="Normal 4 43 2" xfId="20827"/>
    <cellStyle name="Normal 4 44" xfId="9359"/>
    <cellStyle name="Normal 4 44 2" xfId="20828"/>
    <cellStyle name="Normal 4 45" xfId="9360"/>
    <cellStyle name="Normal 4 45 2" xfId="20829"/>
    <cellStyle name="Normal 4 46" xfId="9361"/>
    <cellStyle name="Normal 4 46 2" xfId="20830"/>
    <cellStyle name="Normal 4 47" xfId="9362"/>
    <cellStyle name="Normal 4 47 2" xfId="20831"/>
    <cellStyle name="Normal 4 48" xfId="9363"/>
    <cellStyle name="Normal 4 48 2" xfId="20832"/>
    <cellStyle name="Normal 4 49" xfId="9364"/>
    <cellStyle name="Normal 4 49 2" xfId="20833"/>
    <cellStyle name="Normal 4 5" xfId="9365"/>
    <cellStyle name="Normal 4 5 2" xfId="20834"/>
    <cellStyle name="Normal 4 5 2 2" xfId="38928"/>
    <cellStyle name="Normal 4 5 3" xfId="20835"/>
    <cellStyle name="Normal 4 50" xfId="9366"/>
    <cellStyle name="Normal 4 50 2" xfId="20836"/>
    <cellStyle name="Normal 4 51" xfId="9367"/>
    <cellStyle name="Normal 4 52" xfId="9368"/>
    <cellStyle name="Normal 4 53" xfId="9369"/>
    <cellStyle name="Normal 4 54" xfId="9370"/>
    <cellStyle name="Normal 4 55" xfId="9371"/>
    <cellStyle name="Normal 4 56" xfId="9372"/>
    <cellStyle name="Normal 4 57" xfId="9373"/>
    <cellStyle name="Normal 4 58" xfId="9374"/>
    <cellStyle name="Normal 4 59" xfId="9375"/>
    <cellStyle name="Normal 4 6" xfId="9376"/>
    <cellStyle name="Normal 4 6 2" xfId="20837"/>
    <cellStyle name="Normal 4 6 2 2" xfId="33732"/>
    <cellStyle name="Normal 4 60" xfId="9377"/>
    <cellStyle name="Normal 4 61" xfId="9378"/>
    <cellStyle name="Normal 4 62" xfId="9379"/>
    <cellStyle name="Normal 4 63" xfId="9321"/>
    <cellStyle name="Normal 4 64" xfId="38929"/>
    <cellStyle name="Normal 4 65" xfId="33525"/>
    <cellStyle name="Normal 4 65 2" xfId="38930"/>
    <cellStyle name="Normal 4 65 2 2" xfId="40958"/>
    <cellStyle name="Normal 4 65 2 2 3" xfId="40967"/>
    <cellStyle name="Normal 4 65 2 2 3 3" xfId="40988"/>
    <cellStyle name="Normal 4 65 2 2 3 3 2" xfId="40990"/>
    <cellStyle name="Normal 4 65 3" xfId="40965"/>
    <cellStyle name="Normal 4 65 3 4 2" xfId="40992"/>
    <cellStyle name="Normal 4 65 3 5" xfId="40997"/>
    <cellStyle name="Normal 4 65 3 5 2" xfId="41000"/>
    <cellStyle name="Normal 4 65 3 5 2 2" xfId="41008"/>
    <cellStyle name="Normal 4 65 3 5 2 2 2" xfId="41016"/>
    <cellStyle name="Normal 4 65 3 5 2 3" xfId="41014"/>
    <cellStyle name="Normal 4 7" xfId="9380"/>
    <cellStyle name="Normal 4 7 2" xfId="20838"/>
    <cellStyle name="Normal 4 8" xfId="9381"/>
    <cellStyle name="Normal 4 8 2" xfId="20839"/>
    <cellStyle name="Normal 4 9" xfId="9382"/>
    <cellStyle name="Normal 4 9 2" xfId="20840"/>
    <cellStyle name="Normal 4 9 2 2" xfId="20841"/>
    <cellStyle name="Normal 4 9 2 3" xfId="20842"/>
    <cellStyle name="Normal 4 9 2 4" xfId="20843"/>
    <cellStyle name="Normal 4 9 2 5" xfId="20844"/>
    <cellStyle name="Normal 4 9 2 6" xfId="20845"/>
    <cellStyle name="Normal 4 9 2 7" xfId="20846"/>
    <cellStyle name="Normal 4 9 3" xfId="20847"/>
    <cellStyle name="Normal 4 9 4" xfId="20848"/>
    <cellStyle name="Normal 4 9 5" xfId="20849"/>
    <cellStyle name="Normal 4 9 6" xfId="20850"/>
    <cellStyle name="Normal 4 9 7" xfId="20851"/>
    <cellStyle name="Normal 4 9 8" xfId="20852"/>
    <cellStyle name="Normal 4 9 9" xfId="20853"/>
    <cellStyle name="Normal 4_01-04-2012" xfId="9383"/>
    <cellStyle name="Normal 40" xfId="9384"/>
    <cellStyle name="Normal 40 10" xfId="9385"/>
    <cellStyle name="Normal 40 10 2" xfId="9386"/>
    <cellStyle name="Normal 40 10 2 2" xfId="38931"/>
    <cellStyle name="Normal 40 10 3" xfId="9387"/>
    <cellStyle name="Normal 40 10 3 2" xfId="38932"/>
    <cellStyle name="Normal 40 10 4" xfId="9388"/>
    <cellStyle name="Normal 40 10 4 2" xfId="38933"/>
    <cellStyle name="Normal 40 10 5" xfId="38934"/>
    <cellStyle name="Normal 40 10_01-04-2012" xfId="9389"/>
    <cellStyle name="Normal 40 11" xfId="9390"/>
    <cellStyle name="Normal 40 11 2" xfId="9391"/>
    <cellStyle name="Normal 40 11 2 2" xfId="38935"/>
    <cellStyle name="Normal 40 11 3" xfId="9392"/>
    <cellStyle name="Normal 40 11 3 2" xfId="38936"/>
    <cellStyle name="Normal 40 11 4" xfId="9393"/>
    <cellStyle name="Normal 40 11 4 2" xfId="38937"/>
    <cellStyle name="Normal 40 11 5" xfId="38938"/>
    <cellStyle name="Normal 40 11_01-04-2012" xfId="9394"/>
    <cellStyle name="Normal 40 12" xfId="9395"/>
    <cellStyle name="Normal 40 12 2" xfId="9396"/>
    <cellStyle name="Normal 40 12 2 2" xfId="38939"/>
    <cellStyle name="Normal 40 12 3" xfId="9397"/>
    <cellStyle name="Normal 40 12 3 2" xfId="38940"/>
    <cellStyle name="Normal 40 12 4" xfId="9398"/>
    <cellStyle name="Normal 40 12 4 2" xfId="38941"/>
    <cellStyle name="Normal 40 12 5" xfId="38942"/>
    <cellStyle name="Normal 40 12_01-04-2012" xfId="9399"/>
    <cellStyle name="Normal 40 13" xfId="9400"/>
    <cellStyle name="Normal 40 13 2" xfId="9401"/>
    <cellStyle name="Normal 40 13 2 2" xfId="38943"/>
    <cellStyle name="Normal 40 13 3" xfId="9402"/>
    <cellStyle name="Normal 40 13 3 2" xfId="38944"/>
    <cellStyle name="Normal 40 13 4" xfId="9403"/>
    <cellStyle name="Normal 40 13 4 2" xfId="38945"/>
    <cellStyle name="Normal 40 13 5" xfId="38946"/>
    <cellStyle name="Normal 40 13_01-04-2012" xfId="9404"/>
    <cellStyle name="Normal 40 14" xfId="9405"/>
    <cellStyle name="Normal 40 14 2" xfId="9406"/>
    <cellStyle name="Normal 40 14 2 2" xfId="38947"/>
    <cellStyle name="Normal 40 14 3" xfId="9407"/>
    <cellStyle name="Normal 40 14 3 2" xfId="38948"/>
    <cellStyle name="Normal 40 14 4" xfId="9408"/>
    <cellStyle name="Normal 40 14 4 2" xfId="38949"/>
    <cellStyle name="Normal 40 14 5" xfId="38950"/>
    <cellStyle name="Normal 40 14_01-04-2012" xfId="9409"/>
    <cellStyle name="Normal 40 15" xfId="9410"/>
    <cellStyle name="Normal 40 15 2" xfId="9411"/>
    <cellStyle name="Normal 40 15 2 2" xfId="38951"/>
    <cellStyle name="Normal 40 15 3" xfId="9412"/>
    <cellStyle name="Normal 40 15 3 2" xfId="38952"/>
    <cellStyle name="Normal 40 15 4" xfId="9413"/>
    <cellStyle name="Normal 40 15 4 2" xfId="38953"/>
    <cellStyle name="Normal 40 15 5" xfId="38954"/>
    <cellStyle name="Normal 40 15_01-04-2012" xfId="9414"/>
    <cellStyle name="Normal 40 16" xfId="9415"/>
    <cellStyle name="Normal 40 16 2" xfId="9416"/>
    <cellStyle name="Normal 40 16 2 2" xfId="38955"/>
    <cellStyle name="Normal 40 16 3" xfId="9417"/>
    <cellStyle name="Normal 40 16 3 2" xfId="38956"/>
    <cellStyle name="Normal 40 16 4" xfId="9418"/>
    <cellStyle name="Normal 40 16 4 2" xfId="38957"/>
    <cellStyle name="Normal 40 16 5" xfId="38958"/>
    <cellStyle name="Normal 40 16_01-04-2012" xfId="9419"/>
    <cellStyle name="Normal 40 17" xfId="9420"/>
    <cellStyle name="Normal 40 17 2" xfId="9421"/>
    <cellStyle name="Normal 40 17 2 2" xfId="38959"/>
    <cellStyle name="Normal 40 17 3" xfId="9422"/>
    <cellStyle name="Normal 40 17 3 2" xfId="38960"/>
    <cellStyle name="Normal 40 17 4" xfId="9423"/>
    <cellStyle name="Normal 40 17 4 2" xfId="38961"/>
    <cellStyle name="Normal 40 17 5" xfId="38962"/>
    <cellStyle name="Normal 40 17_01-04-2012" xfId="9424"/>
    <cellStyle name="Normal 40 18" xfId="9425"/>
    <cellStyle name="Normal 40 18 2" xfId="9426"/>
    <cellStyle name="Normal 40 18 2 2" xfId="38963"/>
    <cellStyle name="Normal 40 18 3" xfId="9427"/>
    <cellStyle name="Normal 40 18 3 2" xfId="38964"/>
    <cellStyle name="Normal 40 18 4" xfId="9428"/>
    <cellStyle name="Normal 40 18 4 2" xfId="38965"/>
    <cellStyle name="Normal 40 18 5" xfId="38966"/>
    <cellStyle name="Normal 40 18_01-04-2012" xfId="9429"/>
    <cellStyle name="Normal 40 19" xfId="9430"/>
    <cellStyle name="Normal 40 19 2" xfId="9431"/>
    <cellStyle name="Normal 40 19 2 2" xfId="38967"/>
    <cellStyle name="Normal 40 19 3" xfId="9432"/>
    <cellStyle name="Normal 40 19 3 2" xfId="38968"/>
    <cellStyle name="Normal 40 19 4" xfId="9433"/>
    <cellStyle name="Normal 40 19 4 2" xfId="38969"/>
    <cellStyle name="Normal 40 19 5" xfId="38970"/>
    <cellStyle name="Normal 40 19_01-04-2012" xfId="9434"/>
    <cellStyle name="Normal 40 2" xfId="9435"/>
    <cellStyle name="Normal 40 2 2" xfId="9436"/>
    <cellStyle name="Normal 40 2 2 2" xfId="33734"/>
    <cellStyle name="Normal 40 2 2 2 2" xfId="38971"/>
    <cellStyle name="Normal 40 2 3" xfId="9437"/>
    <cellStyle name="Normal 40 2 3 2" xfId="38972"/>
    <cellStyle name="Normal 40 2 4" xfId="9438"/>
    <cellStyle name="Normal 40 2 4 2" xfId="38973"/>
    <cellStyle name="Normal 40 2 5" xfId="20854"/>
    <cellStyle name="Normal 40 2 5 2" xfId="38974"/>
    <cellStyle name="Normal 40 2_01-04-2012" xfId="9439"/>
    <cellStyle name="Normal 40 20" xfId="9440"/>
    <cellStyle name="Normal 40 20 2" xfId="9441"/>
    <cellStyle name="Normal 40 20 2 2" xfId="38975"/>
    <cellStyle name="Normal 40 20 3" xfId="9442"/>
    <cellStyle name="Normal 40 20 3 2" xfId="38976"/>
    <cellStyle name="Normal 40 20 4" xfId="9443"/>
    <cellStyle name="Normal 40 20 4 2" xfId="38977"/>
    <cellStyle name="Normal 40 20 5" xfId="38978"/>
    <cellStyle name="Normal 40 20_01-04-2012" xfId="9444"/>
    <cellStyle name="Normal 40 21" xfId="9445"/>
    <cellStyle name="Normal 40 21 2" xfId="9446"/>
    <cellStyle name="Normal 40 21 2 2" xfId="38979"/>
    <cellStyle name="Normal 40 21 3" xfId="9447"/>
    <cellStyle name="Normal 40 21 3 2" xfId="38980"/>
    <cellStyle name="Normal 40 21 4" xfId="9448"/>
    <cellStyle name="Normal 40 21 4 2" xfId="38981"/>
    <cellStyle name="Normal 40 21 5" xfId="38982"/>
    <cellStyle name="Normal 40 21_01-04-2012" xfId="9449"/>
    <cellStyle name="Normal 40 22" xfId="9450"/>
    <cellStyle name="Normal 40 22 2" xfId="9451"/>
    <cellStyle name="Normal 40 22 2 2" xfId="38983"/>
    <cellStyle name="Normal 40 22 3" xfId="9452"/>
    <cellStyle name="Normal 40 22 3 2" xfId="38984"/>
    <cellStyle name="Normal 40 22 4" xfId="9453"/>
    <cellStyle name="Normal 40 22 4 2" xfId="38985"/>
    <cellStyle name="Normal 40 22 5" xfId="38986"/>
    <cellStyle name="Normal 40 22_01-04-2012" xfId="9454"/>
    <cellStyle name="Normal 40 23" xfId="9455"/>
    <cellStyle name="Normal 40 23 2" xfId="9456"/>
    <cellStyle name="Normal 40 23 2 2" xfId="38987"/>
    <cellStyle name="Normal 40 23 3" xfId="9457"/>
    <cellStyle name="Normal 40 23 3 2" xfId="38988"/>
    <cellStyle name="Normal 40 23 4" xfId="9458"/>
    <cellStyle name="Normal 40 23 4 2" xfId="38989"/>
    <cellStyle name="Normal 40 23 5" xfId="38990"/>
    <cellStyle name="Normal 40 23_01-04-2012" xfId="9459"/>
    <cellStyle name="Normal 40 24" xfId="9460"/>
    <cellStyle name="Normal 40 24 2" xfId="9461"/>
    <cellStyle name="Normal 40 24 2 2" xfId="38991"/>
    <cellStyle name="Normal 40 24 3" xfId="9462"/>
    <cellStyle name="Normal 40 24 3 2" xfId="38992"/>
    <cellStyle name="Normal 40 24 4" xfId="9463"/>
    <cellStyle name="Normal 40 24 4 2" xfId="38993"/>
    <cellStyle name="Normal 40 24 5" xfId="38994"/>
    <cellStyle name="Normal 40 24_01-04-2012" xfId="9464"/>
    <cellStyle name="Normal 40 25" xfId="9465"/>
    <cellStyle name="Normal 40 25 2" xfId="9466"/>
    <cellStyle name="Normal 40 25 2 2" xfId="38995"/>
    <cellStyle name="Normal 40 25 3" xfId="9467"/>
    <cellStyle name="Normal 40 25 3 2" xfId="38996"/>
    <cellStyle name="Normal 40 25 4" xfId="9468"/>
    <cellStyle name="Normal 40 25 4 2" xfId="38997"/>
    <cellStyle name="Normal 40 25 5" xfId="38998"/>
    <cellStyle name="Normal 40 25_01-04-2012" xfId="9469"/>
    <cellStyle name="Normal 40 26" xfId="9470"/>
    <cellStyle name="Normal 40 26 2" xfId="9471"/>
    <cellStyle name="Normal 40 26 2 2" xfId="38999"/>
    <cellStyle name="Normal 40 26 3" xfId="9472"/>
    <cellStyle name="Normal 40 26 3 2" xfId="39000"/>
    <cellStyle name="Normal 40 26 4" xfId="9473"/>
    <cellStyle name="Normal 40 26 4 2" xfId="39001"/>
    <cellStyle name="Normal 40 26 5" xfId="39002"/>
    <cellStyle name="Normal 40 26_01-04-2012" xfId="9474"/>
    <cellStyle name="Normal 40 27" xfId="9475"/>
    <cellStyle name="Normal 40 27 2" xfId="9476"/>
    <cellStyle name="Normal 40 27 2 2" xfId="39003"/>
    <cellStyle name="Normal 40 27 3" xfId="9477"/>
    <cellStyle name="Normal 40 27 3 2" xfId="39004"/>
    <cellStyle name="Normal 40 27 4" xfId="9478"/>
    <cellStyle name="Normal 40 27 4 2" xfId="39005"/>
    <cellStyle name="Normal 40 27 5" xfId="39006"/>
    <cellStyle name="Normal 40 27_01-04-2012" xfId="9479"/>
    <cellStyle name="Normal 40 28" xfId="9480"/>
    <cellStyle name="Normal 40 28 2" xfId="9481"/>
    <cellStyle name="Normal 40 28 2 2" xfId="39007"/>
    <cellStyle name="Normal 40 28 3" xfId="9482"/>
    <cellStyle name="Normal 40 28 3 2" xfId="39008"/>
    <cellStyle name="Normal 40 28 4" xfId="9483"/>
    <cellStyle name="Normal 40 28 4 2" xfId="39009"/>
    <cellStyle name="Normal 40 28 5" xfId="39010"/>
    <cellStyle name="Normal 40 28_01-04-2012" xfId="9484"/>
    <cellStyle name="Normal 40 29" xfId="9485"/>
    <cellStyle name="Normal 40 29 2" xfId="9486"/>
    <cellStyle name="Normal 40 29 2 2" xfId="39011"/>
    <cellStyle name="Normal 40 29 3" xfId="9487"/>
    <cellStyle name="Normal 40 29 3 2" xfId="39012"/>
    <cellStyle name="Normal 40 29 4" xfId="9488"/>
    <cellStyle name="Normal 40 29 4 2" xfId="39013"/>
    <cellStyle name="Normal 40 29 5" xfId="39014"/>
    <cellStyle name="Normal 40 29_01-04-2012" xfId="9489"/>
    <cellStyle name="Normal 40 3" xfId="9490"/>
    <cellStyle name="Normal 40 3 2" xfId="9491"/>
    <cellStyle name="Normal 40 3 2 2" xfId="39015"/>
    <cellStyle name="Normal 40 3 3" xfId="9492"/>
    <cellStyle name="Normal 40 3 3 2" xfId="39016"/>
    <cellStyle name="Normal 40 3 4" xfId="9493"/>
    <cellStyle name="Normal 40 3 4 2" xfId="39017"/>
    <cellStyle name="Normal 40 3 5" xfId="20855"/>
    <cellStyle name="Normal 40 3 5 2" xfId="39018"/>
    <cellStyle name="Normal 40 3_01-04-2012" xfId="9494"/>
    <cellStyle name="Normal 40 30" xfId="9495"/>
    <cellStyle name="Normal 40 30 2" xfId="9496"/>
    <cellStyle name="Normal 40 30 2 2" xfId="39019"/>
    <cellStyle name="Normal 40 30 3" xfId="9497"/>
    <cellStyle name="Normal 40 30 3 2" xfId="39020"/>
    <cellStyle name="Normal 40 30 4" xfId="9498"/>
    <cellStyle name="Normal 40 30 4 2" xfId="39021"/>
    <cellStyle name="Normal 40 30 5" xfId="39022"/>
    <cellStyle name="Normal 40 30_01-04-2012" xfId="9499"/>
    <cellStyle name="Normal 40 31" xfId="9500"/>
    <cellStyle name="Normal 40 31 2" xfId="9501"/>
    <cellStyle name="Normal 40 31 2 2" xfId="39023"/>
    <cellStyle name="Normal 40 31 3" xfId="9502"/>
    <cellStyle name="Normal 40 31 3 2" xfId="39024"/>
    <cellStyle name="Normal 40 31 4" xfId="9503"/>
    <cellStyle name="Normal 40 31 4 2" xfId="39025"/>
    <cellStyle name="Normal 40 31 5" xfId="39026"/>
    <cellStyle name="Normal 40 31_01-04-2012" xfId="9504"/>
    <cellStyle name="Normal 40 32" xfId="9505"/>
    <cellStyle name="Normal 40 32 2" xfId="9506"/>
    <cellStyle name="Normal 40 32 2 2" xfId="39027"/>
    <cellStyle name="Normal 40 32 3" xfId="9507"/>
    <cellStyle name="Normal 40 32 3 2" xfId="39028"/>
    <cellStyle name="Normal 40 32 4" xfId="9508"/>
    <cellStyle name="Normal 40 32 4 2" xfId="39029"/>
    <cellStyle name="Normal 40 32 5" xfId="39030"/>
    <cellStyle name="Normal 40 32_01-04-2012" xfId="9509"/>
    <cellStyle name="Normal 40 33" xfId="9510"/>
    <cellStyle name="Normal 40 33 2" xfId="9511"/>
    <cellStyle name="Normal 40 33 2 2" xfId="39031"/>
    <cellStyle name="Normal 40 33 3" xfId="9512"/>
    <cellStyle name="Normal 40 33 3 2" xfId="39032"/>
    <cellStyle name="Normal 40 33 4" xfId="9513"/>
    <cellStyle name="Normal 40 33 4 2" xfId="39033"/>
    <cellStyle name="Normal 40 33 5" xfId="39034"/>
    <cellStyle name="Normal 40 33_01-04-2012" xfId="9514"/>
    <cellStyle name="Normal 40 34" xfId="9515"/>
    <cellStyle name="Normal 40 34 2" xfId="9516"/>
    <cellStyle name="Normal 40 34 2 2" xfId="39035"/>
    <cellStyle name="Normal 40 34 3" xfId="9517"/>
    <cellStyle name="Normal 40 34 3 2" xfId="39036"/>
    <cellStyle name="Normal 40 34 4" xfId="9518"/>
    <cellStyle name="Normal 40 34 4 2" xfId="39037"/>
    <cellStyle name="Normal 40 34 5" xfId="39038"/>
    <cellStyle name="Normal 40 34_01-04-2012" xfId="9519"/>
    <cellStyle name="Normal 40 35" xfId="9520"/>
    <cellStyle name="Normal 40 35 2" xfId="9521"/>
    <cellStyle name="Normal 40 35 2 2" xfId="39039"/>
    <cellStyle name="Normal 40 35 3" xfId="9522"/>
    <cellStyle name="Normal 40 35 3 2" xfId="39040"/>
    <cellStyle name="Normal 40 35 4" xfId="9523"/>
    <cellStyle name="Normal 40 35 4 2" xfId="39041"/>
    <cellStyle name="Normal 40 35 5" xfId="39042"/>
    <cellStyle name="Normal 40 35_01-04-2012" xfId="9524"/>
    <cellStyle name="Normal 40 36" xfId="9525"/>
    <cellStyle name="Normal 40 36 2" xfId="9526"/>
    <cellStyle name="Normal 40 36 2 2" xfId="39043"/>
    <cellStyle name="Normal 40 36 3" xfId="9527"/>
    <cellStyle name="Normal 40 36 3 2" xfId="39044"/>
    <cellStyle name="Normal 40 36 4" xfId="9528"/>
    <cellStyle name="Normal 40 36 4 2" xfId="39045"/>
    <cellStyle name="Normal 40 36 5" xfId="39046"/>
    <cellStyle name="Normal 40 36_01-04-2012" xfId="9529"/>
    <cellStyle name="Normal 40 37" xfId="9530"/>
    <cellStyle name="Normal 40 37 2" xfId="9531"/>
    <cellStyle name="Normal 40 37 2 2" xfId="39047"/>
    <cellStyle name="Normal 40 37 3" xfId="9532"/>
    <cellStyle name="Normal 40 37 3 2" xfId="39048"/>
    <cellStyle name="Normal 40 37 4" xfId="9533"/>
    <cellStyle name="Normal 40 37 4 2" xfId="39049"/>
    <cellStyle name="Normal 40 37 5" xfId="39050"/>
    <cellStyle name="Normal 40 37_01-04-2012" xfId="9534"/>
    <cellStyle name="Normal 40 38" xfId="9535"/>
    <cellStyle name="Normal 40 38 2" xfId="39051"/>
    <cellStyle name="Normal 40 39" xfId="9536"/>
    <cellStyle name="Normal 40 39 2" xfId="39052"/>
    <cellStyle name="Normal 40 4" xfId="9537"/>
    <cellStyle name="Normal 40 4 2" xfId="9538"/>
    <cellStyle name="Normal 40 4 2 2" xfId="39053"/>
    <cellStyle name="Normal 40 4 3" xfId="9539"/>
    <cellStyle name="Normal 40 4 3 2" xfId="39054"/>
    <cellStyle name="Normal 40 4 4" xfId="9540"/>
    <cellStyle name="Normal 40 4 4 2" xfId="39055"/>
    <cellStyle name="Normal 40 4 5" xfId="39056"/>
    <cellStyle name="Normal 40 4_01-04-2012" xfId="9541"/>
    <cellStyle name="Normal 40 40" xfId="9542"/>
    <cellStyle name="Normal 40 40 2" xfId="39057"/>
    <cellStyle name="Normal 40 41" xfId="20856"/>
    <cellStyle name="Normal 40 41 2" xfId="39058"/>
    <cellStyle name="Normal 40 42" xfId="20857"/>
    <cellStyle name="Normal 40 43" xfId="20858"/>
    <cellStyle name="Normal 40 44" xfId="20859"/>
    <cellStyle name="Normal 40 45" xfId="20860"/>
    <cellStyle name="Normal 40 46" xfId="20861"/>
    <cellStyle name="Normal 40 47" xfId="33733"/>
    <cellStyle name="Normal 40 5" xfId="9543"/>
    <cellStyle name="Normal 40 5 2" xfId="9544"/>
    <cellStyle name="Normal 40 5 2 2" xfId="39059"/>
    <cellStyle name="Normal 40 5 3" xfId="9545"/>
    <cellStyle name="Normal 40 5 3 2" xfId="39060"/>
    <cellStyle name="Normal 40 5 4" xfId="9546"/>
    <cellStyle name="Normal 40 5 4 2" xfId="39061"/>
    <cellStyle name="Normal 40 5 5" xfId="39062"/>
    <cellStyle name="Normal 40 5_01-04-2012" xfId="9547"/>
    <cellStyle name="Normal 40 6" xfId="9548"/>
    <cellStyle name="Normal 40 6 2" xfId="9549"/>
    <cellStyle name="Normal 40 6 2 2" xfId="39063"/>
    <cellStyle name="Normal 40 6 3" xfId="9550"/>
    <cellStyle name="Normal 40 6 3 2" xfId="39064"/>
    <cellStyle name="Normal 40 6 4" xfId="9551"/>
    <cellStyle name="Normal 40 6 4 2" xfId="39065"/>
    <cellStyle name="Normal 40 6 5" xfId="39066"/>
    <cellStyle name="Normal 40 6_01-04-2012" xfId="9552"/>
    <cellStyle name="Normal 40 7" xfId="9553"/>
    <cellStyle name="Normal 40 7 2" xfId="9554"/>
    <cellStyle name="Normal 40 7 2 2" xfId="39067"/>
    <cellStyle name="Normal 40 7 3" xfId="9555"/>
    <cellStyle name="Normal 40 7 3 2" xfId="39068"/>
    <cellStyle name="Normal 40 7 4" xfId="9556"/>
    <cellStyle name="Normal 40 7 4 2" xfId="39069"/>
    <cellStyle name="Normal 40 7 5" xfId="39070"/>
    <cellStyle name="Normal 40 7_01-04-2012" xfId="9557"/>
    <cellStyle name="Normal 40 8" xfId="9558"/>
    <cellStyle name="Normal 40 8 2" xfId="9559"/>
    <cellStyle name="Normal 40 8 2 2" xfId="39071"/>
    <cellStyle name="Normal 40 8 3" xfId="9560"/>
    <cellStyle name="Normal 40 8 3 2" xfId="39072"/>
    <cellStyle name="Normal 40 8 4" xfId="9561"/>
    <cellStyle name="Normal 40 8 4 2" xfId="39073"/>
    <cellStyle name="Normal 40 8 5" xfId="39074"/>
    <cellStyle name="Normal 40 8_01-04-2012" xfId="9562"/>
    <cellStyle name="Normal 40 9" xfId="9563"/>
    <cellStyle name="Normal 40 9 2" xfId="9564"/>
    <cellStyle name="Normal 40 9 2 2" xfId="39075"/>
    <cellStyle name="Normal 40 9 3" xfId="9565"/>
    <cellStyle name="Normal 40 9 3 2" xfId="39076"/>
    <cellStyle name="Normal 40 9 4" xfId="9566"/>
    <cellStyle name="Normal 40 9 4 2" xfId="39077"/>
    <cellStyle name="Normal 40 9 5" xfId="39078"/>
    <cellStyle name="Normal 40 9_01-04-2012" xfId="9567"/>
    <cellStyle name="Normal 40_01-04-2012" xfId="9568"/>
    <cellStyle name="Normal 400" xfId="20862"/>
    <cellStyle name="Normal 401" xfId="20863"/>
    <cellStyle name="Normal 402" xfId="20864"/>
    <cellStyle name="Normal 403" xfId="20865"/>
    <cellStyle name="Normal 404" xfId="20866"/>
    <cellStyle name="Normal 405" xfId="20867"/>
    <cellStyle name="Normal 406" xfId="20868"/>
    <cellStyle name="Normal 407" xfId="20869"/>
    <cellStyle name="Normal 408" xfId="20870"/>
    <cellStyle name="Normal 409" xfId="20871"/>
    <cellStyle name="Normal 41" xfId="9569"/>
    <cellStyle name="Normal 41 10" xfId="9570"/>
    <cellStyle name="Normal 41 10 2" xfId="9571"/>
    <cellStyle name="Normal 41 10 2 2" xfId="39079"/>
    <cellStyle name="Normal 41 10 3" xfId="9572"/>
    <cellStyle name="Normal 41 10 3 2" xfId="39080"/>
    <cellStyle name="Normal 41 10 4" xfId="9573"/>
    <cellStyle name="Normal 41 10 4 2" xfId="39081"/>
    <cellStyle name="Normal 41 10 5" xfId="39082"/>
    <cellStyle name="Normal 41 10_01-04-2012" xfId="9574"/>
    <cellStyle name="Normal 41 11" xfId="9575"/>
    <cellStyle name="Normal 41 11 2" xfId="9576"/>
    <cellStyle name="Normal 41 11 2 2" xfId="39083"/>
    <cellStyle name="Normal 41 11 3" xfId="9577"/>
    <cellStyle name="Normal 41 11 3 2" xfId="39084"/>
    <cellStyle name="Normal 41 11 4" xfId="9578"/>
    <cellStyle name="Normal 41 11 4 2" xfId="39085"/>
    <cellStyle name="Normal 41 11 5" xfId="39086"/>
    <cellStyle name="Normal 41 11_01-04-2012" xfId="9579"/>
    <cellStyle name="Normal 41 12" xfId="9580"/>
    <cellStyle name="Normal 41 12 2" xfId="9581"/>
    <cellStyle name="Normal 41 12 2 2" xfId="39087"/>
    <cellStyle name="Normal 41 12 3" xfId="9582"/>
    <cellStyle name="Normal 41 12 3 2" xfId="39088"/>
    <cellStyle name="Normal 41 12 4" xfId="9583"/>
    <cellStyle name="Normal 41 12 4 2" xfId="39089"/>
    <cellStyle name="Normal 41 12 5" xfId="39090"/>
    <cellStyle name="Normal 41 12_01-04-2012" xfId="9584"/>
    <cellStyle name="Normal 41 13" xfId="9585"/>
    <cellStyle name="Normal 41 13 2" xfId="9586"/>
    <cellStyle name="Normal 41 13 2 2" xfId="39091"/>
    <cellStyle name="Normal 41 13 3" xfId="9587"/>
    <cellStyle name="Normal 41 13 3 2" xfId="39092"/>
    <cellStyle name="Normal 41 13 4" xfId="9588"/>
    <cellStyle name="Normal 41 13 4 2" xfId="39093"/>
    <cellStyle name="Normal 41 13 5" xfId="39094"/>
    <cellStyle name="Normal 41 13_01-04-2012" xfId="9589"/>
    <cellStyle name="Normal 41 14" xfId="9590"/>
    <cellStyle name="Normal 41 14 2" xfId="9591"/>
    <cellStyle name="Normal 41 14 2 2" xfId="39095"/>
    <cellStyle name="Normal 41 14 3" xfId="9592"/>
    <cellStyle name="Normal 41 14 3 2" xfId="39096"/>
    <cellStyle name="Normal 41 14 4" xfId="9593"/>
    <cellStyle name="Normal 41 14 4 2" xfId="39097"/>
    <cellStyle name="Normal 41 14 5" xfId="39098"/>
    <cellStyle name="Normal 41 14_01-04-2012" xfId="9594"/>
    <cellStyle name="Normal 41 15" xfId="9595"/>
    <cellStyle name="Normal 41 15 2" xfId="9596"/>
    <cellStyle name="Normal 41 15 2 2" xfId="39099"/>
    <cellStyle name="Normal 41 15 3" xfId="9597"/>
    <cellStyle name="Normal 41 15 3 2" xfId="39100"/>
    <cellStyle name="Normal 41 15 4" xfId="9598"/>
    <cellStyle name="Normal 41 15 4 2" xfId="39101"/>
    <cellStyle name="Normal 41 15 5" xfId="39102"/>
    <cellStyle name="Normal 41 15_01-04-2012" xfId="9599"/>
    <cellStyle name="Normal 41 16" xfId="9600"/>
    <cellStyle name="Normal 41 16 2" xfId="9601"/>
    <cellStyle name="Normal 41 16 2 2" xfId="39103"/>
    <cellStyle name="Normal 41 16 3" xfId="9602"/>
    <cellStyle name="Normal 41 16 3 2" xfId="39104"/>
    <cellStyle name="Normal 41 16 4" xfId="9603"/>
    <cellStyle name="Normal 41 16 4 2" xfId="39105"/>
    <cellStyle name="Normal 41 16 5" xfId="39106"/>
    <cellStyle name="Normal 41 16_01-04-2012" xfId="9604"/>
    <cellStyle name="Normal 41 17" xfId="9605"/>
    <cellStyle name="Normal 41 17 2" xfId="9606"/>
    <cellStyle name="Normal 41 17 2 2" xfId="39107"/>
    <cellStyle name="Normal 41 17 3" xfId="9607"/>
    <cellStyle name="Normal 41 17 3 2" xfId="39108"/>
    <cellStyle name="Normal 41 17 4" xfId="9608"/>
    <cellStyle name="Normal 41 17 4 2" xfId="39109"/>
    <cellStyle name="Normal 41 17 5" xfId="39110"/>
    <cellStyle name="Normal 41 17_01-04-2012" xfId="9609"/>
    <cellStyle name="Normal 41 18" xfId="9610"/>
    <cellStyle name="Normal 41 18 2" xfId="9611"/>
    <cellStyle name="Normal 41 18 2 2" xfId="39111"/>
    <cellStyle name="Normal 41 18 3" xfId="9612"/>
    <cellStyle name="Normal 41 18 3 2" xfId="39112"/>
    <cellStyle name="Normal 41 18 4" xfId="9613"/>
    <cellStyle name="Normal 41 18 4 2" xfId="39113"/>
    <cellStyle name="Normal 41 18 5" xfId="39114"/>
    <cellStyle name="Normal 41 18_01-04-2012" xfId="9614"/>
    <cellStyle name="Normal 41 19" xfId="9615"/>
    <cellStyle name="Normal 41 19 2" xfId="9616"/>
    <cellStyle name="Normal 41 19 2 2" xfId="39115"/>
    <cellStyle name="Normal 41 19 3" xfId="9617"/>
    <cellStyle name="Normal 41 19 3 2" xfId="39116"/>
    <cellStyle name="Normal 41 19 4" xfId="9618"/>
    <cellStyle name="Normal 41 19 4 2" xfId="39117"/>
    <cellStyle name="Normal 41 19 5" xfId="39118"/>
    <cellStyle name="Normal 41 19_01-04-2012" xfId="9619"/>
    <cellStyle name="Normal 41 2" xfId="9620"/>
    <cellStyle name="Normal 41 2 2" xfId="9621"/>
    <cellStyle name="Normal 41 2 2 2" xfId="33736"/>
    <cellStyle name="Normal 41 2 2 2 2" xfId="39119"/>
    <cellStyle name="Normal 41 2 3" xfId="9622"/>
    <cellStyle name="Normal 41 2 3 2" xfId="39120"/>
    <cellStyle name="Normal 41 2 4" xfId="9623"/>
    <cellStyle name="Normal 41 2 4 2" xfId="39121"/>
    <cellStyle name="Normal 41 2 5" xfId="20872"/>
    <cellStyle name="Normal 41 2 5 2" xfId="39122"/>
    <cellStyle name="Normal 41 2_01-04-2012" xfId="9624"/>
    <cellStyle name="Normal 41 20" xfId="9625"/>
    <cellStyle name="Normal 41 20 2" xfId="9626"/>
    <cellStyle name="Normal 41 20 2 2" xfId="39123"/>
    <cellStyle name="Normal 41 20 3" xfId="9627"/>
    <cellStyle name="Normal 41 20 3 2" xfId="39124"/>
    <cellStyle name="Normal 41 20 4" xfId="9628"/>
    <cellStyle name="Normal 41 20 4 2" xfId="39125"/>
    <cellStyle name="Normal 41 20 5" xfId="39126"/>
    <cellStyle name="Normal 41 20_01-04-2012" xfId="9629"/>
    <cellStyle name="Normal 41 21" xfId="9630"/>
    <cellStyle name="Normal 41 21 2" xfId="9631"/>
    <cellStyle name="Normal 41 21 2 2" xfId="39127"/>
    <cellStyle name="Normal 41 21 3" xfId="9632"/>
    <cellStyle name="Normal 41 21 3 2" xfId="39128"/>
    <cellStyle name="Normal 41 21 4" xfId="9633"/>
    <cellStyle name="Normal 41 21 4 2" xfId="39129"/>
    <cellStyle name="Normal 41 21 5" xfId="39130"/>
    <cellStyle name="Normal 41 21_01-04-2012" xfId="9634"/>
    <cellStyle name="Normal 41 22" xfId="9635"/>
    <cellStyle name="Normal 41 22 2" xfId="9636"/>
    <cellStyle name="Normal 41 22 2 2" xfId="39131"/>
    <cellStyle name="Normal 41 22 3" xfId="9637"/>
    <cellStyle name="Normal 41 22 3 2" xfId="39132"/>
    <cellStyle name="Normal 41 22 4" xfId="9638"/>
    <cellStyle name="Normal 41 22 4 2" xfId="39133"/>
    <cellStyle name="Normal 41 22 5" xfId="39134"/>
    <cellStyle name="Normal 41 22_01-04-2012" xfId="9639"/>
    <cellStyle name="Normal 41 23" xfId="9640"/>
    <cellStyle name="Normal 41 23 2" xfId="9641"/>
    <cellStyle name="Normal 41 23 2 2" xfId="39135"/>
    <cellStyle name="Normal 41 23 3" xfId="9642"/>
    <cellStyle name="Normal 41 23 3 2" xfId="39136"/>
    <cellStyle name="Normal 41 23 4" xfId="9643"/>
    <cellStyle name="Normal 41 23 4 2" xfId="39137"/>
    <cellStyle name="Normal 41 23 5" xfId="39138"/>
    <cellStyle name="Normal 41 23_01-04-2012" xfId="9644"/>
    <cellStyle name="Normal 41 24" xfId="9645"/>
    <cellStyle name="Normal 41 24 2" xfId="9646"/>
    <cellStyle name="Normal 41 24 2 2" xfId="39139"/>
    <cellStyle name="Normal 41 24 3" xfId="9647"/>
    <cellStyle name="Normal 41 24 3 2" xfId="39140"/>
    <cellStyle name="Normal 41 24 4" xfId="9648"/>
    <cellStyle name="Normal 41 24 4 2" xfId="39141"/>
    <cellStyle name="Normal 41 24 5" xfId="39142"/>
    <cellStyle name="Normal 41 24_01-04-2012" xfId="9649"/>
    <cellStyle name="Normal 41 25" xfId="9650"/>
    <cellStyle name="Normal 41 25 2" xfId="9651"/>
    <cellStyle name="Normal 41 25 2 2" xfId="39143"/>
    <cellStyle name="Normal 41 25 3" xfId="9652"/>
    <cellStyle name="Normal 41 25 3 2" xfId="39144"/>
    <cellStyle name="Normal 41 25 4" xfId="9653"/>
    <cellStyle name="Normal 41 25 4 2" xfId="39145"/>
    <cellStyle name="Normal 41 25 5" xfId="39146"/>
    <cellStyle name="Normal 41 25_01-04-2012" xfId="9654"/>
    <cellStyle name="Normal 41 26" xfId="9655"/>
    <cellStyle name="Normal 41 26 2" xfId="9656"/>
    <cellStyle name="Normal 41 26 2 2" xfId="39147"/>
    <cellStyle name="Normal 41 26 3" xfId="9657"/>
    <cellStyle name="Normal 41 26 3 2" xfId="39148"/>
    <cellStyle name="Normal 41 26 4" xfId="9658"/>
    <cellStyle name="Normal 41 26 4 2" xfId="39149"/>
    <cellStyle name="Normal 41 26 5" xfId="39150"/>
    <cellStyle name="Normal 41 26_01-04-2012" xfId="9659"/>
    <cellStyle name="Normal 41 27" xfId="9660"/>
    <cellStyle name="Normal 41 27 2" xfId="9661"/>
    <cellStyle name="Normal 41 27 2 2" xfId="39151"/>
    <cellStyle name="Normal 41 27 3" xfId="9662"/>
    <cellStyle name="Normal 41 27 3 2" xfId="39152"/>
    <cellStyle name="Normal 41 27 4" xfId="9663"/>
    <cellStyle name="Normal 41 27 4 2" xfId="39153"/>
    <cellStyle name="Normal 41 27 5" xfId="39154"/>
    <cellStyle name="Normal 41 27_01-04-2012" xfId="9664"/>
    <cellStyle name="Normal 41 28" xfId="9665"/>
    <cellStyle name="Normal 41 28 2" xfId="9666"/>
    <cellStyle name="Normal 41 28 2 2" xfId="39155"/>
    <cellStyle name="Normal 41 28 3" xfId="9667"/>
    <cellStyle name="Normal 41 28 3 2" xfId="39156"/>
    <cellStyle name="Normal 41 28 4" xfId="9668"/>
    <cellStyle name="Normal 41 28 4 2" xfId="39157"/>
    <cellStyle name="Normal 41 28 5" xfId="39158"/>
    <cellStyle name="Normal 41 28_01-04-2012" xfId="9669"/>
    <cellStyle name="Normal 41 29" xfId="9670"/>
    <cellStyle name="Normal 41 29 2" xfId="9671"/>
    <cellStyle name="Normal 41 29 2 2" xfId="39159"/>
    <cellStyle name="Normal 41 29 3" xfId="9672"/>
    <cellStyle name="Normal 41 29 3 2" xfId="39160"/>
    <cellStyle name="Normal 41 29 4" xfId="9673"/>
    <cellStyle name="Normal 41 29 4 2" xfId="39161"/>
    <cellStyle name="Normal 41 29 5" xfId="39162"/>
    <cellStyle name="Normal 41 29_01-04-2012" xfId="9674"/>
    <cellStyle name="Normal 41 3" xfId="9675"/>
    <cellStyle name="Normal 41 3 2" xfId="9676"/>
    <cellStyle name="Normal 41 3 2 2" xfId="39163"/>
    <cellStyle name="Normal 41 3 3" xfId="9677"/>
    <cellStyle name="Normal 41 3 3 2" xfId="39164"/>
    <cellStyle name="Normal 41 3 4" xfId="9678"/>
    <cellStyle name="Normal 41 3 4 2" xfId="39165"/>
    <cellStyle name="Normal 41 3 5" xfId="20873"/>
    <cellStyle name="Normal 41 3 5 2" xfId="39166"/>
    <cellStyle name="Normal 41 3_01-04-2012" xfId="9679"/>
    <cellStyle name="Normal 41 30" xfId="9680"/>
    <cellStyle name="Normal 41 30 2" xfId="9681"/>
    <cellStyle name="Normal 41 30 2 2" xfId="39167"/>
    <cellStyle name="Normal 41 30 3" xfId="9682"/>
    <cellStyle name="Normal 41 30 3 2" xfId="39168"/>
    <cellStyle name="Normal 41 30 4" xfId="9683"/>
    <cellStyle name="Normal 41 30 4 2" xfId="39169"/>
    <cellStyle name="Normal 41 30 5" xfId="39170"/>
    <cellStyle name="Normal 41 30_01-04-2012" xfId="9684"/>
    <cellStyle name="Normal 41 31" xfId="9685"/>
    <cellStyle name="Normal 41 31 2" xfId="9686"/>
    <cellStyle name="Normal 41 31 2 2" xfId="39171"/>
    <cellStyle name="Normal 41 31 3" xfId="9687"/>
    <cellStyle name="Normal 41 31 3 2" xfId="39172"/>
    <cellStyle name="Normal 41 31 4" xfId="9688"/>
    <cellStyle name="Normal 41 31 4 2" xfId="39173"/>
    <cellStyle name="Normal 41 31 5" xfId="39174"/>
    <cellStyle name="Normal 41 31_01-04-2012" xfId="9689"/>
    <cellStyle name="Normal 41 32" xfId="9690"/>
    <cellStyle name="Normal 41 32 2" xfId="9691"/>
    <cellStyle name="Normal 41 32 2 2" xfId="39175"/>
    <cellStyle name="Normal 41 32 3" xfId="9692"/>
    <cellStyle name="Normal 41 32 3 2" xfId="39176"/>
    <cellStyle name="Normal 41 32 4" xfId="9693"/>
    <cellStyle name="Normal 41 32 4 2" xfId="39177"/>
    <cellStyle name="Normal 41 32 5" xfId="39178"/>
    <cellStyle name="Normal 41 32_01-04-2012" xfId="9694"/>
    <cellStyle name="Normal 41 33" xfId="9695"/>
    <cellStyle name="Normal 41 33 2" xfId="9696"/>
    <cellStyle name="Normal 41 33 2 2" xfId="39179"/>
    <cellStyle name="Normal 41 33 3" xfId="9697"/>
    <cellStyle name="Normal 41 33 3 2" xfId="39180"/>
    <cellStyle name="Normal 41 33 4" xfId="9698"/>
    <cellStyle name="Normal 41 33 4 2" xfId="39181"/>
    <cellStyle name="Normal 41 33 5" xfId="39182"/>
    <cellStyle name="Normal 41 33_01-04-2012" xfId="9699"/>
    <cellStyle name="Normal 41 34" xfId="9700"/>
    <cellStyle name="Normal 41 34 2" xfId="9701"/>
    <cellStyle name="Normal 41 34 2 2" xfId="39183"/>
    <cellStyle name="Normal 41 34 3" xfId="9702"/>
    <cellStyle name="Normal 41 34 3 2" xfId="39184"/>
    <cellStyle name="Normal 41 34 4" xfId="9703"/>
    <cellStyle name="Normal 41 34 4 2" xfId="39185"/>
    <cellStyle name="Normal 41 34 5" xfId="39186"/>
    <cellStyle name="Normal 41 34_01-04-2012" xfId="9704"/>
    <cellStyle name="Normal 41 35" xfId="9705"/>
    <cellStyle name="Normal 41 35 2" xfId="9706"/>
    <cellStyle name="Normal 41 35 2 2" xfId="39187"/>
    <cellStyle name="Normal 41 35 3" xfId="9707"/>
    <cellStyle name="Normal 41 35 3 2" xfId="39188"/>
    <cellStyle name="Normal 41 35 4" xfId="9708"/>
    <cellStyle name="Normal 41 35 4 2" xfId="39189"/>
    <cellStyle name="Normal 41 35 5" xfId="39190"/>
    <cellStyle name="Normal 41 35_01-04-2012" xfId="9709"/>
    <cellStyle name="Normal 41 36" xfId="9710"/>
    <cellStyle name="Normal 41 36 2" xfId="9711"/>
    <cellStyle name="Normal 41 36 2 2" xfId="39191"/>
    <cellStyle name="Normal 41 36 3" xfId="9712"/>
    <cellStyle name="Normal 41 36 3 2" xfId="39192"/>
    <cellStyle name="Normal 41 36 4" xfId="9713"/>
    <cellStyle name="Normal 41 36 4 2" xfId="39193"/>
    <cellStyle name="Normal 41 36 5" xfId="39194"/>
    <cellStyle name="Normal 41 36_01-04-2012" xfId="9714"/>
    <cellStyle name="Normal 41 37" xfId="9715"/>
    <cellStyle name="Normal 41 37 2" xfId="9716"/>
    <cellStyle name="Normal 41 37 2 2" xfId="39195"/>
    <cellStyle name="Normal 41 37 3" xfId="9717"/>
    <cellStyle name="Normal 41 37 3 2" xfId="39196"/>
    <cellStyle name="Normal 41 37 4" xfId="9718"/>
    <cellStyle name="Normal 41 37 4 2" xfId="39197"/>
    <cellStyle name="Normal 41 37 5" xfId="39198"/>
    <cellStyle name="Normal 41 37_01-04-2012" xfId="9719"/>
    <cellStyle name="Normal 41 38" xfId="9720"/>
    <cellStyle name="Normal 41 38 2" xfId="39199"/>
    <cellStyle name="Normal 41 39" xfId="9721"/>
    <cellStyle name="Normal 41 39 2" xfId="39200"/>
    <cellStyle name="Normal 41 4" xfId="9722"/>
    <cellStyle name="Normal 41 4 2" xfId="9723"/>
    <cellStyle name="Normal 41 4 2 2" xfId="39201"/>
    <cellStyle name="Normal 41 4 3" xfId="9724"/>
    <cellStyle name="Normal 41 4 3 2" xfId="39202"/>
    <cellStyle name="Normal 41 4 4" xfId="9725"/>
    <cellStyle name="Normal 41 4 4 2" xfId="39203"/>
    <cellStyle name="Normal 41 4 5" xfId="39204"/>
    <cellStyle name="Normal 41 4_01-04-2012" xfId="9726"/>
    <cellStyle name="Normal 41 40" xfId="9727"/>
    <cellStyle name="Normal 41 40 2" xfId="39205"/>
    <cellStyle name="Normal 41 41" xfId="20874"/>
    <cellStyle name="Normal 41 41 2" xfId="39206"/>
    <cellStyle name="Normal 41 42" xfId="20875"/>
    <cellStyle name="Normal 41 43" xfId="20876"/>
    <cellStyle name="Normal 41 44" xfId="20877"/>
    <cellStyle name="Normal 41 45" xfId="20878"/>
    <cellStyle name="Normal 41 46" xfId="20879"/>
    <cellStyle name="Normal 41 47" xfId="33735"/>
    <cellStyle name="Normal 41 5" xfId="9728"/>
    <cellStyle name="Normal 41 5 2" xfId="9729"/>
    <cellStyle name="Normal 41 5 2 2" xfId="39207"/>
    <cellStyle name="Normal 41 5 3" xfId="9730"/>
    <cellStyle name="Normal 41 5 3 2" xfId="39208"/>
    <cellStyle name="Normal 41 5 4" xfId="9731"/>
    <cellStyle name="Normal 41 5 4 2" xfId="39209"/>
    <cellStyle name="Normal 41 5 5" xfId="39210"/>
    <cellStyle name="Normal 41 5_01-04-2012" xfId="9732"/>
    <cellStyle name="Normal 41 6" xfId="9733"/>
    <cellStyle name="Normal 41 6 2" xfId="9734"/>
    <cellStyle name="Normal 41 6 2 2" xfId="39211"/>
    <cellStyle name="Normal 41 6 3" xfId="9735"/>
    <cellStyle name="Normal 41 6 3 2" xfId="39212"/>
    <cellStyle name="Normal 41 6 4" xfId="9736"/>
    <cellStyle name="Normal 41 6 4 2" xfId="39213"/>
    <cellStyle name="Normal 41 6 5" xfId="39214"/>
    <cellStyle name="Normal 41 6_01-04-2012" xfId="9737"/>
    <cellStyle name="Normal 41 7" xfId="9738"/>
    <cellStyle name="Normal 41 7 2" xfId="9739"/>
    <cellStyle name="Normal 41 7 2 2" xfId="39215"/>
    <cellStyle name="Normal 41 7 3" xfId="9740"/>
    <cellStyle name="Normal 41 7 3 2" xfId="39216"/>
    <cellStyle name="Normal 41 7 4" xfId="9741"/>
    <cellStyle name="Normal 41 7 4 2" xfId="39217"/>
    <cellStyle name="Normal 41 7 5" xfId="39218"/>
    <cellStyle name="Normal 41 7_01-04-2012" xfId="9742"/>
    <cellStyle name="Normal 41 8" xfId="9743"/>
    <cellStyle name="Normal 41 8 2" xfId="9744"/>
    <cellStyle name="Normal 41 8 2 2" xfId="39219"/>
    <cellStyle name="Normal 41 8 3" xfId="9745"/>
    <cellStyle name="Normal 41 8 3 2" xfId="39220"/>
    <cellStyle name="Normal 41 8 4" xfId="9746"/>
    <cellStyle name="Normal 41 8 4 2" xfId="39221"/>
    <cellStyle name="Normal 41 8 5" xfId="39222"/>
    <cellStyle name="Normal 41 8_01-04-2012" xfId="9747"/>
    <cellStyle name="Normal 41 9" xfId="9748"/>
    <cellStyle name="Normal 41 9 2" xfId="9749"/>
    <cellStyle name="Normal 41 9 2 2" xfId="39223"/>
    <cellStyle name="Normal 41 9 3" xfId="9750"/>
    <cellStyle name="Normal 41 9 3 2" xfId="39224"/>
    <cellStyle name="Normal 41 9 4" xfId="9751"/>
    <cellStyle name="Normal 41 9 4 2" xfId="39225"/>
    <cellStyle name="Normal 41 9 5" xfId="39226"/>
    <cellStyle name="Normal 41 9_01-04-2012" xfId="9752"/>
    <cellStyle name="Normal 41_01-04-2012" xfId="9753"/>
    <cellStyle name="Normal 410" xfId="20880"/>
    <cellStyle name="Normal 411" xfId="20881"/>
    <cellStyle name="Normal 412" xfId="20882"/>
    <cellStyle name="Normal 413" xfId="20883"/>
    <cellStyle name="Normal 414" xfId="20884"/>
    <cellStyle name="Normal 415" xfId="20885"/>
    <cellStyle name="Normal 416" xfId="20886"/>
    <cellStyle name="Normal 417" xfId="20887"/>
    <cellStyle name="Normal 418" xfId="20888"/>
    <cellStyle name="Normal 419" xfId="20889"/>
    <cellStyle name="Normal 42" xfId="9754"/>
    <cellStyle name="Normal 42 10" xfId="9755"/>
    <cellStyle name="Normal 42 10 2" xfId="9756"/>
    <cellStyle name="Normal 42 10 2 2" xfId="39227"/>
    <cellStyle name="Normal 42 10 3" xfId="9757"/>
    <cellStyle name="Normal 42 10 3 2" xfId="39228"/>
    <cellStyle name="Normal 42 10 4" xfId="9758"/>
    <cellStyle name="Normal 42 10 4 2" xfId="39229"/>
    <cellStyle name="Normal 42 10 5" xfId="39230"/>
    <cellStyle name="Normal 42 10_01-04-2012" xfId="9759"/>
    <cellStyle name="Normal 42 11" xfId="9760"/>
    <cellStyle name="Normal 42 11 2" xfId="9761"/>
    <cellStyle name="Normal 42 11 2 2" xfId="39231"/>
    <cellStyle name="Normal 42 11 3" xfId="9762"/>
    <cellStyle name="Normal 42 11 3 2" xfId="39232"/>
    <cellStyle name="Normal 42 11 4" xfId="9763"/>
    <cellStyle name="Normal 42 11 4 2" xfId="39233"/>
    <cellStyle name="Normal 42 11 5" xfId="39234"/>
    <cellStyle name="Normal 42 11_01-04-2012" xfId="9764"/>
    <cellStyle name="Normal 42 12" xfId="9765"/>
    <cellStyle name="Normal 42 12 2" xfId="9766"/>
    <cellStyle name="Normal 42 12 2 2" xfId="39235"/>
    <cellStyle name="Normal 42 12 3" xfId="9767"/>
    <cellStyle name="Normal 42 12 3 2" xfId="39236"/>
    <cellStyle name="Normal 42 12 4" xfId="9768"/>
    <cellStyle name="Normal 42 12 4 2" xfId="39237"/>
    <cellStyle name="Normal 42 12 5" xfId="39238"/>
    <cellStyle name="Normal 42 12_01-04-2012" xfId="9769"/>
    <cellStyle name="Normal 42 13" xfId="9770"/>
    <cellStyle name="Normal 42 13 2" xfId="9771"/>
    <cellStyle name="Normal 42 13 2 2" xfId="39239"/>
    <cellStyle name="Normal 42 13 3" xfId="9772"/>
    <cellStyle name="Normal 42 13 3 2" xfId="39240"/>
    <cellStyle name="Normal 42 13 4" xfId="9773"/>
    <cellStyle name="Normal 42 13 4 2" xfId="39241"/>
    <cellStyle name="Normal 42 13 5" xfId="39242"/>
    <cellStyle name="Normal 42 13_01-04-2012" xfId="9774"/>
    <cellStyle name="Normal 42 14" xfId="9775"/>
    <cellStyle name="Normal 42 14 2" xfId="9776"/>
    <cellStyle name="Normal 42 14 2 2" xfId="39243"/>
    <cellStyle name="Normal 42 14 3" xfId="9777"/>
    <cellStyle name="Normal 42 14 3 2" xfId="39244"/>
    <cellStyle name="Normal 42 14 4" xfId="9778"/>
    <cellStyle name="Normal 42 14 4 2" xfId="39245"/>
    <cellStyle name="Normal 42 14 5" xfId="39246"/>
    <cellStyle name="Normal 42 14_01-04-2012" xfId="9779"/>
    <cellStyle name="Normal 42 15" xfId="9780"/>
    <cellStyle name="Normal 42 15 2" xfId="9781"/>
    <cellStyle name="Normal 42 15 2 2" xfId="39247"/>
    <cellStyle name="Normal 42 15 3" xfId="9782"/>
    <cellStyle name="Normal 42 15 3 2" xfId="39248"/>
    <cellStyle name="Normal 42 15 4" xfId="9783"/>
    <cellStyle name="Normal 42 15 4 2" xfId="39249"/>
    <cellStyle name="Normal 42 15 5" xfId="39250"/>
    <cellStyle name="Normal 42 15_01-04-2012" xfId="9784"/>
    <cellStyle name="Normal 42 16" xfId="9785"/>
    <cellStyle name="Normal 42 16 2" xfId="9786"/>
    <cellStyle name="Normal 42 16 2 2" xfId="39251"/>
    <cellStyle name="Normal 42 16 3" xfId="9787"/>
    <cellStyle name="Normal 42 16 3 2" xfId="39252"/>
    <cellStyle name="Normal 42 16 4" xfId="9788"/>
    <cellStyle name="Normal 42 16 4 2" xfId="39253"/>
    <cellStyle name="Normal 42 16 5" xfId="39254"/>
    <cellStyle name="Normal 42 16_01-04-2012" xfId="9789"/>
    <cellStyle name="Normal 42 17" xfId="9790"/>
    <cellStyle name="Normal 42 17 2" xfId="9791"/>
    <cellStyle name="Normal 42 17 2 2" xfId="39255"/>
    <cellStyle name="Normal 42 17 3" xfId="9792"/>
    <cellStyle name="Normal 42 17 3 2" xfId="39256"/>
    <cellStyle name="Normal 42 17 4" xfId="9793"/>
    <cellStyle name="Normal 42 17 4 2" xfId="39257"/>
    <cellStyle name="Normal 42 17 5" xfId="39258"/>
    <cellStyle name="Normal 42 17_01-04-2012" xfId="9794"/>
    <cellStyle name="Normal 42 18" xfId="9795"/>
    <cellStyle name="Normal 42 18 2" xfId="9796"/>
    <cellStyle name="Normal 42 18 2 2" xfId="39259"/>
    <cellStyle name="Normal 42 18 3" xfId="9797"/>
    <cellStyle name="Normal 42 18 3 2" xfId="39260"/>
    <cellStyle name="Normal 42 18 4" xfId="9798"/>
    <cellStyle name="Normal 42 18 4 2" xfId="39261"/>
    <cellStyle name="Normal 42 18 5" xfId="39262"/>
    <cellStyle name="Normal 42 18_01-04-2012" xfId="9799"/>
    <cellStyle name="Normal 42 19" xfId="9800"/>
    <cellStyle name="Normal 42 19 2" xfId="9801"/>
    <cellStyle name="Normal 42 19 2 2" xfId="39263"/>
    <cellStyle name="Normal 42 19 3" xfId="9802"/>
    <cellStyle name="Normal 42 19 3 2" xfId="39264"/>
    <cellStyle name="Normal 42 19 4" xfId="9803"/>
    <cellStyle name="Normal 42 19 4 2" xfId="39265"/>
    <cellStyle name="Normal 42 19 5" xfId="39266"/>
    <cellStyle name="Normal 42 19_01-04-2012" xfId="9804"/>
    <cellStyle name="Normal 42 2" xfId="9805"/>
    <cellStyle name="Normal 42 2 2" xfId="9806"/>
    <cellStyle name="Normal 42 2 2 2" xfId="39267"/>
    <cellStyle name="Normal 42 2 3" xfId="9807"/>
    <cellStyle name="Normal 42 2 3 2" xfId="39268"/>
    <cellStyle name="Normal 42 2 4" xfId="9808"/>
    <cellStyle name="Normal 42 2 4 2" xfId="39269"/>
    <cellStyle name="Normal 42 2 5" xfId="20890"/>
    <cellStyle name="Normal 42 2 5 2" xfId="39270"/>
    <cellStyle name="Normal 42 2_01-04-2012" xfId="9809"/>
    <cellStyle name="Normal 42 20" xfId="9810"/>
    <cellStyle name="Normal 42 20 2" xfId="9811"/>
    <cellStyle name="Normal 42 20 2 2" xfId="39271"/>
    <cellStyle name="Normal 42 20 3" xfId="9812"/>
    <cellStyle name="Normal 42 20 3 2" xfId="39272"/>
    <cellStyle name="Normal 42 20 4" xfId="9813"/>
    <cellStyle name="Normal 42 20 4 2" xfId="39273"/>
    <cellStyle name="Normal 42 20 5" xfId="39274"/>
    <cellStyle name="Normal 42 20_01-04-2012" xfId="9814"/>
    <cellStyle name="Normal 42 21" xfId="9815"/>
    <cellStyle name="Normal 42 21 2" xfId="9816"/>
    <cellStyle name="Normal 42 21 2 2" xfId="39275"/>
    <cellStyle name="Normal 42 21 3" xfId="9817"/>
    <cellStyle name="Normal 42 21 3 2" xfId="39276"/>
    <cellStyle name="Normal 42 21 4" xfId="9818"/>
    <cellStyle name="Normal 42 21 4 2" xfId="39277"/>
    <cellStyle name="Normal 42 21 5" xfId="39278"/>
    <cellStyle name="Normal 42 21_01-04-2012" xfId="9819"/>
    <cellStyle name="Normal 42 22" xfId="9820"/>
    <cellStyle name="Normal 42 22 2" xfId="9821"/>
    <cellStyle name="Normal 42 22 2 2" xfId="39279"/>
    <cellStyle name="Normal 42 22 3" xfId="9822"/>
    <cellStyle name="Normal 42 22 3 2" xfId="39280"/>
    <cellStyle name="Normal 42 22 4" xfId="9823"/>
    <cellStyle name="Normal 42 22 4 2" xfId="39281"/>
    <cellStyle name="Normal 42 22 5" xfId="39282"/>
    <cellStyle name="Normal 42 22_01-04-2012" xfId="9824"/>
    <cellStyle name="Normal 42 23" xfId="9825"/>
    <cellStyle name="Normal 42 23 2" xfId="9826"/>
    <cellStyle name="Normal 42 23 2 2" xfId="39283"/>
    <cellStyle name="Normal 42 23 3" xfId="9827"/>
    <cellStyle name="Normal 42 23 3 2" xfId="39284"/>
    <cellStyle name="Normal 42 23 4" xfId="9828"/>
    <cellStyle name="Normal 42 23 4 2" xfId="39285"/>
    <cellStyle name="Normal 42 23 5" xfId="39286"/>
    <cellStyle name="Normal 42 23_01-04-2012" xfId="9829"/>
    <cellStyle name="Normal 42 24" xfId="9830"/>
    <cellStyle name="Normal 42 24 2" xfId="9831"/>
    <cellStyle name="Normal 42 24 2 2" xfId="39287"/>
    <cellStyle name="Normal 42 24 3" xfId="9832"/>
    <cellStyle name="Normal 42 24 3 2" xfId="39288"/>
    <cellStyle name="Normal 42 24 4" xfId="9833"/>
    <cellStyle name="Normal 42 24 4 2" xfId="39289"/>
    <cellStyle name="Normal 42 24 5" xfId="39290"/>
    <cellStyle name="Normal 42 24_01-04-2012" xfId="9834"/>
    <cellStyle name="Normal 42 25" xfId="9835"/>
    <cellStyle name="Normal 42 25 2" xfId="9836"/>
    <cellStyle name="Normal 42 25 2 2" xfId="39291"/>
    <cellStyle name="Normal 42 25 3" xfId="9837"/>
    <cellStyle name="Normal 42 25 3 2" xfId="39292"/>
    <cellStyle name="Normal 42 25 4" xfId="9838"/>
    <cellStyle name="Normal 42 25 4 2" xfId="39293"/>
    <cellStyle name="Normal 42 25 5" xfId="39294"/>
    <cellStyle name="Normal 42 25_01-04-2012" xfId="9839"/>
    <cellStyle name="Normal 42 26" xfId="9840"/>
    <cellStyle name="Normal 42 26 2" xfId="9841"/>
    <cellStyle name="Normal 42 26 2 2" xfId="39295"/>
    <cellStyle name="Normal 42 26 3" xfId="9842"/>
    <cellStyle name="Normal 42 26 3 2" xfId="39296"/>
    <cellStyle name="Normal 42 26 4" xfId="9843"/>
    <cellStyle name="Normal 42 26 4 2" xfId="39297"/>
    <cellStyle name="Normal 42 26 5" xfId="39298"/>
    <cellStyle name="Normal 42 26_01-04-2012" xfId="9844"/>
    <cellStyle name="Normal 42 27" xfId="9845"/>
    <cellStyle name="Normal 42 27 2" xfId="9846"/>
    <cellStyle name="Normal 42 27 2 2" xfId="39299"/>
    <cellStyle name="Normal 42 27 3" xfId="9847"/>
    <cellStyle name="Normal 42 27 3 2" xfId="39300"/>
    <cellStyle name="Normal 42 27 4" xfId="9848"/>
    <cellStyle name="Normal 42 27 4 2" xfId="39301"/>
    <cellStyle name="Normal 42 27 5" xfId="39302"/>
    <cellStyle name="Normal 42 27_01-04-2012" xfId="9849"/>
    <cellStyle name="Normal 42 28" xfId="9850"/>
    <cellStyle name="Normal 42 28 2" xfId="9851"/>
    <cellStyle name="Normal 42 28 2 2" xfId="39303"/>
    <cellStyle name="Normal 42 28 3" xfId="9852"/>
    <cellStyle name="Normal 42 28 3 2" xfId="39304"/>
    <cellStyle name="Normal 42 28 4" xfId="9853"/>
    <cellStyle name="Normal 42 28 4 2" xfId="39305"/>
    <cellStyle name="Normal 42 28 5" xfId="39306"/>
    <cellStyle name="Normal 42 28_01-04-2012" xfId="9854"/>
    <cellStyle name="Normal 42 29" xfId="9855"/>
    <cellStyle name="Normal 42 29 2" xfId="9856"/>
    <cellStyle name="Normal 42 29 2 2" xfId="39307"/>
    <cellStyle name="Normal 42 29 3" xfId="9857"/>
    <cellStyle name="Normal 42 29 3 2" xfId="39308"/>
    <cellStyle name="Normal 42 29 4" xfId="9858"/>
    <cellStyle name="Normal 42 29 4 2" xfId="39309"/>
    <cellStyle name="Normal 42 29 5" xfId="39310"/>
    <cellStyle name="Normal 42 29_01-04-2012" xfId="9859"/>
    <cellStyle name="Normal 42 3" xfId="9860"/>
    <cellStyle name="Normal 42 3 2" xfId="9861"/>
    <cellStyle name="Normal 42 3 2 2" xfId="39311"/>
    <cellStyle name="Normal 42 3 3" xfId="9862"/>
    <cellStyle name="Normal 42 3 3 2" xfId="39312"/>
    <cellStyle name="Normal 42 3 4" xfId="9863"/>
    <cellStyle name="Normal 42 3 4 2" xfId="39313"/>
    <cellStyle name="Normal 42 3 5" xfId="33738"/>
    <cellStyle name="Normal 42 3 5 2" xfId="39314"/>
    <cellStyle name="Normal 42 3_01-04-2012" xfId="9864"/>
    <cellStyle name="Normal 42 30" xfId="9865"/>
    <cellStyle name="Normal 42 30 2" xfId="9866"/>
    <cellStyle name="Normal 42 30 2 2" xfId="39315"/>
    <cellStyle name="Normal 42 30 3" xfId="9867"/>
    <cellStyle name="Normal 42 30 3 2" xfId="39316"/>
    <cellStyle name="Normal 42 30 4" xfId="9868"/>
    <cellStyle name="Normal 42 30 4 2" xfId="39317"/>
    <cellStyle name="Normal 42 30 5" xfId="39318"/>
    <cellStyle name="Normal 42 30_01-04-2012" xfId="9869"/>
    <cellStyle name="Normal 42 31" xfId="9870"/>
    <cellStyle name="Normal 42 31 2" xfId="9871"/>
    <cellStyle name="Normal 42 31 2 2" xfId="39319"/>
    <cellStyle name="Normal 42 31 3" xfId="9872"/>
    <cellStyle name="Normal 42 31 3 2" xfId="39320"/>
    <cellStyle name="Normal 42 31 4" xfId="9873"/>
    <cellStyle name="Normal 42 31 4 2" xfId="39321"/>
    <cellStyle name="Normal 42 31 5" xfId="39322"/>
    <cellStyle name="Normal 42 31_01-04-2012" xfId="9874"/>
    <cellStyle name="Normal 42 32" xfId="9875"/>
    <cellStyle name="Normal 42 32 2" xfId="9876"/>
    <cellStyle name="Normal 42 32 2 2" xfId="39323"/>
    <cellStyle name="Normal 42 32 3" xfId="9877"/>
    <cellStyle name="Normal 42 32 3 2" xfId="39324"/>
    <cellStyle name="Normal 42 32 4" xfId="9878"/>
    <cellStyle name="Normal 42 32 4 2" xfId="39325"/>
    <cellStyle name="Normal 42 32 5" xfId="39326"/>
    <cellStyle name="Normal 42 32_01-04-2012" xfId="9879"/>
    <cellStyle name="Normal 42 33" xfId="9880"/>
    <cellStyle name="Normal 42 33 2" xfId="9881"/>
    <cellStyle name="Normal 42 33 2 2" xfId="39327"/>
    <cellStyle name="Normal 42 33 3" xfId="9882"/>
    <cellStyle name="Normal 42 33 3 2" xfId="39328"/>
    <cellStyle name="Normal 42 33 4" xfId="9883"/>
    <cellStyle name="Normal 42 33 4 2" xfId="39329"/>
    <cellStyle name="Normal 42 33 5" xfId="39330"/>
    <cellStyle name="Normal 42 33_01-04-2012" xfId="9884"/>
    <cellStyle name="Normal 42 34" xfId="9885"/>
    <cellStyle name="Normal 42 34 2" xfId="9886"/>
    <cellStyle name="Normal 42 34 2 2" xfId="39331"/>
    <cellStyle name="Normal 42 34 3" xfId="9887"/>
    <cellStyle name="Normal 42 34 3 2" xfId="39332"/>
    <cellStyle name="Normal 42 34 4" xfId="9888"/>
    <cellStyle name="Normal 42 34 4 2" xfId="39333"/>
    <cellStyle name="Normal 42 34 5" xfId="39334"/>
    <cellStyle name="Normal 42 34_01-04-2012" xfId="9889"/>
    <cellStyle name="Normal 42 35" xfId="9890"/>
    <cellStyle name="Normal 42 35 2" xfId="9891"/>
    <cellStyle name="Normal 42 35 2 2" xfId="39335"/>
    <cellStyle name="Normal 42 35 3" xfId="9892"/>
    <cellStyle name="Normal 42 35 3 2" xfId="39336"/>
    <cellStyle name="Normal 42 35 4" xfId="9893"/>
    <cellStyle name="Normal 42 35 4 2" xfId="39337"/>
    <cellStyle name="Normal 42 35 5" xfId="39338"/>
    <cellStyle name="Normal 42 35_01-04-2012" xfId="9894"/>
    <cellStyle name="Normal 42 36" xfId="9895"/>
    <cellStyle name="Normal 42 36 2" xfId="9896"/>
    <cellStyle name="Normal 42 36 2 2" xfId="39339"/>
    <cellStyle name="Normal 42 36 3" xfId="9897"/>
    <cellStyle name="Normal 42 36 3 2" xfId="39340"/>
    <cellStyle name="Normal 42 36 4" xfId="9898"/>
    <cellStyle name="Normal 42 36 4 2" xfId="39341"/>
    <cellStyle name="Normal 42 36 5" xfId="39342"/>
    <cellStyle name="Normal 42 36_01-04-2012" xfId="9899"/>
    <cellStyle name="Normal 42 37" xfId="9900"/>
    <cellStyle name="Normal 42 37 2" xfId="9901"/>
    <cellStyle name="Normal 42 37 2 2" xfId="39343"/>
    <cellStyle name="Normal 42 37 3" xfId="9902"/>
    <cellStyle name="Normal 42 37 3 2" xfId="39344"/>
    <cellStyle name="Normal 42 37 4" xfId="9903"/>
    <cellStyle name="Normal 42 37 4 2" xfId="39345"/>
    <cellStyle name="Normal 42 37 5" xfId="39346"/>
    <cellStyle name="Normal 42 37_01-04-2012" xfId="9904"/>
    <cellStyle name="Normal 42 38" xfId="9905"/>
    <cellStyle name="Normal 42 38 2" xfId="39347"/>
    <cellStyle name="Normal 42 39" xfId="9906"/>
    <cellStyle name="Normal 42 39 2" xfId="39348"/>
    <cellStyle name="Normal 42 4" xfId="9907"/>
    <cellStyle name="Normal 42 4 2" xfId="9908"/>
    <cellStyle name="Normal 42 4 2 2" xfId="39349"/>
    <cellStyle name="Normal 42 4 3" xfId="9909"/>
    <cellStyle name="Normal 42 4 3 2" xfId="39350"/>
    <cellStyle name="Normal 42 4 4" xfId="9910"/>
    <cellStyle name="Normal 42 4 4 2" xfId="39351"/>
    <cellStyle name="Normal 42 4 5" xfId="39352"/>
    <cellStyle name="Normal 42 4_01-04-2012" xfId="9911"/>
    <cellStyle name="Normal 42 40" xfId="9912"/>
    <cellStyle name="Normal 42 40 2" xfId="39353"/>
    <cellStyle name="Normal 42 41" xfId="20891"/>
    <cellStyle name="Normal 42 41 2" xfId="39354"/>
    <cellStyle name="Normal 42 42" xfId="20892"/>
    <cellStyle name="Normal 42 43" xfId="20893"/>
    <cellStyle name="Normal 42 44" xfId="20894"/>
    <cellStyle name="Normal 42 45" xfId="20895"/>
    <cellStyle name="Normal 42 46" xfId="20896"/>
    <cellStyle name="Normal 42 47" xfId="33737"/>
    <cellStyle name="Normal 42 5" xfId="9913"/>
    <cellStyle name="Normal 42 5 2" xfId="9914"/>
    <cellStyle name="Normal 42 5 2 2" xfId="39355"/>
    <cellStyle name="Normal 42 5 3" xfId="9915"/>
    <cellStyle name="Normal 42 5 3 2" xfId="39356"/>
    <cellStyle name="Normal 42 5 4" xfId="9916"/>
    <cellStyle name="Normal 42 5 4 2" xfId="39357"/>
    <cellStyle name="Normal 42 5 5" xfId="39358"/>
    <cellStyle name="Normal 42 5_01-04-2012" xfId="9917"/>
    <cellStyle name="Normal 42 6" xfId="9918"/>
    <cellStyle name="Normal 42 6 2" xfId="9919"/>
    <cellStyle name="Normal 42 6 2 2" xfId="39359"/>
    <cellStyle name="Normal 42 6 3" xfId="9920"/>
    <cellStyle name="Normal 42 6 3 2" xfId="39360"/>
    <cellStyle name="Normal 42 6 4" xfId="9921"/>
    <cellStyle name="Normal 42 6 4 2" xfId="39361"/>
    <cellStyle name="Normal 42 6 5" xfId="39362"/>
    <cellStyle name="Normal 42 6_01-04-2012" xfId="9922"/>
    <cellStyle name="Normal 42 7" xfId="9923"/>
    <cellStyle name="Normal 42 7 2" xfId="9924"/>
    <cellStyle name="Normal 42 7 2 2" xfId="39363"/>
    <cellStyle name="Normal 42 7 3" xfId="9925"/>
    <cellStyle name="Normal 42 7 3 2" xfId="39364"/>
    <cellStyle name="Normal 42 7 4" xfId="9926"/>
    <cellStyle name="Normal 42 7 4 2" xfId="39365"/>
    <cellStyle name="Normal 42 7 5" xfId="39366"/>
    <cellStyle name="Normal 42 7_01-04-2012" xfId="9927"/>
    <cellStyle name="Normal 42 8" xfId="9928"/>
    <cellStyle name="Normal 42 8 2" xfId="9929"/>
    <cellStyle name="Normal 42 8 2 2" xfId="39367"/>
    <cellStyle name="Normal 42 8 3" xfId="9930"/>
    <cellStyle name="Normal 42 8 3 2" xfId="39368"/>
    <cellStyle name="Normal 42 8 4" xfId="9931"/>
    <cellStyle name="Normal 42 8 4 2" xfId="39369"/>
    <cellStyle name="Normal 42 8 5" xfId="39370"/>
    <cellStyle name="Normal 42 8_01-04-2012" xfId="9932"/>
    <cellStyle name="Normal 42 9" xfId="9933"/>
    <cellStyle name="Normal 42 9 2" xfId="9934"/>
    <cellStyle name="Normal 42 9 2 2" xfId="39371"/>
    <cellStyle name="Normal 42 9 3" xfId="9935"/>
    <cellStyle name="Normal 42 9 3 2" xfId="39372"/>
    <cellStyle name="Normal 42 9 4" xfId="9936"/>
    <cellStyle name="Normal 42 9 4 2" xfId="39373"/>
    <cellStyle name="Normal 42 9 5" xfId="39374"/>
    <cellStyle name="Normal 42 9_01-04-2012" xfId="9937"/>
    <cellStyle name="Normal 42_01-04-2012" xfId="9938"/>
    <cellStyle name="Normal 420" xfId="20897"/>
    <cellStyle name="Normal 421" xfId="20898"/>
    <cellStyle name="Normal 422" xfId="20899"/>
    <cellStyle name="Normal 423" xfId="20900"/>
    <cellStyle name="Normal 424" xfId="20901"/>
    <cellStyle name="Normal 425" xfId="20902"/>
    <cellStyle name="Normal 426" xfId="20903"/>
    <cellStyle name="Normal 427" xfId="20904"/>
    <cellStyle name="Normal 428" xfId="20905"/>
    <cellStyle name="Normal 429" xfId="20906"/>
    <cellStyle name="Normal 43" xfId="9939"/>
    <cellStyle name="Normal 43 10" xfId="9940"/>
    <cellStyle name="Normal 43 10 2" xfId="9941"/>
    <cellStyle name="Normal 43 10 2 2" xfId="39375"/>
    <cellStyle name="Normal 43 10 3" xfId="9942"/>
    <cellStyle name="Normal 43 10 3 2" xfId="39376"/>
    <cellStyle name="Normal 43 10 4" xfId="9943"/>
    <cellStyle name="Normal 43 10 4 2" xfId="39377"/>
    <cellStyle name="Normal 43 10 5" xfId="39378"/>
    <cellStyle name="Normal 43 10_01-04-2012" xfId="9944"/>
    <cellStyle name="Normal 43 11" xfId="9945"/>
    <cellStyle name="Normal 43 11 2" xfId="9946"/>
    <cellStyle name="Normal 43 11 2 2" xfId="39379"/>
    <cellStyle name="Normal 43 11 3" xfId="9947"/>
    <cellStyle name="Normal 43 11 3 2" xfId="39380"/>
    <cellStyle name="Normal 43 11 4" xfId="9948"/>
    <cellStyle name="Normal 43 11 4 2" xfId="39381"/>
    <cellStyle name="Normal 43 11 5" xfId="39382"/>
    <cellStyle name="Normal 43 11_01-04-2012" xfId="9949"/>
    <cellStyle name="Normal 43 12" xfId="9950"/>
    <cellStyle name="Normal 43 12 2" xfId="9951"/>
    <cellStyle name="Normal 43 12 2 2" xfId="39383"/>
    <cellStyle name="Normal 43 12 3" xfId="9952"/>
    <cellStyle name="Normal 43 12 3 2" xfId="39384"/>
    <cellStyle name="Normal 43 12 4" xfId="9953"/>
    <cellStyle name="Normal 43 12 4 2" xfId="39385"/>
    <cellStyle name="Normal 43 12 5" xfId="39386"/>
    <cellStyle name="Normal 43 12_01-04-2012" xfId="9954"/>
    <cellStyle name="Normal 43 13" xfId="9955"/>
    <cellStyle name="Normal 43 13 2" xfId="9956"/>
    <cellStyle name="Normal 43 13 2 2" xfId="39387"/>
    <cellStyle name="Normal 43 13 3" xfId="9957"/>
    <cellStyle name="Normal 43 13 3 2" xfId="39388"/>
    <cellStyle name="Normal 43 13 4" xfId="9958"/>
    <cellStyle name="Normal 43 13 4 2" xfId="39389"/>
    <cellStyle name="Normal 43 13 5" xfId="39390"/>
    <cellStyle name="Normal 43 13_01-04-2012" xfId="9959"/>
    <cellStyle name="Normal 43 14" xfId="9960"/>
    <cellStyle name="Normal 43 14 2" xfId="9961"/>
    <cellStyle name="Normal 43 14 2 2" xfId="39391"/>
    <cellStyle name="Normal 43 14 3" xfId="9962"/>
    <cellStyle name="Normal 43 14 3 2" xfId="39392"/>
    <cellStyle name="Normal 43 14 4" xfId="9963"/>
    <cellStyle name="Normal 43 14 4 2" xfId="39393"/>
    <cellStyle name="Normal 43 14 5" xfId="39394"/>
    <cellStyle name="Normal 43 14_01-04-2012" xfId="9964"/>
    <cellStyle name="Normal 43 15" xfId="9965"/>
    <cellStyle name="Normal 43 15 2" xfId="9966"/>
    <cellStyle name="Normal 43 15 2 2" xfId="39395"/>
    <cellStyle name="Normal 43 15 3" xfId="9967"/>
    <cellStyle name="Normal 43 15 3 2" xfId="39396"/>
    <cellStyle name="Normal 43 15 4" xfId="9968"/>
    <cellStyle name="Normal 43 15 4 2" xfId="39397"/>
    <cellStyle name="Normal 43 15 5" xfId="39398"/>
    <cellStyle name="Normal 43 15_01-04-2012" xfId="9969"/>
    <cellStyle name="Normal 43 16" xfId="9970"/>
    <cellStyle name="Normal 43 16 2" xfId="9971"/>
    <cellStyle name="Normal 43 16 2 2" xfId="39399"/>
    <cellStyle name="Normal 43 16 3" xfId="9972"/>
    <cellStyle name="Normal 43 16 3 2" xfId="39400"/>
    <cellStyle name="Normal 43 16 4" xfId="9973"/>
    <cellStyle name="Normal 43 16 4 2" xfId="39401"/>
    <cellStyle name="Normal 43 16 5" xfId="39402"/>
    <cellStyle name="Normal 43 16_01-04-2012" xfId="9974"/>
    <cellStyle name="Normal 43 17" xfId="9975"/>
    <cellStyle name="Normal 43 17 2" xfId="9976"/>
    <cellStyle name="Normal 43 17 2 2" xfId="39403"/>
    <cellStyle name="Normal 43 17 3" xfId="9977"/>
    <cellStyle name="Normal 43 17 3 2" xfId="39404"/>
    <cellStyle name="Normal 43 17 4" xfId="9978"/>
    <cellStyle name="Normal 43 17 4 2" xfId="39405"/>
    <cellStyle name="Normal 43 17 5" xfId="39406"/>
    <cellStyle name="Normal 43 17_01-04-2012" xfId="9979"/>
    <cellStyle name="Normal 43 18" xfId="9980"/>
    <cellStyle name="Normal 43 18 2" xfId="9981"/>
    <cellStyle name="Normal 43 18 2 2" xfId="39407"/>
    <cellStyle name="Normal 43 18 3" xfId="9982"/>
    <cellStyle name="Normal 43 18 3 2" xfId="39408"/>
    <cellStyle name="Normal 43 18 4" xfId="9983"/>
    <cellStyle name="Normal 43 18 4 2" xfId="39409"/>
    <cellStyle name="Normal 43 18 5" xfId="39410"/>
    <cellStyle name="Normal 43 18_01-04-2012" xfId="9984"/>
    <cellStyle name="Normal 43 19" xfId="9985"/>
    <cellStyle name="Normal 43 19 2" xfId="9986"/>
    <cellStyle name="Normal 43 19 2 2" xfId="39411"/>
    <cellStyle name="Normal 43 19 3" xfId="9987"/>
    <cellStyle name="Normal 43 19 3 2" xfId="39412"/>
    <cellStyle name="Normal 43 19 4" xfId="9988"/>
    <cellStyle name="Normal 43 19 4 2" xfId="39413"/>
    <cellStyle name="Normal 43 19 5" xfId="39414"/>
    <cellStyle name="Normal 43 19_01-04-2012" xfId="9989"/>
    <cellStyle name="Normal 43 2" xfId="9990"/>
    <cellStyle name="Normal 43 2 2" xfId="9991"/>
    <cellStyle name="Normal 43 2 2 2" xfId="39415"/>
    <cellStyle name="Normal 43 2 3" xfId="9992"/>
    <cellStyle name="Normal 43 2 3 2" xfId="39416"/>
    <cellStyle name="Normal 43 2 4" xfId="9993"/>
    <cellStyle name="Normal 43 2 4 2" xfId="39417"/>
    <cellStyle name="Normal 43 2 5" xfId="20907"/>
    <cellStyle name="Normal 43 2 5 2" xfId="39418"/>
    <cellStyle name="Normal 43 2_01-04-2012" xfId="9994"/>
    <cellStyle name="Normal 43 20" xfId="9995"/>
    <cellStyle name="Normal 43 20 2" xfId="9996"/>
    <cellStyle name="Normal 43 20 2 2" xfId="39419"/>
    <cellStyle name="Normal 43 20 3" xfId="9997"/>
    <cellStyle name="Normal 43 20 3 2" xfId="39420"/>
    <cellStyle name="Normal 43 20 4" xfId="9998"/>
    <cellStyle name="Normal 43 20 4 2" xfId="39421"/>
    <cellStyle name="Normal 43 20 5" xfId="39422"/>
    <cellStyle name="Normal 43 20_01-04-2012" xfId="9999"/>
    <cellStyle name="Normal 43 21" xfId="10000"/>
    <cellStyle name="Normal 43 21 2" xfId="10001"/>
    <cellStyle name="Normal 43 21 2 2" xfId="39423"/>
    <cellStyle name="Normal 43 21 3" xfId="10002"/>
    <cellStyle name="Normal 43 21 3 2" xfId="39424"/>
    <cellStyle name="Normal 43 21 4" xfId="10003"/>
    <cellStyle name="Normal 43 21 4 2" xfId="39425"/>
    <cellStyle name="Normal 43 21 5" xfId="39426"/>
    <cellStyle name="Normal 43 21_01-04-2012" xfId="10004"/>
    <cellStyle name="Normal 43 22" xfId="10005"/>
    <cellStyle name="Normal 43 22 2" xfId="10006"/>
    <cellStyle name="Normal 43 22 2 2" xfId="39427"/>
    <cellStyle name="Normal 43 22 3" xfId="10007"/>
    <cellStyle name="Normal 43 22 3 2" xfId="39428"/>
    <cellStyle name="Normal 43 22 4" xfId="10008"/>
    <cellStyle name="Normal 43 22 4 2" xfId="39429"/>
    <cellStyle name="Normal 43 22 5" xfId="39430"/>
    <cellStyle name="Normal 43 22_01-04-2012" xfId="10009"/>
    <cellStyle name="Normal 43 23" xfId="10010"/>
    <cellStyle name="Normal 43 23 2" xfId="10011"/>
    <cellStyle name="Normal 43 23 2 2" xfId="39431"/>
    <cellStyle name="Normal 43 23 3" xfId="10012"/>
    <cellStyle name="Normal 43 23 3 2" xfId="39432"/>
    <cellStyle name="Normal 43 23 4" xfId="10013"/>
    <cellStyle name="Normal 43 23 4 2" xfId="39433"/>
    <cellStyle name="Normal 43 23 5" xfId="39434"/>
    <cellStyle name="Normal 43 23_01-04-2012" xfId="10014"/>
    <cellStyle name="Normal 43 24" xfId="10015"/>
    <cellStyle name="Normal 43 24 2" xfId="10016"/>
    <cellStyle name="Normal 43 24 2 2" xfId="39435"/>
    <cellStyle name="Normal 43 24 3" xfId="10017"/>
    <cellStyle name="Normal 43 24 3 2" xfId="39436"/>
    <cellStyle name="Normal 43 24 4" xfId="10018"/>
    <cellStyle name="Normal 43 24 4 2" xfId="39437"/>
    <cellStyle name="Normal 43 24 5" xfId="39438"/>
    <cellStyle name="Normal 43 24_01-04-2012" xfId="10019"/>
    <cellStyle name="Normal 43 25" xfId="10020"/>
    <cellStyle name="Normal 43 25 2" xfId="10021"/>
    <cellStyle name="Normal 43 25 2 2" xfId="39439"/>
    <cellStyle name="Normal 43 25 3" xfId="10022"/>
    <cellStyle name="Normal 43 25 3 2" xfId="39440"/>
    <cellStyle name="Normal 43 25 4" xfId="10023"/>
    <cellStyle name="Normal 43 25 4 2" xfId="39441"/>
    <cellStyle name="Normal 43 25 5" xfId="39442"/>
    <cellStyle name="Normal 43 25_01-04-2012" xfId="10024"/>
    <cellStyle name="Normal 43 26" xfId="10025"/>
    <cellStyle name="Normal 43 26 2" xfId="10026"/>
    <cellStyle name="Normal 43 26 2 2" xfId="39443"/>
    <cellStyle name="Normal 43 26 3" xfId="10027"/>
    <cellStyle name="Normal 43 26 3 2" xfId="39444"/>
    <cellStyle name="Normal 43 26 4" xfId="10028"/>
    <cellStyle name="Normal 43 26 4 2" xfId="39445"/>
    <cellStyle name="Normal 43 26 5" xfId="39446"/>
    <cellStyle name="Normal 43 26_01-04-2012" xfId="10029"/>
    <cellStyle name="Normal 43 27" xfId="10030"/>
    <cellStyle name="Normal 43 27 2" xfId="10031"/>
    <cellStyle name="Normal 43 27 2 2" xfId="39447"/>
    <cellStyle name="Normal 43 27 3" xfId="10032"/>
    <cellStyle name="Normal 43 27 3 2" xfId="39448"/>
    <cellStyle name="Normal 43 27 4" xfId="10033"/>
    <cellStyle name="Normal 43 27 4 2" xfId="39449"/>
    <cellStyle name="Normal 43 27 5" xfId="39450"/>
    <cellStyle name="Normal 43 27_01-04-2012" xfId="10034"/>
    <cellStyle name="Normal 43 28" xfId="10035"/>
    <cellStyle name="Normal 43 28 2" xfId="10036"/>
    <cellStyle name="Normal 43 28 2 2" xfId="39451"/>
    <cellStyle name="Normal 43 28 3" xfId="10037"/>
    <cellStyle name="Normal 43 28 3 2" xfId="39452"/>
    <cellStyle name="Normal 43 28 4" xfId="10038"/>
    <cellStyle name="Normal 43 28 4 2" xfId="39453"/>
    <cellStyle name="Normal 43 28 5" xfId="39454"/>
    <cellStyle name="Normal 43 28_01-04-2012" xfId="10039"/>
    <cellStyle name="Normal 43 29" xfId="10040"/>
    <cellStyle name="Normal 43 29 2" xfId="10041"/>
    <cellStyle name="Normal 43 29 2 2" xfId="39455"/>
    <cellStyle name="Normal 43 29 3" xfId="10042"/>
    <cellStyle name="Normal 43 29 3 2" xfId="39456"/>
    <cellStyle name="Normal 43 29 4" xfId="10043"/>
    <cellStyle name="Normal 43 29 4 2" xfId="39457"/>
    <cellStyle name="Normal 43 29 5" xfId="39458"/>
    <cellStyle name="Normal 43 29_01-04-2012" xfId="10044"/>
    <cellStyle name="Normal 43 3" xfId="10045"/>
    <cellStyle name="Normal 43 3 2" xfId="10046"/>
    <cellStyle name="Normal 43 3 2 2" xfId="39459"/>
    <cellStyle name="Normal 43 3 3" xfId="10047"/>
    <cellStyle name="Normal 43 3 3 2" xfId="39460"/>
    <cellStyle name="Normal 43 3 4" xfId="10048"/>
    <cellStyle name="Normal 43 3 4 2" xfId="39461"/>
    <cellStyle name="Normal 43 3 5" xfId="33740"/>
    <cellStyle name="Normal 43 3 5 2" xfId="39462"/>
    <cellStyle name="Normal 43 3_01-04-2012" xfId="10049"/>
    <cellStyle name="Normal 43 30" xfId="10050"/>
    <cellStyle name="Normal 43 30 2" xfId="10051"/>
    <cellStyle name="Normal 43 30 2 2" xfId="39463"/>
    <cellStyle name="Normal 43 30 3" xfId="10052"/>
    <cellStyle name="Normal 43 30 3 2" xfId="39464"/>
    <cellStyle name="Normal 43 30 4" xfId="10053"/>
    <cellStyle name="Normal 43 30 4 2" xfId="39465"/>
    <cellStyle name="Normal 43 30 5" xfId="39466"/>
    <cellStyle name="Normal 43 30_01-04-2012" xfId="10054"/>
    <cellStyle name="Normal 43 31" xfId="10055"/>
    <cellStyle name="Normal 43 31 2" xfId="10056"/>
    <cellStyle name="Normal 43 31 2 2" xfId="39467"/>
    <cellStyle name="Normal 43 31 3" xfId="10057"/>
    <cellStyle name="Normal 43 31 3 2" xfId="39468"/>
    <cellStyle name="Normal 43 31 4" xfId="10058"/>
    <cellStyle name="Normal 43 31 4 2" xfId="39469"/>
    <cellStyle name="Normal 43 31 5" xfId="39470"/>
    <cellStyle name="Normal 43 31_01-04-2012" xfId="10059"/>
    <cellStyle name="Normal 43 32" xfId="10060"/>
    <cellStyle name="Normal 43 32 2" xfId="10061"/>
    <cellStyle name="Normal 43 32 2 2" xfId="39471"/>
    <cellStyle name="Normal 43 32 3" xfId="10062"/>
    <cellStyle name="Normal 43 32 3 2" xfId="39472"/>
    <cellStyle name="Normal 43 32 4" xfId="10063"/>
    <cellStyle name="Normal 43 32 4 2" xfId="39473"/>
    <cellStyle name="Normal 43 32 5" xfId="39474"/>
    <cellStyle name="Normal 43 32_01-04-2012" xfId="10064"/>
    <cellStyle name="Normal 43 33" xfId="10065"/>
    <cellStyle name="Normal 43 33 2" xfId="10066"/>
    <cellStyle name="Normal 43 33 2 2" xfId="39475"/>
    <cellStyle name="Normal 43 33 3" xfId="10067"/>
    <cellStyle name="Normal 43 33 3 2" xfId="39476"/>
    <cellStyle name="Normal 43 33 4" xfId="10068"/>
    <cellStyle name="Normal 43 33 4 2" xfId="39477"/>
    <cellStyle name="Normal 43 33 5" xfId="39478"/>
    <cellStyle name="Normal 43 33_01-04-2012" xfId="10069"/>
    <cellStyle name="Normal 43 34" xfId="10070"/>
    <cellStyle name="Normal 43 34 2" xfId="10071"/>
    <cellStyle name="Normal 43 34 2 2" xfId="39479"/>
    <cellStyle name="Normal 43 34 3" xfId="10072"/>
    <cellStyle name="Normal 43 34 3 2" xfId="39480"/>
    <cellStyle name="Normal 43 34 4" xfId="10073"/>
    <cellStyle name="Normal 43 34 4 2" xfId="39481"/>
    <cellStyle name="Normal 43 34 5" xfId="39482"/>
    <cellStyle name="Normal 43 34_01-04-2012" xfId="10074"/>
    <cellStyle name="Normal 43 35" xfId="10075"/>
    <cellStyle name="Normal 43 35 2" xfId="10076"/>
    <cellStyle name="Normal 43 35 2 2" xfId="39483"/>
    <cellStyle name="Normal 43 35 3" xfId="10077"/>
    <cellStyle name="Normal 43 35 3 2" xfId="39484"/>
    <cellStyle name="Normal 43 35 4" xfId="10078"/>
    <cellStyle name="Normal 43 35 4 2" xfId="39485"/>
    <cellStyle name="Normal 43 35 5" xfId="39486"/>
    <cellStyle name="Normal 43 35_01-04-2012" xfId="10079"/>
    <cellStyle name="Normal 43 36" xfId="10080"/>
    <cellStyle name="Normal 43 36 2" xfId="10081"/>
    <cellStyle name="Normal 43 36 2 2" xfId="39487"/>
    <cellStyle name="Normal 43 36 3" xfId="10082"/>
    <cellStyle name="Normal 43 36 3 2" xfId="39488"/>
    <cellStyle name="Normal 43 36 4" xfId="10083"/>
    <cellStyle name="Normal 43 36 4 2" xfId="39489"/>
    <cellStyle name="Normal 43 36 5" xfId="39490"/>
    <cellStyle name="Normal 43 36_01-04-2012" xfId="10084"/>
    <cellStyle name="Normal 43 37" xfId="10085"/>
    <cellStyle name="Normal 43 37 2" xfId="10086"/>
    <cellStyle name="Normal 43 37 2 2" xfId="39491"/>
    <cellStyle name="Normal 43 37 3" xfId="10087"/>
    <cellStyle name="Normal 43 37 3 2" xfId="39492"/>
    <cellStyle name="Normal 43 37 4" xfId="10088"/>
    <cellStyle name="Normal 43 37 4 2" xfId="39493"/>
    <cellStyle name="Normal 43 37 5" xfId="39494"/>
    <cellStyle name="Normal 43 37_01-04-2012" xfId="10089"/>
    <cellStyle name="Normal 43 38" xfId="10090"/>
    <cellStyle name="Normal 43 38 2" xfId="10091"/>
    <cellStyle name="Normal 43 38 2 2" xfId="39495"/>
    <cellStyle name="Normal 43 38 3" xfId="10092"/>
    <cellStyle name="Normal 43 38 3 2" xfId="39496"/>
    <cellStyle name="Normal 43 38 4" xfId="10093"/>
    <cellStyle name="Normal 43 38 4 2" xfId="39497"/>
    <cellStyle name="Normal 43 38 5" xfId="39498"/>
    <cellStyle name="Normal 43 38_01-04-2012" xfId="10094"/>
    <cellStyle name="Normal 43 39" xfId="10095"/>
    <cellStyle name="Normal 43 39 2" xfId="10096"/>
    <cellStyle name="Normal 43 39 2 2" xfId="39499"/>
    <cellStyle name="Normal 43 39 3" xfId="10097"/>
    <cellStyle name="Normal 43 39 3 2" xfId="39500"/>
    <cellStyle name="Normal 43 39 4" xfId="10098"/>
    <cellStyle name="Normal 43 39 4 2" xfId="39501"/>
    <cellStyle name="Normal 43 39 5" xfId="39502"/>
    <cellStyle name="Normal 43 39_01-04-2012" xfId="10099"/>
    <cellStyle name="Normal 43 4" xfId="10100"/>
    <cellStyle name="Normal 43 4 2" xfId="10101"/>
    <cellStyle name="Normal 43 4 2 2" xfId="39503"/>
    <cellStyle name="Normal 43 4 3" xfId="10102"/>
    <cellStyle name="Normal 43 4 3 2" xfId="39504"/>
    <cellStyle name="Normal 43 4 4" xfId="10103"/>
    <cellStyle name="Normal 43 4 4 2" xfId="39505"/>
    <cellStyle name="Normal 43 4 5" xfId="39506"/>
    <cellStyle name="Normal 43 4_01-04-2012" xfId="10104"/>
    <cellStyle name="Normal 43 40" xfId="10105"/>
    <cellStyle name="Normal 43 40 2" xfId="10106"/>
    <cellStyle name="Normal 43 40 2 2" xfId="39507"/>
    <cellStyle name="Normal 43 40 3" xfId="10107"/>
    <cellStyle name="Normal 43 40 3 2" xfId="39508"/>
    <cellStyle name="Normal 43 40 4" xfId="10108"/>
    <cellStyle name="Normal 43 40 4 2" xfId="39509"/>
    <cellStyle name="Normal 43 40 5" xfId="39510"/>
    <cellStyle name="Normal 43 40_01-04-2012" xfId="10109"/>
    <cellStyle name="Normal 43 41" xfId="10110"/>
    <cellStyle name="Normal 43 41 2" xfId="10111"/>
    <cellStyle name="Normal 43 41 2 2" xfId="39511"/>
    <cellStyle name="Normal 43 41 3" xfId="10112"/>
    <cellStyle name="Normal 43 41 3 2" xfId="39512"/>
    <cellStyle name="Normal 43 41 4" xfId="10113"/>
    <cellStyle name="Normal 43 41 4 2" xfId="39513"/>
    <cellStyle name="Normal 43 41 5" xfId="39514"/>
    <cellStyle name="Normal 43 41_01-04-2012" xfId="10114"/>
    <cellStyle name="Normal 43 42" xfId="10115"/>
    <cellStyle name="Normal 43 42 2" xfId="10116"/>
    <cellStyle name="Normal 43 42 2 2" xfId="39515"/>
    <cellStyle name="Normal 43 42 3" xfId="10117"/>
    <cellStyle name="Normal 43 42 3 2" xfId="39516"/>
    <cellStyle name="Normal 43 42 4" xfId="10118"/>
    <cellStyle name="Normal 43 42 4 2" xfId="39517"/>
    <cellStyle name="Normal 43 42 5" xfId="39518"/>
    <cellStyle name="Normal 43 42_01-04-2012" xfId="10119"/>
    <cellStyle name="Normal 43 43" xfId="10120"/>
    <cellStyle name="Normal 43 43 2" xfId="10121"/>
    <cellStyle name="Normal 43 43 2 2" xfId="39519"/>
    <cellStyle name="Normal 43 43 3" xfId="10122"/>
    <cellStyle name="Normal 43 43 3 2" xfId="39520"/>
    <cellStyle name="Normal 43 43 4" xfId="10123"/>
    <cellStyle name="Normal 43 43 4 2" xfId="39521"/>
    <cellStyle name="Normal 43 43 5" xfId="39522"/>
    <cellStyle name="Normal 43 43_01-04-2012" xfId="10124"/>
    <cellStyle name="Normal 43 44" xfId="10125"/>
    <cellStyle name="Normal 43 44 2" xfId="10126"/>
    <cellStyle name="Normal 43 44 2 2" xfId="39523"/>
    <cellStyle name="Normal 43 44 3" xfId="10127"/>
    <cellStyle name="Normal 43 44 3 2" xfId="39524"/>
    <cellStyle name="Normal 43 44 4" xfId="10128"/>
    <cellStyle name="Normal 43 44 4 2" xfId="39525"/>
    <cellStyle name="Normal 43 44 5" xfId="39526"/>
    <cellStyle name="Normal 43 44_01-04-2012" xfId="10129"/>
    <cellStyle name="Normal 43 45" xfId="10130"/>
    <cellStyle name="Normal 43 45 2" xfId="10131"/>
    <cellStyle name="Normal 43 45 2 2" xfId="39527"/>
    <cellStyle name="Normal 43 45 3" xfId="10132"/>
    <cellStyle name="Normal 43 45 3 2" xfId="39528"/>
    <cellStyle name="Normal 43 45 4" xfId="10133"/>
    <cellStyle name="Normal 43 45 4 2" xfId="39529"/>
    <cellStyle name="Normal 43 45 5" xfId="39530"/>
    <cellStyle name="Normal 43 45_01-04-2012" xfId="10134"/>
    <cellStyle name="Normal 43 46" xfId="10135"/>
    <cellStyle name="Normal 43 46 2" xfId="10136"/>
    <cellStyle name="Normal 43 46 2 2" xfId="39531"/>
    <cellStyle name="Normal 43 46 3" xfId="10137"/>
    <cellStyle name="Normal 43 46 3 2" xfId="39532"/>
    <cellStyle name="Normal 43 46 4" xfId="10138"/>
    <cellStyle name="Normal 43 46 4 2" xfId="39533"/>
    <cellStyle name="Normal 43 46 5" xfId="39534"/>
    <cellStyle name="Normal 43 46_01-04-2012" xfId="10139"/>
    <cellStyle name="Normal 43 47" xfId="10140"/>
    <cellStyle name="Normal 43 47 2" xfId="39535"/>
    <cellStyle name="Normal 43 48" xfId="10141"/>
    <cellStyle name="Normal 43 48 2" xfId="39536"/>
    <cellStyle name="Normal 43 49" xfId="10142"/>
    <cellStyle name="Normal 43 49 2" xfId="39537"/>
    <cellStyle name="Normal 43 5" xfId="10143"/>
    <cellStyle name="Normal 43 5 2" xfId="10144"/>
    <cellStyle name="Normal 43 5 2 2" xfId="39538"/>
    <cellStyle name="Normal 43 5 3" xfId="10145"/>
    <cellStyle name="Normal 43 5 3 2" xfId="39539"/>
    <cellStyle name="Normal 43 5 4" xfId="10146"/>
    <cellStyle name="Normal 43 5 4 2" xfId="39540"/>
    <cellStyle name="Normal 43 5 5" xfId="39541"/>
    <cellStyle name="Normal 43 5_01-04-2012" xfId="10147"/>
    <cellStyle name="Normal 43 50" xfId="20908"/>
    <cellStyle name="Normal 43 50 2" xfId="39542"/>
    <cellStyle name="Normal 43 51" xfId="20909"/>
    <cellStyle name="Normal 43 52" xfId="20910"/>
    <cellStyle name="Normal 43 53" xfId="20911"/>
    <cellStyle name="Normal 43 54" xfId="20912"/>
    <cellStyle name="Normal 43 55" xfId="20913"/>
    <cellStyle name="Normal 43 56" xfId="33739"/>
    <cellStyle name="Normal 43 6" xfId="10148"/>
    <cellStyle name="Normal 43 6 2" xfId="10149"/>
    <cellStyle name="Normal 43 6 2 2" xfId="39543"/>
    <cellStyle name="Normal 43 6 3" xfId="10150"/>
    <cellStyle name="Normal 43 6 3 2" xfId="39544"/>
    <cellStyle name="Normal 43 6 4" xfId="10151"/>
    <cellStyle name="Normal 43 6 4 2" xfId="39545"/>
    <cellStyle name="Normal 43 6 5" xfId="39546"/>
    <cellStyle name="Normal 43 6_01-04-2012" xfId="10152"/>
    <cellStyle name="Normal 43 7" xfId="10153"/>
    <cellStyle name="Normal 43 7 2" xfId="10154"/>
    <cellStyle name="Normal 43 7 2 2" xfId="39547"/>
    <cellStyle name="Normal 43 7 3" xfId="10155"/>
    <cellStyle name="Normal 43 7 3 2" xfId="39548"/>
    <cellStyle name="Normal 43 7 4" xfId="10156"/>
    <cellStyle name="Normal 43 7 4 2" xfId="39549"/>
    <cellStyle name="Normal 43 7 5" xfId="39550"/>
    <cellStyle name="Normal 43 7_01-04-2012" xfId="10157"/>
    <cellStyle name="Normal 43 8" xfId="10158"/>
    <cellStyle name="Normal 43 8 2" xfId="10159"/>
    <cellStyle name="Normal 43 8 2 2" xfId="39551"/>
    <cellStyle name="Normal 43 8 3" xfId="10160"/>
    <cellStyle name="Normal 43 8 3 2" xfId="39552"/>
    <cellStyle name="Normal 43 8 4" xfId="10161"/>
    <cellStyle name="Normal 43 8 4 2" xfId="39553"/>
    <cellStyle name="Normal 43 8 5" xfId="39554"/>
    <cellStyle name="Normal 43 8_01-04-2012" xfId="10162"/>
    <cellStyle name="Normal 43 9" xfId="10163"/>
    <cellStyle name="Normal 43 9 2" xfId="10164"/>
    <cellStyle name="Normal 43 9 2 2" xfId="39555"/>
    <cellStyle name="Normal 43 9 3" xfId="10165"/>
    <cellStyle name="Normal 43 9 3 2" xfId="39556"/>
    <cellStyle name="Normal 43 9 4" xfId="10166"/>
    <cellStyle name="Normal 43 9 4 2" xfId="39557"/>
    <cellStyle name="Normal 43 9 5" xfId="39558"/>
    <cellStyle name="Normal 43 9_01-04-2012" xfId="10167"/>
    <cellStyle name="Normal 43_01-04-2012" xfId="10168"/>
    <cellStyle name="Normal 430" xfId="20914"/>
    <cellStyle name="Normal 431" xfId="20915"/>
    <cellStyle name="Normal 432" xfId="20916"/>
    <cellStyle name="Normal 433" xfId="20917"/>
    <cellStyle name="Normal 434" xfId="20918"/>
    <cellStyle name="Normal 435" xfId="20919"/>
    <cellStyle name="Normal 436" xfId="20920"/>
    <cellStyle name="Normal 437" xfId="20921"/>
    <cellStyle name="Normal 438" xfId="20922"/>
    <cellStyle name="Normal 439" xfId="20923"/>
    <cellStyle name="Normal 44" xfId="10169"/>
    <cellStyle name="Normal 44 10" xfId="10170"/>
    <cellStyle name="Normal 44 10 2" xfId="10171"/>
    <cellStyle name="Normal 44 10 2 2" xfId="39559"/>
    <cellStyle name="Normal 44 10 3" xfId="10172"/>
    <cellStyle name="Normal 44 10 3 2" xfId="39560"/>
    <cellStyle name="Normal 44 10 4" xfId="10173"/>
    <cellStyle name="Normal 44 10 4 2" xfId="39561"/>
    <cellStyle name="Normal 44 10 5" xfId="39562"/>
    <cellStyle name="Normal 44 10_01-04-2012" xfId="10174"/>
    <cellStyle name="Normal 44 11" xfId="10175"/>
    <cellStyle name="Normal 44 11 2" xfId="10176"/>
    <cellStyle name="Normal 44 11 2 2" xfId="39563"/>
    <cellStyle name="Normal 44 11 3" xfId="10177"/>
    <cellStyle name="Normal 44 11 3 2" xfId="39564"/>
    <cellStyle name="Normal 44 11 4" xfId="10178"/>
    <cellStyle name="Normal 44 11 4 2" xfId="39565"/>
    <cellStyle name="Normal 44 11 5" xfId="39566"/>
    <cellStyle name="Normal 44 11_01-04-2012" xfId="10179"/>
    <cellStyle name="Normal 44 12" xfId="10180"/>
    <cellStyle name="Normal 44 12 2" xfId="10181"/>
    <cellStyle name="Normal 44 12 2 2" xfId="39567"/>
    <cellStyle name="Normal 44 12 3" xfId="10182"/>
    <cellStyle name="Normal 44 12 3 2" xfId="39568"/>
    <cellStyle name="Normal 44 12 4" xfId="10183"/>
    <cellStyle name="Normal 44 12 4 2" xfId="39569"/>
    <cellStyle name="Normal 44 12 5" xfId="39570"/>
    <cellStyle name="Normal 44 12_01-04-2012" xfId="10184"/>
    <cellStyle name="Normal 44 13" xfId="10185"/>
    <cellStyle name="Normal 44 13 2" xfId="10186"/>
    <cellStyle name="Normal 44 13 2 2" xfId="39571"/>
    <cellStyle name="Normal 44 13 3" xfId="10187"/>
    <cellStyle name="Normal 44 13 3 2" xfId="39572"/>
    <cellStyle name="Normal 44 13 4" xfId="10188"/>
    <cellStyle name="Normal 44 13 4 2" xfId="39573"/>
    <cellStyle name="Normal 44 13 5" xfId="39574"/>
    <cellStyle name="Normal 44 13_01-04-2012" xfId="10189"/>
    <cellStyle name="Normal 44 14" xfId="10190"/>
    <cellStyle name="Normal 44 14 2" xfId="10191"/>
    <cellStyle name="Normal 44 14 2 2" xfId="39575"/>
    <cellStyle name="Normal 44 14 3" xfId="10192"/>
    <cellStyle name="Normal 44 14 3 2" xfId="39576"/>
    <cellStyle name="Normal 44 14 4" xfId="10193"/>
    <cellStyle name="Normal 44 14 4 2" xfId="39577"/>
    <cellStyle name="Normal 44 14 5" xfId="39578"/>
    <cellStyle name="Normal 44 14_01-04-2012" xfId="10194"/>
    <cellStyle name="Normal 44 15" xfId="10195"/>
    <cellStyle name="Normal 44 15 2" xfId="10196"/>
    <cellStyle name="Normal 44 15 2 2" xfId="39579"/>
    <cellStyle name="Normal 44 15 3" xfId="10197"/>
    <cellStyle name="Normal 44 15 3 2" xfId="39580"/>
    <cellStyle name="Normal 44 15 4" xfId="10198"/>
    <cellStyle name="Normal 44 15 4 2" xfId="39581"/>
    <cellStyle name="Normal 44 15 5" xfId="39582"/>
    <cellStyle name="Normal 44 15_01-04-2012" xfId="10199"/>
    <cellStyle name="Normal 44 16" xfId="10200"/>
    <cellStyle name="Normal 44 16 2" xfId="10201"/>
    <cellStyle name="Normal 44 16 2 2" xfId="39583"/>
    <cellStyle name="Normal 44 16 3" xfId="10202"/>
    <cellStyle name="Normal 44 16 3 2" xfId="39584"/>
    <cellStyle name="Normal 44 16 4" xfId="10203"/>
    <cellStyle name="Normal 44 16 4 2" xfId="39585"/>
    <cellStyle name="Normal 44 16 5" xfId="39586"/>
    <cellStyle name="Normal 44 16_01-04-2012" xfId="10204"/>
    <cellStyle name="Normal 44 17" xfId="10205"/>
    <cellStyle name="Normal 44 17 2" xfId="10206"/>
    <cellStyle name="Normal 44 17 2 2" xfId="39587"/>
    <cellStyle name="Normal 44 17 3" xfId="10207"/>
    <cellStyle name="Normal 44 17 3 2" xfId="39588"/>
    <cellStyle name="Normal 44 17 4" xfId="10208"/>
    <cellStyle name="Normal 44 17 4 2" xfId="39589"/>
    <cellStyle name="Normal 44 17 5" xfId="39590"/>
    <cellStyle name="Normal 44 17_01-04-2012" xfId="10209"/>
    <cellStyle name="Normal 44 18" xfId="10210"/>
    <cellStyle name="Normal 44 18 2" xfId="10211"/>
    <cellStyle name="Normal 44 18 2 2" xfId="39591"/>
    <cellStyle name="Normal 44 18 3" xfId="10212"/>
    <cellStyle name="Normal 44 18 3 2" xfId="39592"/>
    <cellStyle name="Normal 44 18 4" xfId="10213"/>
    <cellStyle name="Normal 44 18 4 2" xfId="39593"/>
    <cellStyle name="Normal 44 18 5" xfId="39594"/>
    <cellStyle name="Normal 44 18_01-04-2012" xfId="10214"/>
    <cellStyle name="Normal 44 19" xfId="10215"/>
    <cellStyle name="Normal 44 19 2" xfId="10216"/>
    <cellStyle name="Normal 44 19 2 2" xfId="39595"/>
    <cellStyle name="Normal 44 19 3" xfId="10217"/>
    <cellStyle name="Normal 44 19 3 2" xfId="39596"/>
    <cellStyle name="Normal 44 19 4" xfId="10218"/>
    <cellStyle name="Normal 44 19 4 2" xfId="39597"/>
    <cellStyle name="Normal 44 19 5" xfId="39598"/>
    <cellStyle name="Normal 44 19_01-04-2012" xfId="10219"/>
    <cellStyle name="Normal 44 2" xfId="10220"/>
    <cellStyle name="Normal 44 2 2" xfId="10221"/>
    <cellStyle name="Normal 44 2 2 2" xfId="39599"/>
    <cellStyle name="Normal 44 2 3" xfId="10222"/>
    <cellStyle name="Normal 44 2 3 2" xfId="39600"/>
    <cellStyle name="Normal 44 2 4" xfId="10223"/>
    <cellStyle name="Normal 44 2 4 2" xfId="39601"/>
    <cellStyle name="Normal 44 2 5" xfId="20924"/>
    <cellStyle name="Normal 44 2 5 2" xfId="39602"/>
    <cellStyle name="Normal 44 2_01-04-2012" xfId="10224"/>
    <cellStyle name="Normal 44 20" xfId="10225"/>
    <cellStyle name="Normal 44 20 2" xfId="10226"/>
    <cellStyle name="Normal 44 20 2 2" xfId="39603"/>
    <cellStyle name="Normal 44 20 3" xfId="10227"/>
    <cellStyle name="Normal 44 20 3 2" xfId="39604"/>
    <cellStyle name="Normal 44 20 4" xfId="10228"/>
    <cellStyle name="Normal 44 20 4 2" xfId="39605"/>
    <cellStyle name="Normal 44 20 5" xfId="39606"/>
    <cellStyle name="Normal 44 20_01-04-2012" xfId="10229"/>
    <cellStyle name="Normal 44 21" xfId="10230"/>
    <cellStyle name="Normal 44 21 2" xfId="10231"/>
    <cellStyle name="Normal 44 21 2 2" xfId="39607"/>
    <cellStyle name="Normal 44 21 3" xfId="10232"/>
    <cellStyle name="Normal 44 21 3 2" xfId="39608"/>
    <cellStyle name="Normal 44 21 4" xfId="10233"/>
    <cellStyle name="Normal 44 21 4 2" xfId="39609"/>
    <cellStyle name="Normal 44 21 5" xfId="39610"/>
    <cellStyle name="Normal 44 21_01-04-2012" xfId="10234"/>
    <cellStyle name="Normal 44 22" xfId="10235"/>
    <cellStyle name="Normal 44 22 2" xfId="10236"/>
    <cellStyle name="Normal 44 22 2 2" xfId="39611"/>
    <cellStyle name="Normal 44 22 3" xfId="10237"/>
    <cellStyle name="Normal 44 22 3 2" xfId="39612"/>
    <cellStyle name="Normal 44 22 4" xfId="10238"/>
    <cellStyle name="Normal 44 22 4 2" xfId="39613"/>
    <cellStyle name="Normal 44 22 5" xfId="39614"/>
    <cellStyle name="Normal 44 22_01-04-2012" xfId="10239"/>
    <cellStyle name="Normal 44 23" xfId="10240"/>
    <cellStyle name="Normal 44 23 2" xfId="10241"/>
    <cellStyle name="Normal 44 23 2 2" xfId="39615"/>
    <cellStyle name="Normal 44 23 3" xfId="10242"/>
    <cellStyle name="Normal 44 23 3 2" xfId="39616"/>
    <cellStyle name="Normal 44 23 4" xfId="10243"/>
    <cellStyle name="Normal 44 23 4 2" xfId="39617"/>
    <cellStyle name="Normal 44 23 5" xfId="39618"/>
    <cellStyle name="Normal 44 23_01-04-2012" xfId="10244"/>
    <cellStyle name="Normal 44 24" xfId="10245"/>
    <cellStyle name="Normal 44 24 2" xfId="10246"/>
    <cellStyle name="Normal 44 24 2 2" xfId="39619"/>
    <cellStyle name="Normal 44 24 3" xfId="10247"/>
    <cellStyle name="Normal 44 24 3 2" xfId="39620"/>
    <cellStyle name="Normal 44 24 4" xfId="10248"/>
    <cellStyle name="Normal 44 24 4 2" xfId="39621"/>
    <cellStyle name="Normal 44 24 5" xfId="39622"/>
    <cellStyle name="Normal 44 24_01-04-2012" xfId="10249"/>
    <cellStyle name="Normal 44 25" xfId="10250"/>
    <cellStyle name="Normal 44 25 2" xfId="10251"/>
    <cellStyle name="Normal 44 25 2 2" xfId="39623"/>
    <cellStyle name="Normal 44 25 3" xfId="10252"/>
    <cellStyle name="Normal 44 25 3 2" xfId="39624"/>
    <cellStyle name="Normal 44 25 4" xfId="10253"/>
    <cellStyle name="Normal 44 25 4 2" xfId="39625"/>
    <cellStyle name="Normal 44 25 5" xfId="39626"/>
    <cellStyle name="Normal 44 25_01-04-2012" xfId="10254"/>
    <cellStyle name="Normal 44 26" xfId="10255"/>
    <cellStyle name="Normal 44 26 2" xfId="10256"/>
    <cellStyle name="Normal 44 26 2 2" xfId="39627"/>
    <cellStyle name="Normal 44 26 3" xfId="10257"/>
    <cellStyle name="Normal 44 26 3 2" xfId="39628"/>
    <cellStyle name="Normal 44 26 4" xfId="10258"/>
    <cellStyle name="Normal 44 26 4 2" xfId="39629"/>
    <cellStyle name="Normal 44 26 5" xfId="39630"/>
    <cellStyle name="Normal 44 26_01-04-2012" xfId="10259"/>
    <cellStyle name="Normal 44 27" xfId="10260"/>
    <cellStyle name="Normal 44 27 2" xfId="10261"/>
    <cellStyle name="Normal 44 27 2 2" xfId="39631"/>
    <cellStyle name="Normal 44 27 3" xfId="10262"/>
    <cellStyle name="Normal 44 27 3 2" xfId="39632"/>
    <cellStyle name="Normal 44 27 4" xfId="10263"/>
    <cellStyle name="Normal 44 27 4 2" xfId="39633"/>
    <cellStyle name="Normal 44 27 5" xfId="39634"/>
    <cellStyle name="Normal 44 27_01-04-2012" xfId="10264"/>
    <cellStyle name="Normal 44 28" xfId="10265"/>
    <cellStyle name="Normal 44 28 2" xfId="10266"/>
    <cellStyle name="Normal 44 28 2 2" xfId="39635"/>
    <cellStyle name="Normal 44 28 3" xfId="10267"/>
    <cellStyle name="Normal 44 28 3 2" xfId="39636"/>
    <cellStyle name="Normal 44 28 4" xfId="10268"/>
    <cellStyle name="Normal 44 28 4 2" xfId="39637"/>
    <cellStyle name="Normal 44 28 5" xfId="39638"/>
    <cellStyle name="Normal 44 28_01-04-2012" xfId="10269"/>
    <cellStyle name="Normal 44 29" xfId="10270"/>
    <cellStyle name="Normal 44 29 2" xfId="10271"/>
    <cellStyle name="Normal 44 29 2 2" xfId="39639"/>
    <cellStyle name="Normal 44 29 3" xfId="10272"/>
    <cellStyle name="Normal 44 29 3 2" xfId="39640"/>
    <cellStyle name="Normal 44 29 4" xfId="10273"/>
    <cellStyle name="Normal 44 29 4 2" xfId="39641"/>
    <cellStyle name="Normal 44 29 5" xfId="39642"/>
    <cellStyle name="Normal 44 29_01-04-2012" xfId="10274"/>
    <cellStyle name="Normal 44 3" xfId="10275"/>
    <cellStyle name="Normal 44 3 2" xfId="10276"/>
    <cellStyle name="Normal 44 3 2 2" xfId="39643"/>
    <cellStyle name="Normal 44 3 3" xfId="10277"/>
    <cellStyle name="Normal 44 3 3 2" xfId="39644"/>
    <cellStyle name="Normal 44 3 4" xfId="10278"/>
    <cellStyle name="Normal 44 3 4 2" xfId="39645"/>
    <cellStyle name="Normal 44 3 5" xfId="39646"/>
    <cellStyle name="Normal 44 3_01-04-2012" xfId="10279"/>
    <cellStyle name="Normal 44 30" xfId="10280"/>
    <cellStyle name="Normal 44 30 2" xfId="10281"/>
    <cellStyle name="Normal 44 30 2 2" xfId="39647"/>
    <cellStyle name="Normal 44 30 3" xfId="10282"/>
    <cellStyle name="Normal 44 30 3 2" xfId="39648"/>
    <cellStyle name="Normal 44 30 4" xfId="10283"/>
    <cellStyle name="Normal 44 30 4 2" xfId="39649"/>
    <cellStyle name="Normal 44 30 5" xfId="39650"/>
    <cellStyle name="Normal 44 30_01-04-2012" xfId="10284"/>
    <cellStyle name="Normal 44 31" xfId="10285"/>
    <cellStyle name="Normal 44 31 2" xfId="10286"/>
    <cellStyle name="Normal 44 31 2 2" xfId="39651"/>
    <cellStyle name="Normal 44 31 3" xfId="10287"/>
    <cellStyle name="Normal 44 31 3 2" xfId="39652"/>
    <cellStyle name="Normal 44 31 4" xfId="10288"/>
    <cellStyle name="Normal 44 31 4 2" xfId="39653"/>
    <cellStyle name="Normal 44 31 5" xfId="39654"/>
    <cellStyle name="Normal 44 31_01-04-2012" xfId="10289"/>
    <cellStyle name="Normal 44 32" xfId="10290"/>
    <cellStyle name="Normal 44 32 2" xfId="10291"/>
    <cellStyle name="Normal 44 32 2 2" xfId="39655"/>
    <cellStyle name="Normal 44 32 3" xfId="10292"/>
    <cellStyle name="Normal 44 32 3 2" xfId="39656"/>
    <cellStyle name="Normal 44 32 4" xfId="10293"/>
    <cellStyle name="Normal 44 32 4 2" xfId="39657"/>
    <cellStyle name="Normal 44 32 5" xfId="39658"/>
    <cellStyle name="Normal 44 32_01-04-2012" xfId="10294"/>
    <cellStyle name="Normal 44 33" xfId="10295"/>
    <cellStyle name="Normal 44 33 2" xfId="10296"/>
    <cellStyle name="Normal 44 33 2 2" xfId="39659"/>
    <cellStyle name="Normal 44 33 3" xfId="10297"/>
    <cellStyle name="Normal 44 33 3 2" xfId="39660"/>
    <cellStyle name="Normal 44 33 4" xfId="10298"/>
    <cellStyle name="Normal 44 33 4 2" xfId="39661"/>
    <cellStyle name="Normal 44 33 5" xfId="39662"/>
    <cellStyle name="Normal 44 33_01-04-2012" xfId="10299"/>
    <cellStyle name="Normal 44 34" xfId="10300"/>
    <cellStyle name="Normal 44 34 2" xfId="10301"/>
    <cellStyle name="Normal 44 34 2 2" xfId="39663"/>
    <cellStyle name="Normal 44 34 3" xfId="10302"/>
    <cellStyle name="Normal 44 34 3 2" xfId="39664"/>
    <cellStyle name="Normal 44 34 4" xfId="10303"/>
    <cellStyle name="Normal 44 34 4 2" xfId="39665"/>
    <cellStyle name="Normal 44 34 5" xfId="39666"/>
    <cellStyle name="Normal 44 34_01-04-2012" xfId="10304"/>
    <cellStyle name="Normal 44 35" xfId="10305"/>
    <cellStyle name="Normal 44 35 2" xfId="10306"/>
    <cellStyle name="Normal 44 35 2 2" xfId="39667"/>
    <cellStyle name="Normal 44 35 3" xfId="10307"/>
    <cellStyle name="Normal 44 35 3 2" xfId="39668"/>
    <cellStyle name="Normal 44 35 4" xfId="10308"/>
    <cellStyle name="Normal 44 35 4 2" xfId="39669"/>
    <cellStyle name="Normal 44 35 5" xfId="39670"/>
    <cellStyle name="Normal 44 35_01-04-2012" xfId="10309"/>
    <cellStyle name="Normal 44 36" xfId="10310"/>
    <cellStyle name="Normal 44 36 2" xfId="10311"/>
    <cellStyle name="Normal 44 36 2 2" xfId="39671"/>
    <cellStyle name="Normal 44 36 3" xfId="10312"/>
    <cellStyle name="Normal 44 36 3 2" xfId="39672"/>
    <cellStyle name="Normal 44 36 4" xfId="10313"/>
    <cellStyle name="Normal 44 36 4 2" xfId="39673"/>
    <cellStyle name="Normal 44 36 5" xfId="39674"/>
    <cellStyle name="Normal 44 36_01-04-2012" xfId="10314"/>
    <cellStyle name="Normal 44 37" xfId="10315"/>
    <cellStyle name="Normal 44 37 2" xfId="10316"/>
    <cellStyle name="Normal 44 37 2 2" xfId="39675"/>
    <cellStyle name="Normal 44 37 3" xfId="10317"/>
    <cellStyle name="Normal 44 37 3 2" xfId="39676"/>
    <cellStyle name="Normal 44 37 4" xfId="10318"/>
    <cellStyle name="Normal 44 37 4 2" xfId="39677"/>
    <cellStyle name="Normal 44 37 5" xfId="39678"/>
    <cellStyle name="Normal 44 37_01-04-2012" xfId="10319"/>
    <cellStyle name="Normal 44 38" xfId="10320"/>
    <cellStyle name="Normal 44 38 2" xfId="10321"/>
    <cellStyle name="Normal 44 38 2 2" xfId="39679"/>
    <cellStyle name="Normal 44 38 3" xfId="10322"/>
    <cellStyle name="Normal 44 38 3 2" xfId="39680"/>
    <cellStyle name="Normal 44 38 4" xfId="10323"/>
    <cellStyle name="Normal 44 38 4 2" xfId="39681"/>
    <cellStyle name="Normal 44 38 5" xfId="39682"/>
    <cellStyle name="Normal 44 38_01-04-2012" xfId="10324"/>
    <cellStyle name="Normal 44 39" xfId="10325"/>
    <cellStyle name="Normal 44 39 2" xfId="10326"/>
    <cellStyle name="Normal 44 39 2 2" xfId="39683"/>
    <cellStyle name="Normal 44 39 3" xfId="10327"/>
    <cellStyle name="Normal 44 39 3 2" xfId="39684"/>
    <cellStyle name="Normal 44 39 4" xfId="10328"/>
    <cellStyle name="Normal 44 39 4 2" xfId="39685"/>
    <cellStyle name="Normal 44 39 5" xfId="39686"/>
    <cellStyle name="Normal 44 39_01-04-2012" xfId="10329"/>
    <cellStyle name="Normal 44 4" xfId="10330"/>
    <cellStyle name="Normal 44 4 2" xfId="10331"/>
    <cellStyle name="Normal 44 4 2 2" xfId="39687"/>
    <cellStyle name="Normal 44 4 3" xfId="10332"/>
    <cellStyle name="Normal 44 4 3 2" xfId="39688"/>
    <cellStyle name="Normal 44 4 4" xfId="10333"/>
    <cellStyle name="Normal 44 4 4 2" xfId="39689"/>
    <cellStyle name="Normal 44 4 5" xfId="39690"/>
    <cellStyle name="Normal 44 4_01-04-2012" xfId="10334"/>
    <cellStyle name="Normal 44 40" xfId="10335"/>
    <cellStyle name="Normal 44 40 2" xfId="10336"/>
    <cellStyle name="Normal 44 40 2 2" xfId="39691"/>
    <cellStyle name="Normal 44 40 3" xfId="10337"/>
    <cellStyle name="Normal 44 40 3 2" xfId="39692"/>
    <cellStyle name="Normal 44 40 4" xfId="10338"/>
    <cellStyle name="Normal 44 40 4 2" xfId="39693"/>
    <cellStyle name="Normal 44 40 5" xfId="39694"/>
    <cellStyle name="Normal 44 40_01-04-2012" xfId="10339"/>
    <cellStyle name="Normal 44 41" xfId="10340"/>
    <cellStyle name="Normal 44 41 2" xfId="10341"/>
    <cellStyle name="Normal 44 41 2 2" xfId="39695"/>
    <cellStyle name="Normal 44 41 3" xfId="10342"/>
    <cellStyle name="Normal 44 41 3 2" xfId="39696"/>
    <cellStyle name="Normal 44 41 4" xfId="10343"/>
    <cellStyle name="Normal 44 41 4 2" xfId="39697"/>
    <cellStyle name="Normal 44 41 5" xfId="39698"/>
    <cellStyle name="Normal 44 41_01-04-2012" xfId="10344"/>
    <cellStyle name="Normal 44 42" xfId="10345"/>
    <cellStyle name="Normal 44 42 2" xfId="10346"/>
    <cellStyle name="Normal 44 42 2 2" xfId="39699"/>
    <cellStyle name="Normal 44 42 3" xfId="10347"/>
    <cellStyle name="Normal 44 42 3 2" xfId="39700"/>
    <cellStyle name="Normal 44 42 4" xfId="10348"/>
    <cellStyle name="Normal 44 42 4 2" xfId="39701"/>
    <cellStyle name="Normal 44 42 5" xfId="39702"/>
    <cellStyle name="Normal 44 42_01-04-2012" xfId="10349"/>
    <cellStyle name="Normal 44 43" xfId="10350"/>
    <cellStyle name="Normal 44 43 2" xfId="10351"/>
    <cellStyle name="Normal 44 43 2 2" xfId="39703"/>
    <cellStyle name="Normal 44 43 3" xfId="10352"/>
    <cellStyle name="Normal 44 43 3 2" xfId="39704"/>
    <cellStyle name="Normal 44 43 4" xfId="10353"/>
    <cellStyle name="Normal 44 43 4 2" xfId="39705"/>
    <cellStyle name="Normal 44 43 5" xfId="39706"/>
    <cellStyle name="Normal 44 43_01-04-2012" xfId="10354"/>
    <cellStyle name="Normal 44 44" xfId="10355"/>
    <cellStyle name="Normal 44 44 2" xfId="10356"/>
    <cellStyle name="Normal 44 44 2 2" xfId="39707"/>
    <cellStyle name="Normal 44 44 3" xfId="10357"/>
    <cellStyle name="Normal 44 44 3 2" xfId="39708"/>
    <cellStyle name="Normal 44 44 4" xfId="10358"/>
    <cellStyle name="Normal 44 44 4 2" xfId="39709"/>
    <cellStyle name="Normal 44 44 5" xfId="39710"/>
    <cellStyle name="Normal 44 44_01-04-2012" xfId="10359"/>
    <cellStyle name="Normal 44 45" xfId="10360"/>
    <cellStyle name="Normal 44 45 2" xfId="10361"/>
    <cellStyle name="Normal 44 45 2 2" xfId="39711"/>
    <cellStyle name="Normal 44 45 3" xfId="10362"/>
    <cellStyle name="Normal 44 45 3 2" xfId="39712"/>
    <cellStyle name="Normal 44 45 4" xfId="10363"/>
    <cellStyle name="Normal 44 45 4 2" xfId="39713"/>
    <cellStyle name="Normal 44 45 5" xfId="39714"/>
    <cellStyle name="Normal 44 45_01-04-2012" xfId="10364"/>
    <cellStyle name="Normal 44 46" xfId="10365"/>
    <cellStyle name="Normal 44 46 2" xfId="10366"/>
    <cellStyle name="Normal 44 46 2 2" xfId="39715"/>
    <cellStyle name="Normal 44 46 3" xfId="10367"/>
    <cellStyle name="Normal 44 46 3 2" xfId="39716"/>
    <cellStyle name="Normal 44 46 4" xfId="10368"/>
    <cellStyle name="Normal 44 46 4 2" xfId="39717"/>
    <cellStyle name="Normal 44 46 5" xfId="39718"/>
    <cellStyle name="Normal 44 46_01-04-2012" xfId="10369"/>
    <cellStyle name="Normal 44 47" xfId="10370"/>
    <cellStyle name="Normal 44 47 2" xfId="39719"/>
    <cellStyle name="Normal 44 48" xfId="10371"/>
    <cellStyle name="Normal 44 48 2" xfId="39720"/>
    <cellStyle name="Normal 44 49" xfId="10372"/>
    <cellStyle name="Normal 44 49 2" xfId="39721"/>
    <cellStyle name="Normal 44 5" xfId="10373"/>
    <cellStyle name="Normal 44 5 2" xfId="10374"/>
    <cellStyle name="Normal 44 5 2 2" xfId="39722"/>
    <cellStyle name="Normal 44 5 3" xfId="10375"/>
    <cellStyle name="Normal 44 5 3 2" xfId="39723"/>
    <cellStyle name="Normal 44 5 4" xfId="10376"/>
    <cellStyle name="Normal 44 5 4 2" xfId="39724"/>
    <cellStyle name="Normal 44 5 5" xfId="39725"/>
    <cellStyle name="Normal 44 5_01-04-2012" xfId="10377"/>
    <cellStyle name="Normal 44 50" xfId="20925"/>
    <cellStyle name="Normal 44 50 2" xfId="39726"/>
    <cellStyle name="Normal 44 51" xfId="20926"/>
    <cellStyle name="Normal 44 52" xfId="20927"/>
    <cellStyle name="Normal 44 53" xfId="20928"/>
    <cellStyle name="Normal 44 54" xfId="20929"/>
    <cellStyle name="Normal 44 55" xfId="20930"/>
    <cellStyle name="Normal 44 56" xfId="33741"/>
    <cellStyle name="Normal 44 6" xfId="10378"/>
    <cellStyle name="Normal 44 6 2" xfId="10379"/>
    <cellStyle name="Normal 44 6 2 2" xfId="39727"/>
    <cellStyle name="Normal 44 6 3" xfId="10380"/>
    <cellStyle name="Normal 44 6 3 2" xfId="39728"/>
    <cellStyle name="Normal 44 6 4" xfId="10381"/>
    <cellStyle name="Normal 44 6 4 2" xfId="39729"/>
    <cellStyle name="Normal 44 6 5" xfId="39730"/>
    <cellStyle name="Normal 44 6_01-04-2012" xfId="10382"/>
    <cellStyle name="Normal 44 7" xfId="10383"/>
    <cellStyle name="Normal 44 7 2" xfId="10384"/>
    <cellStyle name="Normal 44 7 2 2" xfId="39731"/>
    <cellStyle name="Normal 44 7 3" xfId="10385"/>
    <cellStyle name="Normal 44 7 3 2" xfId="39732"/>
    <cellStyle name="Normal 44 7 4" xfId="10386"/>
    <cellStyle name="Normal 44 7 4 2" xfId="39733"/>
    <cellStyle name="Normal 44 7 5" xfId="39734"/>
    <cellStyle name="Normal 44 7_01-04-2012" xfId="10387"/>
    <cellStyle name="Normal 44 8" xfId="10388"/>
    <cellStyle name="Normal 44 8 2" xfId="10389"/>
    <cellStyle name="Normal 44 8 2 2" xfId="39735"/>
    <cellStyle name="Normal 44 8 3" xfId="10390"/>
    <cellStyle name="Normal 44 8 3 2" xfId="39736"/>
    <cellStyle name="Normal 44 8 4" xfId="10391"/>
    <cellStyle name="Normal 44 8 4 2" xfId="39737"/>
    <cellStyle name="Normal 44 8 5" xfId="39738"/>
    <cellStyle name="Normal 44 8_01-04-2012" xfId="10392"/>
    <cellStyle name="Normal 44 9" xfId="10393"/>
    <cellStyle name="Normal 44 9 2" xfId="10394"/>
    <cellStyle name="Normal 44 9 2 2" xfId="39739"/>
    <cellStyle name="Normal 44 9 3" xfId="10395"/>
    <cellStyle name="Normal 44 9 3 2" xfId="39740"/>
    <cellStyle name="Normal 44 9 4" xfId="10396"/>
    <cellStyle name="Normal 44 9 4 2" xfId="39741"/>
    <cellStyle name="Normal 44 9 5" xfId="39742"/>
    <cellStyle name="Normal 44 9_01-04-2012" xfId="10397"/>
    <cellStyle name="Normal 44_01-04-2012" xfId="10398"/>
    <cellStyle name="Normal 440" xfId="20931"/>
    <cellStyle name="Normal 441" xfId="20932"/>
    <cellStyle name="Normal 442" xfId="20933"/>
    <cellStyle name="Normal 443" xfId="20934"/>
    <cellStyle name="Normal 444" xfId="20935"/>
    <cellStyle name="Normal 445" xfId="20936"/>
    <cellStyle name="Normal 446" xfId="20937"/>
    <cellStyle name="Normal 447" xfId="20938"/>
    <cellStyle name="Normal 448" xfId="20939"/>
    <cellStyle name="Normal 449" xfId="20940"/>
    <cellStyle name="Normal 45" xfId="10399"/>
    <cellStyle name="Normal 45 2" xfId="10400"/>
    <cellStyle name="Normal 45 2 2" xfId="20941"/>
    <cellStyle name="Normal 45 3" xfId="20942"/>
    <cellStyle name="Normal 45_01-04-2012" xfId="10401"/>
    <cellStyle name="Normal 450" xfId="20943"/>
    <cellStyle name="Normal 451" xfId="20944"/>
    <cellStyle name="Normal 452" xfId="20945"/>
    <cellStyle name="Normal 453" xfId="20946"/>
    <cellStyle name="Normal 454" xfId="20947"/>
    <cellStyle name="Normal 455" xfId="20948"/>
    <cellStyle name="Normal 456" xfId="20949"/>
    <cellStyle name="Normal 457" xfId="20950"/>
    <cellStyle name="Normal 458" xfId="20951"/>
    <cellStyle name="Normal 459" xfId="20952"/>
    <cellStyle name="Normal 46" xfId="10402"/>
    <cellStyle name="Normal 46 10" xfId="10403"/>
    <cellStyle name="Normal 46 10 2" xfId="10404"/>
    <cellStyle name="Normal 46 10 2 2" xfId="39743"/>
    <cellStyle name="Normal 46 10 3" xfId="10405"/>
    <cellStyle name="Normal 46 10 3 2" xfId="39744"/>
    <cellStyle name="Normal 46 10 4" xfId="10406"/>
    <cellStyle name="Normal 46 10 4 2" xfId="39745"/>
    <cellStyle name="Normal 46 10 5" xfId="39746"/>
    <cellStyle name="Normal 46 10_01-04-2012" xfId="10407"/>
    <cellStyle name="Normal 46 11" xfId="10408"/>
    <cellStyle name="Normal 46 11 2" xfId="10409"/>
    <cellStyle name="Normal 46 11 2 2" xfId="39747"/>
    <cellStyle name="Normal 46 11 3" xfId="10410"/>
    <cellStyle name="Normal 46 11 3 2" xfId="39748"/>
    <cellStyle name="Normal 46 11 4" xfId="10411"/>
    <cellStyle name="Normal 46 11 4 2" xfId="39749"/>
    <cellStyle name="Normal 46 11 5" xfId="39750"/>
    <cellStyle name="Normal 46 11_01-04-2012" xfId="10412"/>
    <cellStyle name="Normal 46 12" xfId="10413"/>
    <cellStyle name="Normal 46 12 2" xfId="10414"/>
    <cellStyle name="Normal 46 12 2 2" xfId="39751"/>
    <cellStyle name="Normal 46 12 3" xfId="10415"/>
    <cellStyle name="Normal 46 12 3 2" xfId="39752"/>
    <cellStyle name="Normal 46 12 4" xfId="10416"/>
    <cellStyle name="Normal 46 12 4 2" xfId="39753"/>
    <cellStyle name="Normal 46 12 5" xfId="39754"/>
    <cellStyle name="Normal 46 12_01-04-2012" xfId="10417"/>
    <cellStyle name="Normal 46 13" xfId="10418"/>
    <cellStyle name="Normal 46 13 2" xfId="10419"/>
    <cellStyle name="Normal 46 13 2 2" xfId="39755"/>
    <cellStyle name="Normal 46 13 3" xfId="10420"/>
    <cellStyle name="Normal 46 13 3 2" xfId="39756"/>
    <cellStyle name="Normal 46 13 4" xfId="10421"/>
    <cellStyle name="Normal 46 13 4 2" xfId="39757"/>
    <cellStyle name="Normal 46 13 5" xfId="39758"/>
    <cellStyle name="Normal 46 13_01-04-2012" xfId="10422"/>
    <cellStyle name="Normal 46 14" xfId="10423"/>
    <cellStyle name="Normal 46 14 2" xfId="10424"/>
    <cellStyle name="Normal 46 14 2 2" xfId="39759"/>
    <cellStyle name="Normal 46 14 3" xfId="10425"/>
    <cellStyle name="Normal 46 14 3 2" xfId="39760"/>
    <cellStyle name="Normal 46 14 4" xfId="10426"/>
    <cellStyle name="Normal 46 14 4 2" xfId="39761"/>
    <cellStyle name="Normal 46 14 5" xfId="39762"/>
    <cellStyle name="Normal 46 14_01-04-2012" xfId="10427"/>
    <cellStyle name="Normal 46 15" xfId="10428"/>
    <cellStyle name="Normal 46 15 2" xfId="10429"/>
    <cellStyle name="Normal 46 15 2 2" xfId="39763"/>
    <cellStyle name="Normal 46 15 3" xfId="10430"/>
    <cellStyle name="Normal 46 15 3 2" xfId="39764"/>
    <cellStyle name="Normal 46 15 4" xfId="10431"/>
    <cellStyle name="Normal 46 15 4 2" xfId="39765"/>
    <cellStyle name="Normal 46 15 5" xfId="39766"/>
    <cellStyle name="Normal 46 15_01-04-2012" xfId="10432"/>
    <cellStyle name="Normal 46 16" xfId="10433"/>
    <cellStyle name="Normal 46 16 2" xfId="10434"/>
    <cellStyle name="Normal 46 16 2 2" xfId="39767"/>
    <cellStyle name="Normal 46 16 3" xfId="10435"/>
    <cellStyle name="Normal 46 16 3 2" xfId="39768"/>
    <cellStyle name="Normal 46 16 4" xfId="10436"/>
    <cellStyle name="Normal 46 16 4 2" xfId="39769"/>
    <cellStyle name="Normal 46 16 5" xfId="39770"/>
    <cellStyle name="Normal 46 16_01-04-2012" xfId="10437"/>
    <cellStyle name="Normal 46 17" xfId="10438"/>
    <cellStyle name="Normal 46 17 2" xfId="10439"/>
    <cellStyle name="Normal 46 17 2 2" xfId="39771"/>
    <cellStyle name="Normal 46 17 3" xfId="10440"/>
    <cellStyle name="Normal 46 17 3 2" xfId="39772"/>
    <cellStyle name="Normal 46 17 4" xfId="10441"/>
    <cellStyle name="Normal 46 17 4 2" xfId="39773"/>
    <cellStyle name="Normal 46 17 5" xfId="39774"/>
    <cellStyle name="Normal 46 17_01-04-2012" xfId="10442"/>
    <cellStyle name="Normal 46 18" xfId="10443"/>
    <cellStyle name="Normal 46 18 2" xfId="10444"/>
    <cellStyle name="Normal 46 18 2 2" xfId="39775"/>
    <cellStyle name="Normal 46 18 3" xfId="10445"/>
    <cellStyle name="Normal 46 18 3 2" xfId="39776"/>
    <cellStyle name="Normal 46 18 4" xfId="10446"/>
    <cellStyle name="Normal 46 18 4 2" xfId="39777"/>
    <cellStyle name="Normal 46 18 5" xfId="39778"/>
    <cellStyle name="Normal 46 18_01-04-2012" xfId="10447"/>
    <cellStyle name="Normal 46 19" xfId="10448"/>
    <cellStyle name="Normal 46 19 2" xfId="10449"/>
    <cellStyle name="Normal 46 19 2 2" xfId="39779"/>
    <cellStyle name="Normal 46 19 3" xfId="10450"/>
    <cellStyle name="Normal 46 19 3 2" xfId="39780"/>
    <cellStyle name="Normal 46 19 4" xfId="10451"/>
    <cellStyle name="Normal 46 19 4 2" xfId="39781"/>
    <cellStyle name="Normal 46 19 5" xfId="39782"/>
    <cellStyle name="Normal 46 19_01-04-2012" xfId="10452"/>
    <cellStyle name="Normal 46 2" xfId="10453"/>
    <cellStyle name="Normal 46 2 2" xfId="10454"/>
    <cellStyle name="Normal 46 2 2 2" xfId="39783"/>
    <cellStyle name="Normal 46 2 3" xfId="10455"/>
    <cellStyle name="Normal 46 2 3 2" xfId="39784"/>
    <cellStyle name="Normal 46 2 4" xfId="10456"/>
    <cellStyle name="Normal 46 2 4 2" xfId="39785"/>
    <cellStyle name="Normal 46 2 5" xfId="20953"/>
    <cellStyle name="Normal 46 2 5 2" xfId="39786"/>
    <cellStyle name="Normal 46 2_01-04-2012" xfId="10457"/>
    <cellStyle name="Normal 46 20" xfId="10458"/>
    <cellStyle name="Normal 46 20 2" xfId="10459"/>
    <cellStyle name="Normal 46 20 2 2" xfId="39787"/>
    <cellStyle name="Normal 46 20 3" xfId="10460"/>
    <cellStyle name="Normal 46 20 3 2" xfId="39788"/>
    <cellStyle name="Normal 46 20 4" xfId="10461"/>
    <cellStyle name="Normal 46 20 4 2" xfId="39789"/>
    <cellStyle name="Normal 46 20 5" xfId="39790"/>
    <cellStyle name="Normal 46 20_01-04-2012" xfId="10462"/>
    <cellStyle name="Normal 46 21" xfId="10463"/>
    <cellStyle name="Normal 46 21 2" xfId="10464"/>
    <cellStyle name="Normal 46 21 2 2" xfId="39791"/>
    <cellStyle name="Normal 46 21 3" xfId="10465"/>
    <cellStyle name="Normal 46 21 3 2" xfId="39792"/>
    <cellStyle name="Normal 46 21 4" xfId="10466"/>
    <cellStyle name="Normal 46 21 4 2" xfId="39793"/>
    <cellStyle name="Normal 46 21 5" xfId="39794"/>
    <cellStyle name="Normal 46 21_01-04-2012" xfId="10467"/>
    <cellStyle name="Normal 46 22" xfId="10468"/>
    <cellStyle name="Normal 46 22 2" xfId="10469"/>
    <cellStyle name="Normal 46 22 2 2" xfId="39795"/>
    <cellStyle name="Normal 46 22 3" xfId="10470"/>
    <cellStyle name="Normal 46 22 3 2" xfId="39796"/>
    <cellStyle name="Normal 46 22 4" xfId="10471"/>
    <cellStyle name="Normal 46 22 4 2" xfId="39797"/>
    <cellStyle name="Normal 46 22 5" xfId="39798"/>
    <cellStyle name="Normal 46 22_01-04-2012" xfId="10472"/>
    <cellStyle name="Normal 46 23" xfId="10473"/>
    <cellStyle name="Normal 46 23 2" xfId="10474"/>
    <cellStyle name="Normal 46 23 2 2" xfId="39799"/>
    <cellStyle name="Normal 46 23 3" xfId="10475"/>
    <cellStyle name="Normal 46 23 3 2" xfId="39800"/>
    <cellStyle name="Normal 46 23 4" xfId="10476"/>
    <cellStyle name="Normal 46 23 4 2" xfId="39801"/>
    <cellStyle name="Normal 46 23 5" xfId="39802"/>
    <cellStyle name="Normal 46 23_01-04-2012" xfId="10477"/>
    <cellStyle name="Normal 46 24" xfId="10478"/>
    <cellStyle name="Normal 46 24 2" xfId="10479"/>
    <cellStyle name="Normal 46 24 2 2" xfId="39803"/>
    <cellStyle name="Normal 46 24 3" xfId="10480"/>
    <cellStyle name="Normal 46 24 3 2" xfId="39804"/>
    <cellStyle name="Normal 46 24 4" xfId="10481"/>
    <cellStyle name="Normal 46 24 4 2" xfId="39805"/>
    <cellStyle name="Normal 46 24 5" xfId="39806"/>
    <cellStyle name="Normal 46 24_01-04-2012" xfId="10482"/>
    <cellStyle name="Normal 46 25" xfId="10483"/>
    <cellStyle name="Normal 46 25 2" xfId="10484"/>
    <cellStyle name="Normal 46 25 2 2" xfId="39807"/>
    <cellStyle name="Normal 46 25 3" xfId="10485"/>
    <cellStyle name="Normal 46 25 3 2" xfId="39808"/>
    <cellStyle name="Normal 46 25 4" xfId="10486"/>
    <cellStyle name="Normal 46 25 4 2" xfId="39809"/>
    <cellStyle name="Normal 46 25 5" xfId="39810"/>
    <cellStyle name="Normal 46 25_01-04-2012" xfId="10487"/>
    <cellStyle name="Normal 46 26" xfId="10488"/>
    <cellStyle name="Normal 46 26 2" xfId="10489"/>
    <cellStyle name="Normal 46 26 2 2" xfId="39811"/>
    <cellStyle name="Normal 46 26 3" xfId="10490"/>
    <cellStyle name="Normal 46 26 3 2" xfId="39812"/>
    <cellStyle name="Normal 46 26 4" xfId="10491"/>
    <cellStyle name="Normal 46 26 4 2" xfId="39813"/>
    <cellStyle name="Normal 46 26 5" xfId="39814"/>
    <cellStyle name="Normal 46 26_01-04-2012" xfId="10492"/>
    <cellStyle name="Normal 46 27" xfId="10493"/>
    <cellStyle name="Normal 46 27 2" xfId="10494"/>
    <cellStyle name="Normal 46 27 2 2" xfId="39815"/>
    <cellStyle name="Normal 46 27 3" xfId="10495"/>
    <cellStyle name="Normal 46 27 3 2" xfId="39816"/>
    <cellStyle name="Normal 46 27 4" xfId="10496"/>
    <cellStyle name="Normal 46 27 4 2" xfId="39817"/>
    <cellStyle name="Normal 46 27 5" xfId="39818"/>
    <cellStyle name="Normal 46 27_01-04-2012" xfId="10497"/>
    <cellStyle name="Normal 46 28" xfId="10498"/>
    <cellStyle name="Normal 46 28 2" xfId="10499"/>
    <cellStyle name="Normal 46 28 2 2" xfId="39819"/>
    <cellStyle name="Normal 46 28 3" xfId="10500"/>
    <cellStyle name="Normal 46 28 3 2" xfId="39820"/>
    <cellStyle name="Normal 46 28 4" xfId="10501"/>
    <cellStyle name="Normal 46 28 4 2" xfId="39821"/>
    <cellStyle name="Normal 46 28 5" xfId="39822"/>
    <cellStyle name="Normal 46 28_01-04-2012" xfId="10502"/>
    <cellStyle name="Normal 46 29" xfId="10503"/>
    <cellStyle name="Normal 46 29 2" xfId="10504"/>
    <cellStyle name="Normal 46 29 2 2" xfId="39823"/>
    <cellStyle name="Normal 46 29 3" xfId="10505"/>
    <cellStyle name="Normal 46 29 3 2" xfId="39824"/>
    <cellStyle name="Normal 46 29 4" xfId="10506"/>
    <cellStyle name="Normal 46 29 4 2" xfId="39825"/>
    <cellStyle name="Normal 46 29 5" xfId="39826"/>
    <cellStyle name="Normal 46 29_01-04-2012" xfId="10507"/>
    <cellStyle name="Normal 46 3" xfId="10508"/>
    <cellStyle name="Normal 46 3 2" xfId="10509"/>
    <cellStyle name="Normal 46 3 2 2" xfId="39827"/>
    <cellStyle name="Normal 46 3 3" xfId="10510"/>
    <cellStyle name="Normal 46 3 3 2" xfId="39828"/>
    <cellStyle name="Normal 46 3 4" xfId="10511"/>
    <cellStyle name="Normal 46 3 4 2" xfId="39829"/>
    <cellStyle name="Normal 46 3 5" xfId="39830"/>
    <cellStyle name="Normal 46 3_01-04-2012" xfId="10512"/>
    <cellStyle name="Normal 46 30" xfId="10513"/>
    <cellStyle name="Normal 46 30 2" xfId="10514"/>
    <cellStyle name="Normal 46 30 2 2" xfId="39831"/>
    <cellStyle name="Normal 46 30 3" xfId="10515"/>
    <cellStyle name="Normal 46 30 3 2" xfId="39832"/>
    <cellStyle name="Normal 46 30 4" xfId="10516"/>
    <cellStyle name="Normal 46 30 4 2" xfId="39833"/>
    <cellStyle name="Normal 46 30 5" xfId="39834"/>
    <cellStyle name="Normal 46 30_01-04-2012" xfId="10517"/>
    <cellStyle name="Normal 46 31" xfId="10518"/>
    <cellStyle name="Normal 46 31 2" xfId="10519"/>
    <cellStyle name="Normal 46 31 2 2" xfId="39835"/>
    <cellStyle name="Normal 46 31 3" xfId="10520"/>
    <cellStyle name="Normal 46 31 3 2" xfId="39836"/>
    <cellStyle name="Normal 46 31 4" xfId="10521"/>
    <cellStyle name="Normal 46 31 4 2" xfId="39837"/>
    <cellStyle name="Normal 46 31 5" xfId="39838"/>
    <cellStyle name="Normal 46 31_01-04-2012" xfId="10522"/>
    <cellStyle name="Normal 46 32" xfId="10523"/>
    <cellStyle name="Normal 46 32 2" xfId="10524"/>
    <cellStyle name="Normal 46 32 2 2" xfId="39839"/>
    <cellStyle name="Normal 46 32 3" xfId="10525"/>
    <cellStyle name="Normal 46 32 3 2" xfId="39840"/>
    <cellStyle name="Normal 46 32 4" xfId="10526"/>
    <cellStyle name="Normal 46 32 4 2" xfId="39841"/>
    <cellStyle name="Normal 46 32 5" xfId="39842"/>
    <cellStyle name="Normal 46 32_01-04-2012" xfId="10527"/>
    <cellStyle name="Normal 46 33" xfId="10528"/>
    <cellStyle name="Normal 46 33 2" xfId="10529"/>
    <cellStyle name="Normal 46 33 2 2" xfId="39843"/>
    <cellStyle name="Normal 46 33 3" xfId="10530"/>
    <cellStyle name="Normal 46 33 3 2" xfId="39844"/>
    <cellStyle name="Normal 46 33 4" xfId="10531"/>
    <cellStyle name="Normal 46 33 4 2" xfId="39845"/>
    <cellStyle name="Normal 46 33 5" xfId="39846"/>
    <cellStyle name="Normal 46 33_01-04-2012" xfId="10532"/>
    <cellStyle name="Normal 46 34" xfId="10533"/>
    <cellStyle name="Normal 46 34 2" xfId="10534"/>
    <cellStyle name="Normal 46 34 2 2" xfId="39847"/>
    <cellStyle name="Normal 46 34 3" xfId="10535"/>
    <cellStyle name="Normal 46 34 3 2" xfId="39848"/>
    <cellStyle name="Normal 46 34 4" xfId="10536"/>
    <cellStyle name="Normal 46 34 4 2" xfId="39849"/>
    <cellStyle name="Normal 46 34 5" xfId="39850"/>
    <cellStyle name="Normal 46 34_01-04-2012" xfId="10537"/>
    <cellStyle name="Normal 46 35" xfId="10538"/>
    <cellStyle name="Normal 46 35 2" xfId="10539"/>
    <cellStyle name="Normal 46 35 2 2" xfId="39851"/>
    <cellStyle name="Normal 46 35 3" xfId="10540"/>
    <cellStyle name="Normal 46 35 3 2" xfId="39852"/>
    <cellStyle name="Normal 46 35 4" xfId="10541"/>
    <cellStyle name="Normal 46 35 4 2" xfId="39853"/>
    <cellStyle name="Normal 46 35 5" xfId="39854"/>
    <cellStyle name="Normal 46 35_01-04-2012" xfId="10542"/>
    <cellStyle name="Normal 46 36" xfId="10543"/>
    <cellStyle name="Normal 46 36 2" xfId="10544"/>
    <cellStyle name="Normal 46 36 2 2" xfId="39855"/>
    <cellStyle name="Normal 46 36 3" xfId="10545"/>
    <cellStyle name="Normal 46 36 3 2" xfId="39856"/>
    <cellStyle name="Normal 46 36 4" xfId="10546"/>
    <cellStyle name="Normal 46 36 4 2" xfId="39857"/>
    <cellStyle name="Normal 46 36 5" xfId="39858"/>
    <cellStyle name="Normal 46 36_01-04-2012" xfId="10547"/>
    <cellStyle name="Normal 46 37" xfId="10548"/>
    <cellStyle name="Normal 46 37 2" xfId="10549"/>
    <cellStyle name="Normal 46 37 2 2" xfId="39859"/>
    <cellStyle name="Normal 46 37 3" xfId="10550"/>
    <cellStyle name="Normal 46 37 3 2" xfId="39860"/>
    <cellStyle name="Normal 46 37 4" xfId="10551"/>
    <cellStyle name="Normal 46 37 4 2" xfId="39861"/>
    <cellStyle name="Normal 46 37 5" xfId="39862"/>
    <cellStyle name="Normal 46 37_01-04-2012" xfId="10552"/>
    <cellStyle name="Normal 46 38" xfId="10553"/>
    <cellStyle name="Normal 46 38 2" xfId="39863"/>
    <cellStyle name="Normal 46 39" xfId="10554"/>
    <cellStyle name="Normal 46 39 2" xfId="39864"/>
    <cellStyle name="Normal 46 4" xfId="10555"/>
    <cellStyle name="Normal 46 4 2" xfId="10556"/>
    <cellStyle name="Normal 46 4 2 2" xfId="39865"/>
    <cellStyle name="Normal 46 4 3" xfId="10557"/>
    <cellStyle name="Normal 46 4 3 2" xfId="39866"/>
    <cellStyle name="Normal 46 4 4" xfId="10558"/>
    <cellStyle name="Normal 46 4 4 2" xfId="39867"/>
    <cellStyle name="Normal 46 4 5" xfId="39868"/>
    <cellStyle name="Normal 46 4_01-04-2012" xfId="10559"/>
    <cellStyle name="Normal 46 40" xfId="10560"/>
    <cellStyle name="Normal 46 40 2" xfId="39869"/>
    <cellStyle name="Normal 46 41" xfId="20954"/>
    <cellStyle name="Normal 46 41 2" xfId="39870"/>
    <cellStyle name="Normal 46 42" xfId="20955"/>
    <cellStyle name="Normal 46 43" xfId="20956"/>
    <cellStyle name="Normal 46 44" xfId="20957"/>
    <cellStyle name="Normal 46 45" xfId="20958"/>
    <cellStyle name="Normal 46 46" xfId="20959"/>
    <cellStyle name="Normal 46 47" xfId="33742"/>
    <cellStyle name="Normal 46 5" xfId="10561"/>
    <cellStyle name="Normal 46 5 2" xfId="10562"/>
    <cellStyle name="Normal 46 5 2 2" xfId="39871"/>
    <cellStyle name="Normal 46 5 3" xfId="10563"/>
    <cellStyle name="Normal 46 5 3 2" xfId="39872"/>
    <cellStyle name="Normal 46 5 4" xfId="10564"/>
    <cellStyle name="Normal 46 5 4 2" xfId="39873"/>
    <cellStyle name="Normal 46 5 5" xfId="39874"/>
    <cellStyle name="Normal 46 5_01-04-2012" xfId="10565"/>
    <cellStyle name="Normal 46 6" xfId="10566"/>
    <cellStyle name="Normal 46 6 2" xfId="10567"/>
    <cellStyle name="Normal 46 6 2 2" xfId="39875"/>
    <cellStyle name="Normal 46 6 3" xfId="10568"/>
    <cellStyle name="Normal 46 6 3 2" xfId="39876"/>
    <cellStyle name="Normal 46 6 4" xfId="10569"/>
    <cellStyle name="Normal 46 6 4 2" xfId="39877"/>
    <cellStyle name="Normal 46 6 5" xfId="39878"/>
    <cellStyle name="Normal 46 6_01-04-2012" xfId="10570"/>
    <cellStyle name="Normal 46 7" xfId="10571"/>
    <cellStyle name="Normal 46 7 2" xfId="10572"/>
    <cellStyle name="Normal 46 7 2 2" xfId="39879"/>
    <cellStyle name="Normal 46 7 3" xfId="10573"/>
    <cellStyle name="Normal 46 7 3 2" xfId="39880"/>
    <cellStyle name="Normal 46 7 4" xfId="10574"/>
    <cellStyle name="Normal 46 7 4 2" xfId="39881"/>
    <cellStyle name="Normal 46 7 5" xfId="39882"/>
    <cellStyle name="Normal 46 7_01-04-2012" xfId="10575"/>
    <cellStyle name="Normal 46 8" xfId="10576"/>
    <cellStyle name="Normal 46 8 2" xfId="10577"/>
    <cellStyle name="Normal 46 8 2 2" xfId="39883"/>
    <cellStyle name="Normal 46 8 3" xfId="10578"/>
    <cellStyle name="Normal 46 8 3 2" xfId="39884"/>
    <cellStyle name="Normal 46 8 4" xfId="10579"/>
    <cellStyle name="Normal 46 8 4 2" xfId="39885"/>
    <cellStyle name="Normal 46 8 5" xfId="39886"/>
    <cellStyle name="Normal 46 8_01-04-2012" xfId="10580"/>
    <cellStyle name="Normal 46 9" xfId="10581"/>
    <cellStyle name="Normal 46 9 2" xfId="10582"/>
    <cellStyle name="Normal 46 9 2 2" xfId="39887"/>
    <cellStyle name="Normal 46 9 3" xfId="10583"/>
    <cellStyle name="Normal 46 9 3 2" xfId="39888"/>
    <cellStyle name="Normal 46 9 4" xfId="10584"/>
    <cellStyle name="Normal 46 9 4 2" xfId="39889"/>
    <cellStyle name="Normal 46 9 5" xfId="39890"/>
    <cellStyle name="Normal 46 9_01-04-2012" xfId="10585"/>
    <cellStyle name="Normal 46_01-04-2012" xfId="10586"/>
    <cellStyle name="Normal 460" xfId="20960"/>
    <cellStyle name="Normal 461" xfId="20961"/>
    <cellStyle name="Normal 462" xfId="20962"/>
    <cellStyle name="Normal 463" xfId="20963"/>
    <cellStyle name="Normal 464" xfId="20964"/>
    <cellStyle name="Normal 465" xfId="20965"/>
    <cellStyle name="Normal 466" xfId="20966"/>
    <cellStyle name="Normal 467" xfId="20967"/>
    <cellStyle name="Normal 468" xfId="20968"/>
    <cellStyle name="Normal 469" xfId="20969"/>
    <cellStyle name="Normal 47" xfId="10587"/>
    <cellStyle name="Normal 47 10" xfId="10588"/>
    <cellStyle name="Normal 47 11" xfId="10589"/>
    <cellStyle name="Normal 47 12" xfId="10590"/>
    <cellStyle name="Normal 47 13" xfId="10591"/>
    <cellStyle name="Normal 47 14" xfId="20970"/>
    <cellStyle name="Normal 47 2" xfId="10592"/>
    <cellStyle name="Normal 47 3" xfId="10593"/>
    <cellStyle name="Normal 47 4" xfId="10594"/>
    <cellStyle name="Normal 47 5" xfId="10595"/>
    <cellStyle name="Normal 47 6" xfId="10596"/>
    <cellStyle name="Normal 47 7" xfId="10597"/>
    <cellStyle name="Normal 47 8" xfId="10598"/>
    <cellStyle name="Normal 47 9" xfId="10599"/>
    <cellStyle name="Normal 47_01-04-2012" xfId="10600"/>
    <cellStyle name="Normal 470" xfId="20971"/>
    <cellStyle name="Normal 471" xfId="20972"/>
    <cellStyle name="Normal 472" xfId="20973"/>
    <cellStyle name="Normal 473" xfId="20974"/>
    <cellStyle name="Normal 474" xfId="20975"/>
    <cellStyle name="Normal 475" xfId="20976"/>
    <cellStyle name="Normal 476" xfId="20977"/>
    <cellStyle name="Normal 477" xfId="20978"/>
    <cellStyle name="Normal 478" xfId="20979"/>
    <cellStyle name="Normal 479" xfId="20980"/>
    <cellStyle name="Normal 48" xfId="10601"/>
    <cellStyle name="Normal 48 10" xfId="10602"/>
    <cellStyle name="Normal 48 11" xfId="10603"/>
    <cellStyle name="Normal 48 12" xfId="10604"/>
    <cellStyle name="Normal 48 13" xfId="10605"/>
    <cellStyle name="Normal 48 14" xfId="20981"/>
    <cellStyle name="Normal 48 2" xfId="10606"/>
    <cellStyle name="Normal 48 3" xfId="10607"/>
    <cellStyle name="Normal 48 4" xfId="10608"/>
    <cellStyle name="Normal 48 5" xfId="10609"/>
    <cellStyle name="Normal 48 6" xfId="10610"/>
    <cellStyle name="Normal 48 7" xfId="10611"/>
    <cellStyle name="Normal 48 8" xfId="10612"/>
    <cellStyle name="Normal 48 9" xfId="10613"/>
    <cellStyle name="Normal 48_01-04-2012" xfId="10614"/>
    <cellStyle name="Normal 480" xfId="20982"/>
    <cellStyle name="Normal 481" xfId="20983"/>
    <cellStyle name="Normal 482" xfId="20984"/>
    <cellStyle name="Normal 483" xfId="20985"/>
    <cellStyle name="Normal 484" xfId="20986"/>
    <cellStyle name="Normal 485" xfId="20987"/>
    <cellStyle name="Normal 486" xfId="20988"/>
    <cellStyle name="Normal 487" xfId="20989"/>
    <cellStyle name="Normal 488" xfId="20990"/>
    <cellStyle name="Normal 489" xfId="20991"/>
    <cellStyle name="Normal 49" xfId="10615"/>
    <cellStyle name="Normal 49 10" xfId="10616"/>
    <cellStyle name="Normal 49 11" xfId="10617"/>
    <cellStyle name="Normal 49 12" xfId="10618"/>
    <cellStyle name="Normal 49 13" xfId="10619"/>
    <cellStyle name="Normal 49 14" xfId="20992"/>
    <cellStyle name="Normal 49 2" xfId="10620"/>
    <cellStyle name="Normal 49 3" xfId="10621"/>
    <cellStyle name="Normal 49 4" xfId="10622"/>
    <cellStyle name="Normal 49 5" xfId="10623"/>
    <cellStyle name="Normal 49 6" xfId="10624"/>
    <cellStyle name="Normal 49 7" xfId="10625"/>
    <cellStyle name="Normal 49 8" xfId="10626"/>
    <cellStyle name="Normal 49 9" xfId="10627"/>
    <cellStyle name="Normal 49_01-04-2012" xfId="10628"/>
    <cellStyle name="Normal 490" xfId="20993"/>
    <cellStyle name="Normal 491" xfId="20994"/>
    <cellStyle name="Normal 492" xfId="20995"/>
    <cellStyle name="Normal 493" xfId="20996"/>
    <cellStyle name="Normal 494" xfId="20997"/>
    <cellStyle name="Normal 495" xfId="20998"/>
    <cellStyle name="Normal 496" xfId="20999"/>
    <cellStyle name="Normal 497" xfId="21000"/>
    <cellStyle name="Normal 498" xfId="21001"/>
    <cellStyle name="Normal 499" xfId="21002"/>
    <cellStyle name="Normal 5" xfId="10629"/>
    <cellStyle name="Normal 5 10" xfId="10630"/>
    <cellStyle name="Normal 5 10 2" xfId="21003"/>
    <cellStyle name="Normal 5 10 2 2" xfId="33744"/>
    <cellStyle name="Normal 5 10 3" xfId="21004"/>
    <cellStyle name="Normal 5 11" xfId="10631"/>
    <cellStyle name="Normal 5 11 2" xfId="21005"/>
    <cellStyle name="Normal 5 12" xfId="10632"/>
    <cellStyle name="Normal 5 12 2" xfId="21006"/>
    <cellStyle name="Normal 5 13" xfId="10633"/>
    <cellStyle name="Normal 5 13 2" xfId="21007"/>
    <cellStyle name="Normal 5 14" xfId="10634"/>
    <cellStyle name="Normal 5 15" xfId="10635"/>
    <cellStyle name="Normal 5 16" xfId="10636"/>
    <cellStyle name="Normal 5 17" xfId="10637"/>
    <cellStyle name="Normal 5 18" xfId="10638"/>
    <cellStyle name="Normal 5 19" xfId="10639"/>
    <cellStyle name="Normal 5 2" xfId="10640"/>
    <cellStyle name="Normal 5 2 10" xfId="10641"/>
    <cellStyle name="Normal 5 2 10 2" xfId="21008"/>
    <cellStyle name="Normal 5 2 10 2 2" xfId="33745"/>
    <cellStyle name="Normal 5 2 10 3" xfId="21009"/>
    <cellStyle name="Normal 5 2 11" xfId="10642"/>
    <cellStyle name="Normal 5 2 11 2" xfId="21010"/>
    <cellStyle name="Normal 5 2 11 2 2" xfId="33746"/>
    <cellStyle name="Normal 5 2 11 3" xfId="21011"/>
    <cellStyle name="Normal 5 2 12" xfId="10643"/>
    <cellStyle name="Normal 5 2 12 2" xfId="21012"/>
    <cellStyle name="Normal 5 2 13" xfId="10644"/>
    <cellStyle name="Normal 5 2 13 2" xfId="21013"/>
    <cellStyle name="Normal 5 2 14" xfId="10645"/>
    <cellStyle name="Normal 5 2 14 2" xfId="21014"/>
    <cellStyle name="Normal 5 2 15" xfId="10646"/>
    <cellStyle name="Normal 5 2 15 2" xfId="21015"/>
    <cellStyle name="Normal 5 2 16" xfId="10647"/>
    <cellStyle name="Normal 5 2 17" xfId="10648"/>
    <cellStyle name="Normal 5 2 18" xfId="10649"/>
    <cellStyle name="Normal 5 2 19" xfId="10650"/>
    <cellStyle name="Normal 5 2 2" xfId="10651"/>
    <cellStyle name="Normal 5 2 2 2" xfId="21016"/>
    <cellStyle name="Normal 5 2 2 2 2" xfId="21017"/>
    <cellStyle name="Normal 5 2 2 2 2 2" xfId="33747"/>
    <cellStyle name="Normal 5 2 2 2 3" xfId="33748"/>
    <cellStyle name="Normal 5 2 2 2 4" xfId="39891"/>
    <cellStyle name="Normal 5 2 2 3" xfId="21018"/>
    <cellStyle name="Normal 5 2 2 3 2" xfId="33749"/>
    <cellStyle name="Normal 5 2 2 4" xfId="21019"/>
    <cellStyle name="Normal 5 2 2 5" xfId="21020"/>
    <cellStyle name="Normal 5 2 2 6" xfId="21021"/>
    <cellStyle name="Normal 5 2 20" xfId="10652"/>
    <cellStyle name="Normal 5 2 21" xfId="10653"/>
    <cellStyle name="Normal 5 2 22" xfId="10654"/>
    <cellStyle name="Normal 5 2 23" xfId="10655"/>
    <cellStyle name="Normal 5 2 24" xfId="10656"/>
    <cellStyle name="Normal 5 2 25" xfId="10657"/>
    <cellStyle name="Normal 5 2 26" xfId="10658"/>
    <cellStyle name="Normal 5 2 27" xfId="10659"/>
    <cellStyle name="Normal 5 2 28" xfId="10660"/>
    <cellStyle name="Normal 5 2 29" xfId="10661"/>
    <cellStyle name="Normal 5 2 3" xfId="10662"/>
    <cellStyle name="Normal 5 2 3 2" xfId="21022"/>
    <cellStyle name="Normal 5 2 3 2 2" xfId="21023"/>
    <cellStyle name="Normal 5 2 3 2 2 2" xfId="33750"/>
    <cellStyle name="Normal 5 2 3 2 3" xfId="33751"/>
    <cellStyle name="Normal 5 2 3 3" xfId="21024"/>
    <cellStyle name="Normal 5 2 3 3 2" xfId="33752"/>
    <cellStyle name="Normal 5 2 3 4" xfId="21025"/>
    <cellStyle name="Normal 5 2 30" xfId="10663"/>
    <cellStyle name="Normal 5 2 31" xfId="10664"/>
    <cellStyle name="Normal 5 2 32" xfId="10665"/>
    <cellStyle name="Normal 5 2 33" xfId="10666"/>
    <cellStyle name="Normal 5 2 34" xfId="10667"/>
    <cellStyle name="Normal 5 2 35" xfId="10668"/>
    <cellStyle name="Normal 5 2 36" xfId="10669"/>
    <cellStyle name="Normal 5 2 37" xfId="10670"/>
    <cellStyle name="Normal 5 2 38" xfId="10671"/>
    <cellStyle name="Normal 5 2 39" xfId="10672"/>
    <cellStyle name="Normal 5 2 4" xfId="10673"/>
    <cellStyle name="Normal 5 2 4 2" xfId="21026"/>
    <cellStyle name="Normal 5 2 4 2 2" xfId="21027"/>
    <cellStyle name="Normal 5 2 4 2 2 2" xfId="33753"/>
    <cellStyle name="Normal 5 2 4 2 3" xfId="33754"/>
    <cellStyle name="Normal 5 2 4 3" xfId="21028"/>
    <cellStyle name="Normal 5 2 4 3 2" xfId="33755"/>
    <cellStyle name="Normal 5 2 4 4" xfId="21029"/>
    <cellStyle name="Normal 5 2 40" xfId="10674"/>
    <cellStyle name="Normal 5 2 41" xfId="10675"/>
    <cellStyle name="Normal 5 2 42" xfId="10676"/>
    <cellStyle name="Normal 5 2 43" xfId="10677"/>
    <cellStyle name="Normal 5 2 44" xfId="10678"/>
    <cellStyle name="Normal 5 2 45" xfId="10679"/>
    <cellStyle name="Normal 5 2 46" xfId="10680"/>
    <cellStyle name="Normal 5 2 47" xfId="10681"/>
    <cellStyle name="Normal 5 2 48" xfId="10682"/>
    <cellStyle name="Normal 5 2 49" xfId="10683"/>
    <cellStyle name="Normal 5 2 5" xfId="10684"/>
    <cellStyle name="Normal 5 2 5 2" xfId="21030"/>
    <cellStyle name="Normal 5 2 5 2 2" xfId="21031"/>
    <cellStyle name="Normal 5 2 5 2 2 2" xfId="33756"/>
    <cellStyle name="Normal 5 2 5 2 3" xfId="33757"/>
    <cellStyle name="Normal 5 2 5 3" xfId="21032"/>
    <cellStyle name="Normal 5 2 5 3 2" xfId="33758"/>
    <cellStyle name="Normal 5 2 5 4" xfId="21033"/>
    <cellStyle name="Normal 5 2 50" xfId="10685"/>
    <cellStyle name="Normal 5 2 50 2" xfId="39892"/>
    <cellStyle name="Normal 5 2 51" xfId="10686"/>
    <cellStyle name="Normal 5 2 51 2" xfId="39893"/>
    <cellStyle name="Normal 5 2 52" xfId="10687"/>
    <cellStyle name="Normal 5 2 52 2" xfId="39894"/>
    <cellStyle name="Normal 5 2 6" xfId="10688"/>
    <cellStyle name="Normal 5 2 6 2" xfId="21034"/>
    <cellStyle name="Normal 5 2 6 2 2" xfId="21035"/>
    <cellStyle name="Normal 5 2 6 2 2 2" xfId="33759"/>
    <cellStyle name="Normal 5 2 6 2 3" xfId="33760"/>
    <cellStyle name="Normal 5 2 6 3" xfId="21036"/>
    <cellStyle name="Normal 5 2 6 3 2" xfId="33761"/>
    <cellStyle name="Normal 5 2 6 4" xfId="21037"/>
    <cellStyle name="Normal 5 2 7" xfId="10689"/>
    <cellStyle name="Normal 5 2 7 2" xfId="21038"/>
    <cellStyle name="Normal 5 2 7 2 2" xfId="21039"/>
    <cellStyle name="Normal 5 2 7 2 2 2" xfId="33762"/>
    <cellStyle name="Normal 5 2 7 2 3" xfId="33763"/>
    <cellStyle name="Normal 5 2 7 3" xfId="21040"/>
    <cellStyle name="Normal 5 2 7 3 2" xfId="33764"/>
    <cellStyle name="Normal 5 2 7 4" xfId="21041"/>
    <cellStyle name="Normal 5 2 8" xfId="10690"/>
    <cellStyle name="Normal 5 2 8 2" xfId="21042"/>
    <cellStyle name="Normal 5 2 8 2 2" xfId="21043"/>
    <cellStyle name="Normal 5 2 8 2 2 2" xfId="33765"/>
    <cellStyle name="Normal 5 2 8 2 3" xfId="33766"/>
    <cellStyle name="Normal 5 2 8 3" xfId="21044"/>
    <cellStyle name="Normal 5 2 8 3 2" xfId="33767"/>
    <cellStyle name="Normal 5 2 8 4" xfId="21045"/>
    <cellStyle name="Normal 5 2 9" xfId="10691"/>
    <cellStyle name="Normal 5 2 9 2" xfId="21046"/>
    <cellStyle name="Normal 5 2 9 2 2" xfId="33768"/>
    <cellStyle name="Normal 5 2 9 3" xfId="21047"/>
    <cellStyle name="Normal 5 2_01-04-2012" xfId="10692"/>
    <cellStyle name="Normal 5 20" xfId="10693"/>
    <cellStyle name="Normal 5 21" xfId="10694"/>
    <cellStyle name="Normal 5 22" xfId="10695"/>
    <cellStyle name="Normal 5 23" xfId="10696"/>
    <cellStyle name="Normal 5 24" xfId="10697"/>
    <cellStyle name="Normal 5 25" xfId="10698"/>
    <cellStyle name="Normal 5 26" xfId="10699"/>
    <cellStyle name="Normal 5 27" xfId="10700"/>
    <cellStyle name="Normal 5 28" xfId="10701"/>
    <cellStyle name="Normal 5 29" xfId="10702"/>
    <cellStyle name="Normal 5 3" xfId="10703"/>
    <cellStyle name="Normal 5 3 10" xfId="10704"/>
    <cellStyle name="Normal 5 3 10 2" xfId="21048"/>
    <cellStyle name="Normal 5 3 10 2 2" xfId="21049"/>
    <cellStyle name="Normal 5 3 10 2 3" xfId="21050"/>
    <cellStyle name="Normal 5 3 10 2 4" xfId="21051"/>
    <cellStyle name="Normal 5 3 10 2 5" xfId="21052"/>
    <cellStyle name="Normal 5 3 10 2 6" xfId="21053"/>
    <cellStyle name="Normal 5 3 10 2 7" xfId="21054"/>
    <cellStyle name="Normal 5 3 10 3" xfId="21055"/>
    <cellStyle name="Normal 5 3 10 4" xfId="21056"/>
    <cellStyle name="Normal 5 3 10 5" xfId="21057"/>
    <cellStyle name="Normal 5 3 10 6" xfId="21058"/>
    <cellStyle name="Normal 5 3 10 7" xfId="21059"/>
    <cellStyle name="Normal 5 3 10 8" xfId="21060"/>
    <cellStyle name="Normal 5 3 10 9" xfId="21061"/>
    <cellStyle name="Normal 5 3 11" xfId="10705"/>
    <cellStyle name="Normal 5 3 11 2" xfId="21062"/>
    <cellStyle name="Normal 5 3 11 2 2" xfId="21063"/>
    <cellStyle name="Normal 5 3 11 2 3" xfId="21064"/>
    <cellStyle name="Normal 5 3 11 2 4" xfId="21065"/>
    <cellStyle name="Normal 5 3 11 2 5" xfId="21066"/>
    <cellStyle name="Normal 5 3 11 2 6" xfId="21067"/>
    <cellStyle name="Normal 5 3 11 2 7" xfId="21068"/>
    <cellStyle name="Normal 5 3 11 3" xfId="21069"/>
    <cellStyle name="Normal 5 3 11 4" xfId="21070"/>
    <cellStyle name="Normal 5 3 11 5" xfId="21071"/>
    <cellStyle name="Normal 5 3 11 6" xfId="21072"/>
    <cellStyle name="Normal 5 3 11 7" xfId="21073"/>
    <cellStyle name="Normal 5 3 11 8" xfId="21074"/>
    <cellStyle name="Normal 5 3 11 9" xfId="21075"/>
    <cellStyle name="Normal 5 3 12" xfId="10706"/>
    <cellStyle name="Normal 5 3 12 10" xfId="21076"/>
    <cellStyle name="Normal 5 3 12 2" xfId="21077"/>
    <cellStyle name="Normal 5 3 12 2 2" xfId="21078"/>
    <cellStyle name="Normal 5 3 12 2 3" xfId="21079"/>
    <cellStyle name="Normal 5 3 12 2 4" xfId="21080"/>
    <cellStyle name="Normal 5 3 12 2 5" xfId="21081"/>
    <cellStyle name="Normal 5 3 12 2 6" xfId="21082"/>
    <cellStyle name="Normal 5 3 12 2 7" xfId="21083"/>
    <cellStyle name="Normal 5 3 12 2 8" xfId="33769"/>
    <cellStyle name="Normal 5 3 12 3" xfId="21084"/>
    <cellStyle name="Normal 5 3 12 4" xfId="21085"/>
    <cellStyle name="Normal 5 3 12 5" xfId="21086"/>
    <cellStyle name="Normal 5 3 12 6" xfId="21087"/>
    <cellStyle name="Normal 5 3 12 7" xfId="21088"/>
    <cellStyle name="Normal 5 3 12 8" xfId="21089"/>
    <cellStyle name="Normal 5 3 12 9" xfId="21090"/>
    <cellStyle name="Normal 5 3 13" xfId="10707"/>
    <cellStyle name="Normal 5 3 13 2" xfId="21091"/>
    <cellStyle name="Normal 5 3 13 2 2" xfId="21092"/>
    <cellStyle name="Normal 5 3 13 2 3" xfId="21093"/>
    <cellStyle name="Normal 5 3 13 2 4" xfId="21094"/>
    <cellStyle name="Normal 5 3 13 2 5" xfId="21095"/>
    <cellStyle name="Normal 5 3 13 2 6" xfId="21096"/>
    <cellStyle name="Normal 5 3 13 2 7" xfId="21097"/>
    <cellStyle name="Normal 5 3 13 3" xfId="21098"/>
    <cellStyle name="Normal 5 3 13 4" xfId="21099"/>
    <cellStyle name="Normal 5 3 13 5" xfId="21100"/>
    <cellStyle name="Normal 5 3 13 6" xfId="21101"/>
    <cellStyle name="Normal 5 3 13 7" xfId="21102"/>
    <cellStyle name="Normal 5 3 13 8" xfId="21103"/>
    <cellStyle name="Normal 5 3 13 9" xfId="21104"/>
    <cellStyle name="Normal 5 3 13 9 2" xfId="33770"/>
    <cellStyle name="Normal 5 3 14" xfId="10708"/>
    <cellStyle name="Normal 5 3 14 2" xfId="21105"/>
    <cellStyle name="Normal 5 3 14 2 2" xfId="21106"/>
    <cellStyle name="Normal 5 3 14 2 3" xfId="21107"/>
    <cellStyle name="Normal 5 3 14 2 4" xfId="21108"/>
    <cellStyle name="Normal 5 3 14 2 5" xfId="21109"/>
    <cellStyle name="Normal 5 3 14 2 6" xfId="21110"/>
    <cellStyle name="Normal 5 3 14 2 7" xfId="21111"/>
    <cellStyle name="Normal 5 3 14 3" xfId="21112"/>
    <cellStyle name="Normal 5 3 14 4" xfId="21113"/>
    <cellStyle name="Normal 5 3 14 5" xfId="21114"/>
    <cellStyle name="Normal 5 3 14 6" xfId="21115"/>
    <cellStyle name="Normal 5 3 14 7" xfId="21116"/>
    <cellStyle name="Normal 5 3 14 8" xfId="21117"/>
    <cellStyle name="Normal 5 3 14 9" xfId="21118"/>
    <cellStyle name="Normal 5 3 15" xfId="10709"/>
    <cellStyle name="Normal 5 3 15 2" xfId="21119"/>
    <cellStyle name="Normal 5 3 15 2 2" xfId="21120"/>
    <cellStyle name="Normal 5 3 15 2 3" xfId="21121"/>
    <cellStyle name="Normal 5 3 15 2 4" xfId="21122"/>
    <cellStyle name="Normal 5 3 15 2 5" xfId="21123"/>
    <cellStyle name="Normal 5 3 15 2 6" xfId="21124"/>
    <cellStyle name="Normal 5 3 15 2 7" xfId="21125"/>
    <cellStyle name="Normal 5 3 15 3" xfId="21126"/>
    <cellStyle name="Normal 5 3 15 4" xfId="21127"/>
    <cellStyle name="Normal 5 3 15 5" xfId="21128"/>
    <cellStyle name="Normal 5 3 15 6" xfId="21129"/>
    <cellStyle name="Normal 5 3 15 7" xfId="21130"/>
    <cellStyle name="Normal 5 3 15 8" xfId="21131"/>
    <cellStyle name="Normal 5 3 15 9" xfId="21132"/>
    <cellStyle name="Normal 5 3 16" xfId="10710"/>
    <cellStyle name="Normal 5 3 16 2" xfId="21133"/>
    <cellStyle name="Normal 5 3 16 3" xfId="21134"/>
    <cellStyle name="Normal 5 3 16 4" xfId="21135"/>
    <cellStyle name="Normal 5 3 16 5" xfId="21136"/>
    <cellStyle name="Normal 5 3 16 6" xfId="21137"/>
    <cellStyle name="Normal 5 3 16 7" xfId="21138"/>
    <cellStyle name="Normal 5 3 16 8" xfId="21139"/>
    <cellStyle name="Normal 5 3 17" xfId="10711"/>
    <cellStyle name="Normal 5 3 17 2" xfId="21140"/>
    <cellStyle name="Normal 5 3 17 3" xfId="21141"/>
    <cellStyle name="Normal 5 3 17 4" xfId="21142"/>
    <cellStyle name="Normal 5 3 17 5" xfId="21143"/>
    <cellStyle name="Normal 5 3 17 6" xfId="21144"/>
    <cellStyle name="Normal 5 3 17 7" xfId="21145"/>
    <cellStyle name="Normal 5 3 17 8" xfId="21146"/>
    <cellStyle name="Normal 5 3 18" xfId="10712"/>
    <cellStyle name="Normal 5 3 18 2" xfId="21147"/>
    <cellStyle name="Normal 5 3 18 3" xfId="21148"/>
    <cellStyle name="Normal 5 3 18 4" xfId="21149"/>
    <cellStyle name="Normal 5 3 18 5" xfId="21150"/>
    <cellStyle name="Normal 5 3 18 6" xfId="21151"/>
    <cellStyle name="Normal 5 3 18 7" xfId="21152"/>
    <cellStyle name="Normal 5 3 18 8" xfId="21153"/>
    <cellStyle name="Normal 5 3 19" xfId="10713"/>
    <cellStyle name="Normal 5 3 19 2" xfId="21154"/>
    <cellStyle name="Normal 5 3 19 3" xfId="21155"/>
    <cellStyle name="Normal 5 3 19 4" xfId="21156"/>
    <cellStyle name="Normal 5 3 19 5" xfId="21157"/>
    <cellStyle name="Normal 5 3 19 6" xfId="21158"/>
    <cellStyle name="Normal 5 3 19 7" xfId="21159"/>
    <cellStyle name="Normal 5 3 19 8" xfId="21160"/>
    <cellStyle name="Normal 5 3 2" xfId="10714"/>
    <cellStyle name="Normal 5 3 2 10" xfId="21161"/>
    <cellStyle name="Normal 5 3 2 2" xfId="21162"/>
    <cellStyle name="Normal 5 3 2 2 2" xfId="21163"/>
    <cellStyle name="Normal 5 3 2 2 2 2" xfId="21164"/>
    <cellStyle name="Normal 5 3 2 2 3" xfId="21165"/>
    <cellStyle name="Normal 5 3 2 2 3 2" xfId="33771"/>
    <cellStyle name="Normal 5 3 2 2 4" xfId="21166"/>
    <cellStyle name="Normal 5 3 2 2 5" xfId="21167"/>
    <cellStyle name="Normal 5 3 2 2 6" xfId="21168"/>
    <cellStyle name="Normal 5 3 2 2 7" xfId="21169"/>
    <cellStyle name="Normal 5 3 2 2 8" xfId="21170"/>
    <cellStyle name="Normal 5 3 2 3" xfId="21171"/>
    <cellStyle name="Normal 5 3 2 3 2" xfId="21172"/>
    <cellStyle name="Normal 5 3 2 4" xfId="21173"/>
    <cellStyle name="Normal 5 3 2 4 2" xfId="33772"/>
    <cellStyle name="Normal 5 3 2 5" xfId="21174"/>
    <cellStyle name="Normal 5 3 2 6" xfId="21175"/>
    <cellStyle name="Normal 5 3 2 7" xfId="21176"/>
    <cellStyle name="Normal 5 3 2 8" xfId="21177"/>
    <cellStyle name="Normal 5 3 2 9" xfId="21178"/>
    <cellStyle name="Normal 5 3 20" xfId="10715"/>
    <cellStyle name="Normal 5 3 20 2" xfId="21179"/>
    <cellStyle name="Normal 5 3 20 3" xfId="21180"/>
    <cellStyle name="Normal 5 3 20 4" xfId="21181"/>
    <cellStyle name="Normal 5 3 20 5" xfId="21182"/>
    <cellStyle name="Normal 5 3 20 6" xfId="21183"/>
    <cellStyle name="Normal 5 3 20 7" xfId="21184"/>
    <cellStyle name="Normal 5 3 20 8" xfId="21185"/>
    <cellStyle name="Normal 5 3 21" xfId="10716"/>
    <cellStyle name="Normal 5 3 21 2" xfId="21186"/>
    <cellStyle name="Normal 5 3 21 3" xfId="21187"/>
    <cellStyle name="Normal 5 3 21 4" xfId="21188"/>
    <cellStyle name="Normal 5 3 21 5" xfId="21189"/>
    <cellStyle name="Normal 5 3 21 6" xfId="21190"/>
    <cellStyle name="Normal 5 3 21 7" xfId="21191"/>
    <cellStyle name="Normal 5 3 21 8" xfId="21192"/>
    <cellStyle name="Normal 5 3 22" xfId="10717"/>
    <cellStyle name="Normal 5 3 22 2" xfId="21193"/>
    <cellStyle name="Normal 5 3 22 3" xfId="21194"/>
    <cellStyle name="Normal 5 3 22 4" xfId="21195"/>
    <cellStyle name="Normal 5 3 22 5" xfId="21196"/>
    <cellStyle name="Normal 5 3 22 6" xfId="21197"/>
    <cellStyle name="Normal 5 3 22 7" xfId="21198"/>
    <cellStyle name="Normal 5 3 22 8" xfId="21199"/>
    <cellStyle name="Normal 5 3 23" xfId="10718"/>
    <cellStyle name="Normal 5 3 23 2" xfId="21200"/>
    <cellStyle name="Normal 5 3 23 3" xfId="21201"/>
    <cellStyle name="Normal 5 3 23 4" xfId="21202"/>
    <cellStyle name="Normal 5 3 23 5" xfId="21203"/>
    <cellStyle name="Normal 5 3 23 6" xfId="21204"/>
    <cellStyle name="Normal 5 3 23 7" xfId="21205"/>
    <cellStyle name="Normal 5 3 23 8" xfId="21206"/>
    <cellStyle name="Normal 5 3 24" xfId="10719"/>
    <cellStyle name="Normal 5 3 24 2" xfId="21207"/>
    <cellStyle name="Normal 5 3 24 3" xfId="21208"/>
    <cellStyle name="Normal 5 3 24 4" xfId="21209"/>
    <cellStyle name="Normal 5 3 24 5" xfId="21210"/>
    <cellStyle name="Normal 5 3 24 6" xfId="21211"/>
    <cellStyle name="Normal 5 3 24 7" xfId="21212"/>
    <cellStyle name="Normal 5 3 24 8" xfId="21213"/>
    <cellStyle name="Normal 5 3 25" xfId="10720"/>
    <cellStyle name="Normal 5 3 25 2" xfId="21214"/>
    <cellStyle name="Normal 5 3 25 3" xfId="21215"/>
    <cellStyle name="Normal 5 3 25 4" xfId="21216"/>
    <cellStyle name="Normal 5 3 25 5" xfId="21217"/>
    <cellStyle name="Normal 5 3 25 6" xfId="21218"/>
    <cellStyle name="Normal 5 3 25 7" xfId="21219"/>
    <cellStyle name="Normal 5 3 25 8" xfId="21220"/>
    <cellStyle name="Normal 5 3 26" xfId="10721"/>
    <cellStyle name="Normal 5 3 26 2" xfId="21221"/>
    <cellStyle name="Normal 5 3 26 3" xfId="21222"/>
    <cellStyle name="Normal 5 3 26 4" xfId="21223"/>
    <cellStyle name="Normal 5 3 26 5" xfId="21224"/>
    <cellStyle name="Normal 5 3 26 6" xfId="21225"/>
    <cellStyle name="Normal 5 3 26 7" xfId="21226"/>
    <cellStyle name="Normal 5 3 26 8" xfId="21227"/>
    <cellStyle name="Normal 5 3 27" xfId="10722"/>
    <cellStyle name="Normal 5 3 27 2" xfId="21228"/>
    <cellStyle name="Normal 5 3 27 3" xfId="21229"/>
    <cellStyle name="Normal 5 3 27 4" xfId="21230"/>
    <cellStyle name="Normal 5 3 27 5" xfId="21231"/>
    <cellStyle name="Normal 5 3 27 6" xfId="21232"/>
    <cellStyle name="Normal 5 3 27 7" xfId="21233"/>
    <cellStyle name="Normal 5 3 27 8" xfId="21234"/>
    <cellStyle name="Normal 5 3 28" xfId="10723"/>
    <cellStyle name="Normal 5 3 28 2" xfId="21235"/>
    <cellStyle name="Normal 5 3 28 3" xfId="21236"/>
    <cellStyle name="Normal 5 3 28 4" xfId="21237"/>
    <cellStyle name="Normal 5 3 28 5" xfId="21238"/>
    <cellStyle name="Normal 5 3 28 6" xfId="21239"/>
    <cellStyle name="Normal 5 3 28 7" xfId="21240"/>
    <cellStyle name="Normal 5 3 28 8" xfId="21241"/>
    <cellStyle name="Normal 5 3 29" xfId="10724"/>
    <cellStyle name="Normal 5 3 29 2" xfId="21242"/>
    <cellStyle name="Normal 5 3 29 3" xfId="21243"/>
    <cellStyle name="Normal 5 3 29 4" xfId="21244"/>
    <cellStyle name="Normal 5 3 29 5" xfId="21245"/>
    <cellStyle name="Normal 5 3 29 6" xfId="21246"/>
    <cellStyle name="Normal 5 3 29 7" xfId="21247"/>
    <cellStyle name="Normal 5 3 29 8" xfId="21248"/>
    <cellStyle name="Normal 5 3 3" xfId="10725"/>
    <cellStyle name="Normal 5 3 3 10" xfId="21249"/>
    <cellStyle name="Normal 5 3 3 2" xfId="21250"/>
    <cellStyle name="Normal 5 3 3 2 2" xfId="21251"/>
    <cellStyle name="Normal 5 3 3 2 2 2" xfId="21252"/>
    <cellStyle name="Normal 5 3 3 2 3" xfId="21253"/>
    <cellStyle name="Normal 5 3 3 2 3 2" xfId="33773"/>
    <cellStyle name="Normal 5 3 3 2 4" xfId="21254"/>
    <cellStyle name="Normal 5 3 3 2 5" xfId="21255"/>
    <cellStyle name="Normal 5 3 3 2 6" xfId="21256"/>
    <cellStyle name="Normal 5 3 3 2 7" xfId="21257"/>
    <cellStyle name="Normal 5 3 3 2 8" xfId="21258"/>
    <cellStyle name="Normal 5 3 3 3" xfId="21259"/>
    <cellStyle name="Normal 5 3 3 3 2" xfId="21260"/>
    <cellStyle name="Normal 5 3 3 4" xfId="21261"/>
    <cellStyle name="Normal 5 3 3 4 2" xfId="33774"/>
    <cellStyle name="Normal 5 3 3 5" xfId="21262"/>
    <cellStyle name="Normal 5 3 3 6" xfId="21263"/>
    <cellStyle name="Normal 5 3 3 7" xfId="21264"/>
    <cellStyle name="Normal 5 3 3 8" xfId="21265"/>
    <cellStyle name="Normal 5 3 3 9" xfId="21266"/>
    <cellStyle name="Normal 5 3 30" xfId="10726"/>
    <cellStyle name="Normal 5 3 30 2" xfId="21267"/>
    <cellStyle name="Normal 5 3 30 3" xfId="21268"/>
    <cellStyle name="Normal 5 3 30 4" xfId="21269"/>
    <cellStyle name="Normal 5 3 30 5" xfId="21270"/>
    <cellStyle name="Normal 5 3 30 6" xfId="21271"/>
    <cellStyle name="Normal 5 3 30 7" xfId="21272"/>
    <cellStyle name="Normal 5 3 30 8" xfId="21273"/>
    <cellStyle name="Normal 5 3 31" xfId="10727"/>
    <cellStyle name="Normal 5 3 31 2" xfId="21274"/>
    <cellStyle name="Normal 5 3 31 3" xfId="21275"/>
    <cellStyle name="Normal 5 3 31 4" xfId="21276"/>
    <cellStyle name="Normal 5 3 31 5" xfId="21277"/>
    <cellStyle name="Normal 5 3 31 6" xfId="21278"/>
    <cellStyle name="Normal 5 3 31 7" xfId="21279"/>
    <cellStyle name="Normal 5 3 31 8" xfId="21280"/>
    <cellStyle name="Normal 5 3 32" xfId="10728"/>
    <cellStyle name="Normal 5 3 32 2" xfId="21281"/>
    <cellStyle name="Normal 5 3 32 3" xfId="21282"/>
    <cellStyle name="Normal 5 3 32 4" xfId="21283"/>
    <cellStyle name="Normal 5 3 32 5" xfId="21284"/>
    <cellStyle name="Normal 5 3 32 6" xfId="21285"/>
    <cellStyle name="Normal 5 3 32 7" xfId="21286"/>
    <cellStyle name="Normal 5 3 32 8" xfId="21287"/>
    <cellStyle name="Normal 5 3 33" xfId="10729"/>
    <cellStyle name="Normal 5 3 33 2" xfId="21288"/>
    <cellStyle name="Normal 5 3 33 3" xfId="21289"/>
    <cellStyle name="Normal 5 3 33 4" xfId="21290"/>
    <cellStyle name="Normal 5 3 33 5" xfId="21291"/>
    <cellStyle name="Normal 5 3 33 6" xfId="21292"/>
    <cellStyle name="Normal 5 3 33 7" xfId="21293"/>
    <cellStyle name="Normal 5 3 33 8" xfId="21294"/>
    <cellStyle name="Normal 5 3 34" xfId="10730"/>
    <cellStyle name="Normal 5 3 34 2" xfId="21295"/>
    <cellStyle name="Normal 5 3 34 3" xfId="21296"/>
    <cellStyle name="Normal 5 3 34 4" xfId="21297"/>
    <cellStyle name="Normal 5 3 34 5" xfId="21298"/>
    <cellStyle name="Normal 5 3 34 6" xfId="21299"/>
    <cellStyle name="Normal 5 3 34 7" xfId="21300"/>
    <cellStyle name="Normal 5 3 34 8" xfId="21301"/>
    <cellStyle name="Normal 5 3 35" xfId="10731"/>
    <cellStyle name="Normal 5 3 35 2" xfId="21302"/>
    <cellStyle name="Normal 5 3 35 3" xfId="21303"/>
    <cellStyle name="Normal 5 3 35 4" xfId="21304"/>
    <cellStyle name="Normal 5 3 35 5" xfId="21305"/>
    <cellStyle name="Normal 5 3 35 6" xfId="21306"/>
    <cellStyle name="Normal 5 3 35 7" xfId="21307"/>
    <cellStyle name="Normal 5 3 35 8" xfId="21308"/>
    <cellStyle name="Normal 5 3 36" xfId="10732"/>
    <cellStyle name="Normal 5 3 36 2" xfId="21309"/>
    <cellStyle name="Normal 5 3 36 3" xfId="21310"/>
    <cellStyle name="Normal 5 3 37" xfId="10733"/>
    <cellStyle name="Normal 5 3 37 2" xfId="21311"/>
    <cellStyle name="Normal 5 3 38" xfId="10734"/>
    <cellStyle name="Normal 5 3 38 2" xfId="21312"/>
    <cellStyle name="Normal 5 3 39" xfId="10735"/>
    <cellStyle name="Normal 5 3 39 2" xfId="21313"/>
    <cellStyle name="Normal 5 3 4" xfId="10736"/>
    <cellStyle name="Normal 5 3 4 10" xfId="21314"/>
    <cellStyle name="Normal 5 3 4 2" xfId="21315"/>
    <cellStyle name="Normal 5 3 4 2 2" xfId="21316"/>
    <cellStyle name="Normal 5 3 4 2 2 2" xfId="21317"/>
    <cellStyle name="Normal 5 3 4 2 3" xfId="21318"/>
    <cellStyle name="Normal 5 3 4 2 3 2" xfId="33775"/>
    <cellStyle name="Normal 5 3 4 2 4" xfId="21319"/>
    <cellStyle name="Normal 5 3 4 2 5" xfId="21320"/>
    <cellStyle name="Normal 5 3 4 2 6" xfId="21321"/>
    <cellStyle name="Normal 5 3 4 2 7" xfId="21322"/>
    <cellStyle name="Normal 5 3 4 2 8" xfId="21323"/>
    <cellStyle name="Normal 5 3 4 3" xfId="21324"/>
    <cellStyle name="Normal 5 3 4 3 2" xfId="21325"/>
    <cellStyle name="Normal 5 3 4 4" xfId="21326"/>
    <cellStyle name="Normal 5 3 4 4 2" xfId="33776"/>
    <cellStyle name="Normal 5 3 4 5" xfId="21327"/>
    <cellStyle name="Normal 5 3 4 6" xfId="21328"/>
    <cellStyle name="Normal 5 3 4 7" xfId="21329"/>
    <cellStyle name="Normal 5 3 4 8" xfId="21330"/>
    <cellStyle name="Normal 5 3 4 9" xfId="21331"/>
    <cellStyle name="Normal 5 3 40" xfId="10737"/>
    <cellStyle name="Normal 5 3 40 2" xfId="21332"/>
    <cellStyle name="Normal 5 3 41" xfId="10738"/>
    <cellStyle name="Normal 5 3 41 2" xfId="21333"/>
    <cellStyle name="Normal 5 3 42" xfId="10739"/>
    <cellStyle name="Normal 5 3 42 2" xfId="21334"/>
    <cellStyle name="Normal 5 3 43" xfId="10740"/>
    <cellStyle name="Normal 5 3 43 2" xfId="21335"/>
    <cellStyle name="Normal 5 3 44" xfId="10741"/>
    <cellStyle name="Normal 5 3 45" xfId="10742"/>
    <cellStyle name="Normal 5 3 46" xfId="10743"/>
    <cellStyle name="Normal 5 3 47" xfId="10744"/>
    <cellStyle name="Normal 5 3 48" xfId="10745"/>
    <cellStyle name="Normal 5 3 49" xfId="10746"/>
    <cellStyle name="Normal 5 3 5" xfId="10747"/>
    <cellStyle name="Normal 5 3 5 10" xfId="21336"/>
    <cellStyle name="Normal 5 3 5 2" xfId="21337"/>
    <cellStyle name="Normal 5 3 5 2 2" xfId="21338"/>
    <cellStyle name="Normal 5 3 5 2 2 2" xfId="21339"/>
    <cellStyle name="Normal 5 3 5 2 3" xfId="21340"/>
    <cellStyle name="Normal 5 3 5 2 3 2" xfId="33777"/>
    <cellStyle name="Normal 5 3 5 2 4" xfId="21341"/>
    <cellStyle name="Normal 5 3 5 2 5" xfId="21342"/>
    <cellStyle name="Normal 5 3 5 2 6" xfId="21343"/>
    <cellStyle name="Normal 5 3 5 2 7" xfId="21344"/>
    <cellStyle name="Normal 5 3 5 2 8" xfId="21345"/>
    <cellStyle name="Normal 5 3 5 3" xfId="21346"/>
    <cellStyle name="Normal 5 3 5 3 2" xfId="21347"/>
    <cellStyle name="Normal 5 3 5 4" xfId="21348"/>
    <cellStyle name="Normal 5 3 5 4 2" xfId="33778"/>
    <cellStyle name="Normal 5 3 5 5" xfId="21349"/>
    <cellStyle name="Normal 5 3 5 6" xfId="21350"/>
    <cellStyle name="Normal 5 3 5 7" xfId="21351"/>
    <cellStyle name="Normal 5 3 5 8" xfId="21352"/>
    <cellStyle name="Normal 5 3 5 9" xfId="21353"/>
    <cellStyle name="Normal 5 3 50" xfId="10748"/>
    <cellStyle name="Normal 5 3 50 2" xfId="39895"/>
    <cellStyle name="Normal 5 3 51" xfId="10749"/>
    <cellStyle name="Normal 5 3 51 2" xfId="39896"/>
    <cellStyle name="Normal 5 3 52" xfId="10750"/>
    <cellStyle name="Normal 5 3 52 2" xfId="39897"/>
    <cellStyle name="Normal 5 3 53" xfId="21354"/>
    <cellStyle name="Normal 5 3 6" xfId="10751"/>
    <cellStyle name="Normal 5 3 6 10" xfId="21355"/>
    <cellStyle name="Normal 5 3 6 2" xfId="21356"/>
    <cellStyle name="Normal 5 3 6 2 2" xfId="21357"/>
    <cellStyle name="Normal 5 3 6 2 2 2" xfId="21358"/>
    <cellStyle name="Normal 5 3 6 2 3" xfId="21359"/>
    <cellStyle name="Normal 5 3 6 2 3 2" xfId="33779"/>
    <cellStyle name="Normal 5 3 6 2 4" xfId="21360"/>
    <cellStyle name="Normal 5 3 6 2 5" xfId="21361"/>
    <cellStyle name="Normal 5 3 6 2 6" xfId="21362"/>
    <cellStyle name="Normal 5 3 6 2 7" xfId="21363"/>
    <cellStyle name="Normal 5 3 6 2 8" xfId="21364"/>
    <cellStyle name="Normal 5 3 6 3" xfId="21365"/>
    <cellStyle name="Normal 5 3 6 3 2" xfId="21366"/>
    <cellStyle name="Normal 5 3 6 4" xfId="21367"/>
    <cellStyle name="Normal 5 3 6 4 2" xfId="33780"/>
    <cellStyle name="Normal 5 3 6 5" xfId="21368"/>
    <cellStyle name="Normal 5 3 6 6" xfId="21369"/>
    <cellStyle name="Normal 5 3 6 7" xfId="21370"/>
    <cellStyle name="Normal 5 3 6 8" xfId="21371"/>
    <cellStyle name="Normal 5 3 6 9" xfId="21372"/>
    <cellStyle name="Normal 5 3 7" xfId="10752"/>
    <cellStyle name="Normal 5 3 7 10" xfId="21373"/>
    <cellStyle name="Normal 5 3 7 2" xfId="21374"/>
    <cellStyle name="Normal 5 3 7 2 2" xfId="21375"/>
    <cellStyle name="Normal 5 3 7 2 2 2" xfId="21376"/>
    <cellStyle name="Normal 5 3 7 2 3" xfId="21377"/>
    <cellStyle name="Normal 5 3 7 2 3 2" xfId="33781"/>
    <cellStyle name="Normal 5 3 7 2 4" xfId="21378"/>
    <cellStyle name="Normal 5 3 7 2 5" xfId="21379"/>
    <cellStyle name="Normal 5 3 7 2 6" xfId="21380"/>
    <cellStyle name="Normal 5 3 7 2 7" xfId="21381"/>
    <cellStyle name="Normal 5 3 7 2 8" xfId="21382"/>
    <cellStyle name="Normal 5 3 7 3" xfId="21383"/>
    <cellStyle name="Normal 5 3 7 3 2" xfId="21384"/>
    <cellStyle name="Normal 5 3 7 4" xfId="21385"/>
    <cellStyle name="Normal 5 3 7 4 2" xfId="33782"/>
    <cellStyle name="Normal 5 3 7 5" xfId="21386"/>
    <cellStyle name="Normal 5 3 7 6" xfId="21387"/>
    <cellStyle name="Normal 5 3 7 7" xfId="21388"/>
    <cellStyle name="Normal 5 3 7 8" xfId="21389"/>
    <cellStyle name="Normal 5 3 7 9" xfId="21390"/>
    <cellStyle name="Normal 5 3 8" xfId="10753"/>
    <cellStyle name="Normal 5 3 8 2" xfId="21391"/>
    <cellStyle name="Normal 5 3 8 2 2" xfId="21392"/>
    <cellStyle name="Normal 5 3 8 2 2 2" xfId="33783"/>
    <cellStyle name="Normal 5 3 8 2 3" xfId="21393"/>
    <cellStyle name="Normal 5 3 8 2 4" xfId="21394"/>
    <cellStyle name="Normal 5 3 8 2 5" xfId="21395"/>
    <cellStyle name="Normal 5 3 8 2 6" xfId="21396"/>
    <cellStyle name="Normal 5 3 8 2 7" xfId="21397"/>
    <cellStyle name="Normal 5 3 8 3" xfId="21398"/>
    <cellStyle name="Normal 5 3 8 3 2" xfId="33784"/>
    <cellStyle name="Normal 5 3 8 4" xfId="21399"/>
    <cellStyle name="Normal 5 3 8 5" xfId="21400"/>
    <cellStyle name="Normal 5 3 8 6" xfId="21401"/>
    <cellStyle name="Normal 5 3 8 7" xfId="21402"/>
    <cellStyle name="Normal 5 3 8 8" xfId="21403"/>
    <cellStyle name="Normal 5 3 8 9" xfId="21404"/>
    <cellStyle name="Normal 5 3 9" xfId="10754"/>
    <cellStyle name="Normal 5 3 9 10" xfId="21405"/>
    <cellStyle name="Normal 5 3 9 2" xfId="21406"/>
    <cellStyle name="Normal 5 3 9 2 2" xfId="21407"/>
    <cellStyle name="Normal 5 3 9 2 2 2" xfId="33785"/>
    <cellStyle name="Normal 5 3 9 2 3" xfId="21408"/>
    <cellStyle name="Normal 5 3 9 2 4" xfId="21409"/>
    <cellStyle name="Normal 5 3 9 2 5" xfId="21410"/>
    <cellStyle name="Normal 5 3 9 2 6" xfId="21411"/>
    <cellStyle name="Normal 5 3 9 2 7" xfId="21412"/>
    <cellStyle name="Normal 5 3 9 2 8" xfId="21413"/>
    <cellStyle name="Normal 5 3 9 3" xfId="21414"/>
    <cellStyle name="Normal 5 3 9 3 2" xfId="33786"/>
    <cellStyle name="Normal 5 3 9 4" xfId="21415"/>
    <cellStyle name="Normal 5 3 9 5" xfId="21416"/>
    <cellStyle name="Normal 5 3 9 6" xfId="21417"/>
    <cellStyle name="Normal 5 3 9 7" xfId="21418"/>
    <cellStyle name="Normal 5 3 9 8" xfId="21419"/>
    <cellStyle name="Normal 5 3 9 9" xfId="21420"/>
    <cellStyle name="Normal 5 3_01-04-2012" xfId="10755"/>
    <cellStyle name="Normal 5 30" xfId="10756"/>
    <cellStyle name="Normal 5 31" xfId="10757"/>
    <cellStyle name="Normal 5 32" xfId="10758"/>
    <cellStyle name="Normal 5 33" xfId="10759"/>
    <cellStyle name="Normal 5 34" xfId="10760"/>
    <cellStyle name="Normal 5 35" xfId="10761"/>
    <cellStyle name="Normal 5 36" xfId="10762"/>
    <cellStyle name="Normal 5 37" xfId="10763"/>
    <cellStyle name="Normal 5 38" xfId="10764"/>
    <cellStyle name="Normal 5 39" xfId="10765"/>
    <cellStyle name="Normal 5 4" xfId="10766"/>
    <cellStyle name="Normal 5 4 2" xfId="10767"/>
    <cellStyle name="Normal 5 4 2 2" xfId="39898"/>
    <cellStyle name="Normal 5 4 3" xfId="10768"/>
    <cellStyle name="Normal 5 4 3 2" xfId="39899"/>
    <cellStyle name="Normal 5 4 4" xfId="10769"/>
    <cellStyle name="Normal 5 4 4 2" xfId="39900"/>
    <cellStyle name="Normal 5 4 5" xfId="21421"/>
    <cellStyle name="Normal 5 4_01-04-2012" xfId="10770"/>
    <cellStyle name="Normal 5 40" xfId="10771"/>
    <cellStyle name="Normal 5 41" xfId="10772"/>
    <cellStyle name="Normal 5 42" xfId="10773"/>
    <cellStyle name="Normal 5 43" xfId="10774"/>
    <cellStyle name="Normal 5 44" xfId="10775"/>
    <cellStyle name="Normal 5 45" xfId="10776"/>
    <cellStyle name="Normal 5 46" xfId="10777"/>
    <cellStyle name="Normal 5 47" xfId="10778"/>
    <cellStyle name="Normal 5 48" xfId="10779"/>
    <cellStyle name="Normal 5 49" xfId="10780"/>
    <cellStyle name="Normal 5 5" xfId="10781"/>
    <cellStyle name="Normal 5 5 2" xfId="21422"/>
    <cellStyle name="Normal 5 50" xfId="10782"/>
    <cellStyle name="Normal 5 51" xfId="10783"/>
    <cellStyle name="Normal 5 52" xfId="10784"/>
    <cellStyle name="Normal 5 53" xfId="10785"/>
    <cellStyle name="Normal 5 53 2" xfId="39901"/>
    <cellStyle name="Normal 5 54" xfId="10786"/>
    <cellStyle name="Normal 5 54 2" xfId="39902"/>
    <cellStyle name="Normal 5 55" xfId="10787"/>
    <cellStyle name="Normal 5 55 2" xfId="39903"/>
    <cellStyle name="Normal 5 56" xfId="21423"/>
    <cellStyle name="Normal 5 57" xfId="21424"/>
    <cellStyle name="Normal 5 58" xfId="21425"/>
    <cellStyle name="Normal 5 59" xfId="21426"/>
    <cellStyle name="Normal 5 6" xfId="10788"/>
    <cellStyle name="Normal 5 6 2" xfId="21427"/>
    <cellStyle name="Normal 5 60" xfId="21428"/>
    <cellStyle name="Normal 5 61" xfId="21429"/>
    <cellStyle name="Normal 5 62" xfId="33743"/>
    <cellStyle name="Normal 5 7" xfId="10789"/>
    <cellStyle name="Normal 5 7 2" xfId="21430"/>
    <cellStyle name="Normal 5 7 2 2" xfId="21431"/>
    <cellStyle name="Normal 5 7 2 2 2" xfId="33787"/>
    <cellStyle name="Normal 5 7 2 3" xfId="33788"/>
    <cellStyle name="Normal 5 7 3" xfId="21432"/>
    <cellStyle name="Normal 5 7 3 2" xfId="33789"/>
    <cellStyle name="Normal 5 7 4" xfId="21433"/>
    <cellStyle name="Normal 5 8" xfId="10790"/>
    <cellStyle name="Normal 5 8 2" xfId="21434"/>
    <cellStyle name="Normal 5 8 2 2" xfId="21435"/>
    <cellStyle name="Normal 5 8 2 2 2" xfId="21436"/>
    <cellStyle name="Normal 5 8 2 2 2 2" xfId="33790"/>
    <cellStyle name="Normal 5 8 2 2 3" xfId="33791"/>
    <cellStyle name="Normal 5 8 2 3" xfId="21437"/>
    <cellStyle name="Normal 5 8 2 3 2" xfId="33792"/>
    <cellStyle name="Normal 5 8 2 4" xfId="33793"/>
    <cellStyle name="Normal 5 8 3" xfId="21438"/>
    <cellStyle name="Normal 5 8 3 2" xfId="21439"/>
    <cellStyle name="Normal 5 8 3 2 2" xfId="33794"/>
    <cellStyle name="Normal 5 8 3 3" xfId="33795"/>
    <cellStyle name="Normal 5 8 4" xfId="21440"/>
    <cellStyle name="Normal 5 8 4 2" xfId="33796"/>
    <cellStyle name="Normal 5 8 5" xfId="21441"/>
    <cellStyle name="Normal 5 9" xfId="10791"/>
    <cellStyle name="Normal 5 9 2" xfId="21442"/>
    <cellStyle name="Normal 5_01-04-2012" xfId="10792"/>
    <cellStyle name="Normal 50" xfId="10793"/>
    <cellStyle name="Normal 50 10" xfId="10794"/>
    <cellStyle name="Normal 50 11" xfId="10795"/>
    <cellStyle name="Normal 50 12" xfId="10796"/>
    <cellStyle name="Normal 50 13" xfId="10797"/>
    <cellStyle name="Normal 50 14" xfId="21443"/>
    <cellStyle name="Normal 50 2" xfId="10798"/>
    <cellStyle name="Normal 50 3" xfId="10799"/>
    <cellStyle name="Normal 50 4" xfId="10800"/>
    <cellStyle name="Normal 50 5" xfId="10801"/>
    <cellStyle name="Normal 50 6" xfId="10802"/>
    <cellStyle name="Normal 50 7" xfId="10803"/>
    <cellStyle name="Normal 50 8" xfId="10804"/>
    <cellStyle name="Normal 50 9" xfId="10805"/>
    <cellStyle name="Normal 50_01-04-2012" xfId="10806"/>
    <cellStyle name="Normal 500" xfId="21444"/>
    <cellStyle name="Normal 501" xfId="21445"/>
    <cellStyle name="Normal 502" xfId="21446"/>
    <cellStyle name="Normal 503" xfId="21447"/>
    <cellStyle name="Normal 504" xfId="21448"/>
    <cellStyle name="Normal 505" xfId="21449"/>
    <cellStyle name="Normal 506" xfId="21450"/>
    <cellStyle name="Normal 507" xfId="21451"/>
    <cellStyle name="Normal 508" xfId="21452"/>
    <cellStyle name="Normal 509" xfId="21453"/>
    <cellStyle name="Normal 51" xfId="10807"/>
    <cellStyle name="Normal 51 2" xfId="10808"/>
    <cellStyle name="Normal 51 3" xfId="21454"/>
    <cellStyle name="Normal 51_01-04-2012" xfId="10809"/>
    <cellStyle name="Normal 510" xfId="21455"/>
    <cellStyle name="Normal 511" xfId="21456"/>
    <cellStyle name="Normal 512" xfId="21457"/>
    <cellStyle name="Normal 513" xfId="21458"/>
    <cellStyle name="Normal 514" xfId="21459"/>
    <cellStyle name="Normal 515" xfId="21460"/>
    <cellStyle name="Normal 516" xfId="21461"/>
    <cellStyle name="Normal 517" xfId="21462"/>
    <cellStyle name="Normal 518" xfId="21463"/>
    <cellStyle name="Normal 519" xfId="21464"/>
    <cellStyle name="Normal 52" xfId="10810"/>
    <cellStyle name="Normal 52 2" xfId="10811"/>
    <cellStyle name="Normal 52 3" xfId="21465"/>
    <cellStyle name="Normal 52_01-04-2012" xfId="10812"/>
    <cellStyle name="Normal 520" xfId="21466"/>
    <cellStyle name="Normal 521" xfId="21467"/>
    <cellStyle name="Normal 522" xfId="21468"/>
    <cellStyle name="Normal 523" xfId="21469"/>
    <cellStyle name="Normal 524" xfId="21470"/>
    <cellStyle name="Normal 525" xfId="21471"/>
    <cellStyle name="Normal 526" xfId="21472"/>
    <cellStyle name="Normal 527" xfId="21473"/>
    <cellStyle name="Normal 528" xfId="21474"/>
    <cellStyle name="Normal 529" xfId="21475"/>
    <cellStyle name="Normal 53" xfId="10813"/>
    <cellStyle name="Normal 53 2" xfId="10814"/>
    <cellStyle name="Normal 53 3" xfId="21476"/>
    <cellStyle name="Normal 53_01-04-2012" xfId="10815"/>
    <cellStyle name="Normal 530" xfId="21477"/>
    <cellStyle name="Normal 531" xfId="21478"/>
    <cellStyle name="Normal 532" xfId="21479"/>
    <cellStyle name="Normal 533" xfId="21480"/>
    <cellStyle name="Normal 534" xfId="21481"/>
    <cellStyle name="Normal 535" xfId="21482"/>
    <cellStyle name="Normal 536" xfId="21483"/>
    <cellStyle name="Normal 537" xfId="21484"/>
    <cellStyle name="Normal 538" xfId="21485"/>
    <cellStyle name="Normal 539" xfId="21486"/>
    <cellStyle name="Normal 54" xfId="10816"/>
    <cellStyle name="Normal 54 2" xfId="10817"/>
    <cellStyle name="Normal 54 3" xfId="21487"/>
    <cellStyle name="Normal 54_01-04-2012" xfId="10818"/>
    <cellStyle name="Normal 540" xfId="21488"/>
    <cellStyle name="Normal 541" xfId="21489"/>
    <cellStyle name="Normal 542" xfId="21490"/>
    <cellStyle name="Normal 543" xfId="21491"/>
    <cellStyle name="Normal 544" xfId="21492"/>
    <cellStyle name="Normal 545" xfId="21493"/>
    <cellStyle name="Normal 546" xfId="21494"/>
    <cellStyle name="Normal 547" xfId="21495"/>
    <cellStyle name="Normal 548" xfId="21496"/>
    <cellStyle name="Normal 549" xfId="21497"/>
    <cellStyle name="Normal 55" xfId="10819"/>
    <cellStyle name="Normal 55 2" xfId="10820"/>
    <cellStyle name="Normal 55 3" xfId="21498"/>
    <cellStyle name="Normal 55_01-04-2012" xfId="10821"/>
    <cellStyle name="Normal 550" xfId="21499"/>
    <cellStyle name="Normal 551" xfId="21500"/>
    <cellStyle name="Normal 552" xfId="21501"/>
    <cellStyle name="Normal 553" xfId="21502"/>
    <cellStyle name="Normal 554" xfId="21503"/>
    <cellStyle name="Normal 555" xfId="21504"/>
    <cellStyle name="Normal 556" xfId="21505"/>
    <cellStyle name="Normal 557" xfId="21506"/>
    <cellStyle name="Normal 558" xfId="21507"/>
    <cellStyle name="Normal 559" xfId="21508"/>
    <cellStyle name="Normal 56" xfId="10822"/>
    <cellStyle name="Normal 56 2" xfId="10823"/>
    <cellStyle name="Normal 56 3" xfId="21509"/>
    <cellStyle name="Normal 56_01-04-2012" xfId="10824"/>
    <cellStyle name="Normal 560" xfId="21510"/>
    <cellStyle name="Normal 561" xfId="21511"/>
    <cellStyle name="Normal 562" xfId="21512"/>
    <cellStyle name="Normal 563" xfId="21513"/>
    <cellStyle name="Normal 564" xfId="21514"/>
    <cellStyle name="Normal 565" xfId="21515"/>
    <cellStyle name="Normal 566" xfId="21516"/>
    <cellStyle name="Normal 567" xfId="21517"/>
    <cellStyle name="Normal 568" xfId="21518"/>
    <cellStyle name="Normal 569" xfId="21519"/>
    <cellStyle name="Normal 57" xfId="10825"/>
    <cellStyle name="Normal 57 2" xfId="10826"/>
    <cellStyle name="Normal 57 3" xfId="21520"/>
    <cellStyle name="Normal 57_01-04-2012" xfId="10827"/>
    <cellStyle name="Normal 570" xfId="21521"/>
    <cellStyle name="Normal 571" xfId="21522"/>
    <cellStyle name="Normal 572" xfId="21523"/>
    <cellStyle name="Normal 573" xfId="21524"/>
    <cellStyle name="Normal 574" xfId="21525"/>
    <cellStyle name="Normal 575" xfId="21526"/>
    <cellStyle name="Normal 576" xfId="21527"/>
    <cellStyle name="Normal 577" xfId="21528"/>
    <cellStyle name="Normal 578" xfId="21529"/>
    <cellStyle name="Normal 579" xfId="21530"/>
    <cellStyle name="Normal 58" xfId="10828"/>
    <cellStyle name="Normal 58 2" xfId="10829"/>
    <cellStyle name="Normal 58 3" xfId="21531"/>
    <cellStyle name="Normal 58_01-04-2012" xfId="10830"/>
    <cellStyle name="Normal 580" xfId="21532"/>
    <cellStyle name="Normal 581" xfId="21533"/>
    <cellStyle name="Normal 582" xfId="21534"/>
    <cellStyle name="Normal 583" xfId="21535"/>
    <cellStyle name="Normal 584" xfId="21536"/>
    <cellStyle name="Normal 585" xfId="21537"/>
    <cellStyle name="Normal 586" xfId="21538"/>
    <cellStyle name="Normal 587" xfId="21539"/>
    <cellStyle name="Normal 588" xfId="21540"/>
    <cellStyle name="Normal 589" xfId="21541"/>
    <cellStyle name="Normal 59" xfId="10831"/>
    <cellStyle name="Normal 59 2" xfId="10832"/>
    <cellStyle name="Normal 59 3" xfId="21542"/>
    <cellStyle name="Normal 59_01-04-2012" xfId="10833"/>
    <cellStyle name="Normal 590" xfId="21543"/>
    <cellStyle name="Normal 591" xfId="21544"/>
    <cellStyle name="Normal 592" xfId="21545"/>
    <cellStyle name="Normal 593" xfId="21546"/>
    <cellStyle name="Normal 594" xfId="21547"/>
    <cellStyle name="Normal 595" xfId="21548"/>
    <cellStyle name="Normal 596" xfId="21549"/>
    <cellStyle name="Normal 597" xfId="21550"/>
    <cellStyle name="Normal 598" xfId="21551"/>
    <cellStyle name="Normal 599" xfId="21552"/>
    <cellStyle name="Normal 6" xfId="10834"/>
    <cellStyle name="Normal 6 10" xfId="10835"/>
    <cellStyle name="Normal 6 11" xfId="10836"/>
    <cellStyle name="Normal 6 12" xfId="10837"/>
    <cellStyle name="Normal 6 13" xfId="10838"/>
    <cellStyle name="Normal 6 14" xfId="10839"/>
    <cellStyle name="Normal 6 15" xfId="10840"/>
    <cellStyle name="Normal 6 16" xfId="10841"/>
    <cellStyle name="Normal 6 17" xfId="10842"/>
    <cellStyle name="Normal 6 18" xfId="10843"/>
    <cellStyle name="Normal 6 19" xfId="10844"/>
    <cellStyle name="Normal 6 2" xfId="10845"/>
    <cellStyle name="Normal 6 2 2" xfId="10846"/>
    <cellStyle name="Normal 6 2 2 2" xfId="21553"/>
    <cellStyle name="Normal 6 2 2 2 2" xfId="21554"/>
    <cellStyle name="Normal 6 2 2 3" xfId="21555"/>
    <cellStyle name="Normal 6 2 2 4" xfId="21556"/>
    <cellStyle name="Normal 6 2 2 5" xfId="21557"/>
    <cellStyle name="Normal 6 2 2 6" xfId="21558"/>
    <cellStyle name="Normal 6 2 2 7" xfId="21559"/>
    <cellStyle name="Normal 6 2 2 8" xfId="21560"/>
    <cellStyle name="Normal 6 2 3" xfId="10847"/>
    <cellStyle name="Normal 6 2 3 2" xfId="21561"/>
    <cellStyle name="Normal 6 2 4" xfId="10848"/>
    <cellStyle name="Normal 6 2 4 2" xfId="21562"/>
    <cellStyle name="Normal 6 2 5" xfId="10849"/>
    <cellStyle name="Normal 6 2 6" xfId="10850"/>
    <cellStyle name="Normal 6 2 6 2" xfId="39904"/>
    <cellStyle name="Normal 6 2 7" xfId="10851"/>
    <cellStyle name="Normal 6 2 7 2" xfId="39905"/>
    <cellStyle name="Normal 6 2 8" xfId="10852"/>
    <cellStyle name="Normal 6 2 8 2" xfId="39906"/>
    <cellStyle name="Normal 6 2 9" xfId="21563"/>
    <cellStyle name="Normal 6 2 9 2" xfId="39907"/>
    <cellStyle name="Normal 6 2_01-04-2012" xfId="10853"/>
    <cellStyle name="Normal 6 20" xfId="10854"/>
    <cellStyle name="Normal 6 21" xfId="10855"/>
    <cellStyle name="Normal 6 22" xfId="10856"/>
    <cellStyle name="Normal 6 23" xfId="10857"/>
    <cellStyle name="Normal 6 24" xfId="10858"/>
    <cellStyle name="Normal 6 25" xfId="10859"/>
    <cellStyle name="Normal 6 26" xfId="10860"/>
    <cellStyle name="Normal 6 27" xfId="10861"/>
    <cellStyle name="Normal 6 28" xfId="10862"/>
    <cellStyle name="Normal 6 29" xfId="10863"/>
    <cellStyle name="Normal 6 3" xfId="10864"/>
    <cellStyle name="Normal 6 3 10" xfId="21564"/>
    <cellStyle name="Normal 6 3 10 2" xfId="21565"/>
    <cellStyle name="Normal 6 3 10 2 2" xfId="21566"/>
    <cellStyle name="Normal 6 3 10 2 3" xfId="21567"/>
    <cellStyle name="Normal 6 3 10 2 4" xfId="21568"/>
    <cellStyle name="Normal 6 3 10 2 5" xfId="21569"/>
    <cellStyle name="Normal 6 3 10 2 6" xfId="21570"/>
    <cellStyle name="Normal 6 3 10 2 7" xfId="21571"/>
    <cellStyle name="Normal 6 3 10 3" xfId="21572"/>
    <cellStyle name="Normal 6 3 10 4" xfId="21573"/>
    <cellStyle name="Normal 6 3 10 5" xfId="21574"/>
    <cellStyle name="Normal 6 3 10 6" xfId="21575"/>
    <cellStyle name="Normal 6 3 10 7" xfId="21576"/>
    <cellStyle name="Normal 6 3 10 8" xfId="21577"/>
    <cellStyle name="Normal 6 3 11" xfId="21578"/>
    <cellStyle name="Normal 6 3 11 2" xfId="21579"/>
    <cellStyle name="Normal 6 3 11 2 2" xfId="21580"/>
    <cellStyle name="Normal 6 3 11 2 3" xfId="21581"/>
    <cellStyle name="Normal 6 3 11 2 4" xfId="21582"/>
    <cellStyle name="Normal 6 3 11 2 5" xfId="21583"/>
    <cellStyle name="Normal 6 3 11 2 6" xfId="21584"/>
    <cellStyle name="Normal 6 3 11 2 7" xfId="21585"/>
    <cellStyle name="Normal 6 3 11 3" xfId="21586"/>
    <cellStyle name="Normal 6 3 11 4" xfId="21587"/>
    <cellStyle name="Normal 6 3 11 5" xfId="21588"/>
    <cellStyle name="Normal 6 3 11 6" xfId="21589"/>
    <cellStyle name="Normal 6 3 11 7" xfId="21590"/>
    <cellStyle name="Normal 6 3 11 8" xfId="21591"/>
    <cellStyle name="Normal 6 3 12" xfId="21592"/>
    <cellStyle name="Normal 6 3 12 2" xfId="21593"/>
    <cellStyle name="Normal 6 3 12 2 2" xfId="21594"/>
    <cellStyle name="Normal 6 3 12 2 3" xfId="21595"/>
    <cellStyle name="Normal 6 3 12 2 4" xfId="21596"/>
    <cellStyle name="Normal 6 3 12 2 5" xfId="21597"/>
    <cellStyle name="Normal 6 3 12 2 6" xfId="21598"/>
    <cellStyle name="Normal 6 3 12 2 7" xfId="21599"/>
    <cellStyle name="Normal 6 3 12 3" xfId="21600"/>
    <cellStyle name="Normal 6 3 12 4" xfId="21601"/>
    <cellStyle name="Normal 6 3 12 5" xfId="21602"/>
    <cellStyle name="Normal 6 3 12 6" xfId="21603"/>
    <cellStyle name="Normal 6 3 12 7" xfId="21604"/>
    <cellStyle name="Normal 6 3 12 8" xfId="21605"/>
    <cellStyle name="Normal 6 3 13" xfId="21606"/>
    <cellStyle name="Normal 6 3 13 2" xfId="21607"/>
    <cellStyle name="Normal 6 3 13 2 2" xfId="21608"/>
    <cellStyle name="Normal 6 3 13 2 3" xfId="21609"/>
    <cellStyle name="Normal 6 3 13 2 4" xfId="21610"/>
    <cellStyle name="Normal 6 3 13 2 5" xfId="21611"/>
    <cellStyle name="Normal 6 3 13 2 6" xfId="21612"/>
    <cellStyle name="Normal 6 3 13 2 7" xfId="21613"/>
    <cellStyle name="Normal 6 3 13 3" xfId="21614"/>
    <cellStyle name="Normal 6 3 13 4" xfId="21615"/>
    <cellStyle name="Normal 6 3 13 5" xfId="21616"/>
    <cellStyle name="Normal 6 3 13 6" xfId="21617"/>
    <cellStyle name="Normal 6 3 13 7" xfId="21618"/>
    <cellStyle name="Normal 6 3 13 8" xfId="21619"/>
    <cellStyle name="Normal 6 3 14" xfId="21620"/>
    <cellStyle name="Normal 6 3 14 2" xfId="21621"/>
    <cellStyle name="Normal 6 3 14 2 2" xfId="21622"/>
    <cellStyle name="Normal 6 3 14 2 3" xfId="21623"/>
    <cellStyle name="Normal 6 3 14 2 4" xfId="21624"/>
    <cellStyle name="Normal 6 3 14 2 5" xfId="21625"/>
    <cellStyle name="Normal 6 3 14 2 6" xfId="21626"/>
    <cellStyle name="Normal 6 3 14 2 7" xfId="21627"/>
    <cellStyle name="Normal 6 3 14 3" xfId="21628"/>
    <cellStyle name="Normal 6 3 14 4" xfId="21629"/>
    <cellStyle name="Normal 6 3 14 5" xfId="21630"/>
    <cellStyle name="Normal 6 3 14 6" xfId="21631"/>
    <cellStyle name="Normal 6 3 14 7" xfId="21632"/>
    <cellStyle name="Normal 6 3 14 8" xfId="21633"/>
    <cellStyle name="Normal 6 3 15" xfId="21634"/>
    <cellStyle name="Normal 6 3 15 2" xfId="21635"/>
    <cellStyle name="Normal 6 3 15 2 2" xfId="21636"/>
    <cellStyle name="Normal 6 3 15 2 3" xfId="21637"/>
    <cellStyle name="Normal 6 3 15 2 4" xfId="21638"/>
    <cellStyle name="Normal 6 3 15 2 5" xfId="21639"/>
    <cellStyle name="Normal 6 3 15 2 6" xfId="21640"/>
    <cellStyle name="Normal 6 3 15 2 7" xfId="21641"/>
    <cellStyle name="Normal 6 3 15 3" xfId="21642"/>
    <cellStyle name="Normal 6 3 15 4" xfId="21643"/>
    <cellStyle name="Normal 6 3 15 5" xfId="21644"/>
    <cellStyle name="Normal 6 3 15 6" xfId="21645"/>
    <cellStyle name="Normal 6 3 15 7" xfId="21646"/>
    <cellStyle name="Normal 6 3 15 8" xfId="21647"/>
    <cellStyle name="Normal 6 3 16" xfId="21648"/>
    <cellStyle name="Normal 6 3 16 2" xfId="21649"/>
    <cellStyle name="Normal 6 3 16 3" xfId="21650"/>
    <cellStyle name="Normal 6 3 16 4" xfId="21651"/>
    <cellStyle name="Normal 6 3 16 5" xfId="21652"/>
    <cellStyle name="Normal 6 3 16 6" xfId="21653"/>
    <cellStyle name="Normal 6 3 16 7" xfId="21654"/>
    <cellStyle name="Normal 6 3 17" xfId="21655"/>
    <cellStyle name="Normal 6 3 17 2" xfId="21656"/>
    <cellStyle name="Normal 6 3 17 3" xfId="21657"/>
    <cellStyle name="Normal 6 3 17 4" xfId="21658"/>
    <cellStyle name="Normal 6 3 17 5" xfId="21659"/>
    <cellStyle name="Normal 6 3 17 6" xfId="21660"/>
    <cellStyle name="Normal 6 3 17 7" xfId="21661"/>
    <cellStyle name="Normal 6 3 18" xfId="21662"/>
    <cellStyle name="Normal 6 3 18 2" xfId="21663"/>
    <cellStyle name="Normal 6 3 18 3" xfId="21664"/>
    <cellStyle name="Normal 6 3 18 4" xfId="21665"/>
    <cellStyle name="Normal 6 3 18 5" xfId="21666"/>
    <cellStyle name="Normal 6 3 18 6" xfId="21667"/>
    <cellStyle name="Normal 6 3 18 7" xfId="21668"/>
    <cellStyle name="Normal 6 3 19" xfId="21669"/>
    <cellStyle name="Normal 6 3 19 2" xfId="21670"/>
    <cellStyle name="Normal 6 3 19 3" xfId="21671"/>
    <cellStyle name="Normal 6 3 19 4" xfId="21672"/>
    <cellStyle name="Normal 6 3 19 5" xfId="21673"/>
    <cellStyle name="Normal 6 3 19 6" xfId="21674"/>
    <cellStyle name="Normal 6 3 19 7" xfId="21675"/>
    <cellStyle name="Normal 6 3 2" xfId="10865"/>
    <cellStyle name="Normal 6 3 2 2" xfId="21676"/>
    <cellStyle name="Normal 6 3 2 2 2" xfId="21677"/>
    <cellStyle name="Normal 6 3 2 2 3" xfId="21678"/>
    <cellStyle name="Normal 6 3 2 2 4" xfId="21679"/>
    <cellStyle name="Normal 6 3 2 2 5" xfId="21680"/>
    <cellStyle name="Normal 6 3 2 2 6" xfId="21681"/>
    <cellStyle name="Normal 6 3 2 2 7" xfId="21682"/>
    <cellStyle name="Normal 6 3 2 3" xfId="21683"/>
    <cellStyle name="Normal 6 3 2 4" xfId="21684"/>
    <cellStyle name="Normal 6 3 2 5" xfId="21685"/>
    <cellStyle name="Normal 6 3 2 6" xfId="21686"/>
    <cellStyle name="Normal 6 3 2 7" xfId="21687"/>
    <cellStyle name="Normal 6 3 2 8" xfId="21688"/>
    <cellStyle name="Normal 6 3 2 9" xfId="21689"/>
    <cellStyle name="Normal 6 3 20" xfId="21690"/>
    <cellStyle name="Normal 6 3 20 2" xfId="21691"/>
    <cellStyle name="Normal 6 3 20 3" xfId="21692"/>
    <cellStyle name="Normal 6 3 20 4" xfId="21693"/>
    <cellStyle name="Normal 6 3 20 5" xfId="21694"/>
    <cellStyle name="Normal 6 3 20 6" xfId="21695"/>
    <cellStyle name="Normal 6 3 20 7" xfId="21696"/>
    <cellStyle name="Normal 6 3 21" xfId="21697"/>
    <cellStyle name="Normal 6 3 21 2" xfId="21698"/>
    <cellStyle name="Normal 6 3 21 3" xfId="21699"/>
    <cellStyle name="Normal 6 3 21 4" xfId="21700"/>
    <cellStyle name="Normal 6 3 21 5" xfId="21701"/>
    <cellStyle name="Normal 6 3 21 6" xfId="21702"/>
    <cellStyle name="Normal 6 3 21 7" xfId="21703"/>
    <cellStyle name="Normal 6 3 22" xfId="21704"/>
    <cellStyle name="Normal 6 3 22 2" xfId="21705"/>
    <cellStyle name="Normal 6 3 22 3" xfId="21706"/>
    <cellStyle name="Normal 6 3 22 4" xfId="21707"/>
    <cellStyle name="Normal 6 3 22 5" xfId="21708"/>
    <cellStyle name="Normal 6 3 22 6" xfId="21709"/>
    <cellStyle name="Normal 6 3 22 7" xfId="21710"/>
    <cellStyle name="Normal 6 3 23" xfId="21711"/>
    <cellStyle name="Normal 6 3 23 2" xfId="21712"/>
    <cellStyle name="Normal 6 3 23 3" xfId="21713"/>
    <cellStyle name="Normal 6 3 23 4" xfId="21714"/>
    <cellStyle name="Normal 6 3 23 5" xfId="21715"/>
    <cellStyle name="Normal 6 3 23 6" xfId="21716"/>
    <cellStyle name="Normal 6 3 23 7" xfId="21717"/>
    <cellStyle name="Normal 6 3 24" xfId="21718"/>
    <cellStyle name="Normal 6 3 24 2" xfId="21719"/>
    <cellStyle name="Normal 6 3 24 3" xfId="21720"/>
    <cellStyle name="Normal 6 3 24 4" xfId="21721"/>
    <cellStyle name="Normal 6 3 24 5" xfId="21722"/>
    <cellStyle name="Normal 6 3 24 6" xfId="21723"/>
    <cellStyle name="Normal 6 3 24 7" xfId="21724"/>
    <cellStyle name="Normal 6 3 25" xfId="21725"/>
    <cellStyle name="Normal 6 3 25 2" xfId="21726"/>
    <cellStyle name="Normal 6 3 25 3" xfId="21727"/>
    <cellStyle name="Normal 6 3 25 4" xfId="21728"/>
    <cellStyle name="Normal 6 3 25 5" xfId="21729"/>
    <cellStyle name="Normal 6 3 25 6" xfId="21730"/>
    <cellStyle name="Normal 6 3 25 7" xfId="21731"/>
    <cellStyle name="Normal 6 3 26" xfId="21732"/>
    <cellStyle name="Normal 6 3 26 2" xfId="21733"/>
    <cellStyle name="Normal 6 3 26 3" xfId="21734"/>
    <cellStyle name="Normal 6 3 26 4" xfId="21735"/>
    <cellStyle name="Normal 6 3 26 5" xfId="21736"/>
    <cellStyle name="Normal 6 3 26 6" xfId="21737"/>
    <cellStyle name="Normal 6 3 26 7" xfId="21738"/>
    <cellStyle name="Normal 6 3 27" xfId="21739"/>
    <cellStyle name="Normal 6 3 27 2" xfId="21740"/>
    <cellStyle name="Normal 6 3 27 3" xfId="21741"/>
    <cellStyle name="Normal 6 3 27 4" xfId="21742"/>
    <cellStyle name="Normal 6 3 27 5" xfId="21743"/>
    <cellStyle name="Normal 6 3 27 6" xfId="21744"/>
    <cellStyle name="Normal 6 3 27 7" xfId="21745"/>
    <cellStyle name="Normal 6 3 28" xfId="21746"/>
    <cellStyle name="Normal 6 3 28 2" xfId="21747"/>
    <cellStyle name="Normal 6 3 28 3" xfId="21748"/>
    <cellStyle name="Normal 6 3 28 4" xfId="21749"/>
    <cellStyle name="Normal 6 3 28 5" xfId="21750"/>
    <cellStyle name="Normal 6 3 28 6" xfId="21751"/>
    <cellStyle name="Normal 6 3 28 7" xfId="21752"/>
    <cellStyle name="Normal 6 3 29" xfId="21753"/>
    <cellStyle name="Normal 6 3 29 2" xfId="21754"/>
    <cellStyle name="Normal 6 3 29 3" xfId="21755"/>
    <cellStyle name="Normal 6 3 29 4" xfId="21756"/>
    <cellStyle name="Normal 6 3 29 5" xfId="21757"/>
    <cellStyle name="Normal 6 3 29 6" xfId="21758"/>
    <cellStyle name="Normal 6 3 29 7" xfId="21759"/>
    <cellStyle name="Normal 6 3 3" xfId="10866"/>
    <cellStyle name="Normal 6 3 3 2" xfId="21760"/>
    <cellStyle name="Normal 6 3 3 2 2" xfId="21761"/>
    <cellStyle name="Normal 6 3 3 2 3" xfId="21762"/>
    <cellStyle name="Normal 6 3 3 2 4" xfId="21763"/>
    <cellStyle name="Normal 6 3 3 2 5" xfId="21764"/>
    <cellStyle name="Normal 6 3 3 2 6" xfId="21765"/>
    <cellStyle name="Normal 6 3 3 2 7" xfId="21766"/>
    <cellStyle name="Normal 6 3 3 3" xfId="21767"/>
    <cellStyle name="Normal 6 3 3 4" xfId="21768"/>
    <cellStyle name="Normal 6 3 3 5" xfId="21769"/>
    <cellStyle name="Normal 6 3 3 6" xfId="21770"/>
    <cellStyle name="Normal 6 3 3 7" xfId="21771"/>
    <cellStyle name="Normal 6 3 3 8" xfId="21772"/>
    <cellStyle name="Normal 6 3 3 9" xfId="21773"/>
    <cellStyle name="Normal 6 3 30" xfId="21774"/>
    <cellStyle name="Normal 6 3 30 2" xfId="21775"/>
    <cellStyle name="Normal 6 3 30 3" xfId="21776"/>
    <cellStyle name="Normal 6 3 30 4" xfId="21777"/>
    <cellStyle name="Normal 6 3 30 5" xfId="21778"/>
    <cellStyle name="Normal 6 3 30 6" xfId="21779"/>
    <cellStyle name="Normal 6 3 30 7" xfId="21780"/>
    <cellStyle name="Normal 6 3 31" xfId="21781"/>
    <cellStyle name="Normal 6 3 31 2" xfId="21782"/>
    <cellStyle name="Normal 6 3 31 3" xfId="21783"/>
    <cellStyle name="Normal 6 3 31 4" xfId="21784"/>
    <cellStyle name="Normal 6 3 31 5" xfId="21785"/>
    <cellStyle name="Normal 6 3 31 6" xfId="21786"/>
    <cellStyle name="Normal 6 3 31 7" xfId="21787"/>
    <cellStyle name="Normal 6 3 32" xfId="21788"/>
    <cellStyle name="Normal 6 3 32 2" xfId="21789"/>
    <cellStyle name="Normal 6 3 32 3" xfId="21790"/>
    <cellStyle name="Normal 6 3 32 4" xfId="21791"/>
    <cellStyle name="Normal 6 3 32 5" xfId="21792"/>
    <cellStyle name="Normal 6 3 32 6" xfId="21793"/>
    <cellStyle name="Normal 6 3 32 7" xfId="21794"/>
    <cellStyle name="Normal 6 3 33" xfId="21795"/>
    <cellStyle name="Normal 6 3 33 2" xfId="21796"/>
    <cellStyle name="Normal 6 3 33 3" xfId="21797"/>
    <cellStyle name="Normal 6 3 33 4" xfId="21798"/>
    <cellStyle name="Normal 6 3 33 5" xfId="21799"/>
    <cellStyle name="Normal 6 3 33 6" xfId="21800"/>
    <cellStyle name="Normal 6 3 33 7" xfId="21801"/>
    <cellStyle name="Normal 6 3 34" xfId="21802"/>
    <cellStyle name="Normal 6 3 34 2" xfId="21803"/>
    <cellStyle name="Normal 6 3 34 3" xfId="21804"/>
    <cellStyle name="Normal 6 3 34 4" xfId="21805"/>
    <cellStyle name="Normal 6 3 34 5" xfId="21806"/>
    <cellStyle name="Normal 6 3 34 6" xfId="21807"/>
    <cellStyle name="Normal 6 3 34 7" xfId="21808"/>
    <cellStyle name="Normal 6 3 35" xfId="21809"/>
    <cellStyle name="Normal 6 3 35 2" xfId="21810"/>
    <cellStyle name="Normal 6 3 35 3" xfId="21811"/>
    <cellStyle name="Normal 6 3 35 4" xfId="21812"/>
    <cellStyle name="Normal 6 3 35 5" xfId="21813"/>
    <cellStyle name="Normal 6 3 35 6" xfId="21814"/>
    <cellStyle name="Normal 6 3 35 7" xfId="21815"/>
    <cellStyle name="Normal 6 3 36" xfId="21816"/>
    <cellStyle name="Normal 6 3 36 2" xfId="21817"/>
    <cellStyle name="Normal 6 3 37" xfId="21818"/>
    <cellStyle name="Normal 6 3 38" xfId="21819"/>
    <cellStyle name="Normal 6 3 39" xfId="21820"/>
    <cellStyle name="Normal 6 3 4" xfId="10867"/>
    <cellStyle name="Normal 6 3 4 2" xfId="21821"/>
    <cellStyle name="Normal 6 3 4 2 2" xfId="21822"/>
    <cellStyle name="Normal 6 3 4 2 3" xfId="21823"/>
    <cellStyle name="Normal 6 3 4 2 4" xfId="21824"/>
    <cellStyle name="Normal 6 3 4 2 5" xfId="21825"/>
    <cellStyle name="Normal 6 3 4 2 6" xfId="21826"/>
    <cellStyle name="Normal 6 3 4 2 7" xfId="21827"/>
    <cellStyle name="Normal 6 3 4 3" xfId="21828"/>
    <cellStyle name="Normal 6 3 4 4" xfId="21829"/>
    <cellStyle name="Normal 6 3 4 5" xfId="21830"/>
    <cellStyle name="Normal 6 3 4 6" xfId="21831"/>
    <cellStyle name="Normal 6 3 4 7" xfId="21832"/>
    <cellStyle name="Normal 6 3 4 8" xfId="21833"/>
    <cellStyle name="Normal 6 3 4 9" xfId="21834"/>
    <cellStyle name="Normal 6 3 40" xfId="21835"/>
    <cellStyle name="Normal 6 3 41" xfId="21836"/>
    <cellStyle name="Normal 6 3 42" xfId="21837"/>
    <cellStyle name="Normal 6 3 5" xfId="10868"/>
    <cellStyle name="Normal 6 3 5 2" xfId="21838"/>
    <cellStyle name="Normal 6 3 5 2 2" xfId="21839"/>
    <cellStyle name="Normal 6 3 5 2 3" xfId="21840"/>
    <cellStyle name="Normal 6 3 5 2 4" xfId="21841"/>
    <cellStyle name="Normal 6 3 5 2 5" xfId="21842"/>
    <cellStyle name="Normal 6 3 5 2 6" xfId="21843"/>
    <cellStyle name="Normal 6 3 5 2 7" xfId="21844"/>
    <cellStyle name="Normal 6 3 5 3" xfId="21845"/>
    <cellStyle name="Normal 6 3 5 4" xfId="21846"/>
    <cellStyle name="Normal 6 3 5 5" xfId="21847"/>
    <cellStyle name="Normal 6 3 5 6" xfId="21848"/>
    <cellStyle name="Normal 6 3 5 7" xfId="21849"/>
    <cellStyle name="Normal 6 3 5 8" xfId="21850"/>
    <cellStyle name="Normal 6 3 5 9" xfId="21851"/>
    <cellStyle name="Normal 6 3 6" xfId="10869"/>
    <cellStyle name="Normal 6 3 6 2" xfId="21852"/>
    <cellStyle name="Normal 6 3 6 2 2" xfId="21853"/>
    <cellStyle name="Normal 6 3 6 2 3" xfId="21854"/>
    <cellStyle name="Normal 6 3 6 2 4" xfId="21855"/>
    <cellStyle name="Normal 6 3 6 2 5" xfId="21856"/>
    <cellStyle name="Normal 6 3 6 2 6" xfId="21857"/>
    <cellStyle name="Normal 6 3 6 2 7" xfId="21858"/>
    <cellStyle name="Normal 6 3 6 2 8" xfId="39908"/>
    <cellStyle name="Normal 6 3 6 3" xfId="21859"/>
    <cellStyle name="Normal 6 3 6 4" xfId="21860"/>
    <cellStyle name="Normal 6 3 6 5" xfId="21861"/>
    <cellStyle name="Normal 6 3 6 6" xfId="21862"/>
    <cellStyle name="Normal 6 3 6 7" xfId="21863"/>
    <cellStyle name="Normal 6 3 6 8" xfId="21864"/>
    <cellStyle name="Normal 6 3 6 9" xfId="21865"/>
    <cellStyle name="Normal 6 3 7" xfId="10870"/>
    <cellStyle name="Normal 6 3 7 2" xfId="21866"/>
    <cellStyle name="Normal 6 3 7 2 2" xfId="21867"/>
    <cellStyle name="Normal 6 3 7 2 3" xfId="21868"/>
    <cellStyle name="Normal 6 3 7 2 4" xfId="21869"/>
    <cellStyle name="Normal 6 3 7 2 5" xfId="21870"/>
    <cellStyle name="Normal 6 3 7 2 6" xfId="21871"/>
    <cellStyle name="Normal 6 3 7 2 7" xfId="21872"/>
    <cellStyle name="Normal 6 3 7 2 8" xfId="39909"/>
    <cellStyle name="Normal 6 3 7 3" xfId="21873"/>
    <cellStyle name="Normal 6 3 7 4" xfId="21874"/>
    <cellStyle name="Normal 6 3 7 5" xfId="21875"/>
    <cellStyle name="Normal 6 3 7 6" xfId="21876"/>
    <cellStyle name="Normal 6 3 7 7" xfId="21877"/>
    <cellStyle name="Normal 6 3 7 8" xfId="21878"/>
    <cellStyle name="Normal 6 3 7 9" xfId="21879"/>
    <cellStyle name="Normal 6 3 8" xfId="10871"/>
    <cellStyle name="Normal 6 3 8 2" xfId="21880"/>
    <cellStyle name="Normal 6 3 8 2 2" xfId="21881"/>
    <cellStyle name="Normal 6 3 8 2 3" xfId="21882"/>
    <cellStyle name="Normal 6 3 8 2 4" xfId="21883"/>
    <cellStyle name="Normal 6 3 8 2 5" xfId="21884"/>
    <cellStyle name="Normal 6 3 8 2 6" xfId="21885"/>
    <cellStyle name="Normal 6 3 8 2 7" xfId="21886"/>
    <cellStyle name="Normal 6 3 8 2 8" xfId="39910"/>
    <cellStyle name="Normal 6 3 8 3" xfId="21887"/>
    <cellStyle name="Normal 6 3 8 4" xfId="21888"/>
    <cellStyle name="Normal 6 3 8 5" xfId="21889"/>
    <cellStyle name="Normal 6 3 8 6" xfId="21890"/>
    <cellStyle name="Normal 6 3 8 7" xfId="21891"/>
    <cellStyle name="Normal 6 3 8 8" xfId="21892"/>
    <cellStyle name="Normal 6 3 8 9" xfId="21893"/>
    <cellStyle name="Normal 6 3 9" xfId="21894"/>
    <cellStyle name="Normal 6 3 9 2" xfId="21895"/>
    <cellStyle name="Normal 6 3 9 2 2" xfId="21896"/>
    <cellStyle name="Normal 6 3 9 2 3" xfId="21897"/>
    <cellStyle name="Normal 6 3 9 2 4" xfId="21898"/>
    <cellStyle name="Normal 6 3 9 2 5" xfId="21899"/>
    <cellStyle name="Normal 6 3 9 2 6" xfId="21900"/>
    <cellStyle name="Normal 6 3 9 2 7" xfId="21901"/>
    <cellStyle name="Normal 6 3 9 3" xfId="21902"/>
    <cellStyle name="Normal 6 3 9 4" xfId="21903"/>
    <cellStyle name="Normal 6 3 9 5" xfId="21904"/>
    <cellStyle name="Normal 6 3 9 6" xfId="21905"/>
    <cellStyle name="Normal 6 3 9 7" xfId="21906"/>
    <cellStyle name="Normal 6 3 9 8" xfId="21907"/>
    <cellStyle name="Normal 6 3 9 9" xfId="39911"/>
    <cellStyle name="Normal 6 3_01-04-2012" xfId="10872"/>
    <cellStyle name="Normal 6 30" xfId="10873"/>
    <cellStyle name="Normal 6 31" xfId="10874"/>
    <cellStyle name="Normal 6 32" xfId="10875"/>
    <cellStyle name="Normal 6 33" xfId="10876"/>
    <cellStyle name="Normal 6 34" xfId="10877"/>
    <cellStyle name="Normal 6 35" xfId="10878"/>
    <cellStyle name="Normal 6 36" xfId="10879"/>
    <cellStyle name="Normal 6 37" xfId="10880"/>
    <cellStyle name="Normal 6 38" xfId="10881"/>
    <cellStyle name="Normal 6 39" xfId="10882"/>
    <cellStyle name="Normal 6 4" xfId="10883"/>
    <cellStyle name="Normal 6 4 2" xfId="10884"/>
    <cellStyle name="Normal 6 4 3" xfId="10885"/>
    <cellStyle name="Normal 6 4 4" xfId="10886"/>
    <cellStyle name="Normal 6 4 5" xfId="10887"/>
    <cellStyle name="Normal 6 4 6" xfId="10888"/>
    <cellStyle name="Normal 6 4 6 2" xfId="39912"/>
    <cellStyle name="Normal 6 4 7" xfId="10889"/>
    <cellStyle name="Normal 6 4 7 2" xfId="39913"/>
    <cellStyle name="Normal 6 4 8" xfId="10890"/>
    <cellStyle name="Normal 6 4 8 2" xfId="39914"/>
    <cellStyle name="Normal 6 4 9" xfId="21908"/>
    <cellStyle name="Normal 6 4 9 2" xfId="39915"/>
    <cellStyle name="Normal 6 4_01-04-2012" xfId="10891"/>
    <cellStyle name="Normal 6 40" xfId="10892"/>
    <cellStyle name="Normal 6 41" xfId="10893"/>
    <cellStyle name="Normal 6 42" xfId="10894"/>
    <cellStyle name="Normal 6 43" xfId="10895"/>
    <cellStyle name="Normal 6 44" xfId="10896"/>
    <cellStyle name="Normal 6 45" xfId="10897"/>
    <cellStyle name="Normal 6 46" xfId="10898"/>
    <cellStyle name="Normal 6 47" xfId="10899"/>
    <cellStyle name="Normal 6 48" xfId="10900"/>
    <cellStyle name="Normal 6 49" xfId="10901"/>
    <cellStyle name="Normal 6 5" xfId="10902"/>
    <cellStyle name="Normal 6 5 2" xfId="21909"/>
    <cellStyle name="Normal 6 50" xfId="10903"/>
    <cellStyle name="Normal 6 51" xfId="10904"/>
    <cellStyle name="Normal 6 52" xfId="10905"/>
    <cellStyle name="Normal 6 53" xfId="10906"/>
    <cellStyle name="Normal 6 54" xfId="10907"/>
    <cellStyle name="Normal 6 55" xfId="10908"/>
    <cellStyle name="Normal 6 56" xfId="10909"/>
    <cellStyle name="Normal 6 57" xfId="10910"/>
    <cellStyle name="Normal 6 57 2" xfId="39916"/>
    <cellStyle name="Normal 6 58" xfId="10911"/>
    <cellStyle name="Normal 6 58 2" xfId="39917"/>
    <cellStyle name="Normal 6 59" xfId="10912"/>
    <cellStyle name="Normal 6 59 2" xfId="39918"/>
    <cellStyle name="Normal 6 6" xfId="10913"/>
    <cellStyle name="Normal 6 60" xfId="10914"/>
    <cellStyle name="Normal 6 61" xfId="10915"/>
    <cellStyle name="Normal 6 62" xfId="10916"/>
    <cellStyle name="Normal 6 63" xfId="10917"/>
    <cellStyle name="Normal 6 64" xfId="10918"/>
    <cellStyle name="Normal 6 65" xfId="10919"/>
    <cellStyle name="Normal 6 66" xfId="10920"/>
    <cellStyle name="Normal 6 67" xfId="10921"/>
    <cellStyle name="Normal 6 68" xfId="21910"/>
    <cellStyle name="Normal 6 68 2" xfId="39919"/>
    <cellStyle name="Normal 6 7" xfId="10922"/>
    <cellStyle name="Normal 6 8" xfId="10923"/>
    <cellStyle name="Normal 6 9" xfId="10924"/>
    <cellStyle name="Normal 6_01-04-2012" xfId="10925"/>
    <cellStyle name="Normal 60" xfId="10926"/>
    <cellStyle name="Normal 60 2" xfId="10927"/>
    <cellStyle name="Normal 60 3" xfId="21911"/>
    <cellStyle name="Normal 60_01-04-2012" xfId="10928"/>
    <cellStyle name="Normal 600" xfId="21912"/>
    <cellStyle name="Normal 601" xfId="21913"/>
    <cellStyle name="Normal 602" xfId="21914"/>
    <cellStyle name="Normal 603" xfId="21915"/>
    <cellStyle name="Normal 604" xfId="21916"/>
    <cellStyle name="Normal 605" xfId="21917"/>
    <cellStyle name="Normal 606" xfId="21918"/>
    <cellStyle name="Normal 607" xfId="21919"/>
    <cellStyle name="Normal 608" xfId="21920"/>
    <cellStyle name="Normal 609" xfId="21921"/>
    <cellStyle name="Normal 61" xfId="10929"/>
    <cellStyle name="Normal 61 2" xfId="10930"/>
    <cellStyle name="Normal 61 3" xfId="21922"/>
    <cellStyle name="Normal 61_01-04-2012" xfId="10931"/>
    <cellStyle name="Normal 610" xfId="21923"/>
    <cellStyle name="Normal 611" xfId="21924"/>
    <cellStyle name="Normal 612" xfId="21925"/>
    <cellStyle name="Normal 613" xfId="21926"/>
    <cellStyle name="Normal 614" xfId="21927"/>
    <cellStyle name="Normal 615" xfId="21928"/>
    <cellStyle name="Normal 616" xfId="21929"/>
    <cellStyle name="Normal 617" xfId="21930"/>
    <cellStyle name="Normal 618" xfId="21931"/>
    <cellStyle name="Normal 619" xfId="21932"/>
    <cellStyle name="Normal 62" xfId="10932"/>
    <cellStyle name="Normal 62 2" xfId="10933"/>
    <cellStyle name="Normal 62 3" xfId="21933"/>
    <cellStyle name="Normal 62_01-04-2012" xfId="10934"/>
    <cellStyle name="Normal 620" xfId="21934"/>
    <cellStyle name="Normal 621" xfId="21935"/>
    <cellStyle name="Normal 622" xfId="21936"/>
    <cellStyle name="Normal 623" xfId="21937"/>
    <cellStyle name="Normal 624" xfId="21938"/>
    <cellStyle name="Normal 625" xfId="21939"/>
    <cellStyle name="Normal 626" xfId="21940"/>
    <cellStyle name="Normal 627" xfId="21941"/>
    <cellStyle name="Normal 628" xfId="21942"/>
    <cellStyle name="Normal 629" xfId="21943"/>
    <cellStyle name="Normal 63" xfId="10935"/>
    <cellStyle name="Normal 63 2" xfId="10936"/>
    <cellStyle name="Normal 63 3" xfId="21944"/>
    <cellStyle name="Normal 63_01-04-2012" xfId="10937"/>
    <cellStyle name="Normal 630" xfId="21945"/>
    <cellStyle name="Normal 631" xfId="21946"/>
    <cellStyle name="Normal 632" xfId="21947"/>
    <cellStyle name="Normal 633" xfId="21948"/>
    <cellStyle name="Normal 634" xfId="21949"/>
    <cellStyle name="Normal 635" xfId="21950"/>
    <cellStyle name="Normal 636" xfId="21951"/>
    <cellStyle name="Normal 637" xfId="21952"/>
    <cellStyle name="Normal 638" xfId="21953"/>
    <cellStyle name="Normal 639" xfId="21954"/>
    <cellStyle name="Normal 64" xfId="10938"/>
    <cellStyle name="Normal 64 2" xfId="10939"/>
    <cellStyle name="Normal 64 3" xfId="21955"/>
    <cellStyle name="Normal 64_01-04-2012" xfId="10940"/>
    <cellStyle name="Normal 640" xfId="21956"/>
    <cellStyle name="Normal 641" xfId="21957"/>
    <cellStyle name="Normal 642" xfId="21958"/>
    <cellStyle name="Normal 643" xfId="21959"/>
    <cellStyle name="Normal 644" xfId="21960"/>
    <cellStyle name="Normal 645" xfId="21961"/>
    <cellStyle name="Normal 646" xfId="21962"/>
    <cellStyle name="Normal 647" xfId="21963"/>
    <cellStyle name="Normal 648" xfId="21964"/>
    <cellStyle name="Normal 649" xfId="21965"/>
    <cellStyle name="Normal 65" xfId="10941"/>
    <cellStyle name="Normal 65 2" xfId="10942"/>
    <cellStyle name="Normal 65 3" xfId="21966"/>
    <cellStyle name="Normal 65_01-04-2012" xfId="10943"/>
    <cellStyle name="Normal 650" xfId="21967"/>
    <cellStyle name="Normal 651" xfId="21968"/>
    <cellStyle name="Normal 652" xfId="21969"/>
    <cellStyle name="Normal 653" xfId="21970"/>
    <cellStyle name="Normal 654" xfId="21971"/>
    <cellStyle name="Normal 655" xfId="21972"/>
    <cellStyle name="Normal 656" xfId="21973"/>
    <cellStyle name="Normal 657" xfId="21974"/>
    <cellStyle name="Normal 658" xfId="21975"/>
    <cellStyle name="Normal 659" xfId="21976"/>
    <cellStyle name="Normal 66" xfId="10944"/>
    <cellStyle name="Normal 66 2" xfId="21977"/>
    <cellStyle name="Normal 66 2 2" xfId="39920"/>
    <cellStyle name="Normal 660" xfId="21978"/>
    <cellStyle name="Normal 661" xfId="21979"/>
    <cellStyle name="Normal 662" xfId="21980"/>
    <cellStyle name="Normal 663" xfId="21981"/>
    <cellStyle name="Normal 664" xfId="21982"/>
    <cellStyle name="Normal 665" xfId="21983"/>
    <cellStyle name="Normal 666" xfId="21984"/>
    <cellStyle name="Normal 667" xfId="21985"/>
    <cellStyle name="Normal 668" xfId="21986"/>
    <cellStyle name="Normal 669" xfId="21987"/>
    <cellStyle name="Normal 67" xfId="10945"/>
    <cellStyle name="Normal 67 2" xfId="21988"/>
    <cellStyle name="Normal 67 2 2" xfId="39921"/>
    <cellStyle name="Normal 670" xfId="21989"/>
    <cellStyle name="Normal 671" xfId="21990"/>
    <cellStyle name="Normal 672" xfId="21991"/>
    <cellStyle name="Normal 673" xfId="21992"/>
    <cellStyle name="Normal 674" xfId="21993"/>
    <cellStyle name="Normal 675" xfId="21994"/>
    <cellStyle name="Normal 676" xfId="21995"/>
    <cellStyle name="Normal 677" xfId="21996"/>
    <cellStyle name="Normal 678" xfId="21997"/>
    <cellStyle name="Normal 679" xfId="21998"/>
    <cellStyle name="Normal 68" xfId="10946"/>
    <cellStyle name="Normal 68 2" xfId="21999"/>
    <cellStyle name="Normal 68 2 2" xfId="39922"/>
    <cellStyle name="Normal 680" xfId="22000"/>
    <cellStyle name="Normal 681" xfId="22001"/>
    <cellStyle name="Normal 682" xfId="22002"/>
    <cellStyle name="Normal 683" xfId="22003"/>
    <cellStyle name="Normal 684" xfId="22004"/>
    <cellStyle name="Normal 685" xfId="22005"/>
    <cellStyle name="Normal 686" xfId="22006"/>
    <cellStyle name="Normal 687" xfId="22007"/>
    <cellStyle name="Normal 688" xfId="22008"/>
    <cellStyle name="Normal 689" xfId="22009"/>
    <cellStyle name="Normal 69" xfId="10947"/>
    <cellStyle name="Normal 69 2" xfId="22010"/>
    <cellStyle name="Normal 69 2 2" xfId="39923"/>
    <cellStyle name="Normal 690" xfId="22011"/>
    <cellStyle name="Normal 691" xfId="22012"/>
    <cellStyle name="Normal 692" xfId="22013"/>
    <cellStyle name="Normal 693" xfId="22014"/>
    <cellStyle name="Normal 694" xfId="22015"/>
    <cellStyle name="Normal 695" xfId="22016"/>
    <cellStyle name="Normal 696" xfId="22017"/>
    <cellStyle name="Normal 697" xfId="22018"/>
    <cellStyle name="Normal 698" xfId="22019"/>
    <cellStyle name="Normal 699" xfId="22020"/>
    <cellStyle name="Normal 7" xfId="10948"/>
    <cellStyle name="Normal 7 10" xfId="10949"/>
    <cellStyle name="Normal 7 10 2" xfId="22021"/>
    <cellStyle name="Normal 7 10 2 2" xfId="22022"/>
    <cellStyle name="Normal 7 10 2 2 2" xfId="33797"/>
    <cellStyle name="Normal 7 10 2 3" xfId="33798"/>
    <cellStyle name="Normal 7 10 3" xfId="22023"/>
    <cellStyle name="Normal 7 10 3 2" xfId="33799"/>
    <cellStyle name="Normal 7 10 4" xfId="22024"/>
    <cellStyle name="Normal 7 11" xfId="10950"/>
    <cellStyle name="Normal 7 11 2" xfId="22025"/>
    <cellStyle name="Normal 7 11 2 2" xfId="33800"/>
    <cellStyle name="Normal 7 11 3" xfId="22026"/>
    <cellStyle name="Normal 7 12" xfId="10951"/>
    <cellStyle name="Normal 7 12 2" xfId="22027"/>
    <cellStyle name="Normal 7 12 2 2" xfId="33801"/>
    <cellStyle name="Normal 7 12 3" xfId="22028"/>
    <cellStyle name="Normal 7 13" xfId="10952"/>
    <cellStyle name="Normal 7 13 2" xfId="22029"/>
    <cellStyle name="Normal 7 13 2 2" xfId="33802"/>
    <cellStyle name="Normal 7 13 3" xfId="22030"/>
    <cellStyle name="Normal 7 14" xfId="10953"/>
    <cellStyle name="Normal 7 14 2" xfId="22031"/>
    <cellStyle name="Normal 7 15" xfId="10954"/>
    <cellStyle name="Normal 7 15 2" xfId="22032"/>
    <cellStyle name="Normal 7 16" xfId="10955"/>
    <cellStyle name="Normal 7 17" xfId="10956"/>
    <cellStyle name="Normal 7 18" xfId="10957"/>
    <cellStyle name="Normal 7 19" xfId="10958"/>
    <cellStyle name="Normal 7 2" xfId="10959"/>
    <cellStyle name="Normal 7 2 2" xfId="10960"/>
    <cellStyle name="Normal 7 2 2 2" xfId="22033"/>
    <cellStyle name="Normal 7 2 2 2 2" xfId="22034"/>
    <cellStyle name="Normal 7 2 2 2 2 2" xfId="33803"/>
    <cellStyle name="Normal 7 2 2 2 3" xfId="22035"/>
    <cellStyle name="Normal 7 2 2 2 4" xfId="39924"/>
    <cellStyle name="Normal 7 2 2 3" xfId="22036"/>
    <cellStyle name="Normal 7 2 2 3 2" xfId="33804"/>
    <cellStyle name="Normal 7 2 2 4" xfId="22037"/>
    <cellStyle name="Normal 7 2 2 5" xfId="22038"/>
    <cellStyle name="Normal 7 2 2 6" xfId="22039"/>
    <cellStyle name="Normal 7 2 2 7" xfId="22040"/>
    <cellStyle name="Normal 7 2 2 8" xfId="22041"/>
    <cellStyle name="Normal 7 2 2 9" xfId="22042"/>
    <cellStyle name="Normal 7 2 3" xfId="10961"/>
    <cellStyle name="Normal 7 2 3 2" xfId="22043"/>
    <cellStyle name="Normal 7 2 3 2 2" xfId="39925"/>
    <cellStyle name="Normal 7 2 3 3" xfId="22044"/>
    <cellStyle name="Normal 7 2 4" xfId="10962"/>
    <cellStyle name="Normal 7 2 4 2" xfId="22045"/>
    <cellStyle name="Normal 7 2 4 2 2" xfId="33805"/>
    <cellStyle name="Normal 7 2 4 2 3" xfId="39926"/>
    <cellStyle name="Normal 7 2 5" xfId="22046"/>
    <cellStyle name="Normal 7 2 5 2" xfId="39927"/>
    <cellStyle name="Normal 7 2 6" xfId="22047"/>
    <cellStyle name="Normal 7 2_01-04-2012" xfId="10963"/>
    <cellStyle name="Normal 7 20" xfId="10964"/>
    <cellStyle name="Normal 7 21" xfId="10965"/>
    <cellStyle name="Normal 7 22" xfId="10966"/>
    <cellStyle name="Normal 7 23" xfId="10967"/>
    <cellStyle name="Normal 7 24" xfId="10968"/>
    <cellStyle name="Normal 7 25" xfId="10969"/>
    <cellStyle name="Normal 7 26" xfId="10970"/>
    <cellStyle name="Normal 7 27" xfId="10971"/>
    <cellStyle name="Normal 7 28" xfId="10972"/>
    <cellStyle name="Normal 7 29" xfId="10973"/>
    <cellStyle name="Normal 7 3" xfId="10974"/>
    <cellStyle name="Normal 7 3 10" xfId="22048"/>
    <cellStyle name="Normal 7 3 10 2" xfId="22049"/>
    <cellStyle name="Normal 7 3 10 2 2" xfId="22050"/>
    <cellStyle name="Normal 7 3 10 2 3" xfId="22051"/>
    <cellStyle name="Normal 7 3 10 2 4" xfId="22052"/>
    <cellStyle name="Normal 7 3 10 2 5" xfId="22053"/>
    <cellStyle name="Normal 7 3 10 2 6" xfId="22054"/>
    <cellStyle name="Normal 7 3 10 2 7" xfId="22055"/>
    <cellStyle name="Normal 7 3 10 3" xfId="22056"/>
    <cellStyle name="Normal 7 3 10 4" xfId="22057"/>
    <cellStyle name="Normal 7 3 10 5" xfId="22058"/>
    <cellStyle name="Normal 7 3 10 6" xfId="22059"/>
    <cellStyle name="Normal 7 3 10 7" xfId="22060"/>
    <cellStyle name="Normal 7 3 10 8" xfId="22061"/>
    <cellStyle name="Normal 7 3 11" xfId="22062"/>
    <cellStyle name="Normal 7 3 11 2" xfId="22063"/>
    <cellStyle name="Normal 7 3 11 2 2" xfId="22064"/>
    <cellStyle name="Normal 7 3 11 2 3" xfId="22065"/>
    <cellStyle name="Normal 7 3 11 2 4" xfId="22066"/>
    <cellStyle name="Normal 7 3 11 2 5" xfId="22067"/>
    <cellStyle name="Normal 7 3 11 2 6" xfId="22068"/>
    <cellStyle name="Normal 7 3 11 2 7" xfId="22069"/>
    <cellStyle name="Normal 7 3 11 3" xfId="22070"/>
    <cellStyle name="Normal 7 3 11 4" xfId="22071"/>
    <cellStyle name="Normal 7 3 11 5" xfId="22072"/>
    <cellStyle name="Normal 7 3 11 6" xfId="22073"/>
    <cellStyle name="Normal 7 3 11 7" xfId="22074"/>
    <cellStyle name="Normal 7 3 11 8" xfId="22075"/>
    <cellStyle name="Normal 7 3 12" xfId="22076"/>
    <cellStyle name="Normal 7 3 12 2" xfId="22077"/>
    <cellStyle name="Normal 7 3 12 2 2" xfId="22078"/>
    <cellStyle name="Normal 7 3 12 2 3" xfId="22079"/>
    <cellStyle name="Normal 7 3 12 2 4" xfId="22080"/>
    <cellStyle name="Normal 7 3 12 2 5" xfId="22081"/>
    <cellStyle name="Normal 7 3 12 2 6" xfId="22082"/>
    <cellStyle name="Normal 7 3 12 2 7" xfId="22083"/>
    <cellStyle name="Normal 7 3 12 3" xfId="22084"/>
    <cellStyle name="Normal 7 3 12 4" xfId="22085"/>
    <cellStyle name="Normal 7 3 12 5" xfId="22086"/>
    <cellStyle name="Normal 7 3 12 6" xfId="22087"/>
    <cellStyle name="Normal 7 3 12 7" xfId="22088"/>
    <cellStyle name="Normal 7 3 12 8" xfId="22089"/>
    <cellStyle name="Normal 7 3 13" xfId="22090"/>
    <cellStyle name="Normal 7 3 13 2" xfId="22091"/>
    <cellStyle name="Normal 7 3 13 2 2" xfId="22092"/>
    <cellStyle name="Normal 7 3 13 2 3" xfId="22093"/>
    <cellStyle name="Normal 7 3 13 2 4" xfId="22094"/>
    <cellStyle name="Normal 7 3 13 2 5" xfId="22095"/>
    <cellStyle name="Normal 7 3 13 2 6" xfId="22096"/>
    <cellStyle name="Normal 7 3 13 2 7" xfId="22097"/>
    <cellStyle name="Normal 7 3 13 3" xfId="22098"/>
    <cellStyle name="Normal 7 3 13 4" xfId="22099"/>
    <cellStyle name="Normal 7 3 13 5" xfId="22100"/>
    <cellStyle name="Normal 7 3 13 6" xfId="22101"/>
    <cellStyle name="Normal 7 3 13 7" xfId="22102"/>
    <cellStyle name="Normal 7 3 13 8" xfId="22103"/>
    <cellStyle name="Normal 7 3 14" xfId="22104"/>
    <cellStyle name="Normal 7 3 14 2" xfId="22105"/>
    <cellStyle name="Normal 7 3 14 2 2" xfId="22106"/>
    <cellStyle name="Normal 7 3 14 2 3" xfId="22107"/>
    <cellStyle name="Normal 7 3 14 2 4" xfId="22108"/>
    <cellStyle name="Normal 7 3 14 2 5" xfId="22109"/>
    <cellStyle name="Normal 7 3 14 2 6" xfId="22110"/>
    <cellStyle name="Normal 7 3 14 2 7" xfId="22111"/>
    <cellStyle name="Normal 7 3 14 3" xfId="22112"/>
    <cellStyle name="Normal 7 3 14 4" xfId="22113"/>
    <cellStyle name="Normal 7 3 14 5" xfId="22114"/>
    <cellStyle name="Normal 7 3 14 6" xfId="22115"/>
    <cellStyle name="Normal 7 3 14 7" xfId="22116"/>
    <cellStyle name="Normal 7 3 14 8" xfId="22117"/>
    <cellStyle name="Normal 7 3 15" xfId="22118"/>
    <cellStyle name="Normal 7 3 15 2" xfId="22119"/>
    <cellStyle name="Normal 7 3 15 2 2" xfId="22120"/>
    <cellStyle name="Normal 7 3 15 2 3" xfId="22121"/>
    <cellStyle name="Normal 7 3 15 2 4" xfId="22122"/>
    <cellStyle name="Normal 7 3 15 2 5" xfId="22123"/>
    <cellStyle name="Normal 7 3 15 2 6" xfId="22124"/>
    <cellStyle name="Normal 7 3 15 2 7" xfId="22125"/>
    <cellStyle name="Normal 7 3 15 3" xfId="22126"/>
    <cellStyle name="Normal 7 3 15 4" xfId="22127"/>
    <cellStyle name="Normal 7 3 15 5" xfId="22128"/>
    <cellStyle name="Normal 7 3 15 6" xfId="22129"/>
    <cellStyle name="Normal 7 3 15 7" xfId="22130"/>
    <cellStyle name="Normal 7 3 15 8" xfId="22131"/>
    <cellStyle name="Normal 7 3 16" xfId="22132"/>
    <cellStyle name="Normal 7 3 16 2" xfId="22133"/>
    <cellStyle name="Normal 7 3 16 3" xfId="22134"/>
    <cellStyle name="Normal 7 3 16 4" xfId="22135"/>
    <cellStyle name="Normal 7 3 16 5" xfId="22136"/>
    <cellStyle name="Normal 7 3 16 6" xfId="22137"/>
    <cellStyle name="Normal 7 3 16 7" xfId="22138"/>
    <cellStyle name="Normal 7 3 17" xfId="22139"/>
    <cellStyle name="Normal 7 3 17 2" xfId="22140"/>
    <cellStyle name="Normal 7 3 17 3" xfId="22141"/>
    <cellStyle name="Normal 7 3 17 4" xfId="22142"/>
    <cellStyle name="Normal 7 3 17 5" xfId="22143"/>
    <cellStyle name="Normal 7 3 17 6" xfId="22144"/>
    <cellStyle name="Normal 7 3 17 7" xfId="22145"/>
    <cellStyle name="Normal 7 3 18" xfId="22146"/>
    <cellStyle name="Normal 7 3 18 2" xfId="22147"/>
    <cellStyle name="Normal 7 3 18 3" xfId="22148"/>
    <cellStyle name="Normal 7 3 18 4" xfId="22149"/>
    <cellStyle name="Normal 7 3 18 5" xfId="22150"/>
    <cellStyle name="Normal 7 3 18 6" xfId="22151"/>
    <cellStyle name="Normal 7 3 18 7" xfId="22152"/>
    <cellStyle name="Normal 7 3 19" xfId="22153"/>
    <cellStyle name="Normal 7 3 19 2" xfId="22154"/>
    <cellStyle name="Normal 7 3 19 3" xfId="22155"/>
    <cellStyle name="Normal 7 3 19 4" xfId="22156"/>
    <cellStyle name="Normal 7 3 19 5" xfId="22157"/>
    <cellStyle name="Normal 7 3 19 6" xfId="22158"/>
    <cellStyle name="Normal 7 3 19 7" xfId="22159"/>
    <cellStyle name="Normal 7 3 2" xfId="10975"/>
    <cellStyle name="Normal 7 3 2 10" xfId="22160"/>
    <cellStyle name="Normal 7 3 2 2" xfId="22161"/>
    <cellStyle name="Normal 7 3 2 2 2" xfId="22162"/>
    <cellStyle name="Normal 7 3 2 2 2 2" xfId="33806"/>
    <cellStyle name="Normal 7 3 2 2 3" xfId="22163"/>
    <cellStyle name="Normal 7 3 2 2 4" xfId="22164"/>
    <cellStyle name="Normal 7 3 2 2 5" xfId="22165"/>
    <cellStyle name="Normal 7 3 2 2 6" xfId="22166"/>
    <cellStyle name="Normal 7 3 2 2 7" xfId="22167"/>
    <cellStyle name="Normal 7 3 2 2 8" xfId="22168"/>
    <cellStyle name="Normal 7 3 2 2 9" xfId="39928"/>
    <cellStyle name="Normal 7 3 2 3" xfId="22169"/>
    <cellStyle name="Normal 7 3 2 3 2" xfId="33807"/>
    <cellStyle name="Normal 7 3 2 4" xfId="22170"/>
    <cellStyle name="Normal 7 3 2 5" xfId="22171"/>
    <cellStyle name="Normal 7 3 2 6" xfId="22172"/>
    <cellStyle name="Normal 7 3 2 7" xfId="22173"/>
    <cellStyle name="Normal 7 3 2 8" xfId="22174"/>
    <cellStyle name="Normal 7 3 2 9" xfId="22175"/>
    <cellStyle name="Normal 7 3 20" xfId="22176"/>
    <cellStyle name="Normal 7 3 20 2" xfId="22177"/>
    <cellStyle name="Normal 7 3 20 3" xfId="22178"/>
    <cellStyle name="Normal 7 3 20 4" xfId="22179"/>
    <cellStyle name="Normal 7 3 20 5" xfId="22180"/>
    <cellStyle name="Normal 7 3 20 6" xfId="22181"/>
    <cellStyle name="Normal 7 3 20 7" xfId="22182"/>
    <cellStyle name="Normal 7 3 21" xfId="22183"/>
    <cellStyle name="Normal 7 3 21 2" xfId="22184"/>
    <cellStyle name="Normal 7 3 21 3" xfId="22185"/>
    <cellStyle name="Normal 7 3 21 4" xfId="22186"/>
    <cellStyle name="Normal 7 3 21 5" xfId="22187"/>
    <cellStyle name="Normal 7 3 21 6" xfId="22188"/>
    <cellStyle name="Normal 7 3 21 7" xfId="22189"/>
    <cellStyle name="Normal 7 3 22" xfId="22190"/>
    <cellStyle name="Normal 7 3 22 2" xfId="22191"/>
    <cellStyle name="Normal 7 3 22 3" xfId="22192"/>
    <cellStyle name="Normal 7 3 22 4" xfId="22193"/>
    <cellStyle name="Normal 7 3 22 5" xfId="22194"/>
    <cellStyle name="Normal 7 3 22 6" xfId="22195"/>
    <cellStyle name="Normal 7 3 22 7" xfId="22196"/>
    <cellStyle name="Normal 7 3 23" xfId="22197"/>
    <cellStyle name="Normal 7 3 23 2" xfId="22198"/>
    <cellStyle name="Normal 7 3 23 3" xfId="22199"/>
    <cellStyle name="Normal 7 3 23 4" xfId="22200"/>
    <cellStyle name="Normal 7 3 23 5" xfId="22201"/>
    <cellStyle name="Normal 7 3 23 6" xfId="22202"/>
    <cellStyle name="Normal 7 3 23 7" xfId="22203"/>
    <cellStyle name="Normal 7 3 24" xfId="22204"/>
    <cellStyle name="Normal 7 3 24 2" xfId="22205"/>
    <cellStyle name="Normal 7 3 24 3" xfId="22206"/>
    <cellStyle name="Normal 7 3 24 4" xfId="22207"/>
    <cellStyle name="Normal 7 3 24 5" xfId="22208"/>
    <cellStyle name="Normal 7 3 24 6" xfId="22209"/>
    <cellStyle name="Normal 7 3 24 7" xfId="22210"/>
    <cellStyle name="Normal 7 3 25" xfId="22211"/>
    <cellStyle name="Normal 7 3 25 2" xfId="22212"/>
    <cellStyle name="Normal 7 3 25 3" xfId="22213"/>
    <cellStyle name="Normal 7 3 25 4" xfId="22214"/>
    <cellStyle name="Normal 7 3 25 5" xfId="22215"/>
    <cellStyle name="Normal 7 3 25 6" xfId="22216"/>
    <cellStyle name="Normal 7 3 25 7" xfId="22217"/>
    <cellStyle name="Normal 7 3 26" xfId="22218"/>
    <cellStyle name="Normal 7 3 26 2" xfId="22219"/>
    <cellStyle name="Normal 7 3 26 3" xfId="22220"/>
    <cellStyle name="Normal 7 3 26 4" xfId="22221"/>
    <cellStyle name="Normal 7 3 26 5" xfId="22222"/>
    <cellStyle name="Normal 7 3 26 6" xfId="22223"/>
    <cellStyle name="Normal 7 3 26 7" xfId="22224"/>
    <cellStyle name="Normal 7 3 27" xfId="22225"/>
    <cellStyle name="Normal 7 3 27 2" xfId="22226"/>
    <cellStyle name="Normal 7 3 27 3" xfId="22227"/>
    <cellStyle name="Normal 7 3 27 4" xfId="22228"/>
    <cellStyle name="Normal 7 3 27 5" xfId="22229"/>
    <cellStyle name="Normal 7 3 27 6" xfId="22230"/>
    <cellStyle name="Normal 7 3 27 7" xfId="22231"/>
    <cellStyle name="Normal 7 3 28" xfId="22232"/>
    <cellStyle name="Normal 7 3 28 2" xfId="22233"/>
    <cellStyle name="Normal 7 3 28 3" xfId="22234"/>
    <cellStyle name="Normal 7 3 28 4" xfId="22235"/>
    <cellStyle name="Normal 7 3 28 5" xfId="22236"/>
    <cellStyle name="Normal 7 3 28 6" xfId="22237"/>
    <cellStyle name="Normal 7 3 28 7" xfId="22238"/>
    <cellStyle name="Normal 7 3 29" xfId="22239"/>
    <cellStyle name="Normal 7 3 29 2" xfId="22240"/>
    <cellStyle name="Normal 7 3 29 3" xfId="22241"/>
    <cellStyle name="Normal 7 3 29 4" xfId="22242"/>
    <cellStyle name="Normal 7 3 29 5" xfId="22243"/>
    <cellStyle name="Normal 7 3 29 6" xfId="22244"/>
    <cellStyle name="Normal 7 3 29 7" xfId="22245"/>
    <cellStyle name="Normal 7 3 3" xfId="10976"/>
    <cellStyle name="Normal 7 3 3 10" xfId="22246"/>
    <cellStyle name="Normal 7 3 3 2" xfId="22247"/>
    <cellStyle name="Normal 7 3 3 2 2" xfId="22248"/>
    <cellStyle name="Normal 7 3 3 2 3" xfId="22249"/>
    <cellStyle name="Normal 7 3 3 2 4" xfId="22250"/>
    <cellStyle name="Normal 7 3 3 2 5" xfId="22251"/>
    <cellStyle name="Normal 7 3 3 2 6" xfId="22252"/>
    <cellStyle name="Normal 7 3 3 2 7" xfId="22253"/>
    <cellStyle name="Normal 7 3 3 2 8" xfId="33808"/>
    <cellStyle name="Normal 7 3 3 2 9" xfId="39929"/>
    <cellStyle name="Normal 7 3 3 3" xfId="22254"/>
    <cellStyle name="Normal 7 3 3 4" xfId="22255"/>
    <cellStyle name="Normal 7 3 3 5" xfId="22256"/>
    <cellStyle name="Normal 7 3 3 6" xfId="22257"/>
    <cellStyle name="Normal 7 3 3 7" xfId="22258"/>
    <cellStyle name="Normal 7 3 3 8" xfId="22259"/>
    <cellStyle name="Normal 7 3 3 9" xfId="22260"/>
    <cellStyle name="Normal 7 3 30" xfId="22261"/>
    <cellStyle name="Normal 7 3 30 2" xfId="22262"/>
    <cellStyle name="Normal 7 3 30 3" xfId="22263"/>
    <cellStyle name="Normal 7 3 30 4" xfId="22264"/>
    <cellStyle name="Normal 7 3 30 5" xfId="22265"/>
    <cellStyle name="Normal 7 3 30 6" xfId="22266"/>
    <cellStyle name="Normal 7 3 30 7" xfId="22267"/>
    <cellStyle name="Normal 7 3 31" xfId="22268"/>
    <cellStyle name="Normal 7 3 31 2" xfId="22269"/>
    <cellStyle name="Normal 7 3 31 3" xfId="22270"/>
    <cellStyle name="Normal 7 3 31 4" xfId="22271"/>
    <cellStyle name="Normal 7 3 31 5" xfId="22272"/>
    <cellStyle name="Normal 7 3 31 6" xfId="22273"/>
    <cellStyle name="Normal 7 3 31 7" xfId="22274"/>
    <cellStyle name="Normal 7 3 32" xfId="22275"/>
    <cellStyle name="Normal 7 3 32 2" xfId="22276"/>
    <cellStyle name="Normal 7 3 32 3" xfId="22277"/>
    <cellStyle name="Normal 7 3 32 4" xfId="22278"/>
    <cellStyle name="Normal 7 3 32 5" xfId="22279"/>
    <cellStyle name="Normal 7 3 32 6" xfId="22280"/>
    <cellStyle name="Normal 7 3 32 7" xfId="22281"/>
    <cellStyle name="Normal 7 3 33" xfId="22282"/>
    <cellStyle name="Normal 7 3 33 2" xfId="22283"/>
    <cellStyle name="Normal 7 3 33 3" xfId="22284"/>
    <cellStyle name="Normal 7 3 33 4" xfId="22285"/>
    <cellStyle name="Normal 7 3 33 5" xfId="22286"/>
    <cellStyle name="Normal 7 3 33 6" xfId="22287"/>
    <cellStyle name="Normal 7 3 33 7" xfId="22288"/>
    <cellStyle name="Normal 7 3 34" xfId="22289"/>
    <cellStyle name="Normal 7 3 34 2" xfId="22290"/>
    <cellStyle name="Normal 7 3 34 3" xfId="22291"/>
    <cellStyle name="Normal 7 3 34 4" xfId="22292"/>
    <cellStyle name="Normal 7 3 34 5" xfId="22293"/>
    <cellStyle name="Normal 7 3 34 6" xfId="22294"/>
    <cellStyle name="Normal 7 3 34 7" xfId="22295"/>
    <cellStyle name="Normal 7 3 35" xfId="22296"/>
    <cellStyle name="Normal 7 3 35 2" xfId="22297"/>
    <cellStyle name="Normal 7 3 35 3" xfId="22298"/>
    <cellStyle name="Normal 7 3 35 4" xfId="22299"/>
    <cellStyle name="Normal 7 3 35 5" xfId="22300"/>
    <cellStyle name="Normal 7 3 35 6" xfId="22301"/>
    <cellStyle name="Normal 7 3 35 7" xfId="22302"/>
    <cellStyle name="Normal 7 3 36" xfId="22303"/>
    <cellStyle name="Normal 7 3 36 2" xfId="22304"/>
    <cellStyle name="Normal 7 3 37" xfId="22305"/>
    <cellStyle name="Normal 7 3 38" xfId="22306"/>
    <cellStyle name="Normal 7 3 39" xfId="22307"/>
    <cellStyle name="Normal 7 3 4" xfId="10977"/>
    <cellStyle name="Normal 7 3 4 2" xfId="22308"/>
    <cellStyle name="Normal 7 3 4 2 2" xfId="22309"/>
    <cellStyle name="Normal 7 3 4 2 3" xfId="22310"/>
    <cellStyle name="Normal 7 3 4 2 4" xfId="22311"/>
    <cellStyle name="Normal 7 3 4 2 5" xfId="22312"/>
    <cellStyle name="Normal 7 3 4 2 6" xfId="22313"/>
    <cellStyle name="Normal 7 3 4 2 7" xfId="22314"/>
    <cellStyle name="Normal 7 3 4 2 8" xfId="39930"/>
    <cellStyle name="Normal 7 3 4 3" xfId="22315"/>
    <cellStyle name="Normal 7 3 4 4" xfId="22316"/>
    <cellStyle name="Normal 7 3 4 5" xfId="22317"/>
    <cellStyle name="Normal 7 3 4 6" xfId="22318"/>
    <cellStyle name="Normal 7 3 4 7" xfId="22319"/>
    <cellStyle name="Normal 7 3 4 8" xfId="22320"/>
    <cellStyle name="Normal 7 3 4 9" xfId="22321"/>
    <cellStyle name="Normal 7 3 4 9 2" xfId="33809"/>
    <cellStyle name="Normal 7 3 40" xfId="22322"/>
    <cellStyle name="Normal 7 3 41" xfId="22323"/>
    <cellStyle name="Normal 7 3 42" xfId="22324"/>
    <cellStyle name="Normal 7 3 43" xfId="22325"/>
    <cellStyle name="Normal 7 3 5" xfId="22326"/>
    <cellStyle name="Normal 7 3 5 2" xfId="22327"/>
    <cellStyle name="Normal 7 3 5 2 2" xfId="22328"/>
    <cellStyle name="Normal 7 3 5 2 3" xfId="22329"/>
    <cellStyle name="Normal 7 3 5 2 4" xfId="22330"/>
    <cellStyle name="Normal 7 3 5 2 5" xfId="22331"/>
    <cellStyle name="Normal 7 3 5 2 6" xfId="22332"/>
    <cellStyle name="Normal 7 3 5 2 7" xfId="22333"/>
    <cellStyle name="Normal 7 3 5 3" xfId="22334"/>
    <cellStyle name="Normal 7 3 5 4" xfId="22335"/>
    <cellStyle name="Normal 7 3 5 5" xfId="22336"/>
    <cellStyle name="Normal 7 3 5 6" xfId="22337"/>
    <cellStyle name="Normal 7 3 5 7" xfId="22338"/>
    <cellStyle name="Normal 7 3 5 8" xfId="22339"/>
    <cellStyle name="Normal 7 3 5 9" xfId="39931"/>
    <cellStyle name="Normal 7 3 6" xfId="22340"/>
    <cellStyle name="Normal 7 3 6 2" xfId="22341"/>
    <cellStyle name="Normal 7 3 6 2 2" xfId="22342"/>
    <cellStyle name="Normal 7 3 6 2 3" xfId="22343"/>
    <cellStyle name="Normal 7 3 6 2 4" xfId="22344"/>
    <cellStyle name="Normal 7 3 6 2 5" xfId="22345"/>
    <cellStyle name="Normal 7 3 6 2 6" xfId="22346"/>
    <cellStyle name="Normal 7 3 6 2 7" xfId="22347"/>
    <cellStyle name="Normal 7 3 6 3" xfId="22348"/>
    <cellStyle name="Normal 7 3 6 4" xfId="22349"/>
    <cellStyle name="Normal 7 3 6 5" xfId="22350"/>
    <cellStyle name="Normal 7 3 6 6" xfId="22351"/>
    <cellStyle name="Normal 7 3 6 7" xfId="22352"/>
    <cellStyle name="Normal 7 3 6 8" xfId="22353"/>
    <cellStyle name="Normal 7 3 7" xfId="22354"/>
    <cellStyle name="Normal 7 3 7 2" xfId="22355"/>
    <cellStyle name="Normal 7 3 7 2 2" xfId="22356"/>
    <cellStyle name="Normal 7 3 7 2 3" xfId="22357"/>
    <cellStyle name="Normal 7 3 7 2 4" xfId="22358"/>
    <cellStyle name="Normal 7 3 7 2 5" xfId="22359"/>
    <cellStyle name="Normal 7 3 7 2 6" xfId="22360"/>
    <cellStyle name="Normal 7 3 7 2 7" xfId="22361"/>
    <cellStyle name="Normal 7 3 7 3" xfId="22362"/>
    <cellStyle name="Normal 7 3 7 4" xfId="22363"/>
    <cellStyle name="Normal 7 3 7 5" xfId="22364"/>
    <cellStyle name="Normal 7 3 7 6" xfId="22365"/>
    <cellStyle name="Normal 7 3 7 7" xfId="22366"/>
    <cellStyle name="Normal 7 3 7 8" xfId="22367"/>
    <cellStyle name="Normal 7 3 8" xfId="22368"/>
    <cellStyle name="Normal 7 3 8 2" xfId="22369"/>
    <cellStyle name="Normal 7 3 8 2 2" xfId="22370"/>
    <cellStyle name="Normal 7 3 8 2 3" xfId="22371"/>
    <cellStyle name="Normal 7 3 8 2 4" xfId="22372"/>
    <cellStyle name="Normal 7 3 8 2 5" xfId="22373"/>
    <cellStyle name="Normal 7 3 8 2 6" xfId="22374"/>
    <cellStyle name="Normal 7 3 8 2 7" xfId="22375"/>
    <cellStyle name="Normal 7 3 8 3" xfId="22376"/>
    <cellStyle name="Normal 7 3 8 4" xfId="22377"/>
    <cellStyle name="Normal 7 3 8 5" xfId="22378"/>
    <cellStyle name="Normal 7 3 8 6" xfId="22379"/>
    <cellStyle name="Normal 7 3 8 7" xfId="22380"/>
    <cellStyle name="Normal 7 3 8 8" xfId="22381"/>
    <cellStyle name="Normal 7 3 9" xfId="22382"/>
    <cellStyle name="Normal 7 3 9 2" xfId="22383"/>
    <cellStyle name="Normal 7 3 9 2 2" xfId="22384"/>
    <cellStyle name="Normal 7 3 9 2 3" xfId="22385"/>
    <cellStyle name="Normal 7 3 9 2 4" xfId="22386"/>
    <cellStyle name="Normal 7 3 9 2 5" xfId="22387"/>
    <cellStyle name="Normal 7 3 9 2 6" xfId="22388"/>
    <cellStyle name="Normal 7 3 9 2 7" xfId="22389"/>
    <cellStyle name="Normal 7 3 9 3" xfId="22390"/>
    <cellStyle name="Normal 7 3 9 4" xfId="22391"/>
    <cellStyle name="Normal 7 3 9 5" xfId="22392"/>
    <cellStyle name="Normal 7 3 9 6" xfId="22393"/>
    <cellStyle name="Normal 7 3 9 7" xfId="22394"/>
    <cellStyle name="Normal 7 3 9 8" xfId="22395"/>
    <cellStyle name="Normal 7 3_01-04-2012" xfId="10978"/>
    <cellStyle name="Normal 7 30" xfId="10979"/>
    <cellStyle name="Normal 7 31" xfId="10980"/>
    <cellStyle name="Normal 7 32" xfId="10981"/>
    <cellStyle name="Normal 7 33" xfId="10982"/>
    <cellStyle name="Normal 7 34" xfId="10983"/>
    <cellStyle name="Normal 7 35" xfId="10984"/>
    <cellStyle name="Normal 7 36" xfId="10985"/>
    <cellStyle name="Normal 7 37" xfId="10986"/>
    <cellStyle name="Normal 7 38" xfId="10987"/>
    <cellStyle name="Normal 7 39" xfId="10988"/>
    <cellStyle name="Normal 7 4" xfId="10989"/>
    <cellStyle name="Normal 7 4 2" xfId="10990"/>
    <cellStyle name="Normal 7 4 2 2" xfId="22396"/>
    <cellStyle name="Normal 7 4 2 2 2" xfId="33810"/>
    <cellStyle name="Normal 7 4 2 2 3" xfId="39932"/>
    <cellStyle name="Normal 7 4 2 3" xfId="22397"/>
    <cellStyle name="Normal 7 4 3" xfId="10991"/>
    <cellStyle name="Normal 7 4 3 2" xfId="22398"/>
    <cellStyle name="Normal 7 4 3 2 2" xfId="39933"/>
    <cellStyle name="Normal 7 4 4" xfId="10992"/>
    <cellStyle name="Normal 7 4 4 2" xfId="22399"/>
    <cellStyle name="Normal 7 4 4 2 2" xfId="39934"/>
    <cellStyle name="Normal 7 4 5" xfId="22400"/>
    <cellStyle name="Normal 7 4 5 2" xfId="39935"/>
    <cellStyle name="Normal 7 4_01-04-2012" xfId="10993"/>
    <cellStyle name="Normal 7 40" xfId="10994"/>
    <cellStyle name="Normal 7 41" xfId="10995"/>
    <cellStyle name="Normal 7 42" xfId="10996"/>
    <cellStyle name="Normal 7 43" xfId="10997"/>
    <cellStyle name="Normal 7 44" xfId="10998"/>
    <cellStyle name="Normal 7 45" xfId="10999"/>
    <cellStyle name="Normal 7 46" xfId="11000"/>
    <cellStyle name="Normal 7 47" xfId="11001"/>
    <cellStyle name="Normal 7 48" xfId="11002"/>
    <cellStyle name="Normal 7 49" xfId="11003"/>
    <cellStyle name="Normal 7 5" xfId="11004"/>
    <cellStyle name="Normal 7 5 2" xfId="22401"/>
    <cellStyle name="Normal 7 5 2 2" xfId="22402"/>
    <cellStyle name="Normal 7 5 2 2 2" xfId="33811"/>
    <cellStyle name="Normal 7 5 2 3" xfId="33812"/>
    <cellStyle name="Normal 7 5 3" xfId="22403"/>
    <cellStyle name="Normal 7 5 3 2" xfId="33813"/>
    <cellStyle name="Normal 7 5 4" xfId="22404"/>
    <cellStyle name="Normal 7 50" xfId="11005"/>
    <cellStyle name="Normal 7 51" xfId="11006"/>
    <cellStyle name="Normal 7 52" xfId="11007"/>
    <cellStyle name="Normal 7 53" xfId="11008"/>
    <cellStyle name="Normal 7 53 2" xfId="39936"/>
    <cellStyle name="Normal 7 54" xfId="11009"/>
    <cellStyle name="Normal 7 54 2" xfId="39937"/>
    <cellStyle name="Normal 7 55" xfId="11010"/>
    <cellStyle name="Normal 7 55 2" xfId="39938"/>
    <cellStyle name="Normal 7 56" xfId="11011"/>
    <cellStyle name="Normal 7 57" xfId="11012"/>
    <cellStyle name="Normal 7 58" xfId="11013"/>
    <cellStyle name="Normal 7 59" xfId="11014"/>
    <cellStyle name="Normal 7 6" xfId="11015"/>
    <cellStyle name="Normal 7 6 2" xfId="22405"/>
    <cellStyle name="Normal 7 6 2 2" xfId="22406"/>
    <cellStyle name="Normal 7 6 2 2 2" xfId="33814"/>
    <cellStyle name="Normal 7 6 2 3" xfId="33815"/>
    <cellStyle name="Normal 7 6 3" xfId="22407"/>
    <cellStyle name="Normal 7 6 3 2" xfId="33816"/>
    <cellStyle name="Normal 7 6 4" xfId="22408"/>
    <cellStyle name="Normal 7 60" xfId="11016"/>
    <cellStyle name="Normal 7 61" xfId="11017"/>
    <cellStyle name="Normal 7 62" xfId="11018"/>
    <cellStyle name="Normal 7 63" xfId="11019"/>
    <cellStyle name="Normal 7 64" xfId="22409"/>
    <cellStyle name="Normal 7 64 2" xfId="39939"/>
    <cellStyle name="Normal 7 7" xfId="11020"/>
    <cellStyle name="Normal 7 7 2" xfId="22410"/>
    <cellStyle name="Normal 7 7 2 2" xfId="22411"/>
    <cellStyle name="Normal 7 7 2 2 2" xfId="33817"/>
    <cellStyle name="Normal 7 7 2 3" xfId="33818"/>
    <cellStyle name="Normal 7 7 3" xfId="22412"/>
    <cellStyle name="Normal 7 7 3 2" xfId="33819"/>
    <cellStyle name="Normal 7 7 4" xfId="22413"/>
    <cellStyle name="Normal 7 8" xfId="11021"/>
    <cellStyle name="Normal 7 8 2" xfId="22414"/>
    <cellStyle name="Normal 7 8 2 2" xfId="22415"/>
    <cellStyle name="Normal 7 8 2 2 2" xfId="33820"/>
    <cellStyle name="Normal 7 8 2 3" xfId="33821"/>
    <cellStyle name="Normal 7 8 3" xfId="22416"/>
    <cellStyle name="Normal 7 8 3 2" xfId="33822"/>
    <cellStyle name="Normal 7 8 4" xfId="22417"/>
    <cellStyle name="Normal 7 9" xfId="11022"/>
    <cellStyle name="Normal 7 9 2" xfId="22418"/>
    <cellStyle name="Normal 7 9 2 2" xfId="22419"/>
    <cellStyle name="Normal 7 9 2 2 2" xfId="33823"/>
    <cellStyle name="Normal 7 9 2 3" xfId="33824"/>
    <cellStyle name="Normal 7 9 3" xfId="22420"/>
    <cellStyle name="Normal 7 9 3 2" xfId="33825"/>
    <cellStyle name="Normal 7 9 4" xfId="22421"/>
    <cellStyle name="Normal 7_01-04-2012" xfId="11023"/>
    <cellStyle name="Normal 70" xfId="11024"/>
    <cellStyle name="Normal 70 2" xfId="22422"/>
    <cellStyle name="Normal 70 2 2" xfId="39940"/>
    <cellStyle name="Normal 70 3" xfId="22423"/>
    <cellStyle name="Normal 700" xfId="22424"/>
    <cellStyle name="Normal 701" xfId="22425"/>
    <cellStyle name="Normal 702" xfId="22426"/>
    <cellStyle name="Normal 703" xfId="22427"/>
    <cellStyle name="Normal 704" xfId="22428"/>
    <cellStyle name="Normal 705" xfId="22429"/>
    <cellStyle name="Normal 706" xfId="22430"/>
    <cellStyle name="Normal 707" xfId="22431"/>
    <cellStyle name="Normal 708" xfId="22432"/>
    <cellStyle name="Normal 709" xfId="22433"/>
    <cellStyle name="Normal 71" xfId="11025"/>
    <cellStyle name="Normal 71 2" xfId="22434"/>
    <cellStyle name="Normal 710" xfId="22435"/>
    <cellStyle name="Normal 711" xfId="22436"/>
    <cellStyle name="Normal 712" xfId="32575"/>
    <cellStyle name="Normal 712 2" xfId="33826"/>
    <cellStyle name="Normal 713" xfId="33523"/>
    <cellStyle name="Normal 713 2" xfId="33827"/>
    <cellStyle name="Normal 714" xfId="33524"/>
    <cellStyle name="Normal 714 2" xfId="33828"/>
    <cellStyle name="Normal 715" xfId="33829"/>
    <cellStyle name="Normal 716" xfId="33830"/>
    <cellStyle name="Normal 717" xfId="33831"/>
    <cellStyle name="Normal 718" xfId="33832"/>
    <cellStyle name="Normal 719" xfId="33833"/>
    <cellStyle name="Normal 72" xfId="11026"/>
    <cellStyle name="Normal 72 2" xfId="11027"/>
    <cellStyle name="Normal 72 2 2" xfId="39941"/>
    <cellStyle name="Normal 72 3" xfId="11028"/>
    <cellStyle name="Normal 72 3 2" xfId="39942"/>
    <cellStyle name="Normal 72 4" xfId="22437"/>
    <cellStyle name="Normal 72 4 2" xfId="39943"/>
    <cellStyle name="Normal 72_Hoja1" xfId="11029"/>
    <cellStyle name="Normal 720" xfId="33834"/>
    <cellStyle name="Normal 721" xfId="33835"/>
    <cellStyle name="Normal 722" xfId="33836"/>
    <cellStyle name="Normal 723" xfId="33837"/>
    <cellStyle name="Normal 724" xfId="33838"/>
    <cellStyle name="Normal 725" xfId="33839"/>
    <cellStyle name="Normal 726" xfId="33840"/>
    <cellStyle name="Normal 727" xfId="33841"/>
    <cellStyle name="Normal 728" xfId="33842"/>
    <cellStyle name="Normal 729" xfId="33843"/>
    <cellStyle name="Normal 73" xfId="11030"/>
    <cellStyle name="Normal 73 2" xfId="11031"/>
    <cellStyle name="Normal 73 2 2" xfId="22438"/>
    <cellStyle name="Normal 73 2 2 2" xfId="39944"/>
    <cellStyle name="Normal 73 3" xfId="11032"/>
    <cellStyle name="Normal 73 3 2" xfId="39945"/>
    <cellStyle name="Normal 73 4" xfId="22439"/>
    <cellStyle name="Normal 73 4 2" xfId="39946"/>
    <cellStyle name="Normal 73_Hoja1" xfId="11033"/>
    <cellStyle name="Normal 730" xfId="33844"/>
    <cellStyle name="Normal 731" xfId="33845"/>
    <cellStyle name="Normal 732" xfId="33846"/>
    <cellStyle name="Normal 733" xfId="33847"/>
    <cellStyle name="Normal 734" xfId="33848"/>
    <cellStyle name="Normal 735" xfId="33849"/>
    <cellStyle name="Normal 736" xfId="33850"/>
    <cellStyle name="Normal 737" xfId="33851"/>
    <cellStyle name="Normal 738" xfId="33852"/>
    <cellStyle name="Normal 739" xfId="33853"/>
    <cellStyle name="Normal 74" xfId="11034"/>
    <cellStyle name="Normal 74 2" xfId="22440"/>
    <cellStyle name="Normal 74 2 2" xfId="39947"/>
    <cellStyle name="Normal 74 3" xfId="22441"/>
    <cellStyle name="Normal 740" xfId="33854"/>
    <cellStyle name="Normal 741" xfId="33855"/>
    <cellStyle name="Normal 742" xfId="33856"/>
    <cellStyle name="Normal 743" xfId="33857"/>
    <cellStyle name="Normal 744" xfId="33858"/>
    <cellStyle name="Normal 745" xfId="33859"/>
    <cellStyle name="Normal 746" xfId="33860"/>
    <cellStyle name="Normal 747" xfId="33861"/>
    <cellStyle name="Normal 748" xfId="33862"/>
    <cellStyle name="Normal 749" xfId="33863"/>
    <cellStyle name="Normal 75" xfId="22442"/>
    <cellStyle name="Normal 75 2" xfId="22443"/>
    <cellStyle name="Normal 75 3" xfId="22444"/>
    <cellStyle name="Normal 75 4" xfId="39948"/>
    <cellStyle name="Normal 750" xfId="33864"/>
    <cellStyle name="Normal 751" xfId="33865"/>
    <cellStyle name="Normal 752" xfId="33866"/>
    <cellStyle name="Normal 753" xfId="33867"/>
    <cellStyle name="Normal 754" xfId="33868"/>
    <cellStyle name="Normal 754 2" xfId="33869"/>
    <cellStyle name="Normal 755" xfId="33870"/>
    <cellStyle name="Normal 756" xfId="33871"/>
    <cellStyle name="Normal 757" xfId="33872"/>
    <cellStyle name="Normal 758" xfId="33873"/>
    <cellStyle name="Normal 759" xfId="33874"/>
    <cellStyle name="Normal 76" xfId="22445"/>
    <cellStyle name="Normal 76 2" xfId="22446"/>
    <cellStyle name="Normal 76 3" xfId="39949"/>
    <cellStyle name="Normal 760" xfId="33875"/>
    <cellStyle name="Normal 761" xfId="33876"/>
    <cellStyle name="Normal 762" xfId="33877"/>
    <cellStyle name="Normal 763" xfId="33878"/>
    <cellStyle name="Normal 764" xfId="33879"/>
    <cellStyle name="Normal 765" xfId="33880"/>
    <cellStyle name="Normal 766" xfId="33881"/>
    <cellStyle name="Normal 767" xfId="33882"/>
    <cellStyle name="Normal 768" xfId="33883"/>
    <cellStyle name="Normal 769" xfId="33884"/>
    <cellStyle name="Normal 77" xfId="22447"/>
    <cellStyle name="Normal 77 2" xfId="22448"/>
    <cellStyle name="Normal 77 2 2" xfId="39951"/>
    <cellStyle name="Normal 77 3" xfId="39952"/>
    <cellStyle name="Normal 77 4" xfId="39950"/>
    <cellStyle name="Normal 770" xfId="33885"/>
    <cellStyle name="Normal 771" xfId="33886"/>
    <cellStyle name="Normal 772" xfId="33887"/>
    <cellStyle name="Normal 773" xfId="33888"/>
    <cellStyle name="Normal 774" xfId="33889"/>
    <cellStyle name="Normal 775" xfId="33890"/>
    <cellStyle name="Normal 776" xfId="33891"/>
    <cellStyle name="Normal 777" xfId="33892"/>
    <cellStyle name="Normal 778" xfId="33893"/>
    <cellStyle name="Normal 779" xfId="33894"/>
    <cellStyle name="Normal 78" xfId="22449"/>
    <cellStyle name="Normal 78 2" xfId="22450"/>
    <cellStyle name="Normal 78 2 2" xfId="39954"/>
    <cellStyle name="Normal 78 3" xfId="39955"/>
    <cellStyle name="Normal 78 4" xfId="39953"/>
    <cellStyle name="Normal 780" xfId="33895"/>
    <cellStyle name="Normal 781" xfId="33896"/>
    <cellStyle name="Normal 782" xfId="33897"/>
    <cellStyle name="Normal 783" xfId="33898"/>
    <cellStyle name="Normal 784" xfId="33899"/>
    <cellStyle name="Normal 785" xfId="33900"/>
    <cellStyle name="Normal 786" xfId="33901"/>
    <cellStyle name="Normal 787" xfId="33902"/>
    <cellStyle name="Normal 788" xfId="33903"/>
    <cellStyle name="Normal 789" xfId="33904"/>
    <cellStyle name="Normal 79" xfId="22451"/>
    <cellStyle name="Normal 79 2" xfId="22452"/>
    <cellStyle name="Normal 79 2 2" xfId="39957"/>
    <cellStyle name="Normal 79 3" xfId="39958"/>
    <cellStyle name="Normal 79 4" xfId="39956"/>
    <cellStyle name="Normal 790" xfId="33905"/>
    <cellStyle name="Normal 791" xfId="33906"/>
    <cellStyle name="Normal 792" xfId="33907"/>
    <cellStyle name="Normal 793" xfId="33908"/>
    <cellStyle name="Normal 794" xfId="33909"/>
    <cellStyle name="Normal 795" xfId="33910"/>
    <cellStyle name="Normal 796" xfId="33911"/>
    <cellStyle name="Normal 797" xfId="33949"/>
    <cellStyle name="Normal 798" xfId="40352"/>
    <cellStyle name="Normal 799" xfId="40354"/>
    <cellStyle name="Normal 8" xfId="11035"/>
    <cellStyle name="Normal 8 2" xfId="11036"/>
    <cellStyle name="Normal 8 2 2" xfId="22453"/>
    <cellStyle name="Normal 8 2 2 2" xfId="22454"/>
    <cellStyle name="Normal 8 2 2 3" xfId="22455"/>
    <cellStyle name="Normal 8 2 2 4" xfId="22456"/>
    <cellStyle name="Normal 8 2 3" xfId="22457"/>
    <cellStyle name="Normal 8 2 3 2" xfId="22458"/>
    <cellStyle name="Normal 8 2 3 3" xfId="22459"/>
    <cellStyle name="Normal 8 2 3 4" xfId="22460"/>
    <cellStyle name="Normal 8 2 4" xfId="22461"/>
    <cellStyle name="Normal 8 3" xfId="11037"/>
    <cellStyle name="Normal 8 3 10" xfId="22462"/>
    <cellStyle name="Normal 8 3 10 2" xfId="22463"/>
    <cellStyle name="Normal 8 3 10 2 2" xfId="22464"/>
    <cellStyle name="Normal 8 3 10 2 3" xfId="22465"/>
    <cellStyle name="Normal 8 3 10 2 4" xfId="22466"/>
    <cellStyle name="Normal 8 3 10 2 5" xfId="22467"/>
    <cellStyle name="Normal 8 3 10 2 6" xfId="22468"/>
    <cellStyle name="Normal 8 3 10 2 7" xfId="22469"/>
    <cellStyle name="Normal 8 3 10 3" xfId="22470"/>
    <cellStyle name="Normal 8 3 10 4" xfId="22471"/>
    <cellStyle name="Normal 8 3 10 5" xfId="22472"/>
    <cellStyle name="Normal 8 3 10 6" xfId="22473"/>
    <cellStyle name="Normal 8 3 10 7" xfId="22474"/>
    <cellStyle name="Normal 8 3 10 8" xfId="22475"/>
    <cellStyle name="Normal 8 3 11" xfId="22476"/>
    <cellStyle name="Normal 8 3 11 2" xfId="22477"/>
    <cellStyle name="Normal 8 3 11 2 2" xfId="22478"/>
    <cellStyle name="Normal 8 3 11 2 3" xfId="22479"/>
    <cellStyle name="Normal 8 3 11 2 4" xfId="22480"/>
    <cellStyle name="Normal 8 3 11 2 5" xfId="22481"/>
    <cellStyle name="Normal 8 3 11 2 6" xfId="22482"/>
    <cellStyle name="Normal 8 3 11 2 7" xfId="22483"/>
    <cellStyle name="Normal 8 3 11 3" xfId="22484"/>
    <cellStyle name="Normal 8 3 11 4" xfId="22485"/>
    <cellStyle name="Normal 8 3 11 5" xfId="22486"/>
    <cellStyle name="Normal 8 3 11 6" xfId="22487"/>
    <cellStyle name="Normal 8 3 11 7" xfId="22488"/>
    <cellStyle name="Normal 8 3 11 8" xfId="22489"/>
    <cellStyle name="Normal 8 3 12" xfId="22490"/>
    <cellStyle name="Normal 8 3 12 2" xfId="22491"/>
    <cellStyle name="Normal 8 3 12 2 2" xfId="22492"/>
    <cellStyle name="Normal 8 3 12 2 3" xfId="22493"/>
    <cellStyle name="Normal 8 3 12 2 4" xfId="22494"/>
    <cellStyle name="Normal 8 3 12 2 5" xfId="22495"/>
    <cellStyle name="Normal 8 3 12 2 6" xfId="22496"/>
    <cellStyle name="Normal 8 3 12 2 7" xfId="22497"/>
    <cellStyle name="Normal 8 3 12 3" xfId="22498"/>
    <cellStyle name="Normal 8 3 12 4" xfId="22499"/>
    <cellStyle name="Normal 8 3 12 5" xfId="22500"/>
    <cellStyle name="Normal 8 3 12 6" xfId="22501"/>
    <cellStyle name="Normal 8 3 12 7" xfId="22502"/>
    <cellStyle name="Normal 8 3 12 8" xfId="22503"/>
    <cellStyle name="Normal 8 3 13" xfId="22504"/>
    <cellStyle name="Normal 8 3 13 2" xfId="22505"/>
    <cellStyle name="Normal 8 3 13 2 2" xfId="22506"/>
    <cellStyle name="Normal 8 3 13 2 3" xfId="22507"/>
    <cellStyle name="Normal 8 3 13 2 4" xfId="22508"/>
    <cellStyle name="Normal 8 3 13 2 5" xfId="22509"/>
    <cellStyle name="Normal 8 3 13 2 6" xfId="22510"/>
    <cellStyle name="Normal 8 3 13 2 7" xfId="22511"/>
    <cellStyle name="Normal 8 3 13 3" xfId="22512"/>
    <cellStyle name="Normal 8 3 13 4" xfId="22513"/>
    <cellStyle name="Normal 8 3 13 5" xfId="22514"/>
    <cellStyle name="Normal 8 3 13 6" xfId="22515"/>
    <cellStyle name="Normal 8 3 13 7" xfId="22516"/>
    <cellStyle name="Normal 8 3 13 8" xfId="22517"/>
    <cellStyle name="Normal 8 3 14" xfId="22518"/>
    <cellStyle name="Normal 8 3 14 2" xfId="22519"/>
    <cellStyle name="Normal 8 3 14 2 2" xfId="22520"/>
    <cellStyle name="Normal 8 3 14 2 3" xfId="22521"/>
    <cellStyle name="Normal 8 3 14 2 4" xfId="22522"/>
    <cellStyle name="Normal 8 3 14 2 5" xfId="22523"/>
    <cellStyle name="Normal 8 3 14 2 6" xfId="22524"/>
    <cellStyle name="Normal 8 3 14 2 7" xfId="22525"/>
    <cellStyle name="Normal 8 3 14 3" xfId="22526"/>
    <cellStyle name="Normal 8 3 14 4" xfId="22527"/>
    <cellStyle name="Normal 8 3 14 5" xfId="22528"/>
    <cellStyle name="Normal 8 3 14 6" xfId="22529"/>
    <cellStyle name="Normal 8 3 14 7" xfId="22530"/>
    <cellStyle name="Normal 8 3 14 8" xfId="22531"/>
    <cellStyle name="Normal 8 3 15" xfId="22532"/>
    <cellStyle name="Normal 8 3 15 2" xfId="22533"/>
    <cellStyle name="Normal 8 3 15 2 2" xfId="22534"/>
    <cellStyle name="Normal 8 3 15 2 3" xfId="22535"/>
    <cellStyle name="Normal 8 3 15 2 4" xfId="22536"/>
    <cellStyle name="Normal 8 3 15 2 5" xfId="22537"/>
    <cellStyle name="Normal 8 3 15 2 6" xfId="22538"/>
    <cellStyle name="Normal 8 3 15 2 7" xfId="22539"/>
    <cellStyle name="Normal 8 3 15 3" xfId="22540"/>
    <cellStyle name="Normal 8 3 15 4" xfId="22541"/>
    <cellStyle name="Normal 8 3 15 5" xfId="22542"/>
    <cellStyle name="Normal 8 3 15 6" xfId="22543"/>
    <cellStyle name="Normal 8 3 15 7" xfId="22544"/>
    <cellStyle name="Normal 8 3 15 8" xfId="22545"/>
    <cellStyle name="Normal 8 3 16" xfId="22546"/>
    <cellStyle name="Normal 8 3 16 2" xfId="22547"/>
    <cellStyle name="Normal 8 3 16 3" xfId="22548"/>
    <cellStyle name="Normal 8 3 16 4" xfId="22549"/>
    <cellStyle name="Normal 8 3 16 5" xfId="22550"/>
    <cellStyle name="Normal 8 3 16 6" xfId="22551"/>
    <cellStyle name="Normal 8 3 16 7" xfId="22552"/>
    <cellStyle name="Normal 8 3 17" xfId="22553"/>
    <cellStyle name="Normal 8 3 17 2" xfId="22554"/>
    <cellStyle name="Normal 8 3 17 3" xfId="22555"/>
    <cellStyle name="Normal 8 3 17 4" xfId="22556"/>
    <cellStyle name="Normal 8 3 17 5" xfId="22557"/>
    <cellStyle name="Normal 8 3 17 6" xfId="22558"/>
    <cellStyle name="Normal 8 3 17 7" xfId="22559"/>
    <cellStyle name="Normal 8 3 18" xfId="22560"/>
    <cellStyle name="Normal 8 3 18 2" xfId="22561"/>
    <cellStyle name="Normal 8 3 18 3" xfId="22562"/>
    <cellStyle name="Normal 8 3 18 4" xfId="22563"/>
    <cellStyle name="Normal 8 3 18 5" xfId="22564"/>
    <cellStyle name="Normal 8 3 18 6" xfId="22565"/>
    <cellStyle name="Normal 8 3 18 7" xfId="22566"/>
    <cellStyle name="Normal 8 3 19" xfId="22567"/>
    <cellStyle name="Normal 8 3 19 2" xfId="22568"/>
    <cellStyle name="Normal 8 3 19 3" xfId="22569"/>
    <cellStyle name="Normal 8 3 19 4" xfId="22570"/>
    <cellStyle name="Normal 8 3 19 5" xfId="22571"/>
    <cellStyle name="Normal 8 3 19 6" xfId="22572"/>
    <cellStyle name="Normal 8 3 19 7" xfId="22573"/>
    <cellStyle name="Normal 8 3 2" xfId="22574"/>
    <cellStyle name="Normal 8 3 2 2" xfId="22575"/>
    <cellStyle name="Normal 8 3 2 2 2" xfId="22576"/>
    <cellStyle name="Normal 8 3 2 2 3" xfId="22577"/>
    <cellStyle name="Normal 8 3 2 2 4" xfId="22578"/>
    <cellStyle name="Normal 8 3 2 2 5" xfId="22579"/>
    <cellStyle name="Normal 8 3 2 2 6" xfId="22580"/>
    <cellStyle name="Normal 8 3 2 2 7" xfId="22581"/>
    <cellStyle name="Normal 8 3 2 3" xfId="22582"/>
    <cellStyle name="Normal 8 3 2 4" xfId="22583"/>
    <cellStyle name="Normal 8 3 2 5" xfId="22584"/>
    <cellStyle name="Normal 8 3 2 6" xfId="22585"/>
    <cellStyle name="Normal 8 3 2 7" xfId="22586"/>
    <cellStyle name="Normal 8 3 2 8" xfId="22587"/>
    <cellStyle name="Normal 8 3 20" xfId="22588"/>
    <cellStyle name="Normal 8 3 20 2" xfId="22589"/>
    <cellStyle name="Normal 8 3 20 3" xfId="22590"/>
    <cellStyle name="Normal 8 3 20 4" xfId="22591"/>
    <cellStyle name="Normal 8 3 20 5" xfId="22592"/>
    <cellStyle name="Normal 8 3 20 6" xfId="22593"/>
    <cellStyle name="Normal 8 3 20 7" xfId="22594"/>
    <cellStyle name="Normal 8 3 21" xfId="22595"/>
    <cellStyle name="Normal 8 3 21 2" xfId="22596"/>
    <cellStyle name="Normal 8 3 21 3" xfId="22597"/>
    <cellStyle name="Normal 8 3 21 4" xfId="22598"/>
    <cellStyle name="Normal 8 3 21 5" xfId="22599"/>
    <cellStyle name="Normal 8 3 21 6" xfId="22600"/>
    <cellStyle name="Normal 8 3 21 7" xfId="22601"/>
    <cellStyle name="Normal 8 3 22" xfId="22602"/>
    <cellStyle name="Normal 8 3 22 2" xfId="22603"/>
    <cellStyle name="Normal 8 3 22 3" xfId="22604"/>
    <cellStyle name="Normal 8 3 22 4" xfId="22605"/>
    <cellStyle name="Normal 8 3 22 5" xfId="22606"/>
    <cellStyle name="Normal 8 3 22 6" xfId="22607"/>
    <cellStyle name="Normal 8 3 22 7" xfId="22608"/>
    <cellStyle name="Normal 8 3 23" xfId="22609"/>
    <cellStyle name="Normal 8 3 23 2" xfId="22610"/>
    <cellStyle name="Normal 8 3 23 3" xfId="22611"/>
    <cellStyle name="Normal 8 3 23 4" xfId="22612"/>
    <cellStyle name="Normal 8 3 23 5" xfId="22613"/>
    <cellStyle name="Normal 8 3 23 6" xfId="22614"/>
    <cellStyle name="Normal 8 3 23 7" xfId="22615"/>
    <cellStyle name="Normal 8 3 24" xfId="22616"/>
    <cellStyle name="Normal 8 3 24 2" xfId="22617"/>
    <cellStyle name="Normal 8 3 24 3" xfId="22618"/>
    <cellStyle name="Normal 8 3 24 4" xfId="22619"/>
    <cellStyle name="Normal 8 3 24 5" xfId="22620"/>
    <cellStyle name="Normal 8 3 24 6" xfId="22621"/>
    <cellStyle name="Normal 8 3 24 7" xfId="22622"/>
    <cellStyle name="Normal 8 3 25" xfId="22623"/>
    <cellStyle name="Normal 8 3 25 2" xfId="22624"/>
    <cellStyle name="Normal 8 3 25 3" xfId="22625"/>
    <cellStyle name="Normal 8 3 25 4" xfId="22626"/>
    <cellStyle name="Normal 8 3 25 5" xfId="22627"/>
    <cellStyle name="Normal 8 3 25 6" xfId="22628"/>
    <cellStyle name="Normal 8 3 25 7" xfId="22629"/>
    <cellStyle name="Normal 8 3 26" xfId="22630"/>
    <cellStyle name="Normal 8 3 26 2" xfId="22631"/>
    <cellStyle name="Normal 8 3 26 3" xfId="22632"/>
    <cellStyle name="Normal 8 3 26 4" xfId="22633"/>
    <cellStyle name="Normal 8 3 26 5" xfId="22634"/>
    <cellStyle name="Normal 8 3 26 6" xfId="22635"/>
    <cellStyle name="Normal 8 3 26 7" xfId="22636"/>
    <cellStyle name="Normal 8 3 27" xfId="22637"/>
    <cellStyle name="Normal 8 3 27 2" xfId="22638"/>
    <cellStyle name="Normal 8 3 27 3" xfId="22639"/>
    <cellStyle name="Normal 8 3 27 4" xfId="22640"/>
    <cellStyle name="Normal 8 3 27 5" xfId="22641"/>
    <cellStyle name="Normal 8 3 27 6" xfId="22642"/>
    <cellStyle name="Normal 8 3 27 7" xfId="22643"/>
    <cellStyle name="Normal 8 3 28" xfId="22644"/>
    <cellStyle name="Normal 8 3 28 2" xfId="22645"/>
    <cellStyle name="Normal 8 3 28 3" xfId="22646"/>
    <cellStyle name="Normal 8 3 28 4" xfId="22647"/>
    <cellStyle name="Normal 8 3 28 5" xfId="22648"/>
    <cellStyle name="Normal 8 3 28 6" xfId="22649"/>
    <cellStyle name="Normal 8 3 28 7" xfId="22650"/>
    <cellStyle name="Normal 8 3 29" xfId="22651"/>
    <cellStyle name="Normal 8 3 29 2" xfId="22652"/>
    <cellStyle name="Normal 8 3 29 3" xfId="22653"/>
    <cellStyle name="Normal 8 3 29 4" xfId="22654"/>
    <cellStyle name="Normal 8 3 29 5" xfId="22655"/>
    <cellStyle name="Normal 8 3 29 6" xfId="22656"/>
    <cellStyle name="Normal 8 3 29 7" xfId="22657"/>
    <cellStyle name="Normal 8 3 3" xfId="22658"/>
    <cellStyle name="Normal 8 3 3 2" xfId="22659"/>
    <cellStyle name="Normal 8 3 3 2 2" xfId="22660"/>
    <cellStyle name="Normal 8 3 3 2 3" xfId="22661"/>
    <cellStyle name="Normal 8 3 3 2 4" xfId="22662"/>
    <cellStyle name="Normal 8 3 3 2 5" xfId="22663"/>
    <cellStyle name="Normal 8 3 3 2 6" xfId="22664"/>
    <cellStyle name="Normal 8 3 3 2 7" xfId="22665"/>
    <cellStyle name="Normal 8 3 3 3" xfId="22666"/>
    <cellStyle name="Normal 8 3 3 4" xfId="22667"/>
    <cellStyle name="Normal 8 3 3 5" xfId="22668"/>
    <cellStyle name="Normal 8 3 3 6" xfId="22669"/>
    <cellStyle name="Normal 8 3 3 7" xfId="22670"/>
    <cellStyle name="Normal 8 3 3 8" xfId="22671"/>
    <cellStyle name="Normal 8 3 30" xfId="22672"/>
    <cellStyle name="Normal 8 3 30 2" xfId="22673"/>
    <cellStyle name="Normal 8 3 30 3" xfId="22674"/>
    <cellStyle name="Normal 8 3 30 4" xfId="22675"/>
    <cellStyle name="Normal 8 3 30 5" xfId="22676"/>
    <cellStyle name="Normal 8 3 30 6" xfId="22677"/>
    <cellStyle name="Normal 8 3 30 7" xfId="22678"/>
    <cellStyle name="Normal 8 3 31" xfId="22679"/>
    <cellStyle name="Normal 8 3 31 2" xfId="22680"/>
    <cellStyle name="Normal 8 3 31 3" xfId="22681"/>
    <cellStyle name="Normal 8 3 31 4" xfId="22682"/>
    <cellStyle name="Normal 8 3 31 5" xfId="22683"/>
    <cellStyle name="Normal 8 3 31 6" xfId="22684"/>
    <cellStyle name="Normal 8 3 31 7" xfId="22685"/>
    <cellStyle name="Normal 8 3 32" xfId="22686"/>
    <cellStyle name="Normal 8 3 32 2" xfId="22687"/>
    <cellStyle name="Normal 8 3 32 3" xfId="22688"/>
    <cellStyle name="Normal 8 3 32 4" xfId="22689"/>
    <cellStyle name="Normal 8 3 32 5" xfId="22690"/>
    <cellStyle name="Normal 8 3 32 6" xfId="22691"/>
    <cellStyle name="Normal 8 3 32 7" xfId="22692"/>
    <cellStyle name="Normal 8 3 33" xfId="22693"/>
    <cellStyle name="Normal 8 3 33 2" xfId="22694"/>
    <cellStyle name="Normal 8 3 33 3" xfId="22695"/>
    <cellStyle name="Normal 8 3 33 4" xfId="22696"/>
    <cellStyle name="Normal 8 3 33 5" xfId="22697"/>
    <cellStyle name="Normal 8 3 33 6" xfId="22698"/>
    <cellStyle name="Normal 8 3 33 7" xfId="22699"/>
    <cellStyle name="Normal 8 3 34" xfId="22700"/>
    <cellStyle name="Normal 8 3 34 2" xfId="22701"/>
    <cellStyle name="Normal 8 3 34 3" xfId="22702"/>
    <cellStyle name="Normal 8 3 34 4" xfId="22703"/>
    <cellStyle name="Normal 8 3 34 5" xfId="22704"/>
    <cellStyle name="Normal 8 3 34 6" xfId="22705"/>
    <cellStyle name="Normal 8 3 34 7" xfId="22706"/>
    <cellStyle name="Normal 8 3 35" xfId="22707"/>
    <cellStyle name="Normal 8 3 35 2" xfId="22708"/>
    <cellStyle name="Normal 8 3 35 3" xfId="22709"/>
    <cellStyle name="Normal 8 3 35 4" xfId="22710"/>
    <cellStyle name="Normal 8 3 35 5" xfId="22711"/>
    <cellStyle name="Normal 8 3 35 6" xfId="22712"/>
    <cellStyle name="Normal 8 3 35 7" xfId="22713"/>
    <cellStyle name="Normal 8 3 36" xfId="22714"/>
    <cellStyle name="Normal 8 3 37" xfId="22715"/>
    <cellStyle name="Normal 8 3 38" xfId="22716"/>
    <cellStyle name="Normal 8 3 39" xfId="22717"/>
    <cellStyle name="Normal 8 3 4" xfId="22718"/>
    <cellStyle name="Normal 8 3 4 2" xfId="22719"/>
    <cellStyle name="Normal 8 3 4 2 2" xfId="22720"/>
    <cellStyle name="Normal 8 3 4 2 3" xfId="22721"/>
    <cellStyle name="Normal 8 3 4 2 4" xfId="22722"/>
    <cellStyle name="Normal 8 3 4 2 5" xfId="22723"/>
    <cellStyle name="Normal 8 3 4 2 6" xfId="22724"/>
    <cellStyle name="Normal 8 3 4 2 7" xfId="22725"/>
    <cellStyle name="Normal 8 3 4 3" xfId="22726"/>
    <cellStyle name="Normal 8 3 4 4" xfId="22727"/>
    <cellStyle name="Normal 8 3 4 5" xfId="22728"/>
    <cellStyle name="Normal 8 3 4 6" xfId="22729"/>
    <cellStyle name="Normal 8 3 4 7" xfId="22730"/>
    <cellStyle name="Normal 8 3 4 8" xfId="22731"/>
    <cellStyle name="Normal 8 3 40" xfId="22732"/>
    <cellStyle name="Normal 8 3 41" xfId="22733"/>
    <cellStyle name="Normal 8 3 5" xfId="22734"/>
    <cellStyle name="Normal 8 3 5 2" xfId="22735"/>
    <cellStyle name="Normal 8 3 5 2 2" xfId="22736"/>
    <cellStyle name="Normal 8 3 5 2 3" xfId="22737"/>
    <cellStyle name="Normal 8 3 5 2 4" xfId="22738"/>
    <cellStyle name="Normal 8 3 5 2 5" xfId="22739"/>
    <cellStyle name="Normal 8 3 5 2 6" xfId="22740"/>
    <cellStyle name="Normal 8 3 5 2 7" xfId="22741"/>
    <cellStyle name="Normal 8 3 5 3" xfId="22742"/>
    <cellStyle name="Normal 8 3 5 4" xfId="22743"/>
    <cellStyle name="Normal 8 3 5 5" xfId="22744"/>
    <cellStyle name="Normal 8 3 5 6" xfId="22745"/>
    <cellStyle name="Normal 8 3 5 7" xfId="22746"/>
    <cellStyle name="Normal 8 3 5 8" xfId="22747"/>
    <cellStyle name="Normal 8 3 6" xfId="22748"/>
    <cellStyle name="Normal 8 3 6 2" xfId="22749"/>
    <cellStyle name="Normal 8 3 6 2 2" xfId="22750"/>
    <cellStyle name="Normal 8 3 6 2 3" xfId="22751"/>
    <cellStyle name="Normal 8 3 6 2 4" xfId="22752"/>
    <cellStyle name="Normal 8 3 6 2 5" xfId="22753"/>
    <cellStyle name="Normal 8 3 6 2 6" xfId="22754"/>
    <cellStyle name="Normal 8 3 6 2 7" xfId="22755"/>
    <cellStyle name="Normal 8 3 6 3" xfId="22756"/>
    <cellStyle name="Normal 8 3 6 4" xfId="22757"/>
    <cellStyle name="Normal 8 3 6 5" xfId="22758"/>
    <cellStyle name="Normal 8 3 6 6" xfId="22759"/>
    <cellStyle name="Normal 8 3 6 7" xfId="22760"/>
    <cellStyle name="Normal 8 3 6 8" xfId="22761"/>
    <cellStyle name="Normal 8 3 7" xfId="22762"/>
    <cellStyle name="Normal 8 3 7 2" xfId="22763"/>
    <cellStyle name="Normal 8 3 7 2 2" xfId="22764"/>
    <cellStyle name="Normal 8 3 7 2 3" xfId="22765"/>
    <cellStyle name="Normal 8 3 7 2 4" xfId="22766"/>
    <cellStyle name="Normal 8 3 7 2 5" xfId="22767"/>
    <cellStyle name="Normal 8 3 7 2 6" xfId="22768"/>
    <cellStyle name="Normal 8 3 7 2 7" xfId="22769"/>
    <cellStyle name="Normal 8 3 7 3" xfId="22770"/>
    <cellStyle name="Normal 8 3 7 4" xfId="22771"/>
    <cellStyle name="Normal 8 3 7 5" xfId="22772"/>
    <cellStyle name="Normal 8 3 7 6" xfId="22773"/>
    <cellStyle name="Normal 8 3 7 7" xfId="22774"/>
    <cellStyle name="Normal 8 3 7 8" xfId="22775"/>
    <cellStyle name="Normal 8 3 8" xfId="22776"/>
    <cellStyle name="Normal 8 3 8 2" xfId="22777"/>
    <cellStyle name="Normal 8 3 8 2 2" xfId="22778"/>
    <cellStyle name="Normal 8 3 8 2 3" xfId="22779"/>
    <cellStyle name="Normal 8 3 8 2 4" xfId="22780"/>
    <cellStyle name="Normal 8 3 8 2 5" xfId="22781"/>
    <cellStyle name="Normal 8 3 8 2 6" xfId="22782"/>
    <cellStyle name="Normal 8 3 8 2 7" xfId="22783"/>
    <cellStyle name="Normal 8 3 8 3" xfId="22784"/>
    <cellStyle name="Normal 8 3 8 4" xfId="22785"/>
    <cellStyle name="Normal 8 3 8 5" xfId="22786"/>
    <cellStyle name="Normal 8 3 8 6" xfId="22787"/>
    <cellStyle name="Normal 8 3 8 7" xfId="22788"/>
    <cellStyle name="Normal 8 3 8 8" xfId="22789"/>
    <cellStyle name="Normal 8 3 9" xfId="22790"/>
    <cellStyle name="Normal 8 3 9 2" xfId="22791"/>
    <cellStyle name="Normal 8 3 9 2 2" xfId="22792"/>
    <cellStyle name="Normal 8 3 9 2 3" xfId="22793"/>
    <cellStyle name="Normal 8 3 9 2 4" xfId="22794"/>
    <cellStyle name="Normal 8 3 9 2 5" xfId="22795"/>
    <cellStyle name="Normal 8 3 9 2 6" xfId="22796"/>
    <cellStyle name="Normal 8 3 9 2 7" xfId="22797"/>
    <cellStyle name="Normal 8 3 9 3" xfId="22798"/>
    <cellStyle name="Normal 8 3 9 4" xfId="22799"/>
    <cellStyle name="Normal 8 3 9 5" xfId="22800"/>
    <cellStyle name="Normal 8 3 9 6" xfId="22801"/>
    <cellStyle name="Normal 8 3 9 7" xfId="22802"/>
    <cellStyle name="Normal 8 3 9 8" xfId="22803"/>
    <cellStyle name="Normal 8 4" xfId="11038"/>
    <cellStyle name="Normal 8 4 2" xfId="22804"/>
    <cellStyle name="Normal 8 4 2 2" xfId="39959"/>
    <cellStyle name="Normal 8 5" xfId="11039"/>
    <cellStyle name="Normal 8 5 2" xfId="22805"/>
    <cellStyle name="Normal 8 5 2 2" xfId="39960"/>
    <cellStyle name="Normal 8 6" xfId="22806"/>
    <cellStyle name="Normal 8 7" xfId="22807"/>
    <cellStyle name="Normal 80" xfId="22808"/>
    <cellStyle name="Normal 80 2" xfId="22809"/>
    <cellStyle name="Normal 80 2 2" xfId="39961"/>
    <cellStyle name="Normal 80 3" xfId="39962"/>
    <cellStyle name="Normal 800" xfId="40953"/>
    <cellStyle name="Normal 801" xfId="40986"/>
    <cellStyle name="Normal 802" xfId="40995"/>
    <cellStyle name="Normal 803" xfId="40996"/>
    <cellStyle name="Normal 81" xfId="22810"/>
    <cellStyle name="Normal 81 2" xfId="22811"/>
    <cellStyle name="Normal 81 2 2" xfId="39963"/>
    <cellStyle name="Normal 81 3" xfId="39964"/>
    <cellStyle name="Normal 82" xfId="22812"/>
    <cellStyle name="Normal 82 2" xfId="22813"/>
    <cellStyle name="Normal 82 2 2" xfId="39965"/>
    <cellStyle name="Normal 82 3" xfId="39966"/>
    <cellStyle name="Normal 83" xfId="22814"/>
    <cellStyle name="Normal 83 2" xfId="22815"/>
    <cellStyle name="Normal 83 2 2" xfId="39967"/>
    <cellStyle name="Normal 83 3" xfId="39968"/>
    <cellStyle name="Normal 84" xfId="22816"/>
    <cellStyle name="Normal 85" xfId="22817"/>
    <cellStyle name="Normal 86" xfId="22818"/>
    <cellStyle name="Normal 86 2" xfId="39969"/>
    <cellStyle name="Normal 87" xfId="22819"/>
    <cellStyle name="Normal 87 2" xfId="39970"/>
    <cellStyle name="Normal 88" xfId="22820"/>
    <cellStyle name="Normal 88 2" xfId="39971"/>
    <cellStyle name="Normal 89" xfId="22821"/>
    <cellStyle name="Normal 89 2" xfId="39972"/>
    <cellStyle name="Normal 9" xfId="11040"/>
    <cellStyle name="Normal 9 10" xfId="11041"/>
    <cellStyle name="Normal 9 11" xfId="11042"/>
    <cellStyle name="Normal 9 12" xfId="11043"/>
    <cellStyle name="Normal 9 13" xfId="11044"/>
    <cellStyle name="Normal 9 14" xfId="11045"/>
    <cellStyle name="Normal 9 15" xfId="11046"/>
    <cellStyle name="Normal 9 16" xfId="11047"/>
    <cellStyle name="Normal 9 17" xfId="11048"/>
    <cellStyle name="Normal 9 18" xfId="11049"/>
    <cellStyle name="Normal 9 19" xfId="11050"/>
    <cellStyle name="Normal 9 2" xfId="11051"/>
    <cellStyle name="Normal 9 2 10" xfId="22822"/>
    <cellStyle name="Normal 9 2 10 2" xfId="22823"/>
    <cellStyle name="Normal 9 2 10 2 2" xfId="22824"/>
    <cellStyle name="Normal 9 2 10 2 3" xfId="22825"/>
    <cellStyle name="Normal 9 2 10 2 4" xfId="22826"/>
    <cellStyle name="Normal 9 2 10 2 5" xfId="22827"/>
    <cellStyle name="Normal 9 2 10 2 6" xfId="22828"/>
    <cellStyle name="Normal 9 2 10 2 7" xfId="22829"/>
    <cellStyle name="Normal 9 2 10 3" xfId="22830"/>
    <cellStyle name="Normal 9 2 10 4" xfId="22831"/>
    <cellStyle name="Normal 9 2 10 5" xfId="22832"/>
    <cellStyle name="Normal 9 2 10 6" xfId="22833"/>
    <cellStyle name="Normal 9 2 10 7" xfId="22834"/>
    <cellStyle name="Normal 9 2 10 8" xfId="22835"/>
    <cellStyle name="Normal 9 2 11" xfId="22836"/>
    <cellStyle name="Normal 9 2 11 2" xfId="22837"/>
    <cellStyle name="Normal 9 2 11 2 2" xfId="22838"/>
    <cellStyle name="Normal 9 2 11 2 3" xfId="22839"/>
    <cellStyle name="Normal 9 2 11 2 4" xfId="22840"/>
    <cellStyle name="Normal 9 2 11 2 5" xfId="22841"/>
    <cellStyle name="Normal 9 2 11 2 6" xfId="22842"/>
    <cellStyle name="Normal 9 2 11 2 7" xfId="22843"/>
    <cellStyle name="Normal 9 2 11 3" xfId="22844"/>
    <cellStyle name="Normal 9 2 11 4" xfId="22845"/>
    <cellStyle name="Normal 9 2 11 5" xfId="22846"/>
    <cellStyle name="Normal 9 2 11 6" xfId="22847"/>
    <cellStyle name="Normal 9 2 11 7" xfId="22848"/>
    <cellStyle name="Normal 9 2 11 8" xfId="22849"/>
    <cellStyle name="Normal 9 2 12" xfId="22850"/>
    <cellStyle name="Normal 9 2 12 2" xfId="22851"/>
    <cellStyle name="Normal 9 2 12 2 2" xfId="22852"/>
    <cellStyle name="Normal 9 2 12 2 3" xfId="22853"/>
    <cellStyle name="Normal 9 2 12 2 4" xfId="22854"/>
    <cellStyle name="Normal 9 2 12 2 5" xfId="22855"/>
    <cellStyle name="Normal 9 2 12 2 6" xfId="22856"/>
    <cellStyle name="Normal 9 2 12 2 7" xfId="22857"/>
    <cellStyle name="Normal 9 2 12 3" xfId="22858"/>
    <cellStyle name="Normal 9 2 12 4" xfId="22859"/>
    <cellStyle name="Normal 9 2 12 5" xfId="22860"/>
    <cellStyle name="Normal 9 2 12 6" xfId="22861"/>
    <cellStyle name="Normal 9 2 12 7" xfId="22862"/>
    <cellStyle name="Normal 9 2 12 8" xfId="22863"/>
    <cellStyle name="Normal 9 2 13" xfId="22864"/>
    <cellStyle name="Normal 9 2 13 2" xfId="22865"/>
    <cellStyle name="Normal 9 2 13 2 2" xfId="22866"/>
    <cellStyle name="Normal 9 2 13 2 3" xfId="22867"/>
    <cellStyle name="Normal 9 2 13 2 4" xfId="22868"/>
    <cellStyle name="Normal 9 2 13 2 5" xfId="22869"/>
    <cellStyle name="Normal 9 2 13 2 6" xfId="22870"/>
    <cellStyle name="Normal 9 2 13 2 7" xfId="22871"/>
    <cellStyle name="Normal 9 2 13 3" xfId="22872"/>
    <cellStyle name="Normal 9 2 13 4" xfId="22873"/>
    <cellStyle name="Normal 9 2 13 5" xfId="22874"/>
    <cellStyle name="Normal 9 2 13 6" xfId="22875"/>
    <cellStyle name="Normal 9 2 13 7" xfId="22876"/>
    <cellStyle name="Normal 9 2 13 8" xfId="22877"/>
    <cellStyle name="Normal 9 2 14" xfId="22878"/>
    <cellStyle name="Normal 9 2 14 2" xfId="22879"/>
    <cellStyle name="Normal 9 2 14 2 2" xfId="22880"/>
    <cellStyle name="Normal 9 2 14 2 3" xfId="22881"/>
    <cellStyle name="Normal 9 2 14 2 4" xfId="22882"/>
    <cellStyle name="Normal 9 2 14 2 5" xfId="22883"/>
    <cellStyle name="Normal 9 2 14 2 6" xfId="22884"/>
    <cellStyle name="Normal 9 2 14 2 7" xfId="22885"/>
    <cellStyle name="Normal 9 2 14 3" xfId="22886"/>
    <cellStyle name="Normal 9 2 14 4" xfId="22887"/>
    <cellStyle name="Normal 9 2 14 5" xfId="22888"/>
    <cellStyle name="Normal 9 2 14 6" xfId="22889"/>
    <cellStyle name="Normal 9 2 14 7" xfId="22890"/>
    <cellStyle name="Normal 9 2 14 8" xfId="22891"/>
    <cellStyle name="Normal 9 2 15" xfId="22892"/>
    <cellStyle name="Normal 9 2 15 2" xfId="22893"/>
    <cellStyle name="Normal 9 2 15 2 2" xfId="22894"/>
    <cellStyle name="Normal 9 2 15 2 3" xfId="22895"/>
    <cellStyle name="Normal 9 2 15 2 4" xfId="22896"/>
    <cellStyle name="Normal 9 2 15 2 5" xfId="22897"/>
    <cellStyle name="Normal 9 2 15 2 6" xfId="22898"/>
    <cellStyle name="Normal 9 2 15 2 7" xfId="22899"/>
    <cellStyle name="Normal 9 2 15 3" xfId="22900"/>
    <cellStyle name="Normal 9 2 15 4" xfId="22901"/>
    <cellStyle name="Normal 9 2 15 5" xfId="22902"/>
    <cellStyle name="Normal 9 2 15 6" xfId="22903"/>
    <cellStyle name="Normal 9 2 15 7" xfId="22904"/>
    <cellStyle name="Normal 9 2 15 8" xfId="22905"/>
    <cellStyle name="Normal 9 2 16" xfId="22906"/>
    <cellStyle name="Normal 9 2 16 2" xfId="22907"/>
    <cellStyle name="Normal 9 2 16 3" xfId="22908"/>
    <cellStyle name="Normal 9 2 16 4" xfId="22909"/>
    <cellStyle name="Normal 9 2 16 5" xfId="22910"/>
    <cellStyle name="Normal 9 2 16 6" xfId="22911"/>
    <cellStyle name="Normal 9 2 16 7" xfId="22912"/>
    <cellStyle name="Normal 9 2 17" xfId="22913"/>
    <cellStyle name="Normal 9 2 17 2" xfId="22914"/>
    <cellStyle name="Normal 9 2 17 3" xfId="22915"/>
    <cellStyle name="Normal 9 2 17 4" xfId="22916"/>
    <cellStyle name="Normal 9 2 17 5" xfId="22917"/>
    <cellStyle name="Normal 9 2 17 6" xfId="22918"/>
    <cellStyle name="Normal 9 2 17 7" xfId="22919"/>
    <cellStyle name="Normal 9 2 18" xfId="22920"/>
    <cellStyle name="Normal 9 2 18 2" xfId="22921"/>
    <cellStyle name="Normal 9 2 18 3" xfId="22922"/>
    <cellStyle name="Normal 9 2 18 4" xfId="22923"/>
    <cellStyle name="Normal 9 2 18 5" xfId="22924"/>
    <cellStyle name="Normal 9 2 18 6" xfId="22925"/>
    <cellStyle name="Normal 9 2 18 7" xfId="22926"/>
    <cellStyle name="Normal 9 2 19" xfId="22927"/>
    <cellStyle name="Normal 9 2 19 2" xfId="22928"/>
    <cellStyle name="Normal 9 2 19 3" xfId="22929"/>
    <cellStyle name="Normal 9 2 19 4" xfId="22930"/>
    <cellStyle name="Normal 9 2 19 5" xfId="22931"/>
    <cellStyle name="Normal 9 2 19 6" xfId="22932"/>
    <cellStyle name="Normal 9 2 19 7" xfId="22933"/>
    <cellStyle name="Normal 9 2 2" xfId="11052"/>
    <cellStyle name="Normal 9 2 2 2" xfId="22934"/>
    <cellStyle name="Normal 9 2 2 2 2" xfId="22935"/>
    <cellStyle name="Normal 9 2 2 2 3" xfId="22936"/>
    <cellStyle name="Normal 9 2 2 2 4" xfId="22937"/>
    <cellStyle name="Normal 9 2 2 2 5" xfId="22938"/>
    <cellStyle name="Normal 9 2 2 2 6" xfId="22939"/>
    <cellStyle name="Normal 9 2 2 2 7" xfId="22940"/>
    <cellStyle name="Normal 9 2 2 2 8" xfId="39973"/>
    <cellStyle name="Normal 9 2 2 3" xfId="22941"/>
    <cellStyle name="Normal 9 2 2 4" xfId="22942"/>
    <cellStyle name="Normal 9 2 2 5" xfId="22943"/>
    <cellStyle name="Normal 9 2 2 6" xfId="22944"/>
    <cellStyle name="Normal 9 2 2 7" xfId="22945"/>
    <cellStyle name="Normal 9 2 2 8" xfId="22946"/>
    <cellStyle name="Normal 9 2 2 9" xfId="22947"/>
    <cellStyle name="Normal 9 2 20" xfId="22948"/>
    <cellStyle name="Normal 9 2 20 2" xfId="22949"/>
    <cellStyle name="Normal 9 2 20 3" xfId="22950"/>
    <cellStyle name="Normal 9 2 20 4" xfId="22951"/>
    <cellStyle name="Normal 9 2 20 5" xfId="22952"/>
    <cellStyle name="Normal 9 2 20 6" xfId="22953"/>
    <cellStyle name="Normal 9 2 20 7" xfId="22954"/>
    <cellStyle name="Normal 9 2 21" xfId="22955"/>
    <cellStyle name="Normal 9 2 21 2" xfId="22956"/>
    <cellStyle name="Normal 9 2 21 3" xfId="22957"/>
    <cellStyle name="Normal 9 2 21 4" xfId="22958"/>
    <cellStyle name="Normal 9 2 21 5" xfId="22959"/>
    <cellStyle name="Normal 9 2 21 6" xfId="22960"/>
    <cellStyle name="Normal 9 2 21 7" xfId="22961"/>
    <cellStyle name="Normal 9 2 22" xfId="22962"/>
    <cellStyle name="Normal 9 2 22 2" xfId="22963"/>
    <cellStyle name="Normal 9 2 22 3" xfId="22964"/>
    <cellStyle name="Normal 9 2 22 4" xfId="22965"/>
    <cellStyle name="Normal 9 2 22 5" xfId="22966"/>
    <cellStyle name="Normal 9 2 22 6" xfId="22967"/>
    <cellStyle name="Normal 9 2 22 7" xfId="22968"/>
    <cellStyle name="Normal 9 2 23" xfId="22969"/>
    <cellStyle name="Normal 9 2 23 2" xfId="22970"/>
    <cellStyle name="Normal 9 2 23 3" xfId="22971"/>
    <cellStyle name="Normal 9 2 23 4" xfId="22972"/>
    <cellStyle name="Normal 9 2 23 5" xfId="22973"/>
    <cellStyle name="Normal 9 2 23 6" xfId="22974"/>
    <cellStyle name="Normal 9 2 23 7" xfId="22975"/>
    <cellStyle name="Normal 9 2 24" xfId="22976"/>
    <cellStyle name="Normal 9 2 24 2" xfId="22977"/>
    <cellStyle name="Normal 9 2 24 3" xfId="22978"/>
    <cellStyle name="Normal 9 2 24 4" xfId="22979"/>
    <cellStyle name="Normal 9 2 24 5" xfId="22980"/>
    <cellStyle name="Normal 9 2 24 6" xfId="22981"/>
    <cellStyle name="Normal 9 2 24 7" xfId="22982"/>
    <cellStyle name="Normal 9 2 25" xfId="22983"/>
    <cellStyle name="Normal 9 2 25 2" xfId="22984"/>
    <cellStyle name="Normal 9 2 25 3" xfId="22985"/>
    <cellStyle name="Normal 9 2 25 4" xfId="22986"/>
    <cellStyle name="Normal 9 2 25 5" xfId="22987"/>
    <cellStyle name="Normal 9 2 25 6" xfId="22988"/>
    <cellStyle name="Normal 9 2 25 7" xfId="22989"/>
    <cellStyle name="Normal 9 2 26" xfId="22990"/>
    <cellStyle name="Normal 9 2 26 2" xfId="22991"/>
    <cellStyle name="Normal 9 2 26 3" xfId="22992"/>
    <cellStyle name="Normal 9 2 26 4" xfId="22993"/>
    <cellStyle name="Normal 9 2 26 5" xfId="22994"/>
    <cellStyle name="Normal 9 2 26 6" xfId="22995"/>
    <cellStyle name="Normal 9 2 26 7" xfId="22996"/>
    <cellStyle name="Normal 9 2 27" xfId="22997"/>
    <cellStyle name="Normal 9 2 27 2" xfId="22998"/>
    <cellStyle name="Normal 9 2 27 3" xfId="22999"/>
    <cellStyle name="Normal 9 2 27 4" xfId="23000"/>
    <cellStyle name="Normal 9 2 27 5" xfId="23001"/>
    <cellStyle name="Normal 9 2 27 6" xfId="23002"/>
    <cellStyle name="Normal 9 2 27 7" xfId="23003"/>
    <cellStyle name="Normal 9 2 28" xfId="23004"/>
    <cellStyle name="Normal 9 2 28 2" xfId="23005"/>
    <cellStyle name="Normal 9 2 28 3" xfId="23006"/>
    <cellStyle name="Normal 9 2 28 4" xfId="23007"/>
    <cellStyle name="Normal 9 2 28 5" xfId="23008"/>
    <cellStyle name="Normal 9 2 28 6" xfId="23009"/>
    <cellStyle name="Normal 9 2 28 7" xfId="23010"/>
    <cellStyle name="Normal 9 2 29" xfId="23011"/>
    <cellStyle name="Normal 9 2 29 2" xfId="23012"/>
    <cellStyle name="Normal 9 2 29 3" xfId="23013"/>
    <cellStyle name="Normal 9 2 29 4" xfId="23014"/>
    <cellStyle name="Normal 9 2 29 5" xfId="23015"/>
    <cellStyle name="Normal 9 2 29 6" xfId="23016"/>
    <cellStyle name="Normal 9 2 29 7" xfId="23017"/>
    <cellStyle name="Normal 9 2 3" xfId="11053"/>
    <cellStyle name="Normal 9 2 3 2" xfId="23018"/>
    <cellStyle name="Normal 9 2 3 2 2" xfId="23019"/>
    <cellStyle name="Normal 9 2 3 2 3" xfId="23020"/>
    <cellStyle name="Normal 9 2 3 2 4" xfId="23021"/>
    <cellStyle name="Normal 9 2 3 2 5" xfId="23022"/>
    <cellStyle name="Normal 9 2 3 2 6" xfId="23023"/>
    <cellStyle name="Normal 9 2 3 2 7" xfId="23024"/>
    <cellStyle name="Normal 9 2 3 2 8" xfId="39974"/>
    <cellStyle name="Normal 9 2 3 3" xfId="23025"/>
    <cellStyle name="Normal 9 2 3 4" xfId="23026"/>
    <cellStyle name="Normal 9 2 3 5" xfId="23027"/>
    <cellStyle name="Normal 9 2 3 6" xfId="23028"/>
    <cellStyle name="Normal 9 2 3 7" xfId="23029"/>
    <cellStyle name="Normal 9 2 3 8" xfId="23030"/>
    <cellStyle name="Normal 9 2 3 9" xfId="23031"/>
    <cellStyle name="Normal 9 2 30" xfId="23032"/>
    <cellStyle name="Normal 9 2 30 2" xfId="23033"/>
    <cellStyle name="Normal 9 2 30 3" xfId="23034"/>
    <cellStyle name="Normal 9 2 30 4" xfId="23035"/>
    <cellStyle name="Normal 9 2 30 5" xfId="23036"/>
    <cellStyle name="Normal 9 2 30 6" xfId="23037"/>
    <cellStyle name="Normal 9 2 30 7" xfId="23038"/>
    <cellStyle name="Normal 9 2 31" xfId="23039"/>
    <cellStyle name="Normal 9 2 31 2" xfId="23040"/>
    <cellStyle name="Normal 9 2 31 3" xfId="23041"/>
    <cellStyle name="Normal 9 2 31 4" xfId="23042"/>
    <cellStyle name="Normal 9 2 31 5" xfId="23043"/>
    <cellStyle name="Normal 9 2 31 6" xfId="23044"/>
    <cellStyle name="Normal 9 2 31 7" xfId="23045"/>
    <cellStyle name="Normal 9 2 32" xfId="23046"/>
    <cellStyle name="Normal 9 2 32 2" xfId="23047"/>
    <cellStyle name="Normal 9 2 32 3" xfId="23048"/>
    <cellStyle name="Normal 9 2 32 4" xfId="23049"/>
    <cellStyle name="Normal 9 2 32 5" xfId="23050"/>
    <cellStyle name="Normal 9 2 32 6" xfId="23051"/>
    <cellStyle name="Normal 9 2 32 7" xfId="23052"/>
    <cellStyle name="Normal 9 2 33" xfId="23053"/>
    <cellStyle name="Normal 9 2 33 2" xfId="23054"/>
    <cellStyle name="Normal 9 2 33 3" xfId="23055"/>
    <cellStyle name="Normal 9 2 33 4" xfId="23056"/>
    <cellStyle name="Normal 9 2 33 5" xfId="23057"/>
    <cellStyle name="Normal 9 2 33 6" xfId="23058"/>
    <cellStyle name="Normal 9 2 33 7" xfId="23059"/>
    <cellStyle name="Normal 9 2 34" xfId="23060"/>
    <cellStyle name="Normal 9 2 34 2" xfId="23061"/>
    <cellStyle name="Normal 9 2 34 3" xfId="23062"/>
    <cellStyle name="Normal 9 2 34 4" xfId="23063"/>
    <cellStyle name="Normal 9 2 34 5" xfId="23064"/>
    <cellStyle name="Normal 9 2 34 6" xfId="23065"/>
    <cellStyle name="Normal 9 2 34 7" xfId="23066"/>
    <cellStyle name="Normal 9 2 35" xfId="23067"/>
    <cellStyle name="Normal 9 2 35 2" xfId="23068"/>
    <cellStyle name="Normal 9 2 35 3" xfId="23069"/>
    <cellStyle name="Normal 9 2 35 4" xfId="23070"/>
    <cellStyle name="Normal 9 2 35 5" xfId="23071"/>
    <cellStyle name="Normal 9 2 35 6" xfId="23072"/>
    <cellStyle name="Normal 9 2 35 7" xfId="23073"/>
    <cellStyle name="Normal 9 2 36" xfId="23074"/>
    <cellStyle name="Normal 9 2 36 2" xfId="23075"/>
    <cellStyle name="Normal 9 2 37" xfId="23076"/>
    <cellStyle name="Normal 9 2 38" xfId="23077"/>
    <cellStyle name="Normal 9 2 39" xfId="23078"/>
    <cellStyle name="Normal 9 2 4" xfId="11054"/>
    <cellStyle name="Normal 9 2 4 2" xfId="23079"/>
    <cellStyle name="Normal 9 2 4 2 2" xfId="23080"/>
    <cellStyle name="Normal 9 2 4 2 3" xfId="23081"/>
    <cellStyle name="Normal 9 2 4 2 4" xfId="23082"/>
    <cellStyle name="Normal 9 2 4 2 5" xfId="23083"/>
    <cellStyle name="Normal 9 2 4 2 6" xfId="23084"/>
    <cellStyle name="Normal 9 2 4 2 7" xfId="23085"/>
    <cellStyle name="Normal 9 2 4 2 8" xfId="39975"/>
    <cellStyle name="Normal 9 2 4 3" xfId="23086"/>
    <cellStyle name="Normal 9 2 4 4" xfId="23087"/>
    <cellStyle name="Normal 9 2 4 5" xfId="23088"/>
    <cellStyle name="Normal 9 2 4 6" xfId="23089"/>
    <cellStyle name="Normal 9 2 4 7" xfId="23090"/>
    <cellStyle name="Normal 9 2 4 8" xfId="23091"/>
    <cellStyle name="Normal 9 2 4 9" xfId="23092"/>
    <cellStyle name="Normal 9 2 40" xfId="23093"/>
    <cellStyle name="Normal 9 2 41" xfId="23094"/>
    <cellStyle name="Normal 9 2 42" xfId="23095"/>
    <cellStyle name="Normal 9 2 43" xfId="23096"/>
    <cellStyle name="Normal 9 2 5" xfId="23097"/>
    <cellStyle name="Normal 9 2 5 2" xfId="23098"/>
    <cellStyle name="Normal 9 2 5 2 2" xfId="23099"/>
    <cellStyle name="Normal 9 2 5 2 3" xfId="23100"/>
    <cellStyle name="Normal 9 2 5 2 4" xfId="23101"/>
    <cellStyle name="Normal 9 2 5 2 5" xfId="23102"/>
    <cellStyle name="Normal 9 2 5 2 6" xfId="23103"/>
    <cellStyle name="Normal 9 2 5 2 7" xfId="23104"/>
    <cellStyle name="Normal 9 2 5 3" xfId="23105"/>
    <cellStyle name="Normal 9 2 5 4" xfId="23106"/>
    <cellStyle name="Normal 9 2 5 5" xfId="23107"/>
    <cellStyle name="Normal 9 2 5 6" xfId="23108"/>
    <cellStyle name="Normal 9 2 5 7" xfId="23109"/>
    <cellStyle name="Normal 9 2 5 8" xfId="23110"/>
    <cellStyle name="Normal 9 2 5 9" xfId="39976"/>
    <cellStyle name="Normal 9 2 6" xfId="23111"/>
    <cellStyle name="Normal 9 2 6 2" xfId="23112"/>
    <cellStyle name="Normal 9 2 6 2 2" xfId="23113"/>
    <cellStyle name="Normal 9 2 6 2 3" xfId="23114"/>
    <cellStyle name="Normal 9 2 6 2 4" xfId="23115"/>
    <cellStyle name="Normal 9 2 6 2 5" xfId="23116"/>
    <cellStyle name="Normal 9 2 6 2 6" xfId="23117"/>
    <cellStyle name="Normal 9 2 6 2 7" xfId="23118"/>
    <cellStyle name="Normal 9 2 6 3" xfId="23119"/>
    <cellStyle name="Normal 9 2 6 4" xfId="23120"/>
    <cellStyle name="Normal 9 2 6 5" xfId="23121"/>
    <cellStyle name="Normal 9 2 6 6" xfId="23122"/>
    <cellStyle name="Normal 9 2 6 7" xfId="23123"/>
    <cellStyle name="Normal 9 2 6 8" xfId="23124"/>
    <cellStyle name="Normal 9 2 7" xfId="23125"/>
    <cellStyle name="Normal 9 2 7 2" xfId="23126"/>
    <cellStyle name="Normal 9 2 7 2 2" xfId="23127"/>
    <cellStyle name="Normal 9 2 7 2 3" xfId="23128"/>
    <cellStyle name="Normal 9 2 7 2 4" xfId="23129"/>
    <cellStyle name="Normal 9 2 7 2 5" xfId="23130"/>
    <cellStyle name="Normal 9 2 7 2 6" xfId="23131"/>
    <cellStyle name="Normal 9 2 7 2 7" xfId="23132"/>
    <cellStyle name="Normal 9 2 7 3" xfId="23133"/>
    <cellStyle name="Normal 9 2 7 4" xfId="23134"/>
    <cellStyle name="Normal 9 2 7 5" xfId="23135"/>
    <cellStyle name="Normal 9 2 7 6" xfId="23136"/>
    <cellStyle name="Normal 9 2 7 7" xfId="23137"/>
    <cellStyle name="Normal 9 2 7 8" xfId="23138"/>
    <cellStyle name="Normal 9 2 8" xfId="23139"/>
    <cellStyle name="Normal 9 2 8 2" xfId="23140"/>
    <cellStyle name="Normal 9 2 8 2 2" xfId="23141"/>
    <cellStyle name="Normal 9 2 8 2 3" xfId="23142"/>
    <cellStyle name="Normal 9 2 8 2 4" xfId="23143"/>
    <cellStyle name="Normal 9 2 8 2 5" xfId="23144"/>
    <cellStyle name="Normal 9 2 8 2 6" xfId="23145"/>
    <cellStyle name="Normal 9 2 8 2 7" xfId="23146"/>
    <cellStyle name="Normal 9 2 8 3" xfId="23147"/>
    <cellStyle name="Normal 9 2 8 4" xfId="23148"/>
    <cellStyle name="Normal 9 2 8 5" xfId="23149"/>
    <cellStyle name="Normal 9 2 8 6" xfId="23150"/>
    <cellStyle name="Normal 9 2 8 7" xfId="23151"/>
    <cellStyle name="Normal 9 2 8 8" xfId="23152"/>
    <cellStyle name="Normal 9 2 9" xfId="23153"/>
    <cellStyle name="Normal 9 2 9 2" xfId="23154"/>
    <cellStyle name="Normal 9 2 9 2 2" xfId="23155"/>
    <cellStyle name="Normal 9 2 9 2 3" xfId="23156"/>
    <cellStyle name="Normal 9 2 9 2 4" xfId="23157"/>
    <cellStyle name="Normal 9 2 9 2 5" xfId="23158"/>
    <cellStyle name="Normal 9 2 9 2 6" xfId="23159"/>
    <cellStyle name="Normal 9 2 9 2 7" xfId="23160"/>
    <cellStyle name="Normal 9 2 9 3" xfId="23161"/>
    <cellStyle name="Normal 9 2 9 4" xfId="23162"/>
    <cellStyle name="Normal 9 2 9 5" xfId="23163"/>
    <cellStyle name="Normal 9 2 9 6" xfId="23164"/>
    <cellStyle name="Normal 9 2 9 7" xfId="23165"/>
    <cellStyle name="Normal 9 2 9 8" xfId="23166"/>
    <cellStyle name="Normal 9 2_01-04-2012" xfId="11055"/>
    <cellStyle name="Normal 9 20" xfId="11056"/>
    <cellStyle name="Normal 9 21" xfId="11057"/>
    <cellStyle name="Normal 9 22" xfId="11058"/>
    <cellStyle name="Normal 9 23" xfId="11059"/>
    <cellStyle name="Normal 9 24" xfId="11060"/>
    <cellStyle name="Normal 9 25" xfId="11061"/>
    <cellStyle name="Normal 9 26" xfId="11062"/>
    <cellStyle name="Normal 9 27" xfId="11063"/>
    <cellStyle name="Normal 9 28" xfId="11064"/>
    <cellStyle name="Normal 9 29" xfId="11065"/>
    <cellStyle name="Normal 9 3" xfId="11066"/>
    <cellStyle name="Normal 9 3 2" xfId="11067"/>
    <cellStyle name="Normal 9 3 2 2" xfId="39977"/>
    <cellStyle name="Normal 9 3 3" xfId="11068"/>
    <cellStyle name="Normal 9 3 3 2" xfId="39978"/>
    <cellStyle name="Normal 9 3 4" xfId="11069"/>
    <cellStyle name="Normal 9 3 4 2" xfId="39979"/>
    <cellStyle name="Normal 9 3 5" xfId="23167"/>
    <cellStyle name="Normal 9 3 5 2" xfId="39980"/>
    <cellStyle name="Normal 9 3_01-04-2012" xfId="11070"/>
    <cellStyle name="Normal 9 30" xfId="11071"/>
    <cellStyle name="Normal 9 31" xfId="11072"/>
    <cellStyle name="Normal 9 32" xfId="11073"/>
    <cellStyle name="Normal 9 33" xfId="11074"/>
    <cellStyle name="Normal 9 34" xfId="11075"/>
    <cellStyle name="Normal 9 35" xfId="11076"/>
    <cellStyle name="Normal 9 36" xfId="11077"/>
    <cellStyle name="Normal 9 37" xfId="11078"/>
    <cellStyle name="Normal 9 38" xfId="11079"/>
    <cellStyle name="Normal 9 39" xfId="11080"/>
    <cellStyle name="Normal 9 4" xfId="11081"/>
    <cellStyle name="Normal 9 4 2" xfId="11082"/>
    <cellStyle name="Normal 9 4 2 2" xfId="39981"/>
    <cellStyle name="Normal 9 4 3" xfId="11083"/>
    <cellStyle name="Normal 9 4 3 2" xfId="39982"/>
    <cellStyle name="Normal 9 4 4" xfId="11084"/>
    <cellStyle name="Normal 9 4 4 2" xfId="39983"/>
    <cellStyle name="Normal 9 4 5" xfId="23168"/>
    <cellStyle name="Normal 9 4 5 2" xfId="39984"/>
    <cellStyle name="Normal 9 4_01-04-2012" xfId="11085"/>
    <cellStyle name="Normal 9 40" xfId="11086"/>
    <cellStyle name="Normal 9 41" xfId="11087"/>
    <cellStyle name="Normal 9 42" xfId="11088"/>
    <cellStyle name="Normal 9 43" xfId="11089"/>
    <cellStyle name="Normal 9 44" xfId="11090"/>
    <cellStyle name="Normal 9 45" xfId="11091"/>
    <cellStyle name="Normal 9 46" xfId="11092"/>
    <cellStyle name="Normal 9 47" xfId="11093"/>
    <cellStyle name="Normal 9 48" xfId="11094"/>
    <cellStyle name="Normal 9 49" xfId="11095"/>
    <cellStyle name="Normal 9 5" xfId="11096"/>
    <cellStyle name="Normal 9 5 2" xfId="11097"/>
    <cellStyle name="Normal 9 5 2 2" xfId="39985"/>
    <cellStyle name="Normal 9 5 3" xfId="11098"/>
    <cellStyle name="Normal 9 5 3 2" xfId="39986"/>
    <cellStyle name="Normal 9 5 4" xfId="11099"/>
    <cellStyle name="Normal 9 5 4 2" xfId="39987"/>
    <cellStyle name="Normal 9 5_01-04-2012" xfId="11100"/>
    <cellStyle name="Normal 9 50" xfId="11101"/>
    <cellStyle name="Normal 9 51" xfId="11102"/>
    <cellStyle name="Normal 9 52" xfId="11103"/>
    <cellStyle name="Normal 9 53" xfId="11104"/>
    <cellStyle name="Normal 9 54" xfId="11105"/>
    <cellStyle name="Normal 9 55" xfId="11106"/>
    <cellStyle name="Normal 9 56" xfId="23169"/>
    <cellStyle name="Normal 9 56 2" xfId="39988"/>
    <cellStyle name="Normal 9 6" xfId="11107"/>
    <cellStyle name="Normal 9 7" xfId="11108"/>
    <cellStyle name="Normal 9 8" xfId="11109"/>
    <cellStyle name="Normal 9 9" xfId="11110"/>
    <cellStyle name="Normal 9_01-04-2012" xfId="11111"/>
    <cellStyle name="Normal 90" xfId="23170"/>
    <cellStyle name="Normal 90 2" xfId="39989"/>
    <cellStyle name="Normal 91" xfId="23171"/>
    <cellStyle name="Normal 91 2" xfId="23172"/>
    <cellStyle name="Normal 91 2 2" xfId="39990"/>
    <cellStyle name="Normal 91 3" xfId="39991"/>
    <cellStyle name="Normal 92" xfId="23173"/>
    <cellStyle name="Normal 92 2" xfId="23174"/>
    <cellStyle name="Normal 92 2 2" xfId="39992"/>
    <cellStyle name="Normal 92 3" xfId="39993"/>
    <cellStyle name="Normal 93" xfId="23175"/>
    <cellStyle name="Normal 93 2" xfId="23176"/>
    <cellStyle name="Normal 93 2 2" xfId="39994"/>
    <cellStyle name="Normal 93 3" xfId="39995"/>
    <cellStyle name="Normal 94" xfId="23177"/>
    <cellStyle name="Normal 94 2" xfId="23178"/>
    <cellStyle name="Normal 94 2 2" xfId="39996"/>
    <cellStyle name="Normal 94 3" xfId="39997"/>
    <cellStyle name="Normal 95" xfId="23179"/>
    <cellStyle name="Normal 95 2" xfId="39998"/>
    <cellStyle name="Normal 96" xfId="23180"/>
    <cellStyle name="Normal 96 2" xfId="39999"/>
    <cellStyle name="Normal 97" xfId="23181"/>
    <cellStyle name="Normal 97 2" xfId="40000"/>
    <cellStyle name="Normal 98" xfId="23182"/>
    <cellStyle name="Normal 98 2" xfId="40001"/>
    <cellStyle name="Normal 99" xfId="23183"/>
    <cellStyle name="Normal_Sheet1 2" xfId="23"/>
    <cellStyle name="Notas 10" xfId="11112"/>
    <cellStyle name="Notas 10 2" xfId="12007"/>
    <cellStyle name="Notas 10 2 2" xfId="30941"/>
    <cellStyle name="Notas 10 2 3" xfId="33230"/>
    <cellStyle name="Notas 10 2 4" xfId="40003"/>
    <cellStyle name="Notas 10 3" xfId="12008"/>
    <cellStyle name="Notas 10 3 2" xfId="30942"/>
    <cellStyle name="Notas 10 3 3" xfId="33231"/>
    <cellStyle name="Notas 10 3 4" xfId="40004"/>
    <cellStyle name="Notas 10 4" xfId="30940"/>
    <cellStyle name="Notas 10 5" xfId="33229"/>
    <cellStyle name="Notas 10 6" xfId="40002"/>
    <cellStyle name="Notas 11" xfId="11113"/>
    <cellStyle name="Notas 11 2" xfId="12009"/>
    <cellStyle name="Notas 11 2 2" xfId="30944"/>
    <cellStyle name="Notas 11 2 3" xfId="33233"/>
    <cellStyle name="Notas 11 2 4" xfId="40006"/>
    <cellStyle name="Notas 11 3" xfId="12010"/>
    <cellStyle name="Notas 11 3 2" xfId="30945"/>
    <cellStyle name="Notas 11 3 3" xfId="33234"/>
    <cellStyle name="Notas 11 3 4" xfId="40007"/>
    <cellStyle name="Notas 11 4" xfId="30943"/>
    <cellStyle name="Notas 11 5" xfId="33232"/>
    <cellStyle name="Notas 11 6" xfId="40005"/>
    <cellStyle name="Notas 12" xfId="11114"/>
    <cellStyle name="Notas 12 2" xfId="12011"/>
    <cellStyle name="Notas 12 2 2" xfId="30947"/>
    <cellStyle name="Notas 12 2 3" xfId="33236"/>
    <cellStyle name="Notas 12 2 4" xfId="40009"/>
    <cellStyle name="Notas 12 3" xfId="12012"/>
    <cellStyle name="Notas 12 3 2" xfId="30948"/>
    <cellStyle name="Notas 12 3 3" xfId="33237"/>
    <cellStyle name="Notas 12 3 4" xfId="40010"/>
    <cellStyle name="Notas 12 4" xfId="30946"/>
    <cellStyle name="Notas 12 5" xfId="33235"/>
    <cellStyle name="Notas 12 6" xfId="40008"/>
    <cellStyle name="Notas 13" xfId="11115"/>
    <cellStyle name="Notas 13 2" xfId="12013"/>
    <cellStyle name="Notas 13 2 2" xfId="30950"/>
    <cellStyle name="Notas 13 2 3" xfId="33239"/>
    <cellStyle name="Notas 13 2 4" xfId="40012"/>
    <cellStyle name="Notas 13 3" xfId="12014"/>
    <cellStyle name="Notas 13 3 2" xfId="30951"/>
    <cellStyle name="Notas 13 3 3" xfId="33240"/>
    <cellStyle name="Notas 13 3 4" xfId="40013"/>
    <cellStyle name="Notas 13 4" xfId="30949"/>
    <cellStyle name="Notas 13 5" xfId="33238"/>
    <cellStyle name="Notas 13 6" xfId="40011"/>
    <cellStyle name="Notas 14" xfId="11116"/>
    <cellStyle name="Notas 14 2" xfId="12015"/>
    <cellStyle name="Notas 14 2 2" xfId="30953"/>
    <cellStyle name="Notas 14 2 3" xfId="33242"/>
    <cellStyle name="Notas 14 2 4" xfId="40015"/>
    <cellStyle name="Notas 14 3" xfId="12016"/>
    <cellStyle name="Notas 14 3 2" xfId="30954"/>
    <cellStyle name="Notas 14 3 3" xfId="33243"/>
    <cellStyle name="Notas 14 3 4" xfId="40016"/>
    <cellStyle name="Notas 14 4" xfId="30952"/>
    <cellStyle name="Notas 14 5" xfId="33241"/>
    <cellStyle name="Notas 14 6" xfId="40014"/>
    <cellStyle name="Notas 15" xfId="11117"/>
    <cellStyle name="Notas 15 2" xfId="12017"/>
    <cellStyle name="Notas 15 2 2" xfId="30956"/>
    <cellStyle name="Notas 15 2 3" xfId="33245"/>
    <cellStyle name="Notas 15 2 4" xfId="40018"/>
    <cellStyle name="Notas 15 3" xfId="12018"/>
    <cellStyle name="Notas 15 3 2" xfId="30957"/>
    <cellStyle name="Notas 15 3 3" xfId="33246"/>
    <cellStyle name="Notas 15 3 4" xfId="40019"/>
    <cellStyle name="Notas 15 4" xfId="30955"/>
    <cellStyle name="Notas 15 5" xfId="33244"/>
    <cellStyle name="Notas 15 6" xfId="40017"/>
    <cellStyle name="Notas 16" xfId="11118"/>
    <cellStyle name="Notas 16 2" xfId="12019"/>
    <cellStyle name="Notas 16 2 2" xfId="30959"/>
    <cellStyle name="Notas 16 2 3" xfId="33248"/>
    <cellStyle name="Notas 16 2 4" xfId="40021"/>
    <cellStyle name="Notas 16 3" xfId="12020"/>
    <cellStyle name="Notas 16 3 2" xfId="30960"/>
    <cellStyle name="Notas 16 3 3" xfId="33249"/>
    <cellStyle name="Notas 16 3 4" xfId="40022"/>
    <cellStyle name="Notas 16 4" xfId="30958"/>
    <cellStyle name="Notas 16 5" xfId="33247"/>
    <cellStyle name="Notas 16 6" xfId="40020"/>
    <cellStyle name="Notas 17" xfId="11119"/>
    <cellStyle name="Notas 17 2" xfId="12021"/>
    <cellStyle name="Notas 17 2 2" xfId="30962"/>
    <cellStyle name="Notas 17 2 3" xfId="33251"/>
    <cellStyle name="Notas 17 2 4" xfId="40024"/>
    <cellStyle name="Notas 17 3" xfId="12022"/>
    <cellStyle name="Notas 17 3 2" xfId="30963"/>
    <cellStyle name="Notas 17 3 3" xfId="33252"/>
    <cellStyle name="Notas 17 3 4" xfId="40025"/>
    <cellStyle name="Notas 17 4" xfId="30961"/>
    <cellStyle name="Notas 17 5" xfId="33250"/>
    <cellStyle name="Notas 17 6" xfId="40023"/>
    <cellStyle name="Notas 18" xfId="11120"/>
    <cellStyle name="Notas 18 2" xfId="12023"/>
    <cellStyle name="Notas 18 2 2" xfId="30965"/>
    <cellStyle name="Notas 18 2 3" xfId="33254"/>
    <cellStyle name="Notas 18 2 4" xfId="40027"/>
    <cellStyle name="Notas 18 3" xfId="12024"/>
    <cellStyle name="Notas 18 3 2" xfId="30966"/>
    <cellStyle name="Notas 18 3 3" xfId="33255"/>
    <cellStyle name="Notas 18 3 4" xfId="40028"/>
    <cellStyle name="Notas 18 4" xfId="30964"/>
    <cellStyle name="Notas 18 5" xfId="33253"/>
    <cellStyle name="Notas 18 6" xfId="40026"/>
    <cellStyle name="Notas 19" xfId="11121"/>
    <cellStyle name="Notas 19 2" xfId="12025"/>
    <cellStyle name="Notas 19 2 2" xfId="30968"/>
    <cellStyle name="Notas 19 2 3" xfId="33257"/>
    <cellStyle name="Notas 19 2 4" xfId="40030"/>
    <cellStyle name="Notas 19 3" xfId="12026"/>
    <cellStyle name="Notas 19 3 2" xfId="30969"/>
    <cellStyle name="Notas 19 3 3" xfId="33258"/>
    <cellStyle name="Notas 19 3 4" xfId="40031"/>
    <cellStyle name="Notas 19 4" xfId="30967"/>
    <cellStyle name="Notas 19 5" xfId="33256"/>
    <cellStyle name="Notas 19 6" xfId="40029"/>
    <cellStyle name="Notas 2" xfId="11122"/>
    <cellStyle name="Notas 2 10" xfId="23184"/>
    <cellStyle name="Notas 2 10 2" xfId="23185"/>
    <cellStyle name="Notas 2 10 2 2" xfId="30972"/>
    <cellStyle name="Notas 2 10 3" xfId="23186"/>
    <cellStyle name="Notas 2 10 3 2" xfId="30973"/>
    <cellStyle name="Notas 2 10 4" xfId="23187"/>
    <cellStyle name="Notas 2 10 4 2" xfId="30974"/>
    <cellStyle name="Notas 2 10 5" xfId="23188"/>
    <cellStyle name="Notas 2 10 5 2" xfId="30975"/>
    <cellStyle name="Notas 2 10 6" xfId="23189"/>
    <cellStyle name="Notas 2 10 6 2" xfId="30976"/>
    <cellStyle name="Notas 2 10 7" xfId="30971"/>
    <cellStyle name="Notas 2 11" xfId="23190"/>
    <cellStyle name="Notas 2 11 2" xfId="23191"/>
    <cellStyle name="Notas 2 11 2 2" xfId="30978"/>
    <cellStyle name="Notas 2 11 3" xfId="23192"/>
    <cellStyle name="Notas 2 11 3 2" xfId="30979"/>
    <cellStyle name="Notas 2 11 4" xfId="23193"/>
    <cellStyle name="Notas 2 11 4 2" xfId="30980"/>
    <cellStyle name="Notas 2 11 5" xfId="23194"/>
    <cellStyle name="Notas 2 11 5 2" xfId="30981"/>
    <cellStyle name="Notas 2 11 6" xfId="23195"/>
    <cellStyle name="Notas 2 11 6 2" xfId="30982"/>
    <cellStyle name="Notas 2 11 7" xfId="30977"/>
    <cellStyle name="Notas 2 12" xfId="23196"/>
    <cellStyle name="Notas 2 12 2" xfId="23197"/>
    <cellStyle name="Notas 2 12 2 2" xfId="30984"/>
    <cellStyle name="Notas 2 12 3" xfId="23198"/>
    <cellStyle name="Notas 2 12 3 2" xfId="30985"/>
    <cellStyle name="Notas 2 12 4" xfId="23199"/>
    <cellStyle name="Notas 2 12 4 2" xfId="30986"/>
    <cellStyle name="Notas 2 12 5" xfId="23200"/>
    <cellStyle name="Notas 2 12 5 2" xfId="30987"/>
    <cellStyle name="Notas 2 12 6" xfId="23201"/>
    <cellStyle name="Notas 2 12 6 2" xfId="30988"/>
    <cellStyle name="Notas 2 12 7" xfId="30983"/>
    <cellStyle name="Notas 2 13" xfId="23202"/>
    <cellStyle name="Notas 2 13 2" xfId="23203"/>
    <cellStyle name="Notas 2 13 2 2" xfId="30990"/>
    <cellStyle name="Notas 2 13 3" xfId="23204"/>
    <cellStyle name="Notas 2 13 3 2" xfId="30991"/>
    <cellStyle name="Notas 2 13 4" xfId="23205"/>
    <cellStyle name="Notas 2 13 4 2" xfId="30992"/>
    <cellStyle name="Notas 2 13 5" xfId="23206"/>
    <cellStyle name="Notas 2 13 5 2" xfId="30993"/>
    <cellStyle name="Notas 2 13 6" xfId="23207"/>
    <cellStyle name="Notas 2 13 6 2" xfId="30994"/>
    <cellStyle name="Notas 2 13 7" xfId="30989"/>
    <cellStyle name="Notas 2 14" xfId="23208"/>
    <cellStyle name="Notas 2 14 2" xfId="23209"/>
    <cellStyle name="Notas 2 14 2 2" xfId="30996"/>
    <cellStyle name="Notas 2 14 3" xfId="23210"/>
    <cellStyle name="Notas 2 14 3 2" xfId="30997"/>
    <cellStyle name="Notas 2 14 4" xfId="23211"/>
    <cellStyle name="Notas 2 14 4 2" xfId="30998"/>
    <cellStyle name="Notas 2 14 5" xfId="23212"/>
    <cellStyle name="Notas 2 14 5 2" xfId="30999"/>
    <cellStyle name="Notas 2 14 6" xfId="23213"/>
    <cellStyle name="Notas 2 14 6 2" xfId="31000"/>
    <cellStyle name="Notas 2 14 7" xfId="30995"/>
    <cellStyle name="Notas 2 15" xfId="23214"/>
    <cellStyle name="Notas 2 15 2" xfId="23215"/>
    <cellStyle name="Notas 2 15 2 2" xfId="31002"/>
    <cellStyle name="Notas 2 15 3" xfId="31001"/>
    <cellStyle name="Notas 2 16" xfId="23216"/>
    <cellStyle name="Notas 2 16 2" xfId="31003"/>
    <cellStyle name="Notas 2 17" xfId="30970"/>
    <cellStyle name="Notas 2 18" xfId="33259"/>
    <cellStyle name="Notas 2 19" xfId="33912"/>
    <cellStyle name="Notas 2 2" xfId="12027"/>
    <cellStyle name="Notas 2 2 10" xfId="23217"/>
    <cellStyle name="Notas 2 2 10 2" xfId="23218"/>
    <cellStyle name="Notas 2 2 10 2 2" xfId="31006"/>
    <cellStyle name="Notas 2 2 10 3" xfId="23219"/>
    <cellStyle name="Notas 2 2 10 3 2" xfId="31007"/>
    <cellStyle name="Notas 2 2 10 4" xfId="23220"/>
    <cellStyle name="Notas 2 2 10 4 2" xfId="31008"/>
    <cellStyle name="Notas 2 2 10 5" xfId="23221"/>
    <cellStyle name="Notas 2 2 10 5 2" xfId="31009"/>
    <cellStyle name="Notas 2 2 10 6" xfId="23222"/>
    <cellStyle name="Notas 2 2 10 6 2" xfId="31010"/>
    <cellStyle name="Notas 2 2 10 7" xfId="31005"/>
    <cellStyle name="Notas 2 2 11" xfId="23223"/>
    <cellStyle name="Notas 2 2 11 2" xfId="23224"/>
    <cellStyle name="Notas 2 2 11 2 2" xfId="31012"/>
    <cellStyle name="Notas 2 2 11 3" xfId="31011"/>
    <cellStyle name="Notas 2 2 12" xfId="23225"/>
    <cellStyle name="Notas 2 2 12 2" xfId="31013"/>
    <cellStyle name="Notas 2 2 13" xfId="31004"/>
    <cellStyle name="Notas 2 2 14" xfId="33260"/>
    <cellStyle name="Notas 2 2 15" xfId="33913"/>
    <cellStyle name="Notas 2 2 16" xfId="40033"/>
    <cellStyle name="Notas 2 2 2" xfId="23226"/>
    <cellStyle name="Notas 2 2 2 10" xfId="23227"/>
    <cellStyle name="Notas 2 2 2 10 2" xfId="23228"/>
    <cellStyle name="Notas 2 2 2 10 2 2" xfId="31016"/>
    <cellStyle name="Notas 2 2 2 10 3" xfId="31015"/>
    <cellStyle name="Notas 2 2 2 11" xfId="31014"/>
    <cellStyle name="Notas 2 2 2 12" xfId="33914"/>
    <cellStyle name="Notas 2 2 2 13" xfId="40034"/>
    <cellStyle name="Notas 2 2 2 2" xfId="23229"/>
    <cellStyle name="Notas 2 2 2 2 2" xfId="23230"/>
    <cellStyle name="Notas 2 2 2 2 2 2" xfId="31018"/>
    <cellStyle name="Notas 2 2 2 2 3" xfId="23231"/>
    <cellStyle name="Notas 2 2 2 2 3 2" xfId="31019"/>
    <cellStyle name="Notas 2 2 2 2 4" xfId="23232"/>
    <cellStyle name="Notas 2 2 2 2 4 2" xfId="31020"/>
    <cellStyle name="Notas 2 2 2 2 5" xfId="23233"/>
    <cellStyle name="Notas 2 2 2 2 5 2" xfId="31021"/>
    <cellStyle name="Notas 2 2 2 2 6" xfId="23234"/>
    <cellStyle name="Notas 2 2 2 2 6 2" xfId="31022"/>
    <cellStyle name="Notas 2 2 2 2 7" xfId="31017"/>
    <cellStyle name="Notas 2 2 2 3" xfId="23235"/>
    <cellStyle name="Notas 2 2 2 3 2" xfId="23236"/>
    <cellStyle name="Notas 2 2 2 3 2 2" xfId="31024"/>
    <cellStyle name="Notas 2 2 2 3 3" xfId="23237"/>
    <cellStyle name="Notas 2 2 2 3 3 2" xfId="31025"/>
    <cellStyle name="Notas 2 2 2 3 4" xfId="23238"/>
    <cellStyle name="Notas 2 2 2 3 4 2" xfId="31026"/>
    <cellStyle name="Notas 2 2 2 3 5" xfId="23239"/>
    <cellStyle name="Notas 2 2 2 3 5 2" xfId="31027"/>
    <cellStyle name="Notas 2 2 2 3 6" xfId="23240"/>
    <cellStyle name="Notas 2 2 2 3 6 2" xfId="31028"/>
    <cellStyle name="Notas 2 2 2 3 7" xfId="31023"/>
    <cellStyle name="Notas 2 2 2 4" xfId="23241"/>
    <cellStyle name="Notas 2 2 2 4 2" xfId="23242"/>
    <cellStyle name="Notas 2 2 2 4 2 2" xfId="31030"/>
    <cellStyle name="Notas 2 2 2 4 3" xfId="23243"/>
    <cellStyle name="Notas 2 2 2 4 3 2" xfId="31031"/>
    <cellStyle name="Notas 2 2 2 4 4" xfId="23244"/>
    <cellStyle name="Notas 2 2 2 4 4 2" xfId="31032"/>
    <cellStyle name="Notas 2 2 2 4 5" xfId="23245"/>
    <cellStyle name="Notas 2 2 2 4 5 2" xfId="31033"/>
    <cellStyle name="Notas 2 2 2 4 6" xfId="23246"/>
    <cellStyle name="Notas 2 2 2 4 6 2" xfId="31034"/>
    <cellStyle name="Notas 2 2 2 4 7" xfId="31029"/>
    <cellStyle name="Notas 2 2 2 5" xfId="23247"/>
    <cellStyle name="Notas 2 2 2 5 2" xfId="23248"/>
    <cellStyle name="Notas 2 2 2 5 2 2" xfId="31036"/>
    <cellStyle name="Notas 2 2 2 5 3" xfId="23249"/>
    <cellStyle name="Notas 2 2 2 5 3 2" xfId="31037"/>
    <cellStyle name="Notas 2 2 2 5 4" xfId="23250"/>
    <cellStyle name="Notas 2 2 2 5 4 2" xfId="31038"/>
    <cellStyle name="Notas 2 2 2 5 5" xfId="23251"/>
    <cellStyle name="Notas 2 2 2 5 5 2" xfId="31039"/>
    <cellStyle name="Notas 2 2 2 5 6" xfId="23252"/>
    <cellStyle name="Notas 2 2 2 5 6 2" xfId="31040"/>
    <cellStyle name="Notas 2 2 2 5 7" xfId="31035"/>
    <cellStyle name="Notas 2 2 2 6" xfId="23253"/>
    <cellStyle name="Notas 2 2 2 6 2" xfId="23254"/>
    <cellStyle name="Notas 2 2 2 6 2 2" xfId="31042"/>
    <cellStyle name="Notas 2 2 2 6 3" xfId="23255"/>
    <cellStyle name="Notas 2 2 2 6 3 2" xfId="31043"/>
    <cellStyle name="Notas 2 2 2 6 4" xfId="23256"/>
    <cellStyle name="Notas 2 2 2 6 4 2" xfId="31044"/>
    <cellStyle name="Notas 2 2 2 6 5" xfId="23257"/>
    <cellStyle name="Notas 2 2 2 6 5 2" xfId="31045"/>
    <cellStyle name="Notas 2 2 2 6 6" xfId="23258"/>
    <cellStyle name="Notas 2 2 2 6 6 2" xfId="31046"/>
    <cellStyle name="Notas 2 2 2 6 7" xfId="31041"/>
    <cellStyle name="Notas 2 2 2 7" xfId="23259"/>
    <cellStyle name="Notas 2 2 2 7 2" xfId="23260"/>
    <cellStyle name="Notas 2 2 2 7 2 2" xfId="31048"/>
    <cellStyle name="Notas 2 2 2 7 3" xfId="23261"/>
    <cellStyle name="Notas 2 2 2 7 3 2" xfId="31049"/>
    <cellStyle name="Notas 2 2 2 7 4" xfId="23262"/>
    <cellStyle name="Notas 2 2 2 7 4 2" xfId="31050"/>
    <cellStyle name="Notas 2 2 2 7 5" xfId="23263"/>
    <cellStyle name="Notas 2 2 2 7 5 2" xfId="31051"/>
    <cellStyle name="Notas 2 2 2 7 6" xfId="23264"/>
    <cellStyle name="Notas 2 2 2 7 6 2" xfId="31052"/>
    <cellStyle name="Notas 2 2 2 7 7" xfId="31047"/>
    <cellStyle name="Notas 2 2 2 8" xfId="23265"/>
    <cellStyle name="Notas 2 2 2 8 2" xfId="23266"/>
    <cellStyle name="Notas 2 2 2 8 2 2" xfId="31054"/>
    <cellStyle name="Notas 2 2 2 8 3" xfId="23267"/>
    <cellStyle name="Notas 2 2 2 8 3 2" xfId="31055"/>
    <cellStyle name="Notas 2 2 2 8 4" xfId="23268"/>
    <cellStyle name="Notas 2 2 2 8 4 2" xfId="31056"/>
    <cellStyle name="Notas 2 2 2 8 5" xfId="23269"/>
    <cellStyle name="Notas 2 2 2 8 5 2" xfId="31057"/>
    <cellStyle name="Notas 2 2 2 8 6" xfId="23270"/>
    <cellStyle name="Notas 2 2 2 8 6 2" xfId="31058"/>
    <cellStyle name="Notas 2 2 2 8 7" xfId="31053"/>
    <cellStyle name="Notas 2 2 2 9" xfId="23271"/>
    <cellStyle name="Notas 2 2 2 9 2" xfId="23272"/>
    <cellStyle name="Notas 2 2 2 9 2 2" xfId="31060"/>
    <cellStyle name="Notas 2 2 2 9 3" xfId="23273"/>
    <cellStyle name="Notas 2 2 2 9 3 2" xfId="31061"/>
    <cellStyle name="Notas 2 2 2 9 4" xfId="23274"/>
    <cellStyle name="Notas 2 2 2 9 4 2" xfId="31062"/>
    <cellStyle name="Notas 2 2 2 9 5" xfId="23275"/>
    <cellStyle name="Notas 2 2 2 9 5 2" xfId="31063"/>
    <cellStyle name="Notas 2 2 2 9 6" xfId="23276"/>
    <cellStyle name="Notas 2 2 2 9 6 2" xfId="31064"/>
    <cellStyle name="Notas 2 2 2 9 7" xfId="31059"/>
    <cellStyle name="Notas 2 2 3" xfId="23277"/>
    <cellStyle name="Notas 2 2 3 2" xfId="23278"/>
    <cellStyle name="Notas 2 2 3 2 2" xfId="31066"/>
    <cellStyle name="Notas 2 2 3 3" xfId="23279"/>
    <cellStyle name="Notas 2 2 3 3 2" xfId="31067"/>
    <cellStyle name="Notas 2 2 3 4" xfId="23280"/>
    <cellStyle name="Notas 2 2 3 4 2" xfId="31068"/>
    <cellStyle name="Notas 2 2 3 5" xfId="23281"/>
    <cellStyle name="Notas 2 2 3 5 2" xfId="31069"/>
    <cellStyle name="Notas 2 2 3 6" xfId="23282"/>
    <cellStyle name="Notas 2 2 3 6 2" xfId="31070"/>
    <cellStyle name="Notas 2 2 3 7" xfId="31065"/>
    <cellStyle name="Notas 2 2 4" xfId="23283"/>
    <cellStyle name="Notas 2 2 4 2" xfId="23284"/>
    <cellStyle name="Notas 2 2 4 2 2" xfId="31072"/>
    <cellStyle name="Notas 2 2 4 3" xfId="23285"/>
    <cellStyle name="Notas 2 2 4 3 2" xfId="31073"/>
    <cellStyle name="Notas 2 2 4 4" xfId="23286"/>
    <cellStyle name="Notas 2 2 4 4 2" xfId="31074"/>
    <cellStyle name="Notas 2 2 4 5" xfId="23287"/>
    <cellStyle name="Notas 2 2 4 5 2" xfId="31075"/>
    <cellStyle name="Notas 2 2 4 6" xfId="23288"/>
    <cellStyle name="Notas 2 2 4 6 2" xfId="31076"/>
    <cellStyle name="Notas 2 2 4 7" xfId="31071"/>
    <cellStyle name="Notas 2 2 5" xfId="23289"/>
    <cellStyle name="Notas 2 2 5 2" xfId="23290"/>
    <cellStyle name="Notas 2 2 5 2 2" xfId="31078"/>
    <cellStyle name="Notas 2 2 5 3" xfId="23291"/>
    <cellStyle name="Notas 2 2 5 3 2" xfId="31079"/>
    <cellStyle name="Notas 2 2 5 4" xfId="23292"/>
    <cellStyle name="Notas 2 2 5 4 2" xfId="31080"/>
    <cellStyle name="Notas 2 2 5 5" xfId="23293"/>
    <cellStyle name="Notas 2 2 5 5 2" xfId="31081"/>
    <cellStyle name="Notas 2 2 5 6" xfId="23294"/>
    <cellStyle name="Notas 2 2 5 6 2" xfId="31082"/>
    <cellStyle name="Notas 2 2 5 7" xfId="31077"/>
    <cellStyle name="Notas 2 2 6" xfId="23295"/>
    <cellStyle name="Notas 2 2 6 2" xfId="23296"/>
    <cellStyle name="Notas 2 2 6 2 2" xfId="31084"/>
    <cellStyle name="Notas 2 2 6 3" xfId="23297"/>
    <cellStyle name="Notas 2 2 6 3 2" xfId="31085"/>
    <cellStyle name="Notas 2 2 6 4" xfId="23298"/>
    <cellStyle name="Notas 2 2 6 4 2" xfId="31086"/>
    <cellStyle name="Notas 2 2 6 5" xfId="23299"/>
    <cellStyle name="Notas 2 2 6 5 2" xfId="31087"/>
    <cellStyle name="Notas 2 2 6 6" xfId="23300"/>
    <cellStyle name="Notas 2 2 6 6 2" xfId="31088"/>
    <cellStyle name="Notas 2 2 6 7" xfId="31083"/>
    <cellStyle name="Notas 2 2 7" xfId="23301"/>
    <cellStyle name="Notas 2 2 7 2" xfId="23302"/>
    <cellStyle name="Notas 2 2 7 2 2" xfId="31090"/>
    <cellStyle name="Notas 2 2 7 3" xfId="23303"/>
    <cellStyle name="Notas 2 2 7 3 2" xfId="31091"/>
    <cellStyle name="Notas 2 2 7 4" xfId="23304"/>
    <cellStyle name="Notas 2 2 7 4 2" xfId="31092"/>
    <cellStyle name="Notas 2 2 7 5" xfId="23305"/>
    <cellStyle name="Notas 2 2 7 5 2" xfId="31093"/>
    <cellStyle name="Notas 2 2 7 6" xfId="23306"/>
    <cellStyle name="Notas 2 2 7 6 2" xfId="31094"/>
    <cellStyle name="Notas 2 2 7 7" xfId="31089"/>
    <cellStyle name="Notas 2 2 8" xfId="23307"/>
    <cellStyle name="Notas 2 2 8 2" xfId="23308"/>
    <cellStyle name="Notas 2 2 8 2 2" xfId="31096"/>
    <cellStyle name="Notas 2 2 8 3" xfId="23309"/>
    <cellStyle name="Notas 2 2 8 3 2" xfId="31097"/>
    <cellStyle name="Notas 2 2 8 4" xfId="23310"/>
    <cellStyle name="Notas 2 2 8 4 2" xfId="31098"/>
    <cellStyle name="Notas 2 2 8 5" xfId="23311"/>
    <cellStyle name="Notas 2 2 8 5 2" xfId="31099"/>
    <cellStyle name="Notas 2 2 8 6" xfId="23312"/>
    <cellStyle name="Notas 2 2 8 6 2" xfId="31100"/>
    <cellStyle name="Notas 2 2 8 7" xfId="31095"/>
    <cellStyle name="Notas 2 2 9" xfId="23313"/>
    <cellStyle name="Notas 2 2 9 2" xfId="23314"/>
    <cellStyle name="Notas 2 2 9 2 2" xfId="31102"/>
    <cellStyle name="Notas 2 2 9 3" xfId="23315"/>
    <cellStyle name="Notas 2 2 9 3 2" xfId="31103"/>
    <cellStyle name="Notas 2 2 9 4" xfId="23316"/>
    <cellStyle name="Notas 2 2 9 4 2" xfId="31104"/>
    <cellStyle name="Notas 2 2 9 5" xfId="23317"/>
    <cellStyle name="Notas 2 2 9 5 2" xfId="31105"/>
    <cellStyle name="Notas 2 2 9 6" xfId="23318"/>
    <cellStyle name="Notas 2 2 9 6 2" xfId="31106"/>
    <cellStyle name="Notas 2 2 9 7" xfId="31101"/>
    <cellStyle name="Notas 2 20" xfId="40032"/>
    <cellStyle name="Notas 2 3" xfId="12028"/>
    <cellStyle name="Notas 2 3 10" xfId="23319"/>
    <cellStyle name="Notas 2 3 10 2" xfId="23320"/>
    <cellStyle name="Notas 2 3 10 2 2" xfId="31109"/>
    <cellStyle name="Notas 2 3 10 3" xfId="31108"/>
    <cellStyle name="Notas 2 3 11" xfId="23321"/>
    <cellStyle name="Notas 2 3 11 2" xfId="31110"/>
    <cellStyle name="Notas 2 3 12" xfId="31107"/>
    <cellStyle name="Notas 2 3 13" xfId="33261"/>
    <cellStyle name="Notas 2 3 14" xfId="33915"/>
    <cellStyle name="Notas 2 3 15" xfId="40035"/>
    <cellStyle name="Notas 2 3 2" xfId="23322"/>
    <cellStyle name="Notas 2 3 2 2" xfId="23323"/>
    <cellStyle name="Notas 2 3 2 2 2" xfId="31112"/>
    <cellStyle name="Notas 2 3 2 3" xfId="23324"/>
    <cellStyle name="Notas 2 3 2 3 2" xfId="31113"/>
    <cellStyle name="Notas 2 3 2 4" xfId="23325"/>
    <cellStyle name="Notas 2 3 2 4 2" xfId="31114"/>
    <cellStyle name="Notas 2 3 2 5" xfId="23326"/>
    <cellStyle name="Notas 2 3 2 5 2" xfId="31115"/>
    <cellStyle name="Notas 2 3 2 6" xfId="23327"/>
    <cellStyle name="Notas 2 3 2 6 2" xfId="31116"/>
    <cellStyle name="Notas 2 3 2 7" xfId="31111"/>
    <cellStyle name="Notas 2 3 3" xfId="23328"/>
    <cellStyle name="Notas 2 3 3 2" xfId="23329"/>
    <cellStyle name="Notas 2 3 3 2 2" xfId="31118"/>
    <cellStyle name="Notas 2 3 3 3" xfId="23330"/>
    <cellStyle name="Notas 2 3 3 3 2" xfId="31119"/>
    <cellStyle name="Notas 2 3 3 4" xfId="23331"/>
    <cellStyle name="Notas 2 3 3 4 2" xfId="31120"/>
    <cellStyle name="Notas 2 3 3 5" xfId="23332"/>
    <cellStyle name="Notas 2 3 3 5 2" xfId="31121"/>
    <cellStyle name="Notas 2 3 3 6" xfId="23333"/>
    <cellStyle name="Notas 2 3 3 6 2" xfId="31122"/>
    <cellStyle name="Notas 2 3 3 7" xfId="31117"/>
    <cellStyle name="Notas 2 3 4" xfId="23334"/>
    <cellStyle name="Notas 2 3 4 2" xfId="23335"/>
    <cellStyle name="Notas 2 3 4 2 2" xfId="31124"/>
    <cellStyle name="Notas 2 3 4 3" xfId="23336"/>
    <cellStyle name="Notas 2 3 4 3 2" xfId="31125"/>
    <cellStyle name="Notas 2 3 4 4" xfId="23337"/>
    <cellStyle name="Notas 2 3 4 4 2" xfId="31126"/>
    <cellStyle name="Notas 2 3 4 5" xfId="23338"/>
    <cellStyle name="Notas 2 3 4 5 2" xfId="31127"/>
    <cellStyle name="Notas 2 3 4 6" xfId="23339"/>
    <cellStyle name="Notas 2 3 4 6 2" xfId="31128"/>
    <cellStyle name="Notas 2 3 4 7" xfId="31123"/>
    <cellStyle name="Notas 2 3 5" xfId="23340"/>
    <cellStyle name="Notas 2 3 5 2" xfId="23341"/>
    <cellStyle name="Notas 2 3 5 2 2" xfId="31130"/>
    <cellStyle name="Notas 2 3 5 3" xfId="23342"/>
    <cellStyle name="Notas 2 3 5 3 2" xfId="31131"/>
    <cellStyle name="Notas 2 3 5 4" xfId="23343"/>
    <cellStyle name="Notas 2 3 5 4 2" xfId="31132"/>
    <cellStyle name="Notas 2 3 5 5" xfId="23344"/>
    <cellStyle name="Notas 2 3 5 5 2" xfId="31133"/>
    <cellStyle name="Notas 2 3 5 6" xfId="23345"/>
    <cellStyle name="Notas 2 3 5 6 2" xfId="31134"/>
    <cellStyle name="Notas 2 3 5 7" xfId="31129"/>
    <cellStyle name="Notas 2 3 6" xfId="23346"/>
    <cellStyle name="Notas 2 3 6 2" xfId="23347"/>
    <cellStyle name="Notas 2 3 6 2 2" xfId="31136"/>
    <cellStyle name="Notas 2 3 6 3" xfId="23348"/>
    <cellStyle name="Notas 2 3 6 3 2" xfId="31137"/>
    <cellStyle name="Notas 2 3 6 4" xfId="23349"/>
    <cellStyle name="Notas 2 3 6 4 2" xfId="31138"/>
    <cellStyle name="Notas 2 3 6 5" xfId="23350"/>
    <cellStyle name="Notas 2 3 6 5 2" xfId="31139"/>
    <cellStyle name="Notas 2 3 6 6" xfId="23351"/>
    <cellStyle name="Notas 2 3 6 6 2" xfId="31140"/>
    <cellStyle name="Notas 2 3 6 7" xfId="31135"/>
    <cellStyle name="Notas 2 3 7" xfId="23352"/>
    <cellStyle name="Notas 2 3 7 2" xfId="23353"/>
    <cellStyle name="Notas 2 3 7 2 2" xfId="31142"/>
    <cellStyle name="Notas 2 3 7 3" xfId="23354"/>
    <cellStyle name="Notas 2 3 7 3 2" xfId="31143"/>
    <cellStyle name="Notas 2 3 7 4" xfId="23355"/>
    <cellStyle name="Notas 2 3 7 4 2" xfId="31144"/>
    <cellStyle name="Notas 2 3 7 5" xfId="23356"/>
    <cellStyle name="Notas 2 3 7 5 2" xfId="31145"/>
    <cellStyle name="Notas 2 3 7 6" xfId="23357"/>
    <cellStyle name="Notas 2 3 7 6 2" xfId="31146"/>
    <cellStyle name="Notas 2 3 7 7" xfId="31141"/>
    <cellStyle name="Notas 2 3 8" xfId="23358"/>
    <cellStyle name="Notas 2 3 8 2" xfId="23359"/>
    <cellStyle name="Notas 2 3 8 2 2" xfId="31148"/>
    <cellStyle name="Notas 2 3 8 3" xfId="23360"/>
    <cellStyle name="Notas 2 3 8 3 2" xfId="31149"/>
    <cellStyle name="Notas 2 3 8 4" xfId="23361"/>
    <cellStyle name="Notas 2 3 8 4 2" xfId="31150"/>
    <cellStyle name="Notas 2 3 8 5" xfId="23362"/>
    <cellStyle name="Notas 2 3 8 5 2" xfId="31151"/>
    <cellStyle name="Notas 2 3 8 6" xfId="23363"/>
    <cellStyle name="Notas 2 3 8 6 2" xfId="31152"/>
    <cellStyle name="Notas 2 3 8 7" xfId="31147"/>
    <cellStyle name="Notas 2 3 9" xfId="23364"/>
    <cellStyle name="Notas 2 3 9 2" xfId="23365"/>
    <cellStyle name="Notas 2 3 9 2 2" xfId="31154"/>
    <cellStyle name="Notas 2 3 9 3" xfId="23366"/>
    <cellStyle name="Notas 2 3 9 3 2" xfId="31155"/>
    <cellStyle name="Notas 2 3 9 4" xfId="23367"/>
    <cellStyle name="Notas 2 3 9 4 2" xfId="31156"/>
    <cellStyle name="Notas 2 3 9 5" xfId="23368"/>
    <cellStyle name="Notas 2 3 9 5 2" xfId="31157"/>
    <cellStyle name="Notas 2 3 9 6" xfId="23369"/>
    <cellStyle name="Notas 2 3 9 6 2" xfId="31158"/>
    <cellStyle name="Notas 2 3 9 7" xfId="31153"/>
    <cellStyle name="Notas 2 4" xfId="23370"/>
    <cellStyle name="Notas 2 4 2" xfId="40036"/>
    <cellStyle name="Notas 2 5" xfId="23371"/>
    <cellStyle name="Notas 2 5 10" xfId="23372"/>
    <cellStyle name="Notas 2 5 10 2" xfId="23373"/>
    <cellStyle name="Notas 2 5 10 2 2" xfId="31161"/>
    <cellStyle name="Notas 2 5 10 3" xfId="31160"/>
    <cellStyle name="Notas 2 5 11" xfId="31159"/>
    <cellStyle name="Notas 2 5 12" xfId="33916"/>
    <cellStyle name="Notas 2 5 2" xfId="23374"/>
    <cellStyle name="Notas 2 5 2 2" xfId="23375"/>
    <cellStyle name="Notas 2 5 2 2 2" xfId="31163"/>
    <cellStyle name="Notas 2 5 2 3" xfId="23376"/>
    <cellStyle name="Notas 2 5 2 3 2" xfId="31164"/>
    <cellStyle name="Notas 2 5 2 4" xfId="23377"/>
    <cellStyle name="Notas 2 5 2 4 2" xfId="31165"/>
    <cellStyle name="Notas 2 5 2 5" xfId="23378"/>
    <cellStyle name="Notas 2 5 2 5 2" xfId="31166"/>
    <cellStyle name="Notas 2 5 2 6" xfId="23379"/>
    <cellStyle name="Notas 2 5 2 6 2" xfId="31167"/>
    <cellStyle name="Notas 2 5 2 7" xfId="31162"/>
    <cellStyle name="Notas 2 5 3" xfId="23380"/>
    <cellStyle name="Notas 2 5 3 2" xfId="23381"/>
    <cellStyle name="Notas 2 5 3 2 2" xfId="31169"/>
    <cellStyle name="Notas 2 5 3 3" xfId="23382"/>
    <cellStyle name="Notas 2 5 3 3 2" xfId="31170"/>
    <cellStyle name="Notas 2 5 3 4" xfId="23383"/>
    <cellStyle name="Notas 2 5 3 4 2" xfId="31171"/>
    <cellStyle name="Notas 2 5 3 5" xfId="23384"/>
    <cellStyle name="Notas 2 5 3 5 2" xfId="31172"/>
    <cellStyle name="Notas 2 5 3 6" xfId="23385"/>
    <cellStyle name="Notas 2 5 3 6 2" xfId="31173"/>
    <cellStyle name="Notas 2 5 3 7" xfId="31168"/>
    <cellStyle name="Notas 2 5 4" xfId="23386"/>
    <cellStyle name="Notas 2 5 4 2" xfId="23387"/>
    <cellStyle name="Notas 2 5 4 2 2" xfId="31175"/>
    <cellStyle name="Notas 2 5 4 3" xfId="23388"/>
    <cellStyle name="Notas 2 5 4 3 2" xfId="31176"/>
    <cellStyle name="Notas 2 5 4 4" xfId="23389"/>
    <cellStyle name="Notas 2 5 4 4 2" xfId="31177"/>
    <cellStyle name="Notas 2 5 4 5" xfId="23390"/>
    <cellStyle name="Notas 2 5 4 5 2" xfId="31178"/>
    <cellStyle name="Notas 2 5 4 6" xfId="23391"/>
    <cellStyle name="Notas 2 5 4 6 2" xfId="31179"/>
    <cellStyle name="Notas 2 5 4 7" xfId="31174"/>
    <cellStyle name="Notas 2 5 5" xfId="23392"/>
    <cellStyle name="Notas 2 5 5 2" xfId="23393"/>
    <cellStyle name="Notas 2 5 5 2 2" xfId="31181"/>
    <cellStyle name="Notas 2 5 5 3" xfId="23394"/>
    <cellStyle name="Notas 2 5 5 3 2" xfId="31182"/>
    <cellStyle name="Notas 2 5 5 4" xfId="23395"/>
    <cellStyle name="Notas 2 5 5 4 2" xfId="31183"/>
    <cellStyle name="Notas 2 5 5 5" xfId="23396"/>
    <cellStyle name="Notas 2 5 5 5 2" xfId="31184"/>
    <cellStyle name="Notas 2 5 5 6" xfId="23397"/>
    <cellStyle name="Notas 2 5 5 6 2" xfId="31185"/>
    <cellStyle name="Notas 2 5 5 7" xfId="31180"/>
    <cellStyle name="Notas 2 5 6" xfId="23398"/>
    <cellStyle name="Notas 2 5 6 2" xfId="23399"/>
    <cellStyle name="Notas 2 5 6 2 2" xfId="31187"/>
    <cellStyle name="Notas 2 5 6 3" xfId="23400"/>
    <cellStyle name="Notas 2 5 6 3 2" xfId="31188"/>
    <cellStyle name="Notas 2 5 6 4" xfId="23401"/>
    <cellStyle name="Notas 2 5 6 4 2" xfId="31189"/>
    <cellStyle name="Notas 2 5 6 5" xfId="23402"/>
    <cellStyle name="Notas 2 5 6 5 2" xfId="31190"/>
    <cellStyle name="Notas 2 5 6 6" xfId="23403"/>
    <cellStyle name="Notas 2 5 6 6 2" xfId="31191"/>
    <cellStyle name="Notas 2 5 6 7" xfId="31186"/>
    <cellStyle name="Notas 2 5 7" xfId="23404"/>
    <cellStyle name="Notas 2 5 7 2" xfId="23405"/>
    <cellStyle name="Notas 2 5 7 2 2" xfId="31193"/>
    <cellStyle name="Notas 2 5 7 3" xfId="23406"/>
    <cellStyle name="Notas 2 5 7 3 2" xfId="31194"/>
    <cellStyle name="Notas 2 5 7 4" xfId="23407"/>
    <cellStyle name="Notas 2 5 7 4 2" xfId="31195"/>
    <cellStyle name="Notas 2 5 7 5" xfId="23408"/>
    <cellStyle name="Notas 2 5 7 5 2" xfId="31196"/>
    <cellStyle name="Notas 2 5 7 6" xfId="23409"/>
    <cellStyle name="Notas 2 5 7 6 2" xfId="31197"/>
    <cellStyle name="Notas 2 5 7 7" xfId="31192"/>
    <cellStyle name="Notas 2 5 8" xfId="23410"/>
    <cellStyle name="Notas 2 5 8 2" xfId="23411"/>
    <cellStyle name="Notas 2 5 8 2 2" xfId="31199"/>
    <cellStyle name="Notas 2 5 8 3" xfId="23412"/>
    <cellStyle name="Notas 2 5 8 3 2" xfId="31200"/>
    <cellStyle name="Notas 2 5 8 4" xfId="23413"/>
    <cellStyle name="Notas 2 5 8 4 2" xfId="31201"/>
    <cellStyle name="Notas 2 5 8 5" xfId="23414"/>
    <cellStyle name="Notas 2 5 8 5 2" xfId="31202"/>
    <cellStyle name="Notas 2 5 8 6" xfId="23415"/>
    <cellStyle name="Notas 2 5 8 6 2" xfId="31203"/>
    <cellStyle name="Notas 2 5 8 7" xfId="31198"/>
    <cellStyle name="Notas 2 5 9" xfId="23416"/>
    <cellStyle name="Notas 2 5 9 2" xfId="23417"/>
    <cellStyle name="Notas 2 5 9 2 2" xfId="31205"/>
    <cellStyle name="Notas 2 5 9 3" xfId="23418"/>
    <cellStyle name="Notas 2 5 9 3 2" xfId="31206"/>
    <cellStyle name="Notas 2 5 9 4" xfId="23419"/>
    <cellStyle name="Notas 2 5 9 4 2" xfId="31207"/>
    <cellStyle name="Notas 2 5 9 5" xfId="23420"/>
    <cellStyle name="Notas 2 5 9 5 2" xfId="31208"/>
    <cellStyle name="Notas 2 5 9 6" xfId="23421"/>
    <cellStyle name="Notas 2 5 9 6 2" xfId="31209"/>
    <cellStyle name="Notas 2 5 9 7" xfId="31204"/>
    <cellStyle name="Notas 2 6" xfId="23422"/>
    <cellStyle name="Notas 2 6 10" xfId="23423"/>
    <cellStyle name="Notas 2 6 10 2" xfId="23424"/>
    <cellStyle name="Notas 2 6 10 2 2" xfId="31212"/>
    <cellStyle name="Notas 2 6 10 3" xfId="31211"/>
    <cellStyle name="Notas 2 6 11" xfId="31210"/>
    <cellStyle name="Notas 2 6 12" xfId="33917"/>
    <cellStyle name="Notas 2 6 2" xfId="23425"/>
    <cellStyle name="Notas 2 6 2 2" xfId="23426"/>
    <cellStyle name="Notas 2 6 2 2 2" xfId="31214"/>
    <cellStyle name="Notas 2 6 2 3" xfId="23427"/>
    <cellStyle name="Notas 2 6 2 3 2" xfId="31215"/>
    <cellStyle name="Notas 2 6 2 4" xfId="23428"/>
    <cellStyle name="Notas 2 6 2 4 2" xfId="31216"/>
    <cellStyle name="Notas 2 6 2 5" xfId="23429"/>
    <cellStyle name="Notas 2 6 2 5 2" xfId="31217"/>
    <cellStyle name="Notas 2 6 2 6" xfId="23430"/>
    <cellStyle name="Notas 2 6 2 6 2" xfId="31218"/>
    <cellStyle name="Notas 2 6 2 7" xfId="31213"/>
    <cellStyle name="Notas 2 6 3" xfId="23431"/>
    <cellStyle name="Notas 2 6 3 2" xfId="23432"/>
    <cellStyle name="Notas 2 6 3 2 2" xfId="31220"/>
    <cellStyle name="Notas 2 6 3 3" xfId="23433"/>
    <cellStyle name="Notas 2 6 3 3 2" xfId="31221"/>
    <cellStyle name="Notas 2 6 3 4" xfId="23434"/>
    <cellStyle name="Notas 2 6 3 4 2" xfId="31222"/>
    <cellStyle name="Notas 2 6 3 5" xfId="23435"/>
    <cellStyle name="Notas 2 6 3 5 2" xfId="31223"/>
    <cellStyle name="Notas 2 6 3 6" xfId="23436"/>
    <cellStyle name="Notas 2 6 3 6 2" xfId="31224"/>
    <cellStyle name="Notas 2 6 3 7" xfId="31219"/>
    <cellStyle name="Notas 2 6 4" xfId="23437"/>
    <cellStyle name="Notas 2 6 4 2" xfId="23438"/>
    <cellStyle name="Notas 2 6 4 2 2" xfId="31226"/>
    <cellStyle name="Notas 2 6 4 3" xfId="23439"/>
    <cellStyle name="Notas 2 6 4 3 2" xfId="31227"/>
    <cellStyle name="Notas 2 6 4 4" xfId="23440"/>
    <cellStyle name="Notas 2 6 4 4 2" xfId="31228"/>
    <cellStyle name="Notas 2 6 4 5" xfId="23441"/>
    <cellStyle name="Notas 2 6 4 5 2" xfId="31229"/>
    <cellStyle name="Notas 2 6 4 6" xfId="23442"/>
    <cellStyle name="Notas 2 6 4 6 2" xfId="31230"/>
    <cellStyle name="Notas 2 6 4 7" xfId="31225"/>
    <cellStyle name="Notas 2 6 5" xfId="23443"/>
    <cellStyle name="Notas 2 6 5 2" xfId="23444"/>
    <cellStyle name="Notas 2 6 5 2 2" xfId="31232"/>
    <cellStyle name="Notas 2 6 5 3" xfId="23445"/>
    <cellStyle name="Notas 2 6 5 3 2" xfId="31233"/>
    <cellStyle name="Notas 2 6 5 4" xfId="23446"/>
    <cellStyle name="Notas 2 6 5 4 2" xfId="31234"/>
    <cellStyle name="Notas 2 6 5 5" xfId="23447"/>
    <cellStyle name="Notas 2 6 5 5 2" xfId="31235"/>
    <cellStyle name="Notas 2 6 5 6" xfId="23448"/>
    <cellStyle name="Notas 2 6 5 6 2" xfId="31236"/>
    <cellStyle name="Notas 2 6 5 7" xfId="31231"/>
    <cellStyle name="Notas 2 6 6" xfId="23449"/>
    <cellStyle name="Notas 2 6 6 2" xfId="23450"/>
    <cellStyle name="Notas 2 6 6 2 2" xfId="31238"/>
    <cellStyle name="Notas 2 6 6 3" xfId="23451"/>
    <cellStyle name="Notas 2 6 6 3 2" xfId="31239"/>
    <cellStyle name="Notas 2 6 6 4" xfId="23452"/>
    <cellStyle name="Notas 2 6 6 4 2" xfId="31240"/>
    <cellStyle name="Notas 2 6 6 5" xfId="23453"/>
    <cellStyle name="Notas 2 6 6 5 2" xfId="31241"/>
    <cellStyle name="Notas 2 6 6 6" xfId="23454"/>
    <cellStyle name="Notas 2 6 6 6 2" xfId="31242"/>
    <cellStyle name="Notas 2 6 6 7" xfId="31237"/>
    <cellStyle name="Notas 2 6 7" xfId="23455"/>
    <cellStyle name="Notas 2 6 7 2" xfId="23456"/>
    <cellStyle name="Notas 2 6 7 2 2" xfId="31244"/>
    <cellStyle name="Notas 2 6 7 3" xfId="23457"/>
    <cellStyle name="Notas 2 6 7 3 2" xfId="31245"/>
    <cellStyle name="Notas 2 6 7 4" xfId="23458"/>
    <cellStyle name="Notas 2 6 7 4 2" xfId="31246"/>
    <cellStyle name="Notas 2 6 7 5" xfId="23459"/>
    <cellStyle name="Notas 2 6 7 5 2" xfId="31247"/>
    <cellStyle name="Notas 2 6 7 6" xfId="23460"/>
    <cellStyle name="Notas 2 6 7 6 2" xfId="31248"/>
    <cellStyle name="Notas 2 6 7 7" xfId="31243"/>
    <cellStyle name="Notas 2 6 8" xfId="23461"/>
    <cellStyle name="Notas 2 6 8 2" xfId="23462"/>
    <cellStyle name="Notas 2 6 8 2 2" xfId="31250"/>
    <cellStyle name="Notas 2 6 8 3" xfId="23463"/>
    <cellStyle name="Notas 2 6 8 3 2" xfId="31251"/>
    <cellStyle name="Notas 2 6 8 4" xfId="23464"/>
    <cellStyle name="Notas 2 6 8 4 2" xfId="31252"/>
    <cellStyle name="Notas 2 6 8 5" xfId="23465"/>
    <cellStyle name="Notas 2 6 8 5 2" xfId="31253"/>
    <cellStyle name="Notas 2 6 8 6" xfId="23466"/>
    <cellStyle name="Notas 2 6 8 6 2" xfId="31254"/>
    <cellStyle name="Notas 2 6 8 7" xfId="31249"/>
    <cellStyle name="Notas 2 6 9" xfId="23467"/>
    <cellStyle name="Notas 2 6 9 2" xfId="23468"/>
    <cellStyle name="Notas 2 6 9 2 2" xfId="31256"/>
    <cellStyle name="Notas 2 6 9 3" xfId="23469"/>
    <cellStyle name="Notas 2 6 9 3 2" xfId="31257"/>
    <cellStyle name="Notas 2 6 9 4" xfId="23470"/>
    <cellStyle name="Notas 2 6 9 4 2" xfId="31258"/>
    <cellStyle name="Notas 2 6 9 5" xfId="23471"/>
    <cellStyle name="Notas 2 6 9 5 2" xfId="31259"/>
    <cellStyle name="Notas 2 6 9 6" xfId="23472"/>
    <cellStyle name="Notas 2 6 9 6 2" xfId="31260"/>
    <cellStyle name="Notas 2 6 9 7" xfId="31255"/>
    <cellStyle name="Notas 2 7" xfId="23473"/>
    <cellStyle name="Notas 2 7 2" xfId="23474"/>
    <cellStyle name="Notas 2 7 2 2" xfId="31262"/>
    <cellStyle name="Notas 2 7 3" xfId="23475"/>
    <cellStyle name="Notas 2 7 3 2" xfId="31263"/>
    <cellStyle name="Notas 2 7 4" xfId="23476"/>
    <cellStyle name="Notas 2 7 4 2" xfId="31264"/>
    <cellStyle name="Notas 2 7 5" xfId="23477"/>
    <cellStyle name="Notas 2 7 5 2" xfId="31265"/>
    <cellStyle name="Notas 2 7 6" xfId="23478"/>
    <cellStyle name="Notas 2 7 6 2" xfId="31266"/>
    <cellStyle name="Notas 2 7 7" xfId="31261"/>
    <cellStyle name="Notas 2 8" xfId="23479"/>
    <cellStyle name="Notas 2 8 2" xfId="23480"/>
    <cellStyle name="Notas 2 8 2 2" xfId="31268"/>
    <cellStyle name="Notas 2 8 3" xfId="23481"/>
    <cellStyle name="Notas 2 8 3 2" xfId="31269"/>
    <cellStyle name="Notas 2 8 4" xfId="23482"/>
    <cellStyle name="Notas 2 8 4 2" xfId="31270"/>
    <cellStyle name="Notas 2 8 5" xfId="23483"/>
    <cellStyle name="Notas 2 8 5 2" xfId="31271"/>
    <cellStyle name="Notas 2 8 6" xfId="23484"/>
    <cellStyle name="Notas 2 8 6 2" xfId="31272"/>
    <cellStyle name="Notas 2 8 7" xfId="31267"/>
    <cellStyle name="Notas 2 9" xfId="23485"/>
    <cellStyle name="Notas 2 9 2" xfId="23486"/>
    <cellStyle name="Notas 2 9 2 2" xfId="31274"/>
    <cellStyle name="Notas 2 9 3" xfId="23487"/>
    <cellStyle name="Notas 2 9 3 2" xfId="31275"/>
    <cellStyle name="Notas 2 9 4" xfId="23488"/>
    <cellStyle name="Notas 2 9 4 2" xfId="31276"/>
    <cellStyle name="Notas 2 9 5" xfId="23489"/>
    <cellStyle name="Notas 2 9 5 2" xfId="31277"/>
    <cellStyle name="Notas 2 9 6" xfId="23490"/>
    <cellStyle name="Notas 2 9 6 2" xfId="31278"/>
    <cellStyle name="Notas 2 9 7" xfId="31273"/>
    <cellStyle name="Notas 20" xfId="11123"/>
    <cellStyle name="Notas 20 2" xfId="12029"/>
    <cellStyle name="Notas 20 2 2" xfId="31280"/>
    <cellStyle name="Notas 20 2 3" xfId="33263"/>
    <cellStyle name="Notas 20 2 4" xfId="40038"/>
    <cellStyle name="Notas 20 3" xfId="12030"/>
    <cellStyle name="Notas 20 3 2" xfId="31281"/>
    <cellStyle name="Notas 20 3 3" xfId="33264"/>
    <cellStyle name="Notas 20 3 4" xfId="40039"/>
    <cellStyle name="Notas 20 4" xfId="31279"/>
    <cellStyle name="Notas 20 5" xfId="33262"/>
    <cellStyle name="Notas 20 6" xfId="40037"/>
    <cellStyle name="Notas 21" xfId="11124"/>
    <cellStyle name="Notas 21 2" xfId="12031"/>
    <cellStyle name="Notas 21 2 2" xfId="31283"/>
    <cellStyle name="Notas 21 2 3" xfId="33266"/>
    <cellStyle name="Notas 21 2 4" xfId="40041"/>
    <cellStyle name="Notas 21 3" xfId="12032"/>
    <cellStyle name="Notas 21 3 2" xfId="31284"/>
    <cellStyle name="Notas 21 3 3" xfId="33267"/>
    <cellStyle name="Notas 21 3 4" xfId="40042"/>
    <cellStyle name="Notas 21 4" xfId="31282"/>
    <cellStyle name="Notas 21 5" xfId="33265"/>
    <cellStyle name="Notas 21 6" xfId="40040"/>
    <cellStyle name="Notas 22" xfId="11125"/>
    <cellStyle name="Notas 22 2" xfId="12033"/>
    <cellStyle name="Notas 22 2 2" xfId="31286"/>
    <cellStyle name="Notas 22 2 3" xfId="33269"/>
    <cellStyle name="Notas 22 2 4" xfId="40044"/>
    <cellStyle name="Notas 22 3" xfId="12034"/>
    <cellStyle name="Notas 22 3 2" xfId="31287"/>
    <cellStyle name="Notas 22 3 3" xfId="33270"/>
    <cellStyle name="Notas 22 3 4" xfId="40045"/>
    <cellStyle name="Notas 22 4" xfId="31285"/>
    <cellStyle name="Notas 22 5" xfId="33268"/>
    <cellStyle name="Notas 22 6" xfId="40043"/>
    <cellStyle name="Notas 23" xfId="11126"/>
    <cellStyle name="Notas 23 2" xfId="12035"/>
    <cellStyle name="Notas 23 2 2" xfId="31289"/>
    <cellStyle name="Notas 23 2 3" xfId="33272"/>
    <cellStyle name="Notas 23 2 4" xfId="40047"/>
    <cellStyle name="Notas 23 3" xfId="12036"/>
    <cellStyle name="Notas 23 3 2" xfId="31290"/>
    <cellStyle name="Notas 23 3 3" xfId="33273"/>
    <cellStyle name="Notas 23 3 4" xfId="40048"/>
    <cellStyle name="Notas 23 4" xfId="31288"/>
    <cellStyle name="Notas 23 5" xfId="33271"/>
    <cellStyle name="Notas 23 6" xfId="40046"/>
    <cellStyle name="Notas 24" xfId="11127"/>
    <cellStyle name="Notas 24 2" xfId="12037"/>
    <cellStyle name="Notas 24 2 2" xfId="31292"/>
    <cellStyle name="Notas 24 2 3" xfId="33275"/>
    <cellStyle name="Notas 24 2 4" xfId="40050"/>
    <cellStyle name="Notas 24 3" xfId="12038"/>
    <cellStyle name="Notas 24 3 2" xfId="31293"/>
    <cellStyle name="Notas 24 3 3" xfId="33276"/>
    <cellStyle name="Notas 24 3 4" xfId="40051"/>
    <cellStyle name="Notas 24 4" xfId="31291"/>
    <cellStyle name="Notas 24 5" xfId="33274"/>
    <cellStyle name="Notas 24 6" xfId="40049"/>
    <cellStyle name="Notas 25" xfId="11128"/>
    <cellStyle name="Notas 25 2" xfId="12039"/>
    <cellStyle name="Notas 25 2 2" xfId="31295"/>
    <cellStyle name="Notas 25 2 3" xfId="33278"/>
    <cellStyle name="Notas 25 2 4" xfId="40053"/>
    <cellStyle name="Notas 25 3" xfId="12040"/>
    <cellStyle name="Notas 25 3 2" xfId="31296"/>
    <cellStyle name="Notas 25 3 3" xfId="33279"/>
    <cellStyle name="Notas 25 3 4" xfId="40054"/>
    <cellStyle name="Notas 25 4" xfId="31294"/>
    <cellStyle name="Notas 25 5" xfId="33277"/>
    <cellStyle name="Notas 25 6" xfId="40052"/>
    <cellStyle name="Notas 26" xfId="11129"/>
    <cellStyle name="Notas 26 2" xfId="12041"/>
    <cellStyle name="Notas 26 2 2" xfId="31298"/>
    <cellStyle name="Notas 26 2 3" xfId="33281"/>
    <cellStyle name="Notas 26 2 4" xfId="40056"/>
    <cellStyle name="Notas 26 3" xfId="12042"/>
    <cellStyle name="Notas 26 3 2" xfId="31299"/>
    <cellStyle name="Notas 26 3 3" xfId="33282"/>
    <cellStyle name="Notas 26 3 4" xfId="40057"/>
    <cellStyle name="Notas 26 4" xfId="31297"/>
    <cellStyle name="Notas 26 5" xfId="33280"/>
    <cellStyle name="Notas 26 6" xfId="40055"/>
    <cellStyle name="Notas 27" xfId="11130"/>
    <cellStyle name="Notas 27 2" xfId="12043"/>
    <cellStyle name="Notas 27 2 2" xfId="31301"/>
    <cellStyle name="Notas 27 2 3" xfId="33284"/>
    <cellStyle name="Notas 27 2 4" xfId="40059"/>
    <cellStyle name="Notas 27 3" xfId="12044"/>
    <cellStyle name="Notas 27 3 2" xfId="31302"/>
    <cellStyle name="Notas 27 3 3" xfId="33285"/>
    <cellStyle name="Notas 27 3 4" xfId="40060"/>
    <cellStyle name="Notas 27 4" xfId="31300"/>
    <cellStyle name="Notas 27 5" xfId="33283"/>
    <cellStyle name="Notas 27 6" xfId="40058"/>
    <cellStyle name="Notas 28" xfId="11131"/>
    <cellStyle name="Notas 28 2" xfId="12045"/>
    <cellStyle name="Notas 28 2 2" xfId="31304"/>
    <cellStyle name="Notas 28 2 3" xfId="33287"/>
    <cellStyle name="Notas 28 2 4" xfId="40062"/>
    <cellStyle name="Notas 28 3" xfId="12046"/>
    <cellStyle name="Notas 28 3 2" xfId="31305"/>
    <cellStyle name="Notas 28 3 3" xfId="33288"/>
    <cellStyle name="Notas 28 3 4" xfId="40063"/>
    <cellStyle name="Notas 28 4" xfId="31303"/>
    <cellStyle name="Notas 28 5" xfId="33286"/>
    <cellStyle name="Notas 28 6" xfId="40061"/>
    <cellStyle name="Notas 29" xfId="11132"/>
    <cellStyle name="Notas 29 2" xfId="12047"/>
    <cellStyle name="Notas 29 2 2" xfId="31307"/>
    <cellStyle name="Notas 29 2 3" xfId="33290"/>
    <cellStyle name="Notas 29 2 4" xfId="40065"/>
    <cellStyle name="Notas 29 3" xfId="12048"/>
    <cellStyle name="Notas 29 3 2" xfId="31308"/>
    <cellStyle name="Notas 29 3 3" xfId="33291"/>
    <cellStyle name="Notas 29 3 4" xfId="40066"/>
    <cellStyle name="Notas 29 4" xfId="31306"/>
    <cellStyle name="Notas 29 5" xfId="33289"/>
    <cellStyle name="Notas 29 6" xfId="40064"/>
    <cellStyle name="Notas 3" xfId="11133"/>
    <cellStyle name="Notas 3 10" xfId="23491"/>
    <cellStyle name="Notas 3 10 2" xfId="23492"/>
    <cellStyle name="Notas 3 10 2 2" xfId="31311"/>
    <cellStyle name="Notas 3 10 3" xfId="23493"/>
    <cellStyle name="Notas 3 10 3 2" xfId="31312"/>
    <cellStyle name="Notas 3 10 4" xfId="23494"/>
    <cellStyle name="Notas 3 10 4 2" xfId="31313"/>
    <cellStyle name="Notas 3 10 5" xfId="23495"/>
    <cellStyle name="Notas 3 10 5 2" xfId="31314"/>
    <cellStyle name="Notas 3 10 6" xfId="23496"/>
    <cellStyle name="Notas 3 10 6 2" xfId="31315"/>
    <cellStyle name="Notas 3 10 7" xfId="31310"/>
    <cellStyle name="Notas 3 11" xfId="23497"/>
    <cellStyle name="Notas 3 11 2" xfId="23498"/>
    <cellStyle name="Notas 3 11 2 2" xfId="31317"/>
    <cellStyle name="Notas 3 11 3" xfId="23499"/>
    <cellStyle name="Notas 3 11 3 2" xfId="31318"/>
    <cellStyle name="Notas 3 11 4" xfId="23500"/>
    <cellStyle name="Notas 3 11 4 2" xfId="31319"/>
    <cellStyle name="Notas 3 11 5" xfId="23501"/>
    <cellStyle name="Notas 3 11 5 2" xfId="31320"/>
    <cellStyle name="Notas 3 11 6" xfId="23502"/>
    <cellStyle name="Notas 3 11 6 2" xfId="31321"/>
    <cellStyle name="Notas 3 11 7" xfId="31316"/>
    <cellStyle name="Notas 3 12" xfId="23503"/>
    <cellStyle name="Notas 3 12 2" xfId="23504"/>
    <cellStyle name="Notas 3 12 2 2" xfId="31323"/>
    <cellStyle name="Notas 3 12 3" xfId="23505"/>
    <cellStyle name="Notas 3 12 3 2" xfId="31324"/>
    <cellStyle name="Notas 3 12 4" xfId="23506"/>
    <cellStyle name="Notas 3 12 4 2" xfId="31325"/>
    <cellStyle name="Notas 3 12 5" xfId="23507"/>
    <cellStyle name="Notas 3 12 5 2" xfId="31326"/>
    <cellStyle name="Notas 3 12 6" xfId="23508"/>
    <cellStyle name="Notas 3 12 6 2" xfId="31327"/>
    <cellStyle name="Notas 3 12 7" xfId="31322"/>
    <cellStyle name="Notas 3 13" xfId="23509"/>
    <cellStyle name="Notas 3 13 2" xfId="23510"/>
    <cellStyle name="Notas 3 13 2 2" xfId="31329"/>
    <cellStyle name="Notas 3 13 3" xfId="31328"/>
    <cellStyle name="Notas 3 14" xfId="23511"/>
    <cellStyle name="Notas 3 14 2" xfId="31330"/>
    <cellStyle name="Notas 3 15" xfId="31309"/>
    <cellStyle name="Notas 3 16" xfId="33292"/>
    <cellStyle name="Notas 3 17" xfId="33918"/>
    <cellStyle name="Notas 3 18" xfId="40067"/>
    <cellStyle name="Notas 3 2" xfId="12049"/>
    <cellStyle name="Notas 3 2 10" xfId="23512"/>
    <cellStyle name="Notas 3 2 10 2" xfId="23513"/>
    <cellStyle name="Notas 3 2 10 2 2" xfId="31333"/>
    <cellStyle name="Notas 3 2 10 3" xfId="31332"/>
    <cellStyle name="Notas 3 2 11" xfId="23514"/>
    <cellStyle name="Notas 3 2 11 2" xfId="31334"/>
    <cellStyle name="Notas 3 2 12" xfId="31331"/>
    <cellStyle name="Notas 3 2 13" xfId="33293"/>
    <cellStyle name="Notas 3 2 14" xfId="33919"/>
    <cellStyle name="Notas 3 2 15" xfId="40068"/>
    <cellStyle name="Notas 3 2 2" xfId="23515"/>
    <cellStyle name="Notas 3 2 2 2" xfId="23516"/>
    <cellStyle name="Notas 3 2 2 2 2" xfId="31336"/>
    <cellStyle name="Notas 3 2 2 3" xfId="23517"/>
    <cellStyle name="Notas 3 2 2 3 2" xfId="31337"/>
    <cellStyle name="Notas 3 2 2 4" xfId="23518"/>
    <cellStyle name="Notas 3 2 2 4 2" xfId="31338"/>
    <cellStyle name="Notas 3 2 2 5" xfId="23519"/>
    <cellStyle name="Notas 3 2 2 5 2" xfId="31339"/>
    <cellStyle name="Notas 3 2 2 6" xfId="23520"/>
    <cellStyle name="Notas 3 2 2 6 2" xfId="31340"/>
    <cellStyle name="Notas 3 2 2 7" xfId="31335"/>
    <cellStyle name="Notas 3 2 2 8" xfId="40069"/>
    <cellStyle name="Notas 3 2 3" xfId="23521"/>
    <cellStyle name="Notas 3 2 3 2" xfId="23522"/>
    <cellStyle name="Notas 3 2 3 2 2" xfId="31342"/>
    <cellStyle name="Notas 3 2 3 3" xfId="23523"/>
    <cellStyle name="Notas 3 2 3 3 2" xfId="31343"/>
    <cellStyle name="Notas 3 2 3 4" xfId="23524"/>
    <cellStyle name="Notas 3 2 3 4 2" xfId="31344"/>
    <cellStyle name="Notas 3 2 3 5" xfId="23525"/>
    <cellStyle name="Notas 3 2 3 5 2" xfId="31345"/>
    <cellStyle name="Notas 3 2 3 6" xfId="23526"/>
    <cellStyle name="Notas 3 2 3 6 2" xfId="31346"/>
    <cellStyle name="Notas 3 2 3 7" xfId="31341"/>
    <cellStyle name="Notas 3 2 4" xfId="23527"/>
    <cellStyle name="Notas 3 2 4 2" xfId="23528"/>
    <cellStyle name="Notas 3 2 4 2 2" xfId="31348"/>
    <cellStyle name="Notas 3 2 4 3" xfId="23529"/>
    <cellStyle name="Notas 3 2 4 3 2" xfId="31349"/>
    <cellStyle name="Notas 3 2 4 4" xfId="23530"/>
    <cellStyle name="Notas 3 2 4 4 2" xfId="31350"/>
    <cellStyle name="Notas 3 2 4 5" xfId="23531"/>
    <cellStyle name="Notas 3 2 4 5 2" xfId="31351"/>
    <cellStyle name="Notas 3 2 4 6" xfId="23532"/>
    <cellStyle name="Notas 3 2 4 6 2" xfId="31352"/>
    <cellStyle name="Notas 3 2 4 7" xfId="31347"/>
    <cellStyle name="Notas 3 2 5" xfId="23533"/>
    <cellStyle name="Notas 3 2 5 2" xfId="23534"/>
    <cellStyle name="Notas 3 2 5 2 2" xfId="31354"/>
    <cellStyle name="Notas 3 2 5 3" xfId="23535"/>
    <cellStyle name="Notas 3 2 5 3 2" xfId="31355"/>
    <cellStyle name="Notas 3 2 5 4" xfId="23536"/>
    <cellStyle name="Notas 3 2 5 4 2" xfId="31356"/>
    <cellStyle name="Notas 3 2 5 5" xfId="23537"/>
    <cellStyle name="Notas 3 2 5 5 2" xfId="31357"/>
    <cellStyle name="Notas 3 2 5 6" xfId="23538"/>
    <cellStyle name="Notas 3 2 5 6 2" xfId="31358"/>
    <cellStyle name="Notas 3 2 5 7" xfId="31353"/>
    <cellStyle name="Notas 3 2 6" xfId="23539"/>
    <cellStyle name="Notas 3 2 6 2" xfId="23540"/>
    <cellStyle name="Notas 3 2 6 2 2" xfId="31360"/>
    <cellStyle name="Notas 3 2 6 3" xfId="23541"/>
    <cellStyle name="Notas 3 2 6 3 2" xfId="31361"/>
    <cellStyle name="Notas 3 2 6 4" xfId="23542"/>
    <cellStyle name="Notas 3 2 6 4 2" xfId="31362"/>
    <cellStyle name="Notas 3 2 6 5" xfId="23543"/>
    <cellStyle name="Notas 3 2 6 5 2" xfId="31363"/>
    <cellStyle name="Notas 3 2 6 6" xfId="23544"/>
    <cellStyle name="Notas 3 2 6 6 2" xfId="31364"/>
    <cellStyle name="Notas 3 2 6 7" xfId="31359"/>
    <cellStyle name="Notas 3 2 7" xfId="23545"/>
    <cellStyle name="Notas 3 2 7 2" xfId="23546"/>
    <cellStyle name="Notas 3 2 7 2 2" xfId="31366"/>
    <cellStyle name="Notas 3 2 7 3" xfId="23547"/>
    <cellStyle name="Notas 3 2 7 3 2" xfId="31367"/>
    <cellStyle name="Notas 3 2 7 4" xfId="23548"/>
    <cellStyle name="Notas 3 2 7 4 2" xfId="31368"/>
    <cellStyle name="Notas 3 2 7 5" xfId="23549"/>
    <cellStyle name="Notas 3 2 7 5 2" xfId="31369"/>
    <cellStyle name="Notas 3 2 7 6" xfId="23550"/>
    <cellStyle name="Notas 3 2 7 6 2" xfId="31370"/>
    <cellStyle name="Notas 3 2 7 7" xfId="31365"/>
    <cellStyle name="Notas 3 2 8" xfId="23551"/>
    <cellStyle name="Notas 3 2 8 2" xfId="23552"/>
    <cellStyle name="Notas 3 2 8 2 2" xfId="31372"/>
    <cellStyle name="Notas 3 2 8 3" xfId="23553"/>
    <cellStyle name="Notas 3 2 8 3 2" xfId="31373"/>
    <cellStyle name="Notas 3 2 8 4" xfId="23554"/>
    <cellStyle name="Notas 3 2 8 4 2" xfId="31374"/>
    <cellStyle name="Notas 3 2 8 5" xfId="23555"/>
    <cellStyle name="Notas 3 2 8 5 2" xfId="31375"/>
    <cellStyle name="Notas 3 2 8 6" xfId="23556"/>
    <cellStyle name="Notas 3 2 8 6 2" xfId="31376"/>
    <cellStyle name="Notas 3 2 8 7" xfId="31371"/>
    <cellStyle name="Notas 3 2 9" xfId="23557"/>
    <cellStyle name="Notas 3 2 9 2" xfId="23558"/>
    <cellStyle name="Notas 3 2 9 2 2" xfId="31378"/>
    <cellStyle name="Notas 3 2 9 3" xfId="23559"/>
    <cellStyle name="Notas 3 2 9 3 2" xfId="31379"/>
    <cellStyle name="Notas 3 2 9 4" xfId="23560"/>
    <cellStyle name="Notas 3 2 9 4 2" xfId="31380"/>
    <cellStyle name="Notas 3 2 9 5" xfId="23561"/>
    <cellStyle name="Notas 3 2 9 5 2" xfId="31381"/>
    <cellStyle name="Notas 3 2 9 6" xfId="23562"/>
    <cellStyle name="Notas 3 2 9 6 2" xfId="31382"/>
    <cellStyle name="Notas 3 2 9 7" xfId="31377"/>
    <cellStyle name="Notas 3 3" xfId="12050"/>
    <cellStyle name="Notas 3 3 10" xfId="23563"/>
    <cellStyle name="Notas 3 3 10 2" xfId="23564"/>
    <cellStyle name="Notas 3 3 10 2 2" xfId="31385"/>
    <cellStyle name="Notas 3 3 10 3" xfId="31384"/>
    <cellStyle name="Notas 3 3 11" xfId="23565"/>
    <cellStyle name="Notas 3 3 11 2" xfId="31386"/>
    <cellStyle name="Notas 3 3 12" xfId="31383"/>
    <cellStyle name="Notas 3 3 13" xfId="33294"/>
    <cellStyle name="Notas 3 3 14" xfId="33920"/>
    <cellStyle name="Notas 3 3 15" xfId="40070"/>
    <cellStyle name="Notas 3 3 2" xfId="23566"/>
    <cellStyle name="Notas 3 3 2 2" xfId="23567"/>
    <cellStyle name="Notas 3 3 2 2 2" xfId="31388"/>
    <cellStyle name="Notas 3 3 2 3" xfId="23568"/>
    <cellStyle name="Notas 3 3 2 3 2" xfId="31389"/>
    <cellStyle name="Notas 3 3 2 4" xfId="23569"/>
    <cellStyle name="Notas 3 3 2 4 2" xfId="31390"/>
    <cellStyle name="Notas 3 3 2 5" xfId="23570"/>
    <cellStyle name="Notas 3 3 2 5 2" xfId="31391"/>
    <cellStyle name="Notas 3 3 2 6" xfId="23571"/>
    <cellStyle name="Notas 3 3 2 6 2" xfId="31392"/>
    <cellStyle name="Notas 3 3 2 7" xfId="31387"/>
    <cellStyle name="Notas 3 3 3" xfId="23572"/>
    <cellStyle name="Notas 3 3 3 2" xfId="23573"/>
    <cellStyle name="Notas 3 3 3 2 2" xfId="31394"/>
    <cellStyle name="Notas 3 3 3 3" xfId="23574"/>
    <cellStyle name="Notas 3 3 3 3 2" xfId="31395"/>
    <cellStyle name="Notas 3 3 3 4" xfId="23575"/>
    <cellStyle name="Notas 3 3 3 4 2" xfId="31396"/>
    <cellStyle name="Notas 3 3 3 5" xfId="23576"/>
    <cellStyle name="Notas 3 3 3 5 2" xfId="31397"/>
    <cellStyle name="Notas 3 3 3 6" xfId="23577"/>
    <cellStyle name="Notas 3 3 3 6 2" xfId="31398"/>
    <cellStyle name="Notas 3 3 3 7" xfId="31393"/>
    <cellStyle name="Notas 3 3 4" xfId="23578"/>
    <cellStyle name="Notas 3 3 4 2" xfId="23579"/>
    <cellStyle name="Notas 3 3 4 2 2" xfId="31400"/>
    <cellStyle name="Notas 3 3 4 3" xfId="23580"/>
    <cellStyle name="Notas 3 3 4 3 2" xfId="31401"/>
    <cellStyle name="Notas 3 3 4 4" xfId="23581"/>
    <cellStyle name="Notas 3 3 4 4 2" xfId="31402"/>
    <cellStyle name="Notas 3 3 4 5" xfId="23582"/>
    <cellStyle name="Notas 3 3 4 5 2" xfId="31403"/>
    <cellStyle name="Notas 3 3 4 6" xfId="23583"/>
    <cellStyle name="Notas 3 3 4 6 2" xfId="31404"/>
    <cellStyle name="Notas 3 3 4 7" xfId="31399"/>
    <cellStyle name="Notas 3 3 5" xfId="23584"/>
    <cellStyle name="Notas 3 3 5 2" xfId="23585"/>
    <cellStyle name="Notas 3 3 5 2 2" xfId="31406"/>
    <cellStyle name="Notas 3 3 5 3" xfId="23586"/>
    <cellStyle name="Notas 3 3 5 3 2" xfId="31407"/>
    <cellStyle name="Notas 3 3 5 4" xfId="23587"/>
    <cellStyle name="Notas 3 3 5 4 2" xfId="31408"/>
    <cellStyle name="Notas 3 3 5 5" xfId="23588"/>
    <cellStyle name="Notas 3 3 5 5 2" xfId="31409"/>
    <cellStyle name="Notas 3 3 5 6" xfId="23589"/>
    <cellStyle name="Notas 3 3 5 6 2" xfId="31410"/>
    <cellStyle name="Notas 3 3 5 7" xfId="31405"/>
    <cellStyle name="Notas 3 3 6" xfId="23590"/>
    <cellStyle name="Notas 3 3 6 2" xfId="23591"/>
    <cellStyle name="Notas 3 3 6 2 2" xfId="31412"/>
    <cellStyle name="Notas 3 3 6 3" xfId="23592"/>
    <cellStyle name="Notas 3 3 6 3 2" xfId="31413"/>
    <cellStyle name="Notas 3 3 6 4" xfId="23593"/>
    <cellStyle name="Notas 3 3 6 4 2" xfId="31414"/>
    <cellStyle name="Notas 3 3 6 5" xfId="23594"/>
    <cellStyle name="Notas 3 3 6 5 2" xfId="31415"/>
    <cellStyle name="Notas 3 3 6 6" xfId="23595"/>
    <cellStyle name="Notas 3 3 6 6 2" xfId="31416"/>
    <cellStyle name="Notas 3 3 6 7" xfId="31411"/>
    <cellStyle name="Notas 3 3 7" xfId="23596"/>
    <cellStyle name="Notas 3 3 7 2" xfId="23597"/>
    <cellStyle name="Notas 3 3 7 2 2" xfId="31418"/>
    <cellStyle name="Notas 3 3 7 3" xfId="23598"/>
    <cellStyle name="Notas 3 3 7 3 2" xfId="31419"/>
    <cellStyle name="Notas 3 3 7 4" xfId="23599"/>
    <cellStyle name="Notas 3 3 7 4 2" xfId="31420"/>
    <cellStyle name="Notas 3 3 7 5" xfId="23600"/>
    <cellStyle name="Notas 3 3 7 5 2" xfId="31421"/>
    <cellStyle name="Notas 3 3 7 6" xfId="23601"/>
    <cellStyle name="Notas 3 3 7 6 2" xfId="31422"/>
    <cellStyle name="Notas 3 3 7 7" xfId="31417"/>
    <cellStyle name="Notas 3 3 8" xfId="23602"/>
    <cellStyle name="Notas 3 3 8 2" xfId="23603"/>
    <cellStyle name="Notas 3 3 8 2 2" xfId="31424"/>
    <cellStyle name="Notas 3 3 8 3" xfId="23604"/>
    <cellStyle name="Notas 3 3 8 3 2" xfId="31425"/>
    <cellStyle name="Notas 3 3 8 4" xfId="23605"/>
    <cellStyle name="Notas 3 3 8 4 2" xfId="31426"/>
    <cellStyle name="Notas 3 3 8 5" xfId="23606"/>
    <cellStyle name="Notas 3 3 8 5 2" xfId="31427"/>
    <cellStyle name="Notas 3 3 8 6" xfId="23607"/>
    <cellStyle name="Notas 3 3 8 6 2" xfId="31428"/>
    <cellStyle name="Notas 3 3 8 7" xfId="31423"/>
    <cellStyle name="Notas 3 3 9" xfId="23608"/>
    <cellStyle name="Notas 3 3 9 2" xfId="23609"/>
    <cellStyle name="Notas 3 3 9 2 2" xfId="31430"/>
    <cellStyle name="Notas 3 3 9 3" xfId="23610"/>
    <cellStyle name="Notas 3 3 9 3 2" xfId="31431"/>
    <cellStyle name="Notas 3 3 9 4" xfId="23611"/>
    <cellStyle name="Notas 3 3 9 4 2" xfId="31432"/>
    <cellStyle name="Notas 3 3 9 5" xfId="23612"/>
    <cellStyle name="Notas 3 3 9 5 2" xfId="31433"/>
    <cellStyle name="Notas 3 3 9 6" xfId="23613"/>
    <cellStyle name="Notas 3 3 9 6 2" xfId="31434"/>
    <cellStyle name="Notas 3 3 9 7" xfId="31429"/>
    <cellStyle name="Notas 3 4" xfId="23614"/>
    <cellStyle name="Notas 3 4 10" xfId="23615"/>
    <cellStyle name="Notas 3 4 10 2" xfId="23616"/>
    <cellStyle name="Notas 3 4 10 2 2" xfId="31437"/>
    <cellStyle name="Notas 3 4 10 3" xfId="31436"/>
    <cellStyle name="Notas 3 4 11" xfId="31435"/>
    <cellStyle name="Notas 3 4 12" xfId="33921"/>
    <cellStyle name="Notas 3 4 2" xfId="23617"/>
    <cellStyle name="Notas 3 4 2 2" xfId="23618"/>
    <cellStyle name="Notas 3 4 2 2 2" xfId="31439"/>
    <cellStyle name="Notas 3 4 2 3" xfId="23619"/>
    <cellStyle name="Notas 3 4 2 3 2" xfId="31440"/>
    <cellStyle name="Notas 3 4 2 4" xfId="23620"/>
    <cellStyle name="Notas 3 4 2 4 2" xfId="31441"/>
    <cellStyle name="Notas 3 4 2 5" xfId="23621"/>
    <cellStyle name="Notas 3 4 2 5 2" xfId="31442"/>
    <cellStyle name="Notas 3 4 2 6" xfId="23622"/>
    <cellStyle name="Notas 3 4 2 6 2" xfId="31443"/>
    <cellStyle name="Notas 3 4 2 7" xfId="31438"/>
    <cellStyle name="Notas 3 4 3" xfId="23623"/>
    <cellStyle name="Notas 3 4 3 2" xfId="23624"/>
    <cellStyle name="Notas 3 4 3 2 2" xfId="31445"/>
    <cellStyle name="Notas 3 4 3 3" xfId="23625"/>
    <cellStyle name="Notas 3 4 3 3 2" xfId="31446"/>
    <cellStyle name="Notas 3 4 3 4" xfId="23626"/>
    <cellStyle name="Notas 3 4 3 4 2" xfId="31447"/>
    <cellStyle name="Notas 3 4 3 5" xfId="23627"/>
    <cellStyle name="Notas 3 4 3 5 2" xfId="31448"/>
    <cellStyle name="Notas 3 4 3 6" xfId="23628"/>
    <cellStyle name="Notas 3 4 3 6 2" xfId="31449"/>
    <cellStyle name="Notas 3 4 3 7" xfId="31444"/>
    <cellStyle name="Notas 3 4 4" xfId="23629"/>
    <cellStyle name="Notas 3 4 4 2" xfId="23630"/>
    <cellStyle name="Notas 3 4 4 2 2" xfId="31451"/>
    <cellStyle name="Notas 3 4 4 3" xfId="23631"/>
    <cellStyle name="Notas 3 4 4 3 2" xfId="31452"/>
    <cellStyle name="Notas 3 4 4 4" xfId="23632"/>
    <cellStyle name="Notas 3 4 4 4 2" xfId="31453"/>
    <cellStyle name="Notas 3 4 4 5" xfId="23633"/>
    <cellStyle name="Notas 3 4 4 5 2" xfId="31454"/>
    <cellStyle name="Notas 3 4 4 6" xfId="23634"/>
    <cellStyle name="Notas 3 4 4 6 2" xfId="31455"/>
    <cellStyle name="Notas 3 4 4 7" xfId="31450"/>
    <cellStyle name="Notas 3 4 5" xfId="23635"/>
    <cellStyle name="Notas 3 4 5 2" xfId="23636"/>
    <cellStyle name="Notas 3 4 5 2 2" xfId="31457"/>
    <cellStyle name="Notas 3 4 5 3" xfId="23637"/>
    <cellStyle name="Notas 3 4 5 3 2" xfId="31458"/>
    <cellStyle name="Notas 3 4 5 4" xfId="23638"/>
    <cellStyle name="Notas 3 4 5 4 2" xfId="31459"/>
    <cellStyle name="Notas 3 4 5 5" xfId="23639"/>
    <cellStyle name="Notas 3 4 5 5 2" xfId="31460"/>
    <cellStyle name="Notas 3 4 5 6" xfId="23640"/>
    <cellStyle name="Notas 3 4 5 6 2" xfId="31461"/>
    <cellStyle name="Notas 3 4 5 7" xfId="31456"/>
    <cellStyle name="Notas 3 4 6" xfId="23641"/>
    <cellStyle name="Notas 3 4 6 2" xfId="23642"/>
    <cellStyle name="Notas 3 4 6 2 2" xfId="31463"/>
    <cellStyle name="Notas 3 4 6 3" xfId="23643"/>
    <cellStyle name="Notas 3 4 6 3 2" xfId="31464"/>
    <cellStyle name="Notas 3 4 6 4" xfId="23644"/>
    <cellStyle name="Notas 3 4 6 4 2" xfId="31465"/>
    <cellStyle name="Notas 3 4 6 5" xfId="23645"/>
    <cellStyle name="Notas 3 4 6 5 2" xfId="31466"/>
    <cellStyle name="Notas 3 4 6 6" xfId="23646"/>
    <cellStyle name="Notas 3 4 6 6 2" xfId="31467"/>
    <cellStyle name="Notas 3 4 6 7" xfId="31462"/>
    <cellStyle name="Notas 3 4 7" xfId="23647"/>
    <cellStyle name="Notas 3 4 7 2" xfId="23648"/>
    <cellStyle name="Notas 3 4 7 2 2" xfId="31469"/>
    <cellStyle name="Notas 3 4 7 3" xfId="23649"/>
    <cellStyle name="Notas 3 4 7 3 2" xfId="31470"/>
    <cellStyle name="Notas 3 4 7 4" xfId="23650"/>
    <cellStyle name="Notas 3 4 7 4 2" xfId="31471"/>
    <cellStyle name="Notas 3 4 7 5" xfId="23651"/>
    <cellStyle name="Notas 3 4 7 5 2" xfId="31472"/>
    <cellStyle name="Notas 3 4 7 6" xfId="23652"/>
    <cellStyle name="Notas 3 4 7 6 2" xfId="31473"/>
    <cellStyle name="Notas 3 4 7 7" xfId="31468"/>
    <cellStyle name="Notas 3 4 8" xfId="23653"/>
    <cellStyle name="Notas 3 4 8 2" xfId="23654"/>
    <cellStyle name="Notas 3 4 8 2 2" xfId="31475"/>
    <cellStyle name="Notas 3 4 8 3" xfId="23655"/>
    <cellStyle name="Notas 3 4 8 3 2" xfId="31476"/>
    <cellStyle name="Notas 3 4 8 4" xfId="23656"/>
    <cellStyle name="Notas 3 4 8 4 2" xfId="31477"/>
    <cellStyle name="Notas 3 4 8 5" xfId="23657"/>
    <cellStyle name="Notas 3 4 8 5 2" xfId="31478"/>
    <cellStyle name="Notas 3 4 8 6" xfId="23658"/>
    <cellStyle name="Notas 3 4 8 6 2" xfId="31479"/>
    <cellStyle name="Notas 3 4 8 7" xfId="31474"/>
    <cellStyle name="Notas 3 4 9" xfId="23659"/>
    <cellStyle name="Notas 3 4 9 2" xfId="23660"/>
    <cellStyle name="Notas 3 4 9 2 2" xfId="31481"/>
    <cellStyle name="Notas 3 4 9 3" xfId="23661"/>
    <cellStyle name="Notas 3 4 9 3 2" xfId="31482"/>
    <cellStyle name="Notas 3 4 9 4" xfId="23662"/>
    <cellStyle name="Notas 3 4 9 4 2" xfId="31483"/>
    <cellStyle name="Notas 3 4 9 5" xfId="23663"/>
    <cellStyle name="Notas 3 4 9 5 2" xfId="31484"/>
    <cellStyle name="Notas 3 4 9 6" xfId="23664"/>
    <cellStyle name="Notas 3 4 9 6 2" xfId="31485"/>
    <cellStyle name="Notas 3 4 9 7" xfId="31480"/>
    <cellStyle name="Notas 3 5" xfId="23665"/>
    <cellStyle name="Notas 3 5 2" xfId="23666"/>
    <cellStyle name="Notas 3 5 2 2" xfId="31487"/>
    <cellStyle name="Notas 3 5 3" xfId="23667"/>
    <cellStyle name="Notas 3 5 3 2" xfId="31488"/>
    <cellStyle name="Notas 3 5 4" xfId="23668"/>
    <cellStyle name="Notas 3 5 4 2" xfId="31489"/>
    <cellStyle name="Notas 3 5 5" xfId="23669"/>
    <cellStyle name="Notas 3 5 5 2" xfId="31490"/>
    <cellStyle name="Notas 3 5 6" xfId="23670"/>
    <cellStyle name="Notas 3 5 6 2" xfId="31491"/>
    <cellStyle name="Notas 3 5 7" xfId="31486"/>
    <cellStyle name="Notas 3 6" xfId="23671"/>
    <cellStyle name="Notas 3 6 2" xfId="23672"/>
    <cellStyle name="Notas 3 6 2 2" xfId="31493"/>
    <cellStyle name="Notas 3 6 3" xfId="23673"/>
    <cellStyle name="Notas 3 6 3 2" xfId="31494"/>
    <cellStyle name="Notas 3 6 4" xfId="23674"/>
    <cellStyle name="Notas 3 6 4 2" xfId="31495"/>
    <cellStyle name="Notas 3 6 5" xfId="23675"/>
    <cellStyle name="Notas 3 6 5 2" xfId="31496"/>
    <cellStyle name="Notas 3 6 6" xfId="23676"/>
    <cellStyle name="Notas 3 6 6 2" xfId="31497"/>
    <cellStyle name="Notas 3 6 7" xfId="31492"/>
    <cellStyle name="Notas 3 7" xfId="23677"/>
    <cellStyle name="Notas 3 7 2" xfId="23678"/>
    <cellStyle name="Notas 3 7 2 2" xfId="31499"/>
    <cellStyle name="Notas 3 7 3" xfId="23679"/>
    <cellStyle name="Notas 3 7 3 2" xfId="31500"/>
    <cellStyle name="Notas 3 7 4" xfId="23680"/>
    <cellStyle name="Notas 3 7 4 2" xfId="31501"/>
    <cellStyle name="Notas 3 7 5" xfId="23681"/>
    <cellStyle name="Notas 3 7 5 2" xfId="31502"/>
    <cellStyle name="Notas 3 7 6" xfId="23682"/>
    <cellStyle name="Notas 3 7 6 2" xfId="31503"/>
    <cellStyle name="Notas 3 7 7" xfId="31498"/>
    <cellStyle name="Notas 3 8" xfId="23683"/>
    <cellStyle name="Notas 3 8 2" xfId="23684"/>
    <cellStyle name="Notas 3 8 2 2" xfId="31505"/>
    <cellStyle name="Notas 3 8 3" xfId="23685"/>
    <cellStyle name="Notas 3 8 3 2" xfId="31506"/>
    <cellStyle name="Notas 3 8 4" xfId="23686"/>
    <cellStyle name="Notas 3 8 4 2" xfId="31507"/>
    <cellStyle name="Notas 3 8 5" xfId="23687"/>
    <cellStyle name="Notas 3 8 5 2" xfId="31508"/>
    <cellStyle name="Notas 3 8 6" xfId="23688"/>
    <cellStyle name="Notas 3 8 6 2" xfId="31509"/>
    <cellStyle name="Notas 3 8 7" xfId="31504"/>
    <cellStyle name="Notas 3 9" xfId="23689"/>
    <cellStyle name="Notas 3 9 2" xfId="23690"/>
    <cellStyle name="Notas 3 9 2 2" xfId="31511"/>
    <cellStyle name="Notas 3 9 3" xfId="23691"/>
    <cellStyle name="Notas 3 9 3 2" xfId="31512"/>
    <cellStyle name="Notas 3 9 4" xfId="23692"/>
    <cellStyle name="Notas 3 9 4 2" xfId="31513"/>
    <cellStyle name="Notas 3 9 5" xfId="23693"/>
    <cellStyle name="Notas 3 9 5 2" xfId="31514"/>
    <cellStyle name="Notas 3 9 6" xfId="23694"/>
    <cellStyle name="Notas 3 9 6 2" xfId="31515"/>
    <cellStyle name="Notas 3 9 7" xfId="31510"/>
    <cellStyle name="Notas 30" xfId="11134"/>
    <cellStyle name="Notas 30 2" xfId="12051"/>
    <cellStyle name="Notas 30 2 2" xfId="31517"/>
    <cellStyle name="Notas 30 2 3" xfId="33296"/>
    <cellStyle name="Notas 30 2 4" xfId="40072"/>
    <cellStyle name="Notas 30 3" xfId="12052"/>
    <cellStyle name="Notas 30 3 2" xfId="31518"/>
    <cellStyle name="Notas 30 3 3" xfId="33297"/>
    <cellStyle name="Notas 30 3 4" xfId="40073"/>
    <cellStyle name="Notas 30 4" xfId="31516"/>
    <cellStyle name="Notas 30 5" xfId="33295"/>
    <cellStyle name="Notas 30 6" xfId="40071"/>
    <cellStyle name="Notas 31" xfId="11135"/>
    <cellStyle name="Notas 31 2" xfId="12053"/>
    <cellStyle name="Notas 31 2 2" xfId="31520"/>
    <cellStyle name="Notas 31 2 3" xfId="33299"/>
    <cellStyle name="Notas 31 2 4" xfId="40075"/>
    <cellStyle name="Notas 31 3" xfId="12054"/>
    <cellStyle name="Notas 31 3 2" xfId="31521"/>
    <cellStyle name="Notas 31 3 3" xfId="33300"/>
    <cellStyle name="Notas 31 3 4" xfId="40076"/>
    <cellStyle name="Notas 31 4" xfId="31519"/>
    <cellStyle name="Notas 31 5" xfId="33298"/>
    <cellStyle name="Notas 31 6" xfId="40074"/>
    <cellStyle name="Notas 32" xfId="11136"/>
    <cellStyle name="Notas 32 2" xfId="12055"/>
    <cellStyle name="Notas 32 2 2" xfId="31523"/>
    <cellStyle name="Notas 32 2 3" xfId="33302"/>
    <cellStyle name="Notas 32 2 4" xfId="40078"/>
    <cellStyle name="Notas 32 3" xfId="12056"/>
    <cellStyle name="Notas 32 3 2" xfId="31524"/>
    <cellStyle name="Notas 32 3 3" xfId="33303"/>
    <cellStyle name="Notas 32 3 4" xfId="40079"/>
    <cellStyle name="Notas 32 4" xfId="31522"/>
    <cellStyle name="Notas 32 5" xfId="33301"/>
    <cellStyle name="Notas 32 6" xfId="40077"/>
    <cellStyle name="Notas 33" xfId="11137"/>
    <cellStyle name="Notas 33 2" xfId="12057"/>
    <cellStyle name="Notas 33 2 2" xfId="31526"/>
    <cellStyle name="Notas 33 2 3" xfId="33305"/>
    <cellStyle name="Notas 33 2 4" xfId="40081"/>
    <cellStyle name="Notas 33 3" xfId="12058"/>
    <cellStyle name="Notas 33 3 2" xfId="31527"/>
    <cellStyle name="Notas 33 3 3" xfId="33306"/>
    <cellStyle name="Notas 33 3 4" xfId="40082"/>
    <cellStyle name="Notas 33 4" xfId="31525"/>
    <cellStyle name="Notas 33 5" xfId="33304"/>
    <cellStyle name="Notas 33 6" xfId="40080"/>
    <cellStyle name="Notas 34" xfId="11138"/>
    <cellStyle name="Notas 34 2" xfId="12059"/>
    <cellStyle name="Notas 34 2 2" xfId="31529"/>
    <cellStyle name="Notas 34 2 3" xfId="33308"/>
    <cellStyle name="Notas 34 2 4" xfId="40084"/>
    <cellStyle name="Notas 34 3" xfId="12060"/>
    <cellStyle name="Notas 34 3 2" xfId="31530"/>
    <cellStyle name="Notas 34 3 3" xfId="33309"/>
    <cellStyle name="Notas 34 3 4" xfId="40085"/>
    <cellStyle name="Notas 34 4" xfId="31528"/>
    <cellStyle name="Notas 34 5" xfId="33307"/>
    <cellStyle name="Notas 34 6" xfId="40083"/>
    <cellStyle name="Notas 35" xfId="11139"/>
    <cellStyle name="Notas 35 2" xfId="12061"/>
    <cellStyle name="Notas 35 2 2" xfId="31532"/>
    <cellStyle name="Notas 35 2 3" xfId="33311"/>
    <cellStyle name="Notas 35 2 4" xfId="40087"/>
    <cellStyle name="Notas 35 3" xfId="12062"/>
    <cellStyle name="Notas 35 3 2" xfId="31533"/>
    <cellStyle name="Notas 35 3 3" xfId="33312"/>
    <cellStyle name="Notas 35 3 4" xfId="40088"/>
    <cellStyle name="Notas 35 4" xfId="31531"/>
    <cellStyle name="Notas 35 5" xfId="33310"/>
    <cellStyle name="Notas 35 6" xfId="40086"/>
    <cellStyle name="Notas 36" xfId="11140"/>
    <cellStyle name="Notas 36 2" xfId="12063"/>
    <cellStyle name="Notas 36 2 2" xfId="31535"/>
    <cellStyle name="Notas 36 2 3" xfId="33314"/>
    <cellStyle name="Notas 36 2 4" xfId="40090"/>
    <cellStyle name="Notas 36 3" xfId="12064"/>
    <cellStyle name="Notas 36 3 2" xfId="31536"/>
    <cellStyle name="Notas 36 3 3" xfId="33315"/>
    <cellStyle name="Notas 36 3 4" xfId="40091"/>
    <cellStyle name="Notas 36 4" xfId="31534"/>
    <cellStyle name="Notas 36 5" xfId="33313"/>
    <cellStyle name="Notas 36 6" xfId="40089"/>
    <cellStyle name="Notas 37" xfId="11141"/>
    <cellStyle name="Notas 37 2" xfId="12065"/>
    <cellStyle name="Notas 37 2 2" xfId="31538"/>
    <cellStyle name="Notas 37 2 3" xfId="33317"/>
    <cellStyle name="Notas 37 2 4" xfId="40093"/>
    <cellStyle name="Notas 37 3" xfId="12066"/>
    <cellStyle name="Notas 37 3 2" xfId="31539"/>
    <cellStyle name="Notas 37 3 3" xfId="33318"/>
    <cellStyle name="Notas 37 3 4" xfId="40094"/>
    <cellStyle name="Notas 37 4" xfId="31537"/>
    <cellStyle name="Notas 37 5" xfId="33316"/>
    <cellStyle name="Notas 37 6" xfId="40092"/>
    <cellStyle name="Notas 38" xfId="11142"/>
    <cellStyle name="Notas 38 2" xfId="12067"/>
    <cellStyle name="Notas 38 2 2" xfId="31541"/>
    <cellStyle name="Notas 38 2 3" xfId="33320"/>
    <cellStyle name="Notas 38 2 4" xfId="40096"/>
    <cellStyle name="Notas 38 3" xfId="12068"/>
    <cellStyle name="Notas 38 3 2" xfId="31542"/>
    <cellStyle name="Notas 38 3 3" xfId="33321"/>
    <cellStyle name="Notas 38 3 4" xfId="40097"/>
    <cellStyle name="Notas 38 4" xfId="31540"/>
    <cellStyle name="Notas 38 5" xfId="33319"/>
    <cellStyle name="Notas 38 6" xfId="40095"/>
    <cellStyle name="Notas 39" xfId="11143"/>
    <cellStyle name="Notas 39 2" xfId="12069"/>
    <cellStyle name="Notas 39 2 2" xfId="31544"/>
    <cellStyle name="Notas 39 2 3" xfId="33323"/>
    <cellStyle name="Notas 39 2 4" xfId="40099"/>
    <cellStyle name="Notas 39 3" xfId="12070"/>
    <cellStyle name="Notas 39 3 2" xfId="31545"/>
    <cellStyle name="Notas 39 3 3" xfId="33324"/>
    <cellStyle name="Notas 39 3 4" xfId="40100"/>
    <cellStyle name="Notas 39 4" xfId="31543"/>
    <cellStyle name="Notas 39 5" xfId="33322"/>
    <cellStyle name="Notas 39 6" xfId="40098"/>
    <cellStyle name="Notas 4" xfId="11144"/>
    <cellStyle name="Notas 4 10" xfId="23695"/>
    <cellStyle name="Notas 4 10 2" xfId="23696"/>
    <cellStyle name="Notas 4 10 2 2" xfId="31548"/>
    <cellStyle name="Notas 4 10 3" xfId="23697"/>
    <cellStyle name="Notas 4 10 3 2" xfId="31549"/>
    <cellStyle name="Notas 4 10 4" xfId="23698"/>
    <cellStyle name="Notas 4 10 4 2" xfId="31550"/>
    <cellStyle name="Notas 4 10 5" xfId="23699"/>
    <cellStyle name="Notas 4 10 5 2" xfId="31551"/>
    <cellStyle name="Notas 4 10 6" xfId="23700"/>
    <cellStyle name="Notas 4 10 6 2" xfId="31552"/>
    <cellStyle name="Notas 4 10 7" xfId="31547"/>
    <cellStyle name="Notas 4 11" xfId="23701"/>
    <cellStyle name="Notas 4 11 2" xfId="23702"/>
    <cellStyle name="Notas 4 11 2 2" xfId="31554"/>
    <cellStyle name="Notas 4 11 3" xfId="31553"/>
    <cellStyle name="Notas 4 12" xfId="23703"/>
    <cellStyle name="Notas 4 12 2" xfId="31555"/>
    <cellStyle name="Notas 4 13" xfId="31546"/>
    <cellStyle name="Notas 4 14" xfId="33325"/>
    <cellStyle name="Notas 4 15" xfId="33922"/>
    <cellStyle name="Notas 4 16" xfId="40101"/>
    <cellStyle name="Notas 4 2" xfId="12071"/>
    <cellStyle name="Notas 4 2 10" xfId="23704"/>
    <cellStyle name="Notas 4 2 10 2" xfId="23705"/>
    <cellStyle name="Notas 4 2 10 2 2" xfId="31558"/>
    <cellStyle name="Notas 4 2 10 3" xfId="31557"/>
    <cellStyle name="Notas 4 2 11" xfId="23706"/>
    <cellStyle name="Notas 4 2 11 2" xfId="31559"/>
    <cellStyle name="Notas 4 2 12" xfId="31556"/>
    <cellStyle name="Notas 4 2 13" xfId="33326"/>
    <cellStyle name="Notas 4 2 14" xfId="33923"/>
    <cellStyle name="Notas 4 2 15" xfId="40102"/>
    <cellStyle name="Notas 4 2 2" xfId="23707"/>
    <cellStyle name="Notas 4 2 2 2" xfId="23708"/>
    <cellStyle name="Notas 4 2 2 2 2" xfId="31561"/>
    <cellStyle name="Notas 4 2 2 3" xfId="23709"/>
    <cellStyle name="Notas 4 2 2 3 2" xfId="31562"/>
    <cellStyle name="Notas 4 2 2 4" xfId="23710"/>
    <cellStyle name="Notas 4 2 2 4 2" xfId="31563"/>
    <cellStyle name="Notas 4 2 2 5" xfId="23711"/>
    <cellStyle name="Notas 4 2 2 5 2" xfId="31564"/>
    <cellStyle name="Notas 4 2 2 6" xfId="23712"/>
    <cellStyle name="Notas 4 2 2 6 2" xfId="31565"/>
    <cellStyle name="Notas 4 2 2 7" xfId="31560"/>
    <cellStyle name="Notas 4 2 2 8" xfId="40103"/>
    <cellStyle name="Notas 4 2 3" xfId="23713"/>
    <cellStyle name="Notas 4 2 3 2" xfId="23714"/>
    <cellStyle name="Notas 4 2 3 2 2" xfId="31567"/>
    <cellStyle name="Notas 4 2 3 3" xfId="23715"/>
    <cellStyle name="Notas 4 2 3 3 2" xfId="31568"/>
    <cellStyle name="Notas 4 2 3 4" xfId="23716"/>
    <cellStyle name="Notas 4 2 3 4 2" xfId="31569"/>
    <cellStyle name="Notas 4 2 3 5" xfId="23717"/>
    <cellStyle name="Notas 4 2 3 5 2" xfId="31570"/>
    <cellStyle name="Notas 4 2 3 6" xfId="23718"/>
    <cellStyle name="Notas 4 2 3 6 2" xfId="31571"/>
    <cellStyle name="Notas 4 2 3 7" xfId="31566"/>
    <cellStyle name="Notas 4 2 4" xfId="23719"/>
    <cellStyle name="Notas 4 2 4 2" xfId="23720"/>
    <cellStyle name="Notas 4 2 4 2 2" xfId="31573"/>
    <cellStyle name="Notas 4 2 4 3" xfId="23721"/>
    <cellStyle name="Notas 4 2 4 3 2" xfId="31574"/>
    <cellStyle name="Notas 4 2 4 4" xfId="23722"/>
    <cellStyle name="Notas 4 2 4 4 2" xfId="31575"/>
    <cellStyle name="Notas 4 2 4 5" xfId="23723"/>
    <cellStyle name="Notas 4 2 4 5 2" xfId="31576"/>
    <cellStyle name="Notas 4 2 4 6" xfId="23724"/>
    <cellStyle name="Notas 4 2 4 6 2" xfId="31577"/>
    <cellStyle name="Notas 4 2 4 7" xfId="31572"/>
    <cellStyle name="Notas 4 2 5" xfId="23725"/>
    <cellStyle name="Notas 4 2 5 2" xfId="23726"/>
    <cellStyle name="Notas 4 2 5 2 2" xfId="31579"/>
    <cellStyle name="Notas 4 2 5 3" xfId="23727"/>
    <cellStyle name="Notas 4 2 5 3 2" xfId="31580"/>
    <cellStyle name="Notas 4 2 5 4" xfId="23728"/>
    <cellStyle name="Notas 4 2 5 4 2" xfId="31581"/>
    <cellStyle name="Notas 4 2 5 5" xfId="23729"/>
    <cellStyle name="Notas 4 2 5 5 2" xfId="31582"/>
    <cellStyle name="Notas 4 2 5 6" xfId="23730"/>
    <cellStyle name="Notas 4 2 5 6 2" xfId="31583"/>
    <cellStyle name="Notas 4 2 5 7" xfId="31578"/>
    <cellStyle name="Notas 4 2 6" xfId="23731"/>
    <cellStyle name="Notas 4 2 6 2" xfId="23732"/>
    <cellStyle name="Notas 4 2 6 2 2" xfId="31585"/>
    <cellStyle name="Notas 4 2 6 3" xfId="23733"/>
    <cellStyle name="Notas 4 2 6 3 2" xfId="31586"/>
    <cellStyle name="Notas 4 2 6 4" xfId="23734"/>
    <cellStyle name="Notas 4 2 6 4 2" xfId="31587"/>
    <cellStyle name="Notas 4 2 6 5" xfId="23735"/>
    <cellStyle name="Notas 4 2 6 5 2" xfId="31588"/>
    <cellStyle name="Notas 4 2 6 6" xfId="23736"/>
    <cellStyle name="Notas 4 2 6 6 2" xfId="31589"/>
    <cellStyle name="Notas 4 2 6 7" xfId="31584"/>
    <cellStyle name="Notas 4 2 7" xfId="23737"/>
    <cellStyle name="Notas 4 2 7 2" xfId="23738"/>
    <cellStyle name="Notas 4 2 7 2 2" xfId="31591"/>
    <cellStyle name="Notas 4 2 7 3" xfId="23739"/>
    <cellStyle name="Notas 4 2 7 3 2" xfId="31592"/>
    <cellStyle name="Notas 4 2 7 4" xfId="23740"/>
    <cellStyle name="Notas 4 2 7 4 2" xfId="31593"/>
    <cellStyle name="Notas 4 2 7 5" xfId="23741"/>
    <cellStyle name="Notas 4 2 7 5 2" xfId="31594"/>
    <cellStyle name="Notas 4 2 7 6" xfId="23742"/>
    <cellStyle name="Notas 4 2 7 6 2" xfId="31595"/>
    <cellStyle name="Notas 4 2 7 7" xfId="31590"/>
    <cellStyle name="Notas 4 2 8" xfId="23743"/>
    <cellStyle name="Notas 4 2 8 2" xfId="23744"/>
    <cellStyle name="Notas 4 2 8 2 2" xfId="31597"/>
    <cellStyle name="Notas 4 2 8 3" xfId="23745"/>
    <cellStyle name="Notas 4 2 8 3 2" xfId="31598"/>
    <cellStyle name="Notas 4 2 8 4" xfId="23746"/>
    <cellStyle name="Notas 4 2 8 4 2" xfId="31599"/>
    <cellStyle name="Notas 4 2 8 5" xfId="23747"/>
    <cellStyle name="Notas 4 2 8 5 2" xfId="31600"/>
    <cellStyle name="Notas 4 2 8 6" xfId="23748"/>
    <cellStyle name="Notas 4 2 8 6 2" xfId="31601"/>
    <cellStyle name="Notas 4 2 8 7" xfId="31596"/>
    <cellStyle name="Notas 4 2 9" xfId="23749"/>
    <cellStyle name="Notas 4 2 9 2" xfId="23750"/>
    <cellStyle name="Notas 4 2 9 2 2" xfId="31603"/>
    <cellStyle name="Notas 4 2 9 3" xfId="23751"/>
    <cellStyle name="Notas 4 2 9 3 2" xfId="31604"/>
    <cellStyle name="Notas 4 2 9 4" xfId="23752"/>
    <cellStyle name="Notas 4 2 9 4 2" xfId="31605"/>
    <cellStyle name="Notas 4 2 9 5" xfId="23753"/>
    <cellStyle name="Notas 4 2 9 5 2" xfId="31606"/>
    <cellStyle name="Notas 4 2 9 6" xfId="23754"/>
    <cellStyle name="Notas 4 2 9 6 2" xfId="31607"/>
    <cellStyle name="Notas 4 2 9 7" xfId="31602"/>
    <cellStyle name="Notas 4 3" xfId="12072"/>
    <cellStyle name="Notas 4 3 10" xfId="40104"/>
    <cellStyle name="Notas 4 3 2" xfId="23755"/>
    <cellStyle name="Notas 4 3 2 2" xfId="31609"/>
    <cellStyle name="Notas 4 3 3" xfId="23756"/>
    <cellStyle name="Notas 4 3 3 2" xfId="31610"/>
    <cellStyle name="Notas 4 3 4" xfId="23757"/>
    <cellStyle name="Notas 4 3 4 2" xfId="31611"/>
    <cellStyle name="Notas 4 3 5" xfId="23758"/>
    <cellStyle name="Notas 4 3 5 2" xfId="31612"/>
    <cellStyle name="Notas 4 3 6" xfId="23759"/>
    <cellStyle name="Notas 4 3 6 2" xfId="31613"/>
    <cellStyle name="Notas 4 3 7" xfId="23760"/>
    <cellStyle name="Notas 4 3 7 2" xfId="31614"/>
    <cellStyle name="Notas 4 3 8" xfId="31608"/>
    <cellStyle name="Notas 4 3 9" xfId="33327"/>
    <cellStyle name="Notas 4 4" xfId="23761"/>
    <cellStyle name="Notas 4 4 2" xfId="23762"/>
    <cellStyle name="Notas 4 4 2 2" xfId="31616"/>
    <cellStyle name="Notas 4 4 3" xfId="23763"/>
    <cellStyle name="Notas 4 4 3 2" xfId="31617"/>
    <cellStyle name="Notas 4 4 4" xfId="23764"/>
    <cellStyle name="Notas 4 4 4 2" xfId="31618"/>
    <cellStyle name="Notas 4 4 5" xfId="23765"/>
    <cellStyle name="Notas 4 4 5 2" xfId="31619"/>
    <cellStyle name="Notas 4 4 6" xfId="23766"/>
    <cellStyle name="Notas 4 4 6 2" xfId="31620"/>
    <cellStyle name="Notas 4 4 7" xfId="31615"/>
    <cellStyle name="Notas 4 5" xfId="23767"/>
    <cellStyle name="Notas 4 5 2" xfId="23768"/>
    <cellStyle name="Notas 4 5 2 2" xfId="31622"/>
    <cellStyle name="Notas 4 5 3" xfId="23769"/>
    <cellStyle name="Notas 4 5 3 2" xfId="31623"/>
    <cellStyle name="Notas 4 5 4" xfId="23770"/>
    <cellStyle name="Notas 4 5 4 2" xfId="31624"/>
    <cellStyle name="Notas 4 5 5" xfId="23771"/>
    <cellStyle name="Notas 4 5 5 2" xfId="31625"/>
    <cellStyle name="Notas 4 5 6" xfId="23772"/>
    <cellStyle name="Notas 4 5 6 2" xfId="31626"/>
    <cellStyle name="Notas 4 5 7" xfId="31621"/>
    <cellStyle name="Notas 4 6" xfId="23773"/>
    <cellStyle name="Notas 4 6 2" xfId="23774"/>
    <cellStyle name="Notas 4 6 2 2" xfId="31628"/>
    <cellStyle name="Notas 4 6 3" xfId="23775"/>
    <cellStyle name="Notas 4 6 3 2" xfId="31629"/>
    <cellStyle name="Notas 4 6 4" xfId="23776"/>
    <cellStyle name="Notas 4 6 4 2" xfId="31630"/>
    <cellStyle name="Notas 4 6 5" xfId="23777"/>
    <cellStyle name="Notas 4 6 5 2" xfId="31631"/>
    <cellStyle name="Notas 4 6 6" xfId="23778"/>
    <cellStyle name="Notas 4 6 6 2" xfId="31632"/>
    <cellStyle name="Notas 4 6 7" xfId="31627"/>
    <cellStyle name="Notas 4 7" xfId="23779"/>
    <cellStyle name="Notas 4 7 2" xfId="23780"/>
    <cellStyle name="Notas 4 7 2 2" xfId="31634"/>
    <cellStyle name="Notas 4 7 3" xfId="23781"/>
    <cellStyle name="Notas 4 7 3 2" xfId="31635"/>
    <cellStyle name="Notas 4 7 4" xfId="23782"/>
    <cellStyle name="Notas 4 7 4 2" xfId="31636"/>
    <cellStyle name="Notas 4 7 5" xfId="23783"/>
    <cellStyle name="Notas 4 7 5 2" xfId="31637"/>
    <cellStyle name="Notas 4 7 6" xfId="23784"/>
    <cellStyle name="Notas 4 7 6 2" xfId="31638"/>
    <cellStyle name="Notas 4 7 7" xfId="31633"/>
    <cellStyle name="Notas 4 8" xfId="23785"/>
    <cellStyle name="Notas 4 8 2" xfId="23786"/>
    <cellStyle name="Notas 4 8 2 2" xfId="31640"/>
    <cellStyle name="Notas 4 8 3" xfId="23787"/>
    <cellStyle name="Notas 4 8 3 2" xfId="31641"/>
    <cellStyle name="Notas 4 8 4" xfId="23788"/>
    <cellStyle name="Notas 4 8 4 2" xfId="31642"/>
    <cellStyle name="Notas 4 8 5" xfId="23789"/>
    <cellStyle name="Notas 4 8 5 2" xfId="31643"/>
    <cellStyle name="Notas 4 8 6" xfId="23790"/>
    <cellStyle name="Notas 4 8 6 2" xfId="31644"/>
    <cellStyle name="Notas 4 8 7" xfId="31639"/>
    <cellStyle name="Notas 4 9" xfId="23791"/>
    <cellStyle name="Notas 4 9 2" xfId="23792"/>
    <cellStyle name="Notas 4 9 2 2" xfId="31646"/>
    <cellStyle name="Notas 4 9 3" xfId="23793"/>
    <cellStyle name="Notas 4 9 3 2" xfId="31647"/>
    <cellStyle name="Notas 4 9 4" xfId="23794"/>
    <cellStyle name="Notas 4 9 4 2" xfId="31648"/>
    <cellStyle name="Notas 4 9 5" xfId="23795"/>
    <cellStyle name="Notas 4 9 5 2" xfId="31649"/>
    <cellStyle name="Notas 4 9 6" xfId="23796"/>
    <cellStyle name="Notas 4 9 6 2" xfId="31650"/>
    <cellStyle name="Notas 4 9 7" xfId="31645"/>
    <cellStyle name="Notas 40" xfId="11145"/>
    <cellStyle name="Notas 40 2" xfId="12073"/>
    <cellStyle name="Notas 40 2 2" xfId="31652"/>
    <cellStyle name="Notas 40 2 3" xfId="33329"/>
    <cellStyle name="Notas 40 2 4" xfId="40106"/>
    <cellStyle name="Notas 40 3" xfId="12074"/>
    <cellStyle name="Notas 40 3 2" xfId="31653"/>
    <cellStyle name="Notas 40 3 3" xfId="33330"/>
    <cellStyle name="Notas 40 3 4" xfId="40107"/>
    <cellStyle name="Notas 40 4" xfId="31651"/>
    <cellStyle name="Notas 40 5" xfId="33328"/>
    <cellStyle name="Notas 40 6" xfId="40105"/>
    <cellStyle name="Notas 41" xfId="11146"/>
    <cellStyle name="Notas 41 2" xfId="12075"/>
    <cellStyle name="Notas 41 2 2" xfId="31655"/>
    <cellStyle name="Notas 41 2 3" xfId="33332"/>
    <cellStyle name="Notas 41 2 4" xfId="40109"/>
    <cellStyle name="Notas 41 3" xfId="12076"/>
    <cellStyle name="Notas 41 3 2" xfId="31656"/>
    <cellStyle name="Notas 41 3 3" xfId="33333"/>
    <cellStyle name="Notas 41 3 4" xfId="40110"/>
    <cellStyle name="Notas 41 4" xfId="31654"/>
    <cellStyle name="Notas 41 5" xfId="33331"/>
    <cellStyle name="Notas 41 6" xfId="40108"/>
    <cellStyle name="Notas 42" xfId="11147"/>
    <cellStyle name="Notas 42 2" xfId="12077"/>
    <cellStyle name="Notas 42 2 2" xfId="31658"/>
    <cellStyle name="Notas 42 2 3" xfId="33335"/>
    <cellStyle name="Notas 42 2 4" xfId="40112"/>
    <cellStyle name="Notas 42 3" xfId="12078"/>
    <cellStyle name="Notas 42 3 2" xfId="31659"/>
    <cellStyle name="Notas 42 3 3" xfId="33336"/>
    <cellStyle name="Notas 42 3 4" xfId="40113"/>
    <cellStyle name="Notas 42 4" xfId="31657"/>
    <cellStyle name="Notas 42 5" xfId="33334"/>
    <cellStyle name="Notas 42 6" xfId="40111"/>
    <cellStyle name="Notas 43" xfId="11148"/>
    <cellStyle name="Notas 43 2" xfId="12079"/>
    <cellStyle name="Notas 43 2 2" xfId="31661"/>
    <cellStyle name="Notas 43 2 3" xfId="33338"/>
    <cellStyle name="Notas 43 2 4" xfId="40115"/>
    <cellStyle name="Notas 43 3" xfId="12080"/>
    <cellStyle name="Notas 43 3 2" xfId="31662"/>
    <cellStyle name="Notas 43 3 3" xfId="33339"/>
    <cellStyle name="Notas 43 3 4" xfId="40116"/>
    <cellStyle name="Notas 43 4" xfId="31660"/>
    <cellStyle name="Notas 43 5" xfId="33337"/>
    <cellStyle name="Notas 43 6" xfId="40114"/>
    <cellStyle name="Notas 44" xfId="11149"/>
    <cellStyle name="Notas 44 2" xfId="12081"/>
    <cellStyle name="Notas 44 2 2" xfId="31664"/>
    <cellStyle name="Notas 44 2 3" xfId="33341"/>
    <cellStyle name="Notas 44 2 4" xfId="40118"/>
    <cellStyle name="Notas 44 3" xfId="12082"/>
    <cellStyle name="Notas 44 3 2" xfId="31665"/>
    <cellStyle name="Notas 44 3 3" xfId="33342"/>
    <cellStyle name="Notas 44 3 4" xfId="40119"/>
    <cellStyle name="Notas 44 4" xfId="31663"/>
    <cellStyle name="Notas 44 5" xfId="33340"/>
    <cellStyle name="Notas 44 6" xfId="40117"/>
    <cellStyle name="Notas 45" xfId="11150"/>
    <cellStyle name="Notas 45 2" xfId="12083"/>
    <cellStyle name="Notas 45 2 2" xfId="31667"/>
    <cellStyle name="Notas 45 2 3" xfId="33344"/>
    <cellStyle name="Notas 45 2 4" xfId="40121"/>
    <cellStyle name="Notas 45 3" xfId="12084"/>
    <cellStyle name="Notas 45 3 2" xfId="31668"/>
    <cellStyle name="Notas 45 3 3" xfId="33345"/>
    <cellStyle name="Notas 45 3 4" xfId="40122"/>
    <cellStyle name="Notas 45 4" xfId="31666"/>
    <cellStyle name="Notas 45 5" xfId="33343"/>
    <cellStyle name="Notas 45 6" xfId="40120"/>
    <cellStyle name="Notas 46" xfId="11151"/>
    <cellStyle name="Notas 46 2" xfId="12085"/>
    <cellStyle name="Notas 46 2 2" xfId="31670"/>
    <cellStyle name="Notas 46 2 3" xfId="33347"/>
    <cellStyle name="Notas 46 2 4" xfId="40124"/>
    <cellStyle name="Notas 46 3" xfId="12086"/>
    <cellStyle name="Notas 46 3 2" xfId="31671"/>
    <cellStyle name="Notas 46 3 3" xfId="33348"/>
    <cellStyle name="Notas 46 3 4" xfId="40125"/>
    <cellStyle name="Notas 46 4" xfId="31669"/>
    <cellStyle name="Notas 46 5" xfId="33346"/>
    <cellStyle name="Notas 46 6" xfId="40123"/>
    <cellStyle name="Notas 47" xfId="11152"/>
    <cellStyle name="Notas 47 2" xfId="12087"/>
    <cellStyle name="Notas 47 2 2" xfId="31673"/>
    <cellStyle name="Notas 47 2 3" xfId="33350"/>
    <cellStyle name="Notas 47 2 4" xfId="40127"/>
    <cellStyle name="Notas 47 3" xfId="12088"/>
    <cellStyle name="Notas 47 3 2" xfId="31674"/>
    <cellStyle name="Notas 47 3 3" xfId="33351"/>
    <cellStyle name="Notas 47 3 4" xfId="40128"/>
    <cellStyle name="Notas 47 4" xfId="31672"/>
    <cellStyle name="Notas 47 5" xfId="33349"/>
    <cellStyle name="Notas 47 6" xfId="40126"/>
    <cellStyle name="Notas 48" xfId="11153"/>
    <cellStyle name="Notas 48 2" xfId="12089"/>
    <cellStyle name="Notas 48 2 2" xfId="31676"/>
    <cellStyle name="Notas 48 2 3" xfId="33353"/>
    <cellStyle name="Notas 48 2 4" xfId="40130"/>
    <cellStyle name="Notas 48 3" xfId="12090"/>
    <cellStyle name="Notas 48 3 2" xfId="31677"/>
    <cellStyle name="Notas 48 3 3" xfId="33354"/>
    <cellStyle name="Notas 48 3 4" xfId="40131"/>
    <cellStyle name="Notas 48 4" xfId="31675"/>
    <cellStyle name="Notas 48 5" xfId="33352"/>
    <cellStyle name="Notas 48 6" xfId="40129"/>
    <cellStyle name="Notas 49" xfId="11154"/>
    <cellStyle name="Notas 49 2" xfId="12091"/>
    <cellStyle name="Notas 49 2 2" xfId="31679"/>
    <cellStyle name="Notas 49 2 3" xfId="33356"/>
    <cellStyle name="Notas 49 2 4" xfId="40133"/>
    <cellStyle name="Notas 49 3" xfId="12092"/>
    <cellStyle name="Notas 49 3 2" xfId="31680"/>
    <cellStyle name="Notas 49 3 3" xfId="33357"/>
    <cellStyle name="Notas 49 3 4" xfId="40134"/>
    <cellStyle name="Notas 49 4" xfId="31678"/>
    <cellStyle name="Notas 49 5" xfId="33355"/>
    <cellStyle name="Notas 49 6" xfId="40132"/>
    <cellStyle name="Notas 5" xfId="11155"/>
    <cellStyle name="Notas 5 2" xfId="12093"/>
    <cellStyle name="Notas 5 2 10" xfId="23797"/>
    <cellStyle name="Notas 5 2 10 2" xfId="23798"/>
    <cellStyle name="Notas 5 2 10 2 2" xfId="31684"/>
    <cellStyle name="Notas 5 2 10 3" xfId="31683"/>
    <cellStyle name="Notas 5 2 11" xfId="23799"/>
    <cellStyle name="Notas 5 2 11 2" xfId="31685"/>
    <cellStyle name="Notas 5 2 12" xfId="31682"/>
    <cellStyle name="Notas 5 2 13" xfId="33359"/>
    <cellStyle name="Notas 5 2 14" xfId="33924"/>
    <cellStyle name="Notas 5 2 15" xfId="40136"/>
    <cellStyle name="Notas 5 2 2" xfId="23800"/>
    <cellStyle name="Notas 5 2 2 2" xfId="23801"/>
    <cellStyle name="Notas 5 2 2 2 2" xfId="31687"/>
    <cellStyle name="Notas 5 2 2 3" xfId="23802"/>
    <cellStyle name="Notas 5 2 2 3 2" xfId="31688"/>
    <cellStyle name="Notas 5 2 2 4" xfId="23803"/>
    <cellStyle name="Notas 5 2 2 4 2" xfId="31689"/>
    <cellStyle name="Notas 5 2 2 5" xfId="23804"/>
    <cellStyle name="Notas 5 2 2 5 2" xfId="31690"/>
    <cellStyle name="Notas 5 2 2 6" xfId="23805"/>
    <cellStyle name="Notas 5 2 2 6 2" xfId="31691"/>
    <cellStyle name="Notas 5 2 2 7" xfId="31686"/>
    <cellStyle name="Notas 5 2 2 8" xfId="40137"/>
    <cellStyle name="Notas 5 2 3" xfId="23806"/>
    <cellStyle name="Notas 5 2 3 2" xfId="23807"/>
    <cellStyle name="Notas 5 2 3 2 2" xfId="31693"/>
    <cellStyle name="Notas 5 2 3 3" xfId="23808"/>
    <cellStyle name="Notas 5 2 3 3 2" xfId="31694"/>
    <cellStyle name="Notas 5 2 3 4" xfId="23809"/>
    <cellStyle name="Notas 5 2 3 4 2" xfId="31695"/>
    <cellStyle name="Notas 5 2 3 5" xfId="23810"/>
    <cellStyle name="Notas 5 2 3 5 2" xfId="31696"/>
    <cellStyle name="Notas 5 2 3 6" xfId="23811"/>
    <cellStyle name="Notas 5 2 3 6 2" xfId="31697"/>
    <cellStyle name="Notas 5 2 3 7" xfId="31692"/>
    <cellStyle name="Notas 5 2 4" xfId="23812"/>
    <cellStyle name="Notas 5 2 4 2" xfId="23813"/>
    <cellStyle name="Notas 5 2 4 2 2" xfId="31699"/>
    <cellStyle name="Notas 5 2 4 3" xfId="23814"/>
    <cellStyle name="Notas 5 2 4 3 2" xfId="31700"/>
    <cellStyle name="Notas 5 2 4 4" xfId="23815"/>
    <cellStyle name="Notas 5 2 4 4 2" xfId="31701"/>
    <cellStyle name="Notas 5 2 4 5" xfId="23816"/>
    <cellStyle name="Notas 5 2 4 5 2" xfId="31702"/>
    <cellStyle name="Notas 5 2 4 6" xfId="23817"/>
    <cellStyle name="Notas 5 2 4 6 2" xfId="31703"/>
    <cellStyle name="Notas 5 2 4 7" xfId="31698"/>
    <cellStyle name="Notas 5 2 5" xfId="23818"/>
    <cellStyle name="Notas 5 2 5 2" xfId="23819"/>
    <cellStyle name="Notas 5 2 5 2 2" xfId="31705"/>
    <cellStyle name="Notas 5 2 5 3" xfId="23820"/>
    <cellStyle name="Notas 5 2 5 3 2" xfId="31706"/>
    <cellStyle name="Notas 5 2 5 4" xfId="23821"/>
    <cellStyle name="Notas 5 2 5 4 2" xfId="31707"/>
    <cellStyle name="Notas 5 2 5 5" xfId="23822"/>
    <cellStyle name="Notas 5 2 5 5 2" xfId="31708"/>
    <cellStyle name="Notas 5 2 5 6" xfId="23823"/>
    <cellStyle name="Notas 5 2 5 6 2" xfId="31709"/>
    <cellStyle name="Notas 5 2 5 7" xfId="31704"/>
    <cellStyle name="Notas 5 2 6" xfId="23824"/>
    <cellStyle name="Notas 5 2 6 2" xfId="23825"/>
    <cellStyle name="Notas 5 2 6 2 2" xfId="31711"/>
    <cellStyle name="Notas 5 2 6 3" xfId="23826"/>
    <cellStyle name="Notas 5 2 6 3 2" xfId="31712"/>
    <cellStyle name="Notas 5 2 6 4" xfId="23827"/>
    <cellStyle name="Notas 5 2 6 4 2" xfId="31713"/>
    <cellStyle name="Notas 5 2 6 5" xfId="23828"/>
    <cellStyle name="Notas 5 2 6 5 2" xfId="31714"/>
    <cellStyle name="Notas 5 2 6 6" xfId="23829"/>
    <cellStyle name="Notas 5 2 6 6 2" xfId="31715"/>
    <cellStyle name="Notas 5 2 6 7" xfId="31710"/>
    <cellStyle name="Notas 5 2 7" xfId="23830"/>
    <cellStyle name="Notas 5 2 7 2" xfId="23831"/>
    <cellStyle name="Notas 5 2 7 2 2" xfId="31717"/>
    <cellStyle name="Notas 5 2 7 3" xfId="23832"/>
    <cellStyle name="Notas 5 2 7 3 2" xfId="31718"/>
    <cellStyle name="Notas 5 2 7 4" xfId="23833"/>
    <cellStyle name="Notas 5 2 7 4 2" xfId="31719"/>
    <cellStyle name="Notas 5 2 7 5" xfId="23834"/>
    <cellStyle name="Notas 5 2 7 5 2" xfId="31720"/>
    <cellStyle name="Notas 5 2 7 6" xfId="23835"/>
    <cellStyle name="Notas 5 2 7 6 2" xfId="31721"/>
    <cellStyle name="Notas 5 2 7 7" xfId="31716"/>
    <cellStyle name="Notas 5 2 8" xfId="23836"/>
    <cellStyle name="Notas 5 2 8 2" xfId="23837"/>
    <cellStyle name="Notas 5 2 8 2 2" xfId="31723"/>
    <cellStyle name="Notas 5 2 8 3" xfId="23838"/>
    <cellStyle name="Notas 5 2 8 3 2" xfId="31724"/>
    <cellStyle name="Notas 5 2 8 4" xfId="23839"/>
    <cellStyle name="Notas 5 2 8 4 2" xfId="31725"/>
    <cellStyle name="Notas 5 2 8 5" xfId="23840"/>
    <cellStyle name="Notas 5 2 8 5 2" xfId="31726"/>
    <cellStyle name="Notas 5 2 8 6" xfId="23841"/>
    <cellStyle name="Notas 5 2 8 6 2" xfId="31727"/>
    <cellStyle name="Notas 5 2 8 7" xfId="31722"/>
    <cellStyle name="Notas 5 2 9" xfId="23842"/>
    <cellStyle name="Notas 5 2 9 2" xfId="23843"/>
    <cellStyle name="Notas 5 2 9 2 2" xfId="31729"/>
    <cellStyle name="Notas 5 2 9 3" xfId="23844"/>
    <cellStyle name="Notas 5 2 9 3 2" xfId="31730"/>
    <cellStyle name="Notas 5 2 9 4" xfId="23845"/>
    <cellStyle name="Notas 5 2 9 4 2" xfId="31731"/>
    <cellStyle name="Notas 5 2 9 5" xfId="23846"/>
    <cellStyle name="Notas 5 2 9 5 2" xfId="31732"/>
    <cellStyle name="Notas 5 2 9 6" xfId="23847"/>
    <cellStyle name="Notas 5 2 9 6 2" xfId="31733"/>
    <cellStyle name="Notas 5 2 9 7" xfId="31728"/>
    <cellStyle name="Notas 5 3" xfId="12094"/>
    <cellStyle name="Notas 5 3 2" xfId="31734"/>
    <cellStyle name="Notas 5 3 3" xfId="33360"/>
    <cellStyle name="Notas 5 3 4" xfId="40138"/>
    <cellStyle name="Notas 5 4" xfId="23848"/>
    <cellStyle name="Notas 5 5" xfId="31681"/>
    <cellStyle name="Notas 5 6" xfId="33358"/>
    <cellStyle name="Notas 5 7" xfId="40135"/>
    <cellStyle name="Notas 50" xfId="11156"/>
    <cellStyle name="Notas 50 2" xfId="12095"/>
    <cellStyle name="Notas 50 2 2" xfId="31736"/>
    <cellStyle name="Notas 50 2 3" xfId="33362"/>
    <cellStyle name="Notas 50 2 4" xfId="40140"/>
    <cellStyle name="Notas 50 3" xfId="12096"/>
    <cellStyle name="Notas 50 3 2" xfId="31737"/>
    <cellStyle name="Notas 50 3 3" xfId="33363"/>
    <cellStyle name="Notas 50 3 4" xfId="40141"/>
    <cellStyle name="Notas 50 4" xfId="31735"/>
    <cellStyle name="Notas 50 5" xfId="33361"/>
    <cellStyle name="Notas 50 6" xfId="40139"/>
    <cellStyle name="Notas 6" xfId="11157"/>
    <cellStyle name="Notas 6 2" xfId="12097"/>
    <cellStyle name="Notas 6 2 10" xfId="23849"/>
    <cellStyle name="Notas 6 2 10 2" xfId="23850"/>
    <cellStyle name="Notas 6 2 10 2 2" xfId="31741"/>
    <cellStyle name="Notas 6 2 10 3" xfId="31740"/>
    <cellStyle name="Notas 6 2 11" xfId="23851"/>
    <cellStyle name="Notas 6 2 11 2" xfId="31742"/>
    <cellStyle name="Notas 6 2 12" xfId="31739"/>
    <cellStyle name="Notas 6 2 13" xfId="33365"/>
    <cellStyle name="Notas 6 2 14" xfId="33925"/>
    <cellStyle name="Notas 6 2 15" xfId="40143"/>
    <cellStyle name="Notas 6 2 2" xfId="23852"/>
    <cellStyle name="Notas 6 2 2 2" xfId="23853"/>
    <cellStyle name="Notas 6 2 2 2 2" xfId="31744"/>
    <cellStyle name="Notas 6 2 2 3" xfId="23854"/>
    <cellStyle name="Notas 6 2 2 3 2" xfId="31745"/>
    <cellStyle name="Notas 6 2 2 4" xfId="23855"/>
    <cellStyle name="Notas 6 2 2 4 2" xfId="31746"/>
    <cellStyle name="Notas 6 2 2 5" xfId="23856"/>
    <cellStyle name="Notas 6 2 2 5 2" xfId="31747"/>
    <cellStyle name="Notas 6 2 2 6" xfId="23857"/>
    <cellStyle name="Notas 6 2 2 6 2" xfId="31748"/>
    <cellStyle name="Notas 6 2 2 7" xfId="31743"/>
    <cellStyle name="Notas 6 2 2 8" xfId="40144"/>
    <cellStyle name="Notas 6 2 3" xfId="23858"/>
    <cellStyle name="Notas 6 2 3 2" xfId="23859"/>
    <cellStyle name="Notas 6 2 3 2 2" xfId="31750"/>
    <cellStyle name="Notas 6 2 3 3" xfId="23860"/>
    <cellStyle name="Notas 6 2 3 3 2" xfId="31751"/>
    <cellStyle name="Notas 6 2 3 4" xfId="23861"/>
    <cellStyle name="Notas 6 2 3 4 2" xfId="31752"/>
    <cellStyle name="Notas 6 2 3 5" xfId="23862"/>
    <cellStyle name="Notas 6 2 3 5 2" xfId="31753"/>
    <cellStyle name="Notas 6 2 3 6" xfId="23863"/>
    <cellStyle name="Notas 6 2 3 6 2" xfId="31754"/>
    <cellStyle name="Notas 6 2 3 7" xfId="31749"/>
    <cellStyle name="Notas 6 2 4" xfId="23864"/>
    <cellStyle name="Notas 6 2 4 2" xfId="23865"/>
    <cellStyle name="Notas 6 2 4 2 2" xfId="31756"/>
    <cellStyle name="Notas 6 2 4 3" xfId="23866"/>
    <cellStyle name="Notas 6 2 4 3 2" xfId="31757"/>
    <cellStyle name="Notas 6 2 4 4" xfId="23867"/>
    <cellStyle name="Notas 6 2 4 4 2" xfId="31758"/>
    <cellStyle name="Notas 6 2 4 5" xfId="23868"/>
    <cellStyle name="Notas 6 2 4 5 2" xfId="31759"/>
    <cellStyle name="Notas 6 2 4 6" xfId="23869"/>
    <cellStyle name="Notas 6 2 4 6 2" xfId="31760"/>
    <cellStyle name="Notas 6 2 4 7" xfId="31755"/>
    <cellStyle name="Notas 6 2 5" xfId="23870"/>
    <cellStyle name="Notas 6 2 5 2" xfId="23871"/>
    <cellStyle name="Notas 6 2 5 2 2" xfId="31762"/>
    <cellStyle name="Notas 6 2 5 3" xfId="23872"/>
    <cellStyle name="Notas 6 2 5 3 2" xfId="31763"/>
    <cellStyle name="Notas 6 2 5 4" xfId="23873"/>
    <cellStyle name="Notas 6 2 5 4 2" xfId="31764"/>
    <cellStyle name="Notas 6 2 5 5" xfId="23874"/>
    <cellStyle name="Notas 6 2 5 5 2" xfId="31765"/>
    <cellStyle name="Notas 6 2 5 6" xfId="23875"/>
    <cellStyle name="Notas 6 2 5 6 2" xfId="31766"/>
    <cellStyle name="Notas 6 2 5 7" xfId="31761"/>
    <cellStyle name="Notas 6 2 6" xfId="23876"/>
    <cellStyle name="Notas 6 2 6 2" xfId="23877"/>
    <cellStyle name="Notas 6 2 6 2 2" xfId="31768"/>
    <cellStyle name="Notas 6 2 6 3" xfId="23878"/>
    <cellStyle name="Notas 6 2 6 3 2" xfId="31769"/>
    <cellStyle name="Notas 6 2 6 4" xfId="23879"/>
    <cellStyle name="Notas 6 2 6 4 2" xfId="31770"/>
    <cellStyle name="Notas 6 2 6 5" xfId="23880"/>
    <cellStyle name="Notas 6 2 6 5 2" xfId="31771"/>
    <cellStyle name="Notas 6 2 6 6" xfId="23881"/>
    <cellStyle name="Notas 6 2 6 6 2" xfId="31772"/>
    <cellStyle name="Notas 6 2 6 7" xfId="31767"/>
    <cellStyle name="Notas 6 2 7" xfId="23882"/>
    <cellStyle name="Notas 6 2 7 2" xfId="23883"/>
    <cellStyle name="Notas 6 2 7 2 2" xfId="31774"/>
    <cellStyle name="Notas 6 2 7 3" xfId="23884"/>
    <cellStyle name="Notas 6 2 7 3 2" xfId="31775"/>
    <cellStyle name="Notas 6 2 7 4" xfId="23885"/>
    <cellStyle name="Notas 6 2 7 4 2" xfId="31776"/>
    <cellStyle name="Notas 6 2 7 5" xfId="23886"/>
    <cellStyle name="Notas 6 2 7 5 2" xfId="31777"/>
    <cellStyle name="Notas 6 2 7 6" xfId="23887"/>
    <cellStyle name="Notas 6 2 7 6 2" xfId="31778"/>
    <cellStyle name="Notas 6 2 7 7" xfId="31773"/>
    <cellStyle name="Notas 6 2 8" xfId="23888"/>
    <cellStyle name="Notas 6 2 8 2" xfId="23889"/>
    <cellStyle name="Notas 6 2 8 2 2" xfId="31780"/>
    <cellStyle name="Notas 6 2 8 3" xfId="23890"/>
    <cellStyle name="Notas 6 2 8 3 2" xfId="31781"/>
    <cellStyle name="Notas 6 2 8 4" xfId="23891"/>
    <cellStyle name="Notas 6 2 8 4 2" xfId="31782"/>
    <cellStyle name="Notas 6 2 8 5" xfId="23892"/>
    <cellStyle name="Notas 6 2 8 5 2" xfId="31783"/>
    <cellStyle name="Notas 6 2 8 6" xfId="23893"/>
    <cellStyle name="Notas 6 2 8 6 2" xfId="31784"/>
    <cellStyle name="Notas 6 2 8 7" xfId="31779"/>
    <cellStyle name="Notas 6 2 9" xfId="23894"/>
    <cellStyle name="Notas 6 2 9 2" xfId="23895"/>
    <cellStyle name="Notas 6 2 9 2 2" xfId="31786"/>
    <cellStyle name="Notas 6 2 9 3" xfId="23896"/>
    <cellStyle name="Notas 6 2 9 3 2" xfId="31787"/>
    <cellStyle name="Notas 6 2 9 4" xfId="23897"/>
    <cellStyle name="Notas 6 2 9 4 2" xfId="31788"/>
    <cellStyle name="Notas 6 2 9 5" xfId="23898"/>
    <cellStyle name="Notas 6 2 9 5 2" xfId="31789"/>
    <cellStyle name="Notas 6 2 9 6" xfId="23899"/>
    <cellStyle name="Notas 6 2 9 6 2" xfId="31790"/>
    <cellStyle name="Notas 6 2 9 7" xfId="31785"/>
    <cellStyle name="Notas 6 3" xfId="12098"/>
    <cellStyle name="Notas 6 3 2" xfId="31791"/>
    <cellStyle name="Notas 6 3 3" xfId="33366"/>
    <cellStyle name="Notas 6 3 4" xfId="40145"/>
    <cellStyle name="Notas 6 4" xfId="31738"/>
    <cellStyle name="Notas 6 5" xfId="33364"/>
    <cellStyle name="Notas 6 6" xfId="40142"/>
    <cellStyle name="Notas 7" xfId="11158"/>
    <cellStyle name="Notas 7 2" xfId="12099"/>
    <cellStyle name="Notas 7 2 10" xfId="23900"/>
    <cellStyle name="Notas 7 2 10 2" xfId="23901"/>
    <cellStyle name="Notas 7 2 10 2 2" xfId="31795"/>
    <cellStyle name="Notas 7 2 10 3" xfId="31794"/>
    <cellStyle name="Notas 7 2 11" xfId="23902"/>
    <cellStyle name="Notas 7 2 11 2" xfId="31796"/>
    <cellStyle name="Notas 7 2 12" xfId="31793"/>
    <cellStyle name="Notas 7 2 13" xfId="33368"/>
    <cellStyle name="Notas 7 2 14" xfId="33926"/>
    <cellStyle name="Notas 7 2 15" xfId="40147"/>
    <cellStyle name="Notas 7 2 2" xfId="23903"/>
    <cellStyle name="Notas 7 2 2 2" xfId="23904"/>
    <cellStyle name="Notas 7 2 2 2 2" xfId="31798"/>
    <cellStyle name="Notas 7 2 2 3" xfId="23905"/>
    <cellStyle name="Notas 7 2 2 3 2" xfId="31799"/>
    <cellStyle name="Notas 7 2 2 4" xfId="23906"/>
    <cellStyle name="Notas 7 2 2 4 2" xfId="31800"/>
    <cellStyle name="Notas 7 2 2 5" xfId="23907"/>
    <cellStyle name="Notas 7 2 2 5 2" xfId="31801"/>
    <cellStyle name="Notas 7 2 2 6" xfId="23908"/>
    <cellStyle name="Notas 7 2 2 6 2" xfId="31802"/>
    <cellStyle name="Notas 7 2 2 7" xfId="31797"/>
    <cellStyle name="Notas 7 2 2 8" xfId="40148"/>
    <cellStyle name="Notas 7 2 3" xfId="23909"/>
    <cellStyle name="Notas 7 2 3 2" xfId="23910"/>
    <cellStyle name="Notas 7 2 3 2 2" xfId="31804"/>
    <cellStyle name="Notas 7 2 3 3" xfId="23911"/>
    <cellStyle name="Notas 7 2 3 3 2" xfId="31805"/>
    <cellStyle name="Notas 7 2 3 4" xfId="23912"/>
    <cellStyle name="Notas 7 2 3 4 2" xfId="31806"/>
    <cellStyle name="Notas 7 2 3 5" xfId="23913"/>
    <cellStyle name="Notas 7 2 3 5 2" xfId="31807"/>
    <cellStyle name="Notas 7 2 3 6" xfId="23914"/>
    <cellStyle name="Notas 7 2 3 6 2" xfId="31808"/>
    <cellStyle name="Notas 7 2 3 7" xfId="31803"/>
    <cellStyle name="Notas 7 2 4" xfId="23915"/>
    <cellStyle name="Notas 7 2 4 2" xfId="23916"/>
    <cellStyle name="Notas 7 2 4 2 2" xfId="31810"/>
    <cellStyle name="Notas 7 2 4 3" xfId="23917"/>
    <cellStyle name="Notas 7 2 4 3 2" xfId="31811"/>
    <cellStyle name="Notas 7 2 4 4" xfId="23918"/>
    <cellStyle name="Notas 7 2 4 4 2" xfId="31812"/>
    <cellStyle name="Notas 7 2 4 5" xfId="23919"/>
    <cellStyle name="Notas 7 2 4 5 2" xfId="31813"/>
    <cellStyle name="Notas 7 2 4 6" xfId="23920"/>
    <cellStyle name="Notas 7 2 4 6 2" xfId="31814"/>
    <cellStyle name="Notas 7 2 4 7" xfId="31809"/>
    <cellStyle name="Notas 7 2 5" xfId="23921"/>
    <cellStyle name="Notas 7 2 5 2" xfId="23922"/>
    <cellStyle name="Notas 7 2 5 2 2" xfId="31816"/>
    <cellStyle name="Notas 7 2 5 3" xfId="23923"/>
    <cellStyle name="Notas 7 2 5 3 2" xfId="31817"/>
    <cellStyle name="Notas 7 2 5 4" xfId="23924"/>
    <cellStyle name="Notas 7 2 5 4 2" xfId="31818"/>
    <cellStyle name="Notas 7 2 5 5" xfId="23925"/>
    <cellStyle name="Notas 7 2 5 5 2" xfId="31819"/>
    <cellStyle name="Notas 7 2 5 6" xfId="23926"/>
    <cellStyle name="Notas 7 2 5 6 2" xfId="31820"/>
    <cellStyle name="Notas 7 2 5 7" xfId="31815"/>
    <cellStyle name="Notas 7 2 6" xfId="23927"/>
    <cellStyle name="Notas 7 2 6 2" xfId="23928"/>
    <cellStyle name="Notas 7 2 6 2 2" xfId="31822"/>
    <cellStyle name="Notas 7 2 6 3" xfId="23929"/>
    <cellStyle name="Notas 7 2 6 3 2" xfId="31823"/>
    <cellStyle name="Notas 7 2 6 4" xfId="23930"/>
    <cellStyle name="Notas 7 2 6 4 2" xfId="31824"/>
    <cellStyle name="Notas 7 2 6 5" xfId="23931"/>
    <cellStyle name="Notas 7 2 6 5 2" xfId="31825"/>
    <cellStyle name="Notas 7 2 6 6" xfId="23932"/>
    <cellStyle name="Notas 7 2 6 6 2" xfId="31826"/>
    <cellStyle name="Notas 7 2 6 7" xfId="31821"/>
    <cellStyle name="Notas 7 2 7" xfId="23933"/>
    <cellStyle name="Notas 7 2 7 2" xfId="23934"/>
    <cellStyle name="Notas 7 2 7 2 2" xfId="31828"/>
    <cellStyle name="Notas 7 2 7 3" xfId="23935"/>
    <cellStyle name="Notas 7 2 7 3 2" xfId="31829"/>
    <cellStyle name="Notas 7 2 7 4" xfId="23936"/>
    <cellStyle name="Notas 7 2 7 4 2" xfId="31830"/>
    <cellStyle name="Notas 7 2 7 5" xfId="23937"/>
    <cellStyle name="Notas 7 2 7 5 2" xfId="31831"/>
    <cellStyle name="Notas 7 2 7 6" xfId="23938"/>
    <cellStyle name="Notas 7 2 7 6 2" xfId="31832"/>
    <cellStyle name="Notas 7 2 7 7" xfId="31827"/>
    <cellStyle name="Notas 7 2 8" xfId="23939"/>
    <cellStyle name="Notas 7 2 8 2" xfId="23940"/>
    <cellStyle name="Notas 7 2 8 2 2" xfId="31834"/>
    <cellStyle name="Notas 7 2 8 3" xfId="23941"/>
    <cellStyle name="Notas 7 2 8 3 2" xfId="31835"/>
    <cellStyle name="Notas 7 2 8 4" xfId="23942"/>
    <cellStyle name="Notas 7 2 8 4 2" xfId="31836"/>
    <cellStyle name="Notas 7 2 8 5" xfId="23943"/>
    <cellStyle name="Notas 7 2 8 5 2" xfId="31837"/>
    <cellStyle name="Notas 7 2 8 6" xfId="23944"/>
    <cellStyle name="Notas 7 2 8 6 2" xfId="31838"/>
    <cellStyle name="Notas 7 2 8 7" xfId="31833"/>
    <cellStyle name="Notas 7 2 9" xfId="23945"/>
    <cellStyle name="Notas 7 2 9 2" xfId="23946"/>
    <cellStyle name="Notas 7 2 9 2 2" xfId="31840"/>
    <cellStyle name="Notas 7 2 9 3" xfId="23947"/>
    <cellStyle name="Notas 7 2 9 3 2" xfId="31841"/>
    <cellStyle name="Notas 7 2 9 4" xfId="23948"/>
    <cellStyle name="Notas 7 2 9 4 2" xfId="31842"/>
    <cellStyle name="Notas 7 2 9 5" xfId="23949"/>
    <cellStyle name="Notas 7 2 9 5 2" xfId="31843"/>
    <cellStyle name="Notas 7 2 9 6" xfId="23950"/>
    <cellStyle name="Notas 7 2 9 6 2" xfId="31844"/>
    <cellStyle name="Notas 7 2 9 7" xfId="31839"/>
    <cellStyle name="Notas 7 3" xfId="12100"/>
    <cellStyle name="Notas 7 3 2" xfId="31845"/>
    <cellStyle name="Notas 7 3 3" xfId="33369"/>
    <cellStyle name="Notas 7 3 4" xfId="40149"/>
    <cellStyle name="Notas 7 4" xfId="31792"/>
    <cellStyle name="Notas 7 5" xfId="33367"/>
    <cellStyle name="Notas 7 6" xfId="40146"/>
    <cellStyle name="Notas 8" xfId="11159"/>
    <cellStyle name="Notas 8 2" xfId="12101"/>
    <cellStyle name="Notas 8 2 10" xfId="23951"/>
    <cellStyle name="Notas 8 2 10 2" xfId="23952"/>
    <cellStyle name="Notas 8 2 10 2 2" xfId="31849"/>
    <cellStyle name="Notas 8 2 10 3" xfId="31848"/>
    <cellStyle name="Notas 8 2 11" xfId="23953"/>
    <cellStyle name="Notas 8 2 11 2" xfId="31850"/>
    <cellStyle name="Notas 8 2 12" xfId="31847"/>
    <cellStyle name="Notas 8 2 13" xfId="33371"/>
    <cellStyle name="Notas 8 2 14" xfId="33927"/>
    <cellStyle name="Notas 8 2 15" xfId="40151"/>
    <cellStyle name="Notas 8 2 2" xfId="23954"/>
    <cellStyle name="Notas 8 2 2 2" xfId="23955"/>
    <cellStyle name="Notas 8 2 2 2 2" xfId="31852"/>
    <cellStyle name="Notas 8 2 2 3" xfId="23956"/>
    <cellStyle name="Notas 8 2 2 3 2" xfId="31853"/>
    <cellStyle name="Notas 8 2 2 4" xfId="23957"/>
    <cellStyle name="Notas 8 2 2 4 2" xfId="31854"/>
    <cellStyle name="Notas 8 2 2 5" xfId="23958"/>
    <cellStyle name="Notas 8 2 2 5 2" xfId="31855"/>
    <cellStyle name="Notas 8 2 2 6" xfId="23959"/>
    <cellStyle name="Notas 8 2 2 6 2" xfId="31856"/>
    <cellStyle name="Notas 8 2 2 7" xfId="31851"/>
    <cellStyle name="Notas 8 2 2 8" xfId="40152"/>
    <cellStyle name="Notas 8 2 3" xfId="23960"/>
    <cellStyle name="Notas 8 2 3 2" xfId="23961"/>
    <cellStyle name="Notas 8 2 3 2 2" xfId="31858"/>
    <cellStyle name="Notas 8 2 3 3" xfId="23962"/>
    <cellStyle name="Notas 8 2 3 3 2" xfId="31859"/>
    <cellStyle name="Notas 8 2 3 4" xfId="23963"/>
    <cellStyle name="Notas 8 2 3 4 2" xfId="31860"/>
    <cellStyle name="Notas 8 2 3 5" xfId="23964"/>
    <cellStyle name="Notas 8 2 3 5 2" xfId="31861"/>
    <cellStyle name="Notas 8 2 3 6" xfId="23965"/>
    <cellStyle name="Notas 8 2 3 6 2" xfId="31862"/>
    <cellStyle name="Notas 8 2 3 7" xfId="31857"/>
    <cellStyle name="Notas 8 2 4" xfId="23966"/>
    <cellStyle name="Notas 8 2 4 2" xfId="23967"/>
    <cellStyle name="Notas 8 2 4 2 2" xfId="31864"/>
    <cellStyle name="Notas 8 2 4 3" xfId="23968"/>
    <cellStyle name="Notas 8 2 4 3 2" xfId="31865"/>
    <cellStyle name="Notas 8 2 4 4" xfId="23969"/>
    <cellStyle name="Notas 8 2 4 4 2" xfId="31866"/>
    <cellStyle name="Notas 8 2 4 5" xfId="23970"/>
    <cellStyle name="Notas 8 2 4 5 2" xfId="31867"/>
    <cellStyle name="Notas 8 2 4 6" xfId="23971"/>
    <cellStyle name="Notas 8 2 4 6 2" xfId="31868"/>
    <cellStyle name="Notas 8 2 4 7" xfId="31863"/>
    <cellStyle name="Notas 8 2 5" xfId="23972"/>
    <cellStyle name="Notas 8 2 5 2" xfId="23973"/>
    <cellStyle name="Notas 8 2 5 2 2" xfId="31870"/>
    <cellStyle name="Notas 8 2 5 3" xfId="23974"/>
    <cellStyle name="Notas 8 2 5 3 2" xfId="31871"/>
    <cellStyle name="Notas 8 2 5 4" xfId="23975"/>
    <cellStyle name="Notas 8 2 5 4 2" xfId="31872"/>
    <cellStyle name="Notas 8 2 5 5" xfId="23976"/>
    <cellStyle name="Notas 8 2 5 5 2" xfId="31873"/>
    <cellStyle name="Notas 8 2 5 6" xfId="23977"/>
    <cellStyle name="Notas 8 2 5 6 2" xfId="31874"/>
    <cellStyle name="Notas 8 2 5 7" xfId="31869"/>
    <cellStyle name="Notas 8 2 6" xfId="23978"/>
    <cellStyle name="Notas 8 2 6 2" xfId="23979"/>
    <cellStyle name="Notas 8 2 6 2 2" xfId="31876"/>
    <cellStyle name="Notas 8 2 6 3" xfId="23980"/>
    <cellStyle name="Notas 8 2 6 3 2" xfId="31877"/>
    <cellStyle name="Notas 8 2 6 4" xfId="23981"/>
    <cellStyle name="Notas 8 2 6 4 2" xfId="31878"/>
    <cellStyle name="Notas 8 2 6 5" xfId="23982"/>
    <cellStyle name="Notas 8 2 6 5 2" xfId="31879"/>
    <cellStyle name="Notas 8 2 6 6" xfId="23983"/>
    <cellStyle name="Notas 8 2 6 6 2" xfId="31880"/>
    <cellStyle name="Notas 8 2 6 7" xfId="31875"/>
    <cellStyle name="Notas 8 2 7" xfId="23984"/>
    <cellStyle name="Notas 8 2 7 2" xfId="23985"/>
    <cellStyle name="Notas 8 2 7 2 2" xfId="31882"/>
    <cellStyle name="Notas 8 2 7 3" xfId="23986"/>
    <cellStyle name="Notas 8 2 7 3 2" xfId="31883"/>
    <cellStyle name="Notas 8 2 7 4" xfId="23987"/>
    <cellStyle name="Notas 8 2 7 4 2" xfId="31884"/>
    <cellStyle name="Notas 8 2 7 5" xfId="23988"/>
    <cellStyle name="Notas 8 2 7 5 2" xfId="31885"/>
    <cellStyle name="Notas 8 2 7 6" xfId="23989"/>
    <cellStyle name="Notas 8 2 7 6 2" xfId="31886"/>
    <cellStyle name="Notas 8 2 7 7" xfId="31881"/>
    <cellStyle name="Notas 8 2 8" xfId="23990"/>
    <cellStyle name="Notas 8 2 8 2" xfId="23991"/>
    <cellStyle name="Notas 8 2 8 2 2" xfId="31888"/>
    <cellStyle name="Notas 8 2 8 3" xfId="23992"/>
    <cellStyle name="Notas 8 2 8 3 2" xfId="31889"/>
    <cellStyle name="Notas 8 2 8 4" xfId="23993"/>
    <cellStyle name="Notas 8 2 8 4 2" xfId="31890"/>
    <cellStyle name="Notas 8 2 8 5" xfId="23994"/>
    <cellStyle name="Notas 8 2 8 5 2" xfId="31891"/>
    <cellStyle name="Notas 8 2 8 6" xfId="23995"/>
    <cellStyle name="Notas 8 2 8 6 2" xfId="31892"/>
    <cellStyle name="Notas 8 2 8 7" xfId="31887"/>
    <cellStyle name="Notas 8 2 9" xfId="23996"/>
    <cellStyle name="Notas 8 2 9 2" xfId="23997"/>
    <cellStyle name="Notas 8 2 9 2 2" xfId="31894"/>
    <cellStyle name="Notas 8 2 9 3" xfId="23998"/>
    <cellStyle name="Notas 8 2 9 3 2" xfId="31895"/>
    <cellStyle name="Notas 8 2 9 4" xfId="23999"/>
    <cellStyle name="Notas 8 2 9 4 2" xfId="31896"/>
    <cellStyle name="Notas 8 2 9 5" xfId="24000"/>
    <cellStyle name="Notas 8 2 9 5 2" xfId="31897"/>
    <cellStyle name="Notas 8 2 9 6" xfId="24001"/>
    <cellStyle name="Notas 8 2 9 6 2" xfId="31898"/>
    <cellStyle name="Notas 8 2 9 7" xfId="31893"/>
    <cellStyle name="Notas 8 3" xfId="12102"/>
    <cellStyle name="Notas 8 3 2" xfId="31899"/>
    <cellStyle name="Notas 8 3 3" xfId="33372"/>
    <cellStyle name="Notas 8 3 4" xfId="40153"/>
    <cellStyle name="Notas 8 4" xfId="31846"/>
    <cellStyle name="Notas 8 5" xfId="33370"/>
    <cellStyle name="Notas 8 6" xfId="40150"/>
    <cellStyle name="Notas 9" xfId="11160"/>
    <cellStyle name="Notas 9 2" xfId="12103"/>
    <cellStyle name="Notas 9 2 10" xfId="24002"/>
    <cellStyle name="Notas 9 2 10 2" xfId="24003"/>
    <cellStyle name="Notas 9 2 10 2 2" xfId="31903"/>
    <cellStyle name="Notas 9 2 10 3" xfId="31902"/>
    <cellStyle name="Notas 9 2 11" xfId="24004"/>
    <cellStyle name="Notas 9 2 11 2" xfId="31904"/>
    <cellStyle name="Notas 9 2 12" xfId="31901"/>
    <cellStyle name="Notas 9 2 13" xfId="33374"/>
    <cellStyle name="Notas 9 2 14" xfId="33928"/>
    <cellStyle name="Notas 9 2 15" xfId="40155"/>
    <cellStyle name="Notas 9 2 2" xfId="24005"/>
    <cellStyle name="Notas 9 2 2 2" xfId="24006"/>
    <cellStyle name="Notas 9 2 2 2 2" xfId="31906"/>
    <cellStyle name="Notas 9 2 2 3" xfId="24007"/>
    <cellStyle name="Notas 9 2 2 3 2" xfId="31907"/>
    <cellStyle name="Notas 9 2 2 4" xfId="24008"/>
    <cellStyle name="Notas 9 2 2 4 2" xfId="31908"/>
    <cellStyle name="Notas 9 2 2 5" xfId="24009"/>
    <cellStyle name="Notas 9 2 2 5 2" xfId="31909"/>
    <cellStyle name="Notas 9 2 2 6" xfId="24010"/>
    <cellStyle name="Notas 9 2 2 6 2" xfId="31910"/>
    <cellStyle name="Notas 9 2 2 7" xfId="31905"/>
    <cellStyle name="Notas 9 2 2 8" xfId="40156"/>
    <cellStyle name="Notas 9 2 3" xfId="24011"/>
    <cellStyle name="Notas 9 2 3 2" xfId="24012"/>
    <cellStyle name="Notas 9 2 3 2 2" xfId="31912"/>
    <cellStyle name="Notas 9 2 3 3" xfId="24013"/>
    <cellStyle name="Notas 9 2 3 3 2" xfId="31913"/>
    <cellStyle name="Notas 9 2 3 4" xfId="24014"/>
    <cellStyle name="Notas 9 2 3 4 2" xfId="31914"/>
    <cellStyle name="Notas 9 2 3 5" xfId="24015"/>
    <cellStyle name="Notas 9 2 3 5 2" xfId="31915"/>
    <cellStyle name="Notas 9 2 3 6" xfId="24016"/>
    <cellStyle name="Notas 9 2 3 6 2" xfId="31916"/>
    <cellStyle name="Notas 9 2 3 7" xfId="31911"/>
    <cellStyle name="Notas 9 2 4" xfId="24017"/>
    <cellStyle name="Notas 9 2 4 2" xfId="24018"/>
    <cellStyle name="Notas 9 2 4 2 2" xfId="31918"/>
    <cellStyle name="Notas 9 2 4 3" xfId="24019"/>
    <cellStyle name="Notas 9 2 4 3 2" xfId="31919"/>
    <cellStyle name="Notas 9 2 4 4" xfId="24020"/>
    <cellStyle name="Notas 9 2 4 4 2" xfId="31920"/>
    <cellStyle name="Notas 9 2 4 5" xfId="24021"/>
    <cellStyle name="Notas 9 2 4 5 2" xfId="31921"/>
    <cellStyle name="Notas 9 2 4 6" xfId="24022"/>
    <cellStyle name="Notas 9 2 4 6 2" xfId="31922"/>
    <cellStyle name="Notas 9 2 4 7" xfId="31917"/>
    <cellStyle name="Notas 9 2 5" xfId="24023"/>
    <cellStyle name="Notas 9 2 5 2" xfId="24024"/>
    <cellStyle name="Notas 9 2 5 2 2" xfId="31924"/>
    <cellStyle name="Notas 9 2 5 3" xfId="24025"/>
    <cellStyle name="Notas 9 2 5 3 2" xfId="31925"/>
    <cellStyle name="Notas 9 2 5 4" xfId="24026"/>
    <cellStyle name="Notas 9 2 5 4 2" xfId="31926"/>
    <cellStyle name="Notas 9 2 5 5" xfId="24027"/>
    <cellStyle name="Notas 9 2 5 5 2" xfId="31927"/>
    <cellStyle name="Notas 9 2 5 6" xfId="24028"/>
    <cellStyle name="Notas 9 2 5 6 2" xfId="31928"/>
    <cellStyle name="Notas 9 2 5 7" xfId="31923"/>
    <cellStyle name="Notas 9 2 6" xfId="24029"/>
    <cellStyle name="Notas 9 2 6 2" xfId="24030"/>
    <cellStyle name="Notas 9 2 6 2 2" xfId="31930"/>
    <cellStyle name="Notas 9 2 6 3" xfId="24031"/>
    <cellStyle name="Notas 9 2 6 3 2" xfId="31931"/>
    <cellStyle name="Notas 9 2 6 4" xfId="24032"/>
    <cellStyle name="Notas 9 2 6 4 2" xfId="31932"/>
    <cellStyle name="Notas 9 2 6 5" xfId="24033"/>
    <cellStyle name="Notas 9 2 6 5 2" xfId="31933"/>
    <cellStyle name="Notas 9 2 6 6" xfId="24034"/>
    <cellStyle name="Notas 9 2 6 6 2" xfId="31934"/>
    <cellStyle name="Notas 9 2 6 7" xfId="31929"/>
    <cellStyle name="Notas 9 2 7" xfId="24035"/>
    <cellStyle name="Notas 9 2 7 2" xfId="24036"/>
    <cellStyle name="Notas 9 2 7 2 2" xfId="31936"/>
    <cellStyle name="Notas 9 2 7 3" xfId="24037"/>
    <cellStyle name="Notas 9 2 7 3 2" xfId="31937"/>
    <cellStyle name="Notas 9 2 7 4" xfId="24038"/>
    <cellStyle name="Notas 9 2 7 4 2" xfId="31938"/>
    <cellStyle name="Notas 9 2 7 5" xfId="24039"/>
    <cellStyle name="Notas 9 2 7 5 2" xfId="31939"/>
    <cellStyle name="Notas 9 2 7 6" xfId="24040"/>
    <cellStyle name="Notas 9 2 7 6 2" xfId="31940"/>
    <cellStyle name="Notas 9 2 7 7" xfId="31935"/>
    <cellStyle name="Notas 9 2 8" xfId="24041"/>
    <cellStyle name="Notas 9 2 8 2" xfId="24042"/>
    <cellStyle name="Notas 9 2 8 2 2" xfId="31942"/>
    <cellStyle name="Notas 9 2 8 3" xfId="24043"/>
    <cellStyle name="Notas 9 2 8 3 2" xfId="31943"/>
    <cellStyle name="Notas 9 2 8 4" xfId="24044"/>
    <cellStyle name="Notas 9 2 8 4 2" xfId="31944"/>
    <cellStyle name="Notas 9 2 8 5" xfId="24045"/>
    <cellStyle name="Notas 9 2 8 5 2" xfId="31945"/>
    <cellStyle name="Notas 9 2 8 6" xfId="24046"/>
    <cellStyle name="Notas 9 2 8 6 2" xfId="31946"/>
    <cellStyle name="Notas 9 2 8 7" xfId="31941"/>
    <cellStyle name="Notas 9 2 9" xfId="24047"/>
    <cellStyle name="Notas 9 2 9 2" xfId="24048"/>
    <cellStyle name="Notas 9 2 9 2 2" xfId="31948"/>
    <cellStyle name="Notas 9 2 9 3" xfId="24049"/>
    <cellStyle name="Notas 9 2 9 3 2" xfId="31949"/>
    <cellStyle name="Notas 9 2 9 4" xfId="24050"/>
    <cellStyle name="Notas 9 2 9 4 2" xfId="31950"/>
    <cellStyle name="Notas 9 2 9 5" xfId="24051"/>
    <cellStyle name="Notas 9 2 9 5 2" xfId="31951"/>
    <cellStyle name="Notas 9 2 9 6" xfId="24052"/>
    <cellStyle name="Notas 9 2 9 6 2" xfId="31952"/>
    <cellStyle name="Notas 9 2 9 7" xfId="31947"/>
    <cellStyle name="Notas 9 3" xfId="12104"/>
    <cellStyle name="Notas 9 3 2" xfId="31953"/>
    <cellStyle name="Notas 9 3 3" xfId="33375"/>
    <cellStyle name="Notas 9 3 4" xfId="40157"/>
    <cellStyle name="Notas 9 4" xfId="31900"/>
    <cellStyle name="Notas 9 5" xfId="33373"/>
    <cellStyle name="Notas 9 6" xfId="40154"/>
    <cellStyle name="Note" xfId="24053"/>
    <cellStyle name="Note 2" xfId="33929"/>
    <cellStyle name="Note 2 2" xfId="33930"/>
    <cellStyle name="Note 2 3" xfId="40159"/>
    <cellStyle name="Note 3" xfId="33931"/>
    <cellStyle name="Note 4" xfId="40158"/>
    <cellStyle name="Number()" xfId="24054"/>
    <cellStyle name="Œ…‹æØ‚è [0.00]_Sheet1" xfId="24055"/>
    <cellStyle name="Œ…‹æØ‚è_Sheet1" xfId="24056"/>
    <cellStyle name="Output" xfId="24057"/>
    <cellStyle name="per.style" xfId="24058"/>
    <cellStyle name="Percent [2]" xfId="24059"/>
    <cellStyle name="Percent [2] 10" xfId="40160"/>
    <cellStyle name="Percent [2] 2" xfId="24060"/>
    <cellStyle name="Percent [2] 2 2" xfId="40161"/>
    <cellStyle name="Percent [2] 3" xfId="24061"/>
    <cellStyle name="Percent [2] 3 2" xfId="40162"/>
    <cellStyle name="Percent [2] 4" xfId="24062"/>
    <cellStyle name="Percent [2] 4 2" xfId="40163"/>
    <cellStyle name="Percent [2] 5" xfId="24063"/>
    <cellStyle name="Percent [2] 5 2" xfId="40164"/>
    <cellStyle name="Percent [2] 6" xfId="24064"/>
    <cellStyle name="Percent [2] 6 2" xfId="40165"/>
    <cellStyle name="Percent [2] 7" xfId="24065"/>
    <cellStyle name="Percent [2] 7 2" xfId="40166"/>
    <cellStyle name="Percent [2] 8" xfId="24066"/>
    <cellStyle name="Percent [2] 8 2" xfId="40167"/>
    <cellStyle name="Percent [2] 9" xfId="24067"/>
    <cellStyle name="Percent [2] 9 2" xfId="40168"/>
    <cellStyle name="Percent 2" xfId="19"/>
    <cellStyle name="Percent 2 2" xfId="24068"/>
    <cellStyle name="Percent 2 2 2" xfId="40169"/>
    <cellStyle name="Percent 2 3" xfId="24069"/>
    <cellStyle name="Percent 3" xfId="24"/>
    <cellStyle name="Percent 3 2" xfId="40170"/>
    <cellStyle name="Percent 4" xfId="40171"/>
    <cellStyle name="Percent 4 2" xfId="40172"/>
    <cellStyle name="Percent 4 2 2" xfId="40173"/>
    <cellStyle name="Percent 4 3" xfId="40174"/>
    <cellStyle name="Percent 5" xfId="40175"/>
    <cellStyle name="Popis" xfId="24070"/>
    <cellStyle name="Porcent" xfId="25832"/>
    <cellStyle name="Porcentaje" xfId="26" builtinId="5"/>
    <cellStyle name="Porcentaje 10" xfId="24071"/>
    <cellStyle name="Porcentaje 10 2" xfId="24072"/>
    <cellStyle name="Porcentaje 10 2 2" xfId="24073"/>
    <cellStyle name="Porcentaje 10 2 3" xfId="24074"/>
    <cellStyle name="Porcentaje 10 2 4" xfId="24075"/>
    <cellStyle name="Porcentaje 10 2 5" xfId="24076"/>
    <cellStyle name="Porcentaje 10 2 6" xfId="24077"/>
    <cellStyle name="Porcentaje 10 2 7" xfId="24078"/>
    <cellStyle name="Porcentaje 10 3" xfId="24079"/>
    <cellStyle name="Porcentaje 10 4" xfId="24080"/>
    <cellStyle name="Porcentaje 10 5" xfId="24081"/>
    <cellStyle name="Porcentaje 10 6" xfId="24082"/>
    <cellStyle name="Porcentaje 10 7" xfId="24083"/>
    <cellStyle name="Porcentaje 10 8" xfId="24084"/>
    <cellStyle name="Porcentaje 11" xfId="24085"/>
    <cellStyle name="Porcentaje 11 2" xfId="24086"/>
    <cellStyle name="Porcentaje 11 2 2" xfId="24087"/>
    <cellStyle name="Porcentaje 11 2 3" xfId="24088"/>
    <cellStyle name="Porcentaje 11 2 4" xfId="24089"/>
    <cellStyle name="Porcentaje 11 2 5" xfId="24090"/>
    <cellStyle name="Porcentaje 11 2 6" xfId="24091"/>
    <cellStyle name="Porcentaje 11 2 7" xfId="24092"/>
    <cellStyle name="Porcentaje 11 3" xfId="24093"/>
    <cellStyle name="Porcentaje 11 4" xfId="24094"/>
    <cellStyle name="Porcentaje 11 5" xfId="24095"/>
    <cellStyle name="Porcentaje 11 6" xfId="24096"/>
    <cellStyle name="Porcentaje 11 7" xfId="24097"/>
    <cellStyle name="Porcentaje 11 8" xfId="24098"/>
    <cellStyle name="Porcentaje 12" xfId="24099"/>
    <cellStyle name="Porcentaje 12 2" xfId="24100"/>
    <cellStyle name="Porcentaje 12 2 2" xfId="24101"/>
    <cellStyle name="Porcentaje 12 2 3" xfId="24102"/>
    <cellStyle name="Porcentaje 12 2 4" xfId="24103"/>
    <cellStyle name="Porcentaje 12 2 5" xfId="24104"/>
    <cellStyle name="Porcentaje 12 2 6" xfId="24105"/>
    <cellStyle name="Porcentaje 12 2 7" xfId="24106"/>
    <cellStyle name="Porcentaje 12 3" xfId="24107"/>
    <cellStyle name="Porcentaje 12 4" xfId="24108"/>
    <cellStyle name="Porcentaje 12 5" xfId="24109"/>
    <cellStyle name="Porcentaje 12 6" xfId="24110"/>
    <cellStyle name="Porcentaje 12 7" xfId="24111"/>
    <cellStyle name="Porcentaje 12 8" xfId="24112"/>
    <cellStyle name="Porcentaje 13" xfId="24113"/>
    <cellStyle name="Porcentaje 13 2" xfId="24114"/>
    <cellStyle name="Porcentaje 13 2 2" xfId="24115"/>
    <cellStyle name="Porcentaje 13 2 3" xfId="24116"/>
    <cellStyle name="Porcentaje 13 2 4" xfId="24117"/>
    <cellStyle name="Porcentaje 13 2 5" xfId="24118"/>
    <cellStyle name="Porcentaje 13 2 6" xfId="24119"/>
    <cellStyle name="Porcentaje 13 2 7" xfId="24120"/>
    <cellStyle name="Porcentaje 13 3" xfId="24121"/>
    <cellStyle name="Porcentaje 13 4" xfId="24122"/>
    <cellStyle name="Porcentaje 13 5" xfId="24123"/>
    <cellStyle name="Porcentaje 13 6" xfId="24124"/>
    <cellStyle name="Porcentaje 13 7" xfId="24125"/>
    <cellStyle name="Porcentaje 13 8" xfId="24126"/>
    <cellStyle name="Porcentaje 14" xfId="24127"/>
    <cellStyle name="Porcentaje 14 2" xfId="24128"/>
    <cellStyle name="Porcentaje 14 2 2" xfId="24129"/>
    <cellStyle name="Porcentaje 14 2 3" xfId="24130"/>
    <cellStyle name="Porcentaje 14 2 4" xfId="24131"/>
    <cellStyle name="Porcentaje 14 2 5" xfId="24132"/>
    <cellStyle name="Porcentaje 14 2 6" xfId="24133"/>
    <cellStyle name="Porcentaje 14 2 7" xfId="24134"/>
    <cellStyle name="Porcentaje 14 3" xfId="24135"/>
    <cellStyle name="Porcentaje 14 4" xfId="24136"/>
    <cellStyle name="Porcentaje 14 5" xfId="24137"/>
    <cellStyle name="Porcentaje 14 6" xfId="24138"/>
    <cellStyle name="Porcentaje 14 7" xfId="24139"/>
    <cellStyle name="Porcentaje 14 8" xfId="24140"/>
    <cellStyle name="Porcentaje 15" xfId="24141"/>
    <cellStyle name="Porcentaje 15 2" xfId="24142"/>
    <cellStyle name="Porcentaje 15 2 2" xfId="24143"/>
    <cellStyle name="Porcentaje 15 2 3" xfId="24144"/>
    <cellStyle name="Porcentaje 15 2 4" xfId="24145"/>
    <cellStyle name="Porcentaje 15 2 5" xfId="24146"/>
    <cellStyle name="Porcentaje 15 2 6" xfId="24147"/>
    <cellStyle name="Porcentaje 15 2 7" xfId="24148"/>
    <cellStyle name="Porcentaje 15 3" xfId="24149"/>
    <cellStyle name="Porcentaje 15 4" xfId="24150"/>
    <cellStyle name="Porcentaje 15 5" xfId="24151"/>
    <cellStyle name="Porcentaje 15 6" xfId="24152"/>
    <cellStyle name="Porcentaje 15 7" xfId="24153"/>
    <cellStyle name="Porcentaje 15 8" xfId="24154"/>
    <cellStyle name="Porcentaje 16" xfId="24155"/>
    <cellStyle name="Porcentaje 16 2" xfId="24156"/>
    <cellStyle name="Porcentaje 16 2 2" xfId="24157"/>
    <cellStyle name="Porcentaje 16 2 3" xfId="24158"/>
    <cellStyle name="Porcentaje 16 2 4" xfId="24159"/>
    <cellStyle name="Porcentaje 16 2 5" xfId="24160"/>
    <cellStyle name="Porcentaje 16 2 6" xfId="24161"/>
    <cellStyle name="Porcentaje 16 2 7" xfId="24162"/>
    <cellStyle name="Porcentaje 16 3" xfId="24163"/>
    <cellStyle name="Porcentaje 16 4" xfId="24164"/>
    <cellStyle name="Porcentaje 16 5" xfId="24165"/>
    <cellStyle name="Porcentaje 16 6" xfId="24166"/>
    <cellStyle name="Porcentaje 16 7" xfId="24167"/>
    <cellStyle name="Porcentaje 16 8" xfId="24168"/>
    <cellStyle name="Porcentaje 17" xfId="24169"/>
    <cellStyle name="Porcentaje 17 2" xfId="24170"/>
    <cellStyle name="Porcentaje 17 2 2" xfId="24171"/>
    <cellStyle name="Porcentaje 17 2 3" xfId="24172"/>
    <cellStyle name="Porcentaje 17 2 4" xfId="24173"/>
    <cellStyle name="Porcentaje 17 2 5" xfId="24174"/>
    <cellStyle name="Porcentaje 17 2 6" xfId="24175"/>
    <cellStyle name="Porcentaje 17 2 7" xfId="24176"/>
    <cellStyle name="Porcentaje 17 3" xfId="24177"/>
    <cellStyle name="Porcentaje 17 4" xfId="24178"/>
    <cellStyle name="Porcentaje 17 5" xfId="24179"/>
    <cellStyle name="Porcentaje 17 6" xfId="24180"/>
    <cellStyle name="Porcentaje 17 7" xfId="24181"/>
    <cellStyle name="Porcentaje 17 8" xfId="24182"/>
    <cellStyle name="Porcentaje 18" xfId="24183"/>
    <cellStyle name="Porcentaje 18 2" xfId="24184"/>
    <cellStyle name="Porcentaje 18 3" xfId="24185"/>
    <cellStyle name="Porcentaje 18 4" xfId="24186"/>
    <cellStyle name="Porcentaje 18 5" xfId="24187"/>
    <cellStyle name="Porcentaje 18 6" xfId="24188"/>
    <cellStyle name="Porcentaje 18 7" xfId="24189"/>
    <cellStyle name="Porcentaje 19" xfId="24190"/>
    <cellStyle name="Porcentaje 19 2" xfId="24191"/>
    <cellStyle name="Porcentaje 19 3" xfId="24192"/>
    <cellStyle name="Porcentaje 19 4" xfId="24193"/>
    <cellStyle name="Porcentaje 19 5" xfId="24194"/>
    <cellStyle name="Porcentaje 19 6" xfId="24195"/>
    <cellStyle name="Porcentaje 19 7" xfId="24196"/>
    <cellStyle name="Porcentaje 2" xfId="11161"/>
    <cellStyle name="Porcentaje 2 2" xfId="11162"/>
    <cellStyle name="Porcentaje 2 2 2" xfId="33932"/>
    <cellStyle name="Porcentaje 2 3" xfId="24197"/>
    <cellStyle name="Porcentaje 2 3 2" xfId="40176"/>
    <cellStyle name="Porcentaje 2 4" xfId="24198"/>
    <cellStyle name="Porcentaje 2 5" xfId="24199"/>
    <cellStyle name="Porcentaje 2_Hoja1" xfId="11163"/>
    <cellStyle name="Porcentaje 20" xfId="24200"/>
    <cellStyle name="Porcentaje 20 2" xfId="24201"/>
    <cellStyle name="Porcentaje 20 3" xfId="24202"/>
    <cellStyle name="Porcentaje 20 4" xfId="24203"/>
    <cellStyle name="Porcentaje 20 5" xfId="24204"/>
    <cellStyle name="Porcentaje 20 6" xfId="24205"/>
    <cellStyle name="Porcentaje 20 7" xfId="24206"/>
    <cellStyle name="Porcentaje 21" xfId="24207"/>
    <cellStyle name="Porcentaje 21 2" xfId="24208"/>
    <cellStyle name="Porcentaje 21 3" xfId="24209"/>
    <cellStyle name="Porcentaje 21 4" xfId="24210"/>
    <cellStyle name="Porcentaje 21 5" xfId="24211"/>
    <cellStyle name="Porcentaje 21 6" xfId="24212"/>
    <cellStyle name="Porcentaje 21 7" xfId="24213"/>
    <cellStyle name="Porcentaje 22" xfId="24214"/>
    <cellStyle name="Porcentaje 22 2" xfId="24215"/>
    <cellStyle name="Porcentaje 22 3" xfId="24216"/>
    <cellStyle name="Porcentaje 22 4" xfId="24217"/>
    <cellStyle name="Porcentaje 22 5" xfId="24218"/>
    <cellStyle name="Porcentaje 22 6" xfId="24219"/>
    <cellStyle name="Porcentaje 22 7" xfId="24220"/>
    <cellStyle name="Porcentaje 23" xfId="24221"/>
    <cellStyle name="Porcentaje 23 2" xfId="24222"/>
    <cellStyle name="Porcentaje 23 3" xfId="24223"/>
    <cellStyle name="Porcentaje 23 4" xfId="24224"/>
    <cellStyle name="Porcentaje 23 5" xfId="24225"/>
    <cellStyle name="Porcentaje 23 6" xfId="24226"/>
    <cellStyle name="Porcentaje 23 7" xfId="24227"/>
    <cellStyle name="Porcentaje 24" xfId="24228"/>
    <cellStyle name="Porcentaje 24 2" xfId="24229"/>
    <cellStyle name="Porcentaje 24 3" xfId="24230"/>
    <cellStyle name="Porcentaje 24 4" xfId="24231"/>
    <cellStyle name="Porcentaje 24 5" xfId="24232"/>
    <cellStyle name="Porcentaje 24 6" xfId="24233"/>
    <cellStyle name="Porcentaje 24 7" xfId="24234"/>
    <cellStyle name="Porcentaje 25" xfId="24235"/>
    <cellStyle name="Porcentaje 25 2" xfId="24236"/>
    <cellStyle name="Porcentaje 25 3" xfId="24237"/>
    <cellStyle name="Porcentaje 25 4" xfId="24238"/>
    <cellStyle name="Porcentaje 25 5" xfId="24239"/>
    <cellStyle name="Porcentaje 25 6" xfId="24240"/>
    <cellStyle name="Porcentaje 25 7" xfId="24241"/>
    <cellStyle name="Porcentaje 26" xfId="24242"/>
    <cellStyle name="Porcentaje 26 2" xfId="24243"/>
    <cellStyle name="Porcentaje 26 3" xfId="24244"/>
    <cellStyle name="Porcentaje 26 4" xfId="24245"/>
    <cellStyle name="Porcentaje 26 5" xfId="24246"/>
    <cellStyle name="Porcentaje 26 6" xfId="24247"/>
    <cellStyle name="Porcentaje 26 7" xfId="24248"/>
    <cellStyle name="Porcentaje 27" xfId="24249"/>
    <cellStyle name="Porcentaje 27 2" xfId="24250"/>
    <cellStyle name="Porcentaje 27 3" xfId="24251"/>
    <cellStyle name="Porcentaje 27 4" xfId="24252"/>
    <cellStyle name="Porcentaje 27 5" xfId="24253"/>
    <cellStyle name="Porcentaje 27 6" xfId="24254"/>
    <cellStyle name="Porcentaje 27 7" xfId="24255"/>
    <cellStyle name="Porcentaje 28" xfId="24256"/>
    <cellStyle name="Porcentaje 28 2" xfId="24257"/>
    <cellStyle name="Porcentaje 28 3" xfId="24258"/>
    <cellStyle name="Porcentaje 28 4" xfId="24259"/>
    <cellStyle name="Porcentaje 28 5" xfId="24260"/>
    <cellStyle name="Porcentaje 28 6" xfId="24261"/>
    <cellStyle name="Porcentaje 28 7" xfId="24262"/>
    <cellStyle name="Porcentaje 29" xfId="24263"/>
    <cellStyle name="Porcentaje 29 2" xfId="24264"/>
    <cellStyle name="Porcentaje 29 3" xfId="24265"/>
    <cellStyle name="Porcentaje 29 4" xfId="24266"/>
    <cellStyle name="Porcentaje 29 5" xfId="24267"/>
    <cellStyle name="Porcentaje 29 6" xfId="24268"/>
    <cellStyle name="Porcentaje 29 7" xfId="24269"/>
    <cellStyle name="Porcentaje 3" xfId="24270"/>
    <cellStyle name="Porcentaje 3 10" xfId="24271"/>
    <cellStyle name="Porcentaje 3 2" xfId="24272"/>
    <cellStyle name="Porcentaje 3 2 2" xfId="24273"/>
    <cellStyle name="Porcentaje 3 2 3" xfId="24274"/>
    <cellStyle name="Porcentaje 3 2 4" xfId="24275"/>
    <cellStyle name="Porcentaje 3 2 5" xfId="24276"/>
    <cellStyle name="Porcentaje 3 2 6" xfId="24277"/>
    <cellStyle name="Porcentaje 3 2 7" xfId="24278"/>
    <cellStyle name="Porcentaje 3 3" xfId="24279"/>
    <cellStyle name="Porcentaje 3 4" xfId="24280"/>
    <cellStyle name="Porcentaje 3 5" xfId="24281"/>
    <cellStyle name="Porcentaje 3 6" xfId="24282"/>
    <cellStyle name="Porcentaje 3 7" xfId="24283"/>
    <cellStyle name="Porcentaje 3 8" xfId="24284"/>
    <cellStyle name="Porcentaje 3 9" xfId="24285"/>
    <cellStyle name="Porcentaje 30" xfId="24286"/>
    <cellStyle name="Porcentaje 30 2" xfId="24287"/>
    <cellStyle name="Porcentaje 30 3" xfId="24288"/>
    <cellStyle name="Porcentaje 30 4" xfId="24289"/>
    <cellStyle name="Porcentaje 30 5" xfId="24290"/>
    <cellStyle name="Porcentaje 30 6" xfId="24291"/>
    <cellStyle name="Porcentaje 30 7" xfId="24292"/>
    <cellStyle name="Porcentaje 31" xfId="24293"/>
    <cellStyle name="Porcentaje 31 2" xfId="24294"/>
    <cellStyle name="Porcentaje 31 3" xfId="24295"/>
    <cellStyle name="Porcentaje 31 4" xfId="24296"/>
    <cellStyle name="Porcentaje 31 5" xfId="24297"/>
    <cellStyle name="Porcentaje 31 6" xfId="24298"/>
    <cellStyle name="Porcentaje 31 7" xfId="24299"/>
    <cellStyle name="Porcentaje 32" xfId="24300"/>
    <cellStyle name="Porcentaje 32 2" xfId="24301"/>
    <cellStyle name="Porcentaje 32 3" xfId="24302"/>
    <cellStyle name="Porcentaje 32 4" xfId="24303"/>
    <cellStyle name="Porcentaje 32 5" xfId="24304"/>
    <cellStyle name="Porcentaje 32 6" xfId="24305"/>
    <cellStyle name="Porcentaje 32 7" xfId="24306"/>
    <cellStyle name="Porcentaje 33" xfId="24307"/>
    <cellStyle name="Porcentaje 33 2" xfId="24308"/>
    <cellStyle name="Porcentaje 33 3" xfId="24309"/>
    <cellStyle name="Porcentaje 33 4" xfId="24310"/>
    <cellStyle name="Porcentaje 33 5" xfId="24311"/>
    <cellStyle name="Porcentaje 33 6" xfId="24312"/>
    <cellStyle name="Porcentaje 33 7" xfId="24313"/>
    <cellStyle name="Porcentaje 34" xfId="24314"/>
    <cellStyle name="Porcentaje 34 2" xfId="24315"/>
    <cellStyle name="Porcentaje 34 3" xfId="24316"/>
    <cellStyle name="Porcentaje 34 4" xfId="24317"/>
    <cellStyle name="Porcentaje 34 5" xfId="24318"/>
    <cellStyle name="Porcentaje 34 6" xfId="24319"/>
    <cellStyle name="Porcentaje 34 7" xfId="24320"/>
    <cellStyle name="Porcentaje 35" xfId="24321"/>
    <cellStyle name="Porcentaje 35 2" xfId="24322"/>
    <cellStyle name="Porcentaje 35 3" xfId="24323"/>
    <cellStyle name="Porcentaje 35 4" xfId="24324"/>
    <cellStyle name="Porcentaje 35 5" xfId="24325"/>
    <cellStyle name="Porcentaje 35 6" xfId="24326"/>
    <cellStyle name="Porcentaje 35 7" xfId="24327"/>
    <cellStyle name="Porcentaje 36" xfId="24328"/>
    <cellStyle name="Porcentaje 36 2" xfId="24329"/>
    <cellStyle name="Porcentaje 36 3" xfId="24330"/>
    <cellStyle name="Porcentaje 36 4" xfId="24331"/>
    <cellStyle name="Porcentaje 36 5" xfId="24332"/>
    <cellStyle name="Porcentaje 36 6" xfId="24333"/>
    <cellStyle name="Porcentaje 36 7" xfId="24334"/>
    <cellStyle name="Porcentaje 37" xfId="24335"/>
    <cellStyle name="Porcentaje 4" xfId="24336"/>
    <cellStyle name="Porcentaje 4 2" xfId="24337"/>
    <cellStyle name="Porcentaje 4 2 2" xfId="24338"/>
    <cellStyle name="Porcentaje 4 2 3" xfId="24339"/>
    <cellStyle name="Porcentaje 4 2 4" xfId="24340"/>
    <cellStyle name="Porcentaje 4 2 5" xfId="24341"/>
    <cellStyle name="Porcentaje 4 2 6" xfId="24342"/>
    <cellStyle name="Porcentaje 4 2 7" xfId="24343"/>
    <cellStyle name="Porcentaje 4 3" xfId="24344"/>
    <cellStyle name="Porcentaje 4 4" xfId="24345"/>
    <cellStyle name="Porcentaje 4 5" xfId="24346"/>
    <cellStyle name="Porcentaje 4 6" xfId="24347"/>
    <cellStyle name="Porcentaje 4 7" xfId="24348"/>
    <cellStyle name="Porcentaje 4 8" xfId="24349"/>
    <cellStyle name="Porcentaje 5" xfId="24350"/>
    <cellStyle name="Porcentaje 5 2" xfId="24351"/>
    <cellStyle name="Porcentaje 5 2 2" xfId="24352"/>
    <cellStyle name="Porcentaje 5 2 3" xfId="24353"/>
    <cellStyle name="Porcentaje 5 2 4" xfId="24354"/>
    <cellStyle name="Porcentaje 5 2 5" xfId="24355"/>
    <cellStyle name="Porcentaje 5 2 6" xfId="24356"/>
    <cellStyle name="Porcentaje 5 2 7" xfId="24357"/>
    <cellStyle name="Porcentaje 5 3" xfId="24358"/>
    <cellStyle name="Porcentaje 5 4" xfId="24359"/>
    <cellStyle name="Porcentaje 5 5" xfId="24360"/>
    <cellStyle name="Porcentaje 5 6" xfId="24361"/>
    <cellStyle name="Porcentaje 5 7" xfId="24362"/>
    <cellStyle name="Porcentaje 5 8" xfId="24363"/>
    <cellStyle name="Porcentaje 6" xfId="24364"/>
    <cellStyle name="Porcentaje 6 2" xfId="24365"/>
    <cellStyle name="Porcentaje 6 2 2" xfId="24366"/>
    <cellStyle name="Porcentaje 6 2 3" xfId="24367"/>
    <cellStyle name="Porcentaje 6 2 4" xfId="24368"/>
    <cellStyle name="Porcentaje 6 2 5" xfId="24369"/>
    <cellStyle name="Porcentaje 6 2 6" xfId="24370"/>
    <cellStyle name="Porcentaje 6 2 7" xfId="24371"/>
    <cellStyle name="Porcentaje 6 3" xfId="24372"/>
    <cellStyle name="Porcentaje 6 4" xfId="24373"/>
    <cellStyle name="Porcentaje 6 5" xfId="24374"/>
    <cellStyle name="Porcentaje 6 6" xfId="24375"/>
    <cellStyle name="Porcentaje 6 7" xfId="24376"/>
    <cellStyle name="Porcentaje 6 8" xfId="24377"/>
    <cellStyle name="Porcentaje 7" xfId="24378"/>
    <cellStyle name="Porcentaje 7 2" xfId="24379"/>
    <cellStyle name="Porcentaje 7 2 2" xfId="24380"/>
    <cellStyle name="Porcentaje 7 2 3" xfId="24381"/>
    <cellStyle name="Porcentaje 7 2 4" xfId="24382"/>
    <cellStyle name="Porcentaje 7 2 5" xfId="24383"/>
    <cellStyle name="Porcentaje 7 2 6" xfId="24384"/>
    <cellStyle name="Porcentaje 7 2 7" xfId="24385"/>
    <cellStyle name="Porcentaje 7 3" xfId="24386"/>
    <cellStyle name="Porcentaje 7 4" xfId="24387"/>
    <cellStyle name="Porcentaje 7 5" xfId="24388"/>
    <cellStyle name="Porcentaje 7 6" xfId="24389"/>
    <cellStyle name="Porcentaje 7 7" xfId="24390"/>
    <cellStyle name="Porcentaje 7 8" xfId="24391"/>
    <cellStyle name="Porcentaje 8" xfId="24392"/>
    <cellStyle name="Porcentaje 8 2" xfId="24393"/>
    <cellStyle name="Porcentaje 8 2 2" xfId="24394"/>
    <cellStyle name="Porcentaje 8 2 3" xfId="24395"/>
    <cellStyle name="Porcentaje 8 2 4" xfId="24396"/>
    <cellStyle name="Porcentaje 8 2 5" xfId="24397"/>
    <cellStyle name="Porcentaje 8 2 6" xfId="24398"/>
    <cellStyle name="Porcentaje 8 2 7" xfId="24399"/>
    <cellStyle name="Porcentaje 8 3" xfId="24400"/>
    <cellStyle name="Porcentaje 8 4" xfId="24401"/>
    <cellStyle name="Porcentaje 8 5" xfId="24402"/>
    <cellStyle name="Porcentaje 8 6" xfId="24403"/>
    <cellStyle name="Porcentaje 8 7" xfId="24404"/>
    <cellStyle name="Porcentaje 8 8" xfId="24405"/>
    <cellStyle name="Porcentaje 9" xfId="24406"/>
    <cellStyle name="Porcentaje 9 2" xfId="24407"/>
    <cellStyle name="Porcentaje 9 2 2" xfId="24408"/>
    <cellStyle name="Porcentaje 9 2 3" xfId="24409"/>
    <cellStyle name="Porcentaje 9 2 4" xfId="24410"/>
    <cellStyle name="Porcentaje 9 2 5" xfId="24411"/>
    <cellStyle name="Porcentaje 9 2 6" xfId="24412"/>
    <cellStyle name="Porcentaje 9 2 7" xfId="24413"/>
    <cellStyle name="Porcentaje 9 3" xfId="24414"/>
    <cellStyle name="Porcentaje 9 4" xfId="24415"/>
    <cellStyle name="Porcentaje 9 5" xfId="24416"/>
    <cellStyle name="Porcentaje 9 6" xfId="24417"/>
    <cellStyle name="Porcentaje 9 7" xfId="24418"/>
    <cellStyle name="Porcentaje 9 8" xfId="24419"/>
    <cellStyle name="Porcentual 2" xfId="11164"/>
    <cellStyle name="Porcentual 2 10" xfId="24420"/>
    <cellStyle name="Porcentual 2 10 10" xfId="24421"/>
    <cellStyle name="Porcentual 2 10 10 2" xfId="24422"/>
    <cellStyle name="Porcentual 2 10 10 2 2" xfId="24423"/>
    <cellStyle name="Porcentual 2 10 10 2 3" xfId="24424"/>
    <cellStyle name="Porcentual 2 10 10 2 4" xfId="24425"/>
    <cellStyle name="Porcentual 2 10 10 2 5" xfId="24426"/>
    <cellStyle name="Porcentual 2 10 10 2 6" xfId="24427"/>
    <cellStyle name="Porcentual 2 10 10 2 7" xfId="24428"/>
    <cellStyle name="Porcentual 2 10 10 3" xfId="24429"/>
    <cellStyle name="Porcentual 2 10 10 4" xfId="24430"/>
    <cellStyle name="Porcentual 2 10 10 5" xfId="24431"/>
    <cellStyle name="Porcentual 2 10 10 6" xfId="24432"/>
    <cellStyle name="Porcentual 2 10 10 7" xfId="24433"/>
    <cellStyle name="Porcentual 2 10 10 8" xfId="24434"/>
    <cellStyle name="Porcentual 2 10 11" xfId="24435"/>
    <cellStyle name="Porcentual 2 10 11 2" xfId="24436"/>
    <cellStyle name="Porcentual 2 10 11 2 2" xfId="24437"/>
    <cellStyle name="Porcentual 2 10 11 2 3" xfId="24438"/>
    <cellStyle name="Porcentual 2 10 11 2 4" xfId="24439"/>
    <cellStyle name="Porcentual 2 10 11 2 5" xfId="24440"/>
    <cellStyle name="Porcentual 2 10 11 2 6" xfId="24441"/>
    <cellStyle name="Porcentual 2 10 11 2 7" xfId="24442"/>
    <cellStyle name="Porcentual 2 10 11 3" xfId="24443"/>
    <cellStyle name="Porcentual 2 10 11 4" xfId="24444"/>
    <cellStyle name="Porcentual 2 10 11 5" xfId="24445"/>
    <cellStyle name="Porcentual 2 10 11 6" xfId="24446"/>
    <cellStyle name="Porcentual 2 10 11 7" xfId="24447"/>
    <cellStyle name="Porcentual 2 10 11 8" xfId="24448"/>
    <cellStyle name="Porcentual 2 10 12" xfId="24449"/>
    <cellStyle name="Porcentual 2 10 12 2" xfId="24450"/>
    <cellStyle name="Porcentual 2 10 12 2 2" xfId="24451"/>
    <cellStyle name="Porcentual 2 10 12 2 3" xfId="24452"/>
    <cellStyle name="Porcentual 2 10 12 2 4" xfId="24453"/>
    <cellStyle name="Porcentual 2 10 12 2 5" xfId="24454"/>
    <cellStyle name="Porcentual 2 10 12 2 6" xfId="24455"/>
    <cellStyle name="Porcentual 2 10 12 2 7" xfId="24456"/>
    <cellStyle name="Porcentual 2 10 12 3" xfId="24457"/>
    <cellStyle name="Porcentual 2 10 12 4" xfId="24458"/>
    <cellStyle name="Porcentual 2 10 12 5" xfId="24459"/>
    <cellStyle name="Porcentual 2 10 12 6" xfId="24460"/>
    <cellStyle name="Porcentual 2 10 12 7" xfId="24461"/>
    <cellStyle name="Porcentual 2 10 12 8" xfId="24462"/>
    <cellStyle name="Porcentual 2 10 13" xfId="24463"/>
    <cellStyle name="Porcentual 2 10 13 2" xfId="24464"/>
    <cellStyle name="Porcentual 2 10 13 2 2" xfId="24465"/>
    <cellStyle name="Porcentual 2 10 13 2 3" xfId="24466"/>
    <cellStyle name="Porcentual 2 10 13 2 4" xfId="24467"/>
    <cellStyle name="Porcentual 2 10 13 2 5" xfId="24468"/>
    <cellStyle name="Porcentual 2 10 13 2 6" xfId="24469"/>
    <cellStyle name="Porcentual 2 10 13 2 7" xfId="24470"/>
    <cellStyle name="Porcentual 2 10 13 3" xfId="24471"/>
    <cellStyle name="Porcentual 2 10 13 4" xfId="24472"/>
    <cellStyle name="Porcentual 2 10 13 5" xfId="24473"/>
    <cellStyle name="Porcentual 2 10 13 6" xfId="24474"/>
    <cellStyle name="Porcentual 2 10 13 7" xfId="24475"/>
    <cellStyle name="Porcentual 2 10 13 8" xfId="24476"/>
    <cellStyle name="Porcentual 2 10 14" xfId="24477"/>
    <cellStyle name="Porcentual 2 10 14 2" xfId="24478"/>
    <cellStyle name="Porcentual 2 10 14 2 2" xfId="24479"/>
    <cellStyle name="Porcentual 2 10 14 2 3" xfId="24480"/>
    <cellStyle name="Porcentual 2 10 14 2 4" xfId="24481"/>
    <cellStyle name="Porcentual 2 10 14 2 5" xfId="24482"/>
    <cellStyle name="Porcentual 2 10 14 2 6" xfId="24483"/>
    <cellStyle name="Porcentual 2 10 14 2 7" xfId="24484"/>
    <cellStyle name="Porcentual 2 10 14 3" xfId="24485"/>
    <cellStyle name="Porcentual 2 10 14 4" xfId="24486"/>
    <cellStyle name="Porcentual 2 10 14 5" xfId="24487"/>
    <cellStyle name="Porcentual 2 10 14 6" xfId="24488"/>
    <cellStyle name="Porcentual 2 10 14 7" xfId="24489"/>
    <cellStyle name="Porcentual 2 10 14 8" xfId="24490"/>
    <cellStyle name="Porcentual 2 10 15" xfId="24491"/>
    <cellStyle name="Porcentual 2 10 15 2" xfId="24492"/>
    <cellStyle name="Porcentual 2 10 15 2 2" xfId="24493"/>
    <cellStyle name="Porcentual 2 10 15 2 3" xfId="24494"/>
    <cellStyle name="Porcentual 2 10 15 2 4" xfId="24495"/>
    <cellStyle name="Porcentual 2 10 15 2 5" xfId="24496"/>
    <cellStyle name="Porcentual 2 10 15 2 6" xfId="24497"/>
    <cellStyle name="Porcentual 2 10 15 2 7" xfId="24498"/>
    <cellStyle name="Porcentual 2 10 15 3" xfId="24499"/>
    <cellStyle name="Porcentual 2 10 15 4" xfId="24500"/>
    <cellStyle name="Porcentual 2 10 15 5" xfId="24501"/>
    <cellStyle name="Porcentual 2 10 15 6" xfId="24502"/>
    <cellStyle name="Porcentual 2 10 15 7" xfId="24503"/>
    <cellStyle name="Porcentual 2 10 15 8" xfId="24504"/>
    <cellStyle name="Porcentual 2 10 16" xfId="24505"/>
    <cellStyle name="Porcentual 2 10 16 2" xfId="24506"/>
    <cellStyle name="Porcentual 2 10 16 3" xfId="24507"/>
    <cellStyle name="Porcentual 2 10 16 4" xfId="24508"/>
    <cellStyle name="Porcentual 2 10 16 5" xfId="24509"/>
    <cellStyle name="Porcentual 2 10 16 6" xfId="24510"/>
    <cellStyle name="Porcentual 2 10 16 7" xfId="24511"/>
    <cellStyle name="Porcentual 2 10 17" xfId="24512"/>
    <cellStyle name="Porcentual 2 10 17 2" xfId="24513"/>
    <cellStyle name="Porcentual 2 10 17 3" xfId="24514"/>
    <cellStyle name="Porcentual 2 10 17 4" xfId="24515"/>
    <cellStyle name="Porcentual 2 10 17 5" xfId="24516"/>
    <cellStyle name="Porcentual 2 10 17 6" xfId="24517"/>
    <cellStyle name="Porcentual 2 10 17 7" xfId="24518"/>
    <cellStyle name="Porcentual 2 10 18" xfId="24519"/>
    <cellStyle name="Porcentual 2 10 18 2" xfId="24520"/>
    <cellStyle name="Porcentual 2 10 18 3" xfId="24521"/>
    <cellStyle name="Porcentual 2 10 18 4" xfId="24522"/>
    <cellStyle name="Porcentual 2 10 18 5" xfId="24523"/>
    <cellStyle name="Porcentual 2 10 18 6" xfId="24524"/>
    <cellStyle name="Porcentual 2 10 18 7" xfId="24525"/>
    <cellStyle name="Porcentual 2 10 19" xfId="24526"/>
    <cellStyle name="Porcentual 2 10 19 2" xfId="24527"/>
    <cellStyle name="Porcentual 2 10 19 3" xfId="24528"/>
    <cellStyle name="Porcentual 2 10 19 4" xfId="24529"/>
    <cellStyle name="Porcentual 2 10 19 5" xfId="24530"/>
    <cellStyle name="Porcentual 2 10 19 6" xfId="24531"/>
    <cellStyle name="Porcentual 2 10 19 7" xfId="24532"/>
    <cellStyle name="Porcentual 2 10 2" xfId="24533"/>
    <cellStyle name="Porcentual 2 10 2 2" xfId="24534"/>
    <cellStyle name="Porcentual 2 10 2 2 2" xfId="24535"/>
    <cellStyle name="Porcentual 2 10 2 2 3" xfId="24536"/>
    <cellStyle name="Porcentual 2 10 2 2 4" xfId="24537"/>
    <cellStyle name="Porcentual 2 10 2 2 5" xfId="24538"/>
    <cellStyle name="Porcentual 2 10 2 2 6" xfId="24539"/>
    <cellStyle name="Porcentual 2 10 2 2 7" xfId="24540"/>
    <cellStyle name="Porcentual 2 10 2 3" xfId="24541"/>
    <cellStyle name="Porcentual 2 10 2 4" xfId="24542"/>
    <cellStyle name="Porcentual 2 10 2 5" xfId="24543"/>
    <cellStyle name="Porcentual 2 10 2 6" xfId="24544"/>
    <cellStyle name="Porcentual 2 10 2 7" xfId="24545"/>
    <cellStyle name="Porcentual 2 10 2 8" xfId="24546"/>
    <cellStyle name="Porcentual 2 10 20" xfId="24547"/>
    <cellStyle name="Porcentual 2 10 20 2" xfId="24548"/>
    <cellStyle name="Porcentual 2 10 20 3" xfId="24549"/>
    <cellStyle name="Porcentual 2 10 20 4" xfId="24550"/>
    <cellStyle name="Porcentual 2 10 20 5" xfId="24551"/>
    <cellStyle name="Porcentual 2 10 20 6" xfId="24552"/>
    <cellStyle name="Porcentual 2 10 20 7" xfId="24553"/>
    <cellStyle name="Porcentual 2 10 21" xfId="24554"/>
    <cellStyle name="Porcentual 2 10 21 2" xfId="24555"/>
    <cellStyle name="Porcentual 2 10 21 3" xfId="24556"/>
    <cellStyle name="Porcentual 2 10 21 4" xfId="24557"/>
    <cellStyle name="Porcentual 2 10 21 5" xfId="24558"/>
    <cellStyle name="Porcentual 2 10 21 6" xfId="24559"/>
    <cellStyle name="Porcentual 2 10 21 7" xfId="24560"/>
    <cellStyle name="Porcentual 2 10 22" xfId="24561"/>
    <cellStyle name="Porcentual 2 10 22 2" xfId="24562"/>
    <cellStyle name="Porcentual 2 10 22 3" xfId="24563"/>
    <cellStyle name="Porcentual 2 10 22 4" xfId="24564"/>
    <cellStyle name="Porcentual 2 10 22 5" xfId="24565"/>
    <cellStyle name="Porcentual 2 10 22 6" xfId="24566"/>
    <cellStyle name="Porcentual 2 10 22 7" xfId="24567"/>
    <cellStyle name="Porcentual 2 10 23" xfId="24568"/>
    <cellStyle name="Porcentual 2 10 23 2" xfId="24569"/>
    <cellStyle name="Porcentual 2 10 23 3" xfId="24570"/>
    <cellStyle name="Porcentual 2 10 23 4" xfId="24571"/>
    <cellStyle name="Porcentual 2 10 23 5" xfId="24572"/>
    <cellStyle name="Porcentual 2 10 23 6" xfId="24573"/>
    <cellStyle name="Porcentual 2 10 23 7" xfId="24574"/>
    <cellStyle name="Porcentual 2 10 24" xfId="24575"/>
    <cellStyle name="Porcentual 2 10 24 2" xfId="24576"/>
    <cellStyle name="Porcentual 2 10 24 3" xfId="24577"/>
    <cellStyle name="Porcentual 2 10 24 4" xfId="24578"/>
    <cellStyle name="Porcentual 2 10 24 5" xfId="24579"/>
    <cellStyle name="Porcentual 2 10 24 6" xfId="24580"/>
    <cellStyle name="Porcentual 2 10 24 7" xfId="24581"/>
    <cellStyle name="Porcentual 2 10 25" xfId="24582"/>
    <cellStyle name="Porcentual 2 10 25 2" xfId="24583"/>
    <cellStyle name="Porcentual 2 10 25 3" xfId="24584"/>
    <cellStyle name="Porcentual 2 10 25 4" xfId="24585"/>
    <cellStyle name="Porcentual 2 10 25 5" xfId="24586"/>
    <cellStyle name="Porcentual 2 10 25 6" xfId="24587"/>
    <cellStyle name="Porcentual 2 10 25 7" xfId="24588"/>
    <cellStyle name="Porcentual 2 10 26" xfId="24589"/>
    <cellStyle name="Porcentual 2 10 26 2" xfId="24590"/>
    <cellStyle name="Porcentual 2 10 26 3" xfId="24591"/>
    <cellStyle name="Porcentual 2 10 26 4" xfId="24592"/>
    <cellStyle name="Porcentual 2 10 26 5" xfId="24593"/>
    <cellStyle name="Porcentual 2 10 26 6" xfId="24594"/>
    <cellStyle name="Porcentual 2 10 26 7" xfId="24595"/>
    <cellStyle name="Porcentual 2 10 27" xfId="24596"/>
    <cellStyle name="Porcentual 2 10 27 2" xfId="24597"/>
    <cellStyle name="Porcentual 2 10 27 3" xfId="24598"/>
    <cellStyle name="Porcentual 2 10 27 4" xfId="24599"/>
    <cellStyle name="Porcentual 2 10 27 5" xfId="24600"/>
    <cellStyle name="Porcentual 2 10 27 6" xfId="24601"/>
    <cellStyle name="Porcentual 2 10 27 7" xfId="24602"/>
    <cellStyle name="Porcentual 2 10 28" xfId="24603"/>
    <cellStyle name="Porcentual 2 10 28 2" xfId="24604"/>
    <cellStyle name="Porcentual 2 10 28 3" xfId="24605"/>
    <cellStyle name="Porcentual 2 10 28 4" xfId="24606"/>
    <cellStyle name="Porcentual 2 10 28 5" xfId="24607"/>
    <cellStyle name="Porcentual 2 10 28 6" xfId="24608"/>
    <cellStyle name="Porcentual 2 10 28 7" xfId="24609"/>
    <cellStyle name="Porcentual 2 10 29" xfId="24610"/>
    <cellStyle name="Porcentual 2 10 29 2" xfId="24611"/>
    <cellStyle name="Porcentual 2 10 29 3" xfId="24612"/>
    <cellStyle name="Porcentual 2 10 29 4" xfId="24613"/>
    <cellStyle name="Porcentual 2 10 29 5" xfId="24614"/>
    <cellStyle name="Porcentual 2 10 29 6" xfId="24615"/>
    <cellStyle name="Porcentual 2 10 29 7" xfId="24616"/>
    <cellStyle name="Porcentual 2 10 3" xfId="24617"/>
    <cellStyle name="Porcentual 2 10 3 2" xfId="24618"/>
    <cellStyle name="Porcentual 2 10 3 2 2" xfId="24619"/>
    <cellStyle name="Porcentual 2 10 3 2 3" xfId="24620"/>
    <cellStyle name="Porcentual 2 10 3 2 4" xfId="24621"/>
    <cellStyle name="Porcentual 2 10 3 2 5" xfId="24622"/>
    <cellStyle name="Porcentual 2 10 3 2 6" xfId="24623"/>
    <cellStyle name="Porcentual 2 10 3 2 7" xfId="24624"/>
    <cellStyle name="Porcentual 2 10 3 3" xfId="24625"/>
    <cellStyle name="Porcentual 2 10 3 4" xfId="24626"/>
    <cellStyle name="Porcentual 2 10 3 5" xfId="24627"/>
    <cellStyle name="Porcentual 2 10 3 6" xfId="24628"/>
    <cellStyle name="Porcentual 2 10 3 7" xfId="24629"/>
    <cellStyle name="Porcentual 2 10 3 8" xfId="24630"/>
    <cellStyle name="Porcentual 2 10 30" xfId="24631"/>
    <cellStyle name="Porcentual 2 10 30 2" xfId="24632"/>
    <cellStyle name="Porcentual 2 10 30 3" xfId="24633"/>
    <cellStyle name="Porcentual 2 10 30 4" xfId="24634"/>
    <cellStyle name="Porcentual 2 10 30 5" xfId="24635"/>
    <cellStyle name="Porcentual 2 10 30 6" xfId="24636"/>
    <cellStyle name="Porcentual 2 10 30 7" xfId="24637"/>
    <cellStyle name="Porcentual 2 10 31" xfId="24638"/>
    <cellStyle name="Porcentual 2 10 31 2" xfId="24639"/>
    <cellStyle name="Porcentual 2 10 31 3" xfId="24640"/>
    <cellStyle name="Porcentual 2 10 31 4" xfId="24641"/>
    <cellStyle name="Porcentual 2 10 31 5" xfId="24642"/>
    <cellStyle name="Porcentual 2 10 31 6" xfId="24643"/>
    <cellStyle name="Porcentual 2 10 31 7" xfId="24644"/>
    <cellStyle name="Porcentual 2 10 32" xfId="24645"/>
    <cellStyle name="Porcentual 2 10 32 2" xfId="24646"/>
    <cellStyle name="Porcentual 2 10 32 3" xfId="24647"/>
    <cellStyle name="Porcentual 2 10 32 4" xfId="24648"/>
    <cellStyle name="Porcentual 2 10 32 5" xfId="24649"/>
    <cellStyle name="Porcentual 2 10 32 6" xfId="24650"/>
    <cellStyle name="Porcentual 2 10 32 7" xfId="24651"/>
    <cellStyle name="Porcentual 2 10 33" xfId="24652"/>
    <cellStyle name="Porcentual 2 10 33 2" xfId="24653"/>
    <cellStyle name="Porcentual 2 10 33 3" xfId="24654"/>
    <cellStyle name="Porcentual 2 10 33 4" xfId="24655"/>
    <cellStyle name="Porcentual 2 10 33 5" xfId="24656"/>
    <cellStyle name="Porcentual 2 10 33 6" xfId="24657"/>
    <cellStyle name="Porcentual 2 10 33 7" xfId="24658"/>
    <cellStyle name="Porcentual 2 10 34" xfId="24659"/>
    <cellStyle name="Porcentual 2 10 34 2" xfId="24660"/>
    <cellStyle name="Porcentual 2 10 34 3" xfId="24661"/>
    <cellStyle name="Porcentual 2 10 34 4" xfId="24662"/>
    <cellStyle name="Porcentual 2 10 34 5" xfId="24663"/>
    <cellStyle name="Porcentual 2 10 34 6" xfId="24664"/>
    <cellStyle name="Porcentual 2 10 34 7" xfId="24665"/>
    <cellStyle name="Porcentual 2 10 35" xfId="24666"/>
    <cellStyle name="Porcentual 2 10 35 2" xfId="24667"/>
    <cellStyle name="Porcentual 2 10 35 3" xfId="24668"/>
    <cellStyle name="Porcentual 2 10 35 4" xfId="24669"/>
    <cellStyle name="Porcentual 2 10 35 5" xfId="24670"/>
    <cellStyle name="Porcentual 2 10 35 6" xfId="24671"/>
    <cellStyle name="Porcentual 2 10 35 7" xfId="24672"/>
    <cellStyle name="Porcentual 2 10 36" xfId="24673"/>
    <cellStyle name="Porcentual 2 10 37" xfId="24674"/>
    <cellStyle name="Porcentual 2 10 38" xfId="24675"/>
    <cellStyle name="Porcentual 2 10 39" xfId="24676"/>
    <cellStyle name="Porcentual 2 10 4" xfId="24677"/>
    <cellStyle name="Porcentual 2 10 4 2" xfId="24678"/>
    <cellStyle name="Porcentual 2 10 4 2 2" xfId="24679"/>
    <cellStyle name="Porcentual 2 10 4 2 3" xfId="24680"/>
    <cellStyle name="Porcentual 2 10 4 2 4" xfId="24681"/>
    <cellStyle name="Porcentual 2 10 4 2 5" xfId="24682"/>
    <cellStyle name="Porcentual 2 10 4 2 6" xfId="24683"/>
    <cellStyle name="Porcentual 2 10 4 2 7" xfId="24684"/>
    <cellStyle name="Porcentual 2 10 4 3" xfId="24685"/>
    <cellStyle name="Porcentual 2 10 4 4" xfId="24686"/>
    <cellStyle name="Porcentual 2 10 4 5" xfId="24687"/>
    <cellStyle name="Porcentual 2 10 4 6" xfId="24688"/>
    <cellStyle name="Porcentual 2 10 4 7" xfId="24689"/>
    <cellStyle name="Porcentual 2 10 4 8" xfId="24690"/>
    <cellStyle name="Porcentual 2 10 40" xfId="24691"/>
    <cellStyle name="Porcentual 2 10 41" xfId="24692"/>
    <cellStyle name="Porcentual 2 10 5" xfId="24693"/>
    <cellStyle name="Porcentual 2 10 5 2" xfId="24694"/>
    <cellStyle name="Porcentual 2 10 5 2 2" xfId="24695"/>
    <cellStyle name="Porcentual 2 10 5 2 3" xfId="24696"/>
    <cellStyle name="Porcentual 2 10 5 2 4" xfId="24697"/>
    <cellStyle name="Porcentual 2 10 5 2 5" xfId="24698"/>
    <cellStyle name="Porcentual 2 10 5 2 6" xfId="24699"/>
    <cellStyle name="Porcentual 2 10 5 2 7" xfId="24700"/>
    <cellStyle name="Porcentual 2 10 5 3" xfId="24701"/>
    <cellStyle name="Porcentual 2 10 5 4" xfId="24702"/>
    <cellStyle name="Porcentual 2 10 5 5" xfId="24703"/>
    <cellStyle name="Porcentual 2 10 5 6" xfId="24704"/>
    <cellStyle name="Porcentual 2 10 5 7" xfId="24705"/>
    <cellStyle name="Porcentual 2 10 5 8" xfId="24706"/>
    <cellStyle name="Porcentual 2 10 6" xfId="24707"/>
    <cellStyle name="Porcentual 2 10 6 2" xfId="24708"/>
    <cellStyle name="Porcentual 2 10 6 2 2" xfId="24709"/>
    <cellStyle name="Porcentual 2 10 6 2 3" xfId="24710"/>
    <cellStyle name="Porcentual 2 10 6 2 4" xfId="24711"/>
    <cellStyle name="Porcentual 2 10 6 2 5" xfId="24712"/>
    <cellStyle name="Porcentual 2 10 6 2 6" xfId="24713"/>
    <cellStyle name="Porcentual 2 10 6 2 7" xfId="24714"/>
    <cellStyle name="Porcentual 2 10 6 3" xfId="24715"/>
    <cellStyle name="Porcentual 2 10 6 4" xfId="24716"/>
    <cellStyle name="Porcentual 2 10 6 5" xfId="24717"/>
    <cellStyle name="Porcentual 2 10 6 6" xfId="24718"/>
    <cellStyle name="Porcentual 2 10 6 7" xfId="24719"/>
    <cellStyle name="Porcentual 2 10 6 8" xfId="24720"/>
    <cellStyle name="Porcentual 2 10 7" xfId="24721"/>
    <cellStyle name="Porcentual 2 10 7 2" xfId="24722"/>
    <cellStyle name="Porcentual 2 10 7 2 2" xfId="24723"/>
    <cellStyle name="Porcentual 2 10 7 2 3" xfId="24724"/>
    <cellStyle name="Porcentual 2 10 7 2 4" xfId="24725"/>
    <cellStyle name="Porcentual 2 10 7 2 5" xfId="24726"/>
    <cellStyle name="Porcentual 2 10 7 2 6" xfId="24727"/>
    <cellStyle name="Porcentual 2 10 7 2 7" xfId="24728"/>
    <cellStyle name="Porcentual 2 10 7 3" xfId="24729"/>
    <cellStyle name="Porcentual 2 10 7 4" xfId="24730"/>
    <cellStyle name="Porcentual 2 10 7 5" xfId="24731"/>
    <cellStyle name="Porcentual 2 10 7 6" xfId="24732"/>
    <cellStyle name="Porcentual 2 10 7 7" xfId="24733"/>
    <cellStyle name="Porcentual 2 10 7 8" xfId="24734"/>
    <cellStyle name="Porcentual 2 10 8" xfId="24735"/>
    <cellStyle name="Porcentual 2 10 8 2" xfId="24736"/>
    <cellStyle name="Porcentual 2 10 8 2 2" xfId="24737"/>
    <cellStyle name="Porcentual 2 10 8 2 3" xfId="24738"/>
    <cellStyle name="Porcentual 2 10 8 2 4" xfId="24739"/>
    <cellStyle name="Porcentual 2 10 8 2 5" xfId="24740"/>
    <cellStyle name="Porcentual 2 10 8 2 6" xfId="24741"/>
    <cellStyle name="Porcentual 2 10 8 2 7" xfId="24742"/>
    <cellStyle name="Porcentual 2 10 8 3" xfId="24743"/>
    <cellStyle name="Porcentual 2 10 8 4" xfId="24744"/>
    <cellStyle name="Porcentual 2 10 8 5" xfId="24745"/>
    <cellStyle name="Porcentual 2 10 8 6" xfId="24746"/>
    <cellStyle name="Porcentual 2 10 8 7" xfId="24747"/>
    <cellStyle name="Porcentual 2 10 8 8" xfId="24748"/>
    <cellStyle name="Porcentual 2 10 9" xfId="24749"/>
    <cellStyle name="Porcentual 2 10 9 2" xfId="24750"/>
    <cellStyle name="Porcentual 2 10 9 2 2" xfId="24751"/>
    <cellStyle name="Porcentual 2 10 9 2 3" xfId="24752"/>
    <cellStyle name="Porcentual 2 10 9 2 4" xfId="24753"/>
    <cellStyle name="Porcentual 2 10 9 2 5" xfId="24754"/>
    <cellStyle name="Porcentual 2 10 9 2 6" xfId="24755"/>
    <cellStyle name="Porcentual 2 10 9 2 7" xfId="24756"/>
    <cellStyle name="Porcentual 2 10 9 3" xfId="24757"/>
    <cellStyle name="Porcentual 2 10 9 4" xfId="24758"/>
    <cellStyle name="Porcentual 2 10 9 5" xfId="24759"/>
    <cellStyle name="Porcentual 2 10 9 6" xfId="24760"/>
    <cellStyle name="Porcentual 2 10 9 7" xfId="24761"/>
    <cellStyle name="Porcentual 2 10 9 8" xfId="24762"/>
    <cellStyle name="Porcentual 2 11" xfId="24763"/>
    <cellStyle name="Porcentual 2 11 10" xfId="24764"/>
    <cellStyle name="Porcentual 2 11 10 2" xfId="24765"/>
    <cellStyle name="Porcentual 2 11 10 2 2" xfId="24766"/>
    <cellStyle name="Porcentual 2 11 10 2 3" xfId="24767"/>
    <cellStyle name="Porcentual 2 11 10 2 4" xfId="24768"/>
    <cellStyle name="Porcentual 2 11 10 2 5" xfId="24769"/>
    <cellStyle name="Porcentual 2 11 10 2 6" xfId="24770"/>
    <cellStyle name="Porcentual 2 11 10 2 7" xfId="24771"/>
    <cellStyle name="Porcentual 2 11 10 3" xfId="24772"/>
    <cellStyle name="Porcentual 2 11 10 4" xfId="24773"/>
    <cellStyle name="Porcentual 2 11 10 5" xfId="24774"/>
    <cellStyle name="Porcentual 2 11 10 6" xfId="24775"/>
    <cellStyle name="Porcentual 2 11 10 7" xfId="24776"/>
    <cellStyle name="Porcentual 2 11 10 8" xfId="24777"/>
    <cellStyle name="Porcentual 2 11 11" xfId="24778"/>
    <cellStyle name="Porcentual 2 11 11 2" xfId="24779"/>
    <cellStyle name="Porcentual 2 11 11 2 2" xfId="24780"/>
    <cellStyle name="Porcentual 2 11 11 2 3" xfId="24781"/>
    <cellStyle name="Porcentual 2 11 11 2 4" xfId="24782"/>
    <cellStyle name="Porcentual 2 11 11 2 5" xfId="24783"/>
    <cellStyle name="Porcentual 2 11 11 2 6" xfId="24784"/>
    <cellStyle name="Porcentual 2 11 11 2 7" xfId="24785"/>
    <cellStyle name="Porcentual 2 11 11 3" xfId="24786"/>
    <cellStyle name="Porcentual 2 11 11 4" xfId="24787"/>
    <cellStyle name="Porcentual 2 11 11 5" xfId="24788"/>
    <cellStyle name="Porcentual 2 11 11 6" xfId="24789"/>
    <cellStyle name="Porcentual 2 11 11 7" xfId="24790"/>
    <cellStyle name="Porcentual 2 11 11 8" xfId="24791"/>
    <cellStyle name="Porcentual 2 11 12" xfId="24792"/>
    <cellStyle name="Porcentual 2 11 12 2" xfId="24793"/>
    <cellStyle name="Porcentual 2 11 12 2 2" xfId="24794"/>
    <cellStyle name="Porcentual 2 11 12 2 3" xfId="24795"/>
    <cellStyle name="Porcentual 2 11 12 2 4" xfId="24796"/>
    <cellStyle name="Porcentual 2 11 12 2 5" xfId="24797"/>
    <cellStyle name="Porcentual 2 11 12 2 6" xfId="24798"/>
    <cellStyle name="Porcentual 2 11 12 2 7" xfId="24799"/>
    <cellStyle name="Porcentual 2 11 12 3" xfId="24800"/>
    <cellStyle name="Porcentual 2 11 12 4" xfId="24801"/>
    <cellStyle name="Porcentual 2 11 12 5" xfId="24802"/>
    <cellStyle name="Porcentual 2 11 12 6" xfId="24803"/>
    <cellStyle name="Porcentual 2 11 12 7" xfId="24804"/>
    <cellStyle name="Porcentual 2 11 12 8" xfId="24805"/>
    <cellStyle name="Porcentual 2 11 13" xfId="24806"/>
    <cellStyle name="Porcentual 2 11 13 2" xfId="24807"/>
    <cellStyle name="Porcentual 2 11 13 2 2" xfId="24808"/>
    <cellStyle name="Porcentual 2 11 13 2 3" xfId="24809"/>
    <cellStyle name="Porcentual 2 11 13 2 4" xfId="24810"/>
    <cellStyle name="Porcentual 2 11 13 2 5" xfId="24811"/>
    <cellStyle name="Porcentual 2 11 13 2 6" xfId="24812"/>
    <cellStyle name="Porcentual 2 11 13 2 7" xfId="24813"/>
    <cellStyle name="Porcentual 2 11 13 3" xfId="24814"/>
    <cellStyle name="Porcentual 2 11 13 4" xfId="24815"/>
    <cellStyle name="Porcentual 2 11 13 5" xfId="24816"/>
    <cellStyle name="Porcentual 2 11 13 6" xfId="24817"/>
    <cellStyle name="Porcentual 2 11 13 7" xfId="24818"/>
    <cellStyle name="Porcentual 2 11 13 8" xfId="24819"/>
    <cellStyle name="Porcentual 2 11 14" xfId="24820"/>
    <cellStyle name="Porcentual 2 11 14 2" xfId="24821"/>
    <cellStyle name="Porcentual 2 11 14 2 2" xfId="24822"/>
    <cellStyle name="Porcentual 2 11 14 2 3" xfId="24823"/>
    <cellStyle name="Porcentual 2 11 14 2 4" xfId="24824"/>
    <cellStyle name="Porcentual 2 11 14 2 5" xfId="24825"/>
    <cellStyle name="Porcentual 2 11 14 2 6" xfId="24826"/>
    <cellStyle name="Porcentual 2 11 14 2 7" xfId="24827"/>
    <cellStyle name="Porcentual 2 11 14 3" xfId="24828"/>
    <cellStyle name="Porcentual 2 11 14 4" xfId="24829"/>
    <cellStyle name="Porcentual 2 11 14 5" xfId="24830"/>
    <cellStyle name="Porcentual 2 11 14 6" xfId="24831"/>
    <cellStyle name="Porcentual 2 11 14 7" xfId="24832"/>
    <cellStyle name="Porcentual 2 11 14 8" xfId="24833"/>
    <cellStyle name="Porcentual 2 11 15" xfId="24834"/>
    <cellStyle name="Porcentual 2 11 15 2" xfId="24835"/>
    <cellStyle name="Porcentual 2 11 15 2 2" xfId="24836"/>
    <cellStyle name="Porcentual 2 11 15 2 3" xfId="24837"/>
    <cellStyle name="Porcentual 2 11 15 2 4" xfId="24838"/>
    <cellStyle name="Porcentual 2 11 15 2 5" xfId="24839"/>
    <cellStyle name="Porcentual 2 11 15 2 6" xfId="24840"/>
    <cellStyle name="Porcentual 2 11 15 2 7" xfId="24841"/>
    <cellStyle name="Porcentual 2 11 15 3" xfId="24842"/>
    <cellStyle name="Porcentual 2 11 15 4" xfId="24843"/>
    <cellStyle name="Porcentual 2 11 15 5" xfId="24844"/>
    <cellStyle name="Porcentual 2 11 15 6" xfId="24845"/>
    <cellStyle name="Porcentual 2 11 15 7" xfId="24846"/>
    <cellStyle name="Porcentual 2 11 15 8" xfId="24847"/>
    <cellStyle name="Porcentual 2 11 16" xfId="24848"/>
    <cellStyle name="Porcentual 2 11 16 2" xfId="24849"/>
    <cellStyle name="Porcentual 2 11 16 3" xfId="24850"/>
    <cellStyle name="Porcentual 2 11 16 4" xfId="24851"/>
    <cellStyle name="Porcentual 2 11 16 5" xfId="24852"/>
    <cellStyle name="Porcentual 2 11 16 6" xfId="24853"/>
    <cellStyle name="Porcentual 2 11 16 7" xfId="24854"/>
    <cellStyle name="Porcentual 2 11 17" xfId="24855"/>
    <cellStyle name="Porcentual 2 11 17 2" xfId="24856"/>
    <cellStyle name="Porcentual 2 11 17 3" xfId="24857"/>
    <cellStyle name="Porcentual 2 11 17 4" xfId="24858"/>
    <cellStyle name="Porcentual 2 11 17 5" xfId="24859"/>
    <cellStyle name="Porcentual 2 11 17 6" xfId="24860"/>
    <cellStyle name="Porcentual 2 11 17 7" xfId="24861"/>
    <cellStyle name="Porcentual 2 11 18" xfId="24862"/>
    <cellStyle name="Porcentual 2 11 18 2" xfId="24863"/>
    <cellStyle name="Porcentual 2 11 18 3" xfId="24864"/>
    <cellStyle name="Porcentual 2 11 18 4" xfId="24865"/>
    <cellStyle name="Porcentual 2 11 18 5" xfId="24866"/>
    <cellStyle name="Porcentual 2 11 18 6" xfId="24867"/>
    <cellStyle name="Porcentual 2 11 18 7" xfId="24868"/>
    <cellStyle name="Porcentual 2 11 19" xfId="24869"/>
    <cellStyle name="Porcentual 2 11 19 2" xfId="24870"/>
    <cellStyle name="Porcentual 2 11 19 3" xfId="24871"/>
    <cellStyle name="Porcentual 2 11 19 4" xfId="24872"/>
    <cellStyle name="Porcentual 2 11 19 5" xfId="24873"/>
    <cellStyle name="Porcentual 2 11 19 6" xfId="24874"/>
    <cellStyle name="Porcentual 2 11 19 7" xfId="24875"/>
    <cellStyle name="Porcentual 2 11 2" xfId="24876"/>
    <cellStyle name="Porcentual 2 11 2 2" xfId="24877"/>
    <cellStyle name="Porcentual 2 11 2 2 2" xfId="24878"/>
    <cellStyle name="Porcentual 2 11 2 2 3" xfId="24879"/>
    <cellStyle name="Porcentual 2 11 2 2 4" xfId="24880"/>
    <cellStyle name="Porcentual 2 11 2 2 5" xfId="24881"/>
    <cellStyle name="Porcentual 2 11 2 2 6" xfId="24882"/>
    <cellStyle name="Porcentual 2 11 2 2 7" xfId="24883"/>
    <cellStyle name="Porcentual 2 11 2 3" xfId="24884"/>
    <cellStyle name="Porcentual 2 11 2 4" xfId="24885"/>
    <cellStyle name="Porcentual 2 11 2 5" xfId="24886"/>
    <cellStyle name="Porcentual 2 11 2 6" xfId="24887"/>
    <cellStyle name="Porcentual 2 11 2 7" xfId="24888"/>
    <cellStyle name="Porcentual 2 11 2 8" xfId="24889"/>
    <cellStyle name="Porcentual 2 11 20" xfId="24890"/>
    <cellStyle name="Porcentual 2 11 20 2" xfId="24891"/>
    <cellStyle name="Porcentual 2 11 20 3" xfId="24892"/>
    <cellStyle name="Porcentual 2 11 20 4" xfId="24893"/>
    <cellStyle name="Porcentual 2 11 20 5" xfId="24894"/>
    <cellStyle name="Porcentual 2 11 20 6" xfId="24895"/>
    <cellStyle name="Porcentual 2 11 20 7" xfId="24896"/>
    <cellStyle name="Porcentual 2 11 21" xfId="24897"/>
    <cellStyle name="Porcentual 2 11 21 2" xfId="24898"/>
    <cellStyle name="Porcentual 2 11 21 3" xfId="24899"/>
    <cellStyle name="Porcentual 2 11 21 4" xfId="24900"/>
    <cellStyle name="Porcentual 2 11 21 5" xfId="24901"/>
    <cellStyle name="Porcentual 2 11 21 6" xfId="24902"/>
    <cellStyle name="Porcentual 2 11 21 7" xfId="24903"/>
    <cellStyle name="Porcentual 2 11 22" xfId="24904"/>
    <cellStyle name="Porcentual 2 11 22 2" xfId="24905"/>
    <cellStyle name="Porcentual 2 11 22 3" xfId="24906"/>
    <cellStyle name="Porcentual 2 11 22 4" xfId="24907"/>
    <cellStyle name="Porcentual 2 11 22 5" xfId="24908"/>
    <cellStyle name="Porcentual 2 11 22 6" xfId="24909"/>
    <cellStyle name="Porcentual 2 11 22 7" xfId="24910"/>
    <cellStyle name="Porcentual 2 11 23" xfId="24911"/>
    <cellStyle name="Porcentual 2 11 23 2" xfId="24912"/>
    <cellStyle name="Porcentual 2 11 23 3" xfId="24913"/>
    <cellStyle name="Porcentual 2 11 23 4" xfId="24914"/>
    <cellStyle name="Porcentual 2 11 23 5" xfId="24915"/>
    <cellStyle name="Porcentual 2 11 23 6" xfId="24916"/>
    <cellStyle name="Porcentual 2 11 23 7" xfId="24917"/>
    <cellStyle name="Porcentual 2 11 24" xfId="24918"/>
    <cellStyle name="Porcentual 2 11 24 2" xfId="24919"/>
    <cellStyle name="Porcentual 2 11 24 3" xfId="24920"/>
    <cellStyle name="Porcentual 2 11 24 4" xfId="24921"/>
    <cellStyle name="Porcentual 2 11 24 5" xfId="24922"/>
    <cellStyle name="Porcentual 2 11 24 6" xfId="24923"/>
    <cellStyle name="Porcentual 2 11 24 7" xfId="24924"/>
    <cellStyle name="Porcentual 2 11 25" xfId="24925"/>
    <cellStyle name="Porcentual 2 11 25 2" xfId="24926"/>
    <cellStyle name="Porcentual 2 11 25 3" xfId="24927"/>
    <cellStyle name="Porcentual 2 11 25 4" xfId="24928"/>
    <cellStyle name="Porcentual 2 11 25 5" xfId="24929"/>
    <cellStyle name="Porcentual 2 11 25 6" xfId="24930"/>
    <cellStyle name="Porcentual 2 11 25 7" xfId="24931"/>
    <cellStyle name="Porcentual 2 11 26" xfId="24932"/>
    <cellStyle name="Porcentual 2 11 26 2" xfId="24933"/>
    <cellStyle name="Porcentual 2 11 26 3" xfId="24934"/>
    <cellStyle name="Porcentual 2 11 26 4" xfId="24935"/>
    <cellStyle name="Porcentual 2 11 26 5" xfId="24936"/>
    <cellStyle name="Porcentual 2 11 26 6" xfId="24937"/>
    <cellStyle name="Porcentual 2 11 26 7" xfId="24938"/>
    <cellStyle name="Porcentual 2 11 27" xfId="24939"/>
    <cellStyle name="Porcentual 2 11 27 2" xfId="24940"/>
    <cellStyle name="Porcentual 2 11 27 3" xfId="24941"/>
    <cellStyle name="Porcentual 2 11 27 4" xfId="24942"/>
    <cellStyle name="Porcentual 2 11 27 5" xfId="24943"/>
    <cellStyle name="Porcentual 2 11 27 6" xfId="24944"/>
    <cellStyle name="Porcentual 2 11 27 7" xfId="24945"/>
    <cellStyle name="Porcentual 2 11 28" xfId="24946"/>
    <cellStyle name="Porcentual 2 11 28 2" xfId="24947"/>
    <cellStyle name="Porcentual 2 11 28 3" xfId="24948"/>
    <cellStyle name="Porcentual 2 11 28 4" xfId="24949"/>
    <cellStyle name="Porcentual 2 11 28 5" xfId="24950"/>
    <cellStyle name="Porcentual 2 11 28 6" xfId="24951"/>
    <cellStyle name="Porcentual 2 11 28 7" xfId="24952"/>
    <cellStyle name="Porcentual 2 11 29" xfId="24953"/>
    <cellStyle name="Porcentual 2 11 29 2" xfId="24954"/>
    <cellStyle name="Porcentual 2 11 29 3" xfId="24955"/>
    <cellStyle name="Porcentual 2 11 29 4" xfId="24956"/>
    <cellStyle name="Porcentual 2 11 29 5" xfId="24957"/>
    <cellStyle name="Porcentual 2 11 29 6" xfId="24958"/>
    <cellStyle name="Porcentual 2 11 29 7" xfId="24959"/>
    <cellStyle name="Porcentual 2 11 3" xfId="24960"/>
    <cellStyle name="Porcentual 2 11 3 2" xfId="24961"/>
    <cellStyle name="Porcentual 2 11 3 2 2" xfId="24962"/>
    <cellStyle name="Porcentual 2 11 3 2 3" xfId="24963"/>
    <cellStyle name="Porcentual 2 11 3 2 4" xfId="24964"/>
    <cellStyle name="Porcentual 2 11 3 2 5" xfId="24965"/>
    <cellStyle name="Porcentual 2 11 3 2 6" xfId="24966"/>
    <cellStyle name="Porcentual 2 11 3 2 7" xfId="24967"/>
    <cellStyle name="Porcentual 2 11 3 3" xfId="24968"/>
    <cellStyle name="Porcentual 2 11 3 4" xfId="24969"/>
    <cellStyle name="Porcentual 2 11 3 5" xfId="24970"/>
    <cellStyle name="Porcentual 2 11 3 6" xfId="24971"/>
    <cellStyle name="Porcentual 2 11 3 7" xfId="24972"/>
    <cellStyle name="Porcentual 2 11 3 8" xfId="24973"/>
    <cellStyle name="Porcentual 2 11 30" xfId="24974"/>
    <cellStyle name="Porcentual 2 11 30 2" xfId="24975"/>
    <cellStyle name="Porcentual 2 11 30 3" xfId="24976"/>
    <cellStyle name="Porcentual 2 11 30 4" xfId="24977"/>
    <cellStyle name="Porcentual 2 11 30 5" xfId="24978"/>
    <cellStyle name="Porcentual 2 11 30 6" xfId="24979"/>
    <cellStyle name="Porcentual 2 11 30 7" xfId="24980"/>
    <cellStyle name="Porcentual 2 11 31" xfId="24981"/>
    <cellStyle name="Porcentual 2 11 31 2" xfId="24982"/>
    <cellStyle name="Porcentual 2 11 31 3" xfId="24983"/>
    <cellStyle name="Porcentual 2 11 31 4" xfId="24984"/>
    <cellStyle name="Porcentual 2 11 31 5" xfId="24985"/>
    <cellStyle name="Porcentual 2 11 31 6" xfId="24986"/>
    <cellStyle name="Porcentual 2 11 31 7" xfId="24987"/>
    <cellStyle name="Porcentual 2 11 32" xfId="24988"/>
    <cellStyle name="Porcentual 2 11 32 2" xfId="24989"/>
    <cellStyle name="Porcentual 2 11 32 3" xfId="24990"/>
    <cellStyle name="Porcentual 2 11 32 4" xfId="24991"/>
    <cellStyle name="Porcentual 2 11 32 5" xfId="24992"/>
    <cellStyle name="Porcentual 2 11 32 6" xfId="24993"/>
    <cellStyle name="Porcentual 2 11 32 7" xfId="24994"/>
    <cellStyle name="Porcentual 2 11 33" xfId="24995"/>
    <cellStyle name="Porcentual 2 11 33 2" xfId="24996"/>
    <cellStyle name="Porcentual 2 11 33 3" xfId="24997"/>
    <cellStyle name="Porcentual 2 11 33 4" xfId="24998"/>
    <cellStyle name="Porcentual 2 11 33 5" xfId="24999"/>
    <cellStyle name="Porcentual 2 11 33 6" xfId="25000"/>
    <cellStyle name="Porcentual 2 11 33 7" xfId="25001"/>
    <cellStyle name="Porcentual 2 11 34" xfId="25002"/>
    <cellStyle name="Porcentual 2 11 34 2" xfId="25003"/>
    <cellStyle name="Porcentual 2 11 34 3" xfId="25004"/>
    <cellStyle name="Porcentual 2 11 34 4" xfId="25005"/>
    <cellStyle name="Porcentual 2 11 34 5" xfId="25006"/>
    <cellStyle name="Porcentual 2 11 34 6" xfId="25007"/>
    <cellStyle name="Porcentual 2 11 34 7" xfId="25008"/>
    <cellStyle name="Porcentual 2 11 35" xfId="25009"/>
    <cellStyle name="Porcentual 2 11 35 2" xfId="25010"/>
    <cellStyle name="Porcentual 2 11 35 3" xfId="25011"/>
    <cellStyle name="Porcentual 2 11 35 4" xfId="25012"/>
    <cellStyle name="Porcentual 2 11 35 5" xfId="25013"/>
    <cellStyle name="Porcentual 2 11 35 6" xfId="25014"/>
    <cellStyle name="Porcentual 2 11 35 7" xfId="25015"/>
    <cellStyle name="Porcentual 2 11 36" xfId="25016"/>
    <cellStyle name="Porcentual 2 11 37" xfId="25017"/>
    <cellStyle name="Porcentual 2 11 38" xfId="25018"/>
    <cellStyle name="Porcentual 2 11 39" xfId="25019"/>
    <cellStyle name="Porcentual 2 11 4" xfId="25020"/>
    <cellStyle name="Porcentual 2 11 4 2" xfId="25021"/>
    <cellStyle name="Porcentual 2 11 4 2 2" xfId="25022"/>
    <cellStyle name="Porcentual 2 11 4 2 3" xfId="25023"/>
    <cellStyle name="Porcentual 2 11 4 2 4" xfId="25024"/>
    <cellStyle name="Porcentual 2 11 4 2 5" xfId="25025"/>
    <cellStyle name="Porcentual 2 11 4 2 6" xfId="25026"/>
    <cellStyle name="Porcentual 2 11 4 2 7" xfId="25027"/>
    <cellStyle name="Porcentual 2 11 4 3" xfId="25028"/>
    <cellStyle name="Porcentual 2 11 4 4" xfId="25029"/>
    <cellStyle name="Porcentual 2 11 4 5" xfId="25030"/>
    <cellStyle name="Porcentual 2 11 4 6" xfId="25031"/>
    <cellStyle name="Porcentual 2 11 4 7" xfId="25032"/>
    <cellStyle name="Porcentual 2 11 4 8" xfId="25033"/>
    <cellStyle name="Porcentual 2 11 40" xfId="25034"/>
    <cellStyle name="Porcentual 2 11 41" xfId="25035"/>
    <cellStyle name="Porcentual 2 11 5" xfId="25036"/>
    <cellStyle name="Porcentual 2 11 5 2" xfId="25037"/>
    <cellStyle name="Porcentual 2 11 5 2 2" xfId="25038"/>
    <cellStyle name="Porcentual 2 11 5 2 3" xfId="25039"/>
    <cellStyle name="Porcentual 2 11 5 2 4" xfId="25040"/>
    <cellStyle name="Porcentual 2 11 5 2 5" xfId="25041"/>
    <cellStyle name="Porcentual 2 11 5 2 6" xfId="25042"/>
    <cellStyle name="Porcentual 2 11 5 2 7" xfId="25043"/>
    <cellStyle name="Porcentual 2 11 5 3" xfId="25044"/>
    <cellStyle name="Porcentual 2 11 5 4" xfId="25045"/>
    <cellStyle name="Porcentual 2 11 5 5" xfId="25046"/>
    <cellStyle name="Porcentual 2 11 5 6" xfId="25047"/>
    <cellStyle name="Porcentual 2 11 5 7" xfId="25048"/>
    <cellStyle name="Porcentual 2 11 5 8" xfId="25049"/>
    <cellStyle name="Porcentual 2 11 6" xfId="25050"/>
    <cellStyle name="Porcentual 2 11 6 2" xfId="25051"/>
    <cellStyle name="Porcentual 2 11 6 2 2" xfId="25052"/>
    <cellStyle name="Porcentual 2 11 6 2 3" xfId="25053"/>
    <cellStyle name="Porcentual 2 11 6 2 4" xfId="25054"/>
    <cellStyle name="Porcentual 2 11 6 2 5" xfId="25055"/>
    <cellStyle name="Porcentual 2 11 6 2 6" xfId="25056"/>
    <cellStyle name="Porcentual 2 11 6 2 7" xfId="25057"/>
    <cellStyle name="Porcentual 2 11 6 3" xfId="25058"/>
    <cellStyle name="Porcentual 2 11 6 4" xfId="25059"/>
    <cellStyle name="Porcentual 2 11 6 5" xfId="25060"/>
    <cellStyle name="Porcentual 2 11 6 6" xfId="25061"/>
    <cellStyle name="Porcentual 2 11 6 7" xfId="25062"/>
    <cellStyle name="Porcentual 2 11 6 8" xfId="25063"/>
    <cellStyle name="Porcentual 2 11 7" xfId="25064"/>
    <cellStyle name="Porcentual 2 11 7 2" xfId="25065"/>
    <cellStyle name="Porcentual 2 11 7 2 2" xfId="25066"/>
    <cellStyle name="Porcentual 2 11 7 2 3" xfId="25067"/>
    <cellStyle name="Porcentual 2 11 7 2 4" xfId="25068"/>
    <cellStyle name="Porcentual 2 11 7 2 5" xfId="25069"/>
    <cellStyle name="Porcentual 2 11 7 2 6" xfId="25070"/>
    <cellStyle name="Porcentual 2 11 7 2 7" xfId="25071"/>
    <cellStyle name="Porcentual 2 11 7 3" xfId="25072"/>
    <cellStyle name="Porcentual 2 11 7 4" xfId="25073"/>
    <cellStyle name="Porcentual 2 11 7 5" xfId="25074"/>
    <cellStyle name="Porcentual 2 11 7 6" xfId="25075"/>
    <cellStyle name="Porcentual 2 11 7 7" xfId="25076"/>
    <cellStyle name="Porcentual 2 11 7 8" xfId="25077"/>
    <cellStyle name="Porcentual 2 11 8" xfId="25078"/>
    <cellStyle name="Porcentual 2 11 8 2" xfId="25079"/>
    <cellStyle name="Porcentual 2 11 8 2 2" xfId="25080"/>
    <cellStyle name="Porcentual 2 11 8 2 3" xfId="25081"/>
    <cellStyle name="Porcentual 2 11 8 2 4" xfId="25082"/>
    <cellStyle name="Porcentual 2 11 8 2 5" xfId="25083"/>
    <cellStyle name="Porcentual 2 11 8 2 6" xfId="25084"/>
    <cellStyle name="Porcentual 2 11 8 2 7" xfId="25085"/>
    <cellStyle name="Porcentual 2 11 8 3" xfId="25086"/>
    <cellStyle name="Porcentual 2 11 8 4" xfId="25087"/>
    <cellStyle name="Porcentual 2 11 8 5" xfId="25088"/>
    <cellStyle name="Porcentual 2 11 8 6" xfId="25089"/>
    <cellStyle name="Porcentual 2 11 8 7" xfId="25090"/>
    <cellStyle name="Porcentual 2 11 8 8" xfId="25091"/>
    <cellStyle name="Porcentual 2 11 9" xfId="25092"/>
    <cellStyle name="Porcentual 2 11 9 2" xfId="25093"/>
    <cellStyle name="Porcentual 2 11 9 2 2" xfId="25094"/>
    <cellStyle name="Porcentual 2 11 9 2 3" xfId="25095"/>
    <cellStyle name="Porcentual 2 11 9 2 4" xfId="25096"/>
    <cellStyle name="Porcentual 2 11 9 2 5" xfId="25097"/>
    <cellStyle name="Porcentual 2 11 9 2 6" xfId="25098"/>
    <cellStyle name="Porcentual 2 11 9 2 7" xfId="25099"/>
    <cellStyle name="Porcentual 2 11 9 3" xfId="25100"/>
    <cellStyle name="Porcentual 2 11 9 4" xfId="25101"/>
    <cellStyle name="Porcentual 2 11 9 5" xfId="25102"/>
    <cellStyle name="Porcentual 2 11 9 6" xfId="25103"/>
    <cellStyle name="Porcentual 2 11 9 7" xfId="25104"/>
    <cellStyle name="Porcentual 2 11 9 8" xfId="25105"/>
    <cellStyle name="Porcentual 2 12" xfId="25106"/>
    <cellStyle name="Porcentual 2 12 10" xfId="25107"/>
    <cellStyle name="Porcentual 2 12 10 2" xfId="25108"/>
    <cellStyle name="Porcentual 2 12 10 2 2" xfId="25109"/>
    <cellStyle name="Porcentual 2 12 10 2 3" xfId="25110"/>
    <cellStyle name="Porcentual 2 12 10 2 4" xfId="25111"/>
    <cellStyle name="Porcentual 2 12 10 2 5" xfId="25112"/>
    <cellStyle name="Porcentual 2 12 10 2 6" xfId="25113"/>
    <cellStyle name="Porcentual 2 12 10 2 7" xfId="25114"/>
    <cellStyle name="Porcentual 2 12 10 3" xfId="25115"/>
    <cellStyle name="Porcentual 2 12 10 4" xfId="25116"/>
    <cellStyle name="Porcentual 2 12 10 5" xfId="25117"/>
    <cellStyle name="Porcentual 2 12 10 6" xfId="25118"/>
    <cellStyle name="Porcentual 2 12 10 7" xfId="25119"/>
    <cellStyle name="Porcentual 2 12 10 8" xfId="25120"/>
    <cellStyle name="Porcentual 2 12 11" xfId="25121"/>
    <cellStyle name="Porcentual 2 12 11 2" xfId="25122"/>
    <cellStyle name="Porcentual 2 12 11 2 2" xfId="25123"/>
    <cellStyle name="Porcentual 2 12 11 2 3" xfId="25124"/>
    <cellStyle name="Porcentual 2 12 11 2 4" xfId="25125"/>
    <cellStyle name="Porcentual 2 12 11 2 5" xfId="25126"/>
    <cellStyle name="Porcentual 2 12 11 2 6" xfId="25127"/>
    <cellStyle name="Porcentual 2 12 11 2 7" xfId="25128"/>
    <cellStyle name="Porcentual 2 12 11 3" xfId="25129"/>
    <cellStyle name="Porcentual 2 12 11 4" xfId="25130"/>
    <cellStyle name="Porcentual 2 12 11 5" xfId="25131"/>
    <cellStyle name="Porcentual 2 12 11 6" xfId="25132"/>
    <cellStyle name="Porcentual 2 12 11 7" xfId="25133"/>
    <cellStyle name="Porcentual 2 12 11 8" xfId="25134"/>
    <cellStyle name="Porcentual 2 12 12" xfId="25135"/>
    <cellStyle name="Porcentual 2 12 12 2" xfId="25136"/>
    <cellStyle name="Porcentual 2 12 12 2 2" xfId="25137"/>
    <cellStyle name="Porcentual 2 12 12 2 3" xfId="25138"/>
    <cellStyle name="Porcentual 2 12 12 2 4" xfId="25139"/>
    <cellStyle name="Porcentual 2 12 12 2 5" xfId="25140"/>
    <cellStyle name="Porcentual 2 12 12 2 6" xfId="25141"/>
    <cellStyle name="Porcentual 2 12 12 2 7" xfId="25142"/>
    <cellStyle name="Porcentual 2 12 12 3" xfId="25143"/>
    <cellStyle name="Porcentual 2 12 12 4" xfId="25144"/>
    <cellStyle name="Porcentual 2 12 12 5" xfId="25145"/>
    <cellStyle name="Porcentual 2 12 12 6" xfId="25146"/>
    <cellStyle name="Porcentual 2 12 12 7" xfId="25147"/>
    <cellStyle name="Porcentual 2 12 12 8" xfId="25148"/>
    <cellStyle name="Porcentual 2 12 13" xfId="25149"/>
    <cellStyle name="Porcentual 2 12 13 2" xfId="25150"/>
    <cellStyle name="Porcentual 2 12 13 2 2" xfId="25151"/>
    <cellStyle name="Porcentual 2 12 13 2 3" xfId="25152"/>
    <cellStyle name="Porcentual 2 12 13 2 4" xfId="25153"/>
    <cellStyle name="Porcentual 2 12 13 2 5" xfId="25154"/>
    <cellStyle name="Porcentual 2 12 13 2 6" xfId="25155"/>
    <cellStyle name="Porcentual 2 12 13 2 7" xfId="25156"/>
    <cellStyle name="Porcentual 2 12 13 3" xfId="25157"/>
    <cellStyle name="Porcentual 2 12 13 4" xfId="25158"/>
    <cellStyle name="Porcentual 2 12 13 5" xfId="25159"/>
    <cellStyle name="Porcentual 2 12 13 6" xfId="25160"/>
    <cellStyle name="Porcentual 2 12 13 7" xfId="25161"/>
    <cellStyle name="Porcentual 2 12 13 8" xfId="25162"/>
    <cellStyle name="Porcentual 2 12 14" xfId="25163"/>
    <cellStyle name="Porcentual 2 12 14 2" xfId="25164"/>
    <cellStyle name="Porcentual 2 12 14 2 2" xfId="25165"/>
    <cellStyle name="Porcentual 2 12 14 2 3" xfId="25166"/>
    <cellStyle name="Porcentual 2 12 14 2 4" xfId="25167"/>
    <cellStyle name="Porcentual 2 12 14 2 5" xfId="25168"/>
    <cellStyle name="Porcentual 2 12 14 2 6" xfId="25169"/>
    <cellStyle name="Porcentual 2 12 14 2 7" xfId="25170"/>
    <cellStyle name="Porcentual 2 12 14 3" xfId="25171"/>
    <cellStyle name="Porcentual 2 12 14 4" xfId="25172"/>
    <cellStyle name="Porcentual 2 12 14 5" xfId="25173"/>
    <cellStyle name="Porcentual 2 12 14 6" xfId="25174"/>
    <cellStyle name="Porcentual 2 12 14 7" xfId="25175"/>
    <cellStyle name="Porcentual 2 12 14 8" xfId="25176"/>
    <cellStyle name="Porcentual 2 12 15" xfId="25177"/>
    <cellStyle name="Porcentual 2 12 15 2" xfId="25178"/>
    <cellStyle name="Porcentual 2 12 15 2 2" xfId="25179"/>
    <cellStyle name="Porcentual 2 12 15 2 3" xfId="25180"/>
    <cellStyle name="Porcentual 2 12 15 2 4" xfId="25181"/>
    <cellStyle name="Porcentual 2 12 15 2 5" xfId="25182"/>
    <cellStyle name="Porcentual 2 12 15 2 6" xfId="25183"/>
    <cellStyle name="Porcentual 2 12 15 2 7" xfId="25184"/>
    <cellStyle name="Porcentual 2 12 15 3" xfId="25185"/>
    <cellStyle name="Porcentual 2 12 15 4" xfId="25186"/>
    <cellStyle name="Porcentual 2 12 15 5" xfId="25187"/>
    <cellStyle name="Porcentual 2 12 15 6" xfId="25188"/>
    <cellStyle name="Porcentual 2 12 15 7" xfId="25189"/>
    <cellStyle name="Porcentual 2 12 15 8" xfId="25190"/>
    <cellStyle name="Porcentual 2 12 16" xfId="25191"/>
    <cellStyle name="Porcentual 2 12 16 2" xfId="25192"/>
    <cellStyle name="Porcentual 2 12 16 3" xfId="25193"/>
    <cellStyle name="Porcentual 2 12 16 4" xfId="25194"/>
    <cellStyle name="Porcentual 2 12 16 5" xfId="25195"/>
    <cellStyle name="Porcentual 2 12 16 6" xfId="25196"/>
    <cellStyle name="Porcentual 2 12 16 7" xfId="25197"/>
    <cellStyle name="Porcentual 2 12 17" xfId="25198"/>
    <cellStyle name="Porcentual 2 12 17 2" xfId="25199"/>
    <cellStyle name="Porcentual 2 12 17 3" xfId="25200"/>
    <cellStyle name="Porcentual 2 12 17 4" xfId="25201"/>
    <cellStyle name="Porcentual 2 12 17 5" xfId="25202"/>
    <cellStyle name="Porcentual 2 12 17 6" xfId="25203"/>
    <cellStyle name="Porcentual 2 12 17 7" xfId="25204"/>
    <cellStyle name="Porcentual 2 12 18" xfId="25205"/>
    <cellStyle name="Porcentual 2 12 18 2" xfId="25206"/>
    <cellStyle name="Porcentual 2 12 18 3" xfId="25207"/>
    <cellStyle name="Porcentual 2 12 18 4" xfId="25208"/>
    <cellStyle name="Porcentual 2 12 18 5" xfId="25209"/>
    <cellStyle name="Porcentual 2 12 18 6" xfId="25210"/>
    <cellStyle name="Porcentual 2 12 18 7" xfId="25211"/>
    <cellStyle name="Porcentual 2 12 19" xfId="25212"/>
    <cellStyle name="Porcentual 2 12 19 2" xfId="25213"/>
    <cellStyle name="Porcentual 2 12 19 3" xfId="25214"/>
    <cellStyle name="Porcentual 2 12 19 4" xfId="25215"/>
    <cellStyle name="Porcentual 2 12 19 5" xfId="25216"/>
    <cellStyle name="Porcentual 2 12 19 6" xfId="25217"/>
    <cellStyle name="Porcentual 2 12 19 7" xfId="25218"/>
    <cellStyle name="Porcentual 2 12 2" xfId="25219"/>
    <cellStyle name="Porcentual 2 12 2 2" xfId="25220"/>
    <cellStyle name="Porcentual 2 12 2 2 2" xfId="25221"/>
    <cellStyle name="Porcentual 2 12 2 2 3" xfId="25222"/>
    <cellStyle name="Porcentual 2 12 2 2 4" xfId="25223"/>
    <cellStyle name="Porcentual 2 12 2 2 5" xfId="25224"/>
    <cellStyle name="Porcentual 2 12 2 2 6" xfId="25225"/>
    <cellStyle name="Porcentual 2 12 2 2 7" xfId="25226"/>
    <cellStyle name="Porcentual 2 12 2 3" xfId="25227"/>
    <cellStyle name="Porcentual 2 12 2 4" xfId="25228"/>
    <cellStyle name="Porcentual 2 12 2 5" xfId="25229"/>
    <cellStyle name="Porcentual 2 12 2 6" xfId="25230"/>
    <cellStyle name="Porcentual 2 12 2 7" xfId="25231"/>
    <cellStyle name="Porcentual 2 12 2 8" xfId="25232"/>
    <cellStyle name="Porcentual 2 12 20" xfId="25233"/>
    <cellStyle name="Porcentual 2 12 20 2" xfId="25234"/>
    <cellStyle name="Porcentual 2 12 20 3" xfId="25235"/>
    <cellStyle name="Porcentual 2 12 20 4" xfId="25236"/>
    <cellStyle name="Porcentual 2 12 20 5" xfId="25237"/>
    <cellStyle name="Porcentual 2 12 20 6" xfId="25238"/>
    <cellStyle name="Porcentual 2 12 20 7" xfId="25239"/>
    <cellStyle name="Porcentual 2 12 21" xfId="25240"/>
    <cellStyle name="Porcentual 2 12 21 2" xfId="25241"/>
    <cellStyle name="Porcentual 2 12 21 3" xfId="25242"/>
    <cellStyle name="Porcentual 2 12 21 4" xfId="25243"/>
    <cellStyle name="Porcentual 2 12 21 5" xfId="25244"/>
    <cellStyle name="Porcentual 2 12 21 6" xfId="25245"/>
    <cellStyle name="Porcentual 2 12 21 7" xfId="25246"/>
    <cellStyle name="Porcentual 2 12 22" xfId="25247"/>
    <cellStyle name="Porcentual 2 12 22 2" xfId="25248"/>
    <cellStyle name="Porcentual 2 12 22 3" xfId="25249"/>
    <cellStyle name="Porcentual 2 12 22 4" xfId="25250"/>
    <cellStyle name="Porcentual 2 12 22 5" xfId="25251"/>
    <cellStyle name="Porcentual 2 12 22 6" xfId="25252"/>
    <cellStyle name="Porcentual 2 12 22 7" xfId="25253"/>
    <cellStyle name="Porcentual 2 12 23" xfId="25254"/>
    <cellStyle name="Porcentual 2 12 23 2" xfId="25255"/>
    <cellStyle name="Porcentual 2 12 23 3" xfId="25256"/>
    <cellStyle name="Porcentual 2 12 23 4" xfId="25257"/>
    <cellStyle name="Porcentual 2 12 23 5" xfId="25258"/>
    <cellStyle name="Porcentual 2 12 23 6" xfId="25259"/>
    <cellStyle name="Porcentual 2 12 23 7" xfId="25260"/>
    <cellStyle name="Porcentual 2 12 24" xfId="25261"/>
    <cellStyle name="Porcentual 2 12 24 2" xfId="25262"/>
    <cellStyle name="Porcentual 2 12 24 3" xfId="25263"/>
    <cellStyle name="Porcentual 2 12 24 4" xfId="25264"/>
    <cellStyle name="Porcentual 2 12 24 5" xfId="25265"/>
    <cellStyle name="Porcentual 2 12 24 6" xfId="25266"/>
    <cellStyle name="Porcentual 2 12 24 7" xfId="25267"/>
    <cellStyle name="Porcentual 2 12 25" xfId="25268"/>
    <cellStyle name="Porcentual 2 12 25 2" xfId="25269"/>
    <cellStyle name="Porcentual 2 12 25 3" xfId="25270"/>
    <cellStyle name="Porcentual 2 12 25 4" xfId="25271"/>
    <cellStyle name="Porcentual 2 12 25 5" xfId="25272"/>
    <cellStyle name="Porcentual 2 12 25 6" xfId="25273"/>
    <cellStyle name="Porcentual 2 12 25 7" xfId="25274"/>
    <cellStyle name="Porcentual 2 12 26" xfId="25275"/>
    <cellStyle name="Porcentual 2 12 26 2" xfId="25276"/>
    <cellStyle name="Porcentual 2 12 26 3" xfId="25277"/>
    <cellStyle name="Porcentual 2 12 26 4" xfId="25278"/>
    <cellStyle name="Porcentual 2 12 26 5" xfId="25279"/>
    <cellStyle name="Porcentual 2 12 26 6" xfId="25280"/>
    <cellStyle name="Porcentual 2 12 26 7" xfId="25281"/>
    <cellStyle name="Porcentual 2 12 27" xfId="25282"/>
    <cellStyle name="Porcentual 2 12 27 2" xfId="25283"/>
    <cellStyle name="Porcentual 2 12 27 3" xfId="25284"/>
    <cellStyle name="Porcentual 2 12 27 4" xfId="25285"/>
    <cellStyle name="Porcentual 2 12 27 5" xfId="25286"/>
    <cellStyle name="Porcentual 2 12 27 6" xfId="25287"/>
    <cellStyle name="Porcentual 2 12 27 7" xfId="25288"/>
    <cellStyle name="Porcentual 2 12 28" xfId="25289"/>
    <cellStyle name="Porcentual 2 12 28 2" xfId="25290"/>
    <cellStyle name="Porcentual 2 12 28 3" xfId="25291"/>
    <cellStyle name="Porcentual 2 12 28 4" xfId="25292"/>
    <cellStyle name="Porcentual 2 12 28 5" xfId="25293"/>
    <cellStyle name="Porcentual 2 12 28 6" xfId="25294"/>
    <cellStyle name="Porcentual 2 12 28 7" xfId="25295"/>
    <cellStyle name="Porcentual 2 12 29" xfId="25296"/>
    <cellStyle name="Porcentual 2 12 29 2" xfId="25297"/>
    <cellStyle name="Porcentual 2 12 29 3" xfId="25298"/>
    <cellStyle name="Porcentual 2 12 29 4" xfId="25299"/>
    <cellStyle name="Porcentual 2 12 29 5" xfId="25300"/>
    <cellStyle name="Porcentual 2 12 29 6" xfId="25301"/>
    <cellStyle name="Porcentual 2 12 29 7" xfId="25302"/>
    <cellStyle name="Porcentual 2 12 3" xfId="25303"/>
    <cellStyle name="Porcentual 2 12 3 2" xfId="25304"/>
    <cellStyle name="Porcentual 2 12 3 2 2" xfId="25305"/>
    <cellStyle name="Porcentual 2 12 3 2 3" xfId="25306"/>
    <cellStyle name="Porcentual 2 12 3 2 4" xfId="25307"/>
    <cellStyle name="Porcentual 2 12 3 2 5" xfId="25308"/>
    <cellStyle name="Porcentual 2 12 3 2 6" xfId="25309"/>
    <cellStyle name="Porcentual 2 12 3 2 7" xfId="25310"/>
    <cellStyle name="Porcentual 2 12 3 3" xfId="25311"/>
    <cellStyle name="Porcentual 2 12 3 4" xfId="25312"/>
    <cellStyle name="Porcentual 2 12 3 5" xfId="25313"/>
    <cellStyle name="Porcentual 2 12 3 6" xfId="25314"/>
    <cellStyle name="Porcentual 2 12 3 7" xfId="25315"/>
    <cellStyle name="Porcentual 2 12 3 8" xfId="25316"/>
    <cellStyle name="Porcentual 2 12 30" xfId="25317"/>
    <cellStyle name="Porcentual 2 12 30 2" xfId="25318"/>
    <cellStyle name="Porcentual 2 12 30 3" xfId="25319"/>
    <cellStyle name="Porcentual 2 12 30 4" xfId="25320"/>
    <cellStyle name="Porcentual 2 12 30 5" xfId="25321"/>
    <cellStyle name="Porcentual 2 12 30 6" xfId="25322"/>
    <cellStyle name="Porcentual 2 12 30 7" xfId="25323"/>
    <cellStyle name="Porcentual 2 12 31" xfId="25324"/>
    <cellStyle name="Porcentual 2 12 31 2" xfId="25325"/>
    <cellStyle name="Porcentual 2 12 31 3" xfId="25326"/>
    <cellStyle name="Porcentual 2 12 31 4" xfId="25327"/>
    <cellStyle name="Porcentual 2 12 31 5" xfId="25328"/>
    <cellStyle name="Porcentual 2 12 31 6" xfId="25329"/>
    <cellStyle name="Porcentual 2 12 31 7" xfId="25330"/>
    <cellStyle name="Porcentual 2 12 32" xfId="25331"/>
    <cellStyle name="Porcentual 2 12 32 2" xfId="25332"/>
    <cellStyle name="Porcentual 2 12 32 3" xfId="25333"/>
    <cellStyle name="Porcentual 2 12 32 4" xfId="25334"/>
    <cellStyle name="Porcentual 2 12 32 5" xfId="25335"/>
    <cellStyle name="Porcentual 2 12 32 6" xfId="25336"/>
    <cellStyle name="Porcentual 2 12 32 7" xfId="25337"/>
    <cellStyle name="Porcentual 2 12 33" xfId="25338"/>
    <cellStyle name="Porcentual 2 12 33 2" xfId="25339"/>
    <cellStyle name="Porcentual 2 12 33 3" xfId="25340"/>
    <cellStyle name="Porcentual 2 12 33 4" xfId="25341"/>
    <cellStyle name="Porcentual 2 12 33 5" xfId="25342"/>
    <cellStyle name="Porcentual 2 12 33 6" xfId="25343"/>
    <cellStyle name="Porcentual 2 12 33 7" xfId="25344"/>
    <cellStyle name="Porcentual 2 12 34" xfId="25345"/>
    <cellStyle name="Porcentual 2 12 34 2" xfId="25346"/>
    <cellStyle name="Porcentual 2 12 34 3" xfId="25347"/>
    <cellStyle name="Porcentual 2 12 34 4" xfId="25348"/>
    <cellStyle name="Porcentual 2 12 34 5" xfId="25349"/>
    <cellStyle name="Porcentual 2 12 34 6" xfId="25350"/>
    <cellStyle name="Porcentual 2 12 34 7" xfId="25351"/>
    <cellStyle name="Porcentual 2 12 35" xfId="25352"/>
    <cellStyle name="Porcentual 2 12 35 2" xfId="25353"/>
    <cellStyle name="Porcentual 2 12 35 3" xfId="25354"/>
    <cellStyle name="Porcentual 2 12 35 4" xfId="25355"/>
    <cellStyle name="Porcentual 2 12 35 5" xfId="25356"/>
    <cellStyle name="Porcentual 2 12 35 6" xfId="25357"/>
    <cellStyle name="Porcentual 2 12 35 7" xfId="25358"/>
    <cellStyle name="Porcentual 2 12 36" xfId="25359"/>
    <cellStyle name="Porcentual 2 12 37" xfId="25360"/>
    <cellStyle name="Porcentual 2 12 38" xfId="25361"/>
    <cellStyle name="Porcentual 2 12 39" xfId="25362"/>
    <cellStyle name="Porcentual 2 12 4" xfId="25363"/>
    <cellStyle name="Porcentual 2 12 4 2" xfId="25364"/>
    <cellStyle name="Porcentual 2 12 4 2 2" xfId="25365"/>
    <cellStyle name="Porcentual 2 12 4 2 3" xfId="25366"/>
    <cellStyle name="Porcentual 2 12 4 2 4" xfId="25367"/>
    <cellStyle name="Porcentual 2 12 4 2 5" xfId="25368"/>
    <cellStyle name="Porcentual 2 12 4 2 6" xfId="25369"/>
    <cellStyle name="Porcentual 2 12 4 2 7" xfId="25370"/>
    <cellStyle name="Porcentual 2 12 4 3" xfId="25371"/>
    <cellStyle name="Porcentual 2 12 4 4" xfId="25372"/>
    <cellStyle name="Porcentual 2 12 4 5" xfId="25373"/>
    <cellStyle name="Porcentual 2 12 4 6" xfId="25374"/>
    <cellStyle name="Porcentual 2 12 4 7" xfId="25375"/>
    <cellStyle name="Porcentual 2 12 4 8" xfId="25376"/>
    <cellStyle name="Porcentual 2 12 40" xfId="25377"/>
    <cellStyle name="Porcentual 2 12 41" xfId="25378"/>
    <cellStyle name="Porcentual 2 12 5" xfId="25379"/>
    <cellStyle name="Porcentual 2 12 5 2" xfId="25380"/>
    <cellStyle name="Porcentual 2 12 5 2 2" xfId="25381"/>
    <cellStyle name="Porcentual 2 12 5 2 3" xfId="25382"/>
    <cellStyle name="Porcentual 2 12 5 2 4" xfId="25383"/>
    <cellStyle name="Porcentual 2 12 5 2 5" xfId="25384"/>
    <cellStyle name="Porcentual 2 12 5 2 6" xfId="25385"/>
    <cellStyle name="Porcentual 2 12 5 2 7" xfId="25386"/>
    <cellStyle name="Porcentual 2 12 5 3" xfId="25387"/>
    <cellStyle name="Porcentual 2 12 5 4" xfId="25388"/>
    <cellStyle name="Porcentual 2 12 5 5" xfId="25389"/>
    <cellStyle name="Porcentual 2 12 5 6" xfId="25390"/>
    <cellStyle name="Porcentual 2 12 5 7" xfId="25391"/>
    <cellStyle name="Porcentual 2 12 5 8" xfId="25392"/>
    <cellStyle name="Porcentual 2 12 6" xfId="25393"/>
    <cellStyle name="Porcentual 2 12 6 2" xfId="25394"/>
    <cellStyle name="Porcentual 2 12 6 2 2" xfId="25395"/>
    <cellStyle name="Porcentual 2 12 6 2 3" xfId="25396"/>
    <cellStyle name="Porcentual 2 12 6 2 4" xfId="25397"/>
    <cellStyle name="Porcentual 2 12 6 2 5" xfId="25398"/>
    <cellStyle name="Porcentual 2 12 6 2 6" xfId="25399"/>
    <cellStyle name="Porcentual 2 12 6 2 7" xfId="25400"/>
    <cellStyle name="Porcentual 2 12 6 3" xfId="25401"/>
    <cellStyle name="Porcentual 2 12 6 4" xfId="25402"/>
    <cellStyle name="Porcentual 2 12 6 5" xfId="25403"/>
    <cellStyle name="Porcentual 2 12 6 6" xfId="25404"/>
    <cellStyle name="Porcentual 2 12 6 7" xfId="25405"/>
    <cellStyle name="Porcentual 2 12 6 8" xfId="25406"/>
    <cellStyle name="Porcentual 2 12 7" xfId="25407"/>
    <cellStyle name="Porcentual 2 12 7 2" xfId="25408"/>
    <cellStyle name="Porcentual 2 12 7 2 2" xfId="25409"/>
    <cellStyle name="Porcentual 2 12 7 2 3" xfId="25410"/>
    <cellStyle name="Porcentual 2 12 7 2 4" xfId="25411"/>
    <cellStyle name="Porcentual 2 12 7 2 5" xfId="25412"/>
    <cellStyle name="Porcentual 2 12 7 2 6" xfId="25413"/>
    <cellStyle name="Porcentual 2 12 7 2 7" xfId="25414"/>
    <cellStyle name="Porcentual 2 12 7 3" xfId="25415"/>
    <cellStyle name="Porcentual 2 12 7 4" xfId="25416"/>
    <cellStyle name="Porcentual 2 12 7 5" xfId="25417"/>
    <cellStyle name="Porcentual 2 12 7 6" xfId="25418"/>
    <cellStyle name="Porcentual 2 12 7 7" xfId="25419"/>
    <cellStyle name="Porcentual 2 12 7 8" xfId="25420"/>
    <cellStyle name="Porcentual 2 12 8" xfId="25421"/>
    <cellStyle name="Porcentual 2 12 8 2" xfId="25422"/>
    <cellStyle name="Porcentual 2 12 8 2 2" xfId="25423"/>
    <cellStyle name="Porcentual 2 12 8 2 3" xfId="25424"/>
    <cellStyle name="Porcentual 2 12 8 2 4" xfId="25425"/>
    <cellStyle name="Porcentual 2 12 8 2 5" xfId="25426"/>
    <cellStyle name="Porcentual 2 12 8 2 6" xfId="25427"/>
    <cellStyle name="Porcentual 2 12 8 2 7" xfId="25428"/>
    <cellStyle name="Porcentual 2 12 8 3" xfId="25429"/>
    <cellStyle name="Porcentual 2 12 8 4" xfId="25430"/>
    <cellStyle name="Porcentual 2 12 8 5" xfId="25431"/>
    <cellStyle name="Porcentual 2 12 8 6" xfId="25432"/>
    <cellStyle name="Porcentual 2 12 8 7" xfId="25433"/>
    <cellStyle name="Porcentual 2 12 8 8" xfId="25434"/>
    <cellStyle name="Porcentual 2 12 9" xfId="25435"/>
    <cellStyle name="Porcentual 2 12 9 2" xfId="25436"/>
    <cellStyle name="Porcentual 2 12 9 2 2" xfId="25437"/>
    <cellStyle name="Porcentual 2 12 9 2 3" xfId="25438"/>
    <cellStyle name="Porcentual 2 12 9 2 4" xfId="25439"/>
    <cellStyle name="Porcentual 2 12 9 2 5" xfId="25440"/>
    <cellStyle name="Porcentual 2 12 9 2 6" xfId="25441"/>
    <cellStyle name="Porcentual 2 12 9 2 7" xfId="25442"/>
    <cellStyle name="Porcentual 2 12 9 3" xfId="25443"/>
    <cellStyle name="Porcentual 2 12 9 4" xfId="25444"/>
    <cellStyle name="Porcentual 2 12 9 5" xfId="25445"/>
    <cellStyle name="Porcentual 2 12 9 6" xfId="25446"/>
    <cellStyle name="Porcentual 2 12 9 7" xfId="25447"/>
    <cellStyle name="Porcentual 2 12 9 8" xfId="25448"/>
    <cellStyle name="Porcentual 2 13" xfId="25449"/>
    <cellStyle name="Porcentual 2 13 10" xfId="25450"/>
    <cellStyle name="Porcentual 2 13 10 2" xfId="25451"/>
    <cellStyle name="Porcentual 2 13 10 2 2" xfId="25452"/>
    <cellStyle name="Porcentual 2 13 10 2 3" xfId="25453"/>
    <cellStyle name="Porcentual 2 13 10 2 4" xfId="25454"/>
    <cellStyle name="Porcentual 2 13 10 2 5" xfId="25455"/>
    <cellStyle name="Porcentual 2 13 10 2 6" xfId="25456"/>
    <cellStyle name="Porcentual 2 13 10 2 7" xfId="25457"/>
    <cellStyle name="Porcentual 2 13 10 3" xfId="25458"/>
    <cellStyle name="Porcentual 2 13 10 4" xfId="25459"/>
    <cellStyle name="Porcentual 2 13 10 5" xfId="25460"/>
    <cellStyle name="Porcentual 2 13 10 6" xfId="25461"/>
    <cellStyle name="Porcentual 2 13 10 7" xfId="25462"/>
    <cellStyle name="Porcentual 2 13 10 8" xfId="25463"/>
    <cellStyle name="Porcentual 2 13 11" xfId="25464"/>
    <cellStyle name="Porcentual 2 13 11 2" xfId="25465"/>
    <cellStyle name="Porcentual 2 13 11 2 2" xfId="25466"/>
    <cellStyle name="Porcentual 2 13 11 2 3" xfId="25467"/>
    <cellStyle name="Porcentual 2 13 11 2 4" xfId="25468"/>
    <cellStyle name="Porcentual 2 13 11 2 5" xfId="25469"/>
    <cellStyle name="Porcentual 2 13 11 2 6" xfId="25470"/>
    <cellStyle name="Porcentual 2 13 11 2 7" xfId="25471"/>
    <cellStyle name="Porcentual 2 13 11 3" xfId="25472"/>
    <cellStyle name="Porcentual 2 13 11 4" xfId="25473"/>
    <cellStyle name="Porcentual 2 13 11 5" xfId="25474"/>
    <cellStyle name="Porcentual 2 13 11 6" xfId="25475"/>
    <cellStyle name="Porcentual 2 13 11 7" xfId="25476"/>
    <cellStyle name="Porcentual 2 13 11 8" xfId="25477"/>
    <cellStyle name="Porcentual 2 13 12" xfId="25478"/>
    <cellStyle name="Porcentual 2 13 12 2" xfId="25479"/>
    <cellStyle name="Porcentual 2 13 12 2 2" xfId="25480"/>
    <cellStyle name="Porcentual 2 13 12 2 3" xfId="25481"/>
    <cellStyle name="Porcentual 2 13 12 2 4" xfId="25482"/>
    <cellStyle name="Porcentual 2 13 12 2 5" xfId="25483"/>
    <cellStyle name="Porcentual 2 13 12 2 6" xfId="25484"/>
    <cellStyle name="Porcentual 2 13 12 2 7" xfId="25485"/>
    <cellStyle name="Porcentual 2 13 12 3" xfId="25486"/>
    <cellStyle name="Porcentual 2 13 12 4" xfId="25487"/>
    <cellStyle name="Porcentual 2 13 12 5" xfId="25488"/>
    <cellStyle name="Porcentual 2 13 12 6" xfId="25489"/>
    <cellStyle name="Porcentual 2 13 12 7" xfId="25490"/>
    <cellStyle name="Porcentual 2 13 12 8" xfId="25491"/>
    <cellStyle name="Porcentual 2 13 13" xfId="25492"/>
    <cellStyle name="Porcentual 2 13 13 2" xfId="25493"/>
    <cellStyle name="Porcentual 2 13 13 2 2" xfId="25494"/>
    <cellStyle name="Porcentual 2 13 13 2 3" xfId="25495"/>
    <cellStyle name="Porcentual 2 13 13 2 4" xfId="25496"/>
    <cellStyle name="Porcentual 2 13 13 2 5" xfId="25497"/>
    <cellStyle name="Porcentual 2 13 13 2 6" xfId="25498"/>
    <cellStyle name="Porcentual 2 13 13 2 7" xfId="25499"/>
    <cellStyle name="Porcentual 2 13 13 3" xfId="25500"/>
    <cellStyle name="Porcentual 2 13 13 4" xfId="25501"/>
    <cellStyle name="Porcentual 2 13 13 5" xfId="25502"/>
    <cellStyle name="Porcentual 2 13 13 6" xfId="25503"/>
    <cellStyle name="Porcentual 2 13 13 7" xfId="25504"/>
    <cellStyle name="Porcentual 2 13 13 8" xfId="25505"/>
    <cellStyle name="Porcentual 2 13 14" xfId="25506"/>
    <cellStyle name="Porcentual 2 13 14 2" xfId="25507"/>
    <cellStyle name="Porcentual 2 13 14 2 2" xfId="25508"/>
    <cellStyle name="Porcentual 2 13 14 2 3" xfId="25509"/>
    <cellStyle name="Porcentual 2 13 14 2 4" xfId="25510"/>
    <cellStyle name="Porcentual 2 13 14 2 5" xfId="25511"/>
    <cellStyle name="Porcentual 2 13 14 2 6" xfId="25512"/>
    <cellStyle name="Porcentual 2 13 14 2 7" xfId="25513"/>
    <cellStyle name="Porcentual 2 13 14 3" xfId="25514"/>
    <cellStyle name="Porcentual 2 13 14 4" xfId="25515"/>
    <cellStyle name="Porcentual 2 13 14 5" xfId="25516"/>
    <cellStyle name="Porcentual 2 13 14 6" xfId="25517"/>
    <cellStyle name="Porcentual 2 13 14 7" xfId="25518"/>
    <cellStyle name="Porcentual 2 13 14 8" xfId="25519"/>
    <cellStyle name="Porcentual 2 13 15" xfId="25520"/>
    <cellStyle name="Porcentual 2 13 15 2" xfId="25521"/>
    <cellStyle name="Porcentual 2 13 15 2 2" xfId="25522"/>
    <cellStyle name="Porcentual 2 13 15 2 3" xfId="25523"/>
    <cellStyle name="Porcentual 2 13 15 2 4" xfId="25524"/>
    <cellStyle name="Porcentual 2 13 15 2 5" xfId="25525"/>
    <cellStyle name="Porcentual 2 13 15 2 6" xfId="25526"/>
    <cellStyle name="Porcentual 2 13 15 2 7" xfId="25527"/>
    <cellStyle name="Porcentual 2 13 15 3" xfId="25528"/>
    <cellStyle name="Porcentual 2 13 15 4" xfId="25529"/>
    <cellStyle name="Porcentual 2 13 15 5" xfId="25530"/>
    <cellStyle name="Porcentual 2 13 15 6" xfId="25531"/>
    <cellStyle name="Porcentual 2 13 15 7" xfId="25532"/>
    <cellStyle name="Porcentual 2 13 15 8" xfId="25533"/>
    <cellStyle name="Porcentual 2 13 16" xfId="25534"/>
    <cellStyle name="Porcentual 2 13 16 2" xfId="25535"/>
    <cellStyle name="Porcentual 2 13 16 3" xfId="25536"/>
    <cellStyle name="Porcentual 2 13 16 4" xfId="25537"/>
    <cellStyle name="Porcentual 2 13 16 5" xfId="25538"/>
    <cellStyle name="Porcentual 2 13 16 6" xfId="25539"/>
    <cellStyle name="Porcentual 2 13 16 7" xfId="25540"/>
    <cellStyle name="Porcentual 2 13 17" xfId="25541"/>
    <cellStyle name="Porcentual 2 13 17 2" xfId="25542"/>
    <cellStyle name="Porcentual 2 13 17 3" xfId="25543"/>
    <cellStyle name="Porcentual 2 13 17 4" xfId="25544"/>
    <cellStyle name="Porcentual 2 13 17 5" xfId="25545"/>
    <cellStyle name="Porcentual 2 13 17 6" xfId="25546"/>
    <cellStyle name="Porcentual 2 13 17 7" xfId="25547"/>
    <cellStyle name="Porcentual 2 13 18" xfId="25548"/>
    <cellStyle name="Porcentual 2 13 18 2" xfId="25549"/>
    <cellStyle name="Porcentual 2 13 18 3" xfId="25550"/>
    <cellStyle name="Porcentual 2 13 18 4" xfId="25551"/>
    <cellStyle name="Porcentual 2 13 18 5" xfId="25552"/>
    <cellStyle name="Porcentual 2 13 18 6" xfId="25553"/>
    <cellStyle name="Porcentual 2 13 18 7" xfId="25554"/>
    <cellStyle name="Porcentual 2 13 19" xfId="25555"/>
    <cellStyle name="Porcentual 2 13 19 2" xfId="25556"/>
    <cellStyle name="Porcentual 2 13 19 3" xfId="25557"/>
    <cellStyle name="Porcentual 2 13 19 4" xfId="25558"/>
    <cellStyle name="Porcentual 2 13 19 5" xfId="25559"/>
    <cellStyle name="Porcentual 2 13 19 6" xfId="25560"/>
    <cellStyle name="Porcentual 2 13 19 7" xfId="25561"/>
    <cellStyle name="Porcentual 2 13 2" xfId="25562"/>
    <cellStyle name="Porcentual 2 13 2 2" xfId="25563"/>
    <cellStyle name="Porcentual 2 13 2 2 2" xfId="25564"/>
    <cellStyle name="Porcentual 2 13 2 2 3" xfId="25565"/>
    <cellStyle name="Porcentual 2 13 2 2 4" xfId="25566"/>
    <cellStyle name="Porcentual 2 13 2 2 5" xfId="25567"/>
    <cellStyle name="Porcentual 2 13 2 2 6" xfId="25568"/>
    <cellStyle name="Porcentual 2 13 2 2 7" xfId="25569"/>
    <cellStyle name="Porcentual 2 13 2 3" xfId="25570"/>
    <cellStyle name="Porcentual 2 13 2 4" xfId="25571"/>
    <cellStyle name="Porcentual 2 13 2 5" xfId="25572"/>
    <cellStyle name="Porcentual 2 13 2 6" xfId="25573"/>
    <cellStyle name="Porcentual 2 13 2 7" xfId="25574"/>
    <cellStyle name="Porcentual 2 13 2 8" xfId="25575"/>
    <cellStyle name="Porcentual 2 13 20" xfId="25576"/>
    <cellStyle name="Porcentual 2 13 20 2" xfId="25577"/>
    <cellStyle name="Porcentual 2 13 20 3" xfId="25578"/>
    <cellStyle name="Porcentual 2 13 20 4" xfId="25579"/>
    <cellStyle name="Porcentual 2 13 20 5" xfId="25580"/>
    <cellStyle name="Porcentual 2 13 20 6" xfId="25581"/>
    <cellStyle name="Porcentual 2 13 20 7" xfId="25582"/>
    <cellStyle name="Porcentual 2 13 21" xfId="25583"/>
    <cellStyle name="Porcentual 2 13 21 2" xfId="25584"/>
    <cellStyle name="Porcentual 2 13 21 3" xfId="25585"/>
    <cellStyle name="Porcentual 2 13 21 4" xfId="25586"/>
    <cellStyle name="Porcentual 2 13 21 5" xfId="25587"/>
    <cellStyle name="Porcentual 2 13 21 6" xfId="25588"/>
    <cellStyle name="Porcentual 2 13 21 7" xfId="25589"/>
    <cellStyle name="Porcentual 2 13 22" xfId="25590"/>
    <cellStyle name="Porcentual 2 13 22 2" xfId="25591"/>
    <cellStyle name="Porcentual 2 13 22 3" xfId="25592"/>
    <cellStyle name="Porcentual 2 13 22 4" xfId="25593"/>
    <cellStyle name="Porcentual 2 13 22 5" xfId="25594"/>
    <cellStyle name="Porcentual 2 13 22 6" xfId="25595"/>
    <cellStyle name="Porcentual 2 13 22 7" xfId="25596"/>
    <cellStyle name="Porcentual 2 13 23" xfId="25597"/>
    <cellStyle name="Porcentual 2 13 23 2" xfId="25598"/>
    <cellStyle name="Porcentual 2 13 23 3" xfId="25599"/>
    <cellStyle name="Porcentual 2 13 23 4" xfId="25600"/>
    <cellStyle name="Porcentual 2 13 23 5" xfId="25601"/>
    <cellStyle name="Porcentual 2 13 23 6" xfId="25602"/>
    <cellStyle name="Porcentual 2 13 23 7" xfId="25603"/>
    <cellStyle name="Porcentual 2 13 24" xfId="25604"/>
    <cellStyle name="Porcentual 2 13 24 2" xfId="25605"/>
    <cellStyle name="Porcentual 2 13 24 3" xfId="25606"/>
    <cellStyle name="Porcentual 2 13 24 4" xfId="25607"/>
    <cellStyle name="Porcentual 2 13 24 5" xfId="25608"/>
    <cellStyle name="Porcentual 2 13 24 6" xfId="25609"/>
    <cellStyle name="Porcentual 2 13 24 7" xfId="25610"/>
    <cellStyle name="Porcentual 2 13 25" xfId="25611"/>
    <cellStyle name="Porcentual 2 13 25 2" xfId="25612"/>
    <cellStyle name="Porcentual 2 13 25 3" xfId="25613"/>
    <cellStyle name="Porcentual 2 13 25 4" xfId="25614"/>
    <cellStyle name="Porcentual 2 13 25 5" xfId="25615"/>
    <cellStyle name="Porcentual 2 13 25 6" xfId="25616"/>
    <cellStyle name="Porcentual 2 13 25 7" xfId="25617"/>
    <cellStyle name="Porcentual 2 13 26" xfId="25618"/>
    <cellStyle name="Porcentual 2 13 26 2" xfId="25619"/>
    <cellStyle name="Porcentual 2 13 26 3" xfId="25620"/>
    <cellStyle name="Porcentual 2 13 26 4" xfId="25621"/>
    <cellStyle name="Porcentual 2 13 26 5" xfId="25622"/>
    <cellStyle name="Porcentual 2 13 26 6" xfId="25623"/>
    <cellStyle name="Porcentual 2 13 26 7" xfId="25624"/>
    <cellStyle name="Porcentual 2 13 27" xfId="25625"/>
    <cellStyle name="Porcentual 2 13 27 2" xfId="25626"/>
    <cellStyle name="Porcentual 2 13 27 3" xfId="25627"/>
    <cellStyle name="Porcentual 2 13 27 4" xfId="25628"/>
    <cellStyle name="Porcentual 2 13 27 5" xfId="25629"/>
    <cellStyle name="Porcentual 2 13 27 6" xfId="25630"/>
    <cellStyle name="Porcentual 2 13 27 7" xfId="25631"/>
    <cellStyle name="Porcentual 2 13 28" xfId="25632"/>
    <cellStyle name="Porcentual 2 13 28 2" xfId="25633"/>
    <cellStyle name="Porcentual 2 13 28 3" xfId="25634"/>
    <cellStyle name="Porcentual 2 13 28 4" xfId="25635"/>
    <cellStyle name="Porcentual 2 13 28 5" xfId="25636"/>
    <cellStyle name="Porcentual 2 13 28 6" xfId="25637"/>
    <cellStyle name="Porcentual 2 13 28 7" xfId="25638"/>
    <cellStyle name="Porcentual 2 13 29" xfId="25639"/>
    <cellStyle name="Porcentual 2 13 29 2" xfId="25640"/>
    <cellStyle name="Porcentual 2 13 29 3" xfId="25641"/>
    <cellStyle name="Porcentual 2 13 29 4" xfId="25642"/>
    <cellStyle name="Porcentual 2 13 29 5" xfId="25643"/>
    <cellStyle name="Porcentual 2 13 29 6" xfId="25644"/>
    <cellStyle name="Porcentual 2 13 29 7" xfId="25645"/>
    <cellStyle name="Porcentual 2 13 3" xfId="25646"/>
    <cellStyle name="Porcentual 2 13 3 2" xfId="25647"/>
    <cellStyle name="Porcentual 2 13 3 2 2" xfId="25648"/>
    <cellStyle name="Porcentual 2 13 3 2 3" xfId="25649"/>
    <cellStyle name="Porcentual 2 13 3 2 4" xfId="25650"/>
    <cellStyle name="Porcentual 2 13 3 2 5" xfId="25651"/>
    <cellStyle name="Porcentual 2 13 3 2 6" xfId="25652"/>
    <cellStyle name="Porcentual 2 13 3 2 7" xfId="25653"/>
    <cellStyle name="Porcentual 2 13 3 3" xfId="25654"/>
    <cellStyle name="Porcentual 2 13 3 4" xfId="25655"/>
    <cellStyle name="Porcentual 2 13 3 5" xfId="25656"/>
    <cellStyle name="Porcentual 2 13 3 6" xfId="25657"/>
    <cellStyle name="Porcentual 2 13 3 7" xfId="25658"/>
    <cellStyle name="Porcentual 2 13 3 8" xfId="25659"/>
    <cellStyle name="Porcentual 2 13 30" xfId="25660"/>
    <cellStyle name="Porcentual 2 13 30 2" xfId="25661"/>
    <cellStyle name="Porcentual 2 13 30 3" xfId="25662"/>
    <cellStyle name="Porcentual 2 13 30 4" xfId="25663"/>
    <cellStyle name="Porcentual 2 13 30 5" xfId="25664"/>
    <cellStyle name="Porcentual 2 13 30 6" xfId="25665"/>
    <cellStyle name="Porcentual 2 13 30 7" xfId="25666"/>
    <cellStyle name="Porcentual 2 13 31" xfId="25667"/>
    <cellStyle name="Porcentual 2 13 31 2" xfId="25668"/>
    <cellStyle name="Porcentual 2 13 31 3" xfId="25669"/>
    <cellStyle name="Porcentual 2 13 31 4" xfId="25670"/>
    <cellStyle name="Porcentual 2 13 31 5" xfId="25671"/>
    <cellStyle name="Porcentual 2 13 31 6" xfId="25672"/>
    <cellStyle name="Porcentual 2 13 31 7" xfId="25673"/>
    <cellStyle name="Porcentual 2 13 32" xfId="25674"/>
    <cellStyle name="Porcentual 2 13 32 2" xfId="25675"/>
    <cellStyle name="Porcentual 2 13 32 3" xfId="25676"/>
    <cellStyle name="Porcentual 2 13 32 4" xfId="25677"/>
    <cellStyle name="Porcentual 2 13 32 5" xfId="25678"/>
    <cellStyle name="Porcentual 2 13 32 6" xfId="25679"/>
    <cellStyle name="Porcentual 2 13 32 7" xfId="25680"/>
    <cellStyle name="Porcentual 2 13 33" xfId="25681"/>
    <cellStyle name="Porcentual 2 13 33 2" xfId="25682"/>
    <cellStyle name="Porcentual 2 13 33 3" xfId="25683"/>
    <cellStyle name="Porcentual 2 13 33 4" xfId="25684"/>
    <cellStyle name="Porcentual 2 13 33 5" xfId="25685"/>
    <cellStyle name="Porcentual 2 13 33 6" xfId="25686"/>
    <cellStyle name="Porcentual 2 13 33 7" xfId="25687"/>
    <cellStyle name="Porcentual 2 13 34" xfId="25688"/>
    <cellStyle name="Porcentual 2 13 34 2" xfId="25689"/>
    <cellStyle name="Porcentual 2 13 34 3" xfId="25690"/>
    <cellStyle name="Porcentual 2 13 34 4" xfId="25691"/>
    <cellStyle name="Porcentual 2 13 34 5" xfId="25692"/>
    <cellStyle name="Porcentual 2 13 34 6" xfId="25693"/>
    <cellStyle name="Porcentual 2 13 34 7" xfId="25694"/>
    <cellStyle name="Porcentual 2 13 35" xfId="25695"/>
    <cellStyle name="Porcentual 2 13 35 2" xfId="25696"/>
    <cellStyle name="Porcentual 2 13 35 3" xfId="25697"/>
    <cellStyle name="Porcentual 2 13 35 4" xfId="25698"/>
    <cellStyle name="Porcentual 2 13 35 5" xfId="25699"/>
    <cellStyle name="Porcentual 2 13 35 6" xfId="25700"/>
    <cellStyle name="Porcentual 2 13 35 7" xfId="25701"/>
    <cellStyle name="Porcentual 2 13 36" xfId="25702"/>
    <cellStyle name="Porcentual 2 13 37" xfId="25703"/>
    <cellStyle name="Porcentual 2 13 38" xfId="25704"/>
    <cellStyle name="Porcentual 2 13 39" xfId="25705"/>
    <cellStyle name="Porcentual 2 13 4" xfId="25706"/>
    <cellStyle name="Porcentual 2 13 4 2" xfId="25707"/>
    <cellStyle name="Porcentual 2 13 4 2 2" xfId="25708"/>
    <cellStyle name="Porcentual 2 13 4 2 3" xfId="25709"/>
    <cellStyle name="Porcentual 2 13 4 2 4" xfId="25710"/>
    <cellStyle name="Porcentual 2 13 4 2 5" xfId="25711"/>
    <cellStyle name="Porcentual 2 13 4 2 6" xfId="25712"/>
    <cellStyle name="Porcentual 2 13 4 2 7" xfId="25713"/>
    <cellStyle name="Porcentual 2 13 4 3" xfId="25714"/>
    <cellStyle name="Porcentual 2 13 4 4" xfId="25715"/>
    <cellStyle name="Porcentual 2 13 4 5" xfId="25716"/>
    <cellStyle name="Porcentual 2 13 4 6" xfId="25717"/>
    <cellStyle name="Porcentual 2 13 4 7" xfId="25718"/>
    <cellStyle name="Porcentual 2 13 4 8" xfId="25719"/>
    <cellStyle name="Porcentual 2 13 40" xfId="25720"/>
    <cellStyle name="Porcentual 2 13 41" xfId="25721"/>
    <cellStyle name="Porcentual 2 13 5" xfId="25722"/>
    <cellStyle name="Porcentual 2 13 5 2" xfId="25723"/>
    <cellStyle name="Porcentual 2 13 5 2 2" xfId="25724"/>
    <cellStyle name="Porcentual 2 13 5 2 3" xfId="25725"/>
    <cellStyle name="Porcentual 2 13 5 2 4" xfId="25726"/>
    <cellStyle name="Porcentual 2 13 5 2 5" xfId="25727"/>
    <cellStyle name="Porcentual 2 13 5 2 6" xfId="25728"/>
    <cellStyle name="Porcentual 2 13 5 2 7" xfId="25729"/>
    <cellStyle name="Porcentual 2 13 5 3" xfId="25730"/>
    <cellStyle name="Porcentual 2 13 5 4" xfId="25731"/>
    <cellStyle name="Porcentual 2 13 5 5" xfId="25732"/>
    <cellStyle name="Porcentual 2 13 5 6" xfId="25733"/>
    <cellStyle name="Porcentual 2 13 5 7" xfId="25734"/>
    <cellStyle name="Porcentual 2 13 5 8" xfId="25735"/>
    <cellStyle name="Porcentual 2 13 6" xfId="25736"/>
    <cellStyle name="Porcentual 2 13 6 2" xfId="25737"/>
    <cellStyle name="Porcentual 2 13 6 2 2" xfId="25738"/>
    <cellStyle name="Porcentual 2 13 6 2 3" xfId="25739"/>
    <cellStyle name="Porcentual 2 13 6 2 4" xfId="25740"/>
    <cellStyle name="Porcentual 2 13 6 2 5" xfId="25741"/>
    <cellStyle name="Porcentual 2 13 6 2 6" xfId="25742"/>
    <cellStyle name="Porcentual 2 13 6 2 7" xfId="25743"/>
    <cellStyle name="Porcentual 2 13 6 3" xfId="25744"/>
    <cellStyle name="Porcentual 2 13 6 4" xfId="25745"/>
    <cellStyle name="Porcentual 2 13 6 5" xfId="25746"/>
    <cellStyle name="Porcentual 2 13 6 6" xfId="25747"/>
    <cellStyle name="Porcentual 2 13 6 7" xfId="25748"/>
    <cellStyle name="Porcentual 2 13 6 8" xfId="25749"/>
    <cellStyle name="Porcentual 2 13 7" xfId="25750"/>
    <cellStyle name="Porcentual 2 13 7 2" xfId="25751"/>
    <cellStyle name="Porcentual 2 13 7 2 2" xfId="25752"/>
    <cellStyle name="Porcentual 2 13 7 2 3" xfId="25753"/>
    <cellStyle name="Porcentual 2 13 7 2 4" xfId="25754"/>
    <cellStyle name="Porcentual 2 13 7 2 5" xfId="25755"/>
    <cellStyle name="Porcentual 2 13 7 2 6" xfId="25756"/>
    <cellStyle name="Porcentual 2 13 7 2 7" xfId="25757"/>
    <cellStyle name="Porcentual 2 13 7 3" xfId="25758"/>
    <cellStyle name="Porcentual 2 13 7 4" xfId="25759"/>
    <cellStyle name="Porcentual 2 13 7 5" xfId="25760"/>
    <cellStyle name="Porcentual 2 13 7 6" xfId="25761"/>
    <cellStyle name="Porcentual 2 13 7 7" xfId="25762"/>
    <cellStyle name="Porcentual 2 13 7 8" xfId="25763"/>
    <cellStyle name="Porcentual 2 13 8" xfId="25764"/>
    <cellStyle name="Porcentual 2 13 8 2" xfId="25765"/>
    <cellStyle name="Porcentual 2 13 8 2 2" xfId="25766"/>
    <cellStyle name="Porcentual 2 13 8 2 3" xfId="25767"/>
    <cellStyle name="Porcentual 2 13 8 2 4" xfId="25768"/>
    <cellStyle name="Porcentual 2 13 8 2 5" xfId="25769"/>
    <cellStyle name="Porcentual 2 13 8 2 6" xfId="25770"/>
    <cellStyle name="Porcentual 2 13 8 2 7" xfId="25771"/>
    <cellStyle name="Porcentual 2 13 8 3" xfId="25772"/>
    <cellStyle name="Porcentual 2 13 8 4" xfId="25773"/>
    <cellStyle name="Porcentual 2 13 8 5" xfId="25774"/>
    <cellStyle name="Porcentual 2 13 8 6" xfId="25775"/>
    <cellStyle name="Porcentual 2 13 8 7" xfId="25776"/>
    <cellStyle name="Porcentual 2 13 8 8" xfId="25777"/>
    <cellStyle name="Porcentual 2 13 9" xfId="25778"/>
    <cellStyle name="Porcentual 2 13 9 2" xfId="25779"/>
    <cellStyle name="Porcentual 2 13 9 2 2" xfId="25780"/>
    <cellStyle name="Porcentual 2 13 9 2 3" xfId="25781"/>
    <cellStyle name="Porcentual 2 13 9 2 4" xfId="25782"/>
    <cellStyle name="Porcentual 2 13 9 2 5" xfId="25783"/>
    <cellStyle name="Porcentual 2 13 9 2 6" xfId="25784"/>
    <cellStyle name="Porcentual 2 13 9 2 7" xfId="25785"/>
    <cellStyle name="Porcentual 2 13 9 3" xfId="25786"/>
    <cellStyle name="Porcentual 2 13 9 4" xfId="25787"/>
    <cellStyle name="Porcentual 2 13 9 5" xfId="25788"/>
    <cellStyle name="Porcentual 2 13 9 6" xfId="25789"/>
    <cellStyle name="Porcentual 2 13 9 7" xfId="25790"/>
    <cellStyle name="Porcentual 2 13 9 8" xfId="25791"/>
    <cellStyle name="Porcentual 2 14" xfId="25792"/>
    <cellStyle name="Porcentual 2 14 10" xfId="25793"/>
    <cellStyle name="Porcentual 2 14 10 2" xfId="25794"/>
    <cellStyle name="Porcentual 2 14 10 2 2" xfId="25795"/>
    <cellStyle name="Porcentual 2 14 10 2 3" xfId="25796"/>
    <cellStyle name="Porcentual 2 14 10 2 4" xfId="25797"/>
    <cellStyle name="Porcentual 2 14 10 2 5" xfId="25798"/>
    <cellStyle name="Porcentual 2 14 10 2 6" xfId="25799"/>
    <cellStyle name="Porcentual 2 14 10 2 7" xfId="25800"/>
    <cellStyle name="Porcentual 2 14 10 3" xfId="25801"/>
    <cellStyle name="Porcentual 2 14 10 4" xfId="25802"/>
    <cellStyle name="Porcentual 2 14 10 5" xfId="25803"/>
    <cellStyle name="Porcentual 2 14 10 6" xfId="25804"/>
    <cellStyle name="Porcentual 2 14 10 7" xfId="25805"/>
    <cellStyle name="Porcentual 2 14 10 8" xfId="25806"/>
    <cellStyle name="Porcentual 2 14 11" xfId="25807"/>
    <cellStyle name="Porcentual 2 14 11 2" xfId="25808"/>
    <cellStyle name="Porcentual 2 14 11 2 2" xfId="25809"/>
    <cellStyle name="Porcentual 2 14 11 2 3" xfId="25810"/>
    <cellStyle name="Porcentual 2 14 11 2 4" xfId="25811"/>
    <cellStyle name="Porcentual 2 14 11 2 5" xfId="25812"/>
    <cellStyle name="Porcentual 2 14 11 2 6" xfId="25813"/>
    <cellStyle name="Porcentual 2 14 11 2 7" xfId="25814"/>
    <cellStyle name="Porcentual 2 14 11 3" xfId="25815"/>
    <cellStyle name="Porcentual 2 14 11 4" xfId="25816"/>
    <cellStyle name="Porcentual 2 14 11 5" xfId="25817"/>
    <cellStyle name="Porcentual 2 14 11 6" xfId="25818"/>
    <cellStyle name="Porcentual 2 14 11 7" xfId="25819"/>
    <cellStyle name="Porcentual 2 14 11 8" xfId="25820"/>
    <cellStyle name="Porcentual 2 14 12" xfId="25821"/>
    <cellStyle name="Porcentual 2 14 12 2" xfId="25822"/>
    <cellStyle name="Porcentual 2 14 12 2 2" xfId="25823"/>
    <cellStyle name="Porcentual 2 14 12 2 3" xfId="25824"/>
    <cellStyle name="Porcentual 2 14 12 2 4" xfId="25825"/>
    <cellStyle name="Porcentual 2 14 12 2 5" xfId="25826"/>
    <cellStyle name="Porcentual 2 14 12 2 6" xfId="25827"/>
    <cellStyle name="Porcentual 2 14 12 2 7" xfId="25828"/>
    <cellStyle name="Porcentual 2 14 12 3" xfId="25829"/>
    <cellStyle name="Porcentual 2 14 12 4" xfId="25830"/>
    <cellStyle name="Porcentual 2 14 12 5" xfId="25831"/>
    <cellStyle name="Porcentual 2 14 12 7" xfId="25833"/>
    <cellStyle name="Porcentual 2 14 12 8" xfId="25834"/>
    <cellStyle name="Porcentual 2 14 13" xfId="25835"/>
    <cellStyle name="Porcentual 2 14 13 2" xfId="25836"/>
    <cellStyle name="Porcentual 2 14 13 2 2" xfId="25837"/>
    <cellStyle name="Porcentual 2 14 13 2 3" xfId="25838"/>
    <cellStyle name="Porcentual 2 14 13 2 4" xfId="25839"/>
    <cellStyle name="Porcentual 2 14 13 2 5" xfId="25840"/>
    <cellStyle name="Porcentual 2 14 13 2 6" xfId="25841"/>
    <cellStyle name="Porcentual 2 14 13 2 7" xfId="25842"/>
    <cellStyle name="Porcentual 2 14 13 3" xfId="25843"/>
    <cellStyle name="Porcentual 2 14 13 4" xfId="25844"/>
    <cellStyle name="Porcentual 2 14 13 5" xfId="25845"/>
    <cellStyle name="Porcentual 2 14 13 6" xfId="25846"/>
    <cellStyle name="Porcentual 2 14 13 7" xfId="25847"/>
    <cellStyle name="Porcentual 2 14 13 8" xfId="25848"/>
    <cellStyle name="Porcentual 2 14 14" xfId="25849"/>
    <cellStyle name="Porcentual 2 14 14 2" xfId="25850"/>
    <cellStyle name="Porcentual 2 14 14 2 2" xfId="25851"/>
    <cellStyle name="Porcentual 2 14 14 2 3" xfId="25852"/>
    <cellStyle name="Porcentual 2 14 14 2 4" xfId="25853"/>
    <cellStyle name="Porcentual 2 14 14 2 5" xfId="25854"/>
    <cellStyle name="Porcentual 2 14 14 2 6" xfId="25855"/>
    <cellStyle name="Porcentual 2 14 14 2 7" xfId="25856"/>
    <cellStyle name="Porcentual 2 14 14 3" xfId="25857"/>
    <cellStyle name="Porcentual 2 14 14 4" xfId="25858"/>
    <cellStyle name="Porcentual 2 14 14 5" xfId="25859"/>
    <cellStyle name="Porcentual 2 14 14 6" xfId="25860"/>
    <cellStyle name="Porcentual 2 14 14 7" xfId="25861"/>
    <cellStyle name="Porcentual 2 14 14 8" xfId="25862"/>
    <cellStyle name="Porcentual 2 14 15" xfId="25863"/>
    <cellStyle name="Porcentual 2 14 15 2" xfId="25864"/>
    <cellStyle name="Porcentual 2 14 15 2 2" xfId="25865"/>
    <cellStyle name="Porcentual 2 14 15 2 3" xfId="25866"/>
    <cellStyle name="Porcentual 2 14 15 2 4" xfId="25867"/>
    <cellStyle name="Porcentual 2 14 15 2 5" xfId="25868"/>
    <cellStyle name="Porcentual 2 14 15 2 6" xfId="25869"/>
    <cellStyle name="Porcentual 2 14 15 2 7" xfId="25870"/>
    <cellStyle name="Porcentual 2 14 15 3" xfId="25871"/>
    <cellStyle name="Porcentual 2 14 15 4" xfId="25872"/>
    <cellStyle name="Porcentual 2 14 15 5" xfId="25873"/>
    <cellStyle name="Porcentual 2 14 15 6" xfId="25874"/>
    <cellStyle name="Porcentual 2 14 15 7" xfId="25875"/>
    <cellStyle name="Porcentual 2 14 15 8" xfId="25876"/>
    <cellStyle name="Porcentual 2 14 16" xfId="25877"/>
    <cellStyle name="Porcentual 2 14 16 2" xfId="25878"/>
    <cellStyle name="Porcentual 2 14 16 3" xfId="25879"/>
    <cellStyle name="Porcentual 2 14 16 4" xfId="25880"/>
    <cellStyle name="Porcentual 2 14 16 5" xfId="25881"/>
    <cellStyle name="Porcentual 2 14 16 6" xfId="25882"/>
    <cellStyle name="Porcentual 2 14 16 7" xfId="25883"/>
    <cellStyle name="Porcentual 2 14 17" xfId="25884"/>
    <cellStyle name="Porcentual 2 14 17 2" xfId="25885"/>
    <cellStyle name="Porcentual 2 14 17 3" xfId="25886"/>
    <cellStyle name="Porcentual 2 14 17 4" xfId="25887"/>
    <cellStyle name="Porcentual 2 14 17 5" xfId="25888"/>
    <cellStyle name="Porcentual 2 14 17 6" xfId="25889"/>
    <cellStyle name="Porcentual 2 14 17 7" xfId="25890"/>
    <cellStyle name="Porcentual 2 14 18" xfId="25891"/>
    <cellStyle name="Porcentual 2 14 18 2" xfId="25892"/>
    <cellStyle name="Porcentual 2 14 18 3" xfId="25893"/>
    <cellStyle name="Porcentual 2 14 18 4" xfId="25894"/>
    <cellStyle name="Porcentual 2 14 18 5" xfId="25895"/>
    <cellStyle name="Porcentual 2 14 18 6" xfId="25896"/>
    <cellStyle name="Porcentual 2 14 18 7" xfId="25897"/>
    <cellStyle name="Porcentual 2 14 19" xfId="25898"/>
    <cellStyle name="Porcentual 2 14 19 2" xfId="25899"/>
    <cellStyle name="Porcentual 2 14 19 3" xfId="25900"/>
    <cellStyle name="Porcentual 2 14 19 4" xfId="25901"/>
    <cellStyle name="Porcentual 2 14 19 5" xfId="25902"/>
    <cellStyle name="Porcentual 2 14 19 6" xfId="25903"/>
    <cellStyle name="Porcentual 2 14 19 7" xfId="25904"/>
    <cellStyle name="Porcentual 2 14 2" xfId="25905"/>
    <cellStyle name="Porcentual 2 14 2 2" xfId="25906"/>
    <cellStyle name="Porcentual 2 14 2 2 2" xfId="25907"/>
    <cellStyle name="Porcentual 2 14 2 2 3" xfId="25908"/>
    <cellStyle name="Porcentual 2 14 2 2 4" xfId="25909"/>
    <cellStyle name="Porcentual 2 14 2 2 5" xfId="25910"/>
    <cellStyle name="Porcentual 2 14 2 2 6" xfId="25911"/>
    <cellStyle name="Porcentual 2 14 2 2 7" xfId="25912"/>
    <cellStyle name="Porcentual 2 14 2 3" xfId="25913"/>
    <cellStyle name="Porcentual 2 14 2 4" xfId="25914"/>
    <cellStyle name="Porcentual 2 14 2 5" xfId="25915"/>
    <cellStyle name="Porcentual 2 14 2 6" xfId="25916"/>
    <cellStyle name="Porcentual 2 14 2 7" xfId="25917"/>
    <cellStyle name="Porcentual 2 14 2 8" xfId="25918"/>
    <cellStyle name="Porcentual 2 14 20" xfId="25919"/>
    <cellStyle name="Porcentual 2 14 20 2" xfId="25920"/>
    <cellStyle name="Porcentual 2 14 20 3" xfId="25921"/>
    <cellStyle name="Porcentual 2 14 20 4" xfId="25922"/>
    <cellStyle name="Porcentual 2 14 20 5" xfId="25923"/>
    <cellStyle name="Porcentual 2 14 20 6" xfId="25924"/>
    <cellStyle name="Porcentual 2 14 20 7" xfId="25925"/>
    <cellStyle name="Porcentual 2 14 21" xfId="25926"/>
    <cellStyle name="Porcentual 2 14 21 2" xfId="25927"/>
    <cellStyle name="Porcentual 2 14 21 3" xfId="25928"/>
    <cellStyle name="Porcentual 2 14 21 4" xfId="25929"/>
    <cellStyle name="Porcentual 2 14 21 5" xfId="25930"/>
    <cellStyle name="Porcentual 2 14 21 6" xfId="25931"/>
    <cellStyle name="Porcentual 2 14 21 7" xfId="25932"/>
    <cellStyle name="Porcentual 2 14 22" xfId="25933"/>
    <cellStyle name="Porcentual 2 14 22 2" xfId="25934"/>
    <cellStyle name="Porcentual 2 14 22 3" xfId="25935"/>
    <cellStyle name="Porcentual 2 14 22 4" xfId="25936"/>
    <cellStyle name="Porcentual 2 14 22 5" xfId="25937"/>
    <cellStyle name="Porcentual 2 14 22 6" xfId="25938"/>
    <cellStyle name="Porcentual 2 14 22 7" xfId="25939"/>
    <cellStyle name="Porcentual 2 14 23" xfId="25940"/>
    <cellStyle name="Porcentual 2 14 23 2" xfId="25941"/>
    <cellStyle name="Porcentual 2 14 23 3" xfId="25942"/>
    <cellStyle name="Porcentual 2 14 23 4" xfId="25943"/>
    <cellStyle name="Porcentual 2 14 23 5" xfId="25944"/>
    <cellStyle name="Porcentual 2 14 23 6" xfId="25945"/>
    <cellStyle name="Porcentual 2 14 23 7" xfId="25946"/>
    <cellStyle name="Porcentual 2 14 24" xfId="25947"/>
    <cellStyle name="Porcentual 2 14 24 2" xfId="25948"/>
    <cellStyle name="Porcentual 2 14 24 3" xfId="25949"/>
    <cellStyle name="Porcentual 2 14 24 4" xfId="25950"/>
    <cellStyle name="Porcentual 2 14 24 5" xfId="25951"/>
    <cellStyle name="Porcentual 2 14 24 6" xfId="25952"/>
    <cellStyle name="Porcentual 2 14 24 7" xfId="25953"/>
    <cellStyle name="Porcentual 2 14 25" xfId="25954"/>
    <cellStyle name="Porcentual 2 14 25 2" xfId="25955"/>
    <cellStyle name="Porcentual 2 14 25 3" xfId="25956"/>
    <cellStyle name="Porcentual 2 14 25 4" xfId="25957"/>
    <cellStyle name="Porcentual 2 14 25 5" xfId="25958"/>
    <cellStyle name="Porcentual 2 14 25 6" xfId="25959"/>
    <cellStyle name="Porcentual 2 14 25 7" xfId="25960"/>
    <cellStyle name="Porcentual 2 14 26" xfId="25961"/>
    <cellStyle name="Porcentual 2 14 26 2" xfId="25962"/>
    <cellStyle name="Porcentual 2 14 26 3" xfId="25963"/>
    <cellStyle name="Porcentual 2 14 26 4" xfId="25964"/>
    <cellStyle name="Porcentual 2 14 26 5" xfId="25965"/>
    <cellStyle name="Porcentual 2 14 26 6" xfId="25966"/>
    <cellStyle name="Porcentual 2 14 26 7" xfId="25967"/>
    <cellStyle name="Porcentual 2 14 27" xfId="25968"/>
    <cellStyle name="Porcentual 2 14 27 2" xfId="25969"/>
    <cellStyle name="Porcentual 2 14 27 3" xfId="25970"/>
    <cellStyle name="Porcentual 2 14 27 4" xfId="25971"/>
    <cellStyle name="Porcentual 2 14 27 5" xfId="25972"/>
    <cellStyle name="Porcentual 2 14 27 6" xfId="25973"/>
    <cellStyle name="Porcentual 2 14 27 7" xfId="25974"/>
    <cellStyle name="Porcentual 2 14 28" xfId="25975"/>
    <cellStyle name="Porcentual 2 14 28 2" xfId="25976"/>
    <cellStyle name="Porcentual 2 14 28 3" xfId="25977"/>
    <cellStyle name="Porcentual 2 14 28 4" xfId="25978"/>
    <cellStyle name="Porcentual 2 14 28 5" xfId="25979"/>
    <cellStyle name="Porcentual 2 14 28 6" xfId="25980"/>
    <cellStyle name="Porcentual 2 14 28 7" xfId="25981"/>
    <cellStyle name="Porcentual 2 14 29" xfId="25982"/>
    <cellStyle name="Porcentual 2 14 29 2" xfId="25983"/>
    <cellStyle name="Porcentual 2 14 29 3" xfId="25984"/>
    <cellStyle name="Porcentual 2 14 29 4" xfId="25985"/>
    <cellStyle name="Porcentual 2 14 29 5" xfId="25986"/>
    <cellStyle name="Porcentual 2 14 29 6" xfId="25987"/>
    <cellStyle name="Porcentual 2 14 29 7" xfId="25988"/>
    <cellStyle name="Porcentual 2 14 3" xfId="25989"/>
    <cellStyle name="Porcentual 2 14 3 2" xfId="25990"/>
    <cellStyle name="Porcentual 2 14 3 2 2" xfId="25991"/>
    <cellStyle name="Porcentual 2 14 3 2 3" xfId="25992"/>
    <cellStyle name="Porcentual 2 14 3 2 4" xfId="25993"/>
    <cellStyle name="Porcentual 2 14 3 2 5" xfId="25994"/>
    <cellStyle name="Porcentual 2 14 3 2 6" xfId="25995"/>
    <cellStyle name="Porcentual 2 14 3 2 7" xfId="25996"/>
    <cellStyle name="Porcentual 2 14 3 3" xfId="25997"/>
    <cellStyle name="Porcentual 2 14 3 4" xfId="25998"/>
    <cellStyle name="Porcentual 2 14 3 5" xfId="25999"/>
    <cellStyle name="Porcentual 2 14 3 6" xfId="26000"/>
    <cellStyle name="Porcentual 2 14 3 7" xfId="26001"/>
    <cellStyle name="Porcentual 2 14 3 8" xfId="26002"/>
    <cellStyle name="Porcentual 2 14 30" xfId="26003"/>
    <cellStyle name="Porcentual 2 14 30 2" xfId="26004"/>
    <cellStyle name="Porcentual 2 14 30 3" xfId="26005"/>
    <cellStyle name="Porcentual 2 14 30 4" xfId="26006"/>
    <cellStyle name="Porcentual 2 14 30 5" xfId="26007"/>
    <cellStyle name="Porcentual 2 14 30 6" xfId="26008"/>
    <cellStyle name="Porcentual 2 14 30 7" xfId="26009"/>
    <cellStyle name="Porcentual 2 14 31" xfId="26010"/>
    <cellStyle name="Porcentual 2 14 31 2" xfId="26011"/>
    <cellStyle name="Porcentual 2 14 31 3" xfId="26012"/>
    <cellStyle name="Porcentual 2 14 31 4" xfId="26013"/>
    <cellStyle name="Porcentual 2 14 31 5" xfId="26014"/>
    <cellStyle name="Porcentual 2 14 31 6" xfId="26015"/>
    <cellStyle name="Porcentual 2 14 31 7" xfId="26016"/>
    <cellStyle name="Porcentual 2 14 32" xfId="26017"/>
    <cellStyle name="Porcentual 2 14 32 2" xfId="26018"/>
    <cellStyle name="Porcentual 2 14 32 3" xfId="26019"/>
    <cellStyle name="Porcentual 2 14 32 4" xfId="26020"/>
    <cellStyle name="Porcentual 2 14 32 5" xfId="26021"/>
    <cellStyle name="Porcentual 2 14 32 6" xfId="26022"/>
    <cellStyle name="Porcentual 2 14 32 7" xfId="26023"/>
    <cellStyle name="Porcentual 2 14 33" xfId="26024"/>
    <cellStyle name="Porcentual 2 14 33 2" xfId="26025"/>
    <cellStyle name="Porcentual 2 14 33 3" xfId="26026"/>
    <cellStyle name="Porcentual 2 14 33 4" xfId="26027"/>
    <cellStyle name="Porcentual 2 14 33 5" xfId="26028"/>
    <cellStyle name="Porcentual 2 14 33 6" xfId="26029"/>
    <cellStyle name="Porcentual 2 14 33 7" xfId="26030"/>
    <cellStyle name="Porcentual 2 14 34" xfId="26031"/>
    <cellStyle name="Porcentual 2 14 34 2" xfId="26032"/>
    <cellStyle name="Porcentual 2 14 34 3" xfId="26033"/>
    <cellStyle name="Porcentual 2 14 34 4" xfId="26034"/>
    <cellStyle name="Porcentual 2 14 34 5" xfId="26035"/>
    <cellStyle name="Porcentual 2 14 34 6" xfId="26036"/>
    <cellStyle name="Porcentual 2 14 34 7" xfId="26037"/>
    <cellStyle name="Porcentual 2 14 35" xfId="26038"/>
    <cellStyle name="Porcentual 2 14 35 2" xfId="26039"/>
    <cellStyle name="Porcentual 2 14 35 3" xfId="26040"/>
    <cellStyle name="Porcentual 2 14 35 4" xfId="26041"/>
    <cellStyle name="Porcentual 2 14 35 5" xfId="26042"/>
    <cellStyle name="Porcentual 2 14 35 6" xfId="26043"/>
    <cellStyle name="Porcentual 2 14 35 7" xfId="26044"/>
    <cellStyle name="Porcentual 2 14 36" xfId="26045"/>
    <cellStyle name="Porcentual 2 14 37" xfId="26046"/>
    <cellStyle name="Porcentual 2 14 38" xfId="26047"/>
    <cellStyle name="Porcentual 2 14 39" xfId="26048"/>
    <cellStyle name="Porcentual 2 14 4" xfId="26049"/>
    <cellStyle name="Porcentual 2 14 4 2" xfId="26050"/>
    <cellStyle name="Porcentual 2 14 4 2 2" xfId="26051"/>
    <cellStyle name="Porcentual 2 14 4 2 3" xfId="26052"/>
    <cellStyle name="Porcentual 2 14 4 2 4" xfId="26053"/>
    <cellStyle name="Porcentual 2 14 4 2 5" xfId="26054"/>
    <cellStyle name="Porcentual 2 14 4 2 6" xfId="26055"/>
    <cellStyle name="Porcentual 2 14 4 2 7" xfId="26056"/>
    <cellStyle name="Porcentual 2 14 4 3" xfId="26057"/>
    <cellStyle name="Porcentual 2 14 4 4" xfId="26058"/>
    <cellStyle name="Porcentual 2 14 4 5" xfId="26059"/>
    <cellStyle name="Porcentual 2 14 4 6" xfId="26060"/>
    <cellStyle name="Porcentual 2 14 4 7" xfId="26061"/>
    <cellStyle name="Porcentual 2 14 4 8" xfId="26062"/>
    <cellStyle name="Porcentual 2 14 40" xfId="26063"/>
    <cellStyle name="Porcentual 2 14 41" xfId="26064"/>
    <cellStyle name="Porcentual 2 14 5" xfId="26065"/>
    <cellStyle name="Porcentual 2 14 5 2" xfId="26066"/>
    <cellStyle name="Porcentual 2 14 5 2 2" xfId="26067"/>
    <cellStyle name="Porcentual 2 14 5 2 3" xfId="26068"/>
    <cellStyle name="Porcentual 2 14 5 2 4" xfId="26069"/>
    <cellStyle name="Porcentual 2 14 5 2 5" xfId="26070"/>
    <cellStyle name="Porcentual 2 14 5 2 6" xfId="26071"/>
    <cellStyle name="Porcentual 2 14 5 2 7" xfId="26072"/>
    <cellStyle name="Porcentual 2 14 5 3" xfId="26073"/>
    <cellStyle name="Porcentual 2 14 5 4" xfId="26074"/>
    <cellStyle name="Porcentual 2 14 5 5" xfId="26075"/>
    <cellStyle name="Porcentual 2 14 5 6" xfId="26076"/>
    <cellStyle name="Porcentual 2 14 5 7" xfId="26077"/>
    <cellStyle name="Porcentual 2 14 5 8" xfId="26078"/>
    <cellStyle name="Porcentual 2 14 6" xfId="26079"/>
    <cellStyle name="Porcentual 2 14 6 2" xfId="26080"/>
    <cellStyle name="Porcentual 2 14 6 2 2" xfId="26081"/>
    <cellStyle name="Porcentual 2 14 6 2 3" xfId="26082"/>
    <cellStyle name="Porcentual 2 14 6 2 4" xfId="26083"/>
    <cellStyle name="Porcentual 2 14 6 2 5" xfId="26084"/>
    <cellStyle name="Porcentual 2 14 6 2 6" xfId="26085"/>
    <cellStyle name="Porcentual 2 14 6 2 7" xfId="26086"/>
    <cellStyle name="Porcentual 2 14 6 3" xfId="26087"/>
    <cellStyle name="Porcentual 2 14 6 4" xfId="26088"/>
    <cellStyle name="Porcentual 2 14 6 5" xfId="26089"/>
    <cellStyle name="Porcentual 2 14 6 6" xfId="26090"/>
    <cellStyle name="Porcentual 2 14 6 7" xfId="26091"/>
    <cellStyle name="Porcentual 2 14 6 8" xfId="26092"/>
    <cellStyle name="Porcentual 2 14 7" xfId="26093"/>
    <cellStyle name="Porcentual 2 14 7 2" xfId="26094"/>
    <cellStyle name="Porcentual 2 14 7 2 2" xfId="26095"/>
    <cellStyle name="Porcentual 2 14 7 2 3" xfId="26096"/>
    <cellStyle name="Porcentual 2 14 7 2 4" xfId="26097"/>
    <cellStyle name="Porcentual 2 14 7 2 5" xfId="26098"/>
    <cellStyle name="Porcentual 2 14 7 2 6" xfId="26099"/>
    <cellStyle name="Porcentual 2 14 7 2 7" xfId="26100"/>
    <cellStyle name="Porcentual 2 14 7 3" xfId="26101"/>
    <cellStyle name="Porcentual 2 14 7 4" xfId="26102"/>
    <cellStyle name="Porcentual 2 14 7 5" xfId="26103"/>
    <cellStyle name="Porcentual 2 14 7 6" xfId="26104"/>
    <cellStyle name="Porcentual 2 14 7 7" xfId="26105"/>
    <cellStyle name="Porcentual 2 14 7 8" xfId="26106"/>
    <cellStyle name="Porcentual 2 14 8" xfId="26107"/>
    <cellStyle name="Porcentual 2 14 8 2" xfId="26108"/>
    <cellStyle name="Porcentual 2 14 8 2 2" xfId="26109"/>
    <cellStyle name="Porcentual 2 14 8 2 3" xfId="26110"/>
    <cellStyle name="Porcentual 2 14 8 2 4" xfId="26111"/>
    <cellStyle name="Porcentual 2 14 8 2 5" xfId="26112"/>
    <cellStyle name="Porcentual 2 14 8 2 6" xfId="26113"/>
    <cellStyle name="Porcentual 2 14 8 2 7" xfId="26114"/>
    <cellStyle name="Porcentual 2 14 8 3" xfId="26115"/>
    <cellStyle name="Porcentual 2 14 8 4" xfId="26116"/>
    <cellStyle name="Porcentual 2 14 8 5" xfId="26117"/>
    <cellStyle name="Porcentual 2 14 8 6" xfId="26118"/>
    <cellStyle name="Porcentual 2 14 8 7" xfId="26119"/>
    <cellStyle name="Porcentual 2 14 8 8" xfId="26120"/>
    <cellStyle name="Porcentual 2 14 9" xfId="26121"/>
    <cellStyle name="Porcentual 2 14 9 2" xfId="26122"/>
    <cellStyle name="Porcentual 2 14 9 2 2" xfId="26123"/>
    <cellStyle name="Porcentual 2 14 9 2 3" xfId="26124"/>
    <cellStyle name="Porcentual 2 14 9 2 4" xfId="26125"/>
    <cellStyle name="Porcentual 2 14 9 2 5" xfId="26126"/>
    <cellStyle name="Porcentual 2 14 9 2 6" xfId="26127"/>
    <cellStyle name="Porcentual 2 14 9 2 7" xfId="26128"/>
    <cellStyle name="Porcentual 2 14 9 3" xfId="26129"/>
    <cellStyle name="Porcentual 2 14 9 4" xfId="26130"/>
    <cellStyle name="Porcentual 2 14 9 5" xfId="26131"/>
    <cellStyle name="Porcentual 2 14 9 6" xfId="26132"/>
    <cellStyle name="Porcentual 2 14 9 7" xfId="26133"/>
    <cellStyle name="Porcentual 2 14 9 8" xfId="26134"/>
    <cellStyle name="Porcentual 2 15" xfId="26135"/>
    <cellStyle name="Porcentual 2 15 10" xfId="26136"/>
    <cellStyle name="Porcentual 2 15 10 2" xfId="26137"/>
    <cellStyle name="Porcentual 2 15 10 2 2" xfId="26138"/>
    <cellStyle name="Porcentual 2 15 10 2 3" xfId="26139"/>
    <cellStyle name="Porcentual 2 15 10 2 4" xfId="26140"/>
    <cellStyle name="Porcentual 2 15 10 2 5" xfId="26141"/>
    <cellStyle name="Porcentual 2 15 10 2 6" xfId="26142"/>
    <cellStyle name="Porcentual 2 15 10 2 7" xfId="26143"/>
    <cellStyle name="Porcentual 2 15 10 3" xfId="26144"/>
    <cellStyle name="Porcentual 2 15 10 4" xfId="26145"/>
    <cellStyle name="Porcentual 2 15 10 5" xfId="26146"/>
    <cellStyle name="Porcentual 2 15 10 6" xfId="26147"/>
    <cellStyle name="Porcentual 2 15 10 7" xfId="26148"/>
    <cellStyle name="Porcentual 2 15 10 8" xfId="26149"/>
    <cellStyle name="Porcentual 2 15 11" xfId="26150"/>
    <cellStyle name="Porcentual 2 15 11 2" xfId="26151"/>
    <cellStyle name="Porcentual 2 15 11 2 2" xfId="26152"/>
    <cellStyle name="Porcentual 2 15 11 2 3" xfId="26153"/>
    <cellStyle name="Porcentual 2 15 11 2 4" xfId="26154"/>
    <cellStyle name="Porcentual 2 15 11 2 5" xfId="26155"/>
    <cellStyle name="Porcentual 2 15 11 2 6" xfId="26156"/>
    <cellStyle name="Porcentual 2 15 11 2 7" xfId="26157"/>
    <cellStyle name="Porcentual 2 15 11 3" xfId="26158"/>
    <cellStyle name="Porcentual 2 15 11 4" xfId="26159"/>
    <cellStyle name="Porcentual 2 15 11 5" xfId="26160"/>
    <cellStyle name="Porcentual 2 15 11 6" xfId="26161"/>
    <cellStyle name="Porcentual 2 15 11 7" xfId="26162"/>
    <cellStyle name="Porcentual 2 15 11 8" xfId="26163"/>
    <cellStyle name="Porcentual 2 15 12" xfId="26164"/>
    <cellStyle name="Porcentual 2 15 12 2" xfId="26165"/>
    <cellStyle name="Porcentual 2 15 12 2 2" xfId="26166"/>
    <cellStyle name="Porcentual 2 15 12 2 3" xfId="26167"/>
    <cellStyle name="Porcentual 2 15 12 2 4" xfId="26168"/>
    <cellStyle name="Porcentual 2 15 12 2 5" xfId="26169"/>
    <cellStyle name="Porcentual 2 15 12 2 6" xfId="26170"/>
    <cellStyle name="Porcentual 2 15 12 2 7" xfId="26171"/>
    <cellStyle name="Porcentual 2 15 12 3" xfId="26172"/>
    <cellStyle name="Porcentual 2 15 12 4" xfId="26173"/>
    <cellStyle name="Porcentual 2 15 12 5" xfId="26174"/>
    <cellStyle name="Porcentual 2 15 12 6" xfId="26175"/>
    <cellStyle name="Porcentual 2 15 12 7" xfId="26176"/>
    <cellStyle name="Porcentual 2 15 12 8" xfId="26177"/>
    <cellStyle name="Porcentual 2 15 13" xfId="26178"/>
    <cellStyle name="Porcentual 2 15 13 2" xfId="26179"/>
    <cellStyle name="Porcentual 2 15 13 2 2" xfId="26180"/>
    <cellStyle name="Porcentual 2 15 13 2 3" xfId="26181"/>
    <cellStyle name="Porcentual 2 15 13 2 4" xfId="26182"/>
    <cellStyle name="Porcentual 2 15 13 2 5" xfId="26183"/>
    <cellStyle name="Porcentual 2 15 13 2 6" xfId="26184"/>
    <cellStyle name="Porcentual 2 15 13 2 7" xfId="26185"/>
    <cellStyle name="Porcentual 2 15 13 3" xfId="26186"/>
    <cellStyle name="Porcentual 2 15 13 4" xfId="26187"/>
    <cellStyle name="Porcentual 2 15 13 5" xfId="26188"/>
    <cellStyle name="Porcentual 2 15 13 6" xfId="26189"/>
    <cellStyle name="Porcentual 2 15 13 7" xfId="26190"/>
    <cellStyle name="Porcentual 2 15 13 8" xfId="26191"/>
    <cellStyle name="Porcentual 2 15 14" xfId="26192"/>
    <cellStyle name="Porcentual 2 15 14 2" xfId="26193"/>
    <cellStyle name="Porcentual 2 15 14 2 2" xfId="26194"/>
    <cellStyle name="Porcentual 2 15 14 2 3" xfId="26195"/>
    <cellStyle name="Porcentual 2 15 14 2 4" xfId="26196"/>
    <cellStyle name="Porcentual 2 15 14 2 5" xfId="26197"/>
    <cellStyle name="Porcentual 2 15 14 2 6" xfId="26198"/>
    <cellStyle name="Porcentual 2 15 14 2 7" xfId="26199"/>
    <cellStyle name="Porcentual 2 15 14 3" xfId="26200"/>
    <cellStyle name="Porcentual 2 15 14 4" xfId="26201"/>
    <cellStyle name="Porcentual 2 15 14 5" xfId="26202"/>
    <cellStyle name="Porcentual 2 15 14 6" xfId="26203"/>
    <cellStyle name="Porcentual 2 15 14 7" xfId="26204"/>
    <cellStyle name="Porcentual 2 15 14 8" xfId="26205"/>
    <cellStyle name="Porcentual 2 15 15" xfId="26206"/>
    <cellStyle name="Porcentual 2 15 15 2" xfId="26207"/>
    <cellStyle name="Porcentual 2 15 15 2 2" xfId="26208"/>
    <cellStyle name="Porcentual 2 15 15 2 3" xfId="26209"/>
    <cellStyle name="Porcentual 2 15 15 2 4" xfId="26210"/>
    <cellStyle name="Porcentual 2 15 15 2 5" xfId="26211"/>
    <cellStyle name="Porcentual 2 15 15 2 6" xfId="26212"/>
    <cellStyle name="Porcentual 2 15 15 2 7" xfId="26213"/>
    <cellStyle name="Porcentual 2 15 15 3" xfId="26214"/>
    <cellStyle name="Porcentual 2 15 15 4" xfId="26215"/>
    <cellStyle name="Porcentual 2 15 15 5" xfId="26216"/>
    <cellStyle name="Porcentual 2 15 15 6" xfId="26217"/>
    <cellStyle name="Porcentual 2 15 15 7" xfId="26218"/>
    <cellStyle name="Porcentual 2 15 15 8" xfId="26219"/>
    <cellStyle name="Porcentual 2 15 16" xfId="26220"/>
    <cellStyle name="Porcentual 2 15 16 2" xfId="26221"/>
    <cellStyle name="Porcentual 2 15 16 3" xfId="26222"/>
    <cellStyle name="Porcentual 2 15 16 4" xfId="26223"/>
    <cellStyle name="Porcentual 2 15 16 5" xfId="26224"/>
    <cellStyle name="Porcentual 2 15 16 6" xfId="26225"/>
    <cellStyle name="Porcentual 2 15 16 7" xfId="26226"/>
    <cellStyle name="Porcentual 2 15 17" xfId="26227"/>
    <cellStyle name="Porcentual 2 15 17 2" xfId="26228"/>
    <cellStyle name="Porcentual 2 15 17 3" xfId="26229"/>
    <cellStyle name="Porcentual 2 15 17 4" xfId="26230"/>
    <cellStyle name="Porcentual 2 15 17 5" xfId="26231"/>
    <cellStyle name="Porcentual 2 15 17 6" xfId="26232"/>
    <cellStyle name="Porcentual 2 15 17 7" xfId="26233"/>
    <cellStyle name="Porcentual 2 15 18" xfId="26234"/>
    <cellStyle name="Porcentual 2 15 18 2" xfId="26235"/>
    <cellStyle name="Porcentual 2 15 18 3" xfId="26236"/>
    <cellStyle name="Porcentual 2 15 18 4" xfId="26237"/>
    <cellStyle name="Porcentual 2 15 18 5" xfId="26238"/>
    <cellStyle name="Porcentual 2 15 18 6" xfId="26239"/>
    <cellStyle name="Porcentual 2 15 18 7" xfId="26240"/>
    <cellStyle name="Porcentual 2 15 19" xfId="26241"/>
    <cellStyle name="Porcentual 2 15 19 2" xfId="26242"/>
    <cellStyle name="Porcentual 2 15 19 3" xfId="26243"/>
    <cellStyle name="Porcentual 2 15 19 4" xfId="26244"/>
    <cellStyle name="Porcentual 2 15 19 5" xfId="26245"/>
    <cellStyle name="Porcentual 2 15 19 6" xfId="26246"/>
    <cellStyle name="Porcentual 2 15 19 7" xfId="26247"/>
    <cellStyle name="Porcentual 2 15 2" xfId="26248"/>
    <cellStyle name="Porcentual 2 15 2 2" xfId="26249"/>
    <cellStyle name="Porcentual 2 15 2 2 2" xfId="26250"/>
    <cellStyle name="Porcentual 2 15 2 2 3" xfId="26251"/>
    <cellStyle name="Porcentual 2 15 2 2 4" xfId="26252"/>
    <cellStyle name="Porcentual 2 15 2 2 5" xfId="26253"/>
    <cellStyle name="Porcentual 2 15 2 2 6" xfId="26254"/>
    <cellStyle name="Porcentual 2 15 2 2 7" xfId="26255"/>
    <cellStyle name="Porcentual 2 15 2 3" xfId="26256"/>
    <cellStyle name="Porcentual 2 15 2 4" xfId="26257"/>
    <cellStyle name="Porcentual 2 15 2 5" xfId="26258"/>
    <cellStyle name="Porcentual 2 15 2 6" xfId="26259"/>
    <cellStyle name="Porcentual 2 15 2 7" xfId="26260"/>
    <cellStyle name="Porcentual 2 15 2 8" xfId="26261"/>
    <cellStyle name="Porcentual 2 15 20" xfId="26262"/>
    <cellStyle name="Porcentual 2 15 20 2" xfId="26263"/>
    <cellStyle name="Porcentual 2 15 20 3" xfId="26264"/>
    <cellStyle name="Porcentual 2 15 20 4" xfId="26265"/>
    <cellStyle name="Porcentual 2 15 20 5" xfId="26266"/>
    <cellStyle name="Porcentual 2 15 20 6" xfId="26267"/>
    <cellStyle name="Porcentual 2 15 20 7" xfId="26268"/>
    <cellStyle name="Porcentual 2 15 21" xfId="26269"/>
    <cellStyle name="Porcentual 2 15 21 2" xfId="26270"/>
    <cellStyle name="Porcentual 2 15 21 3" xfId="26271"/>
    <cellStyle name="Porcentual 2 15 21 4" xfId="26272"/>
    <cellStyle name="Porcentual 2 15 21 5" xfId="26273"/>
    <cellStyle name="Porcentual 2 15 21 6" xfId="26274"/>
    <cellStyle name="Porcentual 2 15 21 7" xfId="26275"/>
    <cellStyle name="Porcentual 2 15 22" xfId="26276"/>
    <cellStyle name="Porcentual 2 15 22 2" xfId="26277"/>
    <cellStyle name="Porcentual 2 15 22 3" xfId="26278"/>
    <cellStyle name="Porcentual 2 15 22 4" xfId="26279"/>
    <cellStyle name="Porcentual 2 15 22 5" xfId="26280"/>
    <cellStyle name="Porcentual 2 15 22 6" xfId="26281"/>
    <cellStyle name="Porcentual 2 15 22 7" xfId="26282"/>
    <cellStyle name="Porcentual 2 15 23" xfId="26283"/>
    <cellStyle name="Porcentual 2 15 23 2" xfId="26284"/>
    <cellStyle name="Porcentual 2 15 23 3" xfId="26285"/>
    <cellStyle name="Porcentual 2 15 23 4" xfId="26286"/>
    <cellStyle name="Porcentual 2 15 23 5" xfId="26287"/>
    <cellStyle name="Porcentual 2 15 23 6" xfId="26288"/>
    <cellStyle name="Porcentual 2 15 23 7" xfId="26289"/>
    <cellStyle name="Porcentual 2 15 24" xfId="26290"/>
    <cellStyle name="Porcentual 2 15 24 2" xfId="26291"/>
    <cellStyle name="Porcentual 2 15 24 3" xfId="26292"/>
    <cellStyle name="Porcentual 2 15 24 4" xfId="26293"/>
    <cellStyle name="Porcentual 2 15 24 5" xfId="26294"/>
    <cellStyle name="Porcentual 2 15 24 6" xfId="26295"/>
    <cellStyle name="Porcentual 2 15 24 7" xfId="26296"/>
    <cellStyle name="Porcentual 2 15 25" xfId="26297"/>
    <cellStyle name="Porcentual 2 15 25 2" xfId="26298"/>
    <cellStyle name="Porcentual 2 15 25 3" xfId="26299"/>
    <cellStyle name="Porcentual 2 15 25 4" xfId="26300"/>
    <cellStyle name="Porcentual 2 15 25 5" xfId="26301"/>
    <cellStyle name="Porcentual 2 15 25 6" xfId="26302"/>
    <cellStyle name="Porcentual 2 15 25 7" xfId="26303"/>
    <cellStyle name="Porcentual 2 15 26" xfId="26304"/>
    <cellStyle name="Porcentual 2 15 26 2" xfId="26305"/>
    <cellStyle name="Porcentual 2 15 26 3" xfId="26306"/>
    <cellStyle name="Porcentual 2 15 26 4" xfId="26307"/>
    <cellStyle name="Porcentual 2 15 26 5" xfId="26308"/>
    <cellStyle name="Porcentual 2 15 26 6" xfId="26309"/>
    <cellStyle name="Porcentual 2 15 26 7" xfId="26310"/>
    <cellStyle name="Porcentual 2 15 27" xfId="26311"/>
    <cellStyle name="Porcentual 2 15 27 2" xfId="26312"/>
    <cellStyle name="Porcentual 2 15 27 3" xfId="26313"/>
    <cellStyle name="Porcentual 2 15 27 4" xfId="26314"/>
    <cellStyle name="Porcentual 2 15 27 5" xfId="26315"/>
    <cellStyle name="Porcentual 2 15 27 6" xfId="26316"/>
    <cellStyle name="Porcentual 2 15 27 7" xfId="26317"/>
    <cellStyle name="Porcentual 2 15 28" xfId="26318"/>
    <cellStyle name="Porcentual 2 15 28 2" xfId="26319"/>
    <cellStyle name="Porcentual 2 15 28 3" xfId="26320"/>
    <cellStyle name="Porcentual 2 15 28 4" xfId="26321"/>
    <cellStyle name="Porcentual 2 15 28 5" xfId="26322"/>
    <cellStyle name="Porcentual 2 15 28 6" xfId="26323"/>
    <cellStyle name="Porcentual 2 15 28 7" xfId="26324"/>
    <cellStyle name="Porcentual 2 15 29" xfId="26325"/>
    <cellStyle name="Porcentual 2 15 29 2" xfId="26326"/>
    <cellStyle name="Porcentual 2 15 29 3" xfId="26327"/>
    <cellStyle name="Porcentual 2 15 29 4" xfId="26328"/>
    <cellStyle name="Porcentual 2 15 29 5" xfId="26329"/>
    <cellStyle name="Porcentual 2 15 29 6" xfId="26330"/>
    <cellStyle name="Porcentual 2 15 29 7" xfId="26331"/>
    <cellStyle name="Porcentual 2 15 3" xfId="26332"/>
    <cellStyle name="Porcentual 2 15 3 2" xfId="26333"/>
    <cellStyle name="Porcentual 2 15 3 2 2" xfId="26334"/>
    <cellStyle name="Porcentual 2 15 3 2 3" xfId="26335"/>
    <cellStyle name="Porcentual 2 15 3 2 4" xfId="26336"/>
    <cellStyle name="Porcentual 2 15 3 2 5" xfId="26337"/>
    <cellStyle name="Porcentual 2 15 3 2 6" xfId="26338"/>
    <cellStyle name="Porcentual 2 15 3 2 7" xfId="26339"/>
    <cellStyle name="Porcentual 2 15 3 3" xfId="26340"/>
    <cellStyle name="Porcentual 2 15 3 4" xfId="26341"/>
    <cellStyle name="Porcentual 2 15 3 5" xfId="26342"/>
    <cellStyle name="Porcentual 2 15 3 6" xfId="26343"/>
    <cellStyle name="Porcentual 2 15 3 7" xfId="26344"/>
    <cellStyle name="Porcentual 2 15 3 8" xfId="26345"/>
    <cellStyle name="Porcentual 2 15 30" xfId="26346"/>
    <cellStyle name="Porcentual 2 15 30 2" xfId="26347"/>
    <cellStyle name="Porcentual 2 15 30 3" xfId="26348"/>
    <cellStyle name="Porcentual 2 15 30 4" xfId="26349"/>
    <cellStyle name="Porcentual 2 15 30 5" xfId="26350"/>
    <cellStyle name="Porcentual 2 15 30 6" xfId="26351"/>
    <cellStyle name="Porcentual 2 15 30 7" xfId="26352"/>
    <cellStyle name="Porcentual 2 15 31" xfId="26353"/>
    <cellStyle name="Porcentual 2 15 31 2" xfId="26354"/>
    <cellStyle name="Porcentual 2 15 31 3" xfId="26355"/>
    <cellStyle name="Porcentual 2 15 31 4" xfId="26356"/>
    <cellStyle name="Porcentual 2 15 31 5" xfId="26357"/>
    <cellStyle name="Porcentual 2 15 31 6" xfId="26358"/>
    <cellStyle name="Porcentual 2 15 31 7" xfId="26359"/>
    <cellStyle name="Porcentual 2 15 32" xfId="26360"/>
    <cellStyle name="Porcentual 2 15 32 2" xfId="26361"/>
    <cellStyle name="Porcentual 2 15 32 3" xfId="26362"/>
    <cellStyle name="Porcentual 2 15 32 4" xfId="26363"/>
    <cellStyle name="Porcentual 2 15 32 5" xfId="26364"/>
    <cellStyle name="Porcentual 2 15 32 6" xfId="26365"/>
    <cellStyle name="Porcentual 2 15 32 7" xfId="26366"/>
    <cellStyle name="Porcentual 2 15 33" xfId="26367"/>
    <cellStyle name="Porcentual 2 15 33 2" xfId="26368"/>
    <cellStyle name="Porcentual 2 15 33 3" xfId="26369"/>
    <cellStyle name="Porcentual 2 15 33 4" xfId="26370"/>
    <cellStyle name="Porcentual 2 15 33 5" xfId="26371"/>
    <cellStyle name="Porcentual 2 15 33 6" xfId="26372"/>
    <cellStyle name="Porcentual 2 15 33 7" xfId="26373"/>
    <cellStyle name="Porcentual 2 15 34" xfId="26374"/>
    <cellStyle name="Porcentual 2 15 34 2" xfId="26375"/>
    <cellStyle name="Porcentual 2 15 34 3" xfId="26376"/>
    <cellStyle name="Porcentual 2 15 34 4" xfId="26377"/>
    <cellStyle name="Porcentual 2 15 34 5" xfId="26378"/>
    <cellStyle name="Porcentual 2 15 34 6" xfId="26379"/>
    <cellStyle name="Porcentual 2 15 34 7" xfId="26380"/>
    <cellStyle name="Porcentual 2 15 35" xfId="26381"/>
    <cellStyle name="Porcentual 2 15 35 2" xfId="26382"/>
    <cellStyle name="Porcentual 2 15 35 3" xfId="26383"/>
    <cellStyle name="Porcentual 2 15 35 4" xfId="26384"/>
    <cellStyle name="Porcentual 2 15 35 5" xfId="26385"/>
    <cellStyle name="Porcentual 2 15 35 6" xfId="26386"/>
    <cellStyle name="Porcentual 2 15 35 7" xfId="26387"/>
    <cellStyle name="Porcentual 2 15 36" xfId="26388"/>
    <cellStyle name="Porcentual 2 15 37" xfId="26389"/>
    <cellStyle name="Porcentual 2 15 38" xfId="26390"/>
    <cellStyle name="Porcentual 2 15 39" xfId="26391"/>
    <cellStyle name="Porcentual 2 15 4" xfId="26392"/>
    <cellStyle name="Porcentual 2 15 4 2" xfId="26393"/>
    <cellStyle name="Porcentual 2 15 4 2 2" xfId="26394"/>
    <cellStyle name="Porcentual 2 15 4 2 3" xfId="26395"/>
    <cellStyle name="Porcentual 2 15 4 2 4" xfId="26396"/>
    <cellStyle name="Porcentual 2 15 4 2 5" xfId="26397"/>
    <cellStyle name="Porcentual 2 15 4 2 6" xfId="26398"/>
    <cellStyle name="Porcentual 2 15 4 2 7" xfId="26399"/>
    <cellStyle name="Porcentual 2 15 4 3" xfId="26400"/>
    <cellStyle name="Porcentual 2 15 4 4" xfId="26401"/>
    <cellStyle name="Porcentual 2 15 4 5" xfId="26402"/>
    <cellStyle name="Porcentual 2 15 4 6" xfId="26403"/>
    <cellStyle name="Porcentual 2 15 4 7" xfId="26404"/>
    <cellStyle name="Porcentual 2 15 4 8" xfId="26405"/>
    <cellStyle name="Porcentual 2 15 40" xfId="26406"/>
    <cellStyle name="Porcentual 2 15 41" xfId="26407"/>
    <cellStyle name="Porcentual 2 15 5" xfId="26408"/>
    <cellStyle name="Porcentual 2 15 5 2" xfId="26409"/>
    <cellStyle name="Porcentual 2 15 5 2 2" xfId="26410"/>
    <cellStyle name="Porcentual 2 15 5 2 3" xfId="26411"/>
    <cellStyle name="Porcentual 2 15 5 2 4" xfId="26412"/>
    <cellStyle name="Porcentual 2 15 5 2 5" xfId="26413"/>
    <cellStyle name="Porcentual 2 15 5 2 6" xfId="26414"/>
    <cellStyle name="Porcentual 2 15 5 2 7" xfId="26415"/>
    <cellStyle name="Porcentual 2 15 5 3" xfId="26416"/>
    <cellStyle name="Porcentual 2 15 5 4" xfId="26417"/>
    <cellStyle name="Porcentual 2 15 5 5" xfId="26418"/>
    <cellStyle name="Porcentual 2 15 5 6" xfId="26419"/>
    <cellStyle name="Porcentual 2 15 5 7" xfId="26420"/>
    <cellStyle name="Porcentual 2 15 5 8" xfId="26421"/>
    <cellStyle name="Porcentual 2 15 6" xfId="26422"/>
    <cellStyle name="Porcentual 2 15 6 2" xfId="26423"/>
    <cellStyle name="Porcentual 2 15 6 2 2" xfId="26424"/>
    <cellStyle name="Porcentual 2 15 6 2 3" xfId="26425"/>
    <cellStyle name="Porcentual 2 15 6 2 4" xfId="26426"/>
    <cellStyle name="Porcentual 2 15 6 2 5" xfId="26427"/>
    <cellStyle name="Porcentual 2 15 6 2 6" xfId="26428"/>
    <cellStyle name="Porcentual 2 15 6 2 7" xfId="26429"/>
    <cellStyle name="Porcentual 2 15 6 3" xfId="26430"/>
    <cellStyle name="Porcentual 2 15 6 4" xfId="26431"/>
    <cellStyle name="Porcentual 2 15 6 5" xfId="26432"/>
    <cellStyle name="Porcentual 2 15 6 6" xfId="26433"/>
    <cellStyle name="Porcentual 2 15 6 7" xfId="26434"/>
    <cellStyle name="Porcentual 2 15 6 8" xfId="26435"/>
    <cellStyle name="Porcentual 2 15 7" xfId="26436"/>
    <cellStyle name="Porcentual 2 15 7 2" xfId="26437"/>
    <cellStyle name="Porcentual 2 15 7 2 2" xfId="26438"/>
    <cellStyle name="Porcentual 2 15 7 2 3" xfId="26439"/>
    <cellStyle name="Porcentual 2 15 7 2 4" xfId="26440"/>
    <cellStyle name="Porcentual 2 15 7 2 5" xfId="26441"/>
    <cellStyle name="Porcentual 2 15 7 2 6" xfId="26442"/>
    <cellStyle name="Porcentual 2 15 7 2 7" xfId="26443"/>
    <cellStyle name="Porcentual 2 15 7 3" xfId="26444"/>
    <cellStyle name="Porcentual 2 15 7 4" xfId="26445"/>
    <cellStyle name="Porcentual 2 15 7 5" xfId="26446"/>
    <cellStyle name="Porcentual 2 15 7 6" xfId="26447"/>
    <cellStyle name="Porcentual 2 15 7 7" xfId="26448"/>
    <cellStyle name="Porcentual 2 15 7 8" xfId="26449"/>
    <cellStyle name="Porcentual 2 15 8" xfId="26450"/>
    <cellStyle name="Porcentual 2 15 8 2" xfId="26451"/>
    <cellStyle name="Porcentual 2 15 8 2 2" xfId="26452"/>
    <cellStyle name="Porcentual 2 15 8 2 3" xfId="26453"/>
    <cellStyle name="Porcentual 2 15 8 2 4" xfId="26454"/>
    <cellStyle name="Porcentual 2 15 8 2 5" xfId="26455"/>
    <cellStyle name="Porcentual 2 15 8 2 6" xfId="26456"/>
    <cellStyle name="Porcentual 2 15 8 2 7" xfId="26457"/>
    <cellStyle name="Porcentual 2 15 8 3" xfId="26458"/>
    <cellStyle name="Porcentual 2 15 8 4" xfId="26459"/>
    <cellStyle name="Porcentual 2 15 8 5" xfId="26460"/>
    <cellStyle name="Porcentual 2 15 8 6" xfId="26461"/>
    <cellStyle name="Porcentual 2 15 8 7" xfId="26462"/>
    <cellStyle name="Porcentual 2 15 8 8" xfId="26463"/>
    <cellStyle name="Porcentual 2 15 9" xfId="26464"/>
    <cellStyle name="Porcentual 2 15 9 2" xfId="26465"/>
    <cellStyle name="Porcentual 2 15 9 2 2" xfId="26466"/>
    <cellStyle name="Porcentual 2 15 9 2 3" xfId="26467"/>
    <cellStyle name="Porcentual 2 15 9 2 4" xfId="26468"/>
    <cellStyle name="Porcentual 2 15 9 2 5" xfId="26469"/>
    <cellStyle name="Porcentual 2 15 9 2 6" xfId="26470"/>
    <cellStyle name="Porcentual 2 15 9 2 7" xfId="26471"/>
    <cellStyle name="Porcentual 2 15 9 3" xfId="26472"/>
    <cellStyle name="Porcentual 2 15 9 4" xfId="26473"/>
    <cellStyle name="Porcentual 2 15 9 5" xfId="26474"/>
    <cellStyle name="Porcentual 2 15 9 6" xfId="26475"/>
    <cellStyle name="Porcentual 2 15 9 7" xfId="26476"/>
    <cellStyle name="Porcentual 2 15 9 8" xfId="26477"/>
    <cellStyle name="Porcentual 2 16" xfId="26478"/>
    <cellStyle name="Porcentual 2 16 10" xfId="26479"/>
    <cellStyle name="Porcentual 2 16 10 2" xfId="26480"/>
    <cellStyle name="Porcentual 2 16 10 2 2" xfId="26481"/>
    <cellStyle name="Porcentual 2 16 10 2 3" xfId="26482"/>
    <cellStyle name="Porcentual 2 16 10 2 4" xfId="26483"/>
    <cellStyle name="Porcentual 2 16 10 2 5" xfId="26484"/>
    <cellStyle name="Porcentual 2 16 10 2 6" xfId="26485"/>
    <cellStyle name="Porcentual 2 16 10 2 7" xfId="26486"/>
    <cellStyle name="Porcentual 2 16 10 3" xfId="26487"/>
    <cellStyle name="Porcentual 2 16 10 4" xfId="26488"/>
    <cellStyle name="Porcentual 2 16 10 5" xfId="26489"/>
    <cellStyle name="Porcentual 2 16 10 6" xfId="26490"/>
    <cellStyle name="Porcentual 2 16 10 7" xfId="26491"/>
    <cellStyle name="Porcentual 2 16 10 8" xfId="26492"/>
    <cellStyle name="Porcentual 2 16 11" xfId="26493"/>
    <cellStyle name="Porcentual 2 16 11 2" xfId="26494"/>
    <cellStyle name="Porcentual 2 16 11 2 2" xfId="26495"/>
    <cellStyle name="Porcentual 2 16 11 2 3" xfId="26496"/>
    <cellStyle name="Porcentual 2 16 11 2 4" xfId="26497"/>
    <cellStyle name="Porcentual 2 16 11 2 5" xfId="26498"/>
    <cellStyle name="Porcentual 2 16 11 2 6" xfId="26499"/>
    <cellStyle name="Porcentual 2 16 11 2 7" xfId="26500"/>
    <cellStyle name="Porcentual 2 16 11 3" xfId="26501"/>
    <cellStyle name="Porcentual 2 16 11 4" xfId="26502"/>
    <cellStyle name="Porcentual 2 16 11 5" xfId="26503"/>
    <cellStyle name="Porcentual 2 16 11 6" xfId="26504"/>
    <cellStyle name="Porcentual 2 16 11 7" xfId="26505"/>
    <cellStyle name="Porcentual 2 16 11 8" xfId="26506"/>
    <cellStyle name="Porcentual 2 16 12" xfId="26507"/>
    <cellStyle name="Porcentual 2 16 12 2" xfId="26508"/>
    <cellStyle name="Porcentual 2 16 12 2 2" xfId="26509"/>
    <cellStyle name="Porcentual 2 16 12 2 3" xfId="26510"/>
    <cellStyle name="Porcentual 2 16 12 2 4" xfId="26511"/>
    <cellStyle name="Porcentual 2 16 12 2 5" xfId="26512"/>
    <cellStyle name="Porcentual 2 16 12 2 6" xfId="26513"/>
    <cellStyle name="Porcentual 2 16 12 2 7" xfId="26514"/>
    <cellStyle name="Porcentual 2 16 12 3" xfId="26515"/>
    <cellStyle name="Porcentual 2 16 12 4" xfId="26516"/>
    <cellStyle name="Porcentual 2 16 12 5" xfId="26517"/>
    <cellStyle name="Porcentual 2 16 12 6" xfId="26518"/>
    <cellStyle name="Porcentual 2 16 12 7" xfId="26519"/>
    <cellStyle name="Porcentual 2 16 12 8" xfId="26520"/>
    <cellStyle name="Porcentual 2 16 13" xfId="26521"/>
    <cellStyle name="Porcentual 2 16 13 2" xfId="26522"/>
    <cellStyle name="Porcentual 2 16 13 2 2" xfId="26523"/>
    <cellStyle name="Porcentual 2 16 13 2 3" xfId="26524"/>
    <cellStyle name="Porcentual 2 16 13 2 4" xfId="26525"/>
    <cellStyle name="Porcentual 2 16 13 2 5" xfId="26526"/>
    <cellStyle name="Porcentual 2 16 13 2 6" xfId="26527"/>
    <cellStyle name="Porcentual 2 16 13 2 7" xfId="26528"/>
    <cellStyle name="Porcentual 2 16 13 3" xfId="26529"/>
    <cellStyle name="Porcentual 2 16 13 4" xfId="26530"/>
    <cellStyle name="Porcentual 2 16 13 5" xfId="26531"/>
    <cellStyle name="Porcentual 2 16 13 6" xfId="26532"/>
    <cellStyle name="Porcentual 2 16 13 7" xfId="26533"/>
    <cellStyle name="Porcentual 2 16 13 8" xfId="26534"/>
    <cellStyle name="Porcentual 2 16 14" xfId="26535"/>
    <cellStyle name="Porcentual 2 16 14 2" xfId="26536"/>
    <cellStyle name="Porcentual 2 16 14 2 2" xfId="26537"/>
    <cellStyle name="Porcentual 2 16 14 2 3" xfId="26538"/>
    <cellStyle name="Porcentual 2 16 14 2 4" xfId="26539"/>
    <cellStyle name="Porcentual 2 16 14 2 5" xfId="26540"/>
    <cellStyle name="Porcentual 2 16 14 2 6" xfId="26541"/>
    <cellStyle name="Porcentual 2 16 14 2 7" xfId="26542"/>
    <cellStyle name="Porcentual 2 16 14 3" xfId="26543"/>
    <cellStyle name="Porcentual 2 16 14 4" xfId="26544"/>
    <cellStyle name="Porcentual 2 16 14 5" xfId="26545"/>
    <cellStyle name="Porcentual 2 16 14 6" xfId="26546"/>
    <cellStyle name="Porcentual 2 16 14 7" xfId="26547"/>
    <cellStyle name="Porcentual 2 16 14 8" xfId="26548"/>
    <cellStyle name="Porcentual 2 16 15" xfId="26549"/>
    <cellStyle name="Porcentual 2 16 15 2" xfId="26550"/>
    <cellStyle name="Porcentual 2 16 15 2 2" xfId="26551"/>
    <cellStyle name="Porcentual 2 16 15 2 3" xfId="26552"/>
    <cellStyle name="Porcentual 2 16 15 2 4" xfId="26553"/>
    <cellStyle name="Porcentual 2 16 15 2 5" xfId="26554"/>
    <cellStyle name="Porcentual 2 16 15 2 6" xfId="26555"/>
    <cellStyle name="Porcentual 2 16 15 2 7" xfId="26556"/>
    <cellStyle name="Porcentual 2 16 15 3" xfId="26557"/>
    <cellStyle name="Porcentual 2 16 15 4" xfId="26558"/>
    <cellStyle name="Porcentual 2 16 15 5" xfId="26559"/>
    <cellStyle name="Porcentual 2 16 15 6" xfId="26560"/>
    <cellStyle name="Porcentual 2 16 15 7" xfId="26561"/>
    <cellStyle name="Porcentual 2 16 15 8" xfId="26562"/>
    <cellStyle name="Porcentual 2 16 16" xfId="26563"/>
    <cellStyle name="Porcentual 2 16 16 2" xfId="26564"/>
    <cellStyle name="Porcentual 2 16 16 3" xfId="26565"/>
    <cellStyle name="Porcentual 2 16 16 4" xfId="26566"/>
    <cellStyle name="Porcentual 2 16 16 5" xfId="26567"/>
    <cellStyle name="Porcentual 2 16 16 6" xfId="26568"/>
    <cellStyle name="Porcentual 2 16 16 7" xfId="26569"/>
    <cellStyle name="Porcentual 2 16 17" xfId="26570"/>
    <cellStyle name="Porcentual 2 16 17 2" xfId="26571"/>
    <cellStyle name="Porcentual 2 16 17 3" xfId="26572"/>
    <cellStyle name="Porcentual 2 16 17 4" xfId="26573"/>
    <cellStyle name="Porcentual 2 16 17 5" xfId="26574"/>
    <cellStyle name="Porcentual 2 16 17 6" xfId="26575"/>
    <cellStyle name="Porcentual 2 16 17 7" xfId="26576"/>
    <cellStyle name="Porcentual 2 16 18" xfId="26577"/>
    <cellStyle name="Porcentual 2 16 18 2" xfId="26578"/>
    <cellStyle name="Porcentual 2 16 18 3" xfId="26579"/>
    <cellStyle name="Porcentual 2 16 18 4" xfId="26580"/>
    <cellStyle name="Porcentual 2 16 18 5" xfId="26581"/>
    <cellStyle name="Porcentual 2 16 18 6" xfId="26582"/>
    <cellStyle name="Porcentual 2 16 18 7" xfId="26583"/>
    <cellStyle name="Porcentual 2 16 19" xfId="26584"/>
    <cellStyle name="Porcentual 2 16 19 2" xfId="26585"/>
    <cellStyle name="Porcentual 2 16 19 3" xfId="26586"/>
    <cellStyle name="Porcentual 2 16 19 4" xfId="26587"/>
    <cellStyle name="Porcentual 2 16 19 5" xfId="26588"/>
    <cellStyle name="Porcentual 2 16 19 6" xfId="26589"/>
    <cellStyle name="Porcentual 2 16 19 7" xfId="26590"/>
    <cellStyle name="Porcentual 2 16 2" xfId="26591"/>
    <cellStyle name="Porcentual 2 16 2 2" xfId="26592"/>
    <cellStyle name="Porcentual 2 16 2 2 2" xfId="26593"/>
    <cellStyle name="Porcentual 2 16 2 2 3" xfId="26594"/>
    <cellStyle name="Porcentual 2 16 2 2 4" xfId="26595"/>
    <cellStyle name="Porcentual 2 16 2 2 5" xfId="26596"/>
    <cellStyle name="Porcentual 2 16 2 2 6" xfId="26597"/>
    <cellStyle name="Porcentual 2 16 2 2 7" xfId="26598"/>
    <cellStyle name="Porcentual 2 16 2 3" xfId="26599"/>
    <cellStyle name="Porcentual 2 16 2 4" xfId="26600"/>
    <cellStyle name="Porcentual 2 16 2 5" xfId="26601"/>
    <cellStyle name="Porcentual 2 16 2 6" xfId="26602"/>
    <cellStyle name="Porcentual 2 16 2 7" xfId="26603"/>
    <cellStyle name="Porcentual 2 16 2 8" xfId="26604"/>
    <cellStyle name="Porcentual 2 16 20" xfId="26605"/>
    <cellStyle name="Porcentual 2 16 20 2" xfId="26606"/>
    <cellStyle name="Porcentual 2 16 20 3" xfId="26607"/>
    <cellStyle name="Porcentual 2 16 20 4" xfId="26608"/>
    <cellStyle name="Porcentual 2 16 20 5" xfId="26609"/>
    <cellStyle name="Porcentual 2 16 20 6" xfId="26610"/>
    <cellStyle name="Porcentual 2 16 20 7" xfId="26611"/>
    <cellStyle name="Porcentual 2 16 21" xfId="26612"/>
    <cellStyle name="Porcentual 2 16 21 2" xfId="26613"/>
    <cellStyle name="Porcentual 2 16 21 3" xfId="26614"/>
    <cellStyle name="Porcentual 2 16 21 4" xfId="26615"/>
    <cellStyle name="Porcentual 2 16 21 5" xfId="26616"/>
    <cellStyle name="Porcentual 2 16 21 6" xfId="26617"/>
    <cellStyle name="Porcentual 2 16 21 7" xfId="26618"/>
    <cellStyle name="Porcentual 2 16 22" xfId="26619"/>
    <cellStyle name="Porcentual 2 16 22 2" xfId="26620"/>
    <cellStyle name="Porcentual 2 16 22 3" xfId="26621"/>
    <cellStyle name="Porcentual 2 16 22 4" xfId="26622"/>
    <cellStyle name="Porcentual 2 16 22 5" xfId="26623"/>
    <cellStyle name="Porcentual 2 16 22 6" xfId="26624"/>
    <cellStyle name="Porcentual 2 16 22 7" xfId="26625"/>
    <cellStyle name="Porcentual 2 16 23" xfId="26626"/>
    <cellStyle name="Porcentual 2 16 23 2" xfId="26627"/>
    <cellStyle name="Porcentual 2 16 23 3" xfId="26628"/>
    <cellStyle name="Porcentual 2 16 23 4" xfId="26629"/>
    <cellStyle name="Porcentual 2 16 23 5" xfId="26630"/>
    <cellStyle name="Porcentual 2 16 23 6" xfId="26631"/>
    <cellStyle name="Porcentual 2 16 23 7" xfId="26632"/>
    <cellStyle name="Porcentual 2 16 24" xfId="26633"/>
    <cellStyle name="Porcentual 2 16 24 2" xfId="26634"/>
    <cellStyle name="Porcentual 2 16 24 3" xfId="26635"/>
    <cellStyle name="Porcentual 2 16 24 4" xfId="26636"/>
    <cellStyle name="Porcentual 2 16 24 5" xfId="26637"/>
    <cellStyle name="Porcentual 2 16 24 6" xfId="26638"/>
    <cellStyle name="Porcentual 2 16 24 7" xfId="26639"/>
    <cellStyle name="Porcentual 2 16 25" xfId="26640"/>
    <cellStyle name="Porcentual 2 16 25 2" xfId="26641"/>
    <cellStyle name="Porcentual 2 16 25 3" xfId="26642"/>
    <cellStyle name="Porcentual 2 16 25 4" xfId="26643"/>
    <cellStyle name="Porcentual 2 16 25 5" xfId="26644"/>
    <cellStyle name="Porcentual 2 16 25 6" xfId="26645"/>
    <cellStyle name="Porcentual 2 16 25 7" xfId="26646"/>
    <cellStyle name="Porcentual 2 16 26" xfId="26647"/>
    <cellStyle name="Porcentual 2 16 26 2" xfId="26648"/>
    <cellStyle name="Porcentual 2 16 26 3" xfId="26649"/>
    <cellStyle name="Porcentual 2 16 26 4" xfId="26650"/>
    <cellStyle name="Porcentual 2 16 26 5" xfId="26651"/>
    <cellStyle name="Porcentual 2 16 26 6" xfId="26652"/>
    <cellStyle name="Porcentual 2 16 26 7" xfId="26653"/>
    <cellStyle name="Porcentual 2 16 27" xfId="26654"/>
    <cellStyle name="Porcentual 2 16 27 2" xfId="26655"/>
    <cellStyle name="Porcentual 2 16 27 3" xfId="26656"/>
    <cellStyle name="Porcentual 2 16 27 4" xfId="26657"/>
    <cellStyle name="Porcentual 2 16 27 5" xfId="26658"/>
    <cellStyle name="Porcentual 2 16 27 6" xfId="26659"/>
    <cellStyle name="Porcentual 2 16 27 7" xfId="26660"/>
    <cellStyle name="Porcentual 2 16 28" xfId="26661"/>
    <cellStyle name="Porcentual 2 16 28 2" xfId="26662"/>
    <cellStyle name="Porcentual 2 16 28 3" xfId="26663"/>
    <cellStyle name="Porcentual 2 16 28 4" xfId="26664"/>
    <cellStyle name="Porcentual 2 16 28 5" xfId="26665"/>
    <cellStyle name="Porcentual 2 16 28 6" xfId="26666"/>
    <cellStyle name="Porcentual 2 16 28 7" xfId="26667"/>
    <cellStyle name="Porcentual 2 16 29" xfId="26668"/>
    <cellStyle name="Porcentual 2 16 29 2" xfId="26669"/>
    <cellStyle name="Porcentual 2 16 29 3" xfId="26670"/>
    <cellStyle name="Porcentual 2 16 29 4" xfId="26671"/>
    <cellStyle name="Porcentual 2 16 29 5" xfId="26672"/>
    <cellStyle name="Porcentual 2 16 29 6" xfId="26673"/>
    <cellStyle name="Porcentual 2 16 29 7" xfId="26674"/>
    <cellStyle name="Porcentual 2 16 3" xfId="26675"/>
    <cellStyle name="Porcentual 2 16 3 2" xfId="26676"/>
    <cellStyle name="Porcentual 2 16 3 2 2" xfId="26677"/>
    <cellStyle name="Porcentual 2 16 3 2 3" xfId="26678"/>
    <cellStyle name="Porcentual 2 16 3 2 4" xfId="26679"/>
    <cellStyle name="Porcentual 2 16 3 2 5" xfId="26680"/>
    <cellStyle name="Porcentual 2 16 3 2 6" xfId="26681"/>
    <cellStyle name="Porcentual 2 16 3 2 7" xfId="26682"/>
    <cellStyle name="Porcentual 2 16 3 3" xfId="26683"/>
    <cellStyle name="Porcentual 2 16 3 4" xfId="26684"/>
    <cellStyle name="Porcentual 2 16 3 5" xfId="26685"/>
    <cellStyle name="Porcentual 2 16 3 6" xfId="26686"/>
    <cellStyle name="Porcentual 2 16 3 7" xfId="26687"/>
    <cellStyle name="Porcentual 2 16 3 8" xfId="26688"/>
    <cellStyle name="Porcentual 2 16 30" xfId="26689"/>
    <cellStyle name="Porcentual 2 16 30 2" xfId="26690"/>
    <cellStyle name="Porcentual 2 16 30 3" xfId="26691"/>
    <cellStyle name="Porcentual 2 16 30 4" xfId="26692"/>
    <cellStyle name="Porcentual 2 16 30 5" xfId="26693"/>
    <cellStyle name="Porcentual 2 16 30 6" xfId="26694"/>
    <cellStyle name="Porcentual 2 16 30 7" xfId="26695"/>
    <cellStyle name="Porcentual 2 16 31" xfId="26696"/>
    <cellStyle name="Porcentual 2 16 31 2" xfId="26697"/>
    <cellStyle name="Porcentual 2 16 31 3" xfId="26698"/>
    <cellStyle name="Porcentual 2 16 31 4" xfId="26699"/>
    <cellStyle name="Porcentual 2 16 31 5" xfId="26700"/>
    <cellStyle name="Porcentual 2 16 31 6" xfId="26701"/>
    <cellStyle name="Porcentual 2 16 31 7" xfId="26702"/>
    <cellStyle name="Porcentual 2 16 32" xfId="26703"/>
    <cellStyle name="Porcentual 2 16 32 2" xfId="26704"/>
    <cellStyle name="Porcentual 2 16 32 3" xfId="26705"/>
    <cellStyle name="Porcentual 2 16 32 4" xfId="26706"/>
    <cellStyle name="Porcentual 2 16 32 5" xfId="26707"/>
    <cellStyle name="Porcentual 2 16 32 6" xfId="26708"/>
    <cellStyle name="Porcentual 2 16 32 7" xfId="26709"/>
    <cellStyle name="Porcentual 2 16 33" xfId="26710"/>
    <cellStyle name="Porcentual 2 16 33 2" xfId="26711"/>
    <cellStyle name="Porcentual 2 16 33 3" xfId="26712"/>
    <cellStyle name="Porcentual 2 16 33 4" xfId="26713"/>
    <cellStyle name="Porcentual 2 16 33 5" xfId="26714"/>
    <cellStyle name="Porcentual 2 16 33 6" xfId="26715"/>
    <cellStyle name="Porcentual 2 16 33 7" xfId="26716"/>
    <cellStyle name="Porcentual 2 16 34" xfId="26717"/>
    <cellStyle name="Porcentual 2 16 34 2" xfId="26718"/>
    <cellStyle name="Porcentual 2 16 34 3" xfId="26719"/>
    <cellStyle name="Porcentual 2 16 34 4" xfId="26720"/>
    <cellStyle name="Porcentual 2 16 34 5" xfId="26721"/>
    <cellStyle name="Porcentual 2 16 34 6" xfId="26722"/>
    <cellStyle name="Porcentual 2 16 34 7" xfId="26723"/>
    <cellStyle name="Porcentual 2 16 35" xfId="26724"/>
    <cellStyle name="Porcentual 2 16 35 2" xfId="26725"/>
    <cellStyle name="Porcentual 2 16 35 3" xfId="26726"/>
    <cellStyle name="Porcentual 2 16 35 4" xfId="26727"/>
    <cellStyle name="Porcentual 2 16 35 5" xfId="26728"/>
    <cellStyle name="Porcentual 2 16 35 6" xfId="26729"/>
    <cellStyle name="Porcentual 2 16 35 7" xfId="26730"/>
    <cellStyle name="Porcentual 2 16 36" xfId="26731"/>
    <cellStyle name="Porcentual 2 16 37" xfId="26732"/>
    <cellStyle name="Porcentual 2 16 38" xfId="26733"/>
    <cellStyle name="Porcentual 2 16 39" xfId="26734"/>
    <cellStyle name="Porcentual 2 16 4" xfId="26735"/>
    <cellStyle name="Porcentual 2 16 4 2" xfId="26736"/>
    <cellStyle name="Porcentual 2 16 4 2 2" xfId="26737"/>
    <cellStyle name="Porcentual 2 16 4 2 3" xfId="26738"/>
    <cellStyle name="Porcentual 2 16 4 2 4" xfId="26739"/>
    <cellStyle name="Porcentual 2 16 4 2 5" xfId="26740"/>
    <cellStyle name="Porcentual 2 16 4 2 6" xfId="26741"/>
    <cellStyle name="Porcentual 2 16 4 2 7" xfId="26742"/>
    <cellStyle name="Porcentual 2 16 4 3" xfId="26743"/>
    <cellStyle name="Porcentual 2 16 4 4" xfId="26744"/>
    <cellStyle name="Porcentual 2 16 4 5" xfId="26745"/>
    <cellStyle name="Porcentual 2 16 4 6" xfId="26746"/>
    <cellStyle name="Porcentual 2 16 4 7" xfId="26747"/>
    <cellStyle name="Porcentual 2 16 4 8" xfId="26748"/>
    <cellStyle name="Porcentual 2 16 40" xfId="26749"/>
    <cellStyle name="Porcentual 2 16 41" xfId="26750"/>
    <cellStyle name="Porcentual 2 16 5" xfId="26751"/>
    <cellStyle name="Porcentual 2 16 5 2" xfId="26752"/>
    <cellStyle name="Porcentual 2 16 5 2 2" xfId="26753"/>
    <cellStyle name="Porcentual 2 16 5 2 3" xfId="26754"/>
    <cellStyle name="Porcentual 2 16 5 2 4" xfId="26755"/>
    <cellStyle name="Porcentual 2 16 5 2 5" xfId="26756"/>
    <cellStyle name="Porcentual 2 16 5 2 6" xfId="26757"/>
    <cellStyle name="Porcentual 2 16 5 2 7" xfId="26758"/>
    <cellStyle name="Porcentual 2 16 5 3" xfId="26759"/>
    <cellStyle name="Porcentual 2 16 5 4" xfId="26760"/>
    <cellStyle name="Porcentual 2 16 5 5" xfId="26761"/>
    <cellStyle name="Porcentual 2 16 5 6" xfId="26762"/>
    <cellStyle name="Porcentual 2 16 5 7" xfId="26763"/>
    <cellStyle name="Porcentual 2 16 5 8" xfId="26764"/>
    <cellStyle name="Porcentual 2 16 6" xfId="26765"/>
    <cellStyle name="Porcentual 2 16 6 2" xfId="26766"/>
    <cellStyle name="Porcentual 2 16 6 2 2" xfId="26767"/>
    <cellStyle name="Porcentual 2 16 6 2 3" xfId="26768"/>
    <cellStyle name="Porcentual 2 16 6 2 4" xfId="26769"/>
    <cellStyle name="Porcentual 2 16 6 2 5" xfId="26770"/>
    <cellStyle name="Porcentual 2 16 6 2 6" xfId="26771"/>
    <cellStyle name="Porcentual 2 16 6 2 7" xfId="26772"/>
    <cellStyle name="Porcentual 2 16 6 3" xfId="26773"/>
    <cellStyle name="Porcentual 2 16 6 4" xfId="26774"/>
    <cellStyle name="Porcentual 2 16 6 5" xfId="26775"/>
    <cellStyle name="Porcentual 2 16 6 6" xfId="26776"/>
    <cellStyle name="Porcentual 2 16 6 7" xfId="26777"/>
    <cellStyle name="Porcentual 2 16 6 8" xfId="26778"/>
    <cellStyle name="Porcentual 2 16 7" xfId="26779"/>
    <cellStyle name="Porcentual 2 16 7 2" xfId="26780"/>
    <cellStyle name="Porcentual 2 16 7 2 2" xfId="26781"/>
    <cellStyle name="Porcentual 2 16 7 2 3" xfId="26782"/>
    <cellStyle name="Porcentual 2 16 7 2 4" xfId="26783"/>
    <cellStyle name="Porcentual 2 16 7 2 5" xfId="26784"/>
    <cellStyle name="Porcentual 2 16 7 2 6" xfId="26785"/>
    <cellStyle name="Porcentual 2 16 7 2 7" xfId="26786"/>
    <cellStyle name="Porcentual 2 16 7 3" xfId="26787"/>
    <cellStyle name="Porcentual 2 16 7 4" xfId="26788"/>
    <cellStyle name="Porcentual 2 16 7 5" xfId="26789"/>
    <cellStyle name="Porcentual 2 16 7 6" xfId="26790"/>
    <cellStyle name="Porcentual 2 16 7 7" xfId="26791"/>
    <cellStyle name="Porcentual 2 16 7 8" xfId="26792"/>
    <cellStyle name="Porcentual 2 16 8" xfId="26793"/>
    <cellStyle name="Porcentual 2 16 8 2" xfId="26794"/>
    <cellStyle name="Porcentual 2 16 8 2 2" xfId="26795"/>
    <cellStyle name="Porcentual 2 16 8 2 3" xfId="26796"/>
    <cellStyle name="Porcentual 2 16 8 2 4" xfId="26797"/>
    <cellStyle name="Porcentual 2 16 8 2 5" xfId="26798"/>
    <cellStyle name="Porcentual 2 16 8 2 6" xfId="26799"/>
    <cellStyle name="Porcentual 2 16 8 2 7" xfId="26800"/>
    <cellStyle name="Porcentual 2 16 8 3" xfId="26801"/>
    <cellStyle name="Porcentual 2 16 8 4" xfId="26802"/>
    <cellStyle name="Porcentual 2 16 8 5" xfId="26803"/>
    <cellStyle name="Porcentual 2 16 8 6" xfId="26804"/>
    <cellStyle name="Porcentual 2 16 8 7" xfId="26805"/>
    <cellStyle name="Porcentual 2 16 8 8" xfId="26806"/>
    <cellStyle name="Porcentual 2 16 9" xfId="26807"/>
    <cellStyle name="Porcentual 2 16 9 2" xfId="26808"/>
    <cellStyle name="Porcentual 2 16 9 2 2" xfId="26809"/>
    <cellStyle name="Porcentual 2 16 9 2 3" xfId="26810"/>
    <cellStyle name="Porcentual 2 16 9 2 4" xfId="26811"/>
    <cellStyle name="Porcentual 2 16 9 2 5" xfId="26812"/>
    <cellStyle name="Porcentual 2 16 9 2 6" xfId="26813"/>
    <cellStyle name="Porcentual 2 16 9 2 7" xfId="26814"/>
    <cellStyle name="Porcentual 2 16 9 3" xfId="26815"/>
    <cellStyle name="Porcentual 2 16 9 4" xfId="26816"/>
    <cellStyle name="Porcentual 2 16 9 5" xfId="26817"/>
    <cellStyle name="Porcentual 2 16 9 6" xfId="26818"/>
    <cellStyle name="Porcentual 2 16 9 7" xfId="26819"/>
    <cellStyle name="Porcentual 2 16 9 8" xfId="26820"/>
    <cellStyle name="Porcentual 2 17" xfId="40177"/>
    <cellStyle name="Porcentual 2 17 2" xfId="40178"/>
    <cellStyle name="Porcentual 2 18" xfId="40179"/>
    <cellStyle name="Porcentual 2 19" xfId="40180"/>
    <cellStyle name="Porcentual 2 2" xfId="11165"/>
    <cellStyle name="Porcentual 2 2 2" xfId="26821"/>
    <cellStyle name="Porcentual 2 2 2 2" xfId="40182"/>
    <cellStyle name="Porcentual 2 2 2 3" xfId="40181"/>
    <cellStyle name="Porcentual 2 2 3" xfId="26822"/>
    <cellStyle name="Porcentual 2 2 4" xfId="40183"/>
    <cellStyle name="Porcentual 2 3" xfId="26823"/>
    <cellStyle name="Porcentual 2 3 2" xfId="26824"/>
    <cellStyle name="Porcentual 2 3 2 2" xfId="40184"/>
    <cellStyle name="Porcentual 2 4" xfId="26825"/>
    <cellStyle name="Porcentual 2 4 10" xfId="26826"/>
    <cellStyle name="Porcentual 2 4 10 2" xfId="26827"/>
    <cellStyle name="Porcentual 2 4 10 2 2" xfId="26828"/>
    <cellStyle name="Porcentual 2 4 10 2 3" xfId="26829"/>
    <cellStyle name="Porcentual 2 4 10 2 4" xfId="26830"/>
    <cellStyle name="Porcentual 2 4 10 2 5" xfId="26831"/>
    <cellStyle name="Porcentual 2 4 10 2 6" xfId="26832"/>
    <cellStyle name="Porcentual 2 4 10 2 7" xfId="26833"/>
    <cellStyle name="Porcentual 2 4 10 3" xfId="26834"/>
    <cellStyle name="Porcentual 2 4 10 4" xfId="26835"/>
    <cellStyle name="Porcentual 2 4 10 5" xfId="26836"/>
    <cellStyle name="Porcentual 2 4 10 6" xfId="26837"/>
    <cellStyle name="Porcentual 2 4 10 7" xfId="26838"/>
    <cellStyle name="Porcentual 2 4 10 8" xfId="26839"/>
    <cellStyle name="Porcentual 2 4 11" xfId="26840"/>
    <cellStyle name="Porcentual 2 4 11 2" xfId="26841"/>
    <cellStyle name="Porcentual 2 4 11 2 2" xfId="26842"/>
    <cellStyle name="Porcentual 2 4 11 2 3" xfId="26843"/>
    <cellStyle name="Porcentual 2 4 11 2 4" xfId="26844"/>
    <cellStyle name="Porcentual 2 4 11 2 5" xfId="26845"/>
    <cellStyle name="Porcentual 2 4 11 2 6" xfId="26846"/>
    <cellStyle name="Porcentual 2 4 11 2 7" xfId="26847"/>
    <cellStyle name="Porcentual 2 4 11 3" xfId="26848"/>
    <cellStyle name="Porcentual 2 4 11 4" xfId="26849"/>
    <cellStyle name="Porcentual 2 4 11 5" xfId="26850"/>
    <cellStyle name="Porcentual 2 4 11 6" xfId="26851"/>
    <cellStyle name="Porcentual 2 4 11 7" xfId="26852"/>
    <cellStyle name="Porcentual 2 4 11 8" xfId="26853"/>
    <cellStyle name="Porcentual 2 4 12" xfId="26854"/>
    <cellStyle name="Porcentual 2 4 12 2" xfId="26855"/>
    <cellStyle name="Porcentual 2 4 12 2 2" xfId="26856"/>
    <cellStyle name="Porcentual 2 4 12 2 3" xfId="26857"/>
    <cellStyle name="Porcentual 2 4 12 2 4" xfId="26858"/>
    <cellStyle name="Porcentual 2 4 12 2 5" xfId="26859"/>
    <cellStyle name="Porcentual 2 4 12 2 6" xfId="26860"/>
    <cellStyle name="Porcentual 2 4 12 2 7" xfId="26861"/>
    <cellStyle name="Porcentual 2 4 12 3" xfId="26862"/>
    <cellStyle name="Porcentual 2 4 12 4" xfId="26863"/>
    <cellStyle name="Porcentual 2 4 12 5" xfId="26864"/>
    <cellStyle name="Porcentual 2 4 12 6" xfId="26865"/>
    <cellStyle name="Porcentual 2 4 12 7" xfId="26866"/>
    <cellStyle name="Porcentual 2 4 12 8" xfId="26867"/>
    <cellStyle name="Porcentual 2 4 13" xfId="26868"/>
    <cellStyle name="Porcentual 2 4 13 2" xfId="26869"/>
    <cellStyle name="Porcentual 2 4 13 2 2" xfId="26870"/>
    <cellStyle name="Porcentual 2 4 13 2 3" xfId="26871"/>
    <cellStyle name="Porcentual 2 4 13 2 4" xfId="26872"/>
    <cellStyle name="Porcentual 2 4 13 2 5" xfId="26873"/>
    <cellStyle name="Porcentual 2 4 13 2 6" xfId="26874"/>
    <cellStyle name="Porcentual 2 4 13 2 7" xfId="26875"/>
    <cellStyle name="Porcentual 2 4 13 3" xfId="26876"/>
    <cellStyle name="Porcentual 2 4 13 4" xfId="26877"/>
    <cellStyle name="Porcentual 2 4 13 5" xfId="26878"/>
    <cellStyle name="Porcentual 2 4 13 6" xfId="26879"/>
    <cellStyle name="Porcentual 2 4 13 7" xfId="26880"/>
    <cellStyle name="Porcentual 2 4 13 8" xfId="26881"/>
    <cellStyle name="Porcentual 2 4 14" xfId="26882"/>
    <cellStyle name="Porcentual 2 4 14 2" xfId="26883"/>
    <cellStyle name="Porcentual 2 4 14 2 2" xfId="26884"/>
    <cellStyle name="Porcentual 2 4 14 2 3" xfId="26885"/>
    <cellStyle name="Porcentual 2 4 14 2 4" xfId="26886"/>
    <cellStyle name="Porcentual 2 4 14 2 5" xfId="26887"/>
    <cellStyle name="Porcentual 2 4 14 2 6" xfId="26888"/>
    <cellStyle name="Porcentual 2 4 14 2 7" xfId="26889"/>
    <cellStyle name="Porcentual 2 4 14 3" xfId="26890"/>
    <cellStyle name="Porcentual 2 4 14 4" xfId="26891"/>
    <cellStyle name="Porcentual 2 4 14 5" xfId="26892"/>
    <cellStyle name="Porcentual 2 4 14 6" xfId="26893"/>
    <cellStyle name="Porcentual 2 4 14 7" xfId="26894"/>
    <cellStyle name="Porcentual 2 4 14 8" xfId="26895"/>
    <cellStyle name="Porcentual 2 4 15" xfId="26896"/>
    <cellStyle name="Porcentual 2 4 15 2" xfId="26897"/>
    <cellStyle name="Porcentual 2 4 15 2 2" xfId="26898"/>
    <cellStyle name="Porcentual 2 4 15 2 3" xfId="26899"/>
    <cellStyle name="Porcentual 2 4 15 2 4" xfId="26900"/>
    <cellStyle name="Porcentual 2 4 15 2 5" xfId="26901"/>
    <cellStyle name="Porcentual 2 4 15 2 6" xfId="26902"/>
    <cellStyle name="Porcentual 2 4 15 2 7" xfId="26903"/>
    <cellStyle name="Porcentual 2 4 15 3" xfId="26904"/>
    <cellStyle name="Porcentual 2 4 15 4" xfId="26905"/>
    <cellStyle name="Porcentual 2 4 15 5" xfId="26906"/>
    <cellStyle name="Porcentual 2 4 15 6" xfId="26907"/>
    <cellStyle name="Porcentual 2 4 15 7" xfId="26908"/>
    <cellStyle name="Porcentual 2 4 15 8" xfId="26909"/>
    <cellStyle name="Porcentual 2 4 16" xfId="26910"/>
    <cellStyle name="Porcentual 2 4 16 2" xfId="26911"/>
    <cellStyle name="Porcentual 2 4 16 3" xfId="26912"/>
    <cellStyle name="Porcentual 2 4 16 4" xfId="26913"/>
    <cellStyle name="Porcentual 2 4 16 5" xfId="26914"/>
    <cellStyle name="Porcentual 2 4 16 6" xfId="26915"/>
    <cellStyle name="Porcentual 2 4 16 7" xfId="26916"/>
    <cellStyle name="Porcentual 2 4 17" xfId="26917"/>
    <cellStyle name="Porcentual 2 4 17 2" xfId="26918"/>
    <cellStyle name="Porcentual 2 4 17 3" xfId="26919"/>
    <cellStyle name="Porcentual 2 4 17 4" xfId="26920"/>
    <cellStyle name="Porcentual 2 4 17 5" xfId="26921"/>
    <cellStyle name="Porcentual 2 4 17 6" xfId="26922"/>
    <cellStyle name="Porcentual 2 4 17 7" xfId="26923"/>
    <cellStyle name="Porcentual 2 4 18" xfId="26924"/>
    <cellStyle name="Porcentual 2 4 18 2" xfId="26925"/>
    <cellStyle name="Porcentual 2 4 18 3" xfId="26926"/>
    <cellStyle name="Porcentual 2 4 18 4" xfId="26927"/>
    <cellStyle name="Porcentual 2 4 18 5" xfId="26928"/>
    <cellStyle name="Porcentual 2 4 18 6" xfId="26929"/>
    <cellStyle name="Porcentual 2 4 18 7" xfId="26930"/>
    <cellStyle name="Porcentual 2 4 19" xfId="26931"/>
    <cellStyle name="Porcentual 2 4 19 2" xfId="26932"/>
    <cellStyle name="Porcentual 2 4 19 3" xfId="26933"/>
    <cellStyle name="Porcentual 2 4 19 4" xfId="26934"/>
    <cellStyle name="Porcentual 2 4 19 5" xfId="26935"/>
    <cellStyle name="Porcentual 2 4 19 6" xfId="26936"/>
    <cellStyle name="Porcentual 2 4 19 7" xfId="26937"/>
    <cellStyle name="Porcentual 2 4 2" xfId="26938"/>
    <cellStyle name="Porcentual 2 4 2 2" xfId="26939"/>
    <cellStyle name="Porcentual 2 4 2 2 2" xfId="26940"/>
    <cellStyle name="Porcentual 2 4 2 2 3" xfId="26941"/>
    <cellStyle name="Porcentual 2 4 2 2 4" xfId="26942"/>
    <cellStyle name="Porcentual 2 4 2 2 5" xfId="26943"/>
    <cellStyle name="Porcentual 2 4 2 2 6" xfId="26944"/>
    <cellStyle name="Porcentual 2 4 2 2 7" xfId="26945"/>
    <cellStyle name="Porcentual 2 4 2 3" xfId="26946"/>
    <cellStyle name="Porcentual 2 4 2 4" xfId="26947"/>
    <cellStyle name="Porcentual 2 4 2 5" xfId="26948"/>
    <cellStyle name="Porcentual 2 4 2 6" xfId="26949"/>
    <cellStyle name="Porcentual 2 4 2 7" xfId="26950"/>
    <cellStyle name="Porcentual 2 4 2 8" xfId="26951"/>
    <cellStyle name="Porcentual 2 4 20" xfId="26952"/>
    <cellStyle name="Porcentual 2 4 20 2" xfId="26953"/>
    <cellStyle name="Porcentual 2 4 20 3" xfId="26954"/>
    <cellStyle name="Porcentual 2 4 20 4" xfId="26955"/>
    <cellStyle name="Porcentual 2 4 20 5" xfId="26956"/>
    <cellStyle name="Porcentual 2 4 20 6" xfId="26957"/>
    <cellStyle name="Porcentual 2 4 20 7" xfId="26958"/>
    <cellStyle name="Porcentual 2 4 21" xfId="26959"/>
    <cellStyle name="Porcentual 2 4 21 2" xfId="26960"/>
    <cellStyle name="Porcentual 2 4 21 3" xfId="26961"/>
    <cellStyle name="Porcentual 2 4 21 4" xfId="26962"/>
    <cellStyle name="Porcentual 2 4 21 5" xfId="26963"/>
    <cellStyle name="Porcentual 2 4 21 6" xfId="26964"/>
    <cellStyle name="Porcentual 2 4 21 7" xfId="26965"/>
    <cellStyle name="Porcentual 2 4 22" xfId="26966"/>
    <cellStyle name="Porcentual 2 4 22 2" xfId="26967"/>
    <cellStyle name="Porcentual 2 4 22 3" xfId="26968"/>
    <cellStyle name="Porcentual 2 4 22 4" xfId="26969"/>
    <cellStyle name="Porcentual 2 4 22 5" xfId="26970"/>
    <cellStyle name="Porcentual 2 4 22 6" xfId="26971"/>
    <cellStyle name="Porcentual 2 4 22 7" xfId="26972"/>
    <cellStyle name="Porcentual 2 4 23" xfId="26973"/>
    <cellStyle name="Porcentual 2 4 23 2" xfId="26974"/>
    <cellStyle name="Porcentual 2 4 23 3" xfId="26975"/>
    <cellStyle name="Porcentual 2 4 23 4" xfId="26976"/>
    <cellStyle name="Porcentual 2 4 23 5" xfId="26977"/>
    <cellStyle name="Porcentual 2 4 23 6" xfId="26978"/>
    <cellStyle name="Porcentual 2 4 23 7" xfId="26979"/>
    <cellStyle name="Porcentual 2 4 24" xfId="26980"/>
    <cellStyle name="Porcentual 2 4 24 2" xfId="26981"/>
    <cellStyle name="Porcentual 2 4 24 3" xfId="26982"/>
    <cellStyle name="Porcentual 2 4 24 4" xfId="26983"/>
    <cellStyle name="Porcentual 2 4 24 5" xfId="26984"/>
    <cellStyle name="Porcentual 2 4 24 6" xfId="26985"/>
    <cellStyle name="Porcentual 2 4 24 7" xfId="26986"/>
    <cellStyle name="Porcentual 2 4 25" xfId="26987"/>
    <cellStyle name="Porcentual 2 4 25 2" xfId="26988"/>
    <cellStyle name="Porcentual 2 4 25 3" xfId="26989"/>
    <cellStyle name="Porcentual 2 4 25 4" xfId="26990"/>
    <cellStyle name="Porcentual 2 4 25 5" xfId="26991"/>
    <cellStyle name="Porcentual 2 4 25 6" xfId="26992"/>
    <cellStyle name="Porcentual 2 4 25 7" xfId="26993"/>
    <cellStyle name="Porcentual 2 4 26" xfId="26994"/>
    <cellStyle name="Porcentual 2 4 26 2" xfId="26995"/>
    <cellStyle name="Porcentual 2 4 26 3" xfId="26996"/>
    <cellStyle name="Porcentual 2 4 26 4" xfId="26997"/>
    <cellStyle name="Porcentual 2 4 26 5" xfId="26998"/>
    <cellStyle name="Porcentual 2 4 26 6" xfId="26999"/>
    <cellStyle name="Porcentual 2 4 26 7" xfId="27000"/>
    <cellStyle name="Porcentual 2 4 27" xfId="27001"/>
    <cellStyle name="Porcentual 2 4 27 2" xfId="27002"/>
    <cellStyle name="Porcentual 2 4 27 3" xfId="27003"/>
    <cellStyle name="Porcentual 2 4 27 4" xfId="27004"/>
    <cellStyle name="Porcentual 2 4 27 5" xfId="27005"/>
    <cellStyle name="Porcentual 2 4 27 6" xfId="27006"/>
    <cellStyle name="Porcentual 2 4 27 7" xfId="27007"/>
    <cellStyle name="Porcentual 2 4 28" xfId="27008"/>
    <cellStyle name="Porcentual 2 4 28 2" xfId="27009"/>
    <cellStyle name="Porcentual 2 4 28 3" xfId="27010"/>
    <cellStyle name="Porcentual 2 4 28 4" xfId="27011"/>
    <cellStyle name="Porcentual 2 4 28 5" xfId="27012"/>
    <cellStyle name="Porcentual 2 4 28 6" xfId="27013"/>
    <cellStyle name="Porcentual 2 4 28 7" xfId="27014"/>
    <cellStyle name="Porcentual 2 4 29" xfId="27015"/>
    <cellStyle name="Porcentual 2 4 29 2" xfId="27016"/>
    <cellStyle name="Porcentual 2 4 29 3" xfId="27017"/>
    <cellStyle name="Porcentual 2 4 29 4" xfId="27018"/>
    <cellStyle name="Porcentual 2 4 29 5" xfId="27019"/>
    <cellStyle name="Porcentual 2 4 29 6" xfId="27020"/>
    <cellStyle name="Porcentual 2 4 29 7" xfId="27021"/>
    <cellStyle name="Porcentual 2 4 3" xfId="27022"/>
    <cellStyle name="Porcentual 2 4 3 2" xfId="27023"/>
    <cellStyle name="Porcentual 2 4 3 2 2" xfId="27024"/>
    <cellStyle name="Porcentual 2 4 3 2 3" xfId="27025"/>
    <cellStyle name="Porcentual 2 4 3 2 4" xfId="27026"/>
    <cellStyle name="Porcentual 2 4 3 2 5" xfId="27027"/>
    <cellStyle name="Porcentual 2 4 3 2 6" xfId="27028"/>
    <cellStyle name="Porcentual 2 4 3 2 7" xfId="27029"/>
    <cellStyle name="Porcentual 2 4 3 3" xfId="27030"/>
    <cellStyle name="Porcentual 2 4 3 4" xfId="27031"/>
    <cellStyle name="Porcentual 2 4 3 5" xfId="27032"/>
    <cellStyle name="Porcentual 2 4 3 6" xfId="27033"/>
    <cellStyle name="Porcentual 2 4 3 7" xfId="27034"/>
    <cellStyle name="Porcentual 2 4 3 8" xfId="27035"/>
    <cellStyle name="Porcentual 2 4 30" xfId="27036"/>
    <cellStyle name="Porcentual 2 4 30 2" xfId="27037"/>
    <cellStyle name="Porcentual 2 4 30 3" xfId="27038"/>
    <cellStyle name="Porcentual 2 4 30 4" xfId="27039"/>
    <cellStyle name="Porcentual 2 4 30 5" xfId="27040"/>
    <cellStyle name="Porcentual 2 4 30 6" xfId="27041"/>
    <cellStyle name="Porcentual 2 4 30 7" xfId="27042"/>
    <cellStyle name="Porcentual 2 4 31" xfId="27043"/>
    <cellStyle name="Porcentual 2 4 31 2" xfId="27044"/>
    <cellStyle name="Porcentual 2 4 31 3" xfId="27045"/>
    <cellStyle name="Porcentual 2 4 31 4" xfId="27046"/>
    <cellStyle name="Porcentual 2 4 31 5" xfId="27047"/>
    <cellStyle name="Porcentual 2 4 31 6" xfId="27048"/>
    <cellStyle name="Porcentual 2 4 31 7" xfId="27049"/>
    <cellStyle name="Porcentual 2 4 32" xfId="27050"/>
    <cellStyle name="Porcentual 2 4 32 2" xfId="27051"/>
    <cellStyle name="Porcentual 2 4 32 3" xfId="27052"/>
    <cellStyle name="Porcentual 2 4 32 4" xfId="27053"/>
    <cellStyle name="Porcentual 2 4 32 5" xfId="27054"/>
    <cellStyle name="Porcentual 2 4 32 6" xfId="27055"/>
    <cellStyle name="Porcentual 2 4 32 7" xfId="27056"/>
    <cellStyle name="Porcentual 2 4 33" xfId="27057"/>
    <cellStyle name="Porcentual 2 4 33 2" xfId="27058"/>
    <cellStyle name="Porcentual 2 4 33 3" xfId="27059"/>
    <cellStyle name="Porcentual 2 4 33 4" xfId="27060"/>
    <cellStyle name="Porcentual 2 4 33 5" xfId="27061"/>
    <cellStyle name="Porcentual 2 4 33 6" xfId="27062"/>
    <cellStyle name="Porcentual 2 4 33 7" xfId="27063"/>
    <cellStyle name="Porcentual 2 4 34" xfId="27064"/>
    <cellStyle name="Porcentual 2 4 34 2" xfId="27065"/>
    <cellStyle name="Porcentual 2 4 34 3" xfId="27066"/>
    <cellStyle name="Porcentual 2 4 34 4" xfId="27067"/>
    <cellStyle name="Porcentual 2 4 34 5" xfId="27068"/>
    <cellStyle name="Porcentual 2 4 34 6" xfId="27069"/>
    <cellStyle name="Porcentual 2 4 34 7" xfId="27070"/>
    <cellStyle name="Porcentual 2 4 35" xfId="27071"/>
    <cellStyle name="Porcentual 2 4 35 2" xfId="27072"/>
    <cellStyle name="Porcentual 2 4 35 3" xfId="27073"/>
    <cellStyle name="Porcentual 2 4 35 4" xfId="27074"/>
    <cellStyle name="Porcentual 2 4 35 5" xfId="27075"/>
    <cellStyle name="Porcentual 2 4 35 6" xfId="27076"/>
    <cellStyle name="Porcentual 2 4 35 7" xfId="27077"/>
    <cellStyle name="Porcentual 2 4 36" xfId="27078"/>
    <cellStyle name="Porcentual 2 4 37" xfId="27079"/>
    <cellStyle name="Porcentual 2 4 38" xfId="27080"/>
    <cellStyle name="Porcentual 2 4 39" xfId="27081"/>
    <cellStyle name="Porcentual 2 4 4" xfId="27082"/>
    <cellStyle name="Porcentual 2 4 4 2" xfId="27083"/>
    <cellStyle name="Porcentual 2 4 4 2 2" xfId="27084"/>
    <cellStyle name="Porcentual 2 4 4 2 3" xfId="27085"/>
    <cellStyle name="Porcentual 2 4 4 2 4" xfId="27086"/>
    <cellStyle name="Porcentual 2 4 4 2 5" xfId="27087"/>
    <cellStyle name="Porcentual 2 4 4 2 6" xfId="27088"/>
    <cellStyle name="Porcentual 2 4 4 2 7" xfId="27089"/>
    <cellStyle name="Porcentual 2 4 4 3" xfId="27090"/>
    <cellStyle name="Porcentual 2 4 4 4" xfId="27091"/>
    <cellStyle name="Porcentual 2 4 4 5" xfId="27092"/>
    <cellStyle name="Porcentual 2 4 4 6" xfId="27093"/>
    <cellStyle name="Porcentual 2 4 4 7" xfId="27094"/>
    <cellStyle name="Porcentual 2 4 4 8" xfId="27095"/>
    <cellStyle name="Porcentual 2 4 40" xfId="27096"/>
    <cellStyle name="Porcentual 2 4 41" xfId="27097"/>
    <cellStyle name="Porcentual 2 4 42" xfId="27098"/>
    <cellStyle name="Porcentual 2 4 5" xfId="27099"/>
    <cellStyle name="Porcentual 2 4 5 2" xfId="27100"/>
    <cellStyle name="Porcentual 2 4 5 2 2" xfId="27101"/>
    <cellStyle name="Porcentual 2 4 5 2 3" xfId="27102"/>
    <cellStyle name="Porcentual 2 4 5 2 4" xfId="27103"/>
    <cellStyle name="Porcentual 2 4 5 2 5" xfId="27104"/>
    <cellStyle name="Porcentual 2 4 5 2 6" xfId="27105"/>
    <cellStyle name="Porcentual 2 4 5 2 7" xfId="27106"/>
    <cellStyle name="Porcentual 2 4 5 3" xfId="27107"/>
    <cellStyle name="Porcentual 2 4 5 4" xfId="27108"/>
    <cellStyle name="Porcentual 2 4 5 5" xfId="27109"/>
    <cellStyle name="Porcentual 2 4 5 6" xfId="27110"/>
    <cellStyle name="Porcentual 2 4 5 7" xfId="27111"/>
    <cellStyle name="Porcentual 2 4 5 8" xfId="27112"/>
    <cellStyle name="Porcentual 2 4 6" xfId="27113"/>
    <cellStyle name="Porcentual 2 4 6 2" xfId="27114"/>
    <cellStyle name="Porcentual 2 4 6 2 2" xfId="27115"/>
    <cellStyle name="Porcentual 2 4 6 2 3" xfId="27116"/>
    <cellStyle name="Porcentual 2 4 6 2 4" xfId="27117"/>
    <cellStyle name="Porcentual 2 4 6 2 5" xfId="27118"/>
    <cellStyle name="Porcentual 2 4 6 2 6" xfId="27119"/>
    <cellStyle name="Porcentual 2 4 6 2 7" xfId="27120"/>
    <cellStyle name="Porcentual 2 4 6 3" xfId="27121"/>
    <cellStyle name="Porcentual 2 4 6 4" xfId="27122"/>
    <cellStyle name="Porcentual 2 4 6 5" xfId="27123"/>
    <cellStyle name="Porcentual 2 4 6 6" xfId="27124"/>
    <cellStyle name="Porcentual 2 4 6 7" xfId="27125"/>
    <cellStyle name="Porcentual 2 4 6 8" xfId="27126"/>
    <cellStyle name="Porcentual 2 4 7" xfId="27127"/>
    <cellStyle name="Porcentual 2 4 7 2" xfId="27128"/>
    <cellStyle name="Porcentual 2 4 7 2 2" xfId="27129"/>
    <cellStyle name="Porcentual 2 4 7 2 3" xfId="27130"/>
    <cellStyle name="Porcentual 2 4 7 2 4" xfId="27131"/>
    <cellStyle name="Porcentual 2 4 7 2 5" xfId="27132"/>
    <cellStyle name="Porcentual 2 4 7 2 6" xfId="27133"/>
    <cellStyle name="Porcentual 2 4 7 2 7" xfId="27134"/>
    <cellStyle name="Porcentual 2 4 7 3" xfId="27135"/>
    <cellStyle name="Porcentual 2 4 7 4" xfId="27136"/>
    <cellStyle name="Porcentual 2 4 7 5" xfId="27137"/>
    <cellStyle name="Porcentual 2 4 7 6" xfId="27138"/>
    <cellStyle name="Porcentual 2 4 7 7" xfId="27139"/>
    <cellStyle name="Porcentual 2 4 7 8" xfId="27140"/>
    <cellStyle name="Porcentual 2 4 8" xfId="27141"/>
    <cellStyle name="Porcentual 2 4 8 2" xfId="27142"/>
    <cellStyle name="Porcentual 2 4 8 2 2" xfId="27143"/>
    <cellStyle name="Porcentual 2 4 8 2 3" xfId="27144"/>
    <cellStyle name="Porcentual 2 4 8 2 4" xfId="27145"/>
    <cellStyle name="Porcentual 2 4 8 2 5" xfId="27146"/>
    <cellStyle name="Porcentual 2 4 8 2 6" xfId="27147"/>
    <cellStyle name="Porcentual 2 4 8 2 7" xfId="27148"/>
    <cellStyle name="Porcentual 2 4 8 3" xfId="27149"/>
    <cellStyle name="Porcentual 2 4 8 4" xfId="27150"/>
    <cellStyle name="Porcentual 2 4 8 5" xfId="27151"/>
    <cellStyle name="Porcentual 2 4 8 6" xfId="27152"/>
    <cellStyle name="Porcentual 2 4 8 7" xfId="27153"/>
    <cellStyle name="Porcentual 2 4 8 8" xfId="27154"/>
    <cellStyle name="Porcentual 2 4 9" xfId="27155"/>
    <cellStyle name="Porcentual 2 4 9 2" xfId="27156"/>
    <cellStyle name="Porcentual 2 4 9 2 2" xfId="27157"/>
    <cellStyle name="Porcentual 2 4 9 2 3" xfId="27158"/>
    <cellStyle name="Porcentual 2 4 9 2 4" xfId="27159"/>
    <cellStyle name="Porcentual 2 4 9 2 5" xfId="27160"/>
    <cellStyle name="Porcentual 2 4 9 2 6" xfId="27161"/>
    <cellStyle name="Porcentual 2 4 9 2 7" xfId="27162"/>
    <cellStyle name="Porcentual 2 4 9 3" xfId="27163"/>
    <cellStyle name="Porcentual 2 4 9 4" xfId="27164"/>
    <cellStyle name="Porcentual 2 4 9 5" xfId="27165"/>
    <cellStyle name="Porcentual 2 4 9 6" xfId="27166"/>
    <cellStyle name="Porcentual 2 4 9 7" xfId="27167"/>
    <cellStyle name="Porcentual 2 4 9 8" xfId="27168"/>
    <cellStyle name="Porcentual 2 5" xfId="27169"/>
    <cellStyle name="Porcentual 2 5 10" xfId="27170"/>
    <cellStyle name="Porcentual 2 5 10 2" xfId="27171"/>
    <cellStyle name="Porcentual 2 5 10 2 2" xfId="27172"/>
    <cellStyle name="Porcentual 2 5 10 2 3" xfId="27173"/>
    <cellStyle name="Porcentual 2 5 10 2 4" xfId="27174"/>
    <cellStyle name="Porcentual 2 5 10 2 5" xfId="27175"/>
    <cellStyle name="Porcentual 2 5 10 2 6" xfId="27176"/>
    <cellStyle name="Porcentual 2 5 10 2 7" xfId="27177"/>
    <cellStyle name="Porcentual 2 5 10 3" xfId="27178"/>
    <cellStyle name="Porcentual 2 5 10 4" xfId="27179"/>
    <cellStyle name="Porcentual 2 5 10 5" xfId="27180"/>
    <cellStyle name="Porcentual 2 5 10 6" xfId="27181"/>
    <cellStyle name="Porcentual 2 5 10 7" xfId="27182"/>
    <cellStyle name="Porcentual 2 5 10 8" xfId="27183"/>
    <cellStyle name="Porcentual 2 5 11" xfId="27184"/>
    <cellStyle name="Porcentual 2 5 11 2" xfId="27185"/>
    <cellStyle name="Porcentual 2 5 11 2 2" xfId="27186"/>
    <cellStyle name="Porcentual 2 5 11 2 3" xfId="27187"/>
    <cellStyle name="Porcentual 2 5 11 2 4" xfId="27188"/>
    <cellStyle name="Porcentual 2 5 11 2 5" xfId="27189"/>
    <cellStyle name="Porcentual 2 5 11 2 6" xfId="27190"/>
    <cellStyle name="Porcentual 2 5 11 2 7" xfId="27191"/>
    <cellStyle name="Porcentual 2 5 11 3" xfId="27192"/>
    <cellStyle name="Porcentual 2 5 11 4" xfId="27193"/>
    <cellStyle name="Porcentual 2 5 11 5" xfId="27194"/>
    <cellStyle name="Porcentual 2 5 11 6" xfId="27195"/>
    <cellStyle name="Porcentual 2 5 11 7" xfId="27196"/>
    <cellStyle name="Porcentual 2 5 11 8" xfId="27197"/>
    <cellStyle name="Porcentual 2 5 12" xfId="27198"/>
    <cellStyle name="Porcentual 2 5 12 2" xfId="27199"/>
    <cellStyle name="Porcentual 2 5 12 2 2" xfId="27200"/>
    <cellStyle name="Porcentual 2 5 12 2 3" xfId="27201"/>
    <cellStyle name="Porcentual 2 5 12 2 4" xfId="27202"/>
    <cellStyle name="Porcentual 2 5 12 2 5" xfId="27203"/>
    <cellStyle name="Porcentual 2 5 12 2 6" xfId="27204"/>
    <cellStyle name="Porcentual 2 5 12 2 7" xfId="27205"/>
    <cellStyle name="Porcentual 2 5 12 3" xfId="27206"/>
    <cellStyle name="Porcentual 2 5 12 4" xfId="27207"/>
    <cellStyle name="Porcentual 2 5 12 5" xfId="27208"/>
    <cellStyle name="Porcentual 2 5 12 6" xfId="27209"/>
    <cellStyle name="Porcentual 2 5 12 7" xfId="27210"/>
    <cellStyle name="Porcentual 2 5 12 8" xfId="27211"/>
    <cellStyle name="Porcentual 2 5 13" xfId="27212"/>
    <cellStyle name="Porcentual 2 5 13 2" xfId="27213"/>
    <cellStyle name="Porcentual 2 5 13 2 2" xfId="27214"/>
    <cellStyle name="Porcentual 2 5 13 2 3" xfId="27215"/>
    <cellStyle name="Porcentual 2 5 13 2 4" xfId="27216"/>
    <cellStyle name="Porcentual 2 5 13 2 5" xfId="27217"/>
    <cellStyle name="Porcentual 2 5 13 2 6" xfId="27218"/>
    <cellStyle name="Porcentual 2 5 13 2 7" xfId="27219"/>
    <cellStyle name="Porcentual 2 5 13 3" xfId="27220"/>
    <cellStyle name="Porcentual 2 5 13 4" xfId="27221"/>
    <cellStyle name="Porcentual 2 5 13 5" xfId="27222"/>
    <cellStyle name="Porcentual 2 5 13 6" xfId="27223"/>
    <cellStyle name="Porcentual 2 5 13 7" xfId="27224"/>
    <cellStyle name="Porcentual 2 5 13 8" xfId="27225"/>
    <cellStyle name="Porcentual 2 5 14" xfId="27226"/>
    <cellStyle name="Porcentual 2 5 14 2" xfId="27227"/>
    <cellStyle name="Porcentual 2 5 14 2 2" xfId="27228"/>
    <cellStyle name="Porcentual 2 5 14 2 3" xfId="27229"/>
    <cellStyle name="Porcentual 2 5 14 2 4" xfId="27230"/>
    <cellStyle name="Porcentual 2 5 14 2 5" xfId="27231"/>
    <cellStyle name="Porcentual 2 5 14 2 6" xfId="27232"/>
    <cellStyle name="Porcentual 2 5 14 2 7" xfId="27233"/>
    <cellStyle name="Porcentual 2 5 14 3" xfId="27234"/>
    <cellStyle name="Porcentual 2 5 14 4" xfId="27235"/>
    <cellStyle name="Porcentual 2 5 14 5" xfId="27236"/>
    <cellStyle name="Porcentual 2 5 14 6" xfId="27237"/>
    <cellStyle name="Porcentual 2 5 14 7" xfId="27238"/>
    <cellStyle name="Porcentual 2 5 14 8" xfId="27239"/>
    <cellStyle name="Porcentual 2 5 15" xfId="27240"/>
    <cellStyle name="Porcentual 2 5 15 2" xfId="27241"/>
    <cellStyle name="Porcentual 2 5 15 2 2" xfId="27242"/>
    <cellStyle name="Porcentual 2 5 15 2 3" xfId="27243"/>
    <cellStyle name="Porcentual 2 5 15 2 4" xfId="27244"/>
    <cellStyle name="Porcentual 2 5 15 2 5" xfId="27245"/>
    <cellStyle name="Porcentual 2 5 15 2 6" xfId="27246"/>
    <cellStyle name="Porcentual 2 5 15 2 7" xfId="27247"/>
    <cellStyle name="Porcentual 2 5 15 3" xfId="27248"/>
    <cellStyle name="Porcentual 2 5 15 4" xfId="27249"/>
    <cellStyle name="Porcentual 2 5 15 5" xfId="27250"/>
    <cellStyle name="Porcentual 2 5 15 6" xfId="27251"/>
    <cellStyle name="Porcentual 2 5 15 7" xfId="27252"/>
    <cellStyle name="Porcentual 2 5 15 8" xfId="27253"/>
    <cellStyle name="Porcentual 2 5 16" xfId="27254"/>
    <cellStyle name="Porcentual 2 5 16 2" xfId="27255"/>
    <cellStyle name="Porcentual 2 5 16 3" xfId="27256"/>
    <cellStyle name="Porcentual 2 5 16 4" xfId="27257"/>
    <cellStyle name="Porcentual 2 5 16 5" xfId="27258"/>
    <cellStyle name="Porcentual 2 5 16 6" xfId="27259"/>
    <cellStyle name="Porcentual 2 5 16 7" xfId="27260"/>
    <cellStyle name="Porcentual 2 5 17" xfId="27261"/>
    <cellStyle name="Porcentual 2 5 17 2" xfId="27262"/>
    <cellStyle name="Porcentual 2 5 17 3" xfId="27263"/>
    <cellStyle name="Porcentual 2 5 17 4" xfId="27264"/>
    <cellStyle name="Porcentual 2 5 17 5" xfId="27265"/>
    <cellStyle name="Porcentual 2 5 17 6" xfId="27266"/>
    <cellStyle name="Porcentual 2 5 17 7" xfId="27267"/>
    <cellStyle name="Porcentual 2 5 18" xfId="27268"/>
    <cellStyle name="Porcentual 2 5 18 2" xfId="27269"/>
    <cellStyle name="Porcentual 2 5 18 3" xfId="27270"/>
    <cellStyle name="Porcentual 2 5 18 4" xfId="27271"/>
    <cellStyle name="Porcentual 2 5 18 5" xfId="27272"/>
    <cellStyle name="Porcentual 2 5 18 6" xfId="27273"/>
    <cellStyle name="Porcentual 2 5 18 7" xfId="27274"/>
    <cellStyle name="Porcentual 2 5 19" xfId="27275"/>
    <cellStyle name="Porcentual 2 5 19 2" xfId="27276"/>
    <cellStyle name="Porcentual 2 5 19 3" xfId="27277"/>
    <cellStyle name="Porcentual 2 5 19 4" xfId="27278"/>
    <cellStyle name="Porcentual 2 5 19 5" xfId="27279"/>
    <cellStyle name="Porcentual 2 5 19 6" xfId="27280"/>
    <cellStyle name="Porcentual 2 5 19 7" xfId="27281"/>
    <cellStyle name="Porcentual 2 5 2" xfId="27282"/>
    <cellStyle name="Porcentual 2 5 2 2" xfId="27283"/>
    <cellStyle name="Porcentual 2 5 2 2 2" xfId="27284"/>
    <cellStyle name="Porcentual 2 5 2 2 3" xfId="27285"/>
    <cellStyle name="Porcentual 2 5 2 2 4" xfId="27286"/>
    <cellStyle name="Porcentual 2 5 2 2 5" xfId="27287"/>
    <cellStyle name="Porcentual 2 5 2 2 6" xfId="27288"/>
    <cellStyle name="Porcentual 2 5 2 2 7" xfId="27289"/>
    <cellStyle name="Porcentual 2 5 2 3" xfId="27290"/>
    <cellStyle name="Porcentual 2 5 2 4" xfId="27291"/>
    <cellStyle name="Porcentual 2 5 2 5" xfId="27292"/>
    <cellStyle name="Porcentual 2 5 2 6" xfId="27293"/>
    <cellStyle name="Porcentual 2 5 2 7" xfId="27294"/>
    <cellStyle name="Porcentual 2 5 2 8" xfId="27295"/>
    <cellStyle name="Porcentual 2 5 20" xfId="27296"/>
    <cellStyle name="Porcentual 2 5 20 2" xfId="27297"/>
    <cellStyle name="Porcentual 2 5 20 3" xfId="27298"/>
    <cellStyle name="Porcentual 2 5 20 4" xfId="27299"/>
    <cellStyle name="Porcentual 2 5 20 5" xfId="27300"/>
    <cellStyle name="Porcentual 2 5 20 6" xfId="27301"/>
    <cellStyle name="Porcentual 2 5 20 7" xfId="27302"/>
    <cellStyle name="Porcentual 2 5 21" xfId="27303"/>
    <cellStyle name="Porcentual 2 5 21 2" xfId="27304"/>
    <cellStyle name="Porcentual 2 5 21 3" xfId="27305"/>
    <cellStyle name="Porcentual 2 5 21 4" xfId="27306"/>
    <cellStyle name="Porcentual 2 5 21 5" xfId="27307"/>
    <cellStyle name="Porcentual 2 5 21 6" xfId="27308"/>
    <cellStyle name="Porcentual 2 5 21 7" xfId="27309"/>
    <cellStyle name="Porcentual 2 5 22" xfId="27310"/>
    <cellStyle name="Porcentual 2 5 22 2" xfId="27311"/>
    <cellStyle name="Porcentual 2 5 22 3" xfId="27312"/>
    <cellStyle name="Porcentual 2 5 22 4" xfId="27313"/>
    <cellStyle name="Porcentual 2 5 22 5" xfId="27314"/>
    <cellStyle name="Porcentual 2 5 22 6" xfId="27315"/>
    <cellStyle name="Porcentual 2 5 22 7" xfId="27316"/>
    <cellStyle name="Porcentual 2 5 23" xfId="27317"/>
    <cellStyle name="Porcentual 2 5 23 2" xfId="27318"/>
    <cellStyle name="Porcentual 2 5 23 3" xfId="27319"/>
    <cellStyle name="Porcentual 2 5 23 4" xfId="27320"/>
    <cellStyle name="Porcentual 2 5 23 5" xfId="27321"/>
    <cellStyle name="Porcentual 2 5 23 6" xfId="27322"/>
    <cellStyle name="Porcentual 2 5 23 7" xfId="27323"/>
    <cellStyle name="Porcentual 2 5 24" xfId="27324"/>
    <cellStyle name="Porcentual 2 5 24 2" xfId="27325"/>
    <cellStyle name="Porcentual 2 5 24 3" xfId="27326"/>
    <cellStyle name="Porcentual 2 5 24 4" xfId="27327"/>
    <cellStyle name="Porcentual 2 5 24 5" xfId="27328"/>
    <cellStyle name="Porcentual 2 5 24 6" xfId="27329"/>
    <cellStyle name="Porcentual 2 5 24 7" xfId="27330"/>
    <cellStyle name="Porcentual 2 5 25" xfId="27331"/>
    <cellStyle name="Porcentual 2 5 25 2" xfId="27332"/>
    <cellStyle name="Porcentual 2 5 25 3" xfId="27333"/>
    <cellStyle name="Porcentual 2 5 25 4" xfId="27334"/>
    <cellStyle name="Porcentual 2 5 25 5" xfId="27335"/>
    <cellStyle name="Porcentual 2 5 25 6" xfId="27336"/>
    <cellStyle name="Porcentual 2 5 25 7" xfId="27337"/>
    <cellStyle name="Porcentual 2 5 26" xfId="27338"/>
    <cellStyle name="Porcentual 2 5 26 2" xfId="27339"/>
    <cellStyle name="Porcentual 2 5 26 3" xfId="27340"/>
    <cellStyle name="Porcentual 2 5 26 4" xfId="27341"/>
    <cellStyle name="Porcentual 2 5 26 5" xfId="27342"/>
    <cellStyle name="Porcentual 2 5 26 6" xfId="27343"/>
    <cellStyle name="Porcentual 2 5 26 7" xfId="27344"/>
    <cellStyle name="Porcentual 2 5 27" xfId="27345"/>
    <cellStyle name="Porcentual 2 5 27 2" xfId="27346"/>
    <cellStyle name="Porcentual 2 5 27 3" xfId="27347"/>
    <cellStyle name="Porcentual 2 5 27 4" xfId="27348"/>
    <cellStyle name="Porcentual 2 5 27 5" xfId="27349"/>
    <cellStyle name="Porcentual 2 5 27 6" xfId="27350"/>
    <cellStyle name="Porcentual 2 5 27 7" xfId="27351"/>
    <cellStyle name="Porcentual 2 5 28" xfId="27352"/>
    <cellStyle name="Porcentual 2 5 28 2" xfId="27353"/>
    <cellStyle name="Porcentual 2 5 28 3" xfId="27354"/>
    <cellStyle name="Porcentual 2 5 28 4" xfId="27355"/>
    <cellStyle name="Porcentual 2 5 28 5" xfId="27356"/>
    <cellStyle name="Porcentual 2 5 28 6" xfId="27357"/>
    <cellStyle name="Porcentual 2 5 28 7" xfId="27358"/>
    <cellStyle name="Porcentual 2 5 29" xfId="27359"/>
    <cellStyle name="Porcentual 2 5 29 2" xfId="27360"/>
    <cellStyle name="Porcentual 2 5 29 3" xfId="27361"/>
    <cellStyle name="Porcentual 2 5 29 4" xfId="27362"/>
    <cellStyle name="Porcentual 2 5 29 5" xfId="27363"/>
    <cellStyle name="Porcentual 2 5 29 6" xfId="27364"/>
    <cellStyle name="Porcentual 2 5 29 7" xfId="27365"/>
    <cellStyle name="Porcentual 2 5 3" xfId="27366"/>
    <cellStyle name="Porcentual 2 5 3 2" xfId="27367"/>
    <cellStyle name="Porcentual 2 5 3 2 2" xfId="27368"/>
    <cellStyle name="Porcentual 2 5 3 2 3" xfId="27369"/>
    <cellStyle name="Porcentual 2 5 3 2 4" xfId="27370"/>
    <cellStyle name="Porcentual 2 5 3 2 5" xfId="27371"/>
    <cellStyle name="Porcentual 2 5 3 2 6" xfId="27372"/>
    <cellStyle name="Porcentual 2 5 3 2 7" xfId="27373"/>
    <cellStyle name="Porcentual 2 5 3 3" xfId="27374"/>
    <cellStyle name="Porcentual 2 5 3 4" xfId="27375"/>
    <cellStyle name="Porcentual 2 5 3 5" xfId="27376"/>
    <cellStyle name="Porcentual 2 5 3 6" xfId="27377"/>
    <cellStyle name="Porcentual 2 5 3 7" xfId="27378"/>
    <cellStyle name="Porcentual 2 5 3 8" xfId="27379"/>
    <cellStyle name="Porcentual 2 5 30" xfId="27380"/>
    <cellStyle name="Porcentual 2 5 30 2" xfId="27381"/>
    <cellStyle name="Porcentual 2 5 30 3" xfId="27382"/>
    <cellStyle name="Porcentual 2 5 30 4" xfId="27383"/>
    <cellStyle name="Porcentual 2 5 30 5" xfId="27384"/>
    <cellStyle name="Porcentual 2 5 30 6" xfId="27385"/>
    <cellStyle name="Porcentual 2 5 30 7" xfId="27386"/>
    <cellStyle name="Porcentual 2 5 31" xfId="27387"/>
    <cellStyle name="Porcentual 2 5 31 2" xfId="27388"/>
    <cellStyle name="Porcentual 2 5 31 3" xfId="27389"/>
    <cellStyle name="Porcentual 2 5 31 4" xfId="27390"/>
    <cellStyle name="Porcentual 2 5 31 5" xfId="27391"/>
    <cellStyle name="Porcentual 2 5 31 6" xfId="27392"/>
    <cellStyle name="Porcentual 2 5 31 7" xfId="27393"/>
    <cellStyle name="Porcentual 2 5 32" xfId="27394"/>
    <cellStyle name="Porcentual 2 5 32 2" xfId="27395"/>
    <cellStyle name="Porcentual 2 5 32 3" xfId="27396"/>
    <cellStyle name="Porcentual 2 5 32 4" xfId="27397"/>
    <cellStyle name="Porcentual 2 5 32 5" xfId="27398"/>
    <cellStyle name="Porcentual 2 5 32 6" xfId="27399"/>
    <cellStyle name="Porcentual 2 5 32 7" xfId="27400"/>
    <cellStyle name="Porcentual 2 5 33" xfId="27401"/>
    <cellStyle name="Porcentual 2 5 33 2" xfId="27402"/>
    <cellStyle name="Porcentual 2 5 33 3" xfId="27403"/>
    <cellStyle name="Porcentual 2 5 33 4" xfId="27404"/>
    <cellStyle name="Porcentual 2 5 33 5" xfId="27405"/>
    <cellStyle name="Porcentual 2 5 33 6" xfId="27406"/>
    <cellStyle name="Porcentual 2 5 33 7" xfId="27407"/>
    <cellStyle name="Porcentual 2 5 34" xfId="27408"/>
    <cellStyle name="Porcentual 2 5 34 2" xfId="27409"/>
    <cellStyle name="Porcentual 2 5 34 3" xfId="27410"/>
    <cellStyle name="Porcentual 2 5 34 4" xfId="27411"/>
    <cellStyle name="Porcentual 2 5 34 5" xfId="27412"/>
    <cellStyle name="Porcentual 2 5 34 6" xfId="27413"/>
    <cellStyle name="Porcentual 2 5 34 7" xfId="27414"/>
    <cellStyle name="Porcentual 2 5 35" xfId="27415"/>
    <cellStyle name="Porcentual 2 5 35 2" xfId="27416"/>
    <cellStyle name="Porcentual 2 5 35 3" xfId="27417"/>
    <cellStyle name="Porcentual 2 5 35 4" xfId="27418"/>
    <cellStyle name="Porcentual 2 5 35 5" xfId="27419"/>
    <cellStyle name="Porcentual 2 5 35 6" xfId="27420"/>
    <cellStyle name="Porcentual 2 5 35 7" xfId="27421"/>
    <cellStyle name="Porcentual 2 5 36" xfId="27422"/>
    <cellStyle name="Porcentual 2 5 37" xfId="27423"/>
    <cellStyle name="Porcentual 2 5 38" xfId="27424"/>
    <cellStyle name="Porcentual 2 5 39" xfId="27425"/>
    <cellStyle name="Porcentual 2 5 4" xfId="27426"/>
    <cellStyle name="Porcentual 2 5 4 2" xfId="27427"/>
    <cellStyle name="Porcentual 2 5 4 2 2" xfId="27428"/>
    <cellStyle name="Porcentual 2 5 4 2 3" xfId="27429"/>
    <cellStyle name="Porcentual 2 5 4 2 4" xfId="27430"/>
    <cellStyle name="Porcentual 2 5 4 2 5" xfId="27431"/>
    <cellStyle name="Porcentual 2 5 4 2 6" xfId="27432"/>
    <cellStyle name="Porcentual 2 5 4 2 7" xfId="27433"/>
    <cellStyle name="Porcentual 2 5 4 3" xfId="27434"/>
    <cellStyle name="Porcentual 2 5 4 4" xfId="27435"/>
    <cellStyle name="Porcentual 2 5 4 5" xfId="27436"/>
    <cellStyle name="Porcentual 2 5 4 6" xfId="27437"/>
    <cellStyle name="Porcentual 2 5 4 7" xfId="27438"/>
    <cellStyle name="Porcentual 2 5 4 8" xfId="27439"/>
    <cellStyle name="Porcentual 2 5 40" xfId="27440"/>
    <cellStyle name="Porcentual 2 5 41" xfId="27441"/>
    <cellStyle name="Porcentual 2 5 5" xfId="27442"/>
    <cellStyle name="Porcentual 2 5 5 2" xfId="27443"/>
    <cellStyle name="Porcentual 2 5 5 2 2" xfId="27444"/>
    <cellStyle name="Porcentual 2 5 5 2 3" xfId="27445"/>
    <cellStyle name="Porcentual 2 5 5 2 4" xfId="27446"/>
    <cellStyle name="Porcentual 2 5 5 2 5" xfId="27447"/>
    <cellStyle name="Porcentual 2 5 5 2 6" xfId="27448"/>
    <cellStyle name="Porcentual 2 5 5 2 7" xfId="27449"/>
    <cellStyle name="Porcentual 2 5 5 3" xfId="27450"/>
    <cellStyle name="Porcentual 2 5 5 4" xfId="27451"/>
    <cellStyle name="Porcentual 2 5 5 5" xfId="27452"/>
    <cellStyle name="Porcentual 2 5 5 6" xfId="27453"/>
    <cellStyle name="Porcentual 2 5 5 7" xfId="27454"/>
    <cellStyle name="Porcentual 2 5 5 8" xfId="27455"/>
    <cellStyle name="Porcentual 2 5 6" xfId="27456"/>
    <cellStyle name="Porcentual 2 5 6 2" xfId="27457"/>
    <cellStyle name="Porcentual 2 5 6 2 2" xfId="27458"/>
    <cellStyle name="Porcentual 2 5 6 2 3" xfId="27459"/>
    <cellStyle name="Porcentual 2 5 6 2 4" xfId="27460"/>
    <cellStyle name="Porcentual 2 5 6 2 5" xfId="27461"/>
    <cellStyle name="Porcentual 2 5 6 2 6" xfId="27462"/>
    <cellStyle name="Porcentual 2 5 6 2 7" xfId="27463"/>
    <cellStyle name="Porcentual 2 5 6 3" xfId="27464"/>
    <cellStyle name="Porcentual 2 5 6 4" xfId="27465"/>
    <cellStyle name="Porcentual 2 5 6 5" xfId="27466"/>
    <cellStyle name="Porcentual 2 5 6 6" xfId="27467"/>
    <cellStyle name="Porcentual 2 5 6 7" xfId="27468"/>
    <cellStyle name="Porcentual 2 5 6 8" xfId="27469"/>
    <cellStyle name="Porcentual 2 5 7" xfId="27470"/>
    <cellStyle name="Porcentual 2 5 7 2" xfId="27471"/>
    <cellStyle name="Porcentual 2 5 7 2 2" xfId="27472"/>
    <cellStyle name="Porcentual 2 5 7 2 3" xfId="27473"/>
    <cellStyle name="Porcentual 2 5 7 2 4" xfId="27474"/>
    <cellStyle name="Porcentual 2 5 7 2 5" xfId="27475"/>
    <cellStyle name="Porcentual 2 5 7 2 6" xfId="27476"/>
    <cellStyle name="Porcentual 2 5 7 2 7" xfId="27477"/>
    <cellStyle name="Porcentual 2 5 7 3" xfId="27478"/>
    <cellStyle name="Porcentual 2 5 7 4" xfId="27479"/>
    <cellStyle name="Porcentual 2 5 7 5" xfId="27480"/>
    <cellStyle name="Porcentual 2 5 7 6" xfId="27481"/>
    <cellStyle name="Porcentual 2 5 7 7" xfId="27482"/>
    <cellStyle name="Porcentual 2 5 7 8" xfId="27483"/>
    <cellStyle name="Porcentual 2 5 8" xfId="27484"/>
    <cellStyle name="Porcentual 2 5 8 2" xfId="27485"/>
    <cellStyle name="Porcentual 2 5 8 2 2" xfId="27486"/>
    <cellStyle name="Porcentual 2 5 8 2 3" xfId="27487"/>
    <cellStyle name="Porcentual 2 5 8 2 4" xfId="27488"/>
    <cellStyle name="Porcentual 2 5 8 2 5" xfId="27489"/>
    <cellStyle name="Porcentual 2 5 8 2 6" xfId="27490"/>
    <cellStyle name="Porcentual 2 5 8 2 7" xfId="27491"/>
    <cellStyle name="Porcentual 2 5 8 3" xfId="27492"/>
    <cellStyle name="Porcentual 2 5 8 4" xfId="27493"/>
    <cellStyle name="Porcentual 2 5 8 5" xfId="27494"/>
    <cellStyle name="Porcentual 2 5 8 6" xfId="27495"/>
    <cellStyle name="Porcentual 2 5 8 7" xfId="27496"/>
    <cellStyle name="Porcentual 2 5 8 8" xfId="27497"/>
    <cellStyle name="Porcentual 2 5 9" xfId="27498"/>
    <cellStyle name="Porcentual 2 5 9 2" xfId="27499"/>
    <cellStyle name="Porcentual 2 5 9 2 2" xfId="27500"/>
    <cellStyle name="Porcentual 2 5 9 2 3" xfId="27501"/>
    <cellStyle name="Porcentual 2 5 9 2 4" xfId="27502"/>
    <cellStyle name="Porcentual 2 5 9 2 5" xfId="27503"/>
    <cellStyle name="Porcentual 2 5 9 2 6" xfId="27504"/>
    <cellStyle name="Porcentual 2 5 9 2 7" xfId="27505"/>
    <cellStyle name="Porcentual 2 5 9 3" xfId="27506"/>
    <cellStyle name="Porcentual 2 5 9 4" xfId="27507"/>
    <cellStyle name="Porcentual 2 5 9 5" xfId="27508"/>
    <cellStyle name="Porcentual 2 5 9 6" xfId="27509"/>
    <cellStyle name="Porcentual 2 5 9 7" xfId="27510"/>
    <cellStyle name="Porcentual 2 5 9 8" xfId="27511"/>
    <cellStyle name="Porcentual 2 6" xfId="27512"/>
    <cellStyle name="Porcentual 2 6 10" xfId="27513"/>
    <cellStyle name="Porcentual 2 6 10 2" xfId="27514"/>
    <cellStyle name="Porcentual 2 6 10 2 2" xfId="27515"/>
    <cellStyle name="Porcentual 2 6 10 2 3" xfId="27516"/>
    <cellStyle name="Porcentual 2 6 10 2 4" xfId="27517"/>
    <cellStyle name="Porcentual 2 6 10 2 5" xfId="27518"/>
    <cellStyle name="Porcentual 2 6 10 2 6" xfId="27519"/>
    <cellStyle name="Porcentual 2 6 10 2 7" xfId="27520"/>
    <cellStyle name="Porcentual 2 6 10 3" xfId="27521"/>
    <cellStyle name="Porcentual 2 6 10 4" xfId="27522"/>
    <cellStyle name="Porcentual 2 6 10 5" xfId="27523"/>
    <cellStyle name="Porcentual 2 6 10 6" xfId="27524"/>
    <cellStyle name="Porcentual 2 6 10 7" xfId="27525"/>
    <cellStyle name="Porcentual 2 6 10 8" xfId="27526"/>
    <cellStyle name="Porcentual 2 6 11" xfId="27527"/>
    <cellStyle name="Porcentual 2 6 11 2" xfId="27528"/>
    <cellStyle name="Porcentual 2 6 11 2 2" xfId="27529"/>
    <cellStyle name="Porcentual 2 6 11 2 3" xfId="27530"/>
    <cellStyle name="Porcentual 2 6 11 2 4" xfId="27531"/>
    <cellStyle name="Porcentual 2 6 11 2 5" xfId="27532"/>
    <cellStyle name="Porcentual 2 6 11 2 6" xfId="27533"/>
    <cellStyle name="Porcentual 2 6 11 2 7" xfId="27534"/>
    <cellStyle name="Porcentual 2 6 11 3" xfId="27535"/>
    <cellStyle name="Porcentual 2 6 11 4" xfId="27536"/>
    <cellStyle name="Porcentual 2 6 11 5" xfId="27537"/>
    <cellStyle name="Porcentual 2 6 11 6" xfId="27538"/>
    <cellStyle name="Porcentual 2 6 11 7" xfId="27539"/>
    <cellStyle name="Porcentual 2 6 11 8" xfId="27540"/>
    <cellStyle name="Porcentual 2 6 12" xfId="27541"/>
    <cellStyle name="Porcentual 2 6 12 2" xfId="27542"/>
    <cellStyle name="Porcentual 2 6 12 2 2" xfId="27543"/>
    <cellStyle name="Porcentual 2 6 12 2 3" xfId="27544"/>
    <cellStyle name="Porcentual 2 6 12 2 4" xfId="27545"/>
    <cellStyle name="Porcentual 2 6 12 2 5" xfId="27546"/>
    <cellStyle name="Porcentual 2 6 12 2 6" xfId="27547"/>
    <cellStyle name="Porcentual 2 6 12 2 7" xfId="27548"/>
    <cellStyle name="Porcentual 2 6 12 3" xfId="27549"/>
    <cellStyle name="Porcentual 2 6 12 4" xfId="27550"/>
    <cellStyle name="Porcentual 2 6 12 5" xfId="27551"/>
    <cellStyle name="Porcentual 2 6 12 6" xfId="27552"/>
    <cellStyle name="Porcentual 2 6 12 7" xfId="27553"/>
    <cellStyle name="Porcentual 2 6 12 8" xfId="27554"/>
    <cellStyle name="Porcentual 2 6 13" xfId="27555"/>
    <cellStyle name="Porcentual 2 6 13 2" xfId="27556"/>
    <cellStyle name="Porcentual 2 6 13 2 2" xfId="27557"/>
    <cellStyle name="Porcentual 2 6 13 2 3" xfId="27558"/>
    <cellStyle name="Porcentual 2 6 13 2 4" xfId="27559"/>
    <cellStyle name="Porcentual 2 6 13 2 5" xfId="27560"/>
    <cellStyle name="Porcentual 2 6 13 2 6" xfId="27561"/>
    <cellStyle name="Porcentual 2 6 13 2 7" xfId="27562"/>
    <cellStyle name="Porcentual 2 6 13 3" xfId="27563"/>
    <cellStyle name="Porcentual 2 6 13 4" xfId="27564"/>
    <cellStyle name="Porcentual 2 6 13 5" xfId="27565"/>
    <cellStyle name="Porcentual 2 6 13 6" xfId="27566"/>
    <cellStyle name="Porcentual 2 6 13 7" xfId="27567"/>
    <cellStyle name="Porcentual 2 6 13 8" xfId="27568"/>
    <cellStyle name="Porcentual 2 6 14" xfId="27569"/>
    <cellStyle name="Porcentual 2 6 14 2" xfId="27570"/>
    <cellStyle name="Porcentual 2 6 14 2 2" xfId="27571"/>
    <cellStyle name="Porcentual 2 6 14 2 3" xfId="27572"/>
    <cellStyle name="Porcentual 2 6 14 2 4" xfId="27573"/>
    <cellStyle name="Porcentual 2 6 14 2 5" xfId="27574"/>
    <cellStyle name="Porcentual 2 6 14 2 6" xfId="27575"/>
    <cellStyle name="Porcentual 2 6 14 2 7" xfId="27576"/>
    <cellStyle name="Porcentual 2 6 14 3" xfId="27577"/>
    <cellStyle name="Porcentual 2 6 14 4" xfId="27578"/>
    <cellStyle name="Porcentual 2 6 14 5" xfId="27579"/>
    <cellStyle name="Porcentual 2 6 14 6" xfId="27580"/>
    <cellStyle name="Porcentual 2 6 14 7" xfId="27581"/>
    <cellStyle name="Porcentual 2 6 14 8" xfId="27582"/>
    <cellStyle name="Porcentual 2 6 15" xfId="27583"/>
    <cellStyle name="Porcentual 2 6 15 2" xfId="27584"/>
    <cellStyle name="Porcentual 2 6 15 2 2" xfId="27585"/>
    <cellStyle name="Porcentual 2 6 15 2 3" xfId="27586"/>
    <cellStyle name="Porcentual 2 6 15 2 4" xfId="27587"/>
    <cellStyle name="Porcentual 2 6 15 2 5" xfId="27588"/>
    <cellStyle name="Porcentual 2 6 15 2 6" xfId="27589"/>
    <cellStyle name="Porcentual 2 6 15 2 7" xfId="27590"/>
    <cellStyle name="Porcentual 2 6 15 3" xfId="27591"/>
    <cellStyle name="Porcentual 2 6 15 4" xfId="27592"/>
    <cellStyle name="Porcentual 2 6 15 5" xfId="27593"/>
    <cellStyle name="Porcentual 2 6 15 6" xfId="27594"/>
    <cellStyle name="Porcentual 2 6 15 7" xfId="27595"/>
    <cellStyle name="Porcentual 2 6 15 8" xfId="27596"/>
    <cellStyle name="Porcentual 2 6 16" xfId="27597"/>
    <cellStyle name="Porcentual 2 6 16 2" xfId="27598"/>
    <cellStyle name="Porcentual 2 6 16 3" xfId="27599"/>
    <cellStyle name="Porcentual 2 6 16 4" xfId="27600"/>
    <cellStyle name="Porcentual 2 6 16 5" xfId="27601"/>
    <cellStyle name="Porcentual 2 6 16 6" xfId="27602"/>
    <cellStyle name="Porcentual 2 6 16 7" xfId="27603"/>
    <cellStyle name="Porcentual 2 6 17" xfId="27604"/>
    <cellStyle name="Porcentual 2 6 17 2" xfId="27605"/>
    <cellStyle name="Porcentual 2 6 17 3" xfId="27606"/>
    <cellStyle name="Porcentual 2 6 17 4" xfId="27607"/>
    <cellStyle name="Porcentual 2 6 17 5" xfId="27608"/>
    <cellStyle name="Porcentual 2 6 17 6" xfId="27609"/>
    <cellStyle name="Porcentual 2 6 17 7" xfId="27610"/>
    <cellStyle name="Porcentual 2 6 18" xfId="27611"/>
    <cellStyle name="Porcentual 2 6 18 2" xfId="27612"/>
    <cellStyle name="Porcentual 2 6 18 3" xfId="27613"/>
    <cellStyle name="Porcentual 2 6 18 4" xfId="27614"/>
    <cellStyle name="Porcentual 2 6 18 5" xfId="27615"/>
    <cellStyle name="Porcentual 2 6 18 6" xfId="27616"/>
    <cellStyle name="Porcentual 2 6 18 7" xfId="27617"/>
    <cellStyle name="Porcentual 2 6 19" xfId="27618"/>
    <cellStyle name="Porcentual 2 6 19 2" xfId="27619"/>
    <cellStyle name="Porcentual 2 6 19 3" xfId="27620"/>
    <cellStyle name="Porcentual 2 6 19 4" xfId="27621"/>
    <cellStyle name="Porcentual 2 6 19 5" xfId="27622"/>
    <cellStyle name="Porcentual 2 6 19 6" xfId="27623"/>
    <cellStyle name="Porcentual 2 6 19 7" xfId="27624"/>
    <cellStyle name="Porcentual 2 6 2" xfId="27625"/>
    <cellStyle name="Porcentual 2 6 2 2" xfId="27626"/>
    <cellStyle name="Porcentual 2 6 2 2 2" xfId="27627"/>
    <cellStyle name="Porcentual 2 6 2 2 3" xfId="27628"/>
    <cellStyle name="Porcentual 2 6 2 2 4" xfId="27629"/>
    <cellStyle name="Porcentual 2 6 2 2 5" xfId="27630"/>
    <cellStyle name="Porcentual 2 6 2 2 6" xfId="27631"/>
    <cellStyle name="Porcentual 2 6 2 2 7" xfId="27632"/>
    <cellStyle name="Porcentual 2 6 2 3" xfId="27633"/>
    <cellStyle name="Porcentual 2 6 2 4" xfId="27634"/>
    <cellStyle name="Porcentual 2 6 2 5" xfId="27635"/>
    <cellStyle name="Porcentual 2 6 2 6" xfId="27636"/>
    <cellStyle name="Porcentual 2 6 2 7" xfId="27637"/>
    <cellStyle name="Porcentual 2 6 2 8" xfId="27638"/>
    <cellStyle name="Porcentual 2 6 20" xfId="27639"/>
    <cellStyle name="Porcentual 2 6 20 2" xfId="27640"/>
    <cellStyle name="Porcentual 2 6 20 3" xfId="27641"/>
    <cellStyle name="Porcentual 2 6 20 4" xfId="27642"/>
    <cellStyle name="Porcentual 2 6 20 5" xfId="27643"/>
    <cellStyle name="Porcentual 2 6 20 6" xfId="27644"/>
    <cellStyle name="Porcentual 2 6 20 7" xfId="27645"/>
    <cellStyle name="Porcentual 2 6 21" xfId="27646"/>
    <cellStyle name="Porcentual 2 6 21 2" xfId="27647"/>
    <cellStyle name="Porcentual 2 6 21 3" xfId="27648"/>
    <cellStyle name="Porcentual 2 6 21 4" xfId="27649"/>
    <cellStyle name="Porcentual 2 6 21 5" xfId="27650"/>
    <cellStyle name="Porcentual 2 6 21 6" xfId="27651"/>
    <cellStyle name="Porcentual 2 6 21 7" xfId="27652"/>
    <cellStyle name="Porcentual 2 6 22" xfId="27653"/>
    <cellStyle name="Porcentual 2 6 22 2" xfId="27654"/>
    <cellStyle name="Porcentual 2 6 22 3" xfId="27655"/>
    <cellStyle name="Porcentual 2 6 22 4" xfId="27656"/>
    <cellStyle name="Porcentual 2 6 22 5" xfId="27657"/>
    <cellStyle name="Porcentual 2 6 22 6" xfId="27658"/>
    <cellStyle name="Porcentual 2 6 22 7" xfId="27659"/>
    <cellStyle name="Porcentual 2 6 23" xfId="27660"/>
    <cellStyle name="Porcentual 2 6 23 2" xfId="27661"/>
    <cellStyle name="Porcentual 2 6 23 3" xfId="27662"/>
    <cellStyle name="Porcentual 2 6 23 4" xfId="27663"/>
    <cellStyle name="Porcentual 2 6 23 5" xfId="27664"/>
    <cellStyle name="Porcentual 2 6 23 6" xfId="27665"/>
    <cellStyle name="Porcentual 2 6 23 7" xfId="27666"/>
    <cellStyle name="Porcentual 2 6 24" xfId="27667"/>
    <cellStyle name="Porcentual 2 6 24 2" xfId="27668"/>
    <cellStyle name="Porcentual 2 6 24 3" xfId="27669"/>
    <cellStyle name="Porcentual 2 6 24 4" xfId="27670"/>
    <cellStyle name="Porcentual 2 6 24 5" xfId="27671"/>
    <cellStyle name="Porcentual 2 6 24 6" xfId="27672"/>
    <cellStyle name="Porcentual 2 6 24 7" xfId="27673"/>
    <cellStyle name="Porcentual 2 6 25" xfId="27674"/>
    <cellStyle name="Porcentual 2 6 25 2" xfId="27675"/>
    <cellStyle name="Porcentual 2 6 25 3" xfId="27676"/>
    <cellStyle name="Porcentual 2 6 25 4" xfId="27677"/>
    <cellStyle name="Porcentual 2 6 25 5" xfId="27678"/>
    <cellStyle name="Porcentual 2 6 25 6" xfId="27679"/>
    <cellStyle name="Porcentual 2 6 25 7" xfId="27680"/>
    <cellStyle name="Porcentual 2 6 26" xfId="27681"/>
    <cellStyle name="Porcentual 2 6 26 2" xfId="27682"/>
    <cellStyle name="Porcentual 2 6 26 3" xfId="27683"/>
    <cellStyle name="Porcentual 2 6 26 4" xfId="27684"/>
    <cellStyle name="Porcentual 2 6 26 5" xfId="27685"/>
    <cellStyle name="Porcentual 2 6 26 6" xfId="27686"/>
    <cellStyle name="Porcentual 2 6 26 7" xfId="27687"/>
    <cellStyle name="Porcentual 2 6 27" xfId="27688"/>
    <cellStyle name="Porcentual 2 6 27 2" xfId="27689"/>
    <cellStyle name="Porcentual 2 6 27 3" xfId="27690"/>
    <cellStyle name="Porcentual 2 6 27 4" xfId="27691"/>
    <cellStyle name="Porcentual 2 6 27 5" xfId="27692"/>
    <cellStyle name="Porcentual 2 6 27 6" xfId="27693"/>
    <cellStyle name="Porcentual 2 6 27 7" xfId="27694"/>
    <cellStyle name="Porcentual 2 6 28" xfId="27695"/>
    <cellStyle name="Porcentual 2 6 28 2" xfId="27696"/>
    <cellStyle name="Porcentual 2 6 28 3" xfId="27697"/>
    <cellStyle name="Porcentual 2 6 28 4" xfId="27698"/>
    <cellStyle name="Porcentual 2 6 28 5" xfId="27699"/>
    <cellStyle name="Porcentual 2 6 28 6" xfId="27700"/>
    <cellStyle name="Porcentual 2 6 28 7" xfId="27701"/>
    <cellStyle name="Porcentual 2 6 29" xfId="27702"/>
    <cellStyle name="Porcentual 2 6 29 2" xfId="27703"/>
    <cellStyle name="Porcentual 2 6 29 3" xfId="27704"/>
    <cellStyle name="Porcentual 2 6 29 4" xfId="27705"/>
    <cellStyle name="Porcentual 2 6 29 5" xfId="27706"/>
    <cellStyle name="Porcentual 2 6 29 6" xfId="27707"/>
    <cellStyle name="Porcentual 2 6 29 7" xfId="27708"/>
    <cellStyle name="Porcentual 2 6 3" xfId="27709"/>
    <cellStyle name="Porcentual 2 6 3 2" xfId="27710"/>
    <cellStyle name="Porcentual 2 6 3 2 2" xfId="27711"/>
    <cellStyle name="Porcentual 2 6 3 2 3" xfId="27712"/>
    <cellStyle name="Porcentual 2 6 3 2 4" xfId="27713"/>
    <cellStyle name="Porcentual 2 6 3 2 5" xfId="27714"/>
    <cellStyle name="Porcentual 2 6 3 2 6" xfId="27715"/>
    <cellStyle name="Porcentual 2 6 3 2 7" xfId="27716"/>
    <cellStyle name="Porcentual 2 6 3 3" xfId="27717"/>
    <cellStyle name="Porcentual 2 6 3 4" xfId="27718"/>
    <cellStyle name="Porcentual 2 6 3 5" xfId="27719"/>
    <cellStyle name="Porcentual 2 6 3 6" xfId="27720"/>
    <cellStyle name="Porcentual 2 6 3 7" xfId="27721"/>
    <cellStyle name="Porcentual 2 6 3 8" xfId="27722"/>
    <cellStyle name="Porcentual 2 6 30" xfId="27723"/>
    <cellStyle name="Porcentual 2 6 30 2" xfId="27724"/>
    <cellStyle name="Porcentual 2 6 30 3" xfId="27725"/>
    <cellStyle name="Porcentual 2 6 30 4" xfId="27726"/>
    <cellStyle name="Porcentual 2 6 30 5" xfId="27727"/>
    <cellStyle name="Porcentual 2 6 30 6" xfId="27728"/>
    <cellStyle name="Porcentual 2 6 30 7" xfId="27729"/>
    <cellStyle name="Porcentual 2 6 31" xfId="27730"/>
    <cellStyle name="Porcentual 2 6 31 2" xfId="27731"/>
    <cellStyle name="Porcentual 2 6 31 3" xfId="27732"/>
    <cellStyle name="Porcentual 2 6 31 4" xfId="27733"/>
    <cellStyle name="Porcentual 2 6 31 5" xfId="27734"/>
    <cellStyle name="Porcentual 2 6 31 6" xfId="27735"/>
    <cellStyle name="Porcentual 2 6 31 7" xfId="27736"/>
    <cellStyle name="Porcentual 2 6 32" xfId="27737"/>
    <cellStyle name="Porcentual 2 6 32 2" xfId="27738"/>
    <cellStyle name="Porcentual 2 6 32 3" xfId="27739"/>
    <cellStyle name="Porcentual 2 6 32 4" xfId="27740"/>
    <cellStyle name="Porcentual 2 6 32 5" xfId="27741"/>
    <cellStyle name="Porcentual 2 6 32 6" xfId="27742"/>
    <cellStyle name="Porcentual 2 6 32 7" xfId="27743"/>
    <cellStyle name="Porcentual 2 6 33" xfId="27744"/>
    <cellStyle name="Porcentual 2 6 33 2" xfId="27745"/>
    <cellStyle name="Porcentual 2 6 33 3" xfId="27746"/>
    <cellStyle name="Porcentual 2 6 33 4" xfId="27747"/>
    <cellStyle name="Porcentual 2 6 33 5" xfId="27748"/>
    <cellStyle name="Porcentual 2 6 33 6" xfId="27749"/>
    <cellStyle name="Porcentual 2 6 33 7" xfId="27750"/>
    <cellStyle name="Porcentual 2 6 34" xfId="27751"/>
    <cellStyle name="Porcentual 2 6 34 2" xfId="27752"/>
    <cellStyle name="Porcentual 2 6 34 3" xfId="27753"/>
    <cellStyle name="Porcentual 2 6 34 4" xfId="27754"/>
    <cellStyle name="Porcentual 2 6 34 5" xfId="27755"/>
    <cellStyle name="Porcentual 2 6 34 6" xfId="27756"/>
    <cellStyle name="Porcentual 2 6 34 7" xfId="27757"/>
    <cellStyle name="Porcentual 2 6 35" xfId="27758"/>
    <cellStyle name="Porcentual 2 6 35 2" xfId="27759"/>
    <cellStyle name="Porcentual 2 6 35 3" xfId="27760"/>
    <cellStyle name="Porcentual 2 6 35 4" xfId="27761"/>
    <cellStyle name="Porcentual 2 6 35 5" xfId="27762"/>
    <cellStyle name="Porcentual 2 6 35 6" xfId="27763"/>
    <cellStyle name="Porcentual 2 6 35 7" xfId="27764"/>
    <cellStyle name="Porcentual 2 6 36" xfId="27765"/>
    <cellStyle name="Porcentual 2 6 37" xfId="27766"/>
    <cellStyle name="Porcentual 2 6 38" xfId="27767"/>
    <cellStyle name="Porcentual 2 6 39" xfId="27768"/>
    <cellStyle name="Porcentual 2 6 4" xfId="27769"/>
    <cellStyle name="Porcentual 2 6 4 2" xfId="27770"/>
    <cellStyle name="Porcentual 2 6 4 2 2" xfId="27771"/>
    <cellStyle name="Porcentual 2 6 4 2 3" xfId="27772"/>
    <cellStyle name="Porcentual 2 6 4 2 4" xfId="27773"/>
    <cellStyle name="Porcentual 2 6 4 2 5" xfId="27774"/>
    <cellStyle name="Porcentual 2 6 4 2 6" xfId="27775"/>
    <cellStyle name="Porcentual 2 6 4 2 7" xfId="27776"/>
    <cellStyle name="Porcentual 2 6 4 3" xfId="27777"/>
    <cellStyle name="Porcentual 2 6 4 4" xfId="27778"/>
    <cellStyle name="Porcentual 2 6 4 5" xfId="27779"/>
    <cellStyle name="Porcentual 2 6 4 6" xfId="27780"/>
    <cellStyle name="Porcentual 2 6 4 7" xfId="27781"/>
    <cellStyle name="Porcentual 2 6 4 8" xfId="27782"/>
    <cellStyle name="Porcentual 2 6 40" xfId="27783"/>
    <cellStyle name="Porcentual 2 6 41" xfId="27784"/>
    <cellStyle name="Porcentual 2 6 5" xfId="27785"/>
    <cellStyle name="Porcentual 2 6 5 2" xfId="27786"/>
    <cellStyle name="Porcentual 2 6 5 2 2" xfId="27787"/>
    <cellStyle name="Porcentual 2 6 5 2 3" xfId="27788"/>
    <cellStyle name="Porcentual 2 6 5 2 4" xfId="27789"/>
    <cellStyle name="Porcentual 2 6 5 2 5" xfId="27790"/>
    <cellStyle name="Porcentual 2 6 5 2 6" xfId="27791"/>
    <cellStyle name="Porcentual 2 6 5 2 7" xfId="27792"/>
    <cellStyle name="Porcentual 2 6 5 3" xfId="27793"/>
    <cellStyle name="Porcentual 2 6 5 4" xfId="27794"/>
    <cellStyle name="Porcentual 2 6 5 5" xfId="27795"/>
    <cellStyle name="Porcentual 2 6 5 6" xfId="27796"/>
    <cellStyle name="Porcentual 2 6 5 7" xfId="27797"/>
    <cellStyle name="Porcentual 2 6 5 8" xfId="27798"/>
    <cellStyle name="Porcentual 2 6 6" xfId="27799"/>
    <cellStyle name="Porcentual 2 6 6 2" xfId="27800"/>
    <cellStyle name="Porcentual 2 6 6 2 2" xfId="27801"/>
    <cellStyle name="Porcentual 2 6 6 2 3" xfId="27802"/>
    <cellStyle name="Porcentual 2 6 6 2 4" xfId="27803"/>
    <cellStyle name="Porcentual 2 6 6 2 5" xfId="27804"/>
    <cellStyle name="Porcentual 2 6 6 2 6" xfId="27805"/>
    <cellStyle name="Porcentual 2 6 6 2 7" xfId="27806"/>
    <cellStyle name="Porcentual 2 6 6 3" xfId="27807"/>
    <cellStyle name="Porcentual 2 6 6 4" xfId="27808"/>
    <cellStyle name="Porcentual 2 6 6 5" xfId="27809"/>
    <cellStyle name="Porcentual 2 6 6 6" xfId="27810"/>
    <cellStyle name="Porcentual 2 6 6 7" xfId="27811"/>
    <cellStyle name="Porcentual 2 6 6 8" xfId="27812"/>
    <cellStyle name="Porcentual 2 6 7" xfId="27813"/>
    <cellStyle name="Porcentual 2 6 7 2" xfId="27814"/>
    <cellStyle name="Porcentual 2 6 7 2 2" xfId="27815"/>
    <cellStyle name="Porcentual 2 6 7 2 3" xfId="27816"/>
    <cellStyle name="Porcentual 2 6 7 2 4" xfId="27817"/>
    <cellStyle name="Porcentual 2 6 7 2 5" xfId="27818"/>
    <cellStyle name="Porcentual 2 6 7 2 6" xfId="27819"/>
    <cellStyle name="Porcentual 2 6 7 2 7" xfId="27820"/>
    <cellStyle name="Porcentual 2 6 7 3" xfId="27821"/>
    <cellStyle name="Porcentual 2 6 7 4" xfId="27822"/>
    <cellStyle name="Porcentual 2 6 7 5" xfId="27823"/>
    <cellStyle name="Porcentual 2 6 7 6" xfId="27824"/>
    <cellStyle name="Porcentual 2 6 7 7" xfId="27825"/>
    <cellStyle name="Porcentual 2 6 7 8" xfId="27826"/>
    <cellStyle name="Porcentual 2 6 8" xfId="27827"/>
    <cellStyle name="Porcentual 2 6 8 2" xfId="27828"/>
    <cellStyle name="Porcentual 2 6 8 2 2" xfId="27829"/>
    <cellStyle name="Porcentual 2 6 8 2 3" xfId="27830"/>
    <cellStyle name="Porcentual 2 6 8 2 4" xfId="27831"/>
    <cellStyle name="Porcentual 2 6 8 2 5" xfId="27832"/>
    <cellStyle name="Porcentual 2 6 8 2 6" xfId="27833"/>
    <cellStyle name="Porcentual 2 6 8 2 7" xfId="27834"/>
    <cellStyle name="Porcentual 2 6 8 3" xfId="27835"/>
    <cellStyle name="Porcentual 2 6 8 4" xfId="27836"/>
    <cellStyle name="Porcentual 2 6 8 5" xfId="27837"/>
    <cellStyle name="Porcentual 2 6 8 6" xfId="27838"/>
    <cellStyle name="Porcentual 2 6 8 7" xfId="27839"/>
    <cellStyle name="Porcentual 2 6 8 8" xfId="27840"/>
    <cellStyle name="Porcentual 2 6 9" xfId="27841"/>
    <cellStyle name="Porcentual 2 6 9 2" xfId="27842"/>
    <cellStyle name="Porcentual 2 6 9 2 2" xfId="27843"/>
    <cellStyle name="Porcentual 2 6 9 2 3" xfId="27844"/>
    <cellStyle name="Porcentual 2 6 9 2 4" xfId="27845"/>
    <cellStyle name="Porcentual 2 6 9 2 5" xfId="27846"/>
    <cellStyle name="Porcentual 2 6 9 2 6" xfId="27847"/>
    <cellStyle name="Porcentual 2 6 9 2 7" xfId="27848"/>
    <cellStyle name="Porcentual 2 6 9 3" xfId="27849"/>
    <cellStyle name="Porcentual 2 6 9 4" xfId="27850"/>
    <cellStyle name="Porcentual 2 6 9 5" xfId="27851"/>
    <cellStyle name="Porcentual 2 6 9 6" xfId="27852"/>
    <cellStyle name="Porcentual 2 6 9 7" xfId="27853"/>
    <cellStyle name="Porcentual 2 6 9 8" xfId="27854"/>
    <cellStyle name="Porcentual 2 7" xfId="27855"/>
    <cellStyle name="Porcentual 2 7 10" xfId="27856"/>
    <cellStyle name="Porcentual 2 7 10 2" xfId="27857"/>
    <cellStyle name="Porcentual 2 7 10 2 2" xfId="27858"/>
    <cellStyle name="Porcentual 2 7 10 2 3" xfId="27859"/>
    <cellStyle name="Porcentual 2 7 10 2 4" xfId="27860"/>
    <cellStyle name="Porcentual 2 7 10 2 5" xfId="27861"/>
    <cellStyle name="Porcentual 2 7 10 2 6" xfId="27862"/>
    <cellStyle name="Porcentual 2 7 10 2 7" xfId="27863"/>
    <cellStyle name="Porcentual 2 7 10 3" xfId="27864"/>
    <cellStyle name="Porcentual 2 7 10 4" xfId="27865"/>
    <cellStyle name="Porcentual 2 7 10 5" xfId="27866"/>
    <cellStyle name="Porcentual 2 7 10 6" xfId="27867"/>
    <cellStyle name="Porcentual 2 7 10 7" xfId="27868"/>
    <cellStyle name="Porcentual 2 7 10 8" xfId="27869"/>
    <cellStyle name="Porcentual 2 7 11" xfId="27870"/>
    <cellStyle name="Porcentual 2 7 11 2" xfId="27871"/>
    <cellStyle name="Porcentual 2 7 11 2 2" xfId="27872"/>
    <cellStyle name="Porcentual 2 7 11 2 3" xfId="27873"/>
    <cellStyle name="Porcentual 2 7 11 2 4" xfId="27874"/>
    <cellStyle name="Porcentual 2 7 11 2 5" xfId="27875"/>
    <cellStyle name="Porcentual 2 7 11 2 6" xfId="27876"/>
    <cellStyle name="Porcentual 2 7 11 2 7" xfId="27877"/>
    <cellStyle name="Porcentual 2 7 11 3" xfId="27878"/>
    <cellStyle name="Porcentual 2 7 11 4" xfId="27879"/>
    <cellStyle name="Porcentual 2 7 11 5" xfId="27880"/>
    <cellStyle name="Porcentual 2 7 11 6" xfId="27881"/>
    <cellStyle name="Porcentual 2 7 11 7" xfId="27882"/>
    <cellStyle name="Porcentual 2 7 11 8" xfId="27883"/>
    <cellStyle name="Porcentual 2 7 12" xfId="27884"/>
    <cellStyle name="Porcentual 2 7 12 2" xfId="27885"/>
    <cellStyle name="Porcentual 2 7 12 2 2" xfId="27886"/>
    <cellStyle name="Porcentual 2 7 12 2 3" xfId="27887"/>
    <cellStyle name="Porcentual 2 7 12 2 4" xfId="27888"/>
    <cellStyle name="Porcentual 2 7 12 2 5" xfId="27889"/>
    <cellStyle name="Porcentual 2 7 12 2 6" xfId="27890"/>
    <cellStyle name="Porcentual 2 7 12 2 7" xfId="27891"/>
    <cellStyle name="Porcentual 2 7 12 3" xfId="27892"/>
    <cellStyle name="Porcentual 2 7 12 4" xfId="27893"/>
    <cellStyle name="Porcentual 2 7 12 5" xfId="27894"/>
    <cellStyle name="Porcentual 2 7 12 6" xfId="27895"/>
    <cellStyle name="Porcentual 2 7 12 7" xfId="27896"/>
    <cellStyle name="Porcentual 2 7 12 8" xfId="27897"/>
    <cellStyle name="Porcentual 2 7 13" xfId="27898"/>
    <cellStyle name="Porcentual 2 7 13 2" xfId="27899"/>
    <cellStyle name="Porcentual 2 7 13 2 2" xfId="27900"/>
    <cellStyle name="Porcentual 2 7 13 2 3" xfId="27901"/>
    <cellStyle name="Porcentual 2 7 13 2 4" xfId="27902"/>
    <cellStyle name="Porcentual 2 7 13 2 5" xfId="27903"/>
    <cellStyle name="Porcentual 2 7 13 2 6" xfId="27904"/>
    <cellStyle name="Porcentual 2 7 13 2 7" xfId="27905"/>
    <cellStyle name="Porcentual 2 7 13 3" xfId="27906"/>
    <cellStyle name="Porcentual 2 7 13 4" xfId="27907"/>
    <cellStyle name="Porcentual 2 7 13 5" xfId="27908"/>
    <cellStyle name="Porcentual 2 7 13 6" xfId="27909"/>
    <cellStyle name="Porcentual 2 7 13 7" xfId="27910"/>
    <cellStyle name="Porcentual 2 7 13 8" xfId="27911"/>
    <cellStyle name="Porcentual 2 7 14" xfId="27912"/>
    <cellStyle name="Porcentual 2 7 14 2" xfId="27913"/>
    <cellStyle name="Porcentual 2 7 14 2 2" xfId="27914"/>
    <cellStyle name="Porcentual 2 7 14 2 3" xfId="27915"/>
    <cellStyle name="Porcentual 2 7 14 2 4" xfId="27916"/>
    <cellStyle name="Porcentual 2 7 14 2 5" xfId="27917"/>
    <cellStyle name="Porcentual 2 7 14 2 6" xfId="27918"/>
    <cellStyle name="Porcentual 2 7 14 2 7" xfId="27919"/>
    <cellStyle name="Porcentual 2 7 14 3" xfId="27920"/>
    <cellStyle name="Porcentual 2 7 14 4" xfId="27921"/>
    <cellStyle name="Porcentual 2 7 14 5" xfId="27922"/>
    <cellStyle name="Porcentual 2 7 14 6" xfId="27923"/>
    <cellStyle name="Porcentual 2 7 14 7" xfId="27924"/>
    <cellStyle name="Porcentual 2 7 14 8" xfId="27925"/>
    <cellStyle name="Porcentual 2 7 15" xfId="27926"/>
    <cellStyle name="Porcentual 2 7 15 2" xfId="27927"/>
    <cellStyle name="Porcentual 2 7 15 2 2" xfId="27928"/>
    <cellStyle name="Porcentual 2 7 15 2 3" xfId="27929"/>
    <cellStyle name="Porcentual 2 7 15 2 4" xfId="27930"/>
    <cellStyle name="Porcentual 2 7 15 2 5" xfId="27931"/>
    <cellStyle name="Porcentual 2 7 15 2 6" xfId="27932"/>
    <cellStyle name="Porcentual 2 7 15 2 7" xfId="27933"/>
    <cellStyle name="Porcentual 2 7 15 3" xfId="27934"/>
    <cellStyle name="Porcentual 2 7 15 4" xfId="27935"/>
    <cellStyle name="Porcentual 2 7 15 5" xfId="27936"/>
    <cellStyle name="Porcentual 2 7 15 6" xfId="27937"/>
    <cellStyle name="Porcentual 2 7 15 7" xfId="27938"/>
    <cellStyle name="Porcentual 2 7 15 8" xfId="27939"/>
    <cellStyle name="Porcentual 2 7 16" xfId="27940"/>
    <cellStyle name="Porcentual 2 7 16 2" xfId="27941"/>
    <cellStyle name="Porcentual 2 7 16 3" xfId="27942"/>
    <cellStyle name="Porcentual 2 7 16 4" xfId="27943"/>
    <cellStyle name="Porcentual 2 7 16 5" xfId="27944"/>
    <cellStyle name="Porcentual 2 7 16 6" xfId="27945"/>
    <cellStyle name="Porcentual 2 7 16 7" xfId="27946"/>
    <cellStyle name="Porcentual 2 7 17" xfId="27947"/>
    <cellStyle name="Porcentual 2 7 17 2" xfId="27948"/>
    <cellStyle name="Porcentual 2 7 17 3" xfId="27949"/>
    <cellStyle name="Porcentual 2 7 17 4" xfId="27950"/>
    <cellStyle name="Porcentual 2 7 17 5" xfId="27951"/>
    <cellStyle name="Porcentual 2 7 17 6" xfId="27952"/>
    <cellStyle name="Porcentual 2 7 17 7" xfId="27953"/>
    <cellStyle name="Porcentual 2 7 18" xfId="27954"/>
    <cellStyle name="Porcentual 2 7 18 2" xfId="27955"/>
    <cellStyle name="Porcentual 2 7 18 3" xfId="27956"/>
    <cellStyle name="Porcentual 2 7 18 4" xfId="27957"/>
    <cellStyle name="Porcentual 2 7 18 5" xfId="27958"/>
    <cellStyle name="Porcentual 2 7 18 6" xfId="27959"/>
    <cellStyle name="Porcentual 2 7 18 7" xfId="27960"/>
    <cellStyle name="Porcentual 2 7 19" xfId="27961"/>
    <cellStyle name="Porcentual 2 7 19 2" xfId="27962"/>
    <cellStyle name="Porcentual 2 7 19 3" xfId="27963"/>
    <cellStyle name="Porcentual 2 7 19 4" xfId="27964"/>
    <cellStyle name="Porcentual 2 7 19 5" xfId="27965"/>
    <cellStyle name="Porcentual 2 7 19 6" xfId="27966"/>
    <cellStyle name="Porcentual 2 7 19 7" xfId="27967"/>
    <cellStyle name="Porcentual 2 7 2" xfId="27968"/>
    <cellStyle name="Porcentual 2 7 2 2" xfId="27969"/>
    <cellStyle name="Porcentual 2 7 2 2 2" xfId="27970"/>
    <cellStyle name="Porcentual 2 7 2 2 3" xfId="27971"/>
    <cellStyle name="Porcentual 2 7 2 2 4" xfId="27972"/>
    <cellStyle name="Porcentual 2 7 2 2 5" xfId="27973"/>
    <cellStyle name="Porcentual 2 7 2 2 6" xfId="27974"/>
    <cellStyle name="Porcentual 2 7 2 2 7" xfId="27975"/>
    <cellStyle name="Porcentual 2 7 2 3" xfId="27976"/>
    <cellStyle name="Porcentual 2 7 2 4" xfId="27977"/>
    <cellStyle name="Porcentual 2 7 2 5" xfId="27978"/>
    <cellStyle name="Porcentual 2 7 2 6" xfId="27979"/>
    <cellStyle name="Porcentual 2 7 2 7" xfId="27980"/>
    <cellStyle name="Porcentual 2 7 2 8" xfId="27981"/>
    <cellStyle name="Porcentual 2 7 20" xfId="27982"/>
    <cellStyle name="Porcentual 2 7 20 2" xfId="27983"/>
    <cellStyle name="Porcentual 2 7 20 3" xfId="27984"/>
    <cellStyle name="Porcentual 2 7 20 4" xfId="27985"/>
    <cellStyle name="Porcentual 2 7 20 5" xfId="27986"/>
    <cellStyle name="Porcentual 2 7 20 6" xfId="27987"/>
    <cellStyle name="Porcentual 2 7 20 7" xfId="27988"/>
    <cellStyle name="Porcentual 2 7 21" xfId="27989"/>
    <cellStyle name="Porcentual 2 7 21 2" xfId="27990"/>
    <cellStyle name="Porcentual 2 7 21 3" xfId="27991"/>
    <cellStyle name="Porcentual 2 7 21 4" xfId="27992"/>
    <cellStyle name="Porcentual 2 7 21 5" xfId="27993"/>
    <cellStyle name="Porcentual 2 7 21 6" xfId="27994"/>
    <cellStyle name="Porcentual 2 7 21 7" xfId="27995"/>
    <cellStyle name="Porcentual 2 7 22" xfId="27996"/>
    <cellStyle name="Porcentual 2 7 22 2" xfId="27997"/>
    <cellStyle name="Porcentual 2 7 22 3" xfId="27998"/>
    <cellStyle name="Porcentual 2 7 22 4" xfId="27999"/>
    <cellStyle name="Porcentual 2 7 22 5" xfId="28000"/>
    <cellStyle name="Porcentual 2 7 22 6" xfId="28001"/>
    <cellStyle name="Porcentual 2 7 22 7" xfId="28002"/>
    <cellStyle name="Porcentual 2 7 23" xfId="28003"/>
    <cellStyle name="Porcentual 2 7 23 2" xfId="28004"/>
    <cellStyle name="Porcentual 2 7 23 3" xfId="28005"/>
    <cellStyle name="Porcentual 2 7 23 4" xfId="28006"/>
    <cellStyle name="Porcentual 2 7 23 5" xfId="28007"/>
    <cellStyle name="Porcentual 2 7 23 6" xfId="28008"/>
    <cellStyle name="Porcentual 2 7 23 7" xfId="28009"/>
    <cellStyle name="Porcentual 2 7 24" xfId="28010"/>
    <cellStyle name="Porcentual 2 7 24 2" xfId="28011"/>
    <cellStyle name="Porcentual 2 7 24 3" xfId="28012"/>
    <cellStyle name="Porcentual 2 7 24 4" xfId="28013"/>
    <cellStyle name="Porcentual 2 7 24 5" xfId="28014"/>
    <cellStyle name="Porcentual 2 7 24 6" xfId="28015"/>
    <cellStyle name="Porcentual 2 7 24 7" xfId="28016"/>
    <cellStyle name="Porcentual 2 7 25" xfId="28017"/>
    <cellStyle name="Porcentual 2 7 25 2" xfId="28018"/>
    <cellStyle name="Porcentual 2 7 25 3" xfId="28019"/>
    <cellStyle name="Porcentual 2 7 25 4" xfId="28020"/>
    <cellStyle name="Porcentual 2 7 25 5" xfId="28021"/>
    <cellStyle name="Porcentual 2 7 25 6" xfId="28022"/>
    <cellStyle name="Porcentual 2 7 25 7" xfId="28023"/>
    <cellStyle name="Porcentual 2 7 26" xfId="28024"/>
    <cellStyle name="Porcentual 2 7 26 2" xfId="28025"/>
    <cellStyle name="Porcentual 2 7 26 3" xfId="28026"/>
    <cellStyle name="Porcentual 2 7 26 4" xfId="28027"/>
    <cellStyle name="Porcentual 2 7 26 5" xfId="28028"/>
    <cellStyle name="Porcentual 2 7 26 6" xfId="28029"/>
    <cellStyle name="Porcentual 2 7 26 7" xfId="28030"/>
    <cellStyle name="Porcentual 2 7 27" xfId="28031"/>
    <cellStyle name="Porcentual 2 7 27 2" xfId="28032"/>
    <cellStyle name="Porcentual 2 7 27 3" xfId="28033"/>
    <cellStyle name="Porcentual 2 7 27 4" xfId="28034"/>
    <cellStyle name="Porcentual 2 7 27 5" xfId="28035"/>
    <cellStyle name="Porcentual 2 7 27 6" xfId="28036"/>
    <cellStyle name="Porcentual 2 7 27 7" xfId="28037"/>
    <cellStyle name="Porcentual 2 7 28" xfId="28038"/>
    <cellStyle name="Porcentual 2 7 28 2" xfId="28039"/>
    <cellStyle name="Porcentual 2 7 28 3" xfId="28040"/>
    <cellStyle name="Porcentual 2 7 28 4" xfId="28041"/>
    <cellStyle name="Porcentual 2 7 28 5" xfId="28042"/>
    <cellStyle name="Porcentual 2 7 28 6" xfId="28043"/>
    <cellStyle name="Porcentual 2 7 28 7" xfId="28044"/>
    <cellStyle name="Porcentual 2 7 29" xfId="28045"/>
    <cellStyle name="Porcentual 2 7 29 2" xfId="28046"/>
    <cellStyle name="Porcentual 2 7 29 3" xfId="28047"/>
    <cellStyle name="Porcentual 2 7 29 4" xfId="28048"/>
    <cellStyle name="Porcentual 2 7 29 5" xfId="28049"/>
    <cellStyle name="Porcentual 2 7 29 6" xfId="28050"/>
    <cellStyle name="Porcentual 2 7 29 7" xfId="28051"/>
    <cellStyle name="Porcentual 2 7 3" xfId="28052"/>
    <cellStyle name="Porcentual 2 7 3 2" xfId="28053"/>
    <cellStyle name="Porcentual 2 7 3 2 2" xfId="28054"/>
    <cellStyle name="Porcentual 2 7 3 2 3" xfId="28055"/>
    <cellStyle name="Porcentual 2 7 3 2 4" xfId="28056"/>
    <cellStyle name="Porcentual 2 7 3 2 5" xfId="28057"/>
    <cellStyle name="Porcentual 2 7 3 2 6" xfId="28058"/>
    <cellStyle name="Porcentual 2 7 3 2 7" xfId="28059"/>
    <cellStyle name="Porcentual 2 7 3 3" xfId="28060"/>
    <cellStyle name="Porcentual 2 7 3 4" xfId="28061"/>
    <cellStyle name="Porcentual 2 7 3 5" xfId="28062"/>
    <cellStyle name="Porcentual 2 7 3 6" xfId="28063"/>
    <cellStyle name="Porcentual 2 7 3 7" xfId="28064"/>
    <cellStyle name="Porcentual 2 7 3 8" xfId="28065"/>
    <cellStyle name="Porcentual 2 7 30" xfId="28066"/>
    <cellStyle name="Porcentual 2 7 30 2" xfId="28067"/>
    <cellStyle name="Porcentual 2 7 30 3" xfId="28068"/>
    <cellStyle name="Porcentual 2 7 30 4" xfId="28069"/>
    <cellStyle name="Porcentual 2 7 30 5" xfId="28070"/>
    <cellStyle name="Porcentual 2 7 30 6" xfId="28071"/>
    <cellStyle name="Porcentual 2 7 30 7" xfId="28072"/>
    <cellStyle name="Porcentual 2 7 31" xfId="28073"/>
    <cellStyle name="Porcentual 2 7 31 2" xfId="28074"/>
    <cellStyle name="Porcentual 2 7 31 3" xfId="28075"/>
    <cellStyle name="Porcentual 2 7 31 4" xfId="28076"/>
    <cellStyle name="Porcentual 2 7 31 5" xfId="28077"/>
    <cellStyle name="Porcentual 2 7 31 6" xfId="28078"/>
    <cellStyle name="Porcentual 2 7 31 7" xfId="28079"/>
    <cellStyle name="Porcentual 2 7 32" xfId="28080"/>
    <cellStyle name="Porcentual 2 7 32 2" xfId="28081"/>
    <cellStyle name="Porcentual 2 7 32 3" xfId="28082"/>
    <cellStyle name="Porcentual 2 7 32 4" xfId="28083"/>
    <cellStyle name="Porcentual 2 7 32 5" xfId="28084"/>
    <cellStyle name="Porcentual 2 7 32 6" xfId="28085"/>
    <cellStyle name="Porcentual 2 7 32 7" xfId="28086"/>
    <cellStyle name="Porcentual 2 7 33" xfId="28087"/>
    <cellStyle name="Porcentual 2 7 33 2" xfId="28088"/>
    <cellStyle name="Porcentual 2 7 33 3" xfId="28089"/>
    <cellStyle name="Porcentual 2 7 33 4" xfId="28090"/>
    <cellStyle name="Porcentual 2 7 33 5" xfId="28091"/>
    <cellStyle name="Porcentual 2 7 33 6" xfId="28092"/>
    <cellStyle name="Porcentual 2 7 33 7" xfId="28093"/>
    <cellStyle name="Porcentual 2 7 34" xfId="28094"/>
    <cellStyle name="Porcentual 2 7 34 2" xfId="28095"/>
    <cellStyle name="Porcentual 2 7 34 3" xfId="28096"/>
    <cellStyle name="Porcentual 2 7 34 4" xfId="28097"/>
    <cellStyle name="Porcentual 2 7 34 5" xfId="28098"/>
    <cellStyle name="Porcentual 2 7 34 6" xfId="28099"/>
    <cellStyle name="Porcentual 2 7 34 7" xfId="28100"/>
    <cellStyle name="Porcentual 2 7 35" xfId="28101"/>
    <cellStyle name="Porcentual 2 7 35 2" xfId="28102"/>
    <cellStyle name="Porcentual 2 7 35 3" xfId="28103"/>
    <cellStyle name="Porcentual 2 7 35 4" xfId="28104"/>
    <cellStyle name="Porcentual 2 7 35 5" xfId="28105"/>
    <cellStyle name="Porcentual 2 7 35 6" xfId="28106"/>
    <cellStyle name="Porcentual 2 7 35 7" xfId="28107"/>
    <cellStyle name="Porcentual 2 7 36" xfId="28108"/>
    <cellStyle name="Porcentual 2 7 37" xfId="28109"/>
    <cellStyle name="Porcentual 2 7 38" xfId="28110"/>
    <cellStyle name="Porcentual 2 7 39" xfId="28111"/>
    <cellStyle name="Porcentual 2 7 4" xfId="28112"/>
    <cellStyle name="Porcentual 2 7 4 2" xfId="28113"/>
    <cellStyle name="Porcentual 2 7 4 2 2" xfId="28114"/>
    <cellStyle name="Porcentual 2 7 4 2 3" xfId="28115"/>
    <cellStyle name="Porcentual 2 7 4 2 4" xfId="28116"/>
    <cellStyle name="Porcentual 2 7 4 2 5" xfId="28117"/>
    <cellStyle name="Porcentual 2 7 4 2 6" xfId="28118"/>
    <cellStyle name="Porcentual 2 7 4 2 7" xfId="28119"/>
    <cellStyle name="Porcentual 2 7 4 3" xfId="28120"/>
    <cellStyle name="Porcentual 2 7 4 4" xfId="28121"/>
    <cellStyle name="Porcentual 2 7 4 5" xfId="28122"/>
    <cellStyle name="Porcentual 2 7 4 6" xfId="28123"/>
    <cellStyle name="Porcentual 2 7 4 7" xfId="28124"/>
    <cellStyle name="Porcentual 2 7 4 8" xfId="28125"/>
    <cellStyle name="Porcentual 2 7 40" xfId="28126"/>
    <cellStyle name="Porcentual 2 7 41" xfId="28127"/>
    <cellStyle name="Porcentual 2 7 5" xfId="28128"/>
    <cellStyle name="Porcentual 2 7 5 2" xfId="28129"/>
    <cellStyle name="Porcentual 2 7 5 2 2" xfId="28130"/>
    <cellStyle name="Porcentual 2 7 5 2 3" xfId="28131"/>
    <cellStyle name="Porcentual 2 7 5 2 4" xfId="28132"/>
    <cellStyle name="Porcentual 2 7 5 2 5" xfId="28133"/>
    <cellStyle name="Porcentual 2 7 5 2 6" xfId="28134"/>
    <cellStyle name="Porcentual 2 7 5 2 7" xfId="28135"/>
    <cellStyle name="Porcentual 2 7 5 3" xfId="28136"/>
    <cellStyle name="Porcentual 2 7 5 4" xfId="28137"/>
    <cellStyle name="Porcentual 2 7 5 5" xfId="28138"/>
    <cellStyle name="Porcentual 2 7 5 6" xfId="28139"/>
    <cellStyle name="Porcentual 2 7 5 7" xfId="28140"/>
    <cellStyle name="Porcentual 2 7 5 8" xfId="28141"/>
    <cellStyle name="Porcentual 2 7 6" xfId="28142"/>
    <cellStyle name="Porcentual 2 7 6 2" xfId="28143"/>
    <cellStyle name="Porcentual 2 7 6 2 2" xfId="28144"/>
    <cellStyle name="Porcentual 2 7 6 2 3" xfId="28145"/>
    <cellStyle name="Porcentual 2 7 6 2 4" xfId="28146"/>
    <cellStyle name="Porcentual 2 7 6 2 5" xfId="28147"/>
    <cellStyle name="Porcentual 2 7 6 2 6" xfId="28148"/>
    <cellStyle name="Porcentual 2 7 6 2 7" xfId="28149"/>
    <cellStyle name="Porcentual 2 7 6 3" xfId="28150"/>
    <cellStyle name="Porcentual 2 7 6 4" xfId="28151"/>
    <cellStyle name="Porcentual 2 7 6 5" xfId="28152"/>
    <cellStyle name="Porcentual 2 7 6 6" xfId="28153"/>
    <cellStyle name="Porcentual 2 7 6 7" xfId="28154"/>
    <cellStyle name="Porcentual 2 7 6 8" xfId="28155"/>
    <cellStyle name="Porcentual 2 7 7" xfId="28156"/>
    <cellStyle name="Porcentual 2 7 7 2" xfId="28157"/>
    <cellStyle name="Porcentual 2 7 7 2 2" xfId="28158"/>
    <cellStyle name="Porcentual 2 7 7 2 3" xfId="28159"/>
    <cellStyle name="Porcentual 2 7 7 2 4" xfId="28160"/>
    <cellStyle name="Porcentual 2 7 7 2 5" xfId="28161"/>
    <cellStyle name="Porcentual 2 7 7 2 6" xfId="28162"/>
    <cellStyle name="Porcentual 2 7 7 2 7" xfId="28163"/>
    <cellStyle name="Porcentual 2 7 7 3" xfId="28164"/>
    <cellStyle name="Porcentual 2 7 7 4" xfId="28165"/>
    <cellStyle name="Porcentual 2 7 7 5" xfId="28166"/>
    <cellStyle name="Porcentual 2 7 7 6" xfId="28167"/>
    <cellStyle name="Porcentual 2 7 7 7" xfId="28168"/>
    <cellStyle name="Porcentual 2 7 7 8" xfId="28169"/>
    <cellStyle name="Porcentual 2 7 8" xfId="28170"/>
    <cellStyle name="Porcentual 2 7 8 2" xfId="28171"/>
    <cellStyle name="Porcentual 2 7 8 2 2" xfId="28172"/>
    <cellStyle name="Porcentual 2 7 8 2 3" xfId="28173"/>
    <cellStyle name="Porcentual 2 7 8 2 4" xfId="28174"/>
    <cellStyle name="Porcentual 2 7 8 2 5" xfId="28175"/>
    <cellStyle name="Porcentual 2 7 8 2 6" xfId="28176"/>
    <cellStyle name="Porcentual 2 7 8 2 7" xfId="28177"/>
    <cellStyle name="Porcentual 2 7 8 3" xfId="28178"/>
    <cellStyle name="Porcentual 2 7 8 4" xfId="28179"/>
    <cellStyle name="Porcentual 2 7 8 5" xfId="28180"/>
    <cellStyle name="Porcentual 2 7 8 6" xfId="28181"/>
    <cellStyle name="Porcentual 2 7 8 7" xfId="28182"/>
    <cellStyle name="Porcentual 2 7 8 8" xfId="28183"/>
    <cellStyle name="Porcentual 2 7 9" xfId="28184"/>
    <cellStyle name="Porcentual 2 7 9 2" xfId="28185"/>
    <cellStyle name="Porcentual 2 7 9 2 2" xfId="28186"/>
    <cellStyle name="Porcentual 2 7 9 2 3" xfId="28187"/>
    <cellStyle name="Porcentual 2 7 9 2 4" xfId="28188"/>
    <cellStyle name="Porcentual 2 7 9 2 5" xfId="28189"/>
    <cellStyle name="Porcentual 2 7 9 2 6" xfId="28190"/>
    <cellStyle name="Porcentual 2 7 9 2 7" xfId="28191"/>
    <cellStyle name="Porcentual 2 7 9 3" xfId="28192"/>
    <cellStyle name="Porcentual 2 7 9 4" xfId="28193"/>
    <cellStyle name="Porcentual 2 7 9 5" xfId="28194"/>
    <cellStyle name="Porcentual 2 7 9 6" xfId="28195"/>
    <cellStyle name="Porcentual 2 7 9 7" xfId="28196"/>
    <cellStyle name="Porcentual 2 7 9 8" xfId="28197"/>
    <cellStyle name="Porcentual 2 8" xfId="28198"/>
    <cellStyle name="Porcentual 2 8 10" xfId="28199"/>
    <cellStyle name="Porcentual 2 8 10 2" xfId="28200"/>
    <cellStyle name="Porcentual 2 8 10 2 2" xfId="28201"/>
    <cellStyle name="Porcentual 2 8 10 2 3" xfId="28202"/>
    <cellStyle name="Porcentual 2 8 10 2 4" xfId="28203"/>
    <cellStyle name="Porcentual 2 8 10 2 5" xfId="28204"/>
    <cellStyle name="Porcentual 2 8 10 2 6" xfId="28205"/>
    <cellStyle name="Porcentual 2 8 10 2 7" xfId="28206"/>
    <cellStyle name="Porcentual 2 8 10 3" xfId="28207"/>
    <cellStyle name="Porcentual 2 8 10 4" xfId="28208"/>
    <cellStyle name="Porcentual 2 8 10 5" xfId="28209"/>
    <cellStyle name="Porcentual 2 8 10 6" xfId="28210"/>
    <cellStyle name="Porcentual 2 8 10 7" xfId="28211"/>
    <cellStyle name="Porcentual 2 8 10 8" xfId="28212"/>
    <cellStyle name="Porcentual 2 8 11" xfId="28213"/>
    <cellStyle name="Porcentual 2 8 11 2" xfId="28214"/>
    <cellStyle name="Porcentual 2 8 11 2 2" xfId="28215"/>
    <cellStyle name="Porcentual 2 8 11 2 3" xfId="28216"/>
    <cellStyle name="Porcentual 2 8 11 2 4" xfId="28217"/>
    <cellStyle name="Porcentual 2 8 11 2 5" xfId="28218"/>
    <cellStyle name="Porcentual 2 8 11 2 6" xfId="28219"/>
    <cellStyle name="Porcentual 2 8 11 2 7" xfId="28220"/>
    <cellStyle name="Porcentual 2 8 11 3" xfId="28221"/>
    <cellStyle name="Porcentual 2 8 11 4" xfId="28222"/>
    <cellStyle name="Porcentual 2 8 11 5" xfId="28223"/>
    <cellStyle name="Porcentual 2 8 11 6" xfId="28224"/>
    <cellStyle name="Porcentual 2 8 11 7" xfId="28225"/>
    <cellStyle name="Porcentual 2 8 11 8" xfId="28226"/>
    <cellStyle name="Porcentual 2 8 12" xfId="28227"/>
    <cellStyle name="Porcentual 2 8 12 2" xfId="28228"/>
    <cellStyle name="Porcentual 2 8 12 2 2" xfId="28229"/>
    <cellStyle name="Porcentual 2 8 12 2 3" xfId="28230"/>
    <cellStyle name="Porcentual 2 8 12 2 4" xfId="28231"/>
    <cellStyle name="Porcentual 2 8 12 2 5" xfId="28232"/>
    <cellStyle name="Porcentual 2 8 12 2 6" xfId="28233"/>
    <cellStyle name="Porcentual 2 8 12 2 7" xfId="28234"/>
    <cellStyle name="Porcentual 2 8 12 3" xfId="28235"/>
    <cellStyle name="Porcentual 2 8 12 4" xfId="28236"/>
    <cellStyle name="Porcentual 2 8 12 5" xfId="28237"/>
    <cellStyle name="Porcentual 2 8 12 6" xfId="28238"/>
    <cellStyle name="Porcentual 2 8 12 7" xfId="28239"/>
    <cellStyle name="Porcentual 2 8 12 8" xfId="28240"/>
    <cellStyle name="Porcentual 2 8 13" xfId="28241"/>
    <cellStyle name="Porcentual 2 8 13 2" xfId="28242"/>
    <cellStyle name="Porcentual 2 8 13 2 2" xfId="28243"/>
    <cellStyle name="Porcentual 2 8 13 2 3" xfId="28244"/>
    <cellStyle name="Porcentual 2 8 13 2 4" xfId="28245"/>
    <cellStyle name="Porcentual 2 8 13 2 5" xfId="28246"/>
    <cellStyle name="Porcentual 2 8 13 2 6" xfId="28247"/>
    <cellStyle name="Porcentual 2 8 13 2 7" xfId="28248"/>
    <cellStyle name="Porcentual 2 8 13 3" xfId="28249"/>
    <cellStyle name="Porcentual 2 8 13 4" xfId="28250"/>
    <cellStyle name="Porcentual 2 8 13 5" xfId="28251"/>
    <cellStyle name="Porcentual 2 8 13 6" xfId="28252"/>
    <cellStyle name="Porcentual 2 8 13 7" xfId="28253"/>
    <cellStyle name="Porcentual 2 8 13 8" xfId="28254"/>
    <cellStyle name="Porcentual 2 8 14" xfId="28255"/>
    <cellStyle name="Porcentual 2 8 14 2" xfId="28256"/>
    <cellStyle name="Porcentual 2 8 14 2 2" xfId="28257"/>
    <cellStyle name="Porcentual 2 8 14 2 3" xfId="28258"/>
    <cellStyle name="Porcentual 2 8 14 2 4" xfId="28259"/>
    <cellStyle name="Porcentual 2 8 14 2 5" xfId="28260"/>
    <cellStyle name="Porcentual 2 8 14 2 6" xfId="28261"/>
    <cellStyle name="Porcentual 2 8 14 2 7" xfId="28262"/>
    <cellStyle name="Porcentual 2 8 14 3" xfId="28263"/>
    <cellStyle name="Porcentual 2 8 14 4" xfId="28264"/>
    <cellStyle name="Porcentual 2 8 14 5" xfId="28265"/>
    <cellStyle name="Porcentual 2 8 14 6" xfId="28266"/>
    <cellStyle name="Porcentual 2 8 14 7" xfId="28267"/>
    <cellStyle name="Porcentual 2 8 14 8" xfId="28268"/>
    <cellStyle name="Porcentual 2 8 15" xfId="28269"/>
    <cellStyle name="Porcentual 2 8 15 2" xfId="28270"/>
    <cellStyle name="Porcentual 2 8 15 2 2" xfId="28271"/>
    <cellStyle name="Porcentual 2 8 15 2 3" xfId="28272"/>
    <cellStyle name="Porcentual 2 8 15 2 4" xfId="28273"/>
    <cellStyle name="Porcentual 2 8 15 2 5" xfId="28274"/>
    <cellStyle name="Porcentual 2 8 15 2 6" xfId="28275"/>
    <cellStyle name="Porcentual 2 8 15 2 7" xfId="28276"/>
    <cellStyle name="Porcentual 2 8 15 3" xfId="28277"/>
    <cellStyle name="Porcentual 2 8 15 4" xfId="28278"/>
    <cellStyle name="Porcentual 2 8 15 5" xfId="28279"/>
    <cellStyle name="Porcentual 2 8 15 6" xfId="28280"/>
    <cellStyle name="Porcentual 2 8 15 7" xfId="28281"/>
    <cellStyle name="Porcentual 2 8 15 8" xfId="28282"/>
    <cellStyle name="Porcentual 2 8 16" xfId="28283"/>
    <cellStyle name="Porcentual 2 8 16 2" xfId="28284"/>
    <cellStyle name="Porcentual 2 8 16 3" xfId="28285"/>
    <cellStyle name="Porcentual 2 8 16 4" xfId="28286"/>
    <cellStyle name="Porcentual 2 8 16 5" xfId="28287"/>
    <cellStyle name="Porcentual 2 8 16 6" xfId="28288"/>
    <cellStyle name="Porcentual 2 8 16 7" xfId="28289"/>
    <cellStyle name="Porcentual 2 8 17" xfId="28290"/>
    <cellStyle name="Porcentual 2 8 17 2" xfId="28291"/>
    <cellStyle name="Porcentual 2 8 17 3" xfId="28292"/>
    <cellStyle name="Porcentual 2 8 17 4" xfId="28293"/>
    <cellStyle name="Porcentual 2 8 17 5" xfId="28294"/>
    <cellStyle name="Porcentual 2 8 17 6" xfId="28295"/>
    <cellStyle name="Porcentual 2 8 17 7" xfId="28296"/>
    <cellStyle name="Porcentual 2 8 18" xfId="28297"/>
    <cellStyle name="Porcentual 2 8 18 2" xfId="28298"/>
    <cellStyle name="Porcentual 2 8 18 3" xfId="28299"/>
    <cellStyle name="Porcentual 2 8 18 4" xfId="28300"/>
    <cellStyle name="Porcentual 2 8 18 5" xfId="28301"/>
    <cellStyle name="Porcentual 2 8 18 6" xfId="28302"/>
    <cellStyle name="Porcentual 2 8 18 7" xfId="28303"/>
    <cellStyle name="Porcentual 2 8 19" xfId="28304"/>
    <cellStyle name="Porcentual 2 8 19 2" xfId="28305"/>
    <cellStyle name="Porcentual 2 8 19 3" xfId="28306"/>
    <cellStyle name="Porcentual 2 8 19 4" xfId="28307"/>
    <cellStyle name="Porcentual 2 8 19 5" xfId="28308"/>
    <cellStyle name="Porcentual 2 8 19 6" xfId="28309"/>
    <cellStyle name="Porcentual 2 8 19 7" xfId="28310"/>
    <cellStyle name="Porcentual 2 8 2" xfId="28311"/>
    <cellStyle name="Porcentual 2 8 2 2" xfId="28312"/>
    <cellStyle name="Porcentual 2 8 2 2 2" xfId="28313"/>
    <cellStyle name="Porcentual 2 8 2 2 3" xfId="28314"/>
    <cellStyle name="Porcentual 2 8 2 2 4" xfId="28315"/>
    <cellStyle name="Porcentual 2 8 2 2 5" xfId="28316"/>
    <cellStyle name="Porcentual 2 8 2 2 6" xfId="28317"/>
    <cellStyle name="Porcentual 2 8 2 2 7" xfId="28318"/>
    <cellStyle name="Porcentual 2 8 2 3" xfId="28319"/>
    <cellStyle name="Porcentual 2 8 2 4" xfId="28320"/>
    <cellStyle name="Porcentual 2 8 2 5" xfId="28321"/>
    <cellStyle name="Porcentual 2 8 2 6" xfId="28322"/>
    <cellStyle name="Porcentual 2 8 2 7" xfId="28323"/>
    <cellStyle name="Porcentual 2 8 2 8" xfId="28324"/>
    <cellStyle name="Porcentual 2 8 20" xfId="28325"/>
    <cellStyle name="Porcentual 2 8 20 2" xfId="28326"/>
    <cellStyle name="Porcentual 2 8 20 3" xfId="28327"/>
    <cellStyle name="Porcentual 2 8 20 4" xfId="28328"/>
    <cellStyle name="Porcentual 2 8 20 5" xfId="28329"/>
    <cellStyle name="Porcentual 2 8 20 6" xfId="28330"/>
    <cellStyle name="Porcentual 2 8 20 7" xfId="28331"/>
    <cellStyle name="Porcentual 2 8 21" xfId="28332"/>
    <cellStyle name="Porcentual 2 8 21 2" xfId="28333"/>
    <cellStyle name="Porcentual 2 8 21 3" xfId="28334"/>
    <cellStyle name="Porcentual 2 8 21 4" xfId="28335"/>
    <cellStyle name="Porcentual 2 8 21 5" xfId="28336"/>
    <cellStyle name="Porcentual 2 8 21 6" xfId="28337"/>
    <cellStyle name="Porcentual 2 8 21 7" xfId="28338"/>
    <cellStyle name="Porcentual 2 8 22" xfId="28339"/>
    <cellStyle name="Porcentual 2 8 22 2" xfId="28340"/>
    <cellStyle name="Porcentual 2 8 22 3" xfId="28341"/>
    <cellStyle name="Porcentual 2 8 22 4" xfId="28342"/>
    <cellStyle name="Porcentual 2 8 22 5" xfId="28343"/>
    <cellStyle name="Porcentual 2 8 22 6" xfId="28344"/>
    <cellStyle name="Porcentual 2 8 22 7" xfId="28345"/>
    <cellStyle name="Porcentual 2 8 23" xfId="28346"/>
    <cellStyle name="Porcentual 2 8 23 2" xfId="28347"/>
    <cellStyle name="Porcentual 2 8 23 3" xfId="28348"/>
    <cellStyle name="Porcentual 2 8 23 4" xfId="28349"/>
    <cellStyle name="Porcentual 2 8 23 5" xfId="28350"/>
    <cellStyle name="Porcentual 2 8 23 6" xfId="28351"/>
    <cellStyle name="Porcentual 2 8 23 7" xfId="28352"/>
    <cellStyle name="Porcentual 2 8 24" xfId="28353"/>
    <cellStyle name="Porcentual 2 8 24 2" xfId="28354"/>
    <cellStyle name="Porcentual 2 8 24 3" xfId="28355"/>
    <cellStyle name="Porcentual 2 8 24 4" xfId="28356"/>
    <cellStyle name="Porcentual 2 8 24 5" xfId="28357"/>
    <cellStyle name="Porcentual 2 8 24 6" xfId="28358"/>
    <cellStyle name="Porcentual 2 8 24 7" xfId="28359"/>
    <cellStyle name="Porcentual 2 8 25" xfId="28360"/>
    <cellStyle name="Porcentual 2 8 25 2" xfId="28361"/>
    <cellStyle name="Porcentual 2 8 25 3" xfId="28362"/>
    <cellStyle name="Porcentual 2 8 25 4" xfId="28363"/>
    <cellStyle name="Porcentual 2 8 25 5" xfId="28364"/>
    <cellStyle name="Porcentual 2 8 25 6" xfId="28365"/>
    <cellStyle name="Porcentual 2 8 25 7" xfId="28366"/>
    <cellStyle name="Porcentual 2 8 26" xfId="28367"/>
    <cellStyle name="Porcentual 2 8 26 2" xfId="28368"/>
    <cellStyle name="Porcentual 2 8 26 3" xfId="28369"/>
    <cellStyle name="Porcentual 2 8 26 4" xfId="28370"/>
    <cellStyle name="Porcentual 2 8 26 5" xfId="28371"/>
    <cellStyle name="Porcentual 2 8 26 6" xfId="28372"/>
    <cellStyle name="Porcentual 2 8 26 7" xfId="28373"/>
    <cellStyle name="Porcentual 2 8 27" xfId="28374"/>
    <cellStyle name="Porcentual 2 8 27 2" xfId="28375"/>
    <cellStyle name="Porcentual 2 8 27 3" xfId="28376"/>
    <cellStyle name="Porcentual 2 8 27 4" xfId="28377"/>
    <cellStyle name="Porcentual 2 8 27 5" xfId="28378"/>
    <cellStyle name="Porcentual 2 8 27 6" xfId="28379"/>
    <cellStyle name="Porcentual 2 8 27 7" xfId="28380"/>
    <cellStyle name="Porcentual 2 8 28" xfId="28381"/>
    <cellStyle name="Porcentual 2 8 28 2" xfId="28382"/>
    <cellStyle name="Porcentual 2 8 28 3" xfId="28383"/>
    <cellStyle name="Porcentual 2 8 28 4" xfId="28384"/>
    <cellStyle name="Porcentual 2 8 28 5" xfId="28385"/>
    <cellStyle name="Porcentual 2 8 28 6" xfId="28386"/>
    <cellStyle name="Porcentual 2 8 28 7" xfId="28387"/>
    <cellStyle name="Porcentual 2 8 29" xfId="28388"/>
    <cellStyle name="Porcentual 2 8 29 2" xfId="28389"/>
    <cellStyle name="Porcentual 2 8 29 3" xfId="28390"/>
    <cellStyle name="Porcentual 2 8 29 4" xfId="28391"/>
    <cellStyle name="Porcentual 2 8 29 5" xfId="28392"/>
    <cellStyle name="Porcentual 2 8 29 6" xfId="28393"/>
    <cellStyle name="Porcentual 2 8 29 7" xfId="28394"/>
    <cellStyle name="Porcentual 2 8 3" xfId="28395"/>
    <cellStyle name="Porcentual 2 8 3 2" xfId="28396"/>
    <cellStyle name="Porcentual 2 8 3 2 2" xfId="28397"/>
    <cellStyle name="Porcentual 2 8 3 2 3" xfId="28398"/>
    <cellStyle name="Porcentual 2 8 3 2 4" xfId="28399"/>
    <cellStyle name="Porcentual 2 8 3 2 5" xfId="28400"/>
    <cellStyle name="Porcentual 2 8 3 2 6" xfId="28401"/>
    <cellStyle name="Porcentual 2 8 3 2 7" xfId="28402"/>
    <cellStyle name="Porcentual 2 8 3 3" xfId="28403"/>
    <cellStyle name="Porcentual 2 8 3 4" xfId="28404"/>
    <cellStyle name="Porcentual 2 8 3 5" xfId="28405"/>
    <cellStyle name="Porcentual 2 8 3 6" xfId="28406"/>
    <cellStyle name="Porcentual 2 8 3 7" xfId="28407"/>
    <cellStyle name="Porcentual 2 8 3 8" xfId="28408"/>
    <cellStyle name="Porcentual 2 8 30" xfId="28409"/>
    <cellStyle name="Porcentual 2 8 30 2" xfId="28410"/>
    <cellStyle name="Porcentual 2 8 30 3" xfId="28411"/>
    <cellStyle name="Porcentual 2 8 30 4" xfId="28412"/>
    <cellStyle name="Porcentual 2 8 30 5" xfId="28413"/>
    <cellStyle name="Porcentual 2 8 30 6" xfId="28414"/>
    <cellStyle name="Porcentual 2 8 30 7" xfId="28415"/>
    <cellStyle name="Porcentual 2 8 31" xfId="28416"/>
    <cellStyle name="Porcentual 2 8 31 2" xfId="28417"/>
    <cellStyle name="Porcentual 2 8 31 3" xfId="28418"/>
    <cellStyle name="Porcentual 2 8 31 4" xfId="28419"/>
    <cellStyle name="Porcentual 2 8 31 5" xfId="28420"/>
    <cellStyle name="Porcentual 2 8 31 6" xfId="28421"/>
    <cellStyle name="Porcentual 2 8 31 7" xfId="28422"/>
    <cellStyle name="Porcentual 2 8 32" xfId="28423"/>
    <cellStyle name="Porcentual 2 8 32 2" xfId="28424"/>
    <cellStyle name="Porcentual 2 8 32 3" xfId="28425"/>
    <cellStyle name="Porcentual 2 8 32 4" xfId="28426"/>
    <cellStyle name="Porcentual 2 8 32 5" xfId="28427"/>
    <cellStyle name="Porcentual 2 8 32 6" xfId="28428"/>
    <cellStyle name="Porcentual 2 8 32 7" xfId="28429"/>
    <cellStyle name="Porcentual 2 8 33" xfId="28430"/>
    <cellStyle name="Porcentual 2 8 33 2" xfId="28431"/>
    <cellStyle name="Porcentual 2 8 33 3" xfId="28432"/>
    <cellStyle name="Porcentual 2 8 33 4" xfId="28433"/>
    <cellStyle name="Porcentual 2 8 33 5" xfId="28434"/>
    <cellStyle name="Porcentual 2 8 33 6" xfId="28435"/>
    <cellStyle name="Porcentual 2 8 33 7" xfId="28436"/>
    <cellStyle name="Porcentual 2 8 34" xfId="28437"/>
    <cellStyle name="Porcentual 2 8 34 2" xfId="28438"/>
    <cellStyle name="Porcentual 2 8 34 3" xfId="28439"/>
    <cellStyle name="Porcentual 2 8 34 4" xfId="28440"/>
    <cellStyle name="Porcentual 2 8 34 5" xfId="28441"/>
    <cellStyle name="Porcentual 2 8 34 6" xfId="28442"/>
    <cellStyle name="Porcentual 2 8 34 7" xfId="28443"/>
    <cellStyle name="Porcentual 2 8 35" xfId="28444"/>
    <cellStyle name="Porcentual 2 8 35 2" xfId="28445"/>
    <cellStyle name="Porcentual 2 8 35 3" xfId="28446"/>
    <cellStyle name="Porcentual 2 8 35 4" xfId="28447"/>
    <cellStyle name="Porcentual 2 8 35 5" xfId="28448"/>
    <cellStyle name="Porcentual 2 8 35 6" xfId="28449"/>
    <cellStyle name="Porcentual 2 8 35 7" xfId="28450"/>
    <cellStyle name="Porcentual 2 8 36" xfId="28451"/>
    <cellStyle name="Porcentual 2 8 37" xfId="28452"/>
    <cellStyle name="Porcentual 2 8 38" xfId="28453"/>
    <cellStyle name="Porcentual 2 8 39" xfId="28454"/>
    <cellStyle name="Porcentual 2 8 4" xfId="28455"/>
    <cellStyle name="Porcentual 2 8 4 2" xfId="28456"/>
    <cellStyle name="Porcentual 2 8 4 2 2" xfId="28457"/>
    <cellStyle name="Porcentual 2 8 4 2 3" xfId="28458"/>
    <cellStyle name="Porcentual 2 8 4 2 4" xfId="28459"/>
    <cellStyle name="Porcentual 2 8 4 2 5" xfId="28460"/>
    <cellStyle name="Porcentual 2 8 4 2 6" xfId="28461"/>
    <cellStyle name="Porcentual 2 8 4 2 7" xfId="28462"/>
    <cellStyle name="Porcentual 2 8 4 3" xfId="28463"/>
    <cellStyle name="Porcentual 2 8 4 4" xfId="28464"/>
    <cellStyle name="Porcentual 2 8 4 5" xfId="28465"/>
    <cellStyle name="Porcentual 2 8 4 6" xfId="28466"/>
    <cellStyle name="Porcentual 2 8 4 7" xfId="28467"/>
    <cellStyle name="Porcentual 2 8 4 8" xfId="28468"/>
    <cellStyle name="Porcentual 2 8 40" xfId="28469"/>
    <cellStyle name="Porcentual 2 8 41" xfId="28470"/>
    <cellStyle name="Porcentual 2 8 5" xfId="28471"/>
    <cellStyle name="Porcentual 2 8 5 2" xfId="28472"/>
    <cellStyle name="Porcentual 2 8 5 2 2" xfId="28473"/>
    <cellStyle name="Porcentual 2 8 5 2 3" xfId="28474"/>
    <cellStyle name="Porcentual 2 8 5 2 4" xfId="28475"/>
    <cellStyle name="Porcentual 2 8 5 2 5" xfId="28476"/>
    <cellStyle name="Porcentual 2 8 5 2 6" xfId="28477"/>
    <cellStyle name="Porcentual 2 8 5 2 7" xfId="28478"/>
    <cellStyle name="Porcentual 2 8 5 3" xfId="28479"/>
    <cellStyle name="Porcentual 2 8 5 4" xfId="28480"/>
    <cellStyle name="Porcentual 2 8 5 5" xfId="28481"/>
    <cellStyle name="Porcentual 2 8 5 6" xfId="28482"/>
    <cellStyle name="Porcentual 2 8 5 7" xfId="28483"/>
    <cellStyle name="Porcentual 2 8 5 8" xfId="28484"/>
    <cellStyle name="Porcentual 2 8 6" xfId="28485"/>
    <cellStyle name="Porcentual 2 8 6 2" xfId="28486"/>
    <cellStyle name="Porcentual 2 8 6 2 2" xfId="28487"/>
    <cellStyle name="Porcentual 2 8 6 2 3" xfId="28488"/>
    <cellStyle name="Porcentual 2 8 6 2 4" xfId="28489"/>
    <cellStyle name="Porcentual 2 8 6 2 5" xfId="28490"/>
    <cellStyle name="Porcentual 2 8 6 2 6" xfId="28491"/>
    <cellStyle name="Porcentual 2 8 6 2 7" xfId="28492"/>
    <cellStyle name="Porcentual 2 8 6 3" xfId="28493"/>
    <cellStyle name="Porcentual 2 8 6 4" xfId="28494"/>
    <cellStyle name="Porcentual 2 8 6 5" xfId="28495"/>
    <cellStyle name="Porcentual 2 8 6 6" xfId="28496"/>
    <cellStyle name="Porcentual 2 8 6 7" xfId="28497"/>
    <cellStyle name="Porcentual 2 8 6 8" xfId="28498"/>
    <cellStyle name="Porcentual 2 8 7" xfId="28499"/>
    <cellStyle name="Porcentual 2 8 7 2" xfId="28500"/>
    <cellStyle name="Porcentual 2 8 7 2 2" xfId="28501"/>
    <cellStyle name="Porcentual 2 8 7 2 3" xfId="28502"/>
    <cellStyle name="Porcentual 2 8 7 2 4" xfId="28503"/>
    <cellStyle name="Porcentual 2 8 7 2 5" xfId="28504"/>
    <cellStyle name="Porcentual 2 8 7 2 6" xfId="28505"/>
    <cellStyle name="Porcentual 2 8 7 2 7" xfId="28506"/>
    <cellStyle name="Porcentual 2 8 7 3" xfId="28507"/>
    <cellStyle name="Porcentual 2 8 7 4" xfId="28508"/>
    <cellStyle name="Porcentual 2 8 7 5" xfId="28509"/>
    <cellStyle name="Porcentual 2 8 7 6" xfId="28510"/>
    <cellStyle name="Porcentual 2 8 7 7" xfId="28511"/>
    <cellStyle name="Porcentual 2 8 7 8" xfId="28512"/>
    <cellStyle name="Porcentual 2 8 8" xfId="28513"/>
    <cellStyle name="Porcentual 2 8 8 2" xfId="28514"/>
    <cellStyle name="Porcentual 2 8 8 2 2" xfId="28515"/>
    <cellStyle name="Porcentual 2 8 8 2 3" xfId="28516"/>
    <cellStyle name="Porcentual 2 8 8 2 4" xfId="28517"/>
    <cellStyle name="Porcentual 2 8 8 2 5" xfId="28518"/>
    <cellStyle name="Porcentual 2 8 8 2 6" xfId="28519"/>
    <cellStyle name="Porcentual 2 8 8 2 7" xfId="28520"/>
    <cellStyle name="Porcentual 2 8 8 3" xfId="28521"/>
    <cellStyle name="Porcentual 2 8 8 4" xfId="28522"/>
    <cellStyle name="Porcentual 2 8 8 5" xfId="28523"/>
    <cellStyle name="Porcentual 2 8 8 6" xfId="28524"/>
    <cellStyle name="Porcentual 2 8 8 7" xfId="28525"/>
    <cellStyle name="Porcentual 2 8 8 8" xfId="28526"/>
    <cellStyle name="Porcentual 2 8 9" xfId="28527"/>
    <cellStyle name="Porcentual 2 8 9 2" xfId="28528"/>
    <cellStyle name="Porcentual 2 8 9 2 2" xfId="28529"/>
    <cellStyle name="Porcentual 2 8 9 2 3" xfId="28530"/>
    <cellStyle name="Porcentual 2 8 9 2 4" xfId="28531"/>
    <cellStyle name="Porcentual 2 8 9 2 5" xfId="28532"/>
    <cellStyle name="Porcentual 2 8 9 2 6" xfId="28533"/>
    <cellStyle name="Porcentual 2 8 9 2 7" xfId="28534"/>
    <cellStyle name="Porcentual 2 8 9 3" xfId="28535"/>
    <cellStyle name="Porcentual 2 8 9 4" xfId="28536"/>
    <cellStyle name="Porcentual 2 8 9 5" xfId="28537"/>
    <cellStyle name="Porcentual 2 8 9 6" xfId="28538"/>
    <cellStyle name="Porcentual 2 8 9 7" xfId="28539"/>
    <cellStyle name="Porcentual 2 8 9 8" xfId="28540"/>
    <cellStyle name="Porcentual 2 9" xfId="28541"/>
    <cellStyle name="Porcentual 2 9 10" xfId="28542"/>
    <cellStyle name="Porcentual 2 9 10 2" xfId="28543"/>
    <cellStyle name="Porcentual 2 9 10 2 2" xfId="28544"/>
    <cellStyle name="Porcentual 2 9 10 2 3" xfId="28545"/>
    <cellStyle name="Porcentual 2 9 10 2 4" xfId="28546"/>
    <cellStyle name="Porcentual 2 9 10 2 5" xfId="28547"/>
    <cellStyle name="Porcentual 2 9 10 2 6" xfId="28548"/>
    <cellStyle name="Porcentual 2 9 10 2 7" xfId="28549"/>
    <cellStyle name="Porcentual 2 9 10 3" xfId="28550"/>
    <cellStyle name="Porcentual 2 9 10 4" xfId="28551"/>
    <cellStyle name="Porcentual 2 9 10 5" xfId="28552"/>
    <cellStyle name="Porcentual 2 9 10 6" xfId="28553"/>
    <cellStyle name="Porcentual 2 9 10 7" xfId="28554"/>
    <cellStyle name="Porcentual 2 9 10 8" xfId="28555"/>
    <cellStyle name="Porcentual 2 9 11" xfId="28556"/>
    <cellStyle name="Porcentual 2 9 11 2" xfId="28557"/>
    <cellStyle name="Porcentual 2 9 11 2 2" xfId="28558"/>
    <cellStyle name="Porcentual 2 9 11 2 3" xfId="28559"/>
    <cellStyle name="Porcentual 2 9 11 2 4" xfId="28560"/>
    <cellStyle name="Porcentual 2 9 11 2 5" xfId="28561"/>
    <cellStyle name="Porcentual 2 9 11 2 6" xfId="28562"/>
    <cellStyle name="Porcentual 2 9 11 2 7" xfId="28563"/>
    <cellStyle name="Porcentual 2 9 11 3" xfId="28564"/>
    <cellStyle name="Porcentual 2 9 11 4" xfId="28565"/>
    <cellStyle name="Porcentual 2 9 11 5" xfId="28566"/>
    <cellStyle name="Porcentual 2 9 11 6" xfId="28567"/>
    <cellStyle name="Porcentual 2 9 11 7" xfId="28568"/>
    <cellStyle name="Porcentual 2 9 11 8" xfId="28569"/>
    <cellStyle name="Porcentual 2 9 12" xfId="28570"/>
    <cellStyle name="Porcentual 2 9 12 2" xfId="28571"/>
    <cellStyle name="Porcentual 2 9 12 2 2" xfId="28572"/>
    <cellStyle name="Porcentual 2 9 12 2 3" xfId="28573"/>
    <cellStyle name="Porcentual 2 9 12 2 4" xfId="28574"/>
    <cellStyle name="Porcentual 2 9 12 2 5" xfId="28575"/>
    <cellStyle name="Porcentual 2 9 12 2 6" xfId="28576"/>
    <cellStyle name="Porcentual 2 9 12 2 7" xfId="28577"/>
    <cellStyle name="Porcentual 2 9 12 3" xfId="28578"/>
    <cellStyle name="Porcentual 2 9 12 4" xfId="28579"/>
    <cellStyle name="Porcentual 2 9 12 5" xfId="28580"/>
    <cellStyle name="Porcentual 2 9 12 6" xfId="28581"/>
    <cellStyle name="Porcentual 2 9 12 7" xfId="28582"/>
    <cellStyle name="Porcentual 2 9 12 8" xfId="28583"/>
    <cellStyle name="Porcentual 2 9 13" xfId="28584"/>
    <cellStyle name="Porcentual 2 9 13 2" xfId="28585"/>
    <cellStyle name="Porcentual 2 9 13 2 2" xfId="28586"/>
    <cellStyle name="Porcentual 2 9 13 2 3" xfId="28587"/>
    <cellStyle name="Porcentual 2 9 13 2 4" xfId="28588"/>
    <cellStyle name="Porcentual 2 9 13 2 5" xfId="28589"/>
    <cellStyle name="Porcentual 2 9 13 2 6" xfId="28590"/>
    <cellStyle name="Porcentual 2 9 13 2 7" xfId="28591"/>
    <cellStyle name="Porcentual 2 9 13 3" xfId="28592"/>
    <cellStyle name="Porcentual 2 9 13 4" xfId="28593"/>
    <cellStyle name="Porcentual 2 9 13 5" xfId="28594"/>
    <cellStyle name="Porcentual 2 9 13 6" xfId="28595"/>
    <cellStyle name="Porcentual 2 9 13 7" xfId="28596"/>
    <cellStyle name="Porcentual 2 9 13 8" xfId="28597"/>
    <cellStyle name="Porcentual 2 9 14" xfId="28598"/>
    <cellStyle name="Porcentual 2 9 14 2" xfId="28599"/>
    <cellStyle name="Porcentual 2 9 14 2 2" xfId="28600"/>
    <cellStyle name="Porcentual 2 9 14 2 3" xfId="28601"/>
    <cellStyle name="Porcentual 2 9 14 2 4" xfId="28602"/>
    <cellStyle name="Porcentual 2 9 14 2 5" xfId="28603"/>
    <cellStyle name="Porcentual 2 9 14 2 6" xfId="28604"/>
    <cellStyle name="Porcentual 2 9 14 2 7" xfId="28605"/>
    <cellStyle name="Porcentual 2 9 14 3" xfId="28606"/>
    <cellStyle name="Porcentual 2 9 14 4" xfId="28607"/>
    <cellStyle name="Porcentual 2 9 14 5" xfId="28608"/>
    <cellStyle name="Porcentual 2 9 14 6" xfId="28609"/>
    <cellStyle name="Porcentual 2 9 14 7" xfId="28610"/>
    <cellStyle name="Porcentual 2 9 14 8" xfId="28611"/>
    <cellStyle name="Porcentual 2 9 15" xfId="28612"/>
    <cellStyle name="Porcentual 2 9 15 2" xfId="28613"/>
    <cellStyle name="Porcentual 2 9 15 2 2" xfId="28614"/>
    <cellStyle name="Porcentual 2 9 15 2 3" xfId="28615"/>
    <cellStyle name="Porcentual 2 9 15 2 4" xfId="28616"/>
    <cellStyle name="Porcentual 2 9 15 2 5" xfId="28617"/>
    <cellStyle name="Porcentual 2 9 15 2 6" xfId="28618"/>
    <cellStyle name="Porcentual 2 9 15 2 7" xfId="28619"/>
    <cellStyle name="Porcentual 2 9 15 3" xfId="28620"/>
    <cellStyle name="Porcentual 2 9 15 4" xfId="28621"/>
    <cellStyle name="Porcentual 2 9 15 5" xfId="28622"/>
    <cellStyle name="Porcentual 2 9 15 6" xfId="28623"/>
    <cellStyle name="Porcentual 2 9 15 7" xfId="28624"/>
    <cellStyle name="Porcentual 2 9 15 8" xfId="28625"/>
    <cellStyle name="Porcentual 2 9 16" xfId="28626"/>
    <cellStyle name="Porcentual 2 9 16 2" xfId="28627"/>
    <cellStyle name="Porcentual 2 9 16 3" xfId="28628"/>
    <cellStyle name="Porcentual 2 9 16 4" xfId="28629"/>
    <cellStyle name="Porcentual 2 9 16 5" xfId="28630"/>
    <cellStyle name="Porcentual 2 9 16 6" xfId="28631"/>
    <cellStyle name="Porcentual 2 9 16 7" xfId="28632"/>
    <cellStyle name="Porcentual 2 9 17" xfId="28633"/>
    <cellStyle name="Porcentual 2 9 17 2" xfId="28634"/>
    <cellStyle name="Porcentual 2 9 17 3" xfId="28635"/>
    <cellStyle name="Porcentual 2 9 17 4" xfId="28636"/>
    <cellStyle name="Porcentual 2 9 17 5" xfId="28637"/>
    <cellStyle name="Porcentual 2 9 17 6" xfId="28638"/>
    <cellStyle name="Porcentual 2 9 17 7" xfId="28639"/>
    <cellStyle name="Porcentual 2 9 18" xfId="28640"/>
    <cellStyle name="Porcentual 2 9 18 2" xfId="28641"/>
    <cellStyle name="Porcentual 2 9 18 3" xfId="28642"/>
    <cellStyle name="Porcentual 2 9 18 4" xfId="28643"/>
    <cellStyle name="Porcentual 2 9 18 5" xfId="28644"/>
    <cellStyle name="Porcentual 2 9 18 6" xfId="28645"/>
    <cellStyle name="Porcentual 2 9 18 7" xfId="28646"/>
    <cellStyle name="Porcentual 2 9 19" xfId="28647"/>
    <cellStyle name="Porcentual 2 9 19 2" xfId="28648"/>
    <cellStyle name="Porcentual 2 9 19 3" xfId="28649"/>
    <cellStyle name="Porcentual 2 9 19 4" xfId="28650"/>
    <cellStyle name="Porcentual 2 9 19 5" xfId="28651"/>
    <cellStyle name="Porcentual 2 9 19 6" xfId="28652"/>
    <cellStyle name="Porcentual 2 9 19 7" xfId="28653"/>
    <cellStyle name="Porcentual 2 9 2" xfId="28654"/>
    <cellStyle name="Porcentual 2 9 2 2" xfId="28655"/>
    <cellStyle name="Porcentual 2 9 2 2 2" xfId="28656"/>
    <cellStyle name="Porcentual 2 9 2 2 3" xfId="28657"/>
    <cellStyle name="Porcentual 2 9 2 2 4" xfId="28658"/>
    <cellStyle name="Porcentual 2 9 2 2 5" xfId="28659"/>
    <cellStyle name="Porcentual 2 9 2 2 6" xfId="28660"/>
    <cellStyle name="Porcentual 2 9 2 2 7" xfId="28661"/>
    <cellStyle name="Porcentual 2 9 2 3" xfId="28662"/>
    <cellStyle name="Porcentual 2 9 2 4" xfId="28663"/>
    <cellStyle name="Porcentual 2 9 2 5" xfId="28664"/>
    <cellStyle name="Porcentual 2 9 2 6" xfId="28665"/>
    <cellStyle name="Porcentual 2 9 2 7" xfId="28666"/>
    <cellStyle name="Porcentual 2 9 2 8" xfId="28667"/>
    <cellStyle name="Porcentual 2 9 20" xfId="28668"/>
    <cellStyle name="Porcentual 2 9 20 2" xfId="28669"/>
    <cellStyle name="Porcentual 2 9 20 3" xfId="28670"/>
    <cellStyle name="Porcentual 2 9 20 4" xfId="28671"/>
    <cellStyle name="Porcentual 2 9 20 5" xfId="28672"/>
    <cellStyle name="Porcentual 2 9 20 6" xfId="28673"/>
    <cellStyle name="Porcentual 2 9 20 7" xfId="28674"/>
    <cellStyle name="Porcentual 2 9 21" xfId="28675"/>
    <cellStyle name="Porcentual 2 9 21 2" xfId="28676"/>
    <cellStyle name="Porcentual 2 9 21 3" xfId="28677"/>
    <cellStyle name="Porcentual 2 9 21 4" xfId="28678"/>
    <cellStyle name="Porcentual 2 9 21 5" xfId="28679"/>
    <cellStyle name="Porcentual 2 9 21 6" xfId="28680"/>
    <cellStyle name="Porcentual 2 9 21 7" xfId="28681"/>
    <cellStyle name="Porcentual 2 9 22" xfId="28682"/>
    <cellStyle name="Porcentual 2 9 22 2" xfId="28683"/>
    <cellStyle name="Porcentual 2 9 22 3" xfId="28684"/>
    <cellStyle name="Porcentual 2 9 22 4" xfId="28685"/>
    <cellStyle name="Porcentual 2 9 22 5" xfId="28686"/>
    <cellStyle name="Porcentual 2 9 22 6" xfId="28687"/>
    <cellStyle name="Porcentual 2 9 22 7" xfId="28688"/>
    <cellStyle name="Porcentual 2 9 23" xfId="28689"/>
    <cellStyle name="Porcentual 2 9 23 2" xfId="28690"/>
    <cellStyle name="Porcentual 2 9 23 3" xfId="28691"/>
    <cellStyle name="Porcentual 2 9 23 4" xfId="28692"/>
    <cellStyle name="Porcentual 2 9 23 5" xfId="28693"/>
    <cellStyle name="Porcentual 2 9 23 6" xfId="28694"/>
    <cellStyle name="Porcentual 2 9 23 7" xfId="28695"/>
    <cellStyle name="Porcentual 2 9 24" xfId="28696"/>
    <cellStyle name="Porcentual 2 9 24 2" xfId="28697"/>
    <cellStyle name="Porcentual 2 9 24 3" xfId="28698"/>
    <cellStyle name="Porcentual 2 9 24 4" xfId="28699"/>
    <cellStyle name="Porcentual 2 9 24 5" xfId="28700"/>
    <cellStyle name="Porcentual 2 9 24 6" xfId="28701"/>
    <cellStyle name="Porcentual 2 9 24 7" xfId="28702"/>
    <cellStyle name="Porcentual 2 9 25" xfId="28703"/>
    <cellStyle name="Porcentual 2 9 25 2" xfId="28704"/>
    <cellStyle name="Porcentual 2 9 25 3" xfId="28705"/>
    <cellStyle name="Porcentual 2 9 25 4" xfId="28706"/>
    <cellStyle name="Porcentual 2 9 25 5" xfId="28707"/>
    <cellStyle name="Porcentual 2 9 25 6" xfId="28708"/>
    <cellStyle name="Porcentual 2 9 25 7" xfId="28709"/>
    <cellStyle name="Porcentual 2 9 26" xfId="28710"/>
    <cellStyle name="Porcentual 2 9 26 2" xfId="28711"/>
    <cellStyle name="Porcentual 2 9 26 3" xfId="28712"/>
    <cellStyle name="Porcentual 2 9 26 4" xfId="28713"/>
    <cellStyle name="Porcentual 2 9 26 5" xfId="28714"/>
    <cellStyle name="Porcentual 2 9 26 6" xfId="28715"/>
    <cellStyle name="Porcentual 2 9 26 7" xfId="28716"/>
    <cellStyle name="Porcentual 2 9 27" xfId="28717"/>
    <cellStyle name="Porcentual 2 9 27 2" xfId="28718"/>
    <cellStyle name="Porcentual 2 9 27 3" xfId="28719"/>
    <cellStyle name="Porcentual 2 9 27 4" xfId="28720"/>
    <cellStyle name="Porcentual 2 9 27 5" xfId="28721"/>
    <cellStyle name="Porcentual 2 9 27 6" xfId="28722"/>
    <cellStyle name="Porcentual 2 9 27 7" xfId="28723"/>
    <cellStyle name="Porcentual 2 9 28" xfId="28724"/>
    <cellStyle name="Porcentual 2 9 28 2" xfId="28725"/>
    <cellStyle name="Porcentual 2 9 28 3" xfId="28726"/>
    <cellStyle name="Porcentual 2 9 28 4" xfId="28727"/>
    <cellStyle name="Porcentual 2 9 28 5" xfId="28728"/>
    <cellStyle name="Porcentual 2 9 28 6" xfId="28729"/>
    <cellStyle name="Porcentual 2 9 28 7" xfId="28730"/>
    <cellStyle name="Porcentual 2 9 29" xfId="28731"/>
    <cellStyle name="Porcentual 2 9 29 2" xfId="28732"/>
    <cellStyle name="Porcentual 2 9 29 3" xfId="28733"/>
    <cellStyle name="Porcentual 2 9 29 4" xfId="28734"/>
    <cellStyle name="Porcentual 2 9 29 5" xfId="28735"/>
    <cellStyle name="Porcentual 2 9 29 6" xfId="28736"/>
    <cellStyle name="Porcentual 2 9 29 7" xfId="28737"/>
    <cellStyle name="Porcentual 2 9 3" xfId="28738"/>
    <cellStyle name="Porcentual 2 9 3 2" xfId="28739"/>
    <cellStyle name="Porcentual 2 9 3 2 2" xfId="28740"/>
    <cellStyle name="Porcentual 2 9 3 2 3" xfId="28741"/>
    <cellStyle name="Porcentual 2 9 3 2 4" xfId="28742"/>
    <cellStyle name="Porcentual 2 9 3 2 5" xfId="28743"/>
    <cellStyle name="Porcentual 2 9 3 2 6" xfId="28744"/>
    <cellStyle name="Porcentual 2 9 3 2 7" xfId="28745"/>
    <cellStyle name="Porcentual 2 9 3 3" xfId="28746"/>
    <cellStyle name="Porcentual 2 9 3 4" xfId="28747"/>
    <cellStyle name="Porcentual 2 9 3 5" xfId="28748"/>
    <cellStyle name="Porcentual 2 9 3 6" xfId="28749"/>
    <cellStyle name="Porcentual 2 9 3 7" xfId="28750"/>
    <cellStyle name="Porcentual 2 9 3 8" xfId="28751"/>
    <cellStyle name="Porcentual 2 9 30" xfId="28752"/>
    <cellStyle name="Porcentual 2 9 30 2" xfId="28753"/>
    <cellStyle name="Porcentual 2 9 30 3" xfId="28754"/>
    <cellStyle name="Porcentual 2 9 30 4" xfId="28755"/>
    <cellStyle name="Porcentual 2 9 30 5" xfId="28756"/>
    <cellStyle name="Porcentual 2 9 30 6" xfId="28757"/>
    <cellStyle name="Porcentual 2 9 30 7" xfId="28758"/>
    <cellStyle name="Porcentual 2 9 31" xfId="28759"/>
    <cellStyle name="Porcentual 2 9 31 2" xfId="28760"/>
    <cellStyle name="Porcentual 2 9 31 3" xfId="28761"/>
    <cellStyle name="Porcentual 2 9 31 4" xfId="28762"/>
    <cellStyle name="Porcentual 2 9 31 5" xfId="28763"/>
    <cellStyle name="Porcentual 2 9 31 6" xfId="28764"/>
    <cellStyle name="Porcentual 2 9 31 7" xfId="28765"/>
    <cellStyle name="Porcentual 2 9 32" xfId="28766"/>
    <cellStyle name="Porcentual 2 9 32 2" xfId="28767"/>
    <cellStyle name="Porcentual 2 9 32 3" xfId="28768"/>
    <cellStyle name="Porcentual 2 9 32 4" xfId="28769"/>
    <cellStyle name="Porcentual 2 9 32 5" xfId="28770"/>
    <cellStyle name="Porcentual 2 9 32 6" xfId="28771"/>
    <cellStyle name="Porcentual 2 9 32 7" xfId="28772"/>
    <cellStyle name="Porcentual 2 9 33" xfId="28773"/>
    <cellStyle name="Porcentual 2 9 33 2" xfId="28774"/>
    <cellStyle name="Porcentual 2 9 33 3" xfId="28775"/>
    <cellStyle name="Porcentual 2 9 33 4" xfId="28776"/>
    <cellStyle name="Porcentual 2 9 33 5" xfId="28777"/>
    <cellStyle name="Porcentual 2 9 33 6" xfId="28778"/>
    <cellStyle name="Porcentual 2 9 33 7" xfId="28779"/>
    <cellStyle name="Porcentual 2 9 34" xfId="28780"/>
    <cellStyle name="Porcentual 2 9 34 2" xfId="28781"/>
    <cellStyle name="Porcentual 2 9 34 3" xfId="28782"/>
    <cellStyle name="Porcentual 2 9 34 4" xfId="28783"/>
    <cellStyle name="Porcentual 2 9 34 5" xfId="28784"/>
    <cellStyle name="Porcentual 2 9 34 6" xfId="28785"/>
    <cellStyle name="Porcentual 2 9 34 7" xfId="28786"/>
    <cellStyle name="Porcentual 2 9 35" xfId="28787"/>
    <cellStyle name="Porcentual 2 9 35 2" xfId="28788"/>
    <cellStyle name="Porcentual 2 9 35 3" xfId="28789"/>
    <cellStyle name="Porcentual 2 9 35 4" xfId="28790"/>
    <cellStyle name="Porcentual 2 9 35 5" xfId="28791"/>
    <cellStyle name="Porcentual 2 9 35 6" xfId="28792"/>
    <cellStyle name="Porcentual 2 9 35 7" xfId="28793"/>
    <cellStyle name="Porcentual 2 9 36" xfId="28794"/>
    <cellStyle name="Porcentual 2 9 37" xfId="28795"/>
    <cellStyle name="Porcentual 2 9 38" xfId="28796"/>
    <cellStyle name="Porcentual 2 9 39" xfId="28797"/>
    <cellStyle name="Porcentual 2 9 4" xfId="28798"/>
    <cellStyle name="Porcentual 2 9 4 2" xfId="28799"/>
    <cellStyle name="Porcentual 2 9 4 2 2" xfId="28800"/>
    <cellStyle name="Porcentual 2 9 4 2 3" xfId="28801"/>
    <cellStyle name="Porcentual 2 9 4 2 4" xfId="28802"/>
    <cellStyle name="Porcentual 2 9 4 2 5" xfId="28803"/>
    <cellStyle name="Porcentual 2 9 4 2 6" xfId="28804"/>
    <cellStyle name="Porcentual 2 9 4 2 7" xfId="28805"/>
    <cellStyle name="Porcentual 2 9 4 3" xfId="28806"/>
    <cellStyle name="Porcentual 2 9 4 4" xfId="28807"/>
    <cellStyle name="Porcentual 2 9 4 5" xfId="28808"/>
    <cellStyle name="Porcentual 2 9 4 6" xfId="28809"/>
    <cellStyle name="Porcentual 2 9 4 7" xfId="28810"/>
    <cellStyle name="Porcentual 2 9 4 8" xfId="28811"/>
    <cellStyle name="Porcentual 2 9 40" xfId="28812"/>
    <cellStyle name="Porcentual 2 9 41" xfId="28813"/>
    <cellStyle name="Porcentual 2 9 5" xfId="28814"/>
    <cellStyle name="Porcentual 2 9 5 2" xfId="28815"/>
    <cellStyle name="Porcentual 2 9 5 2 2" xfId="28816"/>
    <cellStyle name="Porcentual 2 9 5 2 3" xfId="28817"/>
    <cellStyle name="Porcentual 2 9 5 2 4" xfId="28818"/>
    <cellStyle name="Porcentual 2 9 5 2 5" xfId="28819"/>
    <cellStyle name="Porcentual 2 9 5 2 6" xfId="28820"/>
    <cellStyle name="Porcentual 2 9 5 2 7" xfId="28821"/>
    <cellStyle name="Porcentual 2 9 5 3" xfId="28822"/>
    <cellStyle name="Porcentual 2 9 5 4" xfId="28823"/>
    <cellStyle name="Porcentual 2 9 5 5" xfId="28824"/>
    <cellStyle name="Porcentual 2 9 5 6" xfId="28825"/>
    <cellStyle name="Porcentual 2 9 5 7" xfId="28826"/>
    <cellStyle name="Porcentual 2 9 5 8" xfId="28827"/>
    <cellStyle name="Porcentual 2 9 6" xfId="28828"/>
    <cellStyle name="Porcentual 2 9 6 2" xfId="28829"/>
    <cellStyle name="Porcentual 2 9 6 2 2" xfId="28830"/>
    <cellStyle name="Porcentual 2 9 6 2 3" xfId="28831"/>
    <cellStyle name="Porcentual 2 9 6 2 4" xfId="28832"/>
    <cellStyle name="Porcentual 2 9 6 2 5" xfId="28833"/>
    <cellStyle name="Porcentual 2 9 6 2 6" xfId="28834"/>
    <cellStyle name="Porcentual 2 9 6 2 7" xfId="28835"/>
    <cellStyle name="Porcentual 2 9 6 3" xfId="28836"/>
    <cellStyle name="Porcentual 2 9 6 4" xfId="28837"/>
    <cellStyle name="Porcentual 2 9 6 5" xfId="28838"/>
    <cellStyle name="Porcentual 2 9 6 6" xfId="28839"/>
    <cellStyle name="Porcentual 2 9 6 7" xfId="28840"/>
    <cellStyle name="Porcentual 2 9 6 8" xfId="28841"/>
    <cellStyle name="Porcentual 2 9 7" xfId="28842"/>
    <cellStyle name="Porcentual 2 9 7 2" xfId="28843"/>
    <cellStyle name="Porcentual 2 9 7 2 2" xfId="28844"/>
    <cellStyle name="Porcentual 2 9 7 2 3" xfId="28845"/>
    <cellStyle name="Porcentual 2 9 7 2 4" xfId="28846"/>
    <cellStyle name="Porcentual 2 9 7 2 5" xfId="28847"/>
    <cellStyle name="Porcentual 2 9 7 2 6" xfId="28848"/>
    <cellStyle name="Porcentual 2 9 7 2 7" xfId="28849"/>
    <cellStyle name="Porcentual 2 9 7 3" xfId="28850"/>
    <cellStyle name="Porcentual 2 9 7 4" xfId="28851"/>
    <cellStyle name="Porcentual 2 9 7 5" xfId="28852"/>
    <cellStyle name="Porcentual 2 9 7 6" xfId="28853"/>
    <cellStyle name="Porcentual 2 9 7 7" xfId="28854"/>
    <cellStyle name="Porcentual 2 9 7 8" xfId="28855"/>
    <cellStyle name="Porcentual 2 9 8" xfId="28856"/>
    <cellStyle name="Porcentual 2 9 8 2" xfId="28857"/>
    <cellStyle name="Porcentual 2 9 8 2 2" xfId="28858"/>
    <cellStyle name="Porcentual 2 9 8 2 3" xfId="28859"/>
    <cellStyle name="Porcentual 2 9 8 2 4" xfId="28860"/>
    <cellStyle name="Porcentual 2 9 8 2 5" xfId="28861"/>
    <cellStyle name="Porcentual 2 9 8 2 6" xfId="28862"/>
    <cellStyle name="Porcentual 2 9 8 2 7" xfId="28863"/>
    <cellStyle name="Porcentual 2 9 8 3" xfId="28864"/>
    <cellStyle name="Porcentual 2 9 8 4" xfId="28865"/>
    <cellStyle name="Porcentual 2 9 8 5" xfId="28866"/>
    <cellStyle name="Porcentual 2 9 8 6" xfId="28867"/>
    <cellStyle name="Porcentual 2 9 8 7" xfId="28868"/>
    <cellStyle name="Porcentual 2 9 8 8" xfId="28869"/>
    <cellStyle name="Porcentual 2 9 9" xfId="28870"/>
    <cellStyle name="Porcentual 2 9 9 2" xfId="28871"/>
    <cellStyle name="Porcentual 2 9 9 2 2" xfId="28872"/>
    <cellStyle name="Porcentual 2 9 9 2 3" xfId="28873"/>
    <cellStyle name="Porcentual 2 9 9 2 4" xfId="28874"/>
    <cellStyle name="Porcentual 2 9 9 2 5" xfId="28875"/>
    <cellStyle name="Porcentual 2 9 9 2 6" xfId="28876"/>
    <cellStyle name="Porcentual 2 9 9 2 7" xfId="28877"/>
    <cellStyle name="Porcentual 2 9 9 3" xfId="28878"/>
    <cellStyle name="Porcentual 2 9 9 4" xfId="28879"/>
    <cellStyle name="Porcentual 2 9 9 5" xfId="28880"/>
    <cellStyle name="Porcentual 2 9 9 6" xfId="28881"/>
    <cellStyle name="Porcentual 2 9 9 7" xfId="28882"/>
    <cellStyle name="Porcentual 2 9 9 8" xfId="28883"/>
    <cellStyle name="Porcentual 2_01-04-2012" xfId="11166"/>
    <cellStyle name="Porcentual 3" xfId="11167"/>
    <cellStyle name="Porcentual 3 2" xfId="28884"/>
    <cellStyle name="Porcentual 3 2 2" xfId="28885"/>
    <cellStyle name="Porcentual 3 3" xfId="28886"/>
    <cellStyle name="Porcentual 3 3 2" xfId="40185"/>
    <cellStyle name="Porcentual 3 4" xfId="28887"/>
    <cellStyle name="Porcentual 3 4 2" xfId="40186"/>
    <cellStyle name="Porcentual 3 5" xfId="28888"/>
    <cellStyle name="Porcentual 3 6" xfId="28889"/>
    <cellStyle name="Porcentual 4" xfId="28890"/>
    <cellStyle name="Porcentual 4 2" xfId="28891"/>
    <cellStyle name="Porcentual 4 2 2" xfId="28892"/>
    <cellStyle name="Porcentual 4 2 2 2" xfId="33933"/>
    <cellStyle name="Porcentual 4 2 3" xfId="33934"/>
    <cellStyle name="Porcentual 4 3" xfId="28893"/>
    <cellStyle name="Porcentual 4 3 2" xfId="33935"/>
    <cellStyle name="Porcentual 4 4" xfId="28894"/>
    <cellStyle name="Porcentual 4 5" xfId="40187"/>
    <cellStyle name="Porcentual 5" xfId="28895"/>
    <cellStyle name="PSChar" xfId="28896"/>
    <cellStyle name="PSHeading" xfId="28897"/>
    <cellStyle name="regstoresfromspecstores" xfId="28898"/>
    <cellStyle name="RevList" xfId="28899"/>
    <cellStyle name="RevList 2" xfId="28900"/>
    <cellStyle name="Salida 10" xfId="11168"/>
    <cellStyle name="Salida 10 2" xfId="12105"/>
    <cellStyle name="Salida 10 2 2" xfId="31955"/>
    <cellStyle name="Salida 10 2 3" xfId="33377"/>
    <cellStyle name="Salida 10 2 4" xfId="40189"/>
    <cellStyle name="Salida 10 3" xfId="12106"/>
    <cellStyle name="Salida 10 3 2" xfId="31956"/>
    <cellStyle name="Salida 10 3 3" xfId="33378"/>
    <cellStyle name="Salida 10 3 4" xfId="40190"/>
    <cellStyle name="Salida 10 4" xfId="31954"/>
    <cellStyle name="Salida 10 5" xfId="33376"/>
    <cellStyle name="Salida 10 6" xfId="40188"/>
    <cellStyle name="Salida 11" xfId="11169"/>
    <cellStyle name="Salida 11 2" xfId="12107"/>
    <cellStyle name="Salida 11 2 2" xfId="31958"/>
    <cellStyle name="Salida 11 2 3" xfId="33380"/>
    <cellStyle name="Salida 11 2 4" xfId="40192"/>
    <cellStyle name="Salida 11 3" xfId="12108"/>
    <cellStyle name="Salida 11 3 2" xfId="31959"/>
    <cellStyle name="Salida 11 3 3" xfId="33381"/>
    <cellStyle name="Salida 11 3 4" xfId="40193"/>
    <cellStyle name="Salida 11 4" xfId="31957"/>
    <cellStyle name="Salida 11 5" xfId="33379"/>
    <cellStyle name="Salida 11 6" xfId="40191"/>
    <cellStyle name="Salida 12" xfId="11170"/>
    <cellStyle name="Salida 12 2" xfId="12109"/>
    <cellStyle name="Salida 12 2 2" xfId="31961"/>
    <cellStyle name="Salida 12 2 3" xfId="33383"/>
    <cellStyle name="Salida 12 2 4" xfId="40195"/>
    <cellStyle name="Salida 12 3" xfId="12110"/>
    <cellStyle name="Salida 12 3 2" xfId="31962"/>
    <cellStyle name="Salida 12 3 3" xfId="33384"/>
    <cellStyle name="Salida 12 3 4" xfId="40196"/>
    <cellStyle name="Salida 12 4" xfId="31960"/>
    <cellStyle name="Salida 12 5" xfId="33382"/>
    <cellStyle name="Salida 12 6" xfId="40194"/>
    <cellStyle name="Salida 13" xfId="11171"/>
    <cellStyle name="Salida 13 2" xfId="12111"/>
    <cellStyle name="Salida 13 2 2" xfId="31964"/>
    <cellStyle name="Salida 13 2 3" xfId="33386"/>
    <cellStyle name="Salida 13 2 4" xfId="40198"/>
    <cellStyle name="Salida 13 3" xfId="12112"/>
    <cellStyle name="Salida 13 3 2" xfId="31965"/>
    <cellStyle name="Salida 13 3 3" xfId="33387"/>
    <cellStyle name="Salida 13 3 4" xfId="40199"/>
    <cellStyle name="Salida 13 4" xfId="31963"/>
    <cellStyle name="Salida 13 5" xfId="33385"/>
    <cellStyle name="Salida 13 6" xfId="40197"/>
    <cellStyle name="Salida 14" xfId="11172"/>
    <cellStyle name="Salida 14 2" xfId="12113"/>
    <cellStyle name="Salida 14 2 2" xfId="31967"/>
    <cellStyle name="Salida 14 2 3" xfId="33389"/>
    <cellStyle name="Salida 14 2 4" xfId="40201"/>
    <cellStyle name="Salida 14 3" xfId="12114"/>
    <cellStyle name="Salida 14 3 2" xfId="31968"/>
    <cellStyle name="Salida 14 3 3" xfId="33390"/>
    <cellStyle name="Salida 14 3 4" xfId="40202"/>
    <cellStyle name="Salida 14 4" xfId="31966"/>
    <cellStyle name="Salida 14 5" xfId="33388"/>
    <cellStyle name="Salida 14 6" xfId="40200"/>
    <cellStyle name="Salida 15" xfId="11173"/>
    <cellStyle name="Salida 15 2" xfId="12115"/>
    <cellStyle name="Salida 15 2 2" xfId="31970"/>
    <cellStyle name="Salida 15 2 3" xfId="33392"/>
    <cellStyle name="Salida 15 2 4" xfId="40204"/>
    <cellStyle name="Salida 15 3" xfId="12116"/>
    <cellStyle name="Salida 15 3 2" xfId="31971"/>
    <cellStyle name="Salida 15 3 3" xfId="33393"/>
    <cellStyle name="Salida 15 3 4" xfId="40205"/>
    <cellStyle name="Salida 15 4" xfId="31969"/>
    <cellStyle name="Salida 15 5" xfId="33391"/>
    <cellStyle name="Salida 15 6" xfId="40203"/>
    <cellStyle name="Salida 16" xfId="11174"/>
    <cellStyle name="Salida 16 2" xfId="12117"/>
    <cellStyle name="Salida 16 2 2" xfId="31973"/>
    <cellStyle name="Salida 16 2 3" xfId="33395"/>
    <cellStyle name="Salida 16 2 4" xfId="40207"/>
    <cellStyle name="Salida 16 3" xfId="12118"/>
    <cellStyle name="Salida 16 3 2" xfId="31974"/>
    <cellStyle name="Salida 16 3 3" xfId="33396"/>
    <cellStyle name="Salida 16 3 4" xfId="40208"/>
    <cellStyle name="Salida 16 4" xfId="31972"/>
    <cellStyle name="Salida 16 5" xfId="33394"/>
    <cellStyle name="Salida 16 6" xfId="40206"/>
    <cellStyle name="Salida 17" xfId="11175"/>
    <cellStyle name="Salida 17 2" xfId="12119"/>
    <cellStyle name="Salida 17 2 2" xfId="31976"/>
    <cellStyle name="Salida 17 2 3" xfId="33398"/>
    <cellStyle name="Salida 17 2 4" xfId="40210"/>
    <cellStyle name="Salida 17 3" xfId="12120"/>
    <cellStyle name="Salida 17 3 2" xfId="31977"/>
    <cellStyle name="Salida 17 3 3" xfId="33399"/>
    <cellStyle name="Salida 17 3 4" xfId="40211"/>
    <cellStyle name="Salida 17 4" xfId="31975"/>
    <cellStyle name="Salida 17 5" xfId="33397"/>
    <cellStyle name="Salida 17 6" xfId="40209"/>
    <cellStyle name="Salida 18" xfId="11176"/>
    <cellStyle name="Salida 18 2" xfId="12121"/>
    <cellStyle name="Salida 18 2 2" xfId="31979"/>
    <cellStyle name="Salida 18 2 3" xfId="33401"/>
    <cellStyle name="Salida 18 2 4" xfId="40213"/>
    <cellStyle name="Salida 18 3" xfId="12122"/>
    <cellStyle name="Salida 18 3 2" xfId="31980"/>
    <cellStyle name="Salida 18 3 3" xfId="33402"/>
    <cellStyle name="Salida 18 3 4" xfId="40214"/>
    <cellStyle name="Salida 18 4" xfId="31978"/>
    <cellStyle name="Salida 18 5" xfId="33400"/>
    <cellStyle name="Salida 18 6" xfId="40212"/>
    <cellStyle name="Salida 19" xfId="11177"/>
    <cellStyle name="Salida 19 2" xfId="12123"/>
    <cellStyle name="Salida 19 2 2" xfId="31982"/>
    <cellStyle name="Salida 19 2 3" xfId="33404"/>
    <cellStyle name="Salida 19 2 4" xfId="40216"/>
    <cellStyle name="Salida 19 3" xfId="12124"/>
    <cellStyle name="Salida 19 3 2" xfId="31983"/>
    <cellStyle name="Salida 19 3 3" xfId="33405"/>
    <cellStyle name="Salida 19 3 4" xfId="40217"/>
    <cellStyle name="Salida 19 4" xfId="31981"/>
    <cellStyle name="Salida 19 5" xfId="33403"/>
    <cellStyle name="Salida 19 6" xfId="40215"/>
    <cellStyle name="Salida 2" xfId="11178"/>
    <cellStyle name="Salida 2 10" xfId="28901"/>
    <cellStyle name="Salida 2 10 2" xfId="28902"/>
    <cellStyle name="Salida 2 10 2 2" xfId="31986"/>
    <cellStyle name="Salida 2 10 3" xfId="28903"/>
    <cellStyle name="Salida 2 10 3 2" xfId="31987"/>
    <cellStyle name="Salida 2 10 4" xfId="28904"/>
    <cellStyle name="Salida 2 10 4 2" xfId="31988"/>
    <cellStyle name="Salida 2 10 5" xfId="28905"/>
    <cellStyle name="Salida 2 10 5 2" xfId="31989"/>
    <cellStyle name="Salida 2 10 6" xfId="28906"/>
    <cellStyle name="Salida 2 10 6 2" xfId="31990"/>
    <cellStyle name="Salida 2 10 7" xfId="31985"/>
    <cellStyle name="Salida 2 11" xfId="28907"/>
    <cellStyle name="Salida 2 11 2" xfId="28908"/>
    <cellStyle name="Salida 2 11 2 2" xfId="31992"/>
    <cellStyle name="Salida 2 11 3" xfId="31991"/>
    <cellStyle name="Salida 2 12" xfId="28909"/>
    <cellStyle name="Salida 2 12 2" xfId="31993"/>
    <cellStyle name="Salida 2 13" xfId="31984"/>
    <cellStyle name="Salida 2 14" xfId="33406"/>
    <cellStyle name="Salida 2 15" xfId="33936"/>
    <cellStyle name="Salida 2 16" xfId="40218"/>
    <cellStyle name="Salida 2 2" xfId="12125"/>
    <cellStyle name="Salida 2 2 10" xfId="28910"/>
    <cellStyle name="Salida 2 2 10 2" xfId="28911"/>
    <cellStyle name="Salida 2 2 10 2 2" xfId="31996"/>
    <cellStyle name="Salida 2 2 10 3" xfId="31995"/>
    <cellStyle name="Salida 2 2 11" xfId="28912"/>
    <cellStyle name="Salida 2 2 11 2" xfId="31997"/>
    <cellStyle name="Salida 2 2 12" xfId="31994"/>
    <cellStyle name="Salida 2 2 13" xfId="33407"/>
    <cellStyle name="Salida 2 2 14" xfId="33937"/>
    <cellStyle name="Salida 2 2 15" xfId="40219"/>
    <cellStyle name="Salida 2 2 2" xfId="28913"/>
    <cellStyle name="Salida 2 2 2 2" xfId="28914"/>
    <cellStyle name="Salida 2 2 2 2 2" xfId="31999"/>
    <cellStyle name="Salida 2 2 2 3" xfId="31998"/>
    <cellStyle name="Salida 2 2 3" xfId="28915"/>
    <cellStyle name="Salida 2 2 3 2" xfId="28916"/>
    <cellStyle name="Salida 2 2 3 2 2" xfId="32001"/>
    <cellStyle name="Salida 2 2 3 3" xfId="32000"/>
    <cellStyle name="Salida 2 2 4" xfId="28917"/>
    <cellStyle name="Salida 2 2 4 2" xfId="28918"/>
    <cellStyle name="Salida 2 2 4 2 2" xfId="32003"/>
    <cellStyle name="Salida 2 2 4 3" xfId="32002"/>
    <cellStyle name="Salida 2 2 5" xfId="28919"/>
    <cellStyle name="Salida 2 2 5 2" xfId="28920"/>
    <cellStyle name="Salida 2 2 5 2 2" xfId="32005"/>
    <cellStyle name="Salida 2 2 5 3" xfId="32004"/>
    <cellStyle name="Salida 2 2 6" xfId="28921"/>
    <cellStyle name="Salida 2 2 6 2" xfId="28922"/>
    <cellStyle name="Salida 2 2 6 2 2" xfId="32007"/>
    <cellStyle name="Salida 2 2 6 3" xfId="32006"/>
    <cellStyle name="Salida 2 2 7" xfId="28923"/>
    <cellStyle name="Salida 2 2 7 2" xfId="28924"/>
    <cellStyle name="Salida 2 2 7 2 2" xfId="32009"/>
    <cellStyle name="Salida 2 2 7 3" xfId="32008"/>
    <cellStyle name="Salida 2 2 8" xfId="28925"/>
    <cellStyle name="Salida 2 2 8 2" xfId="28926"/>
    <cellStyle name="Salida 2 2 8 2 2" xfId="32011"/>
    <cellStyle name="Salida 2 2 8 3" xfId="32010"/>
    <cellStyle name="Salida 2 2 9" xfId="28927"/>
    <cellStyle name="Salida 2 2 9 2" xfId="28928"/>
    <cellStyle name="Salida 2 2 9 2 2" xfId="32013"/>
    <cellStyle name="Salida 2 2 9 3" xfId="28929"/>
    <cellStyle name="Salida 2 2 9 3 2" xfId="32014"/>
    <cellStyle name="Salida 2 2 9 4" xfId="28930"/>
    <cellStyle name="Salida 2 2 9 4 2" xfId="32015"/>
    <cellStyle name="Salida 2 2 9 5" xfId="28931"/>
    <cellStyle name="Salida 2 2 9 5 2" xfId="32016"/>
    <cellStyle name="Salida 2 2 9 6" xfId="28932"/>
    <cellStyle name="Salida 2 2 9 6 2" xfId="32017"/>
    <cellStyle name="Salida 2 2 9 7" xfId="32012"/>
    <cellStyle name="Salida 2 3" xfId="12126"/>
    <cellStyle name="Salida 2 3 2" xfId="28933"/>
    <cellStyle name="Salida 2 3 2 2" xfId="32019"/>
    <cellStyle name="Salida 2 3 3" xfId="28934"/>
    <cellStyle name="Salida 2 3 3 2" xfId="32020"/>
    <cellStyle name="Salida 2 3 4" xfId="32018"/>
    <cellStyle name="Salida 2 3 5" xfId="33408"/>
    <cellStyle name="Salida 2 3 6" xfId="40220"/>
    <cellStyle name="Salida 2 4" xfId="28935"/>
    <cellStyle name="Salida 2 4 2" xfId="28936"/>
    <cellStyle name="Salida 2 4 2 2" xfId="32022"/>
    <cellStyle name="Salida 2 4 3" xfId="32021"/>
    <cellStyle name="Salida 2 5" xfId="28937"/>
    <cellStyle name="Salida 2 5 2" xfId="28938"/>
    <cellStyle name="Salida 2 5 2 2" xfId="32024"/>
    <cellStyle name="Salida 2 5 3" xfId="32023"/>
    <cellStyle name="Salida 2 6" xfId="28939"/>
    <cellStyle name="Salida 2 6 2" xfId="28940"/>
    <cellStyle name="Salida 2 6 2 2" xfId="32026"/>
    <cellStyle name="Salida 2 6 3" xfId="32025"/>
    <cellStyle name="Salida 2 7" xfId="28941"/>
    <cellStyle name="Salida 2 7 2" xfId="28942"/>
    <cellStyle name="Salida 2 7 2 2" xfId="32028"/>
    <cellStyle name="Salida 2 7 3" xfId="32027"/>
    <cellStyle name="Salida 2 8" xfId="28943"/>
    <cellStyle name="Salida 2 8 2" xfId="28944"/>
    <cellStyle name="Salida 2 8 2 2" xfId="32030"/>
    <cellStyle name="Salida 2 8 3" xfId="32029"/>
    <cellStyle name="Salida 2 9" xfId="28945"/>
    <cellStyle name="Salida 2 9 2" xfId="28946"/>
    <cellStyle name="Salida 2 9 2 2" xfId="32032"/>
    <cellStyle name="Salida 2 9 3" xfId="32031"/>
    <cellStyle name="Salida 20" xfId="11179"/>
    <cellStyle name="Salida 20 2" xfId="12127"/>
    <cellStyle name="Salida 20 2 2" xfId="32034"/>
    <cellStyle name="Salida 20 2 3" xfId="33410"/>
    <cellStyle name="Salida 20 2 4" xfId="40222"/>
    <cellStyle name="Salida 20 3" xfId="12128"/>
    <cellStyle name="Salida 20 3 2" xfId="32035"/>
    <cellStyle name="Salida 20 3 3" xfId="33411"/>
    <cellStyle name="Salida 20 3 4" xfId="40223"/>
    <cellStyle name="Salida 20 4" xfId="32033"/>
    <cellStyle name="Salida 20 5" xfId="33409"/>
    <cellStyle name="Salida 20 6" xfId="40221"/>
    <cellStyle name="Salida 21" xfId="11180"/>
    <cellStyle name="Salida 21 2" xfId="12129"/>
    <cellStyle name="Salida 21 2 2" xfId="32037"/>
    <cellStyle name="Salida 21 2 3" xfId="33413"/>
    <cellStyle name="Salida 21 2 4" xfId="40225"/>
    <cellStyle name="Salida 21 3" xfId="12130"/>
    <cellStyle name="Salida 21 3 2" xfId="32038"/>
    <cellStyle name="Salida 21 3 3" xfId="33414"/>
    <cellStyle name="Salida 21 3 4" xfId="40226"/>
    <cellStyle name="Salida 21 4" xfId="32036"/>
    <cellStyle name="Salida 21 5" xfId="33412"/>
    <cellStyle name="Salida 21 6" xfId="40224"/>
    <cellStyle name="Salida 22" xfId="11181"/>
    <cellStyle name="Salida 22 2" xfId="12131"/>
    <cellStyle name="Salida 22 2 2" xfId="32040"/>
    <cellStyle name="Salida 22 2 3" xfId="33416"/>
    <cellStyle name="Salida 22 2 4" xfId="40228"/>
    <cellStyle name="Salida 22 3" xfId="12132"/>
    <cellStyle name="Salida 22 3 2" xfId="32041"/>
    <cellStyle name="Salida 22 3 3" xfId="33417"/>
    <cellStyle name="Salida 22 3 4" xfId="40229"/>
    <cellStyle name="Salida 22 4" xfId="32039"/>
    <cellStyle name="Salida 22 5" xfId="33415"/>
    <cellStyle name="Salida 22 6" xfId="40227"/>
    <cellStyle name="Salida 23" xfId="11182"/>
    <cellStyle name="Salida 23 2" xfId="12133"/>
    <cellStyle name="Salida 23 2 2" xfId="32043"/>
    <cellStyle name="Salida 23 2 3" xfId="33419"/>
    <cellStyle name="Salida 23 2 4" xfId="40231"/>
    <cellStyle name="Salida 23 3" xfId="12134"/>
    <cellStyle name="Salida 23 3 2" xfId="32044"/>
    <cellStyle name="Salida 23 3 3" xfId="33420"/>
    <cellStyle name="Salida 23 3 4" xfId="40232"/>
    <cellStyle name="Salida 23 4" xfId="32042"/>
    <cellStyle name="Salida 23 5" xfId="33418"/>
    <cellStyle name="Salida 23 6" xfId="40230"/>
    <cellStyle name="Salida 24" xfId="11183"/>
    <cellStyle name="Salida 24 2" xfId="12135"/>
    <cellStyle name="Salida 24 2 2" xfId="32046"/>
    <cellStyle name="Salida 24 2 3" xfId="33422"/>
    <cellStyle name="Salida 24 2 4" xfId="40234"/>
    <cellStyle name="Salida 24 3" xfId="12136"/>
    <cellStyle name="Salida 24 3 2" xfId="32047"/>
    <cellStyle name="Salida 24 3 3" xfId="33423"/>
    <cellStyle name="Salida 24 3 4" xfId="40235"/>
    <cellStyle name="Salida 24 4" xfId="32045"/>
    <cellStyle name="Salida 24 5" xfId="33421"/>
    <cellStyle name="Salida 24 6" xfId="40233"/>
    <cellStyle name="Salida 25" xfId="11184"/>
    <cellStyle name="Salida 25 2" xfId="12137"/>
    <cellStyle name="Salida 25 2 2" xfId="32049"/>
    <cellStyle name="Salida 25 2 3" xfId="33425"/>
    <cellStyle name="Salida 25 2 4" xfId="40237"/>
    <cellStyle name="Salida 25 3" xfId="12138"/>
    <cellStyle name="Salida 25 3 2" xfId="32050"/>
    <cellStyle name="Salida 25 3 3" xfId="33426"/>
    <cellStyle name="Salida 25 3 4" xfId="40238"/>
    <cellStyle name="Salida 25 4" xfId="32048"/>
    <cellStyle name="Salida 25 5" xfId="33424"/>
    <cellStyle name="Salida 25 6" xfId="40236"/>
    <cellStyle name="Salida 26" xfId="11185"/>
    <cellStyle name="Salida 26 2" xfId="12139"/>
    <cellStyle name="Salida 26 2 2" xfId="32052"/>
    <cellStyle name="Salida 26 2 3" xfId="33428"/>
    <cellStyle name="Salida 26 2 4" xfId="40240"/>
    <cellStyle name="Salida 26 3" xfId="12140"/>
    <cellStyle name="Salida 26 3 2" xfId="32053"/>
    <cellStyle name="Salida 26 3 3" xfId="33429"/>
    <cellStyle name="Salida 26 3 4" xfId="40241"/>
    <cellStyle name="Salida 26 4" xfId="32051"/>
    <cellStyle name="Salida 26 5" xfId="33427"/>
    <cellStyle name="Salida 26 6" xfId="40239"/>
    <cellStyle name="Salida 27" xfId="11186"/>
    <cellStyle name="Salida 27 2" xfId="12141"/>
    <cellStyle name="Salida 27 2 2" xfId="32055"/>
    <cellStyle name="Salida 27 2 3" xfId="33431"/>
    <cellStyle name="Salida 27 2 4" xfId="40243"/>
    <cellStyle name="Salida 27 3" xfId="12142"/>
    <cellStyle name="Salida 27 3 2" xfId="32056"/>
    <cellStyle name="Salida 27 3 3" xfId="33432"/>
    <cellStyle name="Salida 27 3 4" xfId="40244"/>
    <cellStyle name="Salida 27 4" xfId="32054"/>
    <cellStyle name="Salida 27 5" xfId="33430"/>
    <cellStyle name="Salida 27 6" xfId="40242"/>
    <cellStyle name="Salida 28" xfId="11187"/>
    <cellStyle name="Salida 28 2" xfId="12143"/>
    <cellStyle name="Salida 28 2 2" xfId="32058"/>
    <cellStyle name="Salida 28 2 3" xfId="33434"/>
    <cellStyle name="Salida 28 2 4" xfId="40246"/>
    <cellStyle name="Salida 28 3" xfId="12144"/>
    <cellStyle name="Salida 28 3 2" xfId="32059"/>
    <cellStyle name="Salida 28 3 3" xfId="33435"/>
    <cellStyle name="Salida 28 3 4" xfId="40247"/>
    <cellStyle name="Salida 28 4" xfId="32057"/>
    <cellStyle name="Salida 28 5" xfId="33433"/>
    <cellStyle name="Salida 28 6" xfId="40245"/>
    <cellStyle name="Salida 29" xfId="11188"/>
    <cellStyle name="Salida 29 2" xfId="12145"/>
    <cellStyle name="Salida 29 2 2" xfId="32061"/>
    <cellStyle name="Salida 29 2 3" xfId="33437"/>
    <cellStyle name="Salida 29 2 4" xfId="40249"/>
    <cellStyle name="Salida 29 3" xfId="12146"/>
    <cellStyle name="Salida 29 3 2" xfId="32062"/>
    <cellStyle name="Salida 29 3 3" xfId="33438"/>
    <cellStyle name="Salida 29 3 4" xfId="40250"/>
    <cellStyle name="Salida 29 4" xfId="32060"/>
    <cellStyle name="Salida 29 5" xfId="33436"/>
    <cellStyle name="Salida 29 6" xfId="40248"/>
    <cellStyle name="Salida 3" xfId="11189"/>
    <cellStyle name="Salida 3 10" xfId="28947"/>
    <cellStyle name="Salida 3 10 2" xfId="28948"/>
    <cellStyle name="Salida 3 10 2 2" xfId="32065"/>
    <cellStyle name="Salida 3 10 3" xfId="28949"/>
    <cellStyle name="Salida 3 10 3 2" xfId="32066"/>
    <cellStyle name="Salida 3 10 4" xfId="28950"/>
    <cellStyle name="Salida 3 10 4 2" xfId="32067"/>
    <cellStyle name="Salida 3 10 5" xfId="28951"/>
    <cellStyle name="Salida 3 10 5 2" xfId="32068"/>
    <cellStyle name="Salida 3 10 6" xfId="28952"/>
    <cellStyle name="Salida 3 10 6 2" xfId="32069"/>
    <cellStyle name="Salida 3 10 7" xfId="32064"/>
    <cellStyle name="Salida 3 11" xfId="28953"/>
    <cellStyle name="Salida 3 11 2" xfId="28954"/>
    <cellStyle name="Salida 3 11 2 2" xfId="32071"/>
    <cellStyle name="Salida 3 11 3" xfId="32070"/>
    <cellStyle name="Salida 3 12" xfId="28955"/>
    <cellStyle name="Salida 3 12 2" xfId="32072"/>
    <cellStyle name="Salida 3 13" xfId="32063"/>
    <cellStyle name="Salida 3 14" xfId="33439"/>
    <cellStyle name="Salida 3 15" xfId="33938"/>
    <cellStyle name="Salida 3 16" xfId="40251"/>
    <cellStyle name="Salida 3 2" xfId="12147"/>
    <cellStyle name="Salida 3 2 10" xfId="28956"/>
    <cellStyle name="Salida 3 2 10 2" xfId="28957"/>
    <cellStyle name="Salida 3 2 10 2 2" xfId="32075"/>
    <cellStyle name="Salida 3 2 10 3" xfId="32074"/>
    <cellStyle name="Salida 3 2 11" xfId="28958"/>
    <cellStyle name="Salida 3 2 11 2" xfId="32076"/>
    <cellStyle name="Salida 3 2 12" xfId="32073"/>
    <cellStyle name="Salida 3 2 13" xfId="33440"/>
    <cellStyle name="Salida 3 2 14" xfId="33939"/>
    <cellStyle name="Salida 3 2 15" xfId="40252"/>
    <cellStyle name="Salida 3 2 2" xfId="28959"/>
    <cellStyle name="Salida 3 2 2 2" xfId="28960"/>
    <cellStyle name="Salida 3 2 2 2 2" xfId="32078"/>
    <cellStyle name="Salida 3 2 2 3" xfId="32077"/>
    <cellStyle name="Salida 3 2 3" xfId="28961"/>
    <cellStyle name="Salida 3 2 3 2" xfId="28962"/>
    <cellStyle name="Salida 3 2 3 2 2" xfId="32080"/>
    <cellStyle name="Salida 3 2 3 3" xfId="32079"/>
    <cellStyle name="Salida 3 2 4" xfId="28963"/>
    <cellStyle name="Salida 3 2 4 2" xfId="28964"/>
    <cellStyle name="Salida 3 2 4 2 2" xfId="32082"/>
    <cellStyle name="Salida 3 2 4 3" xfId="32081"/>
    <cellStyle name="Salida 3 2 5" xfId="28965"/>
    <cellStyle name="Salida 3 2 5 2" xfId="28966"/>
    <cellStyle name="Salida 3 2 5 2 2" xfId="32084"/>
    <cellStyle name="Salida 3 2 5 3" xfId="32083"/>
    <cellStyle name="Salida 3 2 6" xfId="28967"/>
    <cellStyle name="Salida 3 2 6 2" xfId="28968"/>
    <cellStyle name="Salida 3 2 6 2 2" xfId="32086"/>
    <cellStyle name="Salida 3 2 6 3" xfId="32085"/>
    <cellStyle name="Salida 3 2 7" xfId="28969"/>
    <cellStyle name="Salida 3 2 7 2" xfId="28970"/>
    <cellStyle name="Salida 3 2 7 2 2" xfId="32088"/>
    <cellStyle name="Salida 3 2 7 3" xfId="32087"/>
    <cellStyle name="Salida 3 2 8" xfId="28971"/>
    <cellStyle name="Salida 3 2 8 2" xfId="28972"/>
    <cellStyle name="Salida 3 2 8 2 2" xfId="32090"/>
    <cellStyle name="Salida 3 2 8 3" xfId="32089"/>
    <cellStyle name="Salida 3 2 9" xfId="28973"/>
    <cellStyle name="Salida 3 2 9 2" xfId="28974"/>
    <cellStyle name="Salida 3 2 9 2 2" xfId="32092"/>
    <cellStyle name="Salida 3 2 9 3" xfId="28975"/>
    <cellStyle name="Salida 3 2 9 3 2" xfId="32093"/>
    <cellStyle name="Salida 3 2 9 4" xfId="28976"/>
    <cellStyle name="Salida 3 2 9 4 2" xfId="32094"/>
    <cellStyle name="Salida 3 2 9 5" xfId="28977"/>
    <cellStyle name="Salida 3 2 9 5 2" xfId="32095"/>
    <cellStyle name="Salida 3 2 9 6" xfId="28978"/>
    <cellStyle name="Salida 3 2 9 6 2" xfId="32096"/>
    <cellStyle name="Salida 3 2 9 7" xfId="32091"/>
    <cellStyle name="Salida 3 3" xfId="12148"/>
    <cellStyle name="Salida 3 3 2" xfId="28979"/>
    <cellStyle name="Salida 3 3 2 2" xfId="32098"/>
    <cellStyle name="Salida 3 3 3" xfId="28980"/>
    <cellStyle name="Salida 3 3 3 2" xfId="32099"/>
    <cellStyle name="Salida 3 3 4" xfId="32097"/>
    <cellStyle name="Salida 3 3 5" xfId="33441"/>
    <cellStyle name="Salida 3 3 6" xfId="40253"/>
    <cellStyle name="Salida 3 4" xfId="28981"/>
    <cellStyle name="Salida 3 4 2" xfId="28982"/>
    <cellStyle name="Salida 3 4 2 2" xfId="32101"/>
    <cellStyle name="Salida 3 4 3" xfId="32100"/>
    <cellStyle name="Salida 3 5" xfId="28983"/>
    <cellStyle name="Salida 3 5 2" xfId="28984"/>
    <cellStyle name="Salida 3 5 2 2" xfId="32103"/>
    <cellStyle name="Salida 3 5 3" xfId="32102"/>
    <cellStyle name="Salida 3 6" xfId="28985"/>
    <cellStyle name="Salida 3 6 2" xfId="28986"/>
    <cellStyle name="Salida 3 6 2 2" xfId="32105"/>
    <cellStyle name="Salida 3 6 3" xfId="32104"/>
    <cellStyle name="Salida 3 7" xfId="28987"/>
    <cellStyle name="Salida 3 7 2" xfId="28988"/>
    <cellStyle name="Salida 3 7 2 2" xfId="32107"/>
    <cellStyle name="Salida 3 7 3" xfId="32106"/>
    <cellStyle name="Salida 3 8" xfId="28989"/>
    <cellStyle name="Salida 3 8 2" xfId="28990"/>
    <cellStyle name="Salida 3 8 2 2" xfId="32109"/>
    <cellStyle name="Salida 3 8 3" xfId="32108"/>
    <cellStyle name="Salida 3 9" xfId="28991"/>
    <cellStyle name="Salida 3 9 2" xfId="28992"/>
    <cellStyle name="Salida 3 9 2 2" xfId="32111"/>
    <cellStyle name="Salida 3 9 3" xfId="32110"/>
    <cellStyle name="Salida 30" xfId="11190"/>
    <cellStyle name="Salida 30 2" xfId="12149"/>
    <cellStyle name="Salida 30 2 2" xfId="32113"/>
    <cellStyle name="Salida 30 2 3" xfId="33443"/>
    <cellStyle name="Salida 30 2 4" xfId="40255"/>
    <cellStyle name="Salida 30 3" xfId="12150"/>
    <cellStyle name="Salida 30 3 2" xfId="32114"/>
    <cellStyle name="Salida 30 3 3" xfId="33444"/>
    <cellStyle name="Salida 30 3 4" xfId="40256"/>
    <cellStyle name="Salida 30 4" xfId="32112"/>
    <cellStyle name="Salida 30 5" xfId="33442"/>
    <cellStyle name="Salida 30 6" xfId="40254"/>
    <cellStyle name="Salida 31" xfId="11191"/>
    <cellStyle name="Salida 31 2" xfId="12151"/>
    <cellStyle name="Salida 31 2 2" xfId="32116"/>
    <cellStyle name="Salida 31 2 3" xfId="33446"/>
    <cellStyle name="Salida 31 2 4" xfId="40258"/>
    <cellStyle name="Salida 31 3" xfId="12152"/>
    <cellStyle name="Salida 31 3 2" xfId="32117"/>
    <cellStyle name="Salida 31 3 3" xfId="33447"/>
    <cellStyle name="Salida 31 3 4" xfId="40259"/>
    <cellStyle name="Salida 31 4" xfId="32115"/>
    <cellStyle name="Salida 31 5" xfId="33445"/>
    <cellStyle name="Salida 31 6" xfId="40257"/>
    <cellStyle name="Salida 32" xfId="11192"/>
    <cellStyle name="Salida 32 2" xfId="12153"/>
    <cellStyle name="Salida 32 2 2" xfId="32119"/>
    <cellStyle name="Salida 32 2 3" xfId="33449"/>
    <cellStyle name="Salida 32 2 4" xfId="40261"/>
    <cellStyle name="Salida 32 3" xfId="12154"/>
    <cellStyle name="Salida 32 3 2" xfId="32120"/>
    <cellStyle name="Salida 32 3 3" xfId="33450"/>
    <cellStyle name="Salida 32 3 4" xfId="40262"/>
    <cellStyle name="Salida 32 4" xfId="32118"/>
    <cellStyle name="Salida 32 5" xfId="33448"/>
    <cellStyle name="Salida 32 6" xfId="40260"/>
    <cellStyle name="Salida 33" xfId="11193"/>
    <cellStyle name="Salida 33 2" xfId="12155"/>
    <cellStyle name="Salida 33 2 2" xfId="32122"/>
    <cellStyle name="Salida 33 2 3" xfId="33452"/>
    <cellStyle name="Salida 33 2 4" xfId="40264"/>
    <cellStyle name="Salida 33 3" xfId="12156"/>
    <cellStyle name="Salida 33 3 2" xfId="32123"/>
    <cellStyle name="Salida 33 3 3" xfId="33453"/>
    <cellStyle name="Salida 33 3 4" xfId="40265"/>
    <cellStyle name="Salida 33 4" xfId="32121"/>
    <cellStyle name="Salida 33 5" xfId="33451"/>
    <cellStyle name="Salida 33 6" xfId="40263"/>
    <cellStyle name="Salida 34" xfId="11194"/>
    <cellStyle name="Salida 34 2" xfId="12157"/>
    <cellStyle name="Salida 34 2 2" xfId="32125"/>
    <cellStyle name="Salida 34 2 3" xfId="33455"/>
    <cellStyle name="Salida 34 2 4" xfId="40267"/>
    <cellStyle name="Salida 34 3" xfId="12158"/>
    <cellStyle name="Salida 34 3 2" xfId="32126"/>
    <cellStyle name="Salida 34 3 3" xfId="33456"/>
    <cellStyle name="Salida 34 3 4" xfId="40268"/>
    <cellStyle name="Salida 34 4" xfId="32124"/>
    <cellStyle name="Salida 34 5" xfId="33454"/>
    <cellStyle name="Salida 34 6" xfId="40266"/>
    <cellStyle name="Salida 35" xfId="11195"/>
    <cellStyle name="Salida 35 2" xfId="12159"/>
    <cellStyle name="Salida 35 2 2" xfId="32128"/>
    <cellStyle name="Salida 35 2 3" xfId="33458"/>
    <cellStyle name="Salida 35 2 4" xfId="40270"/>
    <cellStyle name="Salida 35 3" xfId="12160"/>
    <cellStyle name="Salida 35 3 2" xfId="32129"/>
    <cellStyle name="Salida 35 3 3" xfId="33459"/>
    <cellStyle name="Salida 35 3 4" xfId="40271"/>
    <cellStyle name="Salida 35 4" xfId="32127"/>
    <cellStyle name="Salida 35 5" xfId="33457"/>
    <cellStyle name="Salida 35 6" xfId="40269"/>
    <cellStyle name="Salida 36" xfId="11196"/>
    <cellStyle name="Salida 36 2" xfId="12161"/>
    <cellStyle name="Salida 36 2 2" xfId="32131"/>
    <cellStyle name="Salida 36 2 3" xfId="33461"/>
    <cellStyle name="Salida 36 2 4" xfId="40273"/>
    <cellStyle name="Salida 36 3" xfId="12162"/>
    <cellStyle name="Salida 36 3 2" xfId="32132"/>
    <cellStyle name="Salida 36 3 3" xfId="33462"/>
    <cellStyle name="Salida 36 3 4" xfId="40274"/>
    <cellStyle name="Salida 36 4" xfId="32130"/>
    <cellStyle name="Salida 36 5" xfId="33460"/>
    <cellStyle name="Salida 36 6" xfId="40272"/>
    <cellStyle name="Salida 37" xfId="11197"/>
    <cellStyle name="Salida 37 2" xfId="12163"/>
    <cellStyle name="Salida 37 2 2" xfId="32134"/>
    <cellStyle name="Salida 37 2 3" xfId="33464"/>
    <cellStyle name="Salida 37 2 4" xfId="40276"/>
    <cellStyle name="Salida 37 3" xfId="12164"/>
    <cellStyle name="Salida 37 3 2" xfId="32135"/>
    <cellStyle name="Salida 37 3 3" xfId="33465"/>
    <cellStyle name="Salida 37 3 4" xfId="40277"/>
    <cellStyle name="Salida 37 4" xfId="32133"/>
    <cellStyle name="Salida 37 5" xfId="33463"/>
    <cellStyle name="Salida 37 6" xfId="40275"/>
    <cellStyle name="Salida 38" xfId="11198"/>
    <cellStyle name="Salida 38 2" xfId="12165"/>
    <cellStyle name="Salida 38 2 2" xfId="32137"/>
    <cellStyle name="Salida 38 2 3" xfId="33467"/>
    <cellStyle name="Salida 38 2 4" xfId="40279"/>
    <cellStyle name="Salida 38 3" xfId="12166"/>
    <cellStyle name="Salida 38 3 2" xfId="32138"/>
    <cellStyle name="Salida 38 3 3" xfId="33468"/>
    <cellStyle name="Salida 38 3 4" xfId="40280"/>
    <cellStyle name="Salida 38 4" xfId="32136"/>
    <cellStyle name="Salida 38 5" xfId="33466"/>
    <cellStyle name="Salida 38 6" xfId="40278"/>
    <cellStyle name="Salida 39" xfId="11199"/>
    <cellStyle name="Salida 39 2" xfId="12167"/>
    <cellStyle name="Salida 39 2 2" xfId="32140"/>
    <cellStyle name="Salida 39 2 3" xfId="33470"/>
    <cellStyle name="Salida 39 2 4" xfId="40282"/>
    <cellStyle name="Salida 39 3" xfId="12168"/>
    <cellStyle name="Salida 39 3 2" xfId="32141"/>
    <cellStyle name="Salida 39 3 3" xfId="33471"/>
    <cellStyle name="Salida 39 3 4" xfId="40283"/>
    <cellStyle name="Salida 39 4" xfId="32139"/>
    <cellStyle name="Salida 39 5" xfId="33469"/>
    <cellStyle name="Salida 39 6" xfId="40281"/>
    <cellStyle name="Salida 4" xfId="11200"/>
    <cellStyle name="Salida 4 10" xfId="28993"/>
    <cellStyle name="Salida 4 10 2" xfId="28994"/>
    <cellStyle name="Salida 4 10 2 2" xfId="32144"/>
    <cellStyle name="Salida 4 10 3" xfId="28995"/>
    <cellStyle name="Salida 4 10 3 2" xfId="32145"/>
    <cellStyle name="Salida 4 10 4" xfId="28996"/>
    <cellStyle name="Salida 4 10 4 2" xfId="32146"/>
    <cellStyle name="Salida 4 10 5" xfId="28997"/>
    <cellStyle name="Salida 4 10 5 2" xfId="32147"/>
    <cellStyle name="Salida 4 10 6" xfId="28998"/>
    <cellStyle name="Salida 4 10 6 2" xfId="32148"/>
    <cellStyle name="Salida 4 10 7" xfId="32143"/>
    <cellStyle name="Salida 4 11" xfId="28999"/>
    <cellStyle name="Salida 4 11 2" xfId="29000"/>
    <cellStyle name="Salida 4 11 2 2" xfId="32150"/>
    <cellStyle name="Salida 4 11 3" xfId="32149"/>
    <cellStyle name="Salida 4 12" xfId="29001"/>
    <cellStyle name="Salida 4 12 2" xfId="32151"/>
    <cellStyle name="Salida 4 13" xfId="32142"/>
    <cellStyle name="Salida 4 14" xfId="33472"/>
    <cellStyle name="Salida 4 15" xfId="33940"/>
    <cellStyle name="Salida 4 16" xfId="40284"/>
    <cellStyle name="Salida 4 2" xfId="12169"/>
    <cellStyle name="Salida 4 2 10" xfId="29002"/>
    <cellStyle name="Salida 4 2 10 2" xfId="29003"/>
    <cellStyle name="Salida 4 2 10 2 2" xfId="32154"/>
    <cellStyle name="Salida 4 2 10 3" xfId="32153"/>
    <cellStyle name="Salida 4 2 11" xfId="29004"/>
    <cellStyle name="Salida 4 2 11 2" xfId="32155"/>
    <cellStyle name="Salida 4 2 12" xfId="32152"/>
    <cellStyle name="Salida 4 2 13" xfId="33473"/>
    <cellStyle name="Salida 4 2 14" xfId="33941"/>
    <cellStyle name="Salida 4 2 15" xfId="40285"/>
    <cellStyle name="Salida 4 2 2" xfId="29005"/>
    <cellStyle name="Salida 4 2 2 2" xfId="29006"/>
    <cellStyle name="Salida 4 2 2 2 2" xfId="32157"/>
    <cellStyle name="Salida 4 2 2 3" xfId="32156"/>
    <cellStyle name="Salida 4 2 3" xfId="29007"/>
    <cellStyle name="Salida 4 2 3 2" xfId="29008"/>
    <cellStyle name="Salida 4 2 3 2 2" xfId="32159"/>
    <cellStyle name="Salida 4 2 3 3" xfId="32158"/>
    <cellStyle name="Salida 4 2 4" xfId="29009"/>
    <cellStyle name="Salida 4 2 4 2" xfId="29010"/>
    <cellStyle name="Salida 4 2 4 2 2" xfId="32161"/>
    <cellStyle name="Salida 4 2 4 3" xfId="32160"/>
    <cellStyle name="Salida 4 2 5" xfId="29011"/>
    <cellStyle name="Salida 4 2 5 2" xfId="29012"/>
    <cellStyle name="Salida 4 2 5 2 2" xfId="32163"/>
    <cellStyle name="Salida 4 2 5 3" xfId="32162"/>
    <cellStyle name="Salida 4 2 6" xfId="29013"/>
    <cellStyle name="Salida 4 2 6 2" xfId="29014"/>
    <cellStyle name="Salida 4 2 6 2 2" xfId="32165"/>
    <cellStyle name="Salida 4 2 6 3" xfId="32164"/>
    <cellStyle name="Salida 4 2 7" xfId="29015"/>
    <cellStyle name="Salida 4 2 7 2" xfId="29016"/>
    <cellStyle name="Salida 4 2 7 2 2" xfId="32167"/>
    <cellStyle name="Salida 4 2 7 3" xfId="32166"/>
    <cellStyle name="Salida 4 2 8" xfId="29017"/>
    <cellStyle name="Salida 4 2 8 2" xfId="29018"/>
    <cellStyle name="Salida 4 2 8 2 2" xfId="32169"/>
    <cellStyle name="Salida 4 2 8 3" xfId="32168"/>
    <cellStyle name="Salida 4 2 9" xfId="29019"/>
    <cellStyle name="Salida 4 2 9 2" xfId="29020"/>
    <cellStyle name="Salida 4 2 9 2 2" xfId="32171"/>
    <cellStyle name="Salida 4 2 9 3" xfId="29021"/>
    <cellStyle name="Salida 4 2 9 3 2" xfId="32172"/>
    <cellStyle name="Salida 4 2 9 4" xfId="29022"/>
    <cellStyle name="Salida 4 2 9 4 2" xfId="32173"/>
    <cellStyle name="Salida 4 2 9 5" xfId="29023"/>
    <cellStyle name="Salida 4 2 9 5 2" xfId="32174"/>
    <cellStyle name="Salida 4 2 9 6" xfId="29024"/>
    <cellStyle name="Salida 4 2 9 6 2" xfId="32175"/>
    <cellStyle name="Salida 4 2 9 7" xfId="32170"/>
    <cellStyle name="Salida 4 3" xfId="12170"/>
    <cellStyle name="Salida 4 3 2" xfId="29025"/>
    <cellStyle name="Salida 4 3 2 2" xfId="32177"/>
    <cellStyle name="Salida 4 3 3" xfId="29026"/>
    <cellStyle name="Salida 4 3 3 2" xfId="32178"/>
    <cellStyle name="Salida 4 3 4" xfId="32176"/>
    <cellStyle name="Salida 4 3 5" xfId="33474"/>
    <cellStyle name="Salida 4 3 6" xfId="40286"/>
    <cellStyle name="Salida 4 4" xfId="29027"/>
    <cellStyle name="Salida 4 4 2" xfId="29028"/>
    <cellStyle name="Salida 4 4 2 2" xfId="32180"/>
    <cellStyle name="Salida 4 4 3" xfId="32179"/>
    <cellStyle name="Salida 4 5" xfId="29029"/>
    <cellStyle name="Salida 4 5 2" xfId="29030"/>
    <cellStyle name="Salida 4 5 2 2" xfId="32182"/>
    <cellStyle name="Salida 4 5 3" xfId="32181"/>
    <cellStyle name="Salida 4 6" xfId="29031"/>
    <cellStyle name="Salida 4 6 2" xfId="29032"/>
    <cellStyle name="Salida 4 6 2 2" xfId="32184"/>
    <cellStyle name="Salida 4 6 3" xfId="32183"/>
    <cellStyle name="Salida 4 7" xfId="29033"/>
    <cellStyle name="Salida 4 7 2" xfId="29034"/>
    <cellStyle name="Salida 4 7 2 2" xfId="32186"/>
    <cellStyle name="Salida 4 7 3" xfId="32185"/>
    <cellStyle name="Salida 4 8" xfId="29035"/>
    <cellStyle name="Salida 4 8 2" xfId="29036"/>
    <cellStyle name="Salida 4 8 2 2" xfId="32188"/>
    <cellStyle name="Salida 4 8 3" xfId="32187"/>
    <cellStyle name="Salida 4 9" xfId="29037"/>
    <cellStyle name="Salida 4 9 2" xfId="29038"/>
    <cellStyle name="Salida 4 9 2 2" xfId="32190"/>
    <cellStyle name="Salida 4 9 3" xfId="32189"/>
    <cellStyle name="Salida 40" xfId="11201"/>
    <cellStyle name="Salida 40 2" xfId="12171"/>
    <cellStyle name="Salida 40 2 2" xfId="32192"/>
    <cellStyle name="Salida 40 2 3" xfId="33476"/>
    <cellStyle name="Salida 40 2 4" xfId="40288"/>
    <cellStyle name="Salida 40 3" xfId="12172"/>
    <cellStyle name="Salida 40 3 2" xfId="32193"/>
    <cellStyle name="Salida 40 3 3" xfId="33477"/>
    <cellStyle name="Salida 40 3 4" xfId="40289"/>
    <cellStyle name="Salida 40 4" xfId="32191"/>
    <cellStyle name="Salida 40 5" xfId="33475"/>
    <cellStyle name="Salida 40 6" xfId="40287"/>
    <cellStyle name="Salida 41" xfId="11202"/>
    <cellStyle name="Salida 41 2" xfId="12173"/>
    <cellStyle name="Salida 41 2 2" xfId="32195"/>
    <cellStyle name="Salida 41 2 3" xfId="33479"/>
    <cellStyle name="Salida 41 2 4" xfId="40291"/>
    <cellStyle name="Salida 41 3" xfId="12174"/>
    <cellStyle name="Salida 41 3 2" xfId="32196"/>
    <cellStyle name="Salida 41 3 3" xfId="33480"/>
    <cellStyle name="Salida 41 3 4" xfId="40292"/>
    <cellStyle name="Salida 41 4" xfId="32194"/>
    <cellStyle name="Salida 41 5" xfId="33478"/>
    <cellStyle name="Salida 41 6" xfId="40290"/>
    <cellStyle name="Salida 42" xfId="11203"/>
    <cellStyle name="Salida 42 2" xfId="12175"/>
    <cellStyle name="Salida 42 2 2" xfId="32198"/>
    <cellStyle name="Salida 42 2 3" xfId="33482"/>
    <cellStyle name="Salida 42 2 4" xfId="40294"/>
    <cellStyle name="Salida 42 3" xfId="12176"/>
    <cellStyle name="Salida 42 3 2" xfId="32199"/>
    <cellStyle name="Salida 42 3 3" xfId="33483"/>
    <cellStyle name="Salida 42 3 4" xfId="40295"/>
    <cellStyle name="Salida 42 4" xfId="32197"/>
    <cellStyle name="Salida 42 5" xfId="33481"/>
    <cellStyle name="Salida 42 6" xfId="40293"/>
    <cellStyle name="Salida 43" xfId="11204"/>
    <cellStyle name="Salida 43 2" xfId="12177"/>
    <cellStyle name="Salida 43 2 2" xfId="32201"/>
    <cellStyle name="Salida 43 2 3" xfId="33485"/>
    <cellStyle name="Salida 43 2 4" xfId="40297"/>
    <cellStyle name="Salida 43 3" xfId="12178"/>
    <cellStyle name="Salida 43 3 2" xfId="32202"/>
    <cellStyle name="Salida 43 3 3" xfId="33486"/>
    <cellStyle name="Salida 43 3 4" xfId="40298"/>
    <cellStyle name="Salida 43 4" xfId="32200"/>
    <cellStyle name="Salida 43 5" xfId="33484"/>
    <cellStyle name="Salida 43 6" xfId="40296"/>
    <cellStyle name="Salida 44" xfId="11205"/>
    <cellStyle name="Salida 44 2" xfId="12179"/>
    <cellStyle name="Salida 44 2 2" xfId="32204"/>
    <cellStyle name="Salida 44 2 3" xfId="33488"/>
    <cellStyle name="Salida 44 2 4" xfId="40300"/>
    <cellStyle name="Salida 44 3" xfId="12180"/>
    <cellStyle name="Salida 44 3 2" xfId="32205"/>
    <cellStyle name="Salida 44 3 3" xfId="33489"/>
    <cellStyle name="Salida 44 3 4" xfId="40301"/>
    <cellStyle name="Salida 44 4" xfId="32203"/>
    <cellStyle name="Salida 44 5" xfId="33487"/>
    <cellStyle name="Salida 44 6" xfId="40299"/>
    <cellStyle name="Salida 45" xfId="11206"/>
    <cellStyle name="Salida 45 2" xfId="12181"/>
    <cellStyle name="Salida 45 2 2" xfId="32207"/>
    <cellStyle name="Salida 45 2 3" xfId="33491"/>
    <cellStyle name="Salida 45 2 4" xfId="40303"/>
    <cellStyle name="Salida 45 3" xfId="12182"/>
    <cellStyle name="Salida 45 3 2" xfId="32208"/>
    <cellStyle name="Salida 45 3 3" xfId="33492"/>
    <cellStyle name="Salida 45 3 4" xfId="40304"/>
    <cellStyle name="Salida 45 4" xfId="32206"/>
    <cellStyle name="Salida 45 5" xfId="33490"/>
    <cellStyle name="Salida 45 6" xfId="40302"/>
    <cellStyle name="Salida 46" xfId="11207"/>
    <cellStyle name="Salida 46 2" xfId="12183"/>
    <cellStyle name="Salida 46 2 2" xfId="32210"/>
    <cellStyle name="Salida 46 2 3" xfId="33494"/>
    <cellStyle name="Salida 46 2 4" xfId="40306"/>
    <cellStyle name="Salida 46 3" xfId="12184"/>
    <cellStyle name="Salida 46 3 2" xfId="32211"/>
    <cellStyle name="Salida 46 3 3" xfId="33495"/>
    <cellStyle name="Salida 46 3 4" xfId="40307"/>
    <cellStyle name="Salida 46 4" xfId="32209"/>
    <cellStyle name="Salida 46 5" xfId="33493"/>
    <cellStyle name="Salida 46 6" xfId="40305"/>
    <cellStyle name="Salida 47" xfId="11208"/>
    <cellStyle name="Salida 47 2" xfId="12185"/>
    <cellStyle name="Salida 47 2 2" xfId="32213"/>
    <cellStyle name="Salida 47 2 3" xfId="33497"/>
    <cellStyle name="Salida 47 2 4" xfId="40309"/>
    <cellStyle name="Salida 47 3" xfId="12186"/>
    <cellStyle name="Salida 47 3 2" xfId="32214"/>
    <cellStyle name="Salida 47 3 3" xfId="33498"/>
    <cellStyle name="Salida 47 3 4" xfId="40310"/>
    <cellStyle name="Salida 47 4" xfId="32212"/>
    <cellStyle name="Salida 47 5" xfId="33496"/>
    <cellStyle name="Salida 47 6" xfId="40308"/>
    <cellStyle name="Salida 48" xfId="11209"/>
    <cellStyle name="Salida 48 2" xfId="12187"/>
    <cellStyle name="Salida 48 2 2" xfId="32216"/>
    <cellStyle name="Salida 48 2 3" xfId="33500"/>
    <cellStyle name="Salida 48 2 4" xfId="40312"/>
    <cellStyle name="Salida 48 3" xfId="12188"/>
    <cellStyle name="Salida 48 3 2" xfId="32217"/>
    <cellStyle name="Salida 48 3 3" xfId="33501"/>
    <cellStyle name="Salida 48 3 4" xfId="40313"/>
    <cellStyle name="Salida 48 4" xfId="32215"/>
    <cellStyle name="Salida 48 5" xfId="33499"/>
    <cellStyle name="Salida 48 6" xfId="40311"/>
    <cellStyle name="Salida 49" xfId="11210"/>
    <cellStyle name="Salida 49 2" xfId="12189"/>
    <cellStyle name="Salida 49 2 2" xfId="32219"/>
    <cellStyle name="Salida 49 2 3" xfId="33503"/>
    <cellStyle name="Salida 49 2 4" xfId="40315"/>
    <cellStyle name="Salida 49 3" xfId="12190"/>
    <cellStyle name="Salida 49 3 2" xfId="32220"/>
    <cellStyle name="Salida 49 3 3" xfId="33504"/>
    <cellStyle name="Salida 49 3 4" xfId="40316"/>
    <cellStyle name="Salida 49 4" xfId="32218"/>
    <cellStyle name="Salida 49 5" xfId="33502"/>
    <cellStyle name="Salida 49 6" xfId="40314"/>
    <cellStyle name="Salida 5" xfId="11211"/>
    <cellStyle name="Salida 5 2" xfId="12191"/>
    <cellStyle name="Salida 5 2 10" xfId="29039"/>
    <cellStyle name="Salida 5 2 10 2" xfId="29040"/>
    <cellStyle name="Salida 5 2 10 2 2" xfId="32224"/>
    <cellStyle name="Salida 5 2 10 3" xfId="32223"/>
    <cellStyle name="Salida 5 2 11" xfId="29041"/>
    <cellStyle name="Salida 5 2 11 2" xfId="32225"/>
    <cellStyle name="Salida 5 2 12" xfId="32222"/>
    <cellStyle name="Salida 5 2 13" xfId="33506"/>
    <cellStyle name="Salida 5 2 14" xfId="33942"/>
    <cellStyle name="Salida 5 2 15" xfId="40318"/>
    <cellStyle name="Salida 5 2 2" xfId="29042"/>
    <cellStyle name="Salida 5 2 2 2" xfId="29043"/>
    <cellStyle name="Salida 5 2 2 2 2" xfId="32227"/>
    <cellStyle name="Salida 5 2 2 3" xfId="32226"/>
    <cellStyle name="Salida 5 2 3" xfId="29044"/>
    <cellStyle name="Salida 5 2 3 2" xfId="29045"/>
    <cellStyle name="Salida 5 2 3 2 2" xfId="32229"/>
    <cellStyle name="Salida 5 2 3 3" xfId="32228"/>
    <cellStyle name="Salida 5 2 4" xfId="29046"/>
    <cellStyle name="Salida 5 2 4 2" xfId="29047"/>
    <cellStyle name="Salida 5 2 4 2 2" xfId="32231"/>
    <cellStyle name="Salida 5 2 4 3" xfId="32230"/>
    <cellStyle name="Salida 5 2 5" xfId="29048"/>
    <cellStyle name="Salida 5 2 5 2" xfId="29049"/>
    <cellStyle name="Salida 5 2 5 2 2" xfId="32233"/>
    <cellStyle name="Salida 5 2 5 3" xfId="32232"/>
    <cellStyle name="Salida 5 2 6" xfId="29050"/>
    <cellStyle name="Salida 5 2 6 2" xfId="29051"/>
    <cellStyle name="Salida 5 2 6 2 2" xfId="32235"/>
    <cellStyle name="Salida 5 2 6 3" xfId="32234"/>
    <cellStyle name="Salida 5 2 7" xfId="29052"/>
    <cellStyle name="Salida 5 2 7 2" xfId="29053"/>
    <cellStyle name="Salida 5 2 7 2 2" xfId="32237"/>
    <cellStyle name="Salida 5 2 7 3" xfId="32236"/>
    <cellStyle name="Salida 5 2 8" xfId="29054"/>
    <cellStyle name="Salida 5 2 8 2" xfId="29055"/>
    <cellStyle name="Salida 5 2 8 2 2" xfId="32239"/>
    <cellStyle name="Salida 5 2 8 3" xfId="32238"/>
    <cellStyle name="Salida 5 2 9" xfId="29056"/>
    <cellStyle name="Salida 5 2 9 2" xfId="29057"/>
    <cellStyle name="Salida 5 2 9 2 2" xfId="32241"/>
    <cellStyle name="Salida 5 2 9 3" xfId="29058"/>
    <cellStyle name="Salida 5 2 9 3 2" xfId="32242"/>
    <cellStyle name="Salida 5 2 9 4" xfId="29059"/>
    <cellStyle name="Salida 5 2 9 4 2" xfId="32243"/>
    <cellStyle name="Salida 5 2 9 5" xfId="29060"/>
    <cellStyle name="Salida 5 2 9 5 2" xfId="32244"/>
    <cellStyle name="Salida 5 2 9 6" xfId="29061"/>
    <cellStyle name="Salida 5 2 9 6 2" xfId="32245"/>
    <cellStyle name="Salida 5 2 9 7" xfId="32240"/>
    <cellStyle name="Salida 5 3" xfId="12192"/>
    <cellStyle name="Salida 5 3 2" xfId="32246"/>
    <cellStyle name="Salida 5 3 3" xfId="33507"/>
    <cellStyle name="Salida 5 3 4" xfId="40319"/>
    <cellStyle name="Salida 5 4" xfId="32221"/>
    <cellStyle name="Salida 5 5" xfId="33505"/>
    <cellStyle name="Salida 5 6" xfId="40317"/>
    <cellStyle name="Salida 50" xfId="11212"/>
    <cellStyle name="Salida 50 2" xfId="12193"/>
    <cellStyle name="Salida 50 2 2" xfId="32248"/>
    <cellStyle name="Salida 50 2 3" xfId="33509"/>
    <cellStyle name="Salida 50 2 4" xfId="40321"/>
    <cellStyle name="Salida 50 3" xfId="12194"/>
    <cellStyle name="Salida 50 3 2" xfId="32249"/>
    <cellStyle name="Salida 50 3 3" xfId="33510"/>
    <cellStyle name="Salida 50 3 4" xfId="40322"/>
    <cellStyle name="Salida 50 4" xfId="32247"/>
    <cellStyle name="Salida 50 5" xfId="33508"/>
    <cellStyle name="Salida 50 6" xfId="40320"/>
    <cellStyle name="Salida 6" xfId="11213"/>
    <cellStyle name="Salida 6 2" xfId="12195"/>
    <cellStyle name="Salida 6 2 10" xfId="29062"/>
    <cellStyle name="Salida 6 2 10 2" xfId="29063"/>
    <cellStyle name="Salida 6 2 10 2 2" xfId="32253"/>
    <cellStyle name="Salida 6 2 10 3" xfId="32252"/>
    <cellStyle name="Salida 6 2 11" xfId="29064"/>
    <cellStyle name="Salida 6 2 11 2" xfId="32254"/>
    <cellStyle name="Salida 6 2 12" xfId="32251"/>
    <cellStyle name="Salida 6 2 13" xfId="33512"/>
    <cellStyle name="Salida 6 2 14" xfId="33943"/>
    <cellStyle name="Salida 6 2 15" xfId="40324"/>
    <cellStyle name="Salida 6 2 2" xfId="29065"/>
    <cellStyle name="Salida 6 2 2 2" xfId="29066"/>
    <cellStyle name="Salida 6 2 2 2 2" xfId="32256"/>
    <cellStyle name="Salida 6 2 2 3" xfId="32255"/>
    <cellStyle name="Salida 6 2 3" xfId="29067"/>
    <cellStyle name="Salida 6 2 3 2" xfId="29068"/>
    <cellStyle name="Salida 6 2 3 2 2" xfId="32258"/>
    <cellStyle name="Salida 6 2 3 3" xfId="32257"/>
    <cellStyle name="Salida 6 2 4" xfId="29069"/>
    <cellStyle name="Salida 6 2 4 2" xfId="29070"/>
    <cellStyle name="Salida 6 2 4 2 2" xfId="32260"/>
    <cellStyle name="Salida 6 2 4 3" xfId="32259"/>
    <cellStyle name="Salida 6 2 5" xfId="29071"/>
    <cellStyle name="Salida 6 2 5 2" xfId="29072"/>
    <cellStyle name="Salida 6 2 5 2 2" xfId="32262"/>
    <cellStyle name="Salida 6 2 5 3" xfId="32261"/>
    <cellStyle name="Salida 6 2 6" xfId="29073"/>
    <cellStyle name="Salida 6 2 6 2" xfId="29074"/>
    <cellStyle name="Salida 6 2 6 2 2" xfId="32264"/>
    <cellStyle name="Salida 6 2 6 3" xfId="32263"/>
    <cellStyle name="Salida 6 2 7" xfId="29075"/>
    <cellStyle name="Salida 6 2 7 2" xfId="29076"/>
    <cellStyle name="Salida 6 2 7 2 2" xfId="32266"/>
    <cellStyle name="Salida 6 2 7 3" xfId="32265"/>
    <cellStyle name="Salida 6 2 8" xfId="29077"/>
    <cellStyle name="Salida 6 2 8 2" xfId="29078"/>
    <cellStyle name="Salida 6 2 8 2 2" xfId="32268"/>
    <cellStyle name="Salida 6 2 8 3" xfId="32267"/>
    <cellStyle name="Salida 6 2 9" xfId="29079"/>
    <cellStyle name="Salida 6 2 9 2" xfId="29080"/>
    <cellStyle name="Salida 6 2 9 2 2" xfId="32270"/>
    <cellStyle name="Salida 6 2 9 3" xfId="29081"/>
    <cellStyle name="Salida 6 2 9 3 2" xfId="32271"/>
    <cellStyle name="Salida 6 2 9 4" xfId="29082"/>
    <cellStyle name="Salida 6 2 9 4 2" xfId="32272"/>
    <cellStyle name="Salida 6 2 9 5" xfId="29083"/>
    <cellStyle name="Salida 6 2 9 5 2" xfId="32273"/>
    <cellStyle name="Salida 6 2 9 6" xfId="29084"/>
    <cellStyle name="Salida 6 2 9 6 2" xfId="32274"/>
    <cellStyle name="Salida 6 2 9 7" xfId="32269"/>
    <cellStyle name="Salida 6 3" xfId="12196"/>
    <cellStyle name="Salida 6 3 2" xfId="32275"/>
    <cellStyle name="Salida 6 3 3" xfId="33513"/>
    <cellStyle name="Salida 6 3 4" xfId="40325"/>
    <cellStyle name="Salida 6 4" xfId="32250"/>
    <cellStyle name="Salida 6 5" xfId="33511"/>
    <cellStyle name="Salida 6 6" xfId="40323"/>
    <cellStyle name="Salida 7" xfId="11214"/>
    <cellStyle name="Salida 7 2" xfId="12197"/>
    <cellStyle name="Salida 7 2 10" xfId="29085"/>
    <cellStyle name="Salida 7 2 10 2" xfId="29086"/>
    <cellStyle name="Salida 7 2 10 2 2" xfId="32279"/>
    <cellStyle name="Salida 7 2 10 3" xfId="32278"/>
    <cellStyle name="Salida 7 2 11" xfId="29087"/>
    <cellStyle name="Salida 7 2 11 2" xfId="32280"/>
    <cellStyle name="Salida 7 2 12" xfId="32277"/>
    <cellStyle name="Salida 7 2 13" xfId="33515"/>
    <cellStyle name="Salida 7 2 14" xfId="33944"/>
    <cellStyle name="Salida 7 2 15" xfId="40327"/>
    <cellStyle name="Salida 7 2 2" xfId="29088"/>
    <cellStyle name="Salida 7 2 2 2" xfId="29089"/>
    <cellStyle name="Salida 7 2 2 2 2" xfId="32282"/>
    <cellStyle name="Salida 7 2 2 3" xfId="32281"/>
    <cellStyle name="Salida 7 2 3" xfId="29090"/>
    <cellStyle name="Salida 7 2 3 2" xfId="29091"/>
    <cellStyle name="Salida 7 2 3 2 2" xfId="32284"/>
    <cellStyle name="Salida 7 2 3 3" xfId="32283"/>
    <cellStyle name="Salida 7 2 4" xfId="29092"/>
    <cellStyle name="Salida 7 2 4 2" xfId="29093"/>
    <cellStyle name="Salida 7 2 4 2 2" xfId="32286"/>
    <cellStyle name="Salida 7 2 4 3" xfId="32285"/>
    <cellStyle name="Salida 7 2 5" xfId="29094"/>
    <cellStyle name="Salida 7 2 5 2" xfId="29095"/>
    <cellStyle name="Salida 7 2 5 2 2" xfId="32288"/>
    <cellStyle name="Salida 7 2 5 3" xfId="32287"/>
    <cellStyle name="Salida 7 2 6" xfId="29096"/>
    <cellStyle name="Salida 7 2 6 2" xfId="29097"/>
    <cellStyle name="Salida 7 2 6 2 2" xfId="32290"/>
    <cellStyle name="Salida 7 2 6 3" xfId="32289"/>
    <cellStyle name="Salida 7 2 7" xfId="29098"/>
    <cellStyle name="Salida 7 2 7 2" xfId="29099"/>
    <cellStyle name="Salida 7 2 7 2 2" xfId="32292"/>
    <cellStyle name="Salida 7 2 7 3" xfId="32291"/>
    <cellStyle name="Salida 7 2 8" xfId="29100"/>
    <cellStyle name="Salida 7 2 8 2" xfId="29101"/>
    <cellStyle name="Salida 7 2 8 2 2" xfId="32294"/>
    <cellStyle name="Salida 7 2 8 3" xfId="32293"/>
    <cellStyle name="Salida 7 2 9" xfId="29102"/>
    <cellStyle name="Salida 7 2 9 2" xfId="29103"/>
    <cellStyle name="Salida 7 2 9 2 2" xfId="32296"/>
    <cellStyle name="Salida 7 2 9 3" xfId="29104"/>
    <cellStyle name="Salida 7 2 9 3 2" xfId="32297"/>
    <cellStyle name="Salida 7 2 9 4" xfId="29105"/>
    <cellStyle name="Salida 7 2 9 4 2" xfId="32298"/>
    <cellStyle name="Salida 7 2 9 5" xfId="29106"/>
    <cellStyle name="Salida 7 2 9 5 2" xfId="32299"/>
    <cellStyle name="Salida 7 2 9 6" xfId="29107"/>
    <cellStyle name="Salida 7 2 9 6 2" xfId="32300"/>
    <cellStyle name="Salida 7 2 9 7" xfId="32295"/>
    <cellStyle name="Salida 7 3" xfId="12198"/>
    <cellStyle name="Salida 7 3 2" xfId="32301"/>
    <cellStyle name="Salida 7 3 3" xfId="33516"/>
    <cellStyle name="Salida 7 3 4" xfId="40328"/>
    <cellStyle name="Salida 7 4" xfId="32276"/>
    <cellStyle name="Salida 7 5" xfId="33514"/>
    <cellStyle name="Salida 7 6" xfId="40326"/>
    <cellStyle name="Salida 8" xfId="11215"/>
    <cellStyle name="Salida 8 2" xfId="12199"/>
    <cellStyle name="Salida 8 2 10" xfId="29108"/>
    <cellStyle name="Salida 8 2 10 2" xfId="29109"/>
    <cellStyle name="Salida 8 2 10 2 2" xfId="32305"/>
    <cellStyle name="Salida 8 2 10 3" xfId="32304"/>
    <cellStyle name="Salida 8 2 11" xfId="29110"/>
    <cellStyle name="Salida 8 2 11 2" xfId="32306"/>
    <cellStyle name="Salida 8 2 12" xfId="32303"/>
    <cellStyle name="Salida 8 2 13" xfId="33518"/>
    <cellStyle name="Salida 8 2 14" xfId="33945"/>
    <cellStyle name="Salida 8 2 15" xfId="40330"/>
    <cellStyle name="Salida 8 2 2" xfId="29111"/>
    <cellStyle name="Salida 8 2 2 2" xfId="29112"/>
    <cellStyle name="Salida 8 2 2 2 2" xfId="32308"/>
    <cellStyle name="Salida 8 2 2 3" xfId="32307"/>
    <cellStyle name="Salida 8 2 3" xfId="29113"/>
    <cellStyle name="Salida 8 2 3 2" xfId="29114"/>
    <cellStyle name="Salida 8 2 3 2 2" xfId="32310"/>
    <cellStyle name="Salida 8 2 3 3" xfId="32309"/>
    <cellStyle name="Salida 8 2 4" xfId="29115"/>
    <cellStyle name="Salida 8 2 4 2" xfId="29116"/>
    <cellStyle name="Salida 8 2 4 2 2" xfId="32312"/>
    <cellStyle name="Salida 8 2 4 3" xfId="32311"/>
    <cellStyle name="Salida 8 2 5" xfId="29117"/>
    <cellStyle name="Salida 8 2 5 2" xfId="29118"/>
    <cellStyle name="Salida 8 2 5 2 2" xfId="32314"/>
    <cellStyle name="Salida 8 2 5 3" xfId="32313"/>
    <cellStyle name="Salida 8 2 6" xfId="29119"/>
    <cellStyle name="Salida 8 2 6 2" xfId="29120"/>
    <cellStyle name="Salida 8 2 6 2 2" xfId="32316"/>
    <cellStyle name="Salida 8 2 6 3" xfId="32315"/>
    <cellStyle name="Salida 8 2 7" xfId="29121"/>
    <cellStyle name="Salida 8 2 7 2" xfId="29122"/>
    <cellStyle name="Salida 8 2 7 2 2" xfId="32318"/>
    <cellStyle name="Salida 8 2 7 3" xfId="32317"/>
    <cellStyle name="Salida 8 2 8" xfId="29123"/>
    <cellStyle name="Salida 8 2 8 2" xfId="29124"/>
    <cellStyle name="Salida 8 2 8 2 2" xfId="32320"/>
    <cellStyle name="Salida 8 2 8 3" xfId="32319"/>
    <cellStyle name="Salida 8 2 9" xfId="29125"/>
    <cellStyle name="Salida 8 2 9 2" xfId="29126"/>
    <cellStyle name="Salida 8 2 9 2 2" xfId="32322"/>
    <cellStyle name="Salida 8 2 9 3" xfId="29127"/>
    <cellStyle name="Salida 8 2 9 3 2" xfId="32323"/>
    <cellStyle name="Salida 8 2 9 4" xfId="29128"/>
    <cellStyle name="Salida 8 2 9 4 2" xfId="32324"/>
    <cellStyle name="Salida 8 2 9 5" xfId="29129"/>
    <cellStyle name="Salida 8 2 9 5 2" xfId="32325"/>
    <cellStyle name="Salida 8 2 9 6" xfId="29130"/>
    <cellStyle name="Salida 8 2 9 6 2" xfId="32326"/>
    <cellStyle name="Salida 8 2 9 7" xfId="32321"/>
    <cellStyle name="Salida 8 3" xfId="12200"/>
    <cellStyle name="Salida 8 3 2" xfId="32327"/>
    <cellStyle name="Salida 8 3 3" xfId="33519"/>
    <cellStyle name="Salida 8 3 4" xfId="40331"/>
    <cellStyle name="Salida 8 4" xfId="32302"/>
    <cellStyle name="Salida 8 5" xfId="33517"/>
    <cellStyle name="Salida 8 6" xfId="40329"/>
    <cellStyle name="Salida 9" xfId="11216"/>
    <cellStyle name="Salida 9 2" xfId="12201"/>
    <cellStyle name="Salida 9 2 10" xfId="29131"/>
    <cellStyle name="Salida 9 2 10 2" xfId="29132"/>
    <cellStyle name="Salida 9 2 10 2 2" xfId="32331"/>
    <cellStyle name="Salida 9 2 10 3" xfId="32330"/>
    <cellStyle name="Salida 9 2 11" xfId="29133"/>
    <cellStyle name="Salida 9 2 11 2" xfId="32332"/>
    <cellStyle name="Salida 9 2 12" xfId="32329"/>
    <cellStyle name="Salida 9 2 13" xfId="33521"/>
    <cellStyle name="Salida 9 2 14" xfId="33946"/>
    <cellStyle name="Salida 9 2 15" xfId="40333"/>
    <cellStyle name="Salida 9 2 2" xfId="29134"/>
    <cellStyle name="Salida 9 2 2 2" xfId="29135"/>
    <cellStyle name="Salida 9 2 2 2 2" xfId="32334"/>
    <cellStyle name="Salida 9 2 2 3" xfId="32333"/>
    <cellStyle name="Salida 9 2 3" xfId="29136"/>
    <cellStyle name="Salida 9 2 3 2" xfId="29137"/>
    <cellStyle name="Salida 9 2 3 2 2" xfId="32336"/>
    <cellStyle name="Salida 9 2 3 3" xfId="32335"/>
    <cellStyle name="Salida 9 2 4" xfId="29138"/>
    <cellStyle name="Salida 9 2 4 2" xfId="29139"/>
    <cellStyle name="Salida 9 2 4 2 2" xfId="32338"/>
    <cellStyle name="Salida 9 2 4 3" xfId="32337"/>
    <cellStyle name="Salida 9 2 5" xfId="29140"/>
    <cellStyle name="Salida 9 2 5 2" xfId="29141"/>
    <cellStyle name="Salida 9 2 5 2 2" xfId="32340"/>
    <cellStyle name="Salida 9 2 5 3" xfId="32339"/>
    <cellStyle name="Salida 9 2 6" xfId="29142"/>
    <cellStyle name="Salida 9 2 6 2" xfId="29143"/>
    <cellStyle name="Salida 9 2 6 2 2" xfId="32342"/>
    <cellStyle name="Salida 9 2 6 3" xfId="32341"/>
    <cellStyle name="Salida 9 2 7" xfId="29144"/>
    <cellStyle name="Salida 9 2 7 2" xfId="29145"/>
    <cellStyle name="Salida 9 2 7 2 2" xfId="32344"/>
    <cellStyle name="Salida 9 2 7 3" xfId="32343"/>
    <cellStyle name="Salida 9 2 8" xfId="29146"/>
    <cellStyle name="Salida 9 2 8 2" xfId="29147"/>
    <cellStyle name="Salida 9 2 8 2 2" xfId="32346"/>
    <cellStyle name="Salida 9 2 8 3" xfId="32345"/>
    <cellStyle name="Salida 9 2 9" xfId="29148"/>
    <cellStyle name="Salida 9 2 9 2" xfId="29149"/>
    <cellStyle name="Salida 9 2 9 2 2" xfId="32348"/>
    <cellStyle name="Salida 9 2 9 3" xfId="29150"/>
    <cellStyle name="Salida 9 2 9 3 2" xfId="32349"/>
    <cellStyle name="Salida 9 2 9 4" xfId="29151"/>
    <cellStyle name="Salida 9 2 9 4 2" xfId="32350"/>
    <cellStyle name="Salida 9 2 9 5" xfId="29152"/>
    <cellStyle name="Salida 9 2 9 5 2" xfId="32351"/>
    <cellStyle name="Salida 9 2 9 6" xfId="29153"/>
    <cellStyle name="Salida 9 2 9 6 2" xfId="32352"/>
    <cellStyle name="Salida 9 2 9 7" xfId="32347"/>
    <cellStyle name="Salida 9 3" xfId="12202"/>
    <cellStyle name="Salida 9 3 2" xfId="32353"/>
    <cellStyle name="Salida 9 3 3" xfId="33522"/>
    <cellStyle name="Salida 9 3 4" xfId="40334"/>
    <cellStyle name="Salida 9 4" xfId="32328"/>
    <cellStyle name="Salida 9 5" xfId="33520"/>
    <cellStyle name="Salida 9 6" xfId="40332"/>
    <cellStyle name="SAPHierarchyCell4" xfId="40957"/>
    <cellStyle name="SHADEDSTORES" xfId="29154"/>
    <cellStyle name="SHADEDSTORES 10" xfId="29155"/>
    <cellStyle name="SHADEDSTORES 10 2" xfId="32355"/>
    <cellStyle name="SHADEDSTORES 11" xfId="32354"/>
    <cellStyle name="SHADEDSTORES 12" xfId="40353"/>
    <cellStyle name="SHADEDSTORES 2" xfId="29156"/>
    <cellStyle name="SHADEDSTORES 2 2" xfId="29157"/>
    <cellStyle name="SHADEDSTORES 2 2 2" xfId="32357"/>
    <cellStyle name="SHADEDSTORES 2 3" xfId="29158"/>
    <cellStyle name="SHADEDSTORES 2 3 2" xfId="32358"/>
    <cellStyle name="SHADEDSTORES 2 4" xfId="29159"/>
    <cellStyle name="SHADEDSTORES 2 4 2" xfId="32359"/>
    <cellStyle name="SHADEDSTORES 2 5" xfId="29160"/>
    <cellStyle name="SHADEDSTORES 2 5 2" xfId="32360"/>
    <cellStyle name="SHADEDSTORES 2 6" xfId="29161"/>
    <cellStyle name="SHADEDSTORES 2 6 2" xfId="32361"/>
    <cellStyle name="SHADEDSTORES 2 7" xfId="32356"/>
    <cellStyle name="SHADEDSTORES 3" xfId="29162"/>
    <cellStyle name="SHADEDSTORES 3 2" xfId="29163"/>
    <cellStyle name="SHADEDSTORES 3 2 2" xfId="32363"/>
    <cellStyle name="SHADEDSTORES 3 3" xfId="29164"/>
    <cellStyle name="SHADEDSTORES 3 3 2" xfId="32364"/>
    <cellStyle name="SHADEDSTORES 3 4" xfId="29165"/>
    <cellStyle name="SHADEDSTORES 3 4 2" xfId="32365"/>
    <cellStyle name="SHADEDSTORES 3 5" xfId="29166"/>
    <cellStyle name="SHADEDSTORES 3 5 2" xfId="32366"/>
    <cellStyle name="SHADEDSTORES 3 6" xfId="29167"/>
    <cellStyle name="SHADEDSTORES 3 6 2" xfId="32367"/>
    <cellStyle name="SHADEDSTORES 3 7" xfId="32362"/>
    <cellStyle name="SHADEDSTORES 4" xfId="29168"/>
    <cellStyle name="SHADEDSTORES 4 2" xfId="29169"/>
    <cellStyle name="SHADEDSTORES 4 2 2" xfId="32369"/>
    <cellStyle name="SHADEDSTORES 4 3" xfId="29170"/>
    <cellStyle name="SHADEDSTORES 4 3 2" xfId="32370"/>
    <cellStyle name="SHADEDSTORES 4 4" xfId="29171"/>
    <cellStyle name="SHADEDSTORES 4 4 2" xfId="32371"/>
    <cellStyle name="SHADEDSTORES 4 5" xfId="29172"/>
    <cellStyle name="SHADEDSTORES 4 5 2" xfId="32372"/>
    <cellStyle name="SHADEDSTORES 4 6" xfId="29173"/>
    <cellStyle name="SHADEDSTORES 4 6 2" xfId="32373"/>
    <cellStyle name="SHADEDSTORES 4 7" xfId="32368"/>
    <cellStyle name="SHADEDSTORES 5" xfId="29174"/>
    <cellStyle name="SHADEDSTORES 5 2" xfId="29175"/>
    <cellStyle name="SHADEDSTORES 5 2 2" xfId="32375"/>
    <cellStyle name="SHADEDSTORES 5 3" xfId="29176"/>
    <cellStyle name="SHADEDSTORES 5 3 2" xfId="32376"/>
    <cellStyle name="SHADEDSTORES 5 4" xfId="29177"/>
    <cellStyle name="SHADEDSTORES 5 4 2" xfId="32377"/>
    <cellStyle name="SHADEDSTORES 5 5" xfId="29178"/>
    <cellStyle name="SHADEDSTORES 5 5 2" xfId="32378"/>
    <cellStyle name="SHADEDSTORES 5 6" xfId="29179"/>
    <cellStyle name="SHADEDSTORES 5 6 2" xfId="32379"/>
    <cellStyle name="SHADEDSTORES 5 7" xfId="32374"/>
    <cellStyle name="SHADEDSTORES 6" xfId="29180"/>
    <cellStyle name="SHADEDSTORES 6 2" xfId="29181"/>
    <cellStyle name="SHADEDSTORES 6 2 2" xfId="32381"/>
    <cellStyle name="SHADEDSTORES 6 3" xfId="29182"/>
    <cellStyle name="SHADEDSTORES 6 3 2" xfId="32382"/>
    <cellStyle name="SHADEDSTORES 6 4" xfId="29183"/>
    <cellStyle name="SHADEDSTORES 6 4 2" xfId="32383"/>
    <cellStyle name="SHADEDSTORES 6 5" xfId="29184"/>
    <cellStyle name="SHADEDSTORES 6 5 2" xfId="32384"/>
    <cellStyle name="SHADEDSTORES 6 6" xfId="29185"/>
    <cellStyle name="SHADEDSTORES 6 6 2" xfId="32385"/>
    <cellStyle name="SHADEDSTORES 6 7" xfId="32380"/>
    <cellStyle name="SHADEDSTORES 7" xfId="29186"/>
    <cellStyle name="SHADEDSTORES 7 2" xfId="29187"/>
    <cellStyle name="SHADEDSTORES 7 2 2" xfId="32387"/>
    <cellStyle name="SHADEDSTORES 7 3" xfId="29188"/>
    <cellStyle name="SHADEDSTORES 7 3 2" xfId="32388"/>
    <cellStyle name="SHADEDSTORES 7 4" xfId="29189"/>
    <cellStyle name="SHADEDSTORES 7 4 2" xfId="32389"/>
    <cellStyle name="SHADEDSTORES 7 5" xfId="29190"/>
    <cellStyle name="SHADEDSTORES 7 5 2" xfId="32390"/>
    <cellStyle name="SHADEDSTORES 7 6" xfId="29191"/>
    <cellStyle name="SHADEDSTORES 7 6 2" xfId="32391"/>
    <cellStyle name="SHADEDSTORES 7 7" xfId="32386"/>
    <cellStyle name="SHADEDSTORES 8" xfId="29192"/>
    <cellStyle name="SHADEDSTORES 8 2" xfId="29193"/>
    <cellStyle name="SHADEDSTORES 8 2 2" xfId="32393"/>
    <cellStyle name="SHADEDSTORES 8 3" xfId="29194"/>
    <cellStyle name="SHADEDSTORES 8 3 2" xfId="32394"/>
    <cellStyle name="SHADEDSTORES 8 4" xfId="29195"/>
    <cellStyle name="SHADEDSTORES 8 4 2" xfId="32395"/>
    <cellStyle name="SHADEDSTORES 8 5" xfId="29196"/>
    <cellStyle name="SHADEDSTORES 8 5 2" xfId="32396"/>
    <cellStyle name="SHADEDSTORES 8 6" xfId="29197"/>
    <cellStyle name="SHADEDSTORES 8 6 2" xfId="32397"/>
    <cellStyle name="SHADEDSTORES 8 7" xfId="32392"/>
    <cellStyle name="SHADEDSTORES 9" xfId="29198"/>
    <cellStyle name="SHADEDSTORES 9 2" xfId="29199"/>
    <cellStyle name="SHADEDSTORES 9 2 2" xfId="32399"/>
    <cellStyle name="SHADEDSTORES 9 3" xfId="29200"/>
    <cellStyle name="SHADEDSTORES 9 3 2" xfId="32400"/>
    <cellStyle name="SHADEDSTORES 9 4" xfId="29201"/>
    <cellStyle name="SHADEDSTORES 9 4 2" xfId="32401"/>
    <cellStyle name="SHADEDSTORES 9 5" xfId="29202"/>
    <cellStyle name="SHADEDSTORES 9 5 2" xfId="32402"/>
    <cellStyle name="SHADEDSTORES 9 6" xfId="29203"/>
    <cellStyle name="SHADEDSTORES 9 6 2" xfId="32403"/>
    <cellStyle name="SHADEDSTORES 9 7" xfId="32398"/>
    <cellStyle name="Shell" xfId="20"/>
    <cellStyle name="Shell 2" xfId="29204"/>
    <cellStyle name="Shell 3" xfId="40335"/>
    <cellStyle name="Sledovaný hypertextový odkaz" xfId="29205"/>
    <cellStyle name="specstores" xfId="29206"/>
    <cellStyle name="Standard_BS14" xfId="29207"/>
    <cellStyle name="Style 1" xfId="40336"/>
    <cellStyle name="Style 1 2" xfId="40337"/>
    <cellStyle name="Subtotal" xfId="29208"/>
    <cellStyle name="Subtotal 2" xfId="29209"/>
    <cellStyle name="Text" xfId="29210"/>
    <cellStyle name="Texto de advertencia 10" xfId="11217"/>
    <cellStyle name="Texto de advertencia 11" xfId="11218"/>
    <cellStyle name="Texto de advertencia 12" xfId="11219"/>
    <cellStyle name="Texto de advertencia 13" xfId="11220"/>
    <cellStyle name="Texto de advertencia 14" xfId="11221"/>
    <cellStyle name="Texto de advertencia 15" xfId="11222"/>
    <cellStyle name="Texto de advertencia 16" xfId="11223"/>
    <cellStyle name="Texto de advertencia 17" xfId="11224"/>
    <cellStyle name="Texto de advertencia 18" xfId="11225"/>
    <cellStyle name="Texto de advertencia 19" xfId="11226"/>
    <cellStyle name="Texto de advertencia 2" xfId="11227"/>
    <cellStyle name="Texto de advertencia 2 2" xfId="29211"/>
    <cellStyle name="Texto de advertencia 2 3" xfId="29212"/>
    <cellStyle name="Texto de advertencia 20" xfId="11228"/>
    <cellStyle name="Texto de advertencia 21" xfId="11229"/>
    <cellStyle name="Texto de advertencia 22" xfId="11230"/>
    <cellStyle name="Texto de advertencia 23" xfId="11231"/>
    <cellStyle name="Texto de advertencia 24" xfId="11232"/>
    <cellStyle name="Texto de advertencia 25" xfId="11233"/>
    <cellStyle name="Texto de advertencia 26" xfId="11234"/>
    <cellStyle name="Texto de advertencia 27" xfId="11235"/>
    <cellStyle name="Texto de advertencia 28" xfId="11236"/>
    <cellStyle name="Texto de advertencia 29" xfId="11237"/>
    <cellStyle name="Texto de advertencia 3" xfId="11238"/>
    <cellStyle name="Texto de advertencia 3 2" xfId="29213"/>
    <cellStyle name="Texto de advertencia 3 3" xfId="29214"/>
    <cellStyle name="Texto de advertencia 30" xfId="11239"/>
    <cellStyle name="Texto de advertencia 31" xfId="11240"/>
    <cellStyle name="Texto de advertencia 32" xfId="11241"/>
    <cellStyle name="Texto de advertencia 33" xfId="11242"/>
    <cellStyle name="Texto de advertencia 34" xfId="11243"/>
    <cellStyle name="Texto de advertencia 35" xfId="11244"/>
    <cellStyle name="Texto de advertencia 36" xfId="11245"/>
    <cellStyle name="Texto de advertencia 37" xfId="11246"/>
    <cellStyle name="Texto de advertencia 38" xfId="11247"/>
    <cellStyle name="Texto de advertencia 39" xfId="11248"/>
    <cellStyle name="Texto de advertencia 4" xfId="11249"/>
    <cellStyle name="Texto de advertencia 4 2" xfId="29215"/>
    <cellStyle name="Texto de advertencia 4 3" xfId="29216"/>
    <cellStyle name="Texto de advertencia 40" xfId="11250"/>
    <cellStyle name="Texto de advertencia 41" xfId="11251"/>
    <cellStyle name="Texto de advertencia 42" xfId="11252"/>
    <cellStyle name="Texto de advertencia 43" xfId="11253"/>
    <cellStyle name="Texto de advertencia 44" xfId="11254"/>
    <cellStyle name="Texto de advertencia 45" xfId="11255"/>
    <cellStyle name="Texto de advertencia 46" xfId="11256"/>
    <cellStyle name="Texto de advertencia 47" xfId="11257"/>
    <cellStyle name="Texto de advertencia 48" xfId="11258"/>
    <cellStyle name="Texto de advertencia 49" xfId="11259"/>
    <cellStyle name="Texto de advertencia 5" xfId="11260"/>
    <cellStyle name="Texto de advertencia 5 2" xfId="29217"/>
    <cellStyle name="Texto de advertencia 50" xfId="11261"/>
    <cellStyle name="Texto de advertencia 6" xfId="11262"/>
    <cellStyle name="Texto de advertencia 6 2" xfId="29218"/>
    <cellStyle name="Texto de advertencia 7" xfId="11263"/>
    <cellStyle name="Texto de advertencia 7 2" xfId="29219"/>
    <cellStyle name="Texto de advertencia 8" xfId="11264"/>
    <cellStyle name="Texto de advertencia 8 2" xfId="29220"/>
    <cellStyle name="Texto de advertencia 9" xfId="11265"/>
    <cellStyle name="Texto de advertencia 9 2" xfId="29221"/>
    <cellStyle name="Texto explicativo 10" xfId="11266"/>
    <cellStyle name="Texto explicativo 11" xfId="11267"/>
    <cellStyle name="Texto explicativo 12" xfId="11268"/>
    <cellStyle name="Texto explicativo 13" xfId="11269"/>
    <cellStyle name="Texto explicativo 14" xfId="11270"/>
    <cellStyle name="Texto explicativo 15" xfId="11271"/>
    <cellStyle name="Texto explicativo 16" xfId="11272"/>
    <cellStyle name="Texto explicativo 17" xfId="11273"/>
    <cellStyle name="Texto explicativo 18" xfId="11274"/>
    <cellStyle name="Texto explicativo 19" xfId="11275"/>
    <cellStyle name="Texto explicativo 2" xfId="11276"/>
    <cellStyle name="Texto explicativo 2 2" xfId="29222"/>
    <cellStyle name="Texto explicativo 2 3" xfId="29223"/>
    <cellStyle name="Texto explicativo 20" xfId="11277"/>
    <cellStyle name="Texto explicativo 21" xfId="11278"/>
    <cellStyle name="Texto explicativo 22" xfId="11279"/>
    <cellStyle name="Texto explicativo 23" xfId="11280"/>
    <cellStyle name="Texto explicativo 24" xfId="11281"/>
    <cellStyle name="Texto explicativo 25" xfId="11282"/>
    <cellStyle name="Texto explicativo 26" xfId="11283"/>
    <cellStyle name="Texto explicativo 27" xfId="11284"/>
    <cellStyle name="Texto explicativo 28" xfId="11285"/>
    <cellStyle name="Texto explicativo 29" xfId="11286"/>
    <cellStyle name="Texto explicativo 3" xfId="11287"/>
    <cellStyle name="Texto explicativo 3 2" xfId="29224"/>
    <cellStyle name="Texto explicativo 3 3" xfId="29225"/>
    <cellStyle name="Texto explicativo 30" xfId="11288"/>
    <cellStyle name="Texto explicativo 31" xfId="11289"/>
    <cellStyle name="Texto explicativo 32" xfId="11290"/>
    <cellStyle name="Texto explicativo 33" xfId="11291"/>
    <cellStyle name="Texto explicativo 34" xfId="11292"/>
    <cellStyle name="Texto explicativo 35" xfId="11293"/>
    <cellStyle name="Texto explicativo 36" xfId="11294"/>
    <cellStyle name="Texto explicativo 37" xfId="11295"/>
    <cellStyle name="Texto explicativo 38" xfId="11296"/>
    <cellStyle name="Texto explicativo 39" xfId="11297"/>
    <cellStyle name="Texto explicativo 4" xfId="11298"/>
    <cellStyle name="Texto explicativo 4 2" xfId="29226"/>
    <cellStyle name="Texto explicativo 4 3" xfId="29227"/>
    <cellStyle name="Texto explicativo 40" xfId="11299"/>
    <cellStyle name="Texto explicativo 41" xfId="11300"/>
    <cellStyle name="Texto explicativo 42" xfId="11301"/>
    <cellStyle name="Texto explicativo 43" xfId="11302"/>
    <cellStyle name="Texto explicativo 44" xfId="11303"/>
    <cellStyle name="Texto explicativo 45" xfId="11304"/>
    <cellStyle name="Texto explicativo 46" xfId="11305"/>
    <cellStyle name="Texto explicativo 47" xfId="11306"/>
    <cellStyle name="Texto explicativo 48" xfId="11307"/>
    <cellStyle name="Texto explicativo 49" xfId="11308"/>
    <cellStyle name="Texto explicativo 5" xfId="11309"/>
    <cellStyle name="Texto explicativo 5 2" xfId="29228"/>
    <cellStyle name="Texto explicativo 50" xfId="11310"/>
    <cellStyle name="Texto explicativo 6" xfId="11311"/>
    <cellStyle name="Texto explicativo 6 2" xfId="29229"/>
    <cellStyle name="Texto explicativo 7" xfId="11312"/>
    <cellStyle name="Texto explicativo 7 2" xfId="29230"/>
    <cellStyle name="Texto explicativo 8" xfId="11313"/>
    <cellStyle name="Texto explicativo 8 2" xfId="29231"/>
    <cellStyle name="Texto explicativo 9" xfId="11314"/>
    <cellStyle name="Texto explicativo 9 2" xfId="29232"/>
    <cellStyle name="Title" xfId="29233"/>
    <cellStyle name="Title 2" xfId="33947"/>
    <cellStyle name="Title_CARGUE MASIVO INYECCION" xfId="33948"/>
    <cellStyle name="Título 1 10" xfId="11315"/>
    <cellStyle name="Título 1 11" xfId="11316"/>
    <cellStyle name="Título 1 12" xfId="11317"/>
    <cellStyle name="Título 1 13" xfId="11318"/>
    <cellStyle name="Título 1 14" xfId="11319"/>
    <cellStyle name="Título 1 15" xfId="11320"/>
    <cellStyle name="Título 1 16" xfId="11321"/>
    <cellStyle name="Título 1 17" xfId="11322"/>
    <cellStyle name="Título 1 18" xfId="11323"/>
    <cellStyle name="Título 1 19" xfId="11324"/>
    <cellStyle name="Título 1 2" xfId="11325"/>
    <cellStyle name="Título 1 2 2" xfId="29234"/>
    <cellStyle name="Título 1 2 3" xfId="29235"/>
    <cellStyle name="Título 1 20" xfId="11326"/>
    <cellStyle name="Título 1 21" xfId="11327"/>
    <cellStyle name="Título 1 22" xfId="11328"/>
    <cellStyle name="Título 1 23" xfId="11329"/>
    <cellStyle name="Título 1 24" xfId="11330"/>
    <cellStyle name="Título 1 25" xfId="11331"/>
    <cellStyle name="Título 1 26" xfId="11332"/>
    <cellStyle name="Título 1 27" xfId="11333"/>
    <cellStyle name="Título 1 28" xfId="11334"/>
    <cellStyle name="Título 1 29" xfId="11335"/>
    <cellStyle name="Título 1 3" xfId="11336"/>
    <cellStyle name="Título 1 3 2" xfId="29236"/>
    <cellStyle name="Título 1 3 3" xfId="29237"/>
    <cellStyle name="Título 1 30" xfId="11337"/>
    <cellStyle name="Título 1 31" xfId="11338"/>
    <cellStyle name="Título 1 32" xfId="11339"/>
    <cellStyle name="Título 1 33" xfId="11340"/>
    <cellStyle name="Título 1 34" xfId="11341"/>
    <cellStyle name="Título 1 35" xfId="11342"/>
    <cellStyle name="Título 1 36" xfId="11343"/>
    <cellStyle name="Título 1 37" xfId="11344"/>
    <cellStyle name="Título 1 38" xfId="11345"/>
    <cellStyle name="Título 1 39" xfId="11346"/>
    <cellStyle name="Título 1 4" xfId="11347"/>
    <cellStyle name="Título 1 4 2" xfId="29238"/>
    <cellStyle name="Título 1 4 3" xfId="29239"/>
    <cellStyle name="Título 1 40" xfId="11348"/>
    <cellStyle name="Título 1 41" xfId="11349"/>
    <cellStyle name="Título 1 42" xfId="11350"/>
    <cellStyle name="Título 1 43" xfId="11351"/>
    <cellStyle name="Título 1 44" xfId="11352"/>
    <cellStyle name="Título 1 45" xfId="11353"/>
    <cellStyle name="Título 1 46" xfId="11354"/>
    <cellStyle name="Título 1 47" xfId="11355"/>
    <cellStyle name="Título 1 48" xfId="11356"/>
    <cellStyle name="Título 1 49" xfId="11357"/>
    <cellStyle name="Título 1 5" xfId="11358"/>
    <cellStyle name="Título 1 5 2" xfId="29240"/>
    <cellStyle name="Título 1 50" xfId="11359"/>
    <cellStyle name="Título 1 6" xfId="11360"/>
    <cellStyle name="Título 1 6 2" xfId="29241"/>
    <cellStyle name="Título 1 7" xfId="11361"/>
    <cellStyle name="Título 1 7 2" xfId="29242"/>
    <cellStyle name="Título 1 8" xfId="11362"/>
    <cellStyle name="Título 1 8 2" xfId="29243"/>
    <cellStyle name="Título 1 9" xfId="11363"/>
    <cellStyle name="Título 1 9 2" xfId="29244"/>
    <cellStyle name="Título 10" xfId="11364"/>
    <cellStyle name="Título 10 2" xfId="29245"/>
    <cellStyle name="Título 11" xfId="11365"/>
    <cellStyle name="Título 11 2" xfId="29246"/>
    <cellStyle name="Título 12" xfId="11366"/>
    <cellStyle name="Título 13" xfId="11367"/>
    <cellStyle name="Título 14" xfId="11368"/>
    <cellStyle name="Título 15" xfId="11369"/>
    <cellStyle name="Título 16" xfId="11370"/>
    <cellStyle name="Título 17" xfId="11371"/>
    <cellStyle name="Título 18" xfId="11372"/>
    <cellStyle name="Título 19" xfId="11373"/>
    <cellStyle name="Título 2 10" xfId="11374"/>
    <cellStyle name="Título 2 11" xfId="11375"/>
    <cellStyle name="Título 2 12" xfId="11376"/>
    <cellStyle name="Título 2 13" xfId="11377"/>
    <cellStyle name="Título 2 14" xfId="11378"/>
    <cellStyle name="Título 2 15" xfId="11379"/>
    <cellStyle name="Título 2 16" xfId="11380"/>
    <cellStyle name="Título 2 17" xfId="11381"/>
    <cellStyle name="Título 2 18" xfId="11382"/>
    <cellStyle name="Título 2 19" xfId="11383"/>
    <cellStyle name="Título 2 2" xfId="11384"/>
    <cellStyle name="Título 2 2 2" xfId="29247"/>
    <cellStyle name="Título 2 2 3" xfId="29248"/>
    <cellStyle name="Título 2 20" xfId="11385"/>
    <cellStyle name="Título 2 21" xfId="11386"/>
    <cellStyle name="Título 2 22" xfId="11387"/>
    <cellStyle name="Título 2 23" xfId="11388"/>
    <cellStyle name="Título 2 24" xfId="11389"/>
    <cellStyle name="Título 2 25" xfId="11390"/>
    <cellStyle name="Título 2 26" xfId="11391"/>
    <cellStyle name="Título 2 27" xfId="11392"/>
    <cellStyle name="Título 2 28" xfId="11393"/>
    <cellStyle name="Título 2 29" xfId="11394"/>
    <cellStyle name="Título 2 3" xfId="11395"/>
    <cellStyle name="Título 2 3 2" xfId="29249"/>
    <cellStyle name="Título 2 3 3" xfId="29250"/>
    <cellStyle name="Título 2 30" xfId="11396"/>
    <cellStyle name="Título 2 31" xfId="11397"/>
    <cellStyle name="Título 2 32" xfId="11398"/>
    <cellStyle name="Título 2 33" xfId="11399"/>
    <cellStyle name="Título 2 34" xfId="11400"/>
    <cellStyle name="Título 2 35" xfId="11401"/>
    <cellStyle name="Título 2 36" xfId="11402"/>
    <cellStyle name="Título 2 37" xfId="11403"/>
    <cellStyle name="Título 2 38" xfId="11404"/>
    <cellStyle name="Título 2 39" xfId="11405"/>
    <cellStyle name="Título 2 4" xfId="11406"/>
    <cellStyle name="Título 2 4 2" xfId="29251"/>
    <cellStyle name="Título 2 4 3" xfId="29252"/>
    <cellStyle name="Título 2 40" xfId="11407"/>
    <cellStyle name="Título 2 41" xfId="11408"/>
    <cellStyle name="Título 2 42" xfId="11409"/>
    <cellStyle name="Título 2 43" xfId="11410"/>
    <cellStyle name="Título 2 44" xfId="11411"/>
    <cellStyle name="Título 2 45" xfId="11412"/>
    <cellStyle name="Título 2 46" xfId="11413"/>
    <cellStyle name="Título 2 47" xfId="11414"/>
    <cellStyle name="Título 2 48" xfId="11415"/>
    <cellStyle name="Título 2 49" xfId="11416"/>
    <cellStyle name="Título 2 5" xfId="11417"/>
    <cellStyle name="Título 2 5 2" xfId="29253"/>
    <cellStyle name="Título 2 50" xfId="11418"/>
    <cellStyle name="Título 2 6" xfId="11419"/>
    <cellStyle name="Título 2 6 2" xfId="29254"/>
    <cellStyle name="Título 2 7" xfId="11420"/>
    <cellStyle name="Título 2 7 2" xfId="29255"/>
    <cellStyle name="Título 2 8" xfId="11421"/>
    <cellStyle name="Título 2 8 2" xfId="29256"/>
    <cellStyle name="Título 2 9" xfId="11422"/>
    <cellStyle name="Título 2 9 2" xfId="29257"/>
    <cellStyle name="Título 20" xfId="11423"/>
    <cellStyle name="Título 21" xfId="11424"/>
    <cellStyle name="Título 22" xfId="11425"/>
    <cellStyle name="Título 23" xfId="11426"/>
    <cellStyle name="Título 24" xfId="11427"/>
    <cellStyle name="Título 25" xfId="11428"/>
    <cellStyle name="Título 26" xfId="11429"/>
    <cellStyle name="Título 27" xfId="11430"/>
    <cellStyle name="Título 28" xfId="11431"/>
    <cellStyle name="Título 29" xfId="11432"/>
    <cellStyle name="Título 3 10" xfId="11433"/>
    <cellStyle name="Título 3 11" xfId="11434"/>
    <cellStyle name="Título 3 12" xfId="11435"/>
    <cellStyle name="Título 3 13" xfId="11436"/>
    <cellStyle name="Título 3 14" xfId="11437"/>
    <cellStyle name="Título 3 15" xfId="11438"/>
    <cellStyle name="Título 3 16" xfId="11439"/>
    <cellStyle name="Título 3 17" xfId="11440"/>
    <cellStyle name="Título 3 18" xfId="11441"/>
    <cellStyle name="Título 3 19" xfId="11442"/>
    <cellStyle name="Título 3 2" xfId="11443"/>
    <cellStyle name="Título 3 2 2" xfId="29258"/>
    <cellStyle name="Título 3 2 3" xfId="29259"/>
    <cellStyle name="Título 3 20" xfId="11444"/>
    <cellStyle name="Título 3 21" xfId="11445"/>
    <cellStyle name="Título 3 22" xfId="11446"/>
    <cellStyle name="Título 3 23" xfId="11447"/>
    <cellStyle name="Título 3 24" xfId="11448"/>
    <cellStyle name="Título 3 25" xfId="11449"/>
    <cellStyle name="Título 3 26" xfId="11450"/>
    <cellStyle name="Título 3 27" xfId="11451"/>
    <cellStyle name="Título 3 28" xfId="11452"/>
    <cellStyle name="Título 3 29" xfId="11453"/>
    <cellStyle name="Título 3 3" xfId="11454"/>
    <cellStyle name="Título 3 3 2" xfId="29260"/>
    <cellStyle name="Título 3 3 3" xfId="29261"/>
    <cellStyle name="Título 3 30" xfId="11455"/>
    <cellStyle name="Título 3 31" xfId="11456"/>
    <cellStyle name="Título 3 32" xfId="11457"/>
    <cellStyle name="Título 3 33" xfId="11458"/>
    <cellStyle name="Título 3 34" xfId="11459"/>
    <cellStyle name="Título 3 35" xfId="11460"/>
    <cellStyle name="Título 3 36" xfId="11461"/>
    <cellStyle name="Título 3 37" xfId="11462"/>
    <cellStyle name="Título 3 38" xfId="11463"/>
    <cellStyle name="Título 3 39" xfId="11464"/>
    <cellStyle name="Título 3 4" xfId="11465"/>
    <cellStyle name="Título 3 4 2" xfId="29262"/>
    <cellStyle name="Título 3 4 3" xfId="29263"/>
    <cellStyle name="Título 3 40" xfId="11466"/>
    <cellStyle name="Título 3 41" xfId="11467"/>
    <cellStyle name="Título 3 42" xfId="11468"/>
    <cellStyle name="Título 3 43" xfId="11469"/>
    <cellStyle name="Título 3 44" xfId="11470"/>
    <cellStyle name="Título 3 45" xfId="11471"/>
    <cellStyle name="Título 3 46" xfId="11472"/>
    <cellStyle name="Título 3 47" xfId="11473"/>
    <cellStyle name="Título 3 48" xfId="11474"/>
    <cellStyle name="Título 3 49" xfId="11475"/>
    <cellStyle name="Título 3 5" xfId="11476"/>
    <cellStyle name="Título 3 5 2" xfId="29264"/>
    <cellStyle name="Título 3 50" xfId="11477"/>
    <cellStyle name="Título 3 6" xfId="11478"/>
    <cellStyle name="Título 3 6 2" xfId="29265"/>
    <cellStyle name="Título 3 7" xfId="11479"/>
    <cellStyle name="Título 3 7 2" xfId="29266"/>
    <cellStyle name="Título 3 8" xfId="11480"/>
    <cellStyle name="Título 3 8 2" xfId="29267"/>
    <cellStyle name="Título 3 9" xfId="11481"/>
    <cellStyle name="Título 3 9 2" xfId="29268"/>
    <cellStyle name="Título 30" xfId="11482"/>
    <cellStyle name="Título 31" xfId="11483"/>
    <cellStyle name="Título 32" xfId="11484"/>
    <cellStyle name="Título 33" xfId="11485"/>
    <cellStyle name="Título 34" xfId="11486"/>
    <cellStyle name="Título 35" xfId="11487"/>
    <cellStyle name="Título 36" xfId="11488"/>
    <cellStyle name="Título 37" xfId="11489"/>
    <cellStyle name="Título 38" xfId="11490"/>
    <cellStyle name="Título 39" xfId="11491"/>
    <cellStyle name="Título 4" xfId="11492"/>
    <cellStyle name="Título 4 2" xfId="29269"/>
    <cellStyle name="Título 4 3" xfId="29270"/>
    <cellStyle name="Título 4 4" xfId="29271"/>
    <cellStyle name="Título 40" xfId="11493"/>
    <cellStyle name="Título 41" xfId="11494"/>
    <cellStyle name="Título 42" xfId="11495"/>
    <cellStyle name="Título 43" xfId="11496"/>
    <cellStyle name="Título 44" xfId="11497"/>
    <cellStyle name="Título 45" xfId="11498"/>
    <cellStyle name="Título 46" xfId="11499"/>
    <cellStyle name="Título 47" xfId="11500"/>
    <cellStyle name="Título 48" xfId="11501"/>
    <cellStyle name="Título 49" xfId="11502"/>
    <cellStyle name="Título 5" xfId="11503"/>
    <cellStyle name="Título 5 2" xfId="29272"/>
    <cellStyle name="Título 5 3" xfId="29273"/>
    <cellStyle name="Título 50" xfId="11504"/>
    <cellStyle name="Título 51" xfId="11505"/>
    <cellStyle name="Título 52" xfId="11506"/>
    <cellStyle name="Título 6" xfId="11507"/>
    <cellStyle name="Título 6 2" xfId="29274"/>
    <cellStyle name="Título 6 3" xfId="29275"/>
    <cellStyle name="Título 7" xfId="11508"/>
    <cellStyle name="Título 7 2" xfId="29276"/>
    <cellStyle name="Título 8" xfId="11509"/>
    <cellStyle name="Título 8 2" xfId="29277"/>
    <cellStyle name="Título 9" xfId="11510"/>
    <cellStyle name="Título 9 2" xfId="29278"/>
    <cellStyle name="Total 2" xfId="29279"/>
    <cellStyle name="Total 2 10" xfId="29280"/>
    <cellStyle name="Total 2 10 2" xfId="29281"/>
    <cellStyle name="Total 2 10 2 2" xfId="32406"/>
    <cellStyle name="Total 2 10 3" xfId="29282"/>
    <cellStyle name="Total 2 10 3 2" xfId="32407"/>
    <cellStyle name="Total 2 10 4" xfId="29283"/>
    <cellStyle name="Total 2 10 4 2" xfId="32408"/>
    <cellStyle name="Total 2 10 5" xfId="29284"/>
    <cellStyle name="Total 2 10 5 2" xfId="32409"/>
    <cellStyle name="Total 2 10 6" xfId="29285"/>
    <cellStyle name="Total 2 10 6 2" xfId="32410"/>
    <cellStyle name="Total 2 10 7" xfId="32405"/>
    <cellStyle name="Total 2 11" xfId="29286"/>
    <cellStyle name="Total 2 11 2" xfId="29287"/>
    <cellStyle name="Total 2 11 2 2" xfId="32412"/>
    <cellStyle name="Total 2 11 3" xfId="32411"/>
    <cellStyle name="Total 2 12" xfId="32404"/>
    <cellStyle name="Total 2 13" xfId="40338"/>
    <cellStyle name="Total 2 2" xfId="29288"/>
    <cellStyle name="Total 2 2 2" xfId="40339"/>
    <cellStyle name="Total 2 3" xfId="29289"/>
    <cellStyle name="Total 2 3 2" xfId="29290"/>
    <cellStyle name="Total 2 3 2 2" xfId="32414"/>
    <cellStyle name="Total 2 3 3" xfId="29291"/>
    <cellStyle name="Total 2 3 3 2" xfId="32415"/>
    <cellStyle name="Total 2 3 4" xfId="32413"/>
    <cellStyle name="Total 2 3 5" xfId="40340"/>
    <cellStyle name="Total 2 4" xfId="29292"/>
    <cellStyle name="Total 2 4 2" xfId="29293"/>
    <cellStyle name="Total 2 4 2 2" xfId="32417"/>
    <cellStyle name="Total 2 4 3" xfId="29294"/>
    <cellStyle name="Total 2 4 3 2" xfId="32418"/>
    <cellStyle name="Total 2 4 4" xfId="29295"/>
    <cellStyle name="Total 2 4 4 2" xfId="32419"/>
    <cellStyle name="Total 2 4 5" xfId="32416"/>
    <cellStyle name="Total 2 5" xfId="29296"/>
    <cellStyle name="Total 2 5 2" xfId="29297"/>
    <cellStyle name="Total 2 5 2 2" xfId="32421"/>
    <cellStyle name="Total 2 5 3" xfId="29298"/>
    <cellStyle name="Total 2 5 3 2" xfId="32422"/>
    <cellStyle name="Total 2 5 4" xfId="29299"/>
    <cellStyle name="Total 2 5 4 2" xfId="32423"/>
    <cellStyle name="Total 2 5 5" xfId="32420"/>
    <cellStyle name="Total 2 6" xfId="29300"/>
    <cellStyle name="Total 2 6 2" xfId="29301"/>
    <cellStyle name="Total 2 6 2 2" xfId="32425"/>
    <cellStyle name="Total 2 6 3" xfId="29302"/>
    <cellStyle name="Total 2 6 3 2" xfId="32426"/>
    <cellStyle name="Total 2 6 4" xfId="29303"/>
    <cellStyle name="Total 2 6 4 2" xfId="32427"/>
    <cellStyle name="Total 2 6 5" xfId="32424"/>
    <cellStyle name="Total 2 7" xfId="29304"/>
    <cellStyle name="Total 2 7 2" xfId="29305"/>
    <cellStyle name="Total 2 7 2 2" xfId="32429"/>
    <cellStyle name="Total 2 7 3" xfId="29306"/>
    <cellStyle name="Total 2 7 3 2" xfId="32430"/>
    <cellStyle name="Total 2 7 4" xfId="29307"/>
    <cellStyle name="Total 2 7 4 2" xfId="32431"/>
    <cellStyle name="Total 2 7 5" xfId="32428"/>
    <cellStyle name="Total 2 8" xfId="29308"/>
    <cellStyle name="Total 2 8 2" xfId="29309"/>
    <cellStyle name="Total 2 8 2 2" xfId="32433"/>
    <cellStyle name="Total 2 8 3" xfId="29310"/>
    <cellStyle name="Total 2 8 3 2" xfId="32434"/>
    <cellStyle name="Total 2 8 4" xfId="29311"/>
    <cellStyle name="Total 2 8 4 2" xfId="32435"/>
    <cellStyle name="Total 2 8 5" xfId="32432"/>
    <cellStyle name="Total 2 9" xfId="29312"/>
    <cellStyle name="Total 2 9 2" xfId="29313"/>
    <cellStyle name="Total 2 9 2 2" xfId="32437"/>
    <cellStyle name="Total 2 9 3" xfId="29314"/>
    <cellStyle name="Total 2 9 3 2" xfId="32438"/>
    <cellStyle name="Total 2 9 4" xfId="29315"/>
    <cellStyle name="Total 2 9 4 2" xfId="32439"/>
    <cellStyle name="Total 2 9 5" xfId="32436"/>
    <cellStyle name="Total 3" xfId="29316"/>
    <cellStyle name="Total 3 10" xfId="29317"/>
    <cellStyle name="Total 3 10 2" xfId="29318"/>
    <cellStyle name="Total 3 10 2 2" xfId="32442"/>
    <cellStyle name="Total 3 10 3" xfId="29319"/>
    <cellStyle name="Total 3 10 3 2" xfId="32443"/>
    <cellStyle name="Total 3 10 4" xfId="29320"/>
    <cellStyle name="Total 3 10 4 2" xfId="32444"/>
    <cellStyle name="Total 3 10 5" xfId="29321"/>
    <cellStyle name="Total 3 10 5 2" xfId="32445"/>
    <cellStyle name="Total 3 10 6" xfId="29322"/>
    <cellStyle name="Total 3 10 6 2" xfId="32446"/>
    <cellStyle name="Total 3 10 7" xfId="32441"/>
    <cellStyle name="Total 3 11" xfId="29323"/>
    <cellStyle name="Total 3 11 2" xfId="29324"/>
    <cellStyle name="Total 3 11 2 2" xfId="32448"/>
    <cellStyle name="Total 3 11 3" xfId="32447"/>
    <cellStyle name="Total 3 12" xfId="32440"/>
    <cellStyle name="Total 3 13" xfId="40341"/>
    <cellStyle name="Total 3 2" xfId="29325"/>
    <cellStyle name="Total 3 2 2" xfId="40342"/>
    <cellStyle name="Total 3 3" xfId="29326"/>
    <cellStyle name="Total 3 3 2" xfId="29327"/>
    <cellStyle name="Total 3 3 2 2" xfId="32450"/>
    <cellStyle name="Total 3 3 3" xfId="29328"/>
    <cellStyle name="Total 3 3 3 2" xfId="32451"/>
    <cellStyle name="Total 3 3 4" xfId="32449"/>
    <cellStyle name="Total 3 4" xfId="29329"/>
    <cellStyle name="Total 3 4 2" xfId="29330"/>
    <cellStyle name="Total 3 4 2 2" xfId="32453"/>
    <cellStyle name="Total 3 4 3" xfId="29331"/>
    <cellStyle name="Total 3 4 3 2" xfId="32454"/>
    <cellStyle name="Total 3 4 4" xfId="29332"/>
    <cellStyle name="Total 3 4 4 2" xfId="32455"/>
    <cellStyle name="Total 3 4 5" xfId="32452"/>
    <cellStyle name="Total 3 5" xfId="29333"/>
    <cellStyle name="Total 3 5 2" xfId="29334"/>
    <cellStyle name="Total 3 5 2 2" xfId="32457"/>
    <cellStyle name="Total 3 5 3" xfId="29335"/>
    <cellStyle name="Total 3 5 3 2" xfId="32458"/>
    <cellStyle name="Total 3 5 4" xfId="29336"/>
    <cellStyle name="Total 3 5 4 2" xfId="32459"/>
    <cellStyle name="Total 3 5 5" xfId="32456"/>
    <cellStyle name="Total 3 6" xfId="29337"/>
    <cellStyle name="Total 3 6 2" xfId="29338"/>
    <cellStyle name="Total 3 6 2 2" xfId="32461"/>
    <cellStyle name="Total 3 6 3" xfId="29339"/>
    <cellStyle name="Total 3 6 3 2" xfId="32462"/>
    <cellStyle name="Total 3 6 4" xfId="29340"/>
    <cellStyle name="Total 3 6 4 2" xfId="32463"/>
    <cellStyle name="Total 3 6 5" xfId="32460"/>
    <cellStyle name="Total 3 7" xfId="29341"/>
    <cellStyle name="Total 3 7 2" xfId="29342"/>
    <cellStyle name="Total 3 7 2 2" xfId="32465"/>
    <cellStyle name="Total 3 7 3" xfId="29343"/>
    <cellStyle name="Total 3 7 3 2" xfId="32466"/>
    <cellStyle name="Total 3 7 4" xfId="29344"/>
    <cellStyle name="Total 3 7 4 2" xfId="32467"/>
    <cellStyle name="Total 3 7 5" xfId="32464"/>
    <cellStyle name="Total 3 8" xfId="29345"/>
    <cellStyle name="Total 3 8 2" xfId="29346"/>
    <cellStyle name="Total 3 8 2 2" xfId="32469"/>
    <cellStyle name="Total 3 8 3" xfId="29347"/>
    <cellStyle name="Total 3 8 3 2" xfId="32470"/>
    <cellStyle name="Total 3 8 4" xfId="29348"/>
    <cellStyle name="Total 3 8 4 2" xfId="32471"/>
    <cellStyle name="Total 3 8 5" xfId="32468"/>
    <cellStyle name="Total 3 9" xfId="29349"/>
    <cellStyle name="Total 3 9 2" xfId="29350"/>
    <cellStyle name="Total 3 9 2 2" xfId="32473"/>
    <cellStyle name="Total 3 9 3" xfId="29351"/>
    <cellStyle name="Total 3 9 3 2" xfId="32474"/>
    <cellStyle name="Total 3 9 4" xfId="29352"/>
    <cellStyle name="Total 3 9 4 2" xfId="32475"/>
    <cellStyle name="Total 3 9 5" xfId="32472"/>
    <cellStyle name="Total 4" xfId="29353"/>
    <cellStyle name="Total 4 10" xfId="29354"/>
    <cellStyle name="Total 4 10 2" xfId="29355"/>
    <cellStyle name="Total 4 10 2 2" xfId="32478"/>
    <cellStyle name="Total 4 10 3" xfId="29356"/>
    <cellStyle name="Total 4 10 3 2" xfId="32479"/>
    <cellStyle name="Total 4 10 4" xfId="29357"/>
    <cellStyle name="Total 4 10 4 2" xfId="32480"/>
    <cellStyle name="Total 4 10 5" xfId="29358"/>
    <cellStyle name="Total 4 10 5 2" xfId="32481"/>
    <cellStyle name="Total 4 10 6" xfId="29359"/>
    <cellStyle name="Total 4 10 6 2" xfId="32482"/>
    <cellStyle name="Total 4 10 7" xfId="32477"/>
    <cellStyle name="Total 4 11" xfId="29360"/>
    <cellStyle name="Total 4 11 2" xfId="29361"/>
    <cellStyle name="Total 4 11 2 2" xfId="32484"/>
    <cellStyle name="Total 4 11 3" xfId="32483"/>
    <cellStyle name="Total 4 12" xfId="32476"/>
    <cellStyle name="Total 4 2" xfId="29362"/>
    <cellStyle name="Total 4 2 2" xfId="40343"/>
    <cellStyle name="Total 4 3" xfId="29363"/>
    <cellStyle name="Total 4 3 2" xfId="29364"/>
    <cellStyle name="Total 4 3 2 2" xfId="32486"/>
    <cellStyle name="Total 4 3 3" xfId="29365"/>
    <cellStyle name="Total 4 3 3 2" xfId="32487"/>
    <cellStyle name="Total 4 3 4" xfId="32485"/>
    <cellStyle name="Total 4 4" xfId="29366"/>
    <cellStyle name="Total 4 4 2" xfId="29367"/>
    <cellStyle name="Total 4 4 2 2" xfId="32489"/>
    <cellStyle name="Total 4 4 3" xfId="29368"/>
    <cellStyle name="Total 4 4 3 2" xfId="32490"/>
    <cellStyle name="Total 4 4 4" xfId="29369"/>
    <cellStyle name="Total 4 4 4 2" xfId="32491"/>
    <cellStyle name="Total 4 4 5" xfId="32488"/>
    <cellStyle name="Total 4 5" xfId="29370"/>
    <cellStyle name="Total 4 5 2" xfId="29371"/>
    <cellStyle name="Total 4 5 2 2" xfId="32493"/>
    <cellStyle name="Total 4 5 3" xfId="29372"/>
    <cellStyle name="Total 4 5 3 2" xfId="32494"/>
    <cellStyle name="Total 4 5 4" xfId="29373"/>
    <cellStyle name="Total 4 5 4 2" xfId="32495"/>
    <cellStyle name="Total 4 5 5" xfId="32492"/>
    <cellStyle name="Total 4 6" xfId="29374"/>
    <cellStyle name="Total 4 6 2" xfId="29375"/>
    <cellStyle name="Total 4 6 2 2" xfId="32497"/>
    <cellStyle name="Total 4 6 3" xfId="29376"/>
    <cellStyle name="Total 4 6 3 2" xfId="32498"/>
    <cellStyle name="Total 4 6 4" xfId="29377"/>
    <cellStyle name="Total 4 6 4 2" xfId="32499"/>
    <cellStyle name="Total 4 6 5" xfId="32496"/>
    <cellStyle name="Total 4 7" xfId="29378"/>
    <cellStyle name="Total 4 7 2" xfId="29379"/>
    <cellStyle name="Total 4 7 2 2" xfId="32501"/>
    <cellStyle name="Total 4 7 3" xfId="29380"/>
    <cellStyle name="Total 4 7 3 2" xfId="32502"/>
    <cellStyle name="Total 4 7 4" xfId="29381"/>
    <cellStyle name="Total 4 7 4 2" xfId="32503"/>
    <cellStyle name="Total 4 7 5" xfId="32500"/>
    <cellStyle name="Total 4 8" xfId="29382"/>
    <cellStyle name="Total 4 8 2" xfId="29383"/>
    <cellStyle name="Total 4 8 2 2" xfId="32505"/>
    <cellStyle name="Total 4 8 3" xfId="29384"/>
    <cellStyle name="Total 4 8 3 2" xfId="32506"/>
    <cellStyle name="Total 4 8 4" xfId="29385"/>
    <cellStyle name="Total 4 8 4 2" xfId="32507"/>
    <cellStyle name="Total 4 8 5" xfId="32504"/>
    <cellStyle name="Total 4 9" xfId="29386"/>
    <cellStyle name="Total 4 9 2" xfId="29387"/>
    <cellStyle name="Total 4 9 2 2" xfId="32509"/>
    <cellStyle name="Total 4 9 3" xfId="29388"/>
    <cellStyle name="Total 4 9 3 2" xfId="32510"/>
    <cellStyle name="Total 4 9 4" xfId="29389"/>
    <cellStyle name="Total 4 9 4 2" xfId="32511"/>
    <cellStyle name="Total 4 9 5" xfId="32508"/>
    <cellStyle name="Total 5 2" xfId="29390"/>
    <cellStyle name="Total 5 2 2" xfId="40344"/>
    <cellStyle name="Total 6 2" xfId="29391"/>
    <cellStyle name="Total 6 2 2" xfId="40345"/>
    <cellStyle name="Total 7 2" xfId="29392"/>
    <cellStyle name="Total 7 2 2" xfId="40346"/>
    <cellStyle name="Total 8 2" xfId="29393"/>
    <cellStyle name="Total 8 2 2" xfId="40347"/>
    <cellStyle name="Total 9 2" xfId="29394"/>
    <cellStyle name="Total 9 2 2" xfId="40348"/>
    <cellStyle name="Unp Comma [0]" xfId="29395"/>
    <cellStyle name="Unp Comma [0] 2" xfId="29396"/>
    <cellStyle name="Unp Comma [0] 2 2" xfId="32513"/>
    <cellStyle name="Unp Comma [0] 3" xfId="29397"/>
    <cellStyle name="Unp Comma [0] 3 2" xfId="32514"/>
    <cellStyle name="Unp Comma [0] 4" xfId="29398"/>
    <cellStyle name="Unp Comma [0] 4 2" xfId="32515"/>
    <cellStyle name="Unp Comma [0] 5" xfId="29399"/>
    <cellStyle name="Unp Comma [0] 5 2" xfId="32516"/>
    <cellStyle name="Unp Comma [0] 6" xfId="29400"/>
    <cellStyle name="Unp Comma [0] 6 2" xfId="32517"/>
    <cellStyle name="Unp Comma [0] 7" xfId="32512"/>
    <cellStyle name="Unprot" xfId="29401"/>
    <cellStyle name="Unprot$" xfId="29402"/>
    <cellStyle name="Unprot_CurrencySKorea" xfId="29403"/>
    <cellStyle name="Unprotect" xfId="29404"/>
    <cellStyle name="Unprotected" xfId="29405"/>
    <cellStyle name="Unprotected 2" xfId="29406"/>
    <cellStyle name="Unprotected 2 2" xfId="32519"/>
    <cellStyle name="Unprotected 3" xfId="29407"/>
    <cellStyle name="Unprotected 3 2" xfId="32520"/>
    <cellStyle name="Unprotected 4" xfId="29408"/>
    <cellStyle name="Unprotected 4 2" xfId="32521"/>
    <cellStyle name="Unprotected 5" xfId="29409"/>
    <cellStyle name="Unprotected 5 2" xfId="32522"/>
    <cellStyle name="Unprotected 6" xfId="29410"/>
    <cellStyle name="Unprotected 6 2" xfId="32523"/>
    <cellStyle name="Unprotected 7" xfId="32518"/>
    <cellStyle name="Warning Text" xfId="29411"/>
    <cellStyle name="Warning Text 2" xfId="40350"/>
    <cellStyle name="Warning Text 3" xfId="40349"/>
    <cellStyle name="x" xfId="29412"/>
    <cellStyle name="x 2" xfId="29413"/>
    <cellStyle name="x 3" xfId="40351"/>
    <cellStyle name="ДАТА" xfId="29414"/>
    <cellStyle name="ДЕНЕЖНЫЙ_BOPENGC" xfId="29415"/>
    <cellStyle name="ЗАГОЛОВОК1" xfId="29416"/>
    <cellStyle name="ЗАГОЛОВОК2" xfId="29417"/>
    <cellStyle name="ИТОГОВЫЙ" xfId="29418"/>
    <cellStyle name="Обычный_BOPENGC" xfId="29419"/>
    <cellStyle name="ПРОЦЕНТНЫЙ_BOPENGC" xfId="29420"/>
    <cellStyle name="ТЕКСТ" xfId="29421"/>
    <cellStyle name="ФИКСИРОВАННЫЙ" xfId="29422"/>
    <cellStyle name="ФИНАНСОВЫЙ_BOPENGC" xfId="29423"/>
    <cellStyle name="砀琀爀愀挀挀椀渀䈀愀猀攀 搀攀 搀愀琀漀猀䌀爀椀琀攀爀椀漀猀섀爀攀愀开搀攀开椀洀瀀爀攀猀椀渀吀琀甀氀漀猀开愀开椀洀瀀爀椀洀椀爀䜀爀愀戀愀挀椀渀䘀椀挀栀愀开搀攀开搀愀琀漀猀䄀甀琀漀开愀挀琀椀瘀愀爀䄀甀琀漀开搀攀猀愀挀琀椀瘀愀爀吀琀甀氀漀开栀漀樀愀开䘀椀氀琀攀爀䐀愀琀愀戀愀猀攀㌀㐀圀䬀㼀 匀攀琀琀椀渀最猀䰀漀愀搀开䌀栀愀爀琀开圀渀搀䄀䘀䔀䴀漀渀漀猀瀀愀挀攀䜀爀椀搀氀椀渀攀猀䤀搀⸀ 搀攀氀 瀀爀漀搀甀挀琀漀㨀 唀猀甀愀爀椀漀 搀攀猀挀漀渀漀挀椀搀漀嘀攀爀猀椀渀 渀漀 椀渀猀琀愀氀愀搀愀⨀⸀⨀䴀" xfId="11511"/>
  </cellStyles>
  <dxfs count="88">
    <dxf>
      <font>
        <strike val="0"/>
        <outline val="0"/>
        <shadow val="0"/>
        <u val="none"/>
        <vertAlign val="baseline"/>
        <sz val="11"/>
        <color auto="1"/>
        <name val="Calibri"/>
        <scheme val="minor"/>
      </font>
      <numFmt numFmtId="180" formatCode="0.0000000"/>
      <border diagonalUp="0" diagonalDown="0">
        <left/>
        <right style="double">
          <color indexed="64"/>
        </right>
        <top/>
        <bottom/>
        <vertical/>
        <horizontal/>
      </border>
    </dxf>
    <dxf>
      <font>
        <strike val="0"/>
        <outline val="0"/>
        <shadow val="0"/>
        <u val="none"/>
        <vertAlign val="baseline"/>
        <sz val="11"/>
        <color auto="1"/>
        <name val="Calibri"/>
        <scheme val="minor"/>
      </font>
      <numFmt numFmtId="180" formatCode="0.0000000"/>
    </dxf>
    <dxf>
      <font>
        <strike val="0"/>
        <outline val="0"/>
        <shadow val="0"/>
        <u val="none"/>
        <vertAlign val="baseline"/>
        <sz val="11"/>
        <color auto="1"/>
        <name val="Calibri"/>
        <scheme val="minor"/>
      </font>
      <numFmt numFmtId="180" formatCode="0.0000000"/>
    </dxf>
    <dxf>
      <font>
        <strike val="0"/>
        <outline val="0"/>
        <shadow val="0"/>
        <u val="none"/>
        <vertAlign val="baseline"/>
        <sz val="11"/>
        <color auto="1"/>
        <name val="Calibri"/>
        <scheme val="minor"/>
      </font>
      <numFmt numFmtId="180" formatCode="0.0000000"/>
    </dxf>
    <dxf>
      <font>
        <strike val="0"/>
        <outline val="0"/>
        <shadow val="0"/>
        <u val="none"/>
        <vertAlign val="baseline"/>
        <sz val="11"/>
        <color auto="1"/>
        <name val="Calibri"/>
        <scheme val="minor"/>
      </font>
      <numFmt numFmtId="180" formatCode="0.0000000"/>
    </dxf>
    <dxf>
      <font>
        <strike val="0"/>
        <outline val="0"/>
        <shadow val="0"/>
        <u val="none"/>
        <vertAlign val="baseline"/>
        <sz val="11"/>
        <color auto="1"/>
        <name val="Calibri"/>
        <scheme val="minor"/>
      </font>
      <numFmt numFmtId="180" formatCode="0.0000000"/>
    </dxf>
    <dxf>
      <font>
        <strike val="0"/>
        <outline val="0"/>
        <shadow val="0"/>
        <u val="none"/>
        <vertAlign val="baseline"/>
        <sz val="11"/>
        <color auto="1"/>
        <name val="Calibri"/>
        <scheme val="minor"/>
      </font>
      <numFmt numFmtId="180" formatCode="0.0000000"/>
    </dxf>
    <dxf>
      <font>
        <b val="0"/>
        <i val="0"/>
        <strike val="0"/>
        <condense val="0"/>
        <extend val="0"/>
        <outline val="0"/>
        <shadow val="0"/>
        <u val="none"/>
        <vertAlign val="baseline"/>
        <sz val="11"/>
        <color auto="1"/>
        <name val="Calibri"/>
        <scheme val="minor"/>
      </font>
      <numFmt numFmtId="180" formatCode="0.0000000"/>
    </dxf>
    <dxf>
      <font>
        <b val="0"/>
        <i val="0"/>
        <strike val="0"/>
        <condense val="0"/>
        <extend val="0"/>
        <outline val="0"/>
        <shadow val="0"/>
        <u val="none"/>
        <vertAlign val="baseline"/>
        <sz val="11"/>
        <color auto="1"/>
        <name val="Calibri"/>
        <scheme val="minor"/>
      </font>
      <numFmt numFmtId="180" formatCode="0.0000000"/>
    </dxf>
    <dxf>
      <font>
        <strike val="0"/>
        <outline val="0"/>
        <shadow val="0"/>
        <u val="none"/>
        <vertAlign val="baseline"/>
        <sz val="11"/>
        <color auto="1"/>
        <name val="Calibri"/>
        <scheme val="minor"/>
      </font>
      <numFmt numFmtId="180" formatCode="0.0000000"/>
    </dxf>
    <dxf>
      <font>
        <strike val="0"/>
        <outline val="0"/>
        <shadow val="0"/>
        <u val="none"/>
        <vertAlign val="baseline"/>
        <sz val="11"/>
        <color auto="1"/>
        <name val="Calibri"/>
        <scheme val="minor"/>
      </font>
    </dxf>
    <dxf>
      <font>
        <b val="0"/>
        <i val="0"/>
        <strike val="0"/>
        <condense val="0"/>
        <extend val="0"/>
        <outline val="0"/>
        <shadow val="0"/>
        <u val="none"/>
        <vertAlign val="baseline"/>
        <sz val="10"/>
        <color theme="0"/>
        <name val="Calibri"/>
        <scheme val="minor"/>
      </font>
      <alignment horizontal="center" vertical="center" textRotation="0" wrapText="1" relativeIndent="0" justifyLastLine="0" shrinkToFit="0" readingOrder="0"/>
    </dxf>
    <dxf>
      <font>
        <strike val="0"/>
        <outline val="0"/>
        <shadow val="0"/>
        <u val="none"/>
        <vertAlign val="baseline"/>
        <sz val="11"/>
        <color auto="1"/>
        <name val="Calibri"/>
        <scheme val="minor"/>
      </font>
      <numFmt numFmtId="180" formatCode="0.0000000"/>
      <border diagonalUp="0" diagonalDown="0">
        <left/>
        <right/>
        <top style="double">
          <color auto="1"/>
        </top>
        <bottom style="double">
          <color auto="1"/>
        </bottom>
        <vertical/>
        <horizontal style="double">
          <color auto="1"/>
        </horizontal>
      </border>
    </dxf>
    <dxf>
      <font>
        <strike val="0"/>
        <outline val="0"/>
        <shadow val="0"/>
        <u val="none"/>
        <vertAlign val="baseline"/>
        <sz val="11"/>
        <color auto="1"/>
        <name val="Calibri"/>
        <scheme val="minor"/>
      </font>
      <numFmt numFmtId="180" formatCode="0.0000000"/>
      <border diagonalUp="0" diagonalDown="0">
        <left/>
        <right/>
        <top style="double">
          <color auto="1"/>
        </top>
        <bottom style="double">
          <color auto="1"/>
        </bottom>
        <vertical/>
        <horizontal style="double">
          <color auto="1"/>
        </horizontal>
      </border>
    </dxf>
    <dxf>
      <font>
        <strike val="0"/>
        <outline val="0"/>
        <shadow val="0"/>
        <u val="none"/>
        <vertAlign val="baseline"/>
        <sz val="11"/>
        <color auto="1"/>
        <name val="Calibri"/>
        <scheme val="minor"/>
      </font>
      <numFmt numFmtId="179" formatCode="0.000000"/>
      <border diagonalUp="0" diagonalDown="0">
        <left/>
        <right/>
        <top style="double">
          <color auto="1"/>
        </top>
        <bottom style="double">
          <color auto="1"/>
        </bottom>
        <vertical/>
        <horizontal style="double">
          <color auto="1"/>
        </horizontal>
      </border>
    </dxf>
    <dxf>
      <font>
        <strike val="0"/>
        <outline val="0"/>
        <shadow val="0"/>
        <u val="none"/>
        <vertAlign val="baseline"/>
        <sz val="11"/>
        <color auto="1"/>
        <name val="Calibri"/>
        <scheme val="minor"/>
      </font>
      <numFmt numFmtId="0" formatCode="General"/>
      <border diagonalUp="0" diagonalDown="0">
        <left/>
        <right/>
        <top style="double">
          <color auto="1"/>
        </top>
        <bottom style="double">
          <color auto="1"/>
        </bottom>
        <vertical/>
        <horizontal style="double">
          <color auto="1"/>
        </horizontal>
      </border>
    </dxf>
    <dxf>
      <font>
        <b val="0"/>
        <i val="0"/>
        <strike val="0"/>
        <condense val="0"/>
        <extend val="0"/>
        <outline val="0"/>
        <shadow val="0"/>
        <u val="none"/>
        <vertAlign val="baseline"/>
        <sz val="11"/>
        <color auto="1"/>
        <name val="Calibri"/>
        <scheme val="minor"/>
      </font>
      <numFmt numFmtId="178" formatCode="_(* #,##0_);_(* \(#,##0\);_(* &quot;-&quot;??_);_(@_)"/>
      <border diagonalUp="0" diagonalDown="0">
        <left/>
        <right/>
        <top style="double">
          <color auto="1"/>
        </top>
        <bottom style="double">
          <color auto="1"/>
        </bottom>
        <vertical/>
        <horizontal style="double">
          <color auto="1"/>
        </horizontal>
      </border>
    </dxf>
    <dxf>
      <font>
        <b val="0"/>
        <i val="0"/>
        <strike val="0"/>
        <condense val="0"/>
        <extend val="0"/>
        <outline val="0"/>
        <shadow val="0"/>
        <u val="none"/>
        <vertAlign val="baseline"/>
        <sz val="11"/>
        <color auto="1"/>
        <name val="Calibri"/>
        <scheme val="minor"/>
      </font>
      <numFmt numFmtId="181" formatCode="_(* #,##0.0_);_(* \(#,##0.0\);_(* &quot;-&quot;??_);_(@_)"/>
      <border diagonalUp="0" diagonalDown="0">
        <left/>
        <right/>
        <top style="double">
          <color auto="1"/>
        </top>
        <bottom style="double">
          <color auto="1"/>
        </bottom>
        <vertical/>
        <horizontal style="double">
          <color auto="1"/>
        </horizontal>
      </border>
    </dxf>
    <dxf>
      <font>
        <strike val="0"/>
        <outline val="0"/>
        <shadow val="0"/>
        <u val="none"/>
        <vertAlign val="baseline"/>
        <sz val="11"/>
        <color auto="1"/>
        <name val="Calibri"/>
        <scheme val="minor"/>
      </font>
      <border diagonalUp="0" diagonalDown="0">
        <left/>
        <right/>
        <top style="double">
          <color auto="1"/>
        </top>
        <bottom style="double">
          <color auto="1"/>
        </bottom>
        <vertical/>
        <horizontal style="double">
          <color auto="1"/>
        </horizontal>
      </border>
    </dxf>
    <dxf>
      <font>
        <strike val="0"/>
        <outline val="0"/>
        <shadow val="0"/>
        <u val="none"/>
        <vertAlign val="baseline"/>
        <sz val="11"/>
        <color auto="1"/>
        <name val="Calibri"/>
        <scheme val="minor"/>
      </font>
    </dxf>
    <dxf>
      <font>
        <b val="0"/>
        <i val="0"/>
        <strike val="0"/>
        <condense val="0"/>
        <extend val="0"/>
        <outline val="0"/>
        <shadow val="0"/>
        <u val="none"/>
        <vertAlign val="baseline"/>
        <sz val="10"/>
        <color theme="0"/>
        <name val="Calibri"/>
        <scheme val="minor"/>
      </font>
      <alignment horizontal="center" vertical="center" textRotation="0" wrapText="1" relativeIndent="0" justifyLastLine="0" shrinkToFit="0" readingOrder="0"/>
    </dxf>
    <dxf>
      <numFmt numFmtId="13" formatCode="0%"/>
    </dxf>
    <dxf>
      <numFmt numFmtId="13"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84" formatCode="0.000"/>
    </dxf>
    <dxf>
      <numFmt numFmtId="13" formatCode="0%"/>
    </dxf>
    <dxf>
      <numFmt numFmtId="13" formatCode="0%"/>
    </dxf>
    <dxf>
      <numFmt numFmtId="13" formatCode="0%"/>
    </dxf>
    <dxf>
      <numFmt numFmtId="184" formatCode="0.000"/>
    </dxf>
    <dxf>
      <numFmt numFmtId="13" formatCode="0%"/>
    </dxf>
    <dxf>
      <fill>
        <patternFill patternType="solid">
          <bgColor theme="0"/>
        </patternFill>
      </fill>
    </dxf>
    <dxf>
      <numFmt numFmtId="202" formatCode="_(&quot;$&quot;\ * #,##0_);_(&quot;$&quot;\ * \(#,##0\);_(&quot;$&quot;\ * &quot;-&quot;??_);_(@_)"/>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3" formatCode="0%"/>
    </dxf>
    <dxf>
      <alignment horizontal="center" vertical="center" readingOrder="0"/>
    </dxf>
    <dxf>
      <fill>
        <patternFill patternType="solid">
          <bgColor theme="0"/>
        </patternFill>
      </fill>
    </dxf>
    <dxf>
      <numFmt numFmtId="2" formatCode="0.00"/>
    </dxf>
    <dxf>
      <numFmt numFmtId="13" formatCode="0%"/>
    </dxf>
    <dxf>
      <numFmt numFmtId="13" formatCode="0%"/>
    </dxf>
    <dxf>
      <numFmt numFmtId="3" formatCode="#,##0"/>
    </dxf>
    <dxf>
      <numFmt numFmtId="13" formatCode="0%"/>
    </dxf>
    <dxf>
      <numFmt numFmtId="13" formatCode="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numFmt numFmtId="13" formatCode="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00FA71"/>
      <color rgb="FFBCBCBC"/>
      <color rgb="FFFFFFFF"/>
      <color rgb="FFE7E200"/>
      <color rgb="FFE3E3E3"/>
      <color rgb="FFFFECEC"/>
      <color rgb="FFFF0066"/>
      <color rgb="FFF1F5F9"/>
      <color rgb="FFCC99FF"/>
      <color rgb="FFE5ED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3.xml"/><Relationship Id="rId47" Type="http://schemas.openxmlformats.org/officeDocument/2006/relationships/externalLink" Target="externalLinks/externalLink8.xml"/><Relationship Id="rId50" Type="http://schemas.openxmlformats.org/officeDocument/2006/relationships/pivotCacheDefinition" Target="pivotCache/pivotCacheDefinition1.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externalLink" Target="externalLinks/externalLink6.xml"/><Relationship Id="rId53" Type="http://schemas.microsoft.com/office/2007/relationships/slicerCache" Target="slicerCaches/slicerCache2.xml"/><Relationship Id="rId58"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4.xml"/><Relationship Id="rId48" Type="http://schemas.openxmlformats.org/officeDocument/2006/relationships/externalLink" Target="externalLinks/externalLink9.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7.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2.xml"/><Relationship Id="rId54"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0.xml"/><Relationship Id="rId57"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5.xml"/><Relationship Id="rId52" Type="http://schemas.microsoft.com/office/2007/relationships/slicerCache" Target="slicerCaches/slicerCach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7.xml.rels><?xml version="1.0" encoding="UTF-8" standalone="yes"?>
<Relationships xmlns="http://schemas.openxmlformats.org/package/2006/relationships"><Relationship Id="rId2" Type="http://schemas.openxmlformats.org/officeDocument/2006/relationships/chartUserShapes" Target="../drawings/drawing7.xml"/><Relationship Id="rId1" Type="http://schemas.openxmlformats.org/officeDocument/2006/relationships/themeOverride" Target="../theme/themeOverride1.xml"/></Relationships>
</file>

<file path=xl/charts/_rels/chart37.xml.rels><?xml version="1.0" encoding="UTF-8" standalone="yes"?>
<Relationships xmlns="http://schemas.openxmlformats.org/package/2006/relationships"><Relationship Id="rId1" Type="http://schemas.openxmlformats.org/officeDocument/2006/relationships/image" Target="../media/image15.jpe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700" b="0" i="0" u="none" strike="noStrike" baseline="0">
                <a:solidFill>
                  <a:srgbClr val="000000"/>
                </a:solidFill>
                <a:latin typeface="Arial"/>
                <a:ea typeface="Arial"/>
                <a:cs typeface="Arial"/>
              </a:defRPr>
            </a:pPr>
            <a:r>
              <a:rPr lang="es-CO" sz="800" b="1"/>
              <a:t>GENERACIÓN ELECTRICA</a:t>
            </a:r>
            <a:endParaRPr lang="es-CO" sz="800"/>
          </a:p>
        </c:rich>
      </c:tx>
      <c:layout>
        <c:manualLayout>
          <c:xMode val="edge"/>
          <c:yMode val="edge"/>
          <c:x val="0.34408563157861538"/>
          <c:y val="4.02810724608791E-2"/>
        </c:manualLayout>
      </c:layout>
      <c:overlay val="0"/>
      <c:spPr>
        <a:solidFill>
          <a:srgbClr val="E3E3E3"/>
        </a:solidFill>
        <a:ln w="25400">
          <a:noFill/>
        </a:ln>
      </c:spPr>
    </c:title>
    <c:autoTitleDeleted val="0"/>
    <c:plotArea>
      <c:layout>
        <c:manualLayout>
          <c:layoutTarget val="inner"/>
          <c:xMode val="edge"/>
          <c:yMode val="edge"/>
          <c:x val="7.2342809212381565E-2"/>
          <c:y val="0.14520048455481527"/>
          <c:w val="0.89899350506017883"/>
          <c:h val="0.62063929923996786"/>
        </c:manualLayout>
      </c:layout>
      <c:lineChart>
        <c:grouping val="standard"/>
        <c:varyColors val="0"/>
        <c:ser>
          <c:idx val="9"/>
          <c:order val="4"/>
          <c:tx>
            <c:strRef>
              <c:f>'GRAFICAS RPTE GCIAL'!$X$124</c:f>
              <c:strCache>
                <c:ptCount val="1"/>
                <c:pt idx="0">
                  <c:v>TOTAL MW</c:v>
                </c:pt>
              </c:strCache>
            </c:strRef>
          </c:tx>
          <c:spPr>
            <a:ln w="19050">
              <a:solidFill>
                <a:srgbClr val="00B0F0"/>
              </a:solidFill>
            </a:ln>
          </c:spPr>
          <c:marker>
            <c:symbol val="none"/>
          </c:marker>
          <c:val>
            <c:numRef>
              <c:f>'GRAFICAS RPTE GCIAL'!$X$126:$X$156</c:f>
              <c:numCache>
                <c:formatCode>0.0</c:formatCode>
                <c:ptCount val="31"/>
                <c:pt idx="0">
                  <c:v>440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0356-4310-80B5-5D3A7C64D615}"/>
            </c:ext>
          </c:extLst>
        </c:ser>
        <c:ser>
          <c:idx val="0"/>
          <c:order val="0"/>
          <c:tx>
            <c:strRef>
              <c:f>'GRAFICAS RPTE GCIAL'!$C$124:$H$124</c:f>
              <c:strCache>
                <c:ptCount val="1"/>
                <c:pt idx="0">
                  <c:v>GT-8001  </c:v>
                </c:pt>
              </c:strCache>
            </c:strRef>
          </c:tx>
          <c:spPr>
            <a:ln w="19050">
              <a:solidFill>
                <a:srgbClr val="2BBD13"/>
              </a:solidFill>
            </a:ln>
          </c:spPr>
          <c:marker>
            <c:symbol val="none"/>
          </c:marker>
          <c:val>
            <c:numRef>
              <c:f>'GRAFICAS RPTE GCIAL'!$C$126:$C$156</c:f>
              <c:numCache>
                <c:formatCode>0.0</c:formatCode>
                <c:ptCount val="31"/>
                <c:pt idx="0">
                  <c:v>147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1-0356-4310-80B5-5D3A7C64D615}"/>
            </c:ext>
          </c:extLst>
        </c:ser>
        <c:ser>
          <c:idx val="1"/>
          <c:order val="1"/>
          <c:tx>
            <c:strRef>
              <c:f>'GRAFICAS RPTE GCIAL'!$I$124:$N$124</c:f>
              <c:strCache>
                <c:ptCount val="1"/>
                <c:pt idx="0">
                  <c:v>GT-8002  </c:v>
                </c:pt>
              </c:strCache>
            </c:strRef>
          </c:tx>
          <c:spPr>
            <a:ln w="19050">
              <a:solidFill>
                <a:srgbClr val="C50B90"/>
              </a:solidFill>
            </a:ln>
          </c:spPr>
          <c:marker>
            <c:symbol val="none"/>
          </c:marker>
          <c:val>
            <c:numRef>
              <c:f>'GRAFICAS RPTE GCIAL'!$I$126:$I$156</c:f>
              <c:numCache>
                <c:formatCode>0.0</c:formatCode>
                <c:ptCount val="31"/>
                <c:pt idx="0">
                  <c:v>293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2-0356-4310-80B5-5D3A7C64D615}"/>
            </c:ext>
          </c:extLst>
        </c:ser>
        <c:dLbls>
          <c:showLegendKey val="0"/>
          <c:showVal val="0"/>
          <c:showCatName val="0"/>
          <c:showSerName val="0"/>
          <c:showPercent val="0"/>
          <c:showBubbleSize val="0"/>
        </c:dLbls>
        <c:marker val="1"/>
        <c:smooth val="0"/>
        <c:axId val="104868480"/>
        <c:axId val="104878848"/>
        <c:extLst>
          <c:ext xmlns:c15="http://schemas.microsoft.com/office/drawing/2012/chart" uri="{02D57815-91ED-43cb-92C2-25804820EDAC}">
            <c15:filteredLineSeries>
              <c15:ser>
                <c:idx val="2"/>
                <c:order val="2"/>
                <c:tx>
                  <c:strRef>
                    <c:extLst>
                      <c:ext uri="{02D57815-91ED-43cb-92C2-25804820EDAC}">
                        <c15:formulaRef>
                          <c15:sqref>'GRAFICAS RPTE GCIAL'!$R$124:$T$124</c15:sqref>
                        </c15:formulaRef>
                      </c:ext>
                    </c:extLst>
                    <c:strCache>
                      <c:ptCount val="1"/>
                      <c:pt idx="0">
                        <c:v>G-8005  </c:v>
                      </c:pt>
                    </c:strCache>
                  </c:strRef>
                </c:tx>
                <c:spPr>
                  <a:ln w="12700">
                    <a:solidFill>
                      <a:srgbClr val="CC3300"/>
                    </a:solidFill>
                  </a:ln>
                </c:spPr>
                <c:marker>
                  <c:symbol val="none"/>
                </c:marker>
                <c:val>
                  <c:numRef>
                    <c:extLst>
                      <c:ext uri="{02D57815-91ED-43cb-92C2-25804820EDAC}">
                        <c15:formulaRef>
                          <c15:sqref>'GRAFICAS RPTE GCIAL'!$R$126:$R$155</c15:sqref>
                        </c15:formulaRef>
                      </c:ext>
                    </c:extLst>
                    <c:numCache>
                      <c:formatCode>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3-0356-4310-80B5-5D3A7C64D615}"/>
                  </c:ext>
                </c:extLst>
              </c15:ser>
            </c15:filteredLineSeries>
          </c:ext>
        </c:extLst>
      </c:lineChart>
      <c:lineChart>
        <c:grouping val="standard"/>
        <c:varyColors val="0"/>
        <c:dLbls>
          <c:showLegendKey val="0"/>
          <c:showVal val="0"/>
          <c:showCatName val="0"/>
          <c:showSerName val="0"/>
          <c:showPercent val="0"/>
          <c:showBubbleSize val="0"/>
        </c:dLbls>
        <c:marker val="1"/>
        <c:smooth val="0"/>
        <c:axId val="601888168"/>
        <c:axId val="601885216"/>
        <c:extLst>
          <c:ext xmlns:c15="http://schemas.microsoft.com/office/drawing/2012/chart" uri="{02D57815-91ED-43cb-92C2-25804820EDAC}">
            <c15:filteredLineSeries>
              <c15:ser>
                <c:idx val="4"/>
                <c:order val="3"/>
                <c:tx>
                  <c:strRef>
                    <c:extLst>
                      <c:ext uri="{02D57815-91ED-43cb-92C2-25804820EDAC}">
                        <c15:formulaRef>
                          <c15:sqref>'GRAFICAS RPTE GCIAL'!$U$124:$W$124</c15:sqref>
                        </c15:formulaRef>
                      </c:ext>
                    </c:extLst>
                    <c:strCache>
                      <c:ptCount val="1"/>
                      <c:pt idx="0">
                        <c:v>G-8006</c:v>
                      </c:pt>
                    </c:strCache>
                  </c:strRef>
                </c:tx>
                <c:spPr>
                  <a:ln w="19050">
                    <a:solidFill>
                      <a:srgbClr val="FF9933"/>
                    </a:solidFill>
                  </a:ln>
                </c:spPr>
                <c:marker>
                  <c:symbol val="none"/>
                </c:marker>
                <c:val>
                  <c:numRef>
                    <c:extLst>
                      <c:ext uri="{02D57815-91ED-43cb-92C2-25804820EDAC}">
                        <c15:formulaRef>
                          <c15:sqref>'GRAFICAS RPTE GCIAL'!$U$126:$U$155</c15:sqref>
                        </c15:formulaRef>
                      </c:ext>
                    </c:extLst>
                    <c:numCache>
                      <c:formatCode>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4-0356-4310-80B5-5D3A7C64D615}"/>
                  </c:ext>
                </c:extLst>
              </c15:ser>
            </c15:filteredLineSeries>
          </c:ext>
        </c:extLst>
      </c:lineChart>
      <c:dateAx>
        <c:axId val="104868480"/>
        <c:scaling>
          <c:orientation val="minMax"/>
        </c:scaling>
        <c:delete val="0"/>
        <c:axPos val="b"/>
        <c:numFmt formatCode="General" sourceLinked="0"/>
        <c:majorTickMark val="out"/>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es-CO"/>
          </a:p>
        </c:txPr>
        <c:crossAx val="104878848"/>
        <c:crosses val="autoZero"/>
        <c:auto val="0"/>
        <c:lblOffset val="100"/>
        <c:baseTimeUnit val="days"/>
        <c:majorUnit val="1"/>
        <c:majorTimeUnit val="days"/>
        <c:minorUnit val="1"/>
        <c:minorTimeUnit val="days"/>
      </c:dateAx>
      <c:valAx>
        <c:axId val="104878848"/>
        <c:scaling>
          <c:orientation val="minMax"/>
          <c:max val="500"/>
          <c:min val="0"/>
        </c:scaling>
        <c:delete val="0"/>
        <c:axPos val="l"/>
        <c:title>
          <c:tx>
            <c:rich>
              <a:bodyPr rot="0" vert="horz"/>
              <a:lstStyle/>
              <a:p>
                <a:pPr>
                  <a:defRPr sz="800" b="0" i="0" u="none" strike="noStrike" baseline="0">
                    <a:solidFill>
                      <a:srgbClr val="000000"/>
                    </a:solidFill>
                    <a:latin typeface="Arial"/>
                    <a:ea typeface="Arial"/>
                    <a:cs typeface="Arial"/>
                  </a:defRPr>
                </a:pPr>
                <a:r>
                  <a:rPr lang="es-CO"/>
                  <a:t>MW</a:t>
                </a:r>
              </a:p>
            </c:rich>
          </c:tx>
          <c:layout>
            <c:manualLayout>
              <c:xMode val="edge"/>
              <c:yMode val="edge"/>
              <c:x val="1.392106621156107E-2"/>
              <c:y val="3.3666676090799444E-2"/>
            </c:manualLayout>
          </c:layout>
          <c:overlay val="0"/>
          <c:spPr>
            <a:noFill/>
            <a:ln w="19050">
              <a:solidFill>
                <a:schemeClr val="tx2">
                  <a:lumMod val="60000"/>
                  <a:lumOff val="40000"/>
                </a:schemeClr>
              </a:solidFill>
            </a:ln>
          </c:spPr>
        </c:title>
        <c:numFmt formatCode="0" sourceLinked="0"/>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s-CO"/>
          </a:p>
        </c:txPr>
        <c:crossAx val="104868480"/>
        <c:crosses val="autoZero"/>
        <c:crossBetween val="between"/>
        <c:majorUnit val="50"/>
        <c:minorUnit val="1"/>
      </c:valAx>
      <c:valAx>
        <c:axId val="601885216"/>
        <c:scaling>
          <c:orientation val="minMax"/>
          <c:max val="1"/>
          <c:min val="0"/>
        </c:scaling>
        <c:delete val="1"/>
        <c:axPos val="r"/>
        <c:numFmt formatCode="#.#00" sourceLinked="1"/>
        <c:majorTickMark val="out"/>
        <c:minorTickMark val="none"/>
        <c:tickLblPos val="nextTo"/>
        <c:crossAx val="601888168"/>
        <c:crosses val="max"/>
        <c:crossBetween val="between"/>
        <c:minorUnit val="0.2"/>
      </c:valAx>
      <c:dateAx>
        <c:axId val="601888168"/>
        <c:scaling>
          <c:orientation val="minMax"/>
        </c:scaling>
        <c:delete val="1"/>
        <c:axPos val="b"/>
        <c:majorTickMark val="out"/>
        <c:minorTickMark val="none"/>
        <c:tickLblPos val="nextTo"/>
        <c:crossAx val="601885216"/>
        <c:crosses val="autoZero"/>
        <c:auto val="0"/>
        <c:lblOffset val="100"/>
        <c:baseTimeUnit val="days"/>
      </c:dateAx>
      <c:spPr>
        <a:solidFill>
          <a:schemeClr val="bg1">
            <a:lumMod val="85000"/>
          </a:schemeClr>
        </a:solidFill>
        <a:ln w="25400">
          <a:noFill/>
        </a:ln>
      </c:spPr>
    </c:plotArea>
    <c:legend>
      <c:legendPos val="b"/>
      <c:legendEntry>
        <c:idx val="0"/>
        <c:txPr>
          <a:bodyPr/>
          <a:lstStyle/>
          <a:p>
            <a:pPr>
              <a:defRPr sz="800" b="1" i="0" u="none" strike="noStrike" baseline="0">
                <a:solidFill>
                  <a:srgbClr val="000000"/>
                </a:solidFill>
                <a:latin typeface="Arial"/>
                <a:ea typeface="Arial"/>
                <a:cs typeface="Arial"/>
              </a:defRPr>
            </a:pPr>
            <a:endParaRPr lang="es-CO"/>
          </a:p>
        </c:txPr>
      </c:legendEntry>
      <c:legendEntry>
        <c:idx val="1"/>
        <c:txPr>
          <a:bodyPr/>
          <a:lstStyle/>
          <a:p>
            <a:pPr>
              <a:defRPr sz="800" b="1" i="0" u="none" strike="noStrike" baseline="0">
                <a:solidFill>
                  <a:srgbClr val="000000"/>
                </a:solidFill>
                <a:latin typeface="Arial"/>
                <a:ea typeface="Arial"/>
                <a:cs typeface="Arial"/>
              </a:defRPr>
            </a:pPr>
            <a:endParaRPr lang="es-CO"/>
          </a:p>
        </c:txPr>
      </c:legendEntry>
      <c:legendEntry>
        <c:idx val="2"/>
        <c:txPr>
          <a:bodyPr/>
          <a:lstStyle/>
          <a:p>
            <a:pPr>
              <a:defRPr sz="800" b="1" i="0" u="none" strike="noStrike" baseline="0">
                <a:solidFill>
                  <a:srgbClr val="000000"/>
                </a:solidFill>
                <a:latin typeface="Arial"/>
                <a:ea typeface="Arial"/>
                <a:cs typeface="Arial"/>
              </a:defRPr>
            </a:pPr>
            <a:endParaRPr lang="es-CO"/>
          </a:p>
        </c:txPr>
      </c:legendEntry>
      <c:layout>
        <c:manualLayout>
          <c:xMode val="edge"/>
          <c:yMode val="edge"/>
          <c:x val="2.3934605533086895E-2"/>
          <c:y val="0.84181587377759337"/>
          <c:w val="0.94070581195752967"/>
          <c:h val="9.9213265513996618E-2"/>
        </c:manualLayout>
      </c:layout>
      <c:overlay val="0"/>
      <c:spPr>
        <a:solidFill>
          <a:srgbClr val="FFFFFF"/>
        </a:solidFill>
        <a:ln w="3175">
          <a:solidFill>
            <a:srgbClr val="000000"/>
          </a:solidFill>
          <a:prstDash val="solid"/>
        </a:ln>
      </c:spPr>
      <c:txPr>
        <a:bodyPr/>
        <a:lstStyle/>
        <a:p>
          <a:pPr>
            <a:defRPr sz="800" b="1" i="0" u="none" strike="noStrike" baseline="0">
              <a:solidFill>
                <a:srgbClr val="000000"/>
              </a:solidFill>
              <a:latin typeface="Arial"/>
              <a:ea typeface="Arial"/>
              <a:cs typeface="Arial"/>
            </a:defRPr>
          </a:pPr>
          <a:endParaRPr lang="es-CO"/>
        </a:p>
      </c:txPr>
    </c:legend>
    <c:plotVisOnly val="1"/>
    <c:dispBlanksAs val="gap"/>
    <c:showDLblsOverMax val="0"/>
  </c:chart>
  <c:spPr>
    <a:solidFill>
      <a:schemeClr val="bg1">
        <a:lumMod val="65000"/>
      </a:schemeClr>
    </a:solidFill>
    <a:ln w="6350">
      <a:solidFill>
        <a:schemeClr val="tx1"/>
      </a:solidFill>
    </a:ln>
    <a:effectLst>
      <a:innerShdw blurRad="63500" dist="50800" dir="2700000">
        <a:prstClr val="black">
          <a:alpha val="50000"/>
        </a:prstClr>
      </a:innerShdw>
    </a:effectLst>
    <a:scene3d>
      <a:camera prst="orthographicFront"/>
      <a:lightRig rig="threePt" dir="t"/>
    </a:scene3d>
    <a:sp3d>
      <a:bevelB w="152400" h="50800" prst="softRound"/>
    </a:sp3d>
  </c:spPr>
  <c:txPr>
    <a:bodyPr/>
    <a:lstStyle/>
    <a:p>
      <a:pPr>
        <a:defRPr sz="1200" b="0" i="0" u="none" strike="noStrike" baseline="0">
          <a:solidFill>
            <a:srgbClr val="000000"/>
          </a:solidFill>
          <a:latin typeface="Arial"/>
          <a:ea typeface="Arial"/>
          <a:cs typeface="Arial"/>
        </a:defRPr>
      </a:pPr>
      <a:endParaRPr lang="es-CO"/>
    </a:p>
  </c:txPr>
  <c:printSettings>
    <c:headerFooter alignWithMargins="0"/>
    <c:pageMargins b="1" l="0.75000000000001465" r="0.75000000000001465" t="1" header="0.5" footer="0.5"/>
    <c:pageSetup orientation="landscape"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s-CO" sz="800" b="1"/>
              <a:t>DEMANDA CARGAS REPRESENTATIVAS</a:t>
            </a:r>
          </a:p>
        </c:rich>
      </c:tx>
      <c:layout/>
      <c:overlay val="0"/>
      <c:spPr>
        <a:solidFill>
          <a:srgbClr val="E3E3E3"/>
        </a:solidFill>
        <a:ln w="25400">
          <a:noFill/>
        </a:ln>
      </c:spPr>
    </c:title>
    <c:autoTitleDeleted val="0"/>
    <c:plotArea>
      <c:layout>
        <c:manualLayout>
          <c:layoutTarget val="inner"/>
          <c:xMode val="edge"/>
          <c:yMode val="edge"/>
          <c:x val="7.1746605804979866E-2"/>
          <c:y val="0.1369526817458967"/>
          <c:w val="0.89447853589661008"/>
          <c:h val="0.57136810671845673"/>
        </c:manualLayout>
      </c:layout>
      <c:lineChart>
        <c:grouping val="standard"/>
        <c:varyColors val="0"/>
        <c:ser>
          <c:idx val="0"/>
          <c:order val="1"/>
          <c:tx>
            <c:strRef>
              <c:f>'GRAFICAS RPTE GCIAL'!$AA$124</c:f>
              <c:strCache>
                <c:ptCount val="1"/>
                <c:pt idx="0">
                  <c:v>KM-2501 </c:v>
                </c:pt>
              </c:strCache>
            </c:strRef>
          </c:tx>
          <c:spPr>
            <a:ln w="19050"/>
          </c:spPr>
          <c:marker>
            <c:symbol val="none"/>
          </c:marker>
          <c:val>
            <c:numRef>
              <c:f>'GRAFICAS RPTE GCIAL'!$AA$126:$AA$156</c:f>
              <c:numCache>
                <c:formatCode>0.0</c:formatCode>
                <c:ptCount val="31"/>
                <c:pt idx="0">
                  <c:v>151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C-23B6-49AB-97BB-697CF18D63D1}"/>
            </c:ext>
          </c:extLst>
        </c:ser>
        <c:ser>
          <c:idx val="2"/>
          <c:order val="2"/>
          <c:tx>
            <c:strRef>
              <c:f>'GRAFICAS RPTE GCIAL'!$AB$124</c:f>
              <c:strCache>
                <c:ptCount val="1"/>
                <c:pt idx="0">
                  <c:v>SE CRUDO OCENSA</c:v>
                </c:pt>
              </c:strCache>
            </c:strRef>
          </c:tx>
          <c:spPr>
            <a:ln w="19050" cap="flat" cmpd="sng"/>
          </c:spPr>
          <c:marker>
            <c:symbol val="none"/>
          </c:marker>
          <c:val>
            <c:numRef>
              <c:f>'GRAFICAS RPTE GCIAL'!$AB$126:$AB$156</c:f>
              <c:numCache>
                <c:formatCode>0.0</c:formatCode>
                <c:ptCount val="31"/>
                <c:pt idx="0">
                  <c:v>9.6999999999989086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23B6-49AB-97BB-697CF18D63D1}"/>
            </c:ext>
          </c:extLst>
        </c:ser>
        <c:ser>
          <c:idx val="3"/>
          <c:order val="3"/>
          <c:tx>
            <c:strRef>
              <c:f>'GRAFICAS RPTE GCIAL'!$AC$124</c:f>
              <c:strCache>
                <c:ptCount val="1"/>
                <c:pt idx="0">
                  <c:v>SE REINYECCION</c:v>
                </c:pt>
              </c:strCache>
            </c:strRef>
          </c:tx>
          <c:spPr>
            <a:ln w="19050">
              <a:solidFill>
                <a:srgbClr val="26DE26"/>
              </a:solidFill>
            </a:ln>
          </c:spPr>
          <c:marker>
            <c:symbol val="none"/>
          </c:marker>
          <c:val>
            <c:numRef>
              <c:f>'GRAFICAS RPTE GCIAL'!$AC$126:$AC$156</c:f>
              <c:numCache>
                <c:formatCode>0.0</c:formatCode>
                <c:ptCount val="31"/>
                <c:pt idx="0">
                  <c:v>38.69999999999709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1-23B6-49AB-97BB-697CF18D63D1}"/>
            </c:ext>
          </c:extLst>
        </c:ser>
        <c:dLbls>
          <c:showLegendKey val="0"/>
          <c:showVal val="0"/>
          <c:showCatName val="0"/>
          <c:showSerName val="0"/>
          <c:showPercent val="0"/>
          <c:showBubbleSize val="0"/>
        </c:dLbls>
        <c:marker val="1"/>
        <c:smooth val="0"/>
        <c:axId val="109078016"/>
        <c:axId val="109079936"/>
        <c:extLst>
          <c:ext xmlns:c15="http://schemas.microsoft.com/office/drawing/2012/chart" uri="{02D57815-91ED-43cb-92C2-25804820EDAC}">
            <c15:filteredLineSeries>
              <c15:ser>
                <c:idx val="4"/>
                <c:order val="4"/>
                <c:tx>
                  <c:strRef>
                    <c:extLst>
                      <c:ext uri="{02D57815-91ED-43cb-92C2-25804820EDAC}">
                        <c15:formulaRef>
                          <c15:sqref>'GRAFICAS RPTE GCIAL'!$AD$124</c15:sqref>
                        </c15:formulaRef>
                      </c:ext>
                    </c:extLst>
                    <c:strCache>
                      <c:ptCount val="1"/>
                      <c:pt idx="0">
                        <c:v>S/E TREN 1</c:v>
                      </c:pt>
                    </c:strCache>
                  </c:strRef>
                </c:tx>
                <c:spPr>
                  <a:ln w="19050"/>
                </c:spPr>
                <c:val>
                  <c:numRef>
                    <c:extLst>
                      <c:ext uri="{02D57815-91ED-43cb-92C2-25804820EDAC}">
                        <c15:formulaRef>
                          <c15:sqref>'GRAFICAS RPTE GCIAL'!$AD$126:$AD$155</c15:sqref>
                        </c15:formulaRef>
                      </c:ext>
                    </c:extLst>
                    <c:numCache>
                      <c:formatCode>0.0</c:formatCode>
                      <c:ptCount val="30"/>
                      <c:pt idx="0">
                        <c:v>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2-23B6-49AB-97BB-697CF18D63D1}"/>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'GRAFICAS RPTE GCIAL'!$AE$124</c15:sqref>
                        </c15:formulaRef>
                      </c:ext>
                    </c:extLst>
                    <c:strCache>
                      <c:ptCount val="1"/>
                      <c:pt idx="0">
                        <c:v>SE TREN 2</c:v>
                      </c:pt>
                    </c:strCache>
                  </c:strRef>
                </c:tx>
                <c:spPr>
                  <a:ln w="9525"/>
                </c:spPr>
                <c:marker>
                  <c:spPr>
                    <a:solidFill>
                      <a:srgbClr val="E3E3E3"/>
                    </a:solidFill>
                  </c:spPr>
                </c:marker>
                <c:val>
                  <c:numRef>
                    <c:extLst xmlns:c15="http://schemas.microsoft.com/office/drawing/2012/chart">
                      <c:ext xmlns:c15="http://schemas.microsoft.com/office/drawing/2012/chart" uri="{02D57815-91ED-43cb-92C2-25804820EDAC}">
                        <c15:formulaRef>
                          <c15:sqref>'GRAFICAS RPTE GCIAL'!$AE$126:$AE$155</c15:sqref>
                        </c15:formulaRef>
                      </c:ext>
                    </c:extLst>
                    <c:numCache>
                      <c:formatCode>0.0</c:formatCode>
                      <c:ptCount val="30"/>
                      <c:pt idx="0">
                        <c:v>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3-23B6-49AB-97BB-697CF18D63D1}"/>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'GRAFICAS RPTE GCIAL'!$AF$124</c15:sqref>
                        </c15:formulaRef>
                      </c:ext>
                    </c:extLst>
                    <c:strCache>
                      <c:ptCount val="1"/>
                      <c:pt idx="0">
                        <c:v>SE PRINCIPAL</c:v>
                      </c:pt>
                    </c:strCache>
                  </c:strRef>
                </c:tx>
                <c:spPr>
                  <a:ln w="19050"/>
                </c:spPr>
                <c:marker>
                  <c:symbol val="none"/>
                </c:marker>
                <c:val>
                  <c:numRef>
                    <c:extLst xmlns:c15="http://schemas.microsoft.com/office/drawing/2012/chart">
                      <c:ext xmlns:c15="http://schemas.microsoft.com/office/drawing/2012/chart" uri="{02D57815-91ED-43cb-92C2-25804820EDAC}">
                        <c15:formulaRef>
                          <c15:sqref>'GRAFICAS RPTE GCIAL'!$AF$126:$AF$155</c15:sqref>
                        </c15:formulaRef>
                      </c:ext>
                    </c:extLst>
                    <c:numCache>
                      <c:formatCode>0.0</c:formatCode>
                      <c:ptCount val="30"/>
                      <c:pt idx="0">
                        <c:v>33.300000000004673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4-23B6-49AB-97BB-697CF18D63D1}"/>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'GRAFICAS RPTE GCIAL'!$AG$124</c15:sqref>
                        </c15:formulaRef>
                      </c:ext>
                    </c:extLst>
                    <c:strCache>
                      <c:ptCount val="1"/>
                      <c:pt idx="0">
                        <c:v>SE PLANTA DE GAS Y JT</c:v>
                      </c:pt>
                    </c:strCache>
                  </c:strRef>
                </c:tx>
                <c:spPr>
                  <a:ln w="19050"/>
                </c:spPr>
                <c:val>
                  <c:numRef>
                    <c:extLst xmlns:c15="http://schemas.microsoft.com/office/drawing/2012/chart">
                      <c:ext xmlns:c15="http://schemas.microsoft.com/office/drawing/2012/chart" uri="{02D57815-91ED-43cb-92C2-25804820EDAC}">
                        <c15:formulaRef>
                          <c15:sqref>'GRAFICAS RPTE GCIAL'!$AG$126:$AG$155</c15:sqref>
                        </c15:formulaRef>
                      </c:ext>
                    </c:extLst>
                    <c:numCache>
                      <c:formatCode>0.0</c:formatCode>
                      <c:ptCount val="30"/>
                      <c:pt idx="0">
                        <c:v>11.722999999997556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5-23B6-49AB-97BB-697CF18D63D1}"/>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'GRAFICAS RPTE GCIAL'!$AH$124</c15:sqref>
                        </c15:formulaRef>
                      </c:ext>
                    </c:extLst>
                    <c:strCache>
                      <c:ptCount val="1"/>
                      <c:pt idx="0">
                        <c:v>SE GAS VENTAS</c:v>
                      </c:pt>
                    </c:strCache>
                  </c:strRef>
                </c:tx>
                <c:spPr>
                  <a:ln w="19050">
                    <a:solidFill>
                      <a:srgbClr val="4F81BD">
                        <a:tint val="77000"/>
                        <a:shade val="95000"/>
                        <a:satMod val="105000"/>
                      </a:srgbClr>
                    </a:solidFill>
                  </a:ln>
                </c:spPr>
                <c:marker>
                  <c:symbol val="none"/>
                </c:marker>
                <c:val>
                  <c:numRef>
                    <c:extLst xmlns:c15="http://schemas.microsoft.com/office/drawing/2012/chart">
                      <c:ext xmlns:c15="http://schemas.microsoft.com/office/drawing/2012/chart" uri="{02D57815-91ED-43cb-92C2-25804820EDAC}">
                        <c15:formulaRef>
                          <c15:sqref>'GRAFICAS RPTE GCIAL'!$AH$126:$AH$155</c15:sqref>
                        </c15:formulaRef>
                      </c:ext>
                    </c:extLst>
                    <c:numCache>
                      <c:formatCode>0.0</c:formatCode>
                      <c:ptCount val="30"/>
                      <c:pt idx="0">
                        <c:v>3.3780000000006276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6-23B6-49AB-97BB-697CF18D63D1}"/>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'GRAFICAS RPTE GCIAL'!$AI$124</c15:sqref>
                        </c15:formulaRef>
                      </c:ext>
                    </c:extLst>
                    <c:strCache>
                      <c:ptCount val="1"/>
                      <c:pt idx="0">
                        <c:v>KM-2601A</c:v>
                      </c:pt>
                    </c:strCache>
                  </c:strRef>
                </c:tx>
                <c:spPr>
                  <a:ln w="19050"/>
                </c:spPr>
                <c:marker>
                  <c:symbol val="none"/>
                </c:marker>
                <c:val>
                  <c:numRef>
                    <c:extLst xmlns:c15="http://schemas.microsoft.com/office/drawing/2012/chart">
                      <c:ext xmlns:c15="http://schemas.microsoft.com/office/drawing/2012/chart" uri="{02D57815-91ED-43cb-92C2-25804820EDAC}">
                        <c15:formulaRef>
                          <c15:sqref>'GRAFICAS RPTE GCIAL'!$AI$126:$AI$155</c15:sqref>
                        </c15:formulaRef>
                      </c:ext>
                    </c:extLst>
                    <c:numCache>
                      <c:formatCode>0.0</c:formatCode>
                      <c:ptCount val="30"/>
                      <c:pt idx="0">
                        <c:v>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7-23B6-49AB-97BB-697CF18D63D1}"/>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'GRAFICAS RPTE GCIAL'!$AJ$124</c15:sqref>
                        </c15:formulaRef>
                      </c:ext>
                    </c:extLst>
                    <c:strCache>
                      <c:ptCount val="1"/>
                      <c:pt idx="0">
                        <c:v>KM-2601B</c:v>
                      </c:pt>
                    </c:strCache>
                  </c:strRef>
                </c:tx>
                <c:spPr>
                  <a:ln w="19050"/>
                </c:spPr>
                <c:marker>
                  <c:symbol val="none"/>
                </c:marker>
                <c:val>
                  <c:numRef>
                    <c:extLst xmlns:c15="http://schemas.microsoft.com/office/drawing/2012/chart">
                      <c:ext xmlns:c15="http://schemas.microsoft.com/office/drawing/2012/chart" uri="{02D57815-91ED-43cb-92C2-25804820EDAC}">
                        <c15:formulaRef>
                          <c15:sqref>'GRAFICAS RPTE GCIAL'!$AJ$126:$AJ$155</c15:sqref>
                        </c15:formulaRef>
                      </c:ext>
                    </c:extLst>
                    <c:numCache>
                      <c:formatCode>0.0</c:formatCode>
                      <c:ptCount val="30"/>
                      <c:pt idx="0">
                        <c:v>1.5720000000000001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8-23B6-49AB-97BB-697CF18D63D1}"/>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'GRAFICAS RPTE GCIAL'!$AK$124</c15:sqref>
                        </c15:formulaRef>
                      </c:ext>
                    </c:extLst>
                    <c:strCache>
                      <c:ptCount val="1"/>
                      <c:pt idx="0">
                        <c:v>KM-2601C</c:v>
                      </c:pt>
                    </c:strCache>
                  </c:strRef>
                </c:tx>
                <c:spPr>
                  <a:ln w="19050"/>
                </c:spPr>
                <c:marker>
                  <c:symbol val="none"/>
                </c:marker>
                <c:val>
                  <c:numRef>
                    <c:extLst xmlns:c15="http://schemas.microsoft.com/office/drawing/2012/chart">
                      <c:ext xmlns:c15="http://schemas.microsoft.com/office/drawing/2012/chart" uri="{02D57815-91ED-43cb-92C2-25804820EDAC}">
                        <c15:formulaRef>
                          <c15:sqref>'GRAFICAS RPTE GCIAL'!$AK$126:$AK$155</c15:sqref>
                        </c15:formulaRef>
                      </c:ext>
                    </c:extLst>
                    <c:numCache>
                      <c:formatCode>0.0</c:formatCode>
                      <c:ptCount val="30"/>
                      <c:pt idx="0">
                        <c:v>3.7949999999999999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9-23B6-49AB-97BB-697CF18D63D1}"/>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'GRAFICAS RPTE GCIAL'!$AL$124</c15:sqref>
                        </c15:formulaRef>
                      </c:ext>
                    </c:extLst>
                    <c:strCache>
                      <c:ptCount val="1"/>
                      <c:pt idx="0">
                        <c:v>LLENADERO Y GLP</c:v>
                      </c:pt>
                    </c:strCache>
                  </c:strRef>
                </c:tx>
                <c:spPr>
                  <a:ln w="19050"/>
                </c:spPr>
                <c:marker>
                  <c:symbol val="none"/>
                </c:marker>
                <c:val>
                  <c:numRef>
                    <c:extLst xmlns:c15="http://schemas.microsoft.com/office/drawing/2012/chart">
                      <c:ext xmlns:c15="http://schemas.microsoft.com/office/drawing/2012/chart" uri="{02D57815-91ED-43cb-92C2-25804820EDAC}">
                        <c15:formulaRef>
                          <c15:sqref>'GRAFICAS RPTE GCIAL'!$AL$126:$AL$155</c15:sqref>
                        </c15:formulaRef>
                      </c:ext>
                    </c:extLst>
                    <c:numCache>
                      <c:formatCode>0.0</c:formatCode>
                      <c:ptCount val="30"/>
                      <c:pt idx="0">
                        <c:v>2.7832000000002513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A-23B6-49AB-97BB-697CF18D63D1}"/>
                  </c:ext>
                </c:extLst>
              </c15:ser>
            </c15:filteredLineSeries>
          </c:ext>
        </c:extLst>
      </c:lineChart>
      <c:lineChart>
        <c:grouping val="standard"/>
        <c:varyColors val="0"/>
        <c:ser>
          <c:idx val="1"/>
          <c:order val="0"/>
          <c:tx>
            <c:strRef>
              <c:f>'GRAFICAS RPTE GCIAL'!$Z$124</c:f>
              <c:strCache>
                <c:ptCount val="1"/>
                <c:pt idx="0">
                  <c:v>KM-2101 </c:v>
                </c:pt>
              </c:strCache>
            </c:strRef>
          </c:tx>
          <c:spPr>
            <a:ln w="19050">
              <a:solidFill>
                <a:srgbClr val="000000"/>
              </a:solidFill>
            </a:ln>
          </c:spPr>
          <c:marker>
            <c:symbol val="none"/>
          </c:marker>
          <c:val>
            <c:numRef>
              <c:f>'GRAFICAS RPTE GCIAL'!$Z$126:$Z$156</c:f>
              <c:numCache>
                <c:formatCode>0.0</c:formatCode>
                <c:ptCount val="31"/>
                <c:pt idx="0">
                  <c:v>163.20000000000073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B-23B6-49AB-97BB-697CF18D63D1}"/>
            </c:ext>
          </c:extLst>
        </c:ser>
        <c:dLbls>
          <c:showLegendKey val="0"/>
          <c:showVal val="0"/>
          <c:showCatName val="0"/>
          <c:showSerName val="0"/>
          <c:showPercent val="0"/>
          <c:showBubbleSize val="0"/>
        </c:dLbls>
        <c:marker val="1"/>
        <c:smooth val="0"/>
        <c:axId val="712452752"/>
        <c:axId val="616765256"/>
      </c:lineChart>
      <c:dateAx>
        <c:axId val="109078016"/>
        <c:scaling>
          <c:orientation val="minMax"/>
        </c:scaling>
        <c:delete val="0"/>
        <c:axPos val="b"/>
        <c:numFmt formatCode="General" sourceLinked="0"/>
        <c:majorTickMark val="out"/>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es-CO"/>
          </a:p>
        </c:txPr>
        <c:crossAx val="109079936"/>
        <c:crosses val="autoZero"/>
        <c:auto val="1"/>
        <c:lblOffset val="100"/>
        <c:baseTimeUnit val="days"/>
        <c:majorUnit val="1"/>
        <c:majorTimeUnit val="days"/>
        <c:minorUnit val="1"/>
        <c:minorTimeUnit val="days"/>
      </c:dateAx>
      <c:valAx>
        <c:axId val="109079936"/>
        <c:scaling>
          <c:orientation val="minMax"/>
          <c:max val="210"/>
          <c:min val="0"/>
        </c:scaling>
        <c:delete val="0"/>
        <c:axPos val="l"/>
        <c:title>
          <c:tx>
            <c:rich>
              <a:bodyPr rot="0" vert="horz"/>
              <a:lstStyle/>
              <a:p>
                <a:pPr>
                  <a:defRPr sz="800" b="0" i="0" u="none" strike="noStrike" baseline="0">
                    <a:solidFill>
                      <a:srgbClr val="000000"/>
                    </a:solidFill>
                    <a:latin typeface="Arial"/>
                    <a:ea typeface="Arial"/>
                    <a:cs typeface="Arial"/>
                  </a:defRPr>
                </a:pPr>
                <a:r>
                  <a:rPr lang="es-CO"/>
                  <a:t>MW</a:t>
                </a:r>
              </a:p>
            </c:rich>
          </c:tx>
          <c:layout>
            <c:manualLayout>
              <c:xMode val="edge"/>
              <c:yMode val="edge"/>
              <c:x val="1.1725708057567888E-2"/>
              <c:y val="2.5760913242661203E-2"/>
            </c:manualLayout>
          </c:layout>
          <c:overlay val="0"/>
          <c:spPr>
            <a:noFill/>
            <a:ln w="19050">
              <a:solidFill>
                <a:schemeClr val="tx2">
                  <a:lumMod val="60000"/>
                  <a:lumOff val="40000"/>
                </a:schemeClr>
              </a:solidFill>
            </a:ln>
          </c:spPr>
        </c:title>
        <c:numFmt formatCode="0" sourceLinked="0"/>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s-CO"/>
          </a:p>
        </c:txPr>
        <c:crossAx val="109078016"/>
        <c:crosses val="autoZero"/>
        <c:crossBetween val="between"/>
        <c:majorUnit val="30"/>
        <c:minorUnit val="1"/>
      </c:valAx>
      <c:valAx>
        <c:axId val="616765256"/>
        <c:scaling>
          <c:orientation val="minMax"/>
          <c:max val="250"/>
          <c:min val="0"/>
        </c:scaling>
        <c:delete val="1"/>
        <c:axPos val="r"/>
        <c:numFmt formatCode="##,#00" sourceLinked="0"/>
        <c:majorTickMark val="out"/>
        <c:minorTickMark val="none"/>
        <c:tickLblPos val="nextTo"/>
        <c:crossAx val="712452752"/>
        <c:crosses val="max"/>
        <c:crossBetween val="between"/>
        <c:majorUnit val="40"/>
        <c:minorUnit val="8"/>
      </c:valAx>
      <c:dateAx>
        <c:axId val="712452752"/>
        <c:scaling>
          <c:orientation val="minMax"/>
        </c:scaling>
        <c:delete val="1"/>
        <c:axPos val="b"/>
        <c:majorTickMark val="out"/>
        <c:minorTickMark val="none"/>
        <c:tickLblPos val="nextTo"/>
        <c:crossAx val="616765256"/>
        <c:crosses val="autoZero"/>
        <c:auto val="0"/>
        <c:lblOffset val="100"/>
        <c:baseTimeUnit val="days"/>
      </c:dateAx>
      <c:spPr>
        <a:solidFill>
          <a:sysClr val="window" lastClr="FFFFFF">
            <a:lumMod val="85000"/>
          </a:sysClr>
        </a:solidFill>
        <a:ln w="25400">
          <a:noFill/>
        </a:ln>
      </c:spPr>
    </c:plotArea>
    <c:legend>
      <c:legendPos val="b"/>
      <c:layout>
        <c:manualLayout>
          <c:xMode val="edge"/>
          <c:yMode val="edge"/>
          <c:x val="3.2987814901805357E-2"/>
          <c:y val="0.83079126138644455"/>
          <c:w val="0.9366079893349426"/>
          <c:h val="0.10258562154235611"/>
        </c:manualLayout>
      </c:layout>
      <c:overlay val="0"/>
      <c:spPr>
        <a:solidFill>
          <a:srgbClr val="FFFFFF"/>
        </a:solidFill>
        <a:ln w="3175" cap="rnd">
          <a:solidFill>
            <a:srgbClr val="000000"/>
          </a:solidFill>
          <a:prstDash val="solid"/>
          <a:round/>
        </a:ln>
      </c:spPr>
      <c:txPr>
        <a:bodyPr anchor="b" anchorCtr="1"/>
        <a:lstStyle/>
        <a:p>
          <a:pPr>
            <a:defRPr sz="800" b="1" i="0" u="none" strike="noStrike" baseline="0">
              <a:ln>
                <a:noFill/>
              </a:ln>
              <a:solidFill>
                <a:srgbClr val="000000"/>
              </a:solidFill>
              <a:latin typeface="Arial"/>
              <a:ea typeface="Arial"/>
              <a:cs typeface="Arial"/>
            </a:defRPr>
          </a:pPr>
          <a:endParaRPr lang="es-CO"/>
        </a:p>
      </c:txPr>
    </c:legend>
    <c:plotVisOnly val="1"/>
    <c:dispBlanksAs val="gap"/>
    <c:showDLblsOverMax val="0"/>
  </c:chart>
  <c:spPr>
    <a:solidFill>
      <a:srgbClr val="BCBCBC"/>
    </a:solidFill>
    <a:ln w="0">
      <a:solidFill>
        <a:schemeClr val="tx1"/>
      </a:solidFill>
    </a:ln>
    <a:effectLst>
      <a:innerShdw blurRad="63500" dist="50800" dir="5400000">
        <a:prstClr val="black">
          <a:alpha val="50000"/>
        </a:prstClr>
      </a:innerShdw>
    </a:effectLst>
  </c:spPr>
  <c:txPr>
    <a:bodyPr/>
    <a:lstStyle/>
    <a:p>
      <a:pPr>
        <a:defRPr sz="1200" b="0" i="0" u="none" strike="noStrike" baseline="0">
          <a:solidFill>
            <a:srgbClr val="000000"/>
          </a:solidFill>
          <a:latin typeface="Arial"/>
          <a:ea typeface="Arial"/>
          <a:cs typeface="Arial"/>
        </a:defRPr>
      </a:pPr>
      <a:endParaRPr lang="es-CO"/>
    </a:p>
  </c:txPr>
  <c:printSettings>
    <c:headerFooter alignWithMargins="0"/>
    <c:pageMargins b="1" l="0.75000000000001465" r="0.75000000000001465" t="1" header="0.5" footer="0.5"/>
    <c:pageSetup orientation="landscape" verticalDpi="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b="1">
                <a:latin typeface="+mn-lt"/>
              </a:rPr>
              <a:t>GENERACION TOTAL MW/H</a:t>
            </a:r>
          </a:p>
        </c:rich>
      </c:tx>
      <c:layout>
        <c:manualLayout>
          <c:xMode val="edge"/>
          <c:yMode val="edge"/>
          <c:x val="7.4775047508204556E-3"/>
          <c:y val="9.1745579285721461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manualLayout>
          <c:layoutTarget val="inner"/>
          <c:xMode val="edge"/>
          <c:yMode val="edge"/>
          <c:x val="0.21468445993537055"/>
          <c:y val="0"/>
          <c:w val="0.84757735094011011"/>
          <c:h val="0.70844830238091594"/>
        </c:manualLayout>
      </c:layout>
      <c:barChart>
        <c:barDir val="col"/>
        <c:grouping val="clustered"/>
        <c:varyColors val="0"/>
        <c:ser>
          <c:idx val="0"/>
          <c:order val="0"/>
          <c:tx>
            <c:strRef>
              <c:f>'INFORME DIA GDP'!$R$13</c:f>
              <c:strCache>
                <c:ptCount val="1"/>
                <c:pt idx="0">
                  <c:v>GEN DIA</c:v>
                </c:pt>
              </c:strCache>
            </c:strRef>
          </c:tx>
          <c:spPr>
            <a:solidFill>
              <a:schemeClr val="accent1"/>
            </a:solidFill>
            <a:ln>
              <a:noFill/>
            </a:ln>
            <a:effectLst/>
          </c:spPr>
          <c:invertIfNegative val="0"/>
          <c:cat>
            <c:multiLvlStrRef>
              <c:extLst>
                <c:ext xmlns:c15="http://schemas.microsoft.com/office/drawing/2012/chart" uri="{02D57815-91ED-43cb-92C2-25804820EDAC}">
                  <c15:fullRef>
                    <c15:sqref>'[7]Jul-12'!$P$11:$Q$12</c15:sqref>
                  </c15:fullRef>
                </c:ext>
              </c:extLst>
              <c:f>'[7]Jul-12'!$P$11:$Q$12</c:f>
              <c:multiLvlStrCache>
                <c:ptCount val="2"/>
                <c:lvl/>
                <c:lvl>
                  <c:pt idx="0">
                    <c:v> CUSIANA
</c:v>
                  </c:pt>
                  <c:pt idx="1">
                    <c:v> CUPIAGUA 
</c:v>
                  </c:pt>
                </c:lvl>
              </c:multiLvlStrCache>
            </c:multiLvlStrRef>
          </c:cat>
          <c:val>
            <c:numRef>
              <c:extLst>
                <c:ext xmlns:c15="http://schemas.microsoft.com/office/drawing/2012/chart" uri="{02D57815-91ED-43cb-92C2-25804820EDAC}">
                  <c15:fullRef>
                    <c15:sqref>'INFORME DIA GDP'!$P$13:$R$13</c15:sqref>
                  </c15:fullRef>
                </c:ext>
              </c:extLst>
              <c:f>'INFORME DIA GDP'!$P$13:$Q$13</c:f>
              <c:numCache>
                <c:formatCode>#,##0.00;[Red]#,##0.00</c:formatCode>
                <c:ptCount val="2"/>
                <c:pt idx="0">
                  <c:v>377</c:v>
                </c:pt>
                <c:pt idx="1">
                  <c:v>440</c:v>
                </c:pt>
              </c:numCache>
            </c:numRef>
          </c:val>
          <c:extLst>
            <c:ext xmlns:c16="http://schemas.microsoft.com/office/drawing/2014/chart" uri="{C3380CC4-5D6E-409C-BE32-E72D297353CC}">
              <c16:uniqueId val="{00000000-6E2D-4040-AAC4-ECA43BF1A1CD}"/>
            </c:ext>
          </c:extLst>
        </c:ser>
        <c:ser>
          <c:idx val="1"/>
          <c:order val="1"/>
          <c:tx>
            <c:strRef>
              <c:f>'INFORME DIA GDP'!$R$14</c:f>
              <c:strCache>
                <c:ptCount val="1"/>
                <c:pt idx="0">
                  <c:v>GEN MES</c:v>
                </c:pt>
              </c:strCache>
            </c:strRef>
          </c:tx>
          <c:spPr>
            <a:solidFill>
              <a:schemeClr val="accent2"/>
            </a:solidFill>
            <a:ln>
              <a:noFill/>
            </a:ln>
            <a:effectLst/>
          </c:spPr>
          <c:invertIfNegative val="0"/>
          <c:cat>
            <c:multiLvlStrRef>
              <c:extLst>
                <c:ext xmlns:c15="http://schemas.microsoft.com/office/drawing/2012/chart" uri="{02D57815-91ED-43cb-92C2-25804820EDAC}">
                  <c15:fullRef>
                    <c15:sqref>'[7]Jul-12'!$P$11:$Q$12</c15:sqref>
                  </c15:fullRef>
                </c:ext>
              </c:extLst>
              <c:f>'[7]Jul-12'!$P$11:$Q$12</c:f>
              <c:multiLvlStrCache>
                <c:ptCount val="2"/>
                <c:lvl/>
                <c:lvl>
                  <c:pt idx="0">
                    <c:v> CUSIANA
</c:v>
                  </c:pt>
                  <c:pt idx="1">
                    <c:v> CUPIAGUA 
</c:v>
                  </c:pt>
                </c:lvl>
              </c:multiLvlStrCache>
            </c:multiLvlStrRef>
          </c:cat>
          <c:val>
            <c:numRef>
              <c:extLst>
                <c:ext xmlns:c15="http://schemas.microsoft.com/office/drawing/2012/chart" uri="{02D57815-91ED-43cb-92C2-25804820EDAC}">
                  <c15:fullRef>
                    <c15:sqref>'INFORME DIA GDP'!$P$14:$R$14</c15:sqref>
                  </c15:fullRef>
                </c:ext>
              </c:extLst>
              <c:f>'INFORME DIA GDP'!$P$14:$Q$14</c:f>
              <c:numCache>
                <c:formatCode>#,##0.00;[Red]#,##0.00</c:formatCode>
                <c:ptCount val="2"/>
                <c:pt idx="0">
                  <c:v>377</c:v>
                </c:pt>
                <c:pt idx="1">
                  <c:v>440</c:v>
                </c:pt>
              </c:numCache>
            </c:numRef>
          </c:val>
          <c:extLst>
            <c:ext xmlns:c16="http://schemas.microsoft.com/office/drawing/2014/chart" uri="{C3380CC4-5D6E-409C-BE32-E72D297353CC}">
              <c16:uniqueId val="{00000001-6E2D-4040-AAC4-ECA43BF1A1CD}"/>
            </c:ext>
          </c:extLst>
        </c:ser>
        <c:dLbls>
          <c:showLegendKey val="0"/>
          <c:showVal val="0"/>
          <c:showCatName val="0"/>
          <c:showSerName val="0"/>
          <c:showPercent val="0"/>
          <c:showBubbleSize val="0"/>
        </c:dLbls>
        <c:gapWidth val="219"/>
        <c:overlap val="-27"/>
        <c:axId val="1492466992"/>
        <c:axId val="1492455344"/>
      </c:barChart>
      <c:catAx>
        <c:axId val="1492466992"/>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92455344"/>
        <c:crosses val="autoZero"/>
        <c:auto val="1"/>
        <c:lblAlgn val="ctr"/>
        <c:lblOffset val="100"/>
        <c:noMultiLvlLbl val="0"/>
      </c:catAx>
      <c:valAx>
        <c:axId val="1492455344"/>
        <c:scaling>
          <c:orientation val="minMax"/>
        </c:scaling>
        <c:delete val="1"/>
        <c:axPos val="l"/>
        <c:majorGridlines>
          <c:spPr>
            <a:ln w="9525" cap="flat" cmpd="sng" algn="ctr">
              <a:noFill/>
              <a:round/>
            </a:ln>
            <a:effectLst/>
          </c:spPr>
        </c:majorGridlines>
        <c:numFmt formatCode="0;[Red]0" sourceLinked="0"/>
        <c:majorTickMark val="out"/>
        <c:minorTickMark val="none"/>
        <c:tickLblPos val="nextTo"/>
        <c:crossAx val="1492466992"/>
        <c:crosses val="autoZero"/>
        <c:crossBetween val="between"/>
        <c:majorUnit val="200"/>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GENERACIÓN ACTIVA DIARIA OCTUBRE 2023</a:t>
            </a:r>
          </a:p>
        </c:rich>
      </c:tx>
      <c:layout>
        <c:manualLayout>
          <c:xMode val="edge"/>
          <c:yMode val="edge"/>
          <c:x val="0.35304720547916352"/>
          <c:y val="1.371205230014279E-2"/>
        </c:manualLayout>
      </c:layout>
      <c:overlay val="0"/>
    </c:title>
    <c:autoTitleDeleted val="0"/>
    <c:plotArea>
      <c:layout>
        <c:manualLayout>
          <c:layoutTarget val="inner"/>
          <c:xMode val="edge"/>
          <c:yMode val="edge"/>
          <c:x val="0.11789665837022267"/>
          <c:y val="9.43845366918864E-2"/>
          <c:w val="0.87350380749679135"/>
          <c:h val="0.54622395816580671"/>
        </c:manualLayout>
      </c:layout>
      <c:lineChart>
        <c:grouping val="standard"/>
        <c:varyColors val="0"/>
        <c:ser>
          <c:idx val="0"/>
          <c:order val="0"/>
          <c:tx>
            <c:strRef>
              <c:f>'GRAFICAS RPTE GCIAL'!$C$125</c:f>
              <c:strCache>
                <c:ptCount val="1"/>
                <c:pt idx="0">
                  <c:v>US-GT 8001 Mwh</c:v>
                </c:pt>
              </c:strCache>
            </c:strRef>
          </c:tx>
          <c:spPr>
            <a:ln>
              <a:solidFill>
                <a:schemeClr val="tx2">
                  <a:lumMod val="75000"/>
                </a:schemeClr>
              </a:solidFill>
            </a:ln>
          </c:spPr>
          <c:marker>
            <c:symbol val="none"/>
          </c:marker>
          <c:cat>
            <c:numLit>
              <c:formatCode>General</c:formatCode>
              <c:ptCount val="49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29</c:v>
              </c:pt>
              <c:pt idx="32">
                <c:v>30</c:v>
              </c:pt>
              <c:pt idx="33">
                <c:v>31</c:v>
              </c:pt>
              <c:pt idx="34">
                <c:v>29</c:v>
              </c:pt>
              <c:pt idx="35">
                <c:v>30</c:v>
              </c:pt>
              <c:pt idx="36">
                <c:v>31</c:v>
              </c:pt>
              <c:pt idx="37">
                <c:v>29</c:v>
              </c:pt>
              <c:pt idx="38">
                <c:v>30</c:v>
              </c:pt>
              <c:pt idx="39">
                <c:v>31</c:v>
              </c:pt>
              <c:pt idx="40">
                <c:v>29</c:v>
              </c:pt>
              <c:pt idx="41">
                <c:v>30</c:v>
              </c:pt>
              <c:pt idx="42">
                <c:v>31</c:v>
              </c:pt>
              <c:pt idx="43">
                <c:v>29</c:v>
              </c:pt>
              <c:pt idx="44">
                <c:v>30</c:v>
              </c:pt>
              <c:pt idx="45">
                <c:v>31</c:v>
              </c:pt>
              <c:pt idx="46">
                <c:v>29</c:v>
              </c:pt>
              <c:pt idx="47">
                <c:v>30</c:v>
              </c:pt>
              <c:pt idx="48">
                <c:v>31</c:v>
              </c:pt>
              <c:pt idx="49">
                <c:v>29</c:v>
              </c:pt>
              <c:pt idx="50">
                <c:v>30</c:v>
              </c:pt>
              <c:pt idx="51">
                <c:v>31</c:v>
              </c:pt>
              <c:pt idx="52">
                <c:v>29</c:v>
              </c:pt>
              <c:pt idx="53">
                <c:v>30</c:v>
              </c:pt>
              <c:pt idx="54">
                <c:v>31</c:v>
              </c:pt>
              <c:pt idx="55">
                <c:v>29</c:v>
              </c:pt>
              <c:pt idx="56">
                <c:v>30</c:v>
              </c:pt>
              <c:pt idx="57">
                <c:v>31</c:v>
              </c:pt>
              <c:pt idx="58">
                <c:v>29</c:v>
              </c:pt>
              <c:pt idx="59">
                <c:v>30</c:v>
              </c:pt>
              <c:pt idx="60">
                <c:v>31</c:v>
              </c:pt>
              <c:pt idx="61">
                <c:v>29</c:v>
              </c:pt>
              <c:pt idx="62">
                <c:v>30</c:v>
              </c:pt>
              <c:pt idx="63">
                <c:v>31</c:v>
              </c:pt>
              <c:pt idx="64">
                <c:v>29</c:v>
              </c:pt>
              <c:pt idx="65">
                <c:v>30</c:v>
              </c:pt>
              <c:pt idx="66">
                <c:v>31</c:v>
              </c:pt>
              <c:pt idx="67">
                <c:v>29</c:v>
              </c:pt>
              <c:pt idx="68">
                <c:v>30</c:v>
              </c:pt>
              <c:pt idx="69">
                <c:v>31</c:v>
              </c:pt>
              <c:pt idx="70">
                <c:v>29</c:v>
              </c:pt>
              <c:pt idx="71">
                <c:v>30</c:v>
              </c:pt>
              <c:pt idx="72">
                <c:v>31</c:v>
              </c:pt>
              <c:pt idx="73">
                <c:v>29</c:v>
              </c:pt>
              <c:pt idx="74">
                <c:v>30</c:v>
              </c:pt>
              <c:pt idx="75">
                <c:v>31</c:v>
              </c:pt>
              <c:pt idx="76">
                <c:v>29</c:v>
              </c:pt>
              <c:pt idx="77">
                <c:v>30</c:v>
              </c:pt>
              <c:pt idx="78">
                <c:v>31</c:v>
              </c:pt>
              <c:pt idx="79">
                <c:v>29</c:v>
              </c:pt>
              <c:pt idx="80">
                <c:v>30</c:v>
              </c:pt>
              <c:pt idx="81">
                <c:v>31</c:v>
              </c:pt>
              <c:pt idx="82">
                <c:v>29</c:v>
              </c:pt>
              <c:pt idx="83">
                <c:v>30</c:v>
              </c:pt>
              <c:pt idx="84">
                <c:v>31</c:v>
              </c:pt>
              <c:pt idx="85">
                <c:v>29</c:v>
              </c:pt>
              <c:pt idx="86">
                <c:v>30</c:v>
              </c:pt>
              <c:pt idx="87">
                <c:v>31</c:v>
              </c:pt>
              <c:pt idx="88">
                <c:v>29</c:v>
              </c:pt>
              <c:pt idx="89">
                <c:v>30</c:v>
              </c:pt>
              <c:pt idx="90">
                <c:v>31</c:v>
              </c:pt>
              <c:pt idx="91">
                <c:v>29</c:v>
              </c:pt>
              <c:pt idx="92">
                <c:v>30</c:v>
              </c:pt>
              <c:pt idx="93">
                <c:v>31</c:v>
              </c:pt>
              <c:pt idx="94">
                <c:v>29</c:v>
              </c:pt>
              <c:pt idx="95">
                <c:v>30</c:v>
              </c:pt>
              <c:pt idx="96">
                <c:v>31</c:v>
              </c:pt>
              <c:pt idx="97">
                <c:v>29</c:v>
              </c:pt>
              <c:pt idx="98">
                <c:v>30</c:v>
              </c:pt>
              <c:pt idx="99">
                <c:v>31</c:v>
              </c:pt>
              <c:pt idx="100">
                <c:v>29</c:v>
              </c:pt>
              <c:pt idx="101">
                <c:v>30</c:v>
              </c:pt>
              <c:pt idx="102">
                <c:v>31</c:v>
              </c:pt>
              <c:pt idx="103">
                <c:v>29</c:v>
              </c:pt>
              <c:pt idx="104">
                <c:v>30</c:v>
              </c:pt>
              <c:pt idx="105">
                <c:v>31</c:v>
              </c:pt>
              <c:pt idx="106">
                <c:v>29</c:v>
              </c:pt>
              <c:pt idx="107">
                <c:v>30</c:v>
              </c:pt>
              <c:pt idx="108">
                <c:v>31</c:v>
              </c:pt>
              <c:pt idx="109">
                <c:v>29</c:v>
              </c:pt>
              <c:pt idx="110">
                <c:v>30</c:v>
              </c:pt>
              <c:pt idx="111">
                <c:v>31</c:v>
              </c:pt>
              <c:pt idx="112">
                <c:v>29</c:v>
              </c:pt>
              <c:pt idx="113">
                <c:v>30</c:v>
              </c:pt>
              <c:pt idx="114">
                <c:v>31</c:v>
              </c:pt>
              <c:pt idx="115">
                <c:v>29</c:v>
              </c:pt>
              <c:pt idx="116">
                <c:v>30</c:v>
              </c:pt>
              <c:pt idx="117">
                <c:v>31</c:v>
              </c:pt>
              <c:pt idx="118">
                <c:v>29</c:v>
              </c:pt>
              <c:pt idx="119">
                <c:v>30</c:v>
              </c:pt>
              <c:pt idx="120">
                <c:v>31</c:v>
              </c:pt>
              <c:pt idx="121">
                <c:v>29</c:v>
              </c:pt>
              <c:pt idx="122">
                <c:v>30</c:v>
              </c:pt>
              <c:pt idx="123">
                <c:v>31</c:v>
              </c:pt>
              <c:pt idx="124">
                <c:v>29</c:v>
              </c:pt>
              <c:pt idx="125">
                <c:v>30</c:v>
              </c:pt>
              <c:pt idx="126">
                <c:v>31</c:v>
              </c:pt>
              <c:pt idx="127">
                <c:v>29</c:v>
              </c:pt>
              <c:pt idx="128">
                <c:v>30</c:v>
              </c:pt>
              <c:pt idx="129">
                <c:v>31</c:v>
              </c:pt>
              <c:pt idx="130">
                <c:v>29</c:v>
              </c:pt>
              <c:pt idx="131">
                <c:v>30</c:v>
              </c:pt>
              <c:pt idx="132">
                <c:v>31</c:v>
              </c:pt>
              <c:pt idx="133">
                <c:v>29</c:v>
              </c:pt>
              <c:pt idx="134">
                <c:v>30</c:v>
              </c:pt>
              <c:pt idx="135">
                <c:v>31</c:v>
              </c:pt>
              <c:pt idx="136">
                <c:v>29</c:v>
              </c:pt>
              <c:pt idx="137">
                <c:v>30</c:v>
              </c:pt>
              <c:pt idx="138">
                <c:v>31</c:v>
              </c:pt>
              <c:pt idx="139">
                <c:v>29</c:v>
              </c:pt>
              <c:pt idx="140">
                <c:v>30</c:v>
              </c:pt>
              <c:pt idx="141">
                <c:v>31</c:v>
              </c:pt>
              <c:pt idx="142">
                <c:v>29</c:v>
              </c:pt>
              <c:pt idx="143">
                <c:v>30</c:v>
              </c:pt>
              <c:pt idx="144">
                <c:v>31</c:v>
              </c:pt>
              <c:pt idx="145">
                <c:v>29</c:v>
              </c:pt>
              <c:pt idx="146">
                <c:v>30</c:v>
              </c:pt>
              <c:pt idx="147">
                <c:v>31</c:v>
              </c:pt>
              <c:pt idx="148">
                <c:v>29</c:v>
              </c:pt>
              <c:pt idx="149">
                <c:v>30</c:v>
              </c:pt>
              <c:pt idx="150">
                <c:v>31</c:v>
              </c:pt>
              <c:pt idx="151">
                <c:v>29</c:v>
              </c:pt>
              <c:pt idx="152">
                <c:v>30</c:v>
              </c:pt>
              <c:pt idx="153">
                <c:v>31</c:v>
              </c:pt>
              <c:pt idx="154">
                <c:v>29</c:v>
              </c:pt>
              <c:pt idx="155">
                <c:v>30</c:v>
              </c:pt>
              <c:pt idx="156">
                <c:v>31</c:v>
              </c:pt>
              <c:pt idx="157">
                <c:v>29</c:v>
              </c:pt>
              <c:pt idx="158">
                <c:v>30</c:v>
              </c:pt>
              <c:pt idx="159">
                <c:v>31</c:v>
              </c:pt>
              <c:pt idx="160">
                <c:v>29</c:v>
              </c:pt>
              <c:pt idx="161">
                <c:v>30</c:v>
              </c:pt>
              <c:pt idx="162">
                <c:v>31</c:v>
              </c:pt>
              <c:pt idx="163">
                <c:v>29</c:v>
              </c:pt>
              <c:pt idx="164">
                <c:v>30</c:v>
              </c:pt>
              <c:pt idx="165">
                <c:v>31</c:v>
              </c:pt>
              <c:pt idx="166">
                <c:v>29</c:v>
              </c:pt>
              <c:pt idx="167">
                <c:v>30</c:v>
              </c:pt>
              <c:pt idx="168">
                <c:v>31</c:v>
              </c:pt>
              <c:pt idx="169">
                <c:v>29</c:v>
              </c:pt>
              <c:pt idx="170">
                <c:v>30</c:v>
              </c:pt>
              <c:pt idx="171">
                <c:v>31</c:v>
              </c:pt>
              <c:pt idx="172">
                <c:v>29</c:v>
              </c:pt>
              <c:pt idx="173">
                <c:v>30</c:v>
              </c:pt>
              <c:pt idx="174">
                <c:v>31</c:v>
              </c:pt>
              <c:pt idx="175">
                <c:v>29</c:v>
              </c:pt>
              <c:pt idx="176">
                <c:v>30</c:v>
              </c:pt>
              <c:pt idx="177">
                <c:v>31</c:v>
              </c:pt>
              <c:pt idx="178">
                <c:v>29</c:v>
              </c:pt>
              <c:pt idx="179">
                <c:v>30</c:v>
              </c:pt>
              <c:pt idx="180">
                <c:v>31</c:v>
              </c:pt>
              <c:pt idx="181">
                <c:v>29</c:v>
              </c:pt>
              <c:pt idx="182">
                <c:v>30</c:v>
              </c:pt>
              <c:pt idx="183">
                <c:v>31</c:v>
              </c:pt>
              <c:pt idx="184">
                <c:v>29</c:v>
              </c:pt>
              <c:pt idx="185">
                <c:v>30</c:v>
              </c:pt>
              <c:pt idx="186">
                <c:v>31</c:v>
              </c:pt>
              <c:pt idx="187">
                <c:v>29</c:v>
              </c:pt>
              <c:pt idx="188">
                <c:v>30</c:v>
              </c:pt>
              <c:pt idx="189">
                <c:v>31</c:v>
              </c:pt>
              <c:pt idx="190">
                <c:v>29</c:v>
              </c:pt>
              <c:pt idx="191">
                <c:v>30</c:v>
              </c:pt>
              <c:pt idx="192">
                <c:v>31</c:v>
              </c:pt>
              <c:pt idx="193">
                <c:v>29</c:v>
              </c:pt>
              <c:pt idx="194">
                <c:v>30</c:v>
              </c:pt>
              <c:pt idx="195">
                <c:v>31</c:v>
              </c:pt>
              <c:pt idx="196">
                <c:v>29</c:v>
              </c:pt>
              <c:pt idx="197">
                <c:v>30</c:v>
              </c:pt>
              <c:pt idx="198">
                <c:v>31</c:v>
              </c:pt>
              <c:pt idx="199">
                <c:v>29</c:v>
              </c:pt>
              <c:pt idx="200">
                <c:v>30</c:v>
              </c:pt>
              <c:pt idx="201">
                <c:v>31</c:v>
              </c:pt>
              <c:pt idx="202">
                <c:v>29</c:v>
              </c:pt>
              <c:pt idx="203">
                <c:v>30</c:v>
              </c:pt>
              <c:pt idx="204">
                <c:v>31</c:v>
              </c:pt>
              <c:pt idx="205">
                <c:v>29</c:v>
              </c:pt>
              <c:pt idx="206">
                <c:v>30</c:v>
              </c:pt>
              <c:pt idx="207">
                <c:v>31</c:v>
              </c:pt>
              <c:pt idx="208">
                <c:v>29</c:v>
              </c:pt>
              <c:pt idx="209">
                <c:v>30</c:v>
              </c:pt>
              <c:pt idx="210">
                <c:v>31</c:v>
              </c:pt>
              <c:pt idx="211">
                <c:v>31</c:v>
              </c:pt>
              <c:pt idx="212">
                <c:v>31</c:v>
              </c:pt>
              <c:pt idx="213">
                <c:v>31</c:v>
              </c:pt>
              <c:pt idx="214">
                <c:v>31</c:v>
              </c:pt>
              <c:pt idx="215">
                <c:v>31</c:v>
              </c:pt>
              <c:pt idx="216">
                <c:v>31</c:v>
              </c:pt>
              <c:pt idx="217">
                <c:v>31</c:v>
              </c:pt>
              <c:pt idx="218">
                <c:v>31</c:v>
              </c:pt>
              <c:pt idx="219">
                <c:v>31</c:v>
              </c:pt>
              <c:pt idx="220">
                <c:v>31</c:v>
              </c:pt>
              <c:pt idx="221">
                <c:v>31</c:v>
              </c:pt>
              <c:pt idx="222">
                <c:v>31</c:v>
              </c:pt>
              <c:pt idx="223">
                <c:v>31</c:v>
              </c:pt>
              <c:pt idx="224">
                <c:v>31</c:v>
              </c:pt>
              <c:pt idx="225">
                <c:v>31</c:v>
              </c:pt>
              <c:pt idx="226">
                <c:v>31</c:v>
              </c:pt>
              <c:pt idx="227">
                <c:v>31</c:v>
              </c:pt>
              <c:pt idx="228">
                <c:v>31</c:v>
              </c:pt>
              <c:pt idx="229">
                <c:v>31</c:v>
              </c:pt>
              <c:pt idx="230">
                <c:v>31</c:v>
              </c:pt>
              <c:pt idx="231">
                <c:v>31</c:v>
              </c:pt>
              <c:pt idx="232">
                <c:v>31</c:v>
              </c:pt>
              <c:pt idx="233">
                <c:v>31</c:v>
              </c:pt>
              <c:pt idx="234">
                <c:v>31</c:v>
              </c:pt>
              <c:pt idx="235">
                <c:v>31</c:v>
              </c:pt>
              <c:pt idx="236">
                <c:v>31</c:v>
              </c:pt>
              <c:pt idx="237">
                <c:v>31</c:v>
              </c:pt>
              <c:pt idx="238">
                <c:v>31</c:v>
              </c:pt>
              <c:pt idx="239">
                <c:v>31</c:v>
              </c:pt>
              <c:pt idx="240">
                <c:v>31</c:v>
              </c:pt>
              <c:pt idx="241">
                <c:v>31</c:v>
              </c:pt>
              <c:pt idx="242">
                <c:v>31</c:v>
              </c:pt>
              <c:pt idx="243">
                <c:v>31</c:v>
              </c:pt>
              <c:pt idx="244">
                <c:v>31</c:v>
              </c:pt>
              <c:pt idx="245">
                <c:v>31</c:v>
              </c:pt>
              <c:pt idx="246">
                <c:v>31</c:v>
              </c:pt>
              <c:pt idx="247">
                <c:v>31</c:v>
              </c:pt>
              <c:pt idx="248">
                <c:v>31</c:v>
              </c:pt>
              <c:pt idx="249">
                <c:v>31</c:v>
              </c:pt>
              <c:pt idx="250">
                <c:v>31</c:v>
              </c:pt>
              <c:pt idx="251">
                <c:v>31</c:v>
              </c:pt>
              <c:pt idx="252">
                <c:v>31</c:v>
              </c:pt>
              <c:pt idx="253">
                <c:v>31</c:v>
              </c:pt>
              <c:pt idx="254">
                <c:v>31</c:v>
              </c:pt>
              <c:pt idx="255">
                <c:v>31</c:v>
              </c:pt>
              <c:pt idx="256">
                <c:v>31</c:v>
              </c:pt>
              <c:pt idx="257">
                <c:v>31</c:v>
              </c:pt>
              <c:pt idx="258">
                <c:v>31</c:v>
              </c:pt>
              <c:pt idx="259">
                <c:v>31</c:v>
              </c:pt>
              <c:pt idx="260">
                <c:v>31</c:v>
              </c:pt>
              <c:pt idx="261">
                <c:v>31</c:v>
              </c:pt>
              <c:pt idx="262">
                <c:v>31</c:v>
              </c:pt>
              <c:pt idx="263">
                <c:v>31</c:v>
              </c:pt>
              <c:pt idx="264">
                <c:v>31</c:v>
              </c:pt>
              <c:pt idx="265">
                <c:v>31</c:v>
              </c:pt>
              <c:pt idx="266">
                <c:v>31</c:v>
              </c:pt>
              <c:pt idx="267">
                <c:v>31</c:v>
              </c:pt>
              <c:pt idx="268">
                <c:v>31</c:v>
              </c:pt>
              <c:pt idx="269">
                <c:v>31</c:v>
              </c:pt>
              <c:pt idx="270">
                <c:v>31</c:v>
              </c:pt>
              <c:pt idx="271">
                <c:v>31</c:v>
              </c:pt>
              <c:pt idx="272">
                <c:v>31</c:v>
              </c:pt>
              <c:pt idx="273">
                <c:v>31</c:v>
              </c:pt>
              <c:pt idx="274">
                <c:v>31</c:v>
              </c:pt>
              <c:pt idx="275">
                <c:v>31</c:v>
              </c:pt>
              <c:pt idx="276">
                <c:v>31</c:v>
              </c:pt>
              <c:pt idx="277">
                <c:v>31</c:v>
              </c:pt>
              <c:pt idx="278">
                <c:v>31</c:v>
              </c:pt>
              <c:pt idx="279">
                <c:v>31</c:v>
              </c:pt>
              <c:pt idx="280">
                <c:v>31</c:v>
              </c:pt>
              <c:pt idx="281">
                <c:v>31</c:v>
              </c:pt>
              <c:pt idx="282">
                <c:v>31</c:v>
              </c:pt>
              <c:pt idx="283">
                <c:v>31</c:v>
              </c:pt>
              <c:pt idx="284">
                <c:v>31</c:v>
              </c:pt>
              <c:pt idx="285">
                <c:v>31</c:v>
              </c:pt>
              <c:pt idx="286">
                <c:v>31</c:v>
              </c:pt>
              <c:pt idx="287">
                <c:v>31</c:v>
              </c:pt>
              <c:pt idx="288">
                <c:v>31</c:v>
              </c:pt>
              <c:pt idx="289">
                <c:v>31</c:v>
              </c:pt>
              <c:pt idx="290">
                <c:v>31</c:v>
              </c:pt>
              <c:pt idx="291">
                <c:v>31</c:v>
              </c:pt>
              <c:pt idx="292">
                <c:v>31</c:v>
              </c:pt>
              <c:pt idx="293">
                <c:v>29</c:v>
              </c:pt>
              <c:pt idx="294">
                <c:v>30</c:v>
              </c:pt>
              <c:pt idx="295">
                <c:v>31</c:v>
              </c:pt>
              <c:pt idx="296">
                <c:v>29</c:v>
              </c:pt>
              <c:pt idx="297">
                <c:v>30</c:v>
              </c:pt>
              <c:pt idx="298">
                <c:v>31</c:v>
              </c:pt>
              <c:pt idx="299">
                <c:v>29</c:v>
              </c:pt>
              <c:pt idx="300">
                <c:v>30</c:v>
              </c:pt>
              <c:pt idx="301">
                <c:v>31</c:v>
              </c:pt>
              <c:pt idx="302">
                <c:v>29</c:v>
              </c:pt>
              <c:pt idx="303">
                <c:v>30</c:v>
              </c:pt>
              <c:pt idx="304">
                <c:v>31</c:v>
              </c:pt>
              <c:pt idx="305">
                <c:v>29</c:v>
              </c:pt>
              <c:pt idx="306">
                <c:v>30</c:v>
              </c:pt>
              <c:pt idx="307">
                <c:v>31</c:v>
              </c:pt>
              <c:pt idx="308">
                <c:v>29</c:v>
              </c:pt>
              <c:pt idx="309">
                <c:v>30</c:v>
              </c:pt>
              <c:pt idx="310">
                <c:v>31</c:v>
              </c:pt>
              <c:pt idx="311">
                <c:v>29</c:v>
              </c:pt>
              <c:pt idx="312">
                <c:v>30</c:v>
              </c:pt>
              <c:pt idx="313">
                <c:v>31</c:v>
              </c:pt>
              <c:pt idx="314">
                <c:v>29</c:v>
              </c:pt>
              <c:pt idx="315">
                <c:v>30</c:v>
              </c:pt>
              <c:pt idx="316">
                <c:v>31</c:v>
              </c:pt>
              <c:pt idx="317">
                <c:v>29</c:v>
              </c:pt>
              <c:pt idx="318">
                <c:v>30</c:v>
              </c:pt>
              <c:pt idx="319">
                <c:v>31</c:v>
              </c:pt>
              <c:pt idx="320">
                <c:v>29</c:v>
              </c:pt>
              <c:pt idx="321">
                <c:v>30</c:v>
              </c:pt>
              <c:pt idx="322">
                <c:v>31</c:v>
              </c:pt>
              <c:pt idx="323">
                <c:v>29</c:v>
              </c:pt>
              <c:pt idx="324">
                <c:v>30</c:v>
              </c:pt>
              <c:pt idx="325">
                <c:v>31</c:v>
              </c:pt>
              <c:pt idx="326">
                <c:v>29</c:v>
              </c:pt>
              <c:pt idx="327">
                <c:v>30</c:v>
              </c:pt>
              <c:pt idx="328">
                <c:v>31</c:v>
              </c:pt>
              <c:pt idx="329">
                <c:v>29</c:v>
              </c:pt>
              <c:pt idx="330">
                <c:v>30</c:v>
              </c:pt>
              <c:pt idx="331">
                <c:v>31</c:v>
              </c:pt>
              <c:pt idx="332">
                <c:v>29</c:v>
              </c:pt>
              <c:pt idx="333">
                <c:v>30</c:v>
              </c:pt>
              <c:pt idx="334">
                <c:v>31</c:v>
              </c:pt>
              <c:pt idx="335">
                <c:v>29</c:v>
              </c:pt>
              <c:pt idx="336">
                <c:v>30</c:v>
              </c:pt>
              <c:pt idx="337">
                <c:v>31</c:v>
              </c:pt>
              <c:pt idx="338">
                <c:v>29</c:v>
              </c:pt>
              <c:pt idx="339">
                <c:v>30</c:v>
              </c:pt>
              <c:pt idx="340">
                <c:v>31</c:v>
              </c:pt>
              <c:pt idx="341">
                <c:v>29</c:v>
              </c:pt>
              <c:pt idx="342">
                <c:v>30</c:v>
              </c:pt>
              <c:pt idx="343">
                <c:v>31</c:v>
              </c:pt>
              <c:pt idx="344">
                <c:v>29</c:v>
              </c:pt>
              <c:pt idx="345">
                <c:v>30</c:v>
              </c:pt>
              <c:pt idx="346">
                <c:v>31</c:v>
              </c:pt>
              <c:pt idx="347">
                <c:v>29</c:v>
              </c:pt>
              <c:pt idx="348">
                <c:v>30</c:v>
              </c:pt>
              <c:pt idx="349">
                <c:v>31</c:v>
              </c:pt>
              <c:pt idx="350">
                <c:v>29</c:v>
              </c:pt>
              <c:pt idx="351">
                <c:v>30</c:v>
              </c:pt>
              <c:pt idx="352">
                <c:v>31</c:v>
              </c:pt>
              <c:pt idx="353">
                <c:v>29</c:v>
              </c:pt>
              <c:pt idx="354">
                <c:v>30</c:v>
              </c:pt>
              <c:pt idx="355">
                <c:v>31</c:v>
              </c:pt>
              <c:pt idx="356">
                <c:v>29</c:v>
              </c:pt>
              <c:pt idx="357">
                <c:v>30</c:v>
              </c:pt>
              <c:pt idx="358">
                <c:v>31</c:v>
              </c:pt>
              <c:pt idx="359">
                <c:v>29</c:v>
              </c:pt>
              <c:pt idx="360">
                <c:v>30</c:v>
              </c:pt>
              <c:pt idx="361">
                <c:v>31</c:v>
              </c:pt>
              <c:pt idx="362">
                <c:v>29</c:v>
              </c:pt>
              <c:pt idx="363">
                <c:v>30</c:v>
              </c:pt>
              <c:pt idx="364">
                <c:v>31</c:v>
              </c:pt>
              <c:pt idx="365">
                <c:v>29</c:v>
              </c:pt>
              <c:pt idx="366">
                <c:v>30</c:v>
              </c:pt>
              <c:pt idx="367">
                <c:v>31</c:v>
              </c:pt>
              <c:pt idx="368">
                <c:v>29</c:v>
              </c:pt>
              <c:pt idx="369">
                <c:v>30</c:v>
              </c:pt>
              <c:pt idx="370">
                <c:v>31</c:v>
              </c:pt>
              <c:pt idx="371">
                <c:v>29</c:v>
              </c:pt>
              <c:pt idx="372">
                <c:v>30</c:v>
              </c:pt>
              <c:pt idx="373">
                <c:v>31</c:v>
              </c:pt>
              <c:pt idx="374">
                <c:v>29</c:v>
              </c:pt>
              <c:pt idx="375">
                <c:v>30</c:v>
              </c:pt>
              <c:pt idx="376">
                <c:v>31</c:v>
              </c:pt>
              <c:pt idx="377">
                <c:v>29</c:v>
              </c:pt>
              <c:pt idx="378">
                <c:v>30</c:v>
              </c:pt>
              <c:pt idx="379">
                <c:v>31</c:v>
              </c:pt>
              <c:pt idx="380">
                <c:v>29</c:v>
              </c:pt>
              <c:pt idx="381">
                <c:v>30</c:v>
              </c:pt>
              <c:pt idx="382">
                <c:v>31</c:v>
              </c:pt>
              <c:pt idx="383">
                <c:v>29</c:v>
              </c:pt>
              <c:pt idx="384">
                <c:v>30</c:v>
              </c:pt>
              <c:pt idx="385">
                <c:v>31</c:v>
              </c:pt>
              <c:pt idx="386">
                <c:v>29</c:v>
              </c:pt>
              <c:pt idx="387">
                <c:v>30</c:v>
              </c:pt>
              <c:pt idx="388">
                <c:v>31</c:v>
              </c:pt>
              <c:pt idx="389">
                <c:v>29</c:v>
              </c:pt>
              <c:pt idx="390">
                <c:v>30</c:v>
              </c:pt>
              <c:pt idx="391">
                <c:v>31</c:v>
              </c:pt>
              <c:pt idx="392">
                <c:v>29</c:v>
              </c:pt>
              <c:pt idx="393">
                <c:v>30</c:v>
              </c:pt>
              <c:pt idx="394">
                <c:v>31</c:v>
              </c:pt>
              <c:pt idx="395">
                <c:v>29</c:v>
              </c:pt>
              <c:pt idx="396">
                <c:v>30</c:v>
              </c:pt>
              <c:pt idx="397">
                <c:v>31</c:v>
              </c:pt>
              <c:pt idx="398">
                <c:v>29</c:v>
              </c:pt>
              <c:pt idx="399">
                <c:v>30</c:v>
              </c:pt>
              <c:pt idx="400">
                <c:v>31</c:v>
              </c:pt>
              <c:pt idx="401">
                <c:v>29</c:v>
              </c:pt>
              <c:pt idx="402">
                <c:v>30</c:v>
              </c:pt>
              <c:pt idx="403">
                <c:v>31</c:v>
              </c:pt>
              <c:pt idx="404">
                <c:v>29</c:v>
              </c:pt>
              <c:pt idx="405">
                <c:v>30</c:v>
              </c:pt>
              <c:pt idx="406">
                <c:v>31</c:v>
              </c:pt>
              <c:pt idx="407">
                <c:v>29</c:v>
              </c:pt>
              <c:pt idx="408">
                <c:v>30</c:v>
              </c:pt>
              <c:pt idx="409">
                <c:v>31</c:v>
              </c:pt>
              <c:pt idx="410">
                <c:v>29</c:v>
              </c:pt>
              <c:pt idx="411">
                <c:v>30</c:v>
              </c:pt>
              <c:pt idx="412">
                <c:v>31</c:v>
              </c:pt>
              <c:pt idx="413">
                <c:v>29</c:v>
              </c:pt>
              <c:pt idx="414">
                <c:v>30</c:v>
              </c:pt>
              <c:pt idx="415">
                <c:v>31</c:v>
              </c:pt>
              <c:pt idx="416">
                <c:v>29</c:v>
              </c:pt>
              <c:pt idx="417">
                <c:v>30</c:v>
              </c:pt>
              <c:pt idx="418">
                <c:v>31</c:v>
              </c:pt>
              <c:pt idx="419">
                <c:v>29</c:v>
              </c:pt>
              <c:pt idx="420">
                <c:v>30</c:v>
              </c:pt>
              <c:pt idx="421">
                <c:v>31</c:v>
              </c:pt>
              <c:pt idx="422">
                <c:v>29</c:v>
              </c:pt>
              <c:pt idx="423">
                <c:v>30</c:v>
              </c:pt>
              <c:pt idx="424">
                <c:v>31</c:v>
              </c:pt>
              <c:pt idx="425">
                <c:v>29</c:v>
              </c:pt>
              <c:pt idx="426">
                <c:v>30</c:v>
              </c:pt>
              <c:pt idx="427">
                <c:v>31</c:v>
              </c:pt>
              <c:pt idx="428">
                <c:v>29</c:v>
              </c:pt>
              <c:pt idx="429">
                <c:v>30</c:v>
              </c:pt>
              <c:pt idx="430">
                <c:v>31</c:v>
              </c:pt>
              <c:pt idx="431">
                <c:v>29</c:v>
              </c:pt>
              <c:pt idx="432">
                <c:v>30</c:v>
              </c:pt>
              <c:pt idx="433">
                <c:v>31</c:v>
              </c:pt>
              <c:pt idx="434">
                <c:v>29</c:v>
              </c:pt>
              <c:pt idx="435">
                <c:v>30</c:v>
              </c:pt>
              <c:pt idx="436">
                <c:v>31</c:v>
              </c:pt>
              <c:pt idx="437">
                <c:v>29</c:v>
              </c:pt>
              <c:pt idx="438">
                <c:v>30</c:v>
              </c:pt>
              <c:pt idx="439">
                <c:v>31</c:v>
              </c:pt>
              <c:pt idx="440">
                <c:v>29</c:v>
              </c:pt>
              <c:pt idx="441">
                <c:v>30</c:v>
              </c:pt>
              <c:pt idx="442">
                <c:v>31</c:v>
              </c:pt>
              <c:pt idx="443">
                <c:v>29</c:v>
              </c:pt>
              <c:pt idx="444">
                <c:v>30</c:v>
              </c:pt>
              <c:pt idx="445">
                <c:v>31</c:v>
              </c:pt>
              <c:pt idx="446">
                <c:v>29</c:v>
              </c:pt>
              <c:pt idx="447">
                <c:v>30</c:v>
              </c:pt>
              <c:pt idx="448">
                <c:v>31</c:v>
              </c:pt>
              <c:pt idx="449">
                <c:v>29</c:v>
              </c:pt>
              <c:pt idx="450">
                <c:v>30</c:v>
              </c:pt>
              <c:pt idx="451">
                <c:v>31</c:v>
              </c:pt>
              <c:pt idx="452">
                <c:v>31</c:v>
              </c:pt>
              <c:pt idx="453">
                <c:v>31</c:v>
              </c:pt>
              <c:pt idx="454">
                <c:v>31</c:v>
              </c:pt>
              <c:pt idx="455">
                <c:v>31</c:v>
              </c:pt>
              <c:pt idx="456">
                <c:v>31</c:v>
              </c:pt>
              <c:pt idx="457">
                <c:v>31</c:v>
              </c:pt>
              <c:pt idx="458">
                <c:v>31</c:v>
              </c:pt>
              <c:pt idx="459">
                <c:v>31</c:v>
              </c:pt>
              <c:pt idx="460">
                <c:v>31</c:v>
              </c:pt>
              <c:pt idx="461">
                <c:v>31</c:v>
              </c:pt>
              <c:pt idx="462">
                <c:v>31</c:v>
              </c:pt>
              <c:pt idx="463">
                <c:v>31</c:v>
              </c:pt>
              <c:pt idx="464">
                <c:v>31</c:v>
              </c:pt>
              <c:pt idx="465">
                <c:v>31</c:v>
              </c:pt>
              <c:pt idx="466">
                <c:v>31</c:v>
              </c:pt>
              <c:pt idx="467">
                <c:v>31</c:v>
              </c:pt>
              <c:pt idx="468">
                <c:v>31</c:v>
              </c:pt>
              <c:pt idx="469">
                <c:v>31</c:v>
              </c:pt>
              <c:pt idx="470">
                <c:v>31</c:v>
              </c:pt>
              <c:pt idx="471">
                <c:v>31</c:v>
              </c:pt>
              <c:pt idx="472">
                <c:v>31</c:v>
              </c:pt>
              <c:pt idx="473">
                <c:v>31</c:v>
              </c:pt>
              <c:pt idx="474">
                <c:v>31</c:v>
              </c:pt>
              <c:pt idx="475">
                <c:v>31</c:v>
              </c:pt>
              <c:pt idx="476">
                <c:v>31</c:v>
              </c:pt>
              <c:pt idx="477">
                <c:v>31</c:v>
              </c:pt>
              <c:pt idx="478">
                <c:v>31</c:v>
              </c:pt>
              <c:pt idx="479">
                <c:v>31</c:v>
              </c:pt>
              <c:pt idx="480">
                <c:v>31</c:v>
              </c:pt>
              <c:pt idx="481">
                <c:v>31</c:v>
              </c:pt>
              <c:pt idx="482">
                <c:v>31</c:v>
              </c:pt>
              <c:pt idx="483">
                <c:v>31</c:v>
              </c:pt>
              <c:pt idx="484">
                <c:v>31</c:v>
              </c:pt>
              <c:pt idx="485">
                <c:v>31</c:v>
              </c:pt>
              <c:pt idx="486">
                <c:v>31</c:v>
              </c:pt>
              <c:pt idx="487">
                <c:v>31</c:v>
              </c:pt>
              <c:pt idx="488">
                <c:v>31</c:v>
              </c:pt>
              <c:pt idx="489">
                <c:v>31</c:v>
              </c:pt>
              <c:pt idx="490">
                <c:v>31</c:v>
              </c:pt>
              <c:pt idx="491">
                <c:v>31</c:v>
              </c:pt>
              <c:pt idx="492">
                <c:v>31</c:v>
              </c:pt>
            </c:numLit>
          </c:cat>
          <c:val>
            <c:numRef>
              <c:f>'GRAFICAS RPTE GCIAL'!$C$126:$C$156</c:f>
              <c:numCache>
                <c:formatCode>0.0</c:formatCode>
                <c:ptCount val="31"/>
                <c:pt idx="0">
                  <c:v>147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84B1-4BA4-8E4B-F2BF8D88FB00}"/>
            </c:ext>
          </c:extLst>
        </c:ser>
        <c:ser>
          <c:idx val="1"/>
          <c:order val="1"/>
          <c:tx>
            <c:strRef>
              <c:f>'GRAFICAS RPTE GCIAL'!$I$125</c:f>
              <c:strCache>
                <c:ptCount val="1"/>
                <c:pt idx="0">
                  <c:v>US-GT 8002 Mwh</c:v>
                </c:pt>
              </c:strCache>
            </c:strRef>
          </c:tx>
          <c:spPr>
            <a:ln>
              <a:solidFill>
                <a:srgbClr val="A43D3A"/>
              </a:solidFill>
            </a:ln>
          </c:spPr>
          <c:marker>
            <c:symbol val="none"/>
          </c:marker>
          <c:cat>
            <c:numLit>
              <c:formatCode>General</c:formatCode>
              <c:ptCount val="49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29</c:v>
              </c:pt>
              <c:pt idx="32">
                <c:v>30</c:v>
              </c:pt>
              <c:pt idx="33">
                <c:v>31</c:v>
              </c:pt>
              <c:pt idx="34">
                <c:v>29</c:v>
              </c:pt>
              <c:pt idx="35">
                <c:v>30</c:v>
              </c:pt>
              <c:pt idx="36">
                <c:v>31</c:v>
              </c:pt>
              <c:pt idx="37">
                <c:v>29</c:v>
              </c:pt>
              <c:pt idx="38">
                <c:v>30</c:v>
              </c:pt>
              <c:pt idx="39">
                <c:v>31</c:v>
              </c:pt>
              <c:pt idx="40">
                <c:v>29</c:v>
              </c:pt>
              <c:pt idx="41">
                <c:v>30</c:v>
              </c:pt>
              <c:pt idx="42">
                <c:v>31</c:v>
              </c:pt>
              <c:pt idx="43">
                <c:v>29</c:v>
              </c:pt>
              <c:pt idx="44">
                <c:v>30</c:v>
              </c:pt>
              <c:pt idx="45">
                <c:v>31</c:v>
              </c:pt>
              <c:pt idx="46">
                <c:v>29</c:v>
              </c:pt>
              <c:pt idx="47">
                <c:v>30</c:v>
              </c:pt>
              <c:pt idx="48">
                <c:v>31</c:v>
              </c:pt>
              <c:pt idx="49">
                <c:v>29</c:v>
              </c:pt>
              <c:pt idx="50">
                <c:v>30</c:v>
              </c:pt>
              <c:pt idx="51">
                <c:v>31</c:v>
              </c:pt>
              <c:pt idx="52">
                <c:v>29</c:v>
              </c:pt>
              <c:pt idx="53">
                <c:v>30</c:v>
              </c:pt>
              <c:pt idx="54">
                <c:v>31</c:v>
              </c:pt>
              <c:pt idx="55">
                <c:v>29</c:v>
              </c:pt>
              <c:pt idx="56">
                <c:v>30</c:v>
              </c:pt>
              <c:pt idx="57">
                <c:v>31</c:v>
              </c:pt>
              <c:pt idx="58">
                <c:v>29</c:v>
              </c:pt>
              <c:pt idx="59">
                <c:v>30</c:v>
              </c:pt>
              <c:pt idx="60">
                <c:v>31</c:v>
              </c:pt>
              <c:pt idx="61">
                <c:v>29</c:v>
              </c:pt>
              <c:pt idx="62">
                <c:v>30</c:v>
              </c:pt>
              <c:pt idx="63">
                <c:v>31</c:v>
              </c:pt>
              <c:pt idx="64">
                <c:v>29</c:v>
              </c:pt>
              <c:pt idx="65">
                <c:v>30</c:v>
              </c:pt>
              <c:pt idx="66">
                <c:v>31</c:v>
              </c:pt>
              <c:pt idx="67">
                <c:v>29</c:v>
              </c:pt>
              <c:pt idx="68">
                <c:v>30</c:v>
              </c:pt>
              <c:pt idx="69">
                <c:v>31</c:v>
              </c:pt>
              <c:pt idx="70">
                <c:v>29</c:v>
              </c:pt>
              <c:pt idx="71">
                <c:v>30</c:v>
              </c:pt>
              <c:pt idx="72">
                <c:v>31</c:v>
              </c:pt>
              <c:pt idx="73">
                <c:v>29</c:v>
              </c:pt>
              <c:pt idx="74">
                <c:v>30</c:v>
              </c:pt>
              <c:pt idx="75">
                <c:v>31</c:v>
              </c:pt>
              <c:pt idx="76">
                <c:v>29</c:v>
              </c:pt>
              <c:pt idx="77">
                <c:v>30</c:v>
              </c:pt>
              <c:pt idx="78">
                <c:v>31</c:v>
              </c:pt>
              <c:pt idx="79">
                <c:v>29</c:v>
              </c:pt>
              <c:pt idx="80">
                <c:v>30</c:v>
              </c:pt>
              <c:pt idx="81">
                <c:v>31</c:v>
              </c:pt>
              <c:pt idx="82">
                <c:v>29</c:v>
              </c:pt>
              <c:pt idx="83">
                <c:v>30</c:v>
              </c:pt>
              <c:pt idx="84">
                <c:v>31</c:v>
              </c:pt>
              <c:pt idx="85">
                <c:v>29</c:v>
              </c:pt>
              <c:pt idx="86">
                <c:v>30</c:v>
              </c:pt>
              <c:pt idx="87">
                <c:v>31</c:v>
              </c:pt>
              <c:pt idx="88">
                <c:v>29</c:v>
              </c:pt>
              <c:pt idx="89">
                <c:v>30</c:v>
              </c:pt>
              <c:pt idx="90">
                <c:v>31</c:v>
              </c:pt>
              <c:pt idx="91">
                <c:v>29</c:v>
              </c:pt>
              <c:pt idx="92">
                <c:v>30</c:v>
              </c:pt>
              <c:pt idx="93">
                <c:v>31</c:v>
              </c:pt>
              <c:pt idx="94">
                <c:v>29</c:v>
              </c:pt>
              <c:pt idx="95">
                <c:v>30</c:v>
              </c:pt>
              <c:pt idx="96">
                <c:v>31</c:v>
              </c:pt>
              <c:pt idx="97">
                <c:v>29</c:v>
              </c:pt>
              <c:pt idx="98">
                <c:v>30</c:v>
              </c:pt>
              <c:pt idx="99">
                <c:v>31</c:v>
              </c:pt>
              <c:pt idx="100">
                <c:v>29</c:v>
              </c:pt>
              <c:pt idx="101">
                <c:v>30</c:v>
              </c:pt>
              <c:pt idx="102">
                <c:v>31</c:v>
              </c:pt>
              <c:pt idx="103">
                <c:v>29</c:v>
              </c:pt>
              <c:pt idx="104">
                <c:v>30</c:v>
              </c:pt>
              <c:pt idx="105">
                <c:v>31</c:v>
              </c:pt>
              <c:pt idx="106">
                <c:v>29</c:v>
              </c:pt>
              <c:pt idx="107">
                <c:v>30</c:v>
              </c:pt>
              <c:pt idx="108">
                <c:v>31</c:v>
              </c:pt>
              <c:pt idx="109">
                <c:v>29</c:v>
              </c:pt>
              <c:pt idx="110">
                <c:v>30</c:v>
              </c:pt>
              <c:pt idx="111">
                <c:v>31</c:v>
              </c:pt>
              <c:pt idx="112">
                <c:v>29</c:v>
              </c:pt>
              <c:pt idx="113">
                <c:v>30</c:v>
              </c:pt>
              <c:pt idx="114">
                <c:v>31</c:v>
              </c:pt>
              <c:pt idx="115">
                <c:v>29</c:v>
              </c:pt>
              <c:pt idx="116">
                <c:v>30</c:v>
              </c:pt>
              <c:pt idx="117">
                <c:v>31</c:v>
              </c:pt>
              <c:pt idx="118">
                <c:v>29</c:v>
              </c:pt>
              <c:pt idx="119">
                <c:v>30</c:v>
              </c:pt>
              <c:pt idx="120">
                <c:v>31</c:v>
              </c:pt>
              <c:pt idx="121">
                <c:v>29</c:v>
              </c:pt>
              <c:pt idx="122">
                <c:v>30</c:v>
              </c:pt>
              <c:pt idx="123">
                <c:v>31</c:v>
              </c:pt>
              <c:pt idx="124">
                <c:v>29</c:v>
              </c:pt>
              <c:pt idx="125">
                <c:v>30</c:v>
              </c:pt>
              <c:pt idx="126">
                <c:v>31</c:v>
              </c:pt>
              <c:pt idx="127">
                <c:v>29</c:v>
              </c:pt>
              <c:pt idx="128">
                <c:v>30</c:v>
              </c:pt>
              <c:pt idx="129">
                <c:v>31</c:v>
              </c:pt>
              <c:pt idx="130">
                <c:v>29</c:v>
              </c:pt>
              <c:pt idx="131">
                <c:v>30</c:v>
              </c:pt>
              <c:pt idx="132">
                <c:v>31</c:v>
              </c:pt>
              <c:pt idx="133">
                <c:v>29</c:v>
              </c:pt>
              <c:pt idx="134">
                <c:v>30</c:v>
              </c:pt>
              <c:pt idx="135">
                <c:v>31</c:v>
              </c:pt>
              <c:pt idx="136">
                <c:v>29</c:v>
              </c:pt>
              <c:pt idx="137">
                <c:v>30</c:v>
              </c:pt>
              <c:pt idx="138">
                <c:v>31</c:v>
              </c:pt>
              <c:pt idx="139">
                <c:v>29</c:v>
              </c:pt>
              <c:pt idx="140">
                <c:v>30</c:v>
              </c:pt>
              <c:pt idx="141">
                <c:v>31</c:v>
              </c:pt>
              <c:pt idx="142">
                <c:v>29</c:v>
              </c:pt>
              <c:pt idx="143">
                <c:v>30</c:v>
              </c:pt>
              <c:pt idx="144">
                <c:v>31</c:v>
              </c:pt>
              <c:pt idx="145">
                <c:v>29</c:v>
              </c:pt>
              <c:pt idx="146">
                <c:v>30</c:v>
              </c:pt>
              <c:pt idx="147">
                <c:v>31</c:v>
              </c:pt>
              <c:pt idx="148">
                <c:v>29</c:v>
              </c:pt>
              <c:pt idx="149">
                <c:v>30</c:v>
              </c:pt>
              <c:pt idx="150">
                <c:v>31</c:v>
              </c:pt>
              <c:pt idx="151">
                <c:v>29</c:v>
              </c:pt>
              <c:pt idx="152">
                <c:v>30</c:v>
              </c:pt>
              <c:pt idx="153">
                <c:v>31</c:v>
              </c:pt>
              <c:pt idx="154">
                <c:v>29</c:v>
              </c:pt>
              <c:pt idx="155">
                <c:v>30</c:v>
              </c:pt>
              <c:pt idx="156">
                <c:v>31</c:v>
              </c:pt>
              <c:pt idx="157">
                <c:v>29</c:v>
              </c:pt>
              <c:pt idx="158">
                <c:v>30</c:v>
              </c:pt>
              <c:pt idx="159">
                <c:v>31</c:v>
              </c:pt>
              <c:pt idx="160">
                <c:v>29</c:v>
              </c:pt>
              <c:pt idx="161">
                <c:v>30</c:v>
              </c:pt>
              <c:pt idx="162">
                <c:v>31</c:v>
              </c:pt>
              <c:pt idx="163">
                <c:v>29</c:v>
              </c:pt>
              <c:pt idx="164">
                <c:v>30</c:v>
              </c:pt>
              <c:pt idx="165">
                <c:v>31</c:v>
              </c:pt>
              <c:pt idx="166">
                <c:v>29</c:v>
              </c:pt>
              <c:pt idx="167">
                <c:v>30</c:v>
              </c:pt>
              <c:pt idx="168">
                <c:v>31</c:v>
              </c:pt>
              <c:pt idx="169">
                <c:v>29</c:v>
              </c:pt>
              <c:pt idx="170">
                <c:v>30</c:v>
              </c:pt>
              <c:pt idx="171">
                <c:v>31</c:v>
              </c:pt>
              <c:pt idx="172">
                <c:v>29</c:v>
              </c:pt>
              <c:pt idx="173">
                <c:v>30</c:v>
              </c:pt>
              <c:pt idx="174">
                <c:v>31</c:v>
              </c:pt>
              <c:pt idx="175">
                <c:v>29</c:v>
              </c:pt>
              <c:pt idx="176">
                <c:v>30</c:v>
              </c:pt>
              <c:pt idx="177">
                <c:v>31</c:v>
              </c:pt>
              <c:pt idx="178">
                <c:v>29</c:v>
              </c:pt>
              <c:pt idx="179">
                <c:v>30</c:v>
              </c:pt>
              <c:pt idx="180">
                <c:v>31</c:v>
              </c:pt>
              <c:pt idx="181">
                <c:v>29</c:v>
              </c:pt>
              <c:pt idx="182">
                <c:v>30</c:v>
              </c:pt>
              <c:pt idx="183">
                <c:v>31</c:v>
              </c:pt>
              <c:pt idx="184">
                <c:v>29</c:v>
              </c:pt>
              <c:pt idx="185">
                <c:v>30</c:v>
              </c:pt>
              <c:pt idx="186">
                <c:v>31</c:v>
              </c:pt>
              <c:pt idx="187">
                <c:v>29</c:v>
              </c:pt>
              <c:pt idx="188">
                <c:v>30</c:v>
              </c:pt>
              <c:pt idx="189">
                <c:v>31</c:v>
              </c:pt>
              <c:pt idx="190">
                <c:v>29</c:v>
              </c:pt>
              <c:pt idx="191">
                <c:v>30</c:v>
              </c:pt>
              <c:pt idx="192">
                <c:v>31</c:v>
              </c:pt>
              <c:pt idx="193">
                <c:v>29</c:v>
              </c:pt>
              <c:pt idx="194">
                <c:v>30</c:v>
              </c:pt>
              <c:pt idx="195">
                <c:v>31</c:v>
              </c:pt>
              <c:pt idx="196">
                <c:v>29</c:v>
              </c:pt>
              <c:pt idx="197">
                <c:v>30</c:v>
              </c:pt>
              <c:pt idx="198">
                <c:v>31</c:v>
              </c:pt>
              <c:pt idx="199">
                <c:v>29</c:v>
              </c:pt>
              <c:pt idx="200">
                <c:v>30</c:v>
              </c:pt>
              <c:pt idx="201">
                <c:v>31</c:v>
              </c:pt>
              <c:pt idx="202">
                <c:v>29</c:v>
              </c:pt>
              <c:pt idx="203">
                <c:v>30</c:v>
              </c:pt>
              <c:pt idx="204">
                <c:v>31</c:v>
              </c:pt>
              <c:pt idx="205">
                <c:v>29</c:v>
              </c:pt>
              <c:pt idx="206">
                <c:v>30</c:v>
              </c:pt>
              <c:pt idx="207">
                <c:v>31</c:v>
              </c:pt>
              <c:pt idx="208">
                <c:v>29</c:v>
              </c:pt>
              <c:pt idx="209">
                <c:v>30</c:v>
              </c:pt>
              <c:pt idx="210">
                <c:v>31</c:v>
              </c:pt>
              <c:pt idx="211">
                <c:v>31</c:v>
              </c:pt>
              <c:pt idx="212">
                <c:v>31</c:v>
              </c:pt>
              <c:pt idx="213">
                <c:v>31</c:v>
              </c:pt>
              <c:pt idx="214">
                <c:v>31</c:v>
              </c:pt>
              <c:pt idx="215">
                <c:v>31</c:v>
              </c:pt>
              <c:pt idx="216">
                <c:v>31</c:v>
              </c:pt>
              <c:pt idx="217">
                <c:v>31</c:v>
              </c:pt>
              <c:pt idx="218">
                <c:v>31</c:v>
              </c:pt>
              <c:pt idx="219">
                <c:v>31</c:v>
              </c:pt>
              <c:pt idx="220">
                <c:v>31</c:v>
              </c:pt>
              <c:pt idx="221">
                <c:v>31</c:v>
              </c:pt>
              <c:pt idx="222">
                <c:v>31</c:v>
              </c:pt>
              <c:pt idx="223">
                <c:v>31</c:v>
              </c:pt>
              <c:pt idx="224">
                <c:v>31</c:v>
              </c:pt>
              <c:pt idx="225">
                <c:v>31</c:v>
              </c:pt>
              <c:pt idx="226">
                <c:v>31</c:v>
              </c:pt>
              <c:pt idx="227">
                <c:v>31</c:v>
              </c:pt>
              <c:pt idx="228">
                <c:v>31</c:v>
              </c:pt>
              <c:pt idx="229">
                <c:v>31</c:v>
              </c:pt>
              <c:pt idx="230">
                <c:v>31</c:v>
              </c:pt>
              <c:pt idx="231">
                <c:v>31</c:v>
              </c:pt>
              <c:pt idx="232">
                <c:v>31</c:v>
              </c:pt>
              <c:pt idx="233">
                <c:v>31</c:v>
              </c:pt>
              <c:pt idx="234">
                <c:v>31</c:v>
              </c:pt>
              <c:pt idx="235">
                <c:v>31</c:v>
              </c:pt>
              <c:pt idx="236">
                <c:v>31</c:v>
              </c:pt>
              <c:pt idx="237">
                <c:v>31</c:v>
              </c:pt>
              <c:pt idx="238">
                <c:v>31</c:v>
              </c:pt>
              <c:pt idx="239">
                <c:v>31</c:v>
              </c:pt>
              <c:pt idx="240">
                <c:v>31</c:v>
              </c:pt>
              <c:pt idx="241">
                <c:v>31</c:v>
              </c:pt>
              <c:pt idx="242">
                <c:v>31</c:v>
              </c:pt>
              <c:pt idx="243">
                <c:v>31</c:v>
              </c:pt>
              <c:pt idx="244">
                <c:v>31</c:v>
              </c:pt>
              <c:pt idx="245">
                <c:v>31</c:v>
              </c:pt>
              <c:pt idx="246">
                <c:v>31</c:v>
              </c:pt>
              <c:pt idx="247">
                <c:v>31</c:v>
              </c:pt>
              <c:pt idx="248">
                <c:v>31</c:v>
              </c:pt>
              <c:pt idx="249">
                <c:v>31</c:v>
              </c:pt>
              <c:pt idx="250">
                <c:v>31</c:v>
              </c:pt>
              <c:pt idx="251">
                <c:v>31</c:v>
              </c:pt>
              <c:pt idx="252">
                <c:v>31</c:v>
              </c:pt>
              <c:pt idx="253">
                <c:v>31</c:v>
              </c:pt>
              <c:pt idx="254">
                <c:v>31</c:v>
              </c:pt>
              <c:pt idx="255">
                <c:v>31</c:v>
              </c:pt>
              <c:pt idx="256">
                <c:v>31</c:v>
              </c:pt>
              <c:pt idx="257">
                <c:v>31</c:v>
              </c:pt>
              <c:pt idx="258">
                <c:v>31</c:v>
              </c:pt>
              <c:pt idx="259">
                <c:v>31</c:v>
              </c:pt>
              <c:pt idx="260">
                <c:v>31</c:v>
              </c:pt>
              <c:pt idx="261">
                <c:v>31</c:v>
              </c:pt>
              <c:pt idx="262">
                <c:v>31</c:v>
              </c:pt>
              <c:pt idx="263">
                <c:v>31</c:v>
              </c:pt>
              <c:pt idx="264">
                <c:v>31</c:v>
              </c:pt>
              <c:pt idx="265">
                <c:v>31</c:v>
              </c:pt>
              <c:pt idx="266">
                <c:v>31</c:v>
              </c:pt>
              <c:pt idx="267">
                <c:v>31</c:v>
              </c:pt>
              <c:pt idx="268">
                <c:v>31</c:v>
              </c:pt>
              <c:pt idx="269">
                <c:v>31</c:v>
              </c:pt>
              <c:pt idx="270">
                <c:v>31</c:v>
              </c:pt>
              <c:pt idx="271">
                <c:v>31</c:v>
              </c:pt>
              <c:pt idx="272">
                <c:v>31</c:v>
              </c:pt>
              <c:pt idx="273">
                <c:v>31</c:v>
              </c:pt>
              <c:pt idx="274">
                <c:v>31</c:v>
              </c:pt>
              <c:pt idx="275">
                <c:v>31</c:v>
              </c:pt>
              <c:pt idx="276">
                <c:v>31</c:v>
              </c:pt>
              <c:pt idx="277">
                <c:v>31</c:v>
              </c:pt>
              <c:pt idx="278">
                <c:v>31</c:v>
              </c:pt>
              <c:pt idx="279">
                <c:v>31</c:v>
              </c:pt>
              <c:pt idx="280">
                <c:v>31</c:v>
              </c:pt>
              <c:pt idx="281">
                <c:v>31</c:v>
              </c:pt>
              <c:pt idx="282">
                <c:v>31</c:v>
              </c:pt>
              <c:pt idx="283">
                <c:v>31</c:v>
              </c:pt>
              <c:pt idx="284">
                <c:v>31</c:v>
              </c:pt>
              <c:pt idx="285">
                <c:v>31</c:v>
              </c:pt>
              <c:pt idx="286">
                <c:v>31</c:v>
              </c:pt>
              <c:pt idx="287">
                <c:v>31</c:v>
              </c:pt>
              <c:pt idx="288">
                <c:v>31</c:v>
              </c:pt>
              <c:pt idx="289">
                <c:v>31</c:v>
              </c:pt>
              <c:pt idx="290">
                <c:v>31</c:v>
              </c:pt>
              <c:pt idx="291">
                <c:v>31</c:v>
              </c:pt>
              <c:pt idx="292">
                <c:v>31</c:v>
              </c:pt>
              <c:pt idx="293">
                <c:v>29</c:v>
              </c:pt>
              <c:pt idx="294">
                <c:v>30</c:v>
              </c:pt>
              <c:pt idx="295">
                <c:v>31</c:v>
              </c:pt>
              <c:pt idx="296">
                <c:v>29</c:v>
              </c:pt>
              <c:pt idx="297">
                <c:v>30</c:v>
              </c:pt>
              <c:pt idx="298">
                <c:v>31</c:v>
              </c:pt>
              <c:pt idx="299">
                <c:v>29</c:v>
              </c:pt>
              <c:pt idx="300">
                <c:v>30</c:v>
              </c:pt>
              <c:pt idx="301">
                <c:v>31</c:v>
              </c:pt>
              <c:pt idx="302">
                <c:v>29</c:v>
              </c:pt>
              <c:pt idx="303">
                <c:v>30</c:v>
              </c:pt>
              <c:pt idx="304">
                <c:v>31</c:v>
              </c:pt>
              <c:pt idx="305">
                <c:v>29</c:v>
              </c:pt>
              <c:pt idx="306">
                <c:v>30</c:v>
              </c:pt>
              <c:pt idx="307">
                <c:v>31</c:v>
              </c:pt>
              <c:pt idx="308">
                <c:v>29</c:v>
              </c:pt>
              <c:pt idx="309">
                <c:v>30</c:v>
              </c:pt>
              <c:pt idx="310">
                <c:v>31</c:v>
              </c:pt>
              <c:pt idx="311">
                <c:v>29</c:v>
              </c:pt>
              <c:pt idx="312">
                <c:v>30</c:v>
              </c:pt>
              <c:pt idx="313">
                <c:v>31</c:v>
              </c:pt>
              <c:pt idx="314">
                <c:v>29</c:v>
              </c:pt>
              <c:pt idx="315">
                <c:v>30</c:v>
              </c:pt>
              <c:pt idx="316">
                <c:v>31</c:v>
              </c:pt>
              <c:pt idx="317">
                <c:v>29</c:v>
              </c:pt>
              <c:pt idx="318">
                <c:v>30</c:v>
              </c:pt>
              <c:pt idx="319">
                <c:v>31</c:v>
              </c:pt>
              <c:pt idx="320">
                <c:v>29</c:v>
              </c:pt>
              <c:pt idx="321">
                <c:v>30</c:v>
              </c:pt>
              <c:pt idx="322">
                <c:v>31</c:v>
              </c:pt>
              <c:pt idx="323">
                <c:v>29</c:v>
              </c:pt>
              <c:pt idx="324">
                <c:v>30</c:v>
              </c:pt>
              <c:pt idx="325">
                <c:v>31</c:v>
              </c:pt>
              <c:pt idx="326">
                <c:v>29</c:v>
              </c:pt>
              <c:pt idx="327">
                <c:v>30</c:v>
              </c:pt>
              <c:pt idx="328">
                <c:v>31</c:v>
              </c:pt>
              <c:pt idx="329">
                <c:v>29</c:v>
              </c:pt>
              <c:pt idx="330">
                <c:v>30</c:v>
              </c:pt>
              <c:pt idx="331">
                <c:v>31</c:v>
              </c:pt>
              <c:pt idx="332">
                <c:v>29</c:v>
              </c:pt>
              <c:pt idx="333">
                <c:v>30</c:v>
              </c:pt>
              <c:pt idx="334">
                <c:v>31</c:v>
              </c:pt>
              <c:pt idx="335">
                <c:v>29</c:v>
              </c:pt>
              <c:pt idx="336">
                <c:v>30</c:v>
              </c:pt>
              <c:pt idx="337">
                <c:v>31</c:v>
              </c:pt>
              <c:pt idx="338">
                <c:v>29</c:v>
              </c:pt>
              <c:pt idx="339">
                <c:v>30</c:v>
              </c:pt>
              <c:pt idx="340">
                <c:v>31</c:v>
              </c:pt>
              <c:pt idx="341">
                <c:v>29</c:v>
              </c:pt>
              <c:pt idx="342">
                <c:v>30</c:v>
              </c:pt>
              <c:pt idx="343">
                <c:v>31</c:v>
              </c:pt>
              <c:pt idx="344">
                <c:v>29</c:v>
              </c:pt>
              <c:pt idx="345">
                <c:v>30</c:v>
              </c:pt>
              <c:pt idx="346">
                <c:v>31</c:v>
              </c:pt>
              <c:pt idx="347">
                <c:v>29</c:v>
              </c:pt>
              <c:pt idx="348">
                <c:v>30</c:v>
              </c:pt>
              <c:pt idx="349">
                <c:v>31</c:v>
              </c:pt>
              <c:pt idx="350">
                <c:v>29</c:v>
              </c:pt>
              <c:pt idx="351">
                <c:v>30</c:v>
              </c:pt>
              <c:pt idx="352">
                <c:v>31</c:v>
              </c:pt>
              <c:pt idx="353">
                <c:v>29</c:v>
              </c:pt>
              <c:pt idx="354">
                <c:v>30</c:v>
              </c:pt>
              <c:pt idx="355">
                <c:v>31</c:v>
              </c:pt>
              <c:pt idx="356">
                <c:v>29</c:v>
              </c:pt>
              <c:pt idx="357">
                <c:v>30</c:v>
              </c:pt>
              <c:pt idx="358">
                <c:v>31</c:v>
              </c:pt>
              <c:pt idx="359">
                <c:v>29</c:v>
              </c:pt>
              <c:pt idx="360">
                <c:v>30</c:v>
              </c:pt>
              <c:pt idx="361">
                <c:v>31</c:v>
              </c:pt>
              <c:pt idx="362">
                <c:v>29</c:v>
              </c:pt>
              <c:pt idx="363">
                <c:v>30</c:v>
              </c:pt>
              <c:pt idx="364">
                <c:v>31</c:v>
              </c:pt>
              <c:pt idx="365">
                <c:v>29</c:v>
              </c:pt>
              <c:pt idx="366">
                <c:v>30</c:v>
              </c:pt>
              <c:pt idx="367">
                <c:v>31</c:v>
              </c:pt>
              <c:pt idx="368">
                <c:v>29</c:v>
              </c:pt>
              <c:pt idx="369">
                <c:v>30</c:v>
              </c:pt>
              <c:pt idx="370">
                <c:v>31</c:v>
              </c:pt>
              <c:pt idx="371">
                <c:v>29</c:v>
              </c:pt>
              <c:pt idx="372">
                <c:v>30</c:v>
              </c:pt>
              <c:pt idx="373">
                <c:v>31</c:v>
              </c:pt>
              <c:pt idx="374">
                <c:v>29</c:v>
              </c:pt>
              <c:pt idx="375">
                <c:v>30</c:v>
              </c:pt>
              <c:pt idx="376">
                <c:v>31</c:v>
              </c:pt>
              <c:pt idx="377">
                <c:v>29</c:v>
              </c:pt>
              <c:pt idx="378">
                <c:v>30</c:v>
              </c:pt>
              <c:pt idx="379">
                <c:v>31</c:v>
              </c:pt>
              <c:pt idx="380">
                <c:v>29</c:v>
              </c:pt>
              <c:pt idx="381">
                <c:v>30</c:v>
              </c:pt>
              <c:pt idx="382">
                <c:v>31</c:v>
              </c:pt>
              <c:pt idx="383">
                <c:v>29</c:v>
              </c:pt>
              <c:pt idx="384">
                <c:v>30</c:v>
              </c:pt>
              <c:pt idx="385">
                <c:v>31</c:v>
              </c:pt>
              <c:pt idx="386">
                <c:v>29</c:v>
              </c:pt>
              <c:pt idx="387">
                <c:v>30</c:v>
              </c:pt>
              <c:pt idx="388">
                <c:v>31</c:v>
              </c:pt>
              <c:pt idx="389">
                <c:v>29</c:v>
              </c:pt>
              <c:pt idx="390">
                <c:v>30</c:v>
              </c:pt>
              <c:pt idx="391">
                <c:v>31</c:v>
              </c:pt>
              <c:pt idx="392">
                <c:v>29</c:v>
              </c:pt>
              <c:pt idx="393">
                <c:v>30</c:v>
              </c:pt>
              <c:pt idx="394">
                <c:v>31</c:v>
              </c:pt>
              <c:pt idx="395">
                <c:v>29</c:v>
              </c:pt>
              <c:pt idx="396">
                <c:v>30</c:v>
              </c:pt>
              <c:pt idx="397">
                <c:v>31</c:v>
              </c:pt>
              <c:pt idx="398">
                <c:v>29</c:v>
              </c:pt>
              <c:pt idx="399">
                <c:v>30</c:v>
              </c:pt>
              <c:pt idx="400">
                <c:v>31</c:v>
              </c:pt>
              <c:pt idx="401">
                <c:v>29</c:v>
              </c:pt>
              <c:pt idx="402">
                <c:v>30</c:v>
              </c:pt>
              <c:pt idx="403">
                <c:v>31</c:v>
              </c:pt>
              <c:pt idx="404">
                <c:v>29</c:v>
              </c:pt>
              <c:pt idx="405">
                <c:v>30</c:v>
              </c:pt>
              <c:pt idx="406">
                <c:v>31</c:v>
              </c:pt>
              <c:pt idx="407">
                <c:v>29</c:v>
              </c:pt>
              <c:pt idx="408">
                <c:v>30</c:v>
              </c:pt>
              <c:pt idx="409">
                <c:v>31</c:v>
              </c:pt>
              <c:pt idx="410">
                <c:v>29</c:v>
              </c:pt>
              <c:pt idx="411">
                <c:v>30</c:v>
              </c:pt>
              <c:pt idx="412">
                <c:v>31</c:v>
              </c:pt>
              <c:pt idx="413">
                <c:v>29</c:v>
              </c:pt>
              <c:pt idx="414">
                <c:v>30</c:v>
              </c:pt>
              <c:pt idx="415">
                <c:v>31</c:v>
              </c:pt>
              <c:pt idx="416">
                <c:v>29</c:v>
              </c:pt>
              <c:pt idx="417">
                <c:v>30</c:v>
              </c:pt>
              <c:pt idx="418">
                <c:v>31</c:v>
              </c:pt>
              <c:pt idx="419">
                <c:v>29</c:v>
              </c:pt>
              <c:pt idx="420">
                <c:v>30</c:v>
              </c:pt>
              <c:pt idx="421">
                <c:v>31</c:v>
              </c:pt>
              <c:pt idx="422">
                <c:v>29</c:v>
              </c:pt>
              <c:pt idx="423">
                <c:v>30</c:v>
              </c:pt>
              <c:pt idx="424">
                <c:v>31</c:v>
              </c:pt>
              <c:pt idx="425">
                <c:v>29</c:v>
              </c:pt>
              <c:pt idx="426">
                <c:v>30</c:v>
              </c:pt>
              <c:pt idx="427">
                <c:v>31</c:v>
              </c:pt>
              <c:pt idx="428">
                <c:v>29</c:v>
              </c:pt>
              <c:pt idx="429">
                <c:v>30</c:v>
              </c:pt>
              <c:pt idx="430">
                <c:v>31</c:v>
              </c:pt>
              <c:pt idx="431">
                <c:v>29</c:v>
              </c:pt>
              <c:pt idx="432">
                <c:v>30</c:v>
              </c:pt>
              <c:pt idx="433">
                <c:v>31</c:v>
              </c:pt>
              <c:pt idx="434">
                <c:v>29</c:v>
              </c:pt>
              <c:pt idx="435">
                <c:v>30</c:v>
              </c:pt>
              <c:pt idx="436">
                <c:v>31</c:v>
              </c:pt>
              <c:pt idx="437">
                <c:v>29</c:v>
              </c:pt>
              <c:pt idx="438">
                <c:v>30</c:v>
              </c:pt>
              <c:pt idx="439">
                <c:v>31</c:v>
              </c:pt>
              <c:pt idx="440">
                <c:v>29</c:v>
              </c:pt>
              <c:pt idx="441">
                <c:v>30</c:v>
              </c:pt>
              <c:pt idx="442">
                <c:v>31</c:v>
              </c:pt>
              <c:pt idx="443">
                <c:v>29</c:v>
              </c:pt>
              <c:pt idx="444">
                <c:v>30</c:v>
              </c:pt>
              <c:pt idx="445">
                <c:v>31</c:v>
              </c:pt>
              <c:pt idx="446">
                <c:v>29</c:v>
              </c:pt>
              <c:pt idx="447">
                <c:v>30</c:v>
              </c:pt>
              <c:pt idx="448">
                <c:v>31</c:v>
              </c:pt>
              <c:pt idx="449">
                <c:v>29</c:v>
              </c:pt>
              <c:pt idx="450">
                <c:v>30</c:v>
              </c:pt>
              <c:pt idx="451">
                <c:v>31</c:v>
              </c:pt>
              <c:pt idx="452">
                <c:v>31</c:v>
              </c:pt>
              <c:pt idx="453">
                <c:v>31</c:v>
              </c:pt>
              <c:pt idx="454">
                <c:v>31</c:v>
              </c:pt>
              <c:pt idx="455">
                <c:v>31</c:v>
              </c:pt>
              <c:pt idx="456">
                <c:v>31</c:v>
              </c:pt>
              <c:pt idx="457">
                <c:v>31</c:v>
              </c:pt>
              <c:pt idx="458">
                <c:v>31</c:v>
              </c:pt>
              <c:pt idx="459">
                <c:v>31</c:v>
              </c:pt>
              <c:pt idx="460">
                <c:v>31</c:v>
              </c:pt>
              <c:pt idx="461">
                <c:v>31</c:v>
              </c:pt>
              <c:pt idx="462">
                <c:v>31</c:v>
              </c:pt>
              <c:pt idx="463">
                <c:v>31</c:v>
              </c:pt>
              <c:pt idx="464">
                <c:v>31</c:v>
              </c:pt>
              <c:pt idx="465">
                <c:v>31</c:v>
              </c:pt>
              <c:pt idx="466">
                <c:v>31</c:v>
              </c:pt>
              <c:pt idx="467">
                <c:v>31</c:v>
              </c:pt>
              <c:pt idx="468">
                <c:v>31</c:v>
              </c:pt>
              <c:pt idx="469">
                <c:v>31</c:v>
              </c:pt>
              <c:pt idx="470">
                <c:v>31</c:v>
              </c:pt>
              <c:pt idx="471">
                <c:v>31</c:v>
              </c:pt>
              <c:pt idx="472">
                <c:v>31</c:v>
              </c:pt>
              <c:pt idx="473">
                <c:v>31</c:v>
              </c:pt>
              <c:pt idx="474">
                <c:v>31</c:v>
              </c:pt>
              <c:pt idx="475">
                <c:v>31</c:v>
              </c:pt>
              <c:pt idx="476">
                <c:v>31</c:v>
              </c:pt>
              <c:pt idx="477">
                <c:v>31</c:v>
              </c:pt>
              <c:pt idx="478">
                <c:v>31</c:v>
              </c:pt>
              <c:pt idx="479">
                <c:v>31</c:v>
              </c:pt>
              <c:pt idx="480">
                <c:v>31</c:v>
              </c:pt>
              <c:pt idx="481">
                <c:v>31</c:v>
              </c:pt>
              <c:pt idx="482">
                <c:v>31</c:v>
              </c:pt>
              <c:pt idx="483">
                <c:v>31</c:v>
              </c:pt>
              <c:pt idx="484">
                <c:v>31</c:v>
              </c:pt>
              <c:pt idx="485">
                <c:v>31</c:v>
              </c:pt>
              <c:pt idx="486">
                <c:v>31</c:v>
              </c:pt>
              <c:pt idx="487">
                <c:v>31</c:v>
              </c:pt>
              <c:pt idx="488">
                <c:v>31</c:v>
              </c:pt>
              <c:pt idx="489">
                <c:v>31</c:v>
              </c:pt>
              <c:pt idx="490">
                <c:v>31</c:v>
              </c:pt>
              <c:pt idx="491">
                <c:v>31</c:v>
              </c:pt>
              <c:pt idx="492">
                <c:v>31</c:v>
              </c:pt>
            </c:numLit>
          </c:cat>
          <c:val>
            <c:numRef>
              <c:f>'GRAFICAS RPTE GCIAL'!$I$126:$I$156</c:f>
              <c:numCache>
                <c:formatCode>0.0</c:formatCode>
                <c:ptCount val="31"/>
                <c:pt idx="0">
                  <c:v>293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1-84B1-4BA4-8E4B-F2BF8D88FB00}"/>
            </c:ext>
          </c:extLst>
        </c:ser>
        <c:ser>
          <c:idx val="2"/>
          <c:order val="2"/>
          <c:tx>
            <c:strRef>
              <c:f>'GRAFICAS RPTE GCIAL'!$R$125</c:f>
              <c:strCache>
                <c:ptCount val="1"/>
                <c:pt idx="0">
                  <c:v>G-8005   Mwh</c:v>
                </c:pt>
              </c:strCache>
            </c:strRef>
          </c:tx>
          <c:marker>
            <c:symbol val="none"/>
          </c:marker>
          <c:cat>
            <c:numLit>
              <c:formatCode>General</c:formatCode>
              <c:ptCount val="49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29</c:v>
              </c:pt>
              <c:pt idx="32">
                <c:v>30</c:v>
              </c:pt>
              <c:pt idx="33">
                <c:v>31</c:v>
              </c:pt>
              <c:pt idx="34">
                <c:v>29</c:v>
              </c:pt>
              <c:pt idx="35">
                <c:v>30</c:v>
              </c:pt>
              <c:pt idx="36">
                <c:v>31</c:v>
              </c:pt>
              <c:pt idx="37">
                <c:v>29</c:v>
              </c:pt>
              <c:pt idx="38">
                <c:v>30</c:v>
              </c:pt>
              <c:pt idx="39">
                <c:v>31</c:v>
              </c:pt>
              <c:pt idx="40">
                <c:v>29</c:v>
              </c:pt>
              <c:pt idx="41">
                <c:v>30</c:v>
              </c:pt>
              <c:pt idx="42">
                <c:v>31</c:v>
              </c:pt>
              <c:pt idx="43">
                <c:v>29</c:v>
              </c:pt>
              <c:pt idx="44">
                <c:v>30</c:v>
              </c:pt>
              <c:pt idx="45">
                <c:v>31</c:v>
              </c:pt>
              <c:pt idx="46">
                <c:v>29</c:v>
              </c:pt>
              <c:pt idx="47">
                <c:v>30</c:v>
              </c:pt>
              <c:pt idx="48">
                <c:v>31</c:v>
              </c:pt>
              <c:pt idx="49">
                <c:v>29</c:v>
              </c:pt>
              <c:pt idx="50">
                <c:v>30</c:v>
              </c:pt>
              <c:pt idx="51">
                <c:v>31</c:v>
              </c:pt>
              <c:pt idx="52">
                <c:v>29</c:v>
              </c:pt>
              <c:pt idx="53">
                <c:v>30</c:v>
              </c:pt>
              <c:pt idx="54">
                <c:v>31</c:v>
              </c:pt>
              <c:pt idx="55">
                <c:v>29</c:v>
              </c:pt>
              <c:pt idx="56">
                <c:v>30</c:v>
              </c:pt>
              <c:pt idx="57">
                <c:v>31</c:v>
              </c:pt>
              <c:pt idx="58">
                <c:v>29</c:v>
              </c:pt>
              <c:pt idx="59">
                <c:v>30</c:v>
              </c:pt>
              <c:pt idx="60">
                <c:v>31</c:v>
              </c:pt>
              <c:pt idx="61">
                <c:v>29</c:v>
              </c:pt>
              <c:pt idx="62">
                <c:v>30</c:v>
              </c:pt>
              <c:pt idx="63">
                <c:v>31</c:v>
              </c:pt>
              <c:pt idx="64">
                <c:v>29</c:v>
              </c:pt>
              <c:pt idx="65">
                <c:v>30</c:v>
              </c:pt>
              <c:pt idx="66">
                <c:v>31</c:v>
              </c:pt>
              <c:pt idx="67">
                <c:v>29</c:v>
              </c:pt>
              <c:pt idx="68">
                <c:v>30</c:v>
              </c:pt>
              <c:pt idx="69">
                <c:v>31</c:v>
              </c:pt>
              <c:pt idx="70">
                <c:v>29</c:v>
              </c:pt>
              <c:pt idx="71">
                <c:v>30</c:v>
              </c:pt>
              <c:pt idx="72">
                <c:v>31</c:v>
              </c:pt>
              <c:pt idx="73">
                <c:v>29</c:v>
              </c:pt>
              <c:pt idx="74">
                <c:v>30</c:v>
              </c:pt>
              <c:pt idx="75">
                <c:v>31</c:v>
              </c:pt>
              <c:pt idx="76">
                <c:v>29</c:v>
              </c:pt>
              <c:pt idx="77">
                <c:v>30</c:v>
              </c:pt>
              <c:pt idx="78">
                <c:v>31</c:v>
              </c:pt>
              <c:pt idx="79">
                <c:v>29</c:v>
              </c:pt>
              <c:pt idx="80">
                <c:v>30</c:v>
              </c:pt>
              <c:pt idx="81">
                <c:v>31</c:v>
              </c:pt>
              <c:pt idx="82">
                <c:v>29</c:v>
              </c:pt>
              <c:pt idx="83">
                <c:v>30</c:v>
              </c:pt>
              <c:pt idx="84">
                <c:v>31</c:v>
              </c:pt>
              <c:pt idx="85">
                <c:v>29</c:v>
              </c:pt>
              <c:pt idx="86">
                <c:v>30</c:v>
              </c:pt>
              <c:pt idx="87">
                <c:v>31</c:v>
              </c:pt>
              <c:pt idx="88">
                <c:v>29</c:v>
              </c:pt>
              <c:pt idx="89">
                <c:v>30</c:v>
              </c:pt>
              <c:pt idx="90">
                <c:v>31</c:v>
              </c:pt>
              <c:pt idx="91">
                <c:v>29</c:v>
              </c:pt>
              <c:pt idx="92">
                <c:v>30</c:v>
              </c:pt>
              <c:pt idx="93">
                <c:v>31</c:v>
              </c:pt>
              <c:pt idx="94">
                <c:v>29</c:v>
              </c:pt>
              <c:pt idx="95">
                <c:v>30</c:v>
              </c:pt>
              <c:pt idx="96">
                <c:v>31</c:v>
              </c:pt>
              <c:pt idx="97">
                <c:v>29</c:v>
              </c:pt>
              <c:pt idx="98">
                <c:v>30</c:v>
              </c:pt>
              <c:pt idx="99">
                <c:v>31</c:v>
              </c:pt>
              <c:pt idx="100">
                <c:v>29</c:v>
              </c:pt>
              <c:pt idx="101">
                <c:v>30</c:v>
              </c:pt>
              <c:pt idx="102">
                <c:v>31</c:v>
              </c:pt>
              <c:pt idx="103">
                <c:v>29</c:v>
              </c:pt>
              <c:pt idx="104">
                <c:v>30</c:v>
              </c:pt>
              <c:pt idx="105">
                <c:v>31</c:v>
              </c:pt>
              <c:pt idx="106">
                <c:v>29</c:v>
              </c:pt>
              <c:pt idx="107">
                <c:v>30</c:v>
              </c:pt>
              <c:pt idx="108">
                <c:v>31</c:v>
              </c:pt>
              <c:pt idx="109">
                <c:v>29</c:v>
              </c:pt>
              <c:pt idx="110">
                <c:v>30</c:v>
              </c:pt>
              <c:pt idx="111">
                <c:v>31</c:v>
              </c:pt>
              <c:pt idx="112">
                <c:v>29</c:v>
              </c:pt>
              <c:pt idx="113">
                <c:v>30</c:v>
              </c:pt>
              <c:pt idx="114">
                <c:v>31</c:v>
              </c:pt>
              <c:pt idx="115">
                <c:v>29</c:v>
              </c:pt>
              <c:pt idx="116">
                <c:v>30</c:v>
              </c:pt>
              <c:pt idx="117">
                <c:v>31</c:v>
              </c:pt>
              <c:pt idx="118">
                <c:v>29</c:v>
              </c:pt>
              <c:pt idx="119">
                <c:v>30</c:v>
              </c:pt>
              <c:pt idx="120">
                <c:v>31</c:v>
              </c:pt>
              <c:pt idx="121">
                <c:v>29</c:v>
              </c:pt>
              <c:pt idx="122">
                <c:v>30</c:v>
              </c:pt>
              <c:pt idx="123">
                <c:v>31</c:v>
              </c:pt>
              <c:pt idx="124">
                <c:v>29</c:v>
              </c:pt>
              <c:pt idx="125">
                <c:v>30</c:v>
              </c:pt>
              <c:pt idx="126">
                <c:v>31</c:v>
              </c:pt>
              <c:pt idx="127">
                <c:v>29</c:v>
              </c:pt>
              <c:pt idx="128">
                <c:v>30</c:v>
              </c:pt>
              <c:pt idx="129">
                <c:v>31</c:v>
              </c:pt>
              <c:pt idx="130">
                <c:v>29</c:v>
              </c:pt>
              <c:pt idx="131">
                <c:v>30</c:v>
              </c:pt>
              <c:pt idx="132">
                <c:v>31</c:v>
              </c:pt>
              <c:pt idx="133">
                <c:v>29</c:v>
              </c:pt>
              <c:pt idx="134">
                <c:v>30</c:v>
              </c:pt>
              <c:pt idx="135">
                <c:v>31</c:v>
              </c:pt>
              <c:pt idx="136">
                <c:v>29</c:v>
              </c:pt>
              <c:pt idx="137">
                <c:v>30</c:v>
              </c:pt>
              <c:pt idx="138">
                <c:v>31</c:v>
              </c:pt>
              <c:pt idx="139">
                <c:v>29</c:v>
              </c:pt>
              <c:pt idx="140">
                <c:v>30</c:v>
              </c:pt>
              <c:pt idx="141">
                <c:v>31</c:v>
              </c:pt>
              <c:pt idx="142">
                <c:v>29</c:v>
              </c:pt>
              <c:pt idx="143">
                <c:v>30</c:v>
              </c:pt>
              <c:pt idx="144">
                <c:v>31</c:v>
              </c:pt>
              <c:pt idx="145">
                <c:v>29</c:v>
              </c:pt>
              <c:pt idx="146">
                <c:v>30</c:v>
              </c:pt>
              <c:pt idx="147">
                <c:v>31</c:v>
              </c:pt>
              <c:pt idx="148">
                <c:v>29</c:v>
              </c:pt>
              <c:pt idx="149">
                <c:v>30</c:v>
              </c:pt>
              <c:pt idx="150">
                <c:v>31</c:v>
              </c:pt>
              <c:pt idx="151">
                <c:v>29</c:v>
              </c:pt>
              <c:pt idx="152">
                <c:v>30</c:v>
              </c:pt>
              <c:pt idx="153">
                <c:v>31</c:v>
              </c:pt>
              <c:pt idx="154">
                <c:v>29</c:v>
              </c:pt>
              <c:pt idx="155">
                <c:v>30</c:v>
              </c:pt>
              <c:pt idx="156">
                <c:v>31</c:v>
              </c:pt>
              <c:pt idx="157">
                <c:v>29</c:v>
              </c:pt>
              <c:pt idx="158">
                <c:v>30</c:v>
              </c:pt>
              <c:pt idx="159">
                <c:v>31</c:v>
              </c:pt>
              <c:pt idx="160">
                <c:v>29</c:v>
              </c:pt>
              <c:pt idx="161">
                <c:v>30</c:v>
              </c:pt>
              <c:pt idx="162">
                <c:v>31</c:v>
              </c:pt>
              <c:pt idx="163">
                <c:v>29</c:v>
              </c:pt>
              <c:pt idx="164">
                <c:v>30</c:v>
              </c:pt>
              <c:pt idx="165">
                <c:v>31</c:v>
              </c:pt>
              <c:pt idx="166">
                <c:v>29</c:v>
              </c:pt>
              <c:pt idx="167">
                <c:v>30</c:v>
              </c:pt>
              <c:pt idx="168">
                <c:v>31</c:v>
              </c:pt>
              <c:pt idx="169">
                <c:v>29</c:v>
              </c:pt>
              <c:pt idx="170">
                <c:v>30</c:v>
              </c:pt>
              <c:pt idx="171">
                <c:v>31</c:v>
              </c:pt>
              <c:pt idx="172">
                <c:v>29</c:v>
              </c:pt>
              <c:pt idx="173">
                <c:v>30</c:v>
              </c:pt>
              <c:pt idx="174">
                <c:v>31</c:v>
              </c:pt>
              <c:pt idx="175">
                <c:v>29</c:v>
              </c:pt>
              <c:pt idx="176">
                <c:v>30</c:v>
              </c:pt>
              <c:pt idx="177">
                <c:v>31</c:v>
              </c:pt>
              <c:pt idx="178">
                <c:v>29</c:v>
              </c:pt>
              <c:pt idx="179">
                <c:v>30</c:v>
              </c:pt>
              <c:pt idx="180">
                <c:v>31</c:v>
              </c:pt>
              <c:pt idx="181">
                <c:v>29</c:v>
              </c:pt>
              <c:pt idx="182">
                <c:v>30</c:v>
              </c:pt>
              <c:pt idx="183">
                <c:v>31</c:v>
              </c:pt>
              <c:pt idx="184">
                <c:v>29</c:v>
              </c:pt>
              <c:pt idx="185">
                <c:v>30</c:v>
              </c:pt>
              <c:pt idx="186">
                <c:v>31</c:v>
              </c:pt>
              <c:pt idx="187">
                <c:v>29</c:v>
              </c:pt>
              <c:pt idx="188">
                <c:v>30</c:v>
              </c:pt>
              <c:pt idx="189">
                <c:v>31</c:v>
              </c:pt>
              <c:pt idx="190">
                <c:v>29</c:v>
              </c:pt>
              <c:pt idx="191">
                <c:v>30</c:v>
              </c:pt>
              <c:pt idx="192">
                <c:v>31</c:v>
              </c:pt>
              <c:pt idx="193">
                <c:v>29</c:v>
              </c:pt>
              <c:pt idx="194">
                <c:v>30</c:v>
              </c:pt>
              <c:pt idx="195">
                <c:v>31</c:v>
              </c:pt>
              <c:pt idx="196">
                <c:v>29</c:v>
              </c:pt>
              <c:pt idx="197">
                <c:v>30</c:v>
              </c:pt>
              <c:pt idx="198">
                <c:v>31</c:v>
              </c:pt>
              <c:pt idx="199">
                <c:v>29</c:v>
              </c:pt>
              <c:pt idx="200">
                <c:v>30</c:v>
              </c:pt>
              <c:pt idx="201">
                <c:v>31</c:v>
              </c:pt>
              <c:pt idx="202">
                <c:v>29</c:v>
              </c:pt>
              <c:pt idx="203">
                <c:v>30</c:v>
              </c:pt>
              <c:pt idx="204">
                <c:v>31</c:v>
              </c:pt>
              <c:pt idx="205">
                <c:v>29</c:v>
              </c:pt>
              <c:pt idx="206">
                <c:v>30</c:v>
              </c:pt>
              <c:pt idx="207">
                <c:v>31</c:v>
              </c:pt>
              <c:pt idx="208">
                <c:v>29</c:v>
              </c:pt>
              <c:pt idx="209">
                <c:v>30</c:v>
              </c:pt>
              <c:pt idx="210">
                <c:v>31</c:v>
              </c:pt>
              <c:pt idx="211">
                <c:v>31</c:v>
              </c:pt>
              <c:pt idx="212">
                <c:v>31</c:v>
              </c:pt>
              <c:pt idx="213">
                <c:v>31</c:v>
              </c:pt>
              <c:pt idx="214">
                <c:v>31</c:v>
              </c:pt>
              <c:pt idx="215">
                <c:v>31</c:v>
              </c:pt>
              <c:pt idx="216">
                <c:v>31</c:v>
              </c:pt>
              <c:pt idx="217">
                <c:v>31</c:v>
              </c:pt>
              <c:pt idx="218">
                <c:v>31</c:v>
              </c:pt>
              <c:pt idx="219">
                <c:v>31</c:v>
              </c:pt>
              <c:pt idx="220">
                <c:v>31</c:v>
              </c:pt>
              <c:pt idx="221">
                <c:v>31</c:v>
              </c:pt>
              <c:pt idx="222">
                <c:v>31</c:v>
              </c:pt>
              <c:pt idx="223">
                <c:v>31</c:v>
              </c:pt>
              <c:pt idx="224">
                <c:v>31</c:v>
              </c:pt>
              <c:pt idx="225">
                <c:v>31</c:v>
              </c:pt>
              <c:pt idx="226">
                <c:v>31</c:v>
              </c:pt>
              <c:pt idx="227">
                <c:v>31</c:v>
              </c:pt>
              <c:pt idx="228">
                <c:v>31</c:v>
              </c:pt>
              <c:pt idx="229">
                <c:v>31</c:v>
              </c:pt>
              <c:pt idx="230">
                <c:v>31</c:v>
              </c:pt>
              <c:pt idx="231">
                <c:v>31</c:v>
              </c:pt>
              <c:pt idx="232">
                <c:v>31</c:v>
              </c:pt>
              <c:pt idx="233">
                <c:v>31</c:v>
              </c:pt>
              <c:pt idx="234">
                <c:v>31</c:v>
              </c:pt>
              <c:pt idx="235">
                <c:v>31</c:v>
              </c:pt>
              <c:pt idx="236">
                <c:v>31</c:v>
              </c:pt>
              <c:pt idx="237">
                <c:v>31</c:v>
              </c:pt>
              <c:pt idx="238">
                <c:v>31</c:v>
              </c:pt>
              <c:pt idx="239">
                <c:v>31</c:v>
              </c:pt>
              <c:pt idx="240">
                <c:v>31</c:v>
              </c:pt>
              <c:pt idx="241">
                <c:v>31</c:v>
              </c:pt>
              <c:pt idx="242">
                <c:v>31</c:v>
              </c:pt>
              <c:pt idx="243">
                <c:v>31</c:v>
              </c:pt>
              <c:pt idx="244">
                <c:v>31</c:v>
              </c:pt>
              <c:pt idx="245">
                <c:v>31</c:v>
              </c:pt>
              <c:pt idx="246">
                <c:v>31</c:v>
              </c:pt>
              <c:pt idx="247">
                <c:v>31</c:v>
              </c:pt>
              <c:pt idx="248">
                <c:v>31</c:v>
              </c:pt>
              <c:pt idx="249">
                <c:v>31</c:v>
              </c:pt>
              <c:pt idx="250">
                <c:v>31</c:v>
              </c:pt>
              <c:pt idx="251">
                <c:v>31</c:v>
              </c:pt>
              <c:pt idx="252">
                <c:v>31</c:v>
              </c:pt>
              <c:pt idx="253">
                <c:v>31</c:v>
              </c:pt>
              <c:pt idx="254">
                <c:v>31</c:v>
              </c:pt>
              <c:pt idx="255">
                <c:v>31</c:v>
              </c:pt>
              <c:pt idx="256">
                <c:v>31</c:v>
              </c:pt>
              <c:pt idx="257">
                <c:v>31</c:v>
              </c:pt>
              <c:pt idx="258">
                <c:v>31</c:v>
              </c:pt>
              <c:pt idx="259">
                <c:v>31</c:v>
              </c:pt>
              <c:pt idx="260">
                <c:v>31</c:v>
              </c:pt>
              <c:pt idx="261">
                <c:v>31</c:v>
              </c:pt>
              <c:pt idx="262">
                <c:v>31</c:v>
              </c:pt>
              <c:pt idx="263">
                <c:v>31</c:v>
              </c:pt>
              <c:pt idx="264">
                <c:v>31</c:v>
              </c:pt>
              <c:pt idx="265">
                <c:v>31</c:v>
              </c:pt>
              <c:pt idx="266">
                <c:v>31</c:v>
              </c:pt>
              <c:pt idx="267">
                <c:v>31</c:v>
              </c:pt>
              <c:pt idx="268">
                <c:v>31</c:v>
              </c:pt>
              <c:pt idx="269">
                <c:v>31</c:v>
              </c:pt>
              <c:pt idx="270">
                <c:v>31</c:v>
              </c:pt>
              <c:pt idx="271">
                <c:v>31</c:v>
              </c:pt>
              <c:pt idx="272">
                <c:v>31</c:v>
              </c:pt>
              <c:pt idx="273">
                <c:v>31</c:v>
              </c:pt>
              <c:pt idx="274">
                <c:v>31</c:v>
              </c:pt>
              <c:pt idx="275">
                <c:v>31</c:v>
              </c:pt>
              <c:pt idx="276">
                <c:v>31</c:v>
              </c:pt>
              <c:pt idx="277">
                <c:v>31</c:v>
              </c:pt>
              <c:pt idx="278">
                <c:v>31</c:v>
              </c:pt>
              <c:pt idx="279">
                <c:v>31</c:v>
              </c:pt>
              <c:pt idx="280">
                <c:v>31</c:v>
              </c:pt>
              <c:pt idx="281">
                <c:v>31</c:v>
              </c:pt>
              <c:pt idx="282">
                <c:v>31</c:v>
              </c:pt>
              <c:pt idx="283">
                <c:v>31</c:v>
              </c:pt>
              <c:pt idx="284">
                <c:v>31</c:v>
              </c:pt>
              <c:pt idx="285">
                <c:v>31</c:v>
              </c:pt>
              <c:pt idx="286">
                <c:v>31</c:v>
              </c:pt>
              <c:pt idx="287">
                <c:v>31</c:v>
              </c:pt>
              <c:pt idx="288">
                <c:v>31</c:v>
              </c:pt>
              <c:pt idx="289">
                <c:v>31</c:v>
              </c:pt>
              <c:pt idx="290">
                <c:v>31</c:v>
              </c:pt>
              <c:pt idx="291">
                <c:v>31</c:v>
              </c:pt>
              <c:pt idx="292">
                <c:v>31</c:v>
              </c:pt>
              <c:pt idx="293">
                <c:v>29</c:v>
              </c:pt>
              <c:pt idx="294">
                <c:v>30</c:v>
              </c:pt>
              <c:pt idx="295">
                <c:v>31</c:v>
              </c:pt>
              <c:pt idx="296">
                <c:v>29</c:v>
              </c:pt>
              <c:pt idx="297">
                <c:v>30</c:v>
              </c:pt>
              <c:pt idx="298">
                <c:v>31</c:v>
              </c:pt>
              <c:pt idx="299">
                <c:v>29</c:v>
              </c:pt>
              <c:pt idx="300">
                <c:v>30</c:v>
              </c:pt>
              <c:pt idx="301">
                <c:v>31</c:v>
              </c:pt>
              <c:pt idx="302">
                <c:v>29</c:v>
              </c:pt>
              <c:pt idx="303">
                <c:v>30</c:v>
              </c:pt>
              <c:pt idx="304">
                <c:v>31</c:v>
              </c:pt>
              <c:pt idx="305">
                <c:v>29</c:v>
              </c:pt>
              <c:pt idx="306">
                <c:v>30</c:v>
              </c:pt>
              <c:pt idx="307">
                <c:v>31</c:v>
              </c:pt>
              <c:pt idx="308">
                <c:v>29</c:v>
              </c:pt>
              <c:pt idx="309">
                <c:v>30</c:v>
              </c:pt>
              <c:pt idx="310">
                <c:v>31</c:v>
              </c:pt>
              <c:pt idx="311">
                <c:v>29</c:v>
              </c:pt>
              <c:pt idx="312">
                <c:v>30</c:v>
              </c:pt>
              <c:pt idx="313">
                <c:v>31</c:v>
              </c:pt>
              <c:pt idx="314">
                <c:v>29</c:v>
              </c:pt>
              <c:pt idx="315">
                <c:v>30</c:v>
              </c:pt>
              <c:pt idx="316">
                <c:v>31</c:v>
              </c:pt>
              <c:pt idx="317">
                <c:v>29</c:v>
              </c:pt>
              <c:pt idx="318">
                <c:v>30</c:v>
              </c:pt>
              <c:pt idx="319">
                <c:v>31</c:v>
              </c:pt>
              <c:pt idx="320">
                <c:v>29</c:v>
              </c:pt>
              <c:pt idx="321">
                <c:v>30</c:v>
              </c:pt>
              <c:pt idx="322">
                <c:v>31</c:v>
              </c:pt>
              <c:pt idx="323">
                <c:v>29</c:v>
              </c:pt>
              <c:pt idx="324">
                <c:v>30</c:v>
              </c:pt>
              <c:pt idx="325">
                <c:v>31</c:v>
              </c:pt>
              <c:pt idx="326">
                <c:v>29</c:v>
              </c:pt>
              <c:pt idx="327">
                <c:v>30</c:v>
              </c:pt>
              <c:pt idx="328">
                <c:v>31</c:v>
              </c:pt>
              <c:pt idx="329">
                <c:v>29</c:v>
              </c:pt>
              <c:pt idx="330">
                <c:v>30</c:v>
              </c:pt>
              <c:pt idx="331">
                <c:v>31</c:v>
              </c:pt>
              <c:pt idx="332">
                <c:v>29</c:v>
              </c:pt>
              <c:pt idx="333">
                <c:v>30</c:v>
              </c:pt>
              <c:pt idx="334">
                <c:v>31</c:v>
              </c:pt>
              <c:pt idx="335">
                <c:v>29</c:v>
              </c:pt>
              <c:pt idx="336">
                <c:v>30</c:v>
              </c:pt>
              <c:pt idx="337">
                <c:v>31</c:v>
              </c:pt>
              <c:pt idx="338">
                <c:v>29</c:v>
              </c:pt>
              <c:pt idx="339">
                <c:v>30</c:v>
              </c:pt>
              <c:pt idx="340">
                <c:v>31</c:v>
              </c:pt>
              <c:pt idx="341">
                <c:v>29</c:v>
              </c:pt>
              <c:pt idx="342">
                <c:v>30</c:v>
              </c:pt>
              <c:pt idx="343">
                <c:v>31</c:v>
              </c:pt>
              <c:pt idx="344">
                <c:v>29</c:v>
              </c:pt>
              <c:pt idx="345">
                <c:v>30</c:v>
              </c:pt>
              <c:pt idx="346">
                <c:v>31</c:v>
              </c:pt>
              <c:pt idx="347">
                <c:v>29</c:v>
              </c:pt>
              <c:pt idx="348">
                <c:v>30</c:v>
              </c:pt>
              <c:pt idx="349">
                <c:v>31</c:v>
              </c:pt>
              <c:pt idx="350">
                <c:v>29</c:v>
              </c:pt>
              <c:pt idx="351">
                <c:v>30</c:v>
              </c:pt>
              <c:pt idx="352">
                <c:v>31</c:v>
              </c:pt>
              <c:pt idx="353">
                <c:v>29</c:v>
              </c:pt>
              <c:pt idx="354">
                <c:v>30</c:v>
              </c:pt>
              <c:pt idx="355">
                <c:v>31</c:v>
              </c:pt>
              <c:pt idx="356">
                <c:v>29</c:v>
              </c:pt>
              <c:pt idx="357">
                <c:v>30</c:v>
              </c:pt>
              <c:pt idx="358">
                <c:v>31</c:v>
              </c:pt>
              <c:pt idx="359">
                <c:v>29</c:v>
              </c:pt>
              <c:pt idx="360">
                <c:v>30</c:v>
              </c:pt>
              <c:pt idx="361">
                <c:v>31</c:v>
              </c:pt>
              <c:pt idx="362">
                <c:v>29</c:v>
              </c:pt>
              <c:pt idx="363">
                <c:v>30</c:v>
              </c:pt>
              <c:pt idx="364">
                <c:v>31</c:v>
              </c:pt>
              <c:pt idx="365">
                <c:v>29</c:v>
              </c:pt>
              <c:pt idx="366">
                <c:v>30</c:v>
              </c:pt>
              <c:pt idx="367">
                <c:v>31</c:v>
              </c:pt>
              <c:pt idx="368">
                <c:v>29</c:v>
              </c:pt>
              <c:pt idx="369">
                <c:v>30</c:v>
              </c:pt>
              <c:pt idx="370">
                <c:v>31</c:v>
              </c:pt>
              <c:pt idx="371">
                <c:v>29</c:v>
              </c:pt>
              <c:pt idx="372">
                <c:v>30</c:v>
              </c:pt>
              <c:pt idx="373">
                <c:v>31</c:v>
              </c:pt>
              <c:pt idx="374">
                <c:v>29</c:v>
              </c:pt>
              <c:pt idx="375">
                <c:v>30</c:v>
              </c:pt>
              <c:pt idx="376">
                <c:v>31</c:v>
              </c:pt>
              <c:pt idx="377">
                <c:v>29</c:v>
              </c:pt>
              <c:pt idx="378">
                <c:v>30</c:v>
              </c:pt>
              <c:pt idx="379">
                <c:v>31</c:v>
              </c:pt>
              <c:pt idx="380">
                <c:v>29</c:v>
              </c:pt>
              <c:pt idx="381">
                <c:v>30</c:v>
              </c:pt>
              <c:pt idx="382">
                <c:v>31</c:v>
              </c:pt>
              <c:pt idx="383">
                <c:v>29</c:v>
              </c:pt>
              <c:pt idx="384">
                <c:v>30</c:v>
              </c:pt>
              <c:pt idx="385">
                <c:v>31</c:v>
              </c:pt>
              <c:pt idx="386">
                <c:v>29</c:v>
              </c:pt>
              <c:pt idx="387">
                <c:v>30</c:v>
              </c:pt>
              <c:pt idx="388">
                <c:v>31</c:v>
              </c:pt>
              <c:pt idx="389">
                <c:v>29</c:v>
              </c:pt>
              <c:pt idx="390">
                <c:v>30</c:v>
              </c:pt>
              <c:pt idx="391">
                <c:v>31</c:v>
              </c:pt>
              <c:pt idx="392">
                <c:v>29</c:v>
              </c:pt>
              <c:pt idx="393">
                <c:v>30</c:v>
              </c:pt>
              <c:pt idx="394">
                <c:v>31</c:v>
              </c:pt>
              <c:pt idx="395">
                <c:v>29</c:v>
              </c:pt>
              <c:pt idx="396">
                <c:v>30</c:v>
              </c:pt>
              <c:pt idx="397">
                <c:v>31</c:v>
              </c:pt>
              <c:pt idx="398">
                <c:v>29</c:v>
              </c:pt>
              <c:pt idx="399">
                <c:v>30</c:v>
              </c:pt>
              <c:pt idx="400">
                <c:v>31</c:v>
              </c:pt>
              <c:pt idx="401">
                <c:v>29</c:v>
              </c:pt>
              <c:pt idx="402">
                <c:v>30</c:v>
              </c:pt>
              <c:pt idx="403">
                <c:v>31</c:v>
              </c:pt>
              <c:pt idx="404">
                <c:v>29</c:v>
              </c:pt>
              <c:pt idx="405">
                <c:v>30</c:v>
              </c:pt>
              <c:pt idx="406">
                <c:v>31</c:v>
              </c:pt>
              <c:pt idx="407">
                <c:v>29</c:v>
              </c:pt>
              <c:pt idx="408">
                <c:v>30</c:v>
              </c:pt>
              <c:pt idx="409">
                <c:v>31</c:v>
              </c:pt>
              <c:pt idx="410">
                <c:v>29</c:v>
              </c:pt>
              <c:pt idx="411">
                <c:v>30</c:v>
              </c:pt>
              <c:pt idx="412">
                <c:v>31</c:v>
              </c:pt>
              <c:pt idx="413">
                <c:v>29</c:v>
              </c:pt>
              <c:pt idx="414">
                <c:v>30</c:v>
              </c:pt>
              <c:pt idx="415">
                <c:v>31</c:v>
              </c:pt>
              <c:pt idx="416">
                <c:v>29</c:v>
              </c:pt>
              <c:pt idx="417">
                <c:v>30</c:v>
              </c:pt>
              <c:pt idx="418">
                <c:v>31</c:v>
              </c:pt>
              <c:pt idx="419">
                <c:v>29</c:v>
              </c:pt>
              <c:pt idx="420">
                <c:v>30</c:v>
              </c:pt>
              <c:pt idx="421">
                <c:v>31</c:v>
              </c:pt>
              <c:pt idx="422">
                <c:v>29</c:v>
              </c:pt>
              <c:pt idx="423">
                <c:v>30</c:v>
              </c:pt>
              <c:pt idx="424">
                <c:v>31</c:v>
              </c:pt>
              <c:pt idx="425">
                <c:v>29</c:v>
              </c:pt>
              <c:pt idx="426">
                <c:v>30</c:v>
              </c:pt>
              <c:pt idx="427">
                <c:v>31</c:v>
              </c:pt>
              <c:pt idx="428">
                <c:v>29</c:v>
              </c:pt>
              <c:pt idx="429">
                <c:v>30</c:v>
              </c:pt>
              <c:pt idx="430">
                <c:v>31</c:v>
              </c:pt>
              <c:pt idx="431">
                <c:v>29</c:v>
              </c:pt>
              <c:pt idx="432">
                <c:v>30</c:v>
              </c:pt>
              <c:pt idx="433">
                <c:v>31</c:v>
              </c:pt>
              <c:pt idx="434">
                <c:v>29</c:v>
              </c:pt>
              <c:pt idx="435">
                <c:v>30</c:v>
              </c:pt>
              <c:pt idx="436">
                <c:v>31</c:v>
              </c:pt>
              <c:pt idx="437">
                <c:v>29</c:v>
              </c:pt>
              <c:pt idx="438">
                <c:v>30</c:v>
              </c:pt>
              <c:pt idx="439">
                <c:v>31</c:v>
              </c:pt>
              <c:pt idx="440">
                <c:v>29</c:v>
              </c:pt>
              <c:pt idx="441">
                <c:v>30</c:v>
              </c:pt>
              <c:pt idx="442">
                <c:v>31</c:v>
              </c:pt>
              <c:pt idx="443">
                <c:v>29</c:v>
              </c:pt>
              <c:pt idx="444">
                <c:v>30</c:v>
              </c:pt>
              <c:pt idx="445">
                <c:v>31</c:v>
              </c:pt>
              <c:pt idx="446">
                <c:v>29</c:v>
              </c:pt>
              <c:pt idx="447">
                <c:v>30</c:v>
              </c:pt>
              <c:pt idx="448">
                <c:v>31</c:v>
              </c:pt>
              <c:pt idx="449">
                <c:v>29</c:v>
              </c:pt>
              <c:pt idx="450">
                <c:v>30</c:v>
              </c:pt>
              <c:pt idx="451">
                <c:v>31</c:v>
              </c:pt>
              <c:pt idx="452">
                <c:v>31</c:v>
              </c:pt>
              <c:pt idx="453">
                <c:v>31</c:v>
              </c:pt>
              <c:pt idx="454">
                <c:v>31</c:v>
              </c:pt>
              <c:pt idx="455">
                <c:v>31</c:v>
              </c:pt>
              <c:pt idx="456">
                <c:v>31</c:v>
              </c:pt>
              <c:pt idx="457">
                <c:v>31</c:v>
              </c:pt>
              <c:pt idx="458">
                <c:v>31</c:v>
              </c:pt>
              <c:pt idx="459">
                <c:v>31</c:v>
              </c:pt>
              <c:pt idx="460">
                <c:v>31</c:v>
              </c:pt>
              <c:pt idx="461">
                <c:v>31</c:v>
              </c:pt>
              <c:pt idx="462">
                <c:v>31</c:v>
              </c:pt>
              <c:pt idx="463">
                <c:v>31</c:v>
              </c:pt>
              <c:pt idx="464">
                <c:v>31</c:v>
              </c:pt>
              <c:pt idx="465">
                <c:v>31</c:v>
              </c:pt>
              <c:pt idx="466">
                <c:v>31</c:v>
              </c:pt>
              <c:pt idx="467">
                <c:v>31</c:v>
              </c:pt>
              <c:pt idx="468">
                <c:v>31</c:v>
              </c:pt>
              <c:pt idx="469">
                <c:v>31</c:v>
              </c:pt>
              <c:pt idx="470">
                <c:v>31</c:v>
              </c:pt>
              <c:pt idx="471">
                <c:v>31</c:v>
              </c:pt>
              <c:pt idx="472">
                <c:v>31</c:v>
              </c:pt>
              <c:pt idx="473">
                <c:v>31</c:v>
              </c:pt>
              <c:pt idx="474">
                <c:v>31</c:v>
              </c:pt>
              <c:pt idx="475">
                <c:v>31</c:v>
              </c:pt>
              <c:pt idx="476">
                <c:v>31</c:v>
              </c:pt>
              <c:pt idx="477">
                <c:v>31</c:v>
              </c:pt>
              <c:pt idx="478">
                <c:v>31</c:v>
              </c:pt>
              <c:pt idx="479">
                <c:v>31</c:v>
              </c:pt>
              <c:pt idx="480">
                <c:v>31</c:v>
              </c:pt>
              <c:pt idx="481">
                <c:v>31</c:v>
              </c:pt>
              <c:pt idx="482">
                <c:v>31</c:v>
              </c:pt>
              <c:pt idx="483">
                <c:v>31</c:v>
              </c:pt>
              <c:pt idx="484">
                <c:v>31</c:v>
              </c:pt>
              <c:pt idx="485">
                <c:v>31</c:v>
              </c:pt>
              <c:pt idx="486">
                <c:v>31</c:v>
              </c:pt>
              <c:pt idx="487">
                <c:v>31</c:v>
              </c:pt>
              <c:pt idx="488">
                <c:v>31</c:v>
              </c:pt>
              <c:pt idx="489">
                <c:v>31</c:v>
              </c:pt>
              <c:pt idx="490">
                <c:v>31</c:v>
              </c:pt>
              <c:pt idx="491">
                <c:v>31</c:v>
              </c:pt>
              <c:pt idx="492">
                <c:v>31</c:v>
              </c:pt>
            </c:numLit>
          </c:cat>
          <c:val>
            <c:numRef>
              <c:f>'GRAFICAS RPTE GCIAL'!$R$126:$R$156</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2-84B1-4BA4-8E4B-F2BF8D88FB00}"/>
            </c:ext>
          </c:extLst>
        </c:ser>
        <c:ser>
          <c:idx val="5"/>
          <c:order val="3"/>
          <c:tx>
            <c:strRef>
              <c:f>'GRAFICAS RPTE GCIAL'!$U$125</c:f>
              <c:strCache>
                <c:ptCount val="1"/>
                <c:pt idx="0">
                  <c:v>G-8006    Mwh</c:v>
                </c:pt>
              </c:strCache>
            </c:strRef>
          </c:tx>
          <c:marker>
            <c:symbol val="none"/>
          </c:marker>
          <c:val>
            <c:numRef>
              <c:f>'GRAFICAS RPTE GCIAL'!$U$126:$U$156</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3-84B1-4BA4-8E4B-F2BF8D88FB00}"/>
            </c:ext>
          </c:extLst>
        </c:ser>
        <c:ser>
          <c:idx val="3"/>
          <c:order val="4"/>
          <c:tx>
            <c:strRef>
              <c:f>'GRAFICAS RPTE GCIAL'!$X$124</c:f>
              <c:strCache>
                <c:ptCount val="1"/>
                <c:pt idx="0">
                  <c:v>TOTAL MW</c:v>
                </c:pt>
              </c:strCache>
            </c:strRef>
          </c:tx>
          <c:spPr>
            <a:ln>
              <a:solidFill>
                <a:srgbClr val="FF00FF"/>
              </a:solidFill>
            </a:ln>
          </c:spPr>
          <c:marker>
            <c:symbol val="none"/>
          </c:marker>
          <c:val>
            <c:numRef>
              <c:f>'GRAFICAS RPTE GCIAL'!$X$126:$X$156</c:f>
              <c:numCache>
                <c:formatCode>0.0</c:formatCode>
                <c:ptCount val="31"/>
                <c:pt idx="0">
                  <c:v>440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4-84B1-4BA4-8E4B-F2BF8D88FB00}"/>
            </c:ext>
          </c:extLst>
        </c:ser>
        <c:ser>
          <c:idx val="4"/>
          <c:order val="5"/>
          <c:tx>
            <c:strRef>
              <c:f>'GRAFICAS RPTE GCIAL'!$P$124</c:f>
              <c:strCache>
                <c:ptCount val="1"/>
                <c:pt idx="0">
                  <c:v>PROM</c:v>
                </c:pt>
              </c:strCache>
            </c:strRef>
          </c:tx>
          <c:spPr>
            <a:ln>
              <a:solidFill>
                <a:srgbClr val="FF0000"/>
              </a:solidFill>
              <a:prstDash val="sysDash"/>
            </a:ln>
          </c:spPr>
          <c:marker>
            <c:symbol val="none"/>
          </c:marker>
          <c:val>
            <c:numRef>
              <c:f>'GRAFICAS RPTE GCIAL'!$P$126:$P$156</c:f>
              <c:numCache>
                <c:formatCode>0.0</c:formatCode>
                <c:ptCount val="31"/>
                <c:pt idx="0">
                  <c:v>220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5-84B1-4BA4-8E4B-F2BF8D88FB00}"/>
            </c:ext>
          </c:extLst>
        </c:ser>
        <c:dLbls>
          <c:showLegendKey val="0"/>
          <c:showVal val="0"/>
          <c:showCatName val="0"/>
          <c:showSerName val="0"/>
          <c:showPercent val="0"/>
          <c:showBubbleSize val="0"/>
        </c:dLbls>
        <c:smooth val="0"/>
        <c:axId val="112980736"/>
        <c:axId val="112982272"/>
      </c:lineChart>
      <c:dateAx>
        <c:axId val="112980736"/>
        <c:scaling>
          <c:orientation val="minMax"/>
        </c:scaling>
        <c:delete val="0"/>
        <c:axPos val="b"/>
        <c:numFmt formatCode="General" sourceLinked="1"/>
        <c:majorTickMark val="none"/>
        <c:minorTickMark val="none"/>
        <c:tickLblPos val="nextTo"/>
        <c:crossAx val="112982272"/>
        <c:crosses val="autoZero"/>
        <c:auto val="0"/>
        <c:lblOffset val="100"/>
        <c:baseTimeUnit val="days"/>
      </c:dateAx>
      <c:valAx>
        <c:axId val="112982272"/>
        <c:scaling>
          <c:orientation val="minMax"/>
        </c:scaling>
        <c:delete val="0"/>
        <c:axPos val="l"/>
        <c:title>
          <c:tx>
            <c:rich>
              <a:bodyPr/>
              <a:lstStyle/>
              <a:p>
                <a:pPr>
                  <a:defRPr/>
                </a:pPr>
                <a:r>
                  <a:rPr lang="es-ES"/>
                  <a:t>MWH</a:t>
                </a:r>
              </a:p>
            </c:rich>
          </c:tx>
          <c:overlay val="0"/>
        </c:title>
        <c:numFmt formatCode="0.0" sourceLinked="1"/>
        <c:majorTickMark val="none"/>
        <c:minorTickMark val="none"/>
        <c:tickLblPos val="nextTo"/>
        <c:crossAx val="112980736"/>
        <c:crosses val="autoZero"/>
        <c:crossBetween val="between"/>
      </c:valAx>
      <c:dTable>
        <c:showHorzBorder val="1"/>
        <c:showVertBorder val="1"/>
        <c:showOutline val="1"/>
        <c:showKeys val="1"/>
        <c:spPr>
          <a:ln>
            <a:solidFill>
              <a:schemeClr val="accent1">
                <a:alpha val="97000"/>
              </a:schemeClr>
            </a:solidFill>
          </a:ln>
        </c:spPr>
        <c:txPr>
          <a:bodyPr/>
          <a:lstStyle/>
          <a:p>
            <a:pPr rtl="0">
              <a:defRPr sz="800"/>
            </a:pPr>
            <a:endParaRPr lang="es-CO"/>
          </a:p>
        </c:txPr>
      </c:dTable>
    </c:plotArea>
    <c:plotVisOnly val="1"/>
    <c:dispBlanksAs val="gap"/>
    <c:showDLblsOverMax val="0"/>
  </c:chart>
  <c:spPr>
    <a:effectLst>
      <a:innerShdw blurRad="114300">
        <a:prstClr val="black"/>
      </a:innerShdw>
    </a:effectLst>
  </c:sp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sz="1400"/>
              <a:t>GENERACION ACTIVA AÑO  2023</a:t>
            </a:r>
          </a:p>
        </c:rich>
      </c:tx>
      <c:layout>
        <c:manualLayout>
          <c:xMode val="edge"/>
          <c:yMode val="edge"/>
          <c:x val="0.38084574205452082"/>
          <c:y val="2.8368794326241127E-2"/>
        </c:manualLayout>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'GRAFICAS RPTE GCIAL'!$C$157:$C$158</c:f>
              <c:strCache>
                <c:ptCount val="2"/>
                <c:pt idx="0">
                  <c:v>US-GT 8001  Mwh</c:v>
                </c:pt>
              </c:strCache>
            </c:strRef>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GCIAL'!$C$159:$C$170</c:f>
              <c:numCache>
                <c:formatCode>#,##0_);\(#,##0\)</c:formatCode>
                <c:ptCount val="12"/>
                <c:pt idx="0">
                  <c:v>5613.8399999999674</c:v>
                </c:pt>
                <c:pt idx="1">
                  <c:v>8128.1600000000326</c:v>
                </c:pt>
                <c:pt idx="2">
                  <c:v>9022.8399999999674</c:v>
                </c:pt>
                <c:pt idx="3">
                  <c:v>9357.1500000000233</c:v>
                </c:pt>
                <c:pt idx="4">
                  <c:v>6850.8499999999767</c:v>
                </c:pt>
                <c:pt idx="5">
                  <c:v>7944.3260000000009</c:v>
                </c:pt>
                <c:pt idx="6">
                  <c:v>7105.6739999999991</c:v>
                </c:pt>
                <c:pt idx="7">
                  <c:v>6453.3000000000466</c:v>
                </c:pt>
                <c:pt idx="8">
                  <c:v>3745.1999999999534</c:v>
                </c:pt>
                <c:pt idx="9">
                  <c:v>3667.5</c:v>
                </c:pt>
                <c:pt idx="10">
                  <c:v>147</c:v>
                </c:pt>
                <c:pt idx="11">
                  <c:v>0</c:v>
                </c:pt>
              </c:numCache>
            </c:numRef>
          </c:val>
          <c:extLst>
            <c:ext xmlns:c16="http://schemas.microsoft.com/office/drawing/2014/chart" uri="{C3380CC4-5D6E-409C-BE32-E72D297353CC}">
              <c16:uniqueId val="{00000000-D8BD-4FD5-9DCC-0A0C86CCF038}"/>
            </c:ext>
          </c:extLst>
        </c:ser>
        <c:ser>
          <c:idx val="1"/>
          <c:order val="1"/>
          <c:tx>
            <c:strRef>
              <c:f>'GRAFICAS RPTE GCIAL'!$E$157:$E$158</c:f>
              <c:strCache>
                <c:ptCount val="2"/>
                <c:pt idx="0">
                  <c:v>US-GT 8002 Mwh</c:v>
                </c:pt>
              </c:strCache>
            </c:strRef>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GCIAL'!$E$159:$E$170</c:f>
              <c:numCache>
                <c:formatCode>#,##0_);\(#,##0\)</c:formatCode>
                <c:ptCount val="12"/>
                <c:pt idx="0">
                  <c:v>7936.4000000000015</c:v>
                </c:pt>
                <c:pt idx="1">
                  <c:v>4107.9799999999996</c:v>
                </c:pt>
                <c:pt idx="2">
                  <c:v>4705.4199999999983</c:v>
                </c:pt>
                <c:pt idx="3">
                  <c:v>3766.1000000000022</c:v>
                </c:pt>
                <c:pt idx="4">
                  <c:v>6271.0999999999985</c:v>
                </c:pt>
                <c:pt idx="5">
                  <c:v>5185.239999999998</c:v>
                </c:pt>
                <c:pt idx="6">
                  <c:v>6458.760000000002</c:v>
                </c:pt>
                <c:pt idx="7">
                  <c:v>7362.4000000000015</c:v>
                </c:pt>
                <c:pt idx="8">
                  <c:v>9563.5999999999985</c:v>
                </c:pt>
                <c:pt idx="9">
                  <c:v>9807</c:v>
                </c:pt>
                <c:pt idx="10">
                  <c:v>293</c:v>
                </c:pt>
                <c:pt idx="11">
                  <c:v>0</c:v>
                </c:pt>
              </c:numCache>
            </c:numRef>
          </c:val>
          <c:extLst>
            <c:ext xmlns:c16="http://schemas.microsoft.com/office/drawing/2014/chart" uri="{C3380CC4-5D6E-409C-BE32-E72D297353CC}">
              <c16:uniqueId val="{00000001-D8BD-4FD5-9DCC-0A0C86CCF038}"/>
            </c:ext>
          </c:extLst>
        </c:ser>
        <c:ser>
          <c:idx val="3"/>
          <c:order val="2"/>
          <c:tx>
            <c:strRef>
              <c:f>'GRAFICAS RPTE GCIAL'!$M$157:$M$158</c:f>
              <c:strCache>
                <c:ptCount val="2"/>
                <c:pt idx="0">
                  <c:v>GEN TOTAL Mwh</c:v>
                </c:pt>
              </c:strCache>
            </c:strRef>
          </c:tx>
          <c:spPr>
            <a:solidFill>
              <a:srgbClr val="92D050"/>
            </a:solidFill>
          </c:spPr>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GCIAL'!$M$159:$M$170</c:f>
              <c:numCache>
                <c:formatCode>#,##0_);\(#,##0\)</c:formatCode>
                <c:ptCount val="12"/>
                <c:pt idx="0">
                  <c:v>13554.626999999968</c:v>
                </c:pt>
                <c:pt idx="1">
                  <c:v>12240.734000000031</c:v>
                </c:pt>
                <c:pt idx="2">
                  <c:v>13729.963999999965</c:v>
                </c:pt>
                <c:pt idx="3">
                  <c:v>13154.943000000025</c:v>
                </c:pt>
                <c:pt idx="4">
                  <c:v>13126.246999999976</c:v>
                </c:pt>
                <c:pt idx="5">
                  <c:v>13131.651999999998</c:v>
                </c:pt>
                <c:pt idx="6">
                  <c:v>13567.968000000001</c:v>
                </c:pt>
                <c:pt idx="7">
                  <c:v>13829.668000000049</c:v>
                </c:pt>
                <c:pt idx="8">
                  <c:v>13358.04899999995</c:v>
                </c:pt>
                <c:pt idx="9">
                  <c:v>13584.433000000001</c:v>
                </c:pt>
                <c:pt idx="10">
                  <c:v>440</c:v>
                </c:pt>
                <c:pt idx="11">
                  <c:v>0</c:v>
                </c:pt>
              </c:numCache>
            </c:numRef>
          </c:val>
          <c:extLst>
            <c:ext xmlns:c16="http://schemas.microsoft.com/office/drawing/2014/chart" uri="{C3380CC4-5D6E-409C-BE32-E72D297353CC}">
              <c16:uniqueId val="{00000002-D8BD-4FD5-9DCC-0A0C86CCF038}"/>
            </c:ext>
          </c:extLst>
        </c:ser>
        <c:ser>
          <c:idx val="2"/>
          <c:order val="3"/>
          <c:tx>
            <c:strRef>
              <c:f>'GRAFICAS RPTE GCIAL'!$N$157:$N$158</c:f>
              <c:strCache>
                <c:ptCount val="2"/>
                <c:pt idx="0">
                  <c:v>PROMEDIO</c:v>
                </c:pt>
              </c:strCache>
            </c:strRef>
          </c:tx>
          <c:spPr>
            <a:gradFill>
              <a:gsLst>
                <a:gs pos="0">
                  <a:srgbClr val="FF3399"/>
                </a:gs>
                <a:gs pos="25000">
                  <a:srgbClr val="FF6633"/>
                </a:gs>
                <a:gs pos="50000">
                  <a:srgbClr val="FFFF00"/>
                </a:gs>
                <a:gs pos="75000">
                  <a:srgbClr val="01A78F"/>
                </a:gs>
                <a:gs pos="100000">
                  <a:srgbClr val="3366FF"/>
                </a:gs>
              </a:gsLst>
              <a:lin ang="5400000" scaled="0"/>
            </a:gradFill>
            <a:ln>
              <a:solidFill>
                <a:srgbClr val="FF0000"/>
              </a:solidFill>
            </a:ln>
          </c:spPr>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GCIAL'!$N$159:$N$170</c:f>
              <c:numCache>
                <c:formatCode>#,##0_);\(#,##0\)</c:formatCode>
                <c:ptCount val="12"/>
                <c:pt idx="0">
                  <c:v>6777.3134999999838</c:v>
                </c:pt>
                <c:pt idx="1">
                  <c:v>6120.3670000000157</c:v>
                </c:pt>
                <c:pt idx="2">
                  <c:v>6864.9819999999827</c:v>
                </c:pt>
                <c:pt idx="3">
                  <c:v>6577.4715000000124</c:v>
                </c:pt>
                <c:pt idx="4">
                  <c:v>6563.1234999999879</c:v>
                </c:pt>
                <c:pt idx="5">
                  <c:v>6565.8259999999991</c:v>
                </c:pt>
                <c:pt idx="6">
                  <c:v>6783.9840000000004</c:v>
                </c:pt>
                <c:pt idx="7">
                  <c:v>6914.8340000000244</c:v>
                </c:pt>
                <c:pt idx="8">
                  <c:v>6679.024499999975</c:v>
                </c:pt>
                <c:pt idx="9">
                  <c:v>6792.2165000000005</c:v>
                </c:pt>
                <c:pt idx="10">
                  <c:v>220</c:v>
                </c:pt>
                <c:pt idx="11">
                  <c:v>0</c:v>
                </c:pt>
              </c:numCache>
            </c:numRef>
          </c:val>
          <c:extLst>
            <c:ext xmlns:c16="http://schemas.microsoft.com/office/drawing/2014/chart" uri="{C3380CC4-5D6E-409C-BE32-E72D297353CC}">
              <c16:uniqueId val="{00000003-D8BD-4FD5-9DCC-0A0C86CCF038}"/>
            </c:ext>
          </c:extLst>
        </c:ser>
        <c:dLbls>
          <c:showLegendKey val="0"/>
          <c:showVal val="0"/>
          <c:showCatName val="0"/>
          <c:showSerName val="0"/>
          <c:showPercent val="0"/>
          <c:showBubbleSize val="0"/>
        </c:dLbls>
        <c:gapWidth val="150"/>
        <c:shape val="cylinder"/>
        <c:axId val="113224320"/>
        <c:axId val="112992640"/>
        <c:axId val="0"/>
      </c:bar3DChart>
      <c:dateAx>
        <c:axId val="113224320"/>
        <c:scaling>
          <c:orientation val="minMax"/>
        </c:scaling>
        <c:delete val="1"/>
        <c:axPos val="b"/>
        <c:numFmt formatCode="mmm" sourceLinked="1"/>
        <c:majorTickMark val="none"/>
        <c:minorTickMark val="none"/>
        <c:tickLblPos val="none"/>
        <c:crossAx val="112992640"/>
        <c:crosses val="autoZero"/>
        <c:auto val="1"/>
        <c:lblOffset val="100"/>
        <c:baseTimeUnit val="months"/>
      </c:dateAx>
      <c:valAx>
        <c:axId val="112992640"/>
        <c:scaling>
          <c:orientation val="minMax"/>
        </c:scaling>
        <c:delete val="0"/>
        <c:axPos val="l"/>
        <c:majorGridlines/>
        <c:title>
          <c:tx>
            <c:rich>
              <a:bodyPr/>
              <a:lstStyle/>
              <a:p>
                <a:pPr>
                  <a:defRPr/>
                </a:pPr>
                <a:r>
                  <a:rPr lang="es-ES" sz="1200"/>
                  <a:t>MWH</a:t>
                </a:r>
              </a:p>
            </c:rich>
          </c:tx>
          <c:layout>
            <c:manualLayout>
              <c:xMode val="edge"/>
              <c:yMode val="edge"/>
              <c:x val="4.5904471454092113E-2"/>
              <c:y val="0.34811637906970361"/>
            </c:manualLayout>
          </c:layout>
          <c:overlay val="0"/>
        </c:title>
        <c:numFmt formatCode="#,##0_);\(#,##0\)" sourceLinked="1"/>
        <c:majorTickMark val="none"/>
        <c:minorTickMark val="none"/>
        <c:tickLblPos val="nextTo"/>
        <c:crossAx val="113224320"/>
        <c:crosses val="autoZero"/>
        <c:crossBetween val="between"/>
      </c:valAx>
      <c:dTable>
        <c:showHorzBorder val="1"/>
        <c:showVertBorder val="1"/>
        <c:showOutline val="1"/>
        <c:showKeys val="1"/>
      </c:dTable>
    </c:plotArea>
    <c:plotVisOnly val="1"/>
    <c:dispBlanksAs val="gap"/>
    <c:showDLblsOverMax val="0"/>
  </c:chart>
  <c:spPr>
    <a:effectLst>
      <a:innerShdw blurRad="431800">
        <a:srgbClr val="4F81BD">
          <a:lumMod val="60000"/>
          <a:lumOff val="40000"/>
        </a:srgbClr>
      </a:innerShdw>
    </a:effectLst>
  </c:sp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sz="1200"/>
              <a:t>DEMANDA</a:t>
            </a:r>
            <a:r>
              <a:rPr lang="es-ES" sz="1200" baseline="0"/>
              <a:t> OCTUBRE 2023</a:t>
            </a:r>
            <a:endParaRPr lang="es-ES" sz="1200"/>
          </a:p>
        </c:rich>
      </c:tx>
      <c:layout>
        <c:manualLayout>
          <c:xMode val="edge"/>
          <c:yMode val="edge"/>
          <c:x val="0.42842319179291594"/>
          <c:y val="2.3148148148148147E-2"/>
        </c:manualLayout>
      </c:layout>
      <c:overlay val="0"/>
    </c:title>
    <c:autoTitleDeleted val="0"/>
    <c:plotArea>
      <c:layout>
        <c:manualLayout>
          <c:layoutTarget val="inner"/>
          <c:xMode val="edge"/>
          <c:yMode val="edge"/>
          <c:x val="6.9490074381268224E-2"/>
          <c:y val="0.14235901315138572"/>
          <c:w val="0.7280232550317326"/>
          <c:h val="0.72312882764654418"/>
        </c:manualLayout>
      </c:layout>
      <c:lineChart>
        <c:grouping val="standard"/>
        <c:varyColors val="0"/>
        <c:ser>
          <c:idx val="0"/>
          <c:order val="0"/>
          <c:tx>
            <c:strRef>
              <c:f>'GRAFICAS RPTE GCIAL'!$Z$124</c:f>
              <c:strCache>
                <c:ptCount val="1"/>
                <c:pt idx="0">
                  <c:v>KM-2101 </c:v>
                </c:pt>
              </c:strCache>
            </c:strRef>
          </c:tx>
          <c:marker>
            <c:symbol val="none"/>
          </c:marker>
          <c:val>
            <c:numRef>
              <c:f>'GRAFICAS RPTE GCIAL'!$Z$126:$Z$156</c:f>
              <c:numCache>
                <c:formatCode>0.0</c:formatCode>
                <c:ptCount val="31"/>
                <c:pt idx="0">
                  <c:v>163.20000000000073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2B51-4A78-989D-D54BA0E9454A}"/>
            </c:ext>
          </c:extLst>
        </c:ser>
        <c:ser>
          <c:idx val="8"/>
          <c:order val="1"/>
          <c:tx>
            <c:strRef>
              <c:f>'GRAFICAS RPTE GCIAL'!$AA$124</c:f>
              <c:strCache>
                <c:ptCount val="1"/>
                <c:pt idx="0">
                  <c:v>KM-2501 </c:v>
                </c:pt>
              </c:strCache>
            </c:strRef>
          </c:tx>
          <c:marker>
            <c:symbol val="none"/>
          </c:marker>
          <c:val>
            <c:numRef>
              <c:f>'GRAFICAS RPTE GCIAL'!$AA$126:$AA$156</c:f>
              <c:numCache>
                <c:formatCode>0.0</c:formatCode>
                <c:ptCount val="31"/>
                <c:pt idx="0">
                  <c:v>151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1-2B51-4A78-989D-D54BA0E9454A}"/>
            </c:ext>
          </c:extLst>
        </c:ser>
        <c:ser>
          <c:idx val="2"/>
          <c:order val="2"/>
          <c:tx>
            <c:strRef>
              <c:f>'GRAFICAS RPTE GCIAL'!$AB$124</c:f>
              <c:strCache>
                <c:ptCount val="1"/>
                <c:pt idx="0">
                  <c:v>SE CRUDO OCENSA</c:v>
                </c:pt>
              </c:strCache>
            </c:strRef>
          </c:tx>
          <c:marker>
            <c:symbol val="none"/>
          </c:marker>
          <c:val>
            <c:numRef>
              <c:f>'GRAFICAS RPTE GCIAL'!$AB$126:$AB$156</c:f>
              <c:numCache>
                <c:formatCode>0.0</c:formatCode>
                <c:ptCount val="31"/>
                <c:pt idx="0">
                  <c:v>9.6999999999989086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2-2B51-4A78-989D-D54BA0E9454A}"/>
            </c:ext>
          </c:extLst>
        </c:ser>
        <c:ser>
          <c:idx val="1"/>
          <c:order val="3"/>
          <c:tx>
            <c:strRef>
              <c:f>'GRAFICAS RPTE GCIAL'!$AC$124</c:f>
              <c:strCache>
                <c:ptCount val="1"/>
                <c:pt idx="0">
                  <c:v>SE REINYECCION</c:v>
                </c:pt>
              </c:strCache>
            </c:strRef>
          </c:tx>
          <c:marker>
            <c:symbol val="none"/>
          </c:marker>
          <c:val>
            <c:numRef>
              <c:f>'GRAFICAS RPTE GCIAL'!$AC$126:$AC$156</c:f>
              <c:numCache>
                <c:formatCode>0.0</c:formatCode>
                <c:ptCount val="31"/>
                <c:pt idx="0">
                  <c:v>38.69999999999709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3-2B51-4A78-989D-D54BA0E9454A}"/>
            </c:ext>
          </c:extLst>
        </c:ser>
        <c:ser>
          <c:idx val="5"/>
          <c:order val="4"/>
          <c:tx>
            <c:strRef>
              <c:f>'GRAFICAS RPTE GCIAL'!$AD$124</c:f>
              <c:strCache>
                <c:ptCount val="1"/>
                <c:pt idx="0">
                  <c:v>S/E TREN 1</c:v>
                </c:pt>
              </c:strCache>
            </c:strRef>
          </c:tx>
          <c:marker>
            <c:symbol val="none"/>
          </c:marker>
          <c:val>
            <c:numRef>
              <c:f>'GRAFICAS RPTE GCIAL'!$AD$126:$AD$156</c:f>
              <c:numCache>
                <c:formatCode>0.0</c:formatCode>
                <c:ptCount val="31"/>
                <c:pt idx="0">
                  <c:v>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4-2B51-4A78-989D-D54BA0E9454A}"/>
            </c:ext>
          </c:extLst>
        </c:ser>
        <c:ser>
          <c:idx val="6"/>
          <c:order val="5"/>
          <c:tx>
            <c:strRef>
              <c:f>'GRAFICAS RPTE GCIAL'!$AE$124</c:f>
              <c:strCache>
                <c:ptCount val="1"/>
                <c:pt idx="0">
                  <c:v>SE TREN 2</c:v>
                </c:pt>
              </c:strCache>
            </c:strRef>
          </c:tx>
          <c:marker>
            <c:symbol val="none"/>
          </c:marker>
          <c:val>
            <c:numRef>
              <c:f>'GRAFICAS RPTE GCIAL'!$AE$126:$AE$156</c:f>
              <c:numCache>
                <c:formatCode>0.0</c:formatCode>
                <c:ptCount val="31"/>
                <c:pt idx="0">
                  <c:v>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5-2B51-4A78-989D-D54BA0E9454A}"/>
            </c:ext>
          </c:extLst>
        </c:ser>
        <c:ser>
          <c:idx val="3"/>
          <c:order val="6"/>
          <c:tx>
            <c:strRef>
              <c:f>'GRAFICAS RPTE GCIAL'!$AF$124</c:f>
              <c:strCache>
                <c:ptCount val="1"/>
                <c:pt idx="0">
                  <c:v>SE PRINCIPAL</c:v>
                </c:pt>
              </c:strCache>
            </c:strRef>
          </c:tx>
          <c:marker>
            <c:symbol val="none"/>
          </c:marker>
          <c:val>
            <c:numRef>
              <c:f>'GRAFICAS RPTE GCIAL'!$AF$126:$AF$156</c:f>
              <c:numCache>
                <c:formatCode>0.0</c:formatCode>
                <c:ptCount val="31"/>
                <c:pt idx="0">
                  <c:v>33.300000000004673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6-2B51-4A78-989D-D54BA0E9454A}"/>
            </c:ext>
          </c:extLst>
        </c:ser>
        <c:ser>
          <c:idx val="4"/>
          <c:order val="7"/>
          <c:tx>
            <c:strRef>
              <c:f>'GRAFICAS RPTE GCIAL'!$AG$124</c:f>
              <c:strCache>
                <c:ptCount val="1"/>
                <c:pt idx="0">
                  <c:v>SE PLANTA DE GAS Y JT</c:v>
                </c:pt>
              </c:strCache>
            </c:strRef>
          </c:tx>
          <c:marker>
            <c:symbol val="none"/>
          </c:marker>
          <c:val>
            <c:numRef>
              <c:f>'GRAFICAS RPTE GCIAL'!$AG$126:$AG$156</c:f>
              <c:numCache>
                <c:formatCode>0.0</c:formatCode>
                <c:ptCount val="31"/>
                <c:pt idx="0">
                  <c:v>11.722999999997556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2B51-4A78-989D-D54BA0E9454A}"/>
            </c:ext>
          </c:extLst>
        </c:ser>
        <c:ser>
          <c:idx val="7"/>
          <c:order val="8"/>
          <c:tx>
            <c:strRef>
              <c:f>'GRAFICAS RPTE GCIAL'!$AH$124</c:f>
              <c:strCache>
                <c:ptCount val="1"/>
                <c:pt idx="0">
                  <c:v>SE GAS VENTAS</c:v>
                </c:pt>
              </c:strCache>
            </c:strRef>
          </c:tx>
          <c:marker>
            <c:symbol val="none"/>
          </c:marker>
          <c:val>
            <c:numRef>
              <c:f>'GRAFICAS RPTE GCIAL'!$AH$126:$AH$156</c:f>
              <c:numCache>
                <c:formatCode>0.0</c:formatCode>
                <c:ptCount val="31"/>
                <c:pt idx="0">
                  <c:v>3.3780000000006276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8-2B51-4A78-989D-D54BA0E9454A}"/>
            </c:ext>
          </c:extLst>
        </c:ser>
        <c:dLbls>
          <c:showLegendKey val="0"/>
          <c:showVal val="0"/>
          <c:showCatName val="0"/>
          <c:showSerName val="0"/>
          <c:showPercent val="0"/>
          <c:showBubbleSize val="0"/>
        </c:dLbls>
        <c:smooth val="0"/>
        <c:axId val="113066368"/>
        <c:axId val="113067904"/>
      </c:lineChart>
      <c:catAx>
        <c:axId val="113066368"/>
        <c:scaling>
          <c:orientation val="minMax"/>
        </c:scaling>
        <c:delete val="0"/>
        <c:axPos val="b"/>
        <c:numFmt formatCode="General" sourceLinked="0"/>
        <c:majorTickMark val="none"/>
        <c:minorTickMark val="none"/>
        <c:tickLblPos val="nextTo"/>
        <c:crossAx val="113067904"/>
        <c:crosses val="autoZero"/>
        <c:auto val="0"/>
        <c:lblAlgn val="ctr"/>
        <c:lblOffset val="100"/>
        <c:noMultiLvlLbl val="0"/>
      </c:catAx>
      <c:valAx>
        <c:axId val="113067904"/>
        <c:scaling>
          <c:orientation val="minMax"/>
        </c:scaling>
        <c:delete val="0"/>
        <c:axPos val="l"/>
        <c:majorGridlines/>
        <c:title>
          <c:tx>
            <c:rich>
              <a:bodyPr/>
              <a:lstStyle/>
              <a:p>
                <a:pPr>
                  <a:defRPr/>
                </a:pPr>
                <a:r>
                  <a:rPr lang="es-ES"/>
                  <a:t>MWH</a:t>
                </a:r>
              </a:p>
            </c:rich>
          </c:tx>
          <c:overlay val="0"/>
        </c:title>
        <c:numFmt formatCode="0.0" sourceLinked="1"/>
        <c:majorTickMark val="none"/>
        <c:minorTickMark val="none"/>
        <c:tickLblPos val="nextTo"/>
        <c:crossAx val="113066368"/>
        <c:crosses val="autoZero"/>
        <c:crossBetween val="between"/>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1"/>
    </c:view3D>
    <c:floor>
      <c:thickness val="0"/>
    </c:floor>
    <c:sideWall>
      <c:thickness val="0"/>
    </c:sideWall>
    <c:backWall>
      <c:thickness val="0"/>
    </c:backWall>
    <c:plotArea>
      <c:layout/>
      <c:bar3DChart>
        <c:barDir val="col"/>
        <c:grouping val="clustered"/>
        <c:varyColors val="0"/>
        <c:ser>
          <c:idx val="2"/>
          <c:order val="0"/>
          <c:tx>
            <c:strRef>
              <c:f>'GRAFICAS RPTE GCIAL'!$Z$157:$Z$158</c:f>
              <c:strCache>
                <c:ptCount val="2"/>
                <c:pt idx="0">
                  <c:v>P/PAL</c:v>
                </c:pt>
              </c:strCache>
            </c:strRef>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GCIAL'!$Z$159:$Z$170</c:f>
              <c:numCache>
                <c:formatCode>#,##0</c:formatCode>
                <c:ptCount val="12"/>
                <c:pt idx="0">
                  <c:v>1030.8669999999649</c:v>
                </c:pt>
                <c:pt idx="1">
                  <c:v>928.88400000008437</c:v>
                </c:pt>
                <c:pt idx="2">
                  <c:v>1083.1139999999343</c:v>
                </c:pt>
                <c:pt idx="3">
                  <c:v>1024.5729999999701</c:v>
                </c:pt>
                <c:pt idx="4">
                  <c:v>1060.5669999999473</c:v>
                </c:pt>
                <c:pt idx="5">
                  <c:v>1018.0990000000243</c:v>
                </c:pt>
                <c:pt idx="6">
                  <c:v>1033.9209999999935</c:v>
                </c:pt>
                <c:pt idx="7">
                  <c:v>1087.8680000000106</c:v>
                </c:pt>
                <c:pt idx="8">
                  <c:v>1104.0489999999845</c:v>
                </c:pt>
                <c:pt idx="9">
                  <c:v>1023.5299999999875</c:v>
                </c:pt>
                <c:pt idx="10">
                  <c:v>33.300000000004673</c:v>
                </c:pt>
                <c:pt idx="11">
                  <c:v>0</c:v>
                </c:pt>
              </c:numCache>
            </c:numRef>
          </c:val>
          <c:extLst>
            <c:ext xmlns:c16="http://schemas.microsoft.com/office/drawing/2014/chart" uri="{C3380CC4-5D6E-409C-BE32-E72D297353CC}">
              <c16:uniqueId val="{00000000-9967-4746-B6A9-CD45A85BA517}"/>
            </c:ext>
          </c:extLst>
        </c:ser>
        <c:ser>
          <c:idx val="8"/>
          <c:order val="1"/>
          <c:tx>
            <c:strRef>
              <c:f>'GRAFICAS RPTE GCIAL'!$X$157:$X$158</c:f>
              <c:strCache>
                <c:ptCount val="2"/>
                <c:pt idx="0">
                  <c:v>TREN 1</c:v>
                </c:pt>
              </c:strCache>
            </c:strRef>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GCIAL'!$X$159:$X$170</c:f>
              <c:numCache>
                <c:formatCode>#,##0</c:formatCode>
                <c:ptCount val="12"/>
                <c:pt idx="0">
                  <c:v>257.33999999999651</c:v>
                </c:pt>
                <c:pt idx="1">
                  <c:v>247.08999999999651</c:v>
                </c:pt>
                <c:pt idx="2">
                  <c:v>237.61000000000058</c:v>
                </c:pt>
                <c:pt idx="3">
                  <c:v>211.93000000000757</c:v>
                </c:pt>
                <c:pt idx="4">
                  <c:v>206.06999999999243</c:v>
                </c:pt>
                <c:pt idx="5">
                  <c:v>181.57000000000698</c:v>
                </c:pt>
                <c:pt idx="6">
                  <c:v>229.52999999999884</c:v>
                </c:pt>
                <c:pt idx="7">
                  <c:v>261.10000000000582</c:v>
                </c:pt>
                <c:pt idx="8">
                  <c:v>261.29999999998836</c:v>
                </c:pt>
                <c:pt idx="9">
                  <c:v>218.40000000000873</c:v>
                </c:pt>
                <c:pt idx="10">
                  <c:v>5</c:v>
                </c:pt>
                <c:pt idx="11">
                  <c:v>0</c:v>
                </c:pt>
              </c:numCache>
            </c:numRef>
          </c:val>
          <c:extLst>
            <c:ext xmlns:c16="http://schemas.microsoft.com/office/drawing/2014/chart" uri="{C3380CC4-5D6E-409C-BE32-E72D297353CC}">
              <c16:uniqueId val="{00000001-9967-4746-B6A9-CD45A85BA517}"/>
            </c:ext>
          </c:extLst>
        </c:ser>
        <c:ser>
          <c:idx val="9"/>
          <c:order val="2"/>
          <c:tx>
            <c:strRef>
              <c:f>'GRAFICAS RPTE GCIAL'!$Y$157:$Y$158</c:f>
              <c:strCache>
                <c:ptCount val="2"/>
                <c:pt idx="0">
                  <c:v>TREN 2</c:v>
                </c:pt>
              </c:strCache>
            </c:strRef>
          </c:tx>
          <c:invertIfNegative val="0"/>
          <c:val>
            <c:numRef>
              <c:f>'GRAFICAS RPTE GCIAL'!$Y$159:$Y$170</c:f>
              <c:numCache>
                <c:formatCode>#,##0</c:formatCode>
                <c:ptCount val="12"/>
                <c:pt idx="0">
                  <c:v>470.33999999999651</c:v>
                </c:pt>
                <c:pt idx="1">
                  <c:v>413.5</c:v>
                </c:pt>
                <c:pt idx="2">
                  <c:v>455.60000000000582</c:v>
                </c:pt>
                <c:pt idx="3">
                  <c:v>421.5</c:v>
                </c:pt>
                <c:pt idx="4">
                  <c:v>394.5</c:v>
                </c:pt>
                <c:pt idx="5">
                  <c:v>342.88000000000466</c:v>
                </c:pt>
                <c:pt idx="6">
                  <c:v>302.51999999998952</c:v>
                </c:pt>
                <c:pt idx="7">
                  <c:v>356.29999999998836</c:v>
                </c:pt>
                <c:pt idx="8">
                  <c:v>346.70000000001164</c:v>
                </c:pt>
                <c:pt idx="9">
                  <c:v>282</c:v>
                </c:pt>
                <c:pt idx="10">
                  <c:v>9</c:v>
                </c:pt>
                <c:pt idx="11">
                  <c:v>0</c:v>
                </c:pt>
              </c:numCache>
            </c:numRef>
          </c:val>
          <c:extLst>
            <c:ext xmlns:c16="http://schemas.microsoft.com/office/drawing/2014/chart" uri="{C3380CC4-5D6E-409C-BE32-E72D297353CC}">
              <c16:uniqueId val="{00000002-9967-4746-B6A9-CD45A85BA517}"/>
            </c:ext>
          </c:extLst>
        </c:ser>
        <c:ser>
          <c:idx val="0"/>
          <c:order val="3"/>
          <c:tx>
            <c:strRef>
              <c:f>'GRAFICAS RPTE GCIAL'!$W$157:$W$158</c:f>
              <c:strCache>
                <c:ptCount val="2"/>
                <c:pt idx="0">
                  <c:v>REINYECCION</c:v>
                </c:pt>
              </c:strCache>
            </c:strRef>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GCIAL'!$W$159:$W$170</c:f>
              <c:numCache>
                <c:formatCode>#,##0</c:formatCode>
                <c:ptCount val="12"/>
                <c:pt idx="0">
                  <c:v>1265.5800000000017</c:v>
                </c:pt>
                <c:pt idx="1">
                  <c:v>1097.3600000000079</c:v>
                </c:pt>
                <c:pt idx="2">
                  <c:v>1212.5399999999936</c:v>
                </c:pt>
                <c:pt idx="3">
                  <c:v>1161.3899999999994</c:v>
                </c:pt>
                <c:pt idx="4">
                  <c:v>1128.5100000000093</c:v>
                </c:pt>
                <c:pt idx="5">
                  <c:v>1097.3799999999901</c:v>
                </c:pt>
                <c:pt idx="6">
                  <c:v>1146.4199999999983</c:v>
                </c:pt>
                <c:pt idx="7">
                  <c:v>1125.2000000000116</c:v>
                </c:pt>
                <c:pt idx="8">
                  <c:v>1151.1999999999971</c:v>
                </c:pt>
                <c:pt idx="9">
                  <c:v>1187</c:v>
                </c:pt>
                <c:pt idx="10">
                  <c:v>38.69999999999709</c:v>
                </c:pt>
                <c:pt idx="11">
                  <c:v>0</c:v>
                </c:pt>
              </c:numCache>
            </c:numRef>
          </c:val>
          <c:extLst>
            <c:ext xmlns:c16="http://schemas.microsoft.com/office/drawing/2014/chart" uri="{C3380CC4-5D6E-409C-BE32-E72D297353CC}">
              <c16:uniqueId val="{00000003-9967-4746-B6A9-CD45A85BA517}"/>
            </c:ext>
          </c:extLst>
        </c:ser>
        <c:ser>
          <c:idx val="3"/>
          <c:order val="4"/>
          <c:tx>
            <c:strRef>
              <c:f>'GRAFICAS RPTE GCIAL'!$V$157:$V$158</c:f>
              <c:strCache>
                <c:ptCount val="2"/>
                <c:pt idx="0">
                  <c:v>CRUDO OCENSA</c:v>
                </c:pt>
              </c:strCache>
            </c:strRef>
          </c:tx>
          <c:invertIfNegative val="0"/>
          <c:val>
            <c:numRef>
              <c:f>'GRAFICAS RPTE GCIAL'!$V$159:$V$170</c:f>
              <c:numCache>
                <c:formatCode>#,##0</c:formatCode>
                <c:ptCount val="12"/>
                <c:pt idx="0">
                  <c:v>320.69999999999709</c:v>
                </c:pt>
                <c:pt idx="1">
                  <c:v>280.5</c:v>
                </c:pt>
                <c:pt idx="2">
                  <c:v>300.79999999999927</c:v>
                </c:pt>
                <c:pt idx="3">
                  <c:v>314.19999999999891</c:v>
                </c:pt>
                <c:pt idx="4">
                  <c:v>340.70000000000437</c:v>
                </c:pt>
                <c:pt idx="5">
                  <c:v>284.49999999999636</c:v>
                </c:pt>
                <c:pt idx="6">
                  <c:v>315.69999999999891</c:v>
                </c:pt>
                <c:pt idx="7">
                  <c:v>327.00000000000546</c:v>
                </c:pt>
                <c:pt idx="8">
                  <c:v>290.19999999999709</c:v>
                </c:pt>
                <c:pt idx="9">
                  <c:v>289.20000000000255</c:v>
                </c:pt>
                <c:pt idx="10">
                  <c:v>9.6999999999989086</c:v>
                </c:pt>
                <c:pt idx="11">
                  <c:v>0</c:v>
                </c:pt>
              </c:numCache>
            </c:numRef>
          </c:val>
          <c:extLst>
            <c:ext xmlns:c16="http://schemas.microsoft.com/office/drawing/2014/chart" uri="{C3380CC4-5D6E-409C-BE32-E72D297353CC}">
              <c16:uniqueId val="{00000004-9967-4746-B6A9-CD45A85BA517}"/>
            </c:ext>
          </c:extLst>
        </c:ser>
        <c:ser>
          <c:idx val="1"/>
          <c:order val="5"/>
          <c:tx>
            <c:strRef>
              <c:f>'GRAFICAS RPTE GCIAL'!$AA$157:$AA$158</c:f>
              <c:strCache>
                <c:ptCount val="2"/>
                <c:pt idx="0">
                  <c:v>GAS Y JT</c:v>
                </c:pt>
              </c:strCache>
            </c:strRef>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GCIAL'!$AA$159:$AA$170</c:f>
              <c:numCache>
                <c:formatCode>#,##0</c:formatCode>
                <c:ptCount val="12"/>
                <c:pt idx="0">
                  <c:v>276.9375000000353</c:v>
                </c:pt>
                <c:pt idx="1">
                  <c:v>264.84499999996621</c:v>
                </c:pt>
                <c:pt idx="2">
                  <c:v>311.30750000000984</c:v>
                </c:pt>
                <c:pt idx="3">
                  <c:v>251.22449999996763</c:v>
                </c:pt>
                <c:pt idx="4">
                  <c:v>283.9545000000341</c:v>
                </c:pt>
                <c:pt idx="5">
                  <c:v>309.80600000000226</c:v>
                </c:pt>
                <c:pt idx="6">
                  <c:v>270.11099999999601</c:v>
                </c:pt>
                <c:pt idx="7">
                  <c:v>331.29600000001392</c:v>
                </c:pt>
                <c:pt idx="8">
                  <c:v>260.52199999998561</c:v>
                </c:pt>
                <c:pt idx="9">
                  <c:v>336.62900000000093</c:v>
                </c:pt>
                <c:pt idx="10">
                  <c:v>11.722999999997556</c:v>
                </c:pt>
                <c:pt idx="11">
                  <c:v>0</c:v>
                </c:pt>
              </c:numCache>
            </c:numRef>
          </c:val>
          <c:extLst>
            <c:ext xmlns:c16="http://schemas.microsoft.com/office/drawing/2014/chart" uri="{C3380CC4-5D6E-409C-BE32-E72D297353CC}">
              <c16:uniqueId val="{00000005-9967-4746-B6A9-CD45A85BA517}"/>
            </c:ext>
          </c:extLst>
        </c:ser>
        <c:ser>
          <c:idx val="5"/>
          <c:order val="6"/>
          <c:tx>
            <c:strRef>
              <c:f>'GRAFICAS RPTE GCIAL'!$AB$157:$AB$158</c:f>
              <c:strCache>
                <c:ptCount val="2"/>
                <c:pt idx="0">
                  <c:v>GAS VENTAS</c:v>
                </c:pt>
              </c:strCache>
            </c:strRef>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GCIAL'!$AB$159:$AB$170</c:f>
              <c:numCache>
                <c:formatCode>#,##0</c:formatCode>
                <c:ptCount val="12"/>
                <c:pt idx="0">
                  <c:v>87.141999999999967</c:v>
                </c:pt>
                <c:pt idx="1">
                  <c:v>86.488000000000483</c:v>
                </c:pt>
                <c:pt idx="2">
                  <c:v>82.56799999999977</c:v>
                </c:pt>
                <c:pt idx="3">
                  <c:v>98.091000000000065</c:v>
                </c:pt>
                <c:pt idx="4">
                  <c:v>99.264000000000195</c:v>
                </c:pt>
                <c:pt idx="5">
                  <c:v>104.35900000000066</c:v>
                </c:pt>
                <c:pt idx="6">
                  <c:v>91.279000000000124</c:v>
                </c:pt>
                <c:pt idx="7">
                  <c:v>96.954999999999487</c:v>
                </c:pt>
                <c:pt idx="8">
                  <c:v>122.11000000000018</c:v>
                </c:pt>
                <c:pt idx="9">
                  <c:v>108.21899999999947</c:v>
                </c:pt>
                <c:pt idx="10">
                  <c:v>3.3780000000006276</c:v>
                </c:pt>
                <c:pt idx="11">
                  <c:v>0</c:v>
                </c:pt>
              </c:numCache>
            </c:numRef>
          </c:val>
          <c:extLst>
            <c:ext xmlns:c16="http://schemas.microsoft.com/office/drawing/2014/chart" uri="{C3380CC4-5D6E-409C-BE32-E72D297353CC}">
              <c16:uniqueId val="{00000006-9967-4746-B6A9-CD45A85BA517}"/>
            </c:ext>
          </c:extLst>
        </c:ser>
        <c:dLbls>
          <c:showLegendKey val="0"/>
          <c:showVal val="0"/>
          <c:showCatName val="0"/>
          <c:showSerName val="0"/>
          <c:showPercent val="0"/>
          <c:showBubbleSize val="0"/>
        </c:dLbls>
        <c:gapWidth val="300"/>
        <c:shape val="cylinder"/>
        <c:axId val="113114496"/>
        <c:axId val="114177536"/>
        <c:axId val="0"/>
      </c:bar3DChart>
      <c:dateAx>
        <c:axId val="113114496"/>
        <c:scaling>
          <c:orientation val="minMax"/>
        </c:scaling>
        <c:delete val="0"/>
        <c:axPos val="b"/>
        <c:title>
          <c:tx>
            <c:rich>
              <a:bodyPr/>
              <a:lstStyle/>
              <a:p>
                <a:pPr>
                  <a:defRPr/>
                </a:pPr>
                <a:r>
                  <a:rPr lang="es-ES" sz="1000"/>
                  <a:t>DEMANDA 2023</a:t>
                </a:r>
              </a:p>
            </c:rich>
          </c:tx>
          <c:overlay val="0"/>
        </c:title>
        <c:numFmt formatCode="mmm" sourceLinked="1"/>
        <c:majorTickMark val="none"/>
        <c:minorTickMark val="none"/>
        <c:tickLblPos val="nextTo"/>
        <c:crossAx val="114177536"/>
        <c:crosses val="autoZero"/>
        <c:auto val="1"/>
        <c:lblOffset val="100"/>
        <c:baseTimeUnit val="months"/>
      </c:dateAx>
      <c:valAx>
        <c:axId val="114177536"/>
        <c:scaling>
          <c:orientation val="minMax"/>
        </c:scaling>
        <c:delete val="0"/>
        <c:axPos val="l"/>
        <c:majorGridlines/>
        <c:minorGridlines/>
        <c:title>
          <c:tx>
            <c:rich>
              <a:bodyPr/>
              <a:lstStyle/>
              <a:p>
                <a:pPr>
                  <a:defRPr/>
                </a:pPr>
                <a:r>
                  <a:rPr lang="es-ES"/>
                  <a:t>MWH</a:t>
                </a:r>
              </a:p>
            </c:rich>
          </c:tx>
          <c:overlay val="0"/>
        </c:title>
        <c:numFmt formatCode="#,##0" sourceLinked="1"/>
        <c:majorTickMark val="out"/>
        <c:minorTickMark val="none"/>
        <c:tickLblPos val="nextTo"/>
        <c:crossAx val="113114496"/>
        <c:crosses val="autoZero"/>
        <c:crossBetween val="between"/>
      </c:valAx>
    </c:plotArea>
    <c:legend>
      <c:legendPos val="r"/>
      <c:overlay val="0"/>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sz="1200"/>
              <a:t>CONSUMO</a:t>
            </a:r>
            <a:r>
              <a:rPr lang="es-ES" sz="1200" baseline="0"/>
              <a:t> DE GAS OCTUBRE 2023</a:t>
            </a:r>
            <a:endParaRPr lang="es-ES" sz="1200"/>
          </a:p>
        </c:rich>
      </c:tx>
      <c:layout>
        <c:manualLayout>
          <c:xMode val="edge"/>
          <c:yMode val="edge"/>
          <c:x val="0.33230555555558638"/>
          <c:y val="0"/>
        </c:manualLayout>
      </c:layout>
      <c:overlay val="0"/>
    </c:title>
    <c:autoTitleDeleted val="0"/>
    <c:plotArea>
      <c:layout>
        <c:manualLayout>
          <c:layoutTarget val="inner"/>
          <c:xMode val="edge"/>
          <c:yMode val="edge"/>
          <c:x val="0.13890119952440078"/>
          <c:y val="5.5808315027714037E-2"/>
          <c:w val="0.84531708087703394"/>
          <c:h val="0.64247769028881097"/>
        </c:manualLayout>
      </c:layout>
      <c:lineChart>
        <c:grouping val="standard"/>
        <c:varyColors val="0"/>
        <c:ser>
          <c:idx val="0"/>
          <c:order val="0"/>
          <c:tx>
            <c:strRef>
              <c:f>'GRAFICAS RPTE GCIAL'!$C$124:$H$124</c:f>
              <c:strCache>
                <c:ptCount val="1"/>
                <c:pt idx="0">
                  <c:v>GT-8001  </c:v>
                </c:pt>
              </c:strCache>
            </c:strRef>
          </c:tx>
          <c:marker>
            <c:symbol val="none"/>
          </c:marker>
          <c:cat>
            <c:numLit>
              <c:formatCode>General</c:formatCode>
              <c:ptCount val="59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31</c:v>
              </c:pt>
              <c:pt idx="32">
                <c:v>31</c:v>
              </c:pt>
              <c:pt idx="33">
                <c:v>31</c:v>
              </c:pt>
              <c:pt idx="34">
                <c:v>31</c:v>
              </c:pt>
              <c:pt idx="35">
                <c:v>31</c:v>
              </c:pt>
              <c:pt idx="36">
                <c:v>31</c:v>
              </c:pt>
              <c:pt idx="37">
                <c:v>31</c:v>
              </c:pt>
              <c:pt idx="38">
                <c:v>31</c:v>
              </c:pt>
              <c:pt idx="39">
                <c:v>31</c:v>
              </c:pt>
              <c:pt idx="40">
                <c:v>31</c:v>
              </c:pt>
              <c:pt idx="41">
                <c:v>31</c:v>
              </c:pt>
              <c:pt idx="42">
                <c:v>31</c:v>
              </c:pt>
              <c:pt idx="43">
                <c:v>31</c:v>
              </c:pt>
              <c:pt idx="44">
                <c:v>31</c:v>
              </c:pt>
              <c:pt idx="45">
                <c:v>31</c:v>
              </c:pt>
              <c:pt idx="46">
                <c:v>31</c:v>
              </c:pt>
              <c:pt idx="47">
                <c:v>31</c:v>
              </c:pt>
              <c:pt idx="48">
                <c:v>31</c:v>
              </c:pt>
              <c:pt idx="49">
                <c:v>31</c:v>
              </c:pt>
              <c:pt idx="50">
                <c:v>31</c:v>
              </c:pt>
              <c:pt idx="51">
                <c:v>31</c:v>
              </c:pt>
              <c:pt idx="52">
                <c:v>31</c:v>
              </c:pt>
              <c:pt idx="53">
                <c:v>31</c:v>
              </c:pt>
              <c:pt idx="54">
                <c:v>31</c:v>
              </c:pt>
              <c:pt idx="55">
                <c:v>31</c:v>
              </c:pt>
              <c:pt idx="56">
                <c:v>31</c:v>
              </c:pt>
              <c:pt idx="57">
                <c:v>31</c:v>
              </c:pt>
              <c:pt idx="58">
                <c:v>31</c:v>
              </c:pt>
              <c:pt idx="59">
                <c:v>31</c:v>
              </c:pt>
              <c:pt idx="60">
                <c:v>31</c:v>
              </c:pt>
              <c:pt idx="61">
                <c:v>31</c:v>
              </c:pt>
              <c:pt idx="62">
                <c:v>31</c:v>
              </c:pt>
              <c:pt idx="63">
                <c:v>31</c:v>
              </c:pt>
              <c:pt idx="64">
                <c:v>31</c:v>
              </c:pt>
              <c:pt idx="65">
                <c:v>31</c:v>
              </c:pt>
              <c:pt idx="66">
                <c:v>31</c:v>
              </c:pt>
              <c:pt idx="67">
                <c:v>31</c:v>
              </c:pt>
              <c:pt idx="68">
                <c:v>31</c:v>
              </c:pt>
              <c:pt idx="69">
                <c:v>31</c:v>
              </c:pt>
              <c:pt idx="70">
                <c:v>31</c:v>
              </c:pt>
              <c:pt idx="71">
                <c:v>31</c:v>
              </c:pt>
              <c:pt idx="72">
                <c:v>31</c:v>
              </c:pt>
              <c:pt idx="73">
                <c:v>31</c:v>
              </c:pt>
              <c:pt idx="74">
                <c:v>31</c:v>
              </c:pt>
              <c:pt idx="75">
                <c:v>31</c:v>
              </c:pt>
              <c:pt idx="76">
                <c:v>31</c:v>
              </c:pt>
              <c:pt idx="77">
                <c:v>31</c:v>
              </c:pt>
              <c:pt idx="78">
                <c:v>31</c:v>
              </c:pt>
              <c:pt idx="79">
                <c:v>31</c:v>
              </c:pt>
              <c:pt idx="80">
                <c:v>31</c:v>
              </c:pt>
              <c:pt idx="81">
                <c:v>31</c:v>
              </c:pt>
              <c:pt idx="82">
                <c:v>31</c:v>
              </c:pt>
              <c:pt idx="83">
                <c:v>31</c:v>
              </c:pt>
              <c:pt idx="84">
                <c:v>31</c:v>
              </c:pt>
              <c:pt idx="85">
                <c:v>31</c:v>
              </c:pt>
              <c:pt idx="86">
                <c:v>31</c:v>
              </c:pt>
              <c:pt idx="87">
                <c:v>31</c:v>
              </c:pt>
              <c:pt idx="88">
                <c:v>31</c:v>
              </c:pt>
              <c:pt idx="89">
                <c:v>31</c:v>
              </c:pt>
              <c:pt idx="90">
                <c:v>31</c:v>
              </c:pt>
              <c:pt idx="91">
                <c:v>31</c:v>
              </c:pt>
              <c:pt idx="92">
                <c:v>31</c:v>
              </c:pt>
              <c:pt idx="93">
                <c:v>31</c:v>
              </c:pt>
              <c:pt idx="94">
                <c:v>31</c:v>
              </c:pt>
              <c:pt idx="95">
                <c:v>31</c:v>
              </c:pt>
              <c:pt idx="96">
                <c:v>31</c:v>
              </c:pt>
              <c:pt idx="97">
                <c:v>31</c:v>
              </c:pt>
              <c:pt idx="98">
                <c:v>31</c:v>
              </c:pt>
              <c:pt idx="99">
                <c:v>31</c:v>
              </c:pt>
              <c:pt idx="100">
                <c:v>31</c:v>
              </c:pt>
              <c:pt idx="101">
                <c:v>31</c:v>
              </c:pt>
              <c:pt idx="102">
                <c:v>31</c:v>
              </c:pt>
              <c:pt idx="103">
                <c:v>31</c:v>
              </c:pt>
              <c:pt idx="104">
                <c:v>31</c:v>
              </c:pt>
              <c:pt idx="105">
                <c:v>31</c:v>
              </c:pt>
              <c:pt idx="106">
                <c:v>31</c:v>
              </c:pt>
              <c:pt idx="107">
                <c:v>31</c:v>
              </c:pt>
              <c:pt idx="108">
                <c:v>31</c:v>
              </c:pt>
              <c:pt idx="109">
                <c:v>31</c:v>
              </c:pt>
              <c:pt idx="110">
                <c:v>31</c:v>
              </c:pt>
              <c:pt idx="111">
                <c:v>31</c:v>
              </c:pt>
              <c:pt idx="112">
                <c:v>31</c:v>
              </c:pt>
              <c:pt idx="113">
                <c:v>31</c:v>
              </c:pt>
              <c:pt idx="114">
                <c:v>31</c:v>
              </c:pt>
              <c:pt idx="115">
                <c:v>31</c:v>
              </c:pt>
              <c:pt idx="116">
                <c:v>31</c:v>
              </c:pt>
              <c:pt idx="117">
                <c:v>31</c:v>
              </c:pt>
              <c:pt idx="118">
                <c:v>31</c:v>
              </c:pt>
              <c:pt idx="119">
                <c:v>31</c:v>
              </c:pt>
              <c:pt idx="120">
                <c:v>31</c:v>
              </c:pt>
              <c:pt idx="121">
                <c:v>31</c:v>
              </c:pt>
              <c:pt idx="122">
                <c:v>31</c:v>
              </c:pt>
              <c:pt idx="123">
                <c:v>31</c:v>
              </c:pt>
              <c:pt idx="124">
                <c:v>31</c:v>
              </c:pt>
              <c:pt idx="125">
                <c:v>31</c:v>
              </c:pt>
              <c:pt idx="126">
                <c:v>31</c:v>
              </c:pt>
              <c:pt idx="127">
                <c:v>31</c:v>
              </c:pt>
              <c:pt idx="128">
                <c:v>31</c:v>
              </c:pt>
              <c:pt idx="129">
                <c:v>31</c:v>
              </c:pt>
              <c:pt idx="130">
                <c:v>31</c:v>
              </c:pt>
              <c:pt idx="131">
                <c:v>31</c:v>
              </c:pt>
              <c:pt idx="132">
                <c:v>31</c:v>
              </c:pt>
              <c:pt idx="133">
                <c:v>31</c:v>
              </c:pt>
              <c:pt idx="134">
                <c:v>31</c:v>
              </c:pt>
              <c:pt idx="135">
                <c:v>29</c:v>
              </c:pt>
              <c:pt idx="136">
                <c:v>30</c:v>
              </c:pt>
              <c:pt idx="137">
                <c:v>31</c:v>
              </c:pt>
              <c:pt idx="138">
                <c:v>29</c:v>
              </c:pt>
              <c:pt idx="139">
                <c:v>30</c:v>
              </c:pt>
              <c:pt idx="140">
                <c:v>31</c:v>
              </c:pt>
              <c:pt idx="141">
                <c:v>29</c:v>
              </c:pt>
              <c:pt idx="142">
                <c:v>30</c:v>
              </c:pt>
              <c:pt idx="143">
                <c:v>31</c:v>
              </c:pt>
              <c:pt idx="144">
                <c:v>29</c:v>
              </c:pt>
              <c:pt idx="145">
                <c:v>30</c:v>
              </c:pt>
              <c:pt idx="146">
                <c:v>31</c:v>
              </c:pt>
              <c:pt idx="147">
                <c:v>29</c:v>
              </c:pt>
              <c:pt idx="148">
                <c:v>30</c:v>
              </c:pt>
              <c:pt idx="149">
                <c:v>31</c:v>
              </c:pt>
              <c:pt idx="150">
                <c:v>29</c:v>
              </c:pt>
              <c:pt idx="151">
                <c:v>30</c:v>
              </c:pt>
              <c:pt idx="152">
                <c:v>31</c:v>
              </c:pt>
              <c:pt idx="153">
                <c:v>29</c:v>
              </c:pt>
              <c:pt idx="154">
                <c:v>30</c:v>
              </c:pt>
              <c:pt idx="155">
                <c:v>31</c:v>
              </c:pt>
              <c:pt idx="156">
                <c:v>29</c:v>
              </c:pt>
              <c:pt idx="157">
                <c:v>30</c:v>
              </c:pt>
              <c:pt idx="158">
                <c:v>31</c:v>
              </c:pt>
              <c:pt idx="159">
                <c:v>29</c:v>
              </c:pt>
              <c:pt idx="160">
                <c:v>30</c:v>
              </c:pt>
              <c:pt idx="161">
                <c:v>31</c:v>
              </c:pt>
              <c:pt idx="162">
                <c:v>29</c:v>
              </c:pt>
              <c:pt idx="163">
                <c:v>30</c:v>
              </c:pt>
              <c:pt idx="164">
                <c:v>31</c:v>
              </c:pt>
              <c:pt idx="165">
                <c:v>29</c:v>
              </c:pt>
              <c:pt idx="166">
                <c:v>30</c:v>
              </c:pt>
              <c:pt idx="167">
                <c:v>31</c:v>
              </c:pt>
              <c:pt idx="168">
                <c:v>29</c:v>
              </c:pt>
              <c:pt idx="169">
                <c:v>30</c:v>
              </c:pt>
              <c:pt idx="170">
                <c:v>31</c:v>
              </c:pt>
              <c:pt idx="171">
                <c:v>29</c:v>
              </c:pt>
              <c:pt idx="172">
                <c:v>30</c:v>
              </c:pt>
              <c:pt idx="173">
                <c:v>31</c:v>
              </c:pt>
              <c:pt idx="174">
                <c:v>29</c:v>
              </c:pt>
              <c:pt idx="175">
                <c:v>30</c:v>
              </c:pt>
              <c:pt idx="176">
                <c:v>31</c:v>
              </c:pt>
              <c:pt idx="177">
                <c:v>29</c:v>
              </c:pt>
              <c:pt idx="178">
                <c:v>30</c:v>
              </c:pt>
              <c:pt idx="179">
                <c:v>31</c:v>
              </c:pt>
              <c:pt idx="180">
                <c:v>29</c:v>
              </c:pt>
              <c:pt idx="181">
                <c:v>30</c:v>
              </c:pt>
              <c:pt idx="182">
                <c:v>31</c:v>
              </c:pt>
              <c:pt idx="183">
                <c:v>29</c:v>
              </c:pt>
              <c:pt idx="184">
                <c:v>30</c:v>
              </c:pt>
              <c:pt idx="185">
                <c:v>31</c:v>
              </c:pt>
              <c:pt idx="186">
                <c:v>29</c:v>
              </c:pt>
              <c:pt idx="187">
                <c:v>30</c:v>
              </c:pt>
              <c:pt idx="188">
                <c:v>31</c:v>
              </c:pt>
              <c:pt idx="189">
                <c:v>29</c:v>
              </c:pt>
              <c:pt idx="190">
                <c:v>30</c:v>
              </c:pt>
              <c:pt idx="191">
                <c:v>31</c:v>
              </c:pt>
              <c:pt idx="192">
                <c:v>29</c:v>
              </c:pt>
              <c:pt idx="193">
                <c:v>30</c:v>
              </c:pt>
              <c:pt idx="194">
                <c:v>31</c:v>
              </c:pt>
              <c:pt idx="195">
                <c:v>29</c:v>
              </c:pt>
              <c:pt idx="196">
                <c:v>30</c:v>
              </c:pt>
              <c:pt idx="197">
                <c:v>31</c:v>
              </c:pt>
              <c:pt idx="198">
                <c:v>29</c:v>
              </c:pt>
              <c:pt idx="199">
                <c:v>30</c:v>
              </c:pt>
              <c:pt idx="200">
                <c:v>31</c:v>
              </c:pt>
              <c:pt idx="201">
                <c:v>29</c:v>
              </c:pt>
              <c:pt idx="202">
                <c:v>30</c:v>
              </c:pt>
              <c:pt idx="203">
                <c:v>31</c:v>
              </c:pt>
              <c:pt idx="204">
                <c:v>29</c:v>
              </c:pt>
              <c:pt idx="205">
                <c:v>30</c:v>
              </c:pt>
              <c:pt idx="206">
                <c:v>31</c:v>
              </c:pt>
              <c:pt idx="207">
                <c:v>29</c:v>
              </c:pt>
              <c:pt idx="208">
                <c:v>30</c:v>
              </c:pt>
              <c:pt idx="209">
                <c:v>31</c:v>
              </c:pt>
              <c:pt idx="210">
                <c:v>29</c:v>
              </c:pt>
              <c:pt idx="211">
                <c:v>30</c:v>
              </c:pt>
              <c:pt idx="212">
                <c:v>31</c:v>
              </c:pt>
              <c:pt idx="213">
                <c:v>29</c:v>
              </c:pt>
              <c:pt idx="214">
                <c:v>30</c:v>
              </c:pt>
              <c:pt idx="215">
                <c:v>31</c:v>
              </c:pt>
              <c:pt idx="216">
                <c:v>29</c:v>
              </c:pt>
              <c:pt idx="217">
                <c:v>30</c:v>
              </c:pt>
              <c:pt idx="218">
                <c:v>31</c:v>
              </c:pt>
              <c:pt idx="219">
                <c:v>29</c:v>
              </c:pt>
              <c:pt idx="220">
                <c:v>30</c:v>
              </c:pt>
              <c:pt idx="221">
                <c:v>31</c:v>
              </c:pt>
              <c:pt idx="222">
                <c:v>29</c:v>
              </c:pt>
              <c:pt idx="223">
                <c:v>30</c:v>
              </c:pt>
              <c:pt idx="224">
                <c:v>31</c:v>
              </c:pt>
              <c:pt idx="225">
                <c:v>29</c:v>
              </c:pt>
              <c:pt idx="226">
                <c:v>30</c:v>
              </c:pt>
              <c:pt idx="227">
                <c:v>31</c:v>
              </c:pt>
              <c:pt idx="228">
                <c:v>29</c:v>
              </c:pt>
              <c:pt idx="229">
                <c:v>30</c:v>
              </c:pt>
              <c:pt idx="230">
                <c:v>31</c:v>
              </c:pt>
              <c:pt idx="231">
                <c:v>29</c:v>
              </c:pt>
              <c:pt idx="232">
                <c:v>30</c:v>
              </c:pt>
              <c:pt idx="233">
                <c:v>31</c:v>
              </c:pt>
              <c:pt idx="234">
                <c:v>29</c:v>
              </c:pt>
              <c:pt idx="235">
                <c:v>30</c:v>
              </c:pt>
              <c:pt idx="236">
                <c:v>31</c:v>
              </c:pt>
              <c:pt idx="237">
                <c:v>29</c:v>
              </c:pt>
              <c:pt idx="238">
                <c:v>30</c:v>
              </c:pt>
              <c:pt idx="239">
                <c:v>31</c:v>
              </c:pt>
              <c:pt idx="240">
                <c:v>29</c:v>
              </c:pt>
              <c:pt idx="241">
                <c:v>30</c:v>
              </c:pt>
              <c:pt idx="242">
                <c:v>31</c:v>
              </c:pt>
              <c:pt idx="243">
                <c:v>29</c:v>
              </c:pt>
              <c:pt idx="244">
                <c:v>30</c:v>
              </c:pt>
              <c:pt idx="245">
                <c:v>31</c:v>
              </c:pt>
              <c:pt idx="246">
                <c:v>29</c:v>
              </c:pt>
              <c:pt idx="247">
                <c:v>30</c:v>
              </c:pt>
              <c:pt idx="248">
                <c:v>31</c:v>
              </c:pt>
              <c:pt idx="249">
                <c:v>29</c:v>
              </c:pt>
              <c:pt idx="250">
                <c:v>30</c:v>
              </c:pt>
              <c:pt idx="251">
                <c:v>31</c:v>
              </c:pt>
              <c:pt idx="252">
                <c:v>29</c:v>
              </c:pt>
              <c:pt idx="253">
                <c:v>30</c:v>
              </c:pt>
              <c:pt idx="254">
                <c:v>31</c:v>
              </c:pt>
              <c:pt idx="255">
                <c:v>29</c:v>
              </c:pt>
              <c:pt idx="256">
                <c:v>30</c:v>
              </c:pt>
              <c:pt idx="257">
                <c:v>31</c:v>
              </c:pt>
              <c:pt idx="258">
                <c:v>29</c:v>
              </c:pt>
              <c:pt idx="259">
                <c:v>30</c:v>
              </c:pt>
              <c:pt idx="260">
                <c:v>31</c:v>
              </c:pt>
              <c:pt idx="261">
                <c:v>29</c:v>
              </c:pt>
              <c:pt idx="262">
                <c:v>30</c:v>
              </c:pt>
              <c:pt idx="263">
                <c:v>31</c:v>
              </c:pt>
              <c:pt idx="264">
                <c:v>29</c:v>
              </c:pt>
              <c:pt idx="265">
                <c:v>30</c:v>
              </c:pt>
              <c:pt idx="266">
                <c:v>31</c:v>
              </c:pt>
              <c:pt idx="267">
                <c:v>29</c:v>
              </c:pt>
              <c:pt idx="268">
                <c:v>30</c:v>
              </c:pt>
              <c:pt idx="269">
                <c:v>31</c:v>
              </c:pt>
              <c:pt idx="270">
                <c:v>29</c:v>
              </c:pt>
              <c:pt idx="271">
                <c:v>30</c:v>
              </c:pt>
              <c:pt idx="272">
                <c:v>31</c:v>
              </c:pt>
              <c:pt idx="273">
                <c:v>29</c:v>
              </c:pt>
              <c:pt idx="274">
                <c:v>30</c:v>
              </c:pt>
              <c:pt idx="275">
                <c:v>31</c:v>
              </c:pt>
              <c:pt idx="276">
                <c:v>29</c:v>
              </c:pt>
              <c:pt idx="277">
                <c:v>30</c:v>
              </c:pt>
              <c:pt idx="278">
                <c:v>31</c:v>
              </c:pt>
              <c:pt idx="279">
                <c:v>29</c:v>
              </c:pt>
              <c:pt idx="280">
                <c:v>30</c:v>
              </c:pt>
              <c:pt idx="281">
                <c:v>31</c:v>
              </c:pt>
              <c:pt idx="282">
                <c:v>29</c:v>
              </c:pt>
              <c:pt idx="283">
                <c:v>30</c:v>
              </c:pt>
              <c:pt idx="284">
                <c:v>31</c:v>
              </c:pt>
              <c:pt idx="285">
                <c:v>29</c:v>
              </c:pt>
              <c:pt idx="286">
                <c:v>30</c:v>
              </c:pt>
              <c:pt idx="287">
                <c:v>31</c:v>
              </c:pt>
              <c:pt idx="288">
                <c:v>29</c:v>
              </c:pt>
              <c:pt idx="289">
                <c:v>30</c:v>
              </c:pt>
              <c:pt idx="290">
                <c:v>31</c:v>
              </c:pt>
              <c:pt idx="291">
                <c:v>29</c:v>
              </c:pt>
              <c:pt idx="292">
                <c:v>30</c:v>
              </c:pt>
              <c:pt idx="293">
                <c:v>31</c:v>
              </c:pt>
              <c:pt idx="294">
                <c:v>29</c:v>
              </c:pt>
              <c:pt idx="295">
                <c:v>30</c:v>
              </c:pt>
              <c:pt idx="296">
                <c:v>31</c:v>
              </c:pt>
              <c:pt idx="297">
                <c:v>29</c:v>
              </c:pt>
              <c:pt idx="298">
                <c:v>30</c:v>
              </c:pt>
              <c:pt idx="299">
                <c:v>31</c:v>
              </c:pt>
              <c:pt idx="300">
                <c:v>29</c:v>
              </c:pt>
              <c:pt idx="301">
                <c:v>30</c:v>
              </c:pt>
              <c:pt idx="302">
                <c:v>31</c:v>
              </c:pt>
              <c:pt idx="303">
                <c:v>29</c:v>
              </c:pt>
              <c:pt idx="304">
                <c:v>30</c:v>
              </c:pt>
              <c:pt idx="305">
                <c:v>31</c:v>
              </c:pt>
              <c:pt idx="306">
                <c:v>29</c:v>
              </c:pt>
              <c:pt idx="307">
                <c:v>30</c:v>
              </c:pt>
              <c:pt idx="308">
                <c:v>31</c:v>
              </c:pt>
              <c:pt idx="309">
                <c:v>29</c:v>
              </c:pt>
              <c:pt idx="310">
                <c:v>30</c:v>
              </c:pt>
              <c:pt idx="311">
                <c:v>31</c:v>
              </c:pt>
              <c:pt idx="312">
                <c:v>29</c:v>
              </c:pt>
              <c:pt idx="313">
                <c:v>30</c:v>
              </c:pt>
              <c:pt idx="314">
                <c:v>31</c:v>
              </c:pt>
              <c:pt idx="315">
                <c:v>31</c:v>
              </c:pt>
              <c:pt idx="316">
                <c:v>31</c:v>
              </c:pt>
              <c:pt idx="317">
                <c:v>31</c:v>
              </c:pt>
              <c:pt idx="318">
                <c:v>31</c:v>
              </c:pt>
              <c:pt idx="319">
                <c:v>31</c:v>
              </c:pt>
              <c:pt idx="320">
                <c:v>31</c:v>
              </c:pt>
              <c:pt idx="321">
                <c:v>31</c:v>
              </c:pt>
              <c:pt idx="322">
                <c:v>31</c:v>
              </c:pt>
              <c:pt idx="323">
                <c:v>31</c:v>
              </c:pt>
              <c:pt idx="324">
                <c:v>31</c:v>
              </c:pt>
              <c:pt idx="325">
                <c:v>31</c:v>
              </c:pt>
              <c:pt idx="326">
                <c:v>31</c:v>
              </c:pt>
              <c:pt idx="327">
                <c:v>31</c:v>
              </c:pt>
              <c:pt idx="328">
                <c:v>31</c:v>
              </c:pt>
              <c:pt idx="329">
                <c:v>31</c:v>
              </c:pt>
              <c:pt idx="330">
                <c:v>31</c:v>
              </c:pt>
              <c:pt idx="331">
                <c:v>31</c:v>
              </c:pt>
              <c:pt idx="332">
                <c:v>31</c:v>
              </c:pt>
              <c:pt idx="333">
                <c:v>31</c:v>
              </c:pt>
              <c:pt idx="334">
                <c:v>31</c:v>
              </c:pt>
              <c:pt idx="335">
                <c:v>31</c:v>
              </c:pt>
              <c:pt idx="336">
                <c:v>31</c:v>
              </c:pt>
              <c:pt idx="337">
                <c:v>31</c:v>
              </c:pt>
              <c:pt idx="338">
                <c:v>31</c:v>
              </c:pt>
              <c:pt idx="339">
                <c:v>31</c:v>
              </c:pt>
              <c:pt idx="340">
                <c:v>31</c:v>
              </c:pt>
              <c:pt idx="341">
                <c:v>31</c:v>
              </c:pt>
              <c:pt idx="342">
                <c:v>31</c:v>
              </c:pt>
              <c:pt idx="343">
                <c:v>31</c:v>
              </c:pt>
              <c:pt idx="344">
                <c:v>31</c:v>
              </c:pt>
              <c:pt idx="345">
                <c:v>31</c:v>
              </c:pt>
              <c:pt idx="346">
                <c:v>31</c:v>
              </c:pt>
              <c:pt idx="347">
                <c:v>31</c:v>
              </c:pt>
              <c:pt idx="348">
                <c:v>31</c:v>
              </c:pt>
              <c:pt idx="349">
                <c:v>31</c:v>
              </c:pt>
              <c:pt idx="350">
                <c:v>31</c:v>
              </c:pt>
              <c:pt idx="351">
                <c:v>31</c:v>
              </c:pt>
              <c:pt idx="352">
                <c:v>31</c:v>
              </c:pt>
              <c:pt idx="353">
                <c:v>31</c:v>
              </c:pt>
              <c:pt idx="354">
                <c:v>31</c:v>
              </c:pt>
              <c:pt idx="355">
                <c:v>31</c:v>
              </c:pt>
              <c:pt idx="356">
                <c:v>31</c:v>
              </c:pt>
              <c:pt idx="357">
                <c:v>31</c:v>
              </c:pt>
              <c:pt idx="358">
                <c:v>31</c:v>
              </c:pt>
              <c:pt idx="359">
                <c:v>31</c:v>
              </c:pt>
              <c:pt idx="360">
                <c:v>31</c:v>
              </c:pt>
              <c:pt idx="361">
                <c:v>31</c:v>
              </c:pt>
              <c:pt idx="362">
                <c:v>31</c:v>
              </c:pt>
              <c:pt idx="363">
                <c:v>31</c:v>
              </c:pt>
              <c:pt idx="364">
                <c:v>31</c:v>
              </c:pt>
              <c:pt idx="365">
                <c:v>31</c:v>
              </c:pt>
              <c:pt idx="366">
                <c:v>31</c:v>
              </c:pt>
              <c:pt idx="367">
                <c:v>31</c:v>
              </c:pt>
              <c:pt idx="368">
                <c:v>31</c:v>
              </c:pt>
              <c:pt idx="369">
                <c:v>31</c:v>
              </c:pt>
              <c:pt idx="370">
                <c:v>31</c:v>
              </c:pt>
              <c:pt idx="371">
                <c:v>31</c:v>
              </c:pt>
              <c:pt idx="372">
                <c:v>31</c:v>
              </c:pt>
              <c:pt idx="373">
                <c:v>31</c:v>
              </c:pt>
              <c:pt idx="374">
                <c:v>31</c:v>
              </c:pt>
              <c:pt idx="375">
                <c:v>31</c:v>
              </c:pt>
              <c:pt idx="376">
                <c:v>31</c:v>
              </c:pt>
              <c:pt idx="377">
                <c:v>31</c:v>
              </c:pt>
              <c:pt idx="378">
                <c:v>31</c:v>
              </c:pt>
              <c:pt idx="379">
                <c:v>31</c:v>
              </c:pt>
              <c:pt idx="380">
                <c:v>31</c:v>
              </c:pt>
              <c:pt idx="381">
                <c:v>31</c:v>
              </c:pt>
              <c:pt idx="382">
                <c:v>31</c:v>
              </c:pt>
              <c:pt idx="383">
                <c:v>31</c:v>
              </c:pt>
              <c:pt idx="384">
                <c:v>31</c:v>
              </c:pt>
              <c:pt idx="385">
                <c:v>31</c:v>
              </c:pt>
              <c:pt idx="386">
                <c:v>31</c:v>
              </c:pt>
              <c:pt idx="387">
                <c:v>31</c:v>
              </c:pt>
              <c:pt idx="388">
                <c:v>31</c:v>
              </c:pt>
              <c:pt idx="389">
                <c:v>31</c:v>
              </c:pt>
              <c:pt idx="390">
                <c:v>31</c:v>
              </c:pt>
              <c:pt idx="391">
                <c:v>31</c:v>
              </c:pt>
              <c:pt idx="392">
                <c:v>31</c:v>
              </c:pt>
              <c:pt idx="393">
                <c:v>31</c:v>
              </c:pt>
              <c:pt idx="394">
                <c:v>31</c:v>
              </c:pt>
              <c:pt idx="395">
                <c:v>31</c:v>
              </c:pt>
              <c:pt idx="396">
                <c:v>31</c:v>
              </c:pt>
              <c:pt idx="397">
                <c:v>29</c:v>
              </c:pt>
              <c:pt idx="398">
                <c:v>30</c:v>
              </c:pt>
              <c:pt idx="399">
                <c:v>31</c:v>
              </c:pt>
              <c:pt idx="400">
                <c:v>29</c:v>
              </c:pt>
              <c:pt idx="401">
                <c:v>30</c:v>
              </c:pt>
              <c:pt idx="402">
                <c:v>31</c:v>
              </c:pt>
              <c:pt idx="403">
                <c:v>29</c:v>
              </c:pt>
              <c:pt idx="404">
                <c:v>30</c:v>
              </c:pt>
              <c:pt idx="405">
                <c:v>31</c:v>
              </c:pt>
              <c:pt idx="406">
                <c:v>29</c:v>
              </c:pt>
              <c:pt idx="407">
                <c:v>30</c:v>
              </c:pt>
              <c:pt idx="408">
                <c:v>31</c:v>
              </c:pt>
              <c:pt idx="409">
                <c:v>29</c:v>
              </c:pt>
              <c:pt idx="410">
                <c:v>30</c:v>
              </c:pt>
              <c:pt idx="411">
                <c:v>31</c:v>
              </c:pt>
              <c:pt idx="412">
                <c:v>29</c:v>
              </c:pt>
              <c:pt idx="413">
                <c:v>30</c:v>
              </c:pt>
              <c:pt idx="414">
                <c:v>31</c:v>
              </c:pt>
              <c:pt idx="415">
                <c:v>29</c:v>
              </c:pt>
              <c:pt idx="416">
                <c:v>30</c:v>
              </c:pt>
              <c:pt idx="417">
                <c:v>31</c:v>
              </c:pt>
              <c:pt idx="418">
                <c:v>29</c:v>
              </c:pt>
              <c:pt idx="419">
                <c:v>30</c:v>
              </c:pt>
              <c:pt idx="420">
                <c:v>31</c:v>
              </c:pt>
              <c:pt idx="421">
                <c:v>29</c:v>
              </c:pt>
              <c:pt idx="422">
                <c:v>30</c:v>
              </c:pt>
              <c:pt idx="423">
                <c:v>31</c:v>
              </c:pt>
              <c:pt idx="424">
                <c:v>29</c:v>
              </c:pt>
              <c:pt idx="425">
                <c:v>30</c:v>
              </c:pt>
              <c:pt idx="426">
                <c:v>31</c:v>
              </c:pt>
              <c:pt idx="427">
                <c:v>29</c:v>
              </c:pt>
              <c:pt idx="428">
                <c:v>30</c:v>
              </c:pt>
              <c:pt idx="429">
                <c:v>31</c:v>
              </c:pt>
              <c:pt idx="430">
                <c:v>29</c:v>
              </c:pt>
              <c:pt idx="431">
                <c:v>30</c:v>
              </c:pt>
              <c:pt idx="432">
                <c:v>31</c:v>
              </c:pt>
              <c:pt idx="433">
                <c:v>29</c:v>
              </c:pt>
              <c:pt idx="434">
                <c:v>30</c:v>
              </c:pt>
              <c:pt idx="435">
                <c:v>31</c:v>
              </c:pt>
              <c:pt idx="436">
                <c:v>29</c:v>
              </c:pt>
              <c:pt idx="437">
                <c:v>30</c:v>
              </c:pt>
              <c:pt idx="438">
                <c:v>31</c:v>
              </c:pt>
              <c:pt idx="439">
                <c:v>29</c:v>
              </c:pt>
              <c:pt idx="440">
                <c:v>30</c:v>
              </c:pt>
              <c:pt idx="441">
                <c:v>31</c:v>
              </c:pt>
              <c:pt idx="442">
                <c:v>29</c:v>
              </c:pt>
              <c:pt idx="443">
                <c:v>30</c:v>
              </c:pt>
              <c:pt idx="444">
                <c:v>31</c:v>
              </c:pt>
              <c:pt idx="445">
                <c:v>29</c:v>
              </c:pt>
              <c:pt idx="446">
                <c:v>30</c:v>
              </c:pt>
              <c:pt idx="447">
                <c:v>31</c:v>
              </c:pt>
              <c:pt idx="448">
                <c:v>29</c:v>
              </c:pt>
              <c:pt idx="449">
                <c:v>30</c:v>
              </c:pt>
              <c:pt idx="450">
                <c:v>31</c:v>
              </c:pt>
              <c:pt idx="451">
                <c:v>29</c:v>
              </c:pt>
              <c:pt idx="452">
                <c:v>30</c:v>
              </c:pt>
              <c:pt idx="453">
                <c:v>31</c:v>
              </c:pt>
              <c:pt idx="454">
                <c:v>29</c:v>
              </c:pt>
              <c:pt idx="455">
                <c:v>30</c:v>
              </c:pt>
              <c:pt idx="456">
                <c:v>31</c:v>
              </c:pt>
              <c:pt idx="457">
                <c:v>29</c:v>
              </c:pt>
              <c:pt idx="458">
                <c:v>30</c:v>
              </c:pt>
              <c:pt idx="459">
                <c:v>31</c:v>
              </c:pt>
              <c:pt idx="460">
                <c:v>29</c:v>
              </c:pt>
              <c:pt idx="461">
                <c:v>30</c:v>
              </c:pt>
              <c:pt idx="462">
                <c:v>31</c:v>
              </c:pt>
              <c:pt idx="463">
                <c:v>29</c:v>
              </c:pt>
              <c:pt idx="464">
                <c:v>30</c:v>
              </c:pt>
              <c:pt idx="465">
                <c:v>31</c:v>
              </c:pt>
              <c:pt idx="466">
                <c:v>29</c:v>
              </c:pt>
              <c:pt idx="467">
                <c:v>30</c:v>
              </c:pt>
              <c:pt idx="468">
                <c:v>31</c:v>
              </c:pt>
              <c:pt idx="469">
                <c:v>29</c:v>
              </c:pt>
              <c:pt idx="470">
                <c:v>30</c:v>
              </c:pt>
              <c:pt idx="471">
                <c:v>31</c:v>
              </c:pt>
              <c:pt idx="472">
                <c:v>29</c:v>
              </c:pt>
              <c:pt idx="473">
                <c:v>30</c:v>
              </c:pt>
              <c:pt idx="474">
                <c:v>31</c:v>
              </c:pt>
              <c:pt idx="475">
                <c:v>29</c:v>
              </c:pt>
              <c:pt idx="476">
                <c:v>30</c:v>
              </c:pt>
              <c:pt idx="477">
                <c:v>31</c:v>
              </c:pt>
              <c:pt idx="478">
                <c:v>29</c:v>
              </c:pt>
              <c:pt idx="479">
                <c:v>30</c:v>
              </c:pt>
              <c:pt idx="480">
                <c:v>31</c:v>
              </c:pt>
              <c:pt idx="481">
                <c:v>29</c:v>
              </c:pt>
              <c:pt idx="482">
                <c:v>30</c:v>
              </c:pt>
              <c:pt idx="483">
                <c:v>31</c:v>
              </c:pt>
              <c:pt idx="484">
                <c:v>29</c:v>
              </c:pt>
              <c:pt idx="485">
                <c:v>30</c:v>
              </c:pt>
              <c:pt idx="486">
                <c:v>31</c:v>
              </c:pt>
              <c:pt idx="487">
                <c:v>29</c:v>
              </c:pt>
              <c:pt idx="488">
                <c:v>30</c:v>
              </c:pt>
              <c:pt idx="489">
                <c:v>31</c:v>
              </c:pt>
              <c:pt idx="490">
                <c:v>29</c:v>
              </c:pt>
              <c:pt idx="491">
                <c:v>30</c:v>
              </c:pt>
              <c:pt idx="492">
                <c:v>31</c:v>
              </c:pt>
              <c:pt idx="493">
                <c:v>29</c:v>
              </c:pt>
              <c:pt idx="494">
                <c:v>30</c:v>
              </c:pt>
              <c:pt idx="495">
                <c:v>31</c:v>
              </c:pt>
              <c:pt idx="496">
                <c:v>29</c:v>
              </c:pt>
              <c:pt idx="497">
                <c:v>30</c:v>
              </c:pt>
              <c:pt idx="498">
                <c:v>31</c:v>
              </c:pt>
              <c:pt idx="499">
                <c:v>29</c:v>
              </c:pt>
              <c:pt idx="500">
                <c:v>30</c:v>
              </c:pt>
              <c:pt idx="501">
                <c:v>31</c:v>
              </c:pt>
              <c:pt idx="502">
                <c:v>29</c:v>
              </c:pt>
              <c:pt idx="503">
                <c:v>30</c:v>
              </c:pt>
              <c:pt idx="504">
                <c:v>31</c:v>
              </c:pt>
              <c:pt idx="505">
                <c:v>29</c:v>
              </c:pt>
              <c:pt idx="506">
                <c:v>30</c:v>
              </c:pt>
              <c:pt idx="507">
                <c:v>31</c:v>
              </c:pt>
              <c:pt idx="508">
                <c:v>29</c:v>
              </c:pt>
              <c:pt idx="509">
                <c:v>30</c:v>
              </c:pt>
              <c:pt idx="510">
                <c:v>31</c:v>
              </c:pt>
              <c:pt idx="511">
                <c:v>29</c:v>
              </c:pt>
              <c:pt idx="512">
                <c:v>30</c:v>
              </c:pt>
              <c:pt idx="513">
                <c:v>31</c:v>
              </c:pt>
              <c:pt idx="514">
                <c:v>29</c:v>
              </c:pt>
              <c:pt idx="515">
                <c:v>30</c:v>
              </c:pt>
              <c:pt idx="516">
                <c:v>31</c:v>
              </c:pt>
              <c:pt idx="517">
                <c:v>29</c:v>
              </c:pt>
              <c:pt idx="518">
                <c:v>30</c:v>
              </c:pt>
              <c:pt idx="519">
                <c:v>31</c:v>
              </c:pt>
              <c:pt idx="520">
                <c:v>29</c:v>
              </c:pt>
              <c:pt idx="521">
                <c:v>30</c:v>
              </c:pt>
              <c:pt idx="522">
                <c:v>31</c:v>
              </c:pt>
              <c:pt idx="523">
                <c:v>29</c:v>
              </c:pt>
              <c:pt idx="524">
                <c:v>30</c:v>
              </c:pt>
              <c:pt idx="525">
                <c:v>31</c:v>
              </c:pt>
              <c:pt idx="526">
                <c:v>29</c:v>
              </c:pt>
              <c:pt idx="527">
                <c:v>30</c:v>
              </c:pt>
              <c:pt idx="528">
                <c:v>31</c:v>
              </c:pt>
              <c:pt idx="529">
                <c:v>29</c:v>
              </c:pt>
              <c:pt idx="530">
                <c:v>30</c:v>
              </c:pt>
              <c:pt idx="531">
                <c:v>31</c:v>
              </c:pt>
              <c:pt idx="532">
                <c:v>29</c:v>
              </c:pt>
              <c:pt idx="533">
                <c:v>30</c:v>
              </c:pt>
              <c:pt idx="534">
                <c:v>31</c:v>
              </c:pt>
              <c:pt idx="535">
                <c:v>29</c:v>
              </c:pt>
              <c:pt idx="536">
                <c:v>30</c:v>
              </c:pt>
              <c:pt idx="537">
                <c:v>31</c:v>
              </c:pt>
              <c:pt idx="538">
                <c:v>29</c:v>
              </c:pt>
              <c:pt idx="539">
                <c:v>30</c:v>
              </c:pt>
              <c:pt idx="540">
                <c:v>31</c:v>
              </c:pt>
              <c:pt idx="541">
                <c:v>29</c:v>
              </c:pt>
              <c:pt idx="542">
                <c:v>30</c:v>
              </c:pt>
              <c:pt idx="543">
                <c:v>31</c:v>
              </c:pt>
              <c:pt idx="544">
                <c:v>29</c:v>
              </c:pt>
              <c:pt idx="545">
                <c:v>30</c:v>
              </c:pt>
              <c:pt idx="546">
                <c:v>31</c:v>
              </c:pt>
              <c:pt idx="547">
                <c:v>29</c:v>
              </c:pt>
              <c:pt idx="548">
                <c:v>30</c:v>
              </c:pt>
              <c:pt idx="549">
                <c:v>31</c:v>
              </c:pt>
              <c:pt idx="550">
                <c:v>29</c:v>
              </c:pt>
              <c:pt idx="551">
                <c:v>30</c:v>
              </c:pt>
              <c:pt idx="552">
                <c:v>31</c:v>
              </c:pt>
              <c:pt idx="553">
                <c:v>29</c:v>
              </c:pt>
              <c:pt idx="554">
                <c:v>30</c:v>
              </c:pt>
              <c:pt idx="555">
                <c:v>31</c:v>
              </c:pt>
              <c:pt idx="556">
                <c:v>31</c:v>
              </c:pt>
              <c:pt idx="557">
                <c:v>31</c:v>
              </c:pt>
              <c:pt idx="558">
                <c:v>31</c:v>
              </c:pt>
              <c:pt idx="559">
                <c:v>31</c:v>
              </c:pt>
              <c:pt idx="560">
                <c:v>31</c:v>
              </c:pt>
              <c:pt idx="561">
                <c:v>31</c:v>
              </c:pt>
              <c:pt idx="562">
                <c:v>31</c:v>
              </c:pt>
              <c:pt idx="563">
                <c:v>31</c:v>
              </c:pt>
              <c:pt idx="564">
                <c:v>31</c:v>
              </c:pt>
              <c:pt idx="565">
                <c:v>31</c:v>
              </c:pt>
              <c:pt idx="566">
                <c:v>31</c:v>
              </c:pt>
              <c:pt idx="567">
                <c:v>31</c:v>
              </c:pt>
              <c:pt idx="568">
                <c:v>31</c:v>
              </c:pt>
              <c:pt idx="569">
                <c:v>31</c:v>
              </c:pt>
              <c:pt idx="570">
                <c:v>31</c:v>
              </c:pt>
              <c:pt idx="571">
                <c:v>31</c:v>
              </c:pt>
              <c:pt idx="572">
                <c:v>31</c:v>
              </c:pt>
              <c:pt idx="573">
                <c:v>31</c:v>
              </c:pt>
              <c:pt idx="574">
                <c:v>31</c:v>
              </c:pt>
              <c:pt idx="575">
                <c:v>31</c:v>
              </c:pt>
              <c:pt idx="576">
                <c:v>31</c:v>
              </c:pt>
              <c:pt idx="577">
                <c:v>31</c:v>
              </c:pt>
              <c:pt idx="578">
                <c:v>31</c:v>
              </c:pt>
              <c:pt idx="579">
                <c:v>31</c:v>
              </c:pt>
              <c:pt idx="580">
                <c:v>31</c:v>
              </c:pt>
              <c:pt idx="581">
                <c:v>31</c:v>
              </c:pt>
              <c:pt idx="582">
                <c:v>31</c:v>
              </c:pt>
              <c:pt idx="583">
                <c:v>31</c:v>
              </c:pt>
              <c:pt idx="584">
                <c:v>31</c:v>
              </c:pt>
              <c:pt idx="585">
                <c:v>31</c:v>
              </c:pt>
              <c:pt idx="586">
                <c:v>31</c:v>
              </c:pt>
              <c:pt idx="587">
                <c:v>31</c:v>
              </c:pt>
              <c:pt idx="588">
                <c:v>31</c:v>
              </c:pt>
              <c:pt idx="589">
                <c:v>31</c:v>
              </c:pt>
              <c:pt idx="590">
                <c:v>31</c:v>
              </c:pt>
              <c:pt idx="591">
                <c:v>31</c:v>
              </c:pt>
              <c:pt idx="592">
                <c:v>31</c:v>
              </c:pt>
              <c:pt idx="593">
                <c:v>31</c:v>
              </c:pt>
              <c:pt idx="594">
                <c:v>31</c:v>
              </c:pt>
              <c:pt idx="595">
                <c:v>31</c:v>
              </c:pt>
              <c:pt idx="596">
                <c:v>31</c:v>
              </c:pt>
            </c:numLit>
          </c:cat>
          <c:val>
            <c:numRef>
              <c:f>'GRAFICAS RPTE GCIAL'!$E$126:$E$156</c:f>
              <c:numCache>
                <c:formatCode>0.0</c:formatCode>
                <c:ptCount val="31"/>
                <c:pt idx="0">
                  <c:v>4.0365242327959576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4999-4DBE-AD60-4C54A490CE7D}"/>
            </c:ext>
          </c:extLst>
        </c:ser>
        <c:ser>
          <c:idx val="1"/>
          <c:order val="1"/>
          <c:tx>
            <c:strRef>
              <c:f>'GRAFICAS RPTE GCIAL'!$I$124:$N$124</c:f>
              <c:strCache>
                <c:ptCount val="1"/>
                <c:pt idx="0">
                  <c:v>GT-8002  </c:v>
                </c:pt>
              </c:strCache>
            </c:strRef>
          </c:tx>
          <c:spPr>
            <a:ln>
              <a:solidFill>
                <a:schemeClr val="accent4">
                  <a:lumMod val="75000"/>
                </a:schemeClr>
              </a:solidFill>
            </a:ln>
          </c:spPr>
          <c:marker>
            <c:symbol val="none"/>
          </c:marker>
          <c:cat>
            <c:numLit>
              <c:formatCode>General</c:formatCode>
              <c:ptCount val="59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31</c:v>
              </c:pt>
              <c:pt idx="32">
                <c:v>31</c:v>
              </c:pt>
              <c:pt idx="33">
                <c:v>31</c:v>
              </c:pt>
              <c:pt idx="34">
                <c:v>31</c:v>
              </c:pt>
              <c:pt idx="35">
                <c:v>31</c:v>
              </c:pt>
              <c:pt idx="36">
                <c:v>31</c:v>
              </c:pt>
              <c:pt idx="37">
                <c:v>31</c:v>
              </c:pt>
              <c:pt idx="38">
                <c:v>31</c:v>
              </c:pt>
              <c:pt idx="39">
                <c:v>31</c:v>
              </c:pt>
              <c:pt idx="40">
                <c:v>31</c:v>
              </c:pt>
              <c:pt idx="41">
                <c:v>31</c:v>
              </c:pt>
              <c:pt idx="42">
                <c:v>31</c:v>
              </c:pt>
              <c:pt idx="43">
                <c:v>31</c:v>
              </c:pt>
              <c:pt idx="44">
                <c:v>31</c:v>
              </c:pt>
              <c:pt idx="45">
                <c:v>31</c:v>
              </c:pt>
              <c:pt idx="46">
                <c:v>31</c:v>
              </c:pt>
              <c:pt idx="47">
                <c:v>31</c:v>
              </c:pt>
              <c:pt idx="48">
                <c:v>31</c:v>
              </c:pt>
              <c:pt idx="49">
                <c:v>31</c:v>
              </c:pt>
              <c:pt idx="50">
                <c:v>31</c:v>
              </c:pt>
              <c:pt idx="51">
                <c:v>31</c:v>
              </c:pt>
              <c:pt idx="52">
                <c:v>31</c:v>
              </c:pt>
              <c:pt idx="53">
                <c:v>31</c:v>
              </c:pt>
              <c:pt idx="54">
                <c:v>31</c:v>
              </c:pt>
              <c:pt idx="55">
                <c:v>31</c:v>
              </c:pt>
              <c:pt idx="56">
                <c:v>31</c:v>
              </c:pt>
              <c:pt idx="57">
                <c:v>31</c:v>
              </c:pt>
              <c:pt idx="58">
                <c:v>31</c:v>
              </c:pt>
              <c:pt idx="59">
                <c:v>31</c:v>
              </c:pt>
              <c:pt idx="60">
                <c:v>31</c:v>
              </c:pt>
              <c:pt idx="61">
                <c:v>31</c:v>
              </c:pt>
              <c:pt idx="62">
                <c:v>31</c:v>
              </c:pt>
              <c:pt idx="63">
                <c:v>31</c:v>
              </c:pt>
              <c:pt idx="64">
                <c:v>31</c:v>
              </c:pt>
              <c:pt idx="65">
                <c:v>31</c:v>
              </c:pt>
              <c:pt idx="66">
                <c:v>31</c:v>
              </c:pt>
              <c:pt idx="67">
                <c:v>31</c:v>
              </c:pt>
              <c:pt idx="68">
                <c:v>31</c:v>
              </c:pt>
              <c:pt idx="69">
                <c:v>31</c:v>
              </c:pt>
              <c:pt idx="70">
                <c:v>31</c:v>
              </c:pt>
              <c:pt idx="71">
                <c:v>31</c:v>
              </c:pt>
              <c:pt idx="72">
                <c:v>31</c:v>
              </c:pt>
              <c:pt idx="73">
                <c:v>31</c:v>
              </c:pt>
              <c:pt idx="74">
                <c:v>31</c:v>
              </c:pt>
              <c:pt idx="75">
                <c:v>31</c:v>
              </c:pt>
              <c:pt idx="76">
                <c:v>31</c:v>
              </c:pt>
              <c:pt idx="77">
                <c:v>31</c:v>
              </c:pt>
              <c:pt idx="78">
                <c:v>31</c:v>
              </c:pt>
              <c:pt idx="79">
                <c:v>31</c:v>
              </c:pt>
              <c:pt idx="80">
                <c:v>31</c:v>
              </c:pt>
              <c:pt idx="81">
                <c:v>31</c:v>
              </c:pt>
              <c:pt idx="82">
                <c:v>31</c:v>
              </c:pt>
              <c:pt idx="83">
                <c:v>31</c:v>
              </c:pt>
              <c:pt idx="84">
                <c:v>31</c:v>
              </c:pt>
              <c:pt idx="85">
                <c:v>31</c:v>
              </c:pt>
              <c:pt idx="86">
                <c:v>31</c:v>
              </c:pt>
              <c:pt idx="87">
                <c:v>31</c:v>
              </c:pt>
              <c:pt idx="88">
                <c:v>31</c:v>
              </c:pt>
              <c:pt idx="89">
                <c:v>31</c:v>
              </c:pt>
              <c:pt idx="90">
                <c:v>31</c:v>
              </c:pt>
              <c:pt idx="91">
                <c:v>31</c:v>
              </c:pt>
              <c:pt idx="92">
                <c:v>31</c:v>
              </c:pt>
              <c:pt idx="93">
                <c:v>31</c:v>
              </c:pt>
              <c:pt idx="94">
                <c:v>31</c:v>
              </c:pt>
              <c:pt idx="95">
                <c:v>31</c:v>
              </c:pt>
              <c:pt idx="96">
                <c:v>31</c:v>
              </c:pt>
              <c:pt idx="97">
                <c:v>31</c:v>
              </c:pt>
              <c:pt idx="98">
                <c:v>31</c:v>
              </c:pt>
              <c:pt idx="99">
                <c:v>31</c:v>
              </c:pt>
              <c:pt idx="100">
                <c:v>31</c:v>
              </c:pt>
              <c:pt idx="101">
                <c:v>31</c:v>
              </c:pt>
              <c:pt idx="102">
                <c:v>31</c:v>
              </c:pt>
              <c:pt idx="103">
                <c:v>31</c:v>
              </c:pt>
              <c:pt idx="104">
                <c:v>31</c:v>
              </c:pt>
              <c:pt idx="105">
                <c:v>31</c:v>
              </c:pt>
              <c:pt idx="106">
                <c:v>31</c:v>
              </c:pt>
              <c:pt idx="107">
                <c:v>31</c:v>
              </c:pt>
              <c:pt idx="108">
                <c:v>31</c:v>
              </c:pt>
              <c:pt idx="109">
                <c:v>31</c:v>
              </c:pt>
              <c:pt idx="110">
                <c:v>31</c:v>
              </c:pt>
              <c:pt idx="111">
                <c:v>31</c:v>
              </c:pt>
              <c:pt idx="112">
                <c:v>31</c:v>
              </c:pt>
              <c:pt idx="113">
                <c:v>31</c:v>
              </c:pt>
              <c:pt idx="114">
                <c:v>31</c:v>
              </c:pt>
              <c:pt idx="115">
                <c:v>31</c:v>
              </c:pt>
              <c:pt idx="116">
                <c:v>31</c:v>
              </c:pt>
              <c:pt idx="117">
                <c:v>31</c:v>
              </c:pt>
              <c:pt idx="118">
                <c:v>31</c:v>
              </c:pt>
              <c:pt idx="119">
                <c:v>31</c:v>
              </c:pt>
              <c:pt idx="120">
                <c:v>31</c:v>
              </c:pt>
              <c:pt idx="121">
                <c:v>31</c:v>
              </c:pt>
              <c:pt idx="122">
                <c:v>31</c:v>
              </c:pt>
              <c:pt idx="123">
                <c:v>31</c:v>
              </c:pt>
              <c:pt idx="124">
                <c:v>31</c:v>
              </c:pt>
              <c:pt idx="125">
                <c:v>31</c:v>
              </c:pt>
              <c:pt idx="126">
                <c:v>31</c:v>
              </c:pt>
              <c:pt idx="127">
                <c:v>31</c:v>
              </c:pt>
              <c:pt idx="128">
                <c:v>31</c:v>
              </c:pt>
              <c:pt idx="129">
                <c:v>31</c:v>
              </c:pt>
              <c:pt idx="130">
                <c:v>31</c:v>
              </c:pt>
              <c:pt idx="131">
                <c:v>31</c:v>
              </c:pt>
              <c:pt idx="132">
                <c:v>31</c:v>
              </c:pt>
              <c:pt idx="133">
                <c:v>31</c:v>
              </c:pt>
              <c:pt idx="134">
                <c:v>31</c:v>
              </c:pt>
              <c:pt idx="135">
                <c:v>29</c:v>
              </c:pt>
              <c:pt idx="136">
                <c:v>30</c:v>
              </c:pt>
              <c:pt idx="137">
                <c:v>31</c:v>
              </c:pt>
              <c:pt idx="138">
                <c:v>29</c:v>
              </c:pt>
              <c:pt idx="139">
                <c:v>30</c:v>
              </c:pt>
              <c:pt idx="140">
                <c:v>31</c:v>
              </c:pt>
              <c:pt idx="141">
                <c:v>29</c:v>
              </c:pt>
              <c:pt idx="142">
                <c:v>30</c:v>
              </c:pt>
              <c:pt idx="143">
                <c:v>31</c:v>
              </c:pt>
              <c:pt idx="144">
                <c:v>29</c:v>
              </c:pt>
              <c:pt idx="145">
                <c:v>30</c:v>
              </c:pt>
              <c:pt idx="146">
                <c:v>31</c:v>
              </c:pt>
              <c:pt idx="147">
                <c:v>29</c:v>
              </c:pt>
              <c:pt idx="148">
                <c:v>30</c:v>
              </c:pt>
              <c:pt idx="149">
                <c:v>31</c:v>
              </c:pt>
              <c:pt idx="150">
                <c:v>29</c:v>
              </c:pt>
              <c:pt idx="151">
                <c:v>30</c:v>
              </c:pt>
              <c:pt idx="152">
                <c:v>31</c:v>
              </c:pt>
              <c:pt idx="153">
                <c:v>29</c:v>
              </c:pt>
              <c:pt idx="154">
                <c:v>30</c:v>
              </c:pt>
              <c:pt idx="155">
                <c:v>31</c:v>
              </c:pt>
              <c:pt idx="156">
                <c:v>29</c:v>
              </c:pt>
              <c:pt idx="157">
                <c:v>30</c:v>
              </c:pt>
              <c:pt idx="158">
                <c:v>31</c:v>
              </c:pt>
              <c:pt idx="159">
                <c:v>29</c:v>
              </c:pt>
              <c:pt idx="160">
                <c:v>30</c:v>
              </c:pt>
              <c:pt idx="161">
                <c:v>31</c:v>
              </c:pt>
              <c:pt idx="162">
                <c:v>29</c:v>
              </c:pt>
              <c:pt idx="163">
                <c:v>30</c:v>
              </c:pt>
              <c:pt idx="164">
                <c:v>31</c:v>
              </c:pt>
              <c:pt idx="165">
                <c:v>29</c:v>
              </c:pt>
              <c:pt idx="166">
                <c:v>30</c:v>
              </c:pt>
              <c:pt idx="167">
                <c:v>31</c:v>
              </c:pt>
              <c:pt idx="168">
                <c:v>29</c:v>
              </c:pt>
              <c:pt idx="169">
                <c:v>30</c:v>
              </c:pt>
              <c:pt idx="170">
                <c:v>31</c:v>
              </c:pt>
              <c:pt idx="171">
                <c:v>29</c:v>
              </c:pt>
              <c:pt idx="172">
                <c:v>30</c:v>
              </c:pt>
              <c:pt idx="173">
                <c:v>31</c:v>
              </c:pt>
              <c:pt idx="174">
                <c:v>29</c:v>
              </c:pt>
              <c:pt idx="175">
                <c:v>30</c:v>
              </c:pt>
              <c:pt idx="176">
                <c:v>31</c:v>
              </c:pt>
              <c:pt idx="177">
                <c:v>29</c:v>
              </c:pt>
              <c:pt idx="178">
                <c:v>30</c:v>
              </c:pt>
              <c:pt idx="179">
                <c:v>31</c:v>
              </c:pt>
              <c:pt idx="180">
                <c:v>29</c:v>
              </c:pt>
              <c:pt idx="181">
                <c:v>30</c:v>
              </c:pt>
              <c:pt idx="182">
                <c:v>31</c:v>
              </c:pt>
              <c:pt idx="183">
                <c:v>29</c:v>
              </c:pt>
              <c:pt idx="184">
                <c:v>30</c:v>
              </c:pt>
              <c:pt idx="185">
                <c:v>31</c:v>
              </c:pt>
              <c:pt idx="186">
                <c:v>29</c:v>
              </c:pt>
              <c:pt idx="187">
                <c:v>30</c:v>
              </c:pt>
              <c:pt idx="188">
                <c:v>31</c:v>
              </c:pt>
              <c:pt idx="189">
                <c:v>29</c:v>
              </c:pt>
              <c:pt idx="190">
                <c:v>30</c:v>
              </c:pt>
              <c:pt idx="191">
                <c:v>31</c:v>
              </c:pt>
              <c:pt idx="192">
                <c:v>29</c:v>
              </c:pt>
              <c:pt idx="193">
                <c:v>30</c:v>
              </c:pt>
              <c:pt idx="194">
                <c:v>31</c:v>
              </c:pt>
              <c:pt idx="195">
                <c:v>29</c:v>
              </c:pt>
              <c:pt idx="196">
                <c:v>30</c:v>
              </c:pt>
              <c:pt idx="197">
                <c:v>31</c:v>
              </c:pt>
              <c:pt idx="198">
                <c:v>29</c:v>
              </c:pt>
              <c:pt idx="199">
                <c:v>30</c:v>
              </c:pt>
              <c:pt idx="200">
                <c:v>31</c:v>
              </c:pt>
              <c:pt idx="201">
                <c:v>29</c:v>
              </c:pt>
              <c:pt idx="202">
                <c:v>30</c:v>
              </c:pt>
              <c:pt idx="203">
                <c:v>31</c:v>
              </c:pt>
              <c:pt idx="204">
                <c:v>29</c:v>
              </c:pt>
              <c:pt idx="205">
                <c:v>30</c:v>
              </c:pt>
              <c:pt idx="206">
                <c:v>31</c:v>
              </c:pt>
              <c:pt idx="207">
                <c:v>29</c:v>
              </c:pt>
              <c:pt idx="208">
                <c:v>30</c:v>
              </c:pt>
              <c:pt idx="209">
                <c:v>31</c:v>
              </c:pt>
              <c:pt idx="210">
                <c:v>29</c:v>
              </c:pt>
              <c:pt idx="211">
                <c:v>30</c:v>
              </c:pt>
              <c:pt idx="212">
                <c:v>31</c:v>
              </c:pt>
              <c:pt idx="213">
                <c:v>29</c:v>
              </c:pt>
              <c:pt idx="214">
                <c:v>30</c:v>
              </c:pt>
              <c:pt idx="215">
                <c:v>31</c:v>
              </c:pt>
              <c:pt idx="216">
                <c:v>29</c:v>
              </c:pt>
              <c:pt idx="217">
                <c:v>30</c:v>
              </c:pt>
              <c:pt idx="218">
                <c:v>31</c:v>
              </c:pt>
              <c:pt idx="219">
                <c:v>29</c:v>
              </c:pt>
              <c:pt idx="220">
                <c:v>30</c:v>
              </c:pt>
              <c:pt idx="221">
                <c:v>31</c:v>
              </c:pt>
              <c:pt idx="222">
                <c:v>29</c:v>
              </c:pt>
              <c:pt idx="223">
                <c:v>30</c:v>
              </c:pt>
              <c:pt idx="224">
                <c:v>31</c:v>
              </c:pt>
              <c:pt idx="225">
                <c:v>29</c:v>
              </c:pt>
              <c:pt idx="226">
                <c:v>30</c:v>
              </c:pt>
              <c:pt idx="227">
                <c:v>31</c:v>
              </c:pt>
              <c:pt idx="228">
                <c:v>29</c:v>
              </c:pt>
              <c:pt idx="229">
                <c:v>30</c:v>
              </c:pt>
              <c:pt idx="230">
                <c:v>31</c:v>
              </c:pt>
              <c:pt idx="231">
                <c:v>29</c:v>
              </c:pt>
              <c:pt idx="232">
                <c:v>30</c:v>
              </c:pt>
              <c:pt idx="233">
                <c:v>31</c:v>
              </c:pt>
              <c:pt idx="234">
                <c:v>29</c:v>
              </c:pt>
              <c:pt idx="235">
                <c:v>30</c:v>
              </c:pt>
              <c:pt idx="236">
                <c:v>31</c:v>
              </c:pt>
              <c:pt idx="237">
                <c:v>29</c:v>
              </c:pt>
              <c:pt idx="238">
                <c:v>30</c:v>
              </c:pt>
              <c:pt idx="239">
                <c:v>31</c:v>
              </c:pt>
              <c:pt idx="240">
                <c:v>29</c:v>
              </c:pt>
              <c:pt idx="241">
                <c:v>30</c:v>
              </c:pt>
              <c:pt idx="242">
                <c:v>31</c:v>
              </c:pt>
              <c:pt idx="243">
                <c:v>29</c:v>
              </c:pt>
              <c:pt idx="244">
                <c:v>30</c:v>
              </c:pt>
              <c:pt idx="245">
                <c:v>31</c:v>
              </c:pt>
              <c:pt idx="246">
                <c:v>29</c:v>
              </c:pt>
              <c:pt idx="247">
                <c:v>30</c:v>
              </c:pt>
              <c:pt idx="248">
                <c:v>31</c:v>
              </c:pt>
              <c:pt idx="249">
                <c:v>29</c:v>
              </c:pt>
              <c:pt idx="250">
                <c:v>30</c:v>
              </c:pt>
              <c:pt idx="251">
                <c:v>31</c:v>
              </c:pt>
              <c:pt idx="252">
                <c:v>29</c:v>
              </c:pt>
              <c:pt idx="253">
                <c:v>30</c:v>
              </c:pt>
              <c:pt idx="254">
                <c:v>31</c:v>
              </c:pt>
              <c:pt idx="255">
                <c:v>29</c:v>
              </c:pt>
              <c:pt idx="256">
                <c:v>30</c:v>
              </c:pt>
              <c:pt idx="257">
                <c:v>31</c:v>
              </c:pt>
              <c:pt idx="258">
                <c:v>29</c:v>
              </c:pt>
              <c:pt idx="259">
                <c:v>30</c:v>
              </c:pt>
              <c:pt idx="260">
                <c:v>31</c:v>
              </c:pt>
              <c:pt idx="261">
                <c:v>29</c:v>
              </c:pt>
              <c:pt idx="262">
                <c:v>30</c:v>
              </c:pt>
              <c:pt idx="263">
                <c:v>31</c:v>
              </c:pt>
              <c:pt idx="264">
                <c:v>29</c:v>
              </c:pt>
              <c:pt idx="265">
                <c:v>30</c:v>
              </c:pt>
              <c:pt idx="266">
                <c:v>31</c:v>
              </c:pt>
              <c:pt idx="267">
                <c:v>29</c:v>
              </c:pt>
              <c:pt idx="268">
                <c:v>30</c:v>
              </c:pt>
              <c:pt idx="269">
                <c:v>31</c:v>
              </c:pt>
              <c:pt idx="270">
                <c:v>29</c:v>
              </c:pt>
              <c:pt idx="271">
                <c:v>30</c:v>
              </c:pt>
              <c:pt idx="272">
                <c:v>31</c:v>
              </c:pt>
              <c:pt idx="273">
                <c:v>29</c:v>
              </c:pt>
              <c:pt idx="274">
                <c:v>30</c:v>
              </c:pt>
              <c:pt idx="275">
                <c:v>31</c:v>
              </c:pt>
              <c:pt idx="276">
                <c:v>29</c:v>
              </c:pt>
              <c:pt idx="277">
                <c:v>30</c:v>
              </c:pt>
              <c:pt idx="278">
                <c:v>31</c:v>
              </c:pt>
              <c:pt idx="279">
                <c:v>29</c:v>
              </c:pt>
              <c:pt idx="280">
                <c:v>30</c:v>
              </c:pt>
              <c:pt idx="281">
                <c:v>31</c:v>
              </c:pt>
              <c:pt idx="282">
                <c:v>29</c:v>
              </c:pt>
              <c:pt idx="283">
                <c:v>30</c:v>
              </c:pt>
              <c:pt idx="284">
                <c:v>31</c:v>
              </c:pt>
              <c:pt idx="285">
                <c:v>29</c:v>
              </c:pt>
              <c:pt idx="286">
                <c:v>30</c:v>
              </c:pt>
              <c:pt idx="287">
                <c:v>31</c:v>
              </c:pt>
              <c:pt idx="288">
                <c:v>29</c:v>
              </c:pt>
              <c:pt idx="289">
                <c:v>30</c:v>
              </c:pt>
              <c:pt idx="290">
                <c:v>31</c:v>
              </c:pt>
              <c:pt idx="291">
                <c:v>29</c:v>
              </c:pt>
              <c:pt idx="292">
                <c:v>30</c:v>
              </c:pt>
              <c:pt idx="293">
                <c:v>31</c:v>
              </c:pt>
              <c:pt idx="294">
                <c:v>29</c:v>
              </c:pt>
              <c:pt idx="295">
                <c:v>30</c:v>
              </c:pt>
              <c:pt idx="296">
                <c:v>31</c:v>
              </c:pt>
              <c:pt idx="297">
                <c:v>29</c:v>
              </c:pt>
              <c:pt idx="298">
                <c:v>30</c:v>
              </c:pt>
              <c:pt idx="299">
                <c:v>31</c:v>
              </c:pt>
              <c:pt idx="300">
                <c:v>29</c:v>
              </c:pt>
              <c:pt idx="301">
                <c:v>30</c:v>
              </c:pt>
              <c:pt idx="302">
                <c:v>31</c:v>
              </c:pt>
              <c:pt idx="303">
                <c:v>29</c:v>
              </c:pt>
              <c:pt idx="304">
                <c:v>30</c:v>
              </c:pt>
              <c:pt idx="305">
                <c:v>31</c:v>
              </c:pt>
              <c:pt idx="306">
                <c:v>29</c:v>
              </c:pt>
              <c:pt idx="307">
                <c:v>30</c:v>
              </c:pt>
              <c:pt idx="308">
                <c:v>31</c:v>
              </c:pt>
              <c:pt idx="309">
                <c:v>29</c:v>
              </c:pt>
              <c:pt idx="310">
                <c:v>30</c:v>
              </c:pt>
              <c:pt idx="311">
                <c:v>31</c:v>
              </c:pt>
              <c:pt idx="312">
                <c:v>29</c:v>
              </c:pt>
              <c:pt idx="313">
                <c:v>30</c:v>
              </c:pt>
              <c:pt idx="314">
                <c:v>31</c:v>
              </c:pt>
              <c:pt idx="315">
                <c:v>31</c:v>
              </c:pt>
              <c:pt idx="316">
                <c:v>31</c:v>
              </c:pt>
              <c:pt idx="317">
                <c:v>31</c:v>
              </c:pt>
              <c:pt idx="318">
                <c:v>31</c:v>
              </c:pt>
              <c:pt idx="319">
                <c:v>31</c:v>
              </c:pt>
              <c:pt idx="320">
                <c:v>31</c:v>
              </c:pt>
              <c:pt idx="321">
                <c:v>31</c:v>
              </c:pt>
              <c:pt idx="322">
                <c:v>31</c:v>
              </c:pt>
              <c:pt idx="323">
                <c:v>31</c:v>
              </c:pt>
              <c:pt idx="324">
                <c:v>31</c:v>
              </c:pt>
              <c:pt idx="325">
                <c:v>31</c:v>
              </c:pt>
              <c:pt idx="326">
                <c:v>31</c:v>
              </c:pt>
              <c:pt idx="327">
                <c:v>31</c:v>
              </c:pt>
              <c:pt idx="328">
                <c:v>31</c:v>
              </c:pt>
              <c:pt idx="329">
                <c:v>31</c:v>
              </c:pt>
              <c:pt idx="330">
                <c:v>31</c:v>
              </c:pt>
              <c:pt idx="331">
                <c:v>31</c:v>
              </c:pt>
              <c:pt idx="332">
                <c:v>31</c:v>
              </c:pt>
              <c:pt idx="333">
                <c:v>31</c:v>
              </c:pt>
              <c:pt idx="334">
                <c:v>31</c:v>
              </c:pt>
              <c:pt idx="335">
                <c:v>31</c:v>
              </c:pt>
              <c:pt idx="336">
                <c:v>31</c:v>
              </c:pt>
              <c:pt idx="337">
                <c:v>31</c:v>
              </c:pt>
              <c:pt idx="338">
                <c:v>31</c:v>
              </c:pt>
              <c:pt idx="339">
                <c:v>31</c:v>
              </c:pt>
              <c:pt idx="340">
                <c:v>31</c:v>
              </c:pt>
              <c:pt idx="341">
                <c:v>31</c:v>
              </c:pt>
              <c:pt idx="342">
                <c:v>31</c:v>
              </c:pt>
              <c:pt idx="343">
                <c:v>31</c:v>
              </c:pt>
              <c:pt idx="344">
                <c:v>31</c:v>
              </c:pt>
              <c:pt idx="345">
                <c:v>31</c:v>
              </c:pt>
              <c:pt idx="346">
                <c:v>31</c:v>
              </c:pt>
              <c:pt idx="347">
                <c:v>31</c:v>
              </c:pt>
              <c:pt idx="348">
                <c:v>31</c:v>
              </c:pt>
              <c:pt idx="349">
                <c:v>31</c:v>
              </c:pt>
              <c:pt idx="350">
                <c:v>31</c:v>
              </c:pt>
              <c:pt idx="351">
                <c:v>31</c:v>
              </c:pt>
              <c:pt idx="352">
                <c:v>31</c:v>
              </c:pt>
              <c:pt idx="353">
                <c:v>31</c:v>
              </c:pt>
              <c:pt idx="354">
                <c:v>31</c:v>
              </c:pt>
              <c:pt idx="355">
                <c:v>31</c:v>
              </c:pt>
              <c:pt idx="356">
                <c:v>31</c:v>
              </c:pt>
              <c:pt idx="357">
                <c:v>31</c:v>
              </c:pt>
              <c:pt idx="358">
                <c:v>31</c:v>
              </c:pt>
              <c:pt idx="359">
                <c:v>31</c:v>
              </c:pt>
              <c:pt idx="360">
                <c:v>31</c:v>
              </c:pt>
              <c:pt idx="361">
                <c:v>31</c:v>
              </c:pt>
              <c:pt idx="362">
                <c:v>31</c:v>
              </c:pt>
              <c:pt idx="363">
                <c:v>31</c:v>
              </c:pt>
              <c:pt idx="364">
                <c:v>31</c:v>
              </c:pt>
              <c:pt idx="365">
                <c:v>31</c:v>
              </c:pt>
              <c:pt idx="366">
                <c:v>31</c:v>
              </c:pt>
              <c:pt idx="367">
                <c:v>31</c:v>
              </c:pt>
              <c:pt idx="368">
                <c:v>31</c:v>
              </c:pt>
              <c:pt idx="369">
                <c:v>31</c:v>
              </c:pt>
              <c:pt idx="370">
                <c:v>31</c:v>
              </c:pt>
              <c:pt idx="371">
                <c:v>31</c:v>
              </c:pt>
              <c:pt idx="372">
                <c:v>31</c:v>
              </c:pt>
              <c:pt idx="373">
                <c:v>31</c:v>
              </c:pt>
              <c:pt idx="374">
                <c:v>31</c:v>
              </c:pt>
              <c:pt idx="375">
                <c:v>31</c:v>
              </c:pt>
              <c:pt idx="376">
                <c:v>31</c:v>
              </c:pt>
              <c:pt idx="377">
                <c:v>31</c:v>
              </c:pt>
              <c:pt idx="378">
                <c:v>31</c:v>
              </c:pt>
              <c:pt idx="379">
                <c:v>31</c:v>
              </c:pt>
              <c:pt idx="380">
                <c:v>31</c:v>
              </c:pt>
              <c:pt idx="381">
                <c:v>31</c:v>
              </c:pt>
              <c:pt idx="382">
                <c:v>31</c:v>
              </c:pt>
              <c:pt idx="383">
                <c:v>31</c:v>
              </c:pt>
              <c:pt idx="384">
                <c:v>31</c:v>
              </c:pt>
              <c:pt idx="385">
                <c:v>31</c:v>
              </c:pt>
              <c:pt idx="386">
                <c:v>31</c:v>
              </c:pt>
              <c:pt idx="387">
                <c:v>31</c:v>
              </c:pt>
              <c:pt idx="388">
                <c:v>31</c:v>
              </c:pt>
              <c:pt idx="389">
                <c:v>31</c:v>
              </c:pt>
              <c:pt idx="390">
                <c:v>31</c:v>
              </c:pt>
              <c:pt idx="391">
                <c:v>31</c:v>
              </c:pt>
              <c:pt idx="392">
                <c:v>31</c:v>
              </c:pt>
              <c:pt idx="393">
                <c:v>31</c:v>
              </c:pt>
              <c:pt idx="394">
                <c:v>31</c:v>
              </c:pt>
              <c:pt idx="395">
                <c:v>31</c:v>
              </c:pt>
              <c:pt idx="396">
                <c:v>31</c:v>
              </c:pt>
              <c:pt idx="397">
                <c:v>29</c:v>
              </c:pt>
              <c:pt idx="398">
                <c:v>30</c:v>
              </c:pt>
              <c:pt idx="399">
                <c:v>31</c:v>
              </c:pt>
              <c:pt idx="400">
                <c:v>29</c:v>
              </c:pt>
              <c:pt idx="401">
                <c:v>30</c:v>
              </c:pt>
              <c:pt idx="402">
                <c:v>31</c:v>
              </c:pt>
              <c:pt idx="403">
                <c:v>29</c:v>
              </c:pt>
              <c:pt idx="404">
                <c:v>30</c:v>
              </c:pt>
              <c:pt idx="405">
                <c:v>31</c:v>
              </c:pt>
              <c:pt idx="406">
                <c:v>29</c:v>
              </c:pt>
              <c:pt idx="407">
                <c:v>30</c:v>
              </c:pt>
              <c:pt idx="408">
                <c:v>31</c:v>
              </c:pt>
              <c:pt idx="409">
                <c:v>29</c:v>
              </c:pt>
              <c:pt idx="410">
                <c:v>30</c:v>
              </c:pt>
              <c:pt idx="411">
                <c:v>31</c:v>
              </c:pt>
              <c:pt idx="412">
                <c:v>29</c:v>
              </c:pt>
              <c:pt idx="413">
                <c:v>30</c:v>
              </c:pt>
              <c:pt idx="414">
                <c:v>31</c:v>
              </c:pt>
              <c:pt idx="415">
                <c:v>29</c:v>
              </c:pt>
              <c:pt idx="416">
                <c:v>30</c:v>
              </c:pt>
              <c:pt idx="417">
                <c:v>31</c:v>
              </c:pt>
              <c:pt idx="418">
                <c:v>29</c:v>
              </c:pt>
              <c:pt idx="419">
                <c:v>30</c:v>
              </c:pt>
              <c:pt idx="420">
                <c:v>31</c:v>
              </c:pt>
              <c:pt idx="421">
                <c:v>29</c:v>
              </c:pt>
              <c:pt idx="422">
                <c:v>30</c:v>
              </c:pt>
              <c:pt idx="423">
                <c:v>31</c:v>
              </c:pt>
              <c:pt idx="424">
                <c:v>29</c:v>
              </c:pt>
              <c:pt idx="425">
                <c:v>30</c:v>
              </c:pt>
              <c:pt idx="426">
                <c:v>31</c:v>
              </c:pt>
              <c:pt idx="427">
                <c:v>29</c:v>
              </c:pt>
              <c:pt idx="428">
                <c:v>30</c:v>
              </c:pt>
              <c:pt idx="429">
                <c:v>31</c:v>
              </c:pt>
              <c:pt idx="430">
                <c:v>29</c:v>
              </c:pt>
              <c:pt idx="431">
                <c:v>30</c:v>
              </c:pt>
              <c:pt idx="432">
                <c:v>31</c:v>
              </c:pt>
              <c:pt idx="433">
                <c:v>29</c:v>
              </c:pt>
              <c:pt idx="434">
                <c:v>30</c:v>
              </c:pt>
              <c:pt idx="435">
                <c:v>31</c:v>
              </c:pt>
              <c:pt idx="436">
                <c:v>29</c:v>
              </c:pt>
              <c:pt idx="437">
                <c:v>30</c:v>
              </c:pt>
              <c:pt idx="438">
                <c:v>31</c:v>
              </c:pt>
              <c:pt idx="439">
                <c:v>29</c:v>
              </c:pt>
              <c:pt idx="440">
                <c:v>30</c:v>
              </c:pt>
              <c:pt idx="441">
                <c:v>31</c:v>
              </c:pt>
              <c:pt idx="442">
                <c:v>29</c:v>
              </c:pt>
              <c:pt idx="443">
                <c:v>30</c:v>
              </c:pt>
              <c:pt idx="444">
                <c:v>31</c:v>
              </c:pt>
              <c:pt idx="445">
                <c:v>29</c:v>
              </c:pt>
              <c:pt idx="446">
                <c:v>30</c:v>
              </c:pt>
              <c:pt idx="447">
                <c:v>31</c:v>
              </c:pt>
              <c:pt idx="448">
                <c:v>29</c:v>
              </c:pt>
              <c:pt idx="449">
                <c:v>30</c:v>
              </c:pt>
              <c:pt idx="450">
                <c:v>31</c:v>
              </c:pt>
              <c:pt idx="451">
                <c:v>29</c:v>
              </c:pt>
              <c:pt idx="452">
                <c:v>30</c:v>
              </c:pt>
              <c:pt idx="453">
                <c:v>31</c:v>
              </c:pt>
              <c:pt idx="454">
                <c:v>29</c:v>
              </c:pt>
              <c:pt idx="455">
                <c:v>30</c:v>
              </c:pt>
              <c:pt idx="456">
                <c:v>31</c:v>
              </c:pt>
              <c:pt idx="457">
                <c:v>29</c:v>
              </c:pt>
              <c:pt idx="458">
                <c:v>30</c:v>
              </c:pt>
              <c:pt idx="459">
                <c:v>31</c:v>
              </c:pt>
              <c:pt idx="460">
                <c:v>29</c:v>
              </c:pt>
              <c:pt idx="461">
                <c:v>30</c:v>
              </c:pt>
              <c:pt idx="462">
                <c:v>31</c:v>
              </c:pt>
              <c:pt idx="463">
                <c:v>29</c:v>
              </c:pt>
              <c:pt idx="464">
                <c:v>30</c:v>
              </c:pt>
              <c:pt idx="465">
                <c:v>31</c:v>
              </c:pt>
              <c:pt idx="466">
                <c:v>29</c:v>
              </c:pt>
              <c:pt idx="467">
                <c:v>30</c:v>
              </c:pt>
              <c:pt idx="468">
                <c:v>31</c:v>
              </c:pt>
              <c:pt idx="469">
                <c:v>29</c:v>
              </c:pt>
              <c:pt idx="470">
                <c:v>30</c:v>
              </c:pt>
              <c:pt idx="471">
                <c:v>31</c:v>
              </c:pt>
              <c:pt idx="472">
                <c:v>29</c:v>
              </c:pt>
              <c:pt idx="473">
                <c:v>30</c:v>
              </c:pt>
              <c:pt idx="474">
                <c:v>31</c:v>
              </c:pt>
              <c:pt idx="475">
                <c:v>29</c:v>
              </c:pt>
              <c:pt idx="476">
                <c:v>30</c:v>
              </c:pt>
              <c:pt idx="477">
                <c:v>31</c:v>
              </c:pt>
              <c:pt idx="478">
                <c:v>29</c:v>
              </c:pt>
              <c:pt idx="479">
                <c:v>30</c:v>
              </c:pt>
              <c:pt idx="480">
                <c:v>31</c:v>
              </c:pt>
              <c:pt idx="481">
                <c:v>29</c:v>
              </c:pt>
              <c:pt idx="482">
                <c:v>30</c:v>
              </c:pt>
              <c:pt idx="483">
                <c:v>31</c:v>
              </c:pt>
              <c:pt idx="484">
                <c:v>29</c:v>
              </c:pt>
              <c:pt idx="485">
                <c:v>30</c:v>
              </c:pt>
              <c:pt idx="486">
                <c:v>31</c:v>
              </c:pt>
              <c:pt idx="487">
                <c:v>29</c:v>
              </c:pt>
              <c:pt idx="488">
                <c:v>30</c:v>
              </c:pt>
              <c:pt idx="489">
                <c:v>31</c:v>
              </c:pt>
              <c:pt idx="490">
                <c:v>29</c:v>
              </c:pt>
              <c:pt idx="491">
                <c:v>30</c:v>
              </c:pt>
              <c:pt idx="492">
                <c:v>31</c:v>
              </c:pt>
              <c:pt idx="493">
                <c:v>29</c:v>
              </c:pt>
              <c:pt idx="494">
                <c:v>30</c:v>
              </c:pt>
              <c:pt idx="495">
                <c:v>31</c:v>
              </c:pt>
              <c:pt idx="496">
                <c:v>29</c:v>
              </c:pt>
              <c:pt idx="497">
                <c:v>30</c:v>
              </c:pt>
              <c:pt idx="498">
                <c:v>31</c:v>
              </c:pt>
              <c:pt idx="499">
                <c:v>29</c:v>
              </c:pt>
              <c:pt idx="500">
                <c:v>30</c:v>
              </c:pt>
              <c:pt idx="501">
                <c:v>31</c:v>
              </c:pt>
              <c:pt idx="502">
                <c:v>29</c:v>
              </c:pt>
              <c:pt idx="503">
                <c:v>30</c:v>
              </c:pt>
              <c:pt idx="504">
                <c:v>31</c:v>
              </c:pt>
              <c:pt idx="505">
                <c:v>29</c:v>
              </c:pt>
              <c:pt idx="506">
                <c:v>30</c:v>
              </c:pt>
              <c:pt idx="507">
                <c:v>31</c:v>
              </c:pt>
              <c:pt idx="508">
                <c:v>29</c:v>
              </c:pt>
              <c:pt idx="509">
                <c:v>30</c:v>
              </c:pt>
              <c:pt idx="510">
                <c:v>31</c:v>
              </c:pt>
              <c:pt idx="511">
                <c:v>29</c:v>
              </c:pt>
              <c:pt idx="512">
                <c:v>30</c:v>
              </c:pt>
              <c:pt idx="513">
                <c:v>31</c:v>
              </c:pt>
              <c:pt idx="514">
                <c:v>29</c:v>
              </c:pt>
              <c:pt idx="515">
                <c:v>30</c:v>
              </c:pt>
              <c:pt idx="516">
                <c:v>31</c:v>
              </c:pt>
              <c:pt idx="517">
                <c:v>29</c:v>
              </c:pt>
              <c:pt idx="518">
                <c:v>30</c:v>
              </c:pt>
              <c:pt idx="519">
                <c:v>31</c:v>
              </c:pt>
              <c:pt idx="520">
                <c:v>29</c:v>
              </c:pt>
              <c:pt idx="521">
                <c:v>30</c:v>
              </c:pt>
              <c:pt idx="522">
                <c:v>31</c:v>
              </c:pt>
              <c:pt idx="523">
                <c:v>29</c:v>
              </c:pt>
              <c:pt idx="524">
                <c:v>30</c:v>
              </c:pt>
              <c:pt idx="525">
                <c:v>31</c:v>
              </c:pt>
              <c:pt idx="526">
                <c:v>29</c:v>
              </c:pt>
              <c:pt idx="527">
                <c:v>30</c:v>
              </c:pt>
              <c:pt idx="528">
                <c:v>31</c:v>
              </c:pt>
              <c:pt idx="529">
                <c:v>29</c:v>
              </c:pt>
              <c:pt idx="530">
                <c:v>30</c:v>
              </c:pt>
              <c:pt idx="531">
                <c:v>31</c:v>
              </c:pt>
              <c:pt idx="532">
                <c:v>29</c:v>
              </c:pt>
              <c:pt idx="533">
                <c:v>30</c:v>
              </c:pt>
              <c:pt idx="534">
                <c:v>31</c:v>
              </c:pt>
              <c:pt idx="535">
                <c:v>29</c:v>
              </c:pt>
              <c:pt idx="536">
                <c:v>30</c:v>
              </c:pt>
              <c:pt idx="537">
                <c:v>31</c:v>
              </c:pt>
              <c:pt idx="538">
                <c:v>29</c:v>
              </c:pt>
              <c:pt idx="539">
                <c:v>30</c:v>
              </c:pt>
              <c:pt idx="540">
                <c:v>31</c:v>
              </c:pt>
              <c:pt idx="541">
                <c:v>29</c:v>
              </c:pt>
              <c:pt idx="542">
                <c:v>30</c:v>
              </c:pt>
              <c:pt idx="543">
                <c:v>31</c:v>
              </c:pt>
              <c:pt idx="544">
                <c:v>29</c:v>
              </c:pt>
              <c:pt idx="545">
                <c:v>30</c:v>
              </c:pt>
              <c:pt idx="546">
                <c:v>31</c:v>
              </c:pt>
              <c:pt idx="547">
                <c:v>29</c:v>
              </c:pt>
              <c:pt idx="548">
                <c:v>30</c:v>
              </c:pt>
              <c:pt idx="549">
                <c:v>31</c:v>
              </c:pt>
              <c:pt idx="550">
                <c:v>29</c:v>
              </c:pt>
              <c:pt idx="551">
                <c:v>30</c:v>
              </c:pt>
              <c:pt idx="552">
                <c:v>31</c:v>
              </c:pt>
              <c:pt idx="553">
                <c:v>29</c:v>
              </c:pt>
              <c:pt idx="554">
                <c:v>30</c:v>
              </c:pt>
              <c:pt idx="555">
                <c:v>31</c:v>
              </c:pt>
              <c:pt idx="556">
                <c:v>31</c:v>
              </c:pt>
              <c:pt idx="557">
                <c:v>31</c:v>
              </c:pt>
              <c:pt idx="558">
                <c:v>31</c:v>
              </c:pt>
              <c:pt idx="559">
                <c:v>31</c:v>
              </c:pt>
              <c:pt idx="560">
                <c:v>31</c:v>
              </c:pt>
              <c:pt idx="561">
                <c:v>31</c:v>
              </c:pt>
              <c:pt idx="562">
                <c:v>31</c:v>
              </c:pt>
              <c:pt idx="563">
                <c:v>31</c:v>
              </c:pt>
              <c:pt idx="564">
                <c:v>31</c:v>
              </c:pt>
              <c:pt idx="565">
                <c:v>31</c:v>
              </c:pt>
              <c:pt idx="566">
                <c:v>31</c:v>
              </c:pt>
              <c:pt idx="567">
                <c:v>31</c:v>
              </c:pt>
              <c:pt idx="568">
                <c:v>31</c:v>
              </c:pt>
              <c:pt idx="569">
                <c:v>31</c:v>
              </c:pt>
              <c:pt idx="570">
                <c:v>31</c:v>
              </c:pt>
              <c:pt idx="571">
                <c:v>31</c:v>
              </c:pt>
              <c:pt idx="572">
                <c:v>31</c:v>
              </c:pt>
              <c:pt idx="573">
                <c:v>31</c:v>
              </c:pt>
              <c:pt idx="574">
                <c:v>31</c:v>
              </c:pt>
              <c:pt idx="575">
                <c:v>31</c:v>
              </c:pt>
              <c:pt idx="576">
                <c:v>31</c:v>
              </c:pt>
              <c:pt idx="577">
                <c:v>31</c:v>
              </c:pt>
              <c:pt idx="578">
                <c:v>31</c:v>
              </c:pt>
              <c:pt idx="579">
                <c:v>31</c:v>
              </c:pt>
              <c:pt idx="580">
                <c:v>31</c:v>
              </c:pt>
              <c:pt idx="581">
                <c:v>31</c:v>
              </c:pt>
              <c:pt idx="582">
                <c:v>31</c:v>
              </c:pt>
              <c:pt idx="583">
                <c:v>31</c:v>
              </c:pt>
              <c:pt idx="584">
                <c:v>31</c:v>
              </c:pt>
              <c:pt idx="585">
                <c:v>31</c:v>
              </c:pt>
              <c:pt idx="586">
                <c:v>31</c:v>
              </c:pt>
              <c:pt idx="587">
                <c:v>31</c:v>
              </c:pt>
              <c:pt idx="588">
                <c:v>31</c:v>
              </c:pt>
              <c:pt idx="589">
                <c:v>31</c:v>
              </c:pt>
              <c:pt idx="590">
                <c:v>31</c:v>
              </c:pt>
              <c:pt idx="591">
                <c:v>31</c:v>
              </c:pt>
              <c:pt idx="592">
                <c:v>31</c:v>
              </c:pt>
              <c:pt idx="593">
                <c:v>31</c:v>
              </c:pt>
              <c:pt idx="594">
                <c:v>31</c:v>
              </c:pt>
              <c:pt idx="595">
                <c:v>31</c:v>
              </c:pt>
              <c:pt idx="596">
                <c:v>31</c:v>
              </c:pt>
            </c:numLit>
          </c:cat>
          <c:val>
            <c:numRef>
              <c:f>'GRAFICAS RPTE GCIAL'!$K$126:$K$156</c:f>
              <c:numCache>
                <c:formatCode>0.0</c:formatCode>
                <c:ptCount val="31"/>
                <c:pt idx="0">
                  <c:v>5.4957787804379201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1-4999-4DBE-AD60-4C54A490CE7D}"/>
            </c:ext>
          </c:extLst>
        </c:ser>
        <c:ser>
          <c:idx val="3"/>
          <c:order val="2"/>
          <c:tx>
            <c:strRef>
              <c:f>'GRAFICAS RPTE GCIAL'!$O$124</c:f>
              <c:strCache>
                <c:ptCount val="1"/>
                <c:pt idx="0">
                  <c:v>TOTALES GAS</c:v>
                </c:pt>
              </c:strCache>
            </c:strRef>
          </c:tx>
          <c:spPr>
            <a:ln>
              <a:solidFill>
                <a:srgbClr val="FF0000"/>
              </a:solidFill>
              <a:prstDash val="sysDash"/>
            </a:ln>
          </c:spPr>
          <c:marker>
            <c:symbol val="none"/>
          </c:marker>
          <c:cat>
            <c:numLit>
              <c:formatCode>General</c:formatCode>
              <c:ptCount val="59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31</c:v>
              </c:pt>
              <c:pt idx="32">
                <c:v>31</c:v>
              </c:pt>
              <c:pt idx="33">
                <c:v>31</c:v>
              </c:pt>
              <c:pt idx="34">
                <c:v>31</c:v>
              </c:pt>
              <c:pt idx="35">
                <c:v>31</c:v>
              </c:pt>
              <c:pt idx="36">
                <c:v>31</c:v>
              </c:pt>
              <c:pt idx="37">
                <c:v>31</c:v>
              </c:pt>
              <c:pt idx="38">
                <c:v>31</c:v>
              </c:pt>
              <c:pt idx="39">
                <c:v>31</c:v>
              </c:pt>
              <c:pt idx="40">
                <c:v>31</c:v>
              </c:pt>
              <c:pt idx="41">
                <c:v>31</c:v>
              </c:pt>
              <c:pt idx="42">
                <c:v>31</c:v>
              </c:pt>
              <c:pt idx="43">
                <c:v>31</c:v>
              </c:pt>
              <c:pt idx="44">
                <c:v>31</c:v>
              </c:pt>
              <c:pt idx="45">
                <c:v>31</c:v>
              </c:pt>
              <c:pt idx="46">
                <c:v>31</c:v>
              </c:pt>
              <c:pt idx="47">
                <c:v>31</c:v>
              </c:pt>
              <c:pt idx="48">
                <c:v>31</c:v>
              </c:pt>
              <c:pt idx="49">
                <c:v>31</c:v>
              </c:pt>
              <c:pt idx="50">
                <c:v>31</c:v>
              </c:pt>
              <c:pt idx="51">
                <c:v>31</c:v>
              </c:pt>
              <c:pt idx="52">
                <c:v>31</c:v>
              </c:pt>
              <c:pt idx="53">
                <c:v>31</c:v>
              </c:pt>
              <c:pt idx="54">
                <c:v>31</c:v>
              </c:pt>
              <c:pt idx="55">
                <c:v>31</c:v>
              </c:pt>
              <c:pt idx="56">
                <c:v>31</c:v>
              </c:pt>
              <c:pt idx="57">
                <c:v>31</c:v>
              </c:pt>
              <c:pt idx="58">
                <c:v>31</c:v>
              </c:pt>
              <c:pt idx="59">
                <c:v>31</c:v>
              </c:pt>
              <c:pt idx="60">
                <c:v>31</c:v>
              </c:pt>
              <c:pt idx="61">
                <c:v>31</c:v>
              </c:pt>
              <c:pt idx="62">
                <c:v>31</c:v>
              </c:pt>
              <c:pt idx="63">
                <c:v>31</c:v>
              </c:pt>
              <c:pt idx="64">
                <c:v>31</c:v>
              </c:pt>
              <c:pt idx="65">
                <c:v>31</c:v>
              </c:pt>
              <c:pt idx="66">
                <c:v>31</c:v>
              </c:pt>
              <c:pt idx="67">
                <c:v>31</c:v>
              </c:pt>
              <c:pt idx="68">
                <c:v>31</c:v>
              </c:pt>
              <c:pt idx="69">
                <c:v>31</c:v>
              </c:pt>
              <c:pt idx="70">
                <c:v>31</c:v>
              </c:pt>
              <c:pt idx="71">
                <c:v>31</c:v>
              </c:pt>
              <c:pt idx="72">
                <c:v>31</c:v>
              </c:pt>
              <c:pt idx="73">
                <c:v>31</c:v>
              </c:pt>
              <c:pt idx="74">
                <c:v>31</c:v>
              </c:pt>
              <c:pt idx="75">
                <c:v>31</c:v>
              </c:pt>
              <c:pt idx="76">
                <c:v>31</c:v>
              </c:pt>
              <c:pt idx="77">
                <c:v>31</c:v>
              </c:pt>
              <c:pt idx="78">
                <c:v>31</c:v>
              </c:pt>
              <c:pt idx="79">
                <c:v>31</c:v>
              </c:pt>
              <c:pt idx="80">
                <c:v>31</c:v>
              </c:pt>
              <c:pt idx="81">
                <c:v>31</c:v>
              </c:pt>
              <c:pt idx="82">
                <c:v>31</c:v>
              </c:pt>
              <c:pt idx="83">
                <c:v>31</c:v>
              </c:pt>
              <c:pt idx="84">
                <c:v>31</c:v>
              </c:pt>
              <c:pt idx="85">
                <c:v>31</c:v>
              </c:pt>
              <c:pt idx="86">
                <c:v>31</c:v>
              </c:pt>
              <c:pt idx="87">
                <c:v>31</c:v>
              </c:pt>
              <c:pt idx="88">
                <c:v>31</c:v>
              </c:pt>
              <c:pt idx="89">
                <c:v>31</c:v>
              </c:pt>
              <c:pt idx="90">
                <c:v>31</c:v>
              </c:pt>
              <c:pt idx="91">
                <c:v>31</c:v>
              </c:pt>
              <c:pt idx="92">
                <c:v>31</c:v>
              </c:pt>
              <c:pt idx="93">
                <c:v>31</c:v>
              </c:pt>
              <c:pt idx="94">
                <c:v>31</c:v>
              </c:pt>
              <c:pt idx="95">
                <c:v>31</c:v>
              </c:pt>
              <c:pt idx="96">
                <c:v>31</c:v>
              </c:pt>
              <c:pt idx="97">
                <c:v>31</c:v>
              </c:pt>
              <c:pt idx="98">
                <c:v>31</c:v>
              </c:pt>
              <c:pt idx="99">
                <c:v>31</c:v>
              </c:pt>
              <c:pt idx="100">
                <c:v>31</c:v>
              </c:pt>
              <c:pt idx="101">
                <c:v>31</c:v>
              </c:pt>
              <c:pt idx="102">
                <c:v>31</c:v>
              </c:pt>
              <c:pt idx="103">
                <c:v>31</c:v>
              </c:pt>
              <c:pt idx="104">
                <c:v>31</c:v>
              </c:pt>
              <c:pt idx="105">
                <c:v>31</c:v>
              </c:pt>
              <c:pt idx="106">
                <c:v>31</c:v>
              </c:pt>
              <c:pt idx="107">
                <c:v>31</c:v>
              </c:pt>
              <c:pt idx="108">
                <c:v>31</c:v>
              </c:pt>
              <c:pt idx="109">
                <c:v>31</c:v>
              </c:pt>
              <c:pt idx="110">
                <c:v>31</c:v>
              </c:pt>
              <c:pt idx="111">
                <c:v>31</c:v>
              </c:pt>
              <c:pt idx="112">
                <c:v>31</c:v>
              </c:pt>
              <c:pt idx="113">
                <c:v>31</c:v>
              </c:pt>
              <c:pt idx="114">
                <c:v>31</c:v>
              </c:pt>
              <c:pt idx="115">
                <c:v>31</c:v>
              </c:pt>
              <c:pt idx="116">
                <c:v>31</c:v>
              </c:pt>
              <c:pt idx="117">
                <c:v>31</c:v>
              </c:pt>
              <c:pt idx="118">
                <c:v>31</c:v>
              </c:pt>
              <c:pt idx="119">
                <c:v>31</c:v>
              </c:pt>
              <c:pt idx="120">
                <c:v>31</c:v>
              </c:pt>
              <c:pt idx="121">
                <c:v>31</c:v>
              </c:pt>
              <c:pt idx="122">
                <c:v>31</c:v>
              </c:pt>
              <c:pt idx="123">
                <c:v>31</c:v>
              </c:pt>
              <c:pt idx="124">
                <c:v>31</c:v>
              </c:pt>
              <c:pt idx="125">
                <c:v>31</c:v>
              </c:pt>
              <c:pt idx="126">
                <c:v>31</c:v>
              </c:pt>
              <c:pt idx="127">
                <c:v>31</c:v>
              </c:pt>
              <c:pt idx="128">
                <c:v>31</c:v>
              </c:pt>
              <c:pt idx="129">
                <c:v>31</c:v>
              </c:pt>
              <c:pt idx="130">
                <c:v>31</c:v>
              </c:pt>
              <c:pt idx="131">
                <c:v>31</c:v>
              </c:pt>
              <c:pt idx="132">
                <c:v>31</c:v>
              </c:pt>
              <c:pt idx="133">
                <c:v>31</c:v>
              </c:pt>
              <c:pt idx="134">
                <c:v>31</c:v>
              </c:pt>
              <c:pt idx="135">
                <c:v>29</c:v>
              </c:pt>
              <c:pt idx="136">
                <c:v>30</c:v>
              </c:pt>
              <c:pt idx="137">
                <c:v>31</c:v>
              </c:pt>
              <c:pt idx="138">
                <c:v>29</c:v>
              </c:pt>
              <c:pt idx="139">
                <c:v>30</c:v>
              </c:pt>
              <c:pt idx="140">
                <c:v>31</c:v>
              </c:pt>
              <c:pt idx="141">
                <c:v>29</c:v>
              </c:pt>
              <c:pt idx="142">
                <c:v>30</c:v>
              </c:pt>
              <c:pt idx="143">
                <c:v>31</c:v>
              </c:pt>
              <c:pt idx="144">
                <c:v>29</c:v>
              </c:pt>
              <c:pt idx="145">
                <c:v>30</c:v>
              </c:pt>
              <c:pt idx="146">
                <c:v>31</c:v>
              </c:pt>
              <c:pt idx="147">
                <c:v>29</c:v>
              </c:pt>
              <c:pt idx="148">
                <c:v>30</c:v>
              </c:pt>
              <c:pt idx="149">
                <c:v>31</c:v>
              </c:pt>
              <c:pt idx="150">
                <c:v>29</c:v>
              </c:pt>
              <c:pt idx="151">
                <c:v>30</c:v>
              </c:pt>
              <c:pt idx="152">
                <c:v>31</c:v>
              </c:pt>
              <c:pt idx="153">
                <c:v>29</c:v>
              </c:pt>
              <c:pt idx="154">
                <c:v>30</c:v>
              </c:pt>
              <c:pt idx="155">
                <c:v>31</c:v>
              </c:pt>
              <c:pt idx="156">
                <c:v>29</c:v>
              </c:pt>
              <c:pt idx="157">
                <c:v>30</c:v>
              </c:pt>
              <c:pt idx="158">
                <c:v>31</c:v>
              </c:pt>
              <c:pt idx="159">
                <c:v>29</c:v>
              </c:pt>
              <c:pt idx="160">
                <c:v>30</c:v>
              </c:pt>
              <c:pt idx="161">
                <c:v>31</c:v>
              </c:pt>
              <c:pt idx="162">
                <c:v>29</c:v>
              </c:pt>
              <c:pt idx="163">
                <c:v>30</c:v>
              </c:pt>
              <c:pt idx="164">
                <c:v>31</c:v>
              </c:pt>
              <c:pt idx="165">
                <c:v>29</c:v>
              </c:pt>
              <c:pt idx="166">
                <c:v>30</c:v>
              </c:pt>
              <c:pt idx="167">
                <c:v>31</c:v>
              </c:pt>
              <c:pt idx="168">
                <c:v>29</c:v>
              </c:pt>
              <c:pt idx="169">
                <c:v>30</c:v>
              </c:pt>
              <c:pt idx="170">
                <c:v>31</c:v>
              </c:pt>
              <c:pt idx="171">
                <c:v>29</c:v>
              </c:pt>
              <c:pt idx="172">
                <c:v>30</c:v>
              </c:pt>
              <c:pt idx="173">
                <c:v>31</c:v>
              </c:pt>
              <c:pt idx="174">
                <c:v>29</c:v>
              </c:pt>
              <c:pt idx="175">
                <c:v>30</c:v>
              </c:pt>
              <c:pt idx="176">
                <c:v>31</c:v>
              </c:pt>
              <c:pt idx="177">
                <c:v>29</c:v>
              </c:pt>
              <c:pt idx="178">
                <c:v>30</c:v>
              </c:pt>
              <c:pt idx="179">
                <c:v>31</c:v>
              </c:pt>
              <c:pt idx="180">
                <c:v>29</c:v>
              </c:pt>
              <c:pt idx="181">
                <c:v>30</c:v>
              </c:pt>
              <c:pt idx="182">
                <c:v>31</c:v>
              </c:pt>
              <c:pt idx="183">
                <c:v>29</c:v>
              </c:pt>
              <c:pt idx="184">
                <c:v>30</c:v>
              </c:pt>
              <c:pt idx="185">
                <c:v>31</c:v>
              </c:pt>
              <c:pt idx="186">
                <c:v>29</c:v>
              </c:pt>
              <c:pt idx="187">
                <c:v>30</c:v>
              </c:pt>
              <c:pt idx="188">
                <c:v>31</c:v>
              </c:pt>
              <c:pt idx="189">
                <c:v>29</c:v>
              </c:pt>
              <c:pt idx="190">
                <c:v>30</c:v>
              </c:pt>
              <c:pt idx="191">
                <c:v>31</c:v>
              </c:pt>
              <c:pt idx="192">
                <c:v>29</c:v>
              </c:pt>
              <c:pt idx="193">
                <c:v>30</c:v>
              </c:pt>
              <c:pt idx="194">
                <c:v>31</c:v>
              </c:pt>
              <c:pt idx="195">
                <c:v>29</c:v>
              </c:pt>
              <c:pt idx="196">
                <c:v>30</c:v>
              </c:pt>
              <c:pt idx="197">
                <c:v>31</c:v>
              </c:pt>
              <c:pt idx="198">
                <c:v>29</c:v>
              </c:pt>
              <c:pt idx="199">
                <c:v>30</c:v>
              </c:pt>
              <c:pt idx="200">
                <c:v>31</c:v>
              </c:pt>
              <c:pt idx="201">
                <c:v>29</c:v>
              </c:pt>
              <c:pt idx="202">
                <c:v>30</c:v>
              </c:pt>
              <c:pt idx="203">
                <c:v>31</c:v>
              </c:pt>
              <c:pt idx="204">
                <c:v>29</c:v>
              </c:pt>
              <c:pt idx="205">
                <c:v>30</c:v>
              </c:pt>
              <c:pt idx="206">
                <c:v>31</c:v>
              </c:pt>
              <c:pt idx="207">
                <c:v>29</c:v>
              </c:pt>
              <c:pt idx="208">
                <c:v>30</c:v>
              </c:pt>
              <c:pt idx="209">
                <c:v>31</c:v>
              </c:pt>
              <c:pt idx="210">
                <c:v>29</c:v>
              </c:pt>
              <c:pt idx="211">
                <c:v>30</c:v>
              </c:pt>
              <c:pt idx="212">
                <c:v>31</c:v>
              </c:pt>
              <c:pt idx="213">
                <c:v>29</c:v>
              </c:pt>
              <c:pt idx="214">
                <c:v>30</c:v>
              </c:pt>
              <c:pt idx="215">
                <c:v>31</c:v>
              </c:pt>
              <c:pt idx="216">
                <c:v>29</c:v>
              </c:pt>
              <c:pt idx="217">
                <c:v>30</c:v>
              </c:pt>
              <c:pt idx="218">
                <c:v>31</c:v>
              </c:pt>
              <c:pt idx="219">
                <c:v>29</c:v>
              </c:pt>
              <c:pt idx="220">
                <c:v>30</c:v>
              </c:pt>
              <c:pt idx="221">
                <c:v>31</c:v>
              </c:pt>
              <c:pt idx="222">
                <c:v>29</c:v>
              </c:pt>
              <c:pt idx="223">
                <c:v>30</c:v>
              </c:pt>
              <c:pt idx="224">
                <c:v>31</c:v>
              </c:pt>
              <c:pt idx="225">
                <c:v>29</c:v>
              </c:pt>
              <c:pt idx="226">
                <c:v>30</c:v>
              </c:pt>
              <c:pt idx="227">
                <c:v>31</c:v>
              </c:pt>
              <c:pt idx="228">
                <c:v>29</c:v>
              </c:pt>
              <c:pt idx="229">
                <c:v>30</c:v>
              </c:pt>
              <c:pt idx="230">
                <c:v>31</c:v>
              </c:pt>
              <c:pt idx="231">
                <c:v>29</c:v>
              </c:pt>
              <c:pt idx="232">
                <c:v>30</c:v>
              </c:pt>
              <c:pt idx="233">
                <c:v>31</c:v>
              </c:pt>
              <c:pt idx="234">
                <c:v>29</c:v>
              </c:pt>
              <c:pt idx="235">
                <c:v>30</c:v>
              </c:pt>
              <c:pt idx="236">
                <c:v>31</c:v>
              </c:pt>
              <c:pt idx="237">
                <c:v>29</c:v>
              </c:pt>
              <c:pt idx="238">
                <c:v>30</c:v>
              </c:pt>
              <c:pt idx="239">
                <c:v>31</c:v>
              </c:pt>
              <c:pt idx="240">
                <c:v>29</c:v>
              </c:pt>
              <c:pt idx="241">
                <c:v>30</c:v>
              </c:pt>
              <c:pt idx="242">
                <c:v>31</c:v>
              </c:pt>
              <c:pt idx="243">
                <c:v>29</c:v>
              </c:pt>
              <c:pt idx="244">
                <c:v>30</c:v>
              </c:pt>
              <c:pt idx="245">
                <c:v>31</c:v>
              </c:pt>
              <c:pt idx="246">
                <c:v>29</c:v>
              </c:pt>
              <c:pt idx="247">
                <c:v>30</c:v>
              </c:pt>
              <c:pt idx="248">
                <c:v>31</c:v>
              </c:pt>
              <c:pt idx="249">
                <c:v>29</c:v>
              </c:pt>
              <c:pt idx="250">
                <c:v>30</c:v>
              </c:pt>
              <c:pt idx="251">
                <c:v>31</c:v>
              </c:pt>
              <c:pt idx="252">
                <c:v>29</c:v>
              </c:pt>
              <c:pt idx="253">
                <c:v>30</c:v>
              </c:pt>
              <c:pt idx="254">
                <c:v>31</c:v>
              </c:pt>
              <c:pt idx="255">
                <c:v>29</c:v>
              </c:pt>
              <c:pt idx="256">
                <c:v>30</c:v>
              </c:pt>
              <c:pt idx="257">
                <c:v>31</c:v>
              </c:pt>
              <c:pt idx="258">
                <c:v>29</c:v>
              </c:pt>
              <c:pt idx="259">
                <c:v>30</c:v>
              </c:pt>
              <c:pt idx="260">
                <c:v>31</c:v>
              </c:pt>
              <c:pt idx="261">
                <c:v>29</c:v>
              </c:pt>
              <c:pt idx="262">
                <c:v>30</c:v>
              </c:pt>
              <c:pt idx="263">
                <c:v>31</c:v>
              </c:pt>
              <c:pt idx="264">
                <c:v>29</c:v>
              </c:pt>
              <c:pt idx="265">
                <c:v>30</c:v>
              </c:pt>
              <c:pt idx="266">
                <c:v>31</c:v>
              </c:pt>
              <c:pt idx="267">
                <c:v>29</c:v>
              </c:pt>
              <c:pt idx="268">
                <c:v>30</c:v>
              </c:pt>
              <c:pt idx="269">
                <c:v>31</c:v>
              </c:pt>
              <c:pt idx="270">
                <c:v>29</c:v>
              </c:pt>
              <c:pt idx="271">
                <c:v>30</c:v>
              </c:pt>
              <c:pt idx="272">
                <c:v>31</c:v>
              </c:pt>
              <c:pt idx="273">
                <c:v>29</c:v>
              </c:pt>
              <c:pt idx="274">
                <c:v>30</c:v>
              </c:pt>
              <c:pt idx="275">
                <c:v>31</c:v>
              </c:pt>
              <c:pt idx="276">
                <c:v>29</c:v>
              </c:pt>
              <c:pt idx="277">
                <c:v>30</c:v>
              </c:pt>
              <c:pt idx="278">
                <c:v>31</c:v>
              </c:pt>
              <c:pt idx="279">
                <c:v>29</c:v>
              </c:pt>
              <c:pt idx="280">
                <c:v>30</c:v>
              </c:pt>
              <c:pt idx="281">
                <c:v>31</c:v>
              </c:pt>
              <c:pt idx="282">
                <c:v>29</c:v>
              </c:pt>
              <c:pt idx="283">
                <c:v>30</c:v>
              </c:pt>
              <c:pt idx="284">
                <c:v>31</c:v>
              </c:pt>
              <c:pt idx="285">
                <c:v>29</c:v>
              </c:pt>
              <c:pt idx="286">
                <c:v>30</c:v>
              </c:pt>
              <c:pt idx="287">
                <c:v>31</c:v>
              </c:pt>
              <c:pt idx="288">
                <c:v>29</c:v>
              </c:pt>
              <c:pt idx="289">
                <c:v>30</c:v>
              </c:pt>
              <c:pt idx="290">
                <c:v>31</c:v>
              </c:pt>
              <c:pt idx="291">
                <c:v>29</c:v>
              </c:pt>
              <c:pt idx="292">
                <c:v>30</c:v>
              </c:pt>
              <c:pt idx="293">
                <c:v>31</c:v>
              </c:pt>
              <c:pt idx="294">
                <c:v>29</c:v>
              </c:pt>
              <c:pt idx="295">
                <c:v>30</c:v>
              </c:pt>
              <c:pt idx="296">
                <c:v>31</c:v>
              </c:pt>
              <c:pt idx="297">
                <c:v>29</c:v>
              </c:pt>
              <c:pt idx="298">
                <c:v>30</c:v>
              </c:pt>
              <c:pt idx="299">
                <c:v>31</c:v>
              </c:pt>
              <c:pt idx="300">
                <c:v>29</c:v>
              </c:pt>
              <c:pt idx="301">
                <c:v>30</c:v>
              </c:pt>
              <c:pt idx="302">
                <c:v>31</c:v>
              </c:pt>
              <c:pt idx="303">
                <c:v>29</c:v>
              </c:pt>
              <c:pt idx="304">
                <c:v>30</c:v>
              </c:pt>
              <c:pt idx="305">
                <c:v>31</c:v>
              </c:pt>
              <c:pt idx="306">
                <c:v>29</c:v>
              </c:pt>
              <c:pt idx="307">
                <c:v>30</c:v>
              </c:pt>
              <c:pt idx="308">
                <c:v>31</c:v>
              </c:pt>
              <c:pt idx="309">
                <c:v>29</c:v>
              </c:pt>
              <c:pt idx="310">
                <c:v>30</c:v>
              </c:pt>
              <c:pt idx="311">
                <c:v>31</c:v>
              </c:pt>
              <c:pt idx="312">
                <c:v>29</c:v>
              </c:pt>
              <c:pt idx="313">
                <c:v>30</c:v>
              </c:pt>
              <c:pt idx="314">
                <c:v>31</c:v>
              </c:pt>
              <c:pt idx="315">
                <c:v>31</c:v>
              </c:pt>
              <c:pt idx="316">
                <c:v>31</c:v>
              </c:pt>
              <c:pt idx="317">
                <c:v>31</c:v>
              </c:pt>
              <c:pt idx="318">
                <c:v>31</c:v>
              </c:pt>
              <c:pt idx="319">
                <c:v>31</c:v>
              </c:pt>
              <c:pt idx="320">
                <c:v>31</c:v>
              </c:pt>
              <c:pt idx="321">
                <c:v>31</c:v>
              </c:pt>
              <c:pt idx="322">
                <c:v>31</c:v>
              </c:pt>
              <c:pt idx="323">
                <c:v>31</c:v>
              </c:pt>
              <c:pt idx="324">
                <c:v>31</c:v>
              </c:pt>
              <c:pt idx="325">
                <c:v>31</c:v>
              </c:pt>
              <c:pt idx="326">
                <c:v>31</c:v>
              </c:pt>
              <c:pt idx="327">
                <c:v>31</c:v>
              </c:pt>
              <c:pt idx="328">
                <c:v>31</c:v>
              </c:pt>
              <c:pt idx="329">
                <c:v>31</c:v>
              </c:pt>
              <c:pt idx="330">
                <c:v>31</c:v>
              </c:pt>
              <c:pt idx="331">
                <c:v>31</c:v>
              </c:pt>
              <c:pt idx="332">
                <c:v>31</c:v>
              </c:pt>
              <c:pt idx="333">
                <c:v>31</c:v>
              </c:pt>
              <c:pt idx="334">
                <c:v>31</c:v>
              </c:pt>
              <c:pt idx="335">
                <c:v>31</c:v>
              </c:pt>
              <c:pt idx="336">
                <c:v>31</c:v>
              </c:pt>
              <c:pt idx="337">
                <c:v>31</c:v>
              </c:pt>
              <c:pt idx="338">
                <c:v>31</c:v>
              </c:pt>
              <c:pt idx="339">
                <c:v>31</c:v>
              </c:pt>
              <c:pt idx="340">
                <c:v>31</c:v>
              </c:pt>
              <c:pt idx="341">
                <c:v>31</c:v>
              </c:pt>
              <c:pt idx="342">
                <c:v>31</c:v>
              </c:pt>
              <c:pt idx="343">
                <c:v>31</c:v>
              </c:pt>
              <c:pt idx="344">
                <c:v>31</c:v>
              </c:pt>
              <c:pt idx="345">
                <c:v>31</c:v>
              </c:pt>
              <c:pt idx="346">
                <c:v>31</c:v>
              </c:pt>
              <c:pt idx="347">
                <c:v>31</c:v>
              </c:pt>
              <c:pt idx="348">
                <c:v>31</c:v>
              </c:pt>
              <c:pt idx="349">
                <c:v>31</c:v>
              </c:pt>
              <c:pt idx="350">
                <c:v>31</c:v>
              </c:pt>
              <c:pt idx="351">
                <c:v>31</c:v>
              </c:pt>
              <c:pt idx="352">
                <c:v>31</c:v>
              </c:pt>
              <c:pt idx="353">
                <c:v>31</c:v>
              </c:pt>
              <c:pt idx="354">
                <c:v>31</c:v>
              </c:pt>
              <c:pt idx="355">
                <c:v>31</c:v>
              </c:pt>
              <c:pt idx="356">
                <c:v>31</c:v>
              </c:pt>
              <c:pt idx="357">
                <c:v>31</c:v>
              </c:pt>
              <c:pt idx="358">
                <c:v>31</c:v>
              </c:pt>
              <c:pt idx="359">
                <c:v>31</c:v>
              </c:pt>
              <c:pt idx="360">
                <c:v>31</c:v>
              </c:pt>
              <c:pt idx="361">
                <c:v>31</c:v>
              </c:pt>
              <c:pt idx="362">
                <c:v>31</c:v>
              </c:pt>
              <c:pt idx="363">
                <c:v>31</c:v>
              </c:pt>
              <c:pt idx="364">
                <c:v>31</c:v>
              </c:pt>
              <c:pt idx="365">
                <c:v>31</c:v>
              </c:pt>
              <c:pt idx="366">
                <c:v>31</c:v>
              </c:pt>
              <c:pt idx="367">
                <c:v>31</c:v>
              </c:pt>
              <c:pt idx="368">
                <c:v>31</c:v>
              </c:pt>
              <c:pt idx="369">
                <c:v>31</c:v>
              </c:pt>
              <c:pt idx="370">
                <c:v>31</c:v>
              </c:pt>
              <c:pt idx="371">
                <c:v>31</c:v>
              </c:pt>
              <c:pt idx="372">
                <c:v>31</c:v>
              </c:pt>
              <c:pt idx="373">
                <c:v>31</c:v>
              </c:pt>
              <c:pt idx="374">
                <c:v>31</c:v>
              </c:pt>
              <c:pt idx="375">
                <c:v>31</c:v>
              </c:pt>
              <c:pt idx="376">
                <c:v>31</c:v>
              </c:pt>
              <c:pt idx="377">
                <c:v>31</c:v>
              </c:pt>
              <c:pt idx="378">
                <c:v>31</c:v>
              </c:pt>
              <c:pt idx="379">
                <c:v>31</c:v>
              </c:pt>
              <c:pt idx="380">
                <c:v>31</c:v>
              </c:pt>
              <c:pt idx="381">
                <c:v>31</c:v>
              </c:pt>
              <c:pt idx="382">
                <c:v>31</c:v>
              </c:pt>
              <c:pt idx="383">
                <c:v>31</c:v>
              </c:pt>
              <c:pt idx="384">
                <c:v>31</c:v>
              </c:pt>
              <c:pt idx="385">
                <c:v>31</c:v>
              </c:pt>
              <c:pt idx="386">
                <c:v>31</c:v>
              </c:pt>
              <c:pt idx="387">
                <c:v>31</c:v>
              </c:pt>
              <c:pt idx="388">
                <c:v>31</c:v>
              </c:pt>
              <c:pt idx="389">
                <c:v>31</c:v>
              </c:pt>
              <c:pt idx="390">
                <c:v>31</c:v>
              </c:pt>
              <c:pt idx="391">
                <c:v>31</c:v>
              </c:pt>
              <c:pt idx="392">
                <c:v>31</c:v>
              </c:pt>
              <c:pt idx="393">
                <c:v>31</c:v>
              </c:pt>
              <c:pt idx="394">
                <c:v>31</c:v>
              </c:pt>
              <c:pt idx="395">
                <c:v>31</c:v>
              </c:pt>
              <c:pt idx="396">
                <c:v>31</c:v>
              </c:pt>
              <c:pt idx="397">
                <c:v>29</c:v>
              </c:pt>
              <c:pt idx="398">
                <c:v>30</c:v>
              </c:pt>
              <c:pt idx="399">
                <c:v>31</c:v>
              </c:pt>
              <c:pt idx="400">
                <c:v>29</c:v>
              </c:pt>
              <c:pt idx="401">
                <c:v>30</c:v>
              </c:pt>
              <c:pt idx="402">
                <c:v>31</c:v>
              </c:pt>
              <c:pt idx="403">
                <c:v>29</c:v>
              </c:pt>
              <c:pt idx="404">
                <c:v>30</c:v>
              </c:pt>
              <c:pt idx="405">
                <c:v>31</c:v>
              </c:pt>
              <c:pt idx="406">
                <c:v>29</c:v>
              </c:pt>
              <c:pt idx="407">
                <c:v>30</c:v>
              </c:pt>
              <c:pt idx="408">
                <c:v>31</c:v>
              </c:pt>
              <c:pt idx="409">
                <c:v>29</c:v>
              </c:pt>
              <c:pt idx="410">
                <c:v>30</c:v>
              </c:pt>
              <c:pt idx="411">
                <c:v>31</c:v>
              </c:pt>
              <c:pt idx="412">
                <c:v>29</c:v>
              </c:pt>
              <c:pt idx="413">
                <c:v>30</c:v>
              </c:pt>
              <c:pt idx="414">
                <c:v>31</c:v>
              </c:pt>
              <c:pt idx="415">
                <c:v>29</c:v>
              </c:pt>
              <c:pt idx="416">
                <c:v>30</c:v>
              </c:pt>
              <c:pt idx="417">
                <c:v>31</c:v>
              </c:pt>
              <c:pt idx="418">
                <c:v>29</c:v>
              </c:pt>
              <c:pt idx="419">
                <c:v>30</c:v>
              </c:pt>
              <c:pt idx="420">
                <c:v>31</c:v>
              </c:pt>
              <c:pt idx="421">
                <c:v>29</c:v>
              </c:pt>
              <c:pt idx="422">
                <c:v>30</c:v>
              </c:pt>
              <c:pt idx="423">
                <c:v>31</c:v>
              </c:pt>
              <c:pt idx="424">
                <c:v>29</c:v>
              </c:pt>
              <c:pt idx="425">
                <c:v>30</c:v>
              </c:pt>
              <c:pt idx="426">
                <c:v>31</c:v>
              </c:pt>
              <c:pt idx="427">
                <c:v>29</c:v>
              </c:pt>
              <c:pt idx="428">
                <c:v>30</c:v>
              </c:pt>
              <c:pt idx="429">
                <c:v>31</c:v>
              </c:pt>
              <c:pt idx="430">
                <c:v>29</c:v>
              </c:pt>
              <c:pt idx="431">
                <c:v>30</c:v>
              </c:pt>
              <c:pt idx="432">
                <c:v>31</c:v>
              </c:pt>
              <c:pt idx="433">
                <c:v>29</c:v>
              </c:pt>
              <c:pt idx="434">
                <c:v>30</c:v>
              </c:pt>
              <c:pt idx="435">
                <c:v>31</c:v>
              </c:pt>
              <c:pt idx="436">
                <c:v>29</c:v>
              </c:pt>
              <c:pt idx="437">
                <c:v>30</c:v>
              </c:pt>
              <c:pt idx="438">
                <c:v>31</c:v>
              </c:pt>
              <c:pt idx="439">
                <c:v>29</c:v>
              </c:pt>
              <c:pt idx="440">
                <c:v>30</c:v>
              </c:pt>
              <c:pt idx="441">
                <c:v>31</c:v>
              </c:pt>
              <c:pt idx="442">
                <c:v>29</c:v>
              </c:pt>
              <c:pt idx="443">
                <c:v>30</c:v>
              </c:pt>
              <c:pt idx="444">
                <c:v>31</c:v>
              </c:pt>
              <c:pt idx="445">
                <c:v>29</c:v>
              </c:pt>
              <c:pt idx="446">
                <c:v>30</c:v>
              </c:pt>
              <c:pt idx="447">
                <c:v>31</c:v>
              </c:pt>
              <c:pt idx="448">
                <c:v>29</c:v>
              </c:pt>
              <c:pt idx="449">
                <c:v>30</c:v>
              </c:pt>
              <c:pt idx="450">
                <c:v>31</c:v>
              </c:pt>
              <c:pt idx="451">
                <c:v>29</c:v>
              </c:pt>
              <c:pt idx="452">
                <c:v>30</c:v>
              </c:pt>
              <c:pt idx="453">
                <c:v>31</c:v>
              </c:pt>
              <c:pt idx="454">
                <c:v>29</c:v>
              </c:pt>
              <c:pt idx="455">
                <c:v>30</c:v>
              </c:pt>
              <c:pt idx="456">
                <c:v>31</c:v>
              </c:pt>
              <c:pt idx="457">
                <c:v>29</c:v>
              </c:pt>
              <c:pt idx="458">
                <c:v>30</c:v>
              </c:pt>
              <c:pt idx="459">
                <c:v>31</c:v>
              </c:pt>
              <c:pt idx="460">
                <c:v>29</c:v>
              </c:pt>
              <c:pt idx="461">
                <c:v>30</c:v>
              </c:pt>
              <c:pt idx="462">
                <c:v>31</c:v>
              </c:pt>
              <c:pt idx="463">
                <c:v>29</c:v>
              </c:pt>
              <c:pt idx="464">
                <c:v>30</c:v>
              </c:pt>
              <c:pt idx="465">
                <c:v>31</c:v>
              </c:pt>
              <c:pt idx="466">
                <c:v>29</c:v>
              </c:pt>
              <c:pt idx="467">
                <c:v>30</c:v>
              </c:pt>
              <c:pt idx="468">
                <c:v>31</c:v>
              </c:pt>
              <c:pt idx="469">
                <c:v>29</c:v>
              </c:pt>
              <c:pt idx="470">
                <c:v>30</c:v>
              </c:pt>
              <c:pt idx="471">
                <c:v>31</c:v>
              </c:pt>
              <c:pt idx="472">
                <c:v>29</c:v>
              </c:pt>
              <c:pt idx="473">
                <c:v>30</c:v>
              </c:pt>
              <c:pt idx="474">
                <c:v>31</c:v>
              </c:pt>
              <c:pt idx="475">
                <c:v>29</c:v>
              </c:pt>
              <c:pt idx="476">
                <c:v>30</c:v>
              </c:pt>
              <c:pt idx="477">
                <c:v>31</c:v>
              </c:pt>
              <c:pt idx="478">
                <c:v>29</c:v>
              </c:pt>
              <c:pt idx="479">
                <c:v>30</c:v>
              </c:pt>
              <c:pt idx="480">
                <c:v>31</c:v>
              </c:pt>
              <c:pt idx="481">
                <c:v>29</c:v>
              </c:pt>
              <c:pt idx="482">
                <c:v>30</c:v>
              </c:pt>
              <c:pt idx="483">
                <c:v>31</c:v>
              </c:pt>
              <c:pt idx="484">
                <c:v>29</c:v>
              </c:pt>
              <c:pt idx="485">
                <c:v>30</c:v>
              </c:pt>
              <c:pt idx="486">
                <c:v>31</c:v>
              </c:pt>
              <c:pt idx="487">
                <c:v>29</c:v>
              </c:pt>
              <c:pt idx="488">
                <c:v>30</c:v>
              </c:pt>
              <c:pt idx="489">
                <c:v>31</c:v>
              </c:pt>
              <c:pt idx="490">
                <c:v>29</c:v>
              </c:pt>
              <c:pt idx="491">
                <c:v>30</c:v>
              </c:pt>
              <c:pt idx="492">
                <c:v>31</c:v>
              </c:pt>
              <c:pt idx="493">
                <c:v>29</c:v>
              </c:pt>
              <c:pt idx="494">
                <c:v>30</c:v>
              </c:pt>
              <c:pt idx="495">
                <c:v>31</c:v>
              </c:pt>
              <c:pt idx="496">
                <c:v>29</c:v>
              </c:pt>
              <c:pt idx="497">
                <c:v>30</c:v>
              </c:pt>
              <c:pt idx="498">
                <c:v>31</c:v>
              </c:pt>
              <c:pt idx="499">
                <c:v>29</c:v>
              </c:pt>
              <c:pt idx="500">
                <c:v>30</c:v>
              </c:pt>
              <c:pt idx="501">
                <c:v>31</c:v>
              </c:pt>
              <c:pt idx="502">
                <c:v>29</c:v>
              </c:pt>
              <c:pt idx="503">
                <c:v>30</c:v>
              </c:pt>
              <c:pt idx="504">
                <c:v>31</c:v>
              </c:pt>
              <c:pt idx="505">
                <c:v>29</c:v>
              </c:pt>
              <c:pt idx="506">
                <c:v>30</c:v>
              </c:pt>
              <c:pt idx="507">
                <c:v>31</c:v>
              </c:pt>
              <c:pt idx="508">
                <c:v>29</c:v>
              </c:pt>
              <c:pt idx="509">
                <c:v>30</c:v>
              </c:pt>
              <c:pt idx="510">
                <c:v>31</c:v>
              </c:pt>
              <c:pt idx="511">
                <c:v>29</c:v>
              </c:pt>
              <c:pt idx="512">
                <c:v>30</c:v>
              </c:pt>
              <c:pt idx="513">
                <c:v>31</c:v>
              </c:pt>
              <c:pt idx="514">
                <c:v>29</c:v>
              </c:pt>
              <c:pt idx="515">
                <c:v>30</c:v>
              </c:pt>
              <c:pt idx="516">
                <c:v>31</c:v>
              </c:pt>
              <c:pt idx="517">
                <c:v>29</c:v>
              </c:pt>
              <c:pt idx="518">
                <c:v>30</c:v>
              </c:pt>
              <c:pt idx="519">
                <c:v>31</c:v>
              </c:pt>
              <c:pt idx="520">
                <c:v>29</c:v>
              </c:pt>
              <c:pt idx="521">
                <c:v>30</c:v>
              </c:pt>
              <c:pt idx="522">
                <c:v>31</c:v>
              </c:pt>
              <c:pt idx="523">
                <c:v>29</c:v>
              </c:pt>
              <c:pt idx="524">
                <c:v>30</c:v>
              </c:pt>
              <c:pt idx="525">
                <c:v>31</c:v>
              </c:pt>
              <c:pt idx="526">
                <c:v>29</c:v>
              </c:pt>
              <c:pt idx="527">
                <c:v>30</c:v>
              </c:pt>
              <c:pt idx="528">
                <c:v>31</c:v>
              </c:pt>
              <c:pt idx="529">
                <c:v>29</c:v>
              </c:pt>
              <c:pt idx="530">
                <c:v>30</c:v>
              </c:pt>
              <c:pt idx="531">
                <c:v>31</c:v>
              </c:pt>
              <c:pt idx="532">
                <c:v>29</c:v>
              </c:pt>
              <c:pt idx="533">
                <c:v>30</c:v>
              </c:pt>
              <c:pt idx="534">
                <c:v>31</c:v>
              </c:pt>
              <c:pt idx="535">
                <c:v>29</c:v>
              </c:pt>
              <c:pt idx="536">
                <c:v>30</c:v>
              </c:pt>
              <c:pt idx="537">
                <c:v>31</c:v>
              </c:pt>
              <c:pt idx="538">
                <c:v>29</c:v>
              </c:pt>
              <c:pt idx="539">
                <c:v>30</c:v>
              </c:pt>
              <c:pt idx="540">
                <c:v>31</c:v>
              </c:pt>
              <c:pt idx="541">
                <c:v>29</c:v>
              </c:pt>
              <c:pt idx="542">
                <c:v>30</c:v>
              </c:pt>
              <c:pt idx="543">
                <c:v>31</c:v>
              </c:pt>
              <c:pt idx="544">
                <c:v>29</c:v>
              </c:pt>
              <c:pt idx="545">
                <c:v>30</c:v>
              </c:pt>
              <c:pt idx="546">
                <c:v>31</c:v>
              </c:pt>
              <c:pt idx="547">
                <c:v>29</c:v>
              </c:pt>
              <c:pt idx="548">
                <c:v>30</c:v>
              </c:pt>
              <c:pt idx="549">
                <c:v>31</c:v>
              </c:pt>
              <c:pt idx="550">
                <c:v>29</c:v>
              </c:pt>
              <c:pt idx="551">
                <c:v>30</c:v>
              </c:pt>
              <c:pt idx="552">
                <c:v>31</c:v>
              </c:pt>
              <c:pt idx="553">
                <c:v>29</c:v>
              </c:pt>
              <c:pt idx="554">
                <c:v>30</c:v>
              </c:pt>
              <c:pt idx="555">
                <c:v>31</c:v>
              </c:pt>
              <c:pt idx="556">
                <c:v>31</c:v>
              </c:pt>
              <c:pt idx="557">
                <c:v>31</c:v>
              </c:pt>
              <c:pt idx="558">
                <c:v>31</c:v>
              </c:pt>
              <c:pt idx="559">
                <c:v>31</c:v>
              </c:pt>
              <c:pt idx="560">
                <c:v>31</c:v>
              </c:pt>
              <c:pt idx="561">
                <c:v>31</c:v>
              </c:pt>
              <c:pt idx="562">
                <c:v>31</c:v>
              </c:pt>
              <c:pt idx="563">
                <c:v>31</c:v>
              </c:pt>
              <c:pt idx="564">
                <c:v>31</c:v>
              </c:pt>
              <c:pt idx="565">
                <c:v>31</c:v>
              </c:pt>
              <c:pt idx="566">
                <c:v>31</c:v>
              </c:pt>
              <c:pt idx="567">
                <c:v>31</c:v>
              </c:pt>
              <c:pt idx="568">
                <c:v>31</c:v>
              </c:pt>
              <c:pt idx="569">
                <c:v>31</c:v>
              </c:pt>
              <c:pt idx="570">
                <c:v>31</c:v>
              </c:pt>
              <c:pt idx="571">
                <c:v>31</c:v>
              </c:pt>
              <c:pt idx="572">
                <c:v>31</c:v>
              </c:pt>
              <c:pt idx="573">
                <c:v>31</c:v>
              </c:pt>
              <c:pt idx="574">
                <c:v>31</c:v>
              </c:pt>
              <c:pt idx="575">
                <c:v>31</c:v>
              </c:pt>
              <c:pt idx="576">
                <c:v>31</c:v>
              </c:pt>
              <c:pt idx="577">
                <c:v>31</c:v>
              </c:pt>
              <c:pt idx="578">
                <c:v>31</c:v>
              </c:pt>
              <c:pt idx="579">
                <c:v>31</c:v>
              </c:pt>
              <c:pt idx="580">
                <c:v>31</c:v>
              </c:pt>
              <c:pt idx="581">
                <c:v>31</c:v>
              </c:pt>
              <c:pt idx="582">
                <c:v>31</c:v>
              </c:pt>
              <c:pt idx="583">
                <c:v>31</c:v>
              </c:pt>
              <c:pt idx="584">
                <c:v>31</c:v>
              </c:pt>
              <c:pt idx="585">
                <c:v>31</c:v>
              </c:pt>
              <c:pt idx="586">
                <c:v>31</c:v>
              </c:pt>
              <c:pt idx="587">
                <c:v>31</c:v>
              </c:pt>
              <c:pt idx="588">
                <c:v>31</c:v>
              </c:pt>
              <c:pt idx="589">
                <c:v>31</c:v>
              </c:pt>
              <c:pt idx="590">
                <c:v>31</c:v>
              </c:pt>
              <c:pt idx="591">
                <c:v>31</c:v>
              </c:pt>
              <c:pt idx="592">
                <c:v>31</c:v>
              </c:pt>
              <c:pt idx="593">
                <c:v>31</c:v>
              </c:pt>
              <c:pt idx="594">
                <c:v>31</c:v>
              </c:pt>
              <c:pt idx="595">
                <c:v>31</c:v>
              </c:pt>
              <c:pt idx="596">
                <c:v>31</c:v>
              </c:pt>
            </c:numLit>
          </c:cat>
          <c:val>
            <c:numRef>
              <c:f>'GRAFICAS RPTE GCIAL'!$O$126:$O$156</c:f>
              <c:numCache>
                <c:formatCode>0.0</c:formatCode>
                <c:ptCount val="31"/>
                <c:pt idx="0">
                  <c:v>9.5323030132338786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2-4999-4DBE-AD60-4C54A490CE7D}"/>
            </c:ext>
          </c:extLst>
        </c:ser>
        <c:dLbls>
          <c:showLegendKey val="0"/>
          <c:showVal val="0"/>
          <c:showCatName val="0"/>
          <c:showSerName val="0"/>
          <c:showPercent val="0"/>
          <c:showBubbleSize val="0"/>
        </c:dLbls>
        <c:smooth val="0"/>
        <c:axId val="114191360"/>
        <c:axId val="114217728"/>
      </c:lineChart>
      <c:catAx>
        <c:axId val="114191360"/>
        <c:scaling>
          <c:orientation val="minMax"/>
        </c:scaling>
        <c:delete val="0"/>
        <c:axPos val="b"/>
        <c:numFmt formatCode="General" sourceLinked="1"/>
        <c:majorTickMark val="none"/>
        <c:minorTickMark val="none"/>
        <c:tickLblPos val="nextTo"/>
        <c:crossAx val="114217728"/>
        <c:crosses val="autoZero"/>
        <c:auto val="1"/>
        <c:lblAlgn val="ctr"/>
        <c:lblOffset val="100"/>
        <c:noMultiLvlLbl val="0"/>
      </c:catAx>
      <c:valAx>
        <c:axId val="114217728"/>
        <c:scaling>
          <c:orientation val="minMax"/>
        </c:scaling>
        <c:delete val="0"/>
        <c:axPos val="l"/>
        <c:majorGridlines/>
        <c:title>
          <c:tx>
            <c:rich>
              <a:bodyPr/>
              <a:lstStyle/>
              <a:p>
                <a:pPr>
                  <a:defRPr/>
                </a:pPr>
                <a:r>
                  <a:rPr lang="en-US"/>
                  <a:t>mmsfcd</a:t>
                </a:r>
              </a:p>
            </c:rich>
          </c:tx>
          <c:layout>
            <c:manualLayout>
              <c:xMode val="edge"/>
              <c:yMode val="edge"/>
              <c:x val="1.2919896640826873E-2"/>
              <c:y val="0.33002187226603114"/>
            </c:manualLayout>
          </c:layout>
          <c:overlay val="0"/>
        </c:title>
        <c:numFmt formatCode="0.0" sourceLinked="1"/>
        <c:majorTickMark val="none"/>
        <c:minorTickMark val="none"/>
        <c:tickLblPos val="nextTo"/>
        <c:crossAx val="114191360"/>
        <c:crosses val="autoZero"/>
        <c:crossBetween val="between"/>
      </c:valAx>
      <c:dTable>
        <c:showHorzBorder val="1"/>
        <c:showVertBorder val="1"/>
        <c:showOutline val="1"/>
        <c:showKeys val="1"/>
      </c:dTable>
      <c:spPr>
        <a:effectLst>
          <a:outerShdw blurRad="660400" dist="50800" dir="5400000" algn="ctr" rotWithShape="0">
            <a:srgbClr val="EEECE1">
              <a:lumMod val="90000"/>
            </a:srgbClr>
          </a:outerShdw>
        </a:effectLst>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1"/>
    </c:view3D>
    <c:floor>
      <c:thickness val="0"/>
    </c:floor>
    <c:sideWall>
      <c:thickness val="0"/>
    </c:sideWall>
    <c:backWall>
      <c:thickness val="0"/>
    </c:backWall>
    <c:plotArea>
      <c:layout>
        <c:manualLayout>
          <c:layoutTarget val="inner"/>
          <c:xMode val="edge"/>
          <c:yMode val="edge"/>
          <c:x val="0.16649128601820579"/>
          <c:y val="0.14277530526075544"/>
          <c:w val="0.78701745121404321"/>
          <c:h val="0.60593033207805547"/>
        </c:manualLayout>
      </c:layout>
      <c:bar3DChart>
        <c:barDir val="col"/>
        <c:grouping val="clustered"/>
        <c:varyColors val="0"/>
        <c:ser>
          <c:idx val="0"/>
          <c:order val="0"/>
          <c:tx>
            <c:strRef>
              <c:f>'GRAFICAS RPTE GCIAL'!$Q$157:$Q$158</c:f>
              <c:strCache>
                <c:ptCount val="2"/>
                <c:pt idx="0">
                  <c:v>CONSUMO GAS  8001</c:v>
                </c:pt>
              </c:strCache>
            </c:strRef>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GCIAL'!$Q$159:$Q$170</c:f>
              <c:numCache>
                <c:formatCode>#,##0</c:formatCode>
                <c:ptCount val="12"/>
                <c:pt idx="0">
                  <c:v>111.44138153932562</c:v>
                </c:pt>
                <c:pt idx="1">
                  <c:v>135.61939776059879</c:v>
                </c:pt>
                <c:pt idx="2">
                  <c:v>150.34417391895238</c:v>
                </c:pt>
                <c:pt idx="3">
                  <c:v>154.463473048483</c:v>
                </c:pt>
                <c:pt idx="4">
                  <c:v>139.16309963284951</c:v>
                </c:pt>
                <c:pt idx="5">
                  <c:v>144.31918901266104</c:v>
                </c:pt>
                <c:pt idx="6">
                  <c:v>141.48473307479171</c:v>
                </c:pt>
                <c:pt idx="7">
                  <c:v>139.81258349859698</c:v>
                </c:pt>
                <c:pt idx="8">
                  <c:v>96.159453888666192</c:v>
                </c:pt>
                <c:pt idx="9">
                  <c:v>82.881678351271461</c:v>
                </c:pt>
                <c:pt idx="10">
                  <c:v>4.0365242327959576</c:v>
                </c:pt>
                <c:pt idx="11">
                  <c:v>0</c:v>
                </c:pt>
              </c:numCache>
            </c:numRef>
          </c:val>
          <c:extLst>
            <c:ext xmlns:c16="http://schemas.microsoft.com/office/drawing/2014/chart" uri="{C3380CC4-5D6E-409C-BE32-E72D297353CC}">
              <c16:uniqueId val="{00000000-D4F9-4DB5-AA9C-ED41D856B5A4}"/>
            </c:ext>
          </c:extLst>
        </c:ser>
        <c:ser>
          <c:idx val="1"/>
          <c:order val="1"/>
          <c:tx>
            <c:strRef>
              <c:f>'GRAFICAS RPTE GCIAL'!$R$157:$R$158</c:f>
              <c:strCache>
                <c:ptCount val="2"/>
                <c:pt idx="0">
                  <c:v>CONSUMO GAS  8002</c:v>
                </c:pt>
              </c:strCache>
            </c:strRef>
          </c:tx>
          <c:spPr>
            <a:ln>
              <a:solidFill>
                <a:schemeClr val="accent4">
                  <a:lumMod val="75000"/>
                </a:schemeClr>
              </a:solidFill>
            </a:ln>
          </c:spPr>
          <c:invertIfNegative val="0"/>
          <c:dPt>
            <c:idx val="1"/>
            <c:invertIfNegative val="0"/>
            <c:bubble3D val="0"/>
            <c:spPr>
              <a:ln>
                <a:solidFill>
                  <a:schemeClr val="accent4">
                    <a:lumMod val="50000"/>
                  </a:schemeClr>
                </a:solidFill>
              </a:ln>
            </c:spPr>
            <c:extLst>
              <c:ext xmlns:c16="http://schemas.microsoft.com/office/drawing/2014/chart" uri="{C3380CC4-5D6E-409C-BE32-E72D297353CC}">
                <c16:uniqueId val="{00000002-D4F9-4DB5-AA9C-ED41D856B5A4}"/>
              </c:ext>
            </c:extLst>
          </c:dPt>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GCIAL'!$R$159:$R$170</c:f>
              <c:numCache>
                <c:formatCode>#,##0</c:formatCode>
                <c:ptCount val="12"/>
                <c:pt idx="0">
                  <c:v>128.66486019101129</c:v>
                </c:pt>
                <c:pt idx="1">
                  <c:v>102.83230648877804</c:v>
                </c:pt>
                <c:pt idx="2">
                  <c:v>115.13728264713214</c:v>
                </c:pt>
                <c:pt idx="3">
                  <c:v>100.07923481234741</c:v>
                </c:pt>
                <c:pt idx="4">
                  <c:v>134.2026791999287</c:v>
                </c:pt>
                <c:pt idx="5">
                  <c:v>119.53144598956018</c:v>
                </c:pt>
                <c:pt idx="6">
                  <c:v>135.8150147885404</c:v>
                </c:pt>
                <c:pt idx="7">
                  <c:v>151.15495521789481</c:v>
                </c:pt>
                <c:pt idx="8">
                  <c:v>159.48395119555551</c:v>
                </c:pt>
                <c:pt idx="9">
                  <c:v>171.94954537114137</c:v>
                </c:pt>
                <c:pt idx="10">
                  <c:v>5.4957787804379201</c:v>
                </c:pt>
                <c:pt idx="11">
                  <c:v>0</c:v>
                </c:pt>
              </c:numCache>
            </c:numRef>
          </c:val>
          <c:extLst>
            <c:ext xmlns:c16="http://schemas.microsoft.com/office/drawing/2014/chart" uri="{C3380CC4-5D6E-409C-BE32-E72D297353CC}">
              <c16:uniqueId val="{00000003-D4F9-4DB5-AA9C-ED41D856B5A4}"/>
            </c:ext>
          </c:extLst>
        </c:ser>
        <c:ser>
          <c:idx val="3"/>
          <c:order val="2"/>
          <c:tx>
            <c:strRef>
              <c:f>'GRAFICAS RPTE GCIAL'!$S$157:$S$158</c:f>
              <c:strCache>
                <c:ptCount val="2"/>
                <c:pt idx="0">
                  <c:v>CONSUMO TOTAL  GAS</c:v>
                </c:pt>
              </c:strCache>
            </c:strRef>
          </c:tx>
          <c:spPr>
            <a:ln>
              <a:solidFill>
                <a:schemeClr val="accent3">
                  <a:lumMod val="50000"/>
                </a:schemeClr>
              </a:solidFill>
            </a:ln>
          </c:spPr>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GCIAL'!$S$159:$S$170</c:f>
              <c:numCache>
                <c:formatCode>#,##0</c:formatCode>
                <c:ptCount val="12"/>
                <c:pt idx="0">
                  <c:v>240.1062417303369</c:v>
                </c:pt>
                <c:pt idx="1">
                  <c:v>238.45170424937683</c:v>
                </c:pt>
                <c:pt idx="2">
                  <c:v>265.48145656608449</c:v>
                </c:pt>
                <c:pt idx="3">
                  <c:v>254.5427078608304</c:v>
                </c:pt>
                <c:pt idx="4">
                  <c:v>273.36577883277823</c:v>
                </c:pt>
                <c:pt idx="5">
                  <c:v>263.85063500222122</c:v>
                </c:pt>
                <c:pt idx="6">
                  <c:v>277.29974786333207</c:v>
                </c:pt>
                <c:pt idx="7">
                  <c:v>290.96753871649179</c:v>
                </c:pt>
                <c:pt idx="8">
                  <c:v>255.64340508422168</c:v>
                </c:pt>
                <c:pt idx="9">
                  <c:v>254.83122372241283</c:v>
                </c:pt>
                <c:pt idx="10">
                  <c:v>9.5323030132338786</c:v>
                </c:pt>
                <c:pt idx="11">
                  <c:v>0</c:v>
                </c:pt>
              </c:numCache>
            </c:numRef>
          </c:val>
          <c:extLst>
            <c:ext xmlns:c16="http://schemas.microsoft.com/office/drawing/2014/chart" uri="{C3380CC4-5D6E-409C-BE32-E72D297353CC}">
              <c16:uniqueId val="{00000004-D4F9-4DB5-AA9C-ED41D856B5A4}"/>
            </c:ext>
          </c:extLst>
        </c:ser>
        <c:dLbls>
          <c:showLegendKey val="0"/>
          <c:showVal val="0"/>
          <c:showCatName val="0"/>
          <c:showSerName val="0"/>
          <c:showPercent val="0"/>
          <c:showBubbleSize val="0"/>
        </c:dLbls>
        <c:gapWidth val="150"/>
        <c:shape val="cylinder"/>
        <c:axId val="114311936"/>
        <c:axId val="114313472"/>
        <c:axId val="0"/>
      </c:bar3DChart>
      <c:catAx>
        <c:axId val="114311936"/>
        <c:scaling>
          <c:orientation val="minMax"/>
        </c:scaling>
        <c:delete val="0"/>
        <c:axPos val="b"/>
        <c:numFmt formatCode="mmm" sourceLinked="1"/>
        <c:majorTickMark val="none"/>
        <c:minorTickMark val="none"/>
        <c:tickLblPos val="nextTo"/>
        <c:crossAx val="114313472"/>
        <c:crosses val="autoZero"/>
        <c:auto val="0"/>
        <c:lblAlgn val="ctr"/>
        <c:lblOffset val="100"/>
        <c:noMultiLvlLbl val="0"/>
      </c:catAx>
      <c:valAx>
        <c:axId val="114313472"/>
        <c:scaling>
          <c:orientation val="minMax"/>
        </c:scaling>
        <c:delete val="0"/>
        <c:axPos val="l"/>
        <c:majorGridlines/>
        <c:title>
          <c:tx>
            <c:rich>
              <a:bodyPr/>
              <a:lstStyle/>
              <a:p>
                <a:pPr>
                  <a:defRPr/>
                </a:pPr>
                <a:r>
                  <a:rPr lang="es-ES"/>
                  <a:t>mmsfcm</a:t>
                </a:r>
              </a:p>
            </c:rich>
          </c:tx>
          <c:overlay val="0"/>
        </c:title>
        <c:numFmt formatCode="#,##0" sourceLinked="1"/>
        <c:majorTickMark val="none"/>
        <c:minorTickMark val="none"/>
        <c:tickLblPos val="nextTo"/>
        <c:crossAx val="11431193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sz="1200"/>
              <a:t>CONSUMO COMBUSTIBLE</a:t>
            </a:r>
            <a:r>
              <a:rPr lang="es-ES" sz="1200" baseline="0"/>
              <a:t> DIESEL OCTUBRE 2023</a:t>
            </a:r>
            <a:endParaRPr lang="es-ES" sz="1200"/>
          </a:p>
        </c:rich>
      </c:tx>
      <c:layout>
        <c:manualLayout>
          <c:xMode val="edge"/>
          <c:yMode val="edge"/>
          <c:x val="0.39251803286964571"/>
          <c:y val="1.4145157719900816E-2"/>
        </c:manualLayout>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'GRAFICAS RPTE GCIAL'!$C$124:$H$124</c:f>
              <c:strCache>
                <c:ptCount val="1"/>
                <c:pt idx="0">
                  <c:v>GT-8001  </c:v>
                </c:pt>
              </c:strCache>
            </c:strRef>
          </c:tx>
          <c:invertIfNegative val="0"/>
          <c:val>
            <c:numRef>
              <c:f>'GRAFICAS RPTE GCIAL'!$H$126:$H$156</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9185-407E-988F-0A422A0F7C9A}"/>
            </c:ext>
          </c:extLst>
        </c:ser>
        <c:ser>
          <c:idx val="1"/>
          <c:order val="1"/>
          <c:tx>
            <c:strRef>
              <c:f>'GRAFICAS RPTE GCIAL'!$I$124:$N$124</c:f>
              <c:strCache>
                <c:ptCount val="1"/>
                <c:pt idx="0">
                  <c:v>GT-8002  </c:v>
                </c:pt>
              </c:strCache>
            </c:strRef>
          </c:tx>
          <c:invertIfNegative val="0"/>
          <c:val>
            <c:numRef>
              <c:f>'GRAFICAS RPTE GCIAL'!$N$126:$N$156</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9185-407E-988F-0A422A0F7C9A}"/>
            </c:ext>
          </c:extLst>
        </c:ser>
        <c:ser>
          <c:idx val="2"/>
          <c:order val="2"/>
          <c:tx>
            <c:strRef>
              <c:f>'GRAFICAS RPTE GCIAL'!$R$124:$T$124</c:f>
              <c:strCache>
                <c:ptCount val="1"/>
                <c:pt idx="0">
                  <c:v>G-8005  </c:v>
                </c:pt>
              </c:strCache>
            </c:strRef>
          </c:tx>
          <c:invertIfNegative val="0"/>
          <c:val>
            <c:numRef>
              <c:f>'GRAFICAS RPTE GCIAL'!$T$126:$T$156</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9185-407E-988F-0A422A0F7C9A}"/>
            </c:ext>
          </c:extLst>
        </c:ser>
        <c:ser>
          <c:idx val="3"/>
          <c:order val="3"/>
          <c:tx>
            <c:strRef>
              <c:f>'GRAFICAS RPTE GCIAL'!$U$124:$W$124</c:f>
              <c:strCache>
                <c:ptCount val="1"/>
                <c:pt idx="0">
                  <c:v>G-8006</c:v>
                </c:pt>
              </c:strCache>
            </c:strRef>
          </c:tx>
          <c:invertIfNegative val="0"/>
          <c:val>
            <c:numRef>
              <c:f>'GRAFICAS RPTE GCIAL'!$W$126:$W$156</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9185-407E-988F-0A422A0F7C9A}"/>
            </c:ext>
          </c:extLst>
        </c:ser>
        <c:dLbls>
          <c:showLegendKey val="0"/>
          <c:showVal val="0"/>
          <c:showCatName val="0"/>
          <c:showSerName val="0"/>
          <c:showPercent val="0"/>
          <c:showBubbleSize val="0"/>
        </c:dLbls>
        <c:gapWidth val="150"/>
        <c:shape val="cylinder"/>
        <c:axId val="114350720"/>
        <c:axId val="114360704"/>
        <c:axId val="0"/>
      </c:bar3DChart>
      <c:catAx>
        <c:axId val="114350720"/>
        <c:scaling>
          <c:orientation val="minMax"/>
        </c:scaling>
        <c:delete val="0"/>
        <c:axPos val="b"/>
        <c:numFmt formatCode="General" sourceLinked="0"/>
        <c:majorTickMark val="none"/>
        <c:minorTickMark val="none"/>
        <c:tickLblPos val="nextTo"/>
        <c:crossAx val="114360704"/>
        <c:crosses val="autoZero"/>
        <c:auto val="1"/>
        <c:lblAlgn val="ctr"/>
        <c:lblOffset val="100"/>
        <c:noMultiLvlLbl val="0"/>
      </c:catAx>
      <c:valAx>
        <c:axId val="114360704"/>
        <c:scaling>
          <c:orientation val="minMax"/>
        </c:scaling>
        <c:delete val="0"/>
        <c:axPos val="l"/>
        <c:majorGridlines/>
        <c:title>
          <c:tx>
            <c:rich>
              <a:bodyPr/>
              <a:lstStyle/>
              <a:p>
                <a:pPr>
                  <a:defRPr/>
                </a:pPr>
                <a:r>
                  <a:rPr lang="es-ES"/>
                  <a:t>GALONES</a:t>
                </a:r>
              </a:p>
            </c:rich>
          </c:tx>
          <c:overlay val="0"/>
        </c:title>
        <c:numFmt formatCode="0.0" sourceLinked="1"/>
        <c:majorTickMark val="none"/>
        <c:minorTickMark val="none"/>
        <c:tickLblPos val="nextTo"/>
        <c:crossAx val="114350720"/>
        <c:crosses val="autoZero"/>
        <c:crossBetween val="between"/>
      </c:valAx>
      <c:dTable>
        <c:showHorzBorder val="1"/>
        <c:showVertBorder val="1"/>
        <c:showOutline val="1"/>
        <c:showKeys val="1"/>
      </c:dTable>
    </c:plotArea>
    <c:plotVisOnly val="1"/>
    <c:dispBlanksAs val="gap"/>
    <c:showDLblsOverMax val="0"/>
  </c:chart>
  <c:spPr>
    <a:effectLst>
      <a:innerShdw blurRad="114300">
        <a:prstClr val="black"/>
      </a:innerShdw>
    </a:effectLst>
  </c:sp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CONSUMO COMBUSTIBLE DIESEL 2023</a:t>
            </a:r>
          </a:p>
        </c:rich>
      </c:tx>
      <c:overlay val="0"/>
    </c:title>
    <c:autoTitleDeleted val="0"/>
    <c:view3D>
      <c:rotX val="15"/>
      <c:rotY val="20"/>
      <c:rAngAx val="1"/>
    </c:view3D>
    <c:floor>
      <c:thickness val="0"/>
    </c:floor>
    <c:sideWall>
      <c:thickness val="0"/>
    </c:sideWall>
    <c:backWall>
      <c:thickness val="0"/>
    </c:backWall>
    <c:plotArea>
      <c:layout>
        <c:manualLayout>
          <c:layoutTarget val="inner"/>
          <c:xMode val="edge"/>
          <c:yMode val="edge"/>
          <c:x val="6.891409351876264E-2"/>
          <c:y val="0.10361265414977537"/>
          <c:w val="0.89520503909771432"/>
          <c:h val="0.54494699724849338"/>
        </c:manualLayout>
      </c:layout>
      <c:bar3DChart>
        <c:barDir val="col"/>
        <c:grouping val="clustered"/>
        <c:varyColors val="0"/>
        <c:ser>
          <c:idx val="0"/>
          <c:order val="0"/>
          <c:tx>
            <c:v>US-GT-8001</c:v>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GCIAL'!$AC$159:$AC$170</c:f>
              <c:numCache>
                <c:formatCode>#,##0.0</c:formatCode>
                <c:ptCount val="12"/>
                <c:pt idx="0">
                  <c:v>0</c:v>
                </c:pt>
                <c:pt idx="1">
                  <c:v>0</c:v>
                </c:pt>
                <c:pt idx="2">
                  <c:v>0</c:v>
                </c:pt>
                <c:pt idx="3">
                  <c:v>0</c:v>
                </c:pt>
                <c:pt idx="4">
                  <c:v>0</c:v>
                </c:pt>
                <c:pt idx="5">
                  <c:v>0</c:v>
                </c:pt>
                <c:pt idx="6">
                  <c:v>0</c:v>
                </c:pt>
                <c:pt idx="7">
                  <c:v>0</c:v>
                </c:pt>
                <c:pt idx="8">
                  <c:v>0</c:v>
                </c:pt>
                <c:pt idx="9">
                  <c:v>734</c:v>
                </c:pt>
                <c:pt idx="10">
                  <c:v>0</c:v>
                </c:pt>
                <c:pt idx="11">
                  <c:v>0</c:v>
                </c:pt>
              </c:numCache>
            </c:numRef>
          </c:val>
          <c:extLst>
            <c:ext xmlns:c16="http://schemas.microsoft.com/office/drawing/2014/chart" uri="{C3380CC4-5D6E-409C-BE32-E72D297353CC}">
              <c16:uniqueId val="{00000000-B8AE-40E4-852C-C97CFC5322A4}"/>
            </c:ext>
          </c:extLst>
        </c:ser>
        <c:ser>
          <c:idx val="1"/>
          <c:order val="1"/>
          <c:tx>
            <c:v>US-GT-8002</c:v>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GCIAL'!$AD$159:$AD$170</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B8AE-40E4-852C-C97CFC5322A4}"/>
            </c:ext>
          </c:extLst>
        </c:ser>
        <c:ser>
          <c:idx val="2"/>
          <c:order val="2"/>
          <c:tx>
            <c:v>US-G-8005</c:v>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GCIAL'!$AE$159:$AE$170</c:f>
              <c:numCache>
                <c:formatCode>#,##0.0</c:formatCode>
                <c:ptCount val="12"/>
                <c:pt idx="0">
                  <c:v>219.59999999999127</c:v>
                </c:pt>
                <c:pt idx="1">
                  <c:v>138.3600000000024</c:v>
                </c:pt>
                <c:pt idx="2">
                  <c:v>77.51999999999498</c:v>
                </c:pt>
                <c:pt idx="3">
                  <c:v>623.04000000000087</c:v>
                </c:pt>
                <c:pt idx="4">
                  <c:v>177.2400000000107</c:v>
                </c:pt>
                <c:pt idx="5">
                  <c:v>94.079999999985375</c:v>
                </c:pt>
                <c:pt idx="6">
                  <c:v>218.52000000001681</c:v>
                </c:pt>
                <c:pt idx="7">
                  <c:v>480</c:v>
                </c:pt>
                <c:pt idx="8">
                  <c:v>222.48000000000502</c:v>
                </c:pt>
                <c:pt idx="9">
                  <c:v>183.59999999999673</c:v>
                </c:pt>
                <c:pt idx="10">
                  <c:v>0</c:v>
                </c:pt>
                <c:pt idx="11">
                  <c:v>0</c:v>
                </c:pt>
              </c:numCache>
            </c:numRef>
          </c:val>
          <c:extLst>
            <c:ext xmlns:c16="http://schemas.microsoft.com/office/drawing/2014/chart" uri="{C3380CC4-5D6E-409C-BE32-E72D297353CC}">
              <c16:uniqueId val="{00000002-B8AE-40E4-852C-C97CFC5322A4}"/>
            </c:ext>
          </c:extLst>
        </c:ser>
        <c:ser>
          <c:idx val="3"/>
          <c:order val="3"/>
          <c:tx>
            <c:v>US-G-8006</c:v>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GCIAL'!$AF$159:$AF$170</c:f>
              <c:numCache>
                <c:formatCode>#,##0.0</c:formatCode>
                <c:ptCount val="12"/>
                <c:pt idx="0">
                  <c:v>306.84000000000196</c:v>
                </c:pt>
                <c:pt idx="1">
                  <c:v>412.91999999999007</c:v>
                </c:pt>
                <c:pt idx="2">
                  <c:v>126.95999999999913</c:v>
                </c:pt>
                <c:pt idx="3">
                  <c:v>3180.1200000000108</c:v>
                </c:pt>
                <c:pt idx="4">
                  <c:v>338.39999999999236</c:v>
                </c:pt>
                <c:pt idx="5">
                  <c:v>156.24000000000251</c:v>
                </c:pt>
                <c:pt idx="6">
                  <c:v>205.55999999999585</c:v>
                </c:pt>
                <c:pt idx="7">
                  <c:v>1196.1600000000089</c:v>
                </c:pt>
                <c:pt idx="8">
                  <c:v>5687.3999999999978</c:v>
                </c:pt>
                <c:pt idx="9">
                  <c:v>13008.36</c:v>
                </c:pt>
                <c:pt idx="10">
                  <c:v>0</c:v>
                </c:pt>
                <c:pt idx="11">
                  <c:v>0</c:v>
                </c:pt>
              </c:numCache>
            </c:numRef>
          </c:val>
          <c:extLst>
            <c:ext xmlns:c16="http://schemas.microsoft.com/office/drawing/2014/chart" uri="{C3380CC4-5D6E-409C-BE32-E72D297353CC}">
              <c16:uniqueId val="{00000003-B8AE-40E4-852C-C97CFC5322A4}"/>
            </c:ext>
          </c:extLst>
        </c:ser>
        <c:ser>
          <c:idx val="4"/>
          <c:order val="4"/>
          <c:tx>
            <c:v>TOTAL DIESEL </c:v>
          </c:tx>
          <c:invertIfNegative val="0"/>
          <c:val>
            <c:numRef>
              <c:f>'GRAFICAS RPTE GCIAL'!$AG$159:$AG$170</c:f>
              <c:numCache>
                <c:formatCode>#,##0.0_);\(#,##0.0\)</c:formatCode>
                <c:ptCount val="12"/>
                <c:pt idx="0">
                  <c:v>526.43999999999323</c:v>
                </c:pt>
                <c:pt idx="1">
                  <c:v>551.27999999999247</c:v>
                </c:pt>
                <c:pt idx="2">
                  <c:v>204.47999999999411</c:v>
                </c:pt>
                <c:pt idx="3">
                  <c:v>3803.1600000000117</c:v>
                </c:pt>
                <c:pt idx="4">
                  <c:v>515.64000000000306</c:v>
                </c:pt>
                <c:pt idx="5">
                  <c:v>250.31999999998789</c:v>
                </c:pt>
                <c:pt idx="6">
                  <c:v>424.08000000001266</c:v>
                </c:pt>
                <c:pt idx="7">
                  <c:v>1676.1600000000089</c:v>
                </c:pt>
                <c:pt idx="8">
                  <c:v>5909.8800000000028</c:v>
                </c:pt>
                <c:pt idx="9">
                  <c:v>13925.959999999997</c:v>
                </c:pt>
                <c:pt idx="10">
                  <c:v>0</c:v>
                </c:pt>
                <c:pt idx="11">
                  <c:v>0</c:v>
                </c:pt>
              </c:numCache>
            </c:numRef>
          </c:val>
          <c:extLst>
            <c:ext xmlns:c16="http://schemas.microsoft.com/office/drawing/2014/chart" uri="{C3380CC4-5D6E-409C-BE32-E72D297353CC}">
              <c16:uniqueId val="{00000004-B8AE-40E4-852C-C97CFC5322A4}"/>
            </c:ext>
          </c:extLst>
        </c:ser>
        <c:dLbls>
          <c:showLegendKey val="0"/>
          <c:showVal val="0"/>
          <c:showCatName val="0"/>
          <c:showSerName val="0"/>
          <c:showPercent val="0"/>
          <c:showBubbleSize val="0"/>
        </c:dLbls>
        <c:gapWidth val="150"/>
        <c:shape val="cylinder"/>
        <c:axId val="114407296"/>
        <c:axId val="114408832"/>
        <c:axId val="0"/>
      </c:bar3DChart>
      <c:dateAx>
        <c:axId val="114407296"/>
        <c:scaling>
          <c:orientation val="minMax"/>
        </c:scaling>
        <c:delete val="1"/>
        <c:axPos val="b"/>
        <c:numFmt formatCode="mmm" sourceLinked="1"/>
        <c:majorTickMark val="none"/>
        <c:minorTickMark val="none"/>
        <c:tickLblPos val="none"/>
        <c:crossAx val="114408832"/>
        <c:crosses val="autoZero"/>
        <c:auto val="1"/>
        <c:lblOffset val="100"/>
        <c:baseTimeUnit val="months"/>
      </c:dateAx>
      <c:valAx>
        <c:axId val="114408832"/>
        <c:scaling>
          <c:orientation val="minMax"/>
        </c:scaling>
        <c:delete val="0"/>
        <c:axPos val="l"/>
        <c:majorGridlines/>
        <c:title>
          <c:tx>
            <c:rich>
              <a:bodyPr/>
              <a:lstStyle/>
              <a:p>
                <a:pPr>
                  <a:defRPr/>
                </a:pPr>
                <a:r>
                  <a:rPr lang="es-ES"/>
                  <a:t>GALONES</a:t>
                </a:r>
              </a:p>
            </c:rich>
          </c:tx>
          <c:layout>
            <c:manualLayout>
              <c:xMode val="edge"/>
              <c:yMode val="edge"/>
              <c:x val="1.5626428524690615E-2"/>
              <c:y val="0.29471283401778142"/>
            </c:manualLayout>
          </c:layout>
          <c:overlay val="0"/>
        </c:title>
        <c:numFmt formatCode="#,##0.0" sourceLinked="1"/>
        <c:majorTickMark val="none"/>
        <c:minorTickMark val="none"/>
        <c:tickLblPos val="nextTo"/>
        <c:crossAx val="11440729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sz="1200"/>
              <a:t>DEMANDA CARGAS MENOS REPRESENTATIVAS</a:t>
            </a:r>
            <a:r>
              <a:rPr lang="es-ES" sz="1200" baseline="0"/>
              <a:t> OCTUBRE 2023</a:t>
            </a:r>
            <a:endParaRPr lang="es-ES" sz="1200"/>
          </a:p>
        </c:rich>
      </c:tx>
      <c:layout>
        <c:manualLayout>
          <c:xMode val="edge"/>
          <c:yMode val="edge"/>
          <c:x val="0.18472817933721572"/>
          <c:y val="4.1666666666666664E-2"/>
        </c:manualLayout>
      </c:layout>
      <c:overlay val="0"/>
    </c:title>
    <c:autoTitleDeleted val="0"/>
    <c:plotArea>
      <c:layout/>
      <c:lineChart>
        <c:grouping val="standard"/>
        <c:varyColors val="0"/>
        <c:ser>
          <c:idx val="2"/>
          <c:order val="0"/>
          <c:tx>
            <c:strRef>
              <c:f>'GRAFICAS RPTE GCIAL'!$AB$124</c:f>
              <c:strCache>
                <c:ptCount val="1"/>
                <c:pt idx="0">
                  <c:v>SE CRUDO OCENSA</c:v>
                </c:pt>
              </c:strCache>
            </c:strRef>
          </c:tx>
          <c:marker>
            <c:symbol val="none"/>
          </c:marker>
          <c:val>
            <c:numRef>
              <c:f>'GRAFICAS RPTE GCIAL'!$AB$126:$AB$156</c:f>
              <c:numCache>
                <c:formatCode>0.0</c:formatCode>
                <c:ptCount val="31"/>
                <c:pt idx="0">
                  <c:v>9.6999999999989086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8B9F-4DD8-B1B1-B280E2A7C11A}"/>
            </c:ext>
          </c:extLst>
        </c:ser>
        <c:ser>
          <c:idx val="5"/>
          <c:order val="1"/>
          <c:tx>
            <c:strRef>
              <c:f>'GRAFICAS RPTE GCIAL'!$AD$124</c:f>
              <c:strCache>
                <c:ptCount val="1"/>
                <c:pt idx="0">
                  <c:v>S/E TREN 1</c:v>
                </c:pt>
              </c:strCache>
            </c:strRef>
          </c:tx>
          <c:marker>
            <c:symbol val="none"/>
          </c:marker>
          <c:val>
            <c:numRef>
              <c:f>'GRAFICAS RPTE GCIAL'!$AD$126:$AD$156</c:f>
              <c:numCache>
                <c:formatCode>0.0</c:formatCode>
                <c:ptCount val="31"/>
                <c:pt idx="0">
                  <c:v>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1-8B9F-4DD8-B1B1-B280E2A7C11A}"/>
            </c:ext>
          </c:extLst>
        </c:ser>
        <c:ser>
          <c:idx val="6"/>
          <c:order val="2"/>
          <c:tx>
            <c:strRef>
              <c:f>'GRAFICAS RPTE GCIAL'!$AE$124</c:f>
              <c:strCache>
                <c:ptCount val="1"/>
                <c:pt idx="0">
                  <c:v>SE TREN 2</c:v>
                </c:pt>
              </c:strCache>
            </c:strRef>
          </c:tx>
          <c:marker>
            <c:symbol val="none"/>
          </c:marker>
          <c:val>
            <c:numRef>
              <c:f>'GRAFICAS RPTE GCIAL'!$AE$126:$AE$156</c:f>
              <c:numCache>
                <c:formatCode>0.0</c:formatCode>
                <c:ptCount val="31"/>
                <c:pt idx="0">
                  <c:v>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2-8B9F-4DD8-B1B1-B280E2A7C11A}"/>
            </c:ext>
          </c:extLst>
        </c:ser>
        <c:ser>
          <c:idx val="3"/>
          <c:order val="3"/>
          <c:tx>
            <c:strRef>
              <c:f>'GRAFICAS RPTE GCIAL'!$AF$124</c:f>
              <c:strCache>
                <c:ptCount val="1"/>
                <c:pt idx="0">
                  <c:v>SE PRINCIPAL</c:v>
                </c:pt>
              </c:strCache>
            </c:strRef>
          </c:tx>
          <c:marker>
            <c:symbol val="none"/>
          </c:marker>
          <c:val>
            <c:numRef>
              <c:f>'GRAFICAS RPTE GCIAL'!$AF$126:$AF$156</c:f>
              <c:numCache>
                <c:formatCode>0.0</c:formatCode>
                <c:ptCount val="31"/>
                <c:pt idx="0">
                  <c:v>33.300000000004673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3-8B9F-4DD8-B1B1-B280E2A7C11A}"/>
            </c:ext>
          </c:extLst>
        </c:ser>
        <c:ser>
          <c:idx val="4"/>
          <c:order val="4"/>
          <c:tx>
            <c:strRef>
              <c:f>'GRAFICAS RPTE GCIAL'!$AG$124</c:f>
              <c:strCache>
                <c:ptCount val="1"/>
                <c:pt idx="0">
                  <c:v>SE PLANTA DE GAS Y JT</c:v>
                </c:pt>
              </c:strCache>
            </c:strRef>
          </c:tx>
          <c:marker>
            <c:symbol val="none"/>
          </c:marker>
          <c:val>
            <c:numRef>
              <c:f>'GRAFICAS RPTE GCIAL'!$AG$126:$AG$156</c:f>
              <c:numCache>
                <c:formatCode>0.0</c:formatCode>
                <c:ptCount val="31"/>
                <c:pt idx="0">
                  <c:v>11.722999999997556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4-8B9F-4DD8-B1B1-B280E2A7C11A}"/>
            </c:ext>
          </c:extLst>
        </c:ser>
        <c:ser>
          <c:idx val="7"/>
          <c:order val="5"/>
          <c:tx>
            <c:strRef>
              <c:f>'GRAFICAS RPTE GCIAL'!$AH$124</c:f>
              <c:strCache>
                <c:ptCount val="1"/>
                <c:pt idx="0">
                  <c:v>SE GAS VENTAS</c:v>
                </c:pt>
              </c:strCache>
            </c:strRef>
          </c:tx>
          <c:marker>
            <c:symbol val="none"/>
          </c:marker>
          <c:val>
            <c:numRef>
              <c:f>'GRAFICAS RPTE GCIAL'!$AH$126:$AH$156</c:f>
              <c:numCache>
                <c:formatCode>0.0</c:formatCode>
                <c:ptCount val="31"/>
                <c:pt idx="0">
                  <c:v>3.3780000000006276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5-8B9F-4DD8-B1B1-B280E2A7C11A}"/>
            </c:ext>
          </c:extLst>
        </c:ser>
        <c:dLbls>
          <c:showLegendKey val="0"/>
          <c:showVal val="0"/>
          <c:showCatName val="0"/>
          <c:showSerName val="0"/>
          <c:showPercent val="0"/>
          <c:showBubbleSize val="0"/>
        </c:dLbls>
        <c:smooth val="0"/>
        <c:axId val="114755840"/>
        <c:axId val="114765824"/>
      </c:lineChart>
      <c:catAx>
        <c:axId val="114755840"/>
        <c:scaling>
          <c:orientation val="minMax"/>
        </c:scaling>
        <c:delete val="0"/>
        <c:axPos val="b"/>
        <c:numFmt formatCode="General" sourceLinked="0"/>
        <c:majorTickMark val="none"/>
        <c:minorTickMark val="none"/>
        <c:tickLblPos val="nextTo"/>
        <c:crossAx val="114765824"/>
        <c:crosses val="autoZero"/>
        <c:auto val="1"/>
        <c:lblAlgn val="ctr"/>
        <c:lblOffset val="100"/>
        <c:noMultiLvlLbl val="0"/>
      </c:catAx>
      <c:valAx>
        <c:axId val="114765824"/>
        <c:scaling>
          <c:orientation val="minMax"/>
        </c:scaling>
        <c:delete val="0"/>
        <c:axPos val="l"/>
        <c:majorGridlines/>
        <c:title>
          <c:tx>
            <c:rich>
              <a:bodyPr/>
              <a:lstStyle/>
              <a:p>
                <a:pPr>
                  <a:defRPr/>
                </a:pPr>
                <a:r>
                  <a:rPr lang="es-ES"/>
                  <a:t>MWH</a:t>
                </a:r>
              </a:p>
            </c:rich>
          </c:tx>
          <c:overlay val="0"/>
        </c:title>
        <c:numFmt formatCode="0.0" sourceLinked="1"/>
        <c:majorTickMark val="none"/>
        <c:minorTickMark val="none"/>
        <c:tickLblPos val="nextTo"/>
        <c:crossAx val="114755840"/>
        <c:crosses val="autoZero"/>
        <c:crossBetween val="between"/>
      </c:valAx>
    </c:plotArea>
    <c:legend>
      <c:legendPos val="b"/>
      <c:layout>
        <c:manualLayout>
          <c:xMode val="edge"/>
          <c:yMode val="edge"/>
          <c:x val="3.0183907671925216E-2"/>
          <c:y val="0.81558798166791935"/>
          <c:w val="0.95080218011339157"/>
          <c:h val="0.15720312580899143"/>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sz="1400"/>
              <a:t>GENERACION  REACTIVA  AÑO 2023</a:t>
            </a:r>
          </a:p>
        </c:rich>
      </c:tx>
      <c:layout>
        <c:manualLayout>
          <c:xMode val="edge"/>
          <c:yMode val="edge"/>
          <c:x val="0.38084574205452082"/>
          <c:y val="2.8368794326241127E-2"/>
        </c:manualLayout>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'GRAFICAS RPTE GCIAL'!$D$157:$D$158</c:f>
              <c:strCache>
                <c:ptCount val="2"/>
                <c:pt idx="0">
                  <c:v>US-GT 8001  Mvarh</c:v>
                </c:pt>
              </c:strCache>
            </c:strRef>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GCIAL'!$D$159:$D$170</c:f>
              <c:numCache>
                <c:formatCode>#,##0_);\(#,##0\)</c:formatCode>
                <c:ptCount val="12"/>
                <c:pt idx="0">
                  <c:v>2797.0299999999697</c:v>
                </c:pt>
                <c:pt idx="1">
                  <c:v>4099.9000000000233</c:v>
                </c:pt>
                <c:pt idx="2">
                  <c:v>4590.2999999999884</c:v>
                </c:pt>
                <c:pt idx="3">
                  <c:v>4815.3800000000047</c:v>
                </c:pt>
                <c:pt idx="4">
                  <c:v>3382.6199999999953</c:v>
                </c:pt>
                <c:pt idx="5">
                  <c:v>3936.7999999999884</c:v>
                </c:pt>
                <c:pt idx="6">
                  <c:v>3508.2000000000116</c:v>
                </c:pt>
                <c:pt idx="7">
                  <c:v>3249.4000000000233</c:v>
                </c:pt>
                <c:pt idx="8">
                  <c:v>1835.2599999999511</c:v>
                </c:pt>
                <c:pt idx="9">
                  <c:v>1826.3400000000256</c:v>
                </c:pt>
                <c:pt idx="10">
                  <c:v>70</c:v>
                </c:pt>
                <c:pt idx="11">
                  <c:v>0</c:v>
                </c:pt>
              </c:numCache>
            </c:numRef>
          </c:val>
          <c:extLst>
            <c:ext xmlns:c16="http://schemas.microsoft.com/office/drawing/2014/chart" uri="{C3380CC4-5D6E-409C-BE32-E72D297353CC}">
              <c16:uniqueId val="{00000000-7B49-44FD-85FF-E667EBCDEBB9}"/>
            </c:ext>
          </c:extLst>
        </c:ser>
        <c:ser>
          <c:idx val="1"/>
          <c:order val="1"/>
          <c:tx>
            <c:strRef>
              <c:f>'GRAFICAS RPTE GCIAL'!$F$157:$F$158</c:f>
              <c:strCache>
                <c:ptCount val="2"/>
                <c:pt idx="0">
                  <c:v>US-GT 8002 Mvarh</c:v>
                </c:pt>
              </c:strCache>
            </c:strRef>
          </c:tx>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GCIAL'!$F$159:$F$170</c:f>
              <c:numCache>
                <c:formatCode>#,##0_);\(#,##0\)</c:formatCode>
                <c:ptCount val="12"/>
                <c:pt idx="0">
                  <c:v>4111.8</c:v>
                </c:pt>
                <c:pt idx="1">
                  <c:v>2143.3099999999995</c:v>
                </c:pt>
                <c:pt idx="2">
                  <c:v>2416.7900000000009</c:v>
                </c:pt>
                <c:pt idx="3">
                  <c:v>1913.9600000000009</c:v>
                </c:pt>
                <c:pt idx="4">
                  <c:v>3176.9399999999987</c:v>
                </c:pt>
                <c:pt idx="5">
                  <c:v>2644.3430000000008</c:v>
                </c:pt>
                <c:pt idx="6">
                  <c:v>3317.6569999999992</c:v>
                </c:pt>
                <c:pt idx="7">
                  <c:v>3722.4000000000015</c:v>
                </c:pt>
                <c:pt idx="8">
                  <c:v>4926.5999999999985</c:v>
                </c:pt>
                <c:pt idx="9">
                  <c:v>5043</c:v>
                </c:pt>
                <c:pt idx="10">
                  <c:v>152</c:v>
                </c:pt>
                <c:pt idx="11">
                  <c:v>0</c:v>
                </c:pt>
              </c:numCache>
            </c:numRef>
          </c:val>
          <c:extLst>
            <c:ext xmlns:c16="http://schemas.microsoft.com/office/drawing/2014/chart" uri="{C3380CC4-5D6E-409C-BE32-E72D297353CC}">
              <c16:uniqueId val="{00000001-7B49-44FD-85FF-E667EBCDEBB9}"/>
            </c:ext>
          </c:extLst>
        </c:ser>
        <c:ser>
          <c:idx val="3"/>
          <c:order val="2"/>
          <c:tx>
            <c:strRef>
              <c:f>'GRAFICAS RPTE GCIAL'!$O$157:$O$158</c:f>
              <c:strCache>
                <c:ptCount val="2"/>
                <c:pt idx="0">
                  <c:v>GEN TOTAL Mvarh</c:v>
                </c:pt>
              </c:strCache>
            </c:strRef>
          </c:tx>
          <c:invertIfNegative val="0"/>
          <c:val>
            <c:numRef>
              <c:f>'GRAFICAS RPTE GCIAL'!$O$159:$O$170</c:f>
              <c:numCache>
                <c:formatCode>#,##0_);\(#,##0\)</c:formatCode>
                <c:ptCount val="12"/>
                <c:pt idx="0">
                  <c:v>6910.6339999999691</c:v>
                </c:pt>
                <c:pt idx="1">
                  <c:v>6244.9320000000225</c:v>
                </c:pt>
                <c:pt idx="2">
                  <c:v>7007.6859999999897</c:v>
                </c:pt>
                <c:pt idx="3">
                  <c:v>6742.4160000000047</c:v>
                </c:pt>
                <c:pt idx="4">
                  <c:v>6561.3809999999939</c:v>
                </c:pt>
                <c:pt idx="5">
                  <c:v>6582.0329999999894</c:v>
                </c:pt>
                <c:pt idx="6">
                  <c:v>6827.4230000000107</c:v>
                </c:pt>
                <c:pt idx="7">
                  <c:v>6977.587000000025</c:v>
                </c:pt>
                <c:pt idx="8">
                  <c:v>6781.03599999995</c:v>
                </c:pt>
                <c:pt idx="9">
                  <c:v>6912.0610000000261</c:v>
                </c:pt>
                <c:pt idx="10">
                  <c:v>222</c:v>
                </c:pt>
                <c:pt idx="11">
                  <c:v>0</c:v>
                </c:pt>
              </c:numCache>
            </c:numRef>
          </c:val>
          <c:extLst>
            <c:ext xmlns:c16="http://schemas.microsoft.com/office/drawing/2014/chart" uri="{C3380CC4-5D6E-409C-BE32-E72D297353CC}">
              <c16:uniqueId val="{00000002-7B49-44FD-85FF-E667EBCDEBB9}"/>
            </c:ext>
          </c:extLst>
        </c:ser>
        <c:ser>
          <c:idx val="2"/>
          <c:order val="3"/>
          <c:tx>
            <c:strRef>
              <c:f>'GRAFICAS RPTE GCIAL'!$P$157:$P$158</c:f>
              <c:strCache>
                <c:ptCount val="2"/>
                <c:pt idx="0">
                  <c:v>PROMEDIO</c:v>
                </c:pt>
              </c:strCache>
            </c:strRef>
          </c:tx>
          <c:spPr>
            <a:gradFill>
              <a:gsLst>
                <a:gs pos="0">
                  <a:srgbClr val="FF3399"/>
                </a:gs>
                <a:gs pos="25000">
                  <a:srgbClr val="FF6633"/>
                </a:gs>
                <a:gs pos="50000">
                  <a:srgbClr val="FFFF00"/>
                </a:gs>
                <a:gs pos="75000">
                  <a:srgbClr val="01A78F"/>
                </a:gs>
                <a:gs pos="100000">
                  <a:srgbClr val="3366FF"/>
                </a:gs>
              </a:gsLst>
              <a:lin ang="5400000" scaled="0"/>
            </a:gradFill>
            <a:ln>
              <a:solidFill>
                <a:srgbClr val="FF0000"/>
              </a:solidFill>
            </a:ln>
          </c:spPr>
          <c:invertIfNegative val="0"/>
          <c:cat>
            <c:numRef>
              <c:f>'GRAFICAS RPTE GCIAL'!$B$159:$B$170</c:f>
              <c:numCache>
                <c:formatCode>mmm</c:formatCode>
                <c:ptCount val="12"/>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numCache>
            </c:numRef>
          </c:cat>
          <c:val>
            <c:numRef>
              <c:f>'GRAFICAS RPTE GCIAL'!$P$159:$P$170</c:f>
              <c:numCache>
                <c:formatCode>#,##0_);\(#,##0\)</c:formatCode>
                <c:ptCount val="12"/>
                <c:pt idx="0">
                  <c:v>3455.3169999999845</c:v>
                </c:pt>
                <c:pt idx="1">
                  <c:v>3122.4660000000113</c:v>
                </c:pt>
                <c:pt idx="2">
                  <c:v>3503.8429999999948</c:v>
                </c:pt>
                <c:pt idx="3">
                  <c:v>3371.2080000000024</c:v>
                </c:pt>
                <c:pt idx="4">
                  <c:v>3280.690499999997</c:v>
                </c:pt>
                <c:pt idx="5">
                  <c:v>3291.0164999999947</c:v>
                </c:pt>
                <c:pt idx="6">
                  <c:v>3413.7115000000053</c:v>
                </c:pt>
                <c:pt idx="7">
                  <c:v>3488.7935000000125</c:v>
                </c:pt>
                <c:pt idx="8">
                  <c:v>3390.517999999975</c:v>
                </c:pt>
                <c:pt idx="9">
                  <c:v>3456.030500000013</c:v>
                </c:pt>
                <c:pt idx="10">
                  <c:v>111</c:v>
                </c:pt>
                <c:pt idx="11">
                  <c:v>0</c:v>
                </c:pt>
              </c:numCache>
            </c:numRef>
          </c:val>
          <c:extLst>
            <c:ext xmlns:c16="http://schemas.microsoft.com/office/drawing/2014/chart" uri="{C3380CC4-5D6E-409C-BE32-E72D297353CC}">
              <c16:uniqueId val="{00000003-7B49-44FD-85FF-E667EBCDEBB9}"/>
            </c:ext>
          </c:extLst>
        </c:ser>
        <c:dLbls>
          <c:showLegendKey val="0"/>
          <c:showVal val="0"/>
          <c:showCatName val="0"/>
          <c:showSerName val="0"/>
          <c:showPercent val="0"/>
          <c:showBubbleSize val="0"/>
        </c:dLbls>
        <c:gapWidth val="150"/>
        <c:shape val="cylinder"/>
        <c:axId val="114850432"/>
        <c:axId val="114860416"/>
        <c:axId val="0"/>
      </c:bar3DChart>
      <c:dateAx>
        <c:axId val="114850432"/>
        <c:scaling>
          <c:orientation val="minMax"/>
        </c:scaling>
        <c:delete val="1"/>
        <c:axPos val="b"/>
        <c:numFmt formatCode="mmm" sourceLinked="1"/>
        <c:majorTickMark val="none"/>
        <c:minorTickMark val="none"/>
        <c:tickLblPos val="none"/>
        <c:crossAx val="114860416"/>
        <c:crosses val="autoZero"/>
        <c:auto val="1"/>
        <c:lblOffset val="100"/>
        <c:baseTimeUnit val="months"/>
      </c:dateAx>
      <c:valAx>
        <c:axId val="114860416"/>
        <c:scaling>
          <c:orientation val="minMax"/>
        </c:scaling>
        <c:delete val="0"/>
        <c:axPos val="l"/>
        <c:majorGridlines/>
        <c:title>
          <c:tx>
            <c:rich>
              <a:bodyPr/>
              <a:lstStyle/>
              <a:p>
                <a:pPr>
                  <a:defRPr/>
                </a:pPr>
                <a:r>
                  <a:rPr lang="es-ES" sz="1200"/>
                  <a:t>MVAR</a:t>
                </a:r>
              </a:p>
            </c:rich>
          </c:tx>
          <c:layout>
            <c:manualLayout>
              <c:xMode val="edge"/>
              <c:yMode val="edge"/>
              <c:x val="4.5904471454092113E-2"/>
              <c:y val="0.34811637906970361"/>
            </c:manualLayout>
          </c:layout>
          <c:overlay val="0"/>
        </c:title>
        <c:numFmt formatCode="#,##0_);\(#,##0\)" sourceLinked="1"/>
        <c:majorTickMark val="none"/>
        <c:minorTickMark val="none"/>
        <c:tickLblPos val="nextTo"/>
        <c:crossAx val="114850432"/>
        <c:crosses val="autoZero"/>
        <c:crossBetween val="between"/>
      </c:valAx>
      <c:dTable>
        <c:showHorzBorder val="1"/>
        <c:showVertBorder val="1"/>
        <c:showOutline val="1"/>
        <c:showKeys val="1"/>
      </c:dTable>
    </c:plotArea>
    <c:plotVisOnly val="1"/>
    <c:dispBlanksAs val="gap"/>
    <c:showDLblsOverMax val="0"/>
  </c:chart>
  <c:spPr>
    <a:effectLst>
      <a:innerShdw blurRad="431800">
        <a:srgbClr val="4F81BD">
          <a:lumMod val="60000"/>
          <a:lumOff val="40000"/>
        </a:srgbClr>
      </a:innerShdw>
    </a:effectLst>
  </c:spPr>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sz="1200"/>
              <a:t>HEAT RATE G-1 y G-2 OCTUBRE </a:t>
            </a:r>
            <a:r>
              <a:rPr lang="es-ES" sz="1200" baseline="0"/>
              <a:t>2023</a:t>
            </a:r>
            <a:endParaRPr lang="es-ES" sz="1200"/>
          </a:p>
        </c:rich>
      </c:tx>
      <c:overlay val="0"/>
    </c:title>
    <c:autoTitleDeleted val="0"/>
    <c:view3D>
      <c:rotX val="15"/>
      <c:rotY val="20"/>
      <c:rAngAx val="1"/>
    </c:view3D>
    <c:floor>
      <c:thickness val="0"/>
    </c:floor>
    <c:sideWall>
      <c:thickness val="0"/>
    </c:sideWall>
    <c:backWall>
      <c:thickness val="0"/>
    </c:backWall>
    <c:plotArea>
      <c:layout>
        <c:manualLayout>
          <c:layoutTarget val="inner"/>
          <c:xMode val="edge"/>
          <c:yMode val="edge"/>
          <c:x val="5.9796290799362772E-2"/>
          <c:y val="0.12757424795219369"/>
          <c:w val="0.93217337237262032"/>
          <c:h val="0.68768107940961753"/>
        </c:manualLayout>
      </c:layout>
      <c:bar3DChart>
        <c:barDir val="col"/>
        <c:grouping val="clustered"/>
        <c:varyColors val="0"/>
        <c:ser>
          <c:idx val="0"/>
          <c:order val="0"/>
          <c:tx>
            <c:strRef>
              <c:f>'GRAFICAS RPTE GCIAL'!$C$124:$H$124</c:f>
              <c:strCache>
                <c:ptCount val="1"/>
                <c:pt idx="0">
                  <c:v>GT-8001  </c:v>
                </c:pt>
              </c:strCache>
            </c:strRef>
          </c:tx>
          <c:spPr>
            <a:solidFill>
              <a:schemeClr val="bg2">
                <a:lumMod val="25000"/>
              </a:schemeClr>
            </a:solidFill>
          </c:spPr>
          <c:invertIfNegative val="0"/>
          <c:val>
            <c:numRef>
              <c:f>'GRAFICAS RPTE GCIAL'!$F$126:$F$156</c:f>
              <c:numCache>
                <c:formatCode>0.0</c:formatCode>
                <c:ptCount val="31"/>
                <c:pt idx="0">
                  <c:v>22824.210491836737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2FDA-4F74-8A61-299501C9E33A}"/>
            </c:ext>
          </c:extLst>
        </c:ser>
        <c:ser>
          <c:idx val="1"/>
          <c:order val="1"/>
          <c:tx>
            <c:strRef>
              <c:f>'GRAFICAS RPTE GCIAL'!$I$124:$N$124</c:f>
              <c:strCache>
                <c:ptCount val="1"/>
                <c:pt idx="0">
                  <c:v>GT-8002  </c:v>
                </c:pt>
              </c:strCache>
            </c:strRef>
          </c:tx>
          <c:spPr>
            <a:solidFill>
              <a:schemeClr val="accent6">
                <a:lumMod val="75000"/>
              </a:schemeClr>
            </a:solidFill>
          </c:spPr>
          <c:invertIfNegative val="0"/>
          <c:val>
            <c:numRef>
              <c:f>'GRAFICAS RPTE GCIAL'!$L$126:$L$156</c:f>
              <c:numCache>
                <c:formatCode>0.0</c:formatCode>
                <c:ptCount val="31"/>
                <c:pt idx="0">
                  <c:v>15590.755366211604</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2FDA-4F74-8A61-299501C9E33A}"/>
            </c:ext>
          </c:extLst>
        </c:ser>
        <c:dLbls>
          <c:showLegendKey val="0"/>
          <c:showVal val="0"/>
          <c:showCatName val="0"/>
          <c:showSerName val="0"/>
          <c:showPercent val="0"/>
          <c:showBubbleSize val="0"/>
        </c:dLbls>
        <c:gapWidth val="150"/>
        <c:shape val="cylinder"/>
        <c:axId val="114931584"/>
        <c:axId val="114933120"/>
        <c:axId val="0"/>
      </c:bar3DChart>
      <c:catAx>
        <c:axId val="114931584"/>
        <c:scaling>
          <c:orientation val="minMax"/>
        </c:scaling>
        <c:delete val="0"/>
        <c:axPos val="b"/>
        <c:numFmt formatCode="General" sourceLinked="0"/>
        <c:majorTickMark val="none"/>
        <c:minorTickMark val="none"/>
        <c:tickLblPos val="nextTo"/>
        <c:crossAx val="114933120"/>
        <c:crosses val="autoZero"/>
        <c:auto val="1"/>
        <c:lblAlgn val="ctr"/>
        <c:lblOffset val="100"/>
        <c:noMultiLvlLbl val="0"/>
      </c:catAx>
      <c:valAx>
        <c:axId val="114933120"/>
        <c:scaling>
          <c:orientation val="minMax"/>
        </c:scaling>
        <c:delete val="0"/>
        <c:axPos val="l"/>
        <c:majorGridlines/>
        <c:title>
          <c:tx>
            <c:rich>
              <a:bodyPr/>
              <a:lstStyle/>
              <a:p>
                <a:pPr>
                  <a:defRPr/>
                </a:pPr>
                <a:r>
                  <a:rPr lang="es-ES"/>
                  <a:t>BTU/KW-h</a:t>
                </a:r>
              </a:p>
            </c:rich>
          </c:tx>
          <c:overlay val="0"/>
        </c:title>
        <c:numFmt formatCode="0.0" sourceLinked="1"/>
        <c:majorTickMark val="none"/>
        <c:minorTickMark val="none"/>
        <c:tickLblPos val="nextTo"/>
        <c:crossAx val="114931584"/>
        <c:crosses val="autoZero"/>
        <c:crossBetween val="between"/>
      </c:valAx>
      <c:dTable>
        <c:showHorzBorder val="1"/>
        <c:showVertBorder val="1"/>
        <c:showOutline val="1"/>
        <c:showKeys val="1"/>
        <c:txPr>
          <a:bodyPr/>
          <a:lstStyle/>
          <a:p>
            <a:pPr rtl="0">
              <a:defRPr sz="900" baseline="0"/>
            </a:pPr>
            <a:endParaRPr lang="es-CO"/>
          </a:p>
        </c:txPr>
      </c:dTable>
    </c:plotArea>
    <c:plotVisOnly val="1"/>
    <c:dispBlanksAs val="gap"/>
    <c:showDLblsOverMax val="0"/>
  </c:chart>
  <c:spPr>
    <a:effectLst>
      <a:innerShdw blurRad="114300">
        <a:prstClr val="black"/>
      </a:innerShdw>
    </a:effectLst>
  </c:spPr>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sz="1200"/>
              <a:t>EFICIENCIA TÉRMICA G-1 y G-2</a:t>
            </a:r>
            <a:r>
              <a:rPr lang="es-ES" sz="1200" baseline="0"/>
              <a:t> OCTUBRE 2023</a:t>
            </a:r>
            <a:endParaRPr lang="es-ES" sz="1200"/>
          </a:p>
        </c:rich>
      </c:tx>
      <c:layout>
        <c:manualLayout>
          <c:xMode val="edge"/>
          <c:yMode val="edge"/>
          <c:x val="0.32689513494357508"/>
          <c:y val="2.1680210633773442E-2"/>
        </c:manualLayout>
      </c:layout>
      <c:overlay val="0"/>
    </c:title>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strRef>
              <c:f>'GRAFICAS RPTE GCIAL'!$C$124:$H$124</c:f>
              <c:strCache>
                <c:ptCount val="1"/>
                <c:pt idx="0">
                  <c:v>GT-8001  </c:v>
                </c:pt>
              </c:strCache>
            </c:strRef>
          </c:tx>
          <c:spPr>
            <a:solidFill>
              <a:srgbClr val="92D050"/>
            </a:solidFill>
            <a:ln>
              <a:solidFill>
                <a:srgbClr val="92D050"/>
              </a:solidFill>
            </a:ln>
          </c:spPr>
          <c:invertIfNegative val="0"/>
          <c:val>
            <c:numRef>
              <c:f>'GRAFICAS RPTE GCIAL'!$G$126:$G$156</c:f>
              <c:numCache>
                <c:formatCode>0.00</c:formatCode>
                <c:ptCount val="31"/>
                <c:pt idx="0">
                  <c:v>14.965643614361534</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18F6-4FE6-A228-487DED20D2EF}"/>
            </c:ext>
          </c:extLst>
        </c:ser>
        <c:ser>
          <c:idx val="1"/>
          <c:order val="1"/>
          <c:tx>
            <c:strRef>
              <c:f>'GRAFICAS RPTE GCIAL'!$I$124:$N$124</c:f>
              <c:strCache>
                <c:ptCount val="1"/>
                <c:pt idx="0">
                  <c:v>GT-8002  </c:v>
                </c:pt>
              </c:strCache>
            </c:strRef>
          </c:tx>
          <c:spPr>
            <a:solidFill>
              <a:schemeClr val="accent1">
                <a:lumMod val="75000"/>
              </a:schemeClr>
            </a:solidFill>
          </c:spPr>
          <c:invertIfNegative val="0"/>
          <c:val>
            <c:numRef>
              <c:f>'GRAFICAS RPTE GCIAL'!$M$126:$M$156</c:f>
              <c:numCache>
                <c:formatCode>0.00</c:formatCode>
                <c:ptCount val="31"/>
                <c:pt idx="0">
                  <c:v>21.909073163977187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18F6-4FE6-A228-487DED20D2EF}"/>
            </c:ext>
          </c:extLst>
        </c:ser>
        <c:dLbls>
          <c:showLegendKey val="0"/>
          <c:showVal val="0"/>
          <c:showCatName val="0"/>
          <c:showSerName val="0"/>
          <c:showPercent val="0"/>
          <c:showBubbleSize val="0"/>
        </c:dLbls>
        <c:gapWidth val="150"/>
        <c:shape val="cylinder"/>
        <c:axId val="115046656"/>
        <c:axId val="115048448"/>
        <c:axId val="0"/>
      </c:bar3DChart>
      <c:catAx>
        <c:axId val="115046656"/>
        <c:scaling>
          <c:orientation val="minMax"/>
        </c:scaling>
        <c:delete val="0"/>
        <c:axPos val="b"/>
        <c:numFmt formatCode="General" sourceLinked="0"/>
        <c:majorTickMark val="none"/>
        <c:minorTickMark val="none"/>
        <c:tickLblPos val="nextTo"/>
        <c:crossAx val="115048448"/>
        <c:crosses val="autoZero"/>
        <c:auto val="1"/>
        <c:lblAlgn val="ctr"/>
        <c:lblOffset val="100"/>
        <c:noMultiLvlLbl val="0"/>
      </c:catAx>
      <c:valAx>
        <c:axId val="115048448"/>
        <c:scaling>
          <c:orientation val="minMax"/>
        </c:scaling>
        <c:delete val="0"/>
        <c:axPos val="l"/>
        <c:majorGridlines/>
        <c:numFmt formatCode="0.00" sourceLinked="1"/>
        <c:majorTickMark val="none"/>
        <c:minorTickMark val="none"/>
        <c:tickLblPos val="nextTo"/>
        <c:crossAx val="115046656"/>
        <c:crosses val="autoZero"/>
        <c:crossBetween val="between"/>
      </c:valAx>
      <c:dTable>
        <c:showHorzBorder val="1"/>
        <c:showVertBorder val="1"/>
        <c:showOutline val="1"/>
        <c:showKeys val="1"/>
        <c:txPr>
          <a:bodyPr/>
          <a:lstStyle/>
          <a:p>
            <a:pPr rtl="0">
              <a:defRPr sz="900" baseline="0"/>
            </a:pPr>
            <a:endParaRPr lang="es-CO"/>
          </a:p>
        </c:txPr>
      </c:dTable>
    </c:plotArea>
    <c:plotVisOnly val="1"/>
    <c:dispBlanksAs val="gap"/>
    <c:showDLblsOverMax val="0"/>
  </c:chart>
  <c:spPr>
    <a:effectLst>
      <a:innerShdw blurRad="114300">
        <a:prstClr val="black"/>
      </a:innerShdw>
    </a:effectLst>
  </c:spPr>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5"/>
    </mc:Choice>
    <mc:Fallback>
      <c:style val="45"/>
    </mc:Fallback>
  </mc:AlternateContent>
  <c:chart>
    <c:title>
      <c:tx>
        <c:rich>
          <a:bodyPr/>
          <a:lstStyle/>
          <a:p>
            <a:pPr>
              <a:defRPr/>
            </a:pPr>
            <a:r>
              <a:rPr lang="en-US"/>
              <a:t>a</a:t>
            </a:r>
          </a:p>
        </c:rich>
      </c:tx>
      <c:layout>
        <c:manualLayout>
          <c:xMode val="edge"/>
          <c:yMode val="edge"/>
          <c:x val="0.51931203206604992"/>
          <c:y val="2.8335297550372621E-2"/>
        </c:manualLayout>
      </c:layout>
      <c:overlay val="0"/>
    </c:title>
    <c:autoTitleDeleted val="0"/>
    <c:plotArea>
      <c:layout/>
      <c:barChart>
        <c:barDir val="col"/>
        <c:grouping val="clustered"/>
        <c:varyColors val="0"/>
        <c:ser>
          <c:idx val="1"/>
          <c:order val="0"/>
          <c:tx>
            <c:strRef>
              <c:f>'GRAFICAS RPTE GCIAL'!$B$177</c:f>
              <c:strCache>
                <c:ptCount val="1"/>
                <c:pt idx="0">
                  <c:v>enero</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'GRAFICAS RPTE GCIAL'!$C$177:$O$177</c:f>
            </c:numRef>
          </c:val>
          <c:extLst>
            <c:ext xmlns:c15="http://schemas.microsoft.com/office/drawing/2012/chart" uri="{02D57815-91ED-43cb-92C2-25804820EDAC}">
              <c15:filteredCategoryTitle>
                <c15:cat>
                  <c:multiLvlStrRef>
                    <c:extLst>
                      <c:ext uri="{02D57815-91ED-43cb-92C2-25804820EDAC}">
                        <c15:formulaRef>
                          <c15:sqref>'GRAFICAS RPTE GCIAL'!$C$175:$O$175</c15:sqref>
                        </c15:formulaRef>
                      </c:ext>
                    </c:extLst>
                  </c:multiLvlStrRef>
                </c15:cat>
              </c15:filteredCategoryTitle>
            </c:ext>
            <c:ext xmlns:c16="http://schemas.microsoft.com/office/drawing/2014/chart" uri="{C3380CC4-5D6E-409C-BE32-E72D297353CC}">
              <c16:uniqueId val="{00000000-1598-48CA-8A1B-6A93B4D0315F}"/>
            </c:ext>
          </c:extLst>
        </c:ser>
        <c:dLbls>
          <c:showLegendKey val="0"/>
          <c:showVal val="1"/>
          <c:showCatName val="0"/>
          <c:showSerName val="0"/>
          <c:showPercent val="0"/>
          <c:showBubbleSize val="0"/>
        </c:dLbls>
        <c:gapWidth val="75"/>
        <c:overlap val="40"/>
        <c:axId val="116195712"/>
        <c:axId val="116198400"/>
      </c:barChart>
      <c:catAx>
        <c:axId val="116195712"/>
        <c:scaling>
          <c:orientation val="minMax"/>
        </c:scaling>
        <c:delete val="0"/>
        <c:axPos val="b"/>
        <c:numFmt formatCode="General" sourceLinked="0"/>
        <c:majorTickMark val="none"/>
        <c:minorTickMark val="none"/>
        <c:tickLblPos val="nextTo"/>
        <c:crossAx val="116198400"/>
        <c:crosses val="autoZero"/>
        <c:auto val="1"/>
        <c:lblAlgn val="ctr"/>
        <c:lblOffset val="100"/>
        <c:noMultiLvlLbl val="0"/>
      </c:catAx>
      <c:valAx>
        <c:axId val="116198400"/>
        <c:scaling>
          <c:orientation val="minMax"/>
          <c:max val="16000"/>
          <c:min val="0"/>
        </c:scaling>
        <c:delete val="0"/>
        <c:axPos val="l"/>
        <c:majorGridlines/>
        <c:numFmt formatCode="#,##0_);\(#,##0\)" sourceLinked="1"/>
        <c:majorTickMark val="none"/>
        <c:minorTickMark val="none"/>
        <c:tickLblPos val="nextTo"/>
        <c:crossAx val="1161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30291666666666667"/>
          <c:y val="0.25281839770028747"/>
          <c:w val="0.46027865266841644"/>
          <c:h val="0.64257592800899876"/>
        </c:manualLayout>
      </c:layout>
      <c:barChart>
        <c:barDir val="bar"/>
        <c:grouping val="clustered"/>
        <c:varyColors val="0"/>
        <c:ser>
          <c:idx val="0"/>
          <c:order val="0"/>
          <c:tx>
            <c:v>Porcentaje</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'GRAFICAS RPTE GCIAL'!$AK$85:$AN$87</c:f>
              <c:strCache>
                <c:ptCount val="4"/>
                <c:pt idx="0">
                  <c:v> GT-8001</c:v>
                </c:pt>
                <c:pt idx="1">
                  <c:v>GT-8002</c:v>
                </c:pt>
                <c:pt idx="2">
                  <c:v>G-8005</c:v>
                </c:pt>
                <c:pt idx="3">
                  <c:v>G-8006</c:v>
                </c:pt>
              </c:strCache>
            </c:strRef>
          </c:cat>
          <c:val>
            <c:numRef>
              <c:f>'GRAFICAS RPTE GCIAL'!$AK$97:$AN$97</c:f>
              <c:numCache>
                <c:formatCode>#,##0.00_);\(#,##0.00\)</c:formatCode>
                <c:ptCount val="4"/>
                <c:pt idx="0">
                  <c:v>5.2707317843796773</c:v>
                </c:pt>
                <c:pt idx="1">
                  <c:v>0</c:v>
                </c:pt>
                <c:pt idx="2">
                  <c:v>1.3184010294442663</c:v>
                </c:pt>
                <c:pt idx="3">
                  <c:v>93.410867186176048</c:v>
                </c:pt>
              </c:numCache>
            </c:numRef>
          </c:val>
          <c:extLst>
            <c:ext xmlns:c16="http://schemas.microsoft.com/office/drawing/2014/chart" uri="{C3380CC4-5D6E-409C-BE32-E72D297353CC}">
              <c16:uniqueId val="{00000000-A310-4ED6-BF39-72752AF8FE1C}"/>
            </c:ext>
          </c:extLst>
        </c:ser>
        <c:ser>
          <c:idx val="1"/>
          <c:order val="1"/>
          <c:tx>
            <c:v>Galones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'GRAFICAS RPTE GCIAL'!$AK$85:$AN$87</c:f>
              <c:strCache>
                <c:ptCount val="4"/>
                <c:pt idx="0">
                  <c:v> GT-8001</c:v>
                </c:pt>
                <c:pt idx="1">
                  <c:v>GT-8002</c:v>
                </c:pt>
                <c:pt idx="2">
                  <c:v>G-8005</c:v>
                </c:pt>
                <c:pt idx="3">
                  <c:v>G-8006</c:v>
                </c:pt>
              </c:strCache>
            </c:strRef>
          </c:cat>
          <c:val>
            <c:numRef>
              <c:f>'GRAFICAS RPTE GCIAL'!$AG$97:$AJ$97</c:f>
              <c:numCache>
                <c:formatCode>#,##0_);\(#,##0\)</c:formatCode>
                <c:ptCount val="4"/>
                <c:pt idx="0">
                  <c:v>734</c:v>
                </c:pt>
                <c:pt idx="1">
                  <c:v>0</c:v>
                </c:pt>
                <c:pt idx="2">
                  <c:v>183.59999999999673</c:v>
                </c:pt>
                <c:pt idx="3">
                  <c:v>13008.36</c:v>
                </c:pt>
              </c:numCache>
            </c:numRef>
          </c:val>
          <c:extLst>
            <c:ext xmlns:c16="http://schemas.microsoft.com/office/drawing/2014/chart" uri="{C3380CC4-5D6E-409C-BE32-E72D297353CC}">
              <c16:uniqueId val="{00000000-FBE0-456E-98DC-976719EFF7E7}"/>
            </c:ext>
          </c:extLst>
        </c:ser>
        <c:dLbls>
          <c:showLegendKey val="0"/>
          <c:showVal val="0"/>
          <c:showCatName val="0"/>
          <c:showSerName val="0"/>
          <c:showPercent val="0"/>
          <c:showBubbleSize val="0"/>
        </c:dLbls>
        <c:gapWidth val="100"/>
        <c:axId val="682775584"/>
        <c:axId val="676902096"/>
      </c:barChart>
      <c:valAx>
        <c:axId val="676902096"/>
        <c:scaling>
          <c:orientation val="minMax"/>
        </c:scaling>
        <c:delete val="0"/>
        <c:axPos val="b"/>
        <c:numFmt formatCode="#,##0.00_);\(#,##0.00\)" sourceLinked="1"/>
        <c:majorTickMark val="out"/>
        <c:minorTickMark val="none"/>
        <c:tickLblPos val="nextTo"/>
        <c:crossAx val="682775584"/>
        <c:crosses val="autoZero"/>
        <c:crossBetween val="between"/>
      </c:valAx>
      <c:catAx>
        <c:axId val="682775584"/>
        <c:scaling>
          <c:orientation val="minMax"/>
        </c:scaling>
        <c:delete val="0"/>
        <c:axPos val="l"/>
        <c:numFmt formatCode="General" sourceLinked="1"/>
        <c:majorTickMark val="out"/>
        <c:minorTickMark val="none"/>
        <c:tickLblPos val="nextTo"/>
        <c:spPr>
          <a:ln>
            <a:solidFill>
              <a:srgbClr val="4F81BD">
                <a:alpha val="99000"/>
              </a:srgbClr>
            </a:solidFill>
          </a:ln>
        </c:spPr>
        <c:crossAx val="676902096"/>
        <c:crosses val="autoZero"/>
        <c:auto val="1"/>
        <c:lblAlgn val="ctr"/>
        <c:lblOffset val="100"/>
        <c:noMultiLvlLbl val="0"/>
      </c:catAx>
      <c:dTable>
        <c:showHorzBorder val="1"/>
        <c:showVertBorder val="1"/>
        <c:showOutline val="1"/>
        <c:showKeys val="1"/>
      </c:dTable>
      <c:spPr>
        <a:ln>
          <a:noFill/>
        </a:ln>
      </c:spPr>
    </c:plotArea>
    <c:legend>
      <c:legendPos val="r"/>
      <c:overlay val="0"/>
    </c:legend>
    <c:plotVisOnly val="1"/>
    <c:dispBlanksAs val="gap"/>
    <c:showDLblsOverMax val="0"/>
  </c:chart>
  <c:txPr>
    <a:bodyPr/>
    <a:lstStyle/>
    <a:p>
      <a:pPr>
        <a:defRPr baseline="0"/>
      </a:pPr>
      <a:endParaRPr lang="es-CO"/>
    </a:p>
  </c:txPr>
  <c:printSettings>
    <c:headerFooter/>
    <c:pageMargins b="0.75000000000001465" l="0.70000000000000062" r="0.70000000000000062" t="0.75000000000001465" header="0.30000000000000032" footer="0.30000000000000032"/>
    <c:pageSetup/>
  </c:printSettings>
  <c:userShapes r:id="rId2"/>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GENERACIÓN REACTIVA DIARIA OCTUBRE 2023</a:t>
            </a:r>
          </a:p>
        </c:rich>
      </c:tx>
      <c:layout>
        <c:manualLayout>
          <c:xMode val="edge"/>
          <c:yMode val="edge"/>
          <c:x val="0.25905096451415616"/>
          <c:y val="1.9202980544507822E-2"/>
        </c:manualLayout>
      </c:layout>
      <c:overlay val="0"/>
    </c:title>
    <c:autoTitleDeleted val="0"/>
    <c:plotArea>
      <c:layout/>
      <c:lineChart>
        <c:grouping val="standard"/>
        <c:varyColors val="0"/>
        <c:ser>
          <c:idx val="6"/>
          <c:order val="0"/>
          <c:tx>
            <c:strRef>
              <c:f>'GRAFICAS RPTE GCIAL'!$D$125</c:f>
              <c:strCache>
                <c:ptCount val="1"/>
                <c:pt idx="0">
                  <c:v>US-GT 8001 Mvarh</c:v>
                </c:pt>
              </c:strCache>
            </c:strRef>
          </c:tx>
          <c:spPr>
            <a:ln>
              <a:solidFill>
                <a:srgbClr val="7030A0"/>
              </a:solidFill>
            </a:ln>
          </c:spPr>
          <c:marker>
            <c:symbol val="none"/>
          </c:marker>
          <c:val>
            <c:numRef>
              <c:f>'GRAFICAS RPTE GCIAL'!$D$126:$D$156</c:f>
              <c:numCache>
                <c:formatCode>0.0</c:formatCode>
                <c:ptCount val="31"/>
                <c:pt idx="0">
                  <c:v>70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22BC-41DF-B817-B160828FE1E7}"/>
            </c:ext>
          </c:extLst>
        </c:ser>
        <c:ser>
          <c:idx val="7"/>
          <c:order val="1"/>
          <c:tx>
            <c:strRef>
              <c:f>'GRAFICAS RPTE GCIAL'!$J$125</c:f>
              <c:strCache>
                <c:ptCount val="1"/>
                <c:pt idx="0">
                  <c:v>US-GT 8002 Mvarh</c:v>
                </c:pt>
              </c:strCache>
            </c:strRef>
          </c:tx>
          <c:spPr>
            <a:ln>
              <a:solidFill>
                <a:srgbClr val="E86E0A"/>
              </a:solidFill>
            </a:ln>
          </c:spPr>
          <c:marker>
            <c:symbol val="none"/>
          </c:marker>
          <c:val>
            <c:numRef>
              <c:f>'GRAFICAS RPTE GCIAL'!$J$126:$J$156</c:f>
              <c:numCache>
                <c:formatCode>0.0</c:formatCode>
                <c:ptCount val="31"/>
                <c:pt idx="0">
                  <c:v>152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1-22BC-41DF-B817-B160828FE1E7}"/>
            </c:ext>
          </c:extLst>
        </c:ser>
        <c:ser>
          <c:idx val="2"/>
          <c:order val="2"/>
          <c:tx>
            <c:strRef>
              <c:f>'GRAFICAS RPTE GCIAL'!$S$125</c:f>
              <c:strCache>
                <c:ptCount val="1"/>
                <c:pt idx="0">
                  <c:v>G-8005   Mvarh</c:v>
                </c:pt>
              </c:strCache>
            </c:strRef>
          </c:tx>
          <c:marker>
            <c:symbol val="none"/>
          </c:marker>
          <c:cat>
            <c:numLit>
              <c:formatCode>General</c:formatCode>
              <c:ptCount val="49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29</c:v>
              </c:pt>
              <c:pt idx="32">
                <c:v>30</c:v>
              </c:pt>
              <c:pt idx="33">
                <c:v>31</c:v>
              </c:pt>
              <c:pt idx="34">
                <c:v>29</c:v>
              </c:pt>
              <c:pt idx="35">
                <c:v>30</c:v>
              </c:pt>
              <c:pt idx="36">
                <c:v>31</c:v>
              </c:pt>
              <c:pt idx="37">
                <c:v>29</c:v>
              </c:pt>
              <c:pt idx="38">
                <c:v>30</c:v>
              </c:pt>
              <c:pt idx="39">
                <c:v>31</c:v>
              </c:pt>
              <c:pt idx="40">
                <c:v>29</c:v>
              </c:pt>
              <c:pt idx="41">
                <c:v>30</c:v>
              </c:pt>
              <c:pt idx="42">
                <c:v>31</c:v>
              </c:pt>
              <c:pt idx="43">
                <c:v>29</c:v>
              </c:pt>
              <c:pt idx="44">
                <c:v>30</c:v>
              </c:pt>
              <c:pt idx="45">
                <c:v>31</c:v>
              </c:pt>
              <c:pt idx="46">
                <c:v>29</c:v>
              </c:pt>
              <c:pt idx="47">
                <c:v>30</c:v>
              </c:pt>
              <c:pt idx="48">
                <c:v>31</c:v>
              </c:pt>
              <c:pt idx="49">
                <c:v>29</c:v>
              </c:pt>
              <c:pt idx="50">
                <c:v>30</c:v>
              </c:pt>
              <c:pt idx="51">
                <c:v>31</c:v>
              </c:pt>
              <c:pt idx="52">
                <c:v>29</c:v>
              </c:pt>
              <c:pt idx="53">
                <c:v>30</c:v>
              </c:pt>
              <c:pt idx="54">
                <c:v>31</c:v>
              </c:pt>
              <c:pt idx="55">
                <c:v>29</c:v>
              </c:pt>
              <c:pt idx="56">
                <c:v>30</c:v>
              </c:pt>
              <c:pt idx="57">
                <c:v>31</c:v>
              </c:pt>
              <c:pt idx="58">
                <c:v>29</c:v>
              </c:pt>
              <c:pt idx="59">
                <c:v>30</c:v>
              </c:pt>
              <c:pt idx="60">
                <c:v>31</c:v>
              </c:pt>
              <c:pt idx="61">
                <c:v>29</c:v>
              </c:pt>
              <c:pt idx="62">
                <c:v>30</c:v>
              </c:pt>
              <c:pt idx="63">
                <c:v>31</c:v>
              </c:pt>
              <c:pt idx="64">
                <c:v>29</c:v>
              </c:pt>
              <c:pt idx="65">
                <c:v>30</c:v>
              </c:pt>
              <c:pt idx="66">
                <c:v>31</c:v>
              </c:pt>
              <c:pt idx="67">
                <c:v>29</c:v>
              </c:pt>
              <c:pt idx="68">
                <c:v>30</c:v>
              </c:pt>
              <c:pt idx="69">
                <c:v>31</c:v>
              </c:pt>
              <c:pt idx="70">
                <c:v>29</c:v>
              </c:pt>
              <c:pt idx="71">
                <c:v>30</c:v>
              </c:pt>
              <c:pt idx="72">
                <c:v>31</c:v>
              </c:pt>
              <c:pt idx="73">
                <c:v>29</c:v>
              </c:pt>
              <c:pt idx="74">
                <c:v>30</c:v>
              </c:pt>
              <c:pt idx="75">
                <c:v>31</c:v>
              </c:pt>
              <c:pt idx="76">
                <c:v>29</c:v>
              </c:pt>
              <c:pt idx="77">
                <c:v>30</c:v>
              </c:pt>
              <c:pt idx="78">
                <c:v>31</c:v>
              </c:pt>
              <c:pt idx="79">
                <c:v>29</c:v>
              </c:pt>
              <c:pt idx="80">
                <c:v>30</c:v>
              </c:pt>
              <c:pt idx="81">
                <c:v>31</c:v>
              </c:pt>
              <c:pt idx="82">
                <c:v>29</c:v>
              </c:pt>
              <c:pt idx="83">
                <c:v>30</c:v>
              </c:pt>
              <c:pt idx="84">
                <c:v>31</c:v>
              </c:pt>
              <c:pt idx="85">
                <c:v>29</c:v>
              </c:pt>
              <c:pt idx="86">
                <c:v>30</c:v>
              </c:pt>
              <c:pt idx="87">
                <c:v>31</c:v>
              </c:pt>
              <c:pt idx="88">
                <c:v>29</c:v>
              </c:pt>
              <c:pt idx="89">
                <c:v>30</c:v>
              </c:pt>
              <c:pt idx="90">
                <c:v>31</c:v>
              </c:pt>
              <c:pt idx="91">
                <c:v>29</c:v>
              </c:pt>
              <c:pt idx="92">
                <c:v>30</c:v>
              </c:pt>
              <c:pt idx="93">
                <c:v>31</c:v>
              </c:pt>
              <c:pt idx="94">
                <c:v>29</c:v>
              </c:pt>
              <c:pt idx="95">
                <c:v>30</c:v>
              </c:pt>
              <c:pt idx="96">
                <c:v>31</c:v>
              </c:pt>
              <c:pt idx="97">
                <c:v>29</c:v>
              </c:pt>
              <c:pt idx="98">
                <c:v>30</c:v>
              </c:pt>
              <c:pt idx="99">
                <c:v>31</c:v>
              </c:pt>
              <c:pt idx="100">
                <c:v>29</c:v>
              </c:pt>
              <c:pt idx="101">
                <c:v>30</c:v>
              </c:pt>
              <c:pt idx="102">
                <c:v>31</c:v>
              </c:pt>
              <c:pt idx="103">
                <c:v>29</c:v>
              </c:pt>
              <c:pt idx="104">
                <c:v>30</c:v>
              </c:pt>
              <c:pt idx="105">
                <c:v>31</c:v>
              </c:pt>
              <c:pt idx="106">
                <c:v>29</c:v>
              </c:pt>
              <c:pt idx="107">
                <c:v>30</c:v>
              </c:pt>
              <c:pt idx="108">
                <c:v>31</c:v>
              </c:pt>
              <c:pt idx="109">
                <c:v>29</c:v>
              </c:pt>
              <c:pt idx="110">
                <c:v>30</c:v>
              </c:pt>
              <c:pt idx="111">
                <c:v>31</c:v>
              </c:pt>
              <c:pt idx="112">
                <c:v>29</c:v>
              </c:pt>
              <c:pt idx="113">
                <c:v>30</c:v>
              </c:pt>
              <c:pt idx="114">
                <c:v>31</c:v>
              </c:pt>
              <c:pt idx="115">
                <c:v>29</c:v>
              </c:pt>
              <c:pt idx="116">
                <c:v>30</c:v>
              </c:pt>
              <c:pt idx="117">
                <c:v>31</c:v>
              </c:pt>
              <c:pt idx="118">
                <c:v>29</c:v>
              </c:pt>
              <c:pt idx="119">
                <c:v>30</c:v>
              </c:pt>
              <c:pt idx="120">
                <c:v>31</c:v>
              </c:pt>
              <c:pt idx="121">
                <c:v>29</c:v>
              </c:pt>
              <c:pt idx="122">
                <c:v>30</c:v>
              </c:pt>
              <c:pt idx="123">
                <c:v>31</c:v>
              </c:pt>
              <c:pt idx="124">
                <c:v>29</c:v>
              </c:pt>
              <c:pt idx="125">
                <c:v>30</c:v>
              </c:pt>
              <c:pt idx="126">
                <c:v>31</c:v>
              </c:pt>
              <c:pt idx="127">
                <c:v>29</c:v>
              </c:pt>
              <c:pt idx="128">
                <c:v>30</c:v>
              </c:pt>
              <c:pt idx="129">
                <c:v>31</c:v>
              </c:pt>
              <c:pt idx="130">
                <c:v>29</c:v>
              </c:pt>
              <c:pt idx="131">
                <c:v>30</c:v>
              </c:pt>
              <c:pt idx="132">
                <c:v>31</c:v>
              </c:pt>
              <c:pt idx="133">
                <c:v>29</c:v>
              </c:pt>
              <c:pt idx="134">
                <c:v>30</c:v>
              </c:pt>
              <c:pt idx="135">
                <c:v>31</c:v>
              </c:pt>
              <c:pt idx="136">
                <c:v>29</c:v>
              </c:pt>
              <c:pt idx="137">
                <c:v>30</c:v>
              </c:pt>
              <c:pt idx="138">
                <c:v>31</c:v>
              </c:pt>
              <c:pt idx="139">
                <c:v>29</c:v>
              </c:pt>
              <c:pt idx="140">
                <c:v>30</c:v>
              </c:pt>
              <c:pt idx="141">
                <c:v>31</c:v>
              </c:pt>
              <c:pt idx="142">
                <c:v>29</c:v>
              </c:pt>
              <c:pt idx="143">
                <c:v>30</c:v>
              </c:pt>
              <c:pt idx="144">
                <c:v>31</c:v>
              </c:pt>
              <c:pt idx="145">
                <c:v>29</c:v>
              </c:pt>
              <c:pt idx="146">
                <c:v>30</c:v>
              </c:pt>
              <c:pt idx="147">
                <c:v>31</c:v>
              </c:pt>
              <c:pt idx="148">
                <c:v>29</c:v>
              </c:pt>
              <c:pt idx="149">
                <c:v>30</c:v>
              </c:pt>
              <c:pt idx="150">
                <c:v>31</c:v>
              </c:pt>
              <c:pt idx="151">
                <c:v>29</c:v>
              </c:pt>
              <c:pt idx="152">
                <c:v>30</c:v>
              </c:pt>
              <c:pt idx="153">
                <c:v>31</c:v>
              </c:pt>
              <c:pt idx="154">
                <c:v>29</c:v>
              </c:pt>
              <c:pt idx="155">
                <c:v>30</c:v>
              </c:pt>
              <c:pt idx="156">
                <c:v>31</c:v>
              </c:pt>
              <c:pt idx="157">
                <c:v>29</c:v>
              </c:pt>
              <c:pt idx="158">
                <c:v>30</c:v>
              </c:pt>
              <c:pt idx="159">
                <c:v>31</c:v>
              </c:pt>
              <c:pt idx="160">
                <c:v>29</c:v>
              </c:pt>
              <c:pt idx="161">
                <c:v>30</c:v>
              </c:pt>
              <c:pt idx="162">
                <c:v>31</c:v>
              </c:pt>
              <c:pt idx="163">
                <c:v>29</c:v>
              </c:pt>
              <c:pt idx="164">
                <c:v>30</c:v>
              </c:pt>
              <c:pt idx="165">
                <c:v>31</c:v>
              </c:pt>
              <c:pt idx="166">
                <c:v>29</c:v>
              </c:pt>
              <c:pt idx="167">
                <c:v>30</c:v>
              </c:pt>
              <c:pt idx="168">
                <c:v>31</c:v>
              </c:pt>
              <c:pt idx="169">
                <c:v>29</c:v>
              </c:pt>
              <c:pt idx="170">
                <c:v>30</c:v>
              </c:pt>
              <c:pt idx="171">
                <c:v>31</c:v>
              </c:pt>
              <c:pt idx="172">
                <c:v>29</c:v>
              </c:pt>
              <c:pt idx="173">
                <c:v>30</c:v>
              </c:pt>
              <c:pt idx="174">
                <c:v>31</c:v>
              </c:pt>
              <c:pt idx="175">
                <c:v>29</c:v>
              </c:pt>
              <c:pt idx="176">
                <c:v>30</c:v>
              </c:pt>
              <c:pt idx="177">
                <c:v>31</c:v>
              </c:pt>
              <c:pt idx="178">
                <c:v>29</c:v>
              </c:pt>
              <c:pt idx="179">
                <c:v>30</c:v>
              </c:pt>
              <c:pt idx="180">
                <c:v>31</c:v>
              </c:pt>
              <c:pt idx="181">
                <c:v>29</c:v>
              </c:pt>
              <c:pt idx="182">
                <c:v>30</c:v>
              </c:pt>
              <c:pt idx="183">
                <c:v>31</c:v>
              </c:pt>
              <c:pt idx="184">
                <c:v>29</c:v>
              </c:pt>
              <c:pt idx="185">
                <c:v>30</c:v>
              </c:pt>
              <c:pt idx="186">
                <c:v>31</c:v>
              </c:pt>
              <c:pt idx="187">
                <c:v>29</c:v>
              </c:pt>
              <c:pt idx="188">
                <c:v>30</c:v>
              </c:pt>
              <c:pt idx="189">
                <c:v>31</c:v>
              </c:pt>
              <c:pt idx="190">
                <c:v>29</c:v>
              </c:pt>
              <c:pt idx="191">
                <c:v>30</c:v>
              </c:pt>
              <c:pt idx="192">
                <c:v>31</c:v>
              </c:pt>
              <c:pt idx="193">
                <c:v>29</c:v>
              </c:pt>
              <c:pt idx="194">
                <c:v>30</c:v>
              </c:pt>
              <c:pt idx="195">
                <c:v>31</c:v>
              </c:pt>
              <c:pt idx="196">
                <c:v>29</c:v>
              </c:pt>
              <c:pt idx="197">
                <c:v>30</c:v>
              </c:pt>
              <c:pt idx="198">
                <c:v>31</c:v>
              </c:pt>
              <c:pt idx="199">
                <c:v>29</c:v>
              </c:pt>
              <c:pt idx="200">
                <c:v>30</c:v>
              </c:pt>
              <c:pt idx="201">
                <c:v>31</c:v>
              </c:pt>
              <c:pt idx="202">
                <c:v>29</c:v>
              </c:pt>
              <c:pt idx="203">
                <c:v>30</c:v>
              </c:pt>
              <c:pt idx="204">
                <c:v>31</c:v>
              </c:pt>
              <c:pt idx="205">
                <c:v>29</c:v>
              </c:pt>
              <c:pt idx="206">
                <c:v>30</c:v>
              </c:pt>
              <c:pt idx="207">
                <c:v>31</c:v>
              </c:pt>
              <c:pt idx="208">
                <c:v>29</c:v>
              </c:pt>
              <c:pt idx="209">
                <c:v>30</c:v>
              </c:pt>
              <c:pt idx="210">
                <c:v>31</c:v>
              </c:pt>
              <c:pt idx="211">
                <c:v>31</c:v>
              </c:pt>
              <c:pt idx="212">
                <c:v>31</c:v>
              </c:pt>
              <c:pt idx="213">
                <c:v>31</c:v>
              </c:pt>
              <c:pt idx="214">
                <c:v>31</c:v>
              </c:pt>
              <c:pt idx="215">
                <c:v>31</c:v>
              </c:pt>
              <c:pt idx="216">
                <c:v>31</c:v>
              </c:pt>
              <c:pt idx="217">
                <c:v>31</c:v>
              </c:pt>
              <c:pt idx="218">
                <c:v>31</c:v>
              </c:pt>
              <c:pt idx="219">
                <c:v>31</c:v>
              </c:pt>
              <c:pt idx="220">
                <c:v>31</c:v>
              </c:pt>
              <c:pt idx="221">
                <c:v>31</c:v>
              </c:pt>
              <c:pt idx="222">
                <c:v>31</c:v>
              </c:pt>
              <c:pt idx="223">
                <c:v>31</c:v>
              </c:pt>
              <c:pt idx="224">
                <c:v>31</c:v>
              </c:pt>
              <c:pt idx="225">
                <c:v>31</c:v>
              </c:pt>
              <c:pt idx="226">
                <c:v>31</c:v>
              </c:pt>
              <c:pt idx="227">
                <c:v>31</c:v>
              </c:pt>
              <c:pt idx="228">
                <c:v>31</c:v>
              </c:pt>
              <c:pt idx="229">
                <c:v>31</c:v>
              </c:pt>
              <c:pt idx="230">
                <c:v>31</c:v>
              </c:pt>
              <c:pt idx="231">
                <c:v>31</c:v>
              </c:pt>
              <c:pt idx="232">
                <c:v>31</c:v>
              </c:pt>
              <c:pt idx="233">
                <c:v>31</c:v>
              </c:pt>
              <c:pt idx="234">
                <c:v>31</c:v>
              </c:pt>
              <c:pt idx="235">
                <c:v>31</c:v>
              </c:pt>
              <c:pt idx="236">
                <c:v>31</c:v>
              </c:pt>
              <c:pt idx="237">
                <c:v>31</c:v>
              </c:pt>
              <c:pt idx="238">
                <c:v>31</c:v>
              </c:pt>
              <c:pt idx="239">
                <c:v>31</c:v>
              </c:pt>
              <c:pt idx="240">
                <c:v>31</c:v>
              </c:pt>
              <c:pt idx="241">
                <c:v>31</c:v>
              </c:pt>
              <c:pt idx="242">
                <c:v>31</c:v>
              </c:pt>
              <c:pt idx="243">
                <c:v>31</c:v>
              </c:pt>
              <c:pt idx="244">
                <c:v>31</c:v>
              </c:pt>
              <c:pt idx="245">
                <c:v>31</c:v>
              </c:pt>
              <c:pt idx="246">
                <c:v>31</c:v>
              </c:pt>
              <c:pt idx="247">
                <c:v>31</c:v>
              </c:pt>
              <c:pt idx="248">
                <c:v>31</c:v>
              </c:pt>
              <c:pt idx="249">
                <c:v>31</c:v>
              </c:pt>
              <c:pt idx="250">
                <c:v>31</c:v>
              </c:pt>
              <c:pt idx="251">
                <c:v>31</c:v>
              </c:pt>
              <c:pt idx="252">
                <c:v>31</c:v>
              </c:pt>
              <c:pt idx="253">
                <c:v>31</c:v>
              </c:pt>
              <c:pt idx="254">
                <c:v>31</c:v>
              </c:pt>
              <c:pt idx="255">
                <c:v>31</c:v>
              </c:pt>
              <c:pt idx="256">
                <c:v>31</c:v>
              </c:pt>
              <c:pt idx="257">
                <c:v>31</c:v>
              </c:pt>
              <c:pt idx="258">
                <c:v>31</c:v>
              </c:pt>
              <c:pt idx="259">
                <c:v>31</c:v>
              </c:pt>
              <c:pt idx="260">
                <c:v>31</c:v>
              </c:pt>
              <c:pt idx="261">
                <c:v>31</c:v>
              </c:pt>
              <c:pt idx="262">
                <c:v>31</c:v>
              </c:pt>
              <c:pt idx="263">
                <c:v>31</c:v>
              </c:pt>
              <c:pt idx="264">
                <c:v>31</c:v>
              </c:pt>
              <c:pt idx="265">
                <c:v>31</c:v>
              </c:pt>
              <c:pt idx="266">
                <c:v>31</c:v>
              </c:pt>
              <c:pt idx="267">
                <c:v>31</c:v>
              </c:pt>
              <c:pt idx="268">
                <c:v>31</c:v>
              </c:pt>
              <c:pt idx="269">
                <c:v>31</c:v>
              </c:pt>
              <c:pt idx="270">
                <c:v>31</c:v>
              </c:pt>
              <c:pt idx="271">
                <c:v>31</c:v>
              </c:pt>
              <c:pt idx="272">
                <c:v>31</c:v>
              </c:pt>
              <c:pt idx="273">
                <c:v>31</c:v>
              </c:pt>
              <c:pt idx="274">
                <c:v>31</c:v>
              </c:pt>
              <c:pt idx="275">
                <c:v>31</c:v>
              </c:pt>
              <c:pt idx="276">
                <c:v>31</c:v>
              </c:pt>
              <c:pt idx="277">
                <c:v>31</c:v>
              </c:pt>
              <c:pt idx="278">
                <c:v>31</c:v>
              </c:pt>
              <c:pt idx="279">
                <c:v>31</c:v>
              </c:pt>
              <c:pt idx="280">
                <c:v>31</c:v>
              </c:pt>
              <c:pt idx="281">
                <c:v>31</c:v>
              </c:pt>
              <c:pt idx="282">
                <c:v>31</c:v>
              </c:pt>
              <c:pt idx="283">
                <c:v>31</c:v>
              </c:pt>
              <c:pt idx="284">
                <c:v>31</c:v>
              </c:pt>
              <c:pt idx="285">
                <c:v>31</c:v>
              </c:pt>
              <c:pt idx="286">
                <c:v>31</c:v>
              </c:pt>
              <c:pt idx="287">
                <c:v>31</c:v>
              </c:pt>
              <c:pt idx="288">
                <c:v>31</c:v>
              </c:pt>
              <c:pt idx="289">
                <c:v>31</c:v>
              </c:pt>
              <c:pt idx="290">
                <c:v>31</c:v>
              </c:pt>
              <c:pt idx="291">
                <c:v>31</c:v>
              </c:pt>
              <c:pt idx="292">
                <c:v>31</c:v>
              </c:pt>
              <c:pt idx="293">
                <c:v>29</c:v>
              </c:pt>
              <c:pt idx="294">
                <c:v>30</c:v>
              </c:pt>
              <c:pt idx="295">
                <c:v>31</c:v>
              </c:pt>
              <c:pt idx="296">
                <c:v>29</c:v>
              </c:pt>
              <c:pt idx="297">
                <c:v>30</c:v>
              </c:pt>
              <c:pt idx="298">
                <c:v>31</c:v>
              </c:pt>
              <c:pt idx="299">
                <c:v>29</c:v>
              </c:pt>
              <c:pt idx="300">
                <c:v>30</c:v>
              </c:pt>
              <c:pt idx="301">
                <c:v>31</c:v>
              </c:pt>
              <c:pt idx="302">
                <c:v>29</c:v>
              </c:pt>
              <c:pt idx="303">
                <c:v>30</c:v>
              </c:pt>
              <c:pt idx="304">
                <c:v>31</c:v>
              </c:pt>
              <c:pt idx="305">
                <c:v>29</c:v>
              </c:pt>
              <c:pt idx="306">
                <c:v>30</c:v>
              </c:pt>
              <c:pt idx="307">
                <c:v>31</c:v>
              </c:pt>
              <c:pt idx="308">
                <c:v>29</c:v>
              </c:pt>
              <c:pt idx="309">
                <c:v>30</c:v>
              </c:pt>
              <c:pt idx="310">
                <c:v>31</c:v>
              </c:pt>
              <c:pt idx="311">
                <c:v>29</c:v>
              </c:pt>
              <c:pt idx="312">
                <c:v>30</c:v>
              </c:pt>
              <c:pt idx="313">
                <c:v>31</c:v>
              </c:pt>
              <c:pt idx="314">
                <c:v>29</c:v>
              </c:pt>
              <c:pt idx="315">
                <c:v>30</c:v>
              </c:pt>
              <c:pt idx="316">
                <c:v>31</c:v>
              </c:pt>
              <c:pt idx="317">
                <c:v>29</c:v>
              </c:pt>
              <c:pt idx="318">
                <c:v>30</c:v>
              </c:pt>
              <c:pt idx="319">
                <c:v>31</c:v>
              </c:pt>
              <c:pt idx="320">
                <c:v>29</c:v>
              </c:pt>
              <c:pt idx="321">
                <c:v>30</c:v>
              </c:pt>
              <c:pt idx="322">
                <c:v>31</c:v>
              </c:pt>
              <c:pt idx="323">
                <c:v>29</c:v>
              </c:pt>
              <c:pt idx="324">
                <c:v>30</c:v>
              </c:pt>
              <c:pt idx="325">
                <c:v>31</c:v>
              </c:pt>
              <c:pt idx="326">
                <c:v>29</c:v>
              </c:pt>
              <c:pt idx="327">
                <c:v>30</c:v>
              </c:pt>
              <c:pt idx="328">
                <c:v>31</c:v>
              </c:pt>
              <c:pt idx="329">
                <c:v>29</c:v>
              </c:pt>
              <c:pt idx="330">
                <c:v>30</c:v>
              </c:pt>
              <c:pt idx="331">
                <c:v>31</c:v>
              </c:pt>
              <c:pt idx="332">
                <c:v>29</c:v>
              </c:pt>
              <c:pt idx="333">
                <c:v>30</c:v>
              </c:pt>
              <c:pt idx="334">
                <c:v>31</c:v>
              </c:pt>
              <c:pt idx="335">
                <c:v>29</c:v>
              </c:pt>
              <c:pt idx="336">
                <c:v>30</c:v>
              </c:pt>
              <c:pt idx="337">
                <c:v>31</c:v>
              </c:pt>
              <c:pt idx="338">
                <c:v>29</c:v>
              </c:pt>
              <c:pt idx="339">
                <c:v>30</c:v>
              </c:pt>
              <c:pt idx="340">
                <c:v>31</c:v>
              </c:pt>
              <c:pt idx="341">
                <c:v>29</c:v>
              </c:pt>
              <c:pt idx="342">
                <c:v>30</c:v>
              </c:pt>
              <c:pt idx="343">
                <c:v>31</c:v>
              </c:pt>
              <c:pt idx="344">
                <c:v>29</c:v>
              </c:pt>
              <c:pt idx="345">
                <c:v>30</c:v>
              </c:pt>
              <c:pt idx="346">
                <c:v>31</c:v>
              </c:pt>
              <c:pt idx="347">
                <c:v>29</c:v>
              </c:pt>
              <c:pt idx="348">
                <c:v>30</c:v>
              </c:pt>
              <c:pt idx="349">
                <c:v>31</c:v>
              </c:pt>
              <c:pt idx="350">
                <c:v>29</c:v>
              </c:pt>
              <c:pt idx="351">
                <c:v>30</c:v>
              </c:pt>
              <c:pt idx="352">
                <c:v>31</c:v>
              </c:pt>
              <c:pt idx="353">
                <c:v>29</c:v>
              </c:pt>
              <c:pt idx="354">
                <c:v>30</c:v>
              </c:pt>
              <c:pt idx="355">
                <c:v>31</c:v>
              </c:pt>
              <c:pt idx="356">
                <c:v>29</c:v>
              </c:pt>
              <c:pt idx="357">
                <c:v>30</c:v>
              </c:pt>
              <c:pt idx="358">
                <c:v>31</c:v>
              </c:pt>
              <c:pt idx="359">
                <c:v>29</c:v>
              </c:pt>
              <c:pt idx="360">
                <c:v>30</c:v>
              </c:pt>
              <c:pt idx="361">
                <c:v>31</c:v>
              </c:pt>
              <c:pt idx="362">
                <c:v>29</c:v>
              </c:pt>
              <c:pt idx="363">
                <c:v>30</c:v>
              </c:pt>
              <c:pt idx="364">
                <c:v>31</c:v>
              </c:pt>
              <c:pt idx="365">
                <c:v>29</c:v>
              </c:pt>
              <c:pt idx="366">
                <c:v>30</c:v>
              </c:pt>
              <c:pt idx="367">
                <c:v>31</c:v>
              </c:pt>
              <c:pt idx="368">
                <c:v>29</c:v>
              </c:pt>
              <c:pt idx="369">
                <c:v>30</c:v>
              </c:pt>
              <c:pt idx="370">
                <c:v>31</c:v>
              </c:pt>
              <c:pt idx="371">
                <c:v>29</c:v>
              </c:pt>
              <c:pt idx="372">
                <c:v>30</c:v>
              </c:pt>
              <c:pt idx="373">
                <c:v>31</c:v>
              </c:pt>
              <c:pt idx="374">
                <c:v>29</c:v>
              </c:pt>
              <c:pt idx="375">
                <c:v>30</c:v>
              </c:pt>
              <c:pt idx="376">
                <c:v>31</c:v>
              </c:pt>
              <c:pt idx="377">
                <c:v>29</c:v>
              </c:pt>
              <c:pt idx="378">
                <c:v>30</c:v>
              </c:pt>
              <c:pt idx="379">
                <c:v>31</c:v>
              </c:pt>
              <c:pt idx="380">
                <c:v>29</c:v>
              </c:pt>
              <c:pt idx="381">
                <c:v>30</c:v>
              </c:pt>
              <c:pt idx="382">
                <c:v>31</c:v>
              </c:pt>
              <c:pt idx="383">
                <c:v>29</c:v>
              </c:pt>
              <c:pt idx="384">
                <c:v>30</c:v>
              </c:pt>
              <c:pt idx="385">
                <c:v>31</c:v>
              </c:pt>
              <c:pt idx="386">
                <c:v>29</c:v>
              </c:pt>
              <c:pt idx="387">
                <c:v>30</c:v>
              </c:pt>
              <c:pt idx="388">
                <c:v>31</c:v>
              </c:pt>
              <c:pt idx="389">
                <c:v>29</c:v>
              </c:pt>
              <c:pt idx="390">
                <c:v>30</c:v>
              </c:pt>
              <c:pt idx="391">
                <c:v>31</c:v>
              </c:pt>
              <c:pt idx="392">
                <c:v>29</c:v>
              </c:pt>
              <c:pt idx="393">
                <c:v>30</c:v>
              </c:pt>
              <c:pt idx="394">
                <c:v>31</c:v>
              </c:pt>
              <c:pt idx="395">
                <c:v>29</c:v>
              </c:pt>
              <c:pt idx="396">
                <c:v>30</c:v>
              </c:pt>
              <c:pt idx="397">
                <c:v>31</c:v>
              </c:pt>
              <c:pt idx="398">
                <c:v>29</c:v>
              </c:pt>
              <c:pt idx="399">
                <c:v>30</c:v>
              </c:pt>
              <c:pt idx="400">
                <c:v>31</c:v>
              </c:pt>
              <c:pt idx="401">
                <c:v>29</c:v>
              </c:pt>
              <c:pt idx="402">
                <c:v>30</c:v>
              </c:pt>
              <c:pt idx="403">
                <c:v>31</c:v>
              </c:pt>
              <c:pt idx="404">
                <c:v>29</c:v>
              </c:pt>
              <c:pt idx="405">
                <c:v>30</c:v>
              </c:pt>
              <c:pt idx="406">
                <c:v>31</c:v>
              </c:pt>
              <c:pt idx="407">
                <c:v>29</c:v>
              </c:pt>
              <c:pt idx="408">
                <c:v>30</c:v>
              </c:pt>
              <c:pt idx="409">
                <c:v>31</c:v>
              </c:pt>
              <c:pt idx="410">
                <c:v>29</c:v>
              </c:pt>
              <c:pt idx="411">
                <c:v>30</c:v>
              </c:pt>
              <c:pt idx="412">
                <c:v>31</c:v>
              </c:pt>
              <c:pt idx="413">
                <c:v>29</c:v>
              </c:pt>
              <c:pt idx="414">
                <c:v>30</c:v>
              </c:pt>
              <c:pt idx="415">
                <c:v>31</c:v>
              </c:pt>
              <c:pt idx="416">
                <c:v>29</c:v>
              </c:pt>
              <c:pt idx="417">
                <c:v>30</c:v>
              </c:pt>
              <c:pt idx="418">
                <c:v>31</c:v>
              </c:pt>
              <c:pt idx="419">
                <c:v>29</c:v>
              </c:pt>
              <c:pt idx="420">
                <c:v>30</c:v>
              </c:pt>
              <c:pt idx="421">
                <c:v>31</c:v>
              </c:pt>
              <c:pt idx="422">
                <c:v>29</c:v>
              </c:pt>
              <c:pt idx="423">
                <c:v>30</c:v>
              </c:pt>
              <c:pt idx="424">
                <c:v>31</c:v>
              </c:pt>
              <c:pt idx="425">
                <c:v>29</c:v>
              </c:pt>
              <c:pt idx="426">
                <c:v>30</c:v>
              </c:pt>
              <c:pt idx="427">
                <c:v>31</c:v>
              </c:pt>
              <c:pt idx="428">
                <c:v>29</c:v>
              </c:pt>
              <c:pt idx="429">
                <c:v>30</c:v>
              </c:pt>
              <c:pt idx="430">
                <c:v>31</c:v>
              </c:pt>
              <c:pt idx="431">
                <c:v>29</c:v>
              </c:pt>
              <c:pt idx="432">
                <c:v>30</c:v>
              </c:pt>
              <c:pt idx="433">
                <c:v>31</c:v>
              </c:pt>
              <c:pt idx="434">
                <c:v>29</c:v>
              </c:pt>
              <c:pt idx="435">
                <c:v>30</c:v>
              </c:pt>
              <c:pt idx="436">
                <c:v>31</c:v>
              </c:pt>
              <c:pt idx="437">
                <c:v>29</c:v>
              </c:pt>
              <c:pt idx="438">
                <c:v>30</c:v>
              </c:pt>
              <c:pt idx="439">
                <c:v>31</c:v>
              </c:pt>
              <c:pt idx="440">
                <c:v>29</c:v>
              </c:pt>
              <c:pt idx="441">
                <c:v>30</c:v>
              </c:pt>
              <c:pt idx="442">
                <c:v>31</c:v>
              </c:pt>
              <c:pt idx="443">
                <c:v>29</c:v>
              </c:pt>
              <c:pt idx="444">
                <c:v>30</c:v>
              </c:pt>
              <c:pt idx="445">
                <c:v>31</c:v>
              </c:pt>
              <c:pt idx="446">
                <c:v>29</c:v>
              </c:pt>
              <c:pt idx="447">
                <c:v>30</c:v>
              </c:pt>
              <c:pt idx="448">
                <c:v>31</c:v>
              </c:pt>
              <c:pt idx="449">
                <c:v>29</c:v>
              </c:pt>
              <c:pt idx="450">
                <c:v>30</c:v>
              </c:pt>
              <c:pt idx="451">
                <c:v>31</c:v>
              </c:pt>
              <c:pt idx="452">
                <c:v>31</c:v>
              </c:pt>
              <c:pt idx="453">
                <c:v>31</c:v>
              </c:pt>
              <c:pt idx="454">
                <c:v>31</c:v>
              </c:pt>
              <c:pt idx="455">
                <c:v>31</c:v>
              </c:pt>
              <c:pt idx="456">
                <c:v>31</c:v>
              </c:pt>
              <c:pt idx="457">
                <c:v>31</c:v>
              </c:pt>
              <c:pt idx="458">
                <c:v>31</c:v>
              </c:pt>
              <c:pt idx="459">
                <c:v>31</c:v>
              </c:pt>
              <c:pt idx="460">
                <c:v>31</c:v>
              </c:pt>
              <c:pt idx="461">
                <c:v>31</c:v>
              </c:pt>
              <c:pt idx="462">
                <c:v>31</c:v>
              </c:pt>
              <c:pt idx="463">
                <c:v>31</c:v>
              </c:pt>
              <c:pt idx="464">
                <c:v>31</c:v>
              </c:pt>
              <c:pt idx="465">
                <c:v>31</c:v>
              </c:pt>
              <c:pt idx="466">
                <c:v>31</c:v>
              </c:pt>
              <c:pt idx="467">
                <c:v>31</c:v>
              </c:pt>
              <c:pt idx="468">
                <c:v>31</c:v>
              </c:pt>
              <c:pt idx="469">
                <c:v>31</c:v>
              </c:pt>
              <c:pt idx="470">
                <c:v>31</c:v>
              </c:pt>
              <c:pt idx="471">
                <c:v>31</c:v>
              </c:pt>
              <c:pt idx="472">
                <c:v>31</c:v>
              </c:pt>
              <c:pt idx="473">
                <c:v>31</c:v>
              </c:pt>
              <c:pt idx="474">
                <c:v>31</c:v>
              </c:pt>
              <c:pt idx="475">
                <c:v>31</c:v>
              </c:pt>
              <c:pt idx="476">
                <c:v>31</c:v>
              </c:pt>
              <c:pt idx="477">
                <c:v>31</c:v>
              </c:pt>
              <c:pt idx="478">
                <c:v>31</c:v>
              </c:pt>
              <c:pt idx="479">
                <c:v>31</c:v>
              </c:pt>
              <c:pt idx="480">
                <c:v>31</c:v>
              </c:pt>
              <c:pt idx="481">
                <c:v>31</c:v>
              </c:pt>
              <c:pt idx="482">
                <c:v>31</c:v>
              </c:pt>
              <c:pt idx="483">
                <c:v>31</c:v>
              </c:pt>
              <c:pt idx="484">
                <c:v>31</c:v>
              </c:pt>
              <c:pt idx="485">
                <c:v>31</c:v>
              </c:pt>
              <c:pt idx="486">
                <c:v>31</c:v>
              </c:pt>
              <c:pt idx="487">
                <c:v>31</c:v>
              </c:pt>
              <c:pt idx="488">
                <c:v>31</c:v>
              </c:pt>
              <c:pt idx="489">
                <c:v>31</c:v>
              </c:pt>
              <c:pt idx="490">
                <c:v>31</c:v>
              </c:pt>
              <c:pt idx="491">
                <c:v>31</c:v>
              </c:pt>
              <c:pt idx="492">
                <c:v>31</c:v>
              </c:pt>
            </c:numLit>
          </c:cat>
          <c:val>
            <c:numRef>
              <c:f>'GRAFICAS RPTE GCIAL'!$S$126:$S$156</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2-22BC-41DF-B817-B160828FE1E7}"/>
            </c:ext>
          </c:extLst>
        </c:ser>
        <c:ser>
          <c:idx val="5"/>
          <c:order val="3"/>
          <c:tx>
            <c:strRef>
              <c:f>'GRAFICAS RPTE GCIAL'!$V$125</c:f>
              <c:strCache>
                <c:ptCount val="1"/>
                <c:pt idx="0">
                  <c:v>G-8006    Mvarh</c:v>
                </c:pt>
              </c:strCache>
            </c:strRef>
          </c:tx>
          <c:marker>
            <c:symbol val="none"/>
          </c:marker>
          <c:val>
            <c:numRef>
              <c:f>'GRAFICAS RPTE GCIAL'!$V$126:$V$156</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3-22BC-41DF-B817-B160828FE1E7}"/>
            </c:ext>
          </c:extLst>
        </c:ser>
        <c:ser>
          <c:idx val="8"/>
          <c:order val="4"/>
          <c:tx>
            <c:strRef>
              <c:f>'GRAFICAS RPTE GCIAL'!$Y$124</c:f>
              <c:strCache>
                <c:ptCount val="1"/>
                <c:pt idx="0">
                  <c:v>Gene Total Mvarh</c:v>
                </c:pt>
              </c:strCache>
            </c:strRef>
          </c:tx>
          <c:spPr>
            <a:ln>
              <a:solidFill>
                <a:srgbClr val="17E730"/>
              </a:solidFill>
            </a:ln>
          </c:spPr>
          <c:marker>
            <c:symbol val="none"/>
          </c:marker>
          <c:val>
            <c:numRef>
              <c:f>'GRAFICAS RPTE GCIAL'!$Y$126:$Y$156</c:f>
              <c:numCache>
                <c:formatCode>0.0</c:formatCode>
                <c:ptCount val="31"/>
                <c:pt idx="0">
                  <c:v>222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4-22BC-41DF-B817-B160828FE1E7}"/>
            </c:ext>
          </c:extLst>
        </c:ser>
        <c:ser>
          <c:idx val="4"/>
          <c:order val="5"/>
          <c:tx>
            <c:strRef>
              <c:f>'GRAFICAS RPTE GCIAL'!$Q$124</c:f>
              <c:strCache>
                <c:ptCount val="1"/>
                <c:pt idx="0">
                  <c:v>PROM</c:v>
                </c:pt>
              </c:strCache>
            </c:strRef>
          </c:tx>
          <c:spPr>
            <a:ln>
              <a:solidFill>
                <a:srgbClr val="FF0000"/>
              </a:solidFill>
              <a:prstDash val="sysDash"/>
            </a:ln>
          </c:spPr>
          <c:marker>
            <c:symbol val="none"/>
          </c:marker>
          <c:val>
            <c:numRef>
              <c:f>'GRAFICAS RPTE GCIAL'!$Q$126:$Q$156</c:f>
              <c:numCache>
                <c:formatCode>0.0</c:formatCode>
                <c:ptCount val="31"/>
                <c:pt idx="0">
                  <c:v>111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5-22BC-41DF-B817-B160828FE1E7}"/>
            </c:ext>
          </c:extLst>
        </c:ser>
        <c:dLbls>
          <c:showLegendKey val="0"/>
          <c:showVal val="0"/>
          <c:showCatName val="0"/>
          <c:showSerName val="0"/>
          <c:showPercent val="0"/>
          <c:showBubbleSize val="0"/>
        </c:dLbls>
        <c:smooth val="0"/>
        <c:axId val="114898816"/>
        <c:axId val="114900352"/>
      </c:lineChart>
      <c:catAx>
        <c:axId val="114898816"/>
        <c:scaling>
          <c:orientation val="minMax"/>
        </c:scaling>
        <c:delete val="0"/>
        <c:axPos val="b"/>
        <c:numFmt formatCode="General" sourceLinked="1"/>
        <c:majorTickMark val="none"/>
        <c:minorTickMark val="none"/>
        <c:tickLblPos val="nextTo"/>
        <c:crossAx val="114900352"/>
        <c:crosses val="autoZero"/>
        <c:auto val="1"/>
        <c:lblAlgn val="ctr"/>
        <c:lblOffset val="100"/>
        <c:noMultiLvlLbl val="0"/>
      </c:catAx>
      <c:valAx>
        <c:axId val="114900352"/>
        <c:scaling>
          <c:orientation val="minMax"/>
        </c:scaling>
        <c:delete val="0"/>
        <c:axPos val="l"/>
        <c:title>
          <c:tx>
            <c:rich>
              <a:bodyPr/>
              <a:lstStyle/>
              <a:p>
                <a:pPr>
                  <a:defRPr/>
                </a:pPr>
                <a:r>
                  <a:rPr lang="es-ES"/>
                  <a:t>MVARH</a:t>
                </a:r>
              </a:p>
            </c:rich>
          </c:tx>
          <c:overlay val="0"/>
        </c:title>
        <c:numFmt formatCode="0.0" sourceLinked="1"/>
        <c:majorTickMark val="none"/>
        <c:minorTickMark val="none"/>
        <c:tickLblPos val="nextTo"/>
        <c:crossAx val="114898816"/>
        <c:crosses val="autoZero"/>
        <c:crossBetween val="between"/>
      </c:valAx>
      <c:dTable>
        <c:showHorzBorder val="1"/>
        <c:showVertBorder val="1"/>
        <c:showOutline val="1"/>
        <c:showKeys val="1"/>
        <c:txPr>
          <a:bodyPr/>
          <a:lstStyle/>
          <a:p>
            <a:pPr rtl="0">
              <a:defRPr sz="800"/>
            </a:pPr>
            <a:endParaRPr lang="es-CO"/>
          </a:p>
        </c:txPr>
      </c:dTable>
    </c:plotArea>
    <c:plotVisOnly val="1"/>
    <c:dispBlanksAs val="gap"/>
    <c:showDLblsOverMax val="0"/>
  </c:chart>
  <c:spPr>
    <a:effectLst>
      <a:innerShdw blurRad="114300">
        <a:prstClr val="black"/>
      </a:innerShdw>
    </a:effectLst>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CURVA DE DURACIÓN DE CARGA - POTENCIA ACTIVA (kW)</a:t>
            </a:r>
          </a:p>
        </c:rich>
      </c:tx>
      <c:layout/>
      <c:overlay val="0"/>
    </c:title>
    <c:autoTitleDeleted val="0"/>
    <c:plotArea>
      <c:layout>
        <c:manualLayout>
          <c:layoutTarget val="inner"/>
          <c:xMode val="edge"/>
          <c:yMode val="edge"/>
          <c:x val="0.10635335187062013"/>
          <c:y val="8.3162079987526311E-2"/>
          <c:w val="0.89144642810737762"/>
          <c:h val="0.71169460253111927"/>
        </c:manualLayout>
      </c:layout>
      <c:lineChart>
        <c:grouping val="standard"/>
        <c:varyColors val="0"/>
        <c:ser>
          <c:idx val="0"/>
          <c:order val="0"/>
          <c:tx>
            <c:strRef>
              <c:f>'CURVA DURACION'!$Z$7</c:f>
              <c:strCache>
                <c:ptCount val="1"/>
                <c:pt idx="0">
                  <c:v>Prom </c:v>
                </c:pt>
              </c:strCache>
            </c:strRef>
          </c:tx>
          <c:marker>
            <c:symbol val="none"/>
          </c:marker>
          <c:val>
            <c:numRef>
              <c:f>'CURVA DURACION'!$Z$8:$Z$38</c:f>
              <c:numCache>
                <c:formatCode>#,##0.0</c:formatCode>
                <c:ptCount val="31"/>
                <c:pt idx="0">
                  <c:v>18.183884161498309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060D-428D-B25C-D1EB8E70CC90}"/>
            </c:ext>
          </c:extLst>
        </c:ser>
        <c:ser>
          <c:idx val="1"/>
          <c:order val="1"/>
          <c:tx>
            <c:strRef>
              <c:f>'CURVA DURACION'!$AC$7</c:f>
              <c:strCache>
                <c:ptCount val="1"/>
                <c:pt idx="0">
                  <c:v>Max </c:v>
                </c:pt>
              </c:strCache>
            </c:strRef>
          </c:tx>
          <c:marker>
            <c:symbol val="none"/>
          </c:marker>
          <c:val>
            <c:numRef>
              <c:f>'CURVA DURACION'!$AC$8:$AC$38</c:f>
              <c:numCache>
                <c:formatCode>#,##0.0</c:formatCode>
                <c:ptCount val="31"/>
                <c:pt idx="0">
                  <c:v>19.37354777384137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1-060D-428D-B25C-D1EB8E70CC90}"/>
            </c:ext>
          </c:extLst>
        </c:ser>
        <c:ser>
          <c:idx val="2"/>
          <c:order val="2"/>
          <c:tx>
            <c:strRef>
              <c:f>'CURVA DURACION'!$AA$7</c:f>
              <c:strCache>
                <c:ptCount val="1"/>
                <c:pt idx="0">
                  <c:v>Min</c:v>
                </c:pt>
              </c:strCache>
            </c:strRef>
          </c:tx>
          <c:marker>
            <c:symbol val="none"/>
          </c:marker>
          <c:val>
            <c:numRef>
              <c:f>'CURVA DURACION'!$AA$8:$AA$38</c:f>
              <c:numCache>
                <c:formatCode>#,##0.0</c:formatCode>
                <c:ptCount val="31"/>
                <c:pt idx="0">
                  <c:v>17.532898231735672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2-060D-428D-B25C-D1EB8E70CC90}"/>
            </c:ext>
          </c:extLst>
        </c:ser>
        <c:dLbls>
          <c:showLegendKey val="0"/>
          <c:showVal val="0"/>
          <c:showCatName val="0"/>
          <c:showSerName val="0"/>
          <c:showPercent val="0"/>
          <c:showBubbleSize val="0"/>
        </c:dLbls>
        <c:smooth val="0"/>
        <c:axId val="111504768"/>
        <c:axId val="111510656"/>
        <c:extLst>
          <c:ext xmlns:c15="http://schemas.microsoft.com/office/drawing/2012/chart" uri="{02D57815-91ED-43cb-92C2-25804820EDAC}">
            <c15:filteredLineSeries>
              <c15:ser>
                <c:idx val="4"/>
                <c:order val="3"/>
                <c:tx>
                  <c:strRef>
                    <c:extLst>
                      <c:ext uri="{02D57815-91ED-43cb-92C2-25804820EDAC}">
                        <c15:formulaRef>
                          <c15:sqref>'CURVA DURACION'!$AC$7</c15:sqref>
                        </c15:formulaRef>
                      </c:ext>
                    </c:extLst>
                    <c:strCache>
                      <c:ptCount val="1"/>
                      <c:pt idx="0">
                        <c:v>Max </c:v>
                      </c:pt>
                    </c:strCache>
                  </c:strRef>
                </c:tx>
                <c:marker>
                  <c:symbol val="none"/>
                </c:marker>
                <c:val>
                  <c:numRef>
                    <c:extLst>
                      <c:ext uri="{02D57815-91ED-43cb-92C2-25804820EDAC}">
                        <c15:formulaRef>
                          <c15:sqref>'CURVA DURACION'!$AC$8:$AC$38</c15:sqref>
                        </c15:formulaRef>
                      </c:ext>
                    </c:extLst>
                    <c:numCache>
                      <c:formatCode>#,##0.0</c:formatCode>
                      <c:ptCount val="31"/>
                      <c:pt idx="0">
                        <c:v>19.37354777384137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3-060D-428D-B25C-D1EB8E70CC90}"/>
                  </c:ext>
                </c:extLst>
              </c15:ser>
            </c15:filteredLineSeries>
          </c:ext>
        </c:extLst>
      </c:lineChart>
      <c:dateAx>
        <c:axId val="111504768"/>
        <c:scaling>
          <c:orientation val="minMax"/>
        </c:scaling>
        <c:delete val="0"/>
        <c:axPos val="b"/>
        <c:numFmt formatCode="General" sourceLinked="0"/>
        <c:majorTickMark val="out"/>
        <c:minorTickMark val="none"/>
        <c:tickLblPos val="nextTo"/>
        <c:crossAx val="111510656"/>
        <c:crosses val="autoZero"/>
        <c:auto val="0"/>
        <c:lblOffset val="100"/>
        <c:baseTimeUnit val="days"/>
      </c:dateAx>
      <c:valAx>
        <c:axId val="111510656"/>
        <c:scaling>
          <c:orientation val="minMax"/>
        </c:scaling>
        <c:delete val="0"/>
        <c:axPos val="l"/>
        <c:majorGridlines/>
        <c:title>
          <c:tx>
            <c:rich>
              <a:bodyPr/>
              <a:lstStyle/>
              <a:p>
                <a:pPr>
                  <a:defRPr sz="1600"/>
                </a:pPr>
                <a:r>
                  <a:rPr lang="en-US" sz="1600"/>
                  <a:t>Kw</a:t>
                </a:r>
              </a:p>
            </c:rich>
          </c:tx>
          <c:layout/>
          <c:overlay val="0"/>
        </c:title>
        <c:numFmt formatCode="#,##0.0" sourceLinked="1"/>
        <c:majorTickMark val="out"/>
        <c:minorTickMark val="none"/>
        <c:tickLblPos val="nextTo"/>
        <c:crossAx val="111504768"/>
        <c:crosses val="autoZero"/>
        <c:crossBetween val="midCat"/>
      </c:valAx>
      <c:dTable>
        <c:showHorzBorder val="1"/>
        <c:showVertBorder val="1"/>
        <c:showOutline val="1"/>
        <c:showKeys val="1"/>
      </c:dTable>
    </c:plotArea>
    <c:plotVisOnly val="1"/>
    <c:dispBlanksAs val="gap"/>
    <c:showDLblsOverMax val="0"/>
  </c:chart>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s-C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VARIABLES ELECTRICAS GT-8001</a:t>
            </a:r>
          </a:p>
        </c:rich>
      </c:tx>
      <c:overlay val="0"/>
    </c:title>
    <c:autoTitleDeleted val="0"/>
    <c:plotArea>
      <c:layout>
        <c:manualLayout>
          <c:layoutTarget val="inner"/>
          <c:xMode val="edge"/>
          <c:yMode val="edge"/>
          <c:x val="6.4518433761186114E-2"/>
          <c:y val="7.6009758600631819E-2"/>
          <c:w val="0.87081393290333686"/>
          <c:h val="0.69601498927678285"/>
        </c:manualLayout>
      </c:layout>
      <c:lineChart>
        <c:grouping val="standard"/>
        <c:varyColors val="0"/>
        <c:ser>
          <c:idx val="16"/>
          <c:order val="0"/>
          <c:tx>
            <c:strRef>
              <c:f>'US-GT-8001-2'!$C$3</c:f>
              <c:strCache>
                <c:ptCount val="1"/>
                <c:pt idx="0">
                  <c:v>MWATTS</c:v>
                </c:pt>
              </c:strCache>
            </c:strRef>
          </c:tx>
          <c:spPr>
            <a:ln w="19050">
              <a:solidFill>
                <a:srgbClr val="F92BF9"/>
              </a:solidFill>
            </a:ln>
          </c:spPr>
          <c:marker>
            <c:symbol val="none"/>
          </c:marker>
          <c:cat>
            <c:numRef>
              <c:f>'US-GT-8001-2'!$A$6:$A$35</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'US-GT-8001-2'!$C$6:$C$36</c:f>
              <c:numCache>
                <c:formatCode>0.0</c:formatCode>
                <c:ptCount val="30"/>
                <c:pt idx="0">
                  <c:v>6.1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22-349F-4952-985F-8AB9328E31D4}"/>
            </c:ext>
          </c:extLst>
        </c:ser>
        <c:ser>
          <c:idx val="17"/>
          <c:order val="1"/>
          <c:tx>
            <c:strRef>
              <c:f>'US-GT-8001-2'!$E$3</c:f>
              <c:strCache>
                <c:ptCount val="1"/>
                <c:pt idx="0">
                  <c:v>MVARS</c:v>
                </c:pt>
              </c:strCache>
            </c:strRef>
          </c:tx>
          <c:spPr>
            <a:ln w="19050">
              <a:solidFill>
                <a:srgbClr val="FFC000"/>
              </a:solidFill>
            </a:ln>
          </c:spPr>
          <c:marker>
            <c:symbol val="none"/>
          </c:marker>
          <c:cat>
            <c:numRef>
              <c:f>'US-GT-8001-2'!$A$6:$A$35</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'US-GT-8001-2'!$E$6:$E$36</c:f>
              <c:numCache>
                <c:formatCode>0.0</c:formatCode>
                <c:ptCount val="30"/>
                <c:pt idx="0">
                  <c:v>3.2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23-349F-4952-985F-8AB9328E31D4}"/>
            </c:ext>
          </c:extLst>
        </c:ser>
        <c:ser>
          <c:idx val="18"/>
          <c:order val="2"/>
          <c:tx>
            <c:strRef>
              <c:f>'US-GT-8001-2'!$F$3</c:f>
              <c:strCache>
                <c:ptCount val="1"/>
                <c:pt idx="0">
                  <c:v>VOLT</c:v>
                </c:pt>
              </c:strCache>
            </c:strRef>
          </c:tx>
          <c:spPr>
            <a:ln w="19050">
              <a:solidFill>
                <a:srgbClr val="00B6F6"/>
              </a:solidFill>
            </a:ln>
          </c:spPr>
          <c:marker>
            <c:symbol val="none"/>
          </c:marker>
          <c:cat>
            <c:numRef>
              <c:f>'US-GT-8001-2'!$A$6:$A$35</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'US-GT-8001-2'!$F$6:$F$36</c:f>
              <c:numCache>
                <c:formatCode>0.0</c:formatCode>
                <c:ptCount val="30"/>
                <c:pt idx="0">
                  <c:v>13.83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24-349F-4952-985F-8AB9328E31D4}"/>
            </c:ext>
          </c:extLst>
        </c:ser>
        <c:ser>
          <c:idx val="19"/>
          <c:order val="4"/>
          <c:tx>
            <c:strRef>
              <c:f>'US-GT-8001-2'!$D$3</c:f>
              <c:strCache>
                <c:ptCount val="1"/>
                <c:pt idx="0">
                  <c:v>MW-MAX</c:v>
                </c:pt>
              </c:strCache>
            </c:strRef>
          </c:tx>
          <c:spPr>
            <a:ln w="19050">
              <a:solidFill>
                <a:srgbClr val="FF0000"/>
              </a:solidFill>
            </a:ln>
          </c:spPr>
          <c:marker>
            <c:symbol val="none"/>
          </c:marker>
          <c:cat>
            <c:numRef>
              <c:f>'US-GT-8001-2'!$A$6:$A$35</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'US-GT-8001-2'!$D$6:$D$35</c:f>
            </c:numRef>
          </c:val>
          <c:smooth val="0"/>
          <c:extLst>
            <c:ext xmlns:c16="http://schemas.microsoft.com/office/drawing/2014/chart" uri="{C3380CC4-5D6E-409C-BE32-E72D297353CC}">
              <c16:uniqueId val="{00000025-349F-4952-985F-8AB9328E31D4}"/>
            </c:ext>
          </c:extLst>
        </c:ser>
        <c:ser>
          <c:idx val="14"/>
          <c:order val="15"/>
          <c:tx>
            <c:strRef>
              <c:f>'US-GT-8001-2'!$D$38</c:f>
              <c:strCache>
                <c:ptCount val="1"/>
                <c:pt idx="0">
                  <c:v>MW-MAX</c:v>
                </c:pt>
              </c:strCache>
            </c:strRef>
          </c:tx>
          <c:spPr>
            <a:ln w="19050">
              <a:solidFill>
                <a:srgbClr val="FF0000"/>
              </a:solidFill>
            </a:ln>
          </c:spPr>
          <c:marker>
            <c:symbol val="none"/>
          </c:marker>
          <c:cat>
            <c:numRef>
              <c:f>'US-GT-8001-2'!$A$6:$A$35</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'US-GT-8001-2'!$D$41:$D$70</c:f>
            </c:numRef>
          </c:val>
          <c:smooth val="0"/>
          <c:extLst>
            <c:ext xmlns:c16="http://schemas.microsoft.com/office/drawing/2014/chart" uri="{C3380CC4-5D6E-409C-BE32-E72D297353CC}">
              <c16:uniqueId val="{00000009-349F-4952-985F-8AB9328E31D4}"/>
            </c:ext>
          </c:extLst>
        </c:ser>
        <c:ser>
          <c:idx val="9"/>
          <c:order val="20"/>
          <c:tx>
            <c:strRef>
              <c:f>'US-GT-8001-2'!$D$3</c:f>
              <c:strCache>
                <c:ptCount val="1"/>
                <c:pt idx="0">
                  <c:v>MW-MAX</c:v>
                </c:pt>
              </c:strCache>
              <c:extLst xmlns:c15="http://schemas.microsoft.com/office/drawing/2012/chart"/>
            </c:strRef>
          </c:tx>
          <c:spPr>
            <a:ln w="19050">
              <a:solidFill>
                <a:srgbClr val="FF0000"/>
              </a:solidFill>
            </a:ln>
          </c:spPr>
          <c:marker>
            <c:symbol val="none"/>
          </c:marker>
          <c:cat>
            <c:numRef>
              <c:f>'US-GT-8001-2'!$A$6:$A$35</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'US-GT-8001-2'!$D$6:$D$35</c:f>
            </c:numRef>
          </c:val>
          <c:smooth val="0"/>
          <c:extLst xmlns:c15="http://schemas.microsoft.com/office/drawing/2012/chart">
            <c:ext xmlns:c16="http://schemas.microsoft.com/office/drawing/2014/chart" uri="{C3380CC4-5D6E-409C-BE32-E72D297353CC}">
              <c16:uniqueId val="{00000013-349F-4952-985F-8AB9328E31D4}"/>
            </c:ext>
          </c:extLst>
        </c:ser>
        <c:dLbls>
          <c:showLegendKey val="0"/>
          <c:showVal val="0"/>
          <c:showCatName val="0"/>
          <c:showSerName val="0"/>
          <c:showPercent val="0"/>
          <c:showBubbleSize val="0"/>
        </c:dLbls>
        <c:smooth val="0"/>
        <c:axId val="110782336"/>
        <c:axId val="110783872"/>
        <c:extLst>
          <c:ext xmlns:c15="http://schemas.microsoft.com/office/drawing/2012/chart" uri="{02D57815-91ED-43cb-92C2-25804820EDAC}">
            <c15:filteredLineSeries>
              <c15:ser>
                <c:idx val="2"/>
                <c:order val="3"/>
                <c:tx>
                  <c:strRef>
                    <c:extLst>
                      <c:ext uri="{02D57815-91ED-43cb-92C2-25804820EDAC}">
                        <c15:formulaRef>
                          <c15:sqref>'US-GT-8001-2'!$H$3</c15:sqref>
                        </c15:formulaRef>
                      </c:ext>
                    </c:extLst>
                    <c:strCache>
                      <c:ptCount val="1"/>
                      <c:pt idx="0">
                        <c:v>FRECUENCIA</c:v>
                      </c:pt>
                    </c:strCache>
                  </c:strRef>
                </c:tx>
                <c:spPr>
                  <a:ln w="19050"/>
                </c:spPr>
                <c:marker>
                  <c:symbol val="none"/>
                </c:marker>
                <c:cat>
                  <c:numRef>
                    <c:extLst>
                      <c:ex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c:ext uri="{02D57815-91ED-43cb-92C2-25804820EDAC}">
                        <c15:formulaRef>
                          <c15:sqref>'US-GT-8001-2'!$H$6:$H$35</c15:sqref>
                        </c15:formulaRef>
                      </c:ext>
                    </c:extLst>
                    <c:numCache>
                      <c:formatCode>0.0</c:formatCode>
                      <c:ptCount val="30"/>
                      <c:pt idx="0">
                        <c:v>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21-349F-4952-985F-8AB9328E31D4}"/>
                  </c:ext>
                </c:extLst>
              </c15:ser>
            </c15:filteredLineSeries>
            <c15:filteredLineSeries>
              <c15:ser>
                <c:idx val="20"/>
                <c:order val="5"/>
                <c:tx>
                  <c:strRef>
                    <c:extLst xmlns:c15="http://schemas.microsoft.com/office/drawing/2012/chart">
                      <c:ext xmlns:c15="http://schemas.microsoft.com/office/drawing/2012/chart" uri="{02D57815-91ED-43cb-92C2-25804820EDAC}">
                        <c15:formulaRef>
                          <c15:sqref>'US-GT-8001-2'!$H$3</c15:sqref>
                        </c15:formulaRef>
                      </c:ext>
                    </c:extLst>
                    <c:strCache>
                      <c:ptCount val="1"/>
                      <c:pt idx="0">
                        <c:v>FRECUENCIA</c:v>
                      </c:pt>
                    </c:strCache>
                  </c:strRef>
                </c:tx>
                <c:spPr>
                  <a:ln w="19050">
                    <a:solidFill>
                      <a:srgbClr val="2BE92B"/>
                    </a:solidFill>
                  </a:ln>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'US-GT-8001-2'!$H$6:$H$35</c15:sqref>
                        </c15:formulaRef>
                      </c:ext>
                    </c:extLst>
                    <c:numCache>
                      <c:formatCode>0.0</c:formatCode>
                      <c:ptCount val="30"/>
                      <c:pt idx="0">
                        <c:v>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26-349F-4952-985F-8AB9328E31D4}"/>
                  </c:ext>
                </c:extLst>
              </c15:ser>
            </c15:filteredLineSeries>
            <c15:filteredLineSeries>
              <c15:ser>
                <c:idx val="21"/>
                <c:order val="6"/>
                <c:tx>
                  <c:strRef>
                    <c:extLst xmlns:c15="http://schemas.microsoft.com/office/drawing/2012/chart">
                      <c:ext xmlns:c15="http://schemas.microsoft.com/office/drawing/2012/chart" uri="{02D57815-91ED-43cb-92C2-25804820EDAC}">
                        <c15:formulaRef>
                          <c15:sqref>'US-GT-8001-2'!$I$4</c15:sqref>
                        </c15:formulaRef>
                      </c:ext>
                    </c:extLst>
                    <c:strCache>
                      <c:ptCount val="1"/>
                      <c:pt idx="0">
                        <c:v>Compresor</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'US-GT-8001-2'!$I$6:$I$34</c15:sqref>
                        </c15:formulaRef>
                      </c:ext>
                    </c:extLst>
                    <c:numCache>
                      <c:formatCode>0.0</c:formatCode>
                      <c:ptCount val="29"/>
                      <c:pt idx="0">
                        <c:v>2.8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27-349F-4952-985F-8AB9328E31D4}"/>
                  </c:ext>
                </c:extLst>
              </c15:ser>
            </c15:filteredLineSeries>
            <c15:filteredLineSeries>
              <c15:ser>
                <c:idx val="22"/>
                <c:order val="7"/>
                <c:tx>
                  <c:strRef>
                    <c:extLst xmlns:c15="http://schemas.microsoft.com/office/drawing/2012/chart">
                      <c:ext xmlns:c15="http://schemas.microsoft.com/office/drawing/2012/chart" uri="{02D57815-91ED-43cb-92C2-25804820EDAC}">
                        <c15:formulaRef>
                          <c15:sqref>'US-GT-8001-2'!$J$4</c15:sqref>
                        </c15:formulaRef>
                      </c:ext>
                    </c:extLst>
                    <c:strCache>
                      <c:ptCount val="1"/>
                      <c:pt idx="0">
                        <c:v>Compresor</c:v>
                      </c:pt>
                    </c:strCache>
                  </c:strRef>
                </c:tx>
                <c:spPr>
                  <a:ln w="19050">
                    <a:solidFill>
                      <a:srgbClr val="2BE92B"/>
                    </a:solidFill>
                  </a:ln>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'US-GT-8001-2'!$J$6:$J$35</c15:sqref>
                        </c15:formulaRef>
                      </c:ext>
                    </c:extLst>
                    <c:numCache>
                      <c:formatCode>0.0</c:formatCode>
                      <c:ptCount val="30"/>
                      <c:pt idx="0">
                        <c:v>3.3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28-349F-4952-985F-8AB9328E31D4}"/>
                  </c:ext>
                </c:extLst>
              </c15:ser>
            </c15:filteredLineSeries>
            <c15:filteredLineSeries>
              <c15:ser>
                <c:idx val="23"/>
                <c:order val="8"/>
                <c:tx>
                  <c:strRef>
                    <c:extLst xmlns:c15="http://schemas.microsoft.com/office/drawing/2012/chart">
                      <c:ext xmlns:c15="http://schemas.microsoft.com/office/drawing/2012/chart" uri="{02D57815-91ED-43cb-92C2-25804820EDAC}">
                        <c15:formulaRef>
                          <c15:sqref>'US-GT-8001-2'!$K$4</c15:sqref>
                        </c15:formulaRef>
                      </c:ext>
                    </c:extLst>
                    <c:strCache>
                      <c:ptCount val="1"/>
                      <c:pt idx="0">
                        <c:v>Turbina</c:v>
                      </c:pt>
                    </c:strCache>
                  </c:strRef>
                </c:tx>
                <c:spPr>
                  <a:ln>
                    <a:solidFill>
                      <a:srgbClr val="25C6FF"/>
                    </a:solidFill>
                  </a:ln>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'US-GT-8001-2'!$K$6:$K$35</c15:sqref>
                        </c15:formulaRef>
                      </c:ext>
                    </c:extLst>
                    <c:numCache>
                      <c:formatCode>0.0</c:formatCode>
                      <c:ptCount val="30"/>
                      <c:pt idx="0">
                        <c:v>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29-349F-4952-985F-8AB9328E31D4}"/>
                  </c:ext>
                </c:extLst>
              </c15:ser>
            </c15:filteredLineSeries>
            <c15:filteredLineSeries>
              <c15:ser>
                <c:idx val="24"/>
                <c:order val="9"/>
                <c:tx>
                  <c:strRef>
                    <c:extLst xmlns:c15="http://schemas.microsoft.com/office/drawing/2012/chart">
                      <c:ext xmlns:c15="http://schemas.microsoft.com/office/drawing/2012/chart" uri="{02D57815-91ED-43cb-92C2-25804820EDAC}">
                        <c15:formulaRef>
                          <c15:sqref>'US-GT-8001-2'!$L$4</c15:sqref>
                        </c15:formulaRef>
                      </c:ext>
                    </c:extLst>
                    <c:strCache>
                      <c:ptCount val="1"/>
                      <c:pt idx="0">
                        <c:v>Turbina</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'US-GT-8001-2'!$L$6:$L$35</c15:sqref>
                        </c15:formulaRef>
                      </c:ext>
                    </c:extLst>
                    <c:numCache>
                      <c:formatCode>0.0</c:formatCode>
                      <c:ptCount val="30"/>
                      <c:pt idx="0">
                        <c:v>1.9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2A-349F-4952-985F-8AB9328E31D4}"/>
                  </c:ext>
                </c:extLst>
              </c15:ser>
            </c15:filteredLineSeries>
            <c15:filteredLineSeries>
              <c15:ser>
                <c:idx val="25"/>
                <c:order val="10"/>
                <c:tx>
                  <c:strRef>
                    <c:extLst xmlns:c15="http://schemas.microsoft.com/office/drawing/2012/chart">
                      <c:ext xmlns:c15="http://schemas.microsoft.com/office/drawing/2012/chart" uri="{02D57815-91ED-43cb-92C2-25804820EDAC}">
                        <c15:formulaRef>
                          <c15:sqref>'US-GT-8001-2'!$AC$3</c15:sqref>
                        </c15:formulaRef>
                      </c:ext>
                    </c:extLst>
                    <c:strCache>
                      <c:ptCount val="1"/>
                      <c:pt idx="0">
                        <c:v>Alarma Vib</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'US-GT-8001-2'!$AC$6:$AC$35</c15:sqref>
                        </c15:formulaRef>
                      </c:ext>
                    </c:extLst>
                    <c:numCache>
                      <c:formatCode>General</c:formatCode>
                      <c:ptCount val="30"/>
                      <c:pt idx="0">
                        <c:v>13</c:v>
                      </c:pt>
                      <c:pt idx="1">
                        <c:v>13</c:v>
                      </c:pt>
                      <c:pt idx="2" formatCode="0">
                        <c:v>13</c:v>
                      </c:pt>
                      <c:pt idx="3" formatCode="0">
                        <c:v>13</c:v>
                      </c:pt>
                      <c:pt idx="4" formatCode="0">
                        <c:v>13</c:v>
                      </c:pt>
                      <c:pt idx="5" formatCode="0">
                        <c:v>13</c:v>
                      </c:pt>
                      <c:pt idx="6" formatCode="0">
                        <c:v>13</c:v>
                      </c:pt>
                      <c:pt idx="7" formatCode="0">
                        <c:v>13</c:v>
                      </c:pt>
                      <c:pt idx="8" formatCode="0">
                        <c:v>13</c:v>
                      </c:pt>
                      <c:pt idx="9" formatCode="0">
                        <c:v>13</c:v>
                      </c:pt>
                      <c:pt idx="10" formatCode="0">
                        <c:v>13</c:v>
                      </c:pt>
                      <c:pt idx="11" formatCode="0">
                        <c:v>13</c:v>
                      </c:pt>
                      <c:pt idx="12" formatCode="0">
                        <c:v>13</c:v>
                      </c:pt>
                      <c:pt idx="13" formatCode="0">
                        <c:v>13</c:v>
                      </c:pt>
                      <c:pt idx="14" formatCode="0">
                        <c:v>13</c:v>
                      </c:pt>
                      <c:pt idx="15" formatCode="0">
                        <c:v>13</c:v>
                      </c:pt>
                      <c:pt idx="16" formatCode="0">
                        <c:v>13</c:v>
                      </c:pt>
                      <c:pt idx="17" formatCode="0">
                        <c:v>13</c:v>
                      </c:pt>
                      <c:pt idx="18" formatCode="0">
                        <c:v>13</c:v>
                      </c:pt>
                      <c:pt idx="19" formatCode="0">
                        <c:v>13</c:v>
                      </c:pt>
                      <c:pt idx="20" formatCode="0">
                        <c:v>13</c:v>
                      </c:pt>
                      <c:pt idx="21" formatCode="0">
                        <c:v>13</c:v>
                      </c:pt>
                      <c:pt idx="22" formatCode="0">
                        <c:v>13</c:v>
                      </c:pt>
                      <c:pt idx="23" formatCode="0">
                        <c:v>13</c:v>
                      </c:pt>
                      <c:pt idx="24" formatCode="0">
                        <c:v>13</c:v>
                      </c:pt>
                      <c:pt idx="25" formatCode="0">
                        <c:v>13</c:v>
                      </c:pt>
                      <c:pt idx="26" formatCode="0">
                        <c:v>13</c:v>
                      </c:pt>
                      <c:pt idx="27" formatCode="0">
                        <c:v>13</c:v>
                      </c:pt>
                      <c:pt idx="28" formatCode="0">
                        <c:v>13</c:v>
                      </c:pt>
                      <c:pt idx="29" formatCode="0">
                        <c:v>13</c:v>
                      </c:pt>
                    </c:numCache>
                  </c:numRef>
                </c:val>
                <c:smooth val="0"/>
                <c:extLst xmlns:c15="http://schemas.microsoft.com/office/drawing/2012/chart">
                  <c:ext xmlns:c16="http://schemas.microsoft.com/office/drawing/2014/chart" uri="{C3380CC4-5D6E-409C-BE32-E72D297353CC}">
                    <c16:uniqueId val="{0000002B-349F-4952-985F-8AB9328E31D4}"/>
                  </c:ext>
                </c:extLst>
              </c15:ser>
            </c15:filteredLineSeries>
            <c15:filteredLineSeries>
              <c15:ser>
                <c:idx val="26"/>
                <c:order val="11"/>
                <c:tx>
                  <c:strRef>
                    <c:extLst xmlns:c15="http://schemas.microsoft.com/office/drawing/2012/chart">
                      <c:ext xmlns:c15="http://schemas.microsoft.com/office/drawing/2012/chart" uri="{02D57815-91ED-43cb-92C2-25804820EDAC}">
                        <c15:formulaRef>
                          <c15:sqref>'US-GT-8001-2'!$AD$3</c15:sqref>
                        </c15:formulaRef>
                      </c:ext>
                    </c:extLst>
                    <c:strCache>
                      <c:ptCount val="1"/>
                      <c:pt idx="0">
                        <c:v>Trip Vib</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'US-GT-8001-2'!$AD$6:$AD$35</c15:sqref>
                        </c15:formulaRef>
                      </c:ext>
                    </c:extLst>
                    <c:numCache>
                      <c:formatCode>General</c:formatCode>
                      <c:ptCount val="30"/>
                      <c:pt idx="0">
                        <c:v>25</c:v>
                      </c:pt>
                      <c:pt idx="1">
                        <c:v>25</c:v>
                      </c:pt>
                      <c:pt idx="2" formatCode="0">
                        <c:v>25</c:v>
                      </c:pt>
                      <c:pt idx="3" formatCode="0">
                        <c:v>25</c:v>
                      </c:pt>
                      <c:pt idx="4" formatCode="0">
                        <c:v>25</c:v>
                      </c:pt>
                      <c:pt idx="5" formatCode="0">
                        <c:v>25</c:v>
                      </c:pt>
                      <c:pt idx="6" formatCode="0">
                        <c:v>25</c:v>
                      </c:pt>
                      <c:pt idx="7" formatCode="0">
                        <c:v>25</c:v>
                      </c:pt>
                      <c:pt idx="8" formatCode="0">
                        <c:v>25</c:v>
                      </c:pt>
                      <c:pt idx="9" formatCode="0">
                        <c:v>25</c:v>
                      </c:pt>
                      <c:pt idx="10" formatCode="0">
                        <c:v>25</c:v>
                      </c:pt>
                      <c:pt idx="11" formatCode="0">
                        <c:v>25</c:v>
                      </c:pt>
                      <c:pt idx="12" formatCode="0">
                        <c:v>25</c:v>
                      </c:pt>
                      <c:pt idx="13" formatCode="0">
                        <c:v>25</c:v>
                      </c:pt>
                      <c:pt idx="14" formatCode="0">
                        <c:v>25</c:v>
                      </c:pt>
                      <c:pt idx="15" formatCode="0">
                        <c:v>25</c:v>
                      </c:pt>
                      <c:pt idx="16" formatCode="0">
                        <c:v>25</c:v>
                      </c:pt>
                      <c:pt idx="17" formatCode="0">
                        <c:v>25</c:v>
                      </c:pt>
                      <c:pt idx="18" formatCode="0">
                        <c:v>25</c:v>
                      </c:pt>
                      <c:pt idx="19" formatCode="0">
                        <c:v>25</c:v>
                      </c:pt>
                      <c:pt idx="20" formatCode="0">
                        <c:v>25</c:v>
                      </c:pt>
                      <c:pt idx="21" formatCode="0">
                        <c:v>25</c:v>
                      </c:pt>
                      <c:pt idx="22" formatCode="0">
                        <c:v>25</c:v>
                      </c:pt>
                      <c:pt idx="23" formatCode="0">
                        <c:v>25</c:v>
                      </c:pt>
                      <c:pt idx="24" formatCode="0">
                        <c:v>25</c:v>
                      </c:pt>
                      <c:pt idx="25" formatCode="0">
                        <c:v>25</c:v>
                      </c:pt>
                      <c:pt idx="26" formatCode="0">
                        <c:v>25</c:v>
                      </c:pt>
                      <c:pt idx="27" formatCode="0">
                        <c:v>25</c:v>
                      </c:pt>
                      <c:pt idx="28" formatCode="0">
                        <c:v>25</c:v>
                      </c:pt>
                      <c:pt idx="29" formatCode="0">
                        <c:v>25</c:v>
                      </c:pt>
                    </c:numCache>
                  </c:numRef>
                </c:val>
                <c:smooth val="0"/>
                <c:extLst xmlns:c15="http://schemas.microsoft.com/office/drawing/2012/chart">
                  <c:ext xmlns:c16="http://schemas.microsoft.com/office/drawing/2014/chart" uri="{C3380CC4-5D6E-409C-BE32-E72D297353CC}">
                    <c16:uniqueId val="{0000002C-349F-4952-985F-8AB9328E31D4}"/>
                  </c:ext>
                </c:extLst>
              </c15:ser>
            </c15:filteredLineSeries>
            <c15:filteredLineSeries>
              <c15:ser>
                <c:idx val="11"/>
                <c:order val="12"/>
                <c:tx>
                  <c:strRef>
                    <c:extLst xmlns:c15="http://schemas.microsoft.com/office/drawing/2012/chart">
                      <c:ext xmlns:c15="http://schemas.microsoft.com/office/drawing/2012/chart" uri="{02D57815-91ED-43cb-92C2-25804820EDAC}">
                        <c15:formulaRef>
                          <c15:sqref>'US-GT-8001-2'!$C$38</c15:sqref>
                        </c15:formulaRef>
                      </c:ext>
                    </c:extLst>
                    <c:strCache>
                      <c:ptCount val="1"/>
                      <c:pt idx="0">
                        <c:v>MWATTS</c:v>
                      </c:pt>
                    </c:strCache>
                  </c:strRef>
                </c:tx>
                <c:spPr>
                  <a:ln w="19050">
                    <a:solidFill>
                      <a:srgbClr val="F92BF9"/>
                    </a:solidFill>
                  </a:ln>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'US-GT-8001-2'!$C$41:$C$70</c15:sqref>
                        </c15:formulaRef>
                      </c:ext>
                    </c:extLst>
                    <c:numCache>
                      <c:formatCode>0.0</c:formatCode>
                      <c:ptCount val="30"/>
                      <c:pt idx="0">
                        <c:v>11.6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3-349F-4952-985F-8AB9328E31D4}"/>
                  </c:ext>
                </c:extLst>
              </c15:ser>
            </c15:filteredLineSeries>
            <c15:filteredLineSeries>
              <c15:ser>
                <c:idx val="12"/>
                <c:order val="13"/>
                <c:tx>
                  <c:strRef>
                    <c:extLst xmlns:c15="http://schemas.microsoft.com/office/drawing/2012/chart">
                      <c:ext xmlns:c15="http://schemas.microsoft.com/office/drawing/2012/chart" uri="{02D57815-91ED-43cb-92C2-25804820EDAC}">
                        <c15:formulaRef>
                          <c15:sqref>'US-GT-8001-2'!$E$38</c15:sqref>
                        </c15:formulaRef>
                      </c:ext>
                    </c:extLst>
                    <c:strCache>
                      <c:ptCount val="1"/>
                      <c:pt idx="0">
                        <c:v>MVARS</c:v>
                      </c:pt>
                    </c:strCache>
                  </c:strRef>
                </c:tx>
                <c:spPr>
                  <a:ln w="19050">
                    <a:solidFill>
                      <a:srgbClr val="FFC000"/>
                    </a:solidFill>
                  </a:ln>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'US-GT-8001-2'!$E$41:$E$70</c15:sqref>
                        </c15:formulaRef>
                      </c:ext>
                    </c:extLst>
                    <c:numCache>
                      <c:formatCode>0.0</c:formatCode>
                      <c:ptCount val="30"/>
                      <c:pt idx="0">
                        <c:v>6.4</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5-349F-4952-985F-8AB9328E31D4}"/>
                  </c:ext>
                </c:extLst>
              </c15:ser>
            </c15:filteredLineSeries>
            <c15:filteredLineSeries>
              <c15:ser>
                <c:idx val="13"/>
                <c:order val="14"/>
                <c:tx>
                  <c:strRef>
                    <c:extLst xmlns:c15="http://schemas.microsoft.com/office/drawing/2012/chart">
                      <c:ext xmlns:c15="http://schemas.microsoft.com/office/drawing/2012/chart" uri="{02D57815-91ED-43cb-92C2-25804820EDAC}">
                        <c15:formulaRef>
                          <c15:sqref>'US-GT-8001-2'!$F$38</c15:sqref>
                        </c15:formulaRef>
                      </c:ext>
                    </c:extLst>
                    <c:strCache>
                      <c:ptCount val="1"/>
                      <c:pt idx="0">
                        <c:v>VOLT</c:v>
                      </c:pt>
                    </c:strCache>
                  </c:strRef>
                </c:tx>
                <c:spPr>
                  <a:ln w="19050">
                    <a:solidFill>
                      <a:srgbClr val="00B6F6"/>
                    </a:solidFill>
                  </a:ln>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'US-GT-8001-2'!$F$41:$F$70</c15:sqref>
                        </c15:formulaRef>
                      </c:ext>
                    </c:extLst>
                    <c:numCache>
                      <c:formatCode>0.0</c:formatCode>
                      <c:ptCount val="30"/>
                      <c:pt idx="0">
                        <c:v>13.82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7-349F-4952-985F-8AB9328E31D4}"/>
                  </c:ext>
                </c:extLst>
              </c15:ser>
            </c15:filteredLineSeries>
            <c15:filteredLineSeries>
              <c15:ser>
                <c:idx val="15"/>
                <c:order val="16"/>
                <c:tx>
                  <c:strRef>
                    <c:extLst xmlns:c15="http://schemas.microsoft.com/office/drawing/2012/chart">
                      <c:ext xmlns:c15="http://schemas.microsoft.com/office/drawing/2012/chart" uri="{02D57815-91ED-43cb-92C2-25804820EDAC}">
                        <c15:formulaRef>
                          <c15:sqref>'US-GT-8001-2'!$H$38</c15:sqref>
                        </c15:formulaRef>
                      </c:ext>
                    </c:extLst>
                    <c:strCache>
                      <c:ptCount val="1"/>
                      <c:pt idx="0">
                        <c:v>FRECUENCIA</c:v>
                      </c:pt>
                    </c:strCache>
                  </c:strRef>
                </c:tx>
                <c:spPr>
                  <a:ln>
                    <a:solidFill>
                      <a:srgbClr val="2BE92B"/>
                    </a:solidFill>
                  </a:ln>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'US-GT-8001-2'!$H$41:$H$70</c15:sqref>
                        </c15:formulaRef>
                      </c:ext>
                    </c:extLst>
                    <c:numCache>
                      <c:formatCode>0.0</c:formatCode>
                      <c:ptCount val="30"/>
                      <c:pt idx="0">
                        <c:v>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B-349F-4952-985F-8AB9328E31D4}"/>
                  </c:ext>
                </c:extLst>
              </c15:ser>
            </c15:filteredLineSeries>
            <c15:filteredLineSeries>
              <c15:ser>
                <c:idx val="3"/>
                <c:order val="17"/>
                <c:tx>
                  <c:strRef>
                    <c:extLst xmlns:c15="http://schemas.microsoft.com/office/drawing/2012/chart">
                      <c:ext xmlns:c15="http://schemas.microsoft.com/office/drawing/2012/chart" uri="{02D57815-91ED-43cb-92C2-25804820EDAC}">
                        <c15:formulaRef>
                          <c15:sqref>'US-GT-8001-2'!$C$3</c15:sqref>
                        </c15:formulaRef>
                      </c:ext>
                    </c:extLst>
                    <c:strCache>
                      <c:ptCount val="1"/>
                      <c:pt idx="0">
                        <c:v>MWATTS</c:v>
                      </c:pt>
                    </c:strCache>
                  </c:strRef>
                </c:tx>
                <c:spPr>
                  <a:ln w="19050">
                    <a:solidFill>
                      <a:srgbClr val="F92BF9"/>
                    </a:solidFill>
                  </a:ln>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'US-GT-8001-2'!$C$6:$C$35</c15:sqref>
                        </c15:formulaRef>
                      </c:ext>
                    </c:extLst>
                    <c:numCache>
                      <c:formatCode>0.0</c:formatCode>
                      <c:ptCount val="30"/>
                      <c:pt idx="0">
                        <c:v>6.1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D-349F-4952-985F-8AB9328E31D4}"/>
                  </c:ext>
                </c:extLst>
              </c15:ser>
            </c15:filteredLineSeries>
            <c15:filteredLineSeries>
              <c15:ser>
                <c:idx val="4"/>
                <c:order val="18"/>
                <c:tx>
                  <c:strRef>
                    <c:extLst xmlns:c15="http://schemas.microsoft.com/office/drawing/2012/chart">
                      <c:ext xmlns:c15="http://schemas.microsoft.com/office/drawing/2012/chart" uri="{02D57815-91ED-43cb-92C2-25804820EDAC}">
                        <c15:formulaRef>
                          <c15:sqref>'US-GT-8001-2'!$E$3</c15:sqref>
                        </c15:formulaRef>
                      </c:ext>
                    </c:extLst>
                    <c:strCache>
                      <c:ptCount val="1"/>
                      <c:pt idx="0">
                        <c:v>MVARS</c:v>
                      </c:pt>
                    </c:strCache>
                  </c:strRef>
                </c:tx>
                <c:spPr>
                  <a:ln w="19050">
                    <a:solidFill>
                      <a:srgbClr val="FFC000"/>
                    </a:solidFill>
                  </a:ln>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'US-GT-8001-2'!$E$6:$E$35</c15:sqref>
                        </c15:formulaRef>
                      </c:ext>
                    </c:extLst>
                    <c:numCache>
                      <c:formatCode>0.0</c:formatCode>
                      <c:ptCount val="30"/>
                      <c:pt idx="0">
                        <c:v>3.2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F-349F-4952-985F-8AB9328E31D4}"/>
                  </c:ext>
                </c:extLst>
              </c15:ser>
            </c15:filteredLineSeries>
            <c15:filteredLineSeries>
              <c15:ser>
                <c:idx val="8"/>
                <c:order val="19"/>
                <c:tx>
                  <c:strRef>
                    <c:extLst xmlns:c15="http://schemas.microsoft.com/office/drawing/2012/chart">
                      <c:ext xmlns:c15="http://schemas.microsoft.com/office/drawing/2012/chart" uri="{02D57815-91ED-43cb-92C2-25804820EDAC}">
                        <c15:formulaRef>
                          <c15:sqref>'US-GT-8001-2'!$F$3</c15:sqref>
                        </c15:formulaRef>
                      </c:ext>
                    </c:extLst>
                    <c:strCache>
                      <c:ptCount val="1"/>
                      <c:pt idx="0">
                        <c:v>VOLT</c:v>
                      </c:pt>
                    </c:strCache>
                  </c:strRef>
                </c:tx>
                <c:spPr>
                  <a:ln w="19050">
                    <a:solidFill>
                      <a:srgbClr val="00B6F6"/>
                    </a:solidFill>
                  </a:ln>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'US-GT-8001-2'!$F$6:$F$35</c15:sqref>
                        </c15:formulaRef>
                      </c:ext>
                    </c:extLst>
                    <c:numCache>
                      <c:formatCode>0.0</c:formatCode>
                      <c:ptCount val="30"/>
                      <c:pt idx="0">
                        <c:v>13.83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11-349F-4952-985F-8AB9328E31D4}"/>
                  </c:ext>
                </c:extLst>
              </c15:ser>
            </c15:filteredLineSeries>
            <c15:filteredLineSeries>
              <c15:ser>
                <c:idx val="10"/>
                <c:order val="21"/>
                <c:tx>
                  <c:strRef>
                    <c:extLst xmlns:c15="http://schemas.microsoft.com/office/drawing/2012/chart">
                      <c:ext xmlns:c15="http://schemas.microsoft.com/office/drawing/2012/chart" uri="{02D57815-91ED-43cb-92C2-25804820EDAC}">
                        <c15:formulaRef>
                          <c15:sqref>'US-GT-8001-2'!$H$3</c15:sqref>
                        </c15:formulaRef>
                      </c:ext>
                    </c:extLst>
                    <c:strCache>
                      <c:ptCount val="1"/>
                      <c:pt idx="0">
                        <c:v>FRECUENCIA</c:v>
                      </c:pt>
                    </c:strCache>
                  </c:strRef>
                </c:tx>
                <c:spPr>
                  <a:ln w="19050">
                    <a:solidFill>
                      <a:srgbClr val="2BE92B"/>
                    </a:solidFill>
                  </a:ln>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'US-GT-8001-2'!$H$6:$H$34</c15:sqref>
                        </c15:formulaRef>
                      </c:ext>
                    </c:extLst>
                    <c:numCache>
                      <c:formatCode>0.0</c:formatCode>
                      <c:ptCount val="29"/>
                      <c:pt idx="0">
                        <c:v>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15-349F-4952-985F-8AB9328E31D4}"/>
                  </c:ext>
                </c:extLst>
              </c15:ser>
            </c15:filteredLineSeries>
            <c15:filteredLineSeries>
              <c15:ser>
                <c:idx val="0"/>
                <c:order val="22"/>
                <c:tx>
                  <c:strRef>
                    <c:extLst xmlns:c15="http://schemas.microsoft.com/office/drawing/2012/chart">
                      <c:ext xmlns:c15="http://schemas.microsoft.com/office/drawing/2012/chart" uri="{02D57815-91ED-43cb-92C2-25804820EDAC}">
                        <c15:formulaRef>
                          <c15:sqref>'US-GT-8001-2'!$I$4</c15:sqref>
                        </c15:formulaRef>
                      </c:ext>
                    </c:extLst>
                    <c:strCache>
                      <c:ptCount val="1"/>
                      <c:pt idx="0">
                        <c:v>Compresor</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'US-GT-8001-2'!$I$6:$I$34</c15:sqref>
                        </c15:formulaRef>
                      </c:ext>
                    </c:extLst>
                    <c:numCache>
                      <c:formatCode>0.0</c:formatCode>
                      <c:ptCount val="29"/>
                      <c:pt idx="0">
                        <c:v>2.8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17-349F-4952-985F-8AB9328E31D4}"/>
                  </c:ext>
                </c:extLst>
              </c15:ser>
            </c15:filteredLineSeries>
            <c15:filteredLineSeries>
              <c15:ser>
                <c:idx val="5"/>
                <c:order val="23"/>
                <c:tx>
                  <c:strRef>
                    <c:extLst xmlns:c15="http://schemas.microsoft.com/office/drawing/2012/chart">
                      <c:ext xmlns:c15="http://schemas.microsoft.com/office/drawing/2012/chart" uri="{02D57815-91ED-43cb-92C2-25804820EDAC}">
                        <c15:formulaRef>
                          <c15:sqref>'US-GT-8001-2'!$J$4</c15:sqref>
                        </c15:formulaRef>
                      </c:ext>
                    </c:extLst>
                    <c:strCache>
                      <c:ptCount val="1"/>
                      <c:pt idx="0">
                        <c:v>Compresor</c:v>
                      </c:pt>
                    </c:strCache>
                  </c:strRef>
                </c:tx>
                <c:spPr>
                  <a:ln w="19050">
                    <a:solidFill>
                      <a:srgbClr val="2BE92B"/>
                    </a:solidFill>
                  </a:ln>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'US-GT-8001-2'!$J$6:$J$34</c15:sqref>
                        </c15:formulaRef>
                      </c:ext>
                    </c:extLst>
                    <c:numCache>
                      <c:formatCode>0.0</c:formatCode>
                      <c:ptCount val="29"/>
                      <c:pt idx="0">
                        <c:v>3.3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19-349F-4952-985F-8AB9328E31D4}"/>
                  </c:ext>
                </c:extLst>
              </c15:ser>
            </c15:filteredLineSeries>
            <c15:filteredLineSeries>
              <c15:ser>
                <c:idx val="6"/>
                <c:order val="24"/>
                <c:tx>
                  <c:strRef>
                    <c:extLst xmlns:c15="http://schemas.microsoft.com/office/drawing/2012/chart">
                      <c:ext xmlns:c15="http://schemas.microsoft.com/office/drawing/2012/chart" uri="{02D57815-91ED-43cb-92C2-25804820EDAC}">
                        <c15:formulaRef>
                          <c15:sqref>'US-GT-8001-2'!$K$4</c15:sqref>
                        </c15:formulaRef>
                      </c:ext>
                    </c:extLst>
                    <c:strCache>
                      <c:ptCount val="1"/>
                      <c:pt idx="0">
                        <c:v>Turbina</c:v>
                      </c:pt>
                    </c:strCache>
                  </c:strRef>
                </c:tx>
                <c:spPr>
                  <a:ln>
                    <a:solidFill>
                      <a:srgbClr val="25C6FF"/>
                    </a:solidFill>
                  </a:ln>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'US-GT-8001-2'!$K$6:$K$34</c15:sqref>
                        </c15:formulaRef>
                      </c:ext>
                    </c:extLst>
                    <c:numCache>
                      <c:formatCode>0.0</c:formatCode>
                      <c:ptCount val="29"/>
                      <c:pt idx="0">
                        <c:v>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1B-349F-4952-985F-8AB9328E31D4}"/>
                  </c:ext>
                </c:extLst>
              </c15:ser>
            </c15:filteredLineSeries>
            <c15:filteredLineSeries>
              <c15:ser>
                <c:idx val="7"/>
                <c:order val="25"/>
                <c:tx>
                  <c:strRef>
                    <c:extLst xmlns:c15="http://schemas.microsoft.com/office/drawing/2012/chart">
                      <c:ext xmlns:c15="http://schemas.microsoft.com/office/drawing/2012/chart" uri="{02D57815-91ED-43cb-92C2-25804820EDAC}">
                        <c15:formulaRef>
                          <c15:sqref>'US-GT-8001-2'!$L$4</c15:sqref>
                        </c15:formulaRef>
                      </c:ext>
                    </c:extLst>
                    <c:strCache>
                      <c:ptCount val="1"/>
                      <c:pt idx="0">
                        <c:v>Turbina</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'US-GT-8001-2'!$L$6:$L$34</c15:sqref>
                        </c15:formulaRef>
                      </c:ext>
                    </c:extLst>
                    <c:numCache>
                      <c:formatCode>0.0</c:formatCode>
                      <c:ptCount val="29"/>
                      <c:pt idx="0">
                        <c:v>1.9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1D-349F-4952-985F-8AB9328E31D4}"/>
                  </c:ext>
                </c:extLst>
              </c15:ser>
            </c15:filteredLineSeries>
            <c15:filteredLineSeries>
              <c15:ser>
                <c:idx val="1"/>
                <c:order val="26"/>
                <c:tx>
                  <c:strRef>
                    <c:extLst xmlns:c15="http://schemas.microsoft.com/office/drawing/2012/chart">
                      <c:ext xmlns:c15="http://schemas.microsoft.com/office/drawing/2012/chart" uri="{02D57815-91ED-43cb-92C2-25804820EDAC}">
                        <c15:formulaRef>
                          <c15:sqref>'US-GT-8001-2'!$AC$3</c15:sqref>
                        </c15:formulaRef>
                      </c:ext>
                    </c:extLst>
                    <c:strCache>
                      <c:ptCount val="1"/>
                      <c:pt idx="0">
                        <c:v>Alarma Vib</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'US-GT-8001-2'!$AC$6:$AC$35</c15:sqref>
                        </c15:formulaRef>
                      </c:ext>
                    </c:extLst>
                    <c:numCache>
                      <c:formatCode>General</c:formatCode>
                      <c:ptCount val="30"/>
                      <c:pt idx="0">
                        <c:v>13</c:v>
                      </c:pt>
                      <c:pt idx="1">
                        <c:v>13</c:v>
                      </c:pt>
                      <c:pt idx="2" formatCode="0">
                        <c:v>13</c:v>
                      </c:pt>
                      <c:pt idx="3" formatCode="0">
                        <c:v>13</c:v>
                      </c:pt>
                      <c:pt idx="4" formatCode="0">
                        <c:v>13</c:v>
                      </c:pt>
                      <c:pt idx="5" formatCode="0">
                        <c:v>13</c:v>
                      </c:pt>
                      <c:pt idx="6" formatCode="0">
                        <c:v>13</c:v>
                      </c:pt>
                      <c:pt idx="7" formatCode="0">
                        <c:v>13</c:v>
                      </c:pt>
                      <c:pt idx="8" formatCode="0">
                        <c:v>13</c:v>
                      </c:pt>
                      <c:pt idx="9" formatCode="0">
                        <c:v>13</c:v>
                      </c:pt>
                      <c:pt idx="10" formatCode="0">
                        <c:v>13</c:v>
                      </c:pt>
                      <c:pt idx="11" formatCode="0">
                        <c:v>13</c:v>
                      </c:pt>
                      <c:pt idx="12" formatCode="0">
                        <c:v>13</c:v>
                      </c:pt>
                      <c:pt idx="13" formatCode="0">
                        <c:v>13</c:v>
                      </c:pt>
                      <c:pt idx="14" formatCode="0">
                        <c:v>13</c:v>
                      </c:pt>
                      <c:pt idx="15" formatCode="0">
                        <c:v>13</c:v>
                      </c:pt>
                      <c:pt idx="16" formatCode="0">
                        <c:v>13</c:v>
                      </c:pt>
                      <c:pt idx="17" formatCode="0">
                        <c:v>13</c:v>
                      </c:pt>
                      <c:pt idx="18" formatCode="0">
                        <c:v>13</c:v>
                      </c:pt>
                      <c:pt idx="19" formatCode="0">
                        <c:v>13</c:v>
                      </c:pt>
                      <c:pt idx="20" formatCode="0">
                        <c:v>13</c:v>
                      </c:pt>
                      <c:pt idx="21" formatCode="0">
                        <c:v>13</c:v>
                      </c:pt>
                      <c:pt idx="22" formatCode="0">
                        <c:v>13</c:v>
                      </c:pt>
                      <c:pt idx="23" formatCode="0">
                        <c:v>13</c:v>
                      </c:pt>
                      <c:pt idx="24" formatCode="0">
                        <c:v>13</c:v>
                      </c:pt>
                      <c:pt idx="25" formatCode="0">
                        <c:v>13</c:v>
                      </c:pt>
                      <c:pt idx="26" formatCode="0">
                        <c:v>13</c:v>
                      </c:pt>
                      <c:pt idx="27" formatCode="0">
                        <c:v>13</c:v>
                      </c:pt>
                      <c:pt idx="28" formatCode="0">
                        <c:v>13</c:v>
                      </c:pt>
                      <c:pt idx="29" formatCode="0">
                        <c:v>13</c:v>
                      </c:pt>
                    </c:numCache>
                  </c:numRef>
                </c:val>
                <c:smooth val="0"/>
                <c:extLst xmlns:c15="http://schemas.microsoft.com/office/drawing/2012/chart">
                  <c:ext xmlns:c16="http://schemas.microsoft.com/office/drawing/2014/chart" uri="{C3380CC4-5D6E-409C-BE32-E72D297353CC}">
                    <c16:uniqueId val="{0000001F-349F-4952-985F-8AB9328E31D4}"/>
                  </c:ext>
                </c:extLst>
              </c15:ser>
            </c15:filteredLineSeries>
          </c:ext>
        </c:extLst>
      </c:lineChart>
      <c:dateAx>
        <c:axId val="110782336"/>
        <c:scaling>
          <c:orientation val="minMax"/>
          <c:min val="45078"/>
        </c:scaling>
        <c:delete val="0"/>
        <c:axPos val="b"/>
        <c:numFmt formatCode="dd" sourceLinked="1"/>
        <c:majorTickMark val="out"/>
        <c:minorTickMark val="none"/>
        <c:tickLblPos val="nextTo"/>
        <c:crossAx val="110783872"/>
        <c:crosses val="autoZero"/>
        <c:auto val="1"/>
        <c:lblOffset val="100"/>
        <c:baseTimeUnit val="days"/>
      </c:dateAx>
      <c:valAx>
        <c:axId val="110783872"/>
        <c:scaling>
          <c:orientation val="minMax"/>
          <c:max val="20"/>
          <c:min val="0"/>
        </c:scaling>
        <c:delete val="0"/>
        <c:axPos val="l"/>
        <c:majorGridlines>
          <c:spPr>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c:spPr>
        </c:majorGridlines>
        <c:numFmt formatCode="0.0" sourceLinked="1"/>
        <c:majorTickMark val="out"/>
        <c:minorTickMark val="none"/>
        <c:tickLblPos val="nextTo"/>
        <c:crossAx val="110782336"/>
        <c:crosses val="autoZero"/>
        <c:crossBetween val="between"/>
      </c:valAx>
    </c:plotArea>
    <c:legend>
      <c:legendPos val="b"/>
      <c:layout>
        <c:manualLayout>
          <c:xMode val="edge"/>
          <c:yMode val="edge"/>
          <c:x val="7.9318999879603724E-2"/>
          <c:y val="0.93031644175431316"/>
          <c:w val="0.81381710180964217"/>
          <c:h val="6.9683563868584167E-2"/>
        </c:manualLayout>
      </c:layout>
      <c:overlay val="0"/>
    </c:legend>
    <c:plotVisOnly val="1"/>
    <c:dispBlanksAs val="gap"/>
    <c:showDLblsOverMax val="0"/>
  </c:chart>
  <c:txPr>
    <a:bodyPr/>
    <a:lstStyle/>
    <a:p>
      <a:pPr>
        <a:defRPr baseline="0">
          <a:solidFill>
            <a:sysClr val="windowText" lastClr="000000"/>
          </a:solidFill>
        </a:defRPr>
      </a:pPr>
      <a:endParaRPr lang="es-CO"/>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VIBRACIONES GT-8002</a:t>
            </a:r>
          </a:p>
        </c:rich>
      </c:tx>
      <c:overlay val="0"/>
    </c:title>
    <c:autoTitleDeleted val="0"/>
    <c:plotArea>
      <c:layout>
        <c:manualLayout>
          <c:layoutTarget val="inner"/>
          <c:xMode val="edge"/>
          <c:yMode val="edge"/>
          <c:x val="5.8279357285308128E-2"/>
          <c:y val="0.13112210531205723"/>
          <c:w val="0.92033125122113191"/>
          <c:h val="0.68566311878477781"/>
        </c:manualLayout>
      </c:layout>
      <c:lineChart>
        <c:grouping val="standard"/>
        <c:varyColors val="0"/>
        <c:ser>
          <c:idx val="6"/>
          <c:order val="2"/>
          <c:tx>
            <c:strRef>
              <c:f>'US-GT-8001-2'!$K$39</c:f>
              <c:strCache>
                <c:ptCount val="1"/>
                <c:pt idx="0">
                  <c:v>Turbina</c:v>
                </c:pt>
              </c:strCache>
            </c:strRef>
          </c:tx>
          <c:spPr>
            <a:ln>
              <a:solidFill>
                <a:srgbClr val="25C6FF"/>
              </a:solidFill>
            </a:ln>
          </c:spPr>
          <c:marker>
            <c:symbol val="none"/>
          </c:marker>
          <c:cat>
            <c:numRef>
              <c:f>'US-GT-8001-2'!$A$41:$A$71</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'US-GT-8001-2'!$K$41:$K$71</c:f>
              <c:numCache>
                <c:formatCode>0.0</c:formatCode>
                <c:ptCount val="3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2-445F-405F-99F9-9BF769B1757F}"/>
            </c:ext>
          </c:extLst>
        </c:ser>
        <c:ser>
          <c:idx val="7"/>
          <c:order val="3"/>
          <c:tx>
            <c:strRef>
              <c:f>'US-GT-8001-2'!$L$39</c:f>
              <c:strCache>
                <c:ptCount val="1"/>
                <c:pt idx="0">
                  <c:v>Turbina</c:v>
                </c:pt>
              </c:strCache>
            </c:strRef>
          </c:tx>
          <c:spPr>
            <a:ln w="19050"/>
          </c:spPr>
          <c:marker>
            <c:symbol val="none"/>
          </c:marker>
          <c:cat>
            <c:numRef>
              <c:f>'US-GT-8001-2'!$A$41:$A$71</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'US-GT-8001-2'!$L$41:$L$71</c:f>
              <c:numCache>
                <c:formatCode>0.0</c:formatCode>
                <c:ptCount val="30"/>
                <c:pt idx="0">
                  <c:v>0.8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3-445F-405F-99F9-9BF769B1757F}"/>
            </c:ext>
          </c:extLst>
        </c:ser>
        <c:ser>
          <c:idx val="1"/>
          <c:order val="4"/>
          <c:tx>
            <c:strRef>
              <c:f>'US-GT-8001-2'!$AC$38</c:f>
              <c:strCache>
                <c:ptCount val="1"/>
                <c:pt idx="0">
                  <c:v>Alarma Vib</c:v>
                </c:pt>
              </c:strCache>
            </c:strRef>
          </c:tx>
          <c:spPr>
            <a:ln w="19050"/>
          </c:spPr>
          <c:marker>
            <c:symbol val="none"/>
          </c:marker>
          <c:cat>
            <c:numRef>
              <c:f>'US-GT-8001-2'!$A$41:$A$71</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'US-GT-8001-2'!$AC$41:$AC$71</c:f>
              <c:numCache>
                <c:formatCode>0</c:formatCode>
                <c:ptCount val="30"/>
                <c:pt idx="0" formatCode="General">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numCache>
            </c:numRef>
          </c:val>
          <c:smooth val="0"/>
          <c:extLst>
            <c:ext xmlns:c16="http://schemas.microsoft.com/office/drawing/2014/chart" uri="{C3380CC4-5D6E-409C-BE32-E72D297353CC}">
              <c16:uniqueId val="{00000004-445F-405F-99F9-9BF769B1757F}"/>
            </c:ext>
          </c:extLst>
        </c:ser>
        <c:ser>
          <c:idx val="2"/>
          <c:order val="5"/>
          <c:tx>
            <c:strRef>
              <c:f>'US-GT-8001-2'!$AD$38</c:f>
              <c:strCache>
                <c:ptCount val="1"/>
                <c:pt idx="0">
                  <c:v>Trip Vib</c:v>
                </c:pt>
              </c:strCache>
            </c:strRef>
          </c:tx>
          <c:spPr>
            <a:ln w="19050"/>
          </c:spPr>
          <c:marker>
            <c:symbol val="none"/>
          </c:marker>
          <c:cat>
            <c:numRef>
              <c:f>'US-GT-8001-2'!$A$41:$A$71</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'US-GT-8001-2'!$AD$41:$AD$71</c:f>
              <c:numCache>
                <c:formatCode>0</c:formatCode>
                <c:ptCount val="30"/>
                <c:pt idx="0" formatCode="General">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pt idx="22">
                  <c:v>25</c:v>
                </c:pt>
                <c:pt idx="23">
                  <c:v>25</c:v>
                </c:pt>
                <c:pt idx="24">
                  <c:v>25</c:v>
                </c:pt>
                <c:pt idx="25">
                  <c:v>25</c:v>
                </c:pt>
                <c:pt idx="26">
                  <c:v>25</c:v>
                </c:pt>
                <c:pt idx="27">
                  <c:v>25</c:v>
                </c:pt>
                <c:pt idx="28">
                  <c:v>25</c:v>
                </c:pt>
                <c:pt idx="29">
                  <c:v>25</c:v>
                </c:pt>
              </c:numCache>
            </c:numRef>
          </c:val>
          <c:smooth val="0"/>
          <c:extLst>
            <c:ext xmlns:c16="http://schemas.microsoft.com/office/drawing/2014/chart" uri="{C3380CC4-5D6E-409C-BE32-E72D297353CC}">
              <c16:uniqueId val="{00000005-445F-405F-99F9-9BF769B1757F}"/>
            </c:ext>
          </c:extLst>
        </c:ser>
        <c:dLbls>
          <c:showLegendKey val="0"/>
          <c:showVal val="0"/>
          <c:showCatName val="0"/>
          <c:showSerName val="0"/>
          <c:showPercent val="0"/>
          <c:showBubbleSize val="0"/>
        </c:dLbls>
        <c:smooth val="0"/>
        <c:axId val="110721280"/>
        <c:axId val="110743552"/>
        <c:extLst>
          <c:ext xmlns:c15="http://schemas.microsoft.com/office/drawing/2012/chart" uri="{02D57815-91ED-43cb-92C2-25804820EDAC}">
            <c15:filteredLineSeries>
              <c15:ser>
                <c:idx val="0"/>
                <c:order val="0"/>
                <c:tx>
                  <c:strRef>
                    <c:extLst>
                      <c:ext uri="{02D57815-91ED-43cb-92C2-25804820EDAC}">
                        <c15:formulaRef>
                          <c15:sqref>'US-GT-8001-2'!$I$39</c15:sqref>
                        </c15:formulaRef>
                      </c:ext>
                    </c:extLst>
                    <c:strCache>
                      <c:ptCount val="1"/>
                      <c:pt idx="0">
                        <c:v>Compresor</c:v>
                      </c:pt>
                    </c:strCache>
                  </c:strRef>
                </c:tx>
                <c:spPr>
                  <a:ln w="19050"/>
                </c:spPr>
                <c:marker>
                  <c:symbol val="none"/>
                </c:marker>
                <c:cat>
                  <c:numRef>
                    <c:extLst>
                      <c:ext uri="{02D57815-91ED-43cb-92C2-25804820EDAC}">
                        <c15:formulaRef>
                          <c15:sqref>'US-GT-8001-2'!$A$41:$A$71</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c:ext uri="{02D57815-91ED-43cb-92C2-25804820EDAC}">
                        <c15:formulaRef>
                          <c15:sqref>'US-GT-8001-2'!$I$41:$I$70</c15:sqref>
                        </c15:formulaRef>
                      </c:ext>
                    </c:extLst>
                    <c:numCache>
                      <c:formatCode>0.0</c:formatCode>
                      <c:ptCount val="30"/>
                      <c:pt idx="0">
                        <c:v>3.3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445F-405F-99F9-9BF769B1757F}"/>
                  </c:ext>
                </c:extLst>
              </c15:ser>
            </c15:filteredLineSeries>
            <c15:filteredLineSeries>
              <c15:ser>
                <c:idx val="5"/>
                <c:order val="1"/>
                <c:tx>
                  <c:strRef>
                    <c:extLst xmlns:c15="http://schemas.microsoft.com/office/drawing/2012/chart">
                      <c:ext xmlns:c15="http://schemas.microsoft.com/office/drawing/2012/chart" uri="{02D57815-91ED-43cb-92C2-25804820EDAC}">
                        <c15:formulaRef>
                          <c15:sqref>'US-GT-8001-2'!$J$39</c15:sqref>
                        </c15:formulaRef>
                      </c:ext>
                    </c:extLst>
                    <c:strCache>
                      <c:ptCount val="1"/>
                      <c:pt idx="0">
                        <c:v>Compresor</c:v>
                      </c:pt>
                    </c:strCache>
                  </c:strRef>
                </c:tx>
                <c:spPr>
                  <a:ln w="19050">
                    <a:solidFill>
                      <a:srgbClr val="2BE92B"/>
                    </a:solidFill>
                  </a:ln>
                </c:spPr>
                <c:marker>
                  <c:symbol val="none"/>
                </c:marker>
                <c:cat>
                  <c:numRef>
                    <c:extLst xmlns:c15="http://schemas.microsoft.com/office/drawing/2012/chart">
                      <c:ext xmlns:c15="http://schemas.microsoft.com/office/drawing/2012/chart" uri="{02D57815-91ED-43cb-92C2-25804820EDAC}">
                        <c15:formulaRef>
                          <c15:sqref>'US-GT-8001-2'!$A$41:$A$71</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'US-GT-8001-2'!$J$41:$J$70</c15:sqref>
                        </c15:formulaRef>
                      </c:ext>
                    </c:extLst>
                    <c:numCache>
                      <c:formatCode>0.0</c:formatCode>
                      <c:ptCount val="30"/>
                      <c:pt idx="0">
                        <c:v>3.6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1-445F-405F-99F9-9BF769B1757F}"/>
                  </c:ext>
                </c:extLst>
              </c15:ser>
            </c15:filteredLineSeries>
          </c:ext>
        </c:extLst>
      </c:lineChart>
      <c:dateAx>
        <c:axId val="110721280"/>
        <c:scaling>
          <c:orientation val="minMax"/>
          <c:min val="45078"/>
        </c:scaling>
        <c:delete val="0"/>
        <c:axPos val="b"/>
        <c:majorGridlines>
          <c:spPr>
            <a:ln>
              <a:noFill/>
            </a:ln>
          </c:spPr>
        </c:majorGridlines>
        <c:minorGridlines>
          <c:spPr>
            <a:ln>
              <a:noFill/>
            </a:ln>
          </c:spPr>
        </c:minorGridlines>
        <c:numFmt formatCode="dd" sourceLinked="1"/>
        <c:majorTickMark val="out"/>
        <c:minorTickMark val="none"/>
        <c:tickLblPos val="nextTo"/>
        <c:spPr>
          <a:ln>
            <a:noFill/>
          </a:ln>
        </c:spPr>
        <c:txPr>
          <a:bodyPr/>
          <a:lstStyle/>
          <a:p>
            <a:pPr>
              <a:defRPr>
                <a:ln>
                  <a:noFill/>
                </a:ln>
                <a:solidFill>
                  <a:schemeClr val="tx1"/>
                </a:solidFill>
              </a:defRPr>
            </a:pPr>
            <a:endParaRPr lang="es-CO"/>
          </a:p>
        </c:txPr>
        <c:crossAx val="110743552"/>
        <c:crosses val="autoZero"/>
        <c:auto val="0"/>
        <c:lblOffset val="100"/>
        <c:baseTimeUnit val="days"/>
      </c:dateAx>
      <c:valAx>
        <c:axId val="110743552"/>
        <c:scaling>
          <c:orientation val="minMax"/>
          <c:max val="27"/>
          <c:min val="0"/>
        </c:scaling>
        <c:delete val="0"/>
        <c:axPos val="l"/>
        <c:majorGridlines>
          <c:spPr>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c:spPr>
        </c:majorGridlines>
        <c:title>
          <c:tx>
            <c:rich>
              <a:bodyPr rot="0" vert="horz"/>
              <a:lstStyle/>
              <a:p>
                <a:pPr>
                  <a:defRPr/>
                </a:pPr>
                <a:r>
                  <a:rPr lang="es-ES"/>
                  <a:t>mm/s</a:t>
                </a:r>
              </a:p>
            </c:rich>
          </c:tx>
          <c:layout>
            <c:manualLayout>
              <c:xMode val="edge"/>
              <c:yMode val="edge"/>
              <c:x val="9.3267095655992713E-3"/>
              <c:y val="4.6358464647269032E-2"/>
            </c:manualLayout>
          </c:layout>
          <c:overlay val="0"/>
        </c:title>
        <c:numFmt formatCode="0.0" sourceLinked="1"/>
        <c:majorTickMark val="out"/>
        <c:minorTickMark val="none"/>
        <c:tickLblPos val="nextTo"/>
        <c:crossAx val="110721280"/>
        <c:crossesAt val="1"/>
        <c:crossBetween val="between"/>
      </c:valAx>
      <c:spPr>
        <a:ln>
          <a:noFill/>
        </a:ln>
      </c:spPr>
    </c:plotArea>
    <c:legend>
      <c:legendPos val="b"/>
      <c:layout>
        <c:manualLayout>
          <c:xMode val="edge"/>
          <c:yMode val="edge"/>
          <c:x val="0.1401929509450765"/>
          <c:y val="0.92461072427557511"/>
          <c:w val="0.7228492220800522"/>
          <c:h val="7.1438659054937834E-2"/>
        </c:manualLayout>
      </c:layout>
      <c:overlay val="0"/>
    </c:legend>
    <c:plotVisOnly val="1"/>
    <c:dispBlanksAs val="gap"/>
    <c:showDLblsOverMax val="0"/>
  </c:chart>
  <c:spPr>
    <a:ln>
      <a:solidFill>
        <a:srgbClr val="FFC000"/>
      </a:solidFill>
    </a:ln>
  </c:sp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VIBRACIONES</a:t>
            </a:r>
            <a:r>
              <a:rPr lang="en-US" baseline="0"/>
              <a:t> GT-8001</a:t>
            </a:r>
            <a:endParaRPr lang="en-US"/>
          </a:p>
        </c:rich>
      </c:tx>
      <c:overlay val="0"/>
    </c:title>
    <c:autoTitleDeleted val="0"/>
    <c:plotArea>
      <c:layout>
        <c:manualLayout>
          <c:layoutTarget val="inner"/>
          <c:xMode val="edge"/>
          <c:yMode val="edge"/>
          <c:x val="5.8079717301164943E-2"/>
          <c:y val="0.14999189036824268"/>
          <c:w val="0.87081393290333686"/>
          <c:h val="0.66848310091086705"/>
        </c:manualLayout>
      </c:layout>
      <c:lineChart>
        <c:grouping val="standard"/>
        <c:varyColors val="0"/>
        <c:ser>
          <c:idx val="6"/>
          <c:order val="2"/>
          <c:tx>
            <c:strRef>
              <c:f>'US-GT-8001-2'!$K$4</c:f>
              <c:strCache>
                <c:ptCount val="1"/>
                <c:pt idx="0">
                  <c:v>Turbina</c:v>
                </c:pt>
              </c:strCache>
            </c:strRef>
          </c:tx>
          <c:spPr>
            <a:ln>
              <a:solidFill>
                <a:srgbClr val="25C6FF"/>
              </a:solidFill>
            </a:ln>
          </c:spPr>
          <c:marker>
            <c:symbol val="none"/>
          </c:marker>
          <c:cat>
            <c:numRef>
              <c:f>'US-GT-8001-2'!$A$6:$A$36</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'US-GT-8001-2'!$K$6:$K$36</c:f>
              <c:numCache>
                <c:formatCode>0.0</c:formatCode>
                <c:ptCount val="30"/>
                <c:pt idx="0">
                  <c:v>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2-F16F-412C-86BE-442796945CAF}"/>
            </c:ext>
          </c:extLst>
        </c:ser>
        <c:ser>
          <c:idx val="7"/>
          <c:order val="3"/>
          <c:tx>
            <c:strRef>
              <c:f>'US-GT-8001-2'!$L$4</c:f>
              <c:strCache>
                <c:ptCount val="1"/>
                <c:pt idx="0">
                  <c:v>Turbina</c:v>
                </c:pt>
              </c:strCache>
            </c:strRef>
          </c:tx>
          <c:spPr>
            <a:ln w="19050"/>
          </c:spPr>
          <c:marker>
            <c:symbol val="none"/>
          </c:marker>
          <c:cat>
            <c:numRef>
              <c:f>'US-GT-8001-2'!$A$6:$A$36</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'US-GT-8001-2'!$L$6:$L$36</c:f>
              <c:numCache>
                <c:formatCode>0.0</c:formatCode>
                <c:ptCount val="30"/>
                <c:pt idx="0">
                  <c:v>1.9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3-F16F-412C-86BE-442796945CAF}"/>
            </c:ext>
          </c:extLst>
        </c:ser>
        <c:ser>
          <c:idx val="1"/>
          <c:order val="4"/>
          <c:tx>
            <c:strRef>
              <c:f>'US-GT-8001-2'!$AC$3</c:f>
              <c:strCache>
                <c:ptCount val="1"/>
                <c:pt idx="0">
                  <c:v>Alarma Vib</c:v>
                </c:pt>
              </c:strCache>
            </c:strRef>
          </c:tx>
          <c:spPr>
            <a:ln w="19050"/>
          </c:spPr>
          <c:marker>
            <c:symbol val="none"/>
          </c:marker>
          <c:cat>
            <c:numRef>
              <c:f>'US-GT-8001-2'!$A$6:$A$36</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'US-GT-8001-2'!$AC$6:$AC$36</c:f>
              <c:numCache>
                <c:formatCode>General</c:formatCode>
                <c:ptCount val="30"/>
                <c:pt idx="0">
                  <c:v>13</c:v>
                </c:pt>
                <c:pt idx="1">
                  <c:v>13</c:v>
                </c:pt>
                <c:pt idx="2" formatCode="0">
                  <c:v>13</c:v>
                </c:pt>
                <c:pt idx="3" formatCode="0">
                  <c:v>13</c:v>
                </c:pt>
                <c:pt idx="4" formatCode="0">
                  <c:v>13</c:v>
                </c:pt>
                <c:pt idx="5" formatCode="0">
                  <c:v>13</c:v>
                </c:pt>
                <c:pt idx="6" formatCode="0">
                  <c:v>13</c:v>
                </c:pt>
                <c:pt idx="7" formatCode="0">
                  <c:v>13</c:v>
                </c:pt>
                <c:pt idx="8" formatCode="0">
                  <c:v>13</c:v>
                </c:pt>
                <c:pt idx="9" formatCode="0">
                  <c:v>13</c:v>
                </c:pt>
                <c:pt idx="10" formatCode="0">
                  <c:v>13</c:v>
                </c:pt>
                <c:pt idx="11" formatCode="0">
                  <c:v>13</c:v>
                </c:pt>
                <c:pt idx="12" formatCode="0">
                  <c:v>13</c:v>
                </c:pt>
                <c:pt idx="13" formatCode="0">
                  <c:v>13</c:v>
                </c:pt>
                <c:pt idx="14" formatCode="0">
                  <c:v>13</c:v>
                </c:pt>
                <c:pt idx="15" formatCode="0">
                  <c:v>13</c:v>
                </c:pt>
                <c:pt idx="16" formatCode="0">
                  <c:v>13</c:v>
                </c:pt>
                <c:pt idx="17" formatCode="0">
                  <c:v>13</c:v>
                </c:pt>
                <c:pt idx="18" formatCode="0">
                  <c:v>13</c:v>
                </c:pt>
                <c:pt idx="19" formatCode="0">
                  <c:v>13</c:v>
                </c:pt>
                <c:pt idx="20" formatCode="0">
                  <c:v>13</c:v>
                </c:pt>
                <c:pt idx="21" formatCode="0">
                  <c:v>13</c:v>
                </c:pt>
                <c:pt idx="22" formatCode="0">
                  <c:v>13</c:v>
                </c:pt>
                <c:pt idx="23" formatCode="0">
                  <c:v>13</c:v>
                </c:pt>
                <c:pt idx="24" formatCode="0">
                  <c:v>13</c:v>
                </c:pt>
                <c:pt idx="25" formatCode="0">
                  <c:v>13</c:v>
                </c:pt>
                <c:pt idx="26" formatCode="0">
                  <c:v>13</c:v>
                </c:pt>
                <c:pt idx="27" formatCode="0">
                  <c:v>13</c:v>
                </c:pt>
                <c:pt idx="28" formatCode="0">
                  <c:v>13</c:v>
                </c:pt>
                <c:pt idx="29" formatCode="0">
                  <c:v>13</c:v>
                </c:pt>
              </c:numCache>
            </c:numRef>
          </c:val>
          <c:smooth val="0"/>
          <c:extLst>
            <c:ext xmlns:c16="http://schemas.microsoft.com/office/drawing/2014/chart" uri="{C3380CC4-5D6E-409C-BE32-E72D297353CC}">
              <c16:uniqueId val="{00000004-F16F-412C-86BE-442796945CAF}"/>
            </c:ext>
          </c:extLst>
        </c:ser>
        <c:ser>
          <c:idx val="2"/>
          <c:order val="5"/>
          <c:tx>
            <c:strRef>
              <c:f>'US-GT-8001-2'!$AD$3</c:f>
              <c:strCache>
                <c:ptCount val="1"/>
                <c:pt idx="0">
                  <c:v>Trip Vib</c:v>
                </c:pt>
              </c:strCache>
            </c:strRef>
          </c:tx>
          <c:spPr>
            <a:ln w="19050"/>
          </c:spPr>
          <c:marker>
            <c:symbol val="none"/>
          </c:marker>
          <c:cat>
            <c:numRef>
              <c:f>'US-GT-8001-2'!$A$6:$A$36</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'US-GT-8001-2'!$AD$6:$AD$36</c:f>
              <c:numCache>
                <c:formatCode>General</c:formatCode>
                <c:ptCount val="30"/>
                <c:pt idx="0">
                  <c:v>25</c:v>
                </c:pt>
                <c:pt idx="1">
                  <c:v>25</c:v>
                </c:pt>
                <c:pt idx="2" formatCode="0">
                  <c:v>25</c:v>
                </c:pt>
                <c:pt idx="3" formatCode="0">
                  <c:v>25</c:v>
                </c:pt>
                <c:pt idx="4" formatCode="0">
                  <c:v>25</c:v>
                </c:pt>
                <c:pt idx="5" formatCode="0">
                  <c:v>25</c:v>
                </c:pt>
                <c:pt idx="6" formatCode="0">
                  <c:v>25</c:v>
                </c:pt>
                <c:pt idx="7" formatCode="0">
                  <c:v>25</c:v>
                </c:pt>
                <c:pt idx="8" formatCode="0">
                  <c:v>25</c:v>
                </c:pt>
                <c:pt idx="9" formatCode="0">
                  <c:v>25</c:v>
                </c:pt>
                <c:pt idx="10" formatCode="0">
                  <c:v>25</c:v>
                </c:pt>
                <c:pt idx="11" formatCode="0">
                  <c:v>25</c:v>
                </c:pt>
                <c:pt idx="12" formatCode="0">
                  <c:v>25</c:v>
                </c:pt>
                <c:pt idx="13" formatCode="0">
                  <c:v>25</c:v>
                </c:pt>
                <c:pt idx="14" formatCode="0">
                  <c:v>25</c:v>
                </c:pt>
                <c:pt idx="15" formatCode="0">
                  <c:v>25</c:v>
                </c:pt>
                <c:pt idx="16" formatCode="0">
                  <c:v>25</c:v>
                </c:pt>
                <c:pt idx="17" formatCode="0">
                  <c:v>25</c:v>
                </c:pt>
                <c:pt idx="18" formatCode="0">
                  <c:v>25</c:v>
                </c:pt>
                <c:pt idx="19" formatCode="0">
                  <c:v>25</c:v>
                </c:pt>
                <c:pt idx="20" formatCode="0">
                  <c:v>25</c:v>
                </c:pt>
                <c:pt idx="21" formatCode="0">
                  <c:v>25</c:v>
                </c:pt>
                <c:pt idx="22" formatCode="0">
                  <c:v>25</c:v>
                </c:pt>
                <c:pt idx="23" formatCode="0">
                  <c:v>25</c:v>
                </c:pt>
                <c:pt idx="24" formatCode="0">
                  <c:v>25</c:v>
                </c:pt>
                <c:pt idx="25" formatCode="0">
                  <c:v>25</c:v>
                </c:pt>
                <c:pt idx="26" formatCode="0">
                  <c:v>25</c:v>
                </c:pt>
                <c:pt idx="27" formatCode="0">
                  <c:v>25</c:v>
                </c:pt>
                <c:pt idx="28" formatCode="0">
                  <c:v>25</c:v>
                </c:pt>
                <c:pt idx="29" formatCode="0">
                  <c:v>25</c:v>
                </c:pt>
              </c:numCache>
            </c:numRef>
          </c:val>
          <c:smooth val="0"/>
          <c:extLst>
            <c:ext xmlns:c16="http://schemas.microsoft.com/office/drawing/2014/chart" uri="{C3380CC4-5D6E-409C-BE32-E72D297353CC}">
              <c16:uniqueId val="{00000005-F16F-412C-86BE-442796945CAF}"/>
            </c:ext>
          </c:extLst>
        </c:ser>
        <c:dLbls>
          <c:showLegendKey val="0"/>
          <c:showVal val="0"/>
          <c:showCatName val="0"/>
          <c:showSerName val="0"/>
          <c:showPercent val="0"/>
          <c:showBubbleSize val="0"/>
        </c:dLbls>
        <c:smooth val="0"/>
        <c:axId val="110782336"/>
        <c:axId val="110783872"/>
        <c:extLst>
          <c:ext xmlns:c15="http://schemas.microsoft.com/office/drawing/2012/chart" uri="{02D57815-91ED-43cb-92C2-25804820EDAC}">
            <c15:filteredLineSeries>
              <c15:ser>
                <c:idx val="0"/>
                <c:order val="0"/>
                <c:tx>
                  <c:strRef>
                    <c:extLst>
                      <c:ext uri="{02D57815-91ED-43cb-92C2-25804820EDAC}">
                        <c15:formulaRef>
                          <c15:sqref>'US-GT-8001-2'!$I$4</c15:sqref>
                        </c15:formulaRef>
                      </c:ext>
                    </c:extLst>
                    <c:strCache>
                      <c:ptCount val="1"/>
                      <c:pt idx="0">
                        <c:v>Compresor</c:v>
                      </c:pt>
                    </c:strCache>
                  </c:strRef>
                </c:tx>
                <c:spPr>
                  <a:ln w="19050"/>
                </c:spPr>
                <c:marker>
                  <c:symbol val="none"/>
                </c:marker>
                <c:cat>
                  <c:numRef>
                    <c:extLst>
                      <c:ext uri="{02D57815-91ED-43cb-92C2-25804820EDAC}">
                        <c15:formulaRef>
                          <c15:sqref>'US-GT-8001-2'!$A$6:$A$36</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c:ext uri="{02D57815-91ED-43cb-92C2-25804820EDAC}">
                        <c15:formulaRef>
                          <c15:sqref>'US-GT-8001-2'!$I$6:$I$35</c15:sqref>
                        </c15:formulaRef>
                      </c:ext>
                    </c:extLst>
                    <c:numCache>
                      <c:formatCode>0.0</c:formatCode>
                      <c:ptCount val="30"/>
                      <c:pt idx="0">
                        <c:v>2.8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F16F-412C-86BE-442796945CAF}"/>
                  </c:ext>
                </c:extLst>
              </c15:ser>
            </c15:filteredLineSeries>
            <c15:filteredLineSeries>
              <c15:ser>
                <c:idx val="5"/>
                <c:order val="1"/>
                <c:tx>
                  <c:strRef>
                    <c:extLst xmlns:c15="http://schemas.microsoft.com/office/drawing/2012/chart">
                      <c:ext xmlns:c15="http://schemas.microsoft.com/office/drawing/2012/chart" uri="{02D57815-91ED-43cb-92C2-25804820EDAC}">
                        <c15:formulaRef>
                          <c15:sqref>'US-GT-8001-2'!$J$4</c15:sqref>
                        </c15:formulaRef>
                      </c:ext>
                    </c:extLst>
                    <c:strCache>
                      <c:ptCount val="1"/>
                      <c:pt idx="0">
                        <c:v>Compresor</c:v>
                      </c:pt>
                    </c:strCache>
                  </c:strRef>
                </c:tx>
                <c:spPr>
                  <a:ln w="19050">
                    <a:solidFill>
                      <a:srgbClr val="2BE92B"/>
                    </a:solidFill>
                  </a:ln>
                </c:spPr>
                <c:marker>
                  <c:symbol val="none"/>
                </c:marker>
                <c:cat>
                  <c:numRef>
                    <c:extLst xmlns:c15="http://schemas.microsoft.com/office/drawing/2012/chart">
                      <c:ext xmlns:c15="http://schemas.microsoft.com/office/drawing/2012/chart" uri="{02D57815-91ED-43cb-92C2-25804820EDAC}">
                        <c15:formulaRef>
                          <c15:sqref>'US-GT-8001-2'!$A$6:$A$36</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'US-GT-8001-2'!$J$6:$J$35</c15:sqref>
                        </c15:formulaRef>
                      </c:ext>
                    </c:extLst>
                    <c:numCache>
                      <c:formatCode>0.0</c:formatCode>
                      <c:ptCount val="30"/>
                      <c:pt idx="0">
                        <c:v>3.3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1-F16F-412C-86BE-442796945CAF}"/>
                  </c:ext>
                </c:extLst>
              </c15:ser>
            </c15:filteredLineSeries>
          </c:ext>
        </c:extLst>
      </c:lineChart>
      <c:dateAx>
        <c:axId val="110782336"/>
        <c:scaling>
          <c:orientation val="minMax"/>
          <c:min val="45078"/>
        </c:scaling>
        <c:delete val="0"/>
        <c:axPos val="b"/>
        <c:majorGridlines>
          <c:spPr>
            <a:ln>
              <a:noFill/>
            </a:ln>
          </c:spPr>
        </c:majorGridlines>
        <c:minorGridlines/>
        <c:numFmt formatCode="dd" sourceLinked="1"/>
        <c:majorTickMark val="out"/>
        <c:minorTickMark val="none"/>
        <c:tickLblPos val="nextTo"/>
        <c:crossAx val="110783872"/>
        <c:crosses val="autoZero"/>
        <c:auto val="0"/>
        <c:lblOffset val="100"/>
        <c:baseTimeUnit val="days"/>
      </c:dateAx>
      <c:valAx>
        <c:axId val="110783872"/>
        <c:scaling>
          <c:orientation val="minMax"/>
          <c:max val="27"/>
          <c:min val="0"/>
        </c:scaling>
        <c:delete val="0"/>
        <c:axPos val="l"/>
        <c:majorGridlines>
          <c:spPr>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c:spPr>
        </c:majorGridlines>
        <c:title>
          <c:tx>
            <c:rich>
              <a:bodyPr rot="0" vert="horz"/>
              <a:lstStyle/>
              <a:p>
                <a:pPr>
                  <a:defRPr/>
                </a:pPr>
                <a:r>
                  <a:rPr lang="es-ES"/>
                  <a:t>mm/s</a:t>
                </a:r>
              </a:p>
            </c:rich>
          </c:tx>
          <c:layout>
            <c:manualLayout>
              <c:xMode val="edge"/>
              <c:yMode val="edge"/>
              <c:x val="8.6252585051498944E-3"/>
              <c:y val="5.1232973394330895E-2"/>
            </c:manualLayout>
          </c:layout>
          <c:overlay val="0"/>
        </c:title>
        <c:numFmt formatCode="0.0" sourceLinked="1"/>
        <c:majorTickMark val="out"/>
        <c:minorTickMark val="none"/>
        <c:tickLblPos val="nextTo"/>
        <c:crossAx val="110782336"/>
        <c:crosses val="autoZero"/>
        <c:crossBetween val="between"/>
      </c:valAx>
    </c:plotArea>
    <c:legend>
      <c:legendPos val="b"/>
      <c:layout>
        <c:manualLayout>
          <c:xMode val="edge"/>
          <c:yMode val="edge"/>
          <c:x val="8.6175714877745543E-2"/>
          <c:y val="0.93031643613141579"/>
          <c:w val="0.81381710180964217"/>
          <c:h val="6.9683563868584167E-2"/>
        </c:manualLayout>
      </c:layout>
      <c:overlay val="0"/>
    </c:legend>
    <c:plotVisOnly val="1"/>
    <c:dispBlanksAs val="gap"/>
    <c:showDLblsOverMax val="0"/>
  </c:chart>
  <c:spPr>
    <a:ln>
      <a:solidFill>
        <a:schemeClr val="accent1"/>
      </a:solidFill>
      <a:prstDash val="solid"/>
    </a:ln>
  </c:spPr>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chemeClr val="tx1"/>
                </a:solidFill>
                <a:latin typeface="+mn-lt"/>
                <a:ea typeface="+mn-ea"/>
                <a:cs typeface="+mn-cs"/>
              </a:defRPr>
            </a:pPr>
            <a:r>
              <a:rPr lang="en-US" b="1">
                <a:solidFill>
                  <a:schemeClr val="tx1"/>
                </a:solidFill>
              </a:rPr>
              <a:t>COMPRE</a:t>
            </a:r>
            <a:r>
              <a:rPr lang="en-US" sz="1800" b="1" i="0" baseline="0">
                <a:solidFill>
                  <a:schemeClr val="tx1"/>
                </a:solidFill>
                <a:effectLst/>
              </a:rPr>
              <a:t>COMPRESOR AXIAL GT</a:t>
            </a:r>
            <a:r>
              <a:rPr lang="en-US" b="1">
                <a:solidFill>
                  <a:schemeClr val="tx1"/>
                </a:solidFill>
              </a:rPr>
              <a:t>-8002</a:t>
            </a:r>
          </a:p>
        </c:rich>
      </c:tx>
      <c:layout>
        <c:manualLayout>
          <c:xMode val="edge"/>
          <c:yMode val="edge"/>
          <c:x val="0.29810579972680812"/>
          <c:y val="4.9493879135216773E-2"/>
        </c:manualLayout>
      </c:layout>
      <c:overlay val="0"/>
      <c:spPr>
        <a:noFill/>
      </c:spPr>
    </c:title>
    <c:autoTitleDeleted val="0"/>
    <c:plotArea>
      <c:layout>
        <c:manualLayout>
          <c:layoutTarget val="inner"/>
          <c:xMode val="edge"/>
          <c:yMode val="edge"/>
          <c:x val="5.6631842223481804E-2"/>
          <c:y val="0.14999194114820155"/>
          <c:w val="0.87081393290333686"/>
          <c:h val="0.66848310091086705"/>
        </c:manualLayout>
      </c:layout>
      <c:lineChart>
        <c:grouping val="standard"/>
        <c:varyColors val="0"/>
        <c:ser>
          <c:idx val="8"/>
          <c:order val="0"/>
          <c:tx>
            <c:strRef>
              <c:f>'US-GT-8001-2'!$N$39</c:f>
              <c:strCache>
                <c:ptCount val="1"/>
                <c:pt idx="0">
                  <c:v>CTD</c:v>
                </c:pt>
              </c:strCache>
            </c:strRef>
          </c:tx>
          <c:spPr>
            <a:ln w="19050">
              <a:solidFill>
                <a:srgbClr val="00B0F0"/>
              </a:solidFill>
            </a:ln>
          </c:spPr>
          <c:marker>
            <c:symbol val="none"/>
          </c:marker>
          <c:cat>
            <c:numRef>
              <c:f>'US-GT-8001-2'!$A$41:$A$71</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'US-GT-8001-2'!$N$41:$N$71</c:f>
              <c:numCache>
                <c:formatCode>0.0</c:formatCode>
                <c:ptCount val="30"/>
                <c:pt idx="0">
                  <c:v>310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0-549F-499F-AF6F-93B85D0D4C85}"/>
            </c:ext>
          </c:extLst>
        </c:ser>
        <c:ser>
          <c:idx val="4"/>
          <c:order val="3"/>
          <c:tx>
            <c:strRef>
              <c:f>'US-GT-8001-2'!$M$39</c:f>
              <c:strCache>
                <c:ptCount val="1"/>
                <c:pt idx="0">
                  <c:v>CPD</c:v>
                </c:pt>
              </c:strCache>
            </c:strRef>
          </c:tx>
          <c:spPr>
            <a:ln w="19050">
              <a:solidFill>
                <a:srgbClr val="FF0000"/>
              </a:solidFill>
            </a:ln>
          </c:spPr>
          <c:marker>
            <c:symbol val="none"/>
          </c:marker>
          <c:cat>
            <c:numRef>
              <c:f>'US-GT-8001-2'!$A$41:$A$71</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'US-GT-8001-2'!$M$41:$M$71</c:f>
              <c:numCache>
                <c:formatCode>0.0</c:formatCode>
                <c:ptCount val="30"/>
                <c:pt idx="0">
                  <c:v>7.03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3-549F-499F-AF6F-93B85D0D4C85}"/>
            </c:ext>
          </c:extLst>
        </c:ser>
        <c:ser>
          <c:idx val="0"/>
          <c:order val="4"/>
          <c:tx>
            <c:strRef>
              <c:f>'US-GT-8001-2'!$I$39</c:f>
              <c:strCache>
                <c:ptCount val="1"/>
                <c:pt idx="0">
                  <c:v>Compresor</c:v>
                </c:pt>
              </c:strCache>
            </c:strRef>
          </c:tx>
          <c:spPr>
            <a:ln w="19050"/>
          </c:spPr>
          <c:marker>
            <c:symbol val="none"/>
          </c:marker>
          <c:cat>
            <c:numRef>
              <c:f>'US-GT-8001-2'!$A$41:$A$71</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'US-GT-8001-2'!$I$41:$I$71</c:f>
              <c:numCache>
                <c:formatCode>0.0</c:formatCode>
                <c:ptCount val="30"/>
                <c:pt idx="0">
                  <c:v>3.3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5-549F-499F-AF6F-93B85D0D4C85}"/>
            </c:ext>
          </c:extLst>
        </c:ser>
        <c:ser>
          <c:idx val="5"/>
          <c:order val="5"/>
          <c:tx>
            <c:strRef>
              <c:f>'US-GT-8001-2'!$J$4</c:f>
              <c:strCache>
                <c:ptCount val="1"/>
                <c:pt idx="0">
                  <c:v>Compresor</c:v>
                </c:pt>
              </c:strCache>
              <c:extLst xmlns:c15="http://schemas.microsoft.com/office/drawing/2012/chart"/>
            </c:strRef>
          </c:tx>
          <c:spPr>
            <a:ln w="19050">
              <a:solidFill>
                <a:srgbClr val="2BE92B"/>
              </a:solidFill>
            </a:ln>
          </c:spPr>
          <c:marker>
            <c:symbol val="none"/>
          </c:marker>
          <c:cat>
            <c:numRef>
              <c:f>'US-GT-8001-2'!$A$41:$A$71</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'US-GT-8001-2'!$J$6:$J$36</c:f>
              <c:numCache>
                <c:formatCode>0.0</c:formatCode>
                <c:ptCount val="30"/>
                <c:pt idx="0">
                  <c:v>3.3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7-549F-499F-AF6F-93B85D0D4C85}"/>
            </c:ext>
          </c:extLst>
        </c:ser>
        <c:dLbls>
          <c:showLegendKey val="0"/>
          <c:showVal val="0"/>
          <c:showCatName val="0"/>
          <c:showSerName val="0"/>
          <c:showPercent val="0"/>
          <c:showBubbleSize val="0"/>
        </c:dLbls>
        <c:smooth val="0"/>
        <c:axId val="110782336"/>
        <c:axId val="110783872"/>
        <c:extLst>
          <c:ext xmlns:c15="http://schemas.microsoft.com/office/drawing/2012/chart" uri="{02D57815-91ED-43cb-92C2-25804820EDAC}">
            <c15:filteredLineSeries>
              <c15:ser>
                <c:idx val="9"/>
                <c:order val="1"/>
                <c:tx>
                  <c:strRef>
                    <c:extLst>
                      <c:ext uri="{02D57815-91ED-43cb-92C2-25804820EDAC}">
                        <c15:formulaRef>
                          <c15:sqref>'US-GT-8001-2'!$M$39</c15:sqref>
                        </c15:formulaRef>
                      </c:ext>
                    </c:extLst>
                    <c:strCache>
                      <c:ptCount val="1"/>
                      <c:pt idx="0">
                        <c:v>CPD</c:v>
                      </c:pt>
                    </c:strCache>
                  </c:strRef>
                </c:tx>
                <c:spPr>
                  <a:ln w="19050">
                    <a:solidFill>
                      <a:srgbClr val="FF0000"/>
                    </a:solidFill>
                  </a:ln>
                </c:spPr>
                <c:marker>
                  <c:symbol val="none"/>
                </c:marker>
                <c:cat>
                  <c:numRef>
                    <c:extLst>
                      <c:ext uri="{02D57815-91ED-43cb-92C2-25804820EDAC}">
                        <c15:formulaRef>
                          <c15:sqref>'US-GT-8001-2'!$A$41:$A$71</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c:ext uri="{02D57815-91ED-43cb-92C2-25804820EDAC}">
                        <c15:formulaRef>
                          <c15:sqref>'US-GT-8001-2'!$M$41:$M$70</c15:sqref>
                        </c15:formulaRef>
                      </c:ext>
                    </c:extLst>
                    <c:numCache>
                      <c:formatCode>0.0</c:formatCode>
                      <c:ptCount val="30"/>
                      <c:pt idx="0">
                        <c:v>7.03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1-549F-499F-AF6F-93B85D0D4C85}"/>
                  </c:ext>
                </c:extLst>
              </c15:ser>
            </c15:filteredLineSeries>
            <c15:filteredLineSeries>
              <c15:ser>
                <c:idx val="3"/>
                <c:order val="2"/>
                <c:tx>
                  <c:strRef>
                    <c:extLst xmlns:c15="http://schemas.microsoft.com/office/drawing/2012/chart">
                      <c:ext xmlns:c15="http://schemas.microsoft.com/office/drawing/2012/chart" uri="{02D57815-91ED-43cb-92C2-25804820EDAC}">
                        <c15:formulaRef>
                          <c15:sqref>'US-GT-8001-2'!$N$4</c15:sqref>
                        </c15:formulaRef>
                      </c:ext>
                    </c:extLst>
                    <c:strCache>
                      <c:ptCount val="1"/>
                      <c:pt idx="0">
                        <c:v>CTD</c:v>
                      </c:pt>
                    </c:strCache>
                  </c:strRef>
                </c:tx>
                <c:spPr>
                  <a:ln w="19050">
                    <a:solidFill>
                      <a:srgbClr val="00B0F0"/>
                    </a:solidFill>
                  </a:ln>
                </c:spPr>
                <c:marker>
                  <c:symbol val="none"/>
                </c:marker>
                <c:cat>
                  <c:numRef>
                    <c:extLst xmlns:c15="http://schemas.microsoft.com/office/drawing/2012/chart">
                      <c:ext xmlns:c15="http://schemas.microsoft.com/office/drawing/2012/chart" uri="{02D57815-91ED-43cb-92C2-25804820EDAC}">
                        <c15:formulaRef>
                          <c15:sqref>'US-GT-8001-2'!$A$41:$A$71</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'US-GT-8001-2'!$N$6:$N$35</c15:sqref>
                        </c15:formulaRef>
                      </c:ext>
                    </c:extLst>
                    <c:numCache>
                      <c:formatCode>0.0</c:formatCode>
                      <c:ptCount val="30"/>
                      <c:pt idx="0">
                        <c:v>290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1-549F-499F-AF6F-93B85D0D4C85}"/>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'US-GT-8001-2'!$K$4</c15:sqref>
                        </c15:formulaRef>
                      </c:ext>
                    </c:extLst>
                    <c:strCache>
                      <c:ptCount val="1"/>
                      <c:pt idx="0">
                        <c:v>Turbina</c:v>
                      </c:pt>
                    </c:strCache>
                  </c:strRef>
                </c:tx>
                <c:spPr>
                  <a:ln>
                    <a:solidFill>
                      <a:srgbClr val="25C6FF"/>
                    </a:solidFill>
                  </a:ln>
                </c:spPr>
                <c:marker>
                  <c:symbol val="none"/>
                </c:marker>
                <c:cat>
                  <c:numRef>
                    <c:extLst xmlns:c15="http://schemas.microsoft.com/office/drawing/2012/chart">
                      <c:ext xmlns:c15="http://schemas.microsoft.com/office/drawing/2012/chart" uri="{02D57815-91ED-43cb-92C2-25804820EDAC}">
                        <c15:formulaRef>
                          <c15:sqref>'US-GT-8001-2'!$A$41:$A$71</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'US-GT-8001-2'!$K$6:$K$35</c15:sqref>
                        </c15:formulaRef>
                      </c:ext>
                    </c:extLst>
                    <c:numCache>
                      <c:formatCode>0.0</c:formatCode>
                      <c:ptCount val="30"/>
                      <c:pt idx="0">
                        <c:v>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9-549F-499F-AF6F-93B85D0D4C85}"/>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'US-GT-8001-2'!$L$4</c15:sqref>
                        </c15:formulaRef>
                      </c:ext>
                    </c:extLst>
                    <c:strCache>
                      <c:ptCount val="1"/>
                      <c:pt idx="0">
                        <c:v>Turbina</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'US-GT-8001-2'!$A$41:$A$71</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'US-GT-8001-2'!$L$6:$L$35</c15:sqref>
                        </c15:formulaRef>
                      </c:ext>
                    </c:extLst>
                    <c:numCache>
                      <c:formatCode>0.0</c:formatCode>
                      <c:ptCount val="30"/>
                      <c:pt idx="0">
                        <c:v>1.9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B-549F-499F-AF6F-93B85D0D4C85}"/>
                  </c:ext>
                </c:extLst>
              </c15:ser>
            </c15:filteredLineSeries>
            <c15:filteredLineSeries>
              <c15:ser>
                <c:idx val="1"/>
                <c:order val="8"/>
                <c:tx>
                  <c:strRef>
                    <c:extLst xmlns:c15="http://schemas.microsoft.com/office/drawing/2012/chart">
                      <c:ext xmlns:c15="http://schemas.microsoft.com/office/drawing/2012/chart" uri="{02D57815-91ED-43cb-92C2-25804820EDAC}">
                        <c15:formulaRef>
                          <c15:sqref>'US-GT-8001-2'!$AC$3</c15:sqref>
                        </c15:formulaRef>
                      </c:ext>
                    </c:extLst>
                    <c:strCache>
                      <c:ptCount val="1"/>
                      <c:pt idx="0">
                        <c:v>Alarma Vib</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'US-GT-8001-2'!$A$41:$A$71</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'US-GT-8001-2'!$AC$6:$AC$35</c15:sqref>
                        </c15:formulaRef>
                      </c:ext>
                    </c:extLst>
                    <c:numCache>
                      <c:formatCode>General</c:formatCode>
                      <c:ptCount val="30"/>
                      <c:pt idx="0">
                        <c:v>13</c:v>
                      </c:pt>
                      <c:pt idx="1">
                        <c:v>13</c:v>
                      </c:pt>
                      <c:pt idx="2" formatCode="0">
                        <c:v>13</c:v>
                      </c:pt>
                      <c:pt idx="3" formatCode="0">
                        <c:v>13</c:v>
                      </c:pt>
                      <c:pt idx="4" formatCode="0">
                        <c:v>13</c:v>
                      </c:pt>
                      <c:pt idx="5" formatCode="0">
                        <c:v>13</c:v>
                      </c:pt>
                      <c:pt idx="6" formatCode="0">
                        <c:v>13</c:v>
                      </c:pt>
                      <c:pt idx="7" formatCode="0">
                        <c:v>13</c:v>
                      </c:pt>
                      <c:pt idx="8" formatCode="0">
                        <c:v>13</c:v>
                      </c:pt>
                      <c:pt idx="9" formatCode="0">
                        <c:v>13</c:v>
                      </c:pt>
                      <c:pt idx="10" formatCode="0">
                        <c:v>13</c:v>
                      </c:pt>
                      <c:pt idx="11" formatCode="0">
                        <c:v>13</c:v>
                      </c:pt>
                      <c:pt idx="12" formatCode="0">
                        <c:v>13</c:v>
                      </c:pt>
                      <c:pt idx="13" formatCode="0">
                        <c:v>13</c:v>
                      </c:pt>
                      <c:pt idx="14" formatCode="0">
                        <c:v>13</c:v>
                      </c:pt>
                      <c:pt idx="15" formatCode="0">
                        <c:v>13</c:v>
                      </c:pt>
                      <c:pt idx="16" formatCode="0">
                        <c:v>13</c:v>
                      </c:pt>
                      <c:pt idx="17" formatCode="0">
                        <c:v>13</c:v>
                      </c:pt>
                      <c:pt idx="18" formatCode="0">
                        <c:v>13</c:v>
                      </c:pt>
                      <c:pt idx="19" formatCode="0">
                        <c:v>13</c:v>
                      </c:pt>
                      <c:pt idx="20" formatCode="0">
                        <c:v>13</c:v>
                      </c:pt>
                      <c:pt idx="21" formatCode="0">
                        <c:v>13</c:v>
                      </c:pt>
                      <c:pt idx="22" formatCode="0">
                        <c:v>13</c:v>
                      </c:pt>
                      <c:pt idx="23" formatCode="0">
                        <c:v>13</c:v>
                      </c:pt>
                      <c:pt idx="24" formatCode="0">
                        <c:v>13</c:v>
                      </c:pt>
                      <c:pt idx="25" formatCode="0">
                        <c:v>13</c:v>
                      </c:pt>
                      <c:pt idx="26" formatCode="0">
                        <c:v>13</c:v>
                      </c:pt>
                      <c:pt idx="27" formatCode="0">
                        <c:v>13</c:v>
                      </c:pt>
                      <c:pt idx="28" formatCode="0">
                        <c:v>13</c:v>
                      </c:pt>
                      <c:pt idx="29" formatCode="0">
                        <c:v>13</c:v>
                      </c:pt>
                    </c:numCache>
                  </c:numRef>
                </c:val>
                <c:smooth val="0"/>
                <c:extLst xmlns:c15="http://schemas.microsoft.com/office/drawing/2012/chart">
                  <c:ext xmlns:c16="http://schemas.microsoft.com/office/drawing/2014/chart" uri="{C3380CC4-5D6E-409C-BE32-E72D297353CC}">
                    <c16:uniqueId val="{0000000D-549F-499F-AF6F-93B85D0D4C85}"/>
                  </c:ext>
                </c:extLst>
              </c15:ser>
            </c15:filteredLineSeries>
            <c15:filteredLineSeries>
              <c15:ser>
                <c:idx val="2"/>
                <c:order val="9"/>
                <c:tx>
                  <c:strRef>
                    <c:extLst xmlns:c15="http://schemas.microsoft.com/office/drawing/2012/chart">
                      <c:ext xmlns:c15="http://schemas.microsoft.com/office/drawing/2012/chart" uri="{02D57815-91ED-43cb-92C2-25804820EDAC}">
                        <c15:formulaRef>
                          <c15:sqref>'US-GT-8001-2'!$AD$3</c15:sqref>
                        </c15:formulaRef>
                      </c:ext>
                    </c:extLst>
                    <c:strCache>
                      <c:ptCount val="1"/>
                      <c:pt idx="0">
                        <c:v>Trip Vib</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'US-GT-8001-2'!$A$41:$A$71</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'US-GT-8001-2'!$AD$6:$AD$35</c15:sqref>
                        </c15:formulaRef>
                      </c:ext>
                    </c:extLst>
                    <c:numCache>
                      <c:formatCode>General</c:formatCode>
                      <c:ptCount val="30"/>
                      <c:pt idx="0">
                        <c:v>25</c:v>
                      </c:pt>
                      <c:pt idx="1">
                        <c:v>25</c:v>
                      </c:pt>
                      <c:pt idx="2" formatCode="0">
                        <c:v>25</c:v>
                      </c:pt>
                      <c:pt idx="3" formatCode="0">
                        <c:v>25</c:v>
                      </c:pt>
                      <c:pt idx="4" formatCode="0">
                        <c:v>25</c:v>
                      </c:pt>
                      <c:pt idx="5" formatCode="0">
                        <c:v>25</c:v>
                      </c:pt>
                      <c:pt idx="6" formatCode="0">
                        <c:v>25</c:v>
                      </c:pt>
                      <c:pt idx="7" formatCode="0">
                        <c:v>25</c:v>
                      </c:pt>
                      <c:pt idx="8" formatCode="0">
                        <c:v>25</c:v>
                      </c:pt>
                      <c:pt idx="9" formatCode="0">
                        <c:v>25</c:v>
                      </c:pt>
                      <c:pt idx="10" formatCode="0">
                        <c:v>25</c:v>
                      </c:pt>
                      <c:pt idx="11" formatCode="0">
                        <c:v>25</c:v>
                      </c:pt>
                      <c:pt idx="12" formatCode="0">
                        <c:v>25</c:v>
                      </c:pt>
                      <c:pt idx="13" formatCode="0">
                        <c:v>25</c:v>
                      </c:pt>
                      <c:pt idx="14" formatCode="0">
                        <c:v>25</c:v>
                      </c:pt>
                      <c:pt idx="15" formatCode="0">
                        <c:v>25</c:v>
                      </c:pt>
                      <c:pt idx="16" formatCode="0">
                        <c:v>25</c:v>
                      </c:pt>
                      <c:pt idx="17" formatCode="0">
                        <c:v>25</c:v>
                      </c:pt>
                      <c:pt idx="18" formatCode="0">
                        <c:v>25</c:v>
                      </c:pt>
                      <c:pt idx="19" formatCode="0">
                        <c:v>25</c:v>
                      </c:pt>
                      <c:pt idx="20" formatCode="0">
                        <c:v>25</c:v>
                      </c:pt>
                      <c:pt idx="21" formatCode="0">
                        <c:v>25</c:v>
                      </c:pt>
                      <c:pt idx="22" formatCode="0">
                        <c:v>25</c:v>
                      </c:pt>
                      <c:pt idx="23" formatCode="0">
                        <c:v>25</c:v>
                      </c:pt>
                      <c:pt idx="24" formatCode="0">
                        <c:v>25</c:v>
                      </c:pt>
                      <c:pt idx="25" formatCode="0">
                        <c:v>25</c:v>
                      </c:pt>
                      <c:pt idx="26" formatCode="0">
                        <c:v>25</c:v>
                      </c:pt>
                      <c:pt idx="27" formatCode="0">
                        <c:v>25</c:v>
                      </c:pt>
                      <c:pt idx="28" formatCode="0">
                        <c:v>25</c:v>
                      </c:pt>
                      <c:pt idx="29" formatCode="0">
                        <c:v>25</c:v>
                      </c:pt>
                    </c:numCache>
                  </c:numRef>
                </c:val>
                <c:smooth val="0"/>
                <c:extLst xmlns:c15="http://schemas.microsoft.com/office/drawing/2012/chart">
                  <c:ext xmlns:c16="http://schemas.microsoft.com/office/drawing/2014/chart" uri="{C3380CC4-5D6E-409C-BE32-E72D297353CC}">
                    <c16:uniqueId val="{0000000F-549F-499F-AF6F-93B85D0D4C85}"/>
                  </c:ext>
                </c:extLst>
              </c15:ser>
            </c15:filteredLineSeries>
          </c:ext>
        </c:extLst>
      </c:lineChart>
      <c:dateAx>
        <c:axId val="110782336"/>
        <c:scaling>
          <c:orientation val="minMax"/>
          <c:min val="45078"/>
        </c:scaling>
        <c:delete val="0"/>
        <c:axPos val="b"/>
        <c:numFmt formatCode="dd" sourceLinked="1"/>
        <c:majorTickMark val="out"/>
        <c:minorTickMark val="none"/>
        <c:tickLblPos val="nextTo"/>
        <c:txPr>
          <a:bodyPr/>
          <a:lstStyle/>
          <a:p>
            <a:pPr>
              <a:defRPr>
                <a:solidFill>
                  <a:schemeClr val="tx1"/>
                </a:solidFill>
              </a:defRPr>
            </a:pPr>
            <a:endParaRPr lang="es-CO"/>
          </a:p>
        </c:txPr>
        <c:crossAx val="110783872"/>
        <c:crosses val="autoZero"/>
        <c:auto val="0"/>
        <c:lblOffset val="100"/>
        <c:baseTimeUnit val="days"/>
      </c:dateAx>
      <c:valAx>
        <c:axId val="110783872"/>
        <c:scaling>
          <c:orientation val="minMax"/>
          <c:max val="380"/>
          <c:min val="0"/>
        </c:scaling>
        <c:delete val="0"/>
        <c:axPos val="l"/>
        <c:majorGridlines>
          <c:spPr>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c:spPr>
        </c:majorGridlines>
        <c:numFmt formatCode="0.0" sourceLinked="1"/>
        <c:majorTickMark val="out"/>
        <c:minorTickMark val="none"/>
        <c:tickLblPos val="nextTo"/>
        <c:txPr>
          <a:bodyPr/>
          <a:lstStyle/>
          <a:p>
            <a:pPr>
              <a:defRPr>
                <a:solidFill>
                  <a:schemeClr val="tx1"/>
                </a:solidFill>
              </a:defRPr>
            </a:pPr>
            <a:endParaRPr lang="es-CO"/>
          </a:p>
        </c:txPr>
        <c:crossAx val="110782336"/>
        <c:crosses val="autoZero"/>
        <c:crossBetween val="between"/>
      </c:valAx>
    </c:plotArea>
    <c:legend>
      <c:legendPos val="b"/>
      <c:layout>
        <c:manualLayout>
          <c:xMode val="edge"/>
          <c:yMode val="edge"/>
          <c:x val="4.4046133859949467E-2"/>
          <c:y val="0.87701439544821702"/>
          <c:w val="0.87377084695869234"/>
          <c:h val="7.698960917556541E-2"/>
        </c:manualLayout>
      </c:layout>
      <c:overlay val="0"/>
      <c:txPr>
        <a:bodyPr/>
        <a:lstStyle/>
        <a:p>
          <a:pPr>
            <a:defRPr>
              <a:solidFill>
                <a:schemeClr val="tx1"/>
              </a:solidFill>
            </a:defRPr>
          </a:pPr>
          <a:endParaRPr lang="es-CO"/>
        </a:p>
      </c:txPr>
    </c:legend>
    <c:plotVisOnly val="1"/>
    <c:dispBlanksAs val="gap"/>
    <c:showDLblsOverMax val="0"/>
  </c:chart>
  <c:txPr>
    <a:bodyPr/>
    <a:lstStyle/>
    <a:p>
      <a:pPr>
        <a:defRPr>
          <a:noFill/>
        </a:defRPr>
      </a:pPr>
      <a:endParaRPr lang="es-CO"/>
    </a:p>
  </c:txPr>
  <c:printSettings>
    <c:headerFooter/>
    <c:pageMargins b="0.75000000000001465" l="0.70000000000000062" r="0.70000000000000062" t="0.75000000000001465"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WHEEL-SPACE GT-8002</a:t>
            </a:r>
            <a:endParaRPr lang="en-US"/>
          </a:p>
        </c:rich>
      </c:tx>
      <c:overlay val="0"/>
    </c:title>
    <c:autoTitleDeleted val="0"/>
    <c:plotArea>
      <c:layout>
        <c:manualLayout>
          <c:layoutTarget val="inner"/>
          <c:xMode val="edge"/>
          <c:yMode val="edge"/>
          <c:x val="6.7949246585697093E-2"/>
          <c:y val="0.14084413201371002"/>
          <c:w val="0.87081393290333686"/>
          <c:h val="0.66848310091086705"/>
        </c:manualLayout>
      </c:layout>
      <c:lineChart>
        <c:grouping val="standard"/>
        <c:varyColors val="0"/>
        <c:ser>
          <c:idx val="10"/>
          <c:order val="0"/>
          <c:tx>
            <c:strRef>
              <c:f>'US-GT-8001-2'!$X$39</c:f>
              <c:strCache>
                <c:ptCount val="1"/>
                <c:pt idx="0">
                  <c:v>TTWS1AO2</c:v>
                </c:pt>
              </c:strCache>
            </c:strRef>
          </c:tx>
          <c:spPr>
            <a:ln w="19050">
              <a:solidFill>
                <a:srgbClr val="002060"/>
              </a:solidFill>
            </a:ln>
          </c:spPr>
          <c:marker>
            <c:symbol val="none"/>
          </c:marker>
          <c:cat>
            <c:strRef>
              <c:f>'US-GT-8001-2'!$A$6:$A$70</c:f>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f>'US-GT-8001-2'!$X$41:$X$70</c:f>
              <c:numCache>
                <c:formatCode>0</c:formatCode>
                <c:ptCount val="30"/>
                <c:pt idx="0">
                  <c:v>324</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4-BFF4-4E61-882C-B38AAD00470C}"/>
            </c:ext>
          </c:extLst>
        </c:ser>
        <c:ser>
          <c:idx val="11"/>
          <c:order val="1"/>
          <c:tx>
            <c:strRef>
              <c:f>'US-GT-8001-2'!$Y$39</c:f>
              <c:strCache>
                <c:ptCount val="1"/>
                <c:pt idx="0">
                  <c:v>TTWS1AO3</c:v>
                </c:pt>
              </c:strCache>
            </c:strRef>
          </c:tx>
          <c:spPr>
            <a:ln w="19050">
              <a:solidFill>
                <a:srgbClr val="2BE92B"/>
              </a:solidFill>
            </a:ln>
          </c:spPr>
          <c:marker>
            <c:symbol val="none"/>
          </c:marker>
          <c:cat>
            <c:strRef>
              <c:f>'US-GT-8001-2'!$A$6:$A$70</c:f>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f>'US-GT-8001-2'!$Y$41:$Y$70</c:f>
              <c:numCache>
                <c:formatCode>0</c:formatCode>
                <c:ptCount val="30"/>
                <c:pt idx="0">
                  <c:v>305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5-BFF4-4E61-882C-B38AAD00470C}"/>
            </c:ext>
          </c:extLst>
        </c:ser>
        <c:ser>
          <c:idx val="12"/>
          <c:order val="2"/>
          <c:tx>
            <c:strRef>
              <c:f>'US-GT-8001-2'!$Z$39</c:f>
              <c:strCache>
                <c:ptCount val="1"/>
                <c:pt idx="0">
                  <c:v>TTWS1FO2</c:v>
                </c:pt>
              </c:strCache>
            </c:strRef>
          </c:tx>
          <c:spPr>
            <a:ln w="19050">
              <a:solidFill>
                <a:srgbClr val="00B0F0"/>
              </a:solidFill>
            </a:ln>
          </c:spPr>
          <c:marker>
            <c:symbol val="none"/>
          </c:marker>
          <c:cat>
            <c:strRef>
              <c:f>'US-GT-8001-2'!$A$6:$A$70</c:f>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f>'US-GT-8001-2'!$Z$41:$Z$70</c:f>
              <c:numCache>
                <c:formatCode>0</c:formatCode>
                <c:ptCount val="30"/>
                <c:pt idx="0">
                  <c:v>355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6-BFF4-4E61-882C-B38AAD00470C}"/>
            </c:ext>
          </c:extLst>
        </c:ser>
        <c:ser>
          <c:idx val="13"/>
          <c:order val="3"/>
          <c:tx>
            <c:strRef>
              <c:f>'US-GT-8001-2'!$AF$38</c:f>
              <c:strCache>
                <c:ptCount val="1"/>
                <c:pt idx="0">
                  <c:v>ALARMA</c:v>
                </c:pt>
              </c:strCache>
              <c:extLst xmlns:c15="http://schemas.microsoft.com/office/drawing/2012/chart"/>
            </c:strRef>
          </c:tx>
          <c:spPr>
            <a:ln w="19050"/>
          </c:spPr>
          <c:marker>
            <c:symbol val="none"/>
          </c:marker>
          <c:cat>
            <c:strRef>
              <c:f>'US-GT-8001-2'!$A$6:$A$70</c:f>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f>'US-GT-8001-2'!$AF$41:$AF$70</c:f>
              <c:numCache>
                <c:formatCode>0</c:formatCode>
                <c:ptCount val="30"/>
                <c:pt idx="0" formatCode="General">
                  <c:v>427</c:v>
                </c:pt>
                <c:pt idx="1">
                  <c:v>427</c:v>
                </c:pt>
                <c:pt idx="2">
                  <c:v>427</c:v>
                </c:pt>
                <c:pt idx="3">
                  <c:v>427</c:v>
                </c:pt>
                <c:pt idx="4">
                  <c:v>427</c:v>
                </c:pt>
                <c:pt idx="5">
                  <c:v>427</c:v>
                </c:pt>
                <c:pt idx="6">
                  <c:v>427</c:v>
                </c:pt>
                <c:pt idx="7">
                  <c:v>427</c:v>
                </c:pt>
                <c:pt idx="8">
                  <c:v>427</c:v>
                </c:pt>
                <c:pt idx="9">
                  <c:v>427</c:v>
                </c:pt>
                <c:pt idx="10">
                  <c:v>427</c:v>
                </c:pt>
                <c:pt idx="11">
                  <c:v>427</c:v>
                </c:pt>
                <c:pt idx="12">
                  <c:v>427</c:v>
                </c:pt>
                <c:pt idx="13">
                  <c:v>427</c:v>
                </c:pt>
                <c:pt idx="14">
                  <c:v>427</c:v>
                </c:pt>
                <c:pt idx="15">
                  <c:v>427</c:v>
                </c:pt>
                <c:pt idx="16">
                  <c:v>427</c:v>
                </c:pt>
                <c:pt idx="17">
                  <c:v>427</c:v>
                </c:pt>
                <c:pt idx="18">
                  <c:v>427</c:v>
                </c:pt>
                <c:pt idx="19">
                  <c:v>427</c:v>
                </c:pt>
                <c:pt idx="20">
                  <c:v>427</c:v>
                </c:pt>
                <c:pt idx="21">
                  <c:v>427</c:v>
                </c:pt>
                <c:pt idx="22">
                  <c:v>427</c:v>
                </c:pt>
                <c:pt idx="23">
                  <c:v>427</c:v>
                </c:pt>
                <c:pt idx="24">
                  <c:v>427</c:v>
                </c:pt>
                <c:pt idx="25">
                  <c:v>427</c:v>
                </c:pt>
                <c:pt idx="26">
                  <c:v>427</c:v>
                </c:pt>
                <c:pt idx="27">
                  <c:v>427</c:v>
                </c:pt>
                <c:pt idx="28">
                  <c:v>427</c:v>
                </c:pt>
                <c:pt idx="29">
                  <c:v>427</c:v>
                </c:pt>
              </c:numCache>
            </c:numRef>
          </c:val>
          <c:smooth val="0"/>
          <c:extLst xmlns:c15="http://schemas.microsoft.com/office/drawing/2012/chart">
            <c:ext xmlns:c16="http://schemas.microsoft.com/office/drawing/2014/chart" uri="{C3380CC4-5D6E-409C-BE32-E72D297353CC}">
              <c16:uniqueId val="{00000017-BFF4-4E61-882C-B38AAD00470C}"/>
            </c:ext>
          </c:extLst>
        </c:ser>
        <c:ser>
          <c:idx val="14"/>
          <c:order val="4"/>
          <c:tx>
            <c:strRef>
              <c:f>'US-GT-8001-2'!$AA$39</c:f>
              <c:strCache>
                <c:ptCount val="1"/>
                <c:pt idx="0">
                  <c:v>TTWS1FO3</c:v>
                </c:pt>
              </c:strCache>
            </c:strRef>
          </c:tx>
          <c:spPr>
            <a:ln w="19050">
              <a:solidFill>
                <a:srgbClr val="990033"/>
              </a:solidFill>
            </a:ln>
          </c:spPr>
          <c:marker>
            <c:symbol val="none"/>
          </c:marker>
          <c:cat>
            <c:strRef>
              <c:f>'US-GT-8001-2'!$A$6:$A$70</c:f>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f>'US-GT-8001-2'!$AA$41:$AA$70</c:f>
              <c:numCache>
                <c:formatCode>0</c:formatCode>
                <c:ptCount val="30"/>
                <c:pt idx="0">
                  <c:v>358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8-BFF4-4E61-882C-B38AAD00470C}"/>
            </c:ext>
          </c:extLst>
        </c:ser>
        <c:dLbls>
          <c:showLegendKey val="0"/>
          <c:showVal val="0"/>
          <c:showCatName val="0"/>
          <c:showSerName val="0"/>
          <c:showPercent val="0"/>
          <c:showBubbleSize val="0"/>
        </c:dLbls>
        <c:smooth val="0"/>
        <c:axId val="110782336"/>
        <c:axId val="110783872"/>
        <c:extLst>
          <c:ext xmlns:c15="http://schemas.microsoft.com/office/drawing/2012/chart" uri="{02D57815-91ED-43cb-92C2-25804820EDAC}">
            <c15:filteredLineSeries>
              <c15:ser>
                <c:idx val="8"/>
                <c:order val="5"/>
                <c:tx>
                  <c:strRef>
                    <c:extLst>
                      <c:ext uri="{02D57815-91ED-43cb-92C2-25804820EDAC}">
                        <c15:formulaRef>
                          <c15:sqref>'US-GT-8001-2'!$N$39</c15:sqref>
                        </c15:formulaRef>
                      </c:ext>
                    </c:extLst>
                    <c:strCache>
                      <c:ptCount val="1"/>
                      <c:pt idx="0">
                        <c:v>CTD</c:v>
                      </c:pt>
                    </c:strCache>
                  </c:strRef>
                </c:tx>
                <c:spPr>
                  <a:ln w="19050">
                    <a:solidFill>
                      <a:srgbClr val="00B0F0"/>
                    </a:solidFill>
                  </a:ln>
                </c:spPr>
                <c:marker>
                  <c:symbol val="none"/>
                </c:marker>
                <c:cat>
                  <c:strRef>
                    <c:extLst>
                      <c:ex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c:ext uri="{02D57815-91ED-43cb-92C2-25804820EDAC}">
                        <c15:formulaRef>
                          <c15:sqref>'US-GT-8001-2'!$N$41:$N$69</c15:sqref>
                        </c15:formulaRef>
                      </c:ext>
                    </c:extLst>
                    <c:numCache>
                      <c:formatCode>0.0</c:formatCode>
                      <c:ptCount val="29"/>
                      <c:pt idx="0">
                        <c:v>310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c:ext xmlns:c16="http://schemas.microsoft.com/office/drawing/2014/chart" uri="{C3380CC4-5D6E-409C-BE32-E72D297353CC}">
                    <c16:uniqueId val="{00000001-BFF4-4E61-882C-B38AAD00470C}"/>
                  </c:ext>
                </c:extLst>
              </c15:ser>
            </c15:filteredLineSeries>
            <c15:filteredLineSeries>
              <c15:ser>
                <c:idx val="9"/>
                <c:order val="6"/>
                <c:tx>
                  <c:strRef>
                    <c:extLst xmlns:c15="http://schemas.microsoft.com/office/drawing/2012/chart">
                      <c:ext xmlns:c15="http://schemas.microsoft.com/office/drawing/2012/chart" uri="{02D57815-91ED-43cb-92C2-25804820EDAC}">
                        <c15:formulaRef>
                          <c15:sqref>'US-GT-8001-2'!$M$39</c15:sqref>
                        </c15:formulaRef>
                      </c:ext>
                    </c:extLst>
                    <c:strCache>
                      <c:ptCount val="1"/>
                      <c:pt idx="0">
                        <c:v>CPD</c:v>
                      </c:pt>
                    </c:strCache>
                  </c:strRef>
                </c:tx>
                <c:spPr>
                  <a:ln w="19050">
                    <a:solidFill>
                      <a:srgbClr val="FF0000"/>
                    </a:solidFill>
                  </a:ln>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'US-GT-8001-2'!$M$41:$M$69</c15:sqref>
                        </c15:formulaRef>
                      </c:ext>
                    </c:extLst>
                    <c:numCache>
                      <c:formatCode>0.0</c:formatCode>
                      <c:ptCount val="29"/>
                      <c:pt idx="0">
                        <c:v>7.03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3-BFF4-4E61-882C-B38AAD00470C}"/>
                  </c:ext>
                </c:extLst>
              </c15:ser>
            </c15:filteredLineSeries>
            <c15:filteredLineSeries>
              <c15:ser>
                <c:idx val="3"/>
                <c:order val="7"/>
                <c:tx>
                  <c:strRef>
                    <c:extLst xmlns:c15="http://schemas.microsoft.com/office/drawing/2012/chart">
                      <c:ext xmlns:c15="http://schemas.microsoft.com/office/drawing/2012/chart" uri="{02D57815-91ED-43cb-92C2-25804820EDAC}">
                        <c15:formulaRef>
                          <c15:sqref>'US-GT-8001-2'!$N$4</c15:sqref>
                        </c15:formulaRef>
                      </c:ext>
                    </c:extLst>
                    <c:strCache>
                      <c:ptCount val="1"/>
                      <c:pt idx="0">
                        <c:v>CTD</c:v>
                      </c:pt>
                    </c:strCache>
                  </c:strRef>
                </c:tx>
                <c:spPr>
                  <a:ln w="19050">
                    <a:solidFill>
                      <a:srgbClr val="00B0F0"/>
                    </a:solidFill>
                  </a:ln>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'US-GT-8001-2'!$N$6:$N$34</c15:sqref>
                        </c15:formulaRef>
                      </c:ext>
                    </c:extLst>
                    <c:numCache>
                      <c:formatCode>0.0</c:formatCode>
                      <c:ptCount val="29"/>
                      <c:pt idx="0">
                        <c:v>290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5-BFF4-4E61-882C-B38AAD00470C}"/>
                  </c:ext>
                </c:extLst>
              </c15:ser>
            </c15:filteredLineSeries>
            <c15:filteredLineSeries>
              <c15:ser>
                <c:idx val="4"/>
                <c:order val="8"/>
                <c:tx>
                  <c:strRef>
                    <c:extLst xmlns:c15="http://schemas.microsoft.com/office/drawing/2012/chart">
                      <c:ext xmlns:c15="http://schemas.microsoft.com/office/drawing/2012/chart" uri="{02D57815-91ED-43cb-92C2-25804820EDAC}">
                        <c15:formulaRef>
                          <c15:sqref>'US-GT-8001-2'!$M$4</c15:sqref>
                        </c15:formulaRef>
                      </c:ext>
                    </c:extLst>
                    <c:strCache>
                      <c:ptCount val="1"/>
                      <c:pt idx="0">
                        <c:v>CPD</c:v>
                      </c:pt>
                    </c:strCache>
                  </c:strRef>
                </c:tx>
                <c:spPr>
                  <a:ln w="19050">
                    <a:solidFill>
                      <a:srgbClr val="FF0000"/>
                    </a:solidFill>
                  </a:ln>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'US-GT-8001-2'!$M$6:$M$34</c15:sqref>
                        </c15:formulaRef>
                      </c:ext>
                    </c:extLst>
                    <c:numCache>
                      <c:formatCode>0.0</c:formatCode>
                      <c:ptCount val="29"/>
                      <c:pt idx="0">
                        <c:v>6.17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7-BFF4-4E61-882C-B38AAD00470C}"/>
                  </c:ext>
                </c:extLst>
              </c15:ser>
            </c15:filteredLineSeries>
            <c15:filteredLineSeries>
              <c15:ser>
                <c:idx val="0"/>
                <c:order val="9"/>
                <c:tx>
                  <c:strRef>
                    <c:extLst xmlns:c15="http://schemas.microsoft.com/office/drawing/2012/chart">
                      <c:ext xmlns:c15="http://schemas.microsoft.com/office/drawing/2012/chart" uri="{02D57815-91ED-43cb-92C2-25804820EDAC}">
                        <c15:formulaRef>
                          <c15:sqref>'US-GT-8001-2'!$I$4</c15:sqref>
                        </c15:formulaRef>
                      </c:ext>
                    </c:extLst>
                    <c:strCache>
                      <c:ptCount val="1"/>
                      <c:pt idx="0">
                        <c:v>Compresor</c:v>
                      </c:pt>
                    </c:strCache>
                  </c:strRef>
                </c:tx>
                <c:spPr>
                  <a:ln w="19050"/>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'US-GT-8001-2'!$I$6:$I$34</c15:sqref>
                        </c15:formulaRef>
                      </c:ext>
                    </c:extLst>
                    <c:numCache>
                      <c:formatCode>0.0</c:formatCode>
                      <c:ptCount val="29"/>
                      <c:pt idx="0">
                        <c:v>2.8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9-BFF4-4E61-882C-B38AAD00470C}"/>
                  </c:ext>
                </c:extLst>
              </c15:ser>
            </c15:filteredLineSeries>
            <c15:filteredLineSeries>
              <c15:ser>
                <c:idx val="5"/>
                <c:order val="10"/>
                <c:tx>
                  <c:strRef>
                    <c:extLst xmlns:c15="http://schemas.microsoft.com/office/drawing/2012/chart">
                      <c:ext xmlns:c15="http://schemas.microsoft.com/office/drawing/2012/chart" uri="{02D57815-91ED-43cb-92C2-25804820EDAC}">
                        <c15:formulaRef>
                          <c15:sqref>'US-GT-8001-2'!$J$4</c15:sqref>
                        </c15:formulaRef>
                      </c:ext>
                    </c:extLst>
                    <c:strCache>
                      <c:ptCount val="1"/>
                      <c:pt idx="0">
                        <c:v>Compresor</c:v>
                      </c:pt>
                    </c:strCache>
                  </c:strRef>
                </c:tx>
                <c:spPr>
                  <a:ln w="19050">
                    <a:solidFill>
                      <a:srgbClr val="2BE92B"/>
                    </a:solidFill>
                  </a:ln>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'US-GT-8001-2'!$J$6:$J$34</c15:sqref>
                        </c15:formulaRef>
                      </c:ext>
                    </c:extLst>
                    <c:numCache>
                      <c:formatCode>0.0</c:formatCode>
                      <c:ptCount val="29"/>
                      <c:pt idx="0">
                        <c:v>3.3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B-BFF4-4E61-882C-B38AAD00470C}"/>
                  </c:ext>
                </c:extLst>
              </c15:ser>
            </c15:filteredLineSeries>
            <c15:filteredLineSeries>
              <c15:ser>
                <c:idx val="6"/>
                <c:order val="11"/>
                <c:tx>
                  <c:strRef>
                    <c:extLst xmlns:c15="http://schemas.microsoft.com/office/drawing/2012/chart">
                      <c:ext xmlns:c15="http://schemas.microsoft.com/office/drawing/2012/chart" uri="{02D57815-91ED-43cb-92C2-25804820EDAC}">
                        <c15:formulaRef>
                          <c15:sqref>'US-GT-8001-2'!$K$4</c15:sqref>
                        </c15:formulaRef>
                      </c:ext>
                    </c:extLst>
                    <c:strCache>
                      <c:ptCount val="1"/>
                      <c:pt idx="0">
                        <c:v>Turbina</c:v>
                      </c:pt>
                    </c:strCache>
                  </c:strRef>
                </c:tx>
                <c:spPr>
                  <a:ln>
                    <a:solidFill>
                      <a:srgbClr val="25C6FF"/>
                    </a:solidFill>
                  </a:ln>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'US-GT-8001-2'!$K$6:$K$34</c15:sqref>
                        </c15:formulaRef>
                      </c:ext>
                    </c:extLst>
                    <c:numCache>
                      <c:formatCode>0.0</c:formatCode>
                      <c:ptCount val="29"/>
                      <c:pt idx="0">
                        <c:v>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D-BFF4-4E61-882C-B38AAD00470C}"/>
                  </c:ext>
                </c:extLst>
              </c15:ser>
            </c15:filteredLineSeries>
            <c15:filteredLineSeries>
              <c15:ser>
                <c:idx val="7"/>
                <c:order val="12"/>
                <c:tx>
                  <c:strRef>
                    <c:extLst xmlns:c15="http://schemas.microsoft.com/office/drawing/2012/chart">
                      <c:ext xmlns:c15="http://schemas.microsoft.com/office/drawing/2012/chart" uri="{02D57815-91ED-43cb-92C2-25804820EDAC}">
                        <c15:formulaRef>
                          <c15:sqref>'US-GT-8001-2'!$L$4</c15:sqref>
                        </c15:formulaRef>
                      </c:ext>
                    </c:extLst>
                    <c:strCache>
                      <c:ptCount val="1"/>
                      <c:pt idx="0">
                        <c:v>Turbina</c:v>
                      </c:pt>
                    </c:strCache>
                  </c:strRef>
                </c:tx>
                <c:spPr>
                  <a:ln w="19050"/>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'US-GT-8001-2'!$L$6:$L$34</c15:sqref>
                        </c15:formulaRef>
                      </c:ext>
                    </c:extLst>
                    <c:numCache>
                      <c:formatCode>0.0</c:formatCode>
                      <c:ptCount val="29"/>
                      <c:pt idx="0">
                        <c:v>1.9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F-BFF4-4E61-882C-B38AAD00470C}"/>
                  </c:ext>
                </c:extLst>
              </c15:ser>
            </c15:filteredLineSeries>
            <c15:filteredLineSeries>
              <c15:ser>
                <c:idx val="1"/>
                <c:order val="13"/>
                <c:tx>
                  <c:strRef>
                    <c:extLst xmlns:c15="http://schemas.microsoft.com/office/drawing/2012/chart">
                      <c:ext xmlns:c15="http://schemas.microsoft.com/office/drawing/2012/chart" uri="{02D57815-91ED-43cb-92C2-25804820EDAC}">
                        <c15:formulaRef>
                          <c15:sqref>'US-GT-8001-2'!$AC$3</c15:sqref>
                        </c15:formulaRef>
                      </c:ext>
                    </c:extLst>
                    <c:strCache>
                      <c:ptCount val="1"/>
                      <c:pt idx="0">
                        <c:v>Alarma Vib</c:v>
                      </c:pt>
                    </c:strCache>
                  </c:strRef>
                </c:tx>
                <c:spPr>
                  <a:ln w="19050"/>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'US-GT-8001-2'!$AC$6:$AC$34</c15:sqref>
                        </c15:formulaRef>
                      </c:ext>
                    </c:extLst>
                    <c:numCache>
                      <c:formatCode>General</c:formatCode>
                      <c:ptCount val="29"/>
                      <c:pt idx="0">
                        <c:v>13</c:v>
                      </c:pt>
                      <c:pt idx="1">
                        <c:v>13</c:v>
                      </c:pt>
                      <c:pt idx="2" formatCode="0">
                        <c:v>13</c:v>
                      </c:pt>
                      <c:pt idx="3" formatCode="0">
                        <c:v>13</c:v>
                      </c:pt>
                      <c:pt idx="4" formatCode="0">
                        <c:v>13</c:v>
                      </c:pt>
                      <c:pt idx="5" formatCode="0">
                        <c:v>13</c:v>
                      </c:pt>
                      <c:pt idx="6" formatCode="0">
                        <c:v>13</c:v>
                      </c:pt>
                      <c:pt idx="7" formatCode="0">
                        <c:v>13</c:v>
                      </c:pt>
                      <c:pt idx="8" formatCode="0">
                        <c:v>13</c:v>
                      </c:pt>
                      <c:pt idx="9" formatCode="0">
                        <c:v>13</c:v>
                      </c:pt>
                      <c:pt idx="10" formatCode="0">
                        <c:v>13</c:v>
                      </c:pt>
                      <c:pt idx="11" formatCode="0">
                        <c:v>13</c:v>
                      </c:pt>
                      <c:pt idx="12" formatCode="0">
                        <c:v>13</c:v>
                      </c:pt>
                      <c:pt idx="13" formatCode="0">
                        <c:v>13</c:v>
                      </c:pt>
                      <c:pt idx="14" formatCode="0">
                        <c:v>13</c:v>
                      </c:pt>
                      <c:pt idx="15" formatCode="0">
                        <c:v>13</c:v>
                      </c:pt>
                      <c:pt idx="16" formatCode="0">
                        <c:v>13</c:v>
                      </c:pt>
                      <c:pt idx="17" formatCode="0">
                        <c:v>13</c:v>
                      </c:pt>
                      <c:pt idx="18" formatCode="0">
                        <c:v>13</c:v>
                      </c:pt>
                      <c:pt idx="19" formatCode="0">
                        <c:v>13</c:v>
                      </c:pt>
                      <c:pt idx="20" formatCode="0">
                        <c:v>13</c:v>
                      </c:pt>
                      <c:pt idx="21" formatCode="0">
                        <c:v>13</c:v>
                      </c:pt>
                      <c:pt idx="22" formatCode="0">
                        <c:v>13</c:v>
                      </c:pt>
                      <c:pt idx="23" formatCode="0">
                        <c:v>13</c:v>
                      </c:pt>
                      <c:pt idx="24" formatCode="0">
                        <c:v>13</c:v>
                      </c:pt>
                      <c:pt idx="25" formatCode="0">
                        <c:v>13</c:v>
                      </c:pt>
                      <c:pt idx="26" formatCode="0">
                        <c:v>13</c:v>
                      </c:pt>
                      <c:pt idx="27" formatCode="0">
                        <c:v>13</c:v>
                      </c:pt>
                      <c:pt idx="28" formatCode="0">
                        <c:v>13</c:v>
                      </c:pt>
                    </c:numCache>
                  </c:numRef>
                </c:val>
                <c:smooth val="0"/>
                <c:extLst xmlns:c15="http://schemas.microsoft.com/office/drawing/2012/chart">
                  <c:ext xmlns:c16="http://schemas.microsoft.com/office/drawing/2014/chart" uri="{C3380CC4-5D6E-409C-BE32-E72D297353CC}">
                    <c16:uniqueId val="{00000011-BFF4-4E61-882C-B38AAD00470C}"/>
                  </c:ext>
                </c:extLst>
              </c15:ser>
            </c15:filteredLineSeries>
            <c15:filteredLineSeries>
              <c15:ser>
                <c:idx val="2"/>
                <c:order val="14"/>
                <c:tx>
                  <c:strRef>
                    <c:extLst xmlns:c15="http://schemas.microsoft.com/office/drawing/2012/chart">
                      <c:ext xmlns:c15="http://schemas.microsoft.com/office/drawing/2012/chart" uri="{02D57815-91ED-43cb-92C2-25804820EDAC}">
                        <c15:formulaRef>
                          <c15:sqref>'US-GT-8001-2'!$AD$3</c15:sqref>
                        </c15:formulaRef>
                      </c:ext>
                    </c:extLst>
                    <c:strCache>
                      <c:ptCount val="1"/>
                      <c:pt idx="0">
                        <c:v>Trip Vib</c:v>
                      </c:pt>
                    </c:strCache>
                  </c:strRef>
                </c:tx>
                <c:spPr>
                  <a:ln w="19050"/>
                </c:spPr>
                <c:marker>
                  <c:symbol val="none"/>
                </c:marker>
                <c:cat>
                  <c:strRef>
                    <c:extLst xmlns:c15="http://schemas.microsoft.com/office/drawing/2012/chart">
                      <c:ext xmlns:c15="http://schemas.microsoft.com/office/drawing/2012/chart" uri="{02D57815-91ED-43cb-92C2-25804820EDAC}">
                        <c15:formulaRef>
                          <c15:sqref>'US-GT-8001-2'!$A$6:$A$70</c15:sqref>
                        </c15:formulaRef>
                      </c:ext>
                    </c:extLst>
                    <c:strCache>
                      <c:ptCount val="64"/>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US - GT - 8002</c:v>
                      </c:pt>
                      <c:pt idx="31">
                        <c:v>FECHA</c:v>
                      </c:pt>
                      <c:pt idx="34">
                        <c:v>01</c:v>
                      </c:pt>
                      <c:pt idx="35">
                        <c:v>02</c:v>
                      </c:pt>
                      <c:pt idx="36">
                        <c:v>03</c:v>
                      </c:pt>
                      <c:pt idx="37">
                        <c:v>04</c:v>
                      </c:pt>
                      <c:pt idx="38">
                        <c:v>05</c:v>
                      </c:pt>
                      <c:pt idx="39">
                        <c:v>06</c:v>
                      </c:pt>
                      <c:pt idx="40">
                        <c:v>07</c:v>
                      </c:pt>
                      <c:pt idx="41">
                        <c:v>08</c:v>
                      </c:pt>
                      <c:pt idx="42">
                        <c:v>09</c:v>
                      </c:pt>
                      <c:pt idx="43">
                        <c:v>10</c:v>
                      </c:pt>
                      <c:pt idx="44">
                        <c:v>11</c:v>
                      </c:pt>
                      <c:pt idx="45">
                        <c:v>12</c:v>
                      </c:pt>
                      <c:pt idx="46">
                        <c:v>13</c:v>
                      </c:pt>
                      <c:pt idx="47">
                        <c:v>14</c:v>
                      </c:pt>
                      <c:pt idx="48">
                        <c:v>15</c:v>
                      </c:pt>
                      <c:pt idx="49">
                        <c:v>16</c:v>
                      </c:pt>
                      <c:pt idx="50">
                        <c:v>17</c:v>
                      </c:pt>
                      <c:pt idx="51">
                        <c:v>18</c:v>
                      </c:pt>
                      <c:pt idx="52">
                        <c:v>19</c:v>
                      </c:pt>
                      <c:pt idx="53">
                        <c:v>20</c:v>
                      </c:pt>
                      <c:pt idx="54">
                        <c:v>21</c:v>
                      </c:pt>
                      <c:pt idx="55">
                        <c:v>22</c:v>
                      </c:pt>
                      <c:pt idx="56">
                        <c:v>23</c:v>
                      </c:pt>
                      <c:pt idx="57">
                        <c:v>24</c:v>
                      </c:pt>
                      <c:pt idx="58">
                        <c:v>25</c:v>
                      </c:pt>
                      <c:pt idx="59">
                        <c:v>26</c:v>
                      </c:pt>
                      <c:pt idx="60">
                        <c:v>27</c:v>
                      </c:pt>
                      <c:pt idx="61">
                        <c:v>28</c:v>
                      </c:pt>
                      <c:pt idx="62">
                        <c:v>29</c:v>
                      </c:pt>
                      <c:pt idx="63">
                        <c:v>30</c:v>
                      </c:pt>
                    </c:strCache>
                  </c:strRef>
                </c:cat>
                <c:val>
                  <c:numRef>
                    <c:extLst xmlns:c15="http://schemas.microsoft.com/office/drawing/2012/chart">
                      <c:ext xmlns:c15="http://schemas.microsoft.com/office/drawing/2012/chart" uri="{02D57815-91ED-43cb-92C2-25804820EDAC}">
                        <c15:formulaRef>
                          <c15:sqref>'US-GT-8001-2'!$AD$6:$AD$34</c15:sqref>
                        </c15:formulaRef>
                      </c:ext>
                    </c:extLst>
                    <c:numCache>
                      <c:formatCode>General</c:formatCode>
                      <c:ptCount val="29"/>
                      <c:pt idx="0">
                        <c:v>25</c:v>
                      </c:pt>
                      <c:pt idx="1">
                        <c:v>25</c:v>
                      </c:pt>
                      <c:pt idx="2" formatCode="0">
                        <c:v>25</c:v>
                      </c:pt>
                      <c:pt idx="3" formatCode="0">
                        <c:v>25</c:v>
                      </c:pt>
                      <c:pt idx="4" formatCode="0">
                        <c:v>25</c:v>
                      </c:pt>
                      <c:pt idx="5" formatCode="0">
                        <c:v>25</c:v>
                      </c:pt>
                      <c:pt idx="6" formatCode="0">
                        <c:v>25</c:v>
                      </c:pt>
                      <c:pt idx="7" formatCode="0">
                        <c:v>25</c:v>
                      </c:pt>
                      <c:pt idx="8" formatCode="0">
                        <c:v>25</c:v>
                      </c:pt>
                      <c:pt idx="9" formatCode="0">
                        <c:v>25</c:v>
                      </c:pt>
                      <c:pt idx="10" formatCode="0">
                        <c:v>25</c:v>
                      </c:pt>
                      <c:pt idx="11" formatCode="0">
                        <c:v>25</c:v>
                      </c:pt>
                      <c:pt idx="12" formatCode="0">
                        <c:v>25</c:v>
                      </c:pt>
                      <c:pt idx="13" formatCode="0">
                        <c:v>25</c:v>
                      </c:pt>
                      <c:pt idx="14" formatCode="0">
                        <c:v>25</c:v>
                      </c:pt>
                      <c:pt idx="15" formatCode="0">
                        <c:v>25</c:v>
                      </c:pt>
                      <c:pt idx="16" formatCode="0">
                        <c:v>25</c:v>
                      </c:pt>
                      <c:pt idx="17" formatCode="0">
                        <c:v>25</c:v>
                      </c:pt>
                      <c:pt idx="18" formatCode="0">
                        <c:v>25</c:v>
                      </c:pt>
                      <c:pt idx="19" formatCode="0">
                        <c:v>25</c:v>
                      </c:pt>
                      <c:pt idx="20" formatCode="0">
                        <c:v>25</c:v>
                      </c:pt>
                      <c:pt idx="21" formatCode="0">
                        <c:v>25</c:v>
                      </c:pt>
                      <c:pt idx="22" formatCode="0">
                        <c:v>25</c:v>
                      </c:pt>
                      <c:pt idx="23" formatCode="0">
                        <c:v>25</c:v>
                      </c:pt>
                      <c:pt idx="24" formatCode="0">
                        <c:v>25</c:v>
                      </c:pt>
                      <c:pt idx="25" formatCode="0">
                        <c:v>25</c:v>
                      </c:pt>
                      <c:pt idx="26" formatCode="0">
                        <c:v>25</c:v>
                      </c:pt>
                      <c:pt idx="27" formatCode="0">
                        <c:v>25</c:v>
                      </c:pt>
                      <c:pt idx="28" formatCode="0">
                        <c:v>25</c:v>
                      </c:pt>
                    </c:numCache>
                  </c:numRef>
                </c:val>
                <c:smooth val="0"/>
                <c:extLst xmlns:c15="http://schemas.microsoft.com/office/drawing/2012/chart">
                  <c:ext xmlns:c16="http://schemas.microsoft.com/office/drawing/2014/chart" uri="{C3380CC4-5D6E-409C-BE32-E72D297353CC}">
                    <c16:uniqueId val="{00000013-BFF4-4E61-882C-B38AAD00470C}"/>
                  </c:ext>
                </c:extLst>
              </c15:ser>
            </c15:filteredLineSeries>
          </c:ext>
        </c:extLst>
      </c:lineChart>
      <c:catAx>
        <c:axId val="110782336"/>
        <c:scaling>
          <c:orientation val="minMax"/>
          <c:max val="31"/>
          <c:min val="1"/>
        </c:scaling>
        <c:delete val="0"/>
        <c:axPos val="b"/>
        <c:numFmt formatCode="m/d/yyyy" sourceLinked="0"/>
        <c:majorTickMark val="out"/>
        <c:minorTickMark val="none"/>
        <c:tickLblPos val="nextTo"/>
        <c:crossAx val="110783872"/>
        <c:crosses val="autoZero"/>
        <c:auto val="1"/>
        <c:lblAlgn val="ctr"/>
        <c:lblOffset val="100"/>
        <c:noMultiLvlLbl val="1"/>
      </c:catAx>
      <c:valAx>
        <c:axId val="110783872"/>
        <c:scaling>
          <c:orientation val="minMax"/>
          <c:max val="380"/>
          <c:min val="0"/>
        </c:scaling>
        <c:delete val="0"/>
        <c:axPos val="l"/>
        <c:majorGridlines>
          <c:spPr>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c:spPr>
        </c:majorGridlines>
        <c:title>
          <c:tx>
            <c:rich>
              <a:bodyPr rot="0" vert="horz"/>
              <a:lstStyle/>
              <a:p>
                <a:pPr>
                  <a:defRPr sz="1200"/>
                </a:pPr>
                <a:r>
                  <a:rPr lang="es-ES" sz="1200"/>
                  <a:t>°C</a:t>
                </a:r>
              </a:p>
            </c:rich>
          </c:tx>
          <c:layout>
            <c:manualLayout>
              <c:xMode val="edge"/>
              <c:yMode val="edge"/>
              <c:x val="2.1543360404143508E-2"/>
              <c:y val="6.8619485151930629E-2"/>
            </c:manualLayout>
          </c:layout>
          <c:overlay val="0"/>
        </c:title>
        <c:numFmt formatCode="0" sourceLinked="1"/>
        <c:majorTickMark val="out"/>
        <c:minorTickMark val="none"/>
        <c:tickLblPos val="nextTo"/>
        <c:crossAx val="110782336"/>
        <c:crosses val="autoZero"/>
        <c:crossBetween val="between"/>
      </c:valAx>
    </c:plotArea>
    <c:legend>
      <c:legendPos val="b"/>
      <c:layout>
        <c:manualLayout>
          <c:xMode val="edge"/>
          <c:yMode val="edge"/>
          <c:x val="8.6175714877745543E-2"/>
          <c:y val="0.93031643613141579"/>
          <c:w val="0.81381710180964217"/>
          <c:h val="6.9683563868584167E-2"/>
        </c:manualLayout>
      </c:layout>
      <c:overlay val="0"/>
    </c:legend>
    <c:plotVisOnly val="1"/>
    <c:dispBlanksAs val="gap"/>
    <c:showDLblsOverMax val="0"/>
  </c:chart>
  <c:spPr>
    <a:noFill/>
  </c:sp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WHEEL-SPACE GT-8001</a:t>
            </a:r>
            <a:endParaRPr lang="en-US"/>
          </a:p>
        </c:rich>
      </c:tx>
      <c:overlay val="0"/>
    </c:title>
    <c:autoTitleDeleted val="0"/>
    <c:plotArea>
      <c:layout>
        <c:manualLayout>
          <c:layoutTarget val="inner"/>
          <c:xMode val="edge"/>
          <c:yMode val="edge"/>
          <c:x val="6.1490229109349058E-2"/>
          <c:y val="0.12199183663870587"/>
          <c:w val="0.87081393290333686"/>
          <c:h val="0.66848310091086705"/>
        </c:manualLayout>
      </c:layout>
      <c:lineChart>
        <c:grouping val="standard"/>
        <c:varyColors val="0"/>
        <c:ser>
          <c:idx val="8"/>
          <c:order val="0"/>
          <c:tx>
            <c:strRef>
              <c:f>'US-GT-8001-2'!$X$4</c:f>
              <c:strCache>
                <c:ptCount val="1"/>
                <c:pt idx="0">
                  <c:v>TTWS1AO2</c:v>
                </c:pt>
              </c:strCache>
            </c:strRef>
          </c:tx>
          <c:spPr>
            <a:ln w="19050">
              <a:solidFill>
                <a:srgbClr val="002060"/>
              </a:solidFill>
            </a:ln>
          </c:spPr>
          <c:marker>
            <c:symbol val="none"/>
          </c:marker>
          <c:cat>
            <c:numRef>
              <c:f>'US-GT-8001-2'!$A$6:$A$35</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'US-GT-8001-2'!$X$6:$X$35</c:f>
              <c:numCache>
                <c:formatCode>0</c:formatCode>
                <c:ptCount val="30"/>
                <c:pt idx="0">
                  <c:v>303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0-5887-44CB-A75D-B772F03EC25B}"/>
            </c:ext>
          </c:extLst>
        </c:ser>
        <c:ser>
          <c:idx val="9"/>
          <c:order val="1"/>
          <c:tx>
            <c:strRef>
              <c:f>'US-GT-8001-2'!$Y$4</c:f>
              <c:strCache>
                <c:ptCount val="1"/>
                <c:pt idx="0">
                  <c:v>TTWS1AO3</c:v>
                </c:pt>
              </c:strCache>
            </c:strRef>
          </c:tx>
          <c:spPr>
            <a:ln w="19050">
              <a:solidFill>
                <a:srgbClr val="2BE92B"/>
              </a:solidFill>
            </a:ln>
          </c:spPr>
          <c:marker>
            <c:symbol val="none"/>
          </c:marker>
          <c:cat>
            <c:numRef>
              <c:f>'US-GT-8001-2'!$A$6:$A$35</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'US-GT-8001-2'!$Y$6:$Y$35</c:f>
              <c:numCache>
                <c:formatCode>0</c:formatCode>
                <c:ptCount val="30"/>
                <c:pt idx="0">
                  <c:v>282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1-5887-44CB-A75D-B772F03EC25B}"/>
            </c:ext>
          </c:extLst>
        </c:ser>
        <c:ser>
          <c:idx val="10"/>
          <c:order val="2"/>
          <c:tx>
            <c:strRef>
              <c:f>'US-GT-8001-2'!$Z$4</c:f>
              <c:strCache>
                <c:ptCount val="1"/>
                <c:pt idx="0">
                  <c:v>TTWS1FO2</c:v>
                </c:pt>
              </c:strCache>
            </c:strRef>
          </c:tx>
          <c:spPr>
            <a:ln w="19050">
              <a:solidFill>
                <a:srgbClr val="00B0F0"/>
              </a:solidFill>
            </a:ln>
          </c:spPr>
          <c:marker>
            <c:symbol val="none"/>
          </c:marker>
          <c:cat>
            <c:numRef>
              <c:f>'US-GT-8001-2'!$A$6:$A$35</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'US-GT-8001-2'!$Z$6:$Z$35</c:f>
              <c:numCache>
                <c:formatCode>0</c:formatCode>
                <c:ptCount val="30"/>
                <c:pt idx="0">
                  <c:v>329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2-5887-44CB-A75D-B772F03EC25B}"/>
            </c:ext>
          </c:extLst>
        </c:ser>
        <c:ser>
          <c:idx val="11"/>
          <c:order val="3"/>
          <c:tx>
            <c:strRef>
              <c:f>'US-GT-8001-2'!$AA$4</c:f>
              <c:strCache>
                <c:ptCount val="1"/>
                <c:pt idx="0">
                  <c:v>TTWS1FO3</c:v>
                </c:pt>
              </c:strCache>
            </c:strRef>
          </c:tx>
          <c:spPr>
            <a:ln w="19050">
              <a:solidFill>
                <a:srgbClr val="990033"/>
              </a:solidFill>
            </a:ln>
          </c:spPr>
          <c:marker>
            <c:symbol val="none"/>
          </c:marker>
          <c:cat>
            <c:numRef>
              <c:f>'US-GT-8001-2'!$A$6:$A$35</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'US-GT-8001-2'!$AA$6:$AA$35</c:f>
              <c:numCache>
                <c:formatCode>0</c:formatCode>
                <c:ptCount val="30"/>
                <c:pt idx="0">
                  <c:v>337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3-5887-44CB-A75D-B772F03EC25B}"/>
            </c:ext>
          </c:extLst>
        </c:ser>
        <c:dLbls>
          <c:showLegendKey val="0"/>
          <c:showVal val="0"/>
          <c:showCatName val="0"/>
          <c:showSerName val="0"/>
          <c:showPercent val="0"/>
          <c:showBubbleSize val="0"/>
        </c:dLbls>
        <c:smooth val="0"/>
        <c:axId val="110782336"/>
        <c:axId val="110783872"/>
        <c:extLst>
          <c:ext xmlns:c15="http://schemas.microsoft.com/office/drawing/2012/chart" uri="{02D57815-91ED-43cb-92C2-25804820EDAC}">
            <c15:filteredLineSeries>
              <c15:ser>
                <c:idx val="12"/>
                <c:order val="4"/>
                <c:tx>
                  <c:strRef>
                    <c:extLst>
                      <c:ext uri="{02D57815-91ED-43cb-92C2-25804820EDAC}">
                        <c15:formulaRef>
                          <c15:sqref>'US-GT-8001-2'!$AF$3</c15:sqref>
                        </c15:formulaRef>
                      </c:ext>
                    </c:extLst>
                    <c:strCache>
                      <c:ptCount val="1"/>
                      <c:pt idx="0">
                        <c:v>ALARMA</c:v>
                      </c:pt>
                    </c:strCache>
                  </c:strRef>
                </c:tx>
                <c:spPr>
                  <a:ln w="19050"/>
                </c:spPr>
                <c:marker>
                  <c:symbol val="none"/>
                </c:marker>
                <c:cat>
                  <c:numRef>
                    <c:extLst>
                      <c:ex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c:ext uri="{02D57815-91ED-43cb-92C2-25804820EDAC}">
                        <c15:formulaRef>
                          <c15:sqref>'US-GT-8001-2'!$AF$6:$AF$35</c15:sqref>
                        </c15:formulaRef>
                      </c:ext>
                    </c:extLst>
                    <c:numCache>
                      <c:formatCode>General</c:formatCode>
                      <c:ptCount val="30"/>
                      <c:pt idx="0">
                        <c:v>427</c:v>
                      </c:pt>
                      <c:pt idx="1">
                        <c:v>427</c:v>
                      </c:pt>
                      <c:pt idx="2" formatCode="0">
                        <c:v>427</c:v>
                      </c:pt>
                      <c:pt idx="3" formatCode="0">
                        <c:v>427</c:v>
                      </c:pt>
                      <c:pt idx="4" formatCode="0">
                        <c:v>427</c:v>
                      </c:pt>
                      <c:pt idx="5" formatCode="0">
                        <c:v>427</c:v>
                      </c:pt>
                      <c:pt idx="6" formatCode="0">
                        <c:v>427</c:v>
                      </c:pt>
                      <c:pt idx="7" formatCode="0">
                        <c:v>427</c:v>
                      </c:pt>
                      <c:pt idx="8" formatCode="0">
                        <c:v>427</c:v>
                      </c:pt>
                      <c:pt idx="9" formatCode="0">
                        <c:v>427</c:v>
                      </c:pt>
                      <c:pt idx="10" formatCode="0">
                        <c:v>427</c:v>
                      </c:pt>
                      <c:pt idx="11" formatCode="0">
                        <c:v>427</c:v>
                      </c:pt>
                      <c:pt idx="12" formatCode="0">
                        <c:v>427</c:v>
                      </c:pt>
                      <c:pt idx="13" formatCode="0">
                        <c:v>427</c:v>
                      </c:pt>
                      <c:pt idx="14" formatCode="0">
                        <c:v>427</c:v>
                      </c:pt>
                      <c:pt idx="15" formatCode="0">
                        <c:v>427</c:v>
                      </c:pt>
                      <c:pt idx="16" formatCode="0">
                        <c:v>427</c:v>
                      </c:pt>
                      <c:pt idx="17" formatCode="0">
                        <c:v>427</c:v>
                      </c:pt>
                      <c:pt idx="18" formatCode="0">
                        <c:v>427</c:v>
                      </c:pt>
                      <c:pt idx="19" formatCode="0">
                        <c:v>427</c:v>
                      </c:pt>
                      <c:pt idx="20" formatCode="0">
                        <c:v>427</c:v>
                      </c:pt>
                      <c:pt idx="21" formatCode="0">
                        <c:v>427</c:v>
                      </c:pt>
                      <c:pt idx="22" formatCode="0">
                        <c:v>427</c:v>
                      </c:pt>
                      <c:pt idx="23" formatCode="0">
                        <c:v>427</c:v>
                      </c:pt>
                      <c:pt idx="24" formatCode="0">
                        <c:v>427</c:v>
                      </c:pt>
                      <c:pt idx="25" formatCode="0">
                        <c:v>427</c:v>
                      </c:pt>
                      <c:pt idx="26" formatCode="0">
                        <c:v>427</c:v>
                      </c:pt>
                      <c:pt idx="27" formatCode="0">
                        <c:v>427</c:v>
                      </c:pt>
                      <c:pt idx="28" formatCode="0">
                        <c:v>427</c:v>
                      </c:pt>
                      <c:pt idx="29" formatCode="0">
                        <c:v>427</c:v>
                      </c:pt>
                    </c:numCache>
                  </c:numRef>
                </c:val>
                <c:smooth val="0"/>
                <c:extLst>
                  <c:ext xmlns:c16="http://schemas.microsoft.com/office/drawing/2014/chart" uri="{C3380CC4-5D6E-409C-BE32-E72D297353CC}">
                    <c16:uniqueId val="{00000014-5887-44CB-A75D-B772F03EC25B}"/>
                  </c:ext>
                </c:extLst>
              </c15:ser>
            </c15:filteredLineSeries>
            <c15:filteredLineSeries>
              <c15:ser>
                <c:idx val="3"/>
                <c:order val="5"/>
                <c:tx>
                  <c:strRef>
                    <c:extLst xmlns:c15="http://schemas.microsoft.com/office/drawing/2012/chart">
                      <c:ext xmlns:c15="http://schemas.microsoft.com/office/drawing/2012/chart" uri="{02D57815-91ED-43cb-92C2-25804820EDAC}">
                        <c15:formulaRef>
                          <c15:sqref>'US-GT-8001-2'!$N$4</c15:sqref>
                        </c15:formulaRef>
                      </c:ext>
                    </c:extLst>
                    <c:strCache>
                      <c:ptCount val="1"/>
                      <c:pt idx="0">
                        <c:v>CTD</c:v>
                      </c:pt>
                    </c:strCache>
                  </c:strRef>
                </c:tx>
                <c:spPr>
                  <a:ln w="19050">
                    <a:solidFill>
                      <a:srgbClr val="00B0F0"/>
                    </a:solidFill>
                  </a:ln>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'US-GT-8001-2'!$N$6:$N$35</c15:sqref>
                        </c15:formulaRef>
                      </c:ext>
                    </c:extLst>
                    <c:numCache>
                      <c:formatCode>0.0</c:formatCode>
                      <c:ptCount val="30"/>
                      <c:pt idx="0">
                        <c:v>290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1-5887-44CB-A75D-B772F03EC25B}"/>
                  </c:ext>
                </c:extLst>
              </c15:ser>
            </c15:filteredLineSeries>
            <c15:filteredLineSeries>
              <c15:ser>
                <c:idx val="4"/>
                <c:order val="6"/>
                <c:tx>
                  <c:strRef>
                    <c:extLst xmlns:c15="http://schemas.microsoft.com/office/drawing/2012/chart">
                      <c:ext xmlns:c15="http://schemas.microsoft.com/office/drawing/2012/chart" uri="{02D57815-91ED-43cb-92C2-25804820EDAC}">
                        <c15:formulaRef>
                          <c15:sqref>'US-GT-8001-2'!$M$4</c15:sqref>
                        </c15:formulaRef>
                      </c:ext>
                    </c:extLst>
                    <c:strCache>
                      <c:ptCount val="1"/>
                      <c:pt idx="0">
                        <c:v>CPD</c:v>
                      </c:pt>
                    </c:strCache>
                  </c:strRef>
                </c:tx>
                <c:spPr>
                  <a:ln w="19050">
                    <a:solidFill>
                      <a:srgbClr val="FF0000"/>
                    </a:solidFill>
                  </a:ln>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'US-GT-8001-2'!$M$6:$M$35</c15:sqref>
                        </c15:formulaRef>
                      </c:ext>
                    </c:extLst>
                    <c:numCache>
                      <c:formatCode>0.0</c:formatCode>
                      <c:ptCount val="30"/>
                      <c:pt idx="0">
                        <c:v>6.17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3-5887-44CB-A75D-B772F03EC25B}"/>
                  </c:ext>
                </c:extLst>
              </c15:ser>
            </c15:filteredLineSeries>
            <c15:filteredLineSeries>
              <c15:ser>
                <c:idx val="0"/>
                <c:order val="7"/>
                <c:tx>
                  <c:strRef>
                    <c:extLst xmlns:c15="http://schemas.microsoft.com/office/drawing/2012/chart">
                      <c:ext xmlns:c15="http://schemas.microsoft.com/office/drawing/2012/chart" uri="{02D57815-91ED-43cb-92C2-25804820EDAC}">
                        <c15:formulaRef>
                          <c15:sqref>'US-GT-8001-2'!$I$4</c15:sqref>
                        </c15:formulaRef>
                      </c:ext>
                    </c:extLst>
                    <c:strCache>
                      <c:ptCount val="1"/>
                      <c:pt idx="0">
                        <c:v>Compresor</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'US-GT-8001-2'!$I$6:$I$35</c15:sqref>
                        </c15:formulaRef>
                      </c:ext>
                    </c:extLst>
                    <c:numCache>
                      <c:formatCode>0.0</c:formatCode>
                      <c:ptCount val="30"/>
                      <c:pt idx="0">
                        <c:v>2.8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5-5887-44CB-A75D-B772F03EC25B}"/>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'US-GT-8001-2'!$K$4</c15:sqref>
                        </c15:formulaRef>
                      </c:ext>
                    </c:extLst>
                    <c:strCache>
                      <c:ptCount val="1"/>
                      <c:pt idx="0">
                        <c:v>Turbina</c:v>
                      </c:pt>
                    </c:strCache>
                  </c:strRef>
                </c:tx>
                <c:spPr>
                  <a:ln>
                    <a:solidFill>
                      <a:srgbClr val="25C6FF"/>
                    </a:solidFill>
                  </a:ln>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'US-GT-8001-2'!$K$6:$K$35</c15:sqref>
                        </c15:formulaRef>
                      </c:ext>
                    </c:extLst>
                    <c:numCache>
                      <c:formatCode>0.0</c:formatCode>
                      <c:ptCount val="30"/>
                      <c:pt idx="0">
                        <c:v>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9-5887-44CB-A75D-B772F03EC25B}"/>
                  </c:ext>
                </c:extLst>
              </c15:ser>
            </c15:filteredLineSeries>
            <c15:filteredLineSeries>
              <c15:ser>
                <c:idx val="7"/>
                <c:order val="9"/>
                <c:tx>
                  <c:strRef>
                    <c:extLst xmlns:c15="http://schemas.microsoft.com/office/drawing/2012/chart">
                      <c:ext xmlns:c15="http://schemas.microsoft.com/office/drawing/2012/chart" uri="{02D57815-91ED-43cb-92C2-25804820EDAC}">
                        <c15:formulaRef>
                          <c15:sqref>'US-GT-8001-2'!$L$4</c15:sqref>
                        </c15:formulaRef>
                      </c:ext>
                    </c:extLst>
                    <c:strCache>
                      <c:ptCount val="1"/>
                      <c:pt idx="0">
                        <c:v>Turbina</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'US-GT-8001-2'!$L$6:$L$35</c15:sqref>
                        </c15:formulaRef>
                      </c:ext>
                    </c:extLst>
                    <c:numCache>
                      <c:formatCode>0.0</c:formatCode>
                      <c:ptCount val="30"/>
                      <c:pt idx="0">
                        <c:v>1.9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B-5887-44CB-A75D-B772F03EC25B}"/>
                  </c:ext>
                </c:extLst>
              </c15:ser>
            </c15:filteredLineSeries>
            <c15:filteredLineSeries>
              <c15:ser>
                <c:idx val="5"/>
                <c:order val="10"/>
                <c:tx>
                  <c:strRef>
                    <c:extLst xmlns:c15="http://schemas.microsoft.com/office/drawing/2012/chart">
                      <c:ext xmlns:c15="http://schemas.microsoft.com/office/drawing/2012/chart" uri="{02D57815-91ED-43cb-92C2-25804820EDAC}">
                        <c15:formulaRef>
                          <c15:sqref>'US-GT-8001-2'!$J$4</c15:sqref>
                        </c15:formulaRef>
                      </c:ext>
                    </c:extLst>
                    <c:strCache>
                      <c:ptCount val="1"/>
                      <c:pt idx="0">
                        <c:v>Compresor</c:v>
                      </c:pt>
                    </c:strCache>
                  </c:strRef>
                </c:tx>
                <c:spPr>
                  <a:ln w="19050">
                    <a:solidFill>
                      <a:srgbClr val="2BE92B"/>
                    </a:solidFill>
                  </a:ln>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'US-GT-8001-2'!$J$6:$J$35</c15:sqref>
                        </c15:formulaRef>
                      </c:ext>
                    </c:extLst>
                    <c:numCache>
                      <c:formatCode>0.0</c:formatCode>
                      <c:ptCount val="30"/>
                      <c:pt idx="0">
                        <c:v>3.3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7-5887-44CB-A75D-B772F03EC25B}"/>
                  </c:ext>
                </c:extLst>
              </c15:ser>
            </c15:filteredLineSeries>
            <c15:filteredLineSeries>
              <c15:ser>
                <c:idx val="1"/>
                <c:order val="11"/>
                <c:tx>
                  <c:strRef>
                    <c:extLst xmlns:c15="http://schemas.microsoft.com/office/drawing/2012/chart">
                      <c:ext xmlns:c15="http://schemas.microsoft.com/office/drawing/2012/chart" uri="{02D57815-91ED-43cb-92C2-25804820EDAC}">
                        <c15:formulaRef>
                          <c15:sqref>'US-GT-8001-2'!$AC$3</c15:sqref>
                        </c15:formulaRef>
                      </c:ext>
                    </c:extLst>
                    <c:strCache>
                      <c:ptCount val="1"/>
                      <c:pt idx="0">
                        <c:v>Alarma Vib</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'US-GT-8001-2'!$AC$6:$AC$35</c15:sqref>
                        </c15:formulaRef>
                      </c:ext>
                    </c:extLst>
                    <c:numCache>
                      <c:formatCode>General</c:formatCode>
                      <c:ptCount val="30"/>
                      <c:pt idx="0">
                        <c:v>13</c:v>
                      </c:pt>
                      <c:pt idx="1">
                        <c:v>13</c:v>
                      </c:pt>
                      <c:pt idx="2" formatCode="0">
                        <c:v>13</c:v>
                      </c:pt>
                      <c:pt idx="3" formatCode="0">
                        <c:v>13</c:v>
                      </c:pt>
                      <c:pt idx="4" formatCode="0">
                        <c:v>13</c:v>
                      </c:pt>
                      <c:pt idx="5" formatCode="0">
                        <c:v>13</c:v>
                      </c:pt>
                      <c:pt idx="6" formatCode="0">
                        <c:v>13</c:v>
                      </c:pt>
                      <c:pt idx="7" formatCode="0">
                        <c:v>13</c:v>
                      </c:pt>
                      <c:pt idx="8" formatCode="0">
                        <c:v>13</c:v>
                      </c:pt>
                      <c:pt idx="9" formatCode="0">
                        <c:v>13</c:v>
                      </c:pt>
                      <c:pt idx="10" formatCode="0">
                        <c:v>13</c:v>
                      </c:pt>
                      <c:pt idx="11" formatCode="0">
                        <c:v>13</c:v>
                      </c:pt>
                      <c:pt idx="12" formatCode="0">
                        <c:v>13</c:v>
                      </c:pt>
                      <c:pt idx="13" formatCode="0">
                        <c:v>13</c:v>
                      </c:pt>
                      <c:pt idx="14" formatCode="0">
                        <c:v>13</c:v>
                      </c:pt>
                      <c:pt idx="15" formatCode="0">
                        <c:v>13</c:v>
                      </c:pt>
                      <c:pt idx="16" formatCode="0">
                        <c:v>13</c:v>
                      </c:pt>
                      <c:pt idx="17" formatCode="0">
                        <c:v>13</c:v>
                      </c:pt>
                      <c:pt idx="18" formatCode="0">
                        <c:v>13</c:v>
                      </c:pt>
                      <c:pt idx="19" formatCode="0">
                        <c:v>13</c:v>
                      </c:pt>
                      <c:pt idx="20" formatCode="0">
                        <c:v>13</c:v>
                      </c:pt>
                      <c:pt idx="21" formatCode="0">
                        <c:v>13</c:v>
                      </c:pt>
                      <c:pt idx="22" formatCode="0">
                        <c:v>13</c:v>
                      </c:pt>
                      <c:pt idx="23" formatCode="0">
                        <c:v>13</c:v>
                      </c:pt>
                      <c:pt idx="24" formatCode="0">
                        <c:v>13</c:v>
                      </c:pt>
                      <c:pt idx="25" formatCode="0">
                        <c:v>13</c:v>
                      </c:pt>
                      <c:pt idx="26" formatCode="0">
                        <c:v>13</c:v>
                      </c:pt>
                      <c:pt idx="27" formatCode="0">
                        <c:v>13</c:v>
                      </c:pt>
                      <c:pt idx="28" formatCode="0">
                        <c:v>13</c:v>
                      </c:pt>
                      <c:pt idx="29" formatCode="0">
                        <c:v>13</c:v>
                      </c:pt>
                    </c:numCache>
                  </c:numRef>
                </c:val>
                <c:smooth val="0"/>
                <c:extLst xmlns:c15="http://schemas.microsoft.com/office/drawing/2012/chart">
                  <c:ext xmlns:c16="http://schemas.microsoft.com/office/drawing/2014/chart" uri="{C3380CC4-5D6E-409C-BE32-E72D297353CC}">
                    <c16:uniqueId val="{0000000D-5887-44CB-A75D-B772F03EC25B}"/>
                  </c:ext>
                </c:extLst>
              </c15:ser>
            </c15:filteredLineSeries>
            <c15:filteredLineSeries>
              <c15:ser>
                <c:idx val="2"/>
                <c:order val="12"/>
                <c:tx>
                  <c:strRef>
                    <c:extLst xmlns:c15="http://schemas.microsoft.com/office/drawing/2012/chart">
                      <c:ext xmlns:c15="http://schemas.microsoft.com/office/drawing/2012/chart" uri="{02D57815-91ED-43cb-92C2-25804820EDAC}">
                        <c15:formulaRef>
                          <c15:sqref>'US-GT-8001-2'!$AD$3</c15:sqref>
                        </c15:formulaRef>
                      </c:ext>
                    </c:extLst>
                    <c:strCache>
                      <c:ptCount val="1"/>
                      <c:pt idx="0">
                        <c:v>Trip Vib</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'US-GT-8001-2'!$A$6:$A$35</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'US-GT-8001-2'!$AD$6:$AD$35</c15:sqref>
                        </c15:formulaRef>
                      </c:ext>
                    </c:extLst>
                    <c:numCache>
                      <c:formatCode>General</c:formatCode>
                      <c:ptCount val="30"/>
                      <c:pt idx="0">
                        <c:v>25</c:v>
                      </c:pt>
                      <c:pt idx="1">
                        <c:v>25</c:v>
                      </c:pt>
                      <c:pt idx="2" formatCode="0">
                        <c:v>25</c:v>
                      </c:pt>
                      <c:pt idx="3" formatCode="0">
                        <c:v>25</c:v>
                      </c:pt>
                      <c:pt idx="4" formatCode="0">
                        <c:v>25</c:v>
                      </c:pt>
                      <c:pt idx="5" formatCode="0">
                        <c:v>25</c:v>
                      </c:pt>
                      <c:pt idx="6" formatCode="0">
                        <c:v>25</c:v>
                      </c:pt>
                      <c:pt idx="7" formatCode="0">
                        <c:v>25</c:v>
                      </c:pt>
                      <c:pt idx="8" formatCode="0">
                        <c:v>25</c:v>
                      </c:pt>
                      <c:pt idx="9" formatCode="0">
                        <c:v>25</c:v>
                      </c:pt>
                      <c:pt idx="10" formatCode="0">
                        <c:v>25</c:v>
                      </c:pt>
                      <c:pt idx="11" formatCode="0">
                        <c:v>25</c:v>
                      </c:pt>
                      <c:pt idx="12" formatCode="0">
                        <c:v>25</c:v>
                      </c:pt>
                      <c:pt idx="13" formatCode="0">
                        <c:v>25</c:v>
                      </c:pt>
                      <c:pt idx="14" formatCode="0">
                        <c:v>25</c:v>
                      </c:pt>
                      <c:pt idx="15" formatCode="0">
                        <c:v>25</c:v>
                      </c:pt>
                      <c:pt idx="16" formatCode="0">
                        <c:v>25</c:v>
                      </c:pt>
                      <c:pt idx="17" formatCode="0">
                        <c:v>25</c:v>
                      </c:pt>
                      <c:pt idx="18" formatCode="0">
                        <c:v>25</c:v>
                      </c:pt>
                      <c:pt idx="19" formatCode="0">
                        <c:v>25</c:v>
                      </c:pt>
                      <c:pt idx="20" formatCode="0">
                        <c:v>25</c:v>
                      </c:pt>
                      <c:pt idx="21" formatCode="0">
                        <c:v>25</c:v>
                      </c:pt>
                      <c:pt idx="22" formatCode="0">
                        <c:v>25</c:v>
                      </c:pt>
                      <c:pt idx="23" formatCode="0">
                        <c:v>25</c:v>
                      </c:pt>
                      <c:pt idx="24" formatCode="0">
                        <c:v>25</c:v>
                      </c:pt>
                      <c:pt idx="25" formatCode="0">
                        <c:v>25</c:v>
                      </c:pt>
                      <c:pt idx="26" formatCode="0">
                        <c:v>25</c:v>
                      </c:pt>
                      <c:pt idx="27" formatCode="0">
                        <c:v>25</c:v>
                      </c:pt>
                      <c:pt idx="28" formatCode="0">
                        <c:v>25</c:v>
                      </c:pt>
                      <c:pt idx="29" formatCode="0">
                        <c:v>25</c:v>
                      </c:pt>
                    </c:numCache>
                  </c:numRef>
                </c:val>
                <c:smooth val="0"/>
                <c:extLst xmlns:c15="http://schemas.microsoft.com/office/drawing/2012/chart">
                  <c:ext xmlns:c16="http://schemas.microsoft.com/office/drawing/2014/chart" uri="{C3380CC4-5D6E-409C-BE32-E72D297353CC}">
                    <c16:uniqueId val="{0000000F-5887-44CB-A75D-B772F03EC25B}"/>
                  </c:ext>
                </c:extLst>
              </c15:ser>
            </c15:filteredLineSeries>
          </c:ext>
        </c:extLst>
      </c:lineChart>
      <c:dateAx>
        <c:axId val="110782336"/>
        <c:scaling>
          <c:orientation val="minMax"/>
          <c:min val="45078"/>
        </c:scaling>
        <c:delete val="0"/>
        <c:axPos val="b"/>
        <c:numFmt formatCode="dd" sourceLinked="1"/>
        <c:majorTickMark val="out"/>
        <c:minorTickMark val="none"/>
        <c:tickLblPos val="nextTo"/>
        <c:crossAx val="110783872"/>
        <c:crosses val="autoZero"/>
        <c:auto val="0"/>
        <c:lblOffset val="100"/>
        <c:baseTimeUnit val="days"/>
      </c:dateAx>
      <c:valAx>
        <c:axId val="110783872"/>
        <c:scaling>
          <c:orientation val="minMax"/>
          <c:max val="380"/>
          <c:min val="0"/>
        </c:scaling>
        <c:delete val="0"/>
        <c:axPos val="l"/>
        <c:majorGridlines>
          <c:spPr>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c:spPr>
        </c:majorGridlines>
        <c:title>
          <c:tx>
            <c:rich>
              <a:bodyPr rot="0" vert="horz"/>
              <a:lstStyle/>
              <a:p>
                <a:pPr>
                  <a:defRPr sz="1200"/>
                </a:pPr>
                <a:r>
                  <a:rPr lang="es-ES" sz="1200"/>
                  <a:t>°C</a:t>
                </a:r>
              </a:p>
            </c:rich>
          </c:tx>
          <c:layout>
            <c:manualLayout>
              <c:xMode val="edge"/>
              <c:yMode val="edge"/>
              <c:x val="1.7402941042711208E-2"/>
              <c:y val="5.123291406755974E-2"/>
            </c:manualLayout>
          </c:layout>
          <c:overlay val="0"/>
        </c:title>
        <c:numFmt formatCode="0" sourceLinked="1"/>
        <c:majorTickMark val="out"/>
        <c:minorTickMark val="none"/>
        <c:tickLblPos val="nextTo"/>
        <c:crossAx val="110782336"/>
        <c:crosses val="autoZero"/>
        <c:crossBetween val="between"/>
      </c:valAx>
    </c:plotArea>
    <c:legend>
      <c:legendPos val="b"/>
      <c:layout>
        <c:manualLayout>
          <c:xMode val="edge"/>
          <c:yMode val="edge"/>
          <c:x val="8.6175714877745543E-2"/>
          <c:y val="0.93031643613141579"/>
          <c:w val="0.81381710180964217"/>
          <c:h val="6.9683563868584167E-2"/>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a:lstStyle/>
          <a:p>
            <a:pPr>
              <a:defRPr/>
            </a:pPr>
            <a:r>
              <a:rPr lang="es-ES"/>
              <a:t>TEMP MEDIA EXHOSTO </a:t>
            </a:r>
            <a:r>
              <a:rPr lang="es-ES" sz="1800" b="1" i="0" u="none" strike="noStrike" baseline="0">
                <a:effectLst/>
              </a:rPr>
              <a:t>(TTXM) </a:t>
            </a:r>
            <a:r>
              <a:rPr lang="es-ES"/>
              <a:t> US-GT-8002</a:t>
            </a:r>
          </a:p>
        </c:rich>
      </c:tx>
      <c:layout>
        <c:manualLayout>
          <c:xMode val="edge"/>
          <c:yMode val="edge"/>
          <c:x val="0.29202352162926443"/>
          <c:y val="3.7599026806921891E-3"/>
        </c:manualLayout>
      </c:layout>
      <c:overlay val="0"/>
    </c:title>
    <c:autoTitleDeleted val="0"/>
    <c:plotArea>
      <c:layout>
        <c:manualLayout>
          <c:layoutTarget val="inner"/>
          <c:xMode val="edge"/>
          <c:yMode val="edge"/>
          <c:x val="6.0875431892914222E-2"/>
          <c:y val="0.11414777262431237"/>
          <c:w val="0.91223378742891692"/>
          <c:h val="0.71802028652668415"/>
        </c:manualLayout>
      </c:layout>
      <c:lineChart>
        <c:grouping val="standard"/>
        <c:varyColors val="0"/>
        <c:ser>
          <c:idx val="8"/>
          <c:order val="0"/>
          <c:tx>
            <c:strRef>
              <c:f>'US-GT-8001-2'!$AB$38</c:f>
              <c:strCache>
                <c:ptCount val="1"/>
                <c:pt idx="0">
                  <c:v>EXHAUST_TEMP</c:v>
                </c:pt>
              </c:strCache>
            </c:strRef>
          </c:tx>
          <c:spPr>
            <a:ln w="19050">
              <a:solidFill>
                <a:schemeClr val="accent1"/>
              </a:solidFill>
            </a:ln>
          </c:spPr>
          <c:marker>
            <c:symbol val="none"/>
          </c:marker>
          <c:cat>
            <c:numRef>
              <c:f>'US-GT-8001-2'!$A$41:$A$71</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'US-GT-8001-2'!$AB$41:$AB$71</c:f>
              <c:numCache>
                <c:formatCode>0</c:formatCode>
                <c:ptCount val="30"/>
                <c:pt idx="0">
                  <c:v>371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14C2-4A9B-9505-2A38B34FB8E1}"/>
            </c:ext>
          </c:extLst>
        </c:ser>
        <c:ser>
          <c:idx val="0"/>
          <c:order val="1"/>
          <c:tx>
            <c:strRef>
              <c:f>'US-GT-8001-2'!$AE$38</c:f>
              <c:strCache>
                <c:ptCount val="1"/>
                <c:pt idx="0">
                  <c:v>TEMP MAX</c:v>
                </c:pt>
              </c:strCache>
            </c:strRef>
          </c:tx>
          <c:spPr>
            <a:ln w="19050">
              <a:solidFill>
                <a:srgbClr val="FF0000"/>
              </a:solidFill>
            </a:ln>
          </c:spPr>
          <c:marker>
            <c:symbol val="none"/>
          </c:marker>
          <c:cat>
            <c:numRef>
              <c:f>'US-GT-8001-2'!$A$41:$A$71</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'US-GT-8001-2'!$AE$41:$AE$71</c:f>
              <c:numCache>
                <c:formatCode>0</c:formatCode>
                <c:ptCount val="30"/>
                <c:pt idx="0" formatCode="General">
                  <c:v>550</c:v>
                </c:pt>
                <c:pt idx="1">
                  <c:v>550</c:v>
                </c:pt>
                <c:pt idx="2">
                  <c:v>550</c:v>
                </c:pt>
                <c:pt idx="3">
                  <c:v>550</c:v>
                </c:pt>
                <c:pt idx="4">
                  <c:v>550</c:v>
                </c:pt>
                <c:pt idx="5">
                  <c:v>550</c:v>
                </c:pt>
                <c:pt idx="6">
                  <c:v>550</c:v>
                </c:pt>
                <c:pt idx="7">
                  <c:v>550</c:v>
                </c:pt>
                <c:pt idx="8">
                  <c:v>550</c:v>
                </c:pt>
                <c:pt idx="9">
                  <c:v>550</c:v>
                </c:pt>
                <c:pt idx="10">
                  <c:v>550</c:v>
                </c:pt>
                <c:pt idx="11">
                  <c:v>550</c:v>
                </c:pt>
                <c:pt idx="12">
                  <c:v>550</c:v>
                </c:pt>
                <c:pt idx="13">
                  <c:v>550</c:v>
                </c:pt>
                <c:pt idx="14">
                  <c:v>550</c:v>
                </c:pt>
                <c:pt idx="15">
                  <c:v>550</c:v>
                </c:pt>
                <c:pt idx="16">
                  <c:v>550</c:v>
                </c:pt>
                <c:pt idx="17">
                  <c:v>550</c:v>
                </c:pt>
                <c:pt idx="18">
                  <c:v>550</c:v>
                </c:pt>
                <c:pt idx="19">
                  <c:v>550</c:v>
                </c:pt>
                <c:pt idx="20">
                  <c:v>550</c:v>
                </c:pt>
                <c:pt idx="21">
                  <c:v>550</c:v>
                </c:pt>
                <c:pt idx="22">
                  <c:v>550</c:v>
                </c:pt>
                <c:pt idx="23">
                  <c:v>550</c:v>
                </c:pt>
                <c:pt idx="24">
                  <c:v>550</c:v>
                </c:pt>
                <c:pt idx="25">
                  <c:v>550</c:v>
                </c:pt>
                <c:pt idx="26">
                  <c:v>550</c:v>
                </c:pt>
                <c:pt idx="27">
                  <c:v>550</c:v>
                </c:pt>
                <c:pt idx="28">
                  <c:v>550</c:v>
                </c:pt>
                <c:pt idx="29">
                  <c:v>550</c:v>
                </c:pt>
              </c:numCache>
            </c:numRef>
          </c:val>
          <c:smooth val="0"/>
          <c:extLst>
            <c:ext xmlns:c16="http://schemas.microsoft.com/office/drawing/2014/chart" uri="{C3380CC4-5D6E-409C-BE32-E72D297353CC}">
              <c16:uniqueId val="{00000001-14C2-4A9B-9505-2A38B34FB8E1}"/>
            </c:ext>
          </c:extLst>
        </c:ser>
        <c:ser>
          <c:idx val="1"/>
          <c:order val="2"/>
          <c:tx>
            <c:strRef>
              <c:f>'US-GT-8001-2'!$AG$38</c:f>
              <c:strCache>
                <c:ptCount val="1"/>
                <c:pt idx="0">
                  <c:v>TMP_CTRL_REF</c:v>
                </c:pt>
              </c:strCache>
            </c:strRef>
          </c:tx>
          <c:spPr>
            <a:ln w="19050">
              <a:solidFill>
                <a:srgbClr val="7030A0"/>
              </a:solidFill>
            </a:ln>
          </c:spPr>
          <c:marker>
            <c:symbol val="none"/>
          </c:marker>
          <c:cat>
            <c:numRef>
              <c:f>'US-GT-8001-2'!$A$41:$A$71</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'US-GT-8001-2'!$AG$41:$AG$71</c:f>
              <c:numCache>
                <c:formatCode>0</c:formatCode>
                <c:ptCount val="30"/>
                <c:pt idx="0">
                  <c:v>525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8BF6-436F-8FB0-69F17DD56F3A}"/>
            </c:ext>
          </c:extLst>
        </c:ser>
        <c:dLbls>
          <c:showLegendKey val="0"/>
          <c:showVal val="0"/>
          <c:showCatName val="0"/>
          <c:showSerName val="0"/>
          <c:showPercent val="0"/>
          <c:showBubbleSize val="0"/>
        </c:dLbls>
        <c:smooth val="0"/>
        <c:axId val="111179648"/>
        <c:axId val="111181184"/>
      </c:lineChart>
      <c:dateAx>
        <c:axId val="111179648"/>
        <c:scaling>
          <c:orientation val="minMax"/>
          <c:min val="45078"/>
        </c:scaling>
        <c:delete val="0"/>
        <c:axPos val="b"/>
        <c:numFmt formatCode="dd" sourceLinked="1"/>
        <c:majorTickMark val="out"/>
        <c:minorTickMark val="none"/>
        <c:tickLblPos val="nextTo"/>
        <c:txPr>
          <a:bodyPr rot="0" vert="horz"/>
          <a:lstStyle/>
          <a:p>
            <a:pPr>
              <a:defRPr/>
            </a:pPr>
            <a:endParaRPr lang="es-CO"/>
          </a:p>
        </c:txPr>
        <c:crossAx val="111181184"/>
        <c:crosses val="autoZero"/>
        <c:auto val="1"/>
        <c:lblOffset val="100"/>
        <c:baseTimeUnit val="days"/>
        <c:minorUnit val="1"/>
      </c:dateAx>
      <c:valAx>
        <c:axId val="111181184"/>
        <c:scaling>
          <c:orientation val="minMax"/>
        </c:scaling>
        <c:delete val="0"/>
        <c:axPos val="l"/>
        <c:majorGridlines>
          <c:spPr>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c:spPr>
        </c:majorGridlines>
        <c:title>
          <c:tx>
            <c:rich>
              <a:bodyPr rot="0" vert="horz"/>
              <a:lstStyle/>
              <a:p>
                <a:pPr>
                  <a:defRPr/>
                </a:pPr>
                <a:r>
                  <a:rPr lang="en-US"/>
                  <a:t>Temp</a:t>
                </a:r>
                <a:r>
                  <a:rPr lang="en-US" baseline="0"/>
                  <a:t> °C</a:t>
                </a:r>
                <a:endParaRPr lang="en-US"/>
              </a:p>
            </c:rich>
          </c:tx>
          <c:layout>
            <c:manualLayout>
              <c:xMode val="edge"/>
              <c:yMode val="edge"/>
              <c:x val="1.6151440058645071E-2"/>
              <c:y val="3.1410761154855645E-2"/>
            </c:manualLayout>
          </c:layout>
          <c:overlay val="0"/>
        </c:title>
        <c:numFmt formatCode="0" sourceLinked="1"/>
        <c:majorTickMark val="out"/>
        <c:minorTickMark val="none"/>
        <c:tickLblPos val="nextTo"/>
        <c:crossAx val="111179648"/>
        <c:crosses val="autoZero"/>
        <c:crossBetween val="between"/>
      </c:valAx>
    </c:plotArea>
    <c:legend>
      <c:legendPos val="b"/>
      <c:layout>
        <c:manualLayout>
          <c:xMode val="edge"/>
          <c:yMode val="edge"/>
          <c:x val="0.26055607476992215"/>
          <c:y val="0.93721210629921259"/>
          <c:w val="0.47921970004543762"/>
          <c:h val="6.2788019731252948E-2"/>
        </c:manualLayout>
      </c:layout>
      <c:overlay val="0"/>
    </c:legend>
    <c:plotVisOnly val="1"/>
    <c:dispBlanksAs val="gap"/>
    <c:showDLblsOverMax val="0"/>
  </c:chart>
  <c:spPr>
    <a:ln>
      <a:solidFill>
        <a:schemeClr val="accent1">
          <a:alpha val="98000"/>
        </a:schemeClr>
      </a:solidFill>
    </a:ln>
  </c:spPr>
  <c:printSettings>
    <c:headerFooter/>
    <c:pageMargins b="0.75000000000001465" l="0.70000000000000062" r="0.70000000000000062" t="0.75000000000001465"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a:lstStyle/>
          <a:p>
            <a:pPr>
              <a:defRPr/>
            </a:pPr>
            <a:r>
              <a:rPr lang="es-ES"/>
              <a:t>TEMP MEDIA EXHOSTO (TTXM) US-GT-8001</a:t>
            </a:r>
          </a:p>
        </c:rich>
      </c:tx>
      <c:layout>
        <c:manualLayout>
          <c:xMode val="edge"/>
          <c:yMode val="edge"/>
          <c:x val="0.25144743490976912"/>
          <c:y val="1.4611872146118721E-2"/>
        </c:manualLayout>
      </c:layout>
      <c:overlay val="0"/>
    </c:title>
    <c:autoTitleDeleted val="0"/>
    <c:plotArea>
      <c:layout>
        <c:manualLayout>
          <c:layoutTarget val="inner"/>
          <c:xMode val="edge"/>
          <c:yMode val="edge"/>
          <c:x val="6.5080040263572475E-2"/>
          <c:y val="9.7365869401897689E-2"/>
          <c:w val="0.90708595587916874"/>
          <c:h val="0.70211251364145344"/>
        </c:manualLayout>
      </c:layout>
      <c:lineChart>
        <c:grouping val="standard"/>
        <c:varyColors val="0"/>
        <c:ser>
          <c:idx val="8"/>
          <c:order val="0"/>
          <c:tx>
            <c:strRef>
              <c:f>'US-GT-8001-2'!$AB$3</c:f>
              <c:strCache>
                <c:ptCount val="1"/>
                <c:pt idx="0">
                  <c:v>EXHAUST_TEMP</c:v>
                </c:pt>
              </c:strCache>
            </c:strRef>
          </c:tx>
          <c:spPr>
            <a:ln w="19050">
              <a:solidFill>
                <a:schemeClr val="accent1"/>
              </a:solidFill>
            </a:ln>
          </c:spPr>
          <c:marker>
            <c:symbol val="none"/>
          </c:marker>
          <c:cat>
            <c:numRef>
              <c:f>'US-GT-8001-2'!$A$6:$A$36</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'US-GT-8001-2'!$AB$6:$AB$36</c:f>
              <c:numCache>
                <c:formatCode>0</c:formatCode>
                <c:ptCount val="30"/>
                <c:pt idx="0">
                  <c:v>353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561B-4FC7-ABA7-CCAE3C500B57}"/>
            </c:ext>
          </c:extLst>
        </c:ser>
        <c:ser>
          <c:idx val="0"/>
          <c:order val="1"/>
          <c:tx>
            <c:strRef>
              <c:f>'US-GT-8001-2'!$AE$3</c:f>
              <c:strCache>
                <c:ptCount val="1"/>
                <c:pt idx="0">
                  <c:v>TEMP MAX</c:v>
                </c:pt>
              </c:strCache>
            </c:strRef>
          </c:tx>
          <c:spPr>
            <a:ln w="19050">
              <a:solidFill>
                <a:srgbClr val="FF0000"/>
              </a:solidFill>
            </a:ln>
          </c:spPr>
          <c:marker>
            <c:symbol val="none"/>
          </c:marker>
          <c:cat>
            <c:numRef>
              <c:f>'US-GT-8001-2'!$A$6:$A$36</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'US-GT-8001-2'!$AE$6:$AE$36</c:f>
              <c:numCache>
                <c:formatCode>General</c:formatCode>
                <c:ptCount val="30"/>
                <c:pt idx="0">
                  <c:v>550</c:v>
                </c:pt>
                <c:pt idx="1">
                  <c:v>550</c:v>
                </c:pt>
                <c:pt idx="2" formatCode="0">
                  <c:v>550</c:v>
                </c:pt>
                <c:pt idx="3" formatCode="0">
                  <c:v>550</c:v>
                </c:pt>
                <c:pt idx="4" formatCode="0">
                  <c:v>550</c:v>
                </c:pt>
                <c:pt idx="5" formatCode="0">
                  <c:v>550</c:v>
                </c:pt>
                <c:pt idx="6" formatCode="0">
                  <c:v>550</c:v>
                </c:pt>
                <c:pt idx="7" formatCode="0">
                  <c:v>550</c:v>
                </c:pt>
                <c:pt idx="8" formatCode="0">
                  <c:v>550</c:v>
                </c:pt>
                <c:pt idx="9" formatCode="0">
                  <c:v>550</c:v>
                </c:pt>
                <c:pt idx="10" formatCode="0">
                  <c:v>550</c:v>
                </c:pt>
                <c:pt idx="11" formatCode="0">
                  <c:v>550</c:v>
                </c:pt>
                <c:pt idx="12" formatCode="0">
                  <c:v>550</c:v>
                </c:pt>
                <c:pt idx="13" formatCode="0">
                  <c:v>550</c:v>
                </c:pt>
                <c:pt idx="14" formatCode="0">
                  <c:v>550</c:v>
                </c:pt>
                <c:pt idx="15" formatCode="0">
                  <c:v>550</c:v>
                </c:pt>
                <c:pt idx="16" formatCode="0">
                  <c:v>550</c:v>
                </c:pt>
                <c:pt idx="17" formatCode="0">
                  <c:v>550</c:v>
                </c:pt>
                <c:pt idx="18" formatCode="0">
                  <c:v>550</c:v>
                </c:pt>
                <c:pt idx="19" formatCode="0">
                  <c:v>550</c:v>
                </c:pt>
                <c:pt idx="20" formatCode="0">
                  <c:v>550</c:v>
                </c:pt>
                <c:pt idx="21" formatCode="0">
                  <c:v>550</c:v>
                </c:pt>
                <c:pt idx="22" formatCode="0">
                  <c:v>550</c:v>
                </c:pt>
                <c:pt idx="23" formatCode="0">
                  <c:v>550</c:v>
                </c:pt>
                <c:pt idx="24" formatCode="0">
                  <c:v>550</c:v>
                </c:pt>
                <c:pt idx="25" formatCode="0">
                  <c:v>550</c:v>
                </c:pt>
                <c:pt idx="26" formatCode="0">
                  <c:v>550</c:v>
                </c:pt>
                <c:pt idx="27" formatCode="0">
                  <c:v>550</c:v>
                </c:pt>
                <c:pt idx="28" formatCode="0">
                  <c:v>550</c:v>
                </c:pt>
                <c:pt idx="29" formatCode="0">
                  <c:v>550</c:v>
                </c:pt>
              </c:numCache>
            </c:numRef>
          </c:val>
          <c:smooth val="0"/>
          <c:extLst>
            <c:ext xmlns:c16="http://schemas.microsoft.com/office/drawing/2014/chart" uri="{C3380CC4-5D6E-409C-BE32-E72D297353CC}">
              <c16:uniqueId val="{00000001-561B-4FC7-ABA7-CCAE3C500B57}"/>
            </c:ext>
          </c:extLst>
        </c:ser>
        <c:ser>
          <c:idx val="1"/>
          <c:order val="2"/>
          <c:tx>
            <c:strRef>
              <c:f>'US-GT-8001-2'!$AG$3</c:f>
              <c:strCache>
                <c:ptCount val="1"/>
                <c:pt idx="0">
                  <c:v>TMP_CTRL_REF</c:v>
                </c:pt>
              </c:strCache>
            </c:strRef>
          </c:tx>
          <c:spPr>
            <a:ln w="19050"/>
          </c:spPr>
          <c:marker>
            <c:symbol val="none"/>
          </c:marker>
          <c:cat>
            <c:numRef>
              <c:f>'US-GT-8001-2'!$A$6:$A$36</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'US-GT-8001-2'!$AG$6:$AG$36</c:f>
              <c:numCache>
                <c:formatCode>0</c:formatCode>
                <c:ptCount val="30"/>
                <c:pt idx="0">
                  <c:v>537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155D-4B7A-A5FF-C3D3D3E3891A}"/>
            </c:ext>
          </c:extLst>
        </c:ser>
        <c:dLbls>
          <c:showLegendKey val="0"/>
          <c:showVal val="0"/>
          <c:showCatName val="0"/>
          <c:showSerName val="0"/>
          <c:showPercent val="0"/>
          <c:showBubbleSize val="0"/>
        </c:dLbls>
        <c:smooth val="0"/>
        <c:axId val="111208320"/>
        <c:axId val="111209856"/>
      </c:lineChart>
      <c:dateAx>
        <c:axId val="111208320"/>
        <c:scaling>
          <c:orientation val="minMax"/>
          <c:min val="45078"/>
        </c:scaling>
        <c:delete val="0"/>
        <c:axPos val="b"/>
        <c:title>
          <c:tx>
            <c:rich>
              <a:bodyPr/>
              <a:lstStyle/>
              <a:p>
                <a:pPr>
                  <a:defRPr b="1"/>
                </a:pPr>
                <a:r>
                  <a:rPr lang="es-CO" b="1"/>
                  <a:t>Temp</a:t>
                </a:r>
                <a:r>
                  <a:rPr lang="es-CO" b="1" baseline="0"/>
                  <a:t> °C</a:t>
                </a:r>
                <a:endParaRPr lang="es-CO" b="1"/>
              </a:p>
            </c:rich>
          </c:tx>
          <c:layout>
            <c:manualLayout>
              <c:xMode val="edge"/>
              <c:yMode val="edge"/>
              <c:x val="1.6759698719029041E-2"/>
              <c:y val="3.049064912389654E-2"/>
            </c:manualLayout>
          </c:layout>
          <c:overlay val="0"/>
        </c:title>
        <c:numFmt formatCode="dd" sourceLinked="1"/>
        <c:majorTickMark val="out"/>
        <c:minorTickMark val="none"/>
        <c:tickLblPos val="nextTo"/>
        <c:txPr>
          <a:bodyPr rot="0" vert="horz"/>
          <a:lstStyle/>
          <a:p>
            <a:pPr>
              <a:defRPr/>
            </a:pPr>
            <a:endParaRPr lang="es-CO"/>
          </a:p>
        </c:txPr>
        <c:crossAx val="111209856"/>
        <c:crosses val="autoZero"/>
        <c:auto val="1"/>
        <c:lblOffset val="100"/>
        <c:baseTimeUnit val="days"/>
      </c:dateAx>
      <c:valAx>
        <c:axId val="111209856"/>
        <c:scaling>
          <c:orientation val="minMax"/>
        </c:scaling>
        <c:delete val="0"/>
        <c:axPos val="l"/>
        <c:majorGridlines>
          <c:spPr>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c:spPr>
        </c:majorGridlines>
        <c:numFmt formatCode="0" sourceLinked="1"/>
        <c:majorTickMark val="out"/>
        <c:minorTickMark val="none"/>
        <c:tickLblPos val="nextTo"/>
        <c:crossAx val="111208320"/>
        <c:crosses val="autoZero"/>
        <c:crossBetween val="between"/>
      </c:valAx>
    </c:plotArea>
    <c:legend>
      <c:legendPos val="b"/>
      <c:layout>
        <c:manualLayout>
          <c:xMode val="edge"/>
          <c:yMode val="edge"/>
          <c:x val="0.2402661332703297"/>
          <c:y val="0.93369672241252855"/>
          <c:w val="0.51917526432969119"/>
          <c:h val="6.4788424055219951E-2"/>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VARIABLES</a:t>
            </a:r>
            <a:r>
              <a:rPr lang="en-US" baseline="0"/>
              <a:t> ELECTRICA</a:t>
            </a:r>
            <a:r>
              <a:rPr lang="en-US"/>
              <a:t>S</a:t>
            </a:r>
            <a:r>
              <a:rPr lang="en-US" baseline="0"/>
              <a:t> GT-8002</a:t>
            </a:r>
            <a:endParaRPr lang="en-US"/>
          </a:p>
        </c:rich>
      </c:tx>
      <c:overlay val="0"/>
    </c:title>
    <c:autoTitleDeleted val="0"/>
    <c:plotArea>
      <c:layout>
        <c:manualLayout>
          <c:layoutTarget val="inner"/>
          <c:xMode val="edge"/>
          <c:yMode val="edge"/>
          <c:x val="6.7946833799127124E-2"/>
          <c:y val="5.5584482826470091E-2"/>
          <c:w val="0.87081393290333686"/>
          <c:h val="0.69601498927678285"/>
        </c:manualLayout>
      </c:layout>
      <c:lineChart>
        <c:grouping val="standard"/>
        <c:varyColors val="0"/>
        <c:ser>
          <c:idx val="11"/>
          <c:order val="0"/>
          <c:tx>
            <c:strRef>
              <c:f>'US-GT-8001-2'!$C$38</c:f>
              <c:strCache>
                <c:ptCount val="1"/>
                <c:pt idx="0">
                  <c:v>MWATTS</c:v>
                </c:pt>
              </c:strCache>
            </c:strRef>
          </c:tx>
          <c:spPr>
            <a:ln w="19050">
              <a:solidFill>
                <a:srgbClr val="F92BF9"/>
              </a:solidFill>
            </a:ln>
          </c:spPr>
          <c:marker>
            <c:symbol val="none"/>
          </c:marker>
          <c:cat>
            <c:numRef>
              <c:f>'US-GT-8001-2'!$A$41:$A$70</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'US-GT-8001-2'!$C$7:$C$41</c:f>
              <c:numCache>
                <c:formatCode>0.0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30" formatCode="0.00">
                  <c:v>0</c:v>
                </c:pt>
                <c:pt idx="31" formatCode="0.00">
                  <c:v>0</c:v>
                </c:pt>
                <c:pt idx="32" formatCode="0.00">
                  <c:v>0</c:v>
                </c:pt>
                <c:pt idx="33">
                  <c:v>11.6</c:v>
                </c:pt>
              </c:numCache>
            </c:numRef>
          </c:val>
          <c:smooth val="0"/>
          <c:extLst>
            <c:ext xmlns:c16="http://schemas.microsoft.com/office/drawing/2014/chart" uri="{C3380CC4-5D6E-409C-BE32-E72D297353CC}">
              <c16:uniqueId val="{00000016-6275-4DA4-8CA5-FEE5F0B93FBA}"/>
            </c:ext>
          </c:extLst>
        </c:ser>
        <c:ser>
          <c:idx val="12"/>
          <c:order val="1"/>
          <c:tx>
            <c:strRef>
              <c:f>'US-GT-8001-2'!$E$38</c:f>
              <c:strCache>
                <c:ptCount val="1"/>
                <c:pt idx="0">
                  <c:v>MVARS</c:v>
                </c:pt>
              </c:strCache>
            </c:strRef>
          </c:tx>
          <c:spPr>
            <a:ln w="19050">
              <a:solidFill>
                <a:srgbClr val="FFC000"/>
              </a:solidFill>
            </a:ln>
          </c:spPr>
          <c:marker>
            <c:symbol val="none"/>
          </c:marker>
          <c:cat>
            <c:numRef>
              <c:f>'US-GT-8001-2'!$A$41:$A$70</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'US-GT-8001-2'!$E$41:$E$70</c:f>
              <c:numCache>
                <c:formatCode>0.0</c:formatCode>
                <c:ptCount val="30"/>
                <c:pt idx="0">
                  <c:v>6.4</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7-6275-4DA4-8CA5-FEE5F0B93FBA}"/>
            </c:ext>
          </c:extLst>
        </c:ser>
        <c:ser>
          <c:idx val="13"/>
          <c:order val="2"/>
          <c:tx>
            <c:strRef>
              <c:f>'US-GT-8001-2'!$F$38</c:f>
              <c:strCache>
                <c:ptCount val="1"/>
                <c:pt idx="0">
                  <c:v>VOLT</c:v>
                </c:pt>
              </c:strCache>
            </c:strRef>
          </c:tx>
          <c:spPr>
            <a:ln w="19050">
              <a:solidFill>
                <a:srgbClr val="00B6F6"/>
              </a:solidFill>
            </a:ln>
          </c:spPr>
          <c:marker>
            <c:symbol val="none"/>
          </c:marker>
          <c:cat>
            <c:numRef>
              <c:f>'US-GT-8001-2'!$A$41:$A$70</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'US-GT-8001-2'!$F$41:$F$70</c:f>
              <c:numCache>
                <c:formatCode>0.0</c:formatCode>
                <c:ptCount val="30"/>
                <c:pt idx="0">
                  <c:v>13.82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8-6275-4DA4-8CA5-FEE5F0B93FBA}"/>
            </c:ext>
          </c:extLst>
        </c:ser>
        <c:ser>
          <c:idx val="14"/>
          <c:order val="3"/>
          <c:tx>
            <c:strRef>
              <c:f>'US-GT-8001-2'!$D$38</c:f>
              <c:strCache>
                <c:ptCount val="1"/>
                <c:pt idx="0">
                  <c:v>MW-MAX</c:v>
                </c:pt>
              </c:strCache>
            </c:strRef>
          </c:tx>
          <c:spPr>
            <a:ln w="19050">
              <a:solidFill>
                <a:srgbClr val="FF0000"/>
              </a:solidFill>
            </a:ln>
          </c:spPr>
          <c:cat>
            <c:numRef>
              <c:f>'US-GT-8001-2'!$A$41:$A$70</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'US-GT-8001-2'!$D$41:$D$70</c:f>
            </c:numRef>
          </c:val>
          <c:smooth val="0"/>
          <c:extLst>
            <c:ext xmlns:c16="http://schemas.microsoft.com/office/drawing/2014/chart" uri="{C3380CC4-5D6E-409C-BE32-E72D297353CC}">
              <c16:uniqueId val="{00000019-6275-4DA4-8CA5-FEE5F0B93FBA}"/>
            </c:ext>
          </c:extLst>
        </c:ser>
        <c:dLbls>
          <c:showLegendKey val="0"/>
          <c:showVal val="0"/>
          <c:showCatName val="0"/>
          <c:showSerName val="0"/>
          <c:showPercent val="0"/>
          <c:showBubbleSize val="0"/>
        </c:dLbls>
        <c:smooth val="0"/>
        <c:axId val="110782336"/>
        <c:axId val="110783872"/>
        <c:extLst>
          <c:ext xmlns:c15="http://schemas.microsoft.com/office/drawing/2012/chart" uri="{02D57815-91ED-43cb-92C2-25804820EDAC}">
            <c15:filteredLineSeries>
              <c15:ser>
                <c:idx val="15"/>
                <c:order val="4"/>
                <c:tx>
                  <c:strRef>
                    <c:extLst>
                      <c:ext uri="{02D57815-91ED-43cb-92C2-25804820EDAC}">
                        <c15:formulaRef>
                          <c15:sqref>'US-GT-8001-2'!$H$38</c15:sqref>
                        </c15:formulaRef>
                      </c:ext>
                    </c:extLst>
                    <c:strCache>
                      <c:ptCount val="1"/>
                      <c:pt idx="0">
                        <c:v>FRECUENCIA</c:v>
                      </c:pt>
                    </c:strCache>
                  </c:strRef>
                </c:tx>
                <c:spPr>
                  <a:ln>
                    <a:solidFill>
                      <a:srgbClr val="2BE92B"/>
                    </a:solidFill>
                  </a:ln>
                </c:spPr>
                <c:marker>
                  <c:symbol val="none"/>
                </c:marker>
                <c:cat>
                  <c:numRef>
                    <c:extLst>
                      <c:ext uri="{02D57815-91ED-43cb-92C2-25804820EDAC}">
                        <c15:formulaRef>
                          <c15:sqref>'US-GT-8001-2'!$A$41:$A$70</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c:ext uri="{02D57815-91ED-43cb-92C2-25804820EDAC}">
                        <c15:formulaRef>
                          <c15:sqref>'US-GT-8001-2'!$H$41:$H$70</c15:sqref>
                        </c15:formulaRef>
                      </c:ext>
                    </c:extLst>
                    <c:numCache>
                      <c:formatCode>0.0</c:formatCode>
                      <c:ptCount val="30"/>
                      <c:pt idx="0">
                        <c:v>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1A-6275-4DA4-8CA5-FEE5F0B93FBA}"/>
                  </c:ext>
                </c:extLst>
              </c15:ser>
            </c15:filteredLineSeries>
            <c15:filteredLineSeries>
              <c15:ser>
                <c:idx val="3"/>
                <c:order val="5"/>
                <c:tx>
                  <c:strRef>
                    <c:extLst xmlns:c15="http://schemas.microsoft.com/office/drawing/2012/chart">
                      <c:ext xmlns:c15="http://schemas.microsoft.com/office/drawing/2012/chart" uri="{02D57815-91ED-43cb-92C2-25804820EDAC}">
                        <c15:formulaRef>
                          <c15:sqref>'US-GT-8001-2'!$C$3</c15:sqref>
                        </c15:formulaRef>
                      </c:ext>
                    </c:extLst>
                    <c:strCache>
                      <c:ptCount val="1"/>
                      <c:pt idx="0">
                        <c:v>MWATTS</c:v>
                      </c:pt>
                    </c:strCache>
                  </c:strRef>
                </c:tx>
                <c:spPr>
                  <a:ln w="19050">
                    <a:solidFill>
                      <a:srgbClr val="F92BF9"/>
                    </a:solidFill>
                  </a:ln>
                </c:spPr>
                <c:marker>
                  <c:symbol val="none"/>
                </c:marker>
                <c:cat>
                  <c:numRef>
                    <c:extLst xmlns:c15="http://schemas.microsoft.com/office/drawing/2012/chart">
                      <c:ext xmlns:c15="http://schemas.microsoft.com/office/drawing/2012/chart" uri="{02D57815-91ED-43cb-92C2-25804820EDAC}">
                        <c15:formulaRef>
                          <c15:sqref>'US-GT-8001-2'!$A$41:$A$70</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'US-GT-8001-2'!$C$6:$C$35</c15:sqref>
                        </c15:formulaRef>
                      </c:ext>
                    </c:extLst>
                    <c:numCache>
                      <c:formatCode>0.0</c:formatCode>
                      <c:ptCount val="30"/>
                      <c:pt idx="0">
                        <c:v>6.1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1-6275-4DA4-8CA5-FEE5F0B93FBA}"/>
                  </c:ext>
                </c:extLst>
              </c15:ser>
            </c15:filteredLineSeries>
            <c15:filteredLineSeries>
              <c15:ser>
                <c:idx val="4"/>
                <c:order val="6"/>
                <c:tx>
                  <c:strRef>
                    <c:extLst xmlns:c15="http://schemas.microsoft.com/office/drawing/2012/chart">
                      <c:ext xmlns:c15="http://schemas.microsoft.com/office/drawing/2012/chart" uri="{02D57815-91ED-43cb-92C2-25804820EDAC}">
                        <c15:formulaRef>
                          <c15:sqref>'US-GT-8001-2'!$E$3</c15:sqref>
                        </c15:formulaRef>
                      </c:ext>
                    </c:extLst>
                    <c:strCache>
                      <c:ptCount val="1"/>
                      <c:pt idx="0">
                        <c:v>MVARS</c:v>
                      </c:pt>
                    </c:strCache>
                  </c:strRef>
                </c:tx>
                <c:spPr>
                  <a:ln w="19050">
                    <a:solidFill>
                      <a:srgbClr val="FFC000"/>
                    </a:solidFill>
                  </a:ln>
                </c:spPr>
                <c:marker>
                  <c:symbol val="none"/>
                </c:marker>
                <c:cat>
                  <c:numRef>
                    <c:extLst xmlns:c15="http://schemas.microsoft.com/office/drawing/2012/chart">
                      <c:ext xmlns:c15="http://schemas.microsoft.com/office/drawing/2012/chart" uri="{02D57815-91ED-43cb-92C2-25804820EDAC}">
                        <c15:formulaRef>
                          <c15:sqref>'US-GT-8001-2'!$A$41:$A$70</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'US-GT-8001-2'!$E$6:$E$35</c15:sqref>
                        </c15:formulaRef>
                      </c:ext>
                    </c:extLst>
                    <c:numCache>
                      <c:formatCode>0.0</c:formatCode>
                      <c:ptCount val="30"/>
                      <c:pt idx="0">
                        <c:v>3.2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3-6275-4DA4-8CA5-FEE5F0B93FBA}"/>
                  </c:ext>
                </c:extLst>
              </c15:ser>
            </c15:filteredLineSeries>
            <c15:filteredLineSeries>
              <c15:ser>
                <c:idx val="8"/>
                <c:order val="7"/>
                <c:tx>
                  <c:strRef>
                    <c:extLst xmlns:c15="http://schemas.microsoft.com/office/drawing/2012/chart">
                      <c:ext xmlns:c15="http://schemas.microsoft.com/office/drawing/2012/chart" uri="{02D57815-91ED-43cb-92C2-25804820EDAC}">
                        <c15:formulaRef>
                          <c15:sqref>'US-GT-8001-2'!$F$3</c15:sqref>
                        </c15:formulaRef>
                      </c:ext>
                    </c:extLst>
                    <c:strCache>
                      <c:ptCount val="1"/>
                      <c:pt idx="0">
                        <c:v>VOLT</c:v>
                      </c:pt>
                    </c:strCache>
                  </c:strRef>
                </c:tx>
                <c:spPr>
                  <a:ln w="19050">
                    <a:solidFill>
                      <a:srgbClr val="00B6F6"/>
                    </a:solidFill>
                  </a:ln>
                </c:spPr>
                <c:marker>
                  <c:symbol val="none"/>
                </c:marker>
                <c:cat>
                  <c:numRef>
                    <c:extLst xmlns:c15="http://schemas.microsoft.com/office/drawing/2012/chart">
                      <c:ext xmlns:c15="http://schemas.microsoft.com/office/drawing/2012/chart" uri="{02D57815-91ED-43cb-92C2-25804820EDAC}">
                        <c15:formulaRef>
                          <c15:sqref>'US-GT-8001-2'!$A$41:$A$70</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'US-GT-8001-2'!$F$6:$F$35</c15:sqref>
                        </c15:formulaRef>
                      </c:ext>
                    </c:extLst>
                    <c:numCache>
                      <c:formatCode>0.0</c:formatCode>
                      <c:ptCount val="30"/>
                      <c:pt idx="0">
                        <c:v>13.83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5-6275-4DA4-8CA5-FEE5F0B93FBA}"/>
                  </c:ext>
                </c:extLst>
              </c15:ser>
            </c15:filteredLineSeries>
            <c15:filteredLineSeries>
              <c15:ser>
                <c:idx val="9"/>
                <c:order val="8"/>
                <c:tx>
                  <c:strRef>
                    <c:extLst xmlns:c15="http://schemas.microsoft.com/office/drawing/2012/chart">
                      <c:ext xmlns:c15="http://schemas.microsoft.com/office/drawing/2012/chart" uri="{02D57815-91ED-43cb-92C2-25804820EDAC}">
                        <c15:formulaRef>
                          <c15:sqref>'US-GT-8001-2'!$D$3</c15:sqref>
                        </c15:formulaRef>
                      </c:ext>
                    </c:extLst>
                    <c:strCache>
                      <c:ptCount val="1"/>
                      <c:pt idx="0">
                        <c:v>MW-MAX</c:v>
                      </c:pt>
                    </c:strCache>
                  </c:strRef>
                </c:tx>
                <c:spPr>
                  <a:ln w="19050">
                    <a:solidFill>
                      <a:srgbClr val="FF0000"/>
                    </a:solidFill>
                  </a:ln>
                </c:spPr>
                <c:cat>
                  <c:numRef>
                    <c:extLst xmlns:c15="http://schemas.microsoft.com/office/drawing/2012/chart">
                      <c:ext xmlns:c15="http://schemas.microsoft.com/office/drawing/2012/chart" uri="{02D57815-91ED-43cb-92C2-25804820EDAC}">
                        <c15:formulaRef>
                          <c15:sqref>'US-GT-8001-2'!$A$41:$A$70</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'US-GT-8001-2'!$D$6:$D$35</c15:sqref>
                        </c15:formulaRef>
                      </c:ext>
                    </c:extLst>
                  </c:numRef>
                </c:val>
                <c:smooth val="0"/>
                <c:extLst xmlns:c15="http://schemas.microsoft.com/office/drawing/2012/chart">
                  <c:ext xmlns:c16="http://schemas.microsoft.com/office/drawing/2014/chart" uri="{C3380CC4-5D6E-409C-BE32-E72D297353CC}">
                    <c16:uniqueId val="{00000007-6275-4DA4-8CA5-FEE5F0B93FBA}"/>
                  </c:ext>
                </c:extLst>
              </c15:ser>
            </c15:filteredLineSeries>
            <c15:filteredLineSeries>
              <c15:ser>
                <c:idx val="10"/>
                <c:order val="9"/>
                <c:tx>
                  <c:strRef>
                    <c:extLst xmlns:c15="http://schemas.microsoft.com/office/drawing/2012/chart">
                      <c:ext xmlns:c15="http://schemas.microsoft.com/office/drawing/2012/chart" uri="{02D57815-91ED-43cb-92C2-25804820EDAC}">
                        <c15:formulaRef>
                          <c15:sqref>'US-GT-8001-2'!$H$3</c15:sqref>
                        </c15:formulaRef>
                      </c:ext>
                    </c:extLst>
                    <c:strCache>
                      <c:ptCount val="1"/>
                      <c:pt idx="0">
                        <c:v>FRECUENCIA</c:v>
                      </c:pt>
                    </c:strCache>
                  </c:strRef>
                </c:tx>
                <c:spPr>
                  <a:ln w="19050">
                    <a:solidFill>
                      <a:srgbClr val="2BE92B"/>
                    </a:solidFill>
                  </a:ln>
                </c:spPr>
                <c:marker>
                  <c:symbol val="none"/>
                </c:marker>
                <c:cat>
                  <c:numRef>
                    <c:extLst xmlns:c15="http://schemas.microsoft.com/office/drawing/2012/chart">
                      <c:ext xmlns:c15="http://schemas.microsoft.com/office/drawing/2012/chart" uri="{02D57815-91ED-43cb-92C2-25804820EDAC}">
                        <c15:formulaRef>
                          <c15:sqref>'US-GT-8001-2'!$A$41:$A$70</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'US-GT-8001-2'!$H$6:$H$34</c15:sqref>
                        </c15:formulaRef>
                      </c:ext>
                    </c:extLst>
                    <c:numCache>
                      <c:formatCode>0.0</c:formatCode>
                      <c:ptCount val="29"/>
                      <c:pt idx="0">
                        <c:v>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9-6275-4DA4-8CA5-FEE5F0B93FBA}"/>
                  </c:ext>
                </c:extLst>
              </c15:ser>
            </c15:filteredLineSeries>
            <c15:filteredLineSeries>
              <c15:ser>
                <c:idx val="0"/>
                <c:order val="10"/>
                <c:tx>
                  <c:strRef>
                    <c:extLst xmlns:c15="http://schemas.microsoft.com/office/drawing/2012/chart">
                      <c:ext xmlns:c15="http://schemas.microsoft.com/office/drawing/2012/chart" uri="{02D57815-91ED-43cb-92C2-25804820EDAC}">
                        <c15:formulaRef>
                          <c15:sqref>'US-GT-8001-2'!$I$4</c15:sqref>
                        </c15:formulaRef>
                      </c:ext>
                    </c:extLst>
                    <c:strCache>
                      <c:ptCount val="1"/>
                      <c:pt idx="0">
                        <c:v>Compresor</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'US-GT-8001-2'!$A$41:$A$70</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'US-GT-8001-2'!$I$6:$I$34</c15:sqref>
                        </c15:formulaRef>
                      </c:ext>
                    </c:extLst>
                    <c:numCache>
                      <c:formatCode>0.0</c:formatCode>
                      <c:ptCount val="29"/>
                      <c:pt idx="0">
                        <c:v>2.8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B-6275-4DA4-8CA5-FEE5F0B93FBA}"/>
                  </c:ext>
                </c:extLst>
              </c15:ser>
            </c15:filteredLineSeries>
            <c15:filteredLineSeries>
              <c15:ser>
                <c:idx val="5"/>
                <c:order val="11"/>
                <c:tx>
                  <c:strRef>
                    <c:extLst xmlns:c15="http://schemas.microsoft.com/office/drawing/2012/chart">
                      <c:ext xmlns:c15="http://schemas.microsoft.com/office/drawing/2012/chart" uri="{02D57815-91ED-43cb-92C2-25804820EDAC}">
                        <c15:formulaRef>
                          <c15:sqref>'US-GT-8001-2'!$J$4</c15:sqref>
                        </c15:formulaRef>
                      </c:ext>
                    </c:extLst>
                    <c:strCache>
                      <c:ptCount val="1"/>
                      <c:pt idx="0">
                        <c:v>Compresor</c:v>
                      </c:pt>
                    </c:strCache>
                  </c:strRef>
                </c:tx>
                <c:spPr>
                  <a:ln w="19050">
                    <a:solidFill>
                      <a:srgbClr val="2BE92B"/>
                    </a:solidFill>
                  </a:ln>
                </c:spPr>
                <c:marker>
                  <c:symbol val="none"/>
                </c:marker>
                <c:cat>
                  <c:numRef>
                    <c:extLst xmlns:c15="http://schemas.microsoft.com/office/drawing/2012/chart">
                      <c:ext xmlns:c15="http://schemas.microsoft.com/office/drawing/2012/chart" uri="{02D57815-91ED-43cb-92C2-25804820EDAC}">
                        <c15:formulaRef>
                          <c15:sqref>'US-GT-8001-2'!$A$41:$A$70</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'US-GT-8001-2'!$J$6:$J$34</c15:sqref>
                        </c15:formulaRef>
                      </c:ext>
                    </c:extLst>
                    <c:numCache>
                      <c:formatCode>0.0</c:formatCode>
                      <c:ptCount val="29"/>
                      <c:pt idx="0">
                        <c:v>3.3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D-6275-4DA4-8CA5-FEE5F0B93FBA}"/>
                  </c:ext>
                </c:extLst>
              </c15:ser>
            </c15:filteredLineSeries>
            <c15:filteredLineSeries>
              <c15:ser>
                <c:idx val="6"/>
                <c:order val="12"/>
                <c:tx>
                  <c:strRef>
                    <c:extLst xmlns:c15="http://schemas.microsoft.com/office/drawing/2012/chart">
                      <c:ext xmlns:c15="http://schemas.microsoft.com/office/drawing/2012/chart" uri="{02D57815-91ED-43cb-92C2-25804820EDAC}">
                        <c15:formulaRef>
                          <c15:sqref>'US-GT-8001-2'!$K$4</c15:sqref>
                        </c15:formulaRef>
                      </c:ext>
                    </c:extLst>
                    <c:strCache>
                      <c:ptCount val="1"/>
                      <c:pt idx="0">
                        <c:v>Turbina</c:v>
                      </c:pt>
                    </c:strCache>
                  </c:strRef>
                </c:tx>
                <c:spPr>
                  <a:ln>
                    <a:solidFill>
                      <a:srgbClr val="25C6FF"/>
                    </a:solidFill>
                  </a:ln>
                </c:spPr>
                <c:marker>
                  <c:symbol val="none"/>
                </c:marker>
                <c:cat>
                  <c:numRef>
                    <c:extLst xmlns:c15="http://schemas.microsoft.com/office/drawing/2012/chart">
                      <c:ext xmlns:c15="http://schemas.microsoft.com/office/drawing/2012/chart" uri="{02D57815-91ED-43cb-92C2-25804820EDAC}">
                        <c15:formulaRef>
                          <c15:sqref>'US-GT-8001-2'!$A$41:$A$70</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'US-GT-8001-2'!$K$6:$K$34</c15:sqref>
                        </c15:formulaRef>
                      </c:ext>
                    </c:extLst>
                    <c:numCache>
                      <c:formatCode>0.0</c:formatCode>
                      <c:ptCount val="29"/>
                      <c:pt idx="0">
                        <c:v>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0F-6275-4DA4-8CA5-FEE5F0B93FBA}"/>
                  </c:ext>
                </c:extLst>
              </c15:ser>
            </c15:filteredLineSeries>
            <c15:filteredLineSeries>
              <c15:ser>
                <c:idx val="7"/>
                <c:order val="13"/>
                <c:tx>
                  <c:strRef>
                    <c:extLst xmlns:c15="http://schemas.microsoft.com/office/drawing/2012/chart">
                      <c:ext xmlns:c15="http://schemas.microsoft.com/office/drawing/2012/chart" uri="{02D57815-91ED-43cb-92C2-25804820EDAC}">
                        <c15:formulaRef>
                          <c15:sqref>'US-GT-8001-2'!$L$4</c15:sqref>
                        </c15:formulaRef>
                      </c:ext>
                    </c:extLst>
                    <c:strCache>
                      <c:ptCount val="1"/>
                      <c:pt idx="0">
                        <c:v>Turbina</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'US-GT-8001-2'!$A$41:$A$70</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'US-GT-8001-2'!$L$6:$L$34</c15:sqref>
                        </c15:formulaRef>
                      </c:ext>
                    </c:extLst>
                    <c:numCache>
                      <c:formatCode>0.0</c:formatCode>
                      <c:ptCount val="29"/>
                      <c:pt idx="0">
                        <c:v>1.9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mooth val="0"/>
                <c:extLst xmlns:c15="http://schemas.microsoft.com/office/drawing/2012/chart">
                  <c:ext xmlns:c16="http://schemas.microsoft.com/office/drawing/2014/chart" uri="{C3380CC4-5D6E-409C-BE32-E72D297353CC}">
                    <c16:uniqueId val="{00000011-6275-4DA4-8CA5-FEE5F0B93FBA}"/>
                  </c:ext>
                </c:extLst>
              </c15:ser>
            </c15:filteredLineSeries>
            <c15:filteredLineSeries>
              <c15:ser>
                <c:idx val="1"/>
                <c:order val="14"/>
                <c:tx>
                  <c:strRef>
                    <c:extLst xmlns:c15="http://schemas.microsoft.com/office/drawing/2012/chart">
                      <c:ext xmlns:c15="http://schemas.microsoft.com/office/drawing/2012/chart" uri="{02D57815-91ED-43cb-92C2-25804820EDAC}">
                        <c15:formulaRef>
                          <c15:sqref>'US-GT-8001-2'!$AC$3</c15:sqref>
                        </c15:formulaRef>
                      </c:ext>
                    </c:extLst>
                    <c:strCache>
                      <c:ptCount val="1"/>
                      <c:pt idx="0">
                        <c:v>Alarma Vib</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'US-GT-8001-2'!$A$41:$A$70</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'US-GT-8001-2'!$AC$6:$AC$35</c15:sqref>
                        </c15:formulaRef>
                      </c:ext>
                    </c:extLst>
                    <c:numCache>
                      <c:formatCode>General</c:formatCode>
                      <c:ptCount val="30"/>
                      <c:pt idx="0">
                        <c:v>13</c:v>
                      </c:pt>
                      <c:pt idx="1">
                        <c:v>13</c:v>
                      </c:pt>
                      <c:pt idx="2" formatCode="0">
                        <c:v>13</c:v>
                      </c:pt>
                      <c:pt idx="3" formatCode="0">
                        <c:v>13</c:v>
                      </c:pt>
                      <c:pt idx="4" formatCode="0">
                        <c:v>13</c:v>
                      </c:pt>
                      <c:pt idx="5" formatCode="0">
                        <c:v>13</c:v>
                      </c:pt>
                      <c:pt idx="6" formatCode="0">
                        <c:v>13</c:v>
                      </c:pt>
                      <c:pt idx="7" formatCode="0">
                        <c:v>13</c:v>
                      </c:pt>
                      <c:pt idx="8" formatCode="0">
                        <c:v>13</c:v>
                      </c:pt>
                      <c:pt idx="9" formatCode="0">
                        <c:v>13</c:v>
                      </c:pt>
                      <c:pt idx="10" formatCode="0">
                        <c:v>13</c:v>
                      </c:pt>
                      <c:pt idx="11" formatCode="0">
                        <c:v>13</c:v>
                      </c:pt>
                      <c:pt idx="12" formatCode="0">
                        <c:v>13</c:v>
                      </c:pt>
                      <c:pt idx="13" formatCode="0">
                        <c:v>13</c:v>
                      </c:pt>
                      <c:pt idx="14" formatCode="0">
                        <c:v>13</c:v>
                      </c:pt>
                      <c:pt idx="15" formatCode="0">
                        <c:v>13</c:v>
                      </c:pt>
                      <c:pt idx="16" formatCode="0">
                        <c:v>13</c:v>
                      </c:pt>
                      <c:pt idx="17" formatCode="0">
                        <c:v>13</c:v>
                      </c:pt>
                      <c:pt idx="18" formatCode="0">
                        <c:v>13</c:v>
                      </c:pt>
                      <c:pt idx="19" formatCode="0">
                        <c:v>13</c:v>
                      </c:pt>
                      <c:pt idx="20" formatCode="0">
                        <c:v>13</c:v>
                      </c:pt>
                      <c:pt idx="21" formatCode="0">
                        <c:v>13</c:v>
                      </c:pt>
                      <c:pt idx="22" formatCode="0">
                        <c:v>13</c:v>
                      </c:pt>
                      <c:pt idx="23" formatCode="0">
                        <c:v>13</c:v>
                      </c:pt>
                      <c:pt idx="24" formatCode="0">
                        <c:v>13</c:v>
                      </c:pt>
                      <c:pt idx="25" formatCode="0">
                        <c:v>13</c:v>
                      </c:pt>
                      <c:pt idx="26" formatCode="0">
                        <c:v>13</c:v>
                      </c:pt>
                      <c:pt idx="27" formatCode="0">
                        <c:v>13</c:v>
                      </c:pt>
                      <c:pt idx="28" formatCode="0">
                        <c:v>13</c:v>
                      </c:pt>
                      <c:pt idx="29" formatCode="0">
                        <c:v>13</c:v>
                      </c:pt>
                    </c:numCache>
                  </c:numRef>
                </c:val>
                <c:smooth val="0"/>
                <c:extLst xmlns:c15="http://schemas.microsoft.com/office/drawing/2012/chart">
                  <c:ext xmlns:c16="http://schemas.microsoft.com/office/drawing/2014/chart" uri="{C3380CC4-5D6E-409C-BE32-E72D297353CC}">
                    <c16:uniqueId val="{00000013-6275-4DA4-8CA5-FEE5F0B93FBA}"/>
                  </c:ext>
                </c:extLst>
              </c15:ser>
            </c15:filteredLineSeries>
            <c15:filteredLineSeries>
              <c15:ser>
                <c:idx val="2"/>
                <c:order val="15"/>
                <c:tx>
                  <c:strRef>
                    <c:extLst xmlns:c15="http://schemas.microsoft.com/office/drawing/2012/chart">
                      <c:ext xmlns:c15="http://schemas.microsoft.com/office/drawing/2012/chart" uri="{02D57815-91ED-43cb-92C2-25804820EDAC}">
                        <c15:formulaRef>
                          <c15:sqref>'US-GT-8001-2'!$AD$3</c15:sqref>
                        </c15:formulaRef>
                      </c:ext>
                    </c:extLst>
                    <c:strCache>
                      <c:ptCount val="1"/>
                      <c:pt idx="0">
                        <c:v>Trip Vib</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'US-GT-8001-2'!$A$41:$A$70</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'US-GT-8001-2'!$AD$6:$AD$35</c15:sqref>
                        </c15:formulaRef>
                      </c:ext>
                    </c:extLst>
                    <c:numCache>
                      <c:formatCode>General</c:formatCode>
                      <c:ptCount val="30"/>
                      <c:pt idx="0">
                        <c:v>25</c:v>
                      </c:pt>
                      <c:pt idx="1">
                        <c:v>25</c:v>
                      </c:pt>
                      <c:pt idx="2" formatCode="0">
                        <c:v>25</c:v>
                      </c:pt>
                      <c:pt idx="3" formatCode="0">
                        <c:v>25</c:v>
                      </c:pt>
                      <c:pt idx="4" formatCode="0">
                        <c:v>25</c:v>
                      </c:pt>
                      <c:pt idx="5" formatCode="0">
                        <c:v>25</c:v>
                      </c:pt>
                      <c:pt idx="6" formatCode="0">
                        <c:v>25</c:v>
                      </c:pt>
                      <c:pt idx="7" formatCode="0">
                        <c:v>25</c:v>
                      </c:pt>
                      <c:pt idx="8" formatCode="0">
                        <c:v>25</c:v>
                      </c:pt>
                      <c:pt idx="9" formatCode="0">
                        <c:v>25</c:v>
                      </c:pt>
                      <c:pt idx="10" formatCode="0">
                        <c:v>25</c:v>
                      </c:pt>
                      <c:pt idx="11" formatCode="0">
                        <c:v>25</c:v>
                      </c:pt>
                      <c:pt idx="12" formatCode="0">
                        <c:v>25</c:v>
                      </c:pt>
                      <c:pt idx="13" formatCode="0">
                        <c:v>25</c:v>
                      </c:pt>
                      <c:pt idx="14" formatCode="0">
                        <c:v>25</c:v>
                      </c:pt>
                      <c:pt idx="15" formatCode="0">
                        <c:v>25</c:v>
                      </c:pt>
                      <c:pt idx="16" formatCode="0">
                        <c:v>25</c:v>
                      </c:pt>
                      <c:pt idx="17" formatCode="0">
                        <c:v>25</c:v>
                      </c:pt>
                      <c:pt idx="18" formatCode="0">
                        <c:v>25</c:v>
                      </c:pt>
                      <c:pt idx="19" formatCode="0">
                        <c:v>25</c:v>
                      </c:pt>
                      <c:pt idx="20" formatCode="0">
                        <c:v>25</c:v>
                      </c:pt>
                      <c:pt idx="21" formatCode="0">
                        <c:v>25</c:v>
                      </c:pt>
                      <c:pt idx="22" formatCode="0">
                        <c:v>25</c:v>
                      </c:pt>
                      <c:pt idx="23" formatCode="0">
                        <c:v>25</c:v>
                      </c:pt>
                      <c:pt idx="24" formatCode="0">
                        <c:v>25</c:v>
                      </c:pt>
                      <c:pt idx="25" formatCode="0">
                        <c:v>25</c:v>
                      </c:pt>
                      <c:pt idx="26" formatCode="0">
                        <c:v>25</c:v>
                      </c:pt>
                      <c:pt idx="27" formatCode="0">
                        <c:v>25</c:v>
                      </c:pt>
                      <c:pt idx="28" formatCode="0">
                        <c:v>25</c:v>
                      </c:pt>
                      <c:pt idx="29" formatCode="0">
                        <c:v>25</c:v>
                      </c:pt>
                    </c:numCache>
                  </c:numRef>
                </c:val>
                <c:smooth val="0"/>
                <c:extLst xmlns:c15="http://schemas.microsoft.com/office/drawing/2012/chart">
                  <c:ext xmlns:c16="http://schemas.microsoft.com/office/drawing/2014/chart" uri="{C3380CC4-5D6E-409C-BE32-E72D297353CC}">
                    <c16:uniqueId val="{00000015-6275-4DA4-8CA5-FEE5F0B93FBA}"/>
                  </c:ext>
                </c:extLst>
              </c15:ser>
            </c15:filteredLineSeries>
          </c:ext>
        </c:extLst>
      </c:lineChart>
      <c:dateAx>
        <c:axId val="110782336"/>
        <c:scaling>
          <c:orientation val="minMax"/>
          <c:min val="45078"/>
        </c:scaling>
        <c:delete val="0"/>
        <c:axPos val="b"/>
        <c:numFmt formatCode="dd" sourceLinked="1"/>
        <c:majorTickMark val="out"/>
        <c:minorTickMark val="none"/>
        <c:tickLblPos val="nextTo"/>
        <c:crossAx val="110783872"/>
        <c:crosses val="autoZero"/>
        <c:auto val="1"/>
        <c:lblOffset val="100"/>
        <c:baseTimeUnit val="days"/>
      </c:dateAx>
      <c:valAx>
        <c:axId val="110783872"/>
        <c:scaling>
          <c:orientation val="minMax"/>
          <c:max val="20"/>
          <c:min val="0"/>
        </c:scaling>
        <c:delete val="0"/>
        <c:axPos val="l"/>
        <c:majorGridlines>
          <c:spPr>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c:spPr>
        </c:majorGridlines>
        <c:numFmt formatCode="0.0" sourceLinked="1"/>
        <c:majorTickMark val="out"/>
        <c:minorTickMark val="none"/>
        <c:tickLblPos val="nextTo"/>
        <c:crossAx val="110782336"/>
        <c:crosses val="autoZero"/>
        <c:crossBetween val="between"/>
      </c:valAx>
      <c:spPr>
        <a:noFill/>
        <a:ln>
          <a:noFill/>
        </a:ln>
      </c:spPr>
    </c:plotArea>
    <c:legend>
      <c:legendPos val="b"/>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COMPRESOR AXIAL GT-8001</a:t>
            </a:r>
            <a:endParaRPr lang="en-US"/>
          </a:p>
        </c:rich>
      </c:tx>
      <c:overlay val="0"/>
    </c:title>
    <c:autoTitleDeleted val="0"/>
    <c:plotArea>
      <c:layout>
        <c:manualLayout>
          <c:layoutTarget val="inner"/>
          <c:xMode val="edge"/>
          <c:yMode val="edge"/>
          <c:x val="6.3231212511457163E-2"/>
          <c:y val="0.13465993066209042"/>
          <c:w val="0.87081393290333686"/>
          <c:h val="0.66848310091086705"/>
        </c:manualLayout>
      </c:layout>
      <c:lineChart>
        <c:grouping val="standard"/>
        <c:varyColors val="0"/>
        <c:ser>
          <c:idx val="3"/>
          <c:order val="0"/>
          <c:tx>
            <c:strRef>
              <c:f>'US-GT-8001-2'!$N$4</c:f>
              <c:strCache>
                <c:ptCount val="1"/>
                <c:pt idx="0">
                  <c:v>CTD</c:v>
                </c:pt>
              </c:strCache>
              <c:extLst xmlns:c15="http://schemas.microsoft.com/office/drawing/2012/chart"/>
            </c:strRef>
          </c:tx>
          <c:spPr>
            <a:ln w="19050">
              <a:solidFill>
                <a:srgbClr val="00B0F0"/>
              </a:solidFill>
            </a:ln>
          </c:spPr>
          <c:marker>
            <c:symbol val="none"/>
          </c:marker>
          <c:cat>
            <c:numRef>
              <c:f>'US-GT-8001-2'!$A$41:$A$71</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'US-GT-8001-2'!$N$6:$N$36</c:f>
              <c:numCache>
                <c:formatCode>0.0</c:formatCode>
                <c:ptCount val="30"/>
                <c:pt idx="0">
                  <c:v>290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C-3A03-4FAB-AD91-215D527B0EBE}"/>
            </c:ext>
          </c:extLst>
        </c:ser>
        <c:ser>
          <c:idx val="4"/>
          <c:order val="1"/>
          <c:tx>
            <c:strRef>
              <c:f>'US-GT-8001-2'!$M$4</c:f>
              <c:strCache>
                <c:ptCount val="1"/>
                <c:pt idx="0">
                  <c:v>CPD</c:v>
                </c:pt>
              </c:strCache>
              <c:extLst xmlns:c15="http://schemas.microsoft.com/office/drawing/2012/chart"/>
            </c:strRef>
          </c:tx>
          <c:spPr>
            <a:ln w="19050">
              <a:solidFill>
                <a:srgbClr val="FF0000"/>
              </a:solidFill>
            </a:ln>
          </c:spPr>
          <c:marker>
            <c:symbol val="none"/>
          </c:marker>
          <c:cat>
            <c:numRef>
              <c:f>'US-GT-8001-2'!$A$41:$A$71</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'US-GT-8001-2'!$M$6:$M$36</c:f>
              <c:numCache>
                <c:formatCode>0.0</c:formatCode>
                <c:ptCount val="30"/>
                <c:pt idx="0">
                  <c:v>6.17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D-3A03-4FAB-AD91-215D527B0EBE}"/>
            </c:ext>
          </c:extLst>
        </c:ser>
        <c:ser>
          <c:idx val="0"/>
          <c:order val="2"/>
          <c:tx>
            <c:strRef>
              <c:f>'US-GT-8001-2'!$I$4</c:f>
              <c:strCache>
                <c:ptCount val="1"/>
                <c:pt idx="0">
                  <c:v>Compresor</c:v>
                </c:pt>
              </c:strCache>
              <c:extLst xmlns:c15="http://schemas.microsoft.com/office/drawing/2012/chart"/>
            </c:strRef>
          </c:tx>
          <c:spPr>
            <a:ln w="19050"/>
          </c:spPr>
          <c:marker>
            <c:symbol val="none"/>
          </c:marker>
          <c:cat>
            <c:numRef>
              <c:f>'US-GT-8001-2'!$A$41:$A$71</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'US-GT-8001-2'!$I$6:$I$35</c:f>
              <c:numCache>
                <c:formatCode>0.0</c:formatCode>
                <c:ptCount val="30"/>
                <c:pt idx="0">
                  <c:v>2.8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3A03-4FAB-AD91-215D527B0EBE}"/>
            </c:ext>
          </c:extLst>
        </c:ser>
        <c:ser>
          <c:idx val="5"/>
          <c:order val="3"/>
          <c:tx>
            <c:strRef>
              <c:f>'US-GT-8001-2'!$J$4</c:f>
              <c:strCache>
                <c:ptCount val="1"/>
                <c:pt idx="0">
                  <c:v>Compresor</c:v>
                </c:pt>
              </c:strCache>
              <c:extLst xmlns:c15="http://schemas.microsoft.com/office/drawing/2012/chart"/>
            </c:strRef>
          </c:tx>
          <c:spPr>
            <a:ln w="19050">
              <a:solidFill>
                <a:srgbClr val="2BE92B"/>
              </a:solidFill>
            </a:ln>
          </c:spPr>
          <c:marker>
            <c:symbol val="none"/>
          </c:marker>
          <c:cat>
            <c:numRef>
              <c:f>'US-GT-8001-2'!$A$41:$A$71</c:f>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f>'US-GT-8001-2'!$J$6:$J$36</c:f>
              <c:numCache>
                <c:formatCode>0.0</c:formatCode>
                <c:ptCount val="30"/>
                <c:pt idx="0">
                  <c:v>3.3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3-3A03-4FAB-AD91-215D527B0EBE}"/>
            </c:ext>
          </c:extLst>
        </c:ser>
        <c:dLbls>
          <c:showLegendKey val="0"/>
          <c:showVal val="0"/>
          <c:showCatName val="0"/>
          <c:showSerName val="0"/>
          <c:showPercent val="0"/>
          <c:showBubbleSize val="0"/>
        </c:dLbls>
        <c:smooth val="0"/>
        <c:axId val="110782336"/>
        <c:axId val="110783872"/>
        <c:extLst>
          <c:ext xmlns:c15="http://schemas.microsoft.com/office/drawing/2012/chart" uri="{02D57815-91ED-43cb-92C2-25804820EDAC}">
            <c15:filteredLineSeries>
              <c15:ser>
                <c:idx val="6"/>
                <c:order val="4"/>
                <c:tx>
                  <c:strRef>
                    <c:extLst>
                      <c:ext uri="{02D57815-91ED-43cb-92C2-25804820EDAC}">
                        <c15:formulaRef>
                          <c15:sqref>'US-GT-8001-2'!$K$4</c15:sqref>
                        </c15:formulaRef>
                      </c:ext>
                    </c:extLst>
                    <c:strCache>
                      <c:ptCount val="1"/>
                      <c:pt idx="0">
                        <c:v>Turbina</c:v>
                      </c:pt>
                    </c:strCache>
                  </c:strRef>
                </c:tx>
                <c:spPr>
                  <a:ln>
                    <a:solidFill>
                      <a:srgbClr val="25C6FF"/>
                    </a:solidFill>
                  </a:ln>
                </c:spPr>
                <c:marker>
                  <c:symbol val="none"/>
                </c:marker>
                <c:cat>
                  <c:numRef>
                    <c:extLst>
                      <c:ext uri="{02D57815-91ED-43cb-92C2-25804820EDAC}">
                        <c15:formulaRef>
                          <c15:sqref>'US-GT-8001-2'!$A$41:$A$71</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c:ext uri="{02D57815-91ED-43cb-92C2-25804820EDAC}">
                        <c15:formulaRef>
                          <c15:sqref>'US-GT-8001-2'!$K$6:$K$35</c15:sqref>
                        </c15:formulaRef>
                      </c:ext>
                    </c:extLst>
                    <c:numCache>
                      <c:formatCode>0.0</c:formatCode>
                      <c:ptCount val="30"/>
                      <c:pt idx="0">
                        <c:v>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5-3A03-4FAB-AD91-215D527B0EBE}"/>
                  </c:ext>
                </c:extLst>
              </c15:ser>
            </c15:filteredLineSeries>
            <c15:filteredLineSeries>
              <c15:ser>
                <c:idx val="7"/>
                <c:order val="5"/>
                <c:tx>
                  <c:strRef>
                    <c:extLst xmlns:c15="http://schemas.microsoft.com/office/drawing/2012/chart">
                      <c:ext xmlns:c15="http://schemas.microsoft.com/office/drawing/2012/chart" uri="{02D57815-91ED-43cb-92C2-25804820EDAC}">
                        <c15:formulaRef>
                          <c15:sqref>'US-GT-8001-2'!$L$4</c15:sqref>
                        </c15:formulaRef>
                      </c:ext>
                    </c:extLst>
                    <c:strCache>
                      <c:ptCount val="1"/>
                      <c:pt idx="0">
                        <c:v>Turbina</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'US-GT-8001-2'!$A$41:$A$71</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'US-GT-8001-2'!$L$6:$L$35</c15:sqref>
                        </c15:formulaRef>
                      </c:ext>
                    </c:extLst>
                    <c:numCache>
                      <c:formatCode>0.0</c:formatCode>
                      <c:ptCount val="30"/>
                      <c:pt idx="0">
                        <c:v>1.9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xmlns:c15="http://schemas.microsoft.com/office/drawing/2012/chart">
                  <c:ext xmlns:c16="http://schemas.microsoft.com/office/drawing/2014/chart" uri="{C3380CC4-5D6E-409C-BE32-E72D297353CC}">
                    <c16:uniqueId val="{00000007-3A03-4FAB-AD91-215D527B0EBE}"/>
                  </c:ext>
                </c:extLst>
              </c15:ser>
            </c15:filteredLineSeries>
            <c15:filteredLineSeries>
              <c15:ser>
                <c:idx val="1"/>
                <c:order val="6"/>
                <c:tx>
                  <c:strRef>
                    <c:extLst xmlns:c15="http://schemas.microsoft.com/office/drawing/2012/chart">
                      <c:ext xmlns:c15="http://schemas.microsoft.com/office/drawing/2012/chart" uri="{02D57815-91ED-43cb-92C2-25804820EDAC}">
                        <c15:formulaRef>
                          <c15:sqref>'US-GT-8001-2'!$AC$3</c15:sqref>
                        </c15:formulaRef>
                      </c:ext>
                    </c:extLst>
                    <c:strCache>
                      <c:ptCount val="1"/>
                      <c:pt idx="0">
                        <c:v>Alarma Vib</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'US-GT-8001-2'!$A$41:$A$71</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'US-GT-8001-2'!$AC$6:$AC$35</c15:sqref>
                        </c15:formulaRef>
                      </c:ext>
                    </c:extLst>
                    <c:numCache>
                      <c:formatCode>General</c:formatCode>
                      <c:ptCount val="30"/>
                      <c:pt idx="0">
                        <c:v>13</c:v>
                      </c:pt>
                      <c:pt idx="1">
                        <c:v>13</c:v>
                      </c:pt>
                      <c:pt idx="2" formatCode="0">
                        <c:v>13</c:v>
                      </c:pt>
                      <c:pt idx="3" formatCode="0">
                        <c:v>13</c:v>
                      </c:pt>
                      <c:pt idx="4" formatCode="0">
                        <c:v>13</c:v>
                      </c:pt>
                      <c:pt idx="5" formatCode="0">
                        <c:v>13</c:v>
                      </c:pt>
                      <c:pt idx="6" formatCode="0">
                        <c:v>13</c:v>
                      </c:pt>
                      <c:pt idx="7" formatCode="0">
                        <c:v>13</c:v>
                      </c:pt>
                      <c:pt idx="8" formatCode="0">
                        <c:v>13</c:v>
                      </c:pt>
                      <c:pt idx="9" formatCode="0">
                        <c:v>13</c:v>
                      </c:pt>
                      <c:pt idx="10" formatCode="0">
                        <c:v>13</c:v>
                      </c:pt>
                      <c:pt idx="11" formatCode="0">
                        <c:v>13</c:v>
                      </c:pt>
                      <c:pt idx="12" formatCode="0">
                        <c:v>13</c:v>
                      </c:pt>
                      <c:pt idx="13" formatCode="0">
                        <c:v>13</c:v>
                      </c:pt>
                      <c:pt idx="14" formatCode="0">
                        <c:v>13</c:v>
                      </c:pt>
                      <c:pt idx="15" formatCode="0">
                        <c:v>13</c:v>
                      </c:pt>
                      <c:pt idx="16" formatCode="0">
                        <c:v>13</c:v>
                      </c:pt>
                      <c:pt idx="17" formatCode="0">
                        <c:v>13</c:v>
                      </c:pt>
                      <c:pt idx="18" formatCode="0">
                        <c:v>13</c:v>
                      </c:pt>
                      <c:pt idx="19" formatCode="0">
                        <c:v>13</c:v>
                      </c:pt>
                      <c:pt idx="20" formatCode="0">
                        <c:v>13</c:v>
                      </c:pt>
                      <c:pt idx="21" formatCode="0">
                        <c:v>13</c:v>
                      </c:pt>
                      <c:pt idx="22" formatCode="0">
                        <c:v>13</c:v>
                      </c:pt>
                      <c:pt idx="23" formatCode="0">
                        <c:v>13</c:v>
                      </c:pt>
                      <c:pt idx="24" formatCode="0">
                        <c:v>13</c:v>
                      </c:pt>
                      <c:pt idx="25" formatCode="0">
                        <c:v>13</c:v>
                      </c:pt>
                      <c:pt idx="26" formatCode="0">
                        <c:v>13</c:v>
                      </c:pt>
                      <c:pt idx="27" formatCode="0">
                        <c:v>13</c:v>
                      </c:pt>
                      <c:pt idx="28" formatCode="0">
                        <c:v>13</c:v>
                      </c:pt>
                      <c:pt idx="29" formatCode="0">
                        <c:v>13</c:v>
                      </c:pt>
                    </c:numCache>
                  </c:numRef>
                </c:val>
                <c:smooth val="0"/>
                <c:extLst xmlns:c15="http://schemas.microsoft.com/office/drawing/2012/chart">
                  <c:ext xmlns:c16="http://schemas.microsoft.com/office/drawing/2014/chart" uri="{C3380CC4-5D6E-409C-BE32-E72D297353CC}">
                    <c16:uniqueId val="{00000009-3A03-4FAB-AD91-215D527B0EBE}"/>
                  </c:ext>
                </c:extLst>
              </c15:ser>
            </c15:filteredLineSeries>
            <c15:filteredLineSeries>
              <c15:ser>
                <c:idx val="2"/>
                <c:order val="7"/>
                <c:tx>
                  <c:strRef>
                    <c:extLst xmlns:c15="http://schemas.microsoft.com/office/drawing/2012/chart">
                      <c:ext xmlns:c15="http://schemas.microsoft.com/office/drawing/2012/chart" uri="{02D57815-91ED-43cb-92C2-25804820EDAC}">
                        <c15:formulaRef>
                          <c15:sqref>'US-GT-8001-2'!$AD$3</c15:sqref>
                        </c15:formulaRef>
                      </c:ext>
                    </c:extLst>
                    <c:strCache>
                      <c:ptCount val="1"/>
                      <c:pt idx="0">
                        <c:v>Trip Vib</c:v>
                      </c:pt>
                    </c:strCache>
                  </c:strRef>
                </c:tx>
                <c:spPr>
                  <a:ln w="19050"/>
                </c:spPr>
                <c:marker>
                  <c:symbol val="none"/>
                </c:marker>
                <c:cat>
                  <c:numRef>
                    <c:extLst xmlns:c15="http://schemas.microsoft.com/office/drawing/2012/chart">
                      <c:ext xmlns:c15="http://schemas.microsoft.com/office/drawing/2012/chart" uri="{02D57815-91ED-43cb-92C2-25804820EDAC}">
                        <c15:formulaRef>
                          <c15:sqref>'US-GT-8001-2'!$A$41:$A$71</c15:sqref>
                        </c15:formulaRef>
                      </c:ext>
                    </c:extLst>
                    <c:numCache>
                      <c:formatCode>dd</c:formatCode>
                      <c:ptCount val="30"/>
                      <c:pt idx="0">
                        <c:v>45231</c:v>
                      </c:pt>
                      <c:pt idx="1">
                        <c:v>45232</c:v>
                      </c:pt>
                      <c:pt idx="2">
                        <c:v>45233</c:v>
                      </c:pt>
                      <c:pt idx="3">
                        <c:v>45234</c:v>
                      </c:pt>
                      <c:pt idx="4">
                        <c:v>45235</c:v>
                      </c:pt>
                      <c:pt idx="5">
                        <c:v>45236</c:v>
                      </c:pt>
                      <c:pt idx="6">
                        <c:v>45237</c:v>
                      </c:pt>
                      <c:pt idx="7">
                        <c:v>45238</c:v>
                      </c:pt>
                      <c:pt idx="8">
                        <c:v>45239</c:v>
                      </c:pt>
                      <c:pt idx="9">
                        <c:v>45240</c:v>
                      </c:pt>
                      <c:pt idx="10">
                        <c:v>45241</c:v>
                      </c:pt>
                      <c:pt idx="11">
                        <c:v>45242</c:v>
                      </c:pt>
                      <c:pt idx="12">
                        <c:v>45243</c:v>
                      </c:pt>
                      <c:pt idx="13">
                        <c:v>45244</c:v>
                      </c:pt>
                      <c:pt idx="14">
                        <c:v>45245</c:v>
                      </c:pt>
                      <c:pt idx="15">
                        <c:v>45246</c:v>
                      </c:pt>
                      <c:pt idx="16">
                        <c:v>45247</c:v>
                      </c:pt>
                      <c:pt idx="17">
                        <c:v>45248</c:v>
                      </c:pt>
                      <c:pt idx="18">
                        <c:v>45249</c:v>
                      </c:pt>
                      <c:pt idx="19">
                        <c:v>45250</c:v>
                      </c:pt>
                      <c:pt idx="20">
                        <c:v>45251</c:v>
                      </c:pt>
                      <c:pt idx="21">
                        <c:v>45252</c:v>
                      </c:pt>
                      <c:pt idx="22">
                        <c:v>45253</c:v>
                      </c:pt>
                      <c:pt idx="23">
                        <c:v>45254</c:v>
                      </c:pt>
                      <c:pt idx="24">
                        <c:v>45255</c:v>
                      </c:pt>
                      <c:pt idx="25">
                        <c:v>45256</c:v>
                      </c:pt>
                      <c:pt idx="26">
                        <c:v>45257</c:v>
                      </c:pt>
                      <c:pt idx="27">
                        <c:v>45258</c:v>
                      </c:pt>
                      <c:pt idx="28">
                        <c:v>45259</c:v>
                      </c:pt>
                      <c:pt idx="29">
                        <c:v>45260</c:v>
                      </c:pt>
                    </c:numCache>
                  </c:numRef>
                </c:cat>
                <c:val>
                  <c:numRef>
                    <c:extLst xmlns:c15="http://schemas.microsoft.com/office/drawing/2012/chart">
                      <c:ext xmlns:c15="http://schemas.microsoft.com/office/drawing/2012/chart" uri="{02D57815-91ED-43cb-92C2-25804820EDAC}">
                        <c15:formulaRef>
                          <c15:sqref>'US-GT-8001-2'!$AD$6:$AD$35</c15:sqref>
                        </c15:formulaRef>
                      </c:ext>
                    </c:extLst>
                    <c:numCache>
                      <c:formatCode>General</c:formatCode>
                      <c:ptCount val="30"/>
                      <c:pt idx="0">
                        <c:v>25</c:v>
                      </c:pt>
                      <c:pt idx="1">
                        <c:v>25</c:v>
                      </c:pt>
                      <c:pt idx="2" formatCode="0">
                        <c:v>25</c:v>
                      </c:pt>
                      <c:pt idx="3" formatCode="0">
                        <c:v>25</c:v>
                      </c:pt>
                      <c:pt idx="4" formatCode="0">
                        <c:v>25</c:v>
                      </c:pt>
                      <c:pt idx="5" formatCode="0">
                        <c:v>25</c:v>
                      </c:pt>
                      <c:pt idx="6" formatCode="0">
                        <c:v>25</c:v>
                      </c:pt>
                      <c:pt idx="7" formatCode="0">
                        <c:v>25</c:v>
                      </c:pt>
                      <c:pt idx="8" formatCode="0">
                        <c:v>25</c:v>
                      </c:pt>
                      <c:pt idx="9" formatCode="0">
                        <c:v>25</c:v>
                      </c:pt>
                      <c:pt idx="10" formatCode="0">
                        <c:v>25</c:v>
                      </c:pt>
                      <c:pt idx="11" formatCode="0">
                        <c:v>25</c:v>
                      </c:pt>
                      <c:pt idx="12" formatCode="0">
                        <c:v>25</c:v>
                      </c:pt>
                      <c:pt idx="13" formatCode="0">
                        <c:v>25</c:v>
                      </c:pt>
                      <c:pt idx="14" formatCode="0">
                        <c:v>25</c:v>
                      </c:pt>
                      <c:pt idx="15" formatCode="0">
                        <c:v>25</c:v>
                      </c:pt>
                      <c:pt idx="16" formatCode="0">
                        <c:v>25</c:v>
                      </c:pt>
                      <c:pt idx="17" formatCode="0">
                        <c:v>25</c:v>
                      </c:pt>
                      <c:pt idx="18" formatCode="0">
                        <c:v>25</c:v>
                      </c:pt>
                      <c:pt idx="19" formatCode="0">
                        <c:v>25</c:v>
                      </c:pt>
                      <c:pt idx="20" formatCode="0">
                        <c:v>25</c:v>
                      </c:pt>
                      <c:pt idx="21" formatCode="0">
                        <c:v>25</c:v>
                      </c:pt>
                      <c:pt idx="22" formatCode="0">
                        <c:v>25</c:v>
                      </c:pt>
                      <c:pt idx="23" formatCode="0">
                        <c:v>25</c:v>
                      </c:pt>
                      <c:pt idx="24" formatCode="0">
                        <c:v>25</c:v>
                      </c:pt>
                      <c:pt idx="25" formatCode="0">
                        <c:v>25</c:v>
                      </c:pt>
                      <c:pt idx="26" formatCode="0">
                        <c:v>25</c:v>
                      </c:pt>
                      <c:pt idx="27" formatCode="0">
                        <c:v>25</c:v>
                      </c:pt>
                      <c:pt idx="28" formatCode="0">
                        <c:v>25</c:v>
                      </c:pt>
                      <c:pt idx="29" formatCode="0">
                        <c:v>25</c:v>
                      </c:pt>
                    </c:numCache>
                  </c:numRef>
                </c:val>
                <c:smooth val="0"/>
                <c:extLst xmlns:c15="http://schemas.microsoft.com/office/drawing/2012/chart">
                  <c:ext xmlns:c16="http://schemas.microsoft.com/office/drawing/2014/chart" uri="{C3380CC4-5D6E-409C-BE32-E72D297353CC}">
                    <c16:uniqueId val="{0000000B-3A03-4FAB-AD91-215D527B0EBE}"/>
                  </c:ext>
                </c:extLst>
              </c15:ser>
            </c15:filteredLineSeries>
          </c:ext>
        </c:extLst>
      </c:lineChart>
      <c:dateAx>
        <c:axId val="110782336"/>
        <c:scaling>
          <c:orientation val="minMax"/>
          <c:min val="45078"/>
        </c:scaling>
        <c:delete val="0"/>
        <c:axPos val="b"/>
        <c:numFmt formatCode="dd" sourceLinked="1"/>
        <c:majorTickMark val="out"/>
        <c:minorTickMark val="none"/>
        <c:tickLblPos val="nextTo"/>
        <c:crossAx val="110783872"/>
        <c:crosses val="autoZero"/>
        <c:auto val="0"/>
        <c:lblOffset val="100"/>
        <c:baseTimeUnit val="days"/>
      </c:dateAx>
      <c:valAx>
        <c:axId val="110783872"/>
        <c:scaling>
          <c:orientation val="minMax"/>
          <c:max val="380"/>
          <c:min val="0"/>
        </c:scaling>
        <c:delete val="0"/>
        <c:axPos val="l"/>
        <c:majorGridlines>
          <c:spPr>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c:spPr>
        </c:majorGridlines>
        <c:numFmt formatCode="0.0" sourceLinked="1"/>
        <c:majorTickMark val="out"/>
        <c:minorTickMark val="none"/>
        <c:tickLblPos val="nextTo"/>
        <c:crossAx val="110782336"/>
        <c:crosses val="autoZero"/>
        <c:crossBetween val="between"/>
      </c:valAx>
    </c:plotArea>
    <c:legend>
      <c:legendPos val="b"/>
      <c:layout>
        <c:manualLayout>
          <c:xMode val="edge"/>
          <c:yMode val="edge"/>
          <c:x val="8.6175714877745543E-2"/>
          <c:y val="0.93031643613141579"/>
          <c:w val="0.81381710180964217"/>
          <c:h val="6.9683563868584167E-2"/>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GENERACIÓN GTA28 A GAS</a:t>
            </a:r>
          </a:p>
        </c:rich>
      </c:tx>
      <c:overlay val="0"/>
    </c:title>
    <c:autoTitleDeleted val="0"/>
    <c:plotArea>
      <c:layout/>
      <c:lineChart>
        <c:grouping val="standard"/>
        <c:varyColors val="0"/>
        <c:ser>
          <c:idx val="0"/>
          <c:order val="0"/>
          <c:tx>
            <c:strRef>
              <c:f>'FAC  NW'!$C$9</c:f>
              <c:strCache>
                <c:ptCount val="1"/>
                <c:pt idx="0">
                  <c:v>Mwh</c:v>
                </c:pt>
              </c:strCache>
            </c:strRef>
          </c:tx>
          <c:marker>
            <c:symbol val="none"/>
          </c:marker>
          <c:cat>
            <c:numRef>
              <c:extLst>
                <c:ext xmlns:c16="http://schemas.microsoft.com/office/drawing/2014/chart" uri="{F5D05F6E-A05E-4728-AFD3-386EB277150F}">
                  <c16:filteredLitCache>
                    <c:numCache>
                      <c:formatCode>General</c:formatCode>
                      <c:ptCount val="1"/>
                      <c:pt idx="30">
                        <c:v>31</c:v>
                      </c:pt>
                    </c:numCache>
                  </c16:filteredLitCache>
                </c:ext>
              </c:extLst>
              <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extLst>
                <c:ext xmlns:c15="http://schemas.microsoft.com/office/drawing/2012/chart" uri="{02D57815-91ED-43cb-92C2-25804820EDAC}">
                  <c15:fullRef>
                    <c15:sqref>'FAC  NW'!$C$10:$C$40</c15:sqref>
                  </c15:fullRef>
                </c:ext>
              </c:extLst>
              <c:f>'FAC  NW'!$C$10:$C$39</c:f>
              <c:numCache>
                <c:formatCode>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BE4E-44CF-BB57-FB3DD76CFF04}"/>
            </c:ext>
          </c:extLst>
        </c:ser>
        <c:dLbls>
          <c:showLegendKey val="0"/>
          <c:showVal val="0"/>
          <c:showCatName val="0"/>
          <c:showSerName val="0"/>
          <c:showPercent val="0"/>
          <c:showBubbleSize val="0"/>
        </c:dLbls>
        <c:smooth val="0"/>
        <c:axId val="110269952"/>
        <c:axId val="110271488"/>
      </c:lineChart>
      <c:catAx>
        <c:axId val="110269952"/>
        <c:scaling>
          <c:orientation val="minMax"/>
        </c:scaling>
        <c:delete val="0"/>
        <c:axPos val="b"/>
        <c:numFmt formatCode="General" sourceLinked="1"/>
        <c:majorTickMark val="none"/>
        <c:minorTickMark val="none"/>
        <c:tickLblPos val="nextTo"/>
        <c:crossAx val="110271488"/>
        <c:crosses val="autoZero"/>
        <c:auto val="1"/>
        <c:lblAlgn val="ctr"/>
        <c:lblOffset val="100"/>
        <c:noMultiLvlLbl val="0"/>
      </c:catAx>
      <c:valAx>
        <c:axId val="110271488"/>
        <c:scaling>
          <c:orientation val="minMax"/>
        </c:scaling>
        <c:delete val="0"/>
        <c:axPos val="l"/>
        <c:title>
          <c:tx>
            <c:rich>
              <a:bodyPr/>
              <a:lstStyle/>
              <a:p>
                <a:pPr>
                  <a:defRPr/>
                </a:pPr>
                <a:r>
                  <a:rPr lang="es-ES"/>
                  <a:t>MWH</a:t>
                </a:r>
              </a:p>
            </c:rich>
          </c:tx>
          <c:overlay val="0"/>
        </c:title>
        <c:numFmt formatCode="0.00" sourceLinked="1"/>
        <c:majorTickMark val="none"/>
        <c:minorTickMark val="none"/>
        <c:tickLblPos val="nextTo"/>
        <c:crossAx val="110269952"/>
        <c:crosses val="autoZero"/>
        <c:crossBetween val="between"/>
      </c:valAx>
      <c:dTable>
        <c:showHorzBorder val="1"/>
        <c:showVertBorder val="1"/>
        <c:showOutline val="1"/>
        <c:showKeys val="1"/>
        <c:txPr>
          <a:bodyPr/>
          <a:lstStyle/>
          <a:p>
            <a:pPr rtl="0">
              <a:defRPr sz="800"/>
            </a:pPr>
            <a:endParaRPr lang="es-CO"/>
          </a:p>
        </c:txPr>
      </c:dTable>
      <c:spPr>
        <a:ln>
          <a:gradFill>
            <a:gsLst>
              <a:gs pos="0">
                <a:schemeClr val="accent1">
                  <a:tint val="66000"/>
                  <a:satMod val="160000"/>
                </a:schemeClr>
              </a:gs>
              <a:gs pos="100000">
                <a:schemeClr val="accent1">
                  <a:tint val="44500"/>
                  <a:satMod val="160000"/>
                </a:schemeClr>
              </a:gs>
              <a:gs pos="100000">
                <a:schemeClr val="accent1">
                  <a:tint val="23500"/>
                  <a:satMod val="160000"/>
                </a:schemeClr>
              </a:gs>
            </a:gsLst>
            <a:lin ang="5400000" scaled="0"/>
          </a:gradFill>
        </a:ln>
      </c:spPr>
    </c:plotArea>
    <c:plotVisOnly val="1"/>
    <c:dispBlanksAs val="gap"/>
    <c:showDLblsOverMax val="0"/>
  </c:chart>
  <c:spPr>
    <a:effectLst>
      <a:innerShdw blurRad="114300">
        <a:prstClr val="black"/>
      </a:innerShdw>
    </a:effectLst>
  </c:spPr>
  <c:printSettings>
    <c:headerFooter/>
    <c:pageMargins b="0.75000000000001465" l="0.70000000000000062" r="0.70000000000000062" t="0.75000000000001465"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GENERACIÓN G-0102 A DIESEL</a:t>
            </a:r>
          </a:p>
        </c:rich>
      </c:tx>
      <c:overlay val="0"/>
    </c:title>
    <c:autoTitleDeleted val="0"/>
    <c:plotArea>
      <c:layout/>
      <c:lineChart>
        <c:grouping val="standard"/>
        <c:varyColors val="0"/>
        <c:ser>
          <c:idx val="0"/>
          <c:order val="0"/>
          <c:tx>
            <c:strRef>
              <c:f>'FAC  NW'!$F$8:$H$8</c:f>
              <c:strCache>
                <c:ptCount val="1"/>
                <c:pt idx="0">
                  <c:v>DIESEL  [GEN. 0102]</c:v>
                </c:pt>
              </c:strCache>
            </c:strRef>
          </c:tx>
          <c:marker>
            <c:symbol val="none"/>
          </c:marker>
          <c:cat>
            <c:strLit>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'FAC  NW'!$F$10:$F$40</c15:sqref>
                  </c15:fullRef>
                </c:ext>
              </c:extLst>
              <c:f>'FAC  NW'!$F$10:$F$39</c:f>
              <c:numCache>
                <c:formatCode>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0-320E-4F8A-A479-B74C4C234C11}"/>
            </c:ext>
          </c:extLst>
        </c:ser>
        <c:dLbls>
          <c:showLegendKey val="0"/>
          <c:showVal val="0"/>
          <c:showCatName val="0"/>
          <c:showSerName val="0"/>
          <c:showPercent val="0"/>
          <c:showBubbleSize val="0"/>
        </c:dLbls>
        <c:smooth val="0"/>
        <c:axId val="110314240"/>
        <c:axId val="110315776"/>
      </c:lineChart>
      <c:catAx>
        <c:axId val="110314240"/>
        <c:scaling>
          <c:orientation val="minMax"/>
        </c:scaling>
        <c:delete val="0"/>
        <c:axPos val="b"/>
        <c:numFmt formatCode="General" sourceLinked="1"/>
        <c:majorTickMark val="none"/>
        <c:minorTickMark val="none"/>
        <c:tickLblPos val="nextTo"/>
        <c:crossAx val="110315776"/>
        <c:crosses val="autoZero"/>
        <c:auto val="1"/>
        <c:lblAlgn val="ctr"/>
        <c:lblOffset val="100"/>
        <c:noMultiLvlLbl val="0"/>
      </c:catAx>
      <c:valAx>
        <c:axId val="110315776"/>
        <c:scaling>
          <c:orientation val="minMax"/>
        </c:scaling>
        <c:delete val="0"/>
        <c:axPos val="l"/>
        <c:title>
          <c:tx>
            <c:rich>
              <a:bodyPr/>
              <a:lstStyle/>
              <a:p>
                <a:pPr>
                  <a:defRPr/>
                </a:pPr>
                <a:r>
                  <a:rPr lang="es-ES"/>
                  <a:t>MWH</a:t>
                </a:r>
              </a:p>
            </c:rich>
          </c:tx>
          <c:overlay val="0"/>
        </c:title>
        <c:numFmt formatCode="0.00" sourceLinked="1"/>
        <c:majorTickMark val="none"/>
        <c:minorTickMark val="none"/>
        <c:tickLblPos val="nextTo"/>
        <c:crossAx val="110314240"/>
        <c:crosses val="autoZero"/>
        <c:crossBetween val="between"/>
      </c:valAx>
      <c:dTable>
        <c:showHorzBorder val="1"/>
        <c:showVertBorder val="1"/>
        <c:showOutline val="1"/>
        <c:showKeys val="1"/>
        <c:txPr>
          <a:bodyPr/>
          <a:lstStyle/>
          <a:p>
            <a:pPr rtl="0">
              <a:defRPr sz="800"/>
            </a:pPr>
            <a:endParaRPr lang="es-CO"/>
          </a:p>
        </c:txPr>
      </c:dTable>
      <c:spPr>
        <a:ln>
          <a:gradFill>
            <a:gsLst>
              <a:gs pos="0">
                <a:schemeClr val="accent1">
                  <a:tint val="66000"/>
                  <a:satMod val="160000"/>
                </a:schemeClr>
              </a:gs>
              <a:gs pos="94000">
                <a:schemeClr val="accent1">
                  <a:tint val="44500"/>
                  <a:satMod val="160000"/>
                </a:schemeClr>
              </a:gs>
              <a:gs pos="100000">
                <a:schemeClr val="accent1">
                  <a:tint val="23500"/>
                  <a:satMod val="160000"/>
                </a:schemeClr>
              </a:gs>
            </a:gsLst>
            <a:lin ang="5400000" scaled="0"/>
          </a:gradFill>
        </a:ln>
      </c:spPr>
    </c:plotArea>
    <c:plotVisOnly val="1"/>
    <c:dispBlanksAs val="gap"/>
    <c:showDLblsOverMax val="0"/>
  </c:chart>
  <c:spPr>
    <a:effectLst>
      <a:innerShdw blurRad="114300">
        <a:prstClr val="black"/>
      </a:innerShdw>
    </a:effectLst>
  </c:spPr>
  <c:printSettings>
    <c:headerFooter/>
    <c:pageMargins b="0.75000000000001465" l="0.70000000000000062" r="0.70000000000000062" t="0.75000000000001465"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200" b="1"/>
              <a:t>INTENSIDAD ENERGÉTICA GDP</a:t>
            </a:r>
          </a:p>
        </c:rich>
      </c:tx>
      <c:overlay val="0"/>
      <c:spPr>
        <a:noFill/>
        <a:ln>
          <a:noFill/>
        </a:ln>
        <a:effectLst/>
      </c:spPr>
    </c:title>
    <c:autoTitleDeleted val="0"/>
    <c:plotArea>
      <c:layout>
        <c:manualLayout>
          <c:layoutTarget val="inner"/>
          <c:xMode val="edge"/>
          <c:yMode val="edge"/>
          <c:x val="0.15705336832895889"/>
          <c:y val="0.16041666666666668"/>
          <c:w val="0.81008508311461058"/>
          <c:h val="0.65247270017173775"/>
        </c:manualLayout>
      </c:layout>
      <c:lineChart>
        <c:grouping val="standard"/>
        <c:varyColors val="0"/>
        <c:ser>
          <c:idx val="0"/>
          <c:order val="0"/>
          <c:tx>
            <c:strRef>
              <c:f>INDICADORES!$H$6</c:f>
              <c:strCache>
                <c:ptCount val="1"/>
                <c:pt idx="0">
                  <c:v>IE_GDP</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F4FC-430D-8C71-6DB660068B12}"/>
                </c:ext>
              </c:extLst>
            </c:dLbl>
            <c:dLbl>
              <c:idx val="1"/>
              <c:delete val="1"/>
              <c:extLst>
                <c:ext xmlns:c15="http://schemas.microsoft.com/office/drawing/2012/chart" uri="{CE6537A1-D6FC-4f65-9D91-7224C49458BB}"/>
                <c:ext xmlns:c16="http://schemas.microsoft.com/office/drawing/2014/chart" uri="{C3380CC4-5D6E-409C-BE32-E72D297353CC}">
                  <c16:uniqueId val="{00000001-F4FC-430D-8C71-6DB660068B12}"/>
                </c:ext>
              </c:extLst>
            </c:dLbl>
            <c:dLbl>
              <c:idx val="2"/>
              <c:delete val="1"/>
              <c:extLst>
                <c:ext xmlns:c15="http://schemas.microsoft.com/office/drawing/2012/chart" uri="{CE6537A1-D6FC-4f65-9D91-7224C49458BB}"/>
                <c:ext xmlns:c16="http://schemas.microsoft.com/office/drawing/2014/chart" uri="{C3380CC4-5D6E-409C-BE32-E72D297353CC}">
                  <c16:uniqueId val="{00000002-F4FC-430D-8C71-6DB660068B12}"/>
                </c:ext>
              </c:extLst>
            </c:dLbl>
            <c:dLbl>
              <c:idx val="3"/>
              <c:delete val="1"/>
              <c:extLst>
                <c:ext xmlns:c15="http://schemas.microsoft.com/office/drawing/2012/chart" uri="{CE6537A1-D6FC-4f65-9D91-7224C49458BB}"/>
                <c:ext xmlns:c16="http://schemas.microsoft.com/office/drawing/2014/chart" uri="{C3380CC4-5D6E-409C-BE32-E72D297353CC}">
                  <c16:uniqueId val="{00000003-F4FC-430D-8C71-6DB660068B12}"/>
                </c:ext>
              </c:extLst>
            </c:dLbl>
            <c:dLbl>
              <c:idx val="4"/>
              <c:layout>
                <c:manualLayout>
                  <c:x val="-3.6111111111111212E-2"/>
                  <c:y val="4.68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4FC-430D-8C71-6DB660068B1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INDICADORES!$B$7:$B$11</c:f>
              <c:strCache>
                <c:ptCount val="5"/>
                <c:pt idx="0">
                  <c:v>ENE</c:v>
                </c:pt>
                <c:pt idx="1">
                  <c:v>FEB</c:v>
                </c:pt>
                <c:pt idx="2">
                  <c:v>MAR</c:v>
                </c:pt>
                <c:pt idx="3">
                  <c:v>ABR</c:v>
                </c:pt>
                <c:pt idx="4">
                  <c:v>MAY</c:v>
                </c:pt>
              </c:strCache>
            </c:strRef>
          </c:cat>
          <c:val>
            <c:numRef>
              <c:f>INDICADORES!$H$7:$H$11</c:f>
              <c:numCache>
                <c:formatCode>0.00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5-F4FC-430D-8C71-6DB660068B12}"/>
            </c:ext>
          </c:extLst>
        </c:ser>
        <c:ser>
          <c:idx val="1"/>
          <c:order val="1"/>
          <c:tx>
            <c:strRef>
              <c:f>INDICADORES!$J$6</c:f>
              <c:strCache>
                <c:ptCount val="1"/>
                <c:pt idx="0">
                  <c:v>IE_META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6-F4FC-430D-8C71-6DB660068B12}"/>
                </c:ext>
              </c:extLst>
            </c:dLbl>
            <c:dLbl>
              <c:idx val="1"/>
              <c:delete val="1"/>
              <c:extLst>
                <c:ext xmlns:c15="http://schemas.microsoft.com/office/drawing/2012/chart" uri="{CE6537A1-D6FC-4f65-9D91-7224C49458BB}"/>
                <c:ext xmlns:c16="http://schemas.microsoft.com/office/drawing/2014/chart" uri="{C3380CC4-5D6E-409C-BE32-E72D297353CC}">
                  <c16:uniqueId val="{00000007-F4FC-430D-8C71-6DB660068B12}"/>
                </c:ext>
              </c:extLst>
            </c:dLbl>
            <c:dLbl>
              <c:idx val="2"/>
              <c:delete val="1"/>
              <c:extLst>
                <c:ext xmlns:c15="http://schemas.microsoft.com/office/drawing/2012/chart" uri="{CE6537A1-D6FC-4f65-9D91-7224C49458BB}"/>
                <c:ext xmlns:c16="http://schemas.microsoft.com/office/drawing/2014/chart" uri="{C3380CC4-5D6E-409C-BE32-E72D297353CC}">
                  <c16:uniqueId val="{00000008-F4FC-430D-8C71-6DB660068B12}"/>
                </c:ext>
              </c:extLst>
            </c:dLbl>
            <c:dLbl>
              <c:idx val="3"/>
              <c:delete val="1"/>
              <c:extLst>
                <c:ext xmlns:c15="http://schemas.microsoft.com/office/drawing/2012/chart" uri="{CE6537A1-D6FC-4f65-9D91-7224C49458BB}"/>
                <c:ext xmlns:c16="http://schemas.microsoft.com/office/drawing/2014/chart" uri="{C3380CC4-5D6E-409C-BE32-E72D297353CC}">
                  <c16:uniqueId val="{00000009-F4FC-430D-8C71-6DB660068B12}"/>
                </c:ext>
              </c:extLst>
            </c:dLbl>
            <c:dLbl>
              <c:idx val="4"/>
              <c:layout>
                <c:manualLayout>
                  <c:x val="-3.6111111111111212E-2"/>
                  <c:y val="-3.1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F4FC-430D-8C71-6DB660068B1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INDICADORES!$B$7:$B$11</c:f>
              <c:strCache>
                <c:ptCount val="5"/>
                <c:pt idx="0">
                  <c:v>ENE</c:v>
                </c:pt>
                <c:pt idx="1">
                  <c:v>FEB</c:v>
                </c:pt>
                <c:pt idx="2">
                  <c:v>MAR</c:v>
                </c:pt>
                <c:pt idx="3">
                  <c:v>ABR</c:v>
                </c:pt>
                <c:pt idx="4">
                  <c:v>MAY</c:v>
                </c:pt>
              </c:strCache>
            </c:strRef>
          </c:cat>
          <c:val>
            <c:numRef>
              <c:f>INDICADORES!$J$7:$J$11</c:f>
              <c:numCache>
                <c:formatCode>General</c:formatCode>
                <c:ptCount val="5"/>
                <c:pt idx="0">
                  <c:v>13</c:v>
                </c:pt>
                <c:pt idx="1">
                  <c:v>13</c:v>
                </c:pt>
                <c:pt idx="2">
                  <c:v>13</c:v>
                </c:pt>
                <c:pt idx="3">
                  <c:v>13</c:v>
                </c:pt>
                <c:pt idx="4">
                  <c:v>13</c:v>
                </c:pt>
              </c:numCache>
            </c:numRef>
          </c:val>
          <c:smooth val="0"/>
          <c:extLst>
            <c:ext xmlns:c16="http://schemas.microsoft.com/office/drawing/2014/chart" uri="{C3380CC4-5D6E-409C-BE32-E72D297353CC}">
              <c16:uniqueId val="{0000000B-F4FC-430D-8C71-6DB660068B12}"/>
            </c:ext>
          </c:extLst>
        </c:ser>
        <c:dLbls>
          <c:showLegendKey val="0"/>
          <c:showVal val="0"/>
          <c:showCatName val="0"/>
          <c:showSerName val="0"/>
          <c:showPercent val="0"/>
          <c:showBubbleSize val="0"/>
        </c:dLbls>
        <c:marker val="1"/>
        <c:smooth val="0"/>
        <c:axId val="113575424"/>
        <c:axId val="113576960"/>
        <c:extLst>
          <c:ext xmlns:c15="http://schemas.microsoft.com/office/drawing/2012/chart" uri="{02D57815-91ED-43cb-92C2-25804820EDAC}">
            <c15:filteredLineSeries>
              <c15:ser>
                <c:idx val="2"/>
                <c:order val="2"/>
                <c:tx>
                  <c:v>IE_CPF CUPIAGUA</c:v>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extLst>
                      <c:ext uri="{02D57815-91ED-43cb-92C2-25804820EDAC}">
                        <c15:formulaRef>
                          <c15:sqref>INDICADORES!$I$7:$I$11</c15:sqref>
                        </c15:formulaRef>
                      </c:ext>
                    </c:extLst>
                    <c:numCache>
                      <c:formatCode>0.00</c:formatCode>
                      <c:ptCount val="5"/>
                      <c:pt idx="0">
                        <c:v>9.5288164118080214</c:v>
                      </c:pt>
                      <c:pt idx="1">
                        <c:v>11.083624940121577</c:v>
                      </c:pt>
                      <c:pt idx="2">
                        <c:v>10.937902659853474</c:v>
                      </c:pt>
                      <c:pt idx="3">
                        <c:v>11.621563291070965</c:v>
                      </c:pt>
                      <c:pt idx="4">
                        <c:v>11.798352662098205</c:v>
                      </c:pt>
                    </c:numCache>
                  </c:numRef>
                </c:val>
                <c:smooth val="0"/>
                <c:extLst>
                  <c:ext xmlns:c16="http://schemas.microsoft.com/office/drawing/2014/chart" uri="{C3380CC4-5D6E-409C-BE32-E72D297353CC}">
                    <c16:uniqueId val="{0000000C-F4FC-430D-8C71-6DB660068B12}"/>
                  </c:ext>
                </c:extLst>
              </c15:ser>
            </c15:filteredLineSeries>
          </c:ext>
        </c:extLst>
      </c:lineChart>
      <c:catAx>
        <c:axId val="113575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3576960"/>
        <c:crosses val="autoZero"/>
        <c:auto val="1"/>
        <c:lblAlgn val="ctr"/>
        <c:lblOffset val="100"/>
        <c:noMultiLvlLbl val="0"/>
      </c:catAx>
      <c:valAx>
        <c:axId val="113576960"/>
        <c:scaling>
          <c:orientation val="minMax"/>
          <c:min val="9"/>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KWh/BEPD</a:t>
                </a:r>
              </a:p>
            </c:rich>
          </c:tx>
          <c:overlay val="0"/>
          <c:spPr>
            <a:noFill/>
            <a:ln>
              <a:noFill/>
            </a:ln>
            <a:effectLst/>
          </c:sp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3575424"/>
        <c:crosses val="autoZero"/>
        <c:crossBetween val="between"/>
      </c:valAx>
      <c:spPr>
        <a:noFill/>
        <a:ln>
          <a:noFill/>
        </a:ln>
        <a:effectLst/>
      </c:spPr>
    </c:plotArea>
    <c:legend>
      <c:legendPos val="r"/>
      <c:layout>
        <c:manualLayout>
          <c:xMode val="edge"/>
          <c:yMode val="edge"/>
          <c:x val="0.13658289588801401"/>
          <c:y val="0.91947808993011682"/>
          <c:w val="0.77175043744531924"/>
          <c:h val="7.7547389909594616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HEAT</a:t>
            </a:r>
            <a:r>
              <a:rPr lang="es-CO" baseline="0"/>
              <a:t>  RATE - GT1</a:t>
            </a:r>
            <a:endParaRPr lang="es-CO"/>
          </a:p>
        </c:rich>
      </c:tx>
      <c:overlay val="0"/>
      <c:spPr>
        <a:noFill/>
        <a:ln>
          <a:noFill/>
        </a:ln>
        <a:effectLst/>
      </c:spPr>
    </c:title>
    <c:autoTitleDeleted val="0"/>
    <c:plotArea>
      <c:layout/>
      <c:lineChart>
        <c:grouping val="standard"/>
        <c:varyColors val="0"/>
        <c:ser>
          <c:idx val="1"/>
          <c:order val="0"/>
          <c:tx>
            <c:strRef>
              <c:f>INDICADORES!$J$24</c:f>
              <c:strCache>
                <c:ptCount val="1"/>
                <c:pt idx="0">
                  <c:v>Meta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'[10]Heat rate'!$B$21:$B$25</c:f>
              <c:strCache>
                <c:ptCount val="5"/>
                <c:pt idx="0">
                  <c:v>ENE</c:v>
                </c:pt>
                <c:pt idx="1">
                  <c:v>FEB.</c:v>
                </c:pt>
                <c:pt idx="2">
                  <c:v>MAR.</c:v>
                </c:pt>
                <c:pt idx="3">
                  <c:v>ABR.</c:v>
                </c:pt>
                <c:pt idx="4">
                  <c:v>MAY.</c:v>
                </c:pt>
              </c:strCache>
            </c:strRef>
          </c:cat>
          <c:val>
            <c:numRef>
              <c:f>INDICADORES!$J$26:$J$31</c:f>
              <c:numCache>
                <c:formatCode>General</c:formatCode>
                <c:ptCount val="6"/>
                <c:pt idx="0">
                  <c:v>17800</c:v>
                </c:pt>
                <c:pt idx="1">
                  <c:v>17800</c:v>
                </c:pt>
                <c:pt idx="2">
                  <c:v>17800</c:v>
                </c:pt>
                <c:pt idx="3">
                  <c:v>17800</c:v>
                </c:pt>
                <c:pt idx="4">
                  <c:v>17800</c:v>
                </c:pt>
                <c:pt idx="5">
                  <c:v>17800</c:v>
                </c:pt>
              </c:numCache>
            </c:numRef>
          </c:val>
          <c:smooth val="0"/>
          <c:extLst>
            <c:ext xmlns:c16="http://schemas.microsoft.com/office/drawing/2014/chart" uri="{C3380CC4-5D6E-409C-BE32-E72D297353CC}">
              <c16:uniqueId val="{00000000-64CC-4477-9A8C-B4736C4C6077}"/>
            </c:ext>
          </c:extLst>
        </c:ser>
        <c:ser>
          <c:idx val="0"/>
          <c:order val="1"/>
          <c:tx>
            <c:strRef>
              <c:f>INDICADORES!$E$25</c:f>
              <c:strCache>
                <c:ptCount val="1"/>
                <c:pt idx="0">
                  <c:v>Heat rate GT1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'[10]Heat rate'!$B$21:$B$25</c:f>
              <c:strCache>
                <c:ptCount val="5"/>
                <c:pt idx="0">
                  <c:v>ENE</c:v>
                </c:pt>
                <c:pt idx="1">
                  <c:v>FEB.</c:v>
                </c:pt>
                <c:pt idx="2">
                  <c:v>MAR.</c:v>
                </c:pt>
                <c:pt idx="3">
                  <c:v>ABR.</c:v>
                </c:pt>
                <c:pt idx="4">
                  <c:v>MAY.</c:v>
                </c:pt>
              </c:strCache>
            </c:strRef>
          </c:cat>
          <c:val>
            <c:numRef>
              <c:f>INDICADORES!$E$26:$E$31</c:f>
              <c:numCache>
                <c:formatCode>0</c:formatCode>
                <c:ptCount val="6"/>
                <c:pt idx="0">
                  <c:v>19257.635456532502</c:v>
                </c:pt>
                <c:pt idx="1">
                  <c:v>14719.620763419984</c:v>
                </c:pt>
                <c:pt idx="2">
                  <c:v>14663.107519215522</c:v>
                </c:pt>
                <c:pt idx="3">
                  <c:v>14198.130111091508</c:v>
                </c:pt>
                <c:pt idx="4">
                  <c:v>17079.389297868187</c:v>
                </c:pt>
                <c:pt idx="5">
                  <c:v>16356.956875510896</c:v>
                </c:pt>
              </c:numCache>
            </c:numRef>
          </c:val>
          <c:smooth val="0"/>
          <c:extLst>
            <c:ext xmlns:c16="http://schemas.microsoft.com/office/drawing/2014/chart" uri="{C3380CC4-5D6E-409C-BE32-E72D297353CC}">
              <c16:uniqueId val="{00000001-64CC-4477-9A8C-B4736C4C6077}"/>
            </c:ext>
          </c:extLst>
        </c:ser>
        <c:dLbls>
          <c:showLegendKey val="0"/>
          <c:showVal val="0"/>
          <c:showCatName val="0"/>
          <c:showSerName val="0"/>
          <c:showPercent val="0"/>
          <c:showBubbleSize val="0"/>
        </c:dLbls>
        <c:marker val="1"/>
        <c:smooth val="0"/>
        <c:axId val="113627136"/>
        <c:axId val="113629056"/>
      </c:lineChart>
      <c:catAx>
        <c:axId val="113627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3629056"/>
        <c:crosses val="autoZero"/>
        <c:auto val="1"/>
        <c:lblAlgn val="ctr"/>
        <c:lblOffset val="100"/>
        <c:noMultiLvlLbl val="0"/>
      </c:catAx>
      <c:valAx>
        <c:axId val="113629056"/>
        <c:scaling>
          <c:orientation val="minMax"/>
          <c:min val="12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3627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HEAT</a:t>
            </a:r>
            <a:r>
              <a:rPr lang="es-CO" baseline="0"/>
              <a:t>  RATE - GT2</a:t>
            </a:r>
            <a:endParaRPr lang="es-CO"/>
          </a:p>
        </c:rich>
      </c:tx>
      <c:overlay val="0"/>
      <c:spPr>
        <a:noFill/>
        <a:ln>
          <a:noFill/>
        </a:ln>
        <a:effectLst/>
      </c:spPr>
    </c:title>
    <c:autoTitleDeleted val="0"/>
    <c:plotArea>
      <c:layout/>
      <c:lineChart>
        <c:grouping val="standard"/>
        <c:varyColors val="0"/>
        <c:ser>
          <c:idx val="1"/>
          <c:order val="0"/>
          <c:tx>
            <c:strRef>
              <c:f>INDICADORES!$J$24</c:f>
              <c:strCache>
                <c:ptCount val="1"/>
                <c:pt idx="0">
                  <c:v>Meta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INDICADORES!$B$26:$B$31</c:f>
              <c:strCache>
                <c:ptCount val="6"/>
                <c:pt idx="0">
                  <c:v>ENE</c:v>
                </c:pt>
                <c:pt idx="1">
                  <c:v>FEB</c:v>
                </c:pt>
                <c:pt idx="2">
                  <c:v>MAR</c:v>
                </c:pt>
                <c:pt idx="3">
                  <c:v>ABR</c:v>
                </c:pt>
                <c:pt idx="4">
                  <c:v>MAY</c:v>
                </c:pt>
                <c:pt idx="5">
                  <c:v>JUN</c:v>
                </c:pt>
              </c:strCache>
            </c:strRef>
          </c:cat>
          <c:val>
            <c:numRef>
              <c:f>INDICADORES!$H$26:$H$31</c:f>
              <c:numCache>
                <c:formatCode>0</c:formatCode>
                <c:ptCount val="6"/>
                <c:pt idx="0">
                  <c:v>15727.254280442019</c:v>
                </c:pt>
                <c:pt idx="1">
                  <c:v>22086.208766542994</c:v>
                </c:pt>
                <c:pt idx="2">
                  <c:v>21532.787451380816</c:v>
                </c:pt>
                <c:pt idx="3">
                  <c:v>22856.044678075454</c:v>
                </c:pt>
                <c:pt idx="4">
                  <c:v>17993.272738642354</c:v>
                </c:pt>
                <c:pt idx="5">
                  <c:v>20756.245413712775</c:v>
                </c:pt>
              </c:numCache>
            </c:numRef>
          </c:val>
          <c:smooth val="0"/>
          <c:extLst>
            <c:ext xmlns:c16="http://schemas.microsoft.com/office/drawing/2014/chart" uri="{C3380CC4-5D6E-409C-BE32-E72D297353CC}">
              <c16:uniqueId val="{00000000-EC17-40C8-A95C-4A3047EF4B20}"/>
            </c:ext>
          </c:extLst>
        </c:ser>
        <c:ser>
          <c:idx val="0"/>
          <c:order val="1"/>
          <c:tx>
            <c:strRef>
              <c:f>INDICADORES!$H$25</c:f>
              <c:strCache>
                <c:ptCount val="1"/>
                <c:pt idx="0">
                  <c:v>Heat rate GT2</c:v>
                </c:pt>
              </c:strCache>
            </c:strRef>
          </c:tx>
          <c:cat>
            <c:strRef>
              <c:f>INDICADORES!$B$26:$B$31</c:f>
              <c:strCache>
                <c:ptCount val="6"/>
                <c:pt idx="0">
                  <c:v>ENE</c:v>
                </c:pt>
                <c:pt idx="1">
                  <c:v>FEB</c:v>
                </c:pt>
                <c:pt idx="2">
                  <c:v>MAR</c:v>
                </c:pt>
                <c:pt idx="3">
                  <c:v>ABR</c:v>
                </c:pt>
                <c:pt idx="4">
                  <c:v>MAY</c:v>
                </c:pt>
                <c:pt idx="5">
                  <c:v>JUN</c:v>
                </c:pt>
              </c:strCache>
            </c:strRef>
          </c:cat>
          <c:val>
            <c:numRef>
              <c:f>INDICADORES!$J$26:$J$31</c:f>
              <c:numCache>
                <c:formatCode>General</c:formatCode>
                <c:ptCount val="6"/>
                <c:pt idx="0">
                  <c:v>17800</c:v>
                </c:pt>
                <c:pt idx="1">
                  <c:v>17800</c:v>
                </c:pt>
                <c:pt idx="2">
                  <c:v>17800</c:v>
                </c:pt>
                <c:pt idx="3">
                  <c:v>17800</c:v>
                </c:pt>
                <c:pt idx="4">
                  <c:v>17800</c:v>
                </c:pt>
                <c:pt idx="5">
                  <c:v>17800</c:v>
                </c:pt>
              </c:numCache>
            </c:numRef>
          </c:val>
          <c:smooth val="0"/>
          <c:extLst>
            <c:ext xmlns:c16="http://schemas.microsoft.com/office/drawing/2014/chart" uri="{C3380CC4-5D6E-409C-BE32-E72D297353CC}">
              <c16:uniqueId val="{00000001-EC17-40C8-A95C-4A3047EF4B20}"/>
            </c:ext>
          </c:extLst>
        </c:ser>
        <c:dLbls>
          <c:showLegendKey val="0"/>
          <c:showVal val="0"/>
          <c:showCatName val="0"/>
          <c:showSerName val="0"/>
          <c:showPercent val="0"/>
          <c:showBubbleSize val="0"/>
        </c:dLbls>
        <c:marker val="1"/>
        <c:smooth val="0"/>
        <c:axId val="116230400"/>
        <c:axId val="115568640"/>
      </c:lineChart>
      <c:catAx>
        <c:axId val="116230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5568640"/>
        <c:crosses val="autoZero"/>
        <c:auto val="1"/>
        <c:lblAlgn val="ctr"/>
        <c:lblOffset val="100"/>
        <c:noMultiLvlLbl val="0"/>
      </c:catAx>
      <c:valAx>
        <c:axId val="115568640"/>
        <c:scaling>
          <c:orientation val="minMax"/>
          <c:max val="22000"/>
          <c:min val="12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6230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0877635393615"/>
          <c:y val="7.4666666666666673E-2"/>
          <c:w val="0.85995871431103788"/>
          <c:h val="0.69027527559055113"/>
        </c:manualLayout>
      </c:layout>
      <c:lineChart>
        <c:grouping val="standard"/>
        <c:varyColors val="0"/>
        <c:ser>
          <c:idx val="0"/>
          <c:order val="0"/>
          <c:tx>
            <c:strRef>
              <c:f>INDICADORES!$F$48</c:f>
              <c:strCache>
                <c:ptCount val="1"/>
                <c:pt idx="0">
                  <c:v>Factor de producción G1</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INDICADORES!$F$49:$F$54</c:f>
              <c:numCache>
                <c:formatCode>0.00%</c:formatCode>
                <c:ptCount val="6"/>
                <c:pt idx="0">
                  <c:v>0.36102793640993774</c:v>
                </c:pt>
                <c:pt idx="1">
                  <c:v>0.57873091820460476</c:v>
                </c:pt>
                <c:pt idx="2">
                  <c:v>0.58026187168801568</c:v>
                </c:pt>
                <c:pt idx="3">
                  <c:v>0.62355226506377526</c:v>
                </c:pt>
                <c:pt idx="4">
                  <c:v>0.45200202155090308</c:v>
                </c:pt>
                <c:pt idx="5">
                  <c:v>0.52793234981392889</c:v>
                </c:pt>
              </c:numCache>
            </c:numRef>
          </c:val>
          <c:smooth val="0"/>
          <c:extLst>
            <c:ext xmlns:c16="http://schemas.microsoft.com/office/drawing/2014/chart" uri="{C3380CC4-5D6E-409C-BE32-E72D297353CC}">
              <c16:uniqueId val="{00000000-8009-4D76-9488-EAB64675F33E}"/>
            </c:ext>
          </c:extLst>
        </c:ser>
        <c:ser>
          <c:idx val="1"/>
          <c:order val="1"/>
          <c:tx>
            <c:strRef>
              <c:f>INDICADORES!$J$48</c:f>
              <c:strCache>
                <c:ptCount val="1"/>
                <c:pt idx="0">
                  <c:v>Factor de producción G2</c:v>
                </c:pt>
              </c:strCache>
            </c:strRef>
          </c:tx>
          <c:val>
            <c:numRef>
              <c:f>INDICADORES!$J$49:$J$54</c:f>
              <c:numCache>
                <c:formatCode>0.00%</c:formatCode>
                <c:ptCount val="6"/>
                <c:pt idx="0">
                  <c:v>0.51039255029068287</c:v>
                </c:pt>
                <c:pt idx="1">
                  <c:v>0.29385487969598273</c:v>
                </c:pt>
                <c:pt idx="2">
                  <c:v>0.3026071410197046</c:v>
                </c:pt>
                <c:pt idx="3">
                  <c:v>0.28516564685679002</c:v>
                </c:pt>
                <c:pt idx="4">
                  <c:v>0.40329654782116575</c:v>
                </c:pt>
                <c:pt idx="5">
                  <c:v>0.3445800106326421</c:v>
                </c:pt>
              </c:numCache>
            </c:numRef>
          </c:val>
          <c:smooth val="0"/>
          <c:extLst>
            <c:ext xmlns:c16="http://schemas.microsoft.com/office/drawing/2014/chart" uri="{C3380CC4-5D6E-409C-BE32-E72D297353CC}">
              <c16:uniqueId val="{00000001-8009-4D76-9488-EAB64675F33E}"/>
            </c:ext>
          </c:extLst>
        </c:ser>
        <c:ser>
          <c:idx val="2"/>
          <c:order val="2"/>
          <c:tx>
            <c:strRef>
              <c:f>INDICADORES!$M$48</c:f>
              <c:strCache>
                <c:ptCount val="1"/>
                <c:pt idx="0">
                  <c:v>Factor de producción Sistema</c:v>
                </c:pt>
              </c:strCache>
            </c:strRef>
          </c:tx>
          <c:val>
            <c:numRef>
              <c:f>INDICADORES!$M$49:$M$54</c:f>
              <c:numCache>
                <c:formatCode>0.00%</c:formatCode>
                <c:ptCount val="6"/>
                <c:pt idx="0">
                  <c:v>0.43571024335031028</c:v>
                </c:pt>
                <c:pt idx="1">
                  <c:v>0.43767742267806103</c:v>
                </c:pt>
                <c:pt idx="2">
                  <c:v>0.44143450635386011</c:v>
                </c:pt>
                <c:pt idx="3">
                  <c:v>0.49684024257366699</c:v>
                </c:pt>
                <c:pt idx="4">
                  <c:v>0.42193850645675696</c:v>
                </c:pt>
                <c:pt idx="5">
                  <c:v>0.43625618022328549</c:v>
                </c:pt>
              </c:numCache>
            </c:numRef>
          </c:val>
          <c:smooth val="0"/>
          <c:extLst>
            <c:ext xmlns:c16="http://schemas.microsoft.com/office/drawing/2014/chart" uri="{C3380CC4-5D6E-409C-BE32-E72D297353CC}">
              <c16:uniqueId val="{00000002-8009-4D76-9488-EAB64675F33E}"/>
            </c:ext>
          </c:extLst>
        </c:ser>
        <c:dLbls>
          <c:showLegendKey val="0"/>
          <c:showVal val="0"/>
          <c:showCatName val="0"/>
          <c:showSerName val="0"/>
          <c:showPercent val="0"/>
          <c:showBubbleSize val="0"/>
        </c:dLbls>
        <c:marker val="1"/>
        <c:smooth val="0"/>
        <c:axId val="115278976"/>
        <c:axId val="115280512"/>
      </c:lineChart>
      <c:catAx>
        <c:axId val="115278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5280512"/>
        <c:crosses val="autoZero"/>
        <c:auto val="1"/>
        <c:lblAlgn val="ctr"/>
        <c:lblOffset val="100"/>
        <c:noMultiLvlLbl val="0"/>
      </c:catAx>
      <c:valAx>
        <c:axId val="115280512"/>
        <c:scaling>
          <c:orientation val="minMax"/>
          <c:min val="0.2"/>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5278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a:pPr>
            <a:r>
              <a:rPr lang="es-CO"/>
              <a:t>Costos Fijos Vs Variables</a:t>
            </a:r>
          </a:p>
        </c:rich>
      </c:tx>
      <c:overlay val="1"/>
    </c:title>
    <c:autoTitleDeleted val="0"/>
    <c:plotArea>
      <c:layout>
        <c:manualLayout>
          <c:layoutTarget val="inner"/>
          <c:xMode val="edge"/>
          <c:yMode val="edge"/>
          <c:x val="0.12549024902713621"/>
          <c:y val="0.20042716535433072"/>
          <c:w val="0.6491676878722894"/>
          <c:h val="0.75331233595800529"/>
        </c:manualLayout>
      </c:layout>
      <c:barChart>
        <c:barDir val="col"/>
        <c:grouping val="clustered"/>
        <c:varyColors val="0"/>
        <c:ser>
          <c:idx val="1"/>
          <c:order val="1"/>
          <c:tx>
            <c:strRef>
              <c:f>'Resultados Mes &amp; Acum'!$C$19:$D$19</c:f>
              <c:strCache>
                <c:ptCount val="2"/>
                <c:pt idx="0">
                  <c:v>TOTAL COSTOS VARIABLES</c:v>
                </c:pt>
              </c:strCache>
            </c:strRef>
          </c:tx>
          <c:invertIfNegative val="0"/>
          <c:dLbls>
            <c:spPr>
              <a:gradFill>
                <a:gsLst>
                  <a:gs pos="0">
                    <a:srgbClr val="5E9EFF"/>
                  </a:gs>
                  <a:gs pos="39999">
                    <a:srgbClr val="85C2FF"/>
                  </a:gs>
                  <a:gs pos="70000">
                    <a:srgbClr val="C4D6EB"/>
                  </a:gs>
                  <a:gs pos="100000">
                    <a:srgbClr val="FFEBFA"/>
                  </a:gs>
                </a:gsLst>
                <a:lin ang="5400000" scaled="0"/>
              </a:gradFill>
              <a:ln w="12700" cap="flat" cmpd="sng" algn="ctr">
                <a:solidFill>
                  <a:schemeClr val="accent1">
                    <a:lumMod val="75000"/>
                  </a:schemeClr>
                </a:solidFill>
                <a:prstDash val="solid"/>
              </a:ln>
              <a:effectLst/>
            </c:spPr>
            <c:txPr>
              <a:bodyPr/>
              <a:lstStyle/>
              <a:p>
                <a:pPr>
                  <a:defRPr sz="700" baseline="0">
                    <a:solidFill>
                      <a:schemeClr val="dk1"/>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'Resultados Mes &amp; Acum'!$E$13:$P$13</c:f>
              <c:numCache>
                <c:formatCode>mmm\-yy</c:formatCode>
                <c:ptCount val="12"/>
                <c:pt idx="0">
                  <c:v>44592</c:v>
                </c:pt>
                <c:pt idx="1">
                  <c:v>44985</c:v>
                </c:pt>
                <c:pt idx="2">
                  <c:v>45016</c:v>
                </c:pt>
                <c:pt idx="3">
                  <c:v>45046</c:v>
                </c:pt>
                <c:pt idx="4">
                  <c:v>45077</c:v>
                </c:pt>
                <c:pt idx="5">
                  <c:v>45107</c:v>
                </c:pt>
                <c:pt idx="6">
                  <c:v>45138</c:v>
                </c:pt>
                <c:pt idx="7">
                  <c:v>45169</c:v>
                </c:pt>
                <c:pt idx="8">
                  <c:v>45199</c:v>
                </c:pt>
                <c:pt idx="9">
                  <c:v>45230</c:v>
                </c:pt>
                <c:pt idx="10">
                  <c:v>45260</c:v>
                </c:pt>
                <c:pt idx="11">
                  <c:v>45291</c:v>
                </c:pt>
              </c:numCache>
            </c:numRef>
          </c:cat>
          <c:val>
            <c:numRef>
              <c:f>'Resultados Mes &amp; Acum'!$E$19:$P$19</c:f>
              <c:numCache>
                <c:formatCode>_("$"\ * #,##0_);_("$"\ * \(#,##0\);_("$"\ * "-"??_);_(@_)</c:formatCode>
                <c:ptCount val="12"/>
                <c:pt idx="0">
                  <c:v>947591.99999998778</c:v>
                </c:pt>
                <c:pt idx="1">
                  <c:v>992303.9999999865</c:v>
                </c:pt>
                <c:pt idx="2">
                  <c:v>368063.99999998941</c:v>
                </c:pt>
                <c:pt idx="3">
                  <c:v>6845688.0000000214</c:v>
                </c:pt>
                <c:pt idx="4">
                  <c:v>928152.00000000547</c:v>
                </c:pt>
                <c:pt idx="5">
                  <c:v>450575.99999997817</c:v>
                </c:pt>
                <c:pt idx="6">
                  <c:v>763344.00000002282</c:v>
                </c:pt>
                <c:pt idx="7">
                  <c:v>3017088.0000000163</c:v>
                </c:pt>
                <c:pt idx="8">
                  <c:v>10637784.000000006</c:v>
                </c:pt>
                <c:pt idx="9">
                  <c:v>25066727.999999996</c:v>
                </c:pt>
                <c:pt idx="10">
                  <c:v>0</c:v>
                </c:pt>
                <c:pt idx="11">
                  <c:v>0</c:v>
                </c:pt>
              </c:numCache>
            </c:numRef>
          </c:val>
          <c:extLst>
            <c:ext xmlns:c16="http://schemas.microsoft.com/office/drawing/2014/chart" uri="{C3380CC4-5D6E-409C-BE32-E72D297353CC}">
              <c16:uniqueId val="{00000000-09D0-4287-BDF8-1285D363F5C3}"/>
            </c:ext>
          </c:extLst>
        </c:ser>
        <c:ser>
          <c:idx val="2"/>
          <c:order val="2"/>
          <c:tx>
            <c:strRef>
              <c:f>'Resultados Mes &amp; Acum'!$C$28:$D$28</c:f>
              <c:strCache>
                <c:ptCount val="2"/>
                <c:pt idx="0">
                  <c:v>COSTO TOTAL DE GENERACION</c:v>
                </c:pt>
                <c:pt idx="1">
                  <c:v>COP/mes</c:v>
                </c:pt>
              </c:strCache>
            </c:strRef>
          </c:tx>
          <c:invertIfNegative val="0"/>
          <c:dLbls>
            <c:spPr>
              <a:gradFill>
                <a:gsLst>
                  <a:gs pos="0">
                    <a:srgbClr val="FFEFD1"/>
                  </a:gs>
                  <a:gs pos="51000">
                    <a:srgbClr val="F0EBD5"/>
                  </a:gs>
                  <a:gs pos="100000">
                    <a:srgbClr val="D1C39F"/>
                  </a:gs>
                </a:gsLst>
                <a:lin ang="5400000" scaled="0"/>
              </a:gradFill>
              <a:ln w="12700" cap="flat" cmpd="sng" algn="ctr">
                <a:gradFill>
                  <a:gsLst>
                    <a:gs pos="0">
                      <a:srgbClr val="000082"/>
                    </a:gs>
                    <a:gs pos="30000">
                      <a:srgbClr val="66008F"/>
                    </a:gs>
                    <a:gs pos="64999">
                      <a:srgbClr val="BA0066"/>
                    </a:gs>
                    <a:gs pos="89999">
                      <a:srgbClr val="FF0000"/>
                    </a:gs>
                    <a:gs pos="100000">
                      <a:srgbClr val="FF8200"/>
                    </a:gs>
                  </a:gsLst>
                  <a:lin ang="5400000" scaled="0"/>
                </a:gradFill>
                <a:prstDash val="solid"/>
              </a:ln>
              <a:effectLst/>
            </c:spPr>
            <c:txPr>
              <a:bodyPr/>
              <a:lstStyle/>
              <a:p>
                <a:pPr>
                  <a:defRPr sz="700" baseline="0">
                    <a:solidFill>
                      <a:schemeClr val="dk1"/>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'Resultados Mes &amp; Acum'!$E$13:$P$13</c:f>
              <c:numCache>
                <c:formatCode>mmm\-yy</c:formatCode>
                <c:ptCount val="12"/>
                <c:pt idx="0">
                  <c:v>44592</c:v>
                </c:pt>
                <c:pt idx="1">
                  <c:v>44985</c:v>
                </c:pt>
                <c:pt idx="2">
                  <c:v>45016</c:v>
                </c:pt>
                <c:pt idx="3">
                  <c:v>45046</c:v>
                </c:pt>
                <c:pt idx="4">
                  <c:v>45077</c:v>
                </c:pt>
                <c:pt idx="5">
                  <c:v>45107</c:v>
                </c:pt>
                <c:pt idx="6">
                  <c:v>45138</c:v>
                </c:pt>
                <c:pt idx="7">
                  <c:v>45169</c:v>
                </c:pt>
                <c:pt idx="8">
                  <c:v>45199</c:v>
                </c:pt>
                <c:pt idx="9">
                  <c:v>45230</c:v>
                </c:pt>
                <c:pt idx="10">
                  <c:v>45260</c:v>
                </c:pt>
                <c:pt idx="11">
                  <c:v>45291</c:v>
                </c:pt>
              </c:numCache>
            </c:numRef>
          </c:cat>
          <c:val>
            <c:numRef>
              <c:f>'Resultados Mes &amp; Acum'!$E$28:$P$28</c:f>
              <c:numCache>
                <c:formatCode>_("$"\ * #,##0_);_("$"\ * \(#,##0\);_("$"\ * "-"??_);_(@_)</c:formatCode>
                <c:ptCount val="12"/>
                <c:pt idx="0">
                  <c:v>72403881.354944423</c:v>
                </c:pt>
                <c:pt idx="1">
                  <c:v>30480755.444444425</c:v>
                </c:pt>
                <c:pt idx="2">
                  <c:v>29856543.444444429</c:v>
                </c:pt>
                <c:pt idx="3">
                  <c:v>36334198.444444463</c:v>
                </c:pt>
                <c:pt idx="4">
                  <c:v>30416692.444444444</c:v>
                </c:pt>
                <c:pt idx="5">
                  <c:v>29939147.444444418</c:v>
                </c:pt>
                <c:pt idx="6">
                  <c:v>30251945.444444463</c:v>
                </c:pt>
                <c:pt idx="7">
                  <c:v>32505720.444444455</c:v>
                </c:pt>
                <c:pt idx="8">
                  <c:v>40126447.444444448</c:v>
                </c:pt>
                <c:pt idx="9">
                  <c:v>54555421.444444433</c:v>
                </c:pt>
                <c:pt idx="10">
                  <c:v>0</c:v>
                </c:pt>
                <c:pt idx="11">
                  <c:v>0</c:v>
                </c:pt>
              </c:numCache>
            </c:numRef>
          </c:val>
          <c:extLst>
            <c:ext xmlns:c16="http://schemas.microsoft.com/office/drawing/2014/chart" uri="{C3380CC4-5D6E-409C-BE32-E72D297353CC}">
              <c16:uniqueId val="{00000001-09D0-4287-BDF8-1285D363F5C3}"/>
            </c:ext>
          </c:extLst>
        </c:ser>
        <c:dLbls>
          <c:showLegendKey val="0"/>
          <c:showVal val="0"/>
          <c:showCatName val="0"/>
          <c:showSerName val="0"/>
          <c:showPercent val="0"/>
          <c:showBubbleSize val="0"/>
        </c:dLbls>
        <c:gapWidth val="150"/>
        <c:axId val="111629056"/>
        <c:axId val="111630592"/>
      </c:barChart>
      <c:lineChart>
        <c:grouping val="standard"/>
        <c:varyColors val="0"/>
        <c:ser>
          <c:idx val="0"/>
          <c:order val="0"/>
          <c:tx>
            <c:strRef>
              <c:f>'Resultados Mes &amp; Acum'!$C$14:$D$14</c:f>
              <c:strCache>
                <c:ptCount val="2"/>
                <c:pt idx="0">
                  <c:v>TOTAL COSTOS FIJOS</c:v>
                </c:pt>
              </c:strCache>
            </c:strRef>
          </c:tx>
          <c:cat>
            <c:numRef>
              <c:f>'Resultados Mes &amp; Acum'!$E$13:$P$13</c:f>
              <c:numCache>
                <c:formatCode>mmm\-yy</c:formatCode>
                <c:ptCount val="12"/>
                <c:pt idx="0">
                  <c:v>44592</c:v>
                </c:pt>
                <c:pt idx="1">
                  <c:v>44985</c:v>
                </c:pt>
                <c:pt idx="2">
                  <c:v>45016</c:v>
                </c:pt>
                <c:pt idx="3">
                  <c:v>45046</c:v>
                </c:pt>
                <c:pt idx="4">
                  <c:v>45077</c:v>
                </c:pt>
                <c:pt idx="5">
                  <c:v>45107</c:v>
                </c:pt>
                <c:pt idx="6">
                  <c:v>45138</c:v>
                </c:pt>
                <c:pt idx="7">
                  <c:v>45169</c:v>
                </c:pt>
                <c:pt idx="8">
                  <c:v>45199</c:v>
                </c:pt>
                <c:pt idx="9">
                  <c:v>45230</c:v>
                </c:pt>
                <c:pt idx="10">
                  <c:v>45260</c:v>
                </c:pt>
                <c:pt idx="11">
                  <c:v>45291</c:v>
                </c:pt>
              </c:numCache>
            </c:numRef>
          </c:cat>
          <c:val>
            <c:numRef>
              <c:f>'Resultados Mes &amp; Acum'!$E$14:$P$14</c:f>
              <c:numCache>
                <c:formatCode>_("$"\ * #,##0_);_("$"\ * \(#,##0\);_("$"\ * "-"??_);_(@_)</c:formatCode>
                <c:ptCount val="12"/>
                <c:pt idx="0">
                  <c:v>71456289.354944438</c:v>
                </c:pt>
                <c:pt idx="1">
                  <c:v>29488451.44444444</c:v>
                </c:pt>
                <c:pt idx="2">
                  <c:v>29488479.44444444</c:v>
                </c:pt>
                <c:pt idx="3">
                  <c:v>29488510.44444444</c:v>
                </c:pt>
                <c:pt idx="4">
                  <c:v>29488540.44444444</c:v>
                </c:pt>
                <c:pt idx="5">
                  <c:v>29488571.44444444</c:v>
                </c:pt>
                <c:pt idx="6">
                  <c:v>29488601.44444444</c:v>
                </c:pt>
                <c:pt idx="7">
                  <c:v>29488632.44444444</c:v>
                </c:pt>
                <c:pt idx="8">
                  <c:v>29488663.44444444</c:v>
                </c:pt>
                <c:pt idx="9">
                  <c:v>29488693.44444444</c:v>
                </c:pt>
                <c:pt idx="10">
                  <c:v>0</c:v>
                </c:pt>
                <c:pt idx="11">
                  <c:v>0</c:v>
                </c:pt>
              </c:numCache>
            </c:numRef>
          </c:val>
          <c:smooth val="0"/>
          <c:extLst>
            <c:ext xmlns:c16="http://schemas.microsoft.com/office/drawing/2014/chart" uri="{C3380CC4-5D6E-409C-BE32-E72D297353CC}">
              <c16:uniqueId val="{00000002-09D0-4287-BDF8-1285D363F5C3}"/>
            </c:ext>
          </c:extLst>
        </c:ser>
        <c:dLbls>
          <c:showLegendKey val="0"/>
          <c:showVal val="0"/>
          <c:showCatName val="0"/>
          <c:showSerName val="0"/>
          <c:showPercent val="0"/>
          <c:showBubbleSize val="0"/>
        </c:dLbls>
        <c:marker val="1"/>
        <c:smooth val="0"/>
        <c:axId val="111629056"/>
        <c:axId val="111630592"/>
      </c:lineChart>
      <c:dateAx>
        <c:axId val="111629056"/>
        <c:scaling>
          <c:orientation val="minMax"/>
        </c:scaling>
        <c:delete val="0"/>
        <c:axPos val="b"/>
        <c:numFmt formatCode="mmm\-yy" sourceLinked="1"/>
        <c:majorTickMark val="out"/>
        <c:minorTickMark val="none"/>
        <c:tickLblPos val="nextTo"/>
        <c:txPr>
          <a:bodyPr rot="0" vert="horz"/>
          <a:lstStyle/>
          <a:p>
            <a:pPr>
              <a:defRPr/>
            </a:pPr>
            <a:endParaRPr lang="es-CO"/>
          </a:p>
        </c:txPr>
        <c:crossAx val="111630592"/>
        <c:crosses val="autoZero"/>
        <c:auto val="1"/>
        <c:lblOffset val="100"/>
        <c:baseTimeUnit val="months"/>
      </c:dateAx>
      <c:valAx>
        <c:axId val="111630592"/>
        <c:scaling>
          <c:orientation val="minMax"/>
          <c:max val="420000000"/>
        </c:scaling>
        <c:delete val="0"/>
        <c:axPos val="l"/>
        <c:majorGridlines/>
        <c:title>
          <c:overlay val="0"/>
        </c:title>
        <c:numFmt formatCode="_(&quot;$&quot;\ * #,##0_);_(&quot;$&quot;\ * \(#,##0\);_(&quot;$&quot;\ * &quot;-&quot;??_);_(@_)" sourceLinked="1"/>
        <c:majorTickMark val="out"/>
        <c:minorTickMark val="none"/>
        <c:tickLblPos val="nextTo"/>
        <c:crossAx val="111629056"/>
        <c:crosses val="autoZero"/>
        <c:crossBetween val="between"/>
      </c:valAx>
    </c:plotArea>
    <c:legend>
      <c:legendPos val="r"/>
      <c:legendEntry>
        <c:idx val="0"/>
        <c:txPr>
          <a:bodyPr/>
          <a:lstStyle/>
          <a:p>
            <a:pPr>
              <a:defRPr sz="800" baseline="0"/>
            </a:pPr>
            <a:endParaRPr lang="es-CO"/>
          </a:p>
        </c:txPr>
      </c:legendEntry>
      <c:legendEntry>
        <c:idx val="1"/>
        <c:txPr>
          <a:bodyPr/>
          <a:lstStyle/>
          <a:p>
            <a:pPr>
              <a:defRPr sz="800" baseline="0"/>
            </a:pPr>
            <a:endParaRPr lang="es-CO"/>
          </a:p>
        </c:txPr>
      </c:legendEntry>
      <c:legendEntry>
        <c:idx val="2"/>
        <c:txPr>
          <a:bodyPr/>
          <a:lstStyle/>
          <a:p>
            <a:pPr>
              <a:defRPr sz="800" baseline="0"/>
            </a:pPr>
            <a:endParaRPr lang="es-CO"/>
          </a:p>
        </c:txPr>
      </c:legendEntry>
      <c:layout>
        <c:manualLayout>
          <c:xMode val="edge"/>
          <c:yMode val="edge"/>
          <c:x val="0.76571456330058452"/>
          <c:y val="0.38698162729658792"/>
          <c:w val="0.1849539819822604"/>
          <c:h val="0.18008417051316861"/>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4"/>
    </mc:Choice>
    <mc:Fallback>
      <c:style val="44"/>
    </mc:Fallback>
  </mc:AlternateContent>
  <c:chart>
    <c:title>
      <c:tx>
        <c:rich>
          <a:bodyPr/>
          <a:lstStyle/>
          <a:p>
            <a:pPr>
              <a:defRPr/>
            </a:pPr>
            <a:r>
              <a:rPr lang="es-CO"/>
              <a:t>Costo Total de Generación  COP/kWh </a:t>
            </a:r>
          </a:p>
        </c:rich>
      </c:tx>
      <c:overlay val="0"/>
    </c:title>
    <c:autoTitleDeleted val="0"/>
    <c:plotArea>
      <c:layout>
        <c:manualLayout>
          <c:layoutTarget val="inner"/>
          <c:xMode val="edge"/>
          <c:yMode val="edge"/>
          <c:x val="8.2862100561129678E-2"/>
          <c:y val="0.19480351414406533"/>
          <c:w val="0.71038867933223682"/>
          <c:h val="0.68921660834062404"/>
        </c:manualLayout>
      </c:layout>
      <c:barChart>
        <c:barDir val="col"/>
        <c:grouping val="clustered"/>
        <c:varyColors val="0"/>
        <c:ser>
          <c:idx val="0"/>
          <c:order val="0"/>
          <c:tx>
            <c:strRef>
              <c:f>'Resultados Mes &amp; Acum'!$C$42:$D$42</c:f>
              <c:strCache>
                <c:ptCount val="2"/>
                <c:pt idx="0">
                  <c:v>Costo Total de Generación  COP/kWh</c:v>
                </c:pt>
                <c:pt idx="1">
                  <c:v>COP/kWh</c:v>
                </c:pt>
              </c:strCache>
            </c:strRef>
          </c:tx>
          <c:invertIfNegative val="0"/>
          <c:dLbls>
            <c:spPr>
              <a:blipFill>
                <a:blip xmlns:r="http://schemas.openxmlformats.org/officeDocument/2006/relationships" r:embed="rId1"/>
                <a:tile tx="0" ty="0" sx="100000" sy="100000" flip="none" algn="tl"/>
              </a:blipFill>
              <a:ln w="25400" cap="flat" cmpd="sng" algn="ctr">
                <a:solidFill>
                  <a:schemeClr val="bg1"/>
                </a:solidFill>
                <a:prstDash val="solid"/>
              </a:ln>
              <a:effectLst/>
            </c:spPr>
            <c:txPr>
              <a:bodyPr/>
              <a:lstStyle/>
              <a:p>
                <a:pPr>
                  <a:defRPr>
                    <a:solidFill>
                      <a:schemeClr val="dk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'Resultados Mes &amp; Acum'!$E$31:$P$31</c:f>
              <c:numCache>
                <c:formatCode>mmm\-yy</c:formatCode>
                <c:ptCount val="12"/>
                <c:pt idx="0">
                  <c:v>44957</c:v>
                </c:pt>
                <c:pt idx="1">
                  <c:v>44985</c:v>
                </c:pt>
                <c:pt idx="2">
                  <c:v>45016</c:v>
                </c:pt>
                <c:pt idx="3">
                  <c:v>45046</c:v>
                </c:pt>
                <c:pt idx="4">
                  <c:v>45077</c:v>
                </c:pt>
                <c:pt idx="5">
                  <c:v>45107</c:v>
                </c:pt>
                <c:pt idx="6">
                  <c:v>45138</c:v>
                </c:pt>
                <c:pt idx="7">
                  <c:v>45169</c:v>
                </c:pt>
                <c:pt idx="8">
                  <c:v>45199</c:v>
                </c:pt>
                <c:pt idx="9">
                  <c:v>45230</c:v>
                </c:pt>
                <c:pt idx="10">
                  <c:v>45260</c:v>
                </c:pt>
                <c:pt idx="11">
                  <c:v>45291</c:v>
                </c:pt>
              </c:numCache>
            </c:numRef>
          </c:cat>
          <c:val>
            <c:numRef>
              <c:f>'Resultados Mes &amp; Acum'!$E$42:$P$42</c:f>
              <c:numCache>
                <c:formatCode>_("$"* #,##0.00_);_("$"* \(#,##0.00\);_("$"* "-"??_);_(@_)</c:formatCode>
                <c:ptCount val="12"/>
                <c:pt idx="0">
                  <c:v>5.3770427846289426</c:v>
                </c:pt>
                <c:pt idx="1">
                  <c:v>2.4901084726164582</c:v>
                </c:pt>
                <c:pt idx="2">
                  <c:v>2.1887823752009155</c:v>
                </c:pt>
                <c:pt idx="3">
                  <c:v>2.7802536835209843</c:v>
                </c:pt>
                <c:pt idx="4">
                  <c:v>2.3331066280047188</c:v>
                </c:pt>
                <c:pt idx="5">
                  <c:v>2.2950014337992375</c:v>
                </c:pt>
                <c:pt idx="6">
                  <c:v>2.2444238885748558</c:v>
                </c:pt>
                <c:pt idx="7">
                  <c:v>2.3657018493144517</c:v>
                </c:pt>
                <c:pt idx="8">
                  <c:v>3.0234437808889378</c:v>
                </c:pt>
                <c:pt idx="9">
                  <c:v>4.0425862811475648</c:v>
                </c:pt>
                <c:pt idx="10">
                  <c:v>0</c:v>
                </c:pt>
                <c:pt idx="11">
                  <c:v>0</c:v>
                </c:pt>
              </c:numCache>
            </c:numRef>
          </c:val>
          <c:extLst>
            <c:ext xmlns:c16="http://schemas.microsoft.com/office/drawing/2014/chart" uri="{C3380CC4-5D6E-409C-BE32-E72D297353CC}">
              <c16:uniqueId val="{00000000-94CE-4DEF-987B-DD4C1730FAD2}"/>
            </c:ext>
          </c:extLst>
        </c:ser>
        <c:dLbls>
          <c:showLegendKey val="0"/>
          <c:showVal val="0"/>
          <c:showCatName val="0"/>
          <c:showSerName val="0"/>
          <c:showPercent val="0"/>
          <c:showBubbleSize val="0"/>
        </c:dLbls>
        <c:gapWidth val="150"/>
        <c:axId val="111702400"/>
        <c:axId val="111703936"/>
      </c:barChart>
      <c:dateAx>
        <c:axId val="111702400"/>
        <c:scaling>
          <c:orientation val="minMax"/>
        </c:scaling>
        <c:delete val="0"/>
        <c:axPos val="b"/>
        <c:numFmt formatCode="mmm\-yy" sourceLinked="1"/>
        <c:majorTickMark val="out"/>
        <c:minorTickMark val="none"/>
        <c:tickLblPos val="nextTo"/>
        <c:crossAx val="111703936"/>
        <c:crosses val="autoZero"/>
        <c:auto val="1"/>
        <c:lblOffset val="100"/>
        <c:baseTimeUnit val="months"/>
      </c:dateAx>
      <c:valAx>
        <c:axId val="111703936"/>
        <c:scaling>
          <c:orientation val="minMax"/>
        </c:scaling>
        <c:delete val="0"/>
        <c:axPos val="l"/>
        <c:majorGridlines/>
        <c:numFmt formatCode="_(&quot;$&quot;* #,##0.00_);_(&quot;$&quot;* \(#,##0.00\);_(&quot;$&quot;* &quot;-&quot;??_);_(@_)" sourceLinked="1"/>
        <c:majorTickMark val="out"/>
        <c:minorTickMark val="none"/>
        <c:tickLblPos val="nextTo"/>
        <c:crossAx val="111702400"/>
        <c:crosses val="autoZero"/>
        <c:crossBetween val="between"/>
      </c:valAx>
    </c:plotArea>
    <c:legend>
      <c:legendPos val="r"/>
      <c:layout>
        <c:manualLayout>
          <c:xMode val="edge"/>
          <c:yMode val="edge"/>
          <c:x val="0.78338641363488437"/>
          <c:y val="0.45557669874599011"/>
          <c:w val="0.18866454863274965"/>
          <c:h val="0.13965660542432196"/>
        </c:manualLayout>
      </c:layout>
      <c:overlay val="0"/>
    </c:legend>
    <c:plotVisOnly val="0"/>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8"/>
    </mc:Choice>
    <mc:Fallback>
      <c:style val="48"/>
    </mc:Fallback>
  </mc:AlternateContent>
  <c:pivotSource>
    <c:name>[Ecopetrol Bal-Energia y Consumo Total 2023.xlsm]grafica1!Tabla dinámica7</c:name>
    <c:fmtId val="1"/>
  </c:pivotSource>
  <c:chart>
    <c:title>
      <c:overlay val="0"/>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delete val="1"/>
          <c:extLst>
            <c:ext xmlns:c15="http://schemas.microsoft.com/office/drawing/2012/chart" uri="{CE6537A1-D6FC-4f65-9D91-7224C49458BB}"/>
          </c:extLst>
        </c:dLbl>
      </c:pivotFmt>
      <c:pivotFmt>
        <c:idx val="5"/>
        <c:dLbl>
          <c:idx val="0"/>
          <c:delete val="1"/>
          <c:extLst>
            <c:ext xmlns:c15="http://schemas.microsoft.com/office/drawing/2012/chart" uri="{CE6537A1-D6FC-4f65-9D91-7224C49458BB}"/>
          </c:extLst>
        </c:dLbl>
      </c:pivotFmt>
      <c:pivotFmt>
        <c:idx val="6"/>
        <c:dLbl>
          <c:idx val="0"/>
          <c:delete val="1"/>
          <c:extLst>
            <c:ext xmlns:c15="http://schemas.microsoft.com/office/drawing/2012/chart" uri="{CE6537A1-D6FC-4f65-9D91-7224C49458BB}"/>
          </c:extLst>
        </c:dLbl>
      </c:pivotFmt>
      <c:pivotFmt>
        <c:idx val="7"/>
        <c:dLbl>
          <c:idx val="0"/>
          <c:delete val="1"/>
          <c:extLst>
            <c:ext xmlns:c15="http://schemas.microsoft.com/office/drawing/2012/chart" uri="{CE6537A1-D6FC-4f65-9D91-7224C49458BB}"/>
          </c:extLst>
        </c:dLbl>
      </c:pivotFmt>
      <c:pivotFmt>
        <c:idx val="8"/>
        <c:marker>
          <c:symbol val="none"/>
        </c:marker>
        <c:dLbl>
          <c:idx val="0"/>
          <c:spPr>
            <a:noFill/>
            <a:ln>
              <a:noFill/>
            </a:ln>
            <a:effectLst/>
          </c:spPr>
          <c:txPr>
            <a:bodyPr wrap="square" lIns="38100" tIns="19050" rIns="38100" bIns="19050" anchor="ctr">
              <a:spAutoFit/>
            </a:bodyPr>
            <a:lstStyle/>
            <a:p>
              <a:pPr>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marker>
          <c:symbol val="none"/>
        </c:marker>
        <c:dLbl>
          <c:idx val="0"/>
          <c:spPr>
            <a:noFill/>
            <a:ln>
              <a:noFill/>
            </a:ln>
            <a:effectLst/>
          </c:spPr>
          <c:txPr>
            <a:bodyPr wrap="square" lIns="38100" tIns="19050" rIns="38100" bIns="19050" anchor="ctr">
              <a:spAutoFit/>
            </a:bodyPr>
            <a:lstStyle/>
            <a:p>
              <a:pPr>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0"/>
        <c:marker>
          <c:symbol val="none"/>
        </c:marker>
        <c:dLbl>
          <c:idx val="0"/>
          <c:spPr/>
          <c:txPr>
            <a:bodyPr rot="0" vert="horz" anchor="ctr" anchorCtr="0"/>
            <a:lstStyle/>
            <a:p>
              <a:pPr>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1"/>
        <c:marker>
          <c:symbol val="none"/>
        </c:marker>
        <c:dLbl>
          <c:idx val="0"/>
          <c:spPr/>
          <c:txPr>
            <a:bodyPr/>
            <a:lstStyle/>
            <a:p>
              <a:pPr>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740497143739379E-2"/>
          <c:y val="0.19480351414406533"/>
          <c:w val="0.87841865060985036"/>
          <c:h val="0.58378225657572613"/>
        </c:manualLayout>
      </c:layout>
      <c:barChart>
        <c:barDir val="col"/>
        <c:grouping val="clustered"/>
        <c:varyColors val="0"/>
        <c:ser>
          <c:idx val="0"/>
          <c:order val="0"/>
          <c:tx>
            <c:strRef>
              <c:f>grafica1!$B$3:$B$4</c:f>
              <c:strCache>
                <c:ptCount val="1"/>
                <c:pt idx="0">
                  <c:v>Confiabilidad Mensual </c:v>
                </c:pt>
              </c:strCache>
            </c:strRef>
          </c:tx>
          <c:invertIfNegative val="0"/>
          <c:dLbls>
            <c:spPr>
              <a:noFill/>
              <a:ln>
                <a:noFill/>
              </a:ln>
              <a:effectLst/>
            </c:spPr>
            <c:txPr>
              <a:bodyPr wrap="square" lIns="38100" tIns="19050" rIns="38100" bIns="19050" anchor="ctr">
                <a:spAutoFit/>
              </a:bodyPr>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grafica1!$A$5:$A$16</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grafica1!$B$5:$B$16</c:f>
              <c:numCache>
                <c:formatCode>0.00</c:formatCode>
                <c:ptCount val="12"/>
                <c:pt idx="0">
                  <c:v>1</c:v>
                </c:pt>
                <c:pt idx="1">
                  <c:v>1</c:v>
                </c:pt>
                <c:pt idx="2">
                  <c:v>1</c:v>
                </c:pt>
                <c:pt idx="3">
                  <c:v>1</c:v>
                </c:pt>
                <c:pt idx="4">
                  <c:v>1</c:v>
                </c:pt>
                <c:pt idx="5">
                  <c:v>1</c:v>
                </c:pt>
                <c:pt idx="6">
                  <c:v>1</c:v>
                </c:pt>
                <c:pt idx="7">
                  <c:v>1</c:v>
                </c:pt>
                <c:pt idx="8">
                  <c:v>1</c:v>
                </c:pt>
                <c:pt idx="9">
                  <c:v>1</c:v>
                </c:pt>
                <c:pt idx="10">
                  <c:v>1</c:v>
                </c:pt>
                <c:pt idx="11">
                  <c:v>0</c:v>
                </c:pt>
              </c:numCache>
            </c:numRef>
          </c:val>
          <c:extLst>
            <c:ext xmlns:c16="http://schemas.microsoft.com/office/drawing/2014/chart" uri="{C3380CC4-5D6E-409C-BE32-E72D297353CC}">
              <c16:uniqueId val="{00000000-0914-4EC6-9D54-7B5B2AFCF702}"/>
            </c:ext>
          </c:extLst>
        </c:ser>
        <c:dLbls>
          <c:showLegendKey val="0"/>
          <c:showVal val="0"/>
          <c:showCatName val="0"/>
          <c:showSerName val="0"/>
          <c:showPercent val="0"/>
          <c:showBubbleSize val="0"/>
        </c:dLbls>
        <c:gapWidth val="150"/>
        <c:overlap val="-76"/>
        <c:axId val="115892992"/>
        <c:axId val="115894528"/>
      </c:barChart>
      <c:catAx>
        <c:axId val="115892992"/>
        <c:scaling>
          <c:orientation val="minMax"/>
        </c:scaling>
        <c:delete val="0"/>
        <c:axPos val="b"/>
        <c:numFmt formatCode="General" sourceLinked="0"/>
        <c:majorTickMark val="none"/>
        <c:minorTickMark val="none"/>
        <c:tickLblPos val="nextTo"/>
        <c:crossAx val="115894528"/>
        <c:crosses val="autoZero"/>
        <c:auto val="1"/>
        <c:lblAlgn val="ctr"/>
        <c:lblOffset val="100"/>
        <c:noMultiLvlLbl val="0"/>
      </c:catAx>
      <c:valAx>
        <c:axId val="115894528"/>
        <c:scaling>
          <c:orientation val="minMax"/>
        </c:scaling>
        <c:delete val="0"/>
        <c:axPos val="l"/>
        <c:majorGridlines/>
        <c:numFmt formatCode="###,000" sourceLinked="0"/>
        <c:majorTickMark val="none"/>
        <c:minorTickMark val="none"/>
        <c:tickLblPos val="nextTo"/>
        <c:crossAx val="11589299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2"/>
    </mc:Choice>
    <mc:Fallback>
      <c:style val="42"/>
    </mc:Fallback>
  </mc:AlternateContent>
  <c:pivotSource>
    <c:name>[Ecopetrol Bal-Energia y Consumo Total 2023.xlsm]Grafica costos variables!Tabla dinámica10</c:name>
    <c:fmtId val="1"/>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pivotFmt>
      <c:pivotFmt>
        <c:idx val="8"/>
      </c:pivotFmt>
      <c:pivotFmt>
        <c:idx val="9"/>
      </c:pivotFmt>
      <c:pivotFmt>
        <c:idx val="10"/>
      </c:pivotFmt>
      <c:pivotFmt>
        <c:idx val="11"/>
        <c:dLbl>
          <c:idx val="0"/>
          <c:showLegendKey val="0"/>
          <c:showVal val="1"/>
          <c:showCatName val="0"/>
          <c:showSerName val="0"/>
          <c:showPercent val="0"/>
          <c:showBubbleSize val="0"/>
          <c:extLst>
            <c:ext xmlns:c15="http://schemas.microsoft.com/office/drawing/2012/chart" uri="{CE6537A1-D6FC-4f65-9D91-7224C49458BB}"/>
          </c:extLst>
        </c:dLbl>
      </c:pivotFmt>
      <c:pivotFmt>
        <c:idx val="12"/>
        <c:dLbl>
          <c:idx val="0"/>
          <c:showLegendKey val="0"/>
          <c:showVal val="1"/>
          <c:showCatName val="0"/>
          <c:showSerName val="0"/>
          <c:showPercent val="0"/>
          <c:showBubbleSize val="0"/>
          <c:extLst>
            <c:ext xmlns:c15="http://schemas.microsoft.com/office/drawing/2012/chart" uri="{CE6537A1-D6FC-4f65-9D91-7224C49458BB}"/>
          </c:extLst>
        </c:dLbl>
      </c:pivotFmt>
      <c:pivotFmt>
        <c:idx val="13"/>
        <c:dLbl>
          <c:idx val="0"/>
          <c:showLegendKey val="0"/>
          <c:showVal val="1"/>
          <c:showCatName val="0"/>
          <c:showSerName val="0"/>
          <c:showPercent val="0"/>
          <c:showBubbleSize val="0"/>
          <c:extLst>
            <c:ext xmlns:c15="http://schemas.microsoft.com/office/drawing/2012/chart" uri="{CE6537A1-D6FC-4f65-9D91-7224C49458BB}"/>
          </c:extLst>
        </c:dLbl>
      </c:pivotFmt>
      <c:pivotFmt>
        <c:idx val="14"/>
        <c:dLbl>
          <c:idx val="0"/>
          <c:showLegendKey val="0"/>
          <c:showVal val="1"/>
          <c:showCatName val="0"/>
          <c:showSerName val="0"/>
          <c:showPercent val="0"/>
          <c:showBubbleSize val="0"/>
          <c:extLst>
            <c:ext xmlns:c15="http://schemas.microsoft.com/office/drawing/2012/chart" uri="{CE6537A1-D6FC-4f65-9D91-7224C49458BB}"/>
          </c:extLst>
        </c:dLbl>
      </c:pivotFmt>
      <c:pivotFmt>
        <c:idx val="15"/>
        <c:dLbl>
          <c:idx val="0"/>
          <c:showLegendKey val="0"/>
          <c:showVal val="1"/>
          <c:showCatName val="0"/>
          <c:showSerName val="0"/>
          <c:showPercent val="0"/>
          <c:showBubbleSize val="0"/>
          <c:extLst>
            <c:ext xmlns:c15="http://schemas.microsoft.com/office/drawing/2012/chart" uri="{CE6537A1-D6FC-4f65-9D91-7224C49458BB}"/>
          </c:extLst>
        </c:dLbl>
      </c:pivotFmt>
      <c:pivotFmt>
        <c:idx val="16"/>
        <c:dLbl>
          <c:idx val="0"/>
          <c:showLegendKey val="0"/>
          <c:showVal val="1"/>
          <c:showCatName val="0"/>
          <c:showSerName val="0"/>
          <c:showPercent val="0"/>
          <c:showBubbleSize val="0"/>
          <c:extLst>
            <c:ext xmlns:c15="http://schemas.microsoft.com/office/drawing/2012/chart" uri="{CE6537A1-D6FC-4f65-9D91-7224C49458BB}"/>
          </c:extLst>
        </c:dLbl>
      </c:pivotFmt>
      <c:pivotFmt>
        <c:idx val="17"/>
        <c:dLbl>
          <c:idx val="0"/>
          <c:showLegendKey val="0"/>
          <c:showVal val="1"/>
          <c:showCatName val="0"/>
          <c:showSerName val="0"/>
          <c:showPercent val="0"/>
          <c:showBubbleSize val="0"/>
          <c:extLst>
            <c:ext xmlns:c15="http://schemas.microsoft.com/office/drawing/2012/chart" uri="{CE6537A1-D6FC-4f65-9D91-7224C49458BB}"/>
          </c:extLst>
        </c:dLbl>
      </c:pivotFmt>
      <c:pivotFmt>
        <c:idx val="18"/>
        <c:dLbl>
          <c:idx val="0"/>
          <c:showLegendKey val="0"/>
          <c:showVal val="1"/>
          <c:showCatName val="0"/>
          <c:showSerName val="0"/>
          <c:showPercent val="0"/>
          <c:showBubbleSize val="0"/>
          <c:extLst>
            <c:ext xmlns:c15="http://schemas.microsoft.com/office/drawing/2012/chart" uri="{CE6537A1-D6FC-4f65-9D91-7224C49458BB}"/>
          </c:extLst>
        </c:dLbl>
      </c:pivotFmt>
      <c:pivotFmt>
        <c:idx val="19"/>
        <c:dLbl>
          <c:idx val="0"/>
          <c:showLegendKey val="0"/>
          <c:showVal val="1"/>
          <c:showCatName val="0"/>
          <c:showSerName val="0"/>
          <c:showPercent val="0"/>
          <c:showBubbleSize val="0"/>
          <c:extLst>
            <c:ext xmlns:c15="http://schemas.microsoft.com/office/drawing/2012/chart" uri="{CE6537A1-D6FC-4f65-9D91-7224C49458BB}"/>
          </c:extLst>
        </c:dLbl>
      </c:pivotFmt>
      <c:pivotFmt>
        <c:idx val="20"/>
        <c:dLbl>
          <c:idx val="0"/>
          <c:showLegendKey val="0"/>
          <c:showVal val="1"/>
          <c:showCatName val="0"/>
          <c:showSerName val="0"/>
          <c:showPercent val="0"/>
          <c:showBubbleSize val="0"/>
          <c:extLst>
            <c:ext xmlns:c15="http://schemas.microsoft.com/office/drawing/2012/chart" uri="{CE6537A1-D6FC-4f65-9D91-7224C49458BB}"/>
          </c:extLst>
        </c:dLbl>
      </c:pivotFmt>
      <c:pivotFmt>
        <c:idx val="21"/>
        <c:dLbl>
          <c:idx val="0"/>
          <c:showLegendKey val="0"/>
          <c:showVal val="1"/>
          <c:showCatName val="0"/>
          <c:showSerName val="0"/>
          <c:showPercent val="0"/>
          <c:showBubbleSize val="0"/>
          <c:extLst>
            <c:ext xmlns:c15="http://schemas.microsoft.com/office/drawing/2012/chart" uri="{CE6537A1-D6FC-4f65-9D91-7224C49458BB}"/>
          </c:extLst>
        </c:dLbl>
      </c:pivotFmt>
      <c:pivotFmt>
        <c:idx val="22"/>
        <c:dLbl>
          <c:idx val="0"/>
          <c:showLegendKey val="0"/>
          <c:showVal val="1"/>
          <c:showCatName val="0"/>
          <c:showSerName val="0"/>
          <c:showPercent val="0"/>
          <c:showBubbleSize val="0"/>
          <c:extLst>
            <c:ext xmlns:c15="http://schemas.microsoft.com/office/drawing/2012/chart" uri="{CE6537A1-D6FC-4f65-9D91-7224C49458BB}"/>
          </c:extLst>
        </c:dLbl>
      </c:pivotFmt>
      <c:pivotFmt>
        <c:idx val="23"/>
        <c:dLbl>
          <c:idx val="0"/>
          <c:showLegendKey val="0"/>
          <c:showVal val="1"/>
          <c:showCatName val="0"/>
          <c:showSerName val="0"/>
          <c:showPercent val="0"/>
          <c:showBubbleSize val="0"/>
          <c:extLst>
            <c:ext xmlns:c15="http://schemas.microsoft.com/office/drawing/2012/chart" uri="{CE6537A1-D6FC-4f65-9D91-7224C49458BB}"/>
          </c:extLst>
        </c:dLbl>
      </c:pivotFmt>
      <c:pivotFmt>
        <c:idx val="24"/>
        <c:dLbl>
          <c:idx val="0"/>
          <c:showLegendKey val="0"/>
          <c:showVal val="1"/>
          <c:showCatName val="0"/>
          <c:showSerName val="0"/>
          <c:showPercent val="0"/>
          <c:showBubbleSize val="0"/>
          <c:extLst>
            <c:ext xmlns:c15="http://schemas.microsoft.com/office/drawing/2012/chart" uri="{CE6537A1-D6FC-4f65-9D91-7224C49458BB}"/>
          </c:extLst>
        </c:dLbl>
      </c:pivotFmt>
      <c:pivotFmt>
        <c:idx val="25"/>
        <c:dLbl>
          <c:idx val="0"/>
          <c:showLegendKey val="0"/>
          <c:showVal val="1"/>
          <c:showCatName val="0"/>
          <c:showSerName val="0"/>
          <c:showPercent val="0"/>
          <c:showBubbleSize val="0"/>
          <c:extLst>
            <c:ext xmlns:c15="http://schemas.microsoft.com/office/drawing/2012/chart" uri="{CE6537A1-D6FC-4f65-9D91-7224C49458BB}"/>
          </c:extLst>
        </c:dLbl>
      </c:pivotFmt>
      <c:pivotFmt>
        <c:idx val="26"/>
        <c:dLbl>
          <c:idx val="0"/>
          <c:showLegendKey val="0"/>
          <c:showVal val="1"/>
          <c:showCatName val="0"/>
          <c:showSerName val="0"/>
          <c:showPercent val="0"/>
          <c:showBubbleSize val="0"/>
          <c:extLst>
            <c:ext xmlns:c15="http://schemas.microsoft.com/office/drawing/2012/chart" uri="{CE6537A1-D6FC-4f65-9D91-7224C49458BB}"/>
          </c:extLst>
        </c:dLbl>
      </c:pivotFmt>
      <c:pivotFmt>
        <c:idx val="27"/>
        <c:dLbl>
          <c:idx val="0"/>
          <c:showLegendKey val="0"/>
          <c:showVal val="1"/>
          <c:showCatName val="0"/>
          <c:showSerName val="0"/>
          <c:showPercent val="0"/>
          <c:showBubbleSize val="0"/>
          <c:extLst>
            <c:ext xmlns:c15="http://schemas.microsoft.com/office/drawing/2012/chart" uri="{CE6537A1-D6FC-4f65-9D91-7224C49458BB}"/>
          </c:extLst>
        </c:dLbl>
      </c:pivotFmt>
      <c:pivotFmt>
        <c:idx val="28"/>
        <c:dLbl>
          <c:idx val="0"/>
          <c:showLegendKey val="0"/>
          <c:showVal val="1"/>
          <c:showCatName val="0"/>
          <c:showSerName val="0"/>
          <c:showPercent val="0"/>
          <c:showBubbleSize val="0"/>
          <c:extLst>
            <c:ext xmlns:c15="http://schemas.microsoft.com/office/drawing/2012/chart" uri="{CE6537A1-D6FC-4f65-9D91-7224C49458BB}"/>
          </c:extLst>
        </c:dLbl>
      </c:pivotFmt>
      <c:pivotFmt>
        <c:idx val="29"/>
        <c:dLbl>
          <c:idx val="0"/>
          <c:showLegendKey val="0"/>
          <c:showVal val="1"/>
          <c:showCatName val="0"/>
          <c:showSerName val="0"/>
          <c:showPercent val="0"/>
          <c:showBubbleSize val="0"/>
          <c:extLst>
            <c:ext xmlns:c15="http://schemas.microsoft.com/office/drawing/2012/chart" uri="{CE6537A1-D6FC-4f65-9D91-7224C49458BB}"/>
          </c:extLst>
        </c:dLbl>
      </c:pivotFmt>
      <c:pivotFmt>
        <c:idx val="30"/>
        <c:marker>
          <c:symbol val="none"/>
        </c:marker>
        <c:dLbl>
          <c:idx val="0"/>
          <c:spPr/>
          <c:txPr>
            <a:bodyPr/>
            <a:lstStyle/>
            <a:p>
              <a:pPr>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31"/>
        <c:marker>
          <c:symbol val="none"/>
        </c:marker>
        <c:dLbl>
          <c:idx val="0"/>
          <c:spPr/>
          <c:txPr>
            <a:bodyPr/>
            <a:lstStyle/>
            <a:p>
              <a:pPr>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32"/>
        <c:marker>
          <c:symbol val="none"/>
        </c:marker>
        <c:dLbl>
          <c:idx val="0"/>
          <c:spPr/>
          <c:txPr>
            <a:bodyPr/>
            <a:lstStyle/>
            <a:p>
              <a:pPr>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33"/>
        <c:marker>
          <c:symbol val="none"/>
        </c:marker>
        <c:dLbl>
          <c:idx val="0"/>
          <c:spPr/>
          <c:txPr>
            <a:bodyPr/>
            <a:lstStyle/>
            <a:p>
              <a:pPr>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'Grafica costos variables'!$B$3</c:f>
              <c:strCache>
                <c:ptCount val="1"/>
                <c:pt idx="0">
                  <c:v>Suma de ene-16</c:v>
                </c:pt>
              </c:strCache>
            </c:strRef>
          </c:tx>
          <c:invertIfNegative val="0"/>
          <c:dLbls>
            <c:spPr/>
            <c:txPr>
              <a:bodyPr/>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'Grafica costos variables'!$A$4:$A$8</c:f>
              <c:multiLvlStrCache>
                <c:ptCount val="1"/>
                <c:lvl>
                  <c:pt idx="0">
                    <c:v>0</c:v>
                  </c:pt>
                </c:lvl>
                <c:lvl>
                  <c:pt idx="0">
                    <c:v>0</c:v>
                  </c:pt>
                </c:lvl>
                <c:lvl>
                  <c:pt idx="0">
                    <c:v>COP/mes</c:v>
                  </c:pt>
                </c:lvl>
                <c:lvl>
                  <c:pt idx="0">
                    <c:v>Costo Consumo de aceite Lubricante  (DTE-832) </c:v>
                  </c:pt>
                </c:lvl>
              </c:multiLvlStrCache>
            </c:multiLvlStrRef>
          </c:cat>
          <c:val>
            <c:numRef>
              <c:f>'Grafica costos variables'!$B$4:$B$8</c:f>
              <c:numCache>
                <c:formatCode>_("$"\ * #,##0_);_("$"\ * \(#,##0\);_("$"\ * "-"??_);_(@_)</c:formatCode>
                <c:ptCount val="1"/>
                <c:pt idx="0">
                  <c:v>7069425</c:v>
                </c:pt>
              </c:numCache>
            </c:numRef>
          </c:val>
          <c:extLst>
            <c:ext xmlns:c16="http://schemas.microsoft.com/office/drawing/2014/chart" uri="{C3380CC4-5D6E-409C-BE32-E72D297353CC}">
              <c16:uniqueId val="{00000000-5755-4061-B255-D3A40CD8E587}"/>
            </c:ext>
          </c:extLst>
        </c:ser>
        <c:ser>
          <c:idx val="1"/>
          <c:order val="1"/>
          <c:tx>
            <c:strRef>
              <c:f>'Grafica costos variables'!$C$3</c:f>
              <c:strCache>
                <c:ptCount val="1"/>
                <c:pt idx="0">
                  <c:v>Suma de feb-16</c:v>
                </c:pt>
              </c:strCache>
            </c:strRef>
          </c:tx>
          <c:invertIfNegative val="0"/>
          <c:dLbls>
            <c:spPr/>
            <c:txPr>
              <a:bodyPr/>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'Grafica costos variables'!$A$4:$A$8</c:f>
              <c:multiLvlStrCache>
                <c:ptCount val="1"/>
                <c:lvl>
                  <c:pt idx="0">
                    <c:v>0</c:v>
                  </c:pt>
                </c:lvl>
                <c:lvl>
                  <c:pt idx="0">
                    <c:v>0</c:v>
                  </c:pt>
                </c:lvl>
                <c:lvl>
                  <c:pt idx="0">
                    <c:v>COP/mes</c:v>
                  </c:pt>
                </c:lvl>
                <c:lvl>
                  <c:pt idx="0">
                    <c:v>Costo Consumo de aceite Lubricante  (DTE-832) </c:v>
                  </c:pt>
                </c:lvl>
              </c:multiLvlStrCache>
            </c:multiLvlStrRef>
          </c:cat>
          <c:val>
            <c:numRef>
              <c:f>'Grafica costos variables'!$C$4:$C$8</c:f>
              <c:numCache>
                <c:formatCode>_("$"\ * #,##0_);_("$"\ * \(#,##0\);_("$"\ * "-"??_);_(@_)</c:formatCode>
                <c:ptCount val="1"/>
                <c:pt idx="0">
                  <c:v>11782375</c:v>
                </c:pt>
              </c:numCache>
            </c:numRef>
          </c:val>
          <c:extLst>
            <c:ext xmlns:c16="http://schemas.microsoft.com/office/drawing/2014/chart" uri="{C3380CC4-5D6E-409C-BE32-E72D297353CC}">
              <c16:uniqueId val="{00000001-5755-4061-B255-D3A40CD8E587}"/>
            </c:ext>
          </c:extLst>
        </c:ser>
        <c:ser>
          <c:idx val="2"/>
          <c:order val="2"/>
          <c:tx>
            <c:strRef>
              <c:f>'Grafica costos variables'!$D$3</c:f>
              <c:strCache>
                <c:ptCount val="1"/>
                <c:pt idx="0">
                  <c:v>Suma de mar-16</c:v>
                </c:pt>
              </c:strCache>
            </c:strRef>
          </c:tx>
          <c:invertIfNegative val="0"/>
          <c:dLbls>
            <c:spPr/>
            <c:txPr>
              <a:bodyPr/>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'Grafica costos variables'!$A$4:$A$8</c:f>
              <c:multiLvlStrCache>
                <c:ptCount val="1"/>
                <c:lvl>
                  <c:pt idx="0">
                    <c:v>0</c:v>
                  </c:pt>
                </c:lvl>
                <c:lvl>
                  <c:pt idx="0">
                    <c:v>0</c:v>
                  </c:pt>
                </c:lvl>
                <c:lvl>
                  <c:pt idx="0">
                    <c:v>COP/mes</c:v>
                  </c:pt>
                </c:lvl>
                <c:lvl>
                  <c:pt idx="0">
                    <c:v>Costo Consumo de aceite Lubricante  (DTE-832) </c:v>
                  </c:pt>
                </c:lvl>
              </c:multiLvlStrCache>
            </c:multiLvlStrRef>
          </c:cat>
          <c:val>
            <c:numRef>
              <c:f>'Grafica costos variables'!$D$4:$D$8</c:f>
              <c:numCache>
                <c:formatCode>_("$"\ * #,##0_);_("$"\ * \(#,##0\);_("$"\ * "-"??_);_(@_)</c:formatCode>
                <c:ptCount val="1"/>
                <c:pt idx="0">
                  <c:v>7069425</c:v>
                </c:pt>
              </c:numCache>
            </c:numRef>
          </c:val>
          <c:extLst>
            <c:ext xmlns:c16="http://schemas.microsoft.com/office/drawing/2014/chart" uri="{C3380CC4-5D6E-409C-BE32-E72D297353CC}">
              <c16:uniqueId val="{00000002-5755-4061-B255-D3A40CD8E587}"/>
            </c:ext>
          </c:extLst>
        </c:ser>
        <c:dLbls>
          <c:showLegendKey val="0"/>
          <c:showVal val="1"/>
          <c:showCatName val="0"/>
          <c:showSerName val="0"/>
          <c:showPercent val="0"/>
          <c:showBubbleSize val="0"/>
        </c:dLbls>
        <c:gapWidth val="126"/>
        <c:axId val="116060928"/>
        <c:axId val="116062464"/>
      </c:barChart>
      <c:catAx>
        <c:axId val="116060928"/>
        <c:scaling>
          <c:orientation val="minMax"/>
        </c:scaling>
        <c:delete val="0"/>
        <c:axPos val="b"/>
        <c:majorGridlines/>
        <c:numFmt formatCode="General" sourceLinked="0"/>
        <c:majorTickMark val="out"/>
        <c:minorTickMark val="none"/>
        <c:tickLblPos val="nextTo"/>
        <c:crossAx val="116062464"/>
        <c:crosses val="autoZero"/>
        <c:auto val="1"/>
        <c:lblAlgn val="ctr"/>
        <c:lblOffset val="100"/>
        <c:noMultiLvlLbl val="0"/>
      </c:catAx>
      <c:valAx>
        <c:axId val="116062464"/>
        <c:scaling>
          <c:orientation val="minMax"/>
        </c:scaling>
        <c:delete val="0"/>
        <c:axPos val="l"/>
        <c:majorGridlines/>
        <c:title>
          <c:tx>
            <c:rich>
              <a:bodyPr rot="-5400000" vert="horz"/>
              <a:lstStyle/>
              <a:p>
                <a:pPr>
                  <a:defRPr/>
                </a:pPr>
                <a:r>
                  <a:rPr lang="en-US"/>
                  <a:t>Costo</a:t>
                </a:r>
              </a:p>
            </c:rich>
          </c:tx>
          <c:overlay val="0"/>
        </c:title>
        <c:numFmt formatCode="_(&quot;$&quot;\ * #,##0_);_(&quot;$&quot;\ * \(#,##0\);_(&quot;$&quot;\ * &quot;-&quot;??_);_(@_)" sourceLinked="1"/>
        <c:majorTickMark val="out"/>
        <c:minorTickMark val="none"/>
        <c:tickLblPos val="nextTo"/>
        <c:crossAx val="116060928"/>
        <c:crosses val="autoZero"/>
        <c:crossBetween val="between"/>
      </c:valAx>
    </c:plotArea>
    <c:legend>
      <c:legendPos val="r"/>
      <c:overlay val="0"/>
    </c:legend>
    <c:plotVisOnly val="1"/>
    <c:dispBlanksAs val="gap"/>
    <c:showDLblsOverMax val="0"/>
  </c:chart>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2"/>
    </mc:Choice>
    <mc:Fallback>
      <c:style val="42"/>
    </mc:Fallback>
  </mc:AlternateContent>
  <c:pivotSource>
    <c:name>[Ecopetrol Bal-Energia y Consumo Total 2023.xlsm]metricas!Tabla dinámica16</c:name>
    <c:fmtId val="1"/>
  </c:pivotSource>
  <c:chart>
    <c:title>
      <c:tx>
        <c:rich>
          <a:bodyPr/>
          <a:lstStyle/>
          <a:p>
            <a:pPr>
              <a:defRPr/>
            </a:pPr>
            <a:r>
              <a:rPr lang="es-CO"/>
              <a:t>Metricas de desempeño técnico </a:t>
            </a:r>
          </a:p>
        </c:rich>
      </c:tx>
      <c:overlay val="0"/>
    </c:title>
    <c:autoTitleDeleted val="0"/>
    <c:pivotFmts>
      <c:pivotFmt>
        <c:idx val="0"/>
        <c:marker>
          <c:symbol val="none"/>
        </c:marker>
        <c:dLbl>
          <c:idx val="0"/>
          <c:spPr/>
          <c:txPr>
            <a:bodyPr/>
            <a:lstStyle/>
            <a:p>
              <a:pPr>
                <a:defRPr sz="700" baseline="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marker>
          <c:symbol val="none"/>
        </c:marker>
        <c:dLbl>
          <c:idx val="0"/>
          <c:spPr/>
          <c:txPr>
            <a:bodyPr/>
            <a:lstStyle/>
            <a:p>
              <a:pPr>
                <a:defRPr sz="700" baseline="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
        <c:marker>
          <c:symbol val="none"/>
        </c:marker>
        <c:dLbl>
          <c:idx val="0"/>
          <c:spPr/>
          <c:txPr>
            <a:bodyPr/>
            <a:lstStyle/>
            <a:p>
              <a:pPr>
                <a:defRPr sz="700" baseline="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c:txPr>
            <a:bodyPr/>
            <a:lstStyle/>
            <a:p>
              <a:pPr>
                <a:defRPr sz="700" baseline="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4"/>
        <c:marker>
          <c:symbol val="none"/>
        </c:marker>
        <c:dLbl>
          <c:idx val="0"/>
          <c:spPr/>
          <c:txPr>
            <a:bodyPr/>
            <a:lstStyle/>
            <a:p>
              <a:pPr>
                <a:defRPr sz="700" baseline="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dLbl>
          <c:idx val="0"/>
          <c:spPr/>
          <c:txPr>
            <a:bodyPr/>
            <a:lstStyle/>
            <a:p>
              <a:pPr>
                <a:defRPr sz="700" baseline="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3"/>
        <c:marker>
          <c:symbol val="none"/>
        </c:marker>
        <c:dLbl>
          <c:idx val="0"/>
          <c:spPr/>
          <c:txPr>
            <a:bodyPr/>
            <a:lstStyle/>
            <a:p>
              <a:pPr>
                <a:defRPr sz="700" baseline="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4"/>
        <c:marker>
          <c:symbol val="none"/>
        </c:marker>
        <c:dLbl>
          <c:idx val="0"/>
          <c:spPr/>
          <c:txPr>
            <a:bodyPr/>
            <a:lstStyle/>
            <a:p>
              <a:pPr>
                <a:defRPr sz="700" baseline="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5"/>
        <c:marker>
          <c:symbol val="none"/>
        </c:marker>
        <c:dLbl>
          <c:idx val="0"/>
          <c:spPr/>
          <c:txPr>
            <a:bodyPr/>
            <a:lstStyle/>
            <a:p>
              <a:pPr>
                <a:defRPr sz="700" baseline="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6"/>
        <c:marker>
          <c:symbol val="none"/>
        </c:marker>
        <c:dLbl>
          <c:idx val="0"/>
          <c:spPr/>
          <c:txPr>
            <a:bodyPr/>
            <a:lstStyle/>
            <a:p>
              <a:pPr>
                <a:defRPr sz="700" baseline="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7"/>
        <c:marker>
          <c:symbol val="none"/>
        </c:marker>
        <c:dLbl>
          <c:idx val="0"/>
          <c:spPr/>
          <c:txPr>
            <a:bodyPr/>
            <a:lstStyle/>
            <a:p>
              <a:pPr>
                <a:defRPr sz="700" baseline="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8"/>
        <c:marker>
          <c:symbol val="none"/>
        </c:marker>
        <c:dLbl>
          <c:idx val="0"/>
          <c:spPr/>
          <c:txPr>
            <a:bodyPr/>
            <a:lstStyle/>
            <a:p>
              <a:pPr>
                <a:defRPr sz="700" baseline="0"/>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dLbl>
          <c:idx val="0"/>
          <c:spPr/>
          <c:txPr>
            <a:bodyPr/>
            <a:lstStyle/>
            <a:p>
              <a:pPr>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6"/>
        <c:marker>
          <c:symbol val="none"/>
        </c:marker>
        <c:dLbl>
          <c:idx val="0"/>
          <c:spPr/>
          <c:txPr>
            <a:bodyPr/>
            <a:lstStyle/>
            <a:p>
              <a:pPr>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7"/>
        <c:marker>
          <c:symbol val="none"/>
        </c:marker>
        <c:dLbl>
          <c:idx val="0"/>
          <c:spPr/>
          <c:txPr>
            <a:bodyPr/>
            <a:lstStyle/>
            <a:p>
              <a:pPr>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dLbl>
          <c:idx val="0"/>
          <c:spPr/>
          <c:txPr>
            <a:bodyPr/>
            <a:lstStyle/>
            <a:p>
              <a:pPr>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29"/>
        <c:marker>
          <c:symbol val="none"/>
        </c:marker>
        <c:dLbl>
          <c:idx val="0"/>
          <c:spPr/>
          <c:txPr>
            <a:bodyPr/>
            <a:lstStyle/>
            <a:p>
              <a:pPr>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30"/>
        <c:marker>
          <c:symbol val="none"/>
        </c:marker>
        <c:dLbl>
          <c:idx val="0"/>
          <c:spPr/>
          <c:txPr>
            <a:bodyPr/>
            <a:lstStyle/>
            <a:p>
              <a:pPr>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31"/>
        <c:marker>
          <c:symbol val="none"/>
        </c:marker>
        <c:dLbl>
          <c:idx val="0"/>
          <c:spPr/>
          <c:txPr>
            <a:bodyPr/>
            <a:lstStyle/>
            <a:p>
              <a:pPr>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32"/>
        <c:marker>
          <c:symbol val="none"/>
        </c:marker>
        <c:dLbl>
          <c:idx val="0"/>
          <c:spPr/>
          <c:txPr>
            <a:bodyPr/>
            <a:lstStyle/>
            <a:p>
              <a:pPr>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33"/>
        <c:marker>
          <c:symbol val="none"/>
        </c:marker>
        <c:dLbl>
          <c:idx val="0"/>
          <c:spPr/>
          <c:txPr>
            <a:bodyPr/>
            <a:lstStyle/>
            <a:p>
              <a:pPr>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34"/>
        <c:marker>
          <c:symbol val="none"/>
        </c:marker>
        <c:dLbl>
          <c:idx val="0"/>
          <c:spPr/>
          <c:txPr>
            <a:bodyPr/>
            <a:lstStyle/>
            <a:p>
              <a:pPr>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marker>
          <c:symbol val="none"/>
        </c:marker>
      </c:pivotFmt>
      <c:pivotFmt>
        <c:idx val="36"/>
        <c:marker>
          <c:symbol val="none"/>
        </c:marker>
      </c:pivotFmt>
    </c:pivotFmts>
    <c:plotArea>
      <c:layout>
        <c:manualLayout>
          <c:layoutTarget val="inner"/>
          <c:xMode val="edge"/>
          <c:yMode val="edge"/>
          <c:x val="6.1336279213963535E-2"/>
          <c:y val="0.12750775471247913"/>
          <c:w val="0.78404399368609601"/>
          <c:h val="0.79657814364113577"/>
        </c:manualLayout>
      </c:layout>
      <c:barChart>
        <c:barDir val="col"/>
        <c:grouping val="clustered"/>
        <c:varyColors val="0"/>
        <c:ser>
          <c:idx val="0"/>
          <c:order val="0"/>
          <c:tx>
            <c:strRef>
              <c:f>metricas!$B$2</c:f>
              <c:strCache>
                <c:ptCount val="1"/>
                <c:pt idx="0">
                  <c:v>Enero</c:v>
                </c:pt>
              </c:strCache>
            </c:strRef>
          </c:tx>
          <c:invertIfNegative val="0"/>
          <c:dLbls>
            <c:spPr/>
            <c:txPr>
              <a:bodyPr/>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metricas!$A$3:$A$4</c:f>
              <c:strCache>
                <c:ptCount val="1"/>
                <c:pt idx="0">
                  <c:v>MW (mes)</c:v>
                </c:pt>
              </c:strCache>
            </c:strRef>
          </c:cat>
          <c:val>
            <c:numRef>
              <c:f>metricas!$B$3:$B$4</c:f>
              <c:numCache>
                <c:formatCode>0.00</c:formatCode>
                <c:ptCount val="1"/>
                <c:pt idx="0">
                  <c:v>-92.23</c:v>
                </c:pt>
              </c:numCache>
            </c:numRef>
          </c:val>
          <c:extLst>
            <c:ext xmlns:c16="http://schemas.microsoft.com/office/drawing/2014/chart" uri="{C3380CC4-5D6E-409C-BE32-E72D297353CC}">
              <c16:uniqueId val="{00000000-9269-4185-8291-009F69E5D5F8}"/>
            </c:ext>
          </c:extLst>
        </c:ser>
        <c:ser>
          <c:idx val="1"/>
          <c:order val="1"/>
          <c:tx>
            <c:strRef>
              <c:f>metricas!$C$2</c:f>
              <c:strCache>
                <c:ptCount val="1"/>
                <c:pt idx="0">
                  <c:v>Febrero</c:v>
                </c:pt>
              </c:strCache>
            </c:strRef>
          </c:tx>
          <c:invertIfNegative val="0"/>
          <c:dLbls>
            <c:spPr/>
            <c:txPr>
              <a:bodyPr/>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metricas!$A$3:$A$4</c:f>
              <c:strCache>
                <c:ptCount val="1"/>
                <c:pt idx="0">
                  <c:v>MW (mes)</c:v>
                </c:pt>
              </c:strCache>
            </c:strRef>
          </c:cat>
          <c:val>
            <c:numRef>
              <c:f>metricas!$C$3:$C$4</c:f>
              <c:numCache>
                <c:formatCode>0.00</c:formatCode>
                <c:ptCount val="1"/>
                <c:pt idx="0">
                  <c:v>-86.28</c:v>
                </c:pt>
              </c:numCache>
            </c:numRef>
          </c:val>
          <c:extLst>
            <c:ext xmlns:c16="http://schemas.microsoft.com/office/drawing/2014/chart" uri="{C3380CC4-5D6E-409C-BE32-E72D297353CC}">
              <c16:uniqueId val="{00000001-9269-4185-8291-009F69E5D5F8}"/>
            </c:ext>
          </c:extLst>
        </c:ser>
        <c:ser>
          <c:idx val="2"/>
          <c:order val="2"/>
          <c:tx>
            <c:strRef>
              <c:f>metricas!$D$2</c:f>
              <c:strCache>
                <c:ptCount val="1"/>
                <c:pt idx="0">
                  <c:v>Marzo</c:v>
                </c:pt>
              </c:strCache>
            </c:strRef>
          </c:tx>
          <c:invertIfNegative val="0"/>
          <c:dLbls>
            <c:spPr/>
            <c:txPr>
              <a:bodyPr/>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metricas!$A$3:$A$4</c:f>
              <c:strCache>
                <c:ptCount val="1"/>
                <c:pt idx="0">
                  <c:v>MW (mes)</c:v>
                </c:pt>
              </c:strCache>
            </c:strRef>
          </c:cat>
          <c:val>
            <c:numRef>
              <c:f>metricas!$D$3:$D$4</c:f>
              <c:numCache>
                <c:formatCode>0.00</c:formatCode>
                <c:ptCount val="1"/>
                <c:pt idx="0">
                  <c:v>-92.23</c:v>
                </c:pt>
              </c:numCache>
            </c:numRef>
          </c:val>
          <c:extLst>
            <c:ext xmlns:c16="http://schemas.microsoft.com/office/drawing/2014/chart" uri="{C3380CC4-5D6E-409C-BE32-E72D297353CC}">
              <c16:uniqueId val="{00000002-9269-4185-8291-009F69E5D5F8}"/>
            </c:ext>
          </c:extLst>
        </c:ser>
        <c:ser>
          <c:idx val="3"/>
          <c:order val="3"/>
          <c:tx>
            <c:strRef>
              <c:f>metricas!$E$2</c:f>
              <c:strCache>
                <c:ptCount val="1"/>
                <c:pt idx="0">
                  <c:v>Abril</c:v>
                </c:pt>
              </c:strCache>
            </c:strRef>
          </c:tx>
          <c:invertIfNegative val="0"/>
          <c:dLbls>
            <c:spPr/>
            <c:txPr>
              <a:bodyPr/>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metricas!$A$3:$A$4</c:f>
              <c:strCache>
                <c:ptCount val="1"/>
                <c:pt idx="0">
                  <c:v>MW (mes)</c:v>
                </c:pt>
              </c:strCache>
            </c:strRef>
          </c:cat>
          <c:val>
            <c:numRef>
              <c:f>metricas!$E$3:$E$4</c:f>
              <c:numCache>
                <c:formatCode>0.00</c:formatCode>
                <c:ptCount val="1"/>
                <c:pt idx="0">
                  <c:v>-89.254999999999995</c:v>
                </c:pt>
              </c:numCache>
            </c:numRef>
          </c:val>
          <c:extLst>
            <c:ext xmlns:c16="http://schemas.microsoft.com/office/drawing/2014/chart" uri="{C3380CC4-5D6E-409C-BE32-E72D297353CC}">
              <c16:uniqueId val="{00000003-9269-4185-8291-009F69E5D5F8}"/>
            </c:ext>
          </c:extLst>
        </c:ser>
        <c:ser>
          <c:idx val="4"/>
          <c:order val="4"/>
          <c:tx>
            <c:strRef>
              <c:f>metricas!$F$2</c:f>
              <c:strCache>
                <c:ptCount val="1"/>
                <c:pt idx="0">
                  <c:v>Mayo</c:v>
                </c:pt>
              </c:strCache>
            </c:strRef>
          </c:tx>
          <c:invertIfNegative val="0"/>
          <c:dLbls>
            <c:spPr/>
            <c:txPr>
              <a:bodyPr/>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metricas!$A$3:$A$4</c:f>
              <c:strCache>
                <c:ptCount val="1"/>
                <c:pt idx="0">
                  <c:v>MW (mes)</c:v>
                </c:pt>
              </c:strCache>
            </c:strRef>
          </c:cat>
          <c:val>
            <c:numRef>
              <c:f>metricas!$F$3:$F$4</c:f>
              <c:numCache>
                <c:formatCode>0.00</c:formatCode>
                <c:ptCount val="1"/>
                <c:pt idx="0">
                  <c:v>-92.23</c:v>
                </c:pt>
              </c:numCache>
            </c:numRef>
          </c:val>
          <c:extLst>
            <c:ext xmlns:c16="http://schemas.microsoft.com/office/drawing/2014/chart" uri="{C3380CC4-5D6E-409C-BE32-E72D297353CC}">
              <c16:uniqueId val="{00000004-9269-4185-8291-009F69E5D5F8}"/>
            </c:ext>
          </c:extLst>
        </c:ser>
        <c:ser>
          <c:idx val="5"/>
          <c:order val="5"/>
          <c:tx>
            <c:strRef>
              <c:f>metricas!$G$2</c:f>
              <c:strCache>
                <c:ptCount val="1"/>
                <c:pt idx="0">
                  <c:v>Junio</c:v>
                </c:pt>
              </c:strCache>
            </c:strRef>
          </c:tx>
          <c:invertIfNegative val="0"/>
          <c:dLbls>
            <c:spPr/>
            <c:txPr>
              <a:bodyPr/>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metricas!$A$3:$A$4</c:f>
              <c:strCache>
                <c:ptCount val="1"/>
                <c:pt idx="0">
                  <c:v>MW (mes)</c:v>
                </c:pt>
              </c:strCache>
            </c:strRef>
          </c:cat>
          <c:val>
            <c:numRef>
              <c:f>metricas!$G$3:$G$4</c:f>
              <c:numCache>
                <c:formatCode>0.00</c:formatCode>
                <c:ptCount val="1"/>
                <c:pt idx="0">
                  <c:v>-89.254999999999995</c:v>
                </c:pt>
              </c:numCache>
            </c:numRef>
          </c:val>
          <c:extLst>
            <c:ext xmlns:c16="http://schemas.microsoft.com/office/drawing/2014/chart" uri="{C3380CC4-5D6E-409C-BE32-E72D297353CC}">
              <c16:uniqueId val="{00000005-9269-4185-8291-009F69E5D5F8}"/>
            </c:ext>
          </c:extLst>
        </c:ser>
        <c:ser>
          <c:idx val="6"/>
          <c:order val="6"/>
          <c:tx>
            <c:strRef>
              <c:f>metricas!$H$2</c:f>
              <c:strCache>
                <c:ptCount val="1"/>
                <c:pt idx="0">
                  <c:v>Julio</c:v>
                </c:pt>
              </c:strCache>
            </c:strRef>
          </c:tx>
          <c:invertIfNegative val="0"/>
          <c:dLbls>
            <c:spPr/>
            <c:txPr>
              <a:bodyPr/>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metricas!$A$3:$A$4</c:f>
              <c:strCache>
                <c:ptCount val="1"/>
                <c:pt idx="0">
                  <c:v>MW (mes)</c:v>
                </c:pt>
              </c:strCache>
            </c:strRef>
          </c:cat>
          <c:val>
            <c:numRef>
              <c:f>metricas!$H$3:$H$4</c:f>
              <c:numCache>
                <c:formatCode>0.00</c:formatCode>
                <c:ptCount val="1"/>
                <c:pt idx="0">
                  <c:v>-92.23</c:v>
                </c:pt>
              </c:numCache>
            </c:numRef>
          </c:val>
          <c:extLst>
            <c:ext xmlns:c16="http://schemas.microsoft.com/office/drawing/2014/chart" uri="{C3380CC4-5D6E-409C-BE32-E72D297353CC}">
              <c16:uniqueId val="{00000006-9269-4185-8291-009F69E5D5F8}"/>
            </c:ext>
          </c:extLst>
        </c:ser>
        <c:ser>
          <c:idx val="7"/>
          <c:order val="7"/>
          <c:tx>
            <c:strRef>
              <c:f>metricas!$I$2</c:f>
              <c:strCache>
                <c:ptCount val="1"/>
                <c:pt idx="0">
                  <c:v>Agosto</c:v>
                </c:pt>
              </c:strCache>
            </c:strRef>
          </c:tx>
          <c:invertIfNegative val="0"/>
          <c:dLbls>
            <c:spPr/>
            <c:txPr>
              <a:bodyPr/>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metricas!$A$3:$A$4</c:f>
              <c:strCache>
                <c:ptCount val="1"/>
                <c:pt idx="0">
                  <c:v>MW (mes)</c:v>
                </c:pt>
              </c:strCache>
            </c:strRef>
          </c:cat>
          <c:val>
            <c:numRef>
              <c:f>metricas!$I$3:$I$4</c:f>
              <c:numCache>
                <c:formatCode>0.00</c:formatCode>
                <c:ptCount val="1"/>
                <c:pt idx="0">
                  <c:v>-92.23</c:v>
                </c:pt>
              </c:numCache>
            </c:numRef>
          </c:val>
          <c:extLst>
            <c:ext xmlns:c16="http://schemas.microsoft.com/office/drawing/2014/chart" uri="{C3380CC4-5D6E-409C-BE32-E72D297353CC}">
              <c16:uniqueId val="{00000007-9269-4185-8291-009F69E5D5F8}"/>
            </c:ext>
          </c:extLst>
        </c:ser>
        <c:ser>
          <c:idx val="8"/>
          <c:order val="8"/>
          <c:tx>
            <c:strRef>
              <c:f>metricas!$J$2</c:f>
              <c:strCache>
                <c:ptCount val="1"/>
                <c:pt idx="0">
                  <c:v>Septiembre</c:v>
                </c:pt>
              </c:strCache>
            </c:strRef>
          </c:tx>
          <c:invertIfNegative val="0"/>
          <c:dLbls>
            <c:spPr/>
            <c:txPr>
              <a:bodyPr/>
              <a:lstStyle/>
              <a:p>
                <a:pPr>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metricas!$A$3:$A$4</c:f>
              <c:strCache>
                <c:ptCount val="1"/>
                <c:pt idx="0">
                  <c:v>MW (mes)</c:v>
                </c:pt>
              </c:strCache>
            </c:strRef>
          </c:cat>
          <c:val>
            <c:numRef>
              <c:f>metricas!$J$3:$J$4</c:f>
              <c:numCache>
                <c:formatCode>0.00</c:formatCode>
                <c:ptCount val="1"/>
                <c:pt idx="0">
                  <c:v>-89.254999999999995</c:v>
                </c:pt>
              </c:numCache>
            </c:numRef>
          </c:val>
          <c:extLst>
            <c:ext xmlns:c16="http://schemas.microsoft.com/office/drawing/2014/chart" uri="{C3380CC4-5D6E-409C-BE32-E72D297353CC}">
              <c16:uniqueId val="{00000008-9269-4185-8291-009F69E5D5F8}"/>
            </c:ext>
          </c:extLst>
        </c:ser>
        <c:ser>
          <c:idx val="9"/>
          <c:order val="9"/>
          <c:tx>
            <c:strRef>
              <c:f>metricas!$K$2</c:f>
              <c:strCache>
                <c:ptCount val="1"/>
                <c:pt idx="0">
                  <c:v>Octubre</c:v>
                </c:pt>
              </c:strCache>
            </c:strRef>
          </c:tx>
          <c:invertIfNegative val="0"/>
          <c:dLbls>
            <c:spPr/>
            <c:txPr>
              <a:bodyPr/>
              <a:lstStyle/>
              <a:p>
                <a:pPr>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metricas!$A$3:$A$4</c:f>
              <c:strCache>
                <c:ptCount val="1"/>
                <c:pt idx="0">
                  <c:v>MW (mes)</c:v>
                </c:pt>
              </c:strCache>
            </c:strRef>
          </c:cat>
          <c:val>
            <c:numRef>
              <c:f>metricas!$K$3:$K$4</c:f>
              <c:numCache>
                <c:formatCode>0.00</c:formatCode>
                <c:ptCount val="1"/>
                <c:pt idx="0">
                  <c:v>-92.23</c:v>
                </c:pt>
              </c:numCache>
            </c:numRef>
          </c:val>
          <c:extLst>
            <c:ext xmlns:c16="http://schemas.microsoft.com/office/drawing/2014/chart" uri="{C3380CC4-5D6E-409C-BE32-E72D297353CC}">
              <c16:uniqueId val="{00000009-9269-4185-8291-009F69E5D5F8}"/>
            </c:ext>
          </c:extLst>
        </c:ser>
        <c:ser>
          <c:idx val="10"/>
          <c:order val="10"/>
          <c:tx>
            <c:strRef>
              <c:f>metricas!$L$2</c:f>
              <c:strCache>
                <c:ptCount val="1"/>
                <c:pt idx="0">
                  <c:v>Noviembre</c:v>
                </c:pt>
              </c:strCache>
            </c:strRef>
          </c:tx>
          <c:invertIfNegative val="0"/>
          <c:cat>
            <c:strRef>
              <c:f>metricas!$A$3:$A$4</c:f>
              <c:strCache>
                <c:ptCount val="1"/>
                <c:pt idx="0">
                  <c:v>MW (mes)</c:v>
                </c:pt>
              </c:strCache>
            </c:strRef>
          </c:cat>
          <c:val>
            <c:numRef>
              <c:f>metricas!$L$3:$L$4</c:f>
              <c:numCache>
                <c:formatCode>0.00</c:formatCode>
                <c:ptCount val="1"/>
                <c:pt idx="0">
                  <c:v>-89.254999999999995</c:v>
                </c:pt>
              </c:numCache>
            </c:numRef>
          </c:val>
          <c:extLst>
            <c:ext xmlns:c16="http://schemas.microsoft.com/office/drawing/2014/chart" uri="{C3380CC4-5D6E-409C-BE32-E72D297353CC}">
              <c16:uniqueId val="{0000000A-9269-4185-8291-009F69E5D5F8}"/>
            </c:ext>
          </c:extLst>
        </c:ser>
        <c:ser>
          <c:idx val="11"/>
          <c:order val="11"/>
          <c:tx>
            <c:strRef>
              <c:f>metricas!$M$2</c:f>
              <c:strCache>
                <c:ptCount val="1"/>
                <c:pt idx="0">
                  <c:v>Diciembre</c:v>
                </c:pt>
              </c:strCache>
            </c:strRef>
          </c:tx>
          <c:invertIfNegative val="0"/>
          <c:cat>
            <c:strRef>
              <c:f>metricas!$A$3:$A$4</c:f>
              <c:strCache>
                <c:ptCount val="1"/>
                <c:pt idx="0">
                  <c:v>MW (mes)</c:v>
                </c:pt>
              </c:strCache>
            </c:strRef>
          </c:cat>
          <c:val>
            <c:numRef>
              <c:f>metricas!$M$3:$M$4</c:f>
              <c:numCache>
                <c:formatCode>0.000</c:formatCode>
                <c:ptCount val="1"/>
                <c:pt idx="0">
                  <c:v>0</c:v>
                </c:pt>
              </c:numCache>
            </c:numRef>
          </c:val>
          <c:extLst>
            <c:ext xmlns:c16="http://schemas.microsoft.com/office/drawing/2014/chart" uri="{C3380CC4-5D6E-409C-BE32-E72D297353CC}">
              <c16:uniqueId val="{0000000B-9269-4185-8291-009F69E5D5F8}"/>
            </c:ext>
          </c:extLst>
        </c:ser>
        <c:dLbls>
          <c:showLegendKey val="0"/>
          <c:showVal val="0"/>
          <c:showCatName val="0"/>
          <c:showSerName val="0"/>
          <c:showPercent val="0"/>
          <c:showBubbleSize val="0"/>
        </c:dLbls>
        <c:gapWidth val="150"/>
        <c:axId val="117638272"/>
        <c:axId val="117639808"/>
      </c:barChart>
      <c:catAx>
        <c:axId val="117638272"/>
        <c:scaling>
          <c:orientation val="minMax"/>
        </c:scaling>
        <c:delete val="0"/>
        <c:axPos val="b"/>
        <c:numFmt formatCode="General" sourceLinked="0"/>
        <c:majorTickMark val="out"/>
        <c:minorTickMark val="none"/>
        <c:tickLblPos val="nextTo"/>
        <c:crossAx val="117639808"/>
        <c:crosses val="autoZero"/>
        <c:auto val="1"/>
        <c:lblAlgn val="ctr"/>
        <c:lblOffset val="100"/>
        <c:noMultiLvlLbl val="0"/>
      </c:catAx>
      <c:valAx>
        <c:axId val="117639808"/>
        <c:scaling>
          <c:orientation val="minMax"/>
        </c:scaling>
        <c:delete val="0"/>
        <c:axPos val="l"/>
        <c:majorGridlines/>
        <c:numFmt formatCode="0.00" sourceLinked="1"/>
        <c:majorTickMark val="out"/>
        <c:minorTickMark val="none"/>
        <c:tickLblPos val="nextTo"/>
        <c:crossAx val="117638272"/>
        <c:crosses val="autoZero"/>
        <c:crossBetween val="between"/>
      </c:valAx>
    </c:plotArea>
    <c:legend>
      <c:legendPos val="r"/>
      <c:layout>
        <c:manualLayout>
          <c:xMode val="edge"/>
          <c:yMode val="edge"/>
          <c:x val="0.86172960645493324"/>
          <c:y val="0.20825769506084468"/>
          <c:w val="0.1197184882293106"/>
          <c:h val="0.65756048675733714"/>
        </c:manualLayout>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16" fmlaLink="$B$172" max="12" min="1" page="1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cid:image001.png@01D8E67E.5B83ED30" TargetMode="External"/><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image" Target="../media/image9.png"/><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chart" Target="../charts/chart16.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5" Type="http://schemas.openxmlformats.org/officeDocument/2006/relationships/chart" Target="../charts/chart1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 Id="rId14" Type="http://schemas.openxmlformats.org/officeDocument/2006/relationships/chart" Target="../charts/chart17.xml"/></Relationships>
</file>

<file path=xl/drawings/_rels/drawing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5.png"/><Relationship Id="rId1"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3" Type="http://schemas.openxmlformats.org/officeDocument/2006/relationships/hyperlink" Target="#grafica1!B2"/><Relationship Id="rId2" Type="http://schemas.openxmlformats.org/officeDocument/2006/relationships/hyperlink" Target="#'Grafica totales'!B2"/><Relationship Id="rId1" Type="http://schemas.openxmlformats.org/officeDocument/2006/relationships/hyperlink" Target="#'Datos Mes2'!B2"/><Relationship Id="rId5" Type="http://schemas.openxmlformats.org/officeDocument/2006/relationships/hyperlink" Target="#metricas!B2"/><Relationship Id="rId4" Type="http://schemas.openxmlformats.org/officeDocument/2006/relationships/hyperlink" Target="#'Grafica costos variables'!B2"/></Relationships>
</file>

<file path=xl/drawings/_rels/drawing1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3.jpeg"/></Relationships>
</file>

<file path=xl/drawings/_rels/drawing14.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7.xml.rels><?xml version="1.0" encoding="UTF-8" standalone="yes"?>
<Relationships xmlns="http://schemas.openxmlformats.org/package/2006/relationships"><Relationship Id="rId8" Type="http://schemas.openxmlformats.org/officeDocument/2006/relationships/chart" Target="../charts/chart27.xml"/><Relationship Id="rId3" Type="http://schemas.openxmlformats.org/officeDocument/2006/relationships/chart" Target="../charts/chart22.xml"/><Relationship Id="rId7" Type="http://schemas.openxmlformats.org/officeDocument/2006/relationships/chart" Target="../charts/chart26.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10" Type="http://schemas.openxmlformats.org/officeDocument/2006/relationships/chart" Target="../charts/chart29.xml"/><Relationship Id="rId4" Type="http://schemas.openxmlformats.org/officeDocument/2006/relationships/chart" Target="../charts/chart23.xml"/><Relationship Id="rId9" Type="http://schemas.openxmlformats.org/officeDocument/2006/relationships/chart" Target="../charts/chart28.xml"/></Relationships>
</file>

<file path=xl/drawings/_rels/drawing1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3.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0.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3.jpeg"/></Relationships>
</file>

<file path=xl/drawings/_rels/drawing21.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image" Target="../media/image3.jpeg"/></Relationships>
</file>

<file path=xl/drawings/_rels/drawing22.xml.rels><?xml version="1.0" encoding="UTF-8" standalone="yes"?>
<Relationships xmlns="http://schemas.openxmlformats.org/package/2006/relationships"><Relationship Id="rId3" Type="http://schemas.openxmlformats.org/officeDocument/2006/relationships/chart" Target="../charts/chart34.xml"/><Relationship Id="rId2" Type="http://schemas.openxmlformats.org/officeDocument/2006/relationships/chart" Target="../charts/chart33.xml"/><Relationship Id="rId1" Type="http://schemas.openxmlformats.org/officeDocument/2006/relationships/chart" Target="../charts/chart32.xml"/><Relationship Id="rId4" Type="http://schemas.openxmlformats.org/officeDocument/2006/relationships/chart" Target="../charts/chart35.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40.xml"/></Relationships>
</file>

<file path=xl/drawings/_rels/drawing27.xml.rels><?xml version="1.0" encoding="UTF-8" standalone="yes"?>
<Relationships xmlns="http://schemas.openxmlformats.org/package/2006/relationships"><Relationship Id="rId3" Type="http://schemas.openxmlformats.org/officeDocument/2006/relationships/hyperlink" Target="#'Resultados Mes &amp; Acum'!B73"/><Relationship Id="rId2" Type="http://schemas.openxmlformats.org/officeDocument/2006/relationships/hyperlink" Target="#'Resultados Mes &amp; Acum'!B5"/><Relationship Id="rId1" Type="http://schemas.openxmlformats.org/officeDocument/2006/relationships/hyperlink" Target="#'Datos Mes'!B2"/><Relationship Id="rId4" Type="http://schemas.openxmlformats.org/officeDocument/2006/relationships/hyperlink" Target="#'Resultados Mes &amp; Acum'!B141"/></Relationships>
</file>

<file path=xl/drawings/_rels/drawing28.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29.xml.rels><?xml version="1.0" encoding="UTF-8" standalone="yes"?>
<Relationships xmlns="http://schemas.openxmlformats.org/package/2006/relationships"><Relationship Id="rId3" Type="http://schemas.openxmlformats.org/officeDocument/2006/relationships/hyperlink" Target="#'Grafica totales'!A1"/><Relationship Id="rId2" Type="http://schemas.openxmlformats.org/officeDocument/2006/relationships/hyperlink" Target="#'Resultados Mes &amp; Acum'!B141"/><Relationship Id="rId1" Type="http://schemas.openxmlformats.org/officeDocument/2006/relationships/hyperlink" Target="#'Datos Mes'!B2"/></Relationships>
</file>

<file path=xl/drawings/_rels/drawing30.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image" Target="../media/image3.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12</xdr:col>
      <xdr:colOff>395112</xdr:colOff>
      <xdr:row>10</xdr:row>
      <xdr:rowOff>108390</xdr:rowOff>
    </xdr:from>
    <xdr:to>
      <xdr:col>16</xdr:col>
      <xdr:colOff>15617</xdr:colOff>
      <xdr:row>12</xdr:row>
      <xdr:rowOff>186972</xdr:rowOff>
    </xdr:to>
    <xdr:sp macro="[0]!CONSUMOANUAL" textlink="">
      <xdr:nvSpPr>
        <xdr:cNvPr id="20" name="19 CuadroTexto">
          <a:extLst>
            <a:ext uri="{FF2B5EF4-FFF2-40B4-BE49-F238E27FC236}">
              <a16:creationId xmlns:a16="http://schemas.microsoft.com/office/drawing/2014/main" id="{00000000-0008-0000-0000-000014000000}"/>
            </a:ext>
          </a:extLst>
        </xdr:cNvPr>
        <xdr:cNvSpPr txBox="1"/>
      </xdr:nvSpPr>
      <xdr:spPr>
        <a:xfrm>
          <a:off x="5834945" y="2154501"/>
          <a:ext cx="1454950" cy="487804"/>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algn="ctr"/>
          <a:r>
            <a:rPr lang="es-CO" sz="1050" b="1" i="1">
              <a:solidFill>
                <a:schemeClr val="bg1"/>
              </a:solidFill>
              <a:effectLst/>
              <a:latin typeface="+mn-lt"/>
              <a:ea typeface="+mn-ea"/>
              <a:cs typeface="+mn-cs"/>
            </a:rPr>
            <a:t>7 - CONSUMO</a:t>
          </a:r>
          <a:r>
            <a:rPr lang="es-CO" sz="1050" b="1" i="1" baseline="0">
              <a:solidFill>
                <a:schemeClr val="bg1"/>
              </a:solidFill>
              <a:effectLst/>
              <a:latin typeface="+mn-lt"/>
              <a:ea typeface="+mn-ea"/>
              <a:cs typeface="+mn-cs"/>
            </a:rPr>
            <a:t>  ENERGIA ANUAL</a:t>
          </a:r>
          <a:endParaRPr lang="es-CO" sz="1050" b="1" i="1">
            <a:solidFill>
              <a:schemeClr val="bg1"/>
            </a:solidFill>
            <a:effectLst/>
          </a:endParaRPr>
        </a:p>
      </xdr:txBody>
    </xdr:sp>
    <xdr:clientData/>
  </xdr:twoCellAnchor>
  <xdr:twoCellAnchor>
    <xdr:from>
      <xdr:col>7</xdr:col>
      <xdr:colOff>437444</xdr:colOff>
      <xdr:row>7</xdr:row>
      <xdr:rowOff>159102</xdr:rowOff>
    </xdr:from>
    <xdr:to>
      <xdr:col>11</xdr:col>
      <xdr:colOff>46838</xdr:colOff>
      <xdr:row>10</xdr:row>
      <xdr:rowOff>63852</xdr:rowOff>
    </xdr:to>
    <xdr:sp macro="[0]!OCENSADIARIO" textlink="">
      <xdr:nvSpPr>
        <xdr:cNvPr id="27" name="26 CuadroTexto">
          <a:extLst>
            <a:ext uri="{FF2B5EF4-FFF2-40B4-BE49-F238E27FC236}">
              <a16:creationId xmlns:a16="http://schemas.microsoft.com/office/drawing/2014/main" id="{00000000-0008-0000-0000-00001B000000}"/>
            </a:ext>
          </a:extLst>
        </xdr:cNvPr>
        <xdr:cNvSpPr txBox="1"/>
      </xdr:nvSpPr>
      <xdr:spPr>
        <a:xfrm>
          <a:off x="3584222" y="1591380"/>
          <a:ext cx="1443838" cy="518583"/>
        </a:xfrm>
        <a:prstGeom prst="rect">
          <a:avLst/>
        </a:prstGeom>
        <a:solidFill>
          <a:schemeClr val="accent3">
            <a:lumMod val="50000"/>
          </a:schemeClr>
        </a:solidFill>
        <a:ln w="9525" cap="rnd" cmpd="sng">
          <a:solidFill>
            <a:sysClr val="window" lastClr="FFFFFF">
              <a:shade val="50000"/>
              <a:alpha val="91000"/>
            </a:sysClr>
          </a:solidFill>
        </a:ln>
        <a:effectLst>
          <a:innerShdw blurRad="63500" dist="50800" dir="8100000">
            <a:schemeClr val="tx1">
              <a:alpha val="50000"/>
            </a:schemeClr>
          </a:innerShdw>
        </a:effectLst>
      </xdr:spPr>
      <xdr:txBody>
        <a:bodyPr vertOverflow="clip" horzOverflow="clip" wrap="square" rtlCol="0" anchor="ctr"/>
        <a:lstStyle/>
        <a:p>
          <a:pPr eaLnBrk="1" fontAlgn="auto" latinLnBrk="0" hangingPunct="1"/>
          <a:r>
            <a:rPr lang="es-CO" sz="1100" b="1" i="1" baseline="0">
              <a:solidFill>
                <a:schemeClr val="bg1"/>
              </a:solidFill>
              <a:effectLst/>
              <a:latin typeface="+mn-lt"/>
              <a:ea typeface="+mn-ea"/>
              <a:cs typeface="+mn-cs"/>
            </a:rPr>
            <a:t>1 - OCENSA DIA </a:t>
          </a:r>
          <a:endParaRPr lang="es-CO" sz="1100">
            <a:solidFill>
              <a:schemeClr val="bg1"/>
            </a:solidFill>
            <a:effectLst/>
          </a:endParaRPr>
        </a:p>
      </xdr:txBody>
    </xdr:sp>
    <xdr:clientData/>
  </xdr:twoCellAnchor>
  <xdr:twoCellAnchor>
    <xdr:from>
      <xdr:col>8</xdr:col>
      <xdr:colOff>9525</xdr:colOff>
      <xdr:row>15</xdr:row>
      <xdr:rowOff>168968</xdr:rowOff>
    </xdr:from>
    <xdr:to>
      <xdr:col>11</xdr:col>
      <xdr:colOff>49389</xdr:colOff>
      <xdr:row>18</xdr:row>
      <xdr:rowOff>121356</xdr:rowOff>
    </xdr:to>
    <xdr:sp macro="[0]!INFORMEDIARIO" textlink="">
      <xdr:nvSpPr>
        <xdr:cNvPr id="29" name="28 CuadroTexto">
          <a:extLst>
            <a:ext uri="{FF2B5EF4-FFF2-40B4-BE49-F238E27FC236}">
              <a16:creationId xmlns:a16="http://schemas.microsoft.com/office/drawing/2014/main" id="{00000000-0008-0000-0000-00001D000000}"/>
            </a:ext>
          </a:extLst>
        </xdr:cNvPr>
        <xdr:cNvSpPr txBox="1"/>
      </xdr:nvSpPr>
      <xdr:spPr>
        <a:xfrm>
          <a:off x="3614914" y="3294579"/>
          <a:ext cx="1415697" cy="566221"/>
        </a:xfrm>
        <a:prstGeom prst="rect">
          <a:avLst/>
        </a:prstGeom>
        <a:solidFill>
          <a:schemeClr val="accent3">
            <a:lumMod val="50000"/>
          </a:schemeClr>
        </a:solidFill>
        <a:ln w="9525" cap="rnd" cmpd="sng">
          <a:solidFill>
            <a:sysClr val="window" lastClr="FFFFFF">
              <a:shade val="50000"/>
              <a:alpha val="91000"/>
            </a:sysClr>
          </a:solidFill>
        </a:ln>
        <a:effectLst>
          <a:innerShdw blurRad="63500" dist="50800" dir="8100000">
            <a:prstClr val="black">
              <a:alpha val="50000"/>
            </a:prstClr>
          </a:innerShdw>
        </a:effectLst>
      </xdr:spPr>
      <xdr:txBody>
        <a:bodyPr vertOverflow="clip" horzOverflow="clip" wrap="square" rtlCol="0" anchor="ctr"/>
        <a:lstStyle/>
        <a:p>
          <a:r>
            <a:rPr lang="en-US" sz="1050" b="1" i="1">
              <a:solidFill>
                <a:schemeClr val="bg1"/>
              </a:solidFill>
              <a:effectLst/>
              <a:latin typeface="+mn-lt"/>
              <a:ea typeface="+mn-ea"/>
              <a:cs typeface="+mn-cs"/>
            </a:rPr>
            <a:t>4 - INFORME DIA          GDP</a:t>
          </a:r>
          <a:endParaRPr lang="es-CO" sz="1100">
            <a:solidFill>
              <a:schemeClr val="bg1"/>
            </a:solidFill>
            <a:effectLst/>
          </a:endParaRPr>
        </a:p>
      </xdr:txBody>
    </xdr:sp>
    <xdr:clientData/>
  </xdr:twoCellAnchor>
  <xdr:twoCellAnchor>
    <xdr:from>
      <xdr:col>7</xdr:col>
      <xdr:colOff>444500</xdr:colOff>
      <xdr:row>10</xdr:row>
      <xdr:rowOff>91987</xdr:rowOff>
    </xdr:from>
    <xdr:to>
      <xdr:col>11</xdr:col>
      <xdr:colOff>44545</xdr:colOff>
      <xdr:row>12</xdr:row>
      <xdr:rowOff>175331</xdr:rowOff>
    </xdr:to>
    <xdr:sp macro="[0]!REPORTEDIAECO" textlink="">
      <xdr:nvSpPr>
        <xdr:cNvPr id="30" name="29 CuadroTexto">
          <a:extLst>
            <a:ext uri="{FF2B5EF4-FFF2-40B4-BE49-F238E27FC236}">
              <a16:creationId xmlns:a16="http://schemas.microsoft.com/office/drawing/2014/main" id="{00000000-0008-0000-0000-00001E000000}"/>
            </a:ext>
          </a:extLst>
        </xdr:cNvPr>
        <xdr:cNvSpPr txBox="1"/>
      </xdr:nvSpPr>
      <xdr:spPr>
        <a:xfrm>
          <a:off x="3591278" y="2138098"/>
          <a:ext cx="1434489" cy="492566"/>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algn="ctr"/>
          <a:r>
            <a:rPr lang="es-CO" sz="1050" b="1" i="1">
              <a:solidFill>
                <a:schemeClr val="bg1"/>
              </a:solidFill>
              <a:effectLst/>
              <a:latin typeface="+mn-lt"/>
              <a:ea typeface="+mn-ea"/>
              <a:cs typeface="+mn-cs"/>
            </a:rPr>
            <a:t>2 - REPORTE</a:t>
          </a:r>
          <a:r>
            <a:rPr lang="es-CO" sz="1050" b="1" i="1" baseline="0">
              <a:solidFill>
                <a:schemeClr val="bg1"/>
              </a:solidFill>
              <a:effectLst/>
              <a:latin typeface="+mn-lt"/>
              <a:ea typeface="+mn-ea"/>
              <a:cs typeface="+mn-cs"/>
            </a:rPr>
            <a:t> DIARIO Y ECO</a:t>
          </a:r>
          <a:endParaRPr lang="es-CO" sz="1050" b="1" i="1">
            <a:solidFill>
              <a:schemeClr val="bg1"/>
            </a:solidFill>
            <a:effectLst/>
          </a:endParaRPr>
        </a:p>
      </xdr:txBody>
    </xdr:sp>
    <xdr:clientData/>
  </xdr:twoCellAnchor>
  <xdr:twoCellAnchor>
    <xdr:from>
      <xdr:col>8</xdr:col>
      <xdr:colOff>16758</xdr:colOff>
      <xdr:row>18</xdr:row>
      <xdr:rowOff>149667</xdr:rowOff>
    </xdr:from>
    <xdr:to>
      <xdr:col>11</xdr:col>
      <xdr:colOff>56445</xdr:colOff>
      <xdr:row>21</xdr:row>
      <xdr:rowOff>94898</xdr:rowOff>
    </xdr:to>
    <xdr:sp macro="[0]!COSTOKWHCUP" textlink="">
      <xdr:nvSpPr>
        <xdr:cNvPr id="23" name="22 CuadroTexto">
          <a:extLst>
            <a:ext uri="{FF2B5EF4-FFF2-40B4-BE49-F238E27FC236}">
              <a16:creationId xmlns:a16="http://schemas.microsoft.com/office/drawing/2014/main" id="{00000000-0008-0000-0000-000017000000}"/>
            </a:ext>
          </a:extLst>
        </xdr:cNvPr>
        <xdr:cNvSpPr txBox="1"/>
      </xdr:nvSpPr>
      <xdr:spPr>
        <a:xfrm>
          <a:off x="3622147" y="3889111"/>
          <a:ext cx="1415520" cy="559065"/>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r>
            <a:rPr lang="en-US" sz="1050" b="1" i="1">
              <a:solidFill>
                <a:schemeClr val="bg1"/>
              </a:solidFill>
              <a:effectLst/>
              <a:latin typeface="+mn-lt"/>
              <a:ea typeface="+mn-ea"/>
              <a:cs typeface="+mn-cs"/>
            </a:rPr>
            <a:t>5 - COSTO</a:t>
          </a:r>
          <a:r>
            <a:rPr lang="en-US" sz="1050" b="1" i="1" baseline="0">
              <a:solidFill>
                <a:schemeClr val="bg1"/>
              </a:solidFill>
              <a:effectLst/>
              <a:latin typeface="+mn-lt"/>
              <a:ea typeface="+mn-ea"/>
              <a:cs typeface="+mn-cs"/>
            </a:rPr>
            <a:t> DEL KWH</a:t>
          </a:r>
          <a:endParaRPr lang="es-CO" sz="1050">
            <a:solidFill>
              <a:schemeClr val="bg1"/>
            </a:solidFill>
            <a:effectLst/>
          </a:endParaRPr>
        </a:p>
      </xdr:txBody>
    </xdr:sp>
    <xdr:clientData/>
  </xdr:twoCellAnchor>
  <xdr:twoCellAnchor>
    <xdr:from>
      <xdr:col>12</xdr:col>
      <xdr:colOff>399614</xdr:colOff>
      <xdr:row>7</xdr:row>
      <xdr:rowOff>142866</xdr:rowOff>
    </xdr:from>
    <xdr:to>
      <xdr:col>16</xdr:col>
      <xdr:colOff>2040</xdr:colOff>
      <xdr:row>10</xdr:row>
      <xdr:rowOff>47616</xdr:rowOff>
    </xdr:to>
    <xdr:sp macro="[0]!MENSUALSUPWGPSN" textlink="">
      <xdr:nvSpPr>
        <xdr:cNvPr id="24" name="23 CuadroTexto">
          <a:extLst>
            <a:ext uri="{FF2B5EF4-FFF2-40B4-BE49-F238E27FC236}">
              <a16:creationId xmlns:a16="http://schemas.microsoft.com/office/drawing/2014/main" id="{00000000-0008-0000-0000-000018000000}"/>
            </a:ext>
          </a:extLst>
        </xdr:cNvPr>
        <xdr:cNvSpPr txBox="1"/>
      </xdr:nvSpPr>
      <xdr:spPr>
        <a:xfrm>
          <a:off x="5839447" y="1575144"/>
          <a:ext cx="1436871" cy="518583"/>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algn="ctr"/>
          <a:r>
            <a:rPr lang="en-US" sz="1050" b="1" i="1">
              <a:solidFill>
                <a:schemeClr val="bg1"/>
              </a:solidFill>
              <a:effectLst/>
              <a:latin typeface="+mn-lt"/>
              <a:ea typeface="+mn-ea"/>
              <a:cs typeface="+mn-cs"/>
            </a:rPr>
            <a:t>6 - </a:t>
          </a:r>
          <a:r>
            <a:rPr lang="es-CO" sz="1050" b="1" i="1">
              <a:solidFill>
                <a:schemeClr val="bg1"/>
              </a:solidFill>
              <a:effectLst/>
              <a:latin typeface="+mn-lt"/>
              <a:ea typeface="+mn-ea"/>
              <a:cs typeface="+mn-cs"/>
            </a:rPr>
            <a:t>GERENCIAL SUP</a:t>
          </a:r>
          <a:r>
            <a:rPr lang="es-CO" sz="1050" b="1" i="1" baseline="0">
              <a:solidFill>
                <a:schemeClr val="bg1"/>
              </a:solidFill>
              <a:effectLst/>
              <a:latin typeface="+mn-lt"/>
              <a:ea typeface="+mn-ea"/>
              <a:cs typeface="+mn-cs"/>
            </a:rPr>
            <a:t>  STORK</a:t>
          </a:r>
          <a:endParaRPr lang="es-CO" sz="1050">
            <a:solidFill>
              <a:schemeClr val="bg1"/>
            </a:solidFill>
            <a:effectLst/>
          </a:endParaRPr>
        </a:p>
      </xdr:txBody>
    </xdr:sp>
    <xdr:clientData/>
  </xdr:twoCellAnchor>
  <xdr:twoCellAnchor>
    <xdr:from>
      <xdr:col>12</xdr:col>
      <xdr:colOff>392732</xdr:colOff>
      <xdr:row>13</xdr:row>
      <xdr:rowOff>38797</xdr:rowOff>
    </xdr:from>
    <xdr:to>
      <xdr:col>16</xdr:col>
      <xdr:colOff>15619</xdr:colOff>
      <xdr:row>15</xdr:row>
      <xdr:rowOff>106994</xdr:rowOff>
    </xdr:to>
    <xdr:sp macro="[0]!SEGUIMIENTO_ENERGIA" textlink="">
      <xdr:nvSpPr>
        <xdr:cNvPr id="21" name="20 CuadroTexto">
          <a:extLst>
            <a:ext uri="{FF2B5EF4-FFF2-40B4-BE49-F238E27FC236}">
              <a16:creationId xmlns:a16="http://schemas.microsoft.com/office/drawing/2014/main" id="{00000000-0008-0000-0000-000015000000}"/>
            </a:ext>
          </a:extLst>
        </xdr:cNvPr>
        <xdr:cNvSpPr txBox="1"/>
      </xdr:nvSpPr>
      <xdr:spPr>
        <a:xfrm>
          <a:off x="5832565" y="2698741"/>
          <a:ext cx="1457332" cy="477420"/>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r>
            <a:rPr lang="es-CO" sz="1050" b="1" i="1">
              <a:solidFill>
                <a:schemeClr val="bg1"/>
              </a:solidFill>
              <a:effectLst/>
              <a:latin typeface="+mn-lt"/>
              <a:ea typeface="+mn-ea"/>
              <a:cs typeface="+mn-cs"/>
            </a:rPr>
            <a:t>8 - </a:t>
          </a:r>
          <a:r>
            <a:rPr lang="en-US" sz="1050" b="1" i="1">
              <a:solidFill>
                <a:schemeClr val="bg1"/>
              </a:solidFill>
              <a:effectLst/>
              <a:latin typeface="+mn-lt"/>
              <a:ea typeface="+mn-ea"/>
              <a:cs typeface="+mn-cs"/>
            </a:rPr>
            <a:t>SEGUIMIENTO CONSUMO ENERGIA </a:t>
          </a:r>
          <a:endParaRPr lang="es-CO" sz="1050" b="1" i="1">
            <a:solidFill>
              <a:schemeClr val="bg1"/>
            </a:solidFill>
            <a:effectLst/>
          </a:endParaRPr>
        </a:p>
      </xdr:txBody>
    </xdr:sp>
    <xdr:clientData/>
  </xdr:twoCellAnchor>
  <xdr:twoCellAnchor>
    <xdr:from>
      <xdr:col>12</xdr:col>
      <xdr:colOff>402351</xdr:colOff>
      <xdr:row>15</xdr:row>
      <xdr:rowOff>171519</xdr:rowOff>
    </xdr:from>
    <xdr:to>
      <xdr:col>16</xdr:col>
      <xdr:colOff>25238</xdr:colOff>
      <xdr:row>18</xdr:row>
      <xdr:rowOff>71525</xdr:rowOff>
    </xdr:to>
    <xdr:sp macro="[0]!Indisponibilidad" textlink="">
      <xdr:nvSpPr>
        <xdr:cNvPr id="26" name="25 CuadroTexto">
          <a:extLst>
            <a:ext uri="{FF2B5EF4-FFF2-40B4-BE49-F238E27FC236}">
              <a16:creationId xmlns:a16="http://schemas.microsoft.com/office/drawing/2014/main" id="{00000000-0008-0000-0000-00001A000000}"/>
            </a:ext>
          </a:extLst>
        </xdr:cNvPr>
        <xdr:cNvSpPr txBox="1"/>
      </xdr:nvSpPr>
      <xdr:spPr>
        <a:xfrm>
          <a:off x="5842184" y="3240686"/>
          <a:ext cx="1457332" cy="513839"/>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algn="ctr"/>
          <a:r>
            <a:rPr lang="es-CO" sz="1050" b="1" i="1">
              <a:solidFill>
                <a:schemeClr val="bg1"/>
              </a:solidFill>
              <a:effectLst/>
              <a:latin typeface="+mn-lt"/>
              <a:ea typeface="+mn-ea"/>
              <a:cs typeface="+mn-cs"/>
            </a:rPr>
            <a:t>9 - </a:t>
          </a:r>
          <a:r>
            <a:rPr lang="en-US" sz="1050" b="1" i="1">
              <a:solidFill>
                <a:schemeClr val="bg1"/>
              </a:solidFill>
              <a:effectLst/>
              <a:latin typeface="+mn-lt"/>
              <a:ea typeface="+mn-ea"/>
              <a:cs typeface="+mn-cs"/>
            </a:rPr>
            <a:t>REGISTRO DE INDISPONIBILIDAD</a:t>
          </a:r>
          <a:endParaRPr lang="es-CO" sz="1050" b="1" i="1">
            <a:solidFill>
              <a:schemeClr val="bg1"/>
            </a:solidFill>
            <a:effectLst/>
          </a:endParaRPr>
        </a:p>
      </xdr:txBody>
    </xdr:sp>
    <xdr:clientData/>
  </xdr:twoCellAnchor>
  <xdr:twoCellAnchor>
    <xdr:from>
      <xdr:col>12</xdr:col>
      <xdr:colOff>402705</xdr:colOff>
      <xdr:row>18</xdr:row>
      <xdr:rowOff>142407</xdr:rowOff>
    </xdr:from>
    <xdr:to>
      <xdr:col>16</xdr:col>
      <xdr:colOff>23210</xdr:colOff>
      <xdr:row>21</xdr:row>
      <xdr:rowOff>82903</xdr:rowOff>
    </xdr:to>
    <xdr:sp macro="[0]!CURVA_DURACION" textlink="">
      <xdr:nvSpPr>
        <xdr:cNvPr id="31" name="30 CuadroTexto">
          <a:extLst>
            <a:ext uri="{FF2B5EF4-FFF2-40B4-BE49-F238E27FC236}">
              <a16:creationId xmlns:a16="http://schemas.microsoft.com/office/drawing/2014/main" id="{00000000-0008-0000-0000-00001F000000}"/>
            </a:ext>
          </a:extLst>
        </xdr:cNvPr>
        <xdr:cNvSpPr txBox="1"/>
      </xdr:nvSpPr>
      <xdr:spPr>
        <a:xfrm>
          <a:off x="5842538" y="3952407"/>
          <a:ext cx="1454950" cy="575496"/>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s-CO" sz="1050" b="1" i="1">
              <a:solidFill>
                <a:schemeClr val="bg1"/>
              </a:solidFill>
              <a:effectLst/>
              <a:latin typeface="+mn-lt"/>
              <a:ea typeface="+mn-ea"/>
              <a:cs typeface="+mn-cs"/>
            </a:rPr>
            <a:t>10 - </a:t>
          </a:r>
          <a:r>
            <a:rPr lang="en-US" sz="1050" b="1" i="1">
              <a:solidFill>
                <a:schemeClr val="bg1"/>
              </a:solidFill>
              <a:effectLst/>
              <a:latin typeface="+mn-lt"/>
              <a:ea typeface="+mn-ea"/>
              <a:cs typeface="+mn-cs"/>
            </a:rPr>
            <a:t>CURVA</a:t>
          </a:r>
          <a:r>
            <a:rPr lang="en-US" sz="1050" b="1" i="1" baseline="0">
              <a:solidFill>
                <a:schemeClr val="bg1"/>
              </a:solidFill>
              <a:effectLst/>
              <a:latin typeface="+mn-lt"/>
              <a:ea typeface="+mn-ea"/>
              <a:cs typeface="+mn-cs"/>
            </a:rPr>
            <a:t> DURACION</a:t>
          </a:r>
          <a:endParaRPr lang="es-CO" sz="1050" b="1" i="1">
            <a:solidFill>
              <a:schemeClr val="bg1"/>
            </a:solidFill>
            <a:effectLst/>
          </a:endParaRPr>
        </a:p>
      </xdr:txBody>
    </xdr:sp>
    <xdr:clientData/>
  </xdr:twoCellAnchor>
  <xdr:twoCellAnchor>
    <xdr:from>
      <xdr:col>17</xdr:col>
      <xdr:colOff>452191</xdr:colOff>
      <xdr:row>10</xdr:row>
      <xdr:rowOff>87054</xdr:rowOff>
    </xdr:from>
    <xdr:to>
      <xdr:col>21</xdr:col>
      <xdr:colOff>282223</xdr:colOff>
      <xdr:row>12</xdr:row>
      <xdr:rowOff>151343</xdr:rowOff>
    </xdr:to>
    <xdr:sp macro="[0]!GASECOPETROL" textlink="">
      <xdr:nvSpPr>
        <xdr:cNvPr id="33" name="32 CuadroTexto">
          <a:extLst>
            <a:ext uri="{FF2B5EF4-FFF2-40B4-BE49-F238E27FC236}">
              <a16:creationId xmlns:a16="http://schemas.microsoft.com/office/drawing/2014/main" id="{00000000-0008-0000-0000-000021000000}"/>
            </a:ext>
          </a:extLst>
        </xdr:cNvPr>
        <xdr:cNvSpPr txBox="1"/>
      </xdr:nvSpPr>
      <xdr:spPr>
        <a:xfrm>
          <a:off x="8185080" y="2133165"/>
          <a:ext cx="1692699" cy="473511"/>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algn="ctr"/>
          <a:r>
            <a:rPr lang="en-US" sz="1050" b="1" i="1">
              <a:solidFill>
                <a:schemeClr val="bg1"/>
              </a:solidFill>
              <a:effectLst/>
              <a:latin typeface="+mn-lt"/>
              <a:ea typeface="+mn-ea"/>
              <a:cs typeface="+mn-cs"/>
            </a:rPr>
            <a:t>1 1 - </a:t>
          </a:r>
          <a:r>
            <a:rPr lang="es-CO" sz="1050" b="1" i="1">
              <a:solidFill>
                <a:schemeClr val="bg1"/>
              </a:solidFill>
              <a:effectLst/>
              <a:latin typeface="+mn-lt"/>
              <a:ea typeface="+mn-ea"/>
              <a:cs typeface="+mn-cs"/>
            </a:rPr>
            <a:t>GAS ECOPETROL MENSUAL</a:t>
          </a:r>
          <a:endParaRPr lang="es-CO" sz="1050" b="1" i="1">
            <a:solidFill>
              <a:schemeClr val="bg1"/>
            </a:solidFill>
            <a:effectLst/>
          </a:endParaRPr>
        </a:p>
      </xdr:txBody>
    </xdr:sp>
    <xdr:clientData/>
  </xdr:twoCellAnchor>
  <xdr:twoCellAnchor>
    <xdr:from>
      <xdr:col>17</xdr:col>
      <xdr:colOff>449357</xdr:colOff>
      <xdr:row>12</xdr:row>
      <xdr:rowOff>201862</xdr:rowOff>
    </xdr:from>
    <xdr:to>
      <xdr:col>21</xdr:col>
      <xdr:colOff>289277</xdr:colOff>
      <xdr:row>15</xdr:row>
      <xdr:rowOff>56797</xdr:rowOff>
    </xdr:to>
    <xdr:sp macro="[0]!TOTALGASPORAREASMENSUAL" textlink="">
      <xdr:nvSpPr>
        <xdr:cNvPr id="18" name="17 CuadroTexto">
          <a:extLst>
            <a:ext uri="{FF2B5EF4-FFF2-40B4-BE49-F238E27FC236}">
              <a16:creationId xmlns:a16="http://schemas.microsoft.com/office/drawing/2014/main" id="{00000000-0008-0000-0000-000012000000}"/>
            </a:ext>
          </a:extLst>
        </xdr:cNvPr>
        <xdr:cNvSpPr txBox="1"/>
      </xdr:nvSpPr>
      <xdr:spPr>
        <a:xfrm>
          <a:off x="8182246" y="2657195"/>
          <a:ext cx="1702587" cy="468769"/>
        </a:xfrm>
        <a:prstGeom prst="rect">
          <a:avLst/>
        </a:prstGeom>
        <a:solidFill>
          <a:schemeClr val="accent3">
            <a:lumMod val="50000"/>
          </a:schemeClr>
        </a:solidFill>
        <a:ln w="9525" cap="rnd" cmpd="sng">
          <a:solidFill>
            <a:sysClr val="window" lastClr="FFFFFF">
              <a:shade val="50000"/>
            </a:sysClr>
          </a:solidFill>
        </a:ln>
        <a:effectLst>
          <a:glow>
            <a:srgbClr val="1765C3">
              <a:alpha val="40000"/>
            </a:srgbClr>
          </a:glow>
          <a:innerShdw blurRad="63500" dist="50800" dir="8100000">
            <a:prstClr val="black">
              <a:alpha val="50000"/>
            </a:prstClr>
          </a:innerShdw>
        </a:effectLst>
      </xdr:spPr>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s-CO" sz="1050" b="1" i="1">
              <a:solidFill>
                <a:schemeClr val="bg1"/>
              </a:solidFill>
              <a:effectLst/>
              <a:latin typeface="+mn-lt"/>
              <a:ea typeface="+mn-ea"/>
              <a:cs typeface="+mn-cs"/>
            </a:rPr>
            <a:t>12 - CONSUMO</a:t>
          </a:r>
          <a:r>
            <a:rPr lang="es-CO" sz="1050" b="1" i="1" baseline="0">
              <a:solidFill>
                <a:schemeClr val="bg1"/>
              </a:solidFill>
              <a:effectLst/>
              <a:latin typeface="+mn-lt"/>
              <a:ea typeface="+mn-ea"/>
              <a:cs typeface="+mn-cs"/>
            </a:rPr>
            <a:t> DE GAS</a:t>
          </a:r>
          <a:r>
            <a:rPr lang="es-CO" sz="1050" b="1" i="1">
              <a:solidFill>
                <a:schemeClr val="bg1"/>
              </a:solidFill>
              <a:effectLst/>
              <a:latin typeface="+mn-lt"/>
              <a:ea typeface="+mn-ea"/>
              <a:cs typeface="+mn-cs"/>
            </a:rPr>
            <a:t> POR AREAS</a:t>
          </a:r>
          <a:endParaRPr lang="es-CO" sz="1050" b="1" i="1">
            <a:solidFill>
              <a:schemeClr val="bg1"/>
            </a:solidFill>
            <a:effectLst/>
          </a:endParaRPr>
        </a:p>
        <a:p>
          <a:pPr algn="ctr"/>
          <a:endParaRPr lang="es-CO">
            <a:solidFill>
              <a:schemeClr val="bg1"/>
            </a:solidFill>
            <a:effectLst/>
          </a:endParaRPr>
        </a:p>
      </xdr:txBody>
    </xdr:sp>
    <xdr:clientData/>
  </xdr:twoCellAnchor>
  <xdr:twoCellAnchor>
    <xdr:from>
      <xdr:col>17</xdr:col>
      <xdr:colOff>440267</xdr:colOff>
      <xdr:row>18</xdr:row>
      <xdr:rowOff>26987</xdr:rowOff>
    </xdr:from>
    <xdr:to>
      <xdr:col>22</xdr:col>
      <xdr:colOff>245973</xdr:colOff>
      <xdr:row>21</xdr:row>
      <xdr:rowOff>107950</xdr:rowOff>
    </xdr:to>
    <xdr:sp macro="[0]!TOTALANUALMENSUAL" textlink="">
      <xdr:nvSpPr>
        <xdr:cNvPr id="19" name="18 CuadroTexto">
          <a:extLst>
            <a:ext uri="{FF2B5EF4-FFF2-40B4-BE49-F238E27FC236}">
              <a16:creationId xmlns:a16="http://schemas.microsoft.com/office/drawing/2014/main" id="{00000000-0008-0000-0000-000013000000}"/>
            </a:ext>
          </a:extLst>
        </xdr:cNvPr>
        <xdr:cNvSpPr txBox="1"/>
      </xdr:nvSpPr>
      <xdr:spPr>
        <a:xfrm>
          <a:off x="8173156" y="3709987"/>
          <a:ext cx="2310428" cy="694796"/>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050" b="1" i="1">
              <a:solidFill>
                <a:schemeClr val="bg1"/>
              </a:solidFill>
              <a:effectLst/>
              <a:latin typeface="+mn-lt"/>
              <a:ea typeface="+mn-ea"/>
              <a:cs typeface="+mn-cs"/>
            </a:rPr>
            <a:t>14</a:t>
          </a:r>
          <a:r>
            <a:rPr lang="en-US" sz="1050" b="1" i="1" baseline="0">
              <a:solidFill>
                <a:schemeClr val="bg1"/>
              </a:solidFill>
              <a:effectLst/>
              <a:latin typeface="+mn-lt"/>
              <a:ea typeface="+mn-ea"/>
              <a:cs typeface="+mn-cs"/>
            </a:rPr>
            <a:t> </a:t>
          </a:r>
          <a:r>
            <a:rPr lang="en-US" sz="1050" b="1" i="1">
              <a:solidFill>
                <a:schemeClr val="bg1"/>
              </a:solidFill>
              <a:effectLst/>
              <a:latin typeface="+mn-lt"/>
              <a:ea typeface="+mn-ea"/>
              <a:cs typeface="+mn-cs"/>
            </a:rPr>
            <a:t>- </a:t>
          </a:r>
          <a:r>
            <a:rPr lang="es-CO" sz="1050" b="1" i="1">
              <a:solidFill>
                <a:schemeClr val="bg1"/>
              </a:solidFill>
              <a:effectLst/>
              <a:latin typeface="+mn-lt"/>
              <a:ea typeface="+mn-ea"/>
              <a:cs typeface="+mn-cs"/>
            </a:rPr>
            <a:t>BALANCE DE ENERGIA Y CONSUMOS DE COMBUSTIBLES</a:t>
          </a:r>
        </a:p>
        <a:p>
          <a:pPr marL="0" marR="0" indent="0" algn="ctr" defTabSz="914400" eaLnBrk="1" fontAlgn="auto" latinLnBrk="0" hangingPunct="1">
            <a:lnSpc>
              <a:spcPct val="100000"/>
            </a:lnSpc>
            <a:spcBef>
              <a:spcPts val="0"/>
            </a:spcBef>
            <a:spcAft>
              <a:spcPts val="0"/>
            </a:spcAft>
            <a:buClrTx/>
            <a:buSzTx/>
            <a:buFontTx/>
            <a:buNone/>
            <a:tabLst/>
            <a:defRPr/>
          </a:pPr>
          <a:r>
            <a:rPr lang="es-CO" sz="1050" b="1" i="1">
              <a:solidFill>
                <a:schemeClr val="bg1"/>
              </a:solidFill>
              <a:effectLst/>
              <a:latin typeface="+mn-lt"/>
              <a:ea typeface="+mn-ea"/>
              <a:cs typeface="+mn-cs"/>
            </a:rPr>
            <a:t>(ENERGIA - CONSUMOS) </a:t>
          </a:r>
          <a:endParaRPr lang="es-CO" sz="1100">
            <a:solidFill>
              <a:schemeClr val="bg1"/>
            </a:solidFill>
            <a:effectLst/>
          </a:endParaRPr>
        </a:p>
      </xdr:txBody>
    </xdr:sp>
    <xdr:clientData/>
  </xdr:twoCellAnchor>
  <xdr:twoCellAnchor>
    <xdr:from>
      <xdr:col>17</xdr:col>
      <xdr:colOff>448386</xdr:colOff>
      <xdr:row>15</xdr:row>
      <xdr:rowOff>118258</xdr:rowOff>
    </xdr:from>
    <xdr:to>
      <xdr:col>22</xdr:col>
      <xdr:colOff>246945</xdr:colOff>
      <xdr:row>17</xdr:row>
      <xdr:rowOff>165971</xdr:rowOff>
    </xdr:to>
    <xdr:sp macro="[0]!ESTADISTICOS" textlink="">
      <xdr:nvSpPr>
        <xdr:cNvPr id="34" name="33 CuadroTexto">
          <a:extLst>
            <a:ext uri="{FF2B5EF4-FFF2-40B4-BE49-F238E27FC236}">
              <a16:creationId xmlns:a16="http://schemas.microsoft.com/office/drawing/2014/main" id="{00000000-0008-0000-0000-000022000000}"/>
            </a:ext>
          </a:extLst>
        </xdr:cNvPr>
        <xdr:cNvSpPr txBox="1"/>
      </xdr:nvSpPr>
      <xdr:spPr>
        <a:xfrm>
          <a:off x="8181275" y="3208591"/>
          <a:ext cx="2303281" cy="456936"/>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000" b="1" i="1">
              <a:solidFill>
                <a:schemeClr val="bg1"/>
              </a:solidFill>
              <a:effectLst/>
              <a:latin typeface="+mn-lt"/>
              <a:ea typeface="+mn-ea"/>
              <a:cs typeface="+mn-cs"/>
            </a:rPr>
            <a:t>13</a:t>
          </a:r>
          <a:r>
            <a:rPr lang="en-US" sz="1000" b="1" i="1" baseline="0">
              <a:solidFill>
                <a:schemeClr val="bg1"/>
              </a:solidFill>
              <a:effectLst/>
              <a:latin typeface="+mn-lt"/>
              <a:ea typeface="+mn-ea"/>
              <a:cs typeface="+mn-cs"/>
            </a:rPr>
            <a:t> </a:t>
          </a:r>
          <a:r>
            <a:rPr lang="en-US" sz="1000" b="1" i="1">
              <a:solidFill>
                <a:schemeClr val="bg1"/>
              </a:solidFill>
              <a:effectLst/>
              <a:latin typeface="+mn-lt"/>
              <a:ea typeface="+mn-ea"/>
              <a:cs typeface="+mn-cs"/>
            </a:rPr>
            <a:t>- </a:t>
          </a:r>
          <a:r>
            <a:rPr lang="es-CO" sz="1000" b="1" i="1">
              <a:solidFill>
                <a:schemeClr val="bg1"/>
              </a:solidFill>
              <a:effectLst/>
              <a:latin typeface="+mn-lt"/>
              <a:ea typeface="+mn-ea"/>
              <a:cs typeface="+mn-cs"/>
            </a:rPr>
            <a:t>ESTADISTICOS</a:t>
          </a:r>
          <a:r>
            <a:rPr lang="es-CO" sz="1000" b="1" i="1" baseline="0">
              <a:solidFill>
                <a:schemeClr val="bg1"/>
              </a:solidFill>
              <a:effectLst/>
              <a:latin typeface="+mn-lt"/>
              <a:ea typeface="+mn-ea"/>
              <a:cs typeface="+mn-cs"/>
            </a:rPr>
            <a:t> DE ENERGIA</a:t>
          </a:r>
          <a:endParaRPr lang="es-CO" sz="1000" b="1">
            <a:solidFill>
              <a:schemeClr val="bg1"/>
            </a:solidFill>
            <a:effectLst/>
          </a:endParaRPr>
        </a:p>
      </xdr:txBody>
    </xdr:sp>
    <xdr:clientData/>
  </xdr:twoCellAnchor>
  <xdr:twoCellAnchor>
    <xdr:from>
      <xdr:col>7</xdr:col>
      <xdr:colOff>448029</xdr:colOff>
      <xdr:row>13</xdr:row>
      <xdr:rowOff>7055</xdr:rowOff>
    </xdr:from>
    <xdr:to>
      <xdr:col>11</xdr:col>
      <xdr:colOff>42334</xdr:colOff>
      <xdr:row>15</xdr:row>
      <xdr:rowOff>120737</xdr:rowOff>
    </xdr:to>
    <xdr:sp macro="[0]!PRODUCCIONVSENERGIAGDP" textlink="">
      <xdr:nvSpPr>
        <xdr:cNvPr id="22" name="27 CuadroTexto">
          <a:extLst>
            <a:ext uri="{FF2B5EF4-FFF2-40B4-BE49-F238E27FC236}">
              <a16:creationId xmlns:a16="http://schemas.microsoft.com/office/drawing/2014/main" id="{00000000-0008-0000-0000-00001C000000}"/>
            </a:ext>
          </a:extLst>
        </xdr:cNvPr>
        <xdr:cNvSpPr txBox="1"/>
      </xdr:nvSpPr>
      <xdr:spPr>
        <a:xfrm>
          <a:off x="3594807" y="2758722"/>
          <a:ext cx="1428749" cy="537015"/>
        </a:xfrm>
        <a:prstGeom prst="rect">
          <a:avLst/>
        </a:prstGeom>
        <a:solidFill>
          <a:schemeClr val="accent3">
            <a:lumMod val="50000"/>
          </a:schemeClr>
        </a:solidFill>
        <a:ln w="9525" cap="rnd"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algn="ctr"/>
          <a:r>
            <a:rPr lang="es-CO" sz="1000" b="1" i="1" baseline="0">
              <a:solidFill>
                <a:schemeClr val="bg1"/>
              </a:solidFill>
              <a:effectLst/>
              <a:latin typeface="+mn-lt"/>
              <a:ea typeface="+mn-ea"/>
              <a:cs typeface="+mn-cs"/>
            </a:rPr>
            <a:t>3</a:t>
          </a:r>
          <a:r>
            <a:rPr lang="es-CO" sz="1050" b="1" i="1" baseline="0">
              <a:solidFill>
                <a:schemeClr val="bg1"/>
              </a:solidFill>
              <a:effectLst/>
              <a:latin typeface="+mn-lt"/>
              <a:ea typeface="+mn-ea"/>
              <a:cs typeface="+mn-cs"/>
            </a:rPr>
            <a:t> -</a:t>
          </a:r>
          <a:r>
            <a:rPr lang="es-CO" sz="1000" b="1" i="1" baseline="0">
              <a:solidFill>
                <a:schemeClr val="bg1"/>
              </a:solidFill>
              <a:effectLst/>
              <a:latin typeface="+mn-lt"/>
              <a:ea typeface="+mn-ea"/>
              <a:cs typeface="+mn-cs"/>
            </a:rPr>
            <a:t> PRODUCCION    VS    ENERGIA</a:t>
          </a:r>
          <a:endParaRPr lang="es-CO" sz="1050">
            <a:solidFill>
              <a:schemeClr val="bg1"/>
            </a:solidFill>
            <a:effectLst/>
          </a:endParaRPr>
        </a:p>
      </xdr:txBody>
    </xdr:sp>
    <xdr:clientData/>
  </xdr:twoCellAnchor>
  <xdr:twoCellAnchor editAs="oneCell">
    <xdr:from>
      <xdr:col>1</xdr:col>
      <xdr:colOff>366890</xdr:colOff>
      <xdr:row>0</xdr:row>
      <xdr:rowOff>28222</xdr:rowOff>
    </xdr:from>
    <xdr:to>
      <xdr:col>5</xdr:col>
      <xdr:colOff>352777</xdr:colOff>
      <xdr:row>3</xdr:row>
      <xdr:rowOff>84938</xdr:rowOff>
    </xdr:to>
    <xdr:pic>
      <xdr:nvPicPr>
        <xdr:cNvPr id="3" name="Imagen 2"/>
        <xdr:cNvPicPr>
          <a:picLocks noChangeAspect="1"/>
        </xdr:cNvPicPr>
      </xdr:nvPicPr>
      <xdr:blipFill>
        <a:blip xmlns:r="http://schemas.openxmlformats.org/officeDocument/2006/relationships" r:embed="rId1"/>
        <a:stretch>
          <a:fillRect/>
        </a:stretch>
      </xdr:blipFill>
      <xdr:spPr>
        <a:xfrm>
          <a:off x="543279" y="28222"/>
          <a:ext cx="2039054" cy="712883"/>
        </a:xfrm>
        <a:prstGeom prst="rect">
          <a:avLst/>
        </a:prstGeom>
      </xdr:spPr>
    </xdr:pic>
    <xdr:clientData/>
  </xdr:twoCellAnchor>
  <xdr:twoCellAnchor editAs="oneCell">
    <xdr:from>
      <xdr:col>18</xdr:col>
      <xdr:colOff>134056</xdr:colOff>
      <xdr:row>0</xdr:row>
      <xdr:rowOff>126999</xdr:rowOff>
    </xdr:from>
    <xdr:to>
      <xdr:col>22</xdr:col>
      <xdr:colOff>240020</xdr:colOff>
      <xdr:row>3</xdr:row>
      <xdr:rowOff>153643</xdr:rowOff>
    </xdr:to>
    <xdr:pic>
      <xdr:nvPicPr>
        <xdr:cNvPr id="4" name="Imagen 3"/>
        <xdr:cNvPicPr>
          <a:picLocks noChangeAspect="1"/>
        </xdr:cNvPicPr>
      </xdr:nvPicPr>
      <xdr:blipFill>
        <a:blip xmlns:r="http://schemas.openxmlformats.org/officeDocument/2006/relationships" r:embed="rId2"/>
        <a:stretch>
          <a:fillRect/>
        </a:stretch>
      </xdr:blipFill>
      <xdr:spPr>
        <a:xfrm>
          <a:off x="8325556" y="126999"/>
          <a:ext cx="2152075" cy="6828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7</xdr:col>
      <xdr:colOff>11586</xdr:colOff>
      <xdr:row>3</xdr:row>
      <xdr:rowOff>184150</xdr:rowOff>
    </xdr:from>
    <xdr:to>
      <xdr:col>11</xdr:col>
      <xdr:colOff>869950</xdr:colOff>
      <xdr:row>18</xdr:row>
      <xdr:rowOff>0</xdr:rowOff>
    </xdr:to>
    <xdr:graphicFrame macro="">
      <xdr:nvGraphicFramePr>
        <xdr:cNvPr id="2" name="Chart 4">
          <a:extLst>
            <a:ext uri="{FF2B5EF4-FFF2-40B4-BE49-F238E27FC236}">
              <a16:creationId xmlns:a16="http://schemas.microsoft.com/office/drawing/2014/main" id="{00000000-0008-0000-0300-000006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660400</xdr:colOff>
      <xdr:row>18</xdr:row>
      <xdr:rowOff>6349</xdr:rowOff>
    </xdr:from>
    <xdr:to>
      <xdr:col>12</xdr:col>
      <xdr:colOff>0</xdr:colOff>
      <xdr:row>33</xdr:row>
      <xdr:rowOff>0</xdr:rowOff>
    </xdr:to>
    <xdr:graphicFrame macro="">
      <xdr:nvGraphicFramePr>
        <xdr:cNvPr id="3" name="Chart 4">
          <a:extLst>
            <a:ext uri="{FF2B5EF4-FFF2-40B4-BE49-F238E27FC236}">
              <a16:creationId xmlns:a16="http://schemas.microsoft.com/office/drawing/2014/main" id="{00000000-0008-0000-0300-000008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157595</xdr:colOff>
      <xdr:row>0</xdr:row>
      <xdr:rowOff>0</xdr:rowOff>
    </xdr:from>
    <xdr:to>
      <xdr:col>2</xdr:col>
      <xdr:colOff>695325</xdr:colOff>
      <xdr:row>3</xdr:row>
      <xdr:rowOff>137391</xdr:rowOff>
    </xdr:to>
    <xdr:pic>
      <xdr:nvPicPr>
        <xdr:cNvPr id="4" name="Picture 3" descr="P1_ECOPETROLRef_positivo_2p_cmyk.jpg">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l="7545" t="32997" r="8418" b="25589"/>
        <a:stretch>
          <a:fillRect/>
        </a:stretch>
      </xdr:blipFill>
      <xdr:spPr bwMode="auto">
        <a:xfrm>
          <a:off x="246495" y="28574"/>
          <a:ext cx="2283980" cy="708891"/>
        </a:xfrm>
        <a:prstGeom prst="rect">
          <a:avLst/>
        </a:prstGeom>
        <a:noFill/>
        <a:ln w="9525">
          <a:noFill/>
          <a:miter lim="800000"/>
          <a:headEnd/>
          <a:tailEnd/>
        </a:ln>
      </xdr:spPr>
    </xdr:pic>
    <xdr:clientData/>
  </xdr:twoCellAnchor>
  <xdr:twoCellAnchor>
    <xdr:from>
      <xdr:col>9</xdr:col>
      <xdr:colOff>544513</xdr:colOff>
      <xdr:row>0</xdr:row>
      <xdr:rowOff>79375</xdr:rowOff>
    </xdr:from>
    <xdr:to>
      <xdr:col>11</xdr:col>
      <xdr:colOff>677863</xdr:colOff>
      <xdr:row>3</xdr:row>
      <xdr:rowOff>66675</xdr:rowOff>
    </xdr:to>
    <xdr:pic>
      <xdr:nvPicPr>
        <xdr:cNvPr id="8" name="Imagen 2" descr="cid:image004.png@01D7D7B8.2430C810"/>
        <xdr:cNvPicPr>
          <a:picLocks noChangeAspect="1" noChangeArrowheads="1"/>
        </xdr:cNvPicPr>
      </xdr:nvPicPr>
      <xdr:blipFill>
        <a:blip xmlns:r="http://schemas.openxmlformats.org/officeDocument/2006/relationships" r:embed="rId4" r:link="rId5" cstate="print">
          <a:extLst>
            <a:ext uri="{28A0092B-C50C-407E-A947-70E740481C1C}">
              <a14:useLocalDpi xmlns:a14="http://schemas.microsoft.com/office/drawing/2010/main" val="0"/>
            </a:ext>
          </a:extLst>
        </a:blip>
        <a:srcRect/>
        <a:stretch>
          <a:fillRect/>
        </a:stretch>
      </xdr:blipFill>
      <xdr:spPr bwMode="auto">
        <a:xfrm>
          <a:off x="7712076" y="79375"/>
          <a:ext cx="1879600" cy="558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36286</xdr:colOff>
      <xdr:row>0</xdr:row>
      <xdr:rowOff>18143</xdr:rowOff>
    </xdr:from>
    <xdr:to>
      <xdr:col>6</xdr:col>
      <xdr:colOff>260123</xdr:colOff>
      <xdr:row>4</xdr:row>
      <xdr:rowOff>88447</xdr:rowOff>
    </xdr:to>
    <xdr:pic>
      <xdr:nvPicPr>
        <xdr:cNvPr id="4" name="2 Imagen" descr="P1_ECOPETROLRef_positivo_2p_cmyk.jpg">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blip>
        <a:srcRect l="7545" t="32997" r="8418" b="25589"/>
        <a:stretch>
          <a:fillRect/>
        </a:stretch>
      </xdr:blipFill>
      <xdr:spPr bwMode="auto">
        <a:xfrm>
          <a:off x="217715" y="18143"/>
          <a:ext cx="2527979" cy="941161"/>
        </a:xfrm>
        <a:prstGeom prst="rect">
          <a:avLst/>
        </a:prstGeom>
        <a:noFill/>
        <a:ln w="9525">
          <a:noFill/>
          <a:miter lim="800000"/>
          <a:headEnd/>
          <a:tailEnd/>
        </a:ln>
      </xdr:spPr>
    </xdr:pic>
    <xdr:clientData/>
  </xdr:twoCellAnchor>
  <xdr:twoCellAnchor>
    <xdr:from>
      <xdr:col>28</xdr:col>
      <xdr:colOff>381001</xdr:colOff>
      <xdr:row>0</xdr:row>
      <xdr:rowOff>154215</xdr:rowOff>
    </xdr:from>
    <xdr:to>
      <xdr:col>33</xdr:col>
      <xdr:colOff>0</xdr:colOff>
      <xdr:row>4</xdr:row>
      <xdr:rowOff>51141</xdr:rowOff>
    </xdr:to>
    <xdr:pic>
      <xdr:nvPicPr>
        <xdr:cNvPr id="5" name="Imagen 2" descr="MASA-STORK-FLOU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845144" y="154215"/>
          <a:ext cx="2059213" cy="767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551188</xdr:colOff>
      <xdr:row>1</xdr:row>
      <xdr:rowOff>91491</xdr:rowOff>
    </xdr:from>
    <xdr:to>
      <xdr:col>3</xdr:col>
      <xdr:colOff>957988</xdr:colOff>
      <xdr:row>1</xdr:row>
      <xdr:rowOff>804785</xdr:rowOff>
    </xdr:to>
    <xdr:pic>
      <xdr:nvPicPr>
        <xdr:cNvPr id="7" name="Imagen 6"/>
        <xdr:cNvPicPr>
          <a:picLocks noChangeAspect="1"/>
        </xdr:cNvPicPr>
      </xdr:nvPicPr>
      <xdr:blipFill>
        <a:blip xmlns:r="http://schemas.openxmlformats.org/officeDocument/2006/relationships" r:embed="rId1"/>
        <a:stretch>
          <a:fillRect/>
        </a:stretch>
      </xdr:blipFill>
      <xdr:spPr>
        <a:xfrm>
          <a:off x="699355" y="207908"/>
          <a:ext cx="2110716" cy="713294"/>
        </a:xfrm>
        <a:prstGeom prst="rect">
          <a:avLst/>
        </a:prstGeom>
      </xdr:spPr>
    </xdr:pic>
    <xdr:clientData/>
  </xdr:twoCellAnchor>
  <xdr:twoCellAnchor editAs="oneCell">
    <xdr:from>
      <xdr:col>14</xdr:col>
      <xdr:colOff>692228</xdr:colOff>
      <xdr:row>1</xdr:row>
      <xdr:rowOff>107010</xdr:rowOff>
    </xdr:from>
    <xdr:to>
      <xdr:col>18</xdr:col>
      <xdr:colOff>201083</xdr:colOff>
      <xdr:row>1</xdr:row>
      <xdr:rowOff>795976</xdr:rowOff>
    </xdr:to>
    <xdr:pic>
      <xdr:nvPicPr>
        <xdr:cNvPr id="8" name="Imagen 7"/>
        <xdr:cNvPicPr>
          <a:picLocks noChangeAspect="1"/>
        </xdr:cNvPicPr>
      </xdr:nvPicPr>
      <xdr:blipFill>
        <a:blip xmlns:r="http://schemas.openxmlformats.org/officeDocument/2006/relationships" r:embed="rId2"/>
        <a:stretch>
          <a:fillRect/>
        </a:stretch>
      </xdr:blipFill>
      <xdr:spPr>
        <a:xfrm>
          <a:off x="10174895" y="223427"/>
          <a:ext cx="2302855" cy="68896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344715</xdr:colOff>
      <xdr:row>1</xdr:row>
      <xdr:rowOff>69548</xdr:rowOff>
    </xdr:from>
    <xdr:to>
      <xdr:col>14</xdr:col>
      <xdr:colOff>649730</xdr:colOff>
      <xdr:row>1</xdr:row>
      <xdr:rowOff>677334</xdr:rowOff>
    </xdr:to>
    <xdr:pic>
      <xdr:nvPicPr>
        <xdr:cNvPr id="4" name="Imagen 3"/>
        <xdr:cNvPicPr>
          <a:picLocks noChangeAspect="1"/>
        </xdr:cNvPicPr>
      </xdr:nvPicPr>
      <xdr:blipFill>
        <a:blip xmlns:r="http://schemas.openxmlformats.org/officeDocument/2006/relationships" r:embed="rId1"/>
        <a:stretch>
          <a:fillRect/>
        </a:stretch>
      </xdr:blipFill>
      <xdr:spPr>
        <a:xfrm>
          <a:off x="11002132" y="302381"/>
          <a:ext cx="2210015" cy="607786"/>
        </a:xfrm>
        <a:prstGeom prst="rect">
          <a:avLst/>
        </a:prstGeom>
      </xdr:spPr>
    </xdr:pic>
    <xdr:clientData/>
  </xdr:twoCellAnchor>
  <xdr:twoCellAnchor editAs="oneCell">
    <xdr:from>
      <xdr:col>1</xdr:col>
      <xdr:colOff>343203</xdr:colOff>
      <xdr:row>1</xdr:row>
      <xdr:rowOff>42963</xdr:rowOff>
    </xdr:from>
    <xdr:to>
      <xdr:col>3</xdr:col>
      <xdr:colOff>566875</xdr:colOff>
      <xdr:row>1</xdr:row>
      <xdr:rowOff>709513</xdr:rowOff>
    </xdr:to>
    <xdr:pic>
      <xdr:nvPicPr>
        <xdr:cNvPr id="5" name="1 Imagen">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2"/>
        <a:stretch>
          <a:fillRect/>
        </a:stretch>
      </xdr:blipFill>
      <xdr:spPr>
        <a:xfrm>
          <a:off x="523120" y="275796"/>
          <a:ext cx="2128672" cy="666550"/>
        </a:xfrm>
        <a:prstGeom prst="rect">
          <a:avLst/>
        </a:prstGeom>
      </xdr:spPr>
    </xdr:pic>
    <xdr:clientData/>
  </xdr:twoCellAnchor>
  <xdr:twoCellAnchor>
    <xdr:from>
      <xdr:col>15</xdr:col>
      <xdr:colOff>0</xdr:colOff>
      <xdr:row>1</xdr:row>
      <xdr:rowOff>0</xdr:rowOff>
    </xdr:from>
    <xdr:to>
      <xdr:col>19</xdr:col>
      <xdr:colOff>12096</xdr:colOff>
      <xdr:row>9</xdr:row>
      <xdr:rowOff>356809</xdr:rowOff>
    </xdr:to>
    <xdr:graphicFrame macro="">
      <xdr:nvGraphicFramePr>
        <xdr:cNvPr id="14" name="Gráfico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27214</xdr:colOff>
      <xdr:row>5</xdr:row>
      <xdr:rowOff>40968</xdr:rowOff>
    </xdr:from>
    <xdr:to>
      <xdr:col>14</xdr:col>
      <xdr:colOff>46264</xdr:colOff>
      <xdr:row>25</xdr:row>
      <xdr:rowOff>117167</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xdr:colOff>
      <xdr:row>27</xdr:row>
      <xdr:rowOff>0</xdr:rowOff>
    </xdr:from>
    <xdr:to>
      <xdr:col>14</xdr:col>
      <xdr:colOff>9525</xdr:colOff>
      <xdr:row>43</xdr:row>
      <xdr:rowOff>85725</xdr:rowOff>
    </xdr:to>
    <xdr:graphicFrame macro="">
      <xdr:nvGraphicFramePr>
        <xdr:cNvPr id="3" name="Chart 2">
          <a:extLst>
            <a:ext uri="{FF2B5EF4-FFF2-40B4-BE49-F238E27FC236}">
              <a16:creationId xmlns:a16="http://schemas.microsoft.com/office/drawing/2014/main" id="{00000000-0008-0000-1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25809</xdr:colOff>
      <xdr:row>44</xdr:row>
      <xdr:rowOff>163871</xdr:rowOff>
    </xdr:from>
    <xdr:to>
      <xdr:col>13</xdr:col>
      <xdr:colOff>898071</xdr:colOff>
      <xdr:row>59</xdr:row>
      <xdr:rowOff>45474</xdr:rowOff>
    </xdr:to>
    <xdr:graphicFrame macro="">
      <xdr:nvGraphicFramePr>
        <xdr:cNvPr id="4" name="Chart 3">
          <a:extLst>
            <a:ext uri="{FF2B5EF4-FFF2-40B4-BE49-F238E27FC236}">
              <a16:creationId xmlns:a16="http://schemas.microsoft.com/office/drawing/2014/main" id="{00000000-0008-0000-1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13606</xdr:colOff>
      <xdr:row>45</xdr:row>
      <xdr:rowOff>0</xdr:rowOff>
    </xdr:from>
    <xdr:to>
      <xdr:col>29</xdr:col>
      <xdr:colOff>9525</xdr:colOff>
      <xdr:row>59</xdr:row>
      <xdr:rowOff>40821</xdr:rowOff>
    </xdr:to>
    <xdr:graphicFrame macro="">
      <xdr:nvGraphicFramePr>
        <xdr:cNvPr id="5" name="Chart 4">
          <a:extLst>
            <a:ext uri="{FF2B5EF4-FFF2-40B4-BE49-F238E27FC236}">
              <a16:creationId xmlns:a16="http://schemas.microsoft.com/office/drawing/2014/main" id="{00000000-0008-0000-1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61</xdr:row>
      <xdr:rowOff>0</xdr:rowOff>
    </xdr:from>
    <xdr:to>
      <xdr:col>14</xdr:col>
      <xdr:colOff>0</xdr:colOff>
      <xdr:row>79</xdr:row>
      <xdr:rowOff>47625</xdr:rowOff>
    </xdr:to>
    <xdr:graphicFrame macro="">
      <xdr:nvGraphicFramePr>
        <xdr:cNvPr id="6" name="Chart 5">
          <a:extLst>
            <a:ext uri="{FF2B5EF4-FFF2-40B4-BE49-F238E27FC236}">
              <a16:creationId xmlns:a16="http://schemas.microsoft.com/office/drawing/2014/main" id="{00000000-0008-0000-1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13607</xdr:colOff>
      <xdr:row>60</xdr:row>
      <xdr:rowOff>190498</xdr:rowOff>
    </xdr:from>
    <xdr:to>
      <xdr:col>28</xdr:col>
      <xdr:colOff>559254</xdr:colOff>
      <xdr:row>79</xdr:row>
      <xdr:rowOff>27214</xdr:rowOff>
    </xdr:to>
    <xdr:graphicFrame macro="">
      <xdr:nvGraphicFramePr>
        <xdr:cNvPr id="7" name="Chart 6">
          <a:extLst>
            <a:ext uri="{FF2B5EF4-FFF2-40B4-BE49-F238E27FC236}">
              <a16:creationId xmlns:a16="http://schemas.microsoft.com/office/drawing/2014/main" id="{00000000-0008-0000-1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600075</xdr:colOff>
      <xdr:row>81</xdr:row>
      <xdr:rowOff>0</xdr:rowOff>
    </xdr:from>
    <xdr:to>
      <xdr:col>14</xdr:col>
      <xdr:colOff>0</xdr:colOff>
      <xdr:row>99</xdr:row>
      <xdr:rowOff>47626</xdr:rowOff>
    </xdr:to>
    <xdr:graphicFrame macro="">
      <xdr:nvGraphicFramePr>
        <xdr:cNvPr id="8" name="Chart 7">
          <a:extLst>
            <a:ext uri="{FF2B5EF4-FFF2-40B4-BE49-F238E27FC236}">
              <a16:creationId xmlns:a16="http://schemas.microsoft.com/office/drawing/2014/main" id="{00000000-0008-0000-1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13607</xdr:colOff>
      <xdr:row>81</xdr:row>
      <xdr:rowOff>0</xdr:rowOff>
    </xdr:from>
    <xdr:to>
      <xdr:col>29</xdr:col>
      <xdr:colOff>9525</xdr:colOff>
      <xdr:row>99</xdr:row>
      <xdr:rowOff>47625</xdr:rowOff>
    </xdr:to>
    <xdr:graphicFrame macro="">
      <xdr:nvGraphicFramePr>
        <xdr:cNvPr id="9" name="Chart 8">
          <a:extLst>
            <a:ext uri="{FF2B5EF4-FFF2-40B4-BE49-F238E27FC236}">
              <a16:creationId xmlns:a16="http://schemas.microsoft.com/office/drawing/2014/main" id="{00000000-0008-0000-1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31</xdr:col>
      <xdr:colOff>1360</xdr:colOff>
      <xdr:row>45</xdr:row>
      <xdr:rowOff>9071</xdr:rowOff>
    </xdr:from>
    <xdr:to>
      <xdr:col>42</xdr:col>
      <xdr:colOff>46265</xdr:colOff>
      <xdr:row>59</xdr:row>
      <xdr:rowOff>85271</xdr:rowOff>
    </xdr:to>
    <xdr:graphicFrame macro="">
      <xdr:nvGraphicFramePr>
        <xdr:cNvPr id="11" name="Chart 3">
          <a:extLst>
            <a:ext uri="{FF2B5EF4-FFF2-40B4-BE49-F238E27FC236}">
              <a16:creationId xmlns:a16="http://schemas.microsoft.com/office/drawing/2014/main" id="{00000000-0008-0000-1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1</xdr:colOff>
      <xdr:row>27</xdr:row>
      <xdr:rowOff>0</xdr:rowOff>
    </xdr:from>
    <xdr:to>
      <xdr:col>29</xdr:col>
      <xdr:colOff>1</xdr:colOff>
      <xdr:row>43</xdr:row>
      <xdr:rowOff>85725</xdr:rowOff>
    </xdr:to>
    <xdr:graphicFrame macro="">
      <xdr:nvGraphicFramePr>
        <xdr:cNvPr id="13" name="Chart 2">
          <a:extLst>
            <a:ext uri="{FF2B5EF4-FFF2-40B4-BE49-F238E27FC236}">
              <a16:creationId xmlns:a16="http://schemas.microsoft.com/office/drawing/2014/main" id="{00000000-0008-0000-1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101</xdr:row>
      <xdr:rowOff>0</xdr:rowOff>
    </xdr:from>
    <xdr:to>
      <xdr:col>14</xdr:col>
      <xdr:colOff>9525</xdr:colOff>
      <xdr:row>119</xdr:row>
      <xdr:rowOff>76201</xdr:rowOff>
    </xdr:to>
    <xdr:graphicFrame macro="">
      <xdr:nvGraphicFramePr>
        <xdr:cNvPr id="16" name="Chart 7">
          <a:extLst>
            <a:ext uri="{FF2B5EF4-FFF2-40B4-BE49-F238E27FC236}">
              <a16:creationId xmlns:a16="http://schemas.microsoft.com/office/drawing/2014/main" id="{00000000-0008-0000-1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0</xdr:colOff>
      <xdr:row>100</xdr:row>
      <xdr:rowOff>204106</xdr:rowOff>
    </xdr:from>
    <xdr:to>
      <xdr:col>29</xdr:col>
      <xdr:colOff>127907</xdr:colOff>
      <xdr:row>119</xdr:row>
      <xdr:rowOff>35379</xdr:rowOff>
    </xdr:to>
    <xdr:graphicFrame macro="">
      <xdr:nvGraphicFramePr>
        <xdr:cNvPr id="18" name="Chart 7">
          <a:extLst>
            <a:ext uri="{FF2B5EF4-FFF2-40B4-BE49-F238E27FC236}">
              <a16:creationId xmlns:a16="http://schemas.microsoft.com/office/drawing/2014/main" id="{00000000-0008-0000-1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9524</xdr:colOff>
      <xdr:row>179</xdr:row>
      <xdr:rowOff>109537</xdr:rowOff>
    </xdr:from>
    <xdr:to>
      <xdr:col>15</xdr:col>
      <xdr:colOff>590550</xdr:colOff>
      <xdr:row>200</xdr:row>
      <xdr:rowOff>142875</xdr:rowOff>
    </xdr:to>
    <xdr:graphicFrame macro="">
      <xdr:nvGraphicFramePr>
        <xdr:cNvPr id="15" name="14 Gráfico">
          <a:extLst>
            <a:ext uri="{FF2B5EF4-FFF2-40B4-BE49-F238E27FC236}">
              <a16:creationId xmlns:a16="http://schemas.microsoft.com/office/drawing/2014/main" id="{00000000-0008-0000-1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mc:AlternateContent xmlns:mc="http://schemas.openxmlformats.org/markup-compatibility/2006">
    <mc:Choice xmlns:a14="http://schemas.microsoft.com/office/drawing/2010/main" Requires="a14">
      <xdr:twoCellAnchor editAs="oneCell">
        <xdr:from>
          <xdr:col>14</xdr:col>
          <xdr:colOff>241300</xdr:colOff>
          <xdr:row>174</xdr:row>
          <xdr:rowOff>0</xdr:rowOff>
        </xdr:from>
        <xdr:to>
          <xdr:col>14</xdr:col>
          <xdr:colOff>609600</xdr:colOff>
          <xdr:row>264</xdr:row>
          <xdr:rowOff>38100</xdr:rowOff>
        </xdr:to>
        <xdr:sp macro="" textlink="">
          <xdr:nvSpPr>
            <xdr:cNvPr id="50193" name="Scroll Bar 17" hidden="1">
              <a:extLst>
                <a:ext uri="{63B3BB69-23CF-44E3-9099-C40C66FF867C}">
                  <a14:compatExt spid="_x0000_s50193"/>
                </a:ext>
                <a:ext uri="{FF2B5EF4-FFF2-40B4-BE49-F238E27FC236}">
                  <a16:creationId xmlns:a16="http://schemas.microsoft.com/office/drawing/2014/main" id="{00000000-0008-0000-1700-000011C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31</xdr:col>
      <xdr:colOff>4000</xdr:colOff>
      <xdr:row>60</xdr:row>
      <xdr:rowOff>174731</xdr:rowOff>
    </xdr:from>
    <xdr:to>
      <xdr:col>38</xdr:col>
      <xdr:colOff>261976</xdr:colOff>
      <xdr:row>77</xdr:row>
      <xdr:rowOff>136631</xdr:rowOff>
    </xdr:to>
    <xdr:graphicFrame macro="">
      <xdr:nvGraphicFramePr>
        <xdr:cNvPr id="22" name="9 Gráfico" title="Porcentaje diesel Noviembr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0</xdr:colOff>
      <xdr:row>5</xdr:row>
      <xdr:rowOff>0</xdr:rowOff>
    </xdr:from>
    <xdr:to>
      <xdr:col>29</xdr:col>
      <xdr:colOff>32674</xdr:colOff>
      <xdr:row>25</xdr:row>
      <xdr:rowOff>76199</xdr:rowOff>
    </xdr:to>
    <xdr:graphicFrame macro="">
      <xdr:nvGraphicFramePr>
        <xdr:cNvPr id="23" name="Chart 1">
          <a:extLst>
            <a:ext uri="{FF2B5EF4-FFF2-40B4-BE49-F238E27FC236}">
              <a16:creationId xmlns:a16="http://schemas.microsoft.com/office/drawing/2014/main" id="{00000000-0008-0000-1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0.24791</cdr:x>
      <cdr:y>0.04464</cdr:y>
    </cdr:from>
    <cdr:to>
      <cdr:x>0.91422</cdr:x>
      <cdr:y>0.14498</cdr:y>
    </cdr:to>
    <cdr:sp macro="" textlink="">
      <cdr:nvSpPr>
        <cdr:cNvPr id="2" name="1 CuadroTexto"/>
        <cdr:cNvSpPr txBox="1"/>
      </cdr:nvSpPr>
      <cdr:spPr>
        <a:xfrm xmlns:a="http://schemas.openxmlformats.org/drawingml/2006/main">
          <a:off x="1136480" y="142866"/>
          <a:ext cx="3054519" cy="32113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s-CO" sz="1600" b="1"/>
            <a:t>PORCENTAJE DIESEL</a:t>
          </a:r>
          <a:r>
            <a:rPr lang="es-CO" sz="1600" b="1" baseline="0"/>
            <a:t> OCTUBRE</a:t>
          </a:r>
          <a:endParaRPr lang="es-CO" sz="1600" b="1"/>
        </a:p>
      </cdr:txBody>
    </cdr:sp>
  </cdr:relSizeAnchor>
</c:userShapes>
</file>

<file path=xl/drawings/drawing8.xml><?xml version="1.0" encoding="utf-8"?>
<xdr:wsDr xmlns:xdr="http://schemas.openxmlformats.org/drawingml/2006/spreadsheetDrawing" xmlns:a="http://schemas.openxmlformats.org/drawingml/2006/main">
  <xdr:twoCellAnchor>
    <xdr:from>
      <xdr:col>14</xdr:col>
      <xdr:colOff>373060</xdr:colOff>
      <xdr:row>0</xdr:row>
      <xdr:rowOff>15875</xdr:rowOff>
    </xdr:from>
    <xdr:to>
      <xdr:col>20</xdr:col>
      <xdr:colOff>204348</xdr:colOff>
      <xdr:row>4</xdr:row>
      <xdr:rowOff>95249</xdr:rowOff>
    </xdr:to>
    <xdr:pic>
      <xdr:nvPicPr>
        <xdr:cNvPr id="2" name="Picture 222">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072310" y="15875"/>
          <a:ext cx="2601476" cy="809624"/>
        </a:xfrm>
        <a:prstGeom prst="rect">
          <a:avLst/>
        </a:prstGeom>
        <a:noFill/>
        <a:ln w="9525">
          <a:noFill/>
          <a:miter lim="800000"/>
          <a:headEnd/>
          <a:tailEnd/>
        </a:ln>
      </xdr:spPr>
    </xdr:pic>
    <xdr:clientData/>
  </xdr:twoCellAnchor>
  <xdr:twoCellAnchor editAs="oneCell">
    <xdr:from>
      <xdr:col>23</xdr:col>
      <xdr:colOff>87312</xdr:colOff>
      <xdr:row>0</xdr:row>
      <xdr:rowOff>125229</xdr:rowOff>
    </xdr:from>
    <xdr:to>
      <xdr:col>27</xdr:col>
      <xdr:colOff>252478</xdr:colOff>
      <xdr:row>4</xdr:row>
      <xdr:rowOff>79375</xdr:rowOff>
    </xdr:to>
    <xdr:pic>
      <xdr:nvPicPr>
        <xdr:cNvPr id="3" name="Imagen 2"/>
        <xdr:cNvPicPr>
          <a:picLocks noChangeAspect="1"/>
        </xdr:cNvPicPr>
      </xdr:nvPicPr>
      <xdr:blipFill>
        <a:blip xmlns:r="http://schemas.openxmlformats.org/officeDocument/2006/relationships" r:embed="rId2"/>
        <a:stretch>
          <a:fillRect/>
        </a:stretch>
      </xdr:blipFill>
      <xdr:spPr>
        <a:xfrm>
          <a:off x="10937875" y="125229"/>
          <a:ext cx="2149540" cy="68439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3</xdr:col>
      <xdr:colOff>318407</xdr:colOff>
      <xdr:row>1</xdr:row>
      <xdr:rowOff>160565</xdr:rowOff>
    </xdr:from>
    <xdr:to>
      <xdr:col>7</xdr:col>
      <xdr:colOff>824593</xdr:colOff>
      <xdr:row>6</xdr:row>
      <xdr:rowOff>27215</xdr:rowOff>
    </xdr:to>
    <xdr:pic>
      <xdr:nvPicPr>
        <xdr:cNvPr id="2" name="Picture 222">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614057" y="265340"/>
          <a:ext cx="3935186" cy="828675"/>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7</xdr:col>
          <xdr:colOff>660400</xdr:colOff>
          <xdr:row>4</xdr:row>
          <xdr:rowOff>107950</xdr:rowOff>
        </xdr:from>
        <xdr:to>
          <xdr:col>9</xdr:col>
          <xdr:colOff>508000</xdr:colOff>
          <xdr:row>7</xdr:row>
          <xdr:rowOff>177800</xdr:rowOff>
        </xdr:to>
        <xdr:sp macro="" textlink="">
          <xdr:nvSpPr>
            <xdr:cNvPr id="34817" name="Indisponibilidad" hidden="1">
              <a:extLst>
                <a:ext uri="{63B3BB69-23CF-44E3-9099-C40C66FF867C}">
                  <a14:compatExt spid="_x0000_s34817"/>
                </a:ext>
                <a:ext uri="{FF2B5EF4-FFF2-40B4-BE49-F238E27FC236}">
                  <a16:creationId xmlns:a16="http://schemas.microsoft.com/office/drawing/2014/main" id="{00000000-0008-0000-16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533400</xdr:colOff>
      <xdr:row>0</xdr:row>
      <xdr:rowOff>45384</xdr:rowOff>
    </xdr:from>
    <xdr:to>
      <xdr:col>15</xdr:col>
      <xdr:colOff>627529</xdr:colOff>
      <xdr:row>25</xdr:row>
      <xdr:rowOff>100853</xdr:rowOff>
    </xdr:to>
    <xdr:graphicFrame macro="">
      <xdr:nvGraphicFramePr>
        <xdr:cNvPr id="2" name="1 Gráfico">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142875</xdr:colOff>
      <xdr:row>0</xdr:row>
      <xdr:rowOff>130969</xdr:rowOff>
    </xdr:from>
    <xdr:to>
      <xdr:col>4</xdr:col>
      <xdr:colOff>690562</xdr:colOff>
      <xdr:row>4</xdr:row>
      <xdr:rowOff>143212</xdr:rowOff>
    </xdr:to>
    <xdr:pic>
      <xdr:nvPicPr>
        <xdr:cNvPr id="4" name="2 Imagen" descr="P1_ECOPETROLRef_positivo_2p_cmyk.jpg">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blip>
        <a:srcRect l="7545" t="32997" r="8418" b="25589"/>
        <a:stretch>
          <a:fillRect/>
        </a:stretch>
      </xdr:blipFill>
      <xdr:spPr bwMode="auto">
        <a:xfrm>
          <a:off x="1206500" y="130969"/>
          <a:ext cx="2500312" cy="671056"/>
        </a:xfrm>
        <a:prstGeom prst="rect">
          <a:avLst/>
        </a:prstGeom>
        <a:noFill/>
        <a:ln w="9525">
          <a:noFill/>
          <a:miter lim="800000"/>
          <a:headEnd/>
          <a:tailEnd/>
        </a:ln>
      </xdr:spPr>
    </xdr:pic>
    <xdr:clientData/>
  </xdr:twoCellAnchor>
  <xdr:twoCellAnchor>
    <xdr:from>
      <xdr:col>8</xdr:col>
      <xdr:colOff>761999</xdr:colOff>
      <xdr:row>0</xdr:row>
      <xdr:rowOff>127000</xdr:rowOff>
    </xdr:from>
    <xdr:to>
      <xdr:col>10</xdr:col>
      <xdr:colOff>850445</xdr:colOff>
      <xdr:row>5</xdr:row>
      <xdr:rowOff>69283</xdr:rowOff>
    </xdr:to>
    <xdr:pic>
      <xdr:nvPicPr>
        <xdr:cNvPr id="5" name="Imagen 2" descr="MASA-STORK-FLOU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977187" y="127000"/>
          <a:ext cx="2041071" cy="767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761999</xdr:colOff>
      <xdr:row>0</xdr:row>
      <xdr:rowOff>127000</xdr:rowOff>
    </xdr:from>
    <xdr:to>
      <xdr:col>11</xdr:col>
      <xdr:colOff>12445</xdr:colOff>
      <xdr:row>4</xdr:row>
      <xdr:rowOff>157153</xdr:rowOff>
    </xdr:to>
    <xdr:pic>
      <xdr:nvPicPr>
        <xdr:cNvPr id="6" name="Imagen 5"/>
        <xdr:cNvPicPr>
          <a:picLocks noChangeAspect="1"/>
        </xdr:cNvPicPr>
      </xdr:nvPicPr>
      <xdr:blipFill>
        <a:blip xmlns:r="http://schemas.openxmlformats.org/officeDocument/2006/relationships" r:embed="rId3"/>
        <a:stretch>
          <a:fillRect/>
        </a:stretch>
      </xdr:blipFill>
      <xdr:spPr>
        <a:xfrm>
          <a:off x="7977187" y="127000"/>
          <a:ext cx="2179383" cy="68896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256289</xdr:colOff>
      <xdr:row>5</xdr:row>
      <xdr:rowOff>11076</xdr:rowOff>
    </xdr:from>
    <xdr:to>
      <xdr:col>0</xdr:col>
      <xdr:colOff>1638919</xdr:colOff>
      <xdr:row>7</xdr:row>
      <xdr:rowOff>91179</xdr:rowOff>
    </xdr:to>
    <xdr:sp macro="" textlink="">
      <xdr:nvSpPr>
        <xdr:cNvPr id="2" name="1 CuadroTexto">
          <a:hlinkClick xmlns:r="http://schemas.openxmlformats.org/officeDocument/2006/relationships" r:id="rId1"/>
          <a:extLst>
            <a:ext uri="{FF2B5EF4-FFF2-40B4-BE49-F238E27FC236}">
              <a16:creationId xmlns:a16="http://schemas.microsoft.com/office/drawing/2014/main" id="{00000000-0008-0000-1900-000002000000}"/>
            </a:ext>
          </a:extLst>
        </xdr:cNvPr>
        <xdr:cNvSpPr txBox="1"/>
      </xdr:nvSpPr>
      <xdr:spPr>
        <a:xfrm>
          <a:off x="256289" y="1068351"/>
          <a:ext cx="1382630" cy="461103"/>
        </a:xfrm>
        <a:prstGeom prst="rect">
          <a:avLst/>
        </a:prstGeom>
        <a:solidFill>
          <a:srgbClr val="7030A0"/>
        </a:solidFill>
        <a:ln w="9525" cmpd="sng">
          <a:solidFill>
            <a:schemeClr val="bg1"/>
          </a:solidFill>
        </a:ln>
        <a:effectLst>
          <a:innerShdw blurRad="63500" dist="50800" dir="8100000">
            <a:prstClr val="black">
              <a:alpha val="50000"/>
            </a:prstClr>
          </a:innerShdw>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CO" sz="1400" b="1" i="0" u="none" strike="noStrike" kern="0" cap="none" spc="0" normalizeH="0" baseline="0" noProof="0">
              <a:ln>
                <a:noFill/>
              </a:ln>
              <a:solidFill>
                <a:schemeClr val="bg1"/>
              </a:solidFill>
              <a:effectLst/>
              <a:uLnTx/>
              <a:uFillTx/>
              <a:latin typeface="Calibri"/>
              <a:ea typeface="+mn-ea"/>
              <a:cs typeface="+mn-cs"/>
            </a:rPr>
            <a:t>Datos Mes2</a:t>
          </a:r>
        </a:p>
      </xdr:txBody>
    </xdr:sp>
    <xdr:clientData/>
  </xdr:twoCellAnchor>
  <xdr:twoCellAnchor>
    <xdr:from>
      <xdr:col>0</xdr:col>
      <xdr:colOff>256289</xdr:colOff>
      <xdr:row>8</xdr:row>
      <xdr:rowOff>48788</xdr:rowOff>
    </xdr:from>
    <xdr:to>
      <xdr:col>0</xdr:col>
      <xdr:colOff>1638919</xdr:colOff>
      <xdr:row>10</xdr:row>
      <xdr:rowOff>128891</xdr:rowOff>
    </xdr:to>
    <xdr:sp macro="" textlink="">
      <xdr:nvSpPr>
        <xdr:cNvPr id="7" name="6 CuadroTexto">
          <a:hlinkClick xmlns:r="http://schemas.openxmlformats.org/officeDocument/2006/relationships" r:id="rId2"/>
          <a:extLst>
            <a:ext uri="{FF2B5EF4-FFF2-40B4-BE49-F238E27FC236}">
              <a16:creationId xmlns:a16="http://schemas.microsoft.com/office/drawing/2014/main" id="{00000000-0008-0000-1900-000007000000}"/>
            </a:ext>
          </a:extLst>
        </xdr:cNvPr>
        <xdr:cNvSpPr txBox="1"/>
      </xdr:nvSpPr>
      <xdr:spPr>
        <a:xfrm>
          <a:off x="256289" y="1677563"/>
          <a:ext cx="1382630" cy="461103"/>
        </a:xfrm>
        <a:prstGeom prst="rect">
          <a:avLst/>
        </a:prstGeom>
        <a:solidFill>
          <a:schemeClr val="accent1">
            <a:lumMod val="75000"/>
          </a:schemeClr>
        </a:solidFill>
        <a:ln w="9525"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r>
            <a:rPr lang="es-CO" sz="1400" b="1">
              <a:solidFill>
                <a:schemeClr val="bg1"/>
              </a:solidFill>
              <a:effectLst/>
              <a:latin typeface="Arial Narrow" panose="020B0606020202030204" pitchFamily="34" charset="0"/>
              <a:ea typeface="+mn-ea"/>
              <a:cs typeface="+mn-cs"/>
            </a:rPr>
            <a:t>Grafica totales</a:t>
          </a:r>
          <a:endParaRPr lang="es-CO" sz="1400">
            <a:solidFill>
              <a:schemeClr val="bg1"/>
            </a:solidFill>
            <a:effectLst/>
            <a:latin typeface="Arial Narrow" panose="020B0606020202030204" pitchFamily="34" charset="0"/>
          </a:endParaRPr>
        </a:p>
      </xdr:txBody>
    </xdr:sp>
    <xdr:clientData/>
  </xdr:twoCellAnchor>
  <xdr:twoCellAnchor>
    <xdr:from>
      <xdr:col>0</xdr:col>
      <xdr:colOff>256289</xdr:colOff>
      <xdr:row>11</xdr:row>
      <xdr:rowOff>76975</xdr:rowOff>
    </xdr:from>
    <xdr:to>
      <xdr:col>0</xdr:col>
      <xdr:colOff>1638919</xdr:colOff>
      <xdr:row>13</xdr:row>
      <xdr:rowOff>128503</xdr:rowOff>
    </xdr:to>
    <xdr:sp macro="" textlink="">
      <xdr:nvSpPr>
        <xdr:cNvPr id="8" name="7 CuadroTexto">
          <a:hlinkClick xmlns:r="http://schemas.openxmlformats.org/officeDocument/2006/relationships" r:id="rId3"/>
          <a:extLst>
            <a:ext uri="{FF2B5EF4-FFF2-40B4-BE49-F238E27FC236}">
              <a16:creationId xmlns:a16="http://schemas.microsoft.com/office/drawing/2014/main" id="{00000000-0008-0000-1900-000008000000}"/>
            </a:ext>
          </a:extLst>
        </xdr:cNvPr>
        <xdr:cNvSpPr txBox="1"/>
      </xdr:nvSpPr>
      <xdr:spPr>
        <a:xfrm>
          <a:off x="256289" y="2286775"/>
          <a:ext cx="1382630" cy="461103"/>
        </a:xfrm>
        <a:prstGeom prst="rect">
          <a:avLst/>
        </a:prstGeom>
        <a:solidFill>
          <a:srgbClr val="00B050"/>
        </a:solidFill>
        <a:ln w="9525"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algn="ctr"/>
          <a:r>
            <a:rPr lang="es-CO" sz="1400" b="1">
              <a:solidFill>
                <a:schemeClr val="bg1"/>
              </a:solidFill>
              <a:effectLst/>
              <a:latin typeface="+mn-lt"/>
              <a:ea typeface="+mn-ea"/>
              <a:cs typeface="+mn-cs"/>
            </a:rPr>
            <a:t>grafica1</a:t>
          </a:r>
          <a:endParaRPr lang="es-CO" sz="1400">
            <a:solidFill>
              <a:schemeClr val="bg1"/>
            </a:solidFill>
            <a:effectLst/>
            <a:latin typeface="+mn-lt"/>
          </a:endParaRPr>
        </a:p>
      </xdr:txBody>
    </xdr:sp>
    <xdr:clientData/>
  </xdr:twoCellAnchor>
  <xdr:twoCellAnchor>
    <xdr:from>
      <xdr:col>0</xdr:col>
      <xdr:colOff>256289</xdr:colOff>
      <xdr:row>14</xdr:row>
      <xdr:rowOff>86112</xdr:rowOff>
    </xdr:from>
    <xdr:to>
      <xdr:col>0</xdr:col>
      <xdr:colOff>1638919</xdr:colOff>
      <xdr:row>16</xdr:row>
      <xdr:rowOff>166215</xdr:rowOff>
    </xdr:to>
    <xdr:sp macro="" textlink="">
      <xdr:nvSpPr>
        <xdr:cNvPr id="9" name="8 CuadroTexto">
          <a:hlinkClick xmlns:r="http://schemas.openxmlformats.org/officeDocument/2006/relationships" r:id="rId4"/>
          <a:extLst>
            <a:ext uri="{FF2B5EF4-FFF2-40B4-BE49-F238E27FC236}">
              <a16:creationId xmlns:a16="http://schemas.microsoft.com/office/drawing/2014/main" id="{00000000-0008-0000-1900-000009000000}"/>
            </a:ext>
          </a:extLst>
        </xdr:cNvPr>
        <xdr:cNvSpPr txBox="1"/>
      </xdr:nvSpPr>
      <xdr:spPr>
        <a:xfrm>
          <a:off x="256289" y="2895987"/>
          <a:ext cx="1382630" cy="461103"/>
        </a:xfrm>
        <a:prstGeom prst="rect">
          <a:avLst/>
        </a:prstGeom>
        <a:solidFill>
          <a:srgbClr val="FFFF99"/>
        </a:solidFill>
        <a:ln w="9525"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r>
            <a:rPr lang="es-CO" sz="1400" b="1">
              <a:solidFill>
                <a:schemeClr val="tx2"/>
              </a:solidFill>
              <a:effectLst/>
              <a:latin typeface="+mn-lt"/>
              <a:ea typeface="+mn-ea"/>
              <a:cs typeface="+mn-cs"/>
            </a:rPr>
            <a:t>Grafica costos variables</a:t>
          </a:r>
          <a:endParaRPr lang="es-CO" sz="1400">
            <a:solidFill>
              <a:schemeClr val="tx2"/>
            </a:solidFill>
            <a:effectLst/>
            <a:latin typeface="+mn-lt"/>
          </a:endParaRPr>
        </a:p>
      </xdr:txBody>
    </xdr:sp>
    <xdr:clientData/>
  </xdr:twoCellAnchor>
  <xdr:twoCellAnchor>
    <xdr:from>
      <xdr:col>0</xdr:col>
      <xdr:colOff>256289</xdr:colOff>
      <xdr:row>17</xdr:row>
      <xdr:rowOff>123825</xdr:rowOff>
    </xdr:from>
    <xdr:to>
      <xdr:col>0</xdr:col>
      <xdr:colOff>1638919</xdr:colOff>
      <xdr:row>20</xdr:row>
      <xdr:rowOff>13428</xdr:rowOff>
    </xdr:to>
    <xdr:sp macro="" textlink="">
      <xdr:nvSpPr>
        <xdr:cNvPr id="10" name="9 CuadroTexto">
          <a:hlinkClick xmlns:r="http://schemas.openxmlformats.org/officeDocument/2006/relationships" r:id="rId5"/>
          <a:extLst>
            <a:ext uri="{FF2B5EF4-FFF2-40B4-BE49-F238E27FC236}">
              <a16:creationId xmlns:a16="http://schemas.microsoft.com/office/drawing/2014/main" id="{00000000-0008-0000-1900-00000A000000}"/>
            </a:ext>
          </a:extLst>
        </xdr:cNvPr>
        <xdr:cNvSpPr txBox="1"/>
      </xdr:nvSpPr>
      <xdr:spPr>
        <a:xfrm>
          <a:off x="256289" y="3505200"/>
          <a:ext cx="1382630" cy="461103"/>
        </a:xfrm>
        <a:prstGeom prst="rect">
          <a:avLst/>
        </a:prstGeom>
        <a:solidFill>
          <a:srgbClr val="EEB84C"/>
        </a:solidFill>
        <a:ln w="9525"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algn="ctr"/>
          <a:r>
            <a:rPr lang="es-CO" sz="1400" b="1">
              <a:solidFill>
                <a:schemeClr val="tx2"/>
              </a:solidFill>
              <a:effectLst/>
              <a:latin typeface="+mn-lt"/>
              <a:ea typeface="+mn-ea"/>
              <a:cs typeface="+mn-cs"/>
            </a:rPr>
            <a:t>metricas</a:t>
          </a:r>
          <a:endParaRPr lang="es-CO" sz="1400">
            <a:solidFill>
              <a:schemeClr val="tx2"/>
            </a:solidFill>
            <a:effectLst/>
            <a:latin typeface="+mn-l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757670</xdr:colOff>
      <xdr:row>0</xdr:row>
      <xdr:rowOff>209550</xdr:rowOff>
    </xdr:from>
    <xdr:to>
      <xdr:col>4</xdr:col>
      <xdr:colOff>1606550</xdr:colOff>
      <xdr:row>2</xdr:row>
      <xdr:rowOff>19050</xdr:rowOff>
    </xdr:to>
    <xdr:pic>
      <xdr:nvPicPr>
        <xdr:cNvPr id="2" name="Picture 3" descr="P1_ECOPETROLRef_positivo_2p_cmyk.jpg">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l="7545" t="32997" r="8418" b="25589"/>
        <a:stretch>
          <a:fillRect/>
        </a:stretch>
      </xdr:blipFill>
      <xdr:spPr bwMode="auto">
        <a:xfrm>
          <a:off x="1310120" y="209550"/>
          <a:ext cx="2195080" cy="742950"/>
        </a:xfrm>
        <a:prstGeom prst="rect">
          <a:avLst/>
        </a:prstGeom>
        <a:noFill/>
        <a:ln w="9525">
          <a:noFill/>
          <a:miter lim="800000"/>
          <a:headEnd/>
          <a:tailEnd/>
        </a:ln>
      </xdr:spPr>
    </xdr:pic>
    <xdr:clientData/>
  </xdr:twoCellAnchor>
  <xdr:twoCellAnchor editAs="oneCell">
    <xdr:from>
      <xdr:col>37</xdr:col>
      <xdr:colOff>127000</xdr:colOff>
      <xdr:row>1</xdr:row>
      <xdr:rowOff>44450</xdr:rowOff>
    </xdr:from>
    <xdr:to>
      <xdr:col>40</xdr:col>
      <xdr:colOff>268033</xdr:colOff>
      <xdr:row>1</xdr:row>
      <xdr:rowOff>654050</xdr:rowOff>
    </xdr:to>
    <xdr:pic>
      <xdr:nvPicPr>
        <xdr:cNvPr id="5" name="Imagen 4"/>
        <xdr:cNvPicPr>
          <a:picLocks noChangeAspect="1"/>
        </xdr:cNvPicPr>
      </xdr:nvPicPr>
      <xdr:blipFill>
        <a:blip xmlns:r="http://schemas.openxmlformats.org/officeDocument/2006/relationships" r:embed="rId2"/>
        <a:stretch>
          <a:fillRect/>
        </a:stretch>
      </xdr:blipFill>
      <xdr:spPr>
        <a:xfrm>
          <a:off x="25914350" y="292100"/>
          <a:ext cx="2179383" cy="6096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388471</xdr:colOff>
      <xdr:row>1</xdr:row>
      <xdr:rowOff>37353</xdr:rowOff>
    </xdr:from>
    <xdr:to>
      <xdr:col>3</xdr:col>
      <xdr:colOff>597647</xdr:colOff>
      <xdr:row>1</xdr:row>
      <xdr:rowOff>765737</xdr:rowOff>
    </xdr:to>
    <xdr:pic>
      <xdr:nvPicPr>
        <xdr:cNvPr id="4" name="Picture 2" descr="P1_ECOPETROLRef_positivo_2p_cmyk.jpg">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l="7545" t="32997" r="8418" b="25589"/>
        <a:stretch>
          <a:fillRect/>
        </a:stretch>
      </xdr:blipFill>
      <xdr:spPr bwMode="auto">
        <a:xfrm>
          <a:off x="806824" y="224118"/>
          <a:ext cx="1882588" cy="728384"/>
        </a:xfrm>
        <a:prstGeom prst="rect">
          <a:avLst/>
        </a:prstGeom>
        <a:noFill/>
        <a:ln w="9525">
          <a:noFill/>
          <a:miter lim="800000"/>
          <a:headEnd/>
          <a:tailEnd/>
        </a:ln>
      </xdr:spPr>
    </xdr:pic>
    <xdr:clientData/>
  </xdr:twoCellAnchor>
  <xdr:twoCellAnchor editAs="oneCell">
    <xdr:from>
      <xdr:col>12</xdr:col>
      <xdr:colOff>112058</xdr:colOff>
      <xdr:row>1</xdr:row>
      <xdr:rowOff>82177</xdr:rowOff>
    </xdr:from>
    <xdr:to>
      <xdr:col>14</xdr:col>
      <xdr:colOff>778087</xdr:colOff>
      <xdr:row>1</xdr:row>
      <xdr:rowOff>694764</xdr:rowOff>
    </xdr:to>
    <xdr:pic>
      <xdr:nvPicPr>
        <xdr:cNvPr id="2" name="Imagen 1"/>
        <xdr:cNvPicPr>
          <a:picLocks noChangeAspect="1"/>
        </xdr:cNvPicPr>
      </xdr:nvPicPr>
      <xdr:blipFill>
        <a:blip xmlns:r="http://schemas.openxmlformats.org/officeDocument/2006/relationships" r:embed="rId2"/>
        <a:stretch>
          <a:fillRect/>
        </a:stretch>
      </xdr:blipFill>
      <xdr:spPr>
        <a:xfrm>
          <a:off x="8120529" y="268942"/>
          <a:ext cx="2077970" cy="61258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xdr:col>
      <xdr:colOff>0</xdr:colOff>
      <xdr:row>3</xdr:row>
      <xdr:rowOff>85725</xdr:rowOff>
    </xdr:from>
    <xdr:to>
      <xdr:col>8</xdr:col>
      <xdr:colOff>76200</xdr:colOff>
      <xdr:row>7</xdr:row>
      <xdr:rowOff>0</xdr:rowOff>
    </xdr:to>
    <xdr:pic>
      <xdr:nvPicPr>
        <xdr:cNvPr id="2" name="2 Imagen" descr="P1_ECOPETROLRef_positivo_2p_cmyk.jpg">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blip>
        <a:srcRect l="7545" t="32997" r="8418" b="25589"/>
        <a:stretch>
          <a:fillRect/>
        </a:stretch>
      </xdr:blipFill>
      <xdr:spPr bwMode="auto">
        <a:xfrm>
          <a:off x="619125" y="409575"/>
          <a:ext cx="2247900" cy="866775"/>
        </a:xfrm>
        <a:prstGeom prst="rect">
          <a:avLst/>
        </a:prstGeom>
        <a:noFill/>
        <a:ln w="9525">
          <a:noFill/>
          <a:miter lim="800000"/>
          <a:headEnd/>
          <a:tailEnd/>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2</xdr:col>
      <xdr:colOff>535781</xdr:colOff>
      <xdr:row>4</xdr:row>
      <xdr:rowOff>79376</xdr:rowOff>
    </xdr:from>
    <xdr:to>
      <xdr:col>4</xdr:col>
      <xdr:colOff>341313</xdr:colOff>
      <xdr:row>5</xdr:row>
      <xdr:rowOff>11117</xdr:rowOff>
    </xdr:to>
    <xdr:pic>
      <xdr:nvPicPr>
        <xdr:cNvPr id="3" name="4 Imagen" descr="http://bogevairisp/medios/documentos/Manual%20Intranet/descargas/ECO_logosimbolo_p1/06_ECO_Logosimbolo_p1_Eslogan_Derecha/ECO_logo_1_Eslogan_Derecha_PNG/Eco_logo_1_Eslogan_Der_Color.png">
          <a:extLst>
            <a:ext uri="{FF2B5EF4-FFF2-40B4-BE49-F238E27FC236}">
              <a16:creationId xmlns:a16="http://schemas.microsoft.com/office/drawing/2014/main" id="{00000000-0008-0000-01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671" t="29034" r="3915" b="30306"/>
        <a:stretch/>
      </xdr:blipFill>
      <xdr:spPr bwMode="auto">
        <a:xfrm>
          <a:off x="535781" y="730251"/>
          <a:ext cx="2107407" cy="4238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296365</xdr:colOff>
      <xdr:row>1</xdr:row>
      <xdr:rowOff>157349</xdr:rowOff>
    </xdr:from>
    <xdr:to>
      <xdr:col>11</xdr:col>
      <xdr:colOff>157993</xdr:colOff>
      <xdr:row>18</xdr:row>
      <xdr:rowOff>136618</xdr:rowOff>
    </xdr:to>
    <xdr:graphicFrame macro="">
      <xdr:nvGraphicFramePr>
        <xdr:cNvPr id="18" name="Chart 2">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20</xdr:row>
      <xdr:rowOff>44979</xdr:rowOff>
    </xdr:from>
    <xdr:to>
      <xdr:col>22</xdr:col>
      <xdr:colOff>231322</xdr:colOff>
      <xdr:row>37</xdr:row>
      <xdr:rowOff>21167</xdr:rowOff>
    </xdr:to>
    <xdr:graphicFrame macro="">
      <xdr:nvGraphicFramePr>
        <xdr:cNvPr id="19" name="Chart 2">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290286</xdr:colOff>
      <xdr:row>19</xdr:row>
      <xdr:rowOff>146846</xdr:rowOff>
    </xdr:from>
    <xdr:to>
      <xdr:col>11</xdr:col>
      <xdr:colOff>181429</xdr:colOff>
      <xdr:row>36</xdr:row>
      <xdr:rowOff>120652</xdr:rowOff>
    </xdr:to>
    <xdr:graphicFrame macro="">
      <xdr:nvGraphicFramePr>
        <xdr:cNvPr id="20" name="Chart 2">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513671</xdr:colOff>
      <xdr:row>38</xdr:row>
      <xdr:rowOff>132442</xdr:rowOff>
    </xdr:from>
    <xdr:to>
      <xdr:col>22</xdr:col>
      <xdr:colOff>214314</xdr:colOff>
      <xdr:row>56</xdr:row>
      <xdr:rowOff>180067</xdr:rowOff>
    </xdr:to>
    <xdr:graphicFrame macro="">
      <xdr:nvGraphicFramePr>
        <xdr:cNvPr id="21" name="Chart 5">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57</xdr:row>
      <xdr:rowOff>166687</xdr:rowOff>
    </xdr:from>
    <xdr:to>
      <xdr:col>22</xdr:col>
      <xdr:colOff>244929</xdr:colOff>
      <xdr:row>73</xdr:row>
      <xdr:rowOff>40481</xdr:rowOff>
    </xdr:to>
    <xdr:graphicFrame macro="">
      <xdr:nvGraphicFramePr>
        <xdr:cNvPr id="23" name="Chart 3">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58</xdr:row>
      <xdr:rowOff>1</xdr:rowOff>
    </xdr:from>
    <xdr:to>
      <xdr:col>11</xdr:col>
      <xdr:colOff>66675</xdr:colOff>
      <xdr:row>73</xdr:row>
      <xdr:rowOff>0</xdr:rowOff>
    </xdr:to>
    <xdr:graphicFrame macro="">
      <xdr:nvGraphicFramePr>
        <xdr:cNvPr id="24" name="Chart 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476250</xdr:colOff>
      <xdr:row>74</xdr:row>
      <xdr:rowOff>136071</xdr:rowOff>
    </xdr:from>
    <xdr:to>
      <xdr:col>22</xdr:col>
      <xdr:colOff>221116</xdr:colOff>
      <xdr:row>93</xdr:row>
      <xdr:rowOff>66675</xdr:rowOff>
    </xdr:to>
    <xdr:graphicFrame macro="">
      <xdr:nvGraphicFramePr>
        <xdr:cNvPr id="25" name="Chart 5">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36398</xdr:colOff>
      <xdr:row>74</xdr:row>
      <xdr:rowOff>110558</xdr:rowOff>
    </xdr:from>
    <xdr:to>
      <xdr:col>11</xdr:col>
      <xdr:colOff>119062</xdr:colOff>
      <xdr:row>93</xdr:row>
      <xdr:rowOff>35719</xdr:rowOff>
    </xdr:to>
    <xdr:graphicFrame macro="">
      <xdr:nvGraphicFramePr>
        <xdr:cNvPr id="26" name="Chart 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498929</xdr:colOff>
      <xdr:row>1</xdr:row>
      <xdr:rowOff>138205</xdr:rowOff>
    </xdr:from>
    <xdr:to>
      <xdr:col>22</xdr:col>
      <xdr:colOff>229789</xdr:colOff>
      <xdr:row>18</xdr:row>
      <xdr:rowOff>128681</xdr:rowOff>
    </xdr:to>
    <xdr:graphicFrame macro="">
      <xdr:nvGraphicFramePr>
        <xdr:cNvPr id="12" name="Chart 2">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345281</xdr:colOff>
      <xdr:row>38</xdr:row>
      <xdr:rowOff>102393</xdr:rowOff>
    </xdr:from>
    <xdr:to>
      <xdr:col>11</xdr:col>
      <xdr:colOff>83343</xdr:colOff>
      <xdr:row>56</xdr:row>
      <xdr:rowOff>150018</xdr:rowOff>
    </xdr:to>
    <xdr:graphicFrame macro="">
      <xdr:nvGraphicFramePr>
        <xdr:cNvPr id="13" name="Chart 5">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827520</xdr:colOff>
      <xdr:row>1</xdr:row>
      <xdr:rowOff>63500</xdr:rowOff>
    </xdr:from>
    <xdr:to>
      <xdr:col>4</xdr:col>
      <xdr:colOff>162213</xdr:colOff>
      <xdr:row>4</xdr:row>
      <xdr:rowOff>163513</xdr:rowOff>
    </xdr:to>
    <xdr:pic>
      <xdr:nvPicPr>
        <xdr:cNvPr id="2" name="Picture 3" descr="P1_ECOPETROLRef_positivo_2p_cmyk.jpg">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l="7545" t="32997" r="8418" b="25589"/>
        <a:stretch>
          <a:fillRect/>
        </a:stretch>
      </xdr:blipFill>
      <xdr:spPr bwMode="auto">
        <a:xfrm>
          <a:off x="898958" y="119063"/>
          <a:ext cx="2096943" cy="742950"/>
        </a:xfrm>
        <a:prstGeom prst="rect">
          <a:avLst/>
        </a:prstGeom>
        <a:noFill/>
        <a:ln w="9525">
          <a:noFill/>
          <a:miter lim="800000"/>
          <a:headEnd/>
          <a:tailEnd/>
        </a:ln>
      </xdr:spPr>
    </xdr:pic>
    <xdr:clientData/>
  </xdr:twoCellAnchor>
  <xdr:twoCellAnchor>
    <xdr:from>
      <xdr:col>7</xdr:col>
      <xdr:colOff>7936</xdr:colOff>
      <xdr:row>1</xdr:row>
      <xdr:rowOff>111125</xdr:rowOff>
    </xdr:from>
    <xdr:to>
      <xdr:col>8</xdr:col>
      <xdr:colOff>317498</xdr:colOff>
      <xdr:row>4</xdr:row>
      <xdr:rowOff>39688</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5810249" y="166688"/>
          <a:ext cx="1389062" cy="571500"/>
        </a:xfrm>
        <a:prstGeom prst="rect">
          <a:avLst/>
        </a:prstGeom>
        <a:solidFill>
          <a:schemeClr val="accent5"/>
        </a:solidFill>
        <a:ln>
          <a:noFill/>
        </a:ln>
      </xdr:spPr>
      <xdr:style>
        <a:lnRef idx="0">
          <a:scrgbClr r="0" g="0" b="0"/>
        </a:lnRef>
        <a:fillRef idx="0">
          <a:scrgbClr r="0" g="0" b="0"/>
        </a:fillRef>
        <a:effectRef idx="0">
          <a:scrgbClr r="0" g="0" b="0"/>
        </a:effectRef>
        <a:fontRef idx="minor">
          <a:schemeClr val="lt1"/>
        </a:fontRef>
      </xdr:style>
      <xdr:txBody>
        <a:bodyPr vertOverflow="clip" rtlCol="0" anchor="ctr"/>
        <a:lstStyle/>
        <a:p>
          <a:pPr algn="ctr"/>
          <a:r>
            <a:rPr lang="es-CO" sz="1400"/>
            <a:t>Reemplazar</a:t>
          </a:r>
          <a:r>
            <a:rPr lang="es-CO" sz="1400" baseline="0"/>
            <a:t> por CZ</a:t>
          </a:r>
          <a:endParaRPr lang="es-CO" sz="1400"/>
        </a:p>
      </xdr:txBody>
    </xdr:sp>
    <xdr:clientData/>
  </xdr:twoCellAnchor>
  <xdr:twoCellAnchor>
    <xdr:from>
      <xdr:col>8</xdr:col>
      <xdr:colOff>202407</xdr:colOff>
      <xdr:row>4</xdr:row>
      <xdr:rowOff>63500</xdr:rowOff>
    </xdr:from>
    <xdr:to>
      <xdr:col>8</xdr:col>
      <xdr:colOff>206375</xdr:colOff>
      <xdr:row>7</xdr:row>
      <xdr:rowOff>138906</xdr:rowOff>
    </xdr:to>
    <xdr:cxnSp macro="">
      <xdr:nvCxnSpPr>
        <xdr:cNvPr id="8" name="Conector recto de flecha 7">
          <a:extLst>
            <a:ext uri="{FF2B5EF4-FFF2-40B4-BE49-F238E27FC236}">
              <a16:creationId xmlns:a16="http://schemas.microsoft.com/office/drawing/2014/main" id="{00000000-0008-0000-0600-000008000000}"/>
            </a:ext>
          </a:extLst>
        </xdr:cNvPr>
        <xdr:cNvCxnSpPr/>
      </xdr:nvCxnSpPr>
      <xdr:spPr>
        <a:xfrm flipH="1">
          <a:off x="7084220" y="762000"/>
          <a:ext cx="3968" cy="1083469"/>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11</xdr:col>
      <xdr:colOff>563561</xdr:colOff>
      <xdr:row>1</xdr:row>
      <xdr:rowOff>120650</xdr:rowOff>
    </xdr:from>
    <xdr:to>
      <xdr:col>13</xdr:col>
      <xdr:colOff>31748</xdr:colOff>
      <xdr:row>4</xdr:row>
      <xdr:rowOff>39688</xdr:rowOff>
    </xdr:to>
    <xdr:sp macro="" textlink="">
      <xdr:nvSpPr>
        <xdr:cNvPr id="11" name="Rectángulo 10">
          <a:extLst>
            <a:ext uri="{FF2B5EF4-FFF2-40B4-BE49-F238E27FC236}">
              <a16:creationId xmlns:a16="http://schemas.microsoft.com/office/drawing/2014/main" id="{00000000-0008-0000-0600-00000B000000}"/>
            </a:ext>
          </a:extLst>
        </xdr:cNvPr>
        <xdr:cNvSpPr/>
      </xdr:nvSpPr>
      <xdr:spPr>
        <a:xfrm>
          <a:off x="10731499" y="176213"/>
          <a:ext cx="1373187" cy="561975"/>
        </a:xfrm>
        <a:prstGeom prst="rect">
          <a:avLst/>
        </a:prstGeom>
        <a:solidFill>
          <a:schemeClr val="accent5"/>
        </a:solidFill>
        <a:ln>
          <a:noFill/>
        </a:ln>
      </xdr:spPr>
      <xdr:style>
        <a:lnRef idx="0">
          <a:scrgbClr r="0" g="0" b="0"/>
        </a:lnRef>
        <a:fillRef idx="0">
          <a:scrgbClr r="0" g="0" b="0"/>
        </a:fillRef>
        <a:effectRef idx="0">
          <a:scrgbClr r="0" g="0" b="0"/>
        </a:effectRef>
        <a:fontRef idx="minor">
          <a:schemeClr val="lt1"/>
        </a:fontRef>
      </xdr:style>
      <xdr:txBody>
        <a:bodyPr vertOverflow="clip" rtlCol="0" anchor="ctr"/>
        <a:lstStyle/>
        <a:p>
          <a:pPr algn="ctr"/>
          <a:r>
            <a:rPr lang="es-CO" sz="1400"/>
            <a:t>Reemplazar</a:t>
          </a:r>
          <a:r>
            <a:rPr lang="es-CO" sz="1400" baseline="0"/>
            <a:t> por DA</a:t>
          </a:r>
          <a:endParaRPr lang="es-CO" sz="1400"/>
        </a:p>
      </xdr:txBody>
    </xdr:sp>
    <xdr:clientData/>
  </xdr:twoCellAnchor>
  <xdr:twoCellAnchor>
    <xdr:from>
      <xdr:col>11</xdr:col>
      <xdr:colOff>656431</xdr:colOff>
      <xdr:row>4</xdr:row>
      <xdr:rowOff>79375</xdr:rowOff>
    </xdr:from>
    <xdr:to>
      <xdr:col>11</xdr:col>
      <xdr:colOff>658812</xdr:colOff>
      <xdr:row>7</xdr:row>
      <xdr:rowOff>144463</xdr:rowOff>
    </xdr:to>
    <xdr:cxnSp macro="">
      <xdr:nvCxnSpPr>
        <xdr:cNvPr id="12" name="Conector recto de flecha 11">
          <a:extLst>
            <a:ext uri="{FF2B5EF4-FFF2-40B4-BE49-F238E27FC236}">
              <a16:creationId xmlns:a16="http://schemas.microsoft.com/office/drawing/2014/main" id="{00000000-0008-0000-0600-00000C000000}"/>
            </a:ext>
          </a:extLst>
        </xdr:cNvPr>
        <xdr:cNvCxnSpPr/>
      </xdr:nvCxnSpPr>
      <xdr:spPr>
        <a:xfrm flipH="1">
          <a:off x="10824369" y="777875"/>
          <a:ext cx="2381" cy="1073151"/>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editAs="oneCell">
    <xdr:from>
      <xdr:col>15</xdr:col>
      <xdr:colOff>87312</xdr:colOff>
      <xdr:row>1</xdr:row>
      <xdr:rowOff>47625</xdr:rowOff>
    </xdr:from>
    <xdr:to>
      <xdr:col>17</xdr:col>
      <xdr:colOff>758570</xdr:colOff>
      <xdr:row>4</xdr:row>
      <xdr:rowOff>93654</xdr:rowOff>
    </xdr:to>
    <xdr:pic>
      <xdr:nvPicPr>
        <xdr:cNvPr id="13" name="Imagen 12"/>
        <xdr:cNvPicPr>
          <a:picLocks noChangeAspect="1"/>
        </xdr:cNvPicPr>
      </xdr:nvPicPr>
      <xdr:blipFill>
        <a:blip xmlns:r="http://schemas.openxmlformats.org/officeDocument/2006/relationships" r:embed="rId2"/>
        <a:stretch>
          <a:fillRect/>
        </a:stretch>
      </xdr:blipFill>
      <xdr:spPr>
        <a:xfrm>
          <a:off x="14541500" y="103188"/>
          <a:ext cx="2179383" cy="688966"/>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667869</xdr:colOff>
      <xdr:row>0</xdr:row>
      <xdr:rowOff>178594</xdr:rowOff>
    </xdr:from>
    <xdr:to>
      <xdr:col>5</xdr:col>
      <xdr:colOff>592628</xdr:colOff>
      <xdr:row>3</xdr:row>
      <xdr:rowOff>178593</xdr:rowOff>
    </xdr:to>
    <xdr:pic>
      <xdr:nvPicPr>
        <xdr:cNvPr id="2" name="2 Imagen" descr="P1_ECOPETROLRef_positivo_2p_cmyk.jpg">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blip>
        <a:srcRect l="7545" t="32997" r="8418" b="25589"/>
        <a:stretch>
          <a:fillRect/>
        </a:stretch>
      </xdr:blipFill>
      <xdr:spPr bwMode="auto">
        <a:xfrm>
          <a:off x="1560838" y="178594"/>
          <a:ext cx="2425071" cy="785812"/>
        </a:xfrm>
        <a:prstGeom prst="rect">
          <a:avLst/>
        </a:prstGeom>
        <a:noFill/>
        <a:ln w="9525">
          <a:noFill/>
          <a:miter lim="800000"/>
          <a:headEnd/>
          <a:tailEnd/>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627062</xdr:colOff>
      <xdr:row>1</xdr:row>
      <xdr:rowOff>75405</xdr:rowOff>
    </xdr:from>
    <xdr:to>
      <xdr:col>2</xdr:col>
      <xdr:colOff>1476375</xdr:colOff>
      <xdr:row>1</xdr:row>
      <xdr:rowOff>653311</xdr:rowOff>
    </xdr:to>
    <xdr:pic>
      <xdr:nvPicPr>
        <xdr:cNvPr id="4" name="Picture 3" descr="P1_ECOPETROLRef_positivo_2p_cmyk.jpg">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l="7545" t="32997" r="8418" b="25589"/>
        <a:stretch>
          <a:fillRect/>
        </a:stretch>
      </xdr:blipFill>
      <xdr:spPr bwMode="auto">
        <a:xfrm>
          <a:off x="698500" y="265905"/>
          <a:ext cx="1762125" cy="577906"/>
        </a:xfrm>
        <a:prstGeom prst="rect">
          <a:avLst/>
        </a:prstGeom>
        <a:noFill/>
        <a:ln w="9525">
          <a:noFill/>
          <a:miter lim="800000"/>
          <a:headEnd/>
          <a:tailEnd/>
        </a:ln>
      </xdr:spPr>
    </xdr:pic>
    <xdr:clientData/>
  </xdr:twoCellAnchor>
  <xdr:twoCellAnchor editAs="oneCell">
    <xdr:from>
      <xdr:col>25</xdr:col>
      <xdr:colOff>150813</xdr:colOff>
      <xdr:row>1</xdr:row>
      <xdr:rowOff>47625</xdr:rowOff>
    </xdr:from>
    <xdr:to>
      <xdr:col>28</xdr:col>
      <xdr:colOff>4508</xdr:colOff>
      <xdr:row>1</xdr:row>
      <xdr:rowOff>736591</xdr:rowOff>
    </xdr:to>
    <xdr:pic>
      <xdr:nvPicPr>
        <xdr:cNvPr id="5" name="Imagen 4"/>
        <xdr:cNvPicPr>
          <a:picLocks noChangeAspect="1"/>
        </xdr:cNvPicPr>
      </xdr:nvPicPr>
      <xdr:blipFill>
        <a:blip xmlns:r="http://schemas.openxmlformats.org/officeDocument/2006/relationships" r:embed="rId2"/>
        <a:stretch>
          <a:fillRect/>
        </a:stretch>
      </xdr:blipFill>
      <xdr:spPr>
        <a:xfrm>
          <a:off x="27289126" y="238125"/>
          <a:ext cx="2179383" cy="688966"/>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2380</xdr:colOff>
      <xdr:row>0</xdr:row>
      <xdr:rowOff>238126</xdr:rowOff>
    </xdr:from>
    <xdr:to>
      <xdr:col>3</xdr:col>
      <xdr:colOff>964406</xdr:colOff>
      <xdr:row>4</xdr:row>
      <xdr:rowOff>130970</xdr:rowOff>
    </xdr:to>
    <xdr:pic>
      <xdr:nvPicPr>
        <xdr:cNvPr id="2" name="2 Imagen" descr="P1_ECOPETROLRef_positivo_2p_cmyk.jpg">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blip>
        <a:srcRect l="7545" t="32997" r="8418" b="25589"/>
        <a:stretch>
          <a:fillRect/>
        </a:stretch>
      </xdr:blipFill>
      <xdr:spPr bwMode="auto">
        <a:xfrm>
          <a:off x="297655" y="238126"/>
          <a:ext cx="2828926" cy="950119"/>
        </a:xfrm>
        <a:prstGeom prst="rect">
          <a:avLst/>
        </a:prstGeom>
        <a:noFill/>
        <a:ln w="9525">
          <a:noFill/>
          <a:miter lim="800000"/>
          <a:headEnd/>
          <a:tailEnd/>
        </a:ln>
      </xdr:spPr>
    </xdr:pic>
    <xdr:clientData/>
  </xdr:twoCellAnchor>
  <xdr:twoCellAnchor>
    <xdr:from>
      <xdr:col>10</xdr:col>
      <xdr:colOff>47626</xdr:colOff>
      <xdr:row>7</xdr:row>
      <xdr:rowOff>11905</xdr:rowOff>
    </xdr:from>
    <xdr:to>
      <xdr:col>27</xdr:col>
      <xdr:colOff>59531</xdr:colOff>
      <xdr:row>21</xdr:row>
      <xdr:rowOff>178593</xdr:rowOff>
    </xdr:to>
    <xdr:graphicFrame macro="">
      <xdr:nvGraphicFramePr>
        <xdr:cNvPr id="3" name="2 Gráfico">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35719</xdr:colOff>
      <xdr:row>23</xdr:row>
      <xdr:rowOff>35719</xdr:rowOff>
    </xdr:from>
    <xdr:to>
      <xdr:col>27</xdr:col>
      <xdr:colOff>107157</xdr:colOff>
      <xdr:row>39</xdr:row>
      <xdr:rowOff>190501</xdr:rowOff>
    </xdr:to>
    <xdr:graphicFrame macro="">
      <xdr:nvGraphicFramePr>
        <xdr:cNvPr id="4" name="3 Gráfico">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10</xdr:col>
      <xdr:colOff>95250</xdr:colOff>
      <xdr:row>4</xdr:row>
      <xdr:rowOff>28575</xdr:rowOff>
    </xdr:from>
    <xdr:to>
      <xdr:col>16</xdr:col>
      <xdr:colOff>95250</xdr:colOff>
      <xdr:row>16</xdr:row>
      <xdr:rowOff>19050</xdr:rowOff>
    </xdr:to>
    <xdr:graphicFrame macro="">
      <xdr:nvGraphicFramePr>
        <xdr:cNvPr id="2" name="Gráfico 1">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25</xdr:row>
      <xdr:rowOff>0</xdr:rowOff>
    </xdr:from>
    <xdr:to>
      <xdr:col>16</xdr:col>
      <xdr:colOff>38100</xdr:colOff>
      <xdr:row>37</xdr:row>
      <xdr:rowOff>171450</xdr:rowOff>
    </xdr:to>
    <xdr:graphicFrame macro="">
      <xdr:nvGraphicFramePr>
        <xdr:cNvPr id="3" name="Gráfico 3">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25</xdr:row>
      <xdr:rowOff>0</xdr:rowOff>
    </xdr:from>
    <xdr:to>
      <xdr:col>22</xdr:col>
      <xdr:colOff>38100</xdr:colOff>
      <xdr:row>37</xdr:row>
      <xdr:rowOff>171450</xdr:rowOff>
    </xdr:to>
    <xdr:graphicFrame macro="">
      <xdr:nvGraphicFramePr>
        <xdr:cNvPr id="4" name="Gráfico 4">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47</xdr:row>
      <xdr:rowOff>571500</xdr:rowOff>
    </xdr:from>
    <xdr:to>
      <xdr:col>19</xdr:col>
      <xdr:colOff>561975</xdr:colOff>
      <xdr:row>59</xdr:row>
      <xdr:rowOff>85725</xdr:rowOff>
    </xdr:to>
    <xdr:graphicFrame macro="">
      <xdr:nvGraphicFramePr>
        <xdr:cNvPr id="5" name="Gráfico 1">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0</xdr:col>
      <xdr:colOff>352425</xdr:colOff>
      <xdr:row>0</xdr:row>
      <xdr:rowOff>180975</xdr:rowOff>
    </xdr:from>
    <xdr:to>
      <xdr:col>12</xdr:col>
      <xdr:colOff>657224</xdr:colOff>
      <xdr:row>18</xdr:row>
      <xdr:rowOff>47625</xdr:rowOff>
    </xdr:to>
    <xdr:graphicFrame macro="">
      <xdr:nvGraphicFramePr>
        <xdr:cNvPr id="2" name="1 Gráfico">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381000</xdr:colOff>
      <xdr:row>18</xdr:row>
      <xdr:rowOff>123826</xdr:rowOff>
    </xdr:from>
    <xdr:to>
      <xdr:col>13</xdr:col>
      <xdr:colOff>0</xdr:colOff>
      <xdr:row>35</xdr:row>
      <xdr:rowOff>0</xdr:rowOff>
    </xdr:to>
    <xdr:graphicFrame macro="">
      <xdr:nvGraphicFramePr>
        <xdr:cNvPr id="3" name="2 Gráfico">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0</xdr:col>
      <xdr:colOff>209550</xdr:colOff>
      <xdr:row>16</xdr:row>
      <xdr:rowOff>47624</xdr:rowOff>
    </xdr:from>
    <xdr:to>
      <xdr:col>4</xdr:col>
      <xdr:colOff>1647825</xdr:colOff>
      <xdr:row>32</xdr:row>
      <xdr:rowOff>114299</xdr:rowOff>
    </xdr:to>
    <xdr:graphicFrame macro="">
      <xdr:nvGraphicFramePr>
        <xdr:cNvPr id="2" name="1 Gráfico">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47624</xdr:colOff>
      <xdr:row>6</xdr:row>
      <xdr:rowOff>85726</xdr:rowOff>
    </xdr:from>
    <xdr:to>
      <xdr:col>4</xdr:col>
      <xdr:colOff>609600</xdr:colOff>
      <xdr:row>14</xdr:row>
      <xdr:rowOff>9526</xdr:rowOff>
    </xdr:to>
    <mc:AlternateContent xmlns:mc="http://schemas.openxmlformats.org/markup-compatibility/2006" xmlns:a14="http://schemas.microsoft.com/office/drawing/2010/main">
      <mc:Choice Requires="a14">
        <xdr:graphicFrame macro="">
          <xdr:nvGraphicFramePr>
            <xdr:cNvPr id="3" name="Concepto">
              <a:extLst>
                <a:ext uri="{FF2B5EF4-FFF2-40B4-BE49-F238E27FC236}">
                  <a16:creationId xmlns:a16="http://schemas.microsoft.com/office/drawing/2014/main" id="{00000000-0008-0000-1C00-000003000000}"/>
                </a:ext>
              </a:extLst>
            </xdr:cNvPr>
            <xdr:cNvGraphicFramePr/>
          </xdr:nvGraphicFramePr>
          <xdr:xfrm>
            <a:off x="0" y="0"/>
            <a:ext cx="0" cy="0"/>
          </xdr:xfrm>
          <a:graphic>
            <a:graphicData uri="http://schemas.microsoft.com/office/drawing/2010/slicer">
              <sle:slicer xmlns:sle="http://schemas.microsoft.com/office/drawing/2010/slicer" name="Concepto"/>
            </a:graphicData>
          </a:graphic>
        </xdr:graphicFrame>
      </mc:Choice>
      <mc:Fallback xmlns="">
        <xdr:sp macro="" textlink="">
          <xdr:nvSpPr>
            <xdr:cNvPr id="0" name=""/>
            <xdr:cNvSpPr>
              <a:spLocks noTextEdit="1"/>
            </xdr:cNvSpPr>
          </xdr:nvSpPr>
          <xdr:spPr>
            <a:xfrm>
              <a:off x="3629024" y="1228726"/>
              <a:ext cx="2743201" cy="144780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puede usar al menos en Excel 2010.
Si la forma se modificó en una versión anterior de Excel, o si el libro se guardó en Excel 2003 o anterior, no se puede usar la segmentaciones de datos.</a:t>
              </a:r>
            </a:p>
          </xdr:txBody>
        </xdr:sp>
      </mc:Fallback>
    </mc:AlternateContent>
    <xdr:clientData/>
  </xdr:twoCellAnchor>
</xdr:wsDr>
</file>

<file path=xl/drawings/drawing25.xml><?xml version="1.0" encoding="utf-8"?>
<xdr:wsDr xmlns:xdr="http://schemas.openxmlformats.org/drawingml/2006/spreadsheetDrawing" xmlns:a="http://schemas.openxmlformats.org/drawingml/2006/main">
  <xdr:twoCellAnchor editAs="oneCell">
    <xdr:from>
      <xdr:col>8</xdr:col>
      <xdr:colOff>439208</xdr:colOff>
      <xdr:row>0</xdr:row>
      <xdr:rowOff>66675</xdr:rowOff>
    </xdr:from>
    <xdr:to>
      <xdr:col>12</xdr:col>
      <xdr:colOff>111125</xdr:colOff>
      <xdr:row>13</xdr:row>
      <xdr:rowOff>114300</xdr:rowOff>
    </xdr:to>
    <mc:AlternateContent xmlns:mc="http://schemas.openxmlformats.org/markup-compatibility/2006" xmlns:a14="http://schemas.microsoft.com/office/drawing/2010/main">
      <mc:Choice Requires="a14">
        <xdr:graphicFrame macro="">
          <xdr:nvGraphicFramePr>
            <xdr:cNvPr id="2" name="Concepto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microsoft.com/office/drawing/2010/slicer">
              <sle:slicer xmlns:sle="http://schemas.microsoft.com/office/drawing/2010/slicer" name="Concepto 1"/>
            </a:graphicData>
          </a:graphic>
        </xdr:graphicFrame>
      </mc:Choice>
      <mc:Fallback xmlns="">
        <xdr:sp macro="" textlink="">
          <xdr:nvSpPr>
            <xdr:cNvPr id="0" name=""/>
            <xdr:cNvSpPr>
              <a:spLocks noTextEdit="1"/>
            </xdr:cNvSpPr>
          </xdr:nvSpPr>
          <xdr:spPr>
            <a:xfrm>
              <a:off x="8556625" y="66675"/>
              <a:ext cx="2762249"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puede usar al menos en Excel 2010.
Si la forma se modificó en una versión anterior de Excel, o si el libro se guardó en Excel 2003 o anterior, no se puede usar la segmentaciones de datos.</a:t>
              </a:r>
            </a:p>
          </xdr:txBody>
        </xdr:sp>
      </mc:Fallback>
    </mc:AlternateContent>
    <xdr:clientData/>
  </xdr:twoCellAnchor>
  <xdr:twoCellAnchor>
    <xdr:from>
      <xdr:col>0</xdr:col>
      <xdr:colOff>207431</xdr:colOff>
      <xdr:row>10</xdr:row>
      <xdr:rowOff>148166</xdr:rowOff>
    </xdr:from>
    <xdr:to>
      <xdr:col>8</xdr:col>
      <xdr:colOff>359833</xdr:colOff>
      <xdr:row>28</xdr:row>
      <xdr:rowOff>79373</xdr:rowOff>
    </xdr:to>
    <xdr:graphicFrame macro="">
      <xdr:nvGraphicFramePr>
        <xdr:cNvPr id="3" name="2 Gráfico">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19051</xdr:colOff>
      <xdr:row>4</xdr:row>
      <xdr:rowOff>47625</xdr:rowOff>
    </xdr:from>
    <xdr:to>
      <xdr:col>13</xdr:col>
      <xdr:colOff>666750</xdr:colOff>
      <xdr:row>26</xdr:row>
      <xdr:rowOff>47625</xdr:rowOff>
    </xdr:to>
    <xdr:graphicFrame macro="">
      <xdr:nvGraphicFramePr>
        <xdr:cNvPr id="2" name="1 Gráfico">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57150</xdr:colOff>
      <xdr:row>5</xdr:row>
      <xdr:rowOff>9525</xdr:rowOff>
    </xdr:from>
    <xdr:to>
      <xdr:col>16</xdr:col>
      <xdr:colOff>752476</xdr:colOff>
      <xdr:row>14</xdr:row>
      <xdr:rowOff>0</xdr:rowOff>
    </xdr:to>
    <mc:AlternateContent xmlns:mc="http://schemas.openxmlformats.org/markup-compatibility/2006" xmlns:a14="http://schemas.microsoft.com/office/drawing/2010/main">
      <mc:Choice Requires="a14">
        <xdr:graphicFrame macro="">
          <xdr:nvGraphicFramePr>
            <xdr:cNvPr id="3" name="Concepto 2">
              <a:extLst>
                <a:ext uri="{FF2B5EF4-FFF2-40B4-BE49-F238E27FC236}">
                  <a16:creationId xmlns:a16="http://schemas.microsoft.com/office/drawing/2014/main" id="{00000000-0008-0000-1E00-000003000000}"/>
                </a:ext>
              </a:extLst>
            </xdr:cNvPr>
            <xdr:cNvGraphicFramePr/>
          </xdr:nvGraphicFramePr>
          <xdr:xfrm>
            <a:off x="0" y="0"/>
            <a:ext cx="0" cy="0"/>
          </xdr:xfrm>
          <a:graphic>
            <a:graphicData uri="http://schemas.microsoft.com/office/drawing/2010/slicer">
              <sle:slicer xmlns:sle="http://schemas.microsoft.com/office/drawing/2010/slicer" name="Concepto 2"/>
            </a:graphicData>
          </a:graphic>
        </xdr:graphicFrame>
      </mc:Choice>
      <mc:Fallback xmlns="">
        <xdr:sp macro="" textlink="">
          <xdr:nvSpPr>
            <xdr:cNvPr id="0" name=""/>
            <xdr:cNvSpPr>
              <a:spLocks noTextEdit="1"/>
            </xdr:cNvSpPr>
          </xdr:nvSpPr>
          <xdr:spPr>
            <a:xfrm>
              <a:off x="8086725" y="962025"/>
              <a:ext cx="2219326" cy="17049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puede usar al menos en Excel 2010.
Si la forma se modificó en una versión anterior de Excel, o si el libro se guardó en Excel 2003 o anterior, no se puede usar la segmentaciones de datos.</a:t>
              </a:r>
            </a:p>
          </xdr:txBody>
        </xdr:sp>
      </mc:Fallback>
    </mc:AlternateContent>
    <xdr:clientData/>
  </xdr:twoCellAnchor>
</xdr:wsDr>
</file>

<file path=xl/drawings/drawing27.xml><?xml version="1.0" encoding="utf-8"?>
<xdr:wsDr xmlns:xdr="http://schemas.openxmlformats.org/drawingml/2006/spreadsheetDrawing" xmlns:a="http://schemas.openxmlformats.org/drawingml/2006/main">
  <xdr:twoCellAnchor>
    <xdr:from>
      <xdr:col>0</xdr:col>
      <xdr:colOff>314011</xdr:colOff>
      <xdr:row>5</xdr:row>
      <xdr:rowOff>104670</xdr:rowOff>
    </xdr:from>
    <xdr:to>
      <xdr:col>0</xdr:col>
      <xdr:colOff>1696641</xdr:colOff>
      <xdr:row>6</xdr:row>
      <xdr:rowOff>355879</xdr:rowOff>
    </xdr:to>
    <xdr:sp macro="" textlink="">
      <xdr:nvSpPr>
        <xdr:cNvPr id="2" name="1 CuadroTexto">
          <a:hlinkClick xmlns:r="http://schemas.openxmlformats.org/officeDocument/2006/relationships" r:id="rId1"/>
          <a:extLst>
            <a:ext uri="{FF2B5EF4-FFF2-40B4-BE49-F238E27FC236}">
              <a16:creationId xmlns:a16="http://schemas.microsoft.com/office/drawing/2014/main" id="{00000000-0008-0000-1F00-000002000000}"/>
            </a:ext>
          </a:extLst>
        </xdr:cNvPr>
        <xdr:cNvSpPr txBox="1"/>
      </xdr:nvSpPr>
      <xdr:spPr>
        <a:xfrm>
          <a:off x="314011" y="1466745"/>
          <a:ext cx="1382630" cy="470284"/>
        </a:xfrm>
        <a:prstGeom prst="rect">
          <a:avLst/>
        </a:prstGeom>
        <a:solidFill>
          <a:srgbClr val="FFFF99"/>
        </a:solidFill>
        <a:ln w="9525" cmpd="sng">
          <a:solidFill>
            <a:schemeClr val="lt1">
              <a:shade val="50000"/>
            </a:schemeClr>
          </a:solidFill>
        </a:ln>
        <a:effectLst>
          <a:innerShdw blurRad="63500" dist="50800" dir="81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400" b="1">
              <a:solidFill>
                <a:schemeClr val="tx2"/>
              </a:solidFill>
            </a:rPr>
            <a:t>Datos Mes</a:t>
          </a:r>
        </a:p>
      </xdr:txBody>
    </xdr:sp>
    <xdr:clientData/>
  </xdr:twoCellAnchor>
  <xdr:twoCellAnchor>
    <xdr:from>
      <xdr:col>0</xdr:col>
      <xdr:colOff>294960</xdr:colOff>
      <xdr:row>6</xdr:row>
      <xdr:rowOff>504719</xdr:rowOff>
    </xdr:from>
    <xdr:to>
      <xdr:col>0</xdr:col>
      <xdr:colOff>1696641</xdr:colOff>
      <xdr:row>6</xdr:row>
      <xdr:rowOff>1057274</xdr:rowOff>
    </xdr:to>
    <xdr:sp macro="" textlink="">
      <xdr:nvSpPr>
        <xdr:cNvPr id="3" name="2 CuadroTexto">
          <a:hlinkClick xmlns:r="http://schemas.openxmlformats.org/officeDocument/2006/relationships" r:id="rId2"/>
          <a:extLst>
            <a:ext uri="{FF2B5EF4-FFF2-40B4-BE49-F238E27FC236}">
              <a16:creationId xmlns:a16="http://schemas.microsoft.com/office/drawing/2014/main" id="{00000000-0008-0000-1F00-000003000000}"/>
            </a:ext>
          </a:extLst>
        </xdr:cNvPr>
        <xdr:cNvSpPr txBox="1"/>
      </xdr:nvSpPr>
      <xdr:spPr>
        <a:xfrm>
          <a:off x="294960" y="2085869"/>
          <a:ext cx="1401681" cy="552555"/>
        </a:xfrm>
        <a:prstGeom prst="rect">
          <a:avLst/>
        </a:prstGeom>
        <a:solidFill>
          <a:schemeClr val="accent3">
            <a:lumMod val="60000"/>
            <a:lumOff val="40000"/>
          </a:schemeClr>
        </a:solidFill>
        <a:ln w="9525" cmpd="sng">
          <a:solidFill>
            <a:schemeClr val="lt1">
              <a:shade val="50000"/>
            </a:schemeClr>
          </a:solidFill>
        </a:ln>
        <a:effectLst>
          <a:innerShdw blurRad="63500" dist="50800" dir="81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400" b="1">
              <a:solidFill>
                <a:schemeClr val="tx2"/>
              </a:solidFill>
            </a:rPr>
            <a:t>Resultados   CPF- Cupiagua</a:t>
          </a:r>
        </a:p>
      </xdr:txBody>
    </xdr:sp>
    <xdr:clientData/>
  </xdr:twoCellAnchor>
  <xdr:twoCellAnchor>
    <xdr:from>
      <xdr:col>0</xdr:col>
      <xdr:colOff>285436</xdr:colOff>
      <xdr:row>7</xdr:row>
      <xdr:rowOff>37994</xdr:rowOff>
    </xdr:from>
    <xdr:to>
      <xdr:col>0</xdr:col>
      <xdr:colOff>1702594</xdr:colOff>
      <xdr:row>7</xdr:row>
      <xdr:rowOff>590549</xdr:rowOff>
    </xdr:to>
    <xdr:sp macro="" textlink="">
      <xdr:nvSpPr>
        <xdr:cNvPr id="4" name="3 CuadroTexto">
          <a:hlinkClick xmlns:r="http://schemas.openxmlformats.org/officeDocument/2006/relationships" r:id="rId3"/>
          <a:extLst>
            <a:ext uri="{FF2B5EF4-FFF2-40B4-BE49-F238E27FC236}">
              <a16:creationId xmlns:a16="http://schemas.microsoft.com/office/drawing/2014/main" id="{00000000-0008-0000-1F00-000004000000}"/>
            </a:ext>
          </a:extLst>
        </xdr:cNvPr>
        <xdr:cNvSpPr txBox="1"/>
      </xdr:nvSpPr>
      <xdr:spPr>
        <a:xfrm>
          <a:off x="285436" y="2771669"/>
          <a:ext cx="1417158" cy="552555"/>
        </a:xfrm>
        <a:prstGeom prst="rect">
          <a:avLst/>
        </a:prstGeom>
        <a:solidFill>
          <a:schemeClr val="accent3">
            <a:lumMod val="60000"/>
            <a:lumOff val="40000"/>
          </a:schemeClr>
        </a:solidFill>
        <a:ln w="9525" cmpd="sng">
          <a:solidFill>
            <a:schemeClr val="lt1">
              <a:shade val="50000"/>
            </a:schemeClr>
          </a:solidFill>
        </a:ln>
        <a:effectLst>
          <a:innerShdw blurRad="63500" dist="50800" dir="81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400" b="1">
              <a:solidFill>
                <a:schemeClr val="tx2"/>
              </a:solidFill>
            </a:rPr>
            <a:t>Resultados Facilidad NW</a:t>
          </a:r>
        </a:p>
      </xdr:txBody>
    </xdr:sp>
    <xdr:clientData/>
  </xdr:twoCellAnchor>
  <xdr:twoCellAnchor>
    <xdr:from>
      <xdr:col>0</xdr:col>
      <xdr:colOff>275911</xdr:colOff>
      <xdr:row>7</xdr:row>
      <xdr:rowOff>733319</xdr:rowOff>
    </xdr:from>
    <xdr:to>
      <xdr:col>0</xdr:col>
      <xdr:colOff>1704975</xdr:colOff>
      <xdr:row>7</xdr:row>
      <xdr:rowOff>1285874</xdr:rowOff>
    </xdr:to>
    <xdr:sp macro="" textlink="">
      <xdr:nvSpPr>
        <xdr:cNvPr id="5" name="4 CuadroTexto">
          <a:hlinkClick xmlns:r="http://schemas.openxmlformats.org/officeDocument/2006/relationships" r:id="rId4"/>
          <a:extLst>
            <a:ext uri="{FF2B5EF4-FFF2-40B4-BE49-F238E27FC236}">
              <a16:creationId xmlns:a16="http://schemas.microsoft.com/office/drawing/2014/main" id="{00000000-0008-0000-1F00-000005000000}"/>
            </a:ext>
          </a:extLst>
        </xdr:cNvPr>
        <xdr:cNvSpPr txBox="1"/>
      </xdr:nvSpPr>
      <xdr:spPr>
        <a:xfrm>
          <a:off x="275911" y="3466994"/>
          <a:ext cx="1429064" cy="552555"/>
        </a:xfrm>
        <a:prstGeom prst="rect">
          <a:avLst/>
        </a:prstGeom>
        <a:solidFill>
          <a:schemeClr val="accent3">
            <a:lumMod val="60000"/>
            <a:lumOff val="40000"/>
          </a:schemeClr>
        </a:solidFill>
        <a:ln w="9525" cmpd="sng">
          <a:solidFill>
            <a:schemeClr val="lt1">
              <a:shade val="50000"/>
            </a:schemeClr>
          </a:solidFill>
        </a:ln>
        <a:effectLst>
          <a:innerShdw blurRad="63500" dist="50800" dir="81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400" b="1">
              <a:solidFill>
                <a:schemeClr val="tx2"/>
              </a:solidFill>
            </a:rPr>
            <a:t>Resultados </a:t>
          </a:r>
        </a:p>
        <a:p>
          <a:pPr algn="ctr"/>
          <a:r>
            <a:rPr lang="es-CO" sz="1400" b="1">
              <a:solidFill>
                <a:schemeClr val="tx2"/>
              </a:solidFill>
            </a:rPr>
            <a:t>Total de Plantas</a:t>
          </a:r>
        </a:p>
      </xdr:txBody>
    </xdr:sp>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171450</xdr:colOff>
      <xdr:row>0</xdr:row>
      <xdr:rowOff>66676</xdr:rowOff>
    </xdr:from>
    <xdr:to>
      <xdr:col>1</xdr:col>
      <xdr:colOff>428625</xdr:colOff>
      <xdr:row>2</xdr:row>
      <xdr:rowOff>166115</xdr:rowOff>
    </xdr:to>
    <xdr:pic>
      <xdr:nvPicPr>
        <xdr:cNvPr id="2" name="1 Imagen">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1450" y="66676"/>
          <a:ext cx="1019175" cy="480439"/>
        </a:xfrm>
        <a:prstGeom prst="rect">
          <a:avLst/>
        </a:prstGeom>
      </xdr:spPr>
    </xdr:pic>
    <xdr:clientData/>
  </xdr:twoCellAnchor>
  <xdr:twoCellAnchor editAs="oneCell">
    <xdr:from>
      <xdr:col>2</xdr:col>
      <xdr:colOff>2619375</xdr:colOff>
      <xdr:row>0</xdr:row>
      <xdr:rowOff>28575</xdr:rowOff>
    </xdr:from>
    <xdr:to>
      <xdr:col>2</xdr:col>
      <xdr:colOff>3667125</xdr:colOff>
      <xdr:row>2</xdr:row>
      <xdr:rowOff>154273</xdr:rowOff>
    </xdr:to>
    <xdr:pic>
      <xdr:nvPicPr>
        <xdr:cNvPr id="3" name="2 Imagen">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2"/>
        <a:stretch>
          <a:fillRect/>
        </a:stretch>
      </xdr:blipFill>
      <xdr:spPr>
        <a:xfrm>
          <a:off x="6219825" y="28575"/>
          <a:ext cx="1047750" cy="506698"/>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0</xdr:col>
      <xdr:colOff>320739</xdr:colOff>
      <xdr:row>4</xdr:row>
      <xdr:rowOff>174949</xdr:rowOff>
    </xdr:from>
    <xdr:to>
      <xdr:col>0</xdr:col>
      <xdr:colOff>1703369</xdr:colOff>
      <xdr:row>7</xdr:row>
      <xdr:rowOff>82241</xdr:rowOff>
    </xdr:to>
    <xdr:sp macro="" textlink="">
      <xdr:nvSpPr>
        <xdr:cNvPr id="2" name="1 CuadroTexto">
          <a:hlinkClick xmlns:r="http://schemas.openxmlformats.org/officeDocument/2006/relationships" r:id="rId1"/>
          <a:extLst>
            <a:ext uri="{FF2B5EF4-FFF2-40B4-BE49-F238E27FC236}">
              <a16:creationId xmlns:a16="http://schemas.microsoft.com/office/drawing/2014/main" id="{00000000-0008-0000-2100-000002000000}"/>
            </a:ext>
          </a:extLst>
        </xdr:cNvPr>
        <xdr:cNvSpPr txBox="1"/>
      </xdr:nvSpPr>
      <xdr:spPr>
        <a:xfrm>
          <a:off x="320739" y="1013149"/>
          <a:ext cx="1382630" cy="383542"/>
        </a:xfrm>
        <a:prstGeom prst="rect">
          <a:avLst/>
        </a:prstGeom>
        <a:solidFill>
          <a:srgbClr val="FFFF99"/>
        </a:solidFill>
        <a:ln w="9525" cmpd="sng">
          <a:solidFill>
            <a:sysClr val="window" lastClr="FFFFFF">
              <a:shade val="50000"/>
            </a:sysClr>
          </a:solidFill>
        </a:ln>
        <a:effectLst>
          <a:innerShdw blurRad="63500" dist="50800" dir="8100000">
            <a:prstClr val="black">
              <a:alpha val="50000"/>
            </a:prstClr>
          </a:innerShdw>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CO" sz="1400" b="1" i="0" u="none" strike="noStrike" kern="0" cap="none" spc="0" normalizeH="0" baseline="0" noProof="0">
              <a:ln>
                <a:noFill/>
              </a:ln>
              <a:solidFill>
                <a:srgbClr val="1F497D"/>
              </a:solidFill>
              <a:effectLst/>
              <a:uLnTx/>
              <a:uFillTx/>
              <a:latin typeface="Calibri"/>
              <a:ea typeface="+mn-ea"/>
              <a:cs typeface="+mn-cs"/>
            </a:rPr>
            <a:t>Datos Mes</a:t>
          </a:r>
        </a:p>
      </xdr:txBody>
    </xdr:sp>
    <xdr:clientData/>
  </xdr:twoCellAnchor>
  <xdr:twoCellAnchor>
    <xdr:from>
      <xdr:col>0</xdr:col>
      <xdr:colOff>359369</xdr:colOff>
      <xdr:row>9</xdr:row>
      <xdr:rowOff>27670</xdr:rowOff>
    </xdr:from>
    <xdr:to>
      <xdr:col>0</xdr:col>
      <xdr:colOff>1788433</xdr:colOff>
      <xdr:row>12</xdr:row>
      <xdr:rowOff>26446</xdr:rowOff>
    </xdr:to>
    <xdr:sp macro="" textlink="">
      <xdr:nvSpPr>
        <xdr:cNvPr id="4" name="3 CuadroTexto">
          <a:hlinkClick xmlns:r="http://schemas.openxmlformats.org/officeDocument/2006/relationships" r:id="rId2"/>
          <a:extLst>
            <a:ext uri="{FF2B5EF4-FFF2-40B4-BE49-F238E27FC236}">
              <a16:creationId xmlns:a16="http://schemas.microsoft.com/office/drawing/2014/main" id="{00000000-0008-0000-2100-000004000000}"/>
            </a:ext>
          </a:extLst>
        </xdr:cNvPr>
        <xdr:cNvSpPr txBox="1"/>
      </xdr:nvSpPr>
      <xdr:spPr>
        <a:xfrm>
          <a:off x="359369" y="1723329"/>
          <a:ext cx="1429064" cy="563996"/>
        </a:xfrm>
        <a:prstGeom prst="rect">
          <a:avLst/>
        </a:prstGeom>
        <a:solidFill>
          <a:schemeClr val="accent3">
            <a:lumMod val="60000"/>
            <a:lumOff val="40000"/>
          </a:schemeClr>
        </a:solidFill>
        <a:ln w="9525" cmpd="sng">
          <a:solidFill>
            <a:schemeClr val="lt1">
              <a:shade val="50000"/>
            </a:schemeClr>
          </a:solidFill>
        </a:ln>
        <a:effectLst>
          <a:innerShdw blurRad="63500" dist="50800" dir="81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400" b="1">
              <a:solidFill>
                <a:schemeClr val="tx2"/>
              </a:solidFill>
            </a:rPr>
            <a:t>Resultados </a:t>
          </a:r>
        </a:p>
        <a:p>
          <a:pPr algn="ctr"/>
          <a:r>
            <a:rPr lang="es-CO" sz="1400" b="1">
              <a:solidFill>
                <a:schemeClr val="tx2"/>
              </a:solidFill>
            </a:rPr>
            <a:t>Total de Plantas</a:t>
          </a:r>
        </a:p>
      </xdr:txBody>
    </xdr:sp>
    <xdr:clientData/>
  </xdr:twoCellAnchor>
  <xdr:twoCellAnchor>
    <xdr:from>
      <xdr:col>0</xdr:col>
      <xdr:colOff>399371</xdr:colOff>
      <xdr:row>13</xdr:row>
      <xdr:rowOff>35619</xdr:rowOff>
    </xdr:from>
    <xdr:to>
      <xdr:col>0</xdr:col>
      <xdr:colOff>1801052</xdr:colOff>
      <xdr:row>16</xdr:row>
      <xdr:rowOff>8008</xdr:rowOff>
    </xdr:to>
    <xdr:sp macro="" textlink="">
      <xdr:nvSpPr>
        <xdr:cNvPr id="8" name="7 CuadroTexto">
          <a:hlinkClick xmlns:r="http://schemas.openxmlformats.org/officeDocument/2006/relationships" r:id="rId3"/>
          <a:extLst>
            <a:ext uri="{FF2B5EF4-FFF2-40B4-BE49-F238E27FC236}">
              <a16:creationId xmlns:a16="http://schemas.microsoft.com/office/drawing/2014/main" id="{00000000-0008-0000-2100-000008000000}"/>
            </a:ext>
          </a:extLst>
        </xdr:cNvPr>
        <xdr:cNvSpPr txBox="1"/>
      </xdr:nvSpPr>
      <xdr:spPr>
        <a:xfrm>
          <a:off x="399371" y="2484905"/>
          <a:ext cx="1401681" cy="537608"/>
        </a:xfrm>
        <a:prstGeom prst="rect">
          <a:avLst/>
        </a:prstGeom>
        <a:solidFill>
          <a:srgbClr val="FFC000"/>
        </a:solidFill>
        <a:ln w="9525" cmpd="sng">
          <a:solidFill>
            <a:schemeClr val="lt1">
              <a:shade val="50000"/>
            </a:schemeClr>
          </a:solidFill>
        </a:ln>
        <a:effectLst>
          <a:innerShdw blurRad="63500" dist="50800" dir="81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400" b="1">
              <a:solidFill>
                <a:schemeClr val="tx2"/>
              </a:solidFill>
            </a:rPr>
            <a:t>Gráficos </a:t>
          </a:r>
        </a:p>
        <a:p>
          <a:pPr algn="ctr"/>
          <a:r>
            <a:rPr lang="es-CO" sz="1400" b="1">
              <a:solidFill>
                <a:schemeClr val="tx2"/>
              </a:solidFill>
            </a:rPr>
            <a:t>Total de Plantas</a:t>
          </a:r>
        </a:p>
      </xdr:txBody>
    </xdr:sp>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257175</xdr:colOff>
      <xdr:row>0</xdr:row>
      <xdr:rowOff>114300</xdr:rowOff>
    </xdr:from>
    <xdr:to>
      <xdr:col>2</xdr:col>
      <xdr:colOff>228601</xdr:colOff>
      <xdr:row>2</xdr:row>
      <xdr:rowOff>18768</xdr:rowOff>
    </xdr:to>
    <xdr:pic>
      <xdr:nvPicPr>
        <xdr:cNvPr id="2" name="2 Imagen" descr="P1_ECOPETROLRef_positivo_2p_cmyk.jpg">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blip>
        <a:srcRect l="7545" t="32997" r="8418" b="25589"/>
        <a:stretch>
          <a:fillRect/>
        </a:stretch>
      </xdr:blipFill>
      <xdr:spPr bwMode="auto">
        <a:xfrm>
          <a:off x="1781175" y="114300"/>
          <a:ext cx="1209676" cy="466443"/>
        </a:xfrm>
        <a:prstGeom prst="rect">
          <a:avLst/>
        </a:prstGeom>
        <a:noFill/>
        <a:ln w="9525">
          <a:noFill/>
          <a:miter lim="800000"/>
          <a:headEnd/>
          <a:tailEnd/>
        </a:ln>
      </xdr:spPr>
    </xdr:pic>
    <xdr:clientData/>
  </xdr:twoCellAnchor>
  <xdr:oneCellAnchor>
    <xdr:from>
      <xdr:col>16</xdr:col>
      <xdr:colOff>609600</xdr:colOff>
      <xdr:row>0</xdr:row>
      <xdr:rowOff>219076</xdr:rowOff>
    </xdr:from>
    <xdr:ext cx="881168" cy="335354"/>
    <xdr:pic>
      <xdr:nvPicPr>
        <xdr:cNvPr id="3" name="Picture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639425" y="219076"/>
          <a:ext cx="881168" cy="33535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NERACION/TODOS%20REPORTES%20GENERACI&#211;N/1a%20%20%20HISTORICO%20GENERACION/GENERACION%202018/GEN%202018/Favor%20Estadisticos%20%20Yenn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dmin/AppData/Local/Microsoft/Windows/INetCache/Content.Outlook/NPU8VOC1/Favor%20Estadisticos%20%20Yenn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GENERACION/TODOS%20REPORTES%20GENERACI&#211;N/1a%20%20%20HISTORICO%20GENERACION/GENERACION%202018/GEN%202018/para%20arreglar%20con%20los%20gordos%20(CECOS)/NVO-Ecopetrol%20Bal-Energia%20y%20Consumo%20Total%202016.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REPORTES%20DIARIOS/ARCHIVOS%20DIARIOS%20CUS-NW%20Y%20XL/Cus%20PRODUCCION%20VS%20ENERGIA.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REPORTES%20DIARIOS/ARCHIVOS%20DIARIOS%20CUS-NW%20Y%20XL/Cus%20INFORME%20DIARIO.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REPORTES%20DIARIOS/ARCHIVOS%20DIARIOS%20CUS-NW%20Y%20XL/Cus%20DIARIOS%20PARA%20MANTO_ECOPETROL.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GENERACION/TODOS%20REPORTES%20GENERACI&#211;N/1a%20%20%20HISTORICO%20GENERACION/GENERACION%202023/MENSUALES%20NAYRA%202023/7.%20NAYRA%20JULIO%202023/REPORTES%20DIARIOS%20JULIO%202023.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Admin/AppData/Local/Microsoft/Windows/INetCache/Content.Outlook/WY240698/ESTADISTICOS%20DE%20ENERGIA%20MARZO%202017/ESTADISTICOS%20NP&amp;YN_Mayo_2017.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Admin/AppData/Local/Microsoft/Windows/INetCache/Content.Outlook/NPU8VOC1/Ecopetrol%20Bal-Energia%20y%20Consumo%20Total%202017.xlsm%2023032017.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GENERACION/TODOS%20REPORTES%20GENERACI&#211;N/1a%20%20%20HISTORICO%20GENERACION/GENERACION%202018/GEN%202018/Users/Personal/Downloads/ARREGLO-Ecopetrol%20Bal-Energia%20y%20Consumo%20Total%2020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CONTADORES"/>
      <sheetName val="ESTADISTICOS"/>
      <sheetName val="DATOSAÑO"/>
      <sheetName val="REPORTE DIA"/>
      <sheetName val="DATOSCECOS"/>
      <sheetName val="INFORME DIA GDP"/>
      <sheetName val="PRODUCCION VS ENERGIA GDP"/>
      <sheetName val="GRAFICAS DIA-MES"/>
      <sheetName val="US-GT-8001-2"/>
      <sheetName val="DATA DE LAS 12"/>
      <sheetName val="CURVA DURACION"/>
      <sheetName val="OCENSA"/>
      <sheetName val="FAC  NW"/>
      <sheetName val="FORMATO"/>
      <sheetName val="ENERGIA-GAS"/>
      <sheetName val="CONSUMO "/>
      <sheetName val="SEGUIMIENTO CONSUMO ENERGIA"/>
      <sheetName val="REGISTRO DE INDISPONIBILIDAD"/>
      <sheetName val="GRAFICAS RPTE GCIAL"/>
      <sheetName val="INDICADORES"/>
      <sheetName val="Resultados Mes &amp; Acum"/>
      <sheetName val="Datos Mes2"/>
      <sheetName val="Grafica totales"/>
      <sheetName val="grafica1"/>
      <sheetName val="Grafica costos variables"/>
      <sheetName val="metricas"/>
      <sheetName val="Instrucciones"/>
      <sheetName val="Definición Costos"/>
      <sheetName val="Datos Mes"/>
      <sheetName val="PORTADA"/>
      <sheetName val="CALCULO DE GAS"/>
    </sheetNames>
    <sheetDataSet>
      <sheetData sheetId="0"/>
      <sheetData sheetId="1"/>
      <sheetData sheetId="2"/>
      <sheetData sheetId="3">
        <row r="378">
          <cell r="B378" t="str">
            <v>ENE</v>
          </cell>
          <cell r="C378">
            <v>6388.8000000000466</v>
          </cell>
          <cell r="D378">
            <v>117.92981999097549</v>
          </cell>
          <cell r="E378">
            <v>744</v>
          </cell>
          <cell r="F378">
            <v>0</v>
          </cell>
          <cell r="G378">
            <v>0</v>
          </cell>
          <cell r="H378">
            <v>0</v>
          </cell>
          <cell r="I378">
            <v>6388.8000000000466</v>
          </cell>
          <cell r="J378">
            <v>9221.3999999999942</v>
          </cell>
          <cell r="K378">
            <v>139.06853824823651</v>
          </cell>
          <cell r="L378">
            <v>744</v>
          </cell>
          <cell r="M378">
            <v>0</v>
          </cell>
          <cell r="N378">
            <v>0</v>
          </cell>
          <cell r="O378">
            <v>0</v>
          </cell>
          <cell r="P378">
            <v>9221.3999999999942</v>
          </cell>
          <cell r="Q378">
            <v>0.69200000000000017</v>
          </cell>
          <cell r="R378">
            <v>83.04000000000002</v>
          </cell>
          <cell r="S378">
            <v>2.4499999999998181</v>
          </cell>
          <cell r="T378">
            <v>0.26199999999998624</v>
          </cell>
          <cell r="U378">
            <v>31.439999999998349</v>
          </cell>
          <cell r="V378">
            <v>1.6999999999999886</v>
          </cell>
          <cell r="W378">
            <v>15610.200000000041</v>
          </cell>
          <cell r="X378">
            <v>0.95399999999998641</v>
          </cell>
          <cell r="Y378">
            <v>15611.15400000004</v>
          </cell>
          <cell r="Z378">
            <v>256.998358239212</v>
          </cell>
          <cell r="AA378">
            <v>114.47999999999837</v>
          </cell>
          <cell r="AB378">
            <v>1488</v>
          </cell>
          <cell r="AC378">
            <v>4.1499999999998067</v>
          </cell>
          <cell r="AD378">
            <v>0</v>
          </cell>
          <cell r="AE378">
            <v>7325.0999999999767</v>
          </cell>
          <cell r="AF378">
            <v>740</v>
          </cell>
          <cell r="AG378">
            <v>3953.2000000000116</v>
          </cell>
          <cell r="AH378">
            <v>723.79999999999927</v>
          </cell>
          <cell r="AI378">
            <v>634.10000000000218</v>
          </cell>
          <cell r="AJ378">
            <v>1427.8999999999833</v>
          </cell>
          <cell r="AK378">
            <v>408.69999999999709</v>
          </cell>
          <cell r="AL378">
            <v>641.29999999998836</v>
          </cell>
          <cell r="AM378">
            <v>1013.2920000000931</v>
          </cell>
          <cell r="AN378">
            <v>184.16199999998832</v>
          </cell>
          <cell r="AO378">
            <v>23.400000000000034</v>
          </cell>
          <cell r="AP378">
            <v>3463.2999999999884</v>
          </cell>
          <cell r="AQ378">
            <v>4704.2999999999956</v>
          </cell>
          <cell r="AR378">
            <v>0.52799999999999958</v>
          </cell>
          <cell r="AS378">
            <v>0.19200000000000017</v>
          </cell>
          <cell r="AT378">
            <v>302.40000000000873</v>
          </cell>
          <cell r="AU378">
            <v>536.10000000000218</v>
          </cell>
          <cell r="AV378">
            <v>3213.7000000000116</v>
          </cell>
          <cell r="AW378">
            <v>1752.9000000000015</v>
          </cell>
          <cell r="AX378">
            <v>240.90000000000055</v>
          </cell>
          <cell r="AY378">
            <v>1165.100000000024</v>
          </cell>
          <cell r="AZ378">
            <v>299.80000000000291</v>
          </cell>
          <cell r="BA378">
            <v>494.30000000000291</v>
          </cell>
          <cell r="BB378">
            <v>791.02799999993886</v>
          </cell>
          <cell r="BC378">
            <v>210.59200000000146</v>
          </cell>
          <cell r="BD378">
            <v>0</v>
          </cell>
          <cell r="BE378">
            <v>8168.3199999999833</v>
          </cell>
          <cell r="BF378">
            <v>0</v>
          </cell>
          <cell r="BG378">
            <v>0</v>
          </cell>
          <cell r="BH378">
            <v>253522</v>
          </cell>
          <cell r="BI378">
            <v>22.907199999999996</v>
          </cell>
          <cell r="BJ378">
            <v>6.7900000000000002E-2</v>
          </cell>
          <cell r="BK378">
            <v>22.975099999999998</v>
          </cell>
          <cell r="BL378">
            <v>367.09099999999989</v>
          </cell>
          <cell r="BM378">
            <v>711.7</v>
          </cell>
          <cell r="BN378">
            <v>9.1999999999999993</v>
          </cell>
          <cell r="BO378">
            <v>1.0540000000000007</v>
          </cell>
          <cell r="BP378">
            <v>57.809999999999995</v>
          </cell>
          <cell r="BQ378">
            <v>0</v>
          </cell>
          <cell r="BR378">
            <v>0</v>
          </cell>
          <cell r="BS378">
            <v>0</v>
          </cell>
          <cell r="BT378">
            <v>0</v>
          </cell>
          <cell r="BU378">
            <v>0</v>
          </cell>
          <cell r="BV378">
            <v>0</v>
          </cell>
          <cell r="BW378">
            <v>0</v>
          </cell>
          <cell r="BX378">
            <v>0</v>
          </cell>
          <cell r="BY378">
            <v>0</v>
          </cell>
          <cell r="BZ378">
            <v>711.7</v>
          </cell>
          <cell r="CA378">
            <v>9.1999999999999993</v>
          </cell>
          <cell r="CB378">
            <v>1.0540000000000007</v>
          </cell>
          <cell r="CC378">
            <v>57.809999999999995</v>
          </cell>
          <cell r="CD378">
            <v>0</v>
          </cell>
          <cell r="CE378">
            <v>0</v>
          </cell>
          <cell r="CF378">
            <v>0</v>
          </cell>
        </row>
        <row r="379">
          <cell r="B379" t="str">
            <v>FEB</v>
          </cell>
          <cell r="C379">
            <v>6495.2999999999884</v>
          </cell>
          <cell r="D379">
            <v>110.32376059754597</v>
          </cell>
          <cell r="E379">
            <v>620.90000000001737</v>
          </cell>
          <cell r="F379">
            <v>2</v>
          </cell>
          <cell r="G379">
            <v>385.5</v>
          </cell>
          <cell r="H379">
            <v>0.90000000000009095</v>
          </cell>
          <cell r="I379">
            <v>6497.2999999999884</v>
          </cell>
          <cell r="J379">
            <v>7389.6000000000058</v>
          </cell>
          <cell r="K379">
            <v>119.13584383098167</v>
          </cell>
          <cell r="L379">
            <v>696</v>
          </cell>
          <cell r="M379">
            <v>0</v>
          </cell>
          <cell r="N379">
            <v>0</v>
          </cell>
          <cell r="O379">
            <v>0</v>
          </cell>
          <cell r="P379">
            <v>7389.6000000000058</v>
          </cell>
          <cell r="Q379">
            <v>48.205999999999996</v>
          </cell>
          <cell r="R379">
            <v>5784.7199999999993</v>
          </cell>
          <cell r="S379">
            <v>49.550000000000182</v>
          </cell>
          <cell r="T379">
            <v>10.424000000000007</v>
          </cell>
          <cell r="U379">
            <v>1250.8800000000008</v>
          </cell>
          <cell r="V379">
            <v>53.199999999999989</v>
          </cell>
          <cell r="W379">
            <v>13884.899999999994</v>
          </cell>
          <cell r="X379">
            <v>60.63</v>
          </cell>
          <cell r="Y379">
            <v>13945.529999999995</v>
          </cell>
          <cell r="Z379">
            <v>229.45960442852765</v>
          </cell>
          <cell r="AA379">
            <v>7421.1</v>
          </cell>
          <cell r="AB379">
            <v>1316.9000000000174</v>
          </cell>
          <cell r="AC379">
            <v>103.65000000000026</v>
          </cell>
          <cell r="AD379">
            <v>0</v>
          </cell>
          <cell r="AE379">
            <v>6326.2000000000116</v>
          </cell>
          <cell r="AF379">
            <v>684</v>
          </cell>
          <cell r="AG379">
            <v>3673.8999999999942</v>
          </cell>
          <cell r="AH379">
            <v>658.09999999999854</v>
          </cell>
          <cell r="AI379">
            <v>512.79999999999927</v>
          </cell>
          <cell r="AJ379">
            <v>1270.3000000000211</v>
          </cell>
          <cell r="AK379">
            <v>344.80000000000291</v>
          </cell>
          <cell r="AL379">
            <v>580.90000000000873</v>
          </cell>
          <cell r="AM379">
            <v>1034.1059999999507</v>
          </cell>
          <cell r="AN379">
            <v>173.2240000000059</v>
          </cell>
          <cell r="AO379">
            <v>29.299999999999955</v>
          </cell>
          <cell r="AP379">
            <v>3538.5</v>
          </cell>
          <cell r="AQ379">
            <v>3822.1000000000058</v>
          </cell>
          <cell r="AR379">
            <v>37.497</v>
          </cell>
          <cell r="AS379">
            <v>6.9250000000000043</v>
          </cell>
          <cell r="AT379">
            <v>277.19999999999709</v>
          </cell>
          <cell r="AU379">
            <v>526.79999999999927</v>
          </cell>
          <cell r="AV379">
            <v>2820.5</v>
          </cell>
          <cell r="AW379">
            <v>1617</v>
          </cell>
          <cell r="AX379">
            <v>199.90000000000055</v>
          </cell>
          <cell r="AY379">
            <v>1046.899999999976</v>
          </cell>
          <cell r="AZ379">
            <v>310.40000000000146</v>
          </cell>
          <cell r="BA379">
            <v>455.90000000000873</v>
          </cell>
          <cell r="BB379">
            <v>804.89700000002051</v>
          </cell>
          <cell r="BC379">
            <v>200.02499999999858</v>
          </cell>
          <cell r="BD379">
            <v>0</v>
          </cell>
          <cell r="BE379">
            <v>7405.0220000000054</v>
          </cell>
          <cell r="BF379">
            <v>391325.53616741288</v>
          </cell>
          <cell r="BG379">
            <v>944616.2596491226</v>
          </cell>
          <cell r="BH379">
            <v>264365</v>
          </cell>
          <cell r="BI379">
            <v>21.382760000000005</v>
          </cell>
          <cell r="BJ379">
            <v>0.25901000000000002</v>
          </cell>
          <cell r="BK379">
            <v>21.641770000000001</v>
          </cell>
          <cell r="BL379">
            <v>323.84872000000001</v>
          </cell>
          <cell r="BM379">
            <v>688</v>
          </cell>
          <cell r="BN379">
            <v>18.100000000000183</v>
          </cell>
          <cell r="BO379">
            <v>0.94367266666666672</v>
          </cell>
          <cell r="BP379">
            <v>108.60000000000109</v>
          </cell>
          <cell r="BQ379">
            <v>0</v>
          </cell>
          <cell r="BR379">
            <v>0</v>
          </cell>
          <cell r="BS379">
            <v>0</v>
          </cell>
          <cell r="BT379">
            <v>0</v>
          </cell>
          <cell r="BU379">
            <v>0</v>
          </cell>
          <cell r="BV379">
            <v>0</v>
          </cell>
          <cell r="BW379">
            <v>0</v>
          </cell>
          <cell r="BX379">
            <v>0</v>
          </cell>
          <cell r="BY379">
            <v>0</v>
          </cell>
          <cell r="BZ379">
            <v>688</v>
          </cell>
          <cell r="CA379">
            <v>18.100000000000183</v>
          </cell>
          <cell r="CB379">
            <v>0.94367266666666672</v>
          </cell>
          <cell r="CC379">
            <v>108.60000000000109</v>
          </cell>
          <cell r="CD379">
            <v>0</v>
          </cell>
          <cell r="CE379">
            <v>0</v>
          </cell>
          <cell r="CF379">
            <v>0</v>
          </cell>
        </row>
        <row r="380">
          <cell r="B380" t="str">
            <v>MAR</v>
          </cell>
          <cell r="C380">
            <v>6690.2</v>
          </cell>
          <cell r="D380">
            <v>117.25973488997975</v>
          </cell>
          <cell r="E380">
            <v>727</v>
          </cell>
          <cell r="F380">
            <v>0</v>
          </cell>
          <cell r="G380">
            <v>0</v>
          </cell>
          <cell r="H380">
            <v>0</v>
          </cell>
          <cell r="I380">
            <v>6690.2</v>
          </cell>
          <cell r="J380">
            <v>6984.389999999994</v>
          </cell>
          <cell r="K380">
            <v>119.40184304787441</v>
          </cell>
          <cell r="L380">
            <v>704.5000000000116</v>
          </cell>
          <cell r="M380">
            <v>0.01</v>
          </cell>
          <cell r="N380">
            <v>188</v>
          </cell>
          <cell r="O380">
            <v>0.19999999999998863</v>
          </cell>
          <cell r="P380">
            <v>6984.3999999999942</v>
          </cell>
          <cell r="Q380">
            <v>5.9879999999999995</v>
          </cell>
          <cell r="R380">
            <v>718.56</v>
          </cell>
          <cell r="S380">
            <v>16.5</v>
          </cell>
          <cell r="T380">
            <v>3.1110000000000042</v>
          </cell>
          <cell r="U380">
            <v>373.3200000000005</v>
          </cell>
          <cell r="V380">
            <v>17.199999999999989</v>
          </cell>
          <cell r="W380">
            <v>13674.589999999989</v>
          </cell>
          <cell r="X380">
            <v>9.1090000000000035</v>
          </cell>
          <cell r="Y380">
            <v>13683.69899999999</v>
          </cell>
          <cell r="Z380">
            <v>236.66157793785419</v>
          </cell>
          <cell r="AA380">
            <v>1279.8800000000001</v>
          </cell>
          <cell r="AB380">
            <v>1431.5000000000116</v>
          </cell>
          <cell r="AC380">
            <v>33.899999999999977</v>
          </cell>
          <cell r="AD380">
            <v>0</v>
          </cell>
          <cell r="AE380">
            <v>6532.5999999999767</v>
          </cell>
          <cell r="AF380">
            <v>706</v>
          </cell>
          <cell r="AG380">
            <v>2994.1999999999971</v>
          </cell>
          <cell r="AH380">
            <v>536.70000000000073</v>
          </cell>
          <cell r="AI380">
            <v>456.89999999999782</v>
          </cell>
          <cell r="AJ380">
            <v>1441.899999999976</v>
          </cell>
          <cell r="AK380">
            <v>352.40000000000146</v>
          </cell>
          <cell r="AL380">
            <v>559.30000000000291</v>
          </cell>
          <cell r="AM380">
            <v>1161.7880000000362</v>
          </cell>
          <cell r="AN380">
            <v>154.10100000000583</v>
          </cell>
          <cell r="AO380">
            <v>30.509999999999998</v>
          </cell>
          <cell r="AP380">
            <v>3637.9</v>
          </cell>
          <cell r="AQ380">
            <v>3590.0999999999985</v>
          </cell>
          <cell r="AR380">
            <v>4.7539999999999978</v>
          </cell>
          <cell r="AS380">
            <v>2.0349999999999966</v>
          </cell>
          <cell r="AT380">
            <v>319.69999999999709</v>
          </cell>
          <cell r="AU380">
            <v>541.20000000000073</v>
          </cell>
          <cell r="AV380">
            <v>2923.2999999999884</v>
          </cell>
          <cell r="AW380">
            <v>1321.8000000000029</v>
          </cell>
          <cell r="AX380">
            <v>181.39999999999964</v>
          </cell>
          <cell r="AY380">
            <v>1172.3000000000065</v>
          </cell>
          <cell r="AZ380">
            <v>258.69999999999709</v>
          </cell>
          <cell r="BA380">
            <v>442.09999999999127</v>
          </cell>
          <cell r="BB380">
            <v>752.75400000001582</v>
          </cell>
          <cell r="BC380">
            <v>182.33499999999853</v>
          </cell>
          <cell r="BD380">
            <v>9.9999999999999978E-2</v>
          </cell>
          <cell r="BE380">
            <v>7234.7889999999979</v>
          </cell>
          <cell r="BF380">
            <v>392285.06999999989</v>
          </cell>
          <cell r="BG380">
            <v>974338.11052631552</v>
          </cell>
          <cell r="BH380">
            <v>285229</v>
          </cell>
          <cell r="BI380">
            <v>22.890579999999996</v>
          </cell>
          <cell r="BJ380">
            <v>0.28409999999999147</v>
          </cell>
          <cell r="BK380">
            <v>23.174679999999988</v>
          </cell>
          <cell r="BL380">
            <v>370.66403999999972</v>
          </cell>
          <cell r="BM380">
            <v>735.5</v>
          </cell>
          <cell r="BN380">
            <v>9.3000000000002725</v>
          </cell>
          <cell r="BO380">
            <v>1.0441878000000002</v>
          </cell>
          <cell r="BP380">
            <v>55.800000000001631</v>
          </cell>
          <cell r="BQ380">
            <v>0</v>
          </cell>
          <cell r="BR380">
            <v>0</v>
          </cell>
          <cell r="BS380">
            <v>0</v>
          </cell>
          <cell r="BT380">
            <v>0</v>
          </cell>
          <cell r="BU380">
            <v>0</v>
          </cell>
          <cell r="BV380">
            <v>0</v>
          </cell>
          <cell r="BW380">
            <v>0</v>
          </cell>
          <cell r="BX380">
            <v>0</v>
          </cell>
          <cell r="BY380">
            <v>0</v>
          </cell>
          <cell r="BZ380">
            <v>735.5</v>
          </cell>
          <cell r="CA380">
            <v>9.3000000000002725</v>
          </cell>
          <cell r="CB380">
            <v>1.0441878000000002</v>
          </cell>
          <cell r="CC380">
            <v>55.800000000001631</v>
          </cell>
          <cell r="CD380">
            <v>0</v>
          </cell>
          <cell r="CE380">
            <v>0</v>
          </cell>
          <cell r="CF380">
            <v>0</v>
          </cell>
        </row>
        <row r="381">
          <cell r="B381" t="str">
            <v>ABR</v>
          </cell>
          <cell r="C381">
            <v>5635.4</v>
          </cell>
          <cell r="D381">
            <v>107.15127643333332</v>
          </cell>
          <cell r="E381">
            <v>719.8</v>
          </cell>
          <cell r="F381">
            <v>0.4</v>
          </cell>
          <cell r="G381">
            <v>193</v>
          </cell>
          <cell r="H381">
            <v>0.20000000000004547</v>
          </cell>
          <cell r="I381">
            <v>5635.8</v>
          </cell>
          <cell r="J381">
            <v>8924.8000000000065</v>
          </cell>
          <cell r="K381">
            <v>131.05424976666674</v>
          </cell>
          <cell r="L381">
            <v>719.9</v>
          </cell>
          <cell r="M381">
            <v>0.3</v>
          </cell>
          <cell r="N381">
            <v>145</v>
          </cell>
          <cell r="O381">
            <v>0.10000000000002274</v>
          </cell>
          <cell r="P381">
            <v>8925.1000000000058</v>
          </cell>
          <cell r="Q381">
            <v>2.1999999999999957</v>
          </cell>
          <cell r="R381">
            <v>263.99999999999949</v>
          </cell>
          <cell r="S381">
            <v>3.6999999999998181</v>
          </cell>
          <cell r="T381">
            <v>0.33699999999998909</v>
          </cell>
          <cell r="U381">
            <v>40.43999999999869</v>
          </cell>
          <cell r="V381">
            <v>2.2000000000000455</v>
          </cell>
          <cell r="W381">
            <v>14560.200000000006</v>
          </cell>
          <cell r="X381">
            <v>3.236999999999985</v>
          </cell>
          <cell r="Y381">
            <v>14563.437000000005</v>
          </cell>
          <cell r="Z381">
            <v>238.20552620000018</v>
          </cell>
          <cell r="AA381">
            <v>642.43999999999812</v>
          </cell>
          <cell r="AB381">
            <v>1439.6999999999998</v>
          </cell>
          <cell r="AC381">
            <v>6.1999999999999318</v>
          </cell>
          <cell r="AD381">
            <v>0</v>
          </cell>
          <cell r="AE381">
            <v>6982.6000000000349</v>
          </cell>
          <cell r="AF381">
            <v>718</v>
          </cell>
          <cell r="AG381">
            <v>3702.8000000000029</v>
          </cell>
          <cell r="AH381">
            <v>675.40000000000146</v>
          </cell>
          <cell r="AI381">
            <v>419.60000000000582</v>
          </cell>
          <cell r="AJ381">
            <v>1484.9000000000124</v>
          </cell>
          <cell r="AK381">
            <v>280.5</v>
          </cell>
          <cell r="AL381">
            <v>467.89999999999418</v>
          </cell>
          <cell r="AM381">
            <v>1020.5999999999588</v>
          </cell>
          <cell r="AN381">
            <v>182.33699999999703</v>
          </cell>
          <cell r="AO381">
            <v>22.200000000000045</v>
          </cell>
          <cell r="AP381">
            <v>2844.1</v>
          </cell>
          <cell r="AQ381">
            <v>4625.5999999999985</v>
          </cell>
          <cell r="AR381">
            <v>1.3000000000000043</v>
          </cell>
          <cell r="AS381">
            <v>0.21600000000000108</v>
          </cell>
          <cell r="AT381">
            <v>286</v>
          </cell>
          <cell r="AU381">
            <v>487.59999999999854</v>
          </cell>
          <cell r="AV381">
            <v>3076.3999999999942</v>
          </cell>
          <cell r="AW381">
            <v>1653.1999999999971</v>
          </cell>
          <cell r="AX381">
            <v>165.59999999999854</v>
          </cell>
          <cell r="AY381">
            <v>1186.900000000016</v>
          </cell>
          <cell r="AZ381">
            <v>196.69999999999709</v>
          </cell>
          <cell r="BA381">
            <v>364.40000000000873</v>
          </cell>
          <cell r="BB381">
            <v>627.49999999998408</v>
          </cell>
          <cell r="BC381">
            <v>200.51600000000292</v>
          </cell>
          <cell r="BD381">
            <v>0</v>
          </cell>
          <cell r="BE381">
            <v>7471.2159999999985</v>
          </cell>
          <cell r="BF381">
            <v>363656.47000000003</v>
          </cell>
          <cell r="BG381">
            <v>948320.13333333319</v>
          </cell>
          <cell r="BH381">
            <v>283498</v>
          </cell>
          <cell r="BI381">
            <v>22.24906</v>
          </cell>
          <cell r="BJ381">
            <v>0</v>
          </cell>
          <cell r="BK381">
            <v>22.24906</v>
          </cell>
          <cell r="BL381">
            <v>344.85833999999994</v>
          </cell>
          <cell r="BM381">
            <v>720</v>
          </cell>
          <cell r="BN381">
            <v>2.5</v>
          </cell>
          <cell r="BO381">
            <v>1.02221312</v>
          </cell>
          <cell r="BP381">
            <v>15</v>
          </cell>
          <cell r="BQ381">
            <v>0</v>
          </cell>
          <cell r="BR381">
            <v>0</v>
          </cell>
          <cell r="BS381">
            <v>0</v>
          </cell>
          <cell r="BT381">
            <v>0</v>
          </cell>
          <cell r="BU381">
            <v>0</v>
          </cell>
          <cell r="BV381">
            <v>0</v>
          </cell>
          <cell r="BW381">
            <v>0</v>
          </cell>
          <cell r="BX381">
            <v>0</v>
          </cell>
          <cell r="BY381">
            <v>0</v>
          </cell>
          <cell r="BZ381">
            <v>720</v>
          </cell>
          <cell r="CA381">
            <v>2.5</v>
          </cell>
          <cell r="CB381">
            <v>1.02221312</v>
          </cell>
          <cell r="CC381">
            <v>15</v>
          </cell>
          <cell r="CD381">
            <v>0</v>
          </cell>
          <cell r="CE381">
            <v>0</v>
          </cell>
          <cell r="CF381">
            <v>0</v>
          </cell>
        </row>
        <row r="382">
          <cell r="B382" t="str">
            <v>MAY</v>
          </cell>
          <cell r="C382">
            <v>5198.1000000000004</v>
          </cell>
          <cell r="D382">
            <v>104.54763710600002</v>
          </cell>
          <cell r="E382">
            <v>741.09999999998831</v>
          </cell>
          <cell r="F382">
            <v>4.5999999999999996</v>
          </cell>
          <cell r="G382">
            <v>1911</v>
          </cell>
          <cell r="H382">
            <v>2.2000000000000455</v>
          </cell>
          <cell r="I382">
            <v>5202.7000000000007</v>
          </cell>
          <cell r="J382">
            <v>9407.9999999999945</v>
          </cell>
          <cell r="K382">
            <v>137.46529142028567</v>
          </cell>
          <cell r="L382">
            <v>743.8</v>
          </cell>
          <cell r="M382">
            <v>0.4</v>
          </cell>
          <cell r="N382">
            <v>179.5</v>
          </cell>
          <cell r="O382">
            <v>0.19999999999998863</v>
          </cell>
          <cell r="P382">
            <v>9408.3999999999942</v>
          </cell>
          <cell r="Q382">
            <v>8.9000000000000057</v>
          </cell>
          <cell r="R382">
            <v>1068.0000000000007</v>
          </cell>
          <cell r="S382">
            <v>12.400000000000546</v>
          </cell>
          <cell r="T382">
            <v>1.1850000000000023</v>
          </cell>
          <cell r="U382">
            <v>142.20000000000027</v>
          </cell>
          <cell r="V382">
            <v>6.8999999999999773</v>
          </cell>
          <cell r="W382">
            <v>14606.099999999995</v>
          </cell>
          <cell r="X382">
            <v>15.085000000000008</v>
          </cell>
          <cell r="Y382">
            <v>14621.184999999994</v>
          </cell>
          <cell r="Z382">
            <v>242.01292852628563</v>
          </cell>
          <cell r="AA382">
            <v>3300.7000000000012</v>
          </cell>
          <cell r="AB382">
            <v>1484.8999999999883</v>
          </cell>
          <cell r="AC382">
            <v>21.700000000000557</v>
          </cell>
          <cell r="AD382">
            <v>0</v>
          </cell>
          <cell r="AE382">
            <v>6800.2000000000116</v>
          </cell>
          <cell r="AF382">
            <v>728</v>
          </cell>
          <cell r="AG382">
            <v>3888.3999999999942</v>
          </cell>
          <cell r="AH382">
            <v>738.59999999999854</v>
          </cell>
          <cell r="AI382">
            <v>508.09999999999854</v>
          </cell>
          <cell r="AJ382">
            <v>1460.6999999999935</v>
          </cell>
          <cell r="AK382">
            <v>241.19999999999709</v>
          </cell>
          <cell r="AL382">
            <v>480</v>
          </cell>
          <cell r="AM382">
            <v>1037.700000000003</v>
          </cell>
          <cell r="AN382">
            <v>203.68499999999716</v>
          </cell>
          <cell r="AO382">
            <v>1.1999999999999318</v>
          </cell>
          <cell r="AP382">
            <v>2759.3999999999996</v>
          </cell>
          <cell r="AQ382">
            <v>4758.3000000000029</v>
          </cell>
          <cell r="AR382">
            <v>6.8999999999999986</v>
          </cell>
          <cell r="AS382">
            <v>0.81199999999999761</v>
          </cell>
          <cell r="AT382">
            <v>281.5</v>
          </cell>
          <cell r="AU382">
            <v>491.40000000000146</v>
          </cell>
          <cell r="AV382">
            <v>3028.8000000000175</v>
          </cell>
          <cell r="AW382">
            <v>1746.0999999999985</v>
          </cell>
          <cell r="AX382">
            <v>193.40000000000146</v>
          </cell>
          <cell r="AY382">
            <v>1167.099999999984</v>
          </cell>
          <cell r="AZ382">
            <v>169.10000000000582</v>
          </cell>
          <cell r="BA382">
            <v>369.29999999998836</v>
          </cell>
          <cell r="BB382">
            <v>659.80000000000689</v>
          </cell>
          <cell r="BC382">
            <v>192.31200000000001</v>
          </cell>
          <cell r="BD382">
            <v>0</v>
          </cell>
          <cell r="BE382">
            <v>7525.412000000003</v>
          </cell>
          <cell r="BF382">
            <v>362963.24000000005</v>
          </cell>
          <cell r="BG382">
            <v>795372.99122807023</v>
          </cell>
          <cell r="BH382">
            <v>283244</v>
          </cell>
          <cell r="BI382">
            <v>19.852969999999999</v>
          </cell>
          <cell r="BJ382">
            <v>0.45113899999999785</v>
          </cell>
          <cell r="BK382">
            <v>20.304108999999993</v>
          </cell>
          <cell r="BL382">
            <v>318.50881099999987</v>
          </cell>
          <cell r="BM382">
            <v>648.5</v>
          </cell>
          <cell r="BN382">
            <v>17.399999999999817</v>
          </cell>
          <cell r="BO382">
            <v>0.91687769333333369</v>
          </cell>
          <cell r="BP382">
            <v>97.399999999998911</v>
          </cell>
          <cell r="BQ382">
            <v>0</v>
          </cell>
          <cell r="BR382">
            <v>0</v>
          </cell>
          <cell r="BS382">
            <v>0</v>
          </cell>
          <cell r="BT382">
            <v>0</v>
          </cell>
          <cell r="BU382">
            <v>0</v>
          </cell>
          <cell r="BV382">
            <v>0</v>
          </cell>
          <cell r="BW382">
            <v>0</v>
          </cell>
          <cell r="BX382">
            <v>0</v>
          </cell>
          <cell r="BY382">
            <v>0</v>
          </cell>
          <cell r="BZ382">
            <v>648.5</v>
          </cell>
          <cell r="CA382">
            <v>17.399999999999817</v>
          </cell>
          <cell r="CB382">
            <v>0.91687769333333369</v>
          </cell>
          <cell r="CC382">
            <v>97.399999999998911</v>
          </cell>
          <cell r="CD382">
            <v>0</v>
          </cell>
          <cell r="CE382">
            <v>0</v>
          </cell>
          <cell r="CF382">
            <v>0</v>
          </cell>
        </row>
        <row r="383">
          <cell r="B383" t="str">
            <v>JUN</v>
          </cell>
          <cell r="C383">
            <v>5099.2999999999993</v>
          </cell>
          <cell r="D383">
            <v>103.04078931436835</v>
          </cell>
          <cell r="E383">
            <v>720</v>
          </cell>
          <cell r="F383">
            <v>0</v>
          </cell>
          <cell r="G383">
            <v>0</v>
          </cell>
          <cell r="H383">
            <v>0</v>
          </cell>
          <cell r="I383">
            <v>5099.2999999999993</v>
          </cell>
          <cell r="J383">
            <v>9088.7000000000116</v>
          </cell>
          <cell r="K383">
            <v>134.57061597782072</v>
          </cell>
          <cell r="L383">
            <v>720</v>
          </cell>
          <cell r="M383">
            <v>0</v>
          </cell>
          <cell r="N383">
            <v>0</v>
          </cell>
          <cell r="O383">
            <v>0</v>
          </cell>
          <cell r="P383">
            <v>9088.7000000000116</v>
          </cell>
          <cell r="Q383">
            <v>0</v>
          </cell>
          <cell r="R383">
            <v>0</v>
          </cell>
          <cell r="S383">
            <v>0</v>
          </cell>
          <cell r="T383">
            <v>0.20499999999999829</v>
          </cell>
          <cell r="U383">
            <v>24.599999999999795</v>
          </cell>
          <cell r="V383">
            <v>1.2000000000000455</v>
          </cell>
          <cell r="W383">
            <v>14188.000000000011</v>
          </cell>
          <cell r="X383">
            <v>0.20499999999999829</v>
          </cell>
          <cell r="Y383">
            <v>14188.205000000011</v>
          </cell>
          <cell r="Z383">
            <v>237.61140529218903</v>
          </cell>
          <cell r="AA383">
            <v>24.599999999999795</v>
          </cell>
          <cell r="AB383">
            <v>1440</v>
          </cell>
          <cell r="AC383">
            <v>1.2000000000000455</v>
          </cell>
          <cell r="AD383">
            <v>0</v>
          </cell>
          <cell r="AE383">
            <v>6619.3999999999651</v>
          </cell>
          <cell r="AF383">
            <v>718</v>
          </cell>
          <cell r="AG383">
            <v>3855.1000000000058</v>
          </cell>
          <cell r="AH383">
            <v>718.79999999999927</v>
          </cell>
          <cell r="AI383">
            <v>419.59999999999854</v>
          </cell>
          <cell r="AJ383">
            <v>1441.4000000000196</v>
          </cell>
          <cell r="AK383">
            <v>265.59999999999854</v>
          </cell>
          <cell r="AL383">
            <v>446.60000000000582</v>
          </cell>
          <cell r="AM383">
            <v>943.10000000000582</v>
          </cell>
          <cell r="AN383">
            <v>172.20500000001158</v>
          </cell>
          <cell r="AO383">
            <v>25.200000000000045</v>
          </cell>
          <cell r="AP383">
            <v>2786.8999999999996</v>
          </cell>
          <cell r="AQ383">
            <v>4515.5999999999985</v>
          </cell>
          <cell r="AR383">
            <v>0</v>
          </cell>
          <cell r="AS383">
            <v>0.14500000000000313</v>
          </cell>
          <cell r="AT383">
            <v>274.90000000000873</v>
          </cell>
          <cell r="AU383">
            <v>474.89999999999782</v>
          </cell>
          <cell r="AV383">
            <v>2953.8999999999942</v>
          </cell>
          <cell r="AW383">
            <v>1718.9000000000015</v>
          </cell>
          <cell r="AX383">
            <v>168.30000000000018</v>
          </cell>
          <cell r="AY383">
            <v>1145.0000000000036</v>
          </cell>
          <cell r="AZ383">
            <v>191.19999999999709</v>
          </cell>
          <cell r="BA383">
            <v>345.80000000000291</v>
          </cell>
          <cell r="BB383">
            <v>596.59999999999582</v>
          </cell>
          <cell r="BC383">
            <v>182.94500000000292</v>
          </cell>
          <cell r="BD383">
            <v>0</v>
          </cell>
          <cell r="BE383">
            <v>7302.6449999999977</v>
          </cell>
          <cell r="BF383">
            <v>345573.82000000007</v>
          </cell>
          <cell r="BG383">
            <v>867009.14210526319</v>
          </cell>
          <cell r="BH383">
            <v>296154</v>
          </cell>
          <cell r="BI383">
            <v>20.530260000000002</v>
          </cell>
          <cell r="BJ383">
            <v>2.0147826666666875</v>
          </cell>
          <cell r="BK383">
            <v>22.545042666666689</v>
          </cell>
          <cell r="BL383">
            <v>349.3295210000004</v>
          </cell>
          <cell r="BM383">
            <v>656.5</v>
          </cell>
          <cell r="BN383">
            <v>64.800000000000182</v>
          </cell>
          <cell r="BO383">
            <v>0.93343517333333348</v>
          </cell>
          <cell r="BP383">
            <v>388.80000000000109</v>
          </cell>
          <cell r="BQ383">
            <v>0</v>
          </cell>
          <cell r="BR383">
            <v>0</v>
          </cell>
          <cell r="BS383">
            <v>0</v>
          </cell>
          <cell r="BT383">
            <v>0</v>
          </cell>
          <cell r="BU383">
            <v>0</v>
          </cell>
          <cell r="BV383">
            <v>0</v>
          </cell>
          <cell r="BW383">
            <v>0</v>
          </cell>
          <cell r="BX383">
            <v>0</v>
          </cell>
          <cell r="BY383">
            <v>0</v>
          </cell>
          <cell r="BZ383">
            <v>656.5</v>
          </cell>
          <cell r="CA383">
            <v>64.800000000000182</v>
          </cell>
          <cell r="CB383">
            <v>0.93343517333333348</v>
          </cell>
          <cell r="CC383">
            <v>388.80000000000109</v>
          </cell>
          <cell r="CD383">
            <v>0</v>
          </cell>
          <cell r="CE383">
            <v>0</v>
          </cell>
          <cell r="CF383">
            <v>0</v>
          </cell>
        </row>
        <row r="384">
          <cell r="B384" t="str">
            <v>JUL</v>
          </cell>
          <cell r="C384">
            <v>7005</v>
          </cell>
          <cell r="D384">
            <v>120.08477253545239</v>
          </cell>
          <cell r="E384">
            <v>744</v>
          </cell>
          <cell r="F384">
            <v>0</v>
          </cell>
          <cell r="G384">
            <v>0</v>
          </cell>
          <cell r="H384">
            <v>0</v>
          </cell>
          <cell r="I384">
            <v>7005</v>
          </cell>
          <cell r="J384">
            <v>7678.5</v>
          </cell>
          <cell r="K384">
            <v>123.72341251900976</v>
          </cell>
          <cell r="L384">
            <v>744</v>
          </cell>
          <cell r="M384">
            <v>0</v>
          </cell>
          <cell r="N384">
            <v>0</v>
          </cell>
          <cell r="O384">
            <v>0</v>
          </cell>
          <cell r="P384">
            <v>7678.5</v>
          </cell>
          <cell r="Q384">
            <v>0</v>
          </cell>
          <cell r="R384">
            <v>0</v>
          </cell>
          <cell r="S384">
            <v>0</v>
          </cell>
          <cell r="T384">
            <v>0.17200000000001125</v>
          </cell>
          <cell r="U384">
            <v>20.640000000001351</v>
          </cell>
          <cell r="V384">
            <v>1</v>
          </cell>
          <cell r="W384">
            <v>14683.5</v>
          </cell>
          <cell r="X384">
            <v>0.17200000000001125</v>
          </cell>
          <cell r="Y384">
            <v>14683.672</v>
          </cell>
          <cell r="Z384">
            <v>243.80818505446214</v>
          </cell>
          <cell r="AA384">
            <v>20.640000000001351</v>
          </cell>
          <cell r="AB384">
            <v>1488</v>
          </cell>
          <cell r="AC384">
            <v>1</v>
          </cell>
          <cell r="AD384">
            <v>0</v>
          </cell>
          <cell r="AE384">
            <v>6891.7000000000116</v>
          </cell>
          <cell r="AF384">
            <v>738</v>
          </cell>
          <cell r="AG384">
            <v>3975</v>
          </cell>
          <cell r="AH384">
            <v>741.79999999999927</v>
          </cell>
          <cell r="AI384">
            <v>407.19999999999891</v>
          </cell>
          <cell r="AJ384">
            <v>1545.7999999999993</v>
          </cell>
          <cell r="AK384">
            <v>258.30000000000291</v>
          </cell>
          <cell r="AL384">
            <v>442.79999999998836</v>
          </cell>
          <cell r="AM384">
            <v>953.30000000000473</v>
          </cell>
          <cell r="AN384">
            <v>199.57199999999418</v>
          </cell>
          <cell r="AO384">
            <v>10</v>
          </cell>
          <cell r="AP384">
            <v>3652.5</v>
          </cell>
          <cell r="AQ384">
            <v>3838.5</v>
          </cell>
          <cell r="AR384">
            <v>0</v>
          </cell>
          <cell r="AS384">
            <v>0.11699999999999733</v>
          </cell>
          <cell r="AT384">
            <v>271.39999999999418</v>
          </cell>
          <cell r="AU384">
            <v>488.70000000000073</v>
          </cell>
          <cell r="AV384">
            <v>3064.8999999999942</v>
          </cell>
          <cell r="AW384">
            <v>1769.5999999999985</v>
          </cell>
          <cell r="AX384">
            <v>157.59999999999945</v>
          </cell>
          <cell r="AY384">
            <v>1222.9000000000124</v>
          </cell>
          <cell r="AZ384">
            <v>190</v>
          </cell>
          <cell r="BA384">
            <v>341.5</v>
          </cell>
          <cell r="BB384">
            <v>561.099999999994</v>
          </cell>
          <cell r="BC384">
            <v>188.81700000000438</v>
          </cell>
          <cell r="BD384">
            <v>0</v>
          </cell>
          <cell r="BE384">
            <v>7491.1169999999993</v>
          </cell>
          <cell r="BF384">
            <v>351405.83000000007</v>
          </cell>
          <cell r="BG384">
            <v>894988.03508771909</v>
          </cell>
          <cell r="BH384">
            <v>280693</v>
          </cell>
          <cell r="BI384">
            <v>21.851279999999999</v>
          </cell>
          <cell r="BJ384">
            <v>0.36962133000000003</v>
          </cell>
          <cell r="BK384">
            <v>22.22090133</v>
          </cell>
          <cell r="BL384">
            <v>357.3029866</v>
          </cell>
          <cell r="BM384">
            <v>665</v>
          </cell>
          <cell r="BN384">
            <v>6.6000000000002732</v>
          </cell>
          <cell r="BO384">
            <v>1.0425347200000004</v>
          </cell>
          <cell r="BP384">
            <v>40.20000000000109</v>
          </cell>
          <cell r="BQ384">
            <v>12744.800000000001</v>
          </cell>
          <cell r="BR384">
            <v>80.899999999999991</v>
          </cell>
          <cell r="BS384">
            <v>2430.5499999999993</v>
          </cell>
          <cell r="BT384">
            <v>75.248000000000005</v>
          </cell>
          <cell r="BU384">
            <v>74.27600000000001</v>
          </cell>
          <cell r="BV384">
            <v>0</v>
          </cell>
          <cell r="BW384">
            <v>0</v>
          </cell>
          <cell r="BX384">
            <v>75.248000000000005</v>
          </cell>
          <cell r="BY384">
            <v>74.27600000000001</v>
          </cell>
          <cell r="BZ384">
            <v>401.59999999999945</v>
          </cell>
          <cell r="CA384">
            <v>6.6000000000002732</v>
          </cell>
          <cell r="CB384">
            <v>1.0425347200000004</v>
          </cell>
          <cell r="CC384">
            <v>40.20000000000109</v>
          </cell>
          <cell r="CD384">
            <v>37519.913861674693</v>
          </cell>
          <cell r="CE384">
            <v>2528.5226172145881</v>
          </cell>
          <cell r="CF384">
            <v>37325.902624999995</v>
          </cell>
        </row>
        <row r="385">
          <cell r="B385" t="str">
            <v>AGO</v>
          </cell>
          <cell r="C385">
            <v>7166.8</v>
          </cell>
          <cell r="D385">
            <v>128.32771048264976</v>
          </cell>
          <cell r="E385">
            <v>686</v>
          </cell>
          <cell r="F385">
            <v>3.2</v>
          </cell>
          <cell r="G385">
            <v>779</v>
          </cell>
          <cell r="H385">
            <v>1</v>
          </cell>
          <cell r="I385">
            <v>7170</v>
          </cell>
          <cell r="J385">
            <v>6223.8999999999942</v>
          </cell>
          <cell r="K385">
            <v>125.1309415996845</v>
          </cell>
          <cell r="L385">
            <v>701.89999999997667</v>
          </cell>
          <cell r="M385">
            <v>0</v>
          </cell>
          <cell r="N385">
            <v>215.5</v>
          </cell>
          <cell r="O385">
            <v>0.19999999999998863</v>
          </cell>
          <cell r="P385">
            <v>6223.8999999999942</v>
          </cell>
          <cell r="Q385">
            <v>0</v>
          </cell>
          <cell r="R385">
            <v>0</v>
          </cell>
          <cell r="S385">
            <v>0</v>
          </cell>
          <cell r="T385">
            <v>9.9999999999056399E-4</v>
          </cell>
          <cell r="U385">
            <v>0.11999999999886768</v>
          </cell>
          <cell r="V385">
            <v>0.19999999999993179</v>
          </cell>
          <cell r="W385">
            <v>13390.699999999993</v>
          </cell>
          <cell r="X385">
            <v>3.2009999999999907</v>
          </cell>
          <cell r="Y385">
            <v>13393.900999999994</v>
          </cell>
          <cell r="Z385">
            <v>253.4586520823342</v>
          </cell>
          <cell r="AA385">
            <v>994.61999999999887</v>
          </cell>
          <cell r="AB385">
            <v>1387.8999999999767</v>
          </cell>
          <cell r="AC385">
            <v>1.3999999999999204</v>
          </cell>
          <cell r="AD385">
            <v>0</v>
          </cell>
          <cell r="AE385">
            <v>6325</v>
          </cell>
          <cell r="AF385">
            <v>703</v>
          </cell>
          <cell r="AG385">
            <v>3199</v>
          </cell>
          <cell r="AH385">
            <v>563.40000000000146</v>
          </cell>
          <cell r="AI385">
            <v>421.99999999999818</v>
          </cell>
          <cell r="AJ385">
            <v>1531.0999999999985</v>
          </cell>
          <cell r="AK385">
            <v>284.59999999999854</v>
          </cell>
          <cell r="AL385">
            <v>476.80000000000291</v>
          </cell>
          <cell r="AM385">
            <v>1000.0000000000018</v>
          </cell>
          <cell r="AN385">
            <v>139.40099999999416</v>
          </cell>
          <cell r="AO385">
            <v>16</v>
          </cell>
          <cell r="AP385">
            <v>3784.7000000000007</v>
          </cell>
          <cell r="AQ385">
            <v>3232.9999999999927</v>
          </cell>
          <cell r="AR385">
            <v>0</v>
          </cell>
          <cell r="AS385">
            <v>0</v>
          </cell>
          <cell r="AT385">
            <v>289.80000000000291</v>
          </cell>
          <cell r="AU385">
            <v>488.70000000000073</v>
          </cell>
          <cell r="AV385">
            <v>2855.1000000000058</v>
          </cell>
          <cell r="AW385">
            <v>1415.4000000000015</v>
          </cell>
          <cell r="AX385">
            <v>168.5</v>
          </cell>
          <cell r="AY385">
            <v>1235.1999999999789</v>
          </cell>
          <cell r="AZ385">
            <v>204.10000000000582</v>
          </cell>
          <cell r="BA385">
            <v>368.19999999999709</v>
          </cell>
          <cell r="BB385">
            <v>609.30000000001314</v>
          </cell>
          <cell r="BC385">
            <v>161.79999999999126</v>
          </cell>
          <cell r="BD385">
            <v>9.9999999999999978E-2</v>
          </cell>
          <cell r="BE385">
            <v>7017.6999999999935</v>
          </cell>
          <cell r="BF385">
            <v>336953.58</v>
          </cell>
          <cell r="BG385">
            <v>749321.32649122807</v>
          </cell>
          <cell r="BH385">
            <v>290000</v>
          </cell>
          <cell r="BI385">
            <v>22.017999999999997</v>
          </cell>
          <cell r="BJ385">
            <v>0.94889999999999997</v>
          </cell>
          <cell r="BK385">
            <v>22.966899999999999</v>
          </cell>
          <cell r="BL385">
            <v>367.88453999999996</v>
          </cell>
          <cell r="BM385">
            <v>710.6</v>
          </cell>
          <cell r="BN385">
            <v>29.900000000000361</v>
          </cell>
          <cell r="BO385">
            <v>1.0093007999999999</v>
          </cell>
          <cell r="BP385">
            <v>178.80000000000271</v>
          </cell>
          <cell r="BQ385">
            <v>12594.699999999997</v>
          </cell>
          <cell r="BR385">
            <v>77.239999999999995</v>
          </cell>
          <cell r="BS385">
            <v>2333.5200000000004</v>
          </cell>
          <cell r="BT385">
            <v>79.285999999999987</v>
          </cell>
          <cell r="BU385">
            <v>71.196999999999974</v>
          </cell>
          <cell r="BV385">
            <v>0</v>
          </cell>
          <cell r="BW385">
            <v>0</v>
          </cell>
          <cell r="BX385">
            <v>79.285999999999987</v>
          </cell>
          <cell r="BY385">
            <v>71.196999999999974</v>
          </cell>
          <cell r="BZ385">
            <v>710.6</v>
          </cell>
          <cell r="CA385">
            <v>29.900000000000361</v>
          </cell>
          <cell r="CB385">
            <v>1.0093007999999999</v>
          </cell>
          <cell r="CC385">
            <v>178.80000000000271</v>
          </cell>
          <cell r="CD385">
            <v>55199.391108207856</v>
          </cell>
          <cell r="CE385">
            <v>3691.2465099518358</v>
          </cell>
          <cell r="CF385">
            <v>53053.56354166667</v>
          </cell>
        </row>
        <row r="386">
          <cell r="B386" t="str">
            <v>SEP</v>
          </cell>
          <cell r="C386">
            <v>6777</v>
          </cell>
          <cell r="D386">
            <v>121.97729001928931</v>
          </cell>
          <cell r="E386">
            <v>719.5</v>
          </cell>
          <cell r="F386">
            <v>0</v>
          </cell>
          <cell r="G386">
            <v>0</v>
          </cell>
          <cell r="H386">
            <v>0</v>
          </cell>
          <cell r="I386">
            <v>6777</v>
          </cell>
          <cell r="J386">
            <v>7320.5</v>
          </cell>
          <cell r="K386">
            <v>128.75882184670053</v>
          </cell>
          <cell r="L386">
            <v>720</v>
          </cell>
          <cell r="M386">
            <v>0</v>
          </cell>
          <cell r="N386">
            <v>0</v>
          </cell>
          <cell r="O386">
            <v>0</v>
          </cell>
          <cell r="P386">
            <v>7320.5</v>
          </cell>
          <cell r="Q386">
            <v>9.9999999999994316E-2</v>
          </cell>
          <cell r="R386">
            <v>11.999999999999318</v>
          </cell>
          <cell r="S386">
            <v>0.1999999999998181</v>
          </cell>
          <cell r="T386">
            <v>0</v>
          </cell>
          <cell r="U386">
            <v>0</v>
          </cell>
          <cell r="V386">
            <v>0.73000000000001819</v>
          </cell>
          <cell r="W386">
            <v>14097.5</v>
          </cell>
          <cell r="X386">
            <v>9.9999999999994316E-2</v>
          </cell>
          <cell r="Y386">
            <v>14097.6</v>
          </cell>
          <cell r="Z386">
            <v>250.73611186598987</v>
          </cell>
          <cell r="AA386">
            <v>11.999999999999318</v>
          </cell>
          <cell r="AB386">
            <v>1439.5</v>
          </cell>
          <cell r="AC386">
            <v>0.92999999999983629</v>
          </cell>
          <cell r="AD386">
            <v>0</v>
          </cell>
          <cell r="AE386">
            <v>6497.5</v>
          </cell>
          <cell r="AF386">
            <v>716</v>
          </cell>
          <cell r="AG386">
            <v>3940.5</v>
          </cell>
          <cell r="AH386">
            <v>711</v>
          </cell>
          <cell r="AI386">
            <v>403.600000000004</v>
          </cell>
          <cell r="AJ386">
            <v>1356.7999999999956</v>
          </cell>
          <cell r="AK386">
            <v>250</v>
          </cell>
          <cell r="AL386">
            <v>448.69999999999709</v>
          </cell>
          <cell r="AM386">
            <v>930.49999999997783</v>
          </cell>
          <cell r="AN386">
            <v>127.5</v>
          </cell>
          <cell r="AO386">
            <v>28</v>
          </cell>
          <cell r="AP386">
            <v>3498.5</v>
          </cell>
          <cell r="AQ386">
            <v>3684.1000000000058</v>
          </cell>
          <cell r="AR386">
            <v>3.9999999999999147E-2</v>
          </cell>
          <cell r="AS386">
            <v>0</v>
          </cell>
          <cell r="AT386">
            <v>289.39999999999418</v>
          </cell>
          <cell r="AU386">
            <v>476.29999999999927</v>
          </cell>
          <cell r="AV386">
            <v>2912</v>
          </cell>
          <cell r="AW386">
            <v>1771</v>
          </cell>
          <cell r="AX386">
            <v>162.5</v>
          </cell>
          <cell r="AY386">
            <v>1103.2000000000116</v>
          </cell>
          <cell r="AZ386">
            <v>173</v>
          </cell>
          <cell r="BA386">
            <v>341.40000000000873</v>
          </cell>
          <cell r="BB386">
            <v>602.53999999997814</v>
          </cell>
          <cell r="BC386">
            <v>234.29999999999563</v>
          </cell>
          <cell r="BD386">
            <v>0</v>
          </cell>
          <cell r="BE386">
            <v>7182.6400000000058</v>
          </cell>
          <cell r="BF386">
            <v>323951.93</v>
          </cell>
          <cell r="BG386">
            <v>912370.48947368423</v>
          </cell>
          <cell r="BH386">
            <v>263146</v>
          </cell>
          <cell r="BI386">
            <v>22.532860000000003</v>
          </cell>
          <cell r="BJ386">
            <v>5.1100000000000007E-2</v>
          </cell>
          <cell r="BK386">
            <v>22.583960000000001</v>
          </cell>
          <cell r="BL386">
            <v>349.21341999999999</v>
          </cell>
          <cell r="BM386">
            <v>718.5</v>
          </cell>
          <cell r="BN386">
            <v>3.2999999999997272</v>
          </cell>
          <cell r="BO386">
            <v>1.02351572</v>
          </cell>
          <cell r="BP386">
            <v>19.799999999998363</v>
          </cell>
          <cell r="BQ386">
            <v>12569.19</v>
          </cell>
          <cell r="BR386">
            <v>72.040000000000006</v>
          </cell>
          <cell r="BS386">
            <v>2785.9299999999994</v>
          </cell>
          <cell r="BT386">
            <v>78.634000000000015</v>
          </cell>
          <cell r="BU386">
            <v>69.127999999999986</v>
          </cell>
          <cell r="BV386">
            <v>0</v>
          </cell>
          <cell r="BW386">
            <v>0</v>
          </cell>
          <cell r="BX386">
            <v>78.634000000000015</v>
          </cell>
          <cell r="BY386">
            <v>69.127999999999986</v>
          </cell>
          <cell r="BZ386">
            <v>718.5</v>
          </cell>
          <cell r="CA386">
            <v>3.2999999999997272</v>
          </cell>
          <cell r="CB386">
            <v>1.02351572</v>
          </cell>
          <cell r="CC386">
            <v>19.799999999998363</v>
          </cell>
          <cell r="CD386">
            <v>30879.11091947</v>
          </cell>
          <cell r="CE386">
            <v>3676.5129781059495</v>
          </cell>
          <cell r="CF386">
            <v>27232.008399999999</v>
          </cell>
        </row>
        <row r="387">
          <cell r="B387" t="str">
            <v>OCT</v>
          </cell>
          <cell r="C387">
            <v>7438.0999999999985</v>
          </cell>
          <cell r="D387">
            <v>122.53613163116012</v>
          </cell>
          <cell r="E387">
            <v>744</v>
          </cell>
          <cell r="F387">
            <v>0</v>
          </cell>
          <cell r="G387">
            <v>0</v>
          </cell>
          <cell r="H387">
            <v>0</v>
          </cell>
          <cell r="I387">
            <v>7438.0999999999985</v>
          </cell>
          <cell r="J387">
            <v>7105.1000000000058</v>
          </cell>
          <cell r="K387">
            <v>121.69100331860027</v>
          </cell>
          <cell r="L387">
            <v>744</v>
          </cell>
          <cell r="M387">
            <v>0</v>
          </cell>
          <cell r="N387">
            <v>0</v>
          </cell>
          <cell r="O387">
            <v>0</v>
          </cell>
          <cell r="P387">
            <v>7105.1000000000058</v>
          </cell>
          <cell r="Q387">
            <v>1.1000000000000085</v>
          </cell>
          <cell r="R387">
            <v>132.00000000000102</v>
          </cell>
          <cell r="S387">
            <v>2</v>
          </cell>
          <cell r="T387">
            <v>2.0000000000095497E-3</v>
          </cell>
          <cell r="U387">
            <v>0.24000000000114596</v>
          </cell>
          <cell r="V387">
            <v>0.10000000000002274</v>
          </cell>
          <cell r="W387">
            <v>14543.200000000004</v>
          </cell>
          <cell r="X387">
            <v>1.1020000000000181</v>
          </cell>
          <cell r="Y387">
            <v>14544.302000000005</v>
          </cell>
          <cell r="Z387">
            <v>244.22713494976034</v>
          </cell>
          <cell r="AA387">
            <v>132.24000000000217</v>
          </cell>
          <cell r="AB387">
            <v>1488</v>
          </cell>
          <cell r="AC387">
            <v>2.1000000000000227</v>
          </cell>
          <cell r="AD387">
            <v>0</v>
          </cell>
          <cell r="AE387">
            <v>6659.5</v>
          </cell>
          <cell r="AF387">
            <v>741</v>
          </cell>
          <cell r="AG387">
            <v>4134.7999999999884</v>
          </cell>
          <cell r="AH387">
            <v>732.40000000000146</v>
          </cell>
          <cell r="AI387">
            <v>413.19999999999891</v>
          </cell>
          <cell r="AJ387">
            <v>1358.099999999984</v>
          </cell>
          <cell r="AK387">
            <v>252.5</v>
          </cell>
          <cell r="AL387">
            <v>488.20000000001164</v>
          </cell>
          <cell r="AM387">
            <v>1020.200000000004</v>
          </cell>
          <cell r="AN387">
            <v>176.08200000001742</v>
          </cell>
          <cell r="AO387">
            <v>41.720000000000041</v>
          </cell>
          <cell r="AP387">
            <v>3888.5999999999985</v>
          </cell>
          <cell r="AQ387">
            <v>3520.6000000000058</v>
          </cell>
          <cell r="AR387">
            <v>0.65999999999999659</v>
          </cell>
          <cell r="AS387">
            <v>2.0000000000024443E-3</v>
          </cell>
          <cell r="AT387">
            <v>300.19999999999709</v>
          </cell>
          <cell r="AU387">
            <v>501.29999999999927</v>
          </cell>
          <cell r="AV387">
            <v>4904.4000000000233</v>
          </cell>
          <cell r="AW387">
            <v>1822</v>
          </cell>
          <cell r="AX387">
            <v>164.70000000000073</v>
          </cell>
          <cell r="AY387">
            <v>1112.8000000000029</v>
          </cell>
          <cell r="AZ387">
            <v>180.59999999999854</v>
          </cell>
          <cell r="BA387">
            <v>370.30000000000291</v>
          </cell>
          <cell r="BB387">
            <v>-1487.2500000000289</v>
          </cell>
          <cell r="BC387">
            <v>240.30200000000875</v>
          </cell>
          <cell r="BD387">
            <v>0.10999999999999999</v>
          </cell>
          <cell r="BE387">
            <v>7409.8620000000046</v>
          </cell>
          <cell r="BF387">
            <v>330331.02999999991</v>
          </cell>
          <cell r="BG387">
            <v>946499.15789473685</v>
          </cell>
          <cell r="BH387">
            <v>286117</v>
          </cell>
          <cell r="BI387">
            <v>23.012699999999995</v>
          </cell>
          <cell r="BJ387">
            <v>1.04E-2</v>
          </cell>
          <cell r="BK387">
            <v>23.023099999999996</v>
          </cell>
          <cell r="BL387">
            <v>366.10785999999996</v>
          </cell>
          <cell r="BM387">
            <v>737</v>
          </cell>
          <cell r="BN387">
            <v>5.8000000000006366</v>
          </cell>
          <cell r="BO387">
            <v>1.0489641600000004</v>
          </cell>
          <cell r="BP387">
            <v>36.000000000003823</v>
          </cell>
          <cell r="BQ387">
            <v>11996.800000000003</v>
          </cell>
          <cell r="BR387">
            <v>79.75</v>
          </cell>
          <cell r="BS387">
            <v>2691.7099999999987</v>
          </cell>
          <cell r="BT387">
            <v>73.823999999999984</v>
          </cell>
          <cell r="BU387">
            <v>59.630000000000017</v>
          </cell>
          <cell r="BV387">
            <v>0</v>
          </cell>
          <cell r="BW387">
            <v>0</v>
          </cell>
          <cell r="BX387">
            <v>73.823999999999984</v>
          </cell>
          <cell r="BY387">
            <v>59.630000000000017</v>
          </cell>
          <cell r="BZ387">
            <v>737</v>
          </cell>
          <cell r="CA387">
            <v>5.8000000000006366</v>
          </cell>
          <cell r="CB387">
            <v>1.0489641600000004</v>
          </cell>
          <cell r="CC387">
            <v>36.000000000003823</v>
          </cell>
          <cell r="CD387">
            <v>31079.702869184002</v>
          </cell>
          <cell r="CE387">
            <v>3821.5168905831679</v>
          </cell>
          <cell r="CF387">
            <v>27449.064958333332</v>
          </cell>
        </row>
        <row r="388">
          <cell r="B388" t="str">
            <v>NOV</v>
          </cell>
          <cell r="C388">
            <v>5101.0999999999985</v>
          </cell>
          <cell r="D388">
            <v>90.12724911332694</v>
          </cell>
          <cell r="E388">
            <v>576</v>
          </cell>
          <cell r="F388">
            <v>0</v>
          </cell>
          <cell r="G388">
            <v>0</v>
          </cell>
          <cell r="H388">
            <v>0</v>
          </cell>
          <cell r="I388">
            <v>5101.0999999999985</v>
          </cell>
          <cell r="J388">
            <v>5867.6999999999825</v>
          </cell>
          <cell r="K388">
            <v>97.37638242109287</v>
          </cell>
          <cell r="L388">
            <v>576</v>
          </cell>
          <cell r="M388">
            <v>0</v>
          </cell>
          <cell r="N388">
            <v>0</v>
          </cell>
          <cell r="O388">
            <v>0</v>
          </cell>
          <cell r="P388">
            <v>5867.6999999999825</v>
          </cell>
          <cell r="Q388">
            <v>0.29999999999999716</v>
          </cell>
          <cell r="R388">
            <v>35.999999999999659</v>
          </cell>
          <cell r="S388">
            <v>0.6999999999998181</v>
          </cell>
          <cell r="T388">
            <v>0</v>
          </cell>
          <cell r="U388">
            <v>0</v>
          </cell>
          <cell r="V388">
            <v>0.18999999999994088</v>
          </cell>
          <cell r="W388">
            <v>10968.799999999981</v>
          </cell>
          <cell r="X388">
            <v>0.29999999999999716</v>
          </cell>
          <cell r="Y388">
            <v>10969.09999999998</v>
          </cell>
          <cell r="Z388">
            <v>187.50363153441981</v>
          </cell>
          <cell r="AA388">
            <v>35.999999999999659</v>
          </cell>
          <cell r="AB388">
            <v>1152</v>
          </cell>
          <cell r="AC388">
            <v>0.88999999999975898</v>
          </cell>
          <cell r="AD388">
            <v>0</v>
          </cell>
          <cell r="AE388">
            <v>5005.9000000000233</v>
          </cell>
          <cell r="AF388">
            <v>567</v>
          </cell>
          <cell r="AG388">
            <v>3037.2000000000116</v>
          </cell>
          <cell r="AH388">
            <v>569.29999999999927</v>
          </cell>
          <cell r="AI388">
            <v>305.90000000000146</v>
          </cell>
          <cell r="AJ388">
            <v>1106.4000000000087</v>
          </cell>
          <cell r="AK388">
            <v>183.19999999999709</v>
          </cell>
          <cell r="AL388">
            <v>366.79999999998836</v>
          </cell>
          <cell r="AM388">
            <v>792.69999999997958</v>
          </cell>
          <cell r="AN388">
            <v>159.84999999997092</v>
          </cell>
          <cell r="AO388">
            <v>11.149999999999977</v>
          </cell>
          <cell r="AP388">
            <v>2562.2000000000007</v>
          </cell>
          <cell r="AQ388">
            <v>3063.1999999999971</v>
          </cell>
          <cell r="AR388">
            <v>0.20000000000000284</v>
          </cell>
          <cell r="AS388">
            <v>0</v>
          </cell>
          <cell r="AT388">
            <v>226.10000000000582</v>
          </cell>
          <cell r="AU388">
            <v>394.79999999999927</v>
          </cell>
          <cell r="AV388">
            <v>2268.8999999999942</v>
          </cell>
          <cell r="AW388">
            <v>1350.6999999999971</v>
          </cell>
          <cell r="AX388">
            <v>71.099999999998545</v>
          </cell>
          <cell r="AY388">
            <v>530</v>
          </cell>
          <cell r="AZ388">
            <v>79.299999999995634</v>
          </cell>
          <cell r="BA388">
            <v>159.59999999999127</v>
          </cell>
          <cell r="BB388">
            <v>1062.600000000027</v>
          </cell>
          <cell r="BC388">
            <v>126.29999999998836</v>
          </cell>
          <cell r="BD388">
            <v>0</v>
          </cell>
          <cell r="BE388">
            <v>5625.5999999999976</v>
          </cell>
          <cell r="BF388">
            <v>220762.51</v>
          </cell>
          <cell r="BG388">
            <v>484659.6736842104</v>
          </cell>
          <cell r="BH388">
            <v>181890</v>
          </cell>
          <cell r="BI388">
            <v>17.586419999999997</v>
          </cell>
          <cell r="BJ388">
            <v>0.30347999999999464</v>
          </cell>
          <cell r="BK388">
            <v>17.889899999999994</v>
          </cell>
          <cell r="BL388">
            <v>330.21731999999992</v>
          </cell>
          <cell r="BM388">
            <v>565.9</v>
          </cell>
          <cell r="BN388">
            <v>10.899999999999636</v>
          </cell>
          <cell r="BO388">
            <v>0.80441948000000008</v>
          </cell>
          <cell r="BP388">
            <v>65.399999999997817</v>
          </cell>
          <cell r="BQ388">
            <v>11260.800000000001</v>
          </cell>
          <cell r="BR388">
            <v>167.34</v>
          </cell>
          <cell r="BS388">
            <v>2314.6799999999998</v>
          </cell>
          <cell r="BT388">
            <v>50.627000000000002</v>
          </cell>
          <cell r="BU388">
            <v>39.478999999999999</v>
          </cell>
          <cell r="BV388">
            <v>0</v>
          </cell>
          <cell r="BW388">
            <v>0</v>
          </cell>
          <cell r="BX388">
            <v>50.627000000000002</v>
          </cell>
          <cell r="BY388">
            <v>39.478999999999999</v>
          </cell>
          <cell r="BZ388">
            <v>565.9</v>
          </cell>
          <cell r="CA388">
            <v>10.899999999999636</v>
          </cell>
          <cell r="CB388">
            <v>0.80441948000000008</v>
          </cell>
          <cell r="CC388">
            <v>65.399999999997817</v>
          </cell>
          <cell r="CD388">
            <v>21617.543065844002</v>
          </cell>
          <cell r="CE388">
            <v>2846.7713385391389</v>
          </cell>
          <cell r="CF388">
            <v>19047.950041666663</v>
          </cell>
        </row>
        <row r="389">
          <cell r="B389" t="str">
            <v>DIC</v>
          </cell>
          <cell r="C389">
            <v>0</v>
          </cell>
          <cell r="D389">
            <v>0</v>
          </cell>
          <cell r="E389">
            <v>0</v>
          </cell>
          <cell r="F389">
            <v>0</v>
          </cell>
          <cell r="G389">
            <v>0</v>
          </cell>
          <cell r="H389">
            <v>0</v>
          </cell>
          <cell r="I389">
            <v>0</v>
          </cell>
          <cell r="J389">
            <v>0</v>
          </cell>
          <cell r="K389">
            <v>0</v>
          </cell>
          <cell r="L389">
            <v>0</v>
          </cell>
          <cell r="M389">
            <v>0</v>
          </cell>
          <cell r="N389">
            <v>0</v>
          </cell>
          <cell r="O389">
            <v>0</v>
          </cell>
          <cell r="P389">
            <v>0</v>
          </cell>
          <cell r="Q389">
            <v>0</v>
          </cell>
          <cell r="R389">
            <v>0</v>
          </cell>
          <cell r="S389">
            <v>0</v>
          </cell>
          <cell r="T389">
            <v>0</v>
          </cell>
          <cell r="U389">
            <v>0</v>
          </cell>
          <cell r="V389">
            <v>0</v>
          </cell>
          <cell r="W389">
            <v>0</v>
          </cell>
          <cell r="X389">
            <v>0</v>
          </cell>
          <cell r="Y389">
            <v>0</v>
          </cell>
          <cell r="Z389">
            <v>0</v>
          </cell>
          <cell r="AA389">
            <v>0</v>
          </cell>
          <cell r="AB389">
            <v>0</v>
          </cell>
          <cell r="AC389">
            <v>0</v>
          </cell>
          <cell r="AD389">
            <v>0</v>
          </cell>
          <cell r="AE389">
            <v>0</v>
          </cell>
          <cell r="AF389">
            <v>0</v>
          </cell>
          <cell r="AG389">
            <v>0</v>
          </cell>
          <cell r="AH389">
            <v>0</v>
          </cell>
          <cell r="AI389">
            <v>0</v>
          </cell>
          <cell r="AJ389">
            <v>0</v>
          </cell>
          <cell r="AK389">
            <v>0</v>
          </cell>
          <cell r="AL389">
            <v>0</v>
          </cell>
          <cell r="AM389">
            <v>0</v>
          </cell>
          <cell r="AN389">
            <v>0</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0</v>
          </cell>
          <cell r="BK389">
            <v>0</v>
          </cell>
          <cell r="BL389">
            <v>17.889899999999994</v>
          </cell>
          <cell r="BM389">
            <v>0</v>
          </cell>
          <cell r="BN389">
            <v>0</v>
          </cell>
          <cell r="BO389">
            <v>0</v>
          </cell>
          <cell r="BP389">
            <v>0</v>
          </cell>
          <cell r="BQ389">
            <v>0</v>
          </cell>
          <cell r="BR389">
            <v>0</v>
          </cell>
          <cell r="BS389">
            <v>0</v>
          </cell>
          <cell r="BT389">
            <v>0</v>
          </cell>
          <cell r="BU389">
            <v>0</v>
          </cell>
          <cell r="BV389">
            <v>0</v>
          </cell>
          <cell r="BW389">
            <v>0</v>
          </cell>
          <cell r="BX389">
            <v>0</v>
          </cell>
          <cell r="BY389">
            <v>0</v>
          </cell>
          <cell r="BZ389">
            <v>0</v>
          </cell>
          <cell r="CA389">
            <v>0</v>
          </cell>
          <cell r="CB389">
            <v>0</v>
          </cell>
          <cell r="CC389">
            <v>0</v>
          </cell>
          <cell r="CD389">
            <v>0</v>
          </cell>
          <cell r="CE389">
            <v>0</v>
          </cell>
          <cell r="CF389">
            <v>0</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CONTADORES"/>
      <sheetName val="ESTADISTICOS"/>
      <sheetName val="DATOSAÑO"/>
      <sheetName val="REPORTE DIA"/>
      <sheetName val="DATOSCECOS"/>
      <sheetName val="INFORME DIA GDP"/>
      <sheetName val="PRODUCCION VS ENERGIA GDP"/>
      <sheetName val="GRAFICAS DIA-MES"/>
      <sheetName val="US-GT-8001-2"/>
      <sheetName val="DATA DE LAS 12"/>
      <sheetName val="CURVA DURACION"/>
      <sheetName val="OCENSA"/>
      <sheetName val="FAC  NW"/>
      <sheetName val="FORMATO"/>
      <sheetName val="ENERGIA-GAS"/>
      <sheetName val="CONSUMO "/>
      <sheetName val="SEGUIMIENTO CONSUMO ENERGIA"/>
      <sheetName val="REGISTRO DE INDISPONIBILIDAD"/>
      <sheetName val="GRAFICAS RPTE GCIAL"/>
      <sheetName val="INDICADORES"/>
      <sheetName val="Resultados Mes &amp; Acum"/>
      <sheetName val="Datos Mes2"/>
      <sheetName val="Grafica totales"/>
      <sheetName val="grafica1"/>
      <sheetName val="Grafica costos variables"/>
      <sheetName val="metricas"/>
      <sheetName val="Instrucciones"/>
      <sheetName val="Definición Costos"/>
      <sheetName val="Datos Mes"/>
      <sheetName val="PORTADA"/>
      <sheetName val="CALCULO DE GAS"/>
    </sheetNames>
    <sheetDataSet>
      <sheetData sheetId="0"/>
      <sheetData sheetId="1"/>
      <sheetData sheetId="2"/>
      <sheetData sheetId="3">
        <row r="378">
          <cell r="B378" t="str">
            <v>ENE</v>
          </cell>
          <cell r="C378">
            <v>6388.8000000000466</v>
          </cell>
          <cell r="D378">
            <v>117.92981999097549</v>
          </cell>
          <cell r="E378">
            <v>744</v>
          </cell>
          <cell r="F378">
            <v>0</v>
          </cell>
          <cell r="G378">
            <v>0</v>
          </cell>
          <cell r="H378">
            <v>0</v>
          </cell>
          <cell r="I378">
            <v>6388.8000000000466</v>
          </cell>
          <cell r="J378">
            <v>9221.3999999999942</v>
          </cell>
          <cell r="K378">
            <v>139.06853824823651</v>
          </cell>
          <cell r="L378">
            <v>744</v>
          </cell>
          <cell r="M378">
            <v>0</v>
          </cell>
          <cell r="N378">
            <v>0</v>
          </cell>
          <cell r="O378">
            <v>0</v>
          </cell>
          <cell r="P378">
            <v>9221.3999999999942</v>
          </cell>
          <cell r="Q378">
            <v>0.69200000000000017</v>
          </cell>
          <cell r="R378">
            <v>83.04000000000002</v>
          </cell>
          <cell r="S378">
            <v>2.4499999999998181</v>
          </cell>
          <cell r="T378">
            <v>0.26199999999998624</v>
          </cell>
          <cell r="U378">
            <v>31.439999999998349</v>
          </cell>
          <cell r="V378">
            <v>1.6999999999999886</v>
          </cell>
          <cell r="W378">
            <v>15610.200000000041</v>
          </cell>
          <cell r="X378">
            <v>0.95399999999998641</v>
          </cell>
          <cell r="Y378">
            <v>15611.15400000004</v>
          </cell>
          <cell r="Z378">
            <v>256.998358239212</v>
          </cell>
          <cell r="AA378">
            <v>114.47999999999837</v>
          </cell>
          <cell r="AB378">
            <v>1488</v>
          </cell>
          <cell r="AC378">
            <v>4.1499999999998067</v>
          </cell>
          <cell r="AD378">
            <v>0</v>
          </cell>
          <cell r="AE378">
            <v>7325.0999999999767</v>
          </cell>
          <cell r="AF378">
            <v>740</v>
          </cell>
          <cell r="AG378">
            <v>3953.2000000000116</v>
          </cell>
          <cell r="AH378">
            <v>723.79999999999927</v>
          </cell>
          <cell r="AI378">
            <v>634.10000000000218</v>
          </cell>
          <cell r="AJ378">
            <v>1427.8999999999833</v>
          </cell>
          <cell r="AK378">
            <v>408.69999999999709</v>
          </cell>
          <cell r="AL378">
            <v>641.29999999998836</v>
          </cell>
          <cell r="AM378">
            <v>1013.2920000000931</v>
          </cell>
          <cell r="AN378">
            <v>184.16199999998832</v>
          </cell>
          <cell r="AO378">
            <v>23.400000000000034</v>
          </cell>
          <cell r="AP378">
            <v>3463.2999999999884</v>
          </cell>
          <cell r="AQ378">
            <v>4704.2999999999956</v>
          </cell>
          <cell r="AR378">
            <v>0.52799999999999958</v>
          </cell>
          <cell r="AS378">
            <v>0.19200000000000017</v>
          </cell>
          <cell r="AT378">
            <v>302.40000000000873</v>
          </cell>
          <cell r="AU378">
            <v>536.10000000000218</v>
          </cell>
          <cell r="AV378">
            <v>3213.7000000000116</v>
          </cell>
          <cell r="AW378">
            <v>1752.9000000000015</v>
          </cell>
          <cell r="AX378">
            <v>240.90000000000055</v>
          </cell>
          <cell r="AY378">
            <v>1165.100000000024</v>
          </cell>
          <cell r="AZ378">
            <v>299.80000000000291</v>
          </cell>
          <cell r="BA378">
            <v>494.30000000000291</v>
          </cell>
          <cell r="BB378">
            <v>791.02799999993886</v>
          </cell>
          <cell r="BC378">
            <v>210.59200000000146</v>
          </cell>
          <cell r="BD378">
            <v>0</v>
          </cell>
          <cell r="BE378">
            <v>8168.3199999999833</v>
          </cell>
          <cell r="BF378">
            <v>0</v>
          </cell>
          <cell r="BG378">
            <v>0</v>
          </cell>
          <cell r="BH378">
            <v>253522</v>
          </cell>
          <cell r="BI378">
            <v>22.907199999999996</v>
          </cell>
          <cell r="BJ378">
            <v>6.7900000000000002E-2</v>
          </cell>
          <cell r="BK378">
            <v>22.975099999999998</v>
          </cell>
          <cell r="BL378">
            <v>367.09099999999989</v>
          </cell>
          <cell r="BM378">
            <v>711.7</v>
          </cell>
          <cell r="BN378">
            <v>9.1999999999999993</v>
          </cell>
          <cell r="BO378">
            <v>1.0540000000000007</v>
          </cell>
          <cell r="BP378">
            <v>57.809999999999995</v>
          </cell>
          <cell r="BQ378">
            <v>0</v>
          </cell>
          <cell r="BR378">
            <v>0</v>
          </cell>
          <cell r="BS378">
            <v>0</v>
          </cell>
          <cell r="BT378">
            <v>0</v>
          </cell>
          <cell r="BU378">
            <v>0</v>
          </cell>
          <cell r="BV378">
            <v>0</v>
          </cell>
          <cell r="BW378">
            <v>0</v>
          </cell>
          <cell r="BX378">
            <v>0</v>
          </cell>
          <cell r="BY378">
            <v>0</v>
          </cell>
          <cell r="BZ378">
            <v>711.7</v>
          </cell>
          <cell r="CA378">
            <v>9.1999999999999993</v>
          </cell>
          <cell r="CB378">
            <v>1.0540000000000007</v>
          </cell>
          <cell r="CC378">
            <v>57.809999999999995</v>
          </cell>
          <cell r="CD378">
            <v>0</v>
          </cell>
          <cell r="CE378">
            <v>0</v>
          </cell>
          <cell r="CF378">
            <v>0</v>
          </cell>
        </row>
        <row r="379">
          <cell r="B379" t="str">
            <v>FEB</v>
          </cell>
          <cell r="C379">
            <v>6495.2999999999884</v>
          </cell>
          <cell r="D379">
            <v>110.32376059754597</v>
          </cell>
          <cell r="E379">
            <v>620.90000000001737</v>
          </cell>
          <cell r="F379">
            <v>2</v>
          </cell>
          <cell r="G379">
            <v>385.5</v>
          </cell>
          <cell r="H379">
            <v>0.90000000000009095</v>
          </cell>
          <cell r="I379">
            <v>6497.2999999999884</v>
          </cell>
          <cell r="J379">
            <v>7389.6000000000058</v>
          </cell>
          <cell r="K379">
            <v>119.13584383098167</v>
          </cell>
          <cell r="L379">
            <v>696</v>
          </cell>
          <cell r="M379">
            <v>0</v>
          </cell>
          <cell r="N379">
            <v>0</v>
          </cell>
          <cell r="O379">
            <v>0</v>
          </cell>
          <cell r="P379">
            <v>7389.6000000000058</v>
          </cell>
          <cell r="Q379">
            <v>48.205999999999996</v>
          </cell>
          <cell r="R379">
            <v>5784.7199999999993</v>
          </cell>
          <cell r="S379">
            <v>49.550000000000182</v>
          </cell>
          <cell r="T379">
            <v>10.424000000000007</v>
          </cell>
          <cell r="U379">
            <v>1250.8800000000008</v>
          </cell>
          <cell r="V379">
            <v>53.199999999999989</v>
          </cell>
          <cell r="W379">
            <v>13884.899999999994</v>
          </cell>
          <cell r="X379">
            <v>60.63</v>
          </cell>
          <cell r="Y379">
            <v>13945.529999999995</v>
          </cell>
          <cell r="Z379">
            <v>229.45960442852765</v>
          </cell>
          <cell r="AA379">
            <v>7421.1</v>
          </cell>
          <cell r="AB379">
            <v>1316.9000000000174</v>
          </cell>
          <cell r="AC379">
            <v>103.65000000000026</v>
          </cell>
          <cell r="AD379">
            <v>0</v>
          </cell>
          <cell r="AE379">
            <v>6326.2000000000116</v>
          </cell>
          <cell r="AF379">
            <v>684</v>
          </cell>
          <cell r="AG379">
            <v>3673.8999999999942</v>
          </cell>
          <cell r="AH379">
            <v>658.09999999999854</v>
          </cell>
          <cell r="AI379">
            <v>512.79999999999927</v>
          </cell>
          <cell r="AJ379">
            <v>1270.3000000000211</v>
          </cell>
          <cell r="AK379">
            <v>344.80000000000291</v>
          </cell>
          <cell r="AL379">
            <v>580.90000000000873</v>
          </cell>
          <cell r="AM379">
            <v>1034.1059999999507</v>
          </cell>
          <cell r="AN379">
            <v>173.2240000000059</v>
          </cell>
          <cell r="AO379">
            <v>29.299999999999955</v>
          </cell>
          <cell r="AP379">
            <v>3538.5</v>
          </cell>
          <cell r="AQ379">
            <v>3822.1000000000058</v>
          </cell>
          <cell r="AR379">
            <v>37.497</v>
          </cell>
          <cell r="AS379">
            <v>6.9250000000000043</v>
          </cell>
          <cell r="AT379">
            <v>277.19999999999709</v>
          </cell>
          <cell r="AU379">
            <v>526.79999999999927</v>
          </cell>
          <cell r="AV379">
            <v>2820.5</v>
          </cell>
          <cell r="AW379">
            <v>1617</v>
          </cell>
          <cell r="AX379">
            <v>199.90000000000055</v>
          </cell>
          <cell r="AY379">
            <v>1046.899999999976</v>
          </cell>
          <cell r="AZ379">
            <v>310.40000000000146</v>
          </cell>
          <cell r="BA379">
            <v>455.90000000000873</v>
          </cell>
          <cell r="BB379">
            <v>804.89700000002051</v>
          </cell>
          <cell r="BC379">
            <v>200.02499999999858</v>
          </cell>
          <cell r="BD379">
            <v>0</v>
          </cell>
          <cell r="BE379">
            <v>7405.0220000000054</v>
          </cell>
          <cell r="BF379">
            <v>391325.53616741288</v>
          </cell>
          <cell r="BG379">
            <v>944616.2596491226</v>
          </cell>
          <cell r="BH379">
            <v>264365</v>
          </cell>
          <cell r="BI379">
            <v>21.382760000000005</v>
          </cell>
          <cell r="BJ379">
            <v>0.25901000000000002</v>
          </cell>
          <cell r="BK379">
            <v>21.641770000000001</v>
          </cell>
          <cell r="BL379">
            <v>323.84872000000001</v>
          </cell>
          <cell r="BM379">
            <v>688</v>
          </cell>
          <cell r="BN379">
            <v>18.100000000000183</v>
          </cell>
          <cell r="BO379">
            <v>0.94367266666666672</v>
          </cell>
          <cell r="BP379">
            <v>108.60000000000109</v>
          </cell>
          <cell r="BQ379">
            <v>0</v>
          </cell>
          <cell r="BR379">
            <v>0</v>
          </cell>
          <cell r="BS379">
            <v>0</v>
          </cell>
          <cell r="BT379">
            <v>0</v>
          </cell>
          <cell r="BU379">
            <v>0</v>
          </cell>
          <cell r="BV379">
            <v>0</v>
          </cell>
          <cell r="BW379">
            <v>0</v>
          </cell>
          <cell r="BX379">
            <v>0</v>
          </cell>
          <cell r="BY379">
            <v>0</v>
          </cell>
          <cell r="BZ379">
            <v>688</v>
          </cell>
          <cell r="CA379">
            <v>18.100000000000183</v>
          </cell>
          <cell r="CB379">
            <v>0.94367266666666672</v>
          </cell>
          <cell r="CC379">
            <v>108.60000000000109</v>
          </cell>
          <cell r="CD379">
            <v>0</v>
          </cell>
          <cell r="CE379">
            <v>0</v>
          </cell>
          <cell r="CF379">
            <v>0</v>
          </cell>
        </row>
        <row r="380">
          <cell r="B380" t="str">
            <v>MAR</v>
          </cell>
          <cell r="C380">
            <v>6690.2</v>
          </cell>
          <cell r="D380">
            <v>117.25973488997975</v>
          </cell>
          <cell r="E380">
            <v>727</v>
          </cell>
          <cell r="F380">
            <v>0</v>
          </cell>
          <cell r="G380">
            <v>0</v>
          </cell>
          <cell r="H380">
            <v>0</v>
          </cell>
          <cell r="I380">
            <v>6690.2</v>
          </cell>
          <cell r="J380">
            <v>6984.389999999994</v>
          </cell>
          <cell r="K380">
            <v>119.40184304787441</v>
          </cell>
          <cell r="L380">
            <v>704.5000000000116</v>
          </cell>
          <cell r="M380">
            <v>0.01</v>
          </cell>
          <cell r="N380">
            <v>188</v>
          </cell>
          <cell r="O380">
            <v>0.19999999999998863</v>
          </cell>
          <cell r="P380">
            <v>6984.3999999999942</v>
          </cell>
          <cell r="Q380">
            <v>5.9879999999999995</v>
          </cell>
          <cell r="R380">
            <v>718.56</v>
          </cell>
          <cell r="S380">
            <v>16.5</v>
          </cell>
          <cell r="T380">
            <v>3.1110000000000042</v>
          </cell>
          <cell r="U380">
            <v>373.3200000000005</v>
          </cell>
          <cell r="V380">
            <v>17.199999999999989</v>
          </cell>
          <cell r="W380">
            <v>13674.589999999989</v>
          </cell>
          <cell r="X380">
            <v>9.1090000000000035</v>
          </cell>
          <cell r="Y380">
            <v>13683.69899999999</v>
          </cell>
          <cell r="Z380">
            <v>236.66157793785419</v>
          </cell>
          <cell r="AA380">
            <v>1279.8800000000001</v>
          </cell>
          <cell r="AB380">
            <v>1431.5000000000116</v>
          </cell>
          <cell r="AC380">
            <v>33.899999999999977</v>
          </cell>
          <cell r="AD380">
            <v>0</v>
          </cell>
          <cell r="AE380">
            <v>6532.5999999999767</v>
          </cell>
          <cell r="AF380">
            <v>706</v>
          </cell>
          <cell r="AG380">
            <v>2994.1999999999971</v>
          </cell>
          <cell r="AH380">
            <v>536.70000000000073</v>
          </cell>
          <cell r="AI380">
            <v>456.89999999999782</v>
          </cell>
          <cell r="AJ380">
            <v>1441.899999999976</v>
          </cell>
          <cell r="AK380">
            <v>352.40000000000146</v>
          </cell>
          <cell r="AL380">
            <v>559.30000000000291</v>
          </cell>
          <cell r="AM380">
            <v>1161.7880000000362</v>
          </cell>
          <cell r="AN380">
            <v>154.10100000000583</v>
          </cell>
          <cell r="AO380">
            <v>30.509999999999998</v>
          </cell>
          <cell r="AP380">
            <v>3637.9</v>
          </cell>
          <cell r="AQ380">
            <v>3590.0999999999985</v>
          </cell>
          <cell r="AR380">
            <v>4.7539999999999978</v>
          </cell>
          <cell r="AS380">
            <v>2.0349999999999966</v>
          </cell>
          <cell r="AT380">
            <v>319.69999999999709</v>
          </cell>
          <cell r="AU380">
            <v>541.20000000000073</v>
          </cell>
          <cell r="AV380">
            <v>2923.2999999999884</v>
          </cell>
          <cell r="AW380">
            <v>1321.8000000000029</v>
          </cell>
          <cell r="AX380">
            <v>181.39999999999964</v>
          </cell>
          <cell r="AY380">
            <v>1172.3000000000065</v>
          </cell>
          <cell r="AZ380">
            <v>258.69999999999709</v>
          </cell>
          <cell r="BA380">
            <v>442.09999999999127</v>
          </cell>
          <cell r="BB380">
            <v>752.75400000001582</v>
          </cell>
          <cell r="BC380">
            <v>182.33499999999853</v>
          </cell>
          <cell r="BD380">
            <v>9.9999999999999978E-2</v>
          </cell>
          <cell r="BE380">
            <v>7234.7889999999979</v>
          </cell>
          <cell r="BF380">
            <v>392285.06999999989</v>
          </cell>
          <cell r="BG380">
            <v>974338.11052631552</v>
          </cell>
          <cell r="BH380">
            <v>285229</v>
          </cell>
          <cell r="BI380">
            <v>22.890579999999996</v>
          </cell>
          <cell r="BJ380">
            <v>0.28409999999999147</v>
          </cell>
          <cell r="BK380">
            <v>23.174679999999988</v>
          </cell>
          <cell r="BL380">
            <v>370.66403999999972</v>
          </cell>
          <cell r="BM380">
            <v>735.5</v>
          </cell>
          <cell r="BN380">
            <v>9.3000000000002725</v>
          </cell>
          <cell r="BO380">
            <v>1.0441878000000002</v>
          </cell>
          <cell r="BP380">
            <v>55.800000000001631</v>
          </cell>
          <cell r="BQ380">
            <v>0</v>
          </cell>
          <cell r="BR380">
            <v>0</v>
          </cell>
          <cell r="BS380">
            <v>0</v>
          </cell>
          <cell r="BT380">
            <v>0</v>
          </cell>
          <cell r="BU380">
            <v>0</v>
          </cell>
          <cell r="BV380">
            <v>0</v>
          </cell>
          <cell r="BW380">
            <v>0</v>
          </cell>
          <cell r="BX380">
            <v>0</v>
          </cell>
          <cell r="BY380">
            <v>0</v>
          </cell>
          <cell r="BZ380">
            <v>735.5</v>
          </cell>
          <cell r="CA380">
            <v>9.3000000000002725</v>
          </cell>
          <cell r="CB380">
            <v>1.0441878000000002</v>
          </cell>
          <cell r="CC380">
            <v>55.800000000001631</v>
          </cell>
          <cell r="CD380">
            <v>0</v>
          </cell>
          <cell r="CE380">
            <v>0</v>
          </cell>
          <cell r="CF380">
            <v>0</v>
          </cell>
        </row>
        <row r="381">
          <cell r="B381" t="str">
            <v>ABR</v>
          </cell>
          <cell r="C381">
            <v>5635.4</v>
          </cell>
          <cell r="D381">
            <v>107.15127643333332</v>
          </cell>
          <cell r="E381">
            <v>719.8</v>
          </cell>
          <cell r="F381">
            <v>0.4</v>
          </cell>
          <cell r="G381">
            <v>193</v>
          </cell>
          <cell r="H381">
            <v>0.20000000000004547</v>
          </cell>
          <cell r="I381">
            <v>5635.8</v>
          </cell>
          <cell r="J381">
            <v>8924.8000000000065</v>
          </cell>
          <cell r="K381">
            <v>131.05424976666674</v>
          </cell>
          <cell r="L381">
            <v>719.9</v>
          </cell>
          <cell r="M381">
            <v>0.3</v>
          </cell>
          <cell r="N381">
            <v>145</v>
          </cell>
          <cell r="O381">
            <v>0.10000000000002274</v>
          </cell>
          <cell r="P381">
            <v>8925.1000000000058</v>
          </cell>
          <cell r="Q381">
            <v>2.1999999999999957</v>
          </cell>
          <cell r="R381">
            <v>263.99999999999949</v>
          </cell>
          <cell r="S381">
            <v>3.6999999999998181</v>
          </cell>
          <cell r="T381">
            <v>0.33699999999998909</v>
          </cell>
          <cell r="U381">
            <v>40.43999999999869</v>
          </cell>
          <cell r="V381">
            <v>2.2000000000000455</v>
          </cell>
          <cell r="W381">
            <v>14560.200000000006</v>
          </cell>
          <cell r="X381">
            <v>3.236999999999985</v>
          </cell>
          <cell r="Y381">
            <v>14563.437000000005</v>
          </cell>
          <cell r="Z381">
            <v>238.20552620000018</v>
          </cell>
          <cell r="AA381">
            <v>642.43999999999812</v>
          </cell>
          <cell r="AB381">
            <v>1439.6999999999998</v>
          </cell>
          <cell r="AC381">
            <v>6.1999999999999318</v>
          </cell>
          <cell r="AD381">
            <v>0</v>
          </cell>
          <cell r="AE381">
            <v>6982.6000000000349</v>
          </cell>
          <cell r="AF381">
            <v>718</v>
          </cell>
          <cell r="AG381">
            <v>3702.8000000000029</v>
          </cell>
          <cell r="AH381">
            <v>675.40000000000146</v>
          </cell>
          <cell r="AI381">
            <v>419.60000000000582</v>
          </cell>
          <cell r="AJ381">
            <v>1484.9000000000124</v>
          </cell>
          <cell r="AK381">
            <v>280.5</v>
          </cell>
          <cell r="AL381">
            <v>467.89999999999418</v>
          </cell>
          <cell r="AM381">
            <v>1020.5999999999588</v>
          </cell>
          <cell r="AN381">
            <v>182.33699999999703</v>
          </cell>
          <cell r="AO381">
            <v>22.200000000000045</v>
          </cell>
          <cell r="AP381">
            <v>2844.1</v>
          </cell>
          <cell r="AQ381">
            <v>4625.5999999999985</v>
          </cell>
          <cell r="AR381">
            <v>1.3000000000000043</v>
          </cell>
          <cell r="AS381">
            <v>0.21600000000000108</v>
          </cell>
          <cell r="AT381">
            <v>286</v>
          </cell>
          <cell r="AU381">
            <v>487.59999999999854</v>
          </cell>
          <cell r="AV381">
            <v>3076.3999999999942</v>
          </cell>
          <cell r="AW381">
            <v>1653.1999999999971</v>
          </cell>
          <cell r="AX381">
            <v>165.59999999999854</v>
          </cell>
          <cell r="AY381">
            <v>1186.900000000016</v>
          </cell>
          <cell r="AZ381">
            <v>196.69999999999709</v>
          </cell>
          <cell r="BA381">
            <v>364.40000000000873</v>
          </cell>
          <cell r="BB381">
            <v>627.49999999998408</v>
          </cell>
          <cell r="BC381">
            <v>200.51600000000292</v>
          </cell>
          <cell r="BD381">
            <v>0</v>
          </cell>
          <cell r="BE381">
            <v>7471.2159999999985</v>
          </cell>
          <cell r="BF381">
            <v>363656.47000000003</v>
          </cell>
          <cell r="BG381">
            <v>948320.13333333319</v>
          </cell>
          <cell r="BH381">
            <v>283498</v>
          </cell>
          <cell r="BI381">
            <v>22.24906</v>
          </cell>
          <cell r="BJ381">
            <v>0</v>
          </cell>
          <cell r="BK381">
            <v>22.24906</v>
          </cell>
          <cell r="BL381">
            <v>344.85833999999994</v>
          </cell>
          <cell r="BM381">
            <v>720</v>
          </cell>
          <cell r="BN381">
            <v>2.5</v>
          </cell>
          <cell r="BO381">
            <v>1.02221312</v>
          </cell>
          <cell r="BP381">
            <v>15</v>
          </cell>
          <cell r="BQ381">
            <v>0</v>
          </cell>
          <cell r="BR381">
            <v>0</v>
          </cell>
          <cell r="BS381">
            <v>0</v>
          </cell>
          <cell r="BT381">
            <v>0</v>
          </cell>
          <cell r="BU381">
            <v>0</v>
          </cell>
          <cell r="BV381">
            <v>0</v>
          </cell>
          <cell r="BW381">
            <v>0</v>
          </cell>
          <cell r="BX381">
            <v>0</v>
          </cell>
          <cell r="BY381">
            <v>0</v>
          </cell>
          <cell r="BZ381">
            <v>720</v>
          </cell>
          <cell r="CA381">
            <v>2.5</v>
          </cell>
          <cell r="CB381">
            <v>1.02221312</v>
          </cell>
          <cell r="CC381">
            <v>15</v>
          </cell>
          <cell r="CD381">
            <v>0</v>
          </cell>
          <cell r="CE381">
            <v>0</v>
          </cell>
          <cell r="CF381">
            <v>0</v>
          </cell>
        </row>
        <row r="382">
          <cell r="B382" t="str">
            <v>MAY</v>
          </cell>
          <cell r="C382">
            <v>5198.1000000000004</v>
          </cell>
          <cell r="D382">
            <v>104.54763710600002</v>
          </cell>
          <cell r="E382">
            <v>741.09999999998831</v>
          </cell>
          <cell r="F382">
            <v>4.5999999999999996</v>
          </cell>
          <cell r="G382">
            <v>1911</v>
          </cell>
          <cell r="H382">
            <v>2.2000000000000455</v>
          </cell>
          <cell r="I382">
            <v>5202.7000000000007</v>
          </cell>
          <cell r="J382">
            <v>9407.9999999999945</v>
          </cell>
          <cell r="K382">
            <v>137.46529142028567</v>
          </cell>
          <cell r="L382">
            <v>743.8</v>
          </cell>
          <cell r="M382">
            <v>0.4</v>
          </cell>
          <cell r="N382">
            <v>179.5</v>
          </cell>
          <cell r="O382">
            <v>0.19999999999998863</v>
          </cell>
          <cell r="P382">
            <v>9408.3999999999942</v>
          </cell>
          <cell r="Q382">
            <v>8.9000000000000057</v>
          </cell>
          <cell r="R382">
            <v>1068.0000000000007</v>
          </cell>
          <cell r="S382">
            <v>12.400000000000546</v>
          </cell>
          <cell r="T382">
            <v>1.1850000000000023</v>
          </cell>
          <cell r="U382">
            <v>142.20000000000027</v>
          </cell>
          <cell r="V382">
            <v>6.8999999999999773</v>
          </cell>
          <cell r="W382">
            <v>14606.099999999995</v>
          </cell>
          <cell r="X382">
            <v>15.085000000000008</v>
          </cell>
          <cell r="Y382">
            <v>14621.184999999994</v>
          </cell>
          <cell r="Z382">
            <v>242.01292852628563</v>
          </cell>
          <cell r="AA382">
            <v>3300.7000000000012</v>
          </cell>
          <cell r="AB382">
            <v>1484.8999999999883</v>
          </cell>
          <cell r="AC382">
            <v>21.700000000000557</v>
          </cell>
          <cell r="AD382">
            <v>0</v>
          </cell>
          <cell r="AE382">
            <v>6800.2000000000116</v>
          </cell>
          <cell r="AF382">
            <v>728</v>
          </cell>
          <cell r="AG382">
            <v>3888.3999999999942</v>
          </cell>
          <cell r="AH382">
            <v>738.59999999999854</v>
          </cell>
          <cell r="AI382">
            <v>508.09999999999854</v>
          </cell>
          <cell r="AJ382">
            <v>1460.6999999999935</v>
          </cell>
          <cell r="AK382">
            <v>241.19999999999709</v>
          </cell>
          <cell r="AL382">
            <v>480</v>
          </cell>
          <cell r="AM382">
            <v>1037.700000000003</v>
          </cell>
          <cell r="AN382">
            <v>203.68499999999716</v>
          </cell>
          <cell r="AO382">
            <v>1.1999999999999318</v>
          </cell>
          <cell r="AP382">
            <v>2759.3999999999996</v>
          </cell>
          <cell r="AQ382">
            <v>4758.3000000000029</v>
          </cell>
          <cell r="AR382">
            <v>6.8999999999999986</v>
          </cell>
          <cell r="AS382">
            <v>0.81199999999999761</v>
          </cell>
          <cell r="AT382">
            <v>281.5</v>
          </cell>
          <cell r="AU382">
            <v>491.40000000000146</v>
          </cell>
          <cell r="AV382">
            <v>3028.8000000000175</v>
          </cell>
          <cell r="AW382">
            <v>1746.0999999999985</v>
          </cell>
          <cell r="AX382">
            <v>193.40000000000146</v>
          </cell>
          <cell r="AY382">
            <v>1167.099999999984</v>
          </cell>
          <cell r="AZ382">
            <v>169.10000000000582</v>
          </cell>
          <cell r="BA382">
            <v>369.29999999998836</v>
          </cell>
          <cell r="BB382">
            <v>659.80000000000689</v>
          </cell>
          <cell r="BC382">
            <v>192.31200000000001</v>
          </cell>
          <cell r="BD382">
            <v>0</v>
          </cell>
          <cell r="BE382">
            <v>7525.412000000003</v>
          </cell>
          <cell r="BF382">
            <v>362963.24000000005</v>
          </cell>
          <cell r="BG382">
            <v>795372.99122807023</v>
          </cell>
          <cell r="BH382">
            <v>283244</v>
          </cell>
          <cell r="BI382">
            <v>19.852969999999999</v>
          </cell>
          <cell r="BJ382">
            <v>0.45113899999999785</v>
          </cell>
          <cell r="BK382">
            <v>20.304108999999993</v>
          </cell>
          <cell r="BL382">
            <v>318.50881099999987</v>
          </cell>
          <cell r="BM382">
            <v>648.5</v>
          </cell>
          <cell r="BN382">
            <v>17.399999999999817</v>
          </cell>
          <cell r="BO382">
            <v>0.91687769333333369</v>
          </cell>
          <cell r="BP382">
            <v>97.399999999998911</v>
          </cell>
          <cell r="BQ382">
            <v>0</v>
          </cell>
          <cell r="BR382">
            <v>0</v>
          </cell>
          <cell r="BS382">
            <v>0</v>
          </cell>
          <cell r="BT382">
            <v>0</v>
          </cell>
          <cell r="BU382">
            <v>0</v>
          </cell>
          <cell r="BV382">
            <v>0</v>
          </cell>
          <cell r="BW382">
            <v>0</v>
          </cell>
          <cell r="BX382">
            <v>0</v>
          </cell>
          <cell r="BY382">
            <v>0</v>
          </cell>
          <cell r="BZ382">
            <v>648.5</v>
          </cell>
          <cell r="CA382">
            <v>17.399999999999817</v>
          </cell>
          <cell r="CB382">
            <v>0.91687769333333369</v>
          </cell>
          <cell r="CC382">
            <v>97.399999999998911</v>
          </cell>
          <cell r="CD382">
            <v>0</v>
          </cell>
          <cell r="CE382">
            <v>0</v>
          </cell>
          <cell r="CF382">
            <v>0</v>
          </cell>
        </row>
        <row r="383">
          <cell r="B383" t="str">
            <v>JUN</v>
          </cell>
          <cell r="C383">
            <v>5099.2999999999993</v>
          </cell>
          <cell r="D383">
            <v>103.04078931436835</v>
          </cell>
          <cell r="E383">
            <v>720</v>
          </cell>
          <cell r="F383">
            <v>0</v>
          </cell>
          <cell r="G383">
            <v>0</v>
          </cell>
          <cell r="H383">
            <v>0</v>
          </cell>
          <cell r="I383">
            <v>5099.2999999999993</v>
          </cell>
          <cell r="J383">
            <v>9088.7000000000116</v>
          </cell>
          <cell r="K383">
            <v>134.57061597782072</v>
          </cell>
          <cell r="L383">
            <v>720</v>
          </cell>
          <cell r="M383">
            <v>0</v>
          </cell>
          <cell r="N383">
            <v>0</v>
          </cell>
          <cell r="O383">
            <v>0</v>
          </cell>
          <cell r="P383">
            <v>9088.7000000000116</v>
          </cell>
          <cell r="Q383">
            <v>0</v>
          </cell>
          <cell r="R383">
            <v>0</v>
          </cell>
          <cell r="S383">
            <v>0</v>
          </cell>
          <cell r="T383">
            <v>0.20499999999999829</v>
          </cell>
          <cell r="U383">
            <v>24.599999999999795</v>
          </cell>
          <cell r="V383">
            <v>1.2000000000000455</v>
          </cell>
          <cell r="W383">
            <v>14188.000000000011</v>
          </cell>
          <cell r="X383">
            <v>0.20499999999999829</v>
          </cell>
          <cell r="Y383">
            <v>14188.205000000011</v>
          </cell>
          <cell r="Z383">
            <v>237.61140529218903</v>
          </cell>
          <cell r="AA383">
            <v>24.599999999999795</v>
          </cell>
          <cell r="AB383">
            <v>1440</v>
          </cell>
          <cell r="AC383">
            <v>1.2000000000000455</v>
          </cell>
          <cell r="AD383">
            <v>0</v>
          </cell>
          <cell r="AE383">
            <v>6619.3999999999651</v>
          </cell>
          <cell r="AF383">
            <v>718</v>
          </cell>
          <cell r="AG383">
            <v>3855.1000000000058</v>
          </cell>
          <cell r="AH383">
            <v>718.79999999999927</v>
          </cell>
          <cell r="AI383">
            <v>419.59999999999854</v>
          </cell>
          <cell r="AJ383">
            <v>1441.4000000000196</v>
          </cell>
          <cell r="AK383">
            <v>265.59999999999854</v>
          </cell>
          <cell r="AL383">
            <v>446.60000000000582</v>
          </cell>
          <cell r="AM383">
            <v>943.10000000000582</v>
          </cell>
          <cell r="AN383">
            <v>172.20500000001158</v>
          </cell>
          <cell r="AO383">
            <v>25.200000000000045</v>
          </cell>
          <cell r="AP383">
            <v>2786.8999999999996</v>
          </cell>
          <cell r="AQ383">
            <v>4515.5999999999985</v>
          </cell>
          <cell r="AR383">
            <v>0</v>
          </cell>
          <cell r="AS383">
            <v>0.14500000000000313</v>
          </cell>
          <cell r="AT383">
            <v>274.90000000000873</v>
          </cell>
          <cell r="AU383">
            <v>474.89999999999782</v>
          </cell>
          <cell r="AV383">
            <v>2953.8999999999942</v>
          </cell>
          <cell r="AW383">
            <v>1718.9000000000015</v>
          </cell>
          <cell r="AX383">
            <v>168.30000000000018</v>
          </cell>
          <cell r="AY383">
            <v>1145.0000000000036</v>
          </cell>
          <cell r="AZ383">
            <v>191.19999999999709</v>
          </cell>
          <cell r="BA383">
            <v>345.80000000000291</v>
          </cell>
          <cell r="BB383">
            <v>596.59999999999582</v>
          </cell>
          <cell r="BC383">
            <v>182.94500000000292</v>
          </cell>
          <cell r="BD383">
            <v>0</v>
          </cell>
          <cell r="BE383">
            <v>7302.6449999999977</v>
          </cell>
          <cell r="BF383">
            <v>345573.82000000007</v>
          </cell>
          <cell r="BG383">
            <v>867009.14210526319</v>
          </cell>
          <cell r="BH383">
            <v>296154</v>
          </cell>
          <cell r="BI383">
            <v>20.530260000000002</v>
          </cell>
          <cell r="BJ383">
            <v>2.0147826666666875</v>
          </cell>
          <cell r="BK383">
            <v>22.545042666666689</v>
          </cell>
          <cell r="BL383">
            <v>349.3295210000004</v>
          </cell>
          <cell r="BM383">
            <v>656.5</v>
          </cell>
          <cell r="BN383">
            <v>64.800000000000182</v>
          </cell>
          <cell r="BO383">
            <v>0.93343517333333348</v>
          </cell>
          <cell r="BP383">
            <v>388.80000000000109</v>
          </cell>
          <cell r="BQ383">
            <v>0</v>
          </cell>
          <cell r="BR383">
            <v>0</v>
          </cell>
          <cell r="BS383">
            <v>0</v>
          </cell>
          <cell r="BT383">
            <v>0</v>
          </cell>
          <cell r="BU383">
            <v>0</v>
          </cell>
          <cell r="BV383">
            <v>0</v>
          </cell>
          <cell r="BW383">
            <v>0</v>
          </cell>
          <cell r="BX383">
            <v>0</v>
          </cell>
          <cell r="BY383">
            <v>0</v>
          </cell>
          <cell r="BZ383">
            <v>656.5</v>
          </cell>
          <cell r="CA383">
            <v>64.800000000000182</v>
          </cell>
          <cell r="CB383">
            <v>0.93343517333333348</v>
          </cell>
          <cell r="CC383">
            <v>388.80000000000109</v>
          </cell>
          <cell r="CD383">
            <v>0</v>
          </cell>
          <cell r="CE383">
            <v>0</v>
          </cell>
          <cell r="CF383">
            <v>0</v>
          </cell>
        </row>
        <row r="384">
          <cell r="B384" t="str">
            <v>JUL</v>
          </cell>
          <cell r="C384">
            <v>7005</v>
          </cell>
          <cell r="D384">
            <v>120.08477253545239</v>
          </cell>
          <cell r="E384">
            <v>744</v>
          </cell>
          <cell r="F384">
            <v>0</v>
          </cell>
          <cell r="G384">
            <v>0</v>
          </cell>
          <cell r="H384">
            <v>0</v>
          </cell>
          <cell r="I384">
            <v>7005</v>
          </cell>
          <cell r="J384">
            <v>7678.5</v>
          </cell>
          <cell r="K384">
            <v>123.72341251900976</v>
          </cell>
          <cell r="L384">
            <v>744</v>
          </cell>
          <cell r="M384">
            <v>0</v>
          </cell>
          <cell r="N384">
            <v>0</v>
          </cell>
          <cell r="O384">
            <v>0</v>
          </cell>
          <cell r="P384">
            <v>7678.5</v>
          </cell>
          <cell r="Q384">
            <v>0</v>
          </cell>
          <cell r="R384">
            <v>0</v>
          </cell>
          <cell r="S384">
            <v>0</v>
          </cell>
          <cell r="T384">
            <v>0.17200000000001125</v>
          </cell>
          <cell r="U384">
            <v>20.640000000001351</v>
          </cell>
          <cell r="V384">
            <v>1</v>
          </cell>
          <cell r="W384">
            <v>14683.5</v>
          </cell>
          <cell r="X384">
            <v>0.17200000000001125</v>
          </cell>
          <cell r="Y384">
            <v>14683.672</v>
          </cell>
          <cell r="Z384">
            <v>243.80818505446214</v>
          </cell>
          <cell r="AA384">
            <v>20.640000000001351</v>
          </cell>
          <cell r="AB384">
            <v>1488</v>
          </cell>
          <cell r="AC384">
            <v>1</v>
          </cell>
          <cell r="AD384">
            <v>0</v>
          </cell>
          <cell r="AE384">
            <v>6891.7000000000116</v>
          </cell>
          <cell r="AF384">
            <v>738</v>
          </cell>
          <cell r="AG384">
            <v>3975</v>
          </cell>
          <cell r="AH384">
            <v>741.79999999999927</v>
          </cell>
          <cell r="AI384">
            <v>407.19999999999891</v>
          </cell>
          <cell r="AJ384">
            <v>1545.7999999999993</v>
          </cell>
          <cell r="AK384">
            <v>258.30000000000291</v>
          </cell>
          <cell r="AL384">
            <v>442.79999999998836</v>
          </cell>
          <cell r="AM384">
            <v>953.30000000000473</v>
          </cell>
          <cell r="AN384">
            <v>199.57199999999418</v>
          </cell>
          <cell r="AO384">
            <v>10</v>
          </cell>
          <cell r="AP384">
            <v>3652.5</v>
          </cell>
          <cell r="AQ384">
            <v>3838.5</v>
          </cell>
          <cell r="AR384">
            <v>0</v>
          </cell>
          <cell r="AS384">
            <v>0.11699999999999733</v>
          </cell>
          <cell r="AT384">
            <v>271.39999999999418</v>
          </cell>
          <cell r="AU384">
            <v>488.70000000000073</v>
          </cell>
          <cell r="AV384">
            <v>3064.8999999999942</v>
          </cell>
          <cell r="AW384">
            <v>1769.5999999999985</v>
          </cell>
          <cell r="AX384">
            <v>157.59999999999945</v>
          </cell>
          <cell r="AY384">
            <v>1222.9000000000124</v>
          </cell>
          <cell r="AZ384">
            <v>190</v>
          </cell>
          <cell r="BA384">
            <v>341.5</v>
          </cell>
          <cell r="BB384">
            <v>561.099999999994</v>
          </cell>
          <cell r="BC384">
            <v>188.81700000000438</v>
          </cell>
          <cell r="BD384">
            <v>0</v>
          </cell>
          <cell r="BE384">
            <v>7491.1169999999993</v>
          </cell>
          <cell r="BF384">
            <v>351405.83000000007</v>
          </cell>
          <cell r="BG384">
            <v>894988.03508771909</v>
          </cell>
          <cell r="BH384">
            <v>280693</v>
          </cell>
          <cell r="BI384">
            <v>21.851279999999999</v>
          </cell>
          <cell r="BJ384">
            <v>0.36962133000000003</v>
          </cell>
          <cell r="BK384">
            <v>22.22090133</v>
          </cell>
          <cell r="BL384">
            <v>357.3029866</v>
          </cell>
          <cell r="BM384">
            <v>665</v>
          </cell>
          <cell r="BN384">
            <v>6.6000000000002732</v>
          </cell>
          <cell r="BO384">
            <v>1.0425347200000004</v>
          </cell>
          <cell r="BP384">
            <v>40.20000000000109</v>
          </cell>
          <cell r="BQ384">
            <v>12744.800000000001</v>
          </cell>
          <cell r="BR384">
            <v>80.899999999999991</v>
          </cell>
          <cell r="BS384">
            <v>2430.5499999999993</v>
          </cell>
          <cell r="BT384">
            <v>75.248000000000005</v>
          </cell>
          <cell r="BU384">
            <v>74.27600000000001</v>
          </cell>
          <cell r="BV384">
            <v>0</v>
          </cell>
          <cell r="BW384">
            <v>0</v>
          </cell>
          <cell r="BX384">
            <v>75.248000000000005</v>
          </cell>
          <cell r="BY384">
            <v>74.27600000000001</v>
          </cell>
          <cell r="BZ384">
            <v>401.59999999999945</v>
          </cell>
          <cell r="CA384">
            <v>6.6000000000002732</v>
          </cell>
          <cell r="CB384">
            <v>1.0425347200000004</v>
          </cell>
          <cell r="CC384">
            <v>40.20000000000109</v>
          </cell>
          <cell r="CD384">
            <v>37519.913861674693</v>
          </cell>
          <cell r="CE384">
            <v>2528.5226172145881</v>
          </cell>
          <cell r="CF384">
            <v>37325.902624999995</v>
          </cell>
        </row>
        <row r="385">
          <cell r="B385" t="str">
            <v>AGO</v>
          </cell>
          <cell r="C385">
            <v>7166.8</v>
          </cell>
          <cell r="D385">
            <v>128.32771048264976</v>
          </cell>
          <cell r="E385">
            <v>686</v>
          </cell>
          <cell r="F385">
            <v>3.2</v>
          </cell>
          <cell r="G385">
            <v>779</v>
          </cell>
          <cell r="H385">
            <v>1</v>
          </cell>
          <cell r="I385">
            <v>7170</v>
          </cell>
          <cell r="J385">
            <v>6223.8999999999942</v>
          </cell>
          <cell r="K385">
            <v>125.1309415996845</v>
          </cell>
          <cell r="L385">
            <v>701.89999999997667</v>
          </cell>
          <cell r="M385">
            <v>0</v>
          </cell>
          <cell r="N385">
            <v>215.5</v>
          </cell>
          <cell r="O385">
            <v>0.19999999999998863</v>
          </cell>
          <cell r="P385">
            <v>6223.8999999999942</v>
          </cell>
          <cell r="Q385">
            <v>0</v>
          </cell>
          <cell r="R385">
            <v>0</v>
          </cell>
          <cell r="S385">
            <v>0</v>
          </cell>
          <cell r="T385">
            <v>9.9999999999056399E-4</v>
          </cell>
          <cell r="U385">
            <v>0.11999999999886768</v>
          </cell>
          <cell r="V385">
            <v>0.19999999999993179</v>
          </cell>
          <cell r="W385">
            <v>13390.699999999993</v>
          </cell>
          <cell r="X385">
            <v>3.2009999999999907</v>
          </cell>
          <cell r="Y385">
            <v>13393.900999999994</v>
          </cell>
          <cell r="Z385">
            <v>253.4586520823342</v>
          </cell>
          <cell r="AA385">
            <v>994.61999999999887</v>
          </cell>
          <cell r="AB385">
            <v>1387.8999999999767</v>
          </cell>
          <cell r="AC385">
            <v>1.3999999999999204</v>
          </cell>
          <cell r="AD385">
            <v>0</v>
          </cell>
          <cell r="AE385">
            <v>6325</v>
          </cell>
          <cell r="AF385">
            <v>703</v>
          </cell>
          <cell r="AG385">
            <v>3199</v>
          </cell>
          <cell r="AH385">
            <v>563.40000000000146</v>
          </cell>
          <cell r="AI385">
            <v>421.99999999999818</v>
          </cell>
          <cell r="AJ385">
            <v>1531.0999999999985</v>
          </cell>
          <cell r="AK385">
            <v>284.59999999999854</v>
          </cell>
          <cell r="AL385">
            <v>476.80000000000291</v>
          </cell>
          <cell r="AM385">
            <v>1000.0000000000018</v>
          </cell>
          <cell r="AN385">
            <v>139.40099999999416</v>
          </cell>
          <cell r="AO385">
            <v>16</v>
          </cell>
          <cell r="AP385">
            <v>3784.7000000000007</v>
          </cell>
          <cell r="AQ385">
            <v>3232.9999999999927</v>
          </cell>
          <cell r="AR385">
            <v>0</v>
          </cell>
          <cell r="AS385">
            <v>0</v>
          </cell>
          <cell r="AT385">
            <v>289.80000000000291</v>
          </cell>
          <cell r="AU385">
            <v>488.70000000000073</v>
          </cell>
          <cell r="AV385">
            <v>2855.1000000000058</v>
          </cell>
          <cell r="AW385">
            <v>1415.4000000000015</v>
          </cell>
          <cell r="AX385">
            <v>168.5</v>
          </cell>
          <cell r="AY385">
            <v>1235.1999999999789</v>
          </cell>
          <cell r="AZ385">
            <v>204.10000000000582</v>
          </cell>
          <cell r="BA385">
            <v>368.19999999999709</v>
          </cell>
          <cell r="BB385">
            <v>609.30000000001314</v>
          </cell>
          <cell r="BC385">
            <v>161.79999999999126</v>
          </cell>
          <cell r="BD385">
            <v>9.9999999999999978E-2</v>
          </cell>
          <cell r="BE385">
            <v>7017.6999999999935</v>
          </cell>
          <cell r="BF385">
            <v>336953.58</v>
          </cell>
          <cell r="BG385">
            <v>749321.32649122807</v>
          </cell>
          <cell r="BH385">
            <v>290000</v>
          </cell>
          <cell r="BI385">
            <v>22.017999999999997</v>
          </cell>
          <cell r="BJ385">
            <v>0.94889999999999997</v>
          </cell>
          <cell r="BK385">
            <v>22.966899999999999</v>
          </cell>
          <cell r="BL385">
            <v>367.88453999999996</v>
          </cell>
          <cell r="BM385">
            <v>710.6</v>
          </cell>
          <cell r="BN385">
            <v>29.900000000000361</v>
          </cell>
          <cell r="BO385">
            <v>1.0093007999999999</v>
          </cell>
          <cell r="BP385">
            <v>178.80000000000271</v>
          </cell>
          <cell r="BQ385">
            <v>12594.699999999997</v>
          </cell>
          <cell r="BR385">
            <v>77.239999999999995</v>
          </cell>
          <cell r="BS385">
            <v>2333.5200000000004</v>
          </cell>
          <cell r="BT385">
            <v>79.285999999999987</v>
          </cell>
          <cell r="BU385">
            <v>71.196999999999974</v>
          </cell>
          <cell r="BV385">
            <v>0</v>
          </cell>
          <cell r="BW385">
            <v>0</v>
          </cell>
          <cell r="BX385">
            <v>79.285999999999987</v>
          </cell>
          <cell r="BY385">
            <v>71.196999999999974</v>
          </cell>
          <cell r="BZ385">
            <v>710.6</v>
          </cell>
          <cell r="CA385">
            <v>29.900000000000361</v>
          </cell>
          <cell r="CB385">
            <v>1.0093007999999999</v>
          </cell>
          <cell r="CC385">
            <v>178.80000000000271</v>
          </cell>
          <cell r="CD385">
            <v>55199.391108207856</v>
          </cell>
          <cell r="CE385">
            <v>3691.2465099518358</v>
          </cell>
          <cell r="CF385">
            <v>53053.56354166667</v>
          </cell>
        </row>
        <row r="386">
          <cell r="B386" t="str">
            <v>SEP</v>
          </cell>
          <cell r="C386">
            <v>6777</v>
          </cell>
          <cell r="D386">
            <v>121.97729001928931</v>
          </cell>
          <cell r="E386">
            <v>719.5</v>
          </cell>
          <cell r="F386">
            <v>0</v>
          </cell>
          <cell r="G386">
            <v>0</v>
          </cell>
          <cell r="H386">
            <v>0</v>
          </cell>
          <cell r="I386">
            <v>6777</v>
          </cell>
          <cell r="J386">
            <v>7320.5</v>
          </cell>
          <cell r="K386">
            <v>128.75882184670053</v>
          </cell>
          <cell r="L386">
            <v>720</v>
          </cell>
          <cell r="M386">
            <v>0</v>
          </cell>
          <cell r="N386">
            <v>0</v>
          </cell>
          <cell r="O386">
            <v>0</v>
          </cell>
          <cell r="P386">
            <v>7320.5</v>
          </cell>
          <cell r="Q386">
            <v>9.9999999999994316E-2</v>
          </cell>
          <cell r="R386">
            <v>11.999999999999318</v>
          </cell>
          <cell r="S386">
            <v>0.1999999999998181</v>
          </cell>
          <cell r="T386">
            <v>0</v>
          </cell>
          <cell r="U386">
            <v>0</v>
          </cell>
          <cell r="V386">
            <v>0.73000000000001819</v>
          </cell>
          <cell r="W386">
            <v>14097.5</v>
          </cell>
          <cell r="X386">
            <v>9.9999999999994316E-2</v>
          </cell>
          <cell r="Y386">
            <v>14097.6</v>
          </cell>
          <cell r="Z386">
            <v>250.73611186598987</v>
          </cell>
          <cell r="AA386">
            <v>11.999999999999318</v>
          </cell>
          <cell r="AB386">
            <v>1439.5</v>
          </cell>
          <cell r="AC386">
            <v>0.92999999999983629</v>
          </cell>
          <cell r="AD386">
            <v>0</v>
          </cell>
          <cell r="AE386">
            <v>6497.5</v>
          </cell>
          <cell r="AF386">
            <v>716</v>
          </cell>
          <cell r="AG386">
            <v>3940.5</v>
          </cell>
          <cell r="AH386">
            <v>711</v>
          </cell>
          <cell r="AI386">
            <v>403.600000000004</v>
          </cell>
          <cell r="AJ386">
            <v>1356.7999999999956</v>
          </cell>
          <cell r="AK386">
            <v>250</v>
          </cell>
          <cell r="AL386">
            <v>448.69999999999709</v>
          </cell>
          <cell r="AM386">
            <v>930.49999999997783</v>
          </cell>
          <cell r="AN386">
            <v>127.5</v>
          </cell>
          <cell r="AO386">
            <v>28</v>
          </cell>
          <cell r="AP386">
            <v>3498.5</v>
          </cell>
          <cell r="AQ386">
            <v>3684.1000000000058</v>
          </cell>
          <cell r="AR386">
            <v>3.9999999999999147E-2</v>
          </cell>
          <cell r="AS386">
            <v>0</v>
          </cell>
          <cell r="AT386">
            <v>289.39999999999418</v>
          </cell>
          <cell r="AU386">
            <v>476.29999999999927</v>
          </cell>
          <cell r="AV386">
            <v>2912</v>
          </cell>
          <cell r="AW386">
            <v>1771</v>
          </cell>
          <cell r="AX386">
            <v>162.5</v>
          </cell>
          <cell r="AY386">
            <v>1103.2000000000116</v>
          </cell>
          <cell r="AZ386">
            <v>173</v>
          </cell>
          <cell r="BA386">
            <v>341.40000000000873</v>
          </cell>
          <cell r="BB386">
            <v>602.53999999997814</v>
          </cell>
          <cell r="BC386">
            <v>234.29999999999563</v>
          </cell>
          <cell r="BD386">
            <v>0</v>
          </cell>
          <cell r="BE386">
            <v>7182.6400000000058</v>
          </cell>
          <cell r="BF386">
            <v>323951.93</v>
          </cell>
          <cell r="BG386">
            <v>912370.48947368423</v>
          </cell>
          <cell r="BH386">
            <v>263146</v>
          </cell>
          <cell r="BI386">
            <v>22.532860000000003</v>
          </cell>
          <cell r="BJ386">
            <v>5.1100000000000007E-2</v>
          </cell>
          <cell r="BK386">
            <v>22.583960000000001</v>
          </cell>
          <cell r="BL386">
            <v>349.21341999999999</v>
          </cell>
          <cell r="BM386">
            <v>718.5</v>
          </cell>
          <cell r="BN386">
            <v>3.2999999999997272</v>
          </cell>
          <cell r="BO386">
            <v>1.02351572</v>
          </cell>
          <cell r="BP386">
            <v>19.799999999998363</v>
          </cell>
          <cell r="BQ386">
            <v>12569.19</v>
          </cell>
          <cell r="BR386">
            <v>72.040000000000006</v>
          </cell>
          <cell r="BS386">
            <v>2785.9299999999994</v>
          </cell>
          <cell r="BT386">
            <v>78.634000000000015</v>
          </cell>
          <cell r="BU386">
            <v>69.127999999999986</v>
          </cell>
          <cell r="BV386">
            <v>0</v>
          </cell>
          <cell r="BW386">
            <v>0</v>
          </cell>
          <cell r="BX386">
            <v>78.634000000000015</v>
          </cell>
          <cell r="BY386">
            <v>69.127999999999986</v>
          </cell>
          <cell r="BZ386">
            <v>718.5</v>
          </cell>
          <cell r="CA386">
            <v>3.2999999999997272</v>
          </cell>
          <cell r="CB386">
            <v>1.02351572</v>
          </cell>
          <cell r="CC386">
            <v>19.799999999998363</v>
          </cell>
          <cell r="CD386">
            <v>30879.11091947</v>
          </cell>
          <cell r="CE386">
            <v>3676.5129781059495</v>
          </cell>
          <cell r="CF386">
            <v>27232.008399999999</v>
          </cell>
        </row>
        <row r="387">
          <cell r="B387" t="str">
            <v>OCT</v>
          </cell>
          <cell r="C387">
            <v>7438.0999999999985</v>
          </cell>
          <cell r="D387">
            <v>122.53613163116012</v>
          </cell>
          <cell r="E387">
            <v>744</v>
          </cell>
          <cell r="F387">
            <v>0</v>
          </cell>
          <cell r="G387">
            <v>0</v>
          </cell>
          <cell r="H387">
            <v>0</v>
          </cell>
          <cell r="I387">
            <v>7438.0999999999985</v>
          </cell>
          <cell r="J387">
            <v>7105.1000000000058</v>
          </cell>
          <cell r="K387">
            <v>121.69100331860027</v>
          </cell>
          <cell r="L387">
            <v>744</v>
          </cell>
          <cell r="M387">
            <v>0</v>
          </cell>
          <cell r="N387">
            <v>0</v>
          </cell>
          <cell r="O387">
            <v>0</v>
          </cell>
          <cell r="P387">
            <v>7105.1000000000058</v>
          </cell>
          <cell r="Q387">
            <v>1.1000000000000085</v>
          </cell>
          <cell r="R387">
            <v>132.00000000000102</v>
          </cell>
          <cell r="S387">
            <v>2</v>
          </cell>
          <cell r="T387">
            <v>2.0000000000095497E-3</v>
          </cell>
          <cell r="U387">
            <v>0.24000000000114596</v>
          </cell>
          <cell r="V387">
            <v>0.10000000000002274</v>
          </cell>
          <cell r="W387">
            <v>14543.200000000004</v>
          </cell>
          <cell r="X387">
            <v>1.1020000000000181</v>
          </cell>
          <cell r="Y387">
            <v>14544.302000000005</v>
          </cell>
          <cell r="Z387">
            <v>244.22713494976034</v>
          </cell>
          <cell r="AA387">
            <v>132.24000000000217</v>
          </cell>
          <cell r="AB387">
            <v>1488</v>
          </cell>
          <cell r="AC387">
            <v>2.1000000000000227</v>
          </cell>
          <cell r="AD387">
            <v>0</v>
          </cell>
          <cell r="AE387">
            <v>6659.5</v>
          </cell>
          <cell r="AF387">
            <v>741</v>
          </cell>
          <cell r="AG387">
            <v>4134.7999999999884</v>
          </cell>
          <cell r="AH387">
            <v>732.40000000000146</v>
          </cell>
          <cell r="AI387">
            <v>413.19999999999891</v>
          </cell>
          <cell r="AJ387">
            <v>1358.099999999984</v>
          </cell>
          <cell r="AK387">
            <v>252.5</v>
          </cell>
          <cell r="AL387">
            <v>488.20000000001164</v>
          </cell>
          <cell r="AM387">
            <v>1020.200000000004</v>
          </cell>
          <cell r="AN387">
            <v>176.08200000001742</v>
          </cell>
          <cell r="AO387">
            <v>41.720000000000041</v>
          </cell>
          <cell r="AP387">
            <v>3888.5999999999985</v>
          </cell>
          <cell r="AQ387">
            <v>3520.6000000000058</v>
          </cell>
          <cell r="AR387">
            <v>0.65999999999999659</v>
          </cell>
          <cell r="AS387">
            <v>2.0000000000024443E-3</v>
          </cell>
          <cell r="AT387">
            <v>300.19999999999709</v>
          </cell>
          <cell r="AU387">
            <v>501.29999999999927</v>
          </cell>
          <cell r="AV387">
            <v>4904.4000000000233</v>
          </cell>
          <cell r="AW387">
            <v>1822</v>
          </cell>
          <cell r="AX387">
            <v>164.70000000000073</v>
          </cell>
          <cell r="AY387">
            <v>1112.8000000000029</v>
          </cell>
          <cell r="AZ387">
            <v>180.59999999999854</v>
          </cell>
          <cell r="BA387">
            <v>370.30000000000291</v>
          </cell>
          <cell r="BB387">
            <v>-1487.2500000000289</v>
          </cell>
          <cell r="BC387">
            <v>240.30200000000875</v>
          </cell>
          <cell r="BD387">
            <v>0.10999999999999999</v>
          </cell>
          <cell r="BE387">
            <v>7409.8620000000046</v>
          </cell>
          <cell r="BF387">
            <v>330331.02999999991</v>
          </cell>
          <cell r="BG387">
            <v>946499.15789473685</v>
          </cell>
          <cell r="BH387">
            <v>286117</v>
          </cell>
          <cell r="BI387">
            <v>23.012699999999995</v>
          </cell>
          <cell r="BJ387">
            <v>1.04E-2</v>
          </cell>
          <cell r="BK387">
            <v>23.023099999999996</v>
          </cell>
          <cell r="BL387">
            <v>366.10785999999996</v>
          </cell>
          <cell r="BM387">
            <v>737</v>
          </cell>
          <cell r="BN387">
            <v>5.8000000000006366</v>
          </cell>
          <cell r="BO387">
            <v>1.0489641600000004</v>
          </cell>
          <cell r="BP387">
            <v>36.000000000003823</v>
          </cell>
          <cell r="BQ387">
            <v>11996.800000000003</v>
          </cell>
          <cell r="BR387">
            <v>79.75</v>
          </cell>
          <cell r="BS387">
            <v>2691.7099999999987</v>
          </cell>
          <cell r="BT387">
            <v>73.823999999999984</v>
          </cell>
          <cell r="BU387">
            <v>59.630000000000017</v>
          </cell>
          <cell r="BV387">
            <v>0</v>
          </cell>
          <cell r="BW387">
            <v>0</v>
          </cell>
          <cell r="BX387">
            <v>73.823999999999984</v>
          </cell>
          <cell r="BY387">
            <v>59.630000000000017</v>
          </cell>
          <cell r="BZ387">
            <v>737</v>
          </cell>
          <cell r="CA387">
            <v>5.8000000000006366</v>
          </cell>
          <cell r="CB387">
            <v>1.0489641600000004</v>
          </cell>
          <cell r="CC387">
            <v>36.000000000003823</v>
          </cell>
          <cell r="CD387">
            <v>31079.702869184002</v>
          </cell>
          <cell r="CE387">
            <v>3821.5168905831679</v>
          </cell>
          <cell r="CF387">
            <v>27449.064958333332</v>
          </cell>
        </row>
        <row r="388">
          <cell r="B388" t="str">
            <v>NOV</v>
          </cell>
          <cell r="C388">
            <v>5101.0999999999985</v>
          </cell>
          <cell r="D388">
            <v>90.12724911332694</v>
          </cell>
          <cell r="E388">
            <v>576</v>
          </cell>
          <cell r="F388">
            <v>0</v>
          </cell>
          <cell r="G388">
            <v>0</v>
          </cell>
          <cell r="H388">
            <v>0</v>
          </cell>
          <cell r="I388">
            <v>5101.0999999999985</v>
          </cell>
          <cell r="J388">
            <v>5867.6999999999825</v>
          </cell>
          <cell r="K388">
            <v>97.37638242109287</v>
          </cell>
          <cell r="L388">
            <v>576</v>
          </cell>
          <cell r="M388">
            <v>0</v>
          </cell>
          <cell r="N388">
            <v>0</v>
          </cell>
          <cell r="O388">
            <v>0</v>
          </cell>
          <cell r="P388">
            <v>5867.6999999999825</v>
          </cell>
          <cell r="Q388">
            <v>0.29999999999999716</v>
          </cell>
          <cell r="R388">
            <v>35.999999999999659</v>
          </cell>
          <cell r="S388">
            <v>0.6999999999998181</v>
          </cell>
          <cell r="T388">
            <v>0</v>
          </cell>
          <cell r="U388">
            <v>0</v>
          </cell>
          <cell r="V388">
            <v>0.18999999999994088</v>
          </cell>
          <cell r="W388">
            <v>10968.799999999981</v>
          </cell>
          <cell r="X388">
            <v>0.29999999999999716</v>
          </cell>
          <cell r="Y388">
            <v>10969.09999999998</v>
          </cell>
          <cell r="Z388">
            <v>187.50363153441981</v>
          </cell>
          <cell r="AA388">
            <v>35.999999999999659</v>
          </cell>
          <cell r="AB388">
            <v>1152</v>
          </cell>
          <cell r="AC388">
            <v>0.88999999999975898</v>
          </cell>
          <cell r="AD388">
            <v>0</v>
          </cell>
          <cell r="AE388">
            <v>5005.9000000000233</v>
          </cell>
          <cell r="AF388">
            <v>567</v>
          </cell>
          <cell r="AG388">
            <v>3037.2000000000116</v>
          </cell>
          <cell r="AH388">
            <v>569.29999999999927</v>
          </cell>
          <cell r="AI388">
            <v>305.90000000000146</v>
          </cell>
          <cell r="AJ388">
            <v>1106.4000000000087</v>
          </cell>
          <cell r="AK388">
            <v>183.19999999999709</v>
          </cell>
          <cell r="AL388">
            <v>366.79999999998836</v>
          </cell>
          <cell r="AM388">
            <v>792.69999999997958</v>
          </cell>
          <cell r="AN388">
            <v>159.84999999997092</v>
          </cell>
          <cell r="AO388">
            <v>11.149999999999977</v>
          </cell>
          <cell r="AP388">
            <v>2562.2000000000007</v>
          </cell>
          <cell r="AQ388">
            <v>3063.1999999999971</v>
          </cell>
          <cell r="AR388">
            <v>0.20000000000000284</v>
          </cell>
          <cell r="AS388">
            <v>0</v>
          </cell>
          <cell r="AT388">
            <v>226.10000000000582</v>
          </cell>
          <cell r="AU388">
            <v>394.79999999999927</v>
          </cell>
          <cell r="AV388">
            <v>2268.8999999999942</v>
          </cell>
          <cell r="AW388">
            <v>1350.6999999999971</v>
          </cell>
          <cell r="AX388">
            <v>71.099999999998545</v>
          </cell>
          <cell r="AY388">
            <v>530</v>
          </cell>
          <cell r="AZ388">
            <v>79.299999999995634</v>
          </cell>
          <cell r="BA388">
            <v>159.59999999999127</v>
          </cell>
          <cell r="BB388">
            <v>1062.600000000027</v>
          </cell>
          <cell r="BC388">
            <v>126.29999999998836</v>
          </cell>
          <cell r="BD388">
            <v>0</v>
          </cell>
          <cell r="BE388">
            <v>5625.5999999999976</v>
          </cell>
          <cell r="BF388">
            <v>220762.51</v>
          </cell>
          <cell r="BG388">
            <v>484659.6736842104</v>
          </cell>
          <cell r="BH388">
            <v>181890</v>
          </cell>
          <cell r="BI388">
            <v>17.586419999999997</v>
          </cell>
          <cell r="BJ388">
            <v>0.30347999999999464</v>
          </cell>
          <cell r="BK388">
            <v>17.889899999999994</v>
          </cell>
          <cell r="BL388">
            <v>330.21731999999992</v>
          </cell>
          <cell r="BM388">
            <v>565.9</v>
          </cell>
          <cell r="BN388">
            <v>10.899999999999636</v>
          </cell>
          <cell r="BO388">
            <v>0.80441948000000008</v>
          </cell>
          <cell r="BP388">
            <v>65.399999999997817</v>
          </cell>
          <cell r="BQ388">
            <v>11260.800000000001</v>
          </cell>
          <cell r="BR388">
            <v>167.34</v>
          </cell>
          <cell r="BS388">
            <v>2314.6799999999998</v>
          </cell>
          <cell r="BT388">
            <v>50.627000000000002</v>
          </cell>
          <cell r="BU388">
            <v>39.478999999999999</v>
          </cell>
          <cell r="BV388">
            <v>0</v>
          </cell>
          <cell r="BW388">
            <v>0</v>
          </cell>
          <cell r="BX388">
            <v>50.627000000000002</v>
          </cell>
          <cell r="BY388">
            <v>39.478999999999999</v>
          </cell>
          <cell r="BZ388">
            <v>565.9</v>
          </cell>
          <cell r="CA388">
            <v>10.899999999999636</v>
          </cell>
          <cell r="CB388">
            <v>0.80441948000000008</v>
          </cell>
          <cell r="CC388">
            <v>65.399999999997817</v>
          </cell>
          <cell r="CD388">
            <v>21617.543065844002</v>
          </cell>
          <cell r="CE388">
            <v>2846.7713385391389</v>
          </cell>
          <cell r="CF388">
            <v>19047.950041666663</v>
          </cell>
        </row>
        <row r="389">
          <cell r="B389" t="str">
            <v>DIC</v>
          </cell>
          <cell r="C389">
            <v>0</v>
          </cell>
          <cell r="D389">
            <v>0</v>
          </cell>
          <cell r="E389">
            <v>0</v>
          </cell>
          <cell r="F389">
            <v>0</v>
          </cell>
          <cell r="G389">
            <v>0</v>
          </cell>
          <cell r="H389">
            <v>0</v>
          </cell>
          <cell r="I389">
            <v>0</v>
          </cell>
          <cell r="J389">
            <v>0</v>
          </cell>
          <cell r="K389">
            <v>0</v>
          </cell>
          <cell r="L389">
            <v>0</v>
          </cell>
          <cell r="M389">
            <v>0</v>
          </cell>
          <cell r="N389">
            <v>0</v>
          </cell>
          <cell r="O389">
            <v>0</v>
          </cell>
          <cell r="P389">
            <v>0</v>
          </cell>
          <cell r="Q389">
            <v>0</v>
          </cell>
          <cell r="R389">
            <v>0</v>
          </cell>
          <cell r="S389">
            <v>0</v>
          </cell>
          <cell r="T389">
            <v>0</v>
          </cell>
          <cell r="U389">
            <v>0</v>
          </cell>
          <cell r="V389">
            <v>0</v>
          </cell>
          <cell r="W389">
            <v>0</v>
          </cell>
          <cell r="X389">
            <v>0</v>
          </cell>
          <cell r="Y389">
            <v>0</v>
          </cell>
          <cell r="Z389">
            <v>0</v>
          </cell>
          <cell r="AA389">
            <v>0</v>
          </cell>
          <cell r="AB389">
            <v>0</v>
          </cell>
          <cell r="AC389">
            <v>0</v>
          </cell>
          <cell r="AD389">
            <v>0</v>
          </cell>
          <cell r="AE389">
            <v>0</v>
          </cell>
          <cell r="AF389">
            <v>0</v>
          </cell>
          <cell r="AG389">
            <v>0</v>
          </cell>
          <cell r="AH389">
            <v>0</v>
          </cell>
          <cell r="AI389">
            <v>0</v>
          </cell>
          <cell r="AJ389">
            <v>0</v>
          </cell>
          <cell r="AK389">
            <v>0</v>
          </cell>
          <cell r="AL389">
            <v>0</v>
          </cell>
          <cell r="AM389">
            <v>0</v>
          </cell>
          <cell r="AN389">
            <v>0</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0</v>
          </cell>
          <cell r="BK389">
            <v>0</v>
          </cell>
          <cell r="BL389">
            <v>17.889899999999994</v>
          </cell>
          <cell r="BM389">
            <v>0</v>
          </cell>
          <cell r="BN389">
            <v>0</v>
          </cell>
          <cell r="BO389">
            <v>0</v>
          </cell>
          <cell r="BP389">
            <v>0</v>
          </cell>
          <cell r="BQ389">
            <v>0</v>
          </cell>
          <cell r="BR389">
            <v>0</v>
          </cell>
          <cell r="BS389">
            <v>0</v>
          </cell>
          <cell r="BT389">
            <v>0</v>
          </cell>
          <cell r="BU389">
            <v>0</v>
          </cell>
          <cell r="BV389">
            <v>0</v>
          </cell>
          <cell r="BW389">
            <v>0</v>
          </cell>
          <cell r="BX389">
            <v>0</v>
          </cell>
          <cell r="BY389">
            <v>0</v>
          </cell>
          <cell r="BZ389">
            <v>0</v>
          </cell>
          <cell r="CA389">
            <v>0</v>
          </cell>
          <cell r="CB389">
            <v>0</v>
          </cell>
          <cell r="CC389">
            <v>0</v>
          </cell>
          <cell r="CD389">
            <v>0</v>
          </cell>
          <cell r="CE389">
            <v>0</v>
          </cell>
          <cell r="CF389">
            <v>0</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CONTADORES"/>
      <sheetName val="DATOSAÑO"/>
      <sheetName val="REPORTE DIA"/>
      <sheetName val="DATOSCECOS"/>
      <sheetName val="INFORME DIARIO"/>
      <sheetName val="PRODUCCION VS ENERGIA"/>
      <sheetName val="GRAFICAS DIA-MES"/>
      <sheetName val="US-GT-8001-2"/>
      <sheetName val="DATA DE LAS 12"/>
      <sheetName val="CURVA DURACION"/>
      <sheetName val="OCENSA"/>
      <sheetName val="FAC  NW"/>
      <sheetName val="FORMATO"/>
      <sheetName val="ENERGIA-GAS"/>
      <sheetName val="CONSUMO "/>
      <sheetName val="SEGUIMIENTO CONSUMO ENERGIA"/>
      <sheetName val="REGISTRO DE INDISPONIBILIDAD"/>
      <sheetName val="GRAFICAS RPTE GCIAL"/>
      <sheetName val="INDICADORES"/>
      <sheetName val="Resultados Mes &amp; Acum"/>
      <sheetName val="Datos Mes2"/>
      <sheetName val="Grafica totales"/>
      <sheetName val="grafica1"/>
      <sheetName val="Grafica costos variables"/>
      <sheetName val="metricas"/>
      <sheetName val="Instrucciones"/>
      <sheetName val="Definición Costos"/>
      <sheetName val="Datos Mes"/>
      <sheetName val="PORTADA"/>
      <sheetName val="CALCULO DE GAS"/>
      <sheetName val="Jul-12"/>
    </sheetNames>
    <sheetDataSet>
      <sheetData sheetId="0"/>
      <sheetData sheetId="1"/>
      <sheetData sheetId="2">
        <row r="378">
          <cell r="B378" t="str">
            <v>ENE</v>
          </cell>
          <cell r="C378">
            <v>6388.8000000000466</v>
          </cell>
          <cell r="D378">
            <v>117.92981999097549</v>
          </cell>
          <cell r="E378">
            <v>744</v>
          </cell>
          <cell r="F378">
            <v>0</v>
          </cell>
          <cell r="G378">
            <v>0</v>
          </cell>
          <cell r="H378">
            <v>0</v>
          </cell>
          <cell r="I378">
            <v>6388.8000000000466</v>
          </cell>
          <cell r="J378">
            <v>9221.3999999999942</v>
          </cell>
          <cell r="K378">
            <v>139.06853824823651</v>
          </cell>
          <cell r="L378">
            <v>744</v>
          </cell>
          <cell r="M378">
            <v>0</v>
          </cell>
          <cell r="N378">
            <v>0</v>
          </cell>
          <cell r="O378">
            <v>0</v>
          </cell>
          <cell r="P378">
            <v>9221.3999999999942</v>
          </cell>
          <cell r="Q378">
            <v>0.69200000000000017</v>
          </cell>
          <cell r="R378">
            <v>83.04000000000002</v>
          </cell>
          <cell r="S378">
            <v>2.4499999999998181</v>
          </cell>
          <cell r="T378">
            <v>0.26199999999998624</v>
          </cell>
          <cell r="U378">
            <v>31.439999999998349</v>
          </cell>
          <cell r="V378">
            <v>1.6999999999999886</v>
          </cell>
          <cell r="W378">
            <v>15610.200000000041</v>
          </cell>
          <cell r="X378">
            <v>0.95399999999998641</v>
          </cell>
          <cell r="Y378">
            <v>15611.15400000004</v>
          </cell>
          <cell r="Z378">
            <v>256.998358239212</v>
          </cell>
          <cell r="AA378">
            <v>114.47999999999837</v>
          </cell>
          <cell r="AB378">
            <v>1488</v>
          </cell>
          <cell r="AC378">
            <v>4.1499999999998067</v>
          </cell>
          <cell r="AD378">
            <v>0</v>
          </cell>
          <cell r="AE378">
            <v>7325.0999999999767</v>
          </cell>
          <cell r="AF378">
            <v>740</v>
          </cell>
          <cell r="AG378">
            <v>3953.2000000000116</v>
          </cell>
          <cell r="AH378">
            <v>723.79999999999927</v>
          </cell>
          <cell r="AI378">
            <v>634.10000000000218</v>
          </cell>
          <cell r="AJ378">
            <v>1427.8999999999833</v>
          </cell>
          <cell r="AK378">
            <v>408.69999999999709</v>
          </cell>
          <cell r="AL378">
            <v>641.29999999998836</v>
          </cell>
          <cell r="AM378">
            <v>1013.2920000000931</v>
          </cell>
          <cell r="AN378">
            <v>184.16199999998832</v>
          </cell>
          <cell r="AO378">
            <v>23.400000000000034</v>
          </cell>
          <cell r="AP378">
            <v>3463.2999999999884</v>
          </cell>
          <cell r="AQ378">
            <v>4704.2999999999956</v>
          </cell>
          <cell r="AR378">
            <v>0.52799999999999958</v>
          </cell>
          <cell r="AS378">
            <v>0.19200000000000017</v>
          </cell>
          <cell r="AT378">
            <v>302.40000000000873</v>
          </cell>
          <cell r="AU378">
            <v>536.10000000000218</v>
          </cell>
          <cell r="AV378">
            <v>3213.7000000000116</v>
          </cell>
          <cell r="AW378">
            <v>1752.9000000000015</v>
          </cell>
          <cell r="AX378">
            <v>240.90000000000055</v>
          </cell>
          <cell r="AY378">
            <v>1165.100000000024</v>
          </cell>
          <cell r="AZ378">
            <v>299.80000000000291</v>
          </cell>
          <cell r="BA378">
            <v>494.30000000000291</v>
          </cell>
          <cell r="BB378">
            <v>791.02799999993886</v>
          </cell>
          <cell r="BC378">
            <v>210.59200000000146</v>
          </cell>
          <cell r="BD378">
            <v>0</v>
          </cell>
          <cell r="BE378">
            <v>8168.3199999999833</v>
          </cell>
          <cell r="BF378">
            <v>0</v>
          </cell>
          <cell r="BG378">
            <v>0</v>
          </cell>
          <cell r="BH378">
            <v>253522</v>
          </cell>
          <cell r="BI378">
            <v>22.907199999999996</v>
          </cell>
          <cell r="BJ378">
            <v>6.7900000000000002E-2</v>
          </cell>
          <cell r="BK378">
            <v>22.975099999999998</v>
          </cell>
          <cell r="BL378">
            <v>367.09099999999989</v>
          </cell>
          <cell r="BM378">
            <v>711.7</v>
          </cell>
          <cell r="BN378">
            <v>9.1999999999999993</v>
          </cell>
          <cell r="BO378">
            <v>1.0540000000000007</v>
          </cell>
          <cell r="BP378">
            <v>57.809999999999995</v>
          </cell>
          <cell r="BQ378">
            <v>0</v>
          </cell>
          <cell r="BR378">
            <v>0</v>
          </cell>
          <cell r="BS378">
            <v>0</v>
          </cell>
          <cell r="BT378">
            <v>0</v>
          </cell>
          <cell r="BU378">
            <v>0</v>
          </cell>
          <cell r="BV378">
            <v>0</v>
          </cell>
          <cell r="BW378">
            <v>0</v>
          </cell>
          <cell r="BX378">
            <v>0</v>
          </cell>
          <cell r="BY378">
            <v>0</v>
          </cell>
          <cell r="BZ378">
            <v>711.7</v>
          </cell>
          <cell r="CA378">
            <v>9.1999999999999993</v>
          </cell>
          <cell r="CB378">
            <v>1.0540000000000007</v>
          </cell>
          <cell r="CC378">
            <v>57.809999999999995</v>
          </cell>
          <cell r="CD378">
            <v>0</v>
          </cell>
          <cell r="CE378">
            <v>0</v>
          </cell>
          <cell r="CF378">
            <v>0</v>
          </cell>
        </row>
        <row r="379">
          <cell r="B379" t="str">
            <v>FEB</v>
          </cell>
          <cell r="C379">
            <v>6495.2999999999884</v>
          </cell>
          <cell r="D379">
            <v>110.32376059754597</v>
          </cell>
          <cell r="E379">
            <v>620.90000000001737</v>
          </cell>
          <cell r="F379">
            <v>2</v>
          </cell>
          <cell r="G379">
            <v>385.5</v>
          </cell>
          <cell r="H379">
            <v>0.90000000000009095</v>
          </cell>
          <cell r="I379">
            <v>6497.2999999999884</v>
          </cell>
          <cell r="J379">
            <v>7389.6000000000058</v>
          </cell>
          <cell r="K379">
            <v>119.13584383098167</v>
          </cell>
          <cell r="L379">
            <v>696</v>
          </cell>
          <cell r="M379">
            <v>0</v>
          </cell>
          <cell r="N379">
            <v>0</v>
          </cell>
          <cell r="O379">
            <v>0</v>
          </cell>
          <cell r="P379">
            <v>7389.6000000000058</v>
          </cell>
          <cell r="Q379">
            <v>48.205999999999996</v>
          </cell>
          <cell r="R379">
            <v>5784.7199999999993</v>
          </cell>
          <cell r="S379">
            <v>49.550000000000182</v>
          </cell>
          <cell r="T379">
            <v>10.424000000000007</v>
          </cell>
          <cell r="U379">
            <v>1250.8800000000008</v>
          </cell>
          <cell r="V379">
            <v>53.199999999999989</v>
          </cell>
          <cell r="W379">
            <v>13884.899999999994</v>
          </cell>
          <cell r="X379">
            <v>60.63</v>
          </cell>
          <cell r="Y379">
            <v>13945.529999999995</v>
          </cell>
          <cell r="Z379">
            <v>229.45960442852765</v>
          </cell>
          <cell r="AA379">
            <v>7421.1</v>
          </cell>
          <cell r="AB379">
            <v>1316.9000000000174</v>
          </cell>
          <cell r="AC379">
            <v>103.65000000000026</v>
          </cell>
          <cell r="AD379">
            <v>0</v>
          </cell>
          <cell r="AE379">
            <v>6326.2000000000116</v>
          </cell>
          <cell r="AF379">
            <v>684</v>
          </cell>
          <cell r="AG379">
            <v>3673.8999999999942</v>
          </cell>
          <cell r="AH379">
            <v>658.09999999999854</v>
          </cell>
          <cell r="AI379">
            <v>512.79999999999927</v>
          </cell>
          <cell r="AJ379">
            <v>1270.3000000000211</v>
          </cell>
          <cell r="AK379">
            <v>344.80000000000291</v>
          </cell>
          <cell r="AL379">
            <v>580.90000000000873</v>
          </cell>
          <cell r="AM379">
            <v>1034.1059999999507</v>
          </cell>
          <cell r="AN379">
            <v>173.2240000000059</v>
          </cell>
          <cell r="AO379">
            <v>29.299999999999955</v>
          </cell>
          <cell r="AP379">
            <v>3538.5</v>
          </cell>
          <cell r="AQ379">
            <v>3822.1000000000058</v>
          </cell>
          <cell r="AR379">
            <v>37.497</v>
          </cell>
          <cell r="AS379">
            <v>6.9250000000000043</v>
          </cell>
          <cell r="AT379">
            <v>277.19999999999709</v>
          </cell>
          <cell r="AU379">
            <v>526.79999999999927</v>
          </cell>
          <cell r="AV379">
            <v>2820.5</v>
          </cell>
          <cell r="AW379">
            <v>1617</v>
          </cell>
          <cell r="AX379">
            <v>199.90000000000055</v>
          </cell>
          <cell r="AY379">
            <v>1046.899999999976</v>
          </cell>
          <cell r="AZ379">
            <v>310.40000000000146</v>
          </cell>
          <cell r="BA379">
            <v>455.90000000000873</v>
          </cell>
          <cell r="BB379">
            <v>804.89700000002051</v>
          </cell>
          <cell r="BC379">
            <v>200.02499999999858</v>
          </cell>
          <cell r="BD379">
            <v>0</v>
          </cell>
          <cell r="BE379">
            <v>7405.0220000000054</v>
          </cell>
          <cell r="BF379">
            <v>391325.53616741288</v>
          </cell>
          <cell r="BG379">
            <v>944616.2596491226</v>
          </cell>
          <cell r="BH379">
            <v>264365</v>
          </cell>
          <cell r="BI379">
            <v>21.382760000000005</v>
          </cell>
          <cell r="BJ379">
            <v>0.25901000000000002</v>
          </cell>
          <cell r="BK379">
            <v>21.641770000000001</v>
          </cell>
          <cell r="BL379">
            <v>323.84872000000001</v>
          </cell>
          <cell r="BM379">
            <v>688</v>
          </cell>
          <cell r="BN379">
            <v>18.100000000000183</v>
          </cell>
          <cell r="BO379">
            <v>0.94367266666666672</v>
          </cell>
          <cell r="BP379">
            <v>108.60000000000109</v>
          </cell>
          <cell r="BQ379">
            <v>0</v>
          </cell>
          <cell r="BR379">
            <v>0</v>
          </cell>
          <cell r="BS379">
            <v>0</v>
          </cell>
          <cell r="BT379">
            <v>0</v>
          </cell>
          <cell r="BU379">
            <v>0</v>
          </cell>
          <cell r="BV379">
            <v>0</v>
          </cell>
          <cell r="BW379">
            <v>0</v>
          </cell>
          <cell r="BX379">
            <v>0</v>
          </cell>
          <cell r="BY379">
            <v>0</v>
          </cell>
          <cell r="BZ379">
            <v>688</v>
          </cell>
          <cell r="CA379">
            <v>18.100000000000183</v>
          </cell>
          <cell r="CB379">
            <v>0.94367266666666672</v>
          </cell>
          <cell r="CC379">
            <v>108.60000000000109</v>
          </cell>
          <cell r="CD379">
            <v>0</v>
          </cell>
          <cell r="CE379">
            <v>0</v>
          </cell>
          <cell r="CF379">
            <v>0</v>
          </cell>
        </row>
        <row r="380">
          <cell r="B380" t="str">
            <v>MAR</v>
          </cell>
          <cell r="C380">
            <v>6690.2</v>
          </cell>
          <cell r="D380">
            <v>117.25973488997975</v>
          </cell>
          <cell r="E380">
            <v>727</v>
          </cell>
          <cell r="F380">
            <v>0</v>
          </cell>
          <cell r="G380">
            <v>0</v>
          </cell>
          <cell r="H380">
            <v>0</v>
          </cell>
          <cell r="I380">
            <v>6690.2</v>
          </cell>
          <cell r="J380">
            <v>6984.389999999994</v>
          </cell>
          <cell r="K380">
            <v>119.40184304787441</v>
          </cell>
          <cell r="L380">
            <v>704.5000000000116</v>
          </cell>
          <cell r="M380">
            <v>0.01</v>
          </cell>
          <cell r="N380">
            <v>188</v>
          </cell>
          <cell r="O380">
            <v>0.19999999999998863</v>
          </cell>
          <cell r="P380">
            <v>6984.3999999999942</v>
          </cell>
          <cell r="Q380">
            <v>5.9879999999999995</v>
          </cell>
          <cell r="R380">
            <v>718.56</v>
          </cell>
          <cell r="S380">
            <v>16.5</v>
          </cell>
          <cell r="T380">
            <v>3.1110000000000042</v>
          </cell>
          <cell r="U380">
            <v>373.3200000000005</v>
          </cell>
          <cell r="V380">
            <v>17.199999999999989</v>
          </cell>
          <cell r="W380">
            <v>13674.589999999989</v>
          </cell>
          <cell r="X380">
            <v>9.1090000000000035</v>
          </cell>
          <cell r="Y380">
            <v>13683.69899999999</v>
          </cell>
          <cell r="Z380">
            <v>236.66157793785419</v>
          </cell>
          <cell r="AA380">
            <v>1279.8800000000001</v>
          </cell>
          <cell r="AB380">
            <v>1431.5000000000116</v>
          </cell>
          <cell r="AC380">
            <v>33.899999999999977</v>
          </cell>
          <cell r="AD380">
            <v>0</v>
          </cell>
          <cell r="AE380">
            <v>6532.5999999999767</v>
          </cell>
          <cell r="AF380">
            <v>706</v>
          </cell>
          <cell r="AG380">
            <v>2994.1999999999971</v>
          </cell>
          <cell r="AH380">
            <v>536.70000000000073</v>
          </cell>
          <cell r="AI380">
            <v>456.89999999999782</v>
          </cell>
          <cell r="AJ380">
            <v>1441.899999999976</v>
          </cell>
          <cell r="AK380">
            <v>352.40000000000146</v>
          </cell>
          <cell r="AL380">
            <v>559.30000000000291</v>
          </cell>
          <cell r="AM380">
            <v>1161.7880000000362</v>
          </cell>
          <cell r="AN380">
            <v>154.10100000000583</v>
          </cell>
          <cell r="AO380">
            <v>30.509999999999998</v>
          </cell>
          <cell r="AP380">
            <v>3637.9</v>
          </cell>
          <cell r="AQ380">
            <v>3590.0999999999985</v>
          </cell>
          <cell r="AR380">
            <v>4.7539999999999978</v>
          </cell>
          <cell r="AS380">
            <v>2.0349999999999966</v>
          </cell>
          <cell r="AT380">
            <v>319.69999999999709</v>
          </cell>
          <cell r="AU380">
            <v>541.20000000000073</v>
          </cell>
          <cell r="AV380">
            <v>2923.2999999999884</v>
          </cell>
          <cell r="AW380">
            <v>1321.8000000000029</v>
          </cell>
          <cell r="AX380">
            <v>181.39999999999964</v>
          </cell>
          <cell r="AY380">
            <v>1172.3000000000065</v>
          </cell>
          <cell r="AZ380">
            <v>258.69999999999709</v>
          </cell>
          <cell r="BA380">
            <v>442.09999999999127</v>
          </cell>
          <cell r="BB380">
            <v>752.75400000001582</v>
          </cell>
          <cell r="BC380">
            <v>182.33499999999853</v>
          </cell>
          <cell r="BD380">
            <v>9.9999999999999978E-2</v>
          </cell>
          <cell r="BE380">
            <v>7234.7889999999979</v>
          </cell>
          <cell r="BF380">
            <v>392285.06999999989</v>
          </cell>
          <cell r="BG380">
            <v>974338.11052631552</v>
          </cell>
          <cell r="BH380">
            <v>285229</v>
          </cell>
          <cell r="BI380">
            <v>22.890579999999996</v>
          </cell>
          <cell r="BJ380">
            <v>0.28409999999999147</v>
          </cell>
          <cell r="BK380">
            <v>23.174679999999988</v>
          </cell>
          <cell r="BL380">
            <v>370.66403999999972</v>
          </cell>
          <cell r="BM380">
            <v>735.5</v>
          </cell>
          <cell r="BN380">
            <v>9.3000000000002725</v>
          </cell>
          <cell r="BO380">
            <v>1.0441878000000002</v>
          </cell>
          <cell r="BP380">
            <v>55.800000000001631</v>
          </cell>
          <cell r="BQ380">
            <v>0</v>
          </cell>
          <cell r="BR380">
            <v>0</v>
          </cell>
          <cell r="BS380">
            <v>0</v>
          </cell>
          <cell r="BT380">
            <v>0</v>
          </cell>
          <cell r="BU380">
            <v>0</v>
          </cell>
          <cell r="BV380">
            <v>0</v>
          </cell>
          <cell r="BW380">
            <v>0</v>
          </cell>
          <cell r="BX380">
            <v>0</v>
          </cell>
          <cell r="BY380">
            <v>0</v>
          </cell>
          <cell r="BZ380">
            <v>735.5</v>
          </cell>
          <cell r="CA380">
            <v>9.3000000000002725</v>
          </cell>
          <cell r="CB380">
            <v>1.0441878000000002</v>
          </cell>
          <cell r="CC380">
            <v>55.800000000001631</v>
          </cell>
          <cell r="CD380">
            <v>0</v>
          </cell>
          <cell r="CE380">
            <v>0</v>
          </cell>
          <cell r="CF380">
            <v>0</v>
          </cell>
        </row>
        <row r="381">
          <cell r="B381" t="str">
            <v>ABR</v>
          </cell>
          <cell r="C381">
            <v>5635.4</v>
          </cell>
          <cell r="D381">
            <v>107.15127643333332</v>
          </cell>
          <cell r="E381">
            <v>719.8</v>
          </cell>
          <cell r="F381">
            <v>0.4</v>
          </cell>
          <cell r="G381">
            <v>193</v>
          </cell>
          <cell r="H381">
            <v>0.20000000000004547</v>
          </cell>
          <cell r="I381">
            <v>5635.8</v>
          </cell>
          <cell r="J381">
            <v>8924.8000000000065</v>
          </cell>
          <cell r="K381">
            <v>131.05424976666674</v>
          </cell>
          <cell r="L381">
            <v>719.9</v>
          </cell>
          <cell r="M381">
            <v>0.3</v>
          </cell>
          <cell r="N381">
            <v>145</v>
          </cell>
          <cell r="O381">
            <v>0.10000000000002274</v>
          </cell>
          <cell r="P381">
            <v>8925.1000000000058</v>
          </cell>
          <cell r="Q381">
            <v>2.1999999999999957</v>
          </cell>
          <cell r="R381">
            <v>263.99999999999949</v>
          </cell>
          <cell r="S381">
            <v>3.6999999999998181</v>
          </cell>
          <cell r="T381">
            <v>0.33699999999998909</v>
          </cell>
          <cell r="U381">
            <v>40.43999999999869</v>
          </cell>
          <cell r="V381">
            <v>2.2000000000000455</v>
          </cell>
          <cell r="W381">
            <v>14560.200000000006</v>
          </cell>
          <cell r="X381">
            <v>3.236999999999985</v>
          </cell>
          <cell r="Y381">
            <v>14563.437000000005</v>
          </cell>
          <cell r="Z381">
            <v>238.20552620000018</v>
          </cell>
          <cell r="AA381">
            <v>642.43999999999812</v>
          </cell>
          <cell r="AB381">
            <v>1439.6999999999998</v>
          </cell>
          <cell r="AC381">
            <v>6.1999999999999318</v>
          </cell>
          <cell r="AD381">
            <v>0</v>
          </cell>
          <cell r="AE381">
            <v>6982.6000000000349</v>
          </cell>
          <cell r="AF381">
            <v>718</v>
          </cell>
          <cell r="AG381">
            <v>3702.8000000000029</v>
          </cell>
          <cell r="AH381">
            <v>675.40000000000146</v>
          </cell>
          <cell r="AI381">
            <v>419.60000000000582</v>
          </cell>
          <cell r="AJ381">
            <v>1484.9000000000124</v>
          </cell>
          <cell r="AK381">
            <v>280.5</v>
          </cell>
          <cell r="AL381">
            <v>467.89999999999418</v>
          </cell>
          <cell r="AM381">
            <v>1020.5999999999588</v>
          </cell>
          <cell r="AN381">
            <v>182.33699999999703</v>
          </cell>
          <cell r="AO381">
            <v>22.200000000000045</v>
          </cell>
          <cell r="AP381">
            <v>2844.1</v>
          </cell>
          <cell r="AQ381">
            <v>4625.5999999999985</v>
          </cell>
          <cell r="AR381">
            <v>1.3000000000000043</v>
          </cell>
          <cell r="AS381">
            <v>0.21600000000000108</v>
          </cell>
          <cell r="AT381">
            <v>286</v>
          </cell>
          <cell r="AU381">
            <v>487.59999999999854</v>
          </cell>
          <cell r="AV381">
            <v>3076.3999999999942</v>
          </cell>
          <cell r="AW381">
            <v>1653.1999999999971</v>
          </cell>
          <cell r="AX381">
            <v>165.59999999999854</v>
          </cell>
          <cell r="AY381">
            <v>1186.900000000016</v>
          </cell>
          <cell r="AZ381">
            <v>196.69999999999709</v>
          </cell>
          <cell r="BA381">
            <v>364.40000000000873</v>
          </cell>
          <cell r="BB381">
            <v>627.49999999998408</v>
          </cell>
          <cell r="BC381">
            <v>200.51600000000292</v>
          </cell>
          <cell r="BD381">
            <v>0</v>
          </cell>
          <cell r="BE381">
            <v>7471.2159999999985</v>
          </cell>
          <cell r="BF381">
            <v>363656.47000000003</v>
          </cell>
          <cell r="BG381">
            <v>948320.13333333319</v>
          </cell>
          <cell r="BH381">
            <v>283498</v>
          </cell>
          <cell r="BI381">
            <v>22.24906</v>
          </cell>
          <cell r="BJ381">
            <v>0</v>
          </cell>
          <cell r="BK381">
            <v>22.24906</v>
          </cell>
          <cell r="BL381">
            <v>344.85833999999994</v>
          </cell>
          <cell r="BM381">
            <v>720</v>
          </cell>
          <cell r="BN381">
            <v>2.5</v>
          </cell>
          <cell r="BO381">
            <v>1.02221312</v>
          </cell>
          <cell r="BP381">
            <v>15</v>
          </cell>
          <cell r="BQ381">
            <v>0</v>
          </cell>
          <cell r="BR381">
            <v>0</v>
          </cell>
          <cell r="BS381">
            <v>0</v>
          </cell>
          <cell r="BT381">
            <v>0</v>
          </cell>
          <cell r="BU381">
            <v>0</v>
          </cell>
          <cell r="BV381">
            <v>0</v>
          </cell>
          <cell r="BW381">
            <v>0</v>
          </cell>
          <cell r="BX381">
            <v>0</v>
          </cell>
          <cell r="BY381">
            <v>0</v>
          </cell>
          <cell r="BZ381">
            <v>720</v>
          </cell>
          <cell r="CA381">
            <v>2.5</v>
          </cell>
          <cell r="CB381">
            <v>1.02221312</v>
          </cell>
          <cell r="CC381">
            <v>15</v>
          </cell>
          <cell r="CD381">
            <v>0</v>
          </cell>
          <cell r="CE381">
            <v>0</v>
          </cell>
          <cell r="CF381">
            <v>0</v>
          </cell>
        </row>
        <row r="382">
          <cell r="B382" t="str">
            <v>MAY</v>
          </cell>
          <cell r="C382">
            <v>5198.1000000000004</v>
          </cell>
          <cell r="D382">
            <v>104.54763710600002</v>
          </cell>
          <cell r="E382">
            <v>741.09999999998831</v>
          </cell>
          <cell r="F382">
            <v>4.5999999999999996</v>
          </cell>
          <cell r="G382">
            <v>1911</v>
          </cell>
          <cell r="H382">
            <v>2.2000000000000455</v>
          </cell>
          <cell r="I382">
            <v>5202.7000000000007</v>
          </cell>
          <cell r="J382">
            <v>9407.9999999999945</v>
          </cell>
          <cell r="K382">
            <v>137.46529142028567</v>
          </cell>
          <cell r="L382">
            <v>743.8</v>
          </cell>
          <cell r="M382">
            <v>0.4</v>
          </cell>
          <cell r="N382">
            <v>179.5</v>
          </cell>
          <cell r="O382">
            <v>0.19999999999998863</v>
          </cell>
          <cell r="P382">
            <v>9408.3999999999942</v>
          </cell>
          <cell r="Q382">
            <v>8.9000000000000057</v>
          </cell>
          <cell r="R382">
            <v>1068.0000000000007</v>
          </cell>
          <cell r="S382">
            <v>12.400000000000546</v>
          </cell>
          <cell r="T382">
            <v>1.1850000000000023</v>
          </cell>
          <cell r="U382">
            <v>142.20000000000027</v>
          </cell>
          <cell r="V382">
            <v>6.8999999999999773</v>
          </cell>
          <cell r="W382">
            <v>14606.099999999995</v>
          </cell>
          <cell r="X382">
            <v>15.085000000000008</v>
          </cell>
          <cell r="Y382">
            <v>14621.184999999994</v>
          </cell>
          <cell r="Z382">
            <v>242.01292852628563</v>
          </cell>
          <cell r="AA382">
            <v>3300.7000000000012</v>
          </cell>
          <cell r="AB382">
            <v>1484.8999999999883</v>
          </cell>
          <cell r="AC382">
            <v>21.700000000000557</v>
          </cell>
          <cell r="AD382">
            <v>0</v>
          </cell>
          <cell r="AE382">
            <v>6800.2000000000116</v>
          </cell>
          <cell r="AF382">
            <v>728</v>
          </cell>
          <cell r="AG382">
            <v>3888.3999999999942</v>
          </cell>
          <cell r="AH382">
            <v>738.59999999999854</v>
          </cell>
          <cell r="AI382">
            <v>508.09999999999854</v>
          </cell>
          <cell r="AJ382">
            <v>1460.6999999999935</v>
          </cell>
          <cell r="AK382">
            <v>241.19999999999709</v>
          </cell>
          <cell r="AL382">
            <v>480</v>
          </cell>
          <cell r="AM382">
            <v>1037.700000000003</v>
          </cell>
          <cell r="AN382">
            <v>203.68499999999716</v>
          </cell>
          <cell r="AO382">
            <v>1.1999999999999318</v>
          </cell>
          <cell r="AP382">
            <v>2759.3999999999996</v>
          </cell>
          <cell r="AQ382">
            <v>4758.3000000000029</v>
          </cell>
          <cell r="AR382">
            <v>6.8999999999999986</v>
          </cell>
          <cell r="AS382">
            <v>0.81199999999999761</v>
          </cell>
          <cell r="AT382">
            <v>281.5</v>
          </cell>
          <cell r="AU382">
            <v>491.40000000000146</v>
          </cell>
          <cell r="AV382">
            <v>3028.8000000000175</v>
          </cell>
          <cell r="AW382">
            <v>1746.0999999999985</v>
          </cell>
          <cell r="AX382">
            <v>193.40000000000146</v>
          </cell>
          <cell r="AY382">
            <v>1167.099999999984</v>
          </cell>
          <cell r="AZ382">
            <v>169.10000000000582</v>
          </cell>
          <cell r="BA382">
            <v>369.29999999998836</v>
          </cell>
          <cell r="BB382">
            <v>659.80000000000689</v>
          </cell>
          <cell r="BC382">
            <v>192.31200000000001</v>
          </cell>
          <cell r="BD382">
            <v>0</v>
          </cell>
          <cell r="BE382">
            <v>7525.412000000003</v>
          </cell>
          <cell r="BF382">
            <v>362963.24000000005</v>
          </cell>
          <cell r="BG382">
            <v>795372.99122807023</v>
          </cell>
          <cell r="BH382">
            <v>283244</v>
          </cell>
          <cell r="BI382">
            <v>19.852969999999999</v>
          </cell>
          <cell r="BJ382">
            <v>0.45113899999999785</v>
          </cell>
          <cell r="BK382">
            <v>20.304108999999993</v>
          </cell>
          <cell r="BL382">
            <v>318.50881099999987</v>
          </cell>
          <cell r="BM382">
            <v>648.5</v>
          </cell>
          <cell r="BN382">
            <v>17.399999999999817</v>
          </cell>
          <cell r="BO382">
            <v>0.91687769333333369</v>
          </cell>
          <cell r="BP382">
            <v>97.399999999998911</v>
          </cell>
          <cell r="BQ382">
            <v>0</v>
          </cell>
          <cell r="BR382">
            <v>0</v>
          </cell>
          <cell r="BS382">
            <v>0</v>
          </cell>
          <cell r="BT382">
            <v>0</v>
          </cell>
          <cell r="BU382">
            <v>0</v>
          </cell>
          <cell r="BV382">
            <v>0</v>
          </cell>
          <cell r="BW382">
            <v>0</v>
          </cell>
          <cell r="BX382">
            <v>0</v>
          </cell>
          <cell r="BY382">
            <v>0</v>
          </cell>
          <cell r="BZ382">
            <v>648.5</v>
          </cell>
          <cell r="CA382">
            <v>17.399999999999817</v>
          </cell>
          <cell r="CB382">
            <v>0.91687769333333369</v>
          </cell>
          <cell r="CC382">
            <v>97.399999999998911</v>
          </cell>
          <cell r="CD382">
            <v>0</v>
          </cell>
          <cell r="CE382">
            <v>0</v>
          </cell>
          <cell r="CF382">
            <v>0</v>
          </cell>
        </row>
        <row r="383">
          <cell r="B383" t="str">
            <v>JUN</v>
          </cell>
          <cell r="C383">
            <v>5099.2999999999993</v>
          </cell>
          <cell r="D383">
            <v>103.04078931436835</v>
          </cell>
          <cell r="E383">
            <v>720</v>
          </cell>
          <cell r="F383">
            <v>0</v>
          </cell>
          <cell r="G383">
            <v>0</v>
          </cell>
          <cell r="H383">
            <v>0</v>
          </cell>
          <cell r="I383">
            <v>5099.2999999999993</v>
          </cell>
          <cell r="J383">
            <v>9088.7000000000116</v>
          </cell>
          <cell r="K383">
            <v>134.57061597782072</v>
          </cell>
          <cell r="L383">
            <v>720</v>
          </cell>
          <cell r="M383">
            <v>0</v>
          </cell>
          <cell r="N383">
            <v>0</v>
          </cell>
          <cell r="O383">
            <v>0</v>
          </cell>
          <cell r="P383">
            <v>9088.7000000000116</v>
          </cell>
          <cell r="Q383">
            <v>0</v>
          </cell>
          <cell r="R383">
            <v>0</v>
          </cell>
          <cell r="S383">
            <v>0</v>
          </cell>
          <cell r="T383">
            <v>0.20499999999999829</v>
          </cell>
          <cell r="U383">
            <v>24.599999999999795</v>
          </cell>
          <cell r="V383">
            <v>1.2000000000000455</v>
          </cell>
          <cell r="W383">
            <v>14188.000000000011</v>
          </cell>
          <cell r="X383">
            <v>0.20499999999999829</v>
          </cell>
          <cell r="Y383">
            <v>14188.205000000011</v>
          </cell>
          <cell r="Z383">
            <v>237.61140529218903</v>
          </cell>
          <cell r="AA383">
            <v>24.599999999999795</v>
          </cell>
          <cell r="AB383">
            <v>1440</v>
          </cell>
          <cell r="AC383">
            <v>1.2000000000000455</v>
          </cell>
          <cell r="AD383">
            <v>0</v>
          </cell>
          <cell r="AE383">
            <v>6619.3999999999651</v>
          </cell>
          <cell r="AF383">
            <v>718</v>
          </cell>
          <cell r="AG383">
            <v>3855.1000000000058</v>
          </cell>
          <cell r="AH383">
            <v>718.79999999999927</v>
          </cell>
          <cell r="AI383">
            <v>419.59999999999854</v>
          </cell>
          <cell r="AJ383">
            <v>1441.4000000000196</v>
          </cell>
          <cell r="AK383">
            <v>265.59999999999854</v>
          </cell>
          <cell r="AL383">
            <v>446.60000000000582</v>
          </cell>
          <cell r="AM383">
            <v>943.10000000000582</v>
          </cell>
          <cell r="AN383">
            <v>172.20500000001158</v>
          </cell>
          <cell r="AO383">
            <v>25.200000000000045</v>
          </cell>
          <cell r="AP383">
            <v>2786.8999999999996</v>
          </cell>
          <cell r="AQ383">
            <v>4515.5999999999985</v>
          </cell>
          <cell r="AR383">
            <v>0</v>
          </cell>
          <cell r="AS383">
            <v>0.14500000000000313</v>
          </cell>
          <cell r="AT383">
            <v>274.90000000000873</v>
          </cell>
          <cell r="AU383">
            <v>474.89999999999782</v>
          </cell>
          <cell r="AV383">
            <v>2953.8999999999942</v>
          </cell>
          <cell r="AW383">
            <v>1718.9000000000015</v>
          </cell>
          <cell r="AX383">
            <v>168.30000000000018</v>
          </cell>
          <cell r="AY383">
            <v>1145.0000000000036</v>
          </cell>
          <cell r="AZ383">
            <v>191.19999999999709</v>
          </cell>
          <cell r="BA383">
            <v>345.80000000000291</v>
          </cell>
          <cell r="BB383">
            <v>596.59999999999582</v>
          </cell>
          <cell r="BC383">
            <v>182.94500000000292</v>
          </cell>
          <cell r="BD383">
            <v>0</v>
          </cell>
          <cell r="BE383">
            <v>7302.6449999999977</v>
          </cell>
          <cell r="BF383">
            <v>345573.82000000007</v>
          </cell>
          <cell r="BG383">
            <v>867009.14210526319</v>
          </cell>
          <cell r="BH383">
            <v>296154</v>
          </cell>
          <cell r="BI383">
            <v>20.530260000000002</v>
          </cell>
          <cell r="BJ383">
            <v>2.0147826666666875</v>
          </cell>
          <cell r="BK383">
            <v>22.545042666666689</v>
          </cell>
          <cell r="BL383">
            <v>349.3295210000004</v>
          </cell>
          <cell r="BM383">
            <v>656.5</v>
          </cell>
          <cell r="BN383">
            <v>64.800000000000182</v>
          </cell>
          <cell r="BO383">
            <v>0.93343517333333348</v>
          </cell>
          <cell r="BP383">
            <v>388.80000000000109</v>
          </cell>
          <cell r="BQ383">
            <v>0</v>
          </cell>
          <cell r="BR383">
            <v>0</v>
          </cell>
          <cell r="BS383">
            <v>0</v>
          </cell>
          <cell r="BT383">
            <v>0</v>
          </cell>
          <cell r="BU383">
            <v>0</v>
          </cell>
          <cell r="BV383">
            <v>0</v>
          </cell>
          <cell r="BW383">
            <v>0</v>
          </cell>
          <cell r="BX383">
            <v>0</v>
          </cell>
          <cell r="BY383">
            <v>0</v>
          </cell>
          <cell r="BZ383">
            <v>656.5</v>
          </cell>
          <cell r="CA383">
            <v>64.800000000000182</v>
          </cell>
          <cell r="CB383">
            <v>0.93343517333333348</v>
          </cell>
          <cell r="CC383">
            <v>388.80000000000109</v>
          </cell>
          <cell r="CD383">
            <v>83</v>
          </cell>
          <cell r="CE383">
            <v>84</v>
          </cell>
          <cell r="CF383">
            <v>85</v>
          </cell>
        </row>
        <row r="384">
          <cell r="B384" t="str">
            <v>JUL</v>
          </cell>
          <cell r="C384">
            <v>7005</v>
          </cell>
          <cell r="D384">
            <v>120.06002498938061</v>
          </cell>
          <cell r="E384">
            <v>744</v>
          </cell>
          <cell r="F384">
            <v>0</v>
          </cell>
          <cell r="G384">
            <v>0</v>
          </cell>
          <cell r="H384">
            <v>0</v>
          </cell>
          <cell r="I384">
            <v>7005</v>
          </cell>
          <cell r="J384">
            <v>7678.5</v>
          </cell>
          <cell r="K384">
            <v>123.82991535121148</v>
          </cell>
          <cell r="L384">
            <v>744</v>
          </cell>
          <cell r="M384">
            <v>0</v>
          </cell>
          <cell r="N384">
            <v>0</v>
          </cell>
          <cell r="O384">
            <v>0</v>
          </cell>
          <cell r="P384">
            <v>7678.5</v>
          </cell>
          <cell r="Q384">
            <v>0</v>
          </cell>
          <cell r="R384">
            <v>0</v>
          </cell>
          <cell r="S384">
            <v>0</v>
          </cell>
          <cell r="T384">
            <v>0.17200000000001125</v>
          </cell>
          <cell r="U384">
            <v>20.640000000001351</v>
          </cell>
          <cell r="V384">
            <v>1</v>
          </cell>
          <cell r="W384">
            <v>14683.5</v>
          </cell>
          <cell r="X384">
            <v>0.17200000000001125</v>
          </cell>
          <cell r="Y384">
            <v>14683.672</v>
          </cell>
          <cell r="Z384">
            <v>243.88994034059212</v>
          </cell>
          <cell r="AA384">
            <v>20.640000000001351</v>
          </cell>
          <cell r="AB384">
            <v>1488</v>
          </cell>
          <cell r="AC384">
            <v>1</v>
          </cell>
          <cell r="AD384">
            <v>0</v>
          </cell>
          <cell r="AE384">
            <v>6891.7000000000116</v>
          </cell>
          <cell r="AF384">
            <v>738</v>
          </cell>
          <cell r="AG384">
            <v>3975</v>
          </cell>
          <cell r="AH384">
            <v>741.79999999999927</v>
          </cell>
          <cell r="AI384">
            <v>407.19999999999891</v>
          </cell>
          <cell r="AJ384">
            <v>1545.7999999999993</v>
          </cell>
          <cell r="AK384">
            <v>258.30000000000291</v>
          </cell>
          <cell r="AL384">
            <v>442.79999999998836</v>
          </cell>
          <cell r="AM384">
            <v>953.30000000000473</v>
          </cell>
          <cell r="AN384">
            <v>199.57199999999418</v>
          </cell>
          <cell r="AO384">
            <v>10</v>
          </cell>
          <cell r="AP384">
            <v>3652.5</v>
          </cell>
          <cell r="AQ384">
            <v>3838.5</v>
          </cell>
          <cell r="AR384">
            <v>0</v>
          </cell>
          <cell r="AS384">
            <v>0.11699999999999733</v>
          </cell>
          <cell r="AT384">
            <v>271.39999999999418</v>
          </cell>
          <cell r="AU384">
            <v>488.70000000000073</v>
          </cell>
          <cell r="AV384">
            <v>3064.8999999999942</v>
          </cell>
          <cell r="AW384">
            <v>1769.5999999999985</v>
          </cell>
          <cell r="AX384">
            <v>157.59999999999945</v>
          </cell>
          <cell r="AY384">
            <v>1222.9000000000124</v>
          </cell>
          <cell r="AZ384">
            <v>190</v>
          </cell>
          <cell r="BA384">
            <v>341.5</v>
          </cell>
          <cell r="BB384">
            <v>561.099999999994</v>
          </cell>
          <cell r="BC384">
            <v>188.81700000000438</v>
          </cell>
          <cell r="BD384">
            <v>0</v>
          </cell>
          <cell r="BE384">
            <v>7491.1169999999993</v>
          </cell>
          <cell r="BF384">
            <v>351405.83000000007</v>
          </cell>
          <cell r="BG384">
            <v>894988.03508771909</v>
          </cell>
          <cell r="BH384">
            <v>280693</v>
          </cell>
          <cell r="BI384">
            <v>21.851313999999999</v>
          </cell>
          <cell r="BJ384">
            <v>0.36962133000000003</v>
          </cell>
          <cell r="BK384">
            <v>22.22093533</v>
          </cell>
          <cell r="BL384">
            <v>357.30329259999996</v>
          </cell>
          <cell r="BM384">
            <v>665</v>
          </cell>
          <cell r="BN384">
            <v>7.0401472000001801</v>
          </cell>
          <cell r="BO384">
            <v>0.56569120000000017</v>
          </cell>
          <cell r="BP384">
            <v>40.20000000000109</v>
          </cell>
          <cell r="BQ384">
            <v>31912.457000000002</v>
          </cell>
          <cell r="BR384">
            <v>80.899999999999991</v>
          </cell>
          <cell r="BS384">
            <v>2430.5499999999993</v>
          </cell>
          <cell r="BT384">
            <v>75.248000000000005</v>
          </cell>
          <cell r="BU384">
            <v>74.27600000000001</v>
          </cell>
          <cell r="BV384">
            <v>0</v>
          </cell>
          <cell r="BW384">
            <v>0</v>
          </cell>
          <cell r="BX384">
            <v>75.248000000000005</v>
          </cell>
          <cell r="BY384">
            <v>74.27600000000001</v>
          </cell>
          <cell r="BZ384">
            <v>401.59999999999945</v>
          </cell>
          <cell r="CA384">
            <v>7.0401472000001801</v>
          </cell>
          <cell r="CB384">
            <v>0.56569120000000017</v>
          </cell>
          <cell r="CC384">
            <v>40.20000000000109</v>
          </cell>
          <cell r="CD384">
            <v>37519.913861674693</v>
          </cell>
          <cell r="CE384">
            <v>2528.5226172145881</v>
          </cell>
          <cell r="CF384">
            <v>37325.902624999995</v>
          </cell>
        </row>
        <row r="385">
          <cell r="B385" t="str">
            <v>AGO</v>
          </cell>
          <cell r="C385">
            <v>1449.2999999999993</v>
          </cell>
          <cell r="D385">
            <v>29.183194006498542</v>
          </cell>
          <cell r="E385">
            <v>182.89999999999418</v>
          </cell>
          <cell r="F385">
            <v>2</v>
          </cell>
          <cell r="G385">
            <v>311</v>
          </cell>
          <cell r="H385">
            <v>0.5</v>
          </cell>
          <cell r="I385">
            <v>1451.2999999999993</v>
          </cell>
          <cell r="J385">
            <v>2257.2999999999884</v>
          </cell>
          <cell r="K385">
            <v>36.940104968962103</v>
          </cell>
          <cell r="L385">
            <v>197.89999999997673</v>
          </cell>
          <cell r="M385">
            <v>0</v>
          </cell>
          <cell r="N385">
            <v>215.5</v>
          </cell>
          <cell r="O385">
            <v>0.19999999999998863</v>
          </cell>
          <cell r="P385">
            <v>2257.2999999999884</v>
          </cell>
          <cell r="Q385">
            <v>0</v>
          </cell>
          <cell r="R385">
            <v>0</v>
          </cell>
          <cell r="S385">
            <v>0</v>
          </cell>
          <cell r="T385">
            <v>9.9999999999056399E-4</v>
          </cell>
          <cell r="U385">
            <v>0.11999999999886768</v>
          </cell>
          <cell r="V385">
            <v>0.19999999999993179</v>
          </cell>
          <cell r="W385">
            <v>3706.5999999999876</v>
          </cell>
          <cell r="X385">
            <v>2.0009999999999906</v>
          </cell>
          <cell r="Y385">
            <v>3708.6009999999878</v>
          </cell>
          <cell r="Z385">
            <v>66.123298975460642</v>
          </cell>
          <cell r="AA385">
            <v>526.61999999999887</v>
          </cell>
          <cell r="AB385">
            <v>380.79999999997091</v>
          </cell>
          <cell r="AC385">
            <v>0.89999999999992042</v>
          </cell>
          <cell r="AD385">
            <v>0</v>
          </cell>
          <cell r="AE385">
            <v>2052.4000000000233</v>
          </cell>
          <cell r="AF385">
            <v>239</v>
          </cell>
          <cell r="AG385">
            <v>425.29999999998836</v>
          </cell>
          <cell r="AH385">
            <v>72.900000000001455</v>
          </cell>
          <cell r="AI385">
            <v>131.69999999999709</v>
          </cell>
          <cell r="AJ385">
            <v>496.69999999998254</v>
          </cell>
          <cell r="AK385">
            <v>97.900000000001455</v>
          </cell>
          <cell r="AL385">
            <v>160.60000000000582</v>
          </cell>
          <cell r="AM385">
            <v>324.89999999998327</v>
          </cell>
          <cell r="AN385">
            <v>18.901000000005808</v>
          </cell>
          <cell r="AO385">
            <v>0.19999999999998863</v>
          </cell>
          <cell r="AP385">
            <v>816.10000000000218</v>
          </cell>
          <cell r="AQ385">
            <v>1194.4000000000015</v>
          </cell>
          <cell r="AR385">
            <v>0</v>
          </cell>
          <cell r="AS385">
            <v>0</v>
          </cell>
          <cell r="AT385">
            <v>93</v>
          </cell>
          <cell r="AU385">
            <v>151.20000000000073</v>
          </cell>
          <cell r="AV385">
            <v>942.39999999999418</v>
          </cell>
          <cell r="AW385">
            <v>188.09999999999854</v>
          </cell>
          <cell r="AX385">
            <v>47.100000000000364</v>
          </cell>
          <cell r="AY385">
            <v>359.69999999998981</v>
          </cell>
          <cell r="AZ385">
            <v>267.30000000000291</v>
          </cell>
          <cell r="BA385">
            <v>115.80000000000291</v>
          </cell>
          <cell r="BB385">
            <v>-58558.217999999972</v>
          </cell>
          <cell r="BC385">
            <v>58995.417999999991</v>
          </cell>
          <cell r="BD385">
            <v>9.9999999999999978E-2</v>
          </cell>
          <cell r="BE385">
            <v>2010.5000000000036</v>
          </cell>
          <cell r="BF385">
            <v>106426.86</v>
          </cell>
          <cell r="BG385">
            <v>103664.97368421055</v>
          </cell>
          <cell r="BH385">
            <v>92026</v>
          </cell>
          <cell r="BI385">
            <v>7.5117600000000007</v>
          </cell>
          <cell r="BJ385">
            <v>4.0000000000009093E-4</v>
          </cell>
          <cell r="BK385">
            <v>7.5121600000000006</v>
          </cell>
          <cell r="BL385">
            <v>199.04399999999993</v>
          </cell>
          <cell r="BM385">
            <v>240</v>
          </cell>
          <cell r="BN385">
            <v>0.34172543999999999</v>
          </cell>
          <cell r="BO385">
            <v>0</v>
          </cell>
          <cell r="BP385">
            <v>1.8000000000010914</v>
          </cell>
          <cell r="BQ385">
            <v>4197.7</v>
          </cell>
          <cell r="BR385">
            <v>25.3</v>
          </cell>
          <cell r="BS385">
            <v>777.62</v>
          </cell>
          <cell r="BT385">
            <v>26.725999999999999</v>
          </cell>
          <cell r="BU385">
            <v>24.211000000000002</v>
          </cell>
          <cell r="BV385">
            <v>0</v>
          </cell>
          <cell r="BW385">
            <v>0</v>
          </cell>
          <cell r="BX385">
            <v>26.725999999999999</v>
          </cell>
          <cell r="BY385">
            <v>24.211000000000002</v>
          </cell>
          <cell r="BZ385">
            <v>240</v>
          </cell>
          <cell r="CA385">
            <v>0.34172543999999999</v>
          </cell>
          <cell r="CB385">
            <v>0</v>
          </cell>
          <cell r="CC385">
            <v>1.8000000000010914</v>
          </cell>
          <cell r="CD385">
            <v>18210.391108207856</v>
          </cell>
          <cell r="CE385">
            <v>1220.8295099518364</v>
          </cell>
          <cell r="CF385">
            <v>17987.56354166667</v>
          </cell>
        </row>
        <row r="386">
          <cell r="B386" t="str">
            <v>SEP</v>
          </cell>
          <cell r="C386">
            <v>0</v>
          </cell>
          <cell r="D386">
            <v>0</v>
          </cell>
          <cell r="E386">
            <v>0</v>
          </cell>
          <cell r="F386">
            <v>0</v>
          </cell>
          <cell r="G386">
            <v>0</v>
          </cell>
          <cell r="H386">
            <v>0</v>
          </cell>
          <cell r="I386">
            <v>0</v>
          </cell>
          <cell r="J386">
            <v>0</v>
          </cell>
          <cell r="K386">
            <v>0</v>
          </cell>
          <cell r="L386">
            <v>0</v>
          </cell>
          <cell r="M386">
            <v>0</v>
          </cell>
          <cell r="N386">
            <v>0</v>
          </cell>
          <cell r="O386">
            <v>0</v>
          </cell>
          <cell r="P386">
            <v>0</v>
          </cell>
          <cell r="Q386">
            <v>0</v>
          </cell>
          <cell r="R386">
            <v>0</v>
          </cell>
          <cell r="S386">
            <v>0</v>
          </cell>
          <cell r="T386">
            <v>0</v>
          </cell>
          <cell r="U386">
            <v>0</v>
          </cell>
          <cell r="V386">
            <v>0</v>
          </cell>
          <cell r="W386">
            <v>0</v>
          </cell>
          <cell r="X386">
            <v>0</v>
          </cell>
          <cell r="Y386">
            <v>0</v>
          </cell>
          <cell r="Z386">
            <v>0</v>
          </cell>
          <cell r="AA386">
            <v>0</v>
          </cell>
          <cell r="AB386">
            <v>0</v>
          </cell>
          <cell r="AC386">
            <v>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0</v>
          </cell>
          <cell r="AT386">
            <v>0</v>
          </cell>
          <cell r="AU386">
            <v>0</v>
          </cell>
          <cell r="AV386">
            <v>0</v>
          </cell>
          <cell r="AW386">
            <v>0</v>
          </cell>
          <cell r="AX386">
            <v>0</v>
          </cell>
          <cell r="AY386">
            <v>0</v>
          </cell>
          <cell r="AZ386">
            <v>0</v>
          </cell>
          <cell r="BA386">
            <v>0</v>
          </cell>
          <cell r="BB386">
            <v>0</v>
          </cell>
          <cell r="BC386">
            <v>0</v>
          </cell>
          <cell r="BD386">
            <v>0</v>
          </cell>
          <cell r="BE386">
            <v>0</v>
          </cell>
          <cell r="BF386">
            <v>0</v>
          </cell>
          <cell r="BG386">
            <v>0</v>
          </cell>
          <cell r="BH386">
            <v>0</v>
          </cell>
          <cell r="BI386">
            <v>0</v>
          </cell>
          <cell r="BJ386">
            <v>0</v>
          </cell>
          <cell r="BK386">
            <v>0</v>
          </cell>
          <cell r="BL386">
            <v>0</v>
          </cell>
          <cell r="BM386">
            <v>0</v>
          </cell>
          <cell r="BN386">
            <v>0</v>
          </cell>
          <cell r="BO386">
            <v>0</v>
          </cell>
          <cell r="BP386">
            <v>0</v>
          </cell>
          <cell r="BQ386">
            <v>0</v>
          </cell>
          <cell r="BR386">
            <v>0</v>
          </cell>
          <cell r="BS386">
            <v>0</v>
          </cell>
          <cell r="BT386">
            <v>0</v>
          </cell>
          <cell r="BU386">
            <v>0</v>
          </cell>
          <cell r="BV386">
            <v>0</v>
          </cell>
          <cell r="BW386">
            <v>0</v>
          </cell>
          <cell r="BX386">
            <v>0</v>
          </cell>
          <cell r="BY386">
            <v>0</v>
          </cell>
          <cell r="BZ386">
            <v>0</v>
          </cell>
          <cell r="CA386">
            <v>0</v>
          </cell>
          <cell r="CB386">
            <v>0</v>
          </cell>
          <cell r="CC386">
            <v>0</v>
          </cell>
          <cell r="CD386">
            <v>0</v>
          </cell>
          <cell r="CE386">
            <v>0</v>
          </cell>
          <cell r="CF386">
            <v>0</v>
          </cell>
        </row>
        <row r="387">
          <cell r="B387" t="str">
            <v>OCT</v>
          </cell>
          <cell r="C387">
            <v>0</v>
          </cell>
          <cell r="D387">
            <v>0</v>
          </cell>
          <cell r="E387">
            <v>0</v>
          </cell>
          <cell r="F387">
            <v>0</v>
          </cell>
          <cell r="G387">
            <v>0</v>
          </cell>
          <cell r="H387">
            <v>0</v>
          </cell>
          <cell r="I387">
            <v>0</v>
          </cell>
          <cell r="J387">
            <v>0</v>
          </cell>
          <cell r="K387">
            <v>0</v>
          </cell>
          <cell r="L387">
            <v>0</v>
          </cell>
          <cell r="M387">
            <v>0</v>
          </cell>
          <cell r="N387">
            <v>0</v>
          </cell>
          <cell r="O387">
            <v>0</v>
          </cell>
          <cell r="P387">
            <v>0</v>
          </cell>
          <cell r="Q387">
            <v>0</v>
          </cell>
          <cell r="R387">
            <v>0</v>
          </cell>
          <cell r="S387">
            <v>0</v>
          </cell>
          <cell r="T387">
            <v>0</v>
          </cell>
          <cell r="U387">
            <v>0</v>
          </cell>
          <cell r="V387">
            <v>0</v>
          </cell>
          <cell r="W387">
            <v>0</v>
          </cell>
          <cell r="X387">
            <v>0</v>
          </cell>
          <cell r="Y387">
            <v>0</v>
          </cell>
          <cell r="Z387">
            <v>0</v>
          </cell>
          <cell r="AA387">
            <v>0</v>
          </cell>
          <cell r="AB387">
            <v>0</v>
          </cell>
          <cell r="AC387">
            <v>0</v>
          </cell>
          <cell r="AD387">
            <v>0</v>
          </cell>
          <cell r="AE387">
            <v>0</v>
          </cell>
          <cell r="AF387">
            <v>0</v>
          </cell>
          <cell r="AG387">
            <v>0</v>
          </cell>
          <cell r="AH387">
            <v>0</v>
          </cell>
          <cell r="AI387">
            <v>0</v>
          </cell>
          <cell r="AJ387">
            <v>0</v>
          </cell>
          <cell r="AK387">
            <v>0</v>
          </cell>
          <cell r="AL387">
            <v>0</v>
          </cell>
          <cell r="AM387">
            <v>0</v>
          </cell>
          <cell r="AN387">
            <v>0</v>
          </cell>
          <cell r="AO387">
            <v>0</v>
          </cell>
          <cell r="AP387">
            <v>0</v>
          </cell>
          <cell r="AQ387">
            <v>0</v>
          </cell>
          <cell r="AR387">
            <v>0</v>
          </cell>
          <cell r="AS387">
            <v>0</v>
          </cell>
          <cell r="AT387">
            <v>0</v>
          </cell>
          <cell r="AU387">
            <v>0</v>
          </cell>
          <cell r="AV387">
            <v>0</v>
          </cell>
          <cell r="AW387">
            <v>0</v>
          </cell>
          <cell r="AX387">
            <v>0</v>
          </cell>
          <cell r="AY387">
            <v>0</v>
          </cell>
          <cell r="AZ387">
            <v>0</v>
          </cell>
          <cell r="BA387">
            <v>0</v>
          </cell>
          <cell r="BB387">
            <v>0</v>
          </cell>
          <cell r="BC387">
            <v>0</v>
          </cell>
          <cell r="BD387">
            <v>0</v>
          </cell>
          <cell r="BE387">
            <v>0</v>
          </cell>
          <cell r="BF387">
            <v>0</v>
          </cell>
          <cell r="BG387">
            <v>0</v>
          </cell>
          <cell r="BH387">
            <v>0</v>
          </cell>
          <cell r="BI387">
            <v>0</v>
          </cell>
          <cell r="BJ387">
            <v>0</v>
          </cell>
          <cell r="BK387">
            <v>0</v>
          </cell>
          <cell r="BL387">
            <v>0</v>
          </cell>
          <cell r="BM387">
            <v>0</v>
          </cell>
          <cell r="BN387">
            <v>0</v>
          </cell>
          <cell r="BO387">
            <v>0</v>
          </cell>
          <cell r="BP387">
            <v>0</v>
          </cell>
          <cell r="BQ387">
            <v>0</v>
          </cell>
          <cell r="BR387">
            <v>0</v>
          </cell>
          <cell r="BS387">
            <v>0</v>
          </cell>
          <cell r="BT387">
            <v>0</v>
          </cell>
          <cell r="BU387">
            <v>0</v>
          </cell>
          <cell r="BV387">
            <v>0</v>
          </cell>
          <cell r="BW387">
            <v>0</v>
          </cell>
          <cell r="BX387">
            <v>0</v>
          </cell>
          <cell r="BY387">
            <v>0</v>
          </cell>
          <cell r="BZ387">
            <v>0</v>
          </cell>
          <cell r="CA387">
            <v>0</v>
          </cell>
          <cell r="CB387">
            <v>0</v>
          </cell>
          <cell r="CC387">
            <v>0</v>
          </cell>
          <cell r="CD387">
            <v>0</v>
          </cell>
          <cell r="CE387">
            <v>0</v>
          </cell>
          <cell r="CF387">
            <v>0</v>
          </cell>
        </row>
        <row r="388">
          <cell r="B388" t="str">
            <v>NOV</v>
          </cell>
          <cell r="C388">
            <v>0</v>
          </cell>
          <cell r="D388">
            <v>0</v>
          </cell>
          <cell r="E388">
            <v>0</v>
          </cell>
          <cell r="F388">
            <v>0</v>
          </cell>
          <cell r="G388">
            <v>0</v>
          </cell>
          <cell r="H388">
            <v>0</v>
          </cell>
          <cell r="I388">
            <v>0</v>
          </cell>
          <cell r="J388">
            <v>0</v>
          </cell>
          <cell r="K388">
            <v>0</v>
          </cell>
          <cell r="L388">
            <v>0</v>
          </cell>
          <cell r="M388">
            <v>0</v>
          </cell>
          <cell r="N388">
            <v>0</v>
          </cell>
          <cell r="O388">
            <v>0</v>
          </cell>
          <cell r="P388">
            <v>0</v>
          </cell>
          <cell r="Q388">
            <v>0</v>
          </cell>
          <cell r="R388">
            <v>0</v>
          </cell>
          <cell r="S388">
            <v>0</v>
          </cell>
          <cell r="T388">
            <v>0</v>
          </cell>
          <cell r="U388">
            <v>0</v>
          </cell>
          <cell r="V388">
            <v>0</v>
          </cell>
          <cell r="W388">
            <v>0</v>
          </cell>
          <cell r="X388">
            <v>0</v>
          </cell>
          <cell r="Y388">
            <v>0</v>
          </cell>
          <cell r="Z388">
            <v>0</v>
          </cell>
          <cell r="AA388">
            <v>0</v>
          </cell>
          <cell r="AB388">
            <v>0</v>
          </cell>
          <cell r="AC388">
            <v>0</v>
          </cell>
          <cell r="AD388">
            <v>0</v>
          </cell>
          <cell r="AE388">
            <v>0</v>
          </cell>
          <cell r="AF388">
            <v>0</v>
          </cell>
          <cell r="AG388">
            <v>0</v>
          </cell>
          <cell r="AH388">
            <v>0</v>
          </cell>
          <cell r="AI388">
            <v>0</v>
          </cell>
          <cell r="AJ388">
            <v>0</v>
          </cell>
          <cell r="AK388">
            <v>0</v>
          </cell>
          <cell r="AL388">
            <v>0</v>
          </cell>
          <cell r="AM388">
            <v>0</v>
          </cell>
          <cell r="AN388">
            <v>0</v>
          </cell>
          <cell r="AO388">
            <v>0</v>
          </cell>
          <cell r="AP388">
            <v>0</v>
          </cell>
          <cell r="AQ388">
            <v>0</v>
          </cell>
          <cell r="AR388">
            <v>0</v>
          </cell>
          <cell r="AS388">
            <v>0</v>
          </cell>
          <cell r="AT388">
            <v>0</v>
          </cell>
          <cell r="AU388">
            <v>0</v>
          </cell>
          <cell r="AV388">
            <v>0</v>
          </cell>
          <cell r="AW388">
            <v>0</v>
          </cell>
          <cell r="AX388">
            <v>0</v>
          </cell>
          <cell r="AY388">
            <v>0</v>
          </cell>
          <cell r="AZ388">
            <v>0</v>
          </cell>
          <cell r="BA388">
            <v>0</v>
          </cell>
          <cell r="BB388">
            <v>0</v>
          </cell>
          <cell r="BC388">
            <v>0</v>
          </cell>
          <cell r="BD388">
            <v>0</v>
          </cell>
          <cell r="BE388">
            <v>0</v>
          </cell>
          <cell r="BF388">
            <v>0</v>
          </cell>
          <cell r="BG388">
            <v>0</v>
          </cell>
          <cell r="BH388">
            <v>0</v>
          </cell>
          <cell r="BI388">
            <v>0</v>
          </cell>
          <cell r="BJ388">
            <v>0</v>
          </cell>
          <cell r="BK388">
            <v>0</v>
          </cell>
          <cell r="BL388">
            <v>0</v>
          </cell>
          <cell r="BM388">
            <v>0</v>
          </cell>
          <cell r="BN388">
            <v>0</v>
          </cell>
          <cell r="BO388">
            <v>0</v>
          </cell>
          <cell r="BP388">
            <v>0</v>
          </cell>
          <cell r="BQ388">
            <v>0</v>
          </cell>
          <cell r="BR388">
            <v>0</v>
          </cell>
          <cell r="BS388">
            <v>0</v>
          </cell>
          <cell r="BT388">
            <v>0</v>
          </cell>
          <cell r="BU388">
            <v>0</v>
          </cell>
          <cell r="BV388">
            <v>0</v>
          </cell>
          <cell r="BW388">
            <v>0</v>
          </cell>
          <cell r="BX388">
            <v>0</v>
          </cell>
          <cell r="BY388">
            <v>0</v>
          </cell>
          <cell r="BZ388">
            <v>0</v>
          </cell>
          <cell r="CA388">
            <v>0</v>
          </cell>
          <cell r="CB388">
            <v>0</v>
          </cell>
          <cell r="CC388">
            <v>0</v>
          </cell>
          <cell r="CD388">
            <v>0</v>
          </cell>
          <cell r="CE388">
            <v>0</v>
          </cell>
          <cell r="CF388">
            <v>0</v>
          </cell>
        </row>
        <row r="389">
          <cell r="B389" t="str">
            <v>DIC</v>
          </cell>
          <cell r="C389">
            <v>0</v>
          </cell>
          <cell r="D389">
            <v>0</v>
          </cell>
          <cell r="E389">
            <v>0</v>
          </cell>
          <cell r="F389">
            <v>0</v>
          </cell>
          <cell r="G389">
            <v>0</v>
          </cell>
          <cell r="H389">
            <v>0</v>
          </cell>
          <cell r="I389">
            <v>0</v>
          </cell>
          <cell r="J389">
            <v>0</v>
          </cell>
          <cell r="K389">
            <v>0</v>
          </cell>
          <cell r="L389">
            <v>0</v>
          </cell>
          <cell r="M389">
            <v>0</v>
          </cell>
          <cell r="N389">
            <v>0</v>
          </cell>
          <cell r="O389">
            <v>0</v>
          </cell>
          <cell r="P389">
            <v>0</v>
          </cell>
          <cell r="Q389">
            <v>0</v>
          </cell>
          <cell r="R389">
            <v>0</v>
          </cell>
          <cell r="S389">
            <v>0</v>
          </cell>
          <cell r="T389">
            <v>0</v>
          </cell>
          <cell r="U389">
            <v>0</v>
          </cell>
          <cell r="V389">
            <v>0</v>
          </cell>
          <cell r="W389">
            <v>0</v>
          </cell>
          <cell r="X389">
            <v>0</v>
          </cell>
          <cell r="Y389">
            <v>0</v>
          </cell>
          <cell r="Z389">
            <v>0</v>
          </cell>
          <cell r="AA389">
            <v>0</v>
          </cell>
          <cell r="AB389">
            <v>0</v>
          </cell>
          <cell r="AC389">
            <v>0</v>
          </cell>
          <cell r="AD389">
            <v>0</v>
          </cell>
          <cell r="AE389">
            <v>0</v>
          </cell>
          <cell r="AF389">
            <v>0</v>
          </cell>
          <cell r="AG389">
            <v>0</v>
          </cell>
          <cell r="AH389">
            <v>0</v>
          </cell>
          <cell r="AI389">
            <v>0</v>
          </cell>
          <cell r="AJ389">
            <v>0</v>
          </cell>
          <cell r="AK389">
            <v>0</v>
          </cell>
          <cell r="AL389">
            <v>0</v>
          </cell>
          <cell r="AM389">
            <v>0</v>
          </cell>
          <cell r="AN389">
            <v>0</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0</v>
          </cell>
          <cell r="BK389">
            <v>0</v>
          </cell>
          <cell r="BL389">
            <v>0</v>
          </cell>
          <cell r="BM389">
            <v>0</v>
          </cell>
          <cell r="BN389">
            <v>0</v>
          </cell>
          <cell r="BO389">
            <v>0</v>
          </cell>
          <cell r="BP389">
            <v>0</v>
          </cell>
          <cell r="BQ389">
            <v>0</v>
          </cell>
          <cell r="BR389">
            <v>0</v>
          </cell>
          <cell r="BS389">
            <v>0</v>
          </cell>
          <cell r="BT389">
            <v>0</v>
          </cell>
          <cell r="BU389">
            <v>0</v>
          </cell>
          <cell r="BV389">
            <v>0</v>
          </cell>
          <cell r="BW389">
            <v>0</v>
          </cell>
          <cell r="BX389">
            <v>0</v>
          </cell>
          <cell r="BY389">
            <v>0</v>
          </cell>
          <cell r="BZ389">
            <v>0</v>
          </cell>
          <cell r="CA389">
            <v>0</v>
          </cell>
          <cell r="CB389">
            <v>0</v>
          </cell>
          <cell r="CC389">
            <v>0</v>
          </cell>
          <cell r="CD389">
            <v>0</v>
          </cell>
          <cell r="CE389">
            <v>0</v>
          </cell>
          <cell r="CF389">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DUCCION VS ENERGIA"/>
    </sheetNames>
    <sheetDataSet>
      <sheetData sheetId="0">
        <row r="12">
          <cell r="B12">
            <v>45231</v>
          </cell>
          <cell r="C12">
            <v>0</v>
          </cell>
          <cell r="D12">
            <v>0</v>
          </cell>
          <cell r="E12">
            <v>0</v>
          </cell>
          <cell r="F12">
            <v>0</v>
          </cell>
          <cell r="G12">
            <v>377</v>
          </cell>
          <cell r="H12">
            <v>15.708333333333334</v>
          </cell>
          <cell r="I12">
            <v>149</v>
          </cell>
        </row>
        <row r="13">
          <cell r="B13">
            <v>45232</v>
          </cell>
          <cell r="C13" t="str">
            <v xml:space="preserve"> </v>
          </cell>
          <cell r="D13" t="str">
            <v xml:space="preserve"> </v>
          </cell>
          <cell r="E13" t="str">
            <v xml:space="preserve"> </v>
          </cell>
          <cell r="F13" t="str">
            <v xml:space="preserve"> </v>
          </cell>
          <cell r="G13" t="str">
            <v xml:space="preserve"> </v>
          </cell>
          <cell r="H13" t="str">
            <v xml:space="preserve"> </v>
          </cell>
          <cell r="I13" t="str">
            <v xml:space="preserve"> </v>
          </cell>
        </row>
        <row r="14">
          <cell r="B14">
            <v>45233</v>
          </cell>
          <cell r="C14" t="str">
            <v xml:space="preserve"> </v>
          </cell>
          <cell r="D14" t="str">
            <v xml:space="preserve"> </v>
          </cell>
          <cell r="E14" t="str">
            <v xml:space="preserve"> </v>
          </cell>
          <cell r="F14" t="str">
            <v xml:space="preserve"> </v>
          </cell>
          <cell r="G14" t="str">
            <v xml:space="preserve"> </v>
          </cell>
          <cell r="H14" t="str">
            <v xml:space="preserve"> </v>
          </cell>
          <cell r="I14" t="str">
            <v xml:space="preserve"> </v>
          </cell>
        </row>
        <row r="15">
          <cell r="B15">
            <v>45234</v>
          </cell>
          <cell r="C15" t="str">
            <v xml:space="preserve"> </v>
          </cell>
          <cell r="D15" t="str">
            <v xml:space="preserve"> </v>
          </cell>
          <cell r="E15" t="str">
            <v xml:space="preserve"> </v>
          </cell>
          <cell r="F15" t="str">
            <v xml:space="preserve"> </v>
          </cell>
          <cell r="G15" t="str">
            <v xml:space="preserve"> </v>
          </cell>
          <cell r="H15" t="str">
            <v xml:space="preserve"> </v>
          </cell>
          <cell r="I15" t="str">
            <v xml:space="preserve"> </v>
          </cell>
        </row>
        <row r="16">
          <cell r="B16">
            <v>45235</v>
          </cell>
          <cell r="C16" t="str">
            <v xml:space="preserve"> </v>
          </cell>
          <cell r="D16" t="str">
            <v xml:space="preserve"> </v>
          </cell>
          <cell r="E16" t="str">
            <v xml:space="preserve"> </v>
          </cell>
          <cell r="F16" t="str">
            <v xml:space="preserve"> </v>
          </cell>
          <cell r="G16" t="str">
            <v xml:space="preserve"> </v>
          </cell>
          <cell r="H16" t="str">
            <v xml:space="preserve"> </v>
          </cell>
          <cell r="I16" t="str">
            <v xml:space="preserve"> </v>
          </cell>
        </row>
        <row r="17">
          <cell r="B17">
            <v>45236</v>
          </cell>
          <cell r="C17" t="str">
            <v xml:space="preserve"> </v>
          </cell>
          <cell r="D17" t="str">
            <v xml:space="preserve"> </v>
          </cell>
          <cell r="E17" t="str">
            <v xml:space="preserve"> </v>
          </cell>
          <cell r="F17" t="str">
            <v xml:space="preserve"> </v>
          </cell>
          <cell r="G17" t="str">
            <v xml:space="preserve"> </v>
          </cell>
          <cell r="H17" t="str">
            <v xml:space="preserve"> </v>
          </cell>
          <cell r="I17" t="str">
            <v xml:space="preserve"> </v>
          </cell>
        </row>
        <row r="18">
          <cell r="B18">
            <v>45237</v>
          </cell>
          <cell r="C18" t="str">
            <v xml:space="preserve"> </v>
          </cell>
          <cell r="D18" t="str">
            <v xml:space="preserve"> </v>
          </cell>
          <cell r="E18" t="str">
            <v xml:space="preserve"> </v>
          </cell>
          <cell r="F18" t="str">
            <v xml:space="preserve"> </v>
          </cell>
          <cell r="G18" t="str">
            <v xml:space="preserve"> </v>
          </cell>
          <cell r="H18" t="str">
            <v xml:space="preserve"> </v>
          </cell>
          <cell r="I18" t="str">
            <v xml:space="preserve"> </v>
          </cell>
        </row>
        <row r="19">
          <cell r="B19">
            <v>45238</v>
          </cell>
          <cell r="C19" t="str">
            <v xml:space="preserve"> </v>
          </cell>
          <cell r="D19" t="str">
            <v xml:space="preserve"> </v>
          </cell>
          <cell r="E19" t="str">
            <v xml:space="preserve"> </v>
          </cell>
          <cell r="F19" t="str">
            <v xml:space="preserve"> </v>
          </cell>
          <cell r="G19" t="str">
            <v xml:space="preserve"> </v>
          </cell>
          <cell r="H19" t="str">
            <v xml:space="preserve"> </v>
          </cell>
          <cell r="I19" t="str">
            <v xml:space="preserve"> </v>
          </cell>
        </row>
        <row r="20">
          <cell r="B20">
            <v>45239</v>
          </cell>
          <cell r="C20" t="str">
            <v xml:space="preserve"> </v>
          </cell>
          <cell r="D20" t="str">
            <v xml:space="preserve"> </v>
          </cell>
          <cell r="E20" t="str">
            <v xml:space="preserve"> </v>
          </cell>
          <cell r="F20" t="str">
            <v xml:space="preserve"> </v>
          </cell>
          <cell r="G20" t="str">
            <v xml:space="preserve"> </v>
          </cell>
          <cell r="H20" t="str">
            <v xml:space="preserve"> </v>
          </cell>
          <cell r="I20" t="str">
            <v xml:space="preserve"> </v>
          </cell>
        </row>
        <row r="21">
          <cell r="B21">
            <v>45240</v>
          </cell>
          <cell r="C21" t="str">
            <v xml:space="preserve"> </v>
          </cell>
          <cell r="D21" t="str">
            <v xml:space="preserve"> </v>
          </cell>
          <cell r="E21" t="str">
            <v xml:space="preserve"> </v>
          </cell>
          <cell r="F21" t="str">
            <v xml:space="preserve"> </v>
          </cell>
          <cell r="G21" t="str">
            <v xml:space="preserve"> </v>
          </cell>
          <cell r="H21" t="str">
            <v xml:space="preserve"> </v>
          </cell>
          <cell r="I21" t="str">
            <v xml:space="preserve"> </v>
          </cell>
        </row>
        <row r="22">
          <cell r="B22">
            <v>45241</v>
          </cell>
          <cell r="C22" t="str">
            <v xml:space="preserve"> </v>
          </cell>
          <cell r="D22" t="str">
            <v xml:space="preserve"> </v>
          </cell>
          <cell r="E22" t="str">
            <v xml:space="preserve"> </v>
          </cell>
          <cell r="F22" t="str">
            <v xml:space="preserve"> </v>
          </cell>
          <cell r="G22" t="str">
            <v xml:space="preserve"> </v>
          </cell>
          <cell r="H22" t="str">
            <v xml:space="preserve"> </v>
          </cell>
          <cell r="I22" t="str">
            <v xml:space="preserve"> </v>
          </cell>
        </row>
        <row r="23">
          <cell r="B23">
            <v>45242</v>
          </cell>
          <cell r="C23" t="str">
            <v xml:space="preserve"> </v>
          </cell>
          <cell r="D23" t="str">
            <v xml:space="preserve"> </v>
          </cell>
          <cell r="E23" t="str">
            <v xml:space="preserve"> </v>
          </cell>
          <cell r="F23" t="str">
            <v xml:space="preserve"> </v>
          </cell>
          <cell r="G23" t="str">
            <v xml:space="preserve"> </v>
          </cell>
          <cell r="H23" t="str">
            <v xml:space="preserve"> </v>
          </cell>
          <cell r="I23" t="str">
            <v xml:space="preserve"> </v>
          </cell>
        </row>
        <row r="24">
          <cell r="B24">
            <v>45243</v>
          </cell>
          <cell r="C24" t="str">
            <v xml:space="preserve"> </v>
          </cell>
          <cell r="D24" t="str">
            <v xml:space="preserve"> </v>
          </cell>
          <cell r="E24" t="str">
            <v xml:space="preserve"> </v>
          </cell>
          <cell r="F24" t="str">
            <v xml:space="preserve"> </v>
          </cell>
          <cell r="G24" t="str">
            <v xml:space="preserve"> </v>
          </cell>
          <cell r="H24" t="str">
            <v xml:space="preserve"> </v>
          </cell>
          <cell r="I24" t="str">
            <v xml:space="preserve"> </v>
          </cell>
        </row>
        <row r="25">
          <cell r="B25">
            <v>45244</v>
          </cell>
          <cell r="C25" t="str">
            <v xml:space="preserve"> </v>
          </cell>
          <cell r="D25" t="str">
            <v xml:space="preserve"> </v>
          </cell>
          <cell r="E25" t="str">
            <v xml:space="preserve"> </v>
          </cell>
          <cell r="F25" t="str">
            <v xml:space="preserve"> </v>
          </cell>
          <cell r="G25" t="str">
            <v xml:space="preserve"> </v>
          </cell>
          <cell r="H25" t="str">
            <v xml:space="preserve"> </v>
          </cell>
          <cell r="I25" t="str">
            <v xml:space="preserve"> </v>
          </cell>
        </row>
        <row r="26">
          <cell r="B26">
            <v>45245</v>
          </cell>
          <cell r="C26" t="str">
            <v xml:space="preserve"> </v>
          </cell>
          <cell r="D26" t="str">
            <v xml:space="preserve"> </v>
          </cell>
          <cell r="E26" t="str">
            <v xml:space="preserve"> </v>
          </cell>
          <cell r="F26" t="str">
            <v xml:space="preserve"> </v>
          </cell>
          <cell r="G26" t="str">
            <v xml:space="preserve"> </v>
          </cell>
          <cell r="H26" t="str">
            <v xml:space="preserve"> </v>
          </cell>
          <cell r="I26" t="str">
            <v xml:space="preserve"> </v>
          </cell>
        </row>
        <row r="27">
          <cell r="B27">
            <v>45246</v>
          </cell>
          <cell r="C27" t="str">
            <v xml:space="preserve"> </v>
          </cell>
          <cell r="D27" t="str">
            <v xml:space="preserve"> </v>
          </cell>
          <cell r="E27" t="str">
            <v xml:space="preserve"> </v>
          </cell>
          <cell r="F27" t="str">
            <v xml:space="preserve"> </v>
          </cell>
          <cell r="G27" t="str">
            <v xml:space="preserve"> </v>
          </cell>
          <cell r="H27" t="str">
            <v xml:space="preserve"> </v>
          </cell>
          <cell r="I27" t="str">
            <v xml:space="preserve"> </v>
          </cell>
        </row>
        <row r="28">
          <cell r="B28">
            <v>45247</v>
          </cell>
          <cell r="C28" t="str">
            <v xml:space="preserve"> </v>
          </cell>
          <cell r="D28" t="str">
            <v xml:space="preserve"> </v>
          </cell>
          <cell r="E28" t="str">
            <v xml:space="preserve"> </v>
          </cell>
          <cell r="F28" t="str">
            <v xml:space="preserve"> </v>
          </cell>
          <cell r="G28" t="str">
            <v xml:space="preserve"> </v>
          </cell>
          <cell r="H28" t="str">
            <v xml:space="preserve"> </v>
          </cell>
          <cell r="I28" t="str">
            <v xml:space="preserve"> </v>
          </cell>
        </row>
        <row r="29">
          <cell r="B29">
            <v>45248</v>
          </cell>
          <cell r="C29" t="str">
            <v xml:space="preserve"> </v>
          </cell>
          <cell r="D29" t="str">
            <v xml:space="preserve"> </v>
          </cell>
          <cell r="E29" t="str">
            <v xml:space="preserve"> </v>
          </cell>
          <cell r="F29" t="str">
            <v xml:space="preserve"> </v>
          </cell>
          <cell r="G29" t="str">
            <v xml:space="preserve"> </v>
          </cell>
          <cell r="H29" t="str">
            <v xml:space="preserve"> </v>
          </cell>
          <cell r="I29" t="str">
            <v xml:space="preserve"> </v>
          </cell>
        </row>
        <row r="30">
          <cell r="B30">
            <v>45249</v>
          </cell>
          <cell r="C30" t="str">
            <v xml:space="preserve"> </v>
          </cell>
          <cell r="D30" t="str">
            <v xml:space="preserve"> </v>
          </cell>
          <cell r="E30" t="str">
            <v xml:space="preserve"> </v>
          </cell>
          <cell r="F30" t="str">
            <v xml:space="preserve"> </v>
          </cell>
          <cell r="G30" t="str">
            <v xml:space="preserve"> </v>
          </cell>
          <cell r="H30" t="str">
            <v xml:space="preserve"> </v>
          </cell>
          <cell r="I30" t="str">
            <v xml:space="preserve"> </v>
          </cell>
        </row>
        <row r="31">
          <cell r="B31">
            <v>45250</v>
          </cell>
          <cell r="C31" t="str">
            <v xml:space="preserve"> </v>
          </cell>
          <cell r="D31" t="str">
            <v xml:space="preserve"> </v>
          </cell>
          <cell r="E31" t="str">
            <v xml:space="preserve"> </v>
          </cell>
          <cell r="F31" t="str">
            <v xml:space="preserve"> </v>
          </cell>
          <cell r="G31" t="str">
            <v xml:space="preserve"> </v>
          </cell>
          <cell r="H31" t="str">
            <v xml:space="preserve"> </v>
          </cell>
          <cell r="I31" t="str">
            <v xml:space="preserve"> </v>
          </cell>
        </row>
        <row r="32">
          <cell r="B32">
            <v>45251</v>
          </cell>
          <cell r="C32" t="str">
            <v xml:space="preserve"> </v>
          </cell>
          <cell r="D32" t="str">
            <v xml:space="preserve"> </v>
          </cell>
          <cell r="E32" t="str">
            <v xml:space="preserve"> </v>
          </cell>
          <cell r="F32" t="str">
            <v xml:space="preserve"> </v>
          </cell>
          <cell r="G32" t="str">
            <v xml:space="preserve"> </v>
          </cell>
          <cell r="H32" t="str">
            <v xml:space="preserve"> </v>
          </cell>
          <cell r="I32" t="str">
            <v xml:space="preserve"> </v>
          </cell>
        </row>
        <row r="33">
          <cell r="B33">
            <v>45252</v>
          </cell>
          <cell r="C33" t="str">
            <v xml:space="preserve"> </v>
          </cell>
          <cell r="D33" t="str">
            <v xml:space="preserve"> </v>
          </cell>
          <cell r="E33" t="str">
            <v xml:space="preserve"> </v>
          </cell>
          <cell r="F33" t="str">
            <v xml:space="preserve"> </v>
          </cell>
          <cell r="G33" t="str">
            <v xml:space="preserve"> </v>
          </cell>
          <cell r="H33" t="str">
            <v xml:space="preserve"> </v>
          </cell>
          <cell r="I33" t="str">
            <v xml:space="preserve"> </v>
          </cell>
        </row>
        <row r="34">
          <cell r="B34">
            <v>45253</v>
          </cell>
          <cell r="C34" t="str">
            <v xml:space="preserve"> </v>
          </cell>
          <cell r="D34" t="str">
            <v xml:space="preserve"> </v>
          </cell>
          <cell r="E34" t="str">
            <v xml:space="preserve"> </v>
          </cell>
          <cell r="F34" t="str">
            <v xml:space="preserve"> </v>
          </cell>
          <cell r="G34" t="str">
            <v xml:space="preserve"> </v>
          </cell>
          <cell r="H34" t="str">
            <v xml:space="preserve"> </v>
          </cell>
          <cell r="I34" t="str">
            <v xml:space="preserve"> </v>
          </cell>
        </row>
        <row r="35">
          <cell r="B35">
            <v>45254</v>
          </cell>
          <cell r="C35" t="str">
            <v xml:space="preserve"> </v>
          </cell>
          <cell r="D35" t="str">
            <v xml:space="preserve"> </v>
          </cell>
          <cell r="E35" t="str">
            <v xml:space="preserve"> </v>
          </cell>
          <cell r="F35" t="str">
            <v xml:space="preserve"> </v>
          </cell>
          <cell r="G35" t="str">
            <v xml:space="preserve"> </v>
          </cell>
          <cell r="H35" t="str">
            <v xml:space="preserve"> </v>
          </cell>
          <cell r="I35" t="str">
            <v xml:space="preserve"> </v>
          </cell>
        </row>
        <row r="36">
          <cell r="B36">
            <v>45255</v>
          </cell>
          <cell r="C36" t="str">
            <v xml:space="preserve"> </v>
          </cell>
          <cell r="D36" t="str">
            <v xml:space="preserve"> </v>
          </cell>
          <cell r="E36" t="str">
            <v xml:space="preserve"> </v>
          </cell>
          <cell r="F36" t="str">
            <v xml:space="preserve"> </v>
          </cell>
          <cell r="G36" t="str">
            <v xml:space="preserve"> </v>
          </cell>
          <cell r="H36" t="str">
            <v xml:space="preserve"> </v>
          </cell>
          <cell r="I36" t="str">
            <v xml:space="preserve"> </v>
          </cell>
        </row>
        <row r="37">
          <cell r="B37">
            <v>45256</v>
          </cell>
          <cell r="C37" t="str">
            <v xml:space="preserve"> </v>
          </cell>
          <cell r="D37" t="str">
            <v xml:space="preserve"> </v>
          </cell>
          <cell r="E37" t="str">
            <v xml:space="preserve"> </v>
          </cell>
          <cell r="F37" t="str">
            <v xml:space="preserve"> </v>
          </cell>
          <cell r="G37" t="str">
            <v xml:space="preserve"> </v>
          </cell>
          <cell r="H37" t="str">
            <v xml:space="preserve"> </v>
          </cell>
          <cell r="I37" t="str">
            <v xml:space="preserve"> </v>
          </cell>
        </row>
        <row r="38">
          <cell r="B38">
            <v>45257</v>
          </cell>
          <cell r="C38" t="str">
            <v xml:space="preserve"> </v>
          </cell>
          <cell r="D38" t="str">
            <v xml:space="preserve"> </v>
          </cell>
          <cell r="E38" t="str">
            <v xml:space="preserve"> </v>
          </cell>
          <cell r="F38" t="str">
            <v xml:space="preserve"> </v>
          </cell>
          <cell r="G38" t="str">
            <v xml:space="preserve"> </v>
          </cell>
          <cell r="H38" t="str">
            <v xml:space="preserve"> </v>
          </cell>
          <cell r="I38" t="str">
            <v xml:space="preserve"> </v>
          </cell>
        </row>
        <row r="39">
          <cell r="B39">
            <v>45258</v>
          </cell>
          <cell r="C39" t="str">
            <v xml:space="preserve"> </v>
          </cell>
          <cell r="D39" t="str">
            <v xml:space="preserve"> </v>
          </cell>
          <cell r="E39" t="str">
            <v xml:space="preserve"> </v>
          </cell>
          <cell r="F39" t="str">
            <v xml:space="preserve"> </v>
          </cell>
          <cell r="G39" t="str">
            <v xml:space="preserve"> </v>
          </cell>
          <cell r="H39" t="str">
            <v xml:space="preserve"> </v>
          </cell>
          <cell r="I39" t="str">
            <v xml:space="preserve"> </v>
          </cell>
        </row>
        <row r="40">
          <cell r="B40">
            <v>45259</v>
          </cell>
          <cell r="C40" t="str">
            <v xml:space="preserve"> </v>
          </cell>
          <cell r="D40" t="str">
            <v xml:space="preserve"> </v>
          </cell>
          <cell r="E40" t="str">
            <v xml:space="preserve"> </v>
          </cell>
          <cell r="F40" t="str">
            <v xml:space="preserve"> </v>
          </cell>
          <cell r="G40" t="str">
            <v xml:space="preserve"> </v>
          </cell>
          <cell r="H40" t="str">
            <v xml:space="preserve"> </v>
          </cell>
          <cell r="I40" t="str">
            <v xml:space="preserve"> </v>
          </cell>
        </row>
        <row r="41">
          <cell r="B41">
            <v>45260</v>
          </cell>
          <cell r="C41" t="str">
            <v xml:space="preserve"> </v>
          </cell>
          <cell r="D41" t="str">
            <v xml:space="preserve"> </v>
          </cell>
          <cell r="E41" t="str">
            <v xml:space="preserve"> </v>
          </cell>
          <cell r="F41" t="str">
            <v xml:space="preserve"> </v>
          </cell>
          <cell r="G41" t="str">
            <v xml:space="preserve"> </v>
          </cell>
          <cell r="H41" t="str">
            <v xml:space="preserve"> </v>
          </cell>
          <cell r="I41" t="str">
            <v xml:space="preserve"> </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E DIARIO"/>
    </sheetNames>
    <sheetDataSet>
      <sheetData sheetId="0">
        <row r="11">
          <cell r="B11" t="str">
            <v>U1-GTB-80001</v>
          </cell>
          <cell r="C11">
            <v>0</v>
          </cell>
          <cell r="D11">
            <v>0</v>
          </cell>
        </row>
        <row r="12">
          <cell r="B12" t="str">
            <v>U1-GTB-80002</v>
          </cell>
          <cell r="C12">
            <v>4</v>
          </cell>
          <cell r="D12">
            <v>198</v>
          </cell>
        </row>
        <row r="13">
          <cell r="B13" t="str">
            <v>U1-GTB-80003</v>
          </cell>
          <cell r="C13">
            <v>3.7</v>
          </cell>
          <cell r="D13">
            <v>148</v>
          </cell>
          <cell r="M13">
            <v>377</v>
          </cell>
        </row>
        <row r="14">
          <cell r="B14" t="str">
            <v>G-80005</v>
          </cell>
          <cell r="C14">
            <v>0</v>
          </cell>
          <cell r="D14">
            <v>0</v>
          </cell>
          <cell r="M14">
            <v>377</v>
          </cell>
        </row>
        <row r="15">
          <cell r="B15" t="str">
            <v>G-7108</v>
          </cell>
          <cell r="C15">
            <v>0</v>
          </cell>
          <cell r="D15">
            <v>0</v>
          </cell>
          <cell r="M15">
            <v>133820.88849999997</v>
          </cell>
        </row>
        <row r="16">
          <cell r="B16" t="str">
            <v>G-7104</v>
          </cell>
          <cell r="C16">
            <v>0</v>
          </cell>
          <cell r="D16">
            <v>0</v>
          </cell>
        </row>
        <row r="32">
          <cell r="E32">
            <v>52</v>
          </cell>
          <cell r="F32">
            <v>106.64640056913082</v>
          </cell>
        </row>
        <row r="33">
          <cell r="E33">
            <v>0</v>
          </cell>
          <cell r="F33">
            <v>0</v>
          </cell>
        </row>
        <row r="34">
          <cell r="E34">
            <v>102</v>
          </cell>
          <cell r="F34">
            <v>209.19101650098739</v>
          </cell>
        </row>
        <row r="35">
          <cell r="E35">
            <v>92</v>
          </cell>
          <cell r="F35">
            <v>188.68209331461608</v>
          </cell>
        </row>
        <row r="36">
          <cell r="E36">
            <v>0</v>
          </cell>
          <cell r="F36">
            <v>0</v>
          </cell>
        </row>
        <row r="37">
          <cell r="E37">
            <v>0</v>
          </cell>
          <cell r="F37">
            <v>0</v>
          </cell>
        </row>
        <row r="38">
          <cell r="E38">
            <v>0</v>
          </cell>
          <cell r="F38">
            <v>0</v>
          </cell>
        </row>
        <row r="39">
          <cell r="E39">
            <v>2.3000000000010914</v>
          </cell>
          <cell r="F39">
            <v>4.7170523328676399</v>
          </cell>
        </row>
        <row r="40">
          <cell r="E40">
            <v>0</v>
          </cell>
          <cell r="F40">
            <v>0</v>
          </cell>
        </row>
        <row r="41">
          <cell r="E41">
            <v>54</v>
          </cell>
          <cell r="F41">
            <v>110.74818520640508</v>
          </cell>
        </row>
        <row r="42">
          <cell r="E42">
            <v>74.699999999998909</v>
          </cell>
          <cell r="F42">
            <v>153.20165620219146</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E DIARIO CUS-CUP"/>
    </sheetNames>
    <sheetDataSet>
      <sheetData sheetId="0">
        <row r="16">
          <cell r="H16">
            <v>2.2399073599176953</v>
          </cell>
          <cell r="I16">
            <v>0</v>
          </cell>
        </row>
        <row r="17">
          <cell r="H17">
            <v>2.2260917220576131</v>
          </cell>
        </row>
        <row r="18">
          <cell r="H18">
            <v>3.1586472776131695</v>
          </cell>
        </row>
        <row r="19">
          <cell r="H19"/>
        </row>
        <row r="20">
          <cell r="H20"/>
        </row>
        <row r="21">
          <cell r="H21"/>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JUN-30"/>
      <sheetName val="JUL-01"/>
      <sheetName val="Jul-02"/>
      <sheetName val="Jul-03"/>
      <sheetName val="Jul-04"/>
      <sheetName val="Jul-05"/>
      <sheetName val="Jul-06"/>
      <sheetName val="Jul-07"/>
      <sheetName val="Jul-08"/>
      <sheetName val="Jul-09"/>
      <sheetName val="Jul-10"/>
      <sheetName val="Jul-11"/>
      <sheetName val="Jul-12"/>
      <sheetName val="Jul-13"/>
      <sheetName val="Jul-14"/>
      <sheetName val="Jul-15"/>
      <sheetName val="Jul-16"/>
      <sheetName val="Jul-17"/>
      <sheetName val="Jul-18"/>
      <sheetName val="Jul-19"/>
      <sheetName val="Jul-20"/>
      <sheetName val="Jul-24"/>
      <sheetName val="Jul-25"/>
      <sheetName val="Jul-26"/>
      <sheetName val="Jul-27"/>
      <sheetName val="Jul-28"/>
      <sheetName val="Jul-29"/>
      <sheetName val="Jul-30"/>
      <sheetName val="Jul-31"/>
      <sheetName val="JUL-21"/>
      <sheetName val="JUL-22"/>
      <sheetName val="JUL-23"/>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1">
          <cell r="P11" t="str">
            <v xml:space="preserve"> CUSIANA
</v>
          </cell>
          <cell r="Q11" t="str">
            <v xml:space="preserve"> CUPIAGUA 
</v>
          </cell>
        </row>
        <row r="12">
          <cell r="P12"/>
          <cell r="Q12"/>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 sheetId="30" refreshError="1"/>
      <sheetData sheetId="31"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STADISTICOS MAYO 2017"/>
      <sheetName val="INICIO"/>
      <sheetName val="CONTADORES"/>
      <sheetName val="DATOSAÑO"/>
      <sheetName val="ESTADISTICOS"/>
      <sheetName val="REPORTE DIA"/>
      <sheetName val="DATOSCECOS"/>
      <sheetName val="INFORME DIA GDP"/>
      <sheetName val="Energía facilidades"/>
      <sheetName val="PRODUCCION VS ENERGIA GDP"/>
      <sheetName val="GRAFICAS DIA-MES"/>
      <sheetName val="US-GT-8001-2"/>
      <sheetName val="DATA DE LAS 12"/>
      <sheetName val="CURVA DURACION"/>
      <sheetName val="OCENSA"/>
      <sheetName val="FAC  NW"/>
      <sheetName val="FORMATO"/>
      <sheetName val="ENERGIA-GAS"/>
      <sheetName val="CONSUMO "/>
      <sheetName val="SEGUIMIENTO CONSUMO ENERGIA"/>
      <sheetName val="REGISTRO DE INDISPONIBILIDAD"/>
      <sheetName val="GRAFICAS RPTE GCIAL"/>
      <sheetName val="INDICADORES"/>
      <sheetName val="Resultados Mes &amp; Acum"/>
      <sheetName val="Datos Mes2"/>
      <sheetName val="Grafica totales"/>
      <sheetName val="grafica1"/>
      <sheetName val="Grafica costos variables"/>
      <sheetName val="metricas"/>
      <sheetName val="Instrucciones"/>
      <sheetName val="Definición Costos"/>
      <sheetName val="Datos Mes"/>
      <sheetName val="PORTADA"/>
      <sheetName val="CALCULO DE GAS"/>
    </sheetNames>
    <sheetDataSet>
      <sheetData sheetId="0">
        <row r="81">
          <cell r="C81">
            <v>0</v>
          </cell>
          <cell r="E81" t="str">
            <v>Enfriamiento 8 horas (8 horas)</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CONTADORES"/>
      <sheetName val="DATOSAÑO"/>
      <sheetName val="REPORTE DIA"/>
      <sheetName val="ESTADISTICOS"/>
      <sheetName val="DATOSCECOS"/>
      <sheetName val="ESTADISTICOS (2)"/>
      <sheetName val="INFORME DIA GDP"/>
      <sheetName val="PRODUCCION VS ENERGIA GDP"/>
      <sheetName val="GRAFICAS DIA-MES"/>
      <sheetName val="US-GT-8001-2"/>
      <sheetName val="DATA DE LAS 12"/>
      <sheetName val="CURVA DURACION"/>
      <sheetName val="OCENSA"/>
      <sheetName val="FAC  NW"/>
      <sheetName val="FORMATO"/>
      <sheetName val="ENERGIA-GAS"/>
      <sheetName val="CONSUMO "/>
      <sheetName val="SEGUIMIENTO CONSUMO ENERGIA"/>
      <sheetName val="REGISTRO DE INDISPONIBILIDAD"/>
      <sheetName val="GRAFICAS RPTE GCIAL"/>
      <sheetName val="INDICADORES"/>
      <sheetName val="Resultados Mes &amp; Acum"/>
      <sheetName val="Datos Mes2"/>
      <sheetName val="Grafica totales"/>
      <sheetName val="grafica1"/>
      <sheetName val="Grafica costos variables"/>
      <sheetName val="metricas"/>
      <sheetName val="Instrucciones"/>
      <sheetName val="Definición Costos"/>
      <sheetName val="Datos Mes"/>
      <sheetName val="PORTADA"/>
      <sheetName val="CALCULO DE GAS"/>
      <sheetName val="Hoja1"/>
    </sheetNames>
    <sheetDataSet>
      <sheetData sheetId="0" refreshError="1"/>
      <sheetData sheetId="1" refreshError="1"/>
      <sheetData sheetId="2" refreshError="1"/>
      <sheetData sheetId="3" refreshError="1"/>
      <sheetData sheetId="4" refreshError="1"/>
      <sheetData sheetId="5" refreshError="1">
        <row r="391">
          <cell r="H391">
            <v>595.70000000004802</v>
          </cell>
        </row>
        <row r="393">
          <cell r="H393">
            <v>712.19999999998959</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CONTADORES"/>
      <sheetName val="DATOSAÑO"/>
      <sheetName val="REPORTE DIA"/>
      <sheetName val="DATOSCECOS"/>
      <sheetName val="INFORME DIARIO TOT"/>
      <sheetName val="PRODUCCION VS ENERGIA TOT"/>
      <sheetName val="INFORME DIARIO"/>
      <sheetName val="PRODUCCION VS ENERGIA CUS-CUP"/>
      <sheetName val="PRODUCCION VS ENERGIA NW_XL"/>
      <sheetName val="GRAFICAS DIA-MES"/>
      <sheetName val="US-GT-8001-2"/>
      <sheetName val="DATA DE LAS 12"/>
      <sheetName val="CURVA DURACION"/>
      <sheetName val="OCENSA"/>
      <sheetName val="FAC  NW"/>
      <sheetName val="FORMATO"/>
      <sheetName val="ENERGIA-GAS"/>
      <sheetName val="CONSUMO "/>
      <sheetName val="SEGUIMIENTO CONSUMO ENERGIA"/>
      <sheetName val="REGISTRO DE INDISPONIBILIDAD"/>
      <sheetName val="GRAFICAS RPTE GCIAL"/>
      <sheetName val="INDICADORES"/>
      <sheetName val="IE"/>
      <sheetName val="Heat rate"/>
      <sheetName val="Factor de producción"/>
      <sheetName val="Resultados Mes &amp; Acum"/>
      <sheetName val="Datos Mes2"/>
      <sheetName val="Grafica totales"/>
      <sheetName val="grafica1"/>
      <sheetName val="Grafica costos variables"/>
      <sheetName val="metricas"/>
      <sheetName val="Instrucciones"/>
      <sheetName val="Definición Costos"/>
      <sheetName val="Datos Mes"/>
      <sheetName val="PORTADA"/>
      <sheetName val="CALCULO DE GAS"/>
    </sheetNames>
    <sheetDataSet>
      <sheetData sheetId="0">
        <row r="16">
          <cell r="D16">
            <v>42552</v>
          </cell>
        </row>
      </sheetData>
      <sheetData sheetId="1">
        <row r="213">
          <cell r="BM213">
            <v>11003.38</v>
          </cell>
        </row>
      </sheetData>
      <sheetData sheetId="2">
        <row r="378">
          <cell r="CJ378">
            <v>22.975099999999998</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160">
          <cell r="B160" t="str">
            <v>MES</v>
          </cell>
        </row>
      </sheetData>
      <sheetData sheetId="22"/>
      <sheetData sheetId="23"/>
      <sheetData sheetId="24">
        <row r="19">
          <cell r="J19" t="str">
            <v>Meta</v>
          </cell>
        </row>
        <row r="21">
          <cell r="B21" t="str">
            <v>ENE</v>
          </cell>
        </row>
        <row r="22">
          <cell r="B22" t="str">
            <v>FEB.</v>
          </cell>
        </row>
        <row r="23">
          <cell r="B23" t="str">
            <v>MAR.</v>
          </cell>
        </row>
        <row r="24">
          <cell r="B24" t="str">
            <v>ABR.</v>
          </cell>
        </row>
        <row r="25">
          <cell r="B25" t="str">
            <v>MAY.</v>
          </cell>
        </row>
      </sheetData>
      <sheetData sheetId="25">
        <row r="8">
          <cell r="F8">
            <v>0.41086587436333072</v>
          </cell>
        </row>
      </sheetData>
      <sheetData sheetId="26"/>
      <sheetData sheetId="27"/>
      <sheetData sheetId="28"/>
      <sheetData sheetId="29"/>
      <sheetData sheetId="30"/>
      <sheetData sheetId="31"/>
      <sheetData sheetId="32"/>
      <sheetData sheetId="33"/>
      <sheetData sheetId="34"/>
      <sheetData sheetId="35"/>
      <sheetData sheetId="36"/>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onzalo Coronado Nuñez (Stork Masa)" refreshedDate="42720.85623946759" createdVersion="4" refreshedVersion="4" minRefreshableVersion="3" recordCount="15">
  <cacheSource type="worksheet">
    <worksheetSource ref="C13:P28" sheet="Resultados Mes &amp; Acum"/>
  </cacheSource>
  <cacheFields count="14">
    <cacheField name="Concepto" numFmtId="0">
      <sharedItems count="15">
        <s v="TOTAL COSTOS FIJOS"/>
        <s v="Personal para la operación de generación "/>
        <s v="Generales &amp; Administración Profesional ECP"/>
        <s v="Mantenimientos Mayores (HH) (HGPI, CCI)"/>
        <s v="Depreciacion"/>
        <s v="TOTAL COSTOS VARIABLES"/>
        <s v="Costo Seguros Sector Electrico Ley 99"/>
        <s v="Costo Consumo de Gas (MMBTU es US$ 0.24)"/>
        <s v="Costo Consumo de Diésel (Planta COTU)  1 Galon"/>
        <s v="Costo Consumo de aceite Lubricante  (DTE-832) "/>
        <s v="Costo Mantenimiento HH MDD Generación"/>
        <s v="Costo Mantenimiento Repuestos MDD Generación"/>
        <s v="Costo Mantenimiento &amp; Reparaciones Externas"/>
        <s v="Costo Servicios de Asistencia Técnica Externa"/>
        <s v="COSTO TOTAL DE GENERACION"/>
      </sharedItems>
    </cacheField>
    <cacheField name="Unidades" numFmtId="0">
      <sharedItems containsBlank="1" count="2">
        <m/>
        <s v="COP/mes"/>
      </sharedItems>
    </cacheField>
    <cacheField name="ene-16" numFmtId="0">
      <sharedItems containsSemiMixedTypes="0" containsString="0" containsNumber="1" minValue="0" maxValue="136114464.91049999"/>
    </cacheField>
    <cacheField name="feb-16" numFmtId="0">
      <sharedItems containsSemiMixedTypes="0" containsString="0" containsNumber="1" minValue="0" maxValue="197406512.02860522"/>
    </cacheField>
    <cacheField name="mar-16" numFmtId="0">
      <sharedItems containsSemiMixedTypes="0" containsString="0" containsNumber="1" minValue="0" maxValue="203739501.51644516"/>
    </cacheField>
    <cacheField name="abr-16" numFmtId="0">
      <sharedItems containsSemiMixedTypes="0" containsString="0" containsNumber="1" minValue="0" maxValue="280411300.69620597" count="18">
        <n v="84200249.910500005"/>
        <n v="42010968.910500005"/>
        <n v="264550"/>
        <n v="0"/>
        <n v="41924731"/>
        <n v="53654905.611281097"/>
        <n v="37104183.611281097"/>
        <n v="7450619.9999999991"/>
        <n v="9100102"/>
        <n v="137855155.52178109"/>
        <n v="280411300.69620597" u="1"/>
        <n v="196211050.78570595" u="1"/>
        <n v="141399753.17442486" u="1"/>
        <n v="275898578.69620597" u="1"/>
        <n v="1156391.9999999965" u="1"/>
        <n v="5000000" u="1"/>
        <n v="7038000" u="1"/>
        <n v="191698328.78570595" u="1"/>
      </sharedItems>
    </cacheField>
    <cacheField name="may-16" numFmtId="0">
      <sharedItems containsSemiMixedTypes="0" containsString="0" containsNumber="1" minValue="0" maxValue="277207918.93689418" count="21">
        <n v="71456289.354944438"/>
        <n v="42010968.910500005"/>
        <n v="5000000"/>
        <n v="6503040.4444444403"/>
        <n v="17942280"/>
        <n v="47932784.558579601"/>
        <n v="37251324.558579601"/>
        <n v="0"/>
        <n v="5681460"/>
        <n v="119389073.91352403"/>
        <n v="277207918.93689418" u="1"/>
        <n v="151877585.02337015" u="1"/>
        <n v="277073338.91708696" u="1"/>
        <n v="229140554.35850734" u="1"/>
        <n v="205617049.56214249" u="1"/>
        <n v="157818845.02337015" u="1"/>
        <n v="151743005.0035629" u="1"/>
        <n v="5941260.0000000019" u="1"/>
        <n v="157684265.0035629" u="1"/>
        <n v="229275134.37831458" u="1"/>
        <n v="205751629.58194974" u="1"/>
      </sharedItems>
    </cacheField>
    <cacheField name="jun-16" numFmtId="0">
      <sharedItems containsSemiMixedTypes="0" containsString="0" containsNumber="1" minValue="0" maxValue="71456289.354944438"/>
    </cacheField>
    <cacheField name="jul-16" numFmtId="0">
      <sharedItems containsSemiMixedTypes="0" containsString="0" containsNumber="1" minValue="0" maxValue="71456289.354944438"/>
    </cacheField>
    <cacheField name="ago-16" numFmtId="0">
      <sharedItems containsSemiMixedTypes="0" containsString="0" containsNumber="1" minValue="0" maxValue="76169239.354944438"/>
    </cacheField>
    <cacheField name="sep-16" numFmtId="0">
      <sharedItems containsSemiMixedTypes="0" containsString="0" containsNumber="1" minValue="0" maxValue="71456289.354944438"/>
    </cacheField>
    <cacheField name="oct-16" numFmtId="0">
      <sharedItems containsSemiMixedTypes="0" containsString="0" containsNumber="1" minValue="0" maxValue="76169239.354944438"/>
    </cacheField>
    <cacheField name="nov-16" numFmtId="0">
      <sharedItems containsSemiMixedTypes="0" containsString="0" containsNumber="1" minValue="0" maxValue="71456289.354944438"/>
    </cacheField>
    <cacheField name="dic-16"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9"/>
    </ext>
  </extLst>
</pivotCacheDefinition>
</file>

<file path=xl/pivotCache/pivotCacheDefinition2.xml><?xml version="1.0" encoding="utf-8"?>
<pivotCacheDefinition xmlns="http://schemas.openxmlformats.org/spreadsheetml/2006/main" xmlns:r="http://schemas.openxmlformats.org/officeDocument/2006/relationships" r:id="rId1" refreshedBy="Gonzalo Coronado Nuñez (Stork Masa)" refreshedDate="42720.856239699075" createdVersion="4" refreshedVersion="4" minRefreshableVersion="3" recordCount="4">
  <cacheSource type="worksheet">
    <worksheetSource ref="C6:P10" sheet="Resultados Mes &amp; Acum"/>
  </cacheSource>
  <cacheFields count="14">
    <cacheField name="Concepto" numFmtId="0">
      <sharedItems count="4">
        <s v="Energia Neta Generada (MWh/mes)"/>
        <s v="Consumo de  Combustible (Energia MMBtu/mes)"/>
        <s v="Confiabilidad Mensual "/>
        <s v="Disponibilidad Mensual"/>
      </sharedItems>
    </cacheField>
    <cacheField name="Unidades" numFmtId="0">
      <sharedItems count="3">
        <s v="MW (mes)"/>
        <s v="MMBtu/mes"/>
        <s v="%"/>
      </sharedItems>
    </cacheField>
    <cacheField name="Enero" numFmtId="0">
      <sharedItems containsSemiMixedTypes="0" containsString="0" containsNumber="1" minValue="-92.23" maxValue="1"/>
    </cacheField>
    <cacheField name="Febrero" numFmtId="0">
      <sharedItems containsSemiMixedTypes="0" containsString="0" containsNumber="1" minValue="-86.28" maxValue="1"/>
    </cacheField>
    <cacheField name="Marzo" numFmtId="0">
      <sharedItems containsSemiMixedTypes="0" containsString="0" containsNumber="1" minValue="-92.23" maxValue="1"/>
    </cacheField>
    <cacheField name="Abril" numFmtId="0">
      <sharedItems containsSemiMixedTypes="0" containsString="0" containsNumber="1" minValue="-89.254999999999995" maxValue="1"/>
    </cacheField>
    <cacheField name="Mayo" numFmtId="0">
      <sharedItems containsSemiMixedTypes="0" containsString="0" containsNumber="1" minValue="-92.23" maxValue="1"/>
    </cacheField>
    <cacheField name="Junio" numFmtId="0">
      <sharedItems containsSemiMixedTypes="0" containsString="0" containsNumber="1" minValue="-89.254999999999995" maxValue="1"/>
    </cacheField>
    <cacheField name="Julio" numFmtId="0">
      <sharedItems containsSemiMixedTypes="0" containsString="0" containsNumber="1" minValue="-92.23" maxValue="1"/>
    </cacheField>
    <cacheField name="Agosto" numFmtId="0">
      <sharedItems containsSemiMixedTypes="0" containsString="0" containsNumber="1" minValue="-92.23" maxValue="1"/>
    </cacheField>
    <cacheField name="Septiembre" numFmtId="0">
      <sharedItems containsSemiMixedTypes="0" containsString="0" containsNumber="1" minValue="-89.254999999999995" maxValue="1"/>
    </cacheField>
    <cacheField name="Octubre" numFmtId="0">
      <sharedItems containsSemiMixedTypes="0" containsString="0" containsNumber="1" minValue="-92.23" maxValue="1"/>
    </cacheField>
    <cacheField name="Noviembre" numFmtId="0">
      <sharedItems containsSemiMixedTypes="0" containsString="0" containsNumber="1" minValue="-89.254999999999995" maxValue="1"/>
    </cacheField>
    <cacheField name="Diciembre"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8"/>
    </ext>
  </extLst>
</pivotCacheDefinition>
</file>

<file path=xl/pivotCache/pivotCacheRecords1.xml><?xml version="1.0" encoding="utf-8"?>
<pivotCacheRecords xmlns="http://schemas.openxmlformats.org/spreadsheetml/2006/main" xmlns:r="http://schemas.openxmlformats.org/officeDocument/2006/relationships" count="15">
  <r>
    <x v="0"/>
    <x v="0"/>
    <n v="84502035.910500005"/>
    <n v="79471943.910500005"/>
    <n v="84200249.910500005"/>
    <x v="0"/>
    <x v="0"/>
    <n v="71456289.354944438"/>
    <n v="71456289.354944438"/>
    <n v="71456289.354944438"/>
    <n v="71456289.354944438"/>
    <n v="71456289.354944438"/>
    <n v="71456289.354944438"/>
    <n v="0"/>
  </r>
  <r>
    <x v="1"/>
    <x v="1"/>
    <n v="42010968.910500005"/>
    <n v="42010968.910500005"/>
    <n v="42010968.910500005"/>
    <x v="1"/>
    <x v="1"/>
    <n v="42010968.910500005"/>
    <n v="42010968.910500005"/>
    <n v="42010968.910500005"/>
    <n v="42010968.910500005"/>
    <n v="42010968.910500005"/>
    <n v="42010968.910500005"/>
    <n v="0"/>
  </r>
  <r>
    <x v="2"/>
    <x v="1"/>
    <n v="1044698"/>
    <n v="659457"/>
    <n v="264550"/>
    <x v="2"/>
    <x v="2"/>
    <n v="5000000"/>
    <n v="5000000"/>
    <n v="5000000"/>
    <n v="5000000"/>
    <n v="5000000"/>
    <n v="5000000"/>
    <n v="0"/>
  </r>
  <r>
    <x v="3"/>
    <x v="1"/>
    <n v="0"/>
    <n v="0"/>
    <n v="0"/>
    <x v="3"/>
    <x v="3"/>
    <n v="6503040.4444444403"/>
    <n v="6503040.4444444403"/>
    <n v="6503040.4444444403"/>
    <n v="6503040.4444444403"/>
    <n v="6503040.4444444403"/>
    <n v="6503040.4444444403"/>
    <n v="0"/>
  </r>
  <r>
    <x v="4"/>
    <x v="1"/>
    <n v="41446369"/>
    <n v="36801518"/>
    <n v="41924731"/>
    <x v="4"/>
    <x v="4"/>
    <n v="17942280"/>
    <n v="17942280"/>
    <n v="17942280"/>
    <n v="17942280"/>
    <n v="17942280"/>
    <n v="17942280"/>
    <n v="0"/>
  </r>
  <r>
    <x v="5"/>
    <x v="0"/>
    <n v="51612429"/>
    <n v="117934568.1181052"/>
    <n v="119539251.60594514"/>
    <x v="5"/>
    <x v="5"/>
    <n v="0"/>
    <n v="0"/>
    <n v="4712950"/>
    <n v="0"/>
    <n v="4712950"/>
    <n v="0"/>
    <n v="0"/>
  </r>
  <r>
    <x v="6"/>
    <x v="1"/>
    <n v="38615064"/>
    <n v="35529903.11810521"/>
    <n v="36021270.605945133"/>
    <x v="6"/>
    <x v="6"/>
    <n v="0"/>
    <n v="0"/>
    <n v="0"/>
    <n v="0"/>
    <n v="0"/>
    <n v="0"/>
    <n v="0"/>
  </r>
  <r>
    <x v="7"/>
    <x v="1"/>
    <n v="0"/>
    <n v="0"/>
    <n v="0"/>
    <x v="3"/>
    <x v="7"/>
    <n v="0"/>
    <n v="0"/>
    <n v="0"/>
    <n v="0"/>
    <n v="0"/>
    <n v="0"/>
    <n v="0"/>
  </r>
  <r>
    <x v="8"/>
    <x v="1"/>
    <n v="0"/>
    <n v="0"/>
    <n v="0"/>
    <x v="3"/>
    <x v="7"/>
    <n v="0"/>
    <n v="0"/>
    <n v="0"/>
    <n v="0"/>
    <n v="0"/>
    <n v="0"/>
    <n v="0"/>
  </r>
  <r>
    <x v="9"/>
    <x v="1"/>
    <n v="7069425"/>
    <n v="11782375"/>
    <n v="7069425"/>
    <x v="3"/>
    <x v="7"/>
    <n v="0"/>
    <n v="0"/>
    <n v="4712950"/>
    <n v="0"/>
    <n v="4712950"/>
    <n v="0"/>
    <n v="0"/>
  </r>
  <r>
    <x v="10"/>
    <x v="1"/>
    <n v="3950940"/>
    <n v="11436750"/>
    <n v="35015430"/>
    <x v="7"/>
    <x v="8"/>
    <n v="0"/>
    <n v="0"/>
    <n v="0"/>
    <n v="0"/>
    <n v="0"/>
    <n v="0"/>
    <n v="0"/>
  </r>
  <r>
    <x v="11"/>
    <x v="1"/>
    <n v="1977000"/>
    <n v="59185540"/>
    <n v="41433126"/>
    <x v="8"/>
    <x v="2"/>
    <n v="0"/>
    <n v="0"/>
    <n v="0"/>
    <n v="0"/>
    <n v="0"/>
    <n v="0"/>
    <n v="0"/>
  </r>
  <r>
    <x v="12"/>
    <x v="1"/>
    <n v="0"/>
    <n v="0"/>
    <n v="0"/>
    <x v="3"/>
    <x v="7"/>
    <n v="0"/>
    <n v="0"/>
    <n v="0"/>
    <n v="0"/>
    <n v="0"/>
    <n v="0"/>
    <n v="0"/>
  </r>
  <r>
    <x v="13"/>
    <x v="1"/>
    <n v="0"/>
    <n v="0"/>
    <n v="0"/>
    <x v="3"/>
    <x v="7"/>
    <n v="0"/>
    <n v="0"/>
    <n v="0"/>
    <n v="0"/>
    <n v="0"/>
    <n v="0"/>
    <n v="0"/>
  </r>
  <r>
    <x v="14"/>
    <x v="1"/>
    <n v="136114464.91049999"/>
    <n v="197406512.02860522"/>
    <n v="203739501.51644516"/>
    <x v="9"/>
    <x v="9"/>
    <n v="71456289.354944438"/>
    <n v="71456289.354944438"/>
    <n v="76169239.354944438"/>
    <n v="71456289.354944438"/>
    <n v="76169239.354944438"/>
    <n v="71456289.354944438"/>
    <n v="0"/>
  </r>
</pivotCacheRecords>
</file>

<file path=xl/pivotCache/pivotCacheRecords2.xml><?xml version="1.0" encoding="utf-8"?>
<pivotCacheRecords xmlns="http://schemas.openxmlformats.org/spreadsheetml/2006/main" xmlns:r="http://schemas.openxmlformats.org/officeDocument/2006/relationships" count="4">
  <r>
    <x v="0"/>
    <x v="0"/>
    <n v="-92.23"/>
    <n v="-86.28"/>
    <n v="-92.23"/>
    <n v="-89.254999999999995"/>
    <n v="-92.23"/>
    <n v="-89.254999999999995"/>
    <n v="-92.23"/>
    <n v="-92.23"/>
    <n v="-89.254999999999995"/>
    <n v="-92.23"/>
    <n v="-89.254999999999995"/>
    <n v="0"/>
  </r>
  <r>
    <x v="1"/>
    <x v="1"/>
    <n v="0"/>
    <n v="0"/>
    <n v="0"/>
    <n v="0"/>
    <n v="0"/>
    <n v="0"/>
    <n v="0"/>
    <n v="0"/>
    <n v="0"/>
    <n v="0"/>
    <n v="0"/>
    <n v="0"/>
  </r>
  <r>
    <x v="2"/>
    <x v="2"/>
    <n v="1"/>
    <n v="1"/>
    <n v="1"/>
    <n v="1"/>
    <n v="1"/>
    <n v="1"/>
    <n v="1"/>
    <n v="1"/>
    <n v="1"/>
    <n v="1"/>
    <n v="1"/>
    <n v="0"/>
  </r>
  <r>
    <x v="3"/>
    <x v="2"/>
    <n v="0"/>
    <n v="0"/>
    <n v="0.96130000000000004"/>
    <n v="1"/>
    <n v="1"/>
    <n v="1"/>
    <n v="1"/>
    <n v="1"/>
    <n v="1"/>
    <n v="1"/>
    <n v="1"/>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 dinámica7" cacheId="1" dataOnRows="1"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chartFormat="2">
  <location ref="A3:C16" firstHeaderRow="1" firstDataRow="2" firstDataCol="1"/>
  <pivotFields count="14">
    <pivotField axis="axisCol" showAll="0">
      <items count="5">
        <item x="2"/>
        <item h="1" x="1"/>
        <item h="1" x="3"/>
        <item h="1" x="0"/>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defaultSubtotal="0">
      <extLst>
        <ext xmlns:x14="http://schemas.microsoft.com/office/spreadsheetml/2009/9/main" uri="{2946ED86-A175-432a-8AC1-64E0C546D7DE}">
          <x14:pivotField fillDownLabels="1"/>
        </ext>
      </extLst>
    </pivotField>
    <pivotField dataField="1" showAll="0" defaultSubtotal="0">
      <extLst>
        <ext xmlns:x14="http://schemas.microsoft.com/office/spreadsheetml/2009/9/main" uri="{2946ED86-A175-432a-8AC1-64E0C546D7DE}">
          <x14:pivotField fillDownLabels="1"/>
        </ext>
      </extLst>
    </pivotField>
    <pivotField dataField="1" showAll="0" defaultSubtotal="0">
      <extLst>
        <ext xmlns:x14="http://schemas.microsoft.com/office/spreadsheetml/2009/9/main" uri="{2946ED86-A175-432a-8AC1-64E0C546D7DE}">
          <x14:pivotField fillDownLabels="1"/>
        </ext>
      </extLst>
    </pivotField>
    <pivotField dataField="1" showAll="0" defaultSubtotal="0">
      <extLst>
        <ext xmlns:x14="http://schemas.microsoft.com/office/spreadsheetml/2009/9/main" uri="{2946ED86-A175-432a-8AC1-64E0C546D7DE}">
          <x14:pivotField fillDownLabels="1"/>
        </ext>
      </extLst>
    </pivotField>
    <pivotField dataField="1" showAll="0" defaultSubtotal="0">
      <extLst>
        <ext xmlns:x14="http://schemas.microsoft.com/office/spreadsheetml/2009/9/main" uri="{2946ED86-A175-432a-8AC1-64E0C546D7DE}">
          <x14:pivotField fillDownLabels="1"/>
        </ext>
      </extLst>
    </pivotField>
    <pivotField dataField="1" showAll="0" defaultSubtotal="0">
      <extLst>
        <ext xmlns:x14="http://schemas.microsoft.com/office/spreadsheetml/2009/9/main" uri="{2946ED86-A175-432a-8AC1-64E0C546D7DE}">
          <x14:pivotField fillDownLabels="1"/>
        </ext>
      </extLst>
    </pivotField>
    <pivotField dataField="1" showAll="0" defaultSubtotal="0">
      <extLst>
        <ext xmlns:x14="http://schemas.microsoft.com/office/spreadsheetml/2009/9/main" uri="{2946ED86-A175-432a-8AC1-64E0C546D7DE}">
          <x14:pivotField fillDownLabels="1"/>
        </ext>
      </extLst>
    </pivotField>
  </pivotFields>
  <rowFields count="1">
    <field x="-2"/>
  </rowFields>
  <rowItems count="12">
    <i>
      <x/>
    </i>
    <i i="1">
      <x v="1"/>
    </i>
    <i i="2">
      <x v="2"/>
    </i>
    <i i="3">
      <x v="3"/>
    </i>
    <i i="4">
      <x v="4"/>
    </i>
    <i i="5">
      <x v="5"/>
    </i>
    <i i="6">
      <x v="6"/>
    </i>
    <i i="7">
      <x v="7"/>
    </i>
    <i i="8">
      <x v="8"/>
    </i>
    <i i="9">
      <x v="9"/>
    </i>
    <i i="10">
      <x v="10"/>
    </i>
    <i i="11">
      <x v="11"/>
    </i>
  </rowItems>
  <colFields count="1">
    <field x="0"/>
  </colFields>
  <colItems count="2">
    <i>
      <x/>
    </i>
    <i t="grand">
      <x/>
    </i>
  </colItems>
  <dataFields count="12">
    <dataField name="Ene" fld="2" baseField="0" baseItem="0" numFmtId="2"/>
    <dataField name="Feb" fld="3" baseField="0" baseItem="0" numFmtId="2"/>
    <dataField name="Mar" fld="4" baseField="0" baseItem="0" numFmtId="2"/>
    <dataField name="Abr" fld="5" baseField="0" baseItem="0" numFmtId="2"/>
    <dataField name="May" fld="6" baseField="0" baseItem="0" numFmtId="2"/>
    <dataField name="Jun" fld="7" baseField="0" baseItem="3" numFmtId="2"/>
    <dataField name="Jul" fld="8" baseField="0" baseItem="3" numFmtId="2"/>
    <dataField name="Ago" fld="9" baseField="0" baseItem="3" numFmtId="2"/>
    <dataField name="Sep" fld="10" baseField="0" baseItem="3" numFmtId="2"/>
    <dataField name="Oct" fld="11" baseField="0" baseItem="3" numFmtId="2"/>
    <dataField name="Nov" fld="12" baseField="0" baseItem="3" numFmtId="2"/>
    <dataField name="Dic" fld="13" baseField="0" baseItem="3" numFmtId="2"/>
  </dataFields>
  <formats count="40">
    <format dxfId="82">
      <pivotArea collapsedLevelsAreSubtotals="1" fieldPosition="0">
        <references count="1">
          <reference field="4294967294" count="3">
            <x v="1"/>
            <x v="2"/>
            <x v="3"/>
          </reference>
        </references>
      </pivotArea>
    </format>
    <format dxfId="81">
      <pivotArea outline="0" collapsedLevelsAreSubtotals="1" fieldPosition="0">
        <references count="1">
          <reference field="0" count="0" selected="0"/>
        </references>
      </pivotArea>
    </format>
    <format dxfId="80">
      <pivotArea field="0" type="button" dataOnly="0" labelOnly="1" outline="0" axis="axisCol" fieldPosition="0"/>
    </format>
    <format dxfId="79">
      <pivotArea dataOnly="0" labelOnly="1" fieldPosition="0">
        <references count="1">
          <reference field="0" count="0"/>
        </references>
      </pivotArea>
    </format>
    <format dxfId="78">
      <pivotArea outline="0" collapsedLevelsAreSubtotals="1" fieldPosition="0">
        <references count="1">
          <reference field="0" count="0" selected="0"/>
        </references>
      </pivotArea>
    </format>
    <format dxfId="77">
      <pivotArea field="0" type="button" dataOnly="0" labelOnly="1" outline="0" axis="axisCol" fieldPosition="0"/>
    </format>
    <format dxfId="76">
      <pivotArea dataOnly="0" labelOnly="1" fieldPosition="0">
        <references count="1">
          <reference field="0" count="0"/>
        </references>
      </pivotArea>
    </format>
    <format dxfId="75">
      <pivotArea grandCol="1" outline="0" collapsedLevelsAreSubtotals="1" fieldPosition="0"/>
    </format>
    <format dxfId="74">
      <pivotArea type="topRight" dataOnly="0" labelOnly="1" outline="0" fieldPosition="0"/>
    </format>
    <format dxfId="73">
      <pivotArea dataOnly="0" labelOnly="1" grandCol="1" outline="0" fieldPosition="0"/>
    </format>
    <format dxfId="72">
      <pivotArea grandCol="1" outline="0" collapsedLevelsAreSubtotals="1" fieldPosition="0"/>
    </format>
    <format dxfId="71">
      <pivotArea type="topRight" dataOnly="0" labelOnly="1" outline="0" fieldPosition="0"/>
    </format>
    <format dxfId="70">
      <pivotArea dataOnly="0" labelOnly="1" grandCol="1" outline="0" fieldPosition="0"/>
    </format>
    <format dxfId="69">
      <pivotArea type="origin" dataOnly="0" labelOnly="1" outline="0" fieldPosition="0"/>
    </format>
    <format dxfId="68">
      <pivotArea field="-2" type="button" dataOnly="0" labelOnly="1" outline="0" axis="axisRow" fieldPosition="0"/>
    </format>
    <format dxfId="67">
      <pivotArea dataOnly="0" labelOnly="1" outline="0" fieldPosition="0">
        <references count="1">
          <reference field="4294967294" count="5">
            <x v="0"/>
            <x v="1"/>
            <x v="2"/>
            <x v="3"/>
            <x v="4"/>
          </reference>
        </references>
      </pivotArea>
    </format>
    <format dxfId="66">
      <pivotArea type="origin" dataOnly="0" labelOnly="1" outline="0" fieldPosition="0"/>
    </format>
    <format dxfId="65">
      <pivotArea field="-2" type="button" dataOnly="0" labelOnly="1" outline="0" axis="axisRow" fieldPosition="0"/>
    </format>
    <format dxfId="64">
      <pivotArea dataOnly="0" labelOnly="1" outline="0" fieldPosition="0">
        <references count="1">
          <reference field="4294967294" count="5">
            <x v="0"/>
            <x v="1"/>
            <x v="2"/>
            <x v="3"/>
            <x v="4"/>
          </reference>
        </references>
      </pivotArea>
    </format>
    <format dxfId="63">
      <pivotArea outline="0" collapsedLevelsAreSubtotals="1" fieldPosition="0"/>
    </format>
    <format dxfId="62">
      <pivotArea outline="0" collapsedLevelsAreSubtotals="1" fieldPosition="0">
        <references count="1">
          <reference field="0" count="1" selected="0">
            <x v="1"/>
          </reference>
        </references>
      </pivotArea>
    </format>
    <format dxfId="61">
      <pivotArea collapsedLevelsAreSubtotals="1" fieldPosition="0">
        <references count="2">
          <reference field="4294967294" count="4">
            <x v="1"/>
            <x v="2"/>
            <x v="3"/>
            <x v="4"/>
          </reference>
          <reference field="0" count="1" selected="0">
            <x v="1"/>
          </reference>
        </references>
      </pivotArea>
    </format>
    <format dxfId="60">
      <pivotArea outline="0" collapsedLevelsAreSubtotals="1" fieldPosition="0">
        <references count="1">
          <reference field="0" count="1" selected="0">
            <x v="2"/>
          </reference>
        </references>
      </pivotArea>
    </format>
    <format dxfId="59">
      <pivotArea collapsedLevelsAreSubtotals="1" fieldPosition="0">
        <references count="2">
          <reference field="4294967294" count="1">
            <x v="0"/>
          </reference>
          <reference field="0" count="1" selected="0">
            <x v="0"/>
          </reference>
        </references>
      </pivotArea>
    </format>
    <format dxfId="58">
      <pivotArea outline="0" collapsedLevelsAreSubtotals="1" fieldPosition="0">
        <references count="1">
          <reference field="0" count="1" selected="0">
            <x v="3"/>
          </reference>
        </references>
      </pivotArea>
    </format>
    <format dxfId="57">
      <pivotArea type="all" dataOnly="0" outline="0" fieldPosition="0"/>
    </format>
    <format dxfId="56">
      <pivotArea dataOnly="0" labelOnly="1" outline="0" fieldPosition="0">
        <references count="1">
          <reference field="4294967294" count="7">
            <x v="5"/>
            <x v="6"/>
            <x v="7"/>
            <x v="8"/>
            <x v="9"/>
            <x v="10"/>
            <x v="11"/>
          </reference>
        </references>
      </pivotArea>
    </format>
    <format dxfId="55">
      <pivotArea collapsedLevelsAreSubtotals="1" fieldPosition="0">
        <references count="2">
          <reference field="4294967294" count="7">
            <x v="5"/>
            <x v="6"/>
            <x v="7"/>
            <x v="8"/>
            <x v="9"/>
            <x v="10"/>
            <x v="11"/>
          </reference>
          <reference field="0" count="0" selected="0"/>
        </references>
      </pivotArea>
    </format>
    <format dxfId="54">
      <pivotArea outline="0" fieldPosition="0">
        <references count="1">
          <reference field="4294967294" count="1">
            <x v="5"/>
          </reference>
        </references>
      </pivotArea>
    </format>
    <format dxfId="53">
      <pivotArea outline="0" fieldPosition="0">
        <references count="1">
          <reference field="4294967294" count="1">
            <x v="6"/>
          </reference>
        </references>
      </pivotArea>
    </format>
    <format dxfId="52">
      <pivotArea outline="0" fieldPosition="0">
        <references count="1">
          <reference field="4294967294" count="1">
            <x v="7"/>
          </reference>
        </references>
      </pivotArea>
    </format>
    <format dxfId="51">
      <pivotArea outline="0" fieldPosition="0">
        <references count="1">
          <reference field="4294967294" count="1">
            <x v="8"/>
          </reference>
        </references>
      </pivotArea>
    </format>
    <format dxfId="50">
      <pivotArea outline="0" fieldPosition="0">
        <references count="1">
          <reference field="4294967294" count="1">
            <x v="9"/>
          </reference>
        </references>
      </pivotArea>
    </format>
    <format dxfId="49">
      <pivotArea outline="0" fieldPosition="0">
        <references count="1">
          <reference field="4294967294" count="1">
            <x v="10"/>
          </reference>
        </references>
      </pivotArea>
    </format>
    <format dxfId="48">
      <pivotArea outline="0" fieldPosition="0">
        <references count="1">
          <reference field="4294967294" count="1">
            <x v="11"/>
          </reference>
        </references>
      </pivotArea>
    </format>
    <format dxfId="47">
      <pivotArea outline="0" fieldPosition="0">
        <references count="1">
          <reference field="4294967294" count="1">
            <x v="1"/>
          </reference>
        </references>
      </pivotArea>
    </format>
    <format dxfId="46">
      <pivotArea outline="0" fieldPosition="0">
        <references count="1">
          <reference field="4294967294" count="1">
            <x v="2"/>
          </reference>
        </references>
      </pivotArea>
    </format>
    <format dxfId="45">
      <pivotArea outline="0" fieldPosition="0">
        <references count="1">
          <reference field="4294967294" count="1">
            <x v="3"/>
          </reference>
        </references>
      </pivotArea>
    </format>
    <format dxfId="44">
      <pivotArea outline="0" fieldPosition="0">
        <references count="1">
          <reference field="4294967294" count="1">
            <x v="4"/>
          </reference>
        </references>
      </pivotArea>
    </format>
    <format dxfId="43">
      <pivotArea outline="0" fieldPosition="0">
        <references count="1">
          <reference field="4294967294" count="1">
            <x v="0"/>
          </reference>
        </references>
      </pivotArea>
    </format>
  </formats>
  <chartFormats count="12">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1">
          <reference field="4294967294" count="1" selected="0">
            <x v="1"/>
          </reference>
        </references>
      </pivotArea>
    </chartFormat>
    <chartFormat chart="0" format="5" series="1">
      <pivotArea type="data" outline="0" fieldPosition="0">
        <references count="1">
          <reference field="4294967294" count="1" selected="0">
            <x v="2"/>
          </reference>
        </references>
      </pivotArea>
    </chartFormat>
    <chartFormat chart="0" format="6" series="1">
      <pivotArea type="data" outline="0" fieldPosition="0">
        <references count="1">
          <reference field="4294967294" count="1" selected="0">
            <x v="3"/>
          </reference>
        </references>
      </pivotArea>
    </chartFormat>
    <chartFormat chart="0" format="7" series="1">
      <pivotArea type="data" outline="0" fieldPosition="0">
        <references count="1">
          <reference field="4294967294" count="1" selected="0">
            <x v="4"/>
          </reference>
        </references>
      </pivotArea>
    </chartFormat>
    <chartFormat chart="1" format="8" series="1">
      <pivotArea type="data" outline="0" fieldPosition="0">
        <references count="2">
          <reference field="4294967294" count="1" selected="0">
            <x v="0"/>
          </reference>
          <reference field="0" count="1" selected="0">
            <x v="3"/>
          </reference>
        </references>
      </pivotArea>
    </chartFormat>
    <chartFormat chart="1" format="9" series="1">
      <pivotArea type="data" outline="0" fieldPosition="0">
        <references count="2">
          <reference field="4294967294" count="1" selected="0">
            <x v="0"/>
          </reference>
          <reference field="0" count="1" selected="0">
            <x v="0"/>
          </reference>
        </references>
      </pivotArea>
    </chartFormat>
    <chartFormat chart="1" format="10" series="1">
      <pivotArea type="data" outline="0" fieldPosition="0">
        <references count="2">
          <reference field="4294967294" count="1" selected="0">
            <x v="0"/>
          </reference>
          <reference field="0" count="1" selected="0">
            <x v="1"/>
          </reference>
        </references>
      </pivotArea>
    </chartFormat>
    <chartFormat chart="1" format="11" series="1">
      <pivotArea type="data" outline="0" fieldPosition="0">
        <references count="2">
          <reference field="4294967294" count="1" selected="0">
            <x v="0"/>
          </reference>
          <reference field="0" count="1" selected="0">
            <x v="2"/>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Tabla dinámica10"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chartFormat="2">
  <location ref="A3:D8" firstHeaderRow="0" firstDataRow="1" firstDataCol="1"/>
  <pivotFields count="14">
    <pivotField axis="axisRow" showAll="0">
      <items count="16">
        <item x="9"/>
        <item h="1" x="8"/>
        <item h="1" x="7"/>
        <item h="1" x="12"/>
        <item h="1" x="10"/>
        <item h="1" x="11"/>
        <item h="1" x="6"/>
        <item h="1" x="13"/>
        <item h="1" x="14"/>
        <item h="1" x="4"/>
        <item h="1" x="2"/>
        <item h="1" x="3"/>
        <item h="1" x="1"/>
        <item h="1" x="0"/>
        <item h="1" x="5"/>
        <item t="default"/>
      </items>
    </pivotField>
    <pivotField axis="axisRow" showAll="0">
      <items count="3">
        <item x="1"/>
        <item x="0"/>
        <item t="default"/>
      </items>
    </pivotField>
    <pivotField dataField="1" showAll="0" defaultSubtotal="0"/>
    <pivotField dataField="1" showAll="0" defaultSubtotal="0"/>
    <pivotField dataField="1" showAll="0" defaultSubtotal="0"/>
    <pivotField axis="axisRow" showAll="0" defaultSubtotal="0">
      <items count="18">
        <item x="3"/>
        <item x="0"/>
        <item x="1"/>
        <item x="2"/>
        <item x="4"/>
        <item m="1" x="17"/>
        <item x="6"/>
        <item m="1" x="12"/>
        <item m="1" x="14"/>
        <item m="1" x="16"/>
        <item m="1" x="15"/>
        <item m="1" x="13"/>
        <item m="1" x="11"/>
        <item x="7"/>
        <item x="8"/>
        <item m="1" x="10"/>
        <item x="5"/>
        <item x="9"/>
      </items>
    </pivotField>
    <pivotField axis="axisRow" showAll="0" defaultSubtotal="0">
      <items count="21">
        <item x="7"/>
        <item x="0"/>
        <item x="1"/>
        <item x="2"/>
        <item x="3"/>
        <item x="4"/>
        <item m="1" x="15"/>
        <item m="1" x="11"/>
        <item m="1" x="17"/>
        <item m="1" x="19"/>
        <item m="1" x="18"/>
        <item m="1" x="16"/>
        <item m="1" x="13"/>
        <item m="1" x="20"/>
        <item x="6"/>
        <item x="8"/>
        <item m="1" x="10"/>
        <item m="1" x="14"/>
        <item m="1" x="12"/>
        <item x="5"/>
        <item x="9"/>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4">
    <field x="0"/>
    <field x="1"/>
    <field x="5"/>
    <field x="6"/>
  </rowFields>
  <rowItems count="5">
    <i>
      <x/>
    </i>
    <i r="1">
      <x/>
    </i>
    <i r="2">
      <x/>
    </i>
    <i r="3">
      <x/>
    </i>
    <i t="grand">
      <x/>
    </i>
  </rowItems>
  <colFields count="1">
    <field x="-2"/>
  </colFields>
  <colItems count="3">
    <i>
      <x/>
    </i>
    <i i="1">
      <x v="1"/>
    </i>
    <i i="2">
      <x v="2"/>
    </i>
  </colItems>
  <dataFields count="3">
    <dataField name="Suma de ene-16" fld="2" baseField="0" baseItem="0"/>
    <dataField name="Suma de feb-16" fld="3" baseField="0" baseItem="0"/>
    <dataField name="Suma de mar-16" fld="4" baseField="0" baseItem="0"/>
  </dataFields>
  <formats count="2">
    <format dxfId="42">
      <pivotArea outline="0" collapsedLevelsAreSubtotals="1" fieldPosition="0"/>
    </format>
    <format dxfId="41">
      <pivotArea type="all" dataOnly="0" outline="0" fieldPosition="0"/>
    </format>
  </formats>
  <chartFormats count="3">
    <chartFormat chart="1" format="30" series="1">
      <pivotArea type="data" outline="0" fieldPosition="0">
        <references count="1">
          <reference field="4294967294" count="1" selected="0">
            <x v="0"/>
          </reference>
        </references>
      </pivotArea>
    </chartFormat>
    <chartFormat chart="1" format="32" series="1">
      <pivotArea type="data" outline="0" fieldPosition="0">
        <references count="1">
          <reference field="4294967294" count="1" selected="0">
            <x v="1"/>
          </reference>
        </references>
      </pivotArea>
    </chartFormat>
    <chartFormat chart="1" format="3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a dinámica16" cacheId="1"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chartFormat="2">
  <location ref="A2:M4" firstHeaderRow="0" firstDataRow="1" firstDataCol="1"/>
  <pivotFields count="14">
    <pivotField showAll="0">
      <items count="5">
        <item h="1" x="2"/>
        <item h="1" x="1"/>
        <item h="1" x="3"/>
        <item x="0"/>
        <item t="default"/>
      </items>
    </pivotField>
    <pivotField axis="axisRow" showAll="0">
      <items count="4">
        <item x="2"/>
        <item x="0"/>
        <item x="1"/>
        <item t="default"/>
      </items>
    </pivotField>
    <pivotField name="Enero2" dataField="1" showAll="0" defaultSubtotal="0"/>
    <pivotField name="Febrero2" dataField="1" showAll="0" defaultSubtotal="0"/>
    <pivotField name="Marzo2" dataField="1" showAll="0" defaultSubtotal="0"/>
    <pivotField name="Abril2" dataField="1" showAll="0" defaultSubtotal="0"/>
    <pivotField name="Mayo2" dataField="1" showAll="0" defaultSubtotal="0"/>
    <pivotField name="Junio2" dataField="1" showAll="0" defaultSubtotal="0"/>
    <pivotField name="Julio2" dataField="1" showAll="0" defaultSubtotal="0"/>
    <pivotField name="Agosto2" dataField="1" showAll="0" defaultSubtotal="0"/>
    <pivotField name="Septiembre2" dataField="1" showAll="0" defaultSubtotal="0"/>
    <pivotField name="Octubre2" dataField="1" showAll="0" defaultSubtotal="0"/>
    <pivotField name="Noviembre2" dataField="1" showAll="0" defaultSubtotal="0"/>
    <pivotField name="Diciembre2" dataField="1" showAll="0" defaultSubtotal="0"/>
  </pivotFields>
  <rowFields count="1">
    <field x="1"/>
  </rowFields>
  <rowItems count="2">
    <i>
      <x v="1"/>
    </i>
    <i t="grand">
      <x/>
    </i>
  </rowItems>
  <colFields count="1">
    <field x="-2"/>
  </colFields>
  <colItems count="12">
    <i>
      <x/>
    </i>
    <i i="1">
      <x v="1"/>
    </i>
    <i i="2">
      <x v="2"/>
    </i>
    <i i="3">
      <x v="3"/>
    </i>
    <i i="4">
      <x v="4"/>
    </i>
    <i i="5">
      <x v="5"/>
    </i>
    <i i="6">
      <x v="6"/>
    </i>
    <i i="7">
      <x v="7"/>
    </i>
    <i i="8">
      <x v="8"/>
    </i>
    <i i="9">
      <x v="9"/>
    </i>
    <i i="10">
      <x v="10"/>
    </i>
    <i i="11">
      <x v="11"/>
    </i>
  </colItems>
  <dataFields count="12">
    <dataField name="Enero" fld="2" baseField="1" baseItem="0" numFmtId="2"/>
    <dataField name="Febrero" fld="3" baseField="1" baseItem="2" numFmtId="2"/>
    <dataField name="Marzo" fld="4" baseField="1" baseItem="2" numFmtId="2"/>
    <dataField name="Abril" fld="5" baseField="1" baseItem="2" numFmtId="2"/>
    <dataField name="Mayo" fld="6" baseField="1" baseItem="2" numFmtId="2"/>
    <dataField name="Junio" fld="7" baseField="1" baseItem="2" numFmtId="2"/>
    <dataField name="Julio" fld="8" baseField="1" baseItem="2" numFmtId="2"/>
    <dataField name="Agosto" fld="9" baseField="1" baseItem="2" numFmtId="2"/>
    <dataField name="Septiembre" fld="10" baseField="1" baseItem="2" numFmtId="2"/>
    <dataField name="Octubre" fld="11" baseField="1" baseItem="2" numFmtId="2"/>
    <dataField name="Noviembre" fld="12" baseField="1" baseItem="2" numFmtId="2"/>
    <dataField name="Diciembre" fld="13" baseField="1" baseItem="2" numFmtId="2"/>
  </dataFields>
  <formats count="20">
    <format dxfId="40">
      <pivotArea collapsedLevelsAreSubtotals="1" fieldPosition="0">
        <references count="1">
          <reference field="1" count="1">
            <x v="0"/>
          </reference>
        </references>
      </pivotArea>
    </format>
    <format dxfId="39">
      <pivotArea outline="0" collapsedLevelsAreSubtotals="1" fieldPosition="0"/>
    </format>
    <format dxfId="38">
      <pivotArea collapsedLevelsAreSubtotals="1" fieldPosition="0">
        <references count="2">
          <reference field="4294967294" count="10" selected="0">
            <x v="2"/>
            <x v="3"/>
            <x v="4"/>
            <x v="5"/>
            <x v="6"/>
            <x v="7"/>
            <x v="8"/>
            <x v="9"/>
            <x v="10"/>
            <x v="11"/>
          </reference>
          <reference field="1" count="1">
            <x v="0"/>
          </reference>
        </references>
      </pivotArea>
    </format>
    <format dxfId="37">
      <pivotArea field="1" grandRow="1" outline="0" collapsedLevelsAreSubtotals="1" axis="axisRow" fieldPosition="0">
        <references count="1">
          <reference field="4294967294" count="10" selected="0">
            <x v="2"/>
            <x v="3"/>
            <x v="4"/>
            <x v="5"/>
            <x v="6"/>
            <x v="7"/>
            <x v="8"/>
            <x v="9"/>
            <x v="10"/>
            <x v="11"/>
          </reference>
        </references>
      </pivotArea>
    </format>
    <format dxfId="36">
      <pivotArea collapsedLevelsAreSubtotals="1" fieldPosition="0">
        <references count="2">
          <reference field="4294967294" count="4" selected="0">
            <x v="8"/>
            <x v="9"/>
            <x v="10"/>
            <x v="11"/>
          </reference>
          <reference field="1" count="1">
            <x v="2"/>
          </reference>
        </references>
      </pivotArea>
    </format>
    <format dxfId="35">
      <pivotArea outline="0" collapsedLevelsAreSubtotals="1" fieldPosition="0">
        <references count="1">
          <reference field="4294967294" count="2" selected="0">
            <x v="0"/>
            <x v="1"/>
          </reference>
        </references>
      </pivotArea>
    </format>
    <format dxfId="34">
      <pivotArea outline="0" fieldPosition="0">
        <references count="1">
          <reference field="4294967294" count="1">
            <x v="8"/>
          </reference>
        </references>
      </pivotArea>
    </format>
    <format dxfId="33">
      <pivotArea outline="0" fieldPosition="0">
        <references count="1">
          <reference field="4294967294" count="1">
            <x v="0"/>
          </reference>
        </references>
      </pivotArea>
    </format>
    <format dxfId="32">
      <pivotArea outline="0" fieldPosition="0">
        <references count="1">
          <reference field="4294967294" count="1">
            <x v="1"/>
          </reference>
        </references>
      </pivotArea>
    </format>
    <format dxfId="31">
      <pivotArea outline="0" fieldPosition="0">
        <references count="1">
          <reference field="4294967294" count="1">
            <x v="2"/>
          </reference>
        </references>
      </pivotArea>
    </format>
    <format dxfId="30">
      <pivotArea outline="0" fieldPosition="0">
        <references count="1">
          <reference field="4294967294" count="1">
            <x v="3"/>
          </reference>
        </references>
      </pivotArea>
    </format>
    <format dxfId="29">
      <pivotArea outline="0" fieldPosition="0">
        <references count="1">
          <reference field="4294967294" count="1">
            <x v="4"/>
          </reference>
        </references>
      </pivotArea>
    </format>
    <format dxfId="28">
      <pivotArea outline="0" fieldPosition="0">
        <references count="1">
          <reference field="4294967294" count="1">
            <x v="5"/>
          </reference>
        </references>
      </pivotArea>
    </format>
    <format dxfId="27">
      <pivotArea outline="0" fieldPosition="0">
        <references count="1">
          <reference field="4294967294" count="1">
            <x v="6"/>
          </reference>
        </references>
      </pivotArea>
    </format>
    <format dxfId="26">
      <pivotArea outline="0" fieldPosition="0">
        <references count="1">
          <reference field="4294967294" count="1">
            <x v="7"/>
          </reference>
        </references>
      </pivotArea>
    </format>
    <format dxfId="25">
      <pivotArea outline="0" fieldPosition="0">
        <references count="1">
          <reference field="4294967294" count="1">
            <x v="9"/>
          </reference>
        </references>
      </pivotArea>
    </format>
    <format dxfId="24">
      <pivotArea outline="0" fieldPosition="0">
        <references count="1">
          <reference field="4294967294" count="1">
            <x v="10"/>
          </reference>
        </references>
      </pivotArea>
    </format>
    <format dxfId="23">
      <pivotArea outline="0" fieldPosition="0">
        <references count="1">
          <reference field="4294967294" count="1">
            <x v="0"/>
          </reference>
        </references>
      </pivotArea>
    </format>
    <format dxfId="22">
      <pivotArea collapsedLevelsAreSubtotals="1" fieldPosition="0">
        <references count="2">
          <reference field="4294967294" count="11" selected="0">
            <x v="0"/>
            <x v="1"/>
            <x v="2"/>
            <x v="3"/>
            <x v="4"/>
            <x v="5"/>
            <x v="6"/>
            <x v="7"/>
            <x v="8"/>
            <x v="9"/>
            <x v="10"/>
          </reference>
          <reference field="1" count="1">
            <x v="0"/>
          </reference>
        </references>
      </pivotArea>
    </format>
    <format dxfId="21">
      <pivotArea field="1" grandRow="1" outline="0" collapsedLevelsAreSubtotals="1" axis="axisRow" fieldPosition="0">
        <references count="1">
          <reference field="4294967294" count="11" selected="0">
            <x v="0"/>
            <x v="1"/>
            <x v="2"/>
            <x v="3"/>
            <x v="4"/>
            <x v="5"/>
            <x v="6"/>
            <x v="7"/>
            <x v="8"/>
            <x v="9"/>
            <x v="10"/>
          </reference>
        </references>
      </pivotArea>
    </format>
  </formats>
  <chartFormats count="12">
    <chartFormat chart="1" format="25" series="1">
      <pivotArea type="data" outline="0" fieldPosition="0">
        <references count="1">
          <reference field="4294967294" count="1" selected="0">
            <x v="1"/>
          </reference>
        </references>
      </pivotArea>
    </chartFormat>
    <chartFormat chart="1" format="26" series="1">
      <pivotArea type="data" outline="0" fieldPosition="0">
        <references count="1">
          <reference field="4294967294" count="1" selected="0">
            <x v="2"/>
          </reference>
        </references>
      </pivotArea>
    </chartFormat>
    <chartFormat chart="1" format="27" series="1">
      <pivotArea type="data" outline="0" fieldPosition="0">
        <references count="1">
          <reference field="4294967294" count="1" selected="0">
            <x v="3"/>
          </reference>
        </references>
      </pivotArea>
    </chartFormat>
    <chartFormat chart="1" format="28" series="1">
      <pivotArea type="data" outline="0" fieldPosition="0">
        <references count="1">
          <reference field="4294967294" count="1" selected="0">
            <x v="4"/>
          </reference>
        </references>
      </pivotArea>
    </chartFormat>
    <chartFormat chart="1" format="29" series="1">
      <pivotArea type="data" outline="0" fieldPosition="0">
        <references count="1">
          <reference field="4294967294" count="1" selected="0">
            <x v="5"/>
          </reference>
        </references>
      </pivotArea>
    </chartFormat>
    <chartFormat chart="1" format="30" series="1">
      <pivotArea type="data" outline="0" fieldPosition="0">
        <references count="1">
          <reference field="4294967294" count="1" selected="0">
            <x v="6"/>
          </reference>
        </references>
      </pivotArea>
    </chartFormat>
    <chartFormat chart="1" format="31" series="1">
      <pivotArea type="data" outline="0" fieldPosition="0">
        <references count="1">
          <reference field="4294967294" count="1" selected="0">
            <x v="0"/>
          </reference>
        </references>
      </pivotArea>
    </chartFormat>
    <chartFormat chart="1" format="32" series="1">
      <pivotArea type="data" outline="0" fieldPosition="0">
        <references count="1">
          <reference field="4294967294" count="1" selected="0">
            <x v="7"/>
          </reference>
        </references>
      </pivotArea>
    </chartFormat>
    <chartFormat chart="1" format="33" series="1">
      <pivotArea type="data" outline="0" fieldPosition="0">
        <references count="1">
          <reference field="4294967294" count="1" selected="0">
            <x v="8"/>
          </reference>
        </references>
      </pivotArea>
    </chartFormat>
    <chartFormat chart="1" format="34" series="1">
      <pivotArea type="data" outline="0" fieldPosition="0">
        <references count="1">
          <reference field="4294967294" count="1" selected="0">
            <x v="9"/>
          </reference>
        </references>
      </pivotArea>
    </chartFormat>
    <chartFormat chart="1" format="35" series="1">
      <pivotArea type="data" outline="0" fieldPosition="0">
        <references count="1">
          <reference field="4294967294" count="1" selected="0">
            <x v="10"/>
          </reference>
        </references>
      </pivotArea>
    </chartFormat>
    <chartFormat chart="1" format="36" series="1">
      <pivotArea type="data" outline="0" fieldPosition="0">
        <references count="1">
          <reference field="429496729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Concepto" sourceName="Concepto">
  <pivotTables>
    <pivotTable tabId="39" name="Tabla dinámica7"/>
  </pivotTables>
  <data>
    <tabular pivotCacheId="8" crossFilter="none">
      <items count="4">
        <i x="2" s="1"/>
        <i x="1"/>
        <i x="3"/>
        <i x="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Concepto2" sourceName="Concepto">
  <pivotTables>
    <pivotTable tabId="41" name="Tabla dinámica16"/>
  </pivotTables>
  <data>
    <tabular pivotCacheId="8">
      <items count="4">
        <i x="2"/>
        <i x="1"/>
        <i x="3"/>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oncepto1" sourceName="Concepto">
  <pivotTables>
    <pivotTable tabId="40" name="Tabla dinámica10"/>
  </pivotTables>
  <data>
    <tabular pivotCacheId="9">
      <items count="15">
        <i x="9" s="1"/>
        <i x="8"/>
        <i x="7"/>
        <i x="12"/>
        <i x="10"/>
        <i x="11"/>
        <i x="6"/>
        <i x="13"/>
        <i x="14"/>
        <i x="4"/>
        <i x="2"/>
        <i x="3"/>
        <i x="1"/>
        <i x="0"/>
        <i x="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ncepto" cache="SegmentaciónDeDatos_Concepto" caption="Concepto" style="SlicerStyleLight5"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oncepto 1" cache="SegmentaciónDeDatos_Concepto1" caption="Concepto"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Concepto 2" cache="SegmentaciónDeDatos_Concepto2" caption="Concepto" rowHeight="241300"/>
</slicers>
</file>

<file path=xl/tables/table1.xml><?xml version="1.0" encoding="utf-8"?>
<table xmlns="http://schemas.openxmlformats.org/spreadsheetml/2006/main" id="15" name="Table2314" displayName="Table2314" ref="C20:I31" totalsRowShown="0" headerRowDxfId="20" dataDxfId="19">
  <tableColumns count="7">
    <tableColumn id="1" name="Carga % del Nominal" dataDxfId="18"/>
    <tableColumn id="2" name="Heat rate " dataDxfId="17"/>
    <tableColumn id="3" name="Carga KW" dataDxfId="16"/>
    <tableColumn id="4" name="Consumo de calor a condiciones rales x 10-6 BTU/h" dataDxfId="15">
      <calculatedColumnFormula>+B21*$F$6*$F$5/1000000</calculatedColumnFormula>
    </tableColumn>
    <tableColumn id="5" name="Consumo de calor a condiciones rales DIA" dataDxfId="14">
      <calculatedColumnFormula>F21*24</calculatedColumnFormula>
    </tableColumn>
    <tableColumn id="6" name="Consumo de gas dia Cupiagua x10-6 SCF" dataDxfId="13">
      <calculatedColumnFormula>G21/$H$19</calculatedColumnFormula>
    </tableColumn>
    <tableColumn id="7" name="Consumo de gas dia Cupiagua x10-6 SCF    " dataDxfId="12">
      <calculatedColumnFormula>$G21/$I$19</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16" name="Table23815" displayName="Table23815" ref="J20:S31" totalsRowShown="0" headerRowDxfId="11" dataDxfId="10">
  <tableColumns count="10">
    <tableColumn id="1" name="Consumo de gas dia Cupiagua x10-6 SCF" dataDxfId="9">
      <calculatedColumnFormula>$G21/$J$19</calculatedColumnFormula>
    </tableColumn>
    <tableColumn id="2" name="Consumo de gas dia Cupiagua x10-6 SCF                   " dataDxfId="8">
      <calculatedColumnFormula>$G21/$K$19</calculatedColumnFormula>
    </tableColumn>
    <tableColumn id="3" name="Consumo de gas dia Cupiagua x10-6 SCF                    " dataDxfId="7">
      <calculatedColumnFormula>$G21/$L$19</calculatedColumnFormula>
    </tableColumn>
    <tableColumn id="4" name="Consumo de gas dia Cupiagua x10-6 SCF          " dataDxfId="6">
      <calculatedColumnFormula>$G21/$M$19</calculatedColumnFormula>
    </tableColumn>
    <tableColumn id="5" name="Consumo de gas dia Cupiagua x10-6 SCF                 " dataDxfId="5">
      <calculatedColumnFormula>$G21/$N$19</calculatedColumnFormula>
    </tableColumn>
    <tableColumn id="6" name="Consumo de gas dia Cupiagua x10-6 SCF         " dataDxfId="4">
      <calculatedColumnFormula>$G21/$O$19</calculatedColumnFormula>
    </tableColumn>
    <tableColumn id="7" name="Consumo de gas dia Cupiagua x10-6 SCF        " dataDxfId="3">
      <calculatedColumnFormula>$G21/$P$19</calculatedColumnFormula>
    </tableColumn>
    <tableColumn id="8" name="Consumo de gas dia Cupiagua x10-6 SCF            " dataDxfId="2">
      <calculatedColumnFormula>$G21/$Q$19</calculatedColumnFormula>
    </tableColumn>
    <tableColumn id="9" name="Consumo de gas dia Cupiagua x10-6 SCF    " dataDxfId="1">
      <calculatedColumnFormula>$G21/$R$19</calculatedColumnFormula>
    </tableColumn>
    <tableColumn id="10" name="Consumo de gas dia Cupiagua x10-6 SCF                " dataDxfId="0">
      <calculatedColumnFormula>$G21/$S$19</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txDef>
      <a:spPr>
        <a:solidFill>
          <a:schemeClr val="tx2">
            <a:lumMod val="60000"/>
            <a:lumOff val="40000"/>
          </a:schemeClr>
        </a:solidFill>
        <a:ln w="9525" cap="rnd" cmpd="sng">
          <a:solidFill>
            <a:sysClr val="window" lastClr="FFFFFF">
              <a:shade val="50000"/>
              <a:alpha val="91000"/>
            </a:sysClr>
          </a:solidFill>
        </a:ln>
        <a:effectLst>
          <a:innerShdw blurRad="63500" dist="50800" dir="8100000">
            <a:schemeClr val="tx1">
              <a:alpha val="50000"/>
            </a:schemeClr>
          </a:innerShdw>
        </a:effectLst>
      </a:spPr>
      <a:bodyPr vertOverflow="clip" horzOverflow="clip" wrap="square" rtlCol="0" anchor="ctr"/>
      <a:lstStyle>
        <a:defPPr eaLnBrk="1" fontAlgn="auto" latinLnBrk="0" hangingPunct="1">
          <a:defRPr sz="1200" b="1" i="1" baseline="0">
            <a:solidFill>
              <a:schemeClr val="bg1"/>
            </a:solidFill>
            <a:effectLst/>
            <a:latin typeface="+mn-lt"/>
            <a:ea typeface="+mn-ea"/>
            <a:cs typeface="+mn-cs"/>
          </a:defRPr>
        </a:defPPr>
      </a:lstStyle>
    </a:txDef>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opseniorgen.cus@stork.com" TargetMode="External"/><Relationship Id="rId1" Type="http://schemas.openxmlformats.org/officeDocument/2006/relationships/hyperlink" Target="mailto:Opseniorgen.Cup@Stork.com" TargetMode="Externa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mailto:opseniorgen.cus@stork.com" TargetMode="External"/><Relationship Id="rId1" Type="http://schemas.openxmlformats.org/officeDocument/2006/relationships/hyperlink" Target="mailto:Opseniorgen.cup@Stork.com" TargetMode="External"/><Relationship Id="rId4"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comments" Target="../comments4.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image" Target="../media/image11.emf"/><Relationship Id="rId4" Type="http://schemas.openxmlformats.org/officeDocument/2006/relationships/control" Target="../activeX/activeX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omments" Target="../comments8.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6.xml"/><Relationship Id="rId1" Type="http://schemas.openxmlformats.org/officeDocument/2006/relationships/printerSettings" Target="../printerSettings/printerSettings19.bin"/><Relationship Id="rId4" Type="http://schemas.openxmlformats.org/officeDocument/2006/relationships/comments" Target="../comments10.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22.bin"/><Relationship Id="rId4" Type="http://schemas.openxmlformats.org/officeDocument/2006/relationships/comments" Target="../comments11.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23.bin"/><Relationship Id="rId4" Type="http://schemas.openxmlformats.org/officeDocument/2006/relationships/comments" Target="../comments12.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0.xml"/><Relationship Id="rId1" Type="http://schemas.openxmlformats.org/officeDocument/2006/relationships/printerSettings" Target="../printerSettings/printerSettings25.bin"/><Relationship Id="rId4" Type="http://schemas.openxmlformats.org/officeDocument/2006/relationships/comments" Target="../comments13.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30.bin"/><Relationship Id="rId1" Type="http://schemas.openxmlformats.org/officeDocument/2006/relationships/pivotTable" Target="../pivotTables/pivotTable1.xml"/><Relationship Id="rId4" Type="http://schemas.microsoft.com/office/2007/relationships/slicer" Target="../slicers/slicer1.xml"/></Relationships>
</file>

<file path=xl/worksheets/_rels/sheet3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5.xml"/><Relationship Id="rId1" Type="http://schemas.openxmlformats.org/officeDocument/2006/relationships/pivotTable" Target="../pivotTables/pivotTable2.xm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31.bin"/><Relationship Id="rId1" Type="http://schemas.openxmlformats.org/officeDocument/2006/relationships/pivotTable" Target="../pivotTables/pivotTable3.xml"/><Relationship Id="rId4" Type="http://schemas.microsoft.com/office/2007/relationships/slicer" Target="../slicers/slicer3.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7.vml"/><Relationship Id="rId1" Type="http://schemas.openxmlformats.org/officeDocument/2006/relationships/printerSettings" Target="../printerSettings/printerSettings35.bin"/><Relationship Id="rId5" Type="http://schemas.openxmlformats.org/officeDocument/2006/relationships/comments" Target="../comments15.xml"/><Relationship Id="rId4" Type="http://schemas.openxmlformats.org/officeDocument/2006/relationships/table" Target="../tables/table2.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DD1EE2"/>
  </sheetPr>
  <dimension ref="A1:AF83"/>
  <sheetViews>
    <sheetView showGridLines="0" zoomScale="90" zoomScaleNormal="90" workbookViewId="0">
      <selection activeCell="E6" sqref="E6"/>
    </sheetView>
  </sheetViews>
  <sheetFormatPr baseColWidth="10" defaultColWidth="9.1796875" defaultRowHeight="14.5"/>
  <cols>
    <col min="1" max="1" width="2.54296875" style="1649" customWidth="1"/>
    <col min="2" max="2" width="8.453125" style="1649" customWidth="1"/>
    <col min="3" max="4" width="7.1796875" style="1649" customWidth="1"/>
    <col min="5" max="19" width="6.54296875" style="1649" customWidth="1"/>
    <col min="20" max="20" width="7" style="1649" customWidth="1"/>
    <col min="21" max="21" width="6.54296875" style="1649" customWidth="1"/>
    <col min="22" max="22" width="9.1796875" style="1649" customWidth="1"/>
    <col min="23" max="23" width="7.54296875" style="1649" customWidth="1"/>
    <col min="24" max="33" width="6.54296875" style="1649" customWidth="1"/>
    <col min="34" max="255" width="9.1796875" style="1649"/>
    <col min="256" max="256" width="2.54296875" style="1649" customWidth="1"/>
    <col min="257" max="257" width="6.54296875" style="1649" customWidth="1"/>
    <col min="258" max="258" width="7" style="1649" customWidth="1"/>
    <col min="259" max="289" width="6.54296875" style="1649" customWidth="1"/>
    <col min="290" max="511" width="9.1796875" style="1649"/>
    <col min="512" max="512" width="2.54296875" style="1649" customWidth="1"/>
    <col min="513" max="513" width="6.54296875" style="1649" customWidth="1"/>
    <col min="514" max="514" width="7" style="1649" customWidth="1"/>
    <col min="515" max="545" width="6.54296875" style="1649" customWidth="1"/>
    <col min="546" max="767" width="9.1796875" style="1649"/>
    <col min="768" max="768" width="2.54296875" style="1649" customWidth="1"/>
    <col min="769" max="769" width="6.54296875" style="1649" customWidth="1"/>
    <col min="770" max="770" width="7" style="1649" customWidth="1"/>
    <col min="771" max="801" width="6.54296875" style="1649" customWidth="1"/>
    <col min="802" max="1023" width="9.1796875" style="1649"/>
    <col min="1024" max="1024" width="2.54296875" style="1649" customWidth="1"/>
    <col min="1025" max="1025" width="6.54296875" style="1649" customWidth="1"/>
    <col min="1026" max="1026" width="7" style="1649" customWidth="1"/>
    <col min="1027" max="1057" width="6.54296875" style="1649" customWidth="1"/>
    <col min="1058" max="1279" width="9.1796875" style="1649"/>
    <col min="1280" max="1280" width="2.54296875" style="1649" customWidth="1"/>
    <col min="1281" max="1281" width="6.54296875" style="1649" customWidth="1"/>
    <col min="1282" max="1282" width="7" style="1649" customWidth="1"/>
    <col min="1283" max="1313" width="6.54296875" style="1649" customWidth="1"/>
    <col min="1314" max="1535" width="9.1796875" style="1649"/>
    <col min="1536" max="1536" width="2.54296875" style="1649" customWidth="1"/>
    <col min="1537" max="1537" width="6.54296875" style="1649" customWidth="1"/>
    <col min="1538" max="1538" width="7" style="1649" customWidth="1"/>
    <col min="1539" max="1569" width="6.54296875" style="1649" customWidth="1"/>
    <col min="1570" max="1791" width="9.1796875" style="1649"/>
    <col min="1792" max="1792" width="2.54296875" style="1649" customWidth="1"/>
    <col min="1793" max="1793" width="6.54296875" style="1649" customWidth="1"/>
    <col min="1794" max="1794" width="7" style="1649" customWidth="1"/>
    <col min="1795" max="1825" width="6.54296875" style="1649" customWidth="1"/>
    <col min="1826" max="2047" width="9.1796875" style="1649"/>
    <col min="2048" max="2048" width="2.54296875" style="1649" customWidth="1"/>
    <col min="2049" max="2049" width="6.54296875" style="1649" customWidth="1"/>
    <col min="2050" max="2050" width="7" style="1649" customWidth="1"/>
    <col min="2051" max="2081" width="6.54296875" style="1649" customWidth="1"/>
    <col min="2082" max="2303" width="9.1796875" style="1649"/>
    <col min="2304" max="2304" width="2.54296875" style="1649" customWidth="1"/>
    <col min="2305" max="2305" width="6.54296875" style="1649" customWidth="1"/>
    <col min="2306" max="2306" width="7" style="1649" customWidth="1"/>
    <col min="2307" max="2337" width="6.54296875" style="1649" customWidth="1"/>
    <col min="2338" max="2559" width="9.1796875" style="1649"/>
    <col min="2560" max="2560" width="2.54296875" style="1649" customWidth="1"/>
    <col min="2561" max="2561" width="6.54296875" style="1649" customWidth="1"/>
    <col min="2562" max="2562" width="7" style="1649" customWidth="1"/>
    <col min="2563" max="2593" width="6.54296875" style="1649" customWidth="1"/>
    <col min="2594" max="2815" width="9.1796875" style="1649"/>
    <col min="2816" max="2816" width="2.54296875" style="1649" customWidth="1"/>
    <col min="2817" max="2817" width="6.54296875" style="1649" customWidth="1"/>
    <col min="2818" max="2818" width="7" style="1649" customWidth="1"/>
    <col min="2819" max="2849" width="6.54296875" style="1649" customWidth="1"/>
    <col min="2850" max="3071" width="9.1796875" style="1649"/>
    <col min="3072" max="3072" width="2.54296875" style="1649" customWidth="1"/>
    <col min="3073" max="3073" width="6.54296875" style="1649" customWidth="1"/>
    <col min="3074" max="3074" width="7" style="1649" customWidth="1"/>
    <col min="3075" max="3105" width="6.54296875" style="1649" customWidth="1"/>
    <col min="3106" max="3327" width="9.1796875" style="1649"/>
    <col min="3328" max="3328" width="2.54296875" style="1649" customWidth="1"/>
    <col min="3329" max="3329" width="6.54296875" style="1649" customWidth="1"/>
    <col min="3330" max="3330" width="7" style="1649" customWidth="1"/>
    <col min="3331" max="3361" width="6.54296875" style="1649" customWidth="1"/>
    <col min="3362" max="3583" width="9.1796875" style="1649"/>
    <col min="3584" max="3584" width="2.54296875" style="1649" customWidth="1"/>
    <col min="3585" max="3585" width="6.54296875" style="1649" customWidth="1"/>
    <col min="3586" max="3586" width="7" style="1649" customWidth="1"/>
    <col min="3587" max="3617" width="6.54296875" style="1649" customWidth="1"/>
    <col min="3618" max="3839" width="9.1796875" style="1649"/>
    <col min="3840" max="3840" width="2.54296875" style="1649" customWidth="1"/>
    <col min="3841" max="3841" width="6.54296875" style="1649" customWidth="1"/>
    <col min="3842" max="3842" width="7" style="1649" customWidth="1"/>
    <col min="3843" max="3873" width="6.54296875" style="1649" customWidth="1"/>
    <col min="3874" max="4095" width="9.1796875" style="1649"/>
    <col min="4096" max="4096" width="2.54296875" style="1649" customWidth="1"/>
    <col min="4097" max="4097" width="6.54296875" style="1649" customWidth="1"/>
    <col min="4098" max="4098" width="7" style="1649" customWidth="1"/>
    <col min="4099" max="4129" width="6.54296875" style="1649" customWidth="1"/>
    <col min="4130" max="4351" width="9.1796875" style="1649"/>
    <col min="4352" max="4352" width="2.54296875" style="1649" customWidth="1"/>
    <col min="4353" max="4353" width="6.54296875" style="1649" customWidth="1"/>
    <col min="4354" max="4354" width="7" style="1649" customWidth="1"/>
    <col min="4355" max="4385" width="6.54296875" style="1649" customWidth="1"/>
    <col min="4386" max="4607" width="9.1796875" style="1649"/>
    <col min="4608" max="4608" width="2.54296875" style="1649" customWidth="1"/>
    <col min="4609" max="4609" width="6.54296875" style="1649" customWidth="1"/>
    <col min="4610" max="4610" width="7" style="1649" customWidth="1"/>
    <col min="4611" max="4641" width="6.54296875" style="1649" customWidth="1"/>
    <col min="4642" max="4863" width="9.1796875" style="1649"/>
    <col min="4864" max="4864" width="2.54296875" style="1649" customWidth="1"/>
    <col min="4865" max="4865" width="6.54296875" style="1649" customWidth="1"/>
    <col min="4866" max="4866" width="7" style="1649" customWidth="1"/>
    <col min="4867" max="4897" width="6.54296875" style="1649" customWidth="1"/>
    <col min="4898" max="5119" width="9.1796875" style="1649"/>
    <col min="5120" max="5120" width="2.54296875" style="1649" customWidth="1"/>
    <col min="5121" max="5121" width="6.54296875" style="1649" customWidth="1"/>
    <col min="5122" max="5122" width="7" style="1649" customWidth="1"/>
    <col min="5123" max="5153" width="6.54296875" style="1649" customWidth="1"/>
    <col min="5154" max="5375" width="9.1796875" style="1649"/>
    <col min="5376" max="5376" width="2.54296875" style="1649" customWidth="1"/>
    <col min="5377" max="5377" width="6.54296875" style="1649" customWidth="1"/>
    <col min="5378" max="5378" width="7" style="1649" customWidth="1"/>
    <col min="5379" max="5409" width="6.54296875" style="1649" customWidth="1"/>
    <col min="5410" max="5631" width="9.1796875" style="1649"/>
    <col min="5632" max="5632" width="2.54296875" style="1649" customWidth="1"/>
    <col min="5633" max="5633" width="6.54296875" style="1649" customWidth="1"/>
    <col min="5634" max="5634" width="7" style="1649" customWidth="1"/>
    <col min="5635" max="5665" width="6.54296875" style="1649" customWidth="1"/>
    <col min="5666" max="5887" width="9.1796875" style="1649"/>
    <col min="5888" max="5888" width="2.54296875" style="1649" customWidth="1"/>
    <col min="5889" max="5889" width="6.54296875" style="1649" customWidth="1"/>
    <col min="5890" max="5890" width="7" style="1649" customWidth="1"/>
    <col min="5891" max="5921" width="6.54296875" style="1649" customWidth="1"/>
    <col min="5922" max="6143" width="9.1796875" style="1649"/>
    <col min="6144" max="6144" width="2.54296875" style="1649" customWidth="1"/>
    <col min="6145" max="6145" width="6.54296875" style="1649" customWidth="1"/>
    <col min="6146" max="6146" width="7" style="1649" customWidth="1"/>
    <col min="6147" max="6177" width="6.54296875" style="1649" customWidth="1"/>
    <col min="6178" max="6399" width="9.1796875" style="1649"/>
    <col min="6400" max="6400" width="2.54296875" style="1649" customWidth="1"/>
    <col min="6401" max="6401" width="6.54296875" style="1649" customWidth="1"/>
    <col min="6402" max="6402" width="7" style="1649" customWidth="1"/>
    <col min="6403" max="6433" width="6.54296875" style="1649" customWidth="1"/>
    <col min="6434" max="6655" width="9.1796875" style="1649"/>
    <col min="6656" max="6656" width="2.54296875" style="1649" customWidth="1"/>
    <col min="6657" max="6657" width="6.54296875" style="1649" customWidth="1"/>
    <col min="6658" max="6658" width="7" style="1649" customWidth="1"/>
    <col min="6659" max="6689" width="6.54296875" style="1649" customWidth="1"/>
    <col min="6690" max="6911" width="9.1796875" style="1649"/>
    <col min="6912" max="6912" width="2.54296875" style="1649" customWidth="1"/>
    <col min="6913" max="6913" width="6.54296875" style="1649" customWidth="1"/>
    <col min="6914" max="6914" width="7" style="1649" customWidth="1"/>
    <col min="6915" max="6945" width="6.54296875" style="1649" customWidth="1"/>
    <col min="6946" max="7167" width="9.1796875" style="1649"/>
    <col min="7168" max="7168" width="2.54296875" style="1649" customWidth="1"/>
    <col min="7169" max="7169" width="6.54296875" style="1649" customWidth="1"/>
    <col min="7170" max="7170" width="7" style="1649" customWidth="1"/>
    <col min="7171" max="7201" width="6.54296875" style="1649" customWidth="1"/>
    <col min="7202" max="7423" width="9.1796875" style="1649"/>
    <col min="7424" max="7424" width="2.54296875" style="1649" customWidth="1"/>
    <col min="7425" max="7425" width="6.54296875" style="1649" customWidth="1"/>
    <col min="7426" max="7426" width="7" style="1649" customWidth="1"/>
    <col min="7427" max="7457" width="6.54296875" style="1649" customWidth="1"/>
    <col min="7458" max="7679" width="9.1796875" style="1649"/>
    <col min="7680" max="7680" width="2.54296875" style="1649" customWidth="1"/>
    <col min="7681" max="7681" width="6.54296875" style="1649" customWidth="1"/>
    <col min="7682" max="7682" width="7" style="1649" customWidth="1"/>
    <col min="7683" max="7713" width="6.54296875" style="1649" customWidth="1"/>
    <col min="7714" max="7935" width="9.1796875" style="1649"/>
    <col min="7936" max="7936" width="2.54296875" style="1649" customWidth="1"/>
    <col min="7937" max="7937" width="6.54296875" style="1649" customWidth="1"/>
    <col min="7938" max="7938" width="7" style="1649" customWidth="1"/>
    <col min="7939" max="7969" width="6.54296875" style="1649" customWidth="1"/>
    <col min="7970" max="8191" width="9.1796875" style="1649"/>
    <col min="8192" max="8192" width="2.54296875" style="1649" customWidth="1"/>
    <col min="8193" max="8193" width="6.54296875" style="1649" customWidth="1"/>
    <col min="8194" max="8194" width="7" style="1649" customWidth="1"/>
    <col min="8195" max="8225" width="6.54296875" style="1649" customWidth="1"/>
    <col min="8226" max="8447" width="9.1796875" style="1649"/>
    <col min="8448" max="8448" width="2.54296875" style="1649" customWidth="1"/>
    <col min="8449" max="8449" width="6.54296875" style="1649" customWidth="1"/>
    <col min="8450" max="8450" width="7" style="1649" customWidth="1"/>
    <col min="8451" max="8481" width="6.54296875" style="1649" customWidth="1"/>
    <col min="8482" max="8703" width="9.1796875" style="1649"/>
    <col min="8704" max="8704" width="2.54296875" style="1649" customWidth="1"/>
    <col min="8705" max="8705" width="6.54296875" style="1649" customWidth="1"/>
    <col min="8706" max="8706" width="7" style="1649" customWidth="1"/>
    <col min="8707" max="8737" width="6.54296875" style="1649" customWidth="1"/>
    <col min="8738" max="8959" width="9.1796875" style="1649"/>
    <col min="8960" max="8960" width="2.54296875" style="1649" customWidth="1"/>
    <col min="8961" max="8961" width="6.54296875" style="1649" customWidth="1"/>
    <col min="8962" max="8962" width="7" style="1649" customWidth="1"/>
    <col min="8963" max="8993" width="6.54296875" style="1649" customWidth="1"/>
    <col min="8994" max="9215" width="9.1796875" style="1649"/>
    <col min="9216" max="9216" width="2.54296875" style="1649" customWidth="1"/>
    <col min="9217" max="9217" width="6.54296875" style="1649" customWidth="1"/>
    <col min="9218" max="9218" width="7" style="1649" customWidth="1"/>
    <col min="9219" max="9249" width="6.54296875" style="1649" customWidth="1"/>
    <col min="9250" max="9471" width="9.1796875" style="1649"/>
    <col min="9472" max="9472" width="2.54296875" style="1649" customWidth="1"/>
    <col min="9473" max="9473" width="6.54296875" style="1649" customWidth="1"/>
    <col min="9474" max="9474" width="7" style="1649" customWidth="1"/>
    <col min="9475" max="9505" width="6.54296875" style="1649" customWidth="1"/>
    <col min="9506" max="9727" width="9.1796875" style="1649"/>
    <col min="9728" max="9728" width="2.54296875" style="1649" customWidth="1"/>
    <col min="9729" max="9729" width="6.54296875" style="1649" customWidth="1"/>
    <col min="9730" max="9730" width="7" style="1649" customWidth="1"/>
    <col min="9731" max="9761" width="6.54296875" style="1649" customWidth="1"/>
    <col min="9762" max="9983" width="9.1796875" style="1649"/>
    <col min="9984" max="9984" width="2.54296875" style="1649" customWidth="1"/>
    <col min="9985" max="9985" width="6.54296875" style="1649" customWidth="1"/>
    <col min="9986" max="9986" width="7" style="1649" customWidth="1"/>
    <col min="9987" max="10017" width="6.54296875" style="1649" customWidth="1"/>
    <col min="10018" max="10239" width="9.1796875" style="1649"/>
    <col min="10240" max="10240" width="2.54296875" style="1649" customWidth="1"/>
    <col min="10241" max="10241" width="6.54296875" style="1649" customWidth="1"/>
    <col min="10242" max="10242" width="7" style="1649" customWidth="1"/>
    <col min="10243" max="10273" width="6.54296875" style="1649" customWidth="1"/>
    <col min="10274" max="10495" width="9.1796875" style="1649"/>
    <col min="10496" max="10496" width="2.54296875" style="1649" customWidth="1"/>
    <col min="10497" max="10497" width="6.54296875" style="1649" customWidth="1"/>
    <col min="10498" max="10498" width="7" style="1649" customWidth="1"/>
    <col min="10499" max="10529" width="6.54296875" style="1649" customWidth="1"/>
    <col min="10530" max="10751" width="9.1796875" style="1649"/>
    <col min="10752" max="10752" width="2.54296875" style="1649" customWidth="1"/>
    <col min="10753" max="10753" width="6.54296875" style="1649" customWidth="1"/>
    <col min="10754" max="10754" width="7" style="1649" customWidth="1"/>
    <col min="10755" max="10785" width="6.54296875" style="1649" customWidth="1"/>
    <col min="10786" max="11007" width="9.1796875" style="1649"/>
    <col min="11008" max="11008" width="2.54296875" style="1649" customWidth="1"/>
    <col min="11009" max="11009" width="6.54296875" style="1649" customWidth="1"/>
    <col min="11010" max="11010" width="7" style="1649" customWidth="1"/>
    <col min="11011" max="11041" width="6.54296875" style="1649" customWidth="1"/>
    <col min="11042" max="11263" width="9.1796875" style="1649"/>
    <col min="11264" max="11264" width="2.54296875" style="1649" customWidth="1"/>
    <col min="11265" max="11265" width="6.54296875" style="1649" customWidth="1"/>
    <col min="11266" max="11266" width="7" style="1649" customWidth="1"/>
    <col min="11267" max="11297" width="6.54296875" style="1649" customWidth="1"/>
    <col min="11298" max="11519" width="9.1796875" style="1649"/>
    <col min="11520" max="11520" width="2.54296875" style="1649" customWidth="1"/>
    <col min="11521" max="11521" width="6.54296875" style="1649" customWidth="1"/>
    <col min="11522" max="11522" width="7" style="1649" customWidth="1"/>
    <col min="11523" max="11553" width="6.54296875" style="1649" customWidth="1"/>
    <col min="11554" max="11775" width="9.1796875" style="1649"/>
    <col min="11776" max="11776" width="2.54296875" style="1649" customWidth="1"/>
    <col min="11777" max="11777" width="6.54296875" style="1649" customWidth="1"/>
    <col min="11778" max="11778" width="7" style="1649" customWidth="1"/>
    <col min="11779" max="11809" width="6.54296875" style="1649" customWidth="1"/>
    <col min="11810" max="12031" width="9.1796875" style="1649"/>
    <col min="12032" max="12032" width="2.54296875" style="1649" customWidth="1"/>
    <col min="12033" max="12033" width="6.54296875" style="1649" customWidth="1"/>
    <col min="12034" max="12034" width="7" style="1649" customWidth="1"/>
    <col min="12035" max="12065" width="6.54296875" style="1649" customWidth="1"/>
    <col min="12066" max="12287" width="9.1796875" style="1649"/>
    <col min="12288" max="12288" width="2.54296875" style="1649" customWidth="1"/>
    <col min="12289" max="12289" width="6.54296875" style="1649" customWidth="1"/>
    <col min="12290" max="12290" width="7" style="1649" customWidth="1"/>
    <col min="12291" max="12321" width="6.54296875" style="1649" customWidth="1"/>
    <col min="12322" max="12543" width="9.1796875" style="1649"/>
    <col min="12544" max="12544" width="2.54296875" style="1649" customWidth="1"/>
    <col min="12545" max="12545" width="6.54296875" style="1649" customWidth="1"/>
    <col min="12546" max="12546" width="7" style="1649" customWidth="1"/>
    <col min="12547" max="12577" width="6.54296875" style="1649" customWidth="1"/>
    <col min="12578" max="12799" width="9.1796875" style="1649"/>
    <col min="12800" max="12800" width="2.54296875" style="1649" customWidth="1"/>
    <col min="12801" max="12801" width="6.54296875" style="1649" customWidth="1"/>
    <col min="12802" max="12802" width="7" style="1649" customWidth="1"/>
    <col min="12803" max="12833" width="6.54296875" style="1649" customWidth="1"/>
    <col min="12834" max="13055" width="9.1796875" style="1649"/>
    <col min="13056" max="13056" width="2.54296875" style="1649" customWidth="1"/>
    <col min="13057" max="13057" width="6.54296875" style="1649" customWidth="1"/>
    <col min="13058" max="13058" width="7" style="1649" customWidth="1"/>
    <col min="13059" max="13089" width="6.54296875" style="1649" customWidth="1"/>
    <col min="13090" max="13311" width="9.1796875" style="1649"/>
    <col min="13312" max="13312" width="2.54296875" style="1649" customWidth="1"/>
    <col min="13313" max="13313" width="6.54296875" style="1649" customWidth="1"/>
    <col min="13314" max="13314" width="7" style="1649" customWidth="1"/>
    <col min="13315" max="13345" width="6.54296875" style="1649" customWidth="1"/>
    <col min="13346" max="13567" width="9.1796875" style="1649"/>
    <col min="13568" max="13568" width="2.54296875" style="1649" customWidth="1"/>
    <col min="13569" max="13569" width="6.54296875" style="1649" customWidth="1"/>
    <col min="13570" max="13570" width="7" style="1649" customWidth="1"/>
    <col min="13571" max="13601" width="6.54296875" style="1649" customWidth="1"/>
    <col min="13602" max="13823" width="9.1796875" style="1649"/>
    <col min="13824" max="13824" width="2.54296875" style="1649" customWidth="1"/>
    <col min="13825" max="13825" width="6.54296875" style="1649" customWidth="1"/>
    <col min="13826" max="13826" width="7" style="1649" customWidth="1"/>
    <col min="13827" max="13857" width="6.54296875" style="1649" customWidth="1"/>
    <col min="13858" max="14079" width="9.1796875" style="1649"/>
    <col min="14080" max="14080" width="2.54296875" style="1649" customWidth="1"/>
    <col min="14081" max="14081" width="6.54296875" style="1649" customWidth="1"/>
    <col min="14082" max="14082" width="7" style="1649" customWidth="1"/>
    <col min="14083" max="14113" width="6.54296875" style="1649" customWidth="1"/>
    <col min="14114" max="14335" width="9.1796875" style="1649"/>
    <col min="14336" max="14336" width="2.54296875" style="1649" customWidth="1"/>
    <col min="14337" max="14337" width="6.54296875" style="1649" customWidth="1"/>
    <col min="14338" max="14338" width="7" style="1649" customWidth="1"/>
    <col min="14339" max="14369" width="6.54296875" style="1649" customWidth="1"/>
    <col min="14370" max="14591" width="9.1796875" style="1649"/>
    <col min="14592" max="14592" width="2.54296875" style="1649" customWidth="1"/>
    <col min="14593" max="14593" width="6.54296875" style="1649" customWidth="1"/>
    <col min="14594" max="14594" width="7" style="1649" customWidth="1"/>
    <col min="14595" max="14625" width="6.54296875" style="1649" customWidth="1"/>
    <col min="14626" max="14847" width="9.1796875" style="1649"/>
    <col min="14848" max="14848" width="2.54296875" style="1649" customWidth="1"/>
    <col min="14849" max="14849" width="6.54296875" style="1649" customWidth="1"/>
    <col min="14850" max="14850" width="7" style="1649" customWidth="1"/>
    <col min="14851" max="14881" width="6.54296875" style="1649" customWidth="1"/>
    <col min="14882" max="15103" width="9.1796875" style="1649"/>
    <col min="15104" max="15104" width="2.54296875" style="1649" customWidth="1"/>
    <col min="15105" max="15105" width="6.54296875" style="1649" customWidth="1"/>
    <col min="15106" max="15106" width="7" style="1649" customWidth="1"/>
    <col min="15107" max="15137" width="6.54296875" style="1649" customWidth="1"/>
    <col min="15138" max="15359" width="9.1796875" style="1649"/>
    <col min="15360" max="15360" width="2.54296875" style="1649" customWidth="1"/>
    <col min="15361" max="15361" width="6.54296875" style="1649" customWidth="1"/>
    <col min="15362" max="15362" width="7" style="1649" customWidth="1"/>
    <col min="15363" max="15393" width="6.54296875" style="1649" customWidth="1"/>
    <col min="15394" max="15615" width="9.1796875" style="1649"/>
    <col min="15616" max="15616" width="2.54296875" style="1649" customWidth="1"/>
    <col min="15617" max="15617" width="6.54296875" style="1649" customWidth="1"/>
    <col min="15618" max="15618" width="7" style="1649" customWidth="1"/>
    <col min="15619" max="15649" width="6.54296875" style="1649" customWidth="1"/>
    <col min="15650" max="15871" width="9.1796875" style="1649"/>
    <col min="15872" max="15872" width="2.54296875" style="1649" customWidth="1"/>
    <col min="15873" max="15873" width="6.54296875" style="1649" customWidth="1"/>
    <col min="15874" max="15874" width="7" style="1649" customWidth="1"/>
    <col min="15875" max="15905" width="6.54296875" style="1649" customWidth="1"/>
    <col min="15906" max="16127" width="9.1796875" style="1649"/>
    <col min="16128" max="16128" width="2.54296875" style="1649" customWidth="1"/>
    <col min="16129" max="16129" width="6.54296875" style="1649" customWidth="1"/>
    <col min="16130" max="16130" width="7" style="1649" customWidth="1"/>
    <col min="16131" max="16161" width="6.54296875" style="1649" customWidth="1"/>
    <col min="16162" max="16384" width="9.1796875" style="1649"/>
  </cols>
  <sheetData>
    <row r="1" spans="1:32" ht="17" customHeight="1" thickTop="1" thickBot="1">
      <c r="A1" s="1684"/>
      <c r="B1" s="1685"/>
      <c r="C1" s="1685"/>
      <c r="D1" s="1685"/>
      <c r="E1" s="1685"/>
      <c r="F1" s="1685"/>
      <c r="G1" s="1908"/>
      <c r="H1" s="1908"/>
      <c r="I1" s="1908"/>
      <c r="J1" s="1908"/>
      <c r="K1" s="1908"/>
      <c r="L1" s="1908"/>
      <c r="M1" s="1908"/>
      <c r="N1" s="1908"/>
      <c r="O1" s="1908"/>
      <c r="P1" s="1908"/>
      <c r="Q1" s="1908"/>
      <c r="R1" s="1908"/>
      <c r="S1" s="1685"/>
      <c r="T1" s="1685"/>
      <c r="U1" s="1685"/>
      <c r="V1" s="1685"/>
      <c r="W1" s="1686"/>
    </row>
    <row r="2" spans="1:32" ht="17" customHeight="1" thickTop="1">
      <c r="A2" s="1687"/>
      <c r="B2" s="1655"/>
      <c r="C2" s="1655"/>
      <c r="D2" s="1655"/>
      <c r="E2" s="1655"/>
      <c r="F2" s="1655"/>
      <c r="G2" s="1692"/>
      <c r="H2" s="1693"/>
      <c r="I2" s="1912" t="s">
        <v>274</v>
      </c>
      <c r="J2" s="1913"/>
      <c r="K2" s="1913"/>
      <c r="L2" s="1913"/>
      <c r="M2" s="1913"/>
      <c r="N2" s="1913"/>
      <c r="O2" s="1913"/>
      <c r="P2" s="1914"/>
      <c r="Q2" s="1693"/>
      <c r="R2" s="1694"/>
      <c r="S2" s="1655"/>
      <c r="T2" s="1655"/>
      <c r="U2" s="1655"/>
      <c r="V2" s="1655"/>
      <c r="W2" s="1688"/>
    </row>
    <row r="3" spans="1:32" ht="17" customHeight="1" thickBot="1">
      <c r="A3" s="1689"/>
      <c r="B3" s="1690"/>
      <c r="C3" s="1690"/>
      <c r="D3" s="1690"/>
      <c r="E3" s="1690"/>
      <c r="F3" s="1690"/>
      <c r="G3" s="1681"/>
      <c r="H3" s="1682"/>
      <c r="I3" s="1915" t="s">
        <v>155</v>
      </c>
      <c r="J3" s="1916"/>
      <c r="K3" s="1916"/>
      <c r="L3" s="1916"/>
      <c r="M3" s="1916"/>
      <c r="N3" s="1916"/>
      <c r="O3" s="1916"/>
      <c r="P3" s="1917"/>
      <c r="Q3" s="1682"/>
      <c r="R3" s="1683"/>
      <c r="S3" s="1690"/>
      <c r="T3" s="1690"/>
      <c r="U3" s="1690"/>
      <c r="V3" s="1690"/>
      <c r="W3" s="1691"/>
    </row>
    <row r="4" spans="1:32" ht="17" customHeight="1" thickTop="1">
      <c r="I4" s="1650"/>
      <c r="J4" s="1650"/>
      <c r="K4" s="1650"/>
      <c r="L4" s="1650"/>
      <c r="M4" s="1650"/>
      <c r="N4" s="1650"/>
      <c r="O4" s="1651"/>
      <c r="P4" s="1651"/>
    </row>
    <row r="5" spans="1:32" ht="16" customHeight="1">
      <c r="B5" s="1901" t="s">
        <v>208</v>
      </c>
      <c r="C5" s="1901"/>
      <c r="D5" s="1901"/>
      <c r="E5" s="1652"/>
      <c r="I5" s="1905" t="s">
        <v>1350</v>
      </c>
      <c r="J5" s="1906"/>
      <c r="K5" s="1910">
        <v>44927</v>
      </c>
      <c r="L5" s="1911"/>
      <c r="M5" s="1653"/>
      <c r="N5" s="1653"/>
      <c r="S5" s="1894" t="s">
        <v>159</v>
      </c>
      <c r="T5" s="1894"/>
      <c r="U5" s="1894"/>
      <c r="V5" s="1894"/>
      <c r="AE5" s="1650"/>
      <c r="AF5" s="1650"/>
    </row>
    <row r="6" spans="1:32" ht="16" customHeight="1">
      <c r="B6" s="1695" t="s">
        <v>131</v>
      </c>
      <c r="C6" s="1892">
        <f>MONTH(C8)</f>
        <v>11</v>
      </c>
      <c r="D6" s="1892"/>
      <c r="I6" s="1905" t="s">
        <v>1351</v>
      </c>
      <c r="J6" s="1906"/>
      <c r="K6" s="1910">
        <v>45291</v>
      </c>
      <c r="L6" s="1911"/>
      <c r="M6" s="1918"/>
      <c r="N6" s="1918"/>
      <c r="O6" s="1918"/>
      <c r="S6" s="1696" t="s">
        <v>1346</v>
      </c>
      <c r="T6" s="1923" t="s">
        <v>35</v>
      </c>
      <c r="U6" s="1923"/>
      <c r="V6" s="1696" t="s">
        <v>1442</v>
      </c>
      <c r="AE6" s="1650"/>
      <c r="AF6" s="1650"/>
    </row>
    <row r="7" spans="1:32" ht="16" customHeight="1">
      <c r="B7" s="1695" t="s">
        <v>805</v>
      </c>
      <c r="C7" s="1921">
        <f>DAY(C8)</f>
        <v>1</v>
      </c>
      <c r="D7" s="1921"/>
      <c r="I7" s="1905" t="s">
        <v>1352</v>
      </c>
      <c r="J7" s="1906"/>
      <c r="K7" s="1910">
        <f ca="1">TODAY()</f>
        <v>45232</v>
      </c>
      <c r="L7" s="1911"/>
      <c r="M7" s="1653"/>
      <c r="N7" s="1653"/>
      <c r="O7" s="1897"/>
      <c r="S7" s="1697">
        <v>28</v>
      </c>
      <c r="T7" s="1895">
        <v>83305</v>
      </c>
      <c r="U7" s="1895"/>
      <c r="V7" s="1698">
        <f>(T7/S7)/1000</f>
        <v>2.9751785714285717</v>
      </c>
      <c r="AE7" s="1650"/>
      <c r="AF7" s="1650"/>
    </row>
    <row r="8" spans="1:32" ht="16" customHeight="1">
      <c r="B8" s="1695" t="s">
        <v>399</v>
      </c>
      <c r="C8" s="1891">
        <v>45231</v>
      </c>
      <c r="D8" s="1891"/>
      <c r="I8" s="1653"/>
      <c r="J8" s="1653"/>
      <c r="L8" s="1653"/>
      <c r="M8" s="1653"/>
      <c r="N8" s="1654"/>
      <c r="O8" s="1897"/>
      <c r="S8" s="1697">
        <v>29</v>
      </c>
      <c r="T8" s="1895">
        <v>86280</v>
      </c>
      <c r="U8" s="1895"/>
      <c r="V8" s="1698">
        <f>(V7/2)</f>
        <v>1.4875892857142858</v>
      </c>
      <c r="AE8" s="1650"/>
      <c r="AF8" s="1650"/>
    </row>
    <row r="9" spans="1:32" ht="16" customHeight="1">
      <c r="B9" s="1655"/>
      <c r="C9" s="1656"/>
      <c r="D9" s="1656"/>
      <c r="G9" s="1657"/>
      <c r="I9" s="1653"/>
      <c r="J9" s="1653"/>
      <c r="K9" s="1653"/>
      <c r="L9" s="1653"/>
      <c r="M9" s="1653"/>
      <c r="N9" s="1653"/>
      <c r="O9" s="1897"/>
      <c r="S9" s="1697">
        <v>30</v>
      </c>
      <c r="T9" s="1895">
        <v>89255</v>
      </c>
      <c r="U9" s="1895"/>
      <c r="V9" s="1922"/>
      <c r="AE9" s="1650"/>
      <c r="AF9" s="1650"/>
    </row>
    <row r="10" spans="1:32" ht="16" customHeight="1">
      <c r="B10" s="1655"/>
      <c r="C10" s="1656"/>
      <c r="D10" s="1656"/>
      <c r="K10" s="1653"/>
      <c r="L10" s="1653"/>
      <c r="M10" s="1653"/>
      <c r="N10" s="1658"/>
      <c r="O10" s="1659"/>
      <c r="S10" s="1697">
        <v>31</v>
      </c>
      <c r="T10" s="1895">
        <v>92230</v>
      </c>
      <c r="U10" s="1895"/>
      <c r="V10" s="1922"/>
      <c r="AE10" s="1650"/>
      <c r="AF10" s="1650"/>
    </row>
    <row r="11" spans="1:32" ht="16" customHeight="1">
      <c r="B11" s="1901" t="s">
        <v>1482</v>
      </c>
      <c r="C11" s="1901"/>
      <c r="D11" s="1901"/>
      <c r="E11" s="1901"/>
      <c r="G11" s="1893"/>
      <c r="H11" s="1893"/>
      <c r="I11" s="1893"/>
      <c r="J11" s="1653"/>
      <c r="K11" s="1653"/>
      <c r="L11" s="1653"/>
      <c r="M11" s="1653"/>
      <c r="N11" s="1660"/>
      <c r="O11" s="1661"/>
      <c r="T11" s="1897"/>
      <c r="U11" s="1897"/>
      <c r="V11" s="1897"/>
      <c r="W11" s="1897"/>
      <c r="AE11" s="1650"/>
      <c r="AF11" s="1650"/>
    </row>
    <row r="12" spans="1:32" ht="16" customHeight="1">
      <c r="B12" s="1890" t="s">
        <v>157</v>
      </c>
      <c r="C12" s="1890"/>
      <c r="D12" s="1891">
        <v>45231</v>
      </c>
      <c r="E12" s="1891"/>
      <c r="G12" s="1897"/>
      <c r="H12" s="1897"/>
      <c r="I12" s="1897"/>
      <c r="J12" s="1897"/>
      <c r="K12" s="1653"/>
      <c r="L12" s="1653"/>
      <c r="M12" s="1653"/>
      <c r="N12" s="1654"/>
      <c r="O12" s="1909"/>
      <c r="T12" s="1897"/>
      <c r="U12" s="1897"/>
      <c r="V12" s="1897"/>
      <c r="W12" s="1897"/>
      <c r="AE12" s="1650"/>
      <c r="AF12" s="1650"/>
    </row>
    <row r="13" spans="1:32" ht="16" customHeight="1">
      <c r="B13" s="1890" t="s">
        <v>158</v>
      </c>
      <c r="C13" s="1890"/>
      <c r="D13" s="1891">
        <v>45260</v>
      </c>
      <c r="E13" s="1891"/>
      <c r="G13" s="1897"/>
      <c r="H13" s="1897"/>
      <c r="I13" s="1897"/>
      <c r="J13" s="1897"/>
      <c r="K13" s="1653"/>
      <c r="L13" s="1653"/>
      <c r="M13" s="1653"/>
      <c r="N13" s="1653"/>
      <c r="O13" s="1909"/>
      <c r="T13" s="1661"/>
      <c r="U13" s="1661"/>
      <c r="V13" s="1661"/>
      <c r="W13" s="1661"/>
      <c r="AE13" s="1650"/>
      <c r="AF13" s="1650"/>
    </row>
    <row r="14" spans="1:32" ht="16" customHeight="1">
      <c r="B14" s="1890" t="s">
        <v>131</v>
      </c>
      <c r="C14" s="1890"/>
      <c r="D14" s="1892">
        <f>C6</f>
        <v>11</v>
      </c>
      <c r="E14" s="1892"/>
      <c r="G14" s="1662"/>
      <c r="H14" s="1662"/>
      <c r="I14" s="1662"/>
      <c r="J14" s="1653"/>
      <c r="K14" s="1653"/>
      <c r="L14" s="1653"/>
      <c r="M14" s="1653"/>
      <c r="N14" s="1660"/>
      <c r="O14" s="1661"/>
      <c r="T14" s="1909"/>
      <c r="U14" s="1909"/>
      <c r="V14" s="1909"/>
      <c r="W14" s="1661"/>
      <c r="AE14" s="1650"/>
      <c r="AF14" s="1650"/>
    </row>
    <row r="15" spans="1:32" ht="16" customHeight="1">
      <c r="B15" s="1655"/>
      <c r="C15" s="1663"/>
      <c r="D15" s="1656"/>
      <c r="G15" s="1897"/>
      <c r="H15" s="1897"/>
      <c r="I15" s="1897"/>
      <c r="J15" s="1653"/>
      <c r="K15" s="1653"/>
      <c r="L15" s="1653"/>
      <c r="M15" s="1653"/>
      <c r="N15" s="1907"/>
      <c r="O15" s="1897"/>
      <c r="T15" s="1661"/>
      <c r="U15" s="1661"/>
      <c r="V15" s="1661"/>
      <c r="W15" s="1661"/>
      <c r="AE15" s="1650"/>
      <c r="AF15" s="1650"/>
    </row>
    <row r="16" spans="1:32" ht="16" customHeight="1">
      <c r="B16" s="1898" t="s">
        <v>1433</v>
      </c>
      <c r="C16" s="1899"/>
      <c r="D16" s="1899"/>
      <c r="E16" s="1899"/>
      <c r="F16" s="1900"/>
      <c r="G16" s="1897"/>
      <c r="H16" s="1897"/>
      <c r="I16" s="1897"/>
      <c r="N16" s="1907"/>
      <c r="O16" s="1897"/>
      <c r="T16" s="1661"/>
      <c r="U16" s="1661"/>
      <c r="V16" s="1661"/>
      <c r="W16" s="1661"/>
    </row>
    <row r="17" spans="2:29" ht="16" customHeight="1">
      <c r="B17" s="1902" t="s">
        <v>1167</v>
      </c>
      <c r="C17" s="1903"/>
      <c r="D17" s="1903"/>
      <c r="E17" s="1903"/>
      <c r="F17" s="1904"/>
      <c r="G17" s="1893"/>
      <c r="H17" s="1893"/>
      <c r="I17" s="1893"/>
      <c r="N17" s="1660"/>
      <c r="O17" s="1662"/>
      <c r="R17" s="1664"/>
    </row>
    <row r="18" spans="2:29" ht="16" customHeight="1">
      <c r="G18" s="1897"/>
      <c r="H18" s="1897"/>
      <c r="I18" s="1897"/>
      <c r="N18" s="1907"/>
      <c r="O18" s="1897"/>
    </row>
    <row r="19" spans="2:29" ht="16" customHeight="1">
      <c r="G19" s="1897"/>
      <c r="H19" s="1897"/>
      <c r="I19" s="1897"/>
      <c r="N19" s="1907"/>
      <c r="O19" s="1897"/>
      <c r="T19" s="1657"/>
    </row>
    <row r="20" spans="2:29" ht="16" customHeight="1">
      <c r="G20" s="1662"/>
      <c r="H20" s="1662"/>
      <c r="I20" s="1662"/>
      <c r="J20" s="1662"/>
      <c r="O20" s="1662"/>
    </row>
    <row r="21" spans="2:29" ht="16" customHeight="1">
      <c r="G21" s="1920"/>
      <c r="H21" s="1920"/>
      <c r="I21" s="1920"/>
      <c r="J21" s="1662"/>
      <c r="N21" s="1907"/>
      <c r="O21" s="1897"/>
    </row>
    <row r="22" spans="2:29" ht="16" customHeight="1">
      <c r="G22" s="1920"/>
      <c r="H22" s="1920"/>
      <c r="I22" s="1920"/>
      <c r="N22" s="1907"/>
      <c r="O22" s="1897"/>
      <c r="P22" s="1665"/>
      <c r="Y22" s="1660"/>
      <c r="Z22" s="1919"/>
      <c r="AA22" s="1919"/>
      <c r="AB22" s="1919"/>
      <c r="AC22" s="1919"/>
    </row>
    <row r="23" spans="2:29" ht="16.5" customHeight="1">
      <c r="H23" s="1666"/>
      <c r="N23" s="1907"/>
      <c r="O23" s="1897"/>
      <c r="P23" s="1665"/>
      <c r="Y23" s="1660"/>
      <c r="Z23" s="1919"/>
      <c r="AA23" s="1919"/>
      <c r="AB23" s="1919"/>
      <c r="AC23" s="1919"/>
    </row>
    <row r="24" spans="2:29" ht="16.5" customHeight="1">
      <c r="Y24" s="1660"/>
      <c r="Z24" s="1919"/>
      <c r="AA24" s="1919"/>
      <c r="AB24" s="1919"/>
      <c r="AC24" s="1919"/>
    </row>
    <row r="25" spans="2:29" hidden="1">
      <c r="C25" s="1667" t="s">
        <v>206</v>
      </c>
      <c r="D25" s="1926" t="s">
        <v>1347</v>
      </c>
      <c r="E25" s="1926"/>
      <c r="F25" s="1926"/>
      <c r="G25" s="1926"/>
      <c r="H25" s="1926"/>
      <c r="I25" s="1926"/>
      <c r="J25" s="1926"/>
      <c r="K25" s="1926"/>
      <c r="L25" s="1926"/>
      <c r="M25" s="1926"/>
      <c r="N25" s="1926"/>
      <c r="O25" s="1926"/>
      <c r="P25" s="1926"/>
      <c r="Q25" s="1926"/>
      <c r="R25" s="1926"/>
      <c r="S25" s="1926"/>
      <c r="T25" s="1926"/>
      <c r="U25" s="1926"/>
      <c r="V25" s="1926"/>
      <c r="W25" s="1926"/>
      <c r="X25" s="1926"/>
      <c r="Y25" s="1926"/>
      <c r="Z25" s="1926"/>
    </row>
    <row r="26" spans="2:29" ht="18" hidden="1" customHeight="1">
      <c r="C26" s="1668"/>
      <c r="D26" s="1925" t="s">
        <v>1348</v>
      </c>
      <c r="E26" s="1925"/>
      <c r="F26" s="1925"/>
      <c r="G26" s="1925"/>
      <c r="H26" s="1925"/>
      <c r="I26" s="1925"/>
      <c r="J26" s="1925"/>
      <c r="K26" s="1925"/>
      <c r="L26" s="1925"/>
      <c r="M26" s="1925"/>
      <c r="N26" s="1925"/>
      <c r="O26" s="1925"/>
      <c r="P26" s="1925"/>
      <c r="Q26" s="1925"/>
      <c r="R26" s="1925"/>
      <c r="S26" s="1925"/>
      <c r="T26" s="1925"/>
      <c r="U26" s="1925"/>
      <c r="V26" s="1925"/>
      <c r="W26" s="1925"/>
      <c r="X26" s="1925"/>
      <c r="Y26" s="1925"/>
      <c r="Z26" s="1925"/>
    </row>
    <row r="27" spans="2:29" ht="18" hidden="1" customHeight="1">
      <c r="C27" s="1668"/>
      <c r="D27" s="1669" t="s">
        <v>218</v>
      </c>
      <c r="E27" s="1670"/>
      <c r="F27" s="1670"/>
      <c r="G27" s="1670"/>
      <c r="H27" s="1670"/>
      <c r="I27" s="1670"/>
      <c r="J27" s="1670"/>
      <c r="K27" s="1670"/>
      <c r="L27" s="1670"/>
      <c r="M27" s="1670"/>
      <c r="N27" s="1670"/>
      <c r="O27" s="1670"/>
      <c r="P27" s="1670"/>
      <c r="Q27" s="1670"/>
      <c r="R27" s="1670"/>
      <c r="S27" s="1670"/>
      <c r="T27" s="1670"/>
      <c r="U27" s="1670"/>
      <c r="V27" s="1670"/>
      <c r="W27" s="1670"/>
      <c r="X27" s="1670"/>
      <c r="Y27" s="1660"/>
      <c r="Z27" s="1671"/>
    </row>
    <row r="28" spans="2:29" ht="15.5" hidden="1">
      <c r="C28" s="1667" t="s">
        <v>203</v>
      </c>
      <c r="D28" s="1927"/>
      <c r="E28" s="1927"/>
      <c r="F28" s="1927"/>
      <c r="G28" s="1927"/>
      <c r="H28" s="1927"/>
      <c r="I28" s="1927"/>
      <c r="J28" s="1927"/>
      <c r="K28" s="1927"/>
      <c r="L28" s="1927"/>
      <c r="M28" s="1927"/>
      <c r="N28" s="1927"/>
      <c r="O28" s="1927"/>
      <c r="P28" s="1927"/>
      <c r="Q28" s="1927"/>
      <c r="R28" s="1927"/>
      <c r="S28" s="1927"/>
      <c r="T28" s="1927"/>
      <c r="U28" s="1927"/>
      <c r="V28" s="1927"/>
      <c r="W28" s="1927"/>
      <c r="X28" s="1927"/>
      <c r="Y28" s="1927"/>
      <c r="Z28" s="1927"/>
    </row>
    <row r="29" spans="2:29" ht="18.5" hidden="1">
      <c r="C29" s="1668"/>
      <c r="D29" s="1896" t="s">
        <v>219</v>
      </c>
      <c r="E29" s="1896"/>
      <c r="F29" s="1896"/>
      <c r="G29" s="1896"/>
      <c r="H29" s="1896"/>
      <c r="I29" s="1896"/>
      <c r="J29" s="1896"/>
      <c r="K29" s="1896"/>
      <c r="L29" s="1896"/>
      <c r="M29" s="1896"/>
      <c r="N29" s="1896"/>
      <c r="O29" s="1896"/>
      <c r="P29" s="1896"/>
      <c r="Q29" s="1896"/>
      <c r="R29" s="1896"/>
      <c r="S29" s="1896"/>
      <c r="T29" s="1896"/>
      <c r="U29" s="1896"/>
      <c r="V29" s="1896"/>
      <c r="W29" s="1896"/>
      <c r="X29" s="1896"/>
      <c r="Y29" s="1896"/>
      <c r="Z29" s="1896"/>
    </row>
    <row r="30" spans="2:29" ht="18.5" hidden="1">
      <c r="C30" s="1668"/>
      <c r="D30" s="1896" t="s">
        <v>1039</v>
      </c>
      <c r="E30" s="1896"/>
      <c r="F30" s="1896"/>
      <c r="G30" s="1896"/>
      <c r="H30" s="1896"/>
      <c r="I30" s="1896"/>
      <c r="J30" s="1896"/>
      <c r="K30" s="1896"/>
      <c r="L30" s="1896"/>
      <c r="M30" s="1896"/>
      <c r="N30" s="1896"/>
      <c r="O30" s="1896"/>
      <c r="P30" s="1896"/>
      <c r="Q30" s="1896"/>
      <c r="R30" s="1896"/>
      <c r="S30" s="1896"/>
      <c r="T30" s="1896"/>
      <c r="U30" s="1896"/>
      <c r="V30" s="1896"/>
      <c r="W30" s="1896"/>
      <c r="X30" s="1896"/>
      <c r="Y30" s="1896"/>
      <c r="Z30" s="1896"/>
    </row>
    <row r="31" spans="2:29" ht="18.5" hidden="1">
      <c r="C31" s="1668"/>
      <c r="D31" s="1896" t="s">
        <v>955</v>
      </c>
      <c r="E31" s="1896"/>
      <c r="F31" s="1896"/>
      <c r="G31" s="1896"/>
      <c r="H31" s="1896"/>
      <c r="I31" s="1896"/>
      <c r="J31" s="1896"/>
      <c r="K31" s="1896"/>
      <c r="L31" s="1896"/>
      <c r="M31" s="1896"/>
      <c r="N31" s="1896"/>
      <c r="O31" s="1896"/>
      <c r="P31" s="1896"/>
      <c r="Q31" s="1896"/>
      <c r="R31" s="1896"/>
      <c r="S31" s="1896"/>
      <c r="T31" s="1896"/>
      <c r="U31" s="1896"/>
      <c r="V31" s="1896"/>
      <c r="W31" s="1896"/>
      <c r="X31" s="1896"/>
      <c r="Y31" s="1896"/>
      <c r="Z31" s="1896"/>
    </row>
    <row r="32" spans="2:29" ht="18.5" hidden="1">
      <c r="C32" s="1668"/>
      <c r="D32" s="1896" t="s">
        <v>1040</v>
      </c>
      <c r="E32" s="1896"/>
      <c r="F32" s="1896"/>
      <c r="G32" s="1896"/>
      <c r="H32" s="1896"/>
      <c r="I32" s="1896"/>
      <c r="J32" s="1896"/>
      <c r="K32" s="1896"/>
      <c r="L32" s="1896"/>
      <c r="M32" s="1896"/>
      <c r="N32" s="1896"/>
      <c r="O32" s="1896"/>
      <c r="P32" s="1896"/>
      <c r="Q32" s="1896"/>
      <c r="R32" s="1896"/>
      <c r="S32" s="1896"/>
      <c r="T32" s="1896"/>
      <c r="U32" s="1896"/>
      <c r="V32" s="1896"/>
      <c r="W32" s="1896"/>
      <c r="X32" s="1896"/>
      <c r="Y32" s="1896"/>
      <c r="Z32" s="1896"/>
    </row>
    <row r="33" spans="3:26" ht="18.5" hidden="1">
      <c r="C33" s="1668"/>
      <c r="D33" s="1896" t="s">
        <v>1041</v>
      </c>
      <c r="E33" s="1896"/>
      <c r="F33" s="1896"/>
      <c r="G33" s="1896"/>
      <c r="H33" s="1896"/>
      <c r="I33" s="1896"/>
      <c r="J33" s="1896"/>
      <c r="K33" s="1896"/>
      <c r="L33" s="1896"/>
      <c r="M33" s="1896"/>
      <c r="N33" s="1896"/>
      <c r="O33" s="1896"/>
      <c r="P33" s="1896"/>
      <c r="Q33" s="1896"/>
      <c r="R33" s="1896"/>
      <c r="S33" s="1896"/>
      <c r="T33" s="1896"/>
      <c r="U33" s="1896"/>
      <c r="V33" s="1896"/>
      <c r="W33" s="1896"/>
      <c r="X33" s="1896"/>
      <c r="Y33" s="1896"/>
      <c r="Z33" s="1896"/>
    </row>
    <row r="34" spans="3:26" hidden="1">
      <c r="D34" s="1896" t="s">
        <v>1042</v>
      </c>
      <c r="E34" s="1896"/>
      <c r="F34" s="1896"/>
      <c r="G34" s="1896"/>
      <c r="H34" s="1896"/>
      <c r="I34" s="1896"/>
      <c r="J34" s="1896"/>
      <c r="K34" s="1896"/>
      <c r="L34" s="1896"/>
      <c r="M34" s="1896"/>
      <c r="N34" s="1896"/>
      <c r="O34" s="1896"/>
      <c r="P34" s="1896"/>
      <c r="Q34" s="1896"/>
      <c r="R34" s="1896"/>
      <c r="S34" s="1896"/>
      <c r="T34" s="1896"/>
      <c r="U34" s="1896"/>
      <c r="V34" s="1896"/>
      <c r="W34" s="1896"/>
      <c r="X34" s="1896"/>
      <c r="Y34" s="1896"/>
      <c r="Z34" s="1896"/>
    </row>
    <row r="35" spans="3:26" hidden="1">
      <c r="D35" s="1896" t="s">
        <v>275</v>
      </c>
      <c r="E35" s="1896"/>
      <c r="F35" s="1896"/>
      <c r="G35" s="1896"/>
      <c r="H35" s="1896" t="s">
        <v>29</v>
      </c>
      <c r="I35" s="1896"/>
      <c r="J35" s="1896"/>
      <c r="K35" s="1896"/>
      <c r="L35" s="1896"/>
      <c r="M35" s="1896"/>
      <c r="N35" s="1896"/>
      <c r="O35" s="1896"/>
      <c r="P35" s="1896"/>
      <c r="Q35" s="1896"/>
      <c r="R35" s="1896"/>
      <c r="S35" s="1896"/>
      <c r="T35" s="1896"/>
      <c r="U35" s="1896"/>
      <c r="V35" s="1896"/>
      <c r="W35" s="1896"/>
      <c r="X35" s="1896"/>
      <c r="Y35" s="1896"/>
      <c r="Z35" s="1896"/>
    </row>
    <row r="36" spans="3:26" hidden="1">
      <c r="D36" s="1896" t="s">
        <v>336</v>
      </c>
      <c r="E36" s="1896"/>
      <c r="F36" s="1896"/>
      <c r="G36" s="1896"/>
      <c r="H36" s="1896" t="s">
        <v>29</v>
      </c>
      <c r="I36" s="1896"/>
      <c r="J36" s="1896"/>
      <c r="K36" s="1896"/>
      <c r="L36" s="1896"/>
      <c r="M36" s="1896"/>
      <c r="N36" s="1896"/>
      <c r="O36" s="1896"/>
      <c r="P36" s="1896"/>
      <c r="Q36" s="1896"/>
      <c r="R36" s="1896"/>
      <c r="S36" s="1896"/>
      <c r="T36" s="1896"/>
      <c r="U36" s="1896"/>
      <c r="V36" s="1896"/>
      <c r="W36" s="1896"/>
      <c r="X36" s="1896"/>
      <c r="Y36" s="1896"/>
      <c r="Z36" s="1896"/>
    </row>
    <row r="37" spans="3:26" hidden="1">
      <c r="D37" s="1896" t="s">
        <v>337</v>
      </c>
      <c r="E37" s="1896"/>
      <c r="F37" s="1896"/>
      <c r="G37" s="1896"/>
      <c r="H37" s="1896" t="s">
        <v>29</v>
      </c>
      <c r="I37" s="1896"/>
      <c r="J37" s="1896"/>
      <c r="K37" s="1896"/>
      <c r="L37" s="1896"/>
      <c r="M37" s="1896"/>
      <c r="N37" s="1896"/>
      <c r="O37" s="1896"/>
      <c r="P37" s="1896"/>
      <c r="Q37" s="1896"/>
      <c r="R37" s="1896"/>
      <c r="S37" s="1896"/>
      <c r="T37" s="1896"/>
      <c r="U37" s="1896"/>
      <c r="V37" s="1896"/>
      <c r="W37" s="1896"/>
      <c r="X37" s="1896"/>
      <c r="Y37" s="1896"/>
      <c r="Z37" s="1896"/>
    </row>
    <row r="38" spans="3:26" hidden="1">
      <c r="D38" s="1896" t="s">
        <v>365</v>
      </c>
      <c r="E38" s="1896"/>
      <c r="F38" s="1896"/>
      <c r="G38" s="1896"/>
      <c r="H38" s="1896" t="s">
        <v>29</v>
      </c>
      <c r="I38" s="1896"/>
      <c r="J38" s="1896"/>
      <c r="K38" s="1896"/>
      <c r="L38" s="1896"/>
      <c r="M38" s="1896"/>
      <c r="N38" s="1896"/>
      <c r="O38" s="1896"/>
      <c r="P38" s="1896"/>
      <c r="Q38" s="1896"/>
      <c r="R38" s="1896"/>
      <c r="S38" s="1896"/>
      <c r="T38" s="1896"/>
      <c r="U38" s="1896"/>
      <c r="V38" s="1896"/>
      <c r="W38" s="1896"/>
      <c r="X38" s="1896"/>
      <c r="Y38" s="1896"/>
      <c r="Z38" s="1896"/>
    </row>
    <row r="39" spans="3:26" hidden="1">
      <c r="D39" s="1896" t="s">
        <v>956</v>
      </c>
      <c r="E39" s="1896"/>
      <c r="F39" s="1896"/>
      <c r="G39" s="1896"/>
      <c r="H39" s="1896"/>
      <c r="I39" s="1896"/>
      <c r="J39" s="1896"/>
      <c r="K39" s="1896"/>
      <c r="L39" s="1896"/>
      <c r="M39" s="1896"/>
      <c r="N39" s="1896"/>
      <c r="O39" s="1896"/>
      <c r="P39" s="1896"/>
      <c r="Q39" s="1896"/>
      <c r="R39" s="1896"/>
      <c r="S39" s="1896"/>
      <c r="T39" s="1896"/>
      <c r="U39" s="1896"/>
      <c r="V39" s="1896"/>
      <c r="W39" s="1896"/>
      <c r="X39" s="1896"/>
      <c r="Y39" s="1896"/>
      <c r="Z39" s="1896"/>
    </row>
    <row r="40" spans="3:26" hidden="1">
      <c r="D40" s="1896" t="s">
        <v>957</v>
      </c>
      <c r="E40" s="1896"/>
      <c r="F40" s="1896"/>
      <c r="G40" s="1896"/>
      <c r="H40" s="1896"/>
      <c r="I40" s="1896"/>
      <c r="J40" s="1896"/>
      <c r="K40" s="1896"/>
      <c r="L40" s="1896"/>
      <c r="M40" s="1896"/>
      <c r="N40" s="1896"/>
      <c r="O40" s="1896"/>
      <c r="P40" s="1896"/>
      <c r="Q40" s="1896"/>
      <c r="R40" s="1896"/>
      <c r="S40" s="1896"/>
      <c r="T40" s="1896"/>
      <c r="U40" s="1896"/>
      <c r="V40" s="1896"/>
      <c r="W40" s="1896"/>
      <c r="X40" s="1896"/>
      <c r="Y40" s="1896"/>
      <c r="Z40" s="1896"/>
    </row>
    <row r="41" spans="3:26" hidden="1">
      <c r="D41" s="1896" t="s">
        <v>958</v>
      </c>
      <c r="E41" s="1896"/>
      <c r="F41" s="1896"/>
      <c r="G41" s="1896"/>
      <c r="H41" s="1896"/>
      <c r="I41" s="1896"/>
      <c r="J41" s="1896"/>
      <c r="K41" s="1896"/>
      <c r="L41" s="1896"/>
      <c r="M41" s="1896"/>
      <c r="N41" s="1896"/>
      <c r="O41" s="1896"/>
      <c r="P41" s="1896"/>
      <c r="Q41" s="1896"/>
      <c r="R41" s="1896"/>
      <c r="S41" s="1896"/>
      <c r="T41" s="1896"/>
      <c r="U41" s="1896"/>
      <c r="V41" s="1896"/>
      <c r="W41" s="1896"/>
      <c r="X41" s="1896"/>
      <c r="Y41" s="1896"/>
      <c r="Z41" s="1896"/>
    </row>
    <row r="42" spans="3:26" hidden="1">
      <c r="D42" s="1896" t="s">
        <v>1165</v>
      </c>
      <c r="E42" s="1896"/>
      <c r="F42" s="1896"/>
      <c r="G42" s="1896"/>
      <c r="H42" s="1896"/>
      <c r="I42" s="1896"/>
      <c r="J42" s="1896"/>
      <c r="K42" s="1896"/>
      <c r="L42" s="1896"/>
      <c r="M42" s="1896"/>
      <c r="N42" s="1896"/>
      <c r="O42" s="1896"/>
      <c r="P42" s="1896"/>
      <c r="Q42" s="1896"/>
      <c r="R42" s="1896"/>
      <c r="S42" s="1896"/>
      <c r="T42" s="1896"/>
      <c r="U42" s="1896"/>
      <c r="V42" s="1896"/>
      <c r="W42" s="1896"/>
      <c r="X42" s="1896"/>
      <c r="Y42" s="1896"/>
      <c r="Z42" s="1896"/>
    </row>
    <row r="43" spans="3:26" ht="15.5" hidden="1">
      <c r="D43" s="1927"/>
      <c r="E43" s="1927"/>
      <c r="F43" s="1927"/>
      <c r="G43" s="1927"/>
      <c r="H43" s="1927"/>
      <c r="I43" s="1927"/>
      <c r="J43" s="1927"/>
      <c r="K43" s="1927"/>
      <c r="L43" s="1927"/>
      <c r="M43" s="1927"/>
      <c r="N43" s="1927"/>
      <c r="O43" s="1927"/>
      <c r="P43" s="1927"/>
      <c r="Q43" s="1927"/>
      <c r="R43" s="1927"/>
      <c r="S43" s="1927"/>
      <c r="T43" s="1927"/>
      <c r="U43" s="1927"/>
      <c r="V43" s="1927"/>
      <c r="W43" s="1927"/>
      <c r="X43" s="1927"/>
      <c r="Y43" s="1927"/>
      <c r="Z43" s="1927"/>
    </row>
    <row r="44" spans="3:26" hidden="1">
      <c r="C44" s="1672" t="s">
        <v>1349</v>
      </c>
      <c r="D44" s="1896" t="s">
        <v>276</v>
      </c>
      <c r="E44" s="1896"/>
      <c r="F44" s="1896"/>
      <c r="G44" s="1896"/>
      <c r="H44" s="1896"/>
      <c r="I44" s="1896"/>
      <c r="J44" s="1896"/>
      <c r="K44" s="1896"/>
      <c r="L44" s="1896"/>
      <c r="M44" s="1896"/>
      <c r="N44" s="1896"/>
      <c r="O44" s="1896"/>
      <c r="P44" s="1896"/>
      <c r="Q44" s="1896"/>
      <c r="R44" s="1896"/>
      <c r="S44" s="1896"/>
      <c r="T44" s="1896"/>
      <c r="U44" s="1896"/>
      <c r="V44" s="1896"/>
      <c r="W44" s="1896"/>
      <c r="X44" s="1896"/>
      <c r="Y44" s="1896"/>
      <c r="Z44" s="1896"/>
    </row>
    <row r="45" spans="3:26" hidden="1">
      <c r="D45" s="1896" t="s">
        <v>366</v>
      </c>
      <c r="E45" s="1896"/>
      <c r="F45" s="1896"/>
      <c r="G45" s="1896"/>
      <c r="H45" s="1896"/>
      <c r="I45" s="1896"/>
      <c r="J45" s="1896"/>
      <c r="K45" s="1896"/>
      <c r="L45" s="1896"/>
      <c r="M45" s="1896"/>
      <c r="N45" s="1896"/>
      <c r="O45" s="1896"/>
      <c r="P45" s="1896"/>
      <c r="Q45" s="1896"/>
      <c r="R45" s="1896"/>
      <c r="S45" s="1896"/>
      <c r="T45" s="1896"/>
      <c r="U45" s="1896"/>
      <c r="V45" s="1896"/>
      <c r="W45" s="1896"/>
      <c r="X45" s="1896"/>
      <c r="Y45" s="1896"/>
      <c r="Z45" s="1896"/>
    </row>
    <row r="46" spans="3:26" ht="18.5" hidden="1">
      <c r="C46" s="1670"/>
    </row>
    <row r="47" spans="3:26" hidden="1"/>
    <row r="48" spans="3:26" hidden="1"/>
    <row r="49" hidden="1"/>
    <row r="50" hidden="1"/>
    <row r="51" hidden="1"/>
    <row r="52" hidden="1"/>
    <row r="53" hidden="1"/>
    <row r="54" hidden="1"/>
    <row r="55" hidden="1"/>
    <row r="56" hidden="1"/>
    <row r="57" hidden="1"/>
    <row r="58" hidden="1"/>
    <row r="78" spans="10:10" hidden="1"/>
    <row r="79" spans="10:10" hidden="1">
      <c r="J79" s="1673" t="s">
        <v>860</v>
      </c>
    </row>
    <row r="80" spans="10:10" hidden="1">
      <c r="J80" s="1673" t="s">
        <v>1306</v>
      </c>
    </row>
    <row r="81" spans="10:13" hidden="1">
      <c r="J81" s="1673" t="s">
        <v>1169</v>
      </c>
    </row>
    <row r="82" spans="10:13" hidden="1">
      <c r="J82" s="1673" t="s">
        <v>806</v>
      </c>
    </row>
    <row r="83" spans="10:13" hidden="1">
      <c r="J83" s="1673" t="s">
        <v>1167</v>
      </c>
      <c r="L83" s="1924"/>
      <c r="M83" s="1924"/>
    </row>
  </sheetData>
  <mergeCells count="68">
    <mergeCell ref="L83:M83"/>
    <mergeCell ref="D45:Z45"/>
    <mergeCell ref="D26:Z26"/>
    <mergeCell ref="D37:Z37"/>
    <mergeCell ref="D25:Z25"/>
    <mergeCell ref="D35:Z35"/>
    <mergeCell ref="D28:Z28"/>
    <mergeCell ref="D34:Z34"/>
    <mergeCell ref="D36:Z36"/>
    <mergeCell ref="D33:Z33"/>
    <mergeCell ref="D43:Z43"/>
    <mergeCell ref="D44:Z44"/>
    <mergeCell ref="D38:Z38"/>
    <mergeCell ref="D42:Z42"/>
    <mergeCell ref="D41:Z41"/>
    <mergeCell ref="D40:Z40"/>
    <mergeCell ref="C6:D6"/>
    <mergeCell ref="C7:D7"/>
    <mergeCell ref="C8:D8"/>
    <mergeCell ref="V9:V10"/>
    <mergeCell ref="T9:U9"/>
    <mergeCell ref="T10:U10"/>
    <mergeCell ref="T6:U6"/>
    <mergeCell ref="T7:U7"/>
    <mergeCell ref="D39:Z39"/>
    <mergeCell ref="D32:Z32"/>
    <mergeCell ref="O18:O19"/>
    <mergeCell ref="Z22:AC24"/>
    <mergeCell ref="G21:I22"/>
    <mergeCell ref="N18:N19"/>
    <mergeCell ref="N21:N23"/>
    <mergeCell ref="D31:Z31"/>
    <mergeCell ref="G1:R1"/>
    <mergeCell ref="O7:O9"/>
    <mergeCell ref="O12:O13"/>
    <mergeCell ref="T14:V14"/>
    <mergeCell ref="G11:I11"/>
    <mergeCell ref="K5:L5"/>
    <mergeCell ref="K6:L6"/>
    <mergeCell ref="I2:P2"/>
    <mergeCell ref="I3:P3"/>
    <mergeCell ref="I7:J7"/>
    <mergeCell ref="K7:L7"/>
    <mergeCell ref="M6:O6"/>
    <mergeCell ref="T11:W12"/>
    <mergeCell ref="G12:J13"/>
    <mergeCell ref="G17:I17"/>
    <mergeCell ref="S5:V5"/>
    <mergeCell ref="T8:U8"/>
    <mergeCell ref="D30:Z30"/>
    <mergeCell ref="G15:I16"/>
    <mergeCell ref="G18:I19"/>
    <mergeCell ref="O21:O23"/>
    <mergeCell ref="D29:Z29"/>
    <mergeCell ref="B16:F16"/>
    <mergeCell ref="O15:O16"/>
    <mergeCell ref="B5:D5"/>
    <mergeCell ref="B17:F17"/>
    <mergeCell ref="I5:J5"/>
    <mergeCell ref="I6:J6"/>
    <mergeCell ref="N15:N16"/>
    <mergeCell ref="B11:E11"/>
    <mergeCell ref="B14:C14"/>
    <mergeCell ref="B12:C12"/>
    <mergeCell ref="B13:C13"/>
    <mergeCell ref="D12:E12"/>
    <mergeCell ref="D14:E14"/>
    <mergeCell ref="D13:E13"/>
  </mergeCells>
  <dataValidations count="3">
    <dataValidation type="list" allowBlank="1" showInputMessage="1" showErrorMessage="1" sqref="J79 J81:J82">
      <formula1>$J$79:$J$82</formula1>
    </dataValidation>
    <dataValidation type="list" allowBlank="1" showInputMessage="1" showErrorMessage="1" sqref="J83 B17">
      <formula1>$J$79:$J$83</formula1>
    </dataValidation>
    <dataValidation type="list" allowBlank="1" showInputMessage="1" showErrorMessage="1" sqref="J80">
      <formula1>$AC$1:$AC$4</formula1>
    </dataValidation>
  </dataValidations>
  <pageMargins left="0.70866141732283472" right="0.70866141732283472" top="0.74803149606299213" bottom="0.74803149606299213" header="0.31496062992125984" footer="0.31496062992125984"/>
  <pageSetup scale="80" fitToWidth="0" fitToHeight="0"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6" tint="-0.249977111117893"/>
  </sheetPr>
  <dimension ref="A1:DZ490"/>
  <sheetViews>
    <sheetView tabSelected="1" topLeftCell="AL1" zoomScale="90" zoomScaleNormal="90" zoomScaleSheetLayoutView="90" workbookViewId="0">
      <pane ySplit="1" topLeftCell="A312" activePane="bottomLeft" state="frozen"/>
      <selection activeCell="F375" sqref="F375"/>
      <selection pane="bottomLeft" activeCell="BI329" sqref="BI329"/>
    </sheetView>
  </sheetViews>
  <sheetFormatPr baseColWidth="10" defaultColWidth="9.1796875" defaultRowHeight="12.5"/>
  <cols>
    <col min="1" max="1" width="11.7265625" style="24" customWidth="1"/>
    <col min="2" max="3" width="10.1796875" style="22" bestFit="1" customWidth="1"/>
    <col min="4" max="4" width="9.1796875" style="22" bestFit="1" customWidth="1"/>
    <col min="5" max="5" width="6.36328125" style="1319" bestFit="1" customWidth="1"/>
    <col min="6" max="7" width="9.1796875" style="22" bestFit="1" customWidth="1"/>
    <col min="8" max="8" width="12.26953125" style="24" bestFit="1" customWidth="1"/>
    <col min="9" max="9" width="12.26953125" style="22" bestFit="1" customWidth="1"/>
    <col min="10" max="10" width="11.26953125" style="22" bestFit="1" customWidth="1"/>
    <col min="11" max="12" width="9.1796875" style="22" bestFit="1" customWidth="1"/>
    <col min="13" max="15" width="11.26953125" style="22" bestFit="1" customWidth="1"/>
    <col min="16" max="16" width="12.26953125" style="22" bestFit="1" customWidth="1"/>
    <col min="17" max="18" width="11.26953125" style="22" bestFit="1" customWidth="1"/>
    <col min="19" max="20" width="10.1796875" style="22" bestFit="1" customWidth="1"/>
    <col min="21" max="21" width="12.26953125" style="22" bestFit="1" customWidth="1"/>
    <col min="22" max="22" width="11.26953125" style="22" bestFit="1" customWidth="1"/>
    <col min="23" max="23" width="10" style="22" bestFit="1" customWidth="1"/>
    <col min="24" max="25" width="8" style="22" bestFit="1" customWidth="1"/>
    <col min="26" max="26" width="12" style="22" bestFit="1" customWidth="1"/>
    <col min="27" max="27" width="12.26953125" style="22" bestFit="1" customWidth="1"/>
    <col min="28" max="28" width="10" style="22" bestFit="1" customWidth="1"/>
    <col min="29" max="29" width="8" style="22" bestFit="1" customWidth="1"/>
    <col min="30" max="30" width="7.81640625" style="423" bestFit="1" customWidth="1"/>
    <col min="31" max="31" width="11" style="22" bestFit="1" customWidth="1"/>
    <col min="32" max="32" width="10.1796875" style="22" bestFit="1" customWidth="1"/>
    <col min="33" max="37" width="11.26953125" style="22" bestFit="1" customWidth="1"/>
    <col min="38" max="38" width="9.1796875" style="22" bestFit="1" customWidth="1"/>
    <col min="39" max="40" width="6.36328125" style="22" bestFit="1" customWidth="1"/>
    <col min="41" max="41" width="11.26953125" style="22" bestFit="1" customWidth="1"/>
    <col min="42" max="42" width="10.1796875" style="22" bestFit="1" customWidth="1"/>
    <col min="43" max="43" width="12.26953125" style="22" customWidth="1"/>
    <col min="44" max="44" width="2.7265625" style="22" hidden="1" customWidth="1"/>
    <col min="45" max="46" width="12.26953125" style="22" bestFit="1" customWidth="1"/>
    <col min="47" max="47" width="11.26953125" style="22" bestFit="1" customWidth="1"/>
    <col min="48" max="48" width="10.1796875" style="22" bestFit="1" customWidth="1"/>
    <col min="49" max="49" width="9.1796875" style="22" bestFit="1" customWidth="1"/>
    <col min="50" max="51" width="8.1796875" style="22" bestFit="1" customWidth="1"/>
    <col min="52" max="53" width="10.1796875" style="22" bestFit="1" customWidth="1"/>
    <col min="54" max="54" width="9.1796875" style="1800" bestFit="1" customWidth="1"/>
    <col min="55" max="56" width="8.1796875" style="22" bestFit="1" customWidth="1"/>
    <col min="57" max="60" width="12.26953125" style="22" bestFit="1" customWidth="1"/>
    <col min="61" max="61" width="11.26953125" style="22" bestFit="1" customWidth="1"/>
    <col min="62" max="62" width="8.08984375" style="22" bestFit="1" customWidth="1"/>
    <col min="63" max="64" width="10.453125" style="22" bestFit="1" customWidth="1"/>
    <col min="65" max="65" width="8.6328125" style="22" bestFit="1" customWidth="1"/>
    <col min="66" max="67" width="10.453125" style="22" bestFit="1" customWidth="1"/>
    <col min="68" max="68" width="8.6328125" style="22" bestFit="1" customWidth="1"/>
    <col min="69" max="69" width="10.453125" style="22" bestFit="1" customWidth="1"/>
    <col min="70" max="71" width="10.1796875" style="22" bestFit="1" customWidth="1"/>
    <col min="72" max="72" width="10.6328125" style="22" bestFit="1" customWidth="1"/>
    <col min="73" max="73" width="9.1796875" style="22" bestFit="1" customWidth="1"/>
    <col min="74" max="74" width="9.1796875" style="22" customWidth="1"/>
    <col min="75" max="75" width="9.1796875" style="22" bestFit="1" customWidth="1"/>
    <col min="76" max="76" width="5.08984375" style="1310" bestFit="1" customWidth="1"/>
    <col min="77" max="254" width="9.1796875" style="22"/>
    <col min="255" max="255" width="24.54296875" style="22" bestFit="1" customWidth="1"/>
    <col min="256" max="256" width="15.453125" style="22" bestFit="1" customWidth="1"/>
    <col min="257" max="257" width="10.1796875" style="22" bestFit="1" customWidth="1"/>
    <col min="258" max="288" width="10.1796875" style="22" customWidth="1"/>
    <col min="289" max="292" width="8.453125" style="22" customWidth="1"/>
    <col min="293" max="293" width="10.1796875" style="22" customWidth="1"/>
    <col min="294" max="298" width="10" style="22" customWidth="1"/>
    <col min="299" max="510" width="9.1796875" style="22"/>
    <col min="511" max="511" width="24.54296875" style="22" bestFit="1" customWidth="1"/>
    <col min="512" max="512" width="15.453125" style="22" bestFit="1" customWidth="1"/>
    <col min="513" max="513" width="10.1796875" style="22" bestFit="1" customWidth="1"/>
    <col min="514" max="544" width="10.1796875" style="22" customWidth="1"/>
    <col min="545" max="548" width="8.453125" style="22" customWidth="1"/>
    <col min="549" max="549" width="10.1796875" style="22" customWidth="1"/>
    <col min="550" max="554" width="10" style="22" customWidth="1"/>
    <col min="555" max="766" width="9.1796875" style="22"/>
    <col min="767" max="767" width="24.54296875" style="22" bestFit="1" customWidth="1"/>
    <col min="768" max="768" width="15.453125" style="22" bestFit="1" customWidth="1"/>
    <col min="769" max="769" width="10.1796875" style="22" bestFit="1" customWidth="1"/>
    <col min="770" max="800" width="10.1796875" style="22" customWidth="1"/>
    <col min="801" max="804" width="8.453125" style="22" customWidth="1"/>
    <col min="805" max="805" width="10.1796875" style="22" customWidth="1"/>
    <col min="806" max="810" width="10" style="22" customWidth="1"/>
    <col min="811" max="1022" width="9.1796875" style="22"/>
    <col min="1023" max="1023" width="24.54296875" style="22" bestFit="1" customWidth="1"/>
    <col min="1024" max="1024" width="15.453125" style="22" bestFit="1" customWidth="1"/>
    <col min="1025" max="1025" width="10.1796875" style="22" bestFit="1" customWidth="1"/>
    <col min="1026" max="1056" width="10.1796875" style="22" customWidth="1"/>
    <col min="1057" max="1060" width="8.453125" style="22" customWidth="1"/>
    <col min="1061" max="1061" width="10.1796875" style="22" customWidth="1"/>
    <col min="1062" max="1066" width="10" style="22" customWidth="1"/>
    <col min="1067" max="1278" width="9.1796875" style="22"/>
    <col min="1279" max="1279" width="24.54296875" style="22" bestFit="1" customWidth="1"/>
    <col min="1280" max="1280" width="15.453125" style="22" bestFit="1" customWidth="1"/>
    <col min="1281" max="1281" width="10.1796875" style="22" bestFit="1" customWidth="1"/>
    <col min="1282" max="1312" width="10.1796875" style="22" customWidth="1"/>
    <col min="1313" max="1316" width="8.453125" style="22" customWidth="1"/>
    <col min="1317" max="1317" width="10.1796875" style="22" customWidth="1"/>
    <col min="1318" max="1322" width="10" style="22" customWidth="1"/>
    <col min="1323" max="1534" width="9.1796875" style="22"/>
    <col min="1535" max="1535" width="24.54296875" style="22" bestFit="1" customWidth="1"/>
    <col min="1536" max="1536" width="15.453125" style="22" bestFit="1" customWidth="1"/>
    <col min="1537" max="1537" width="10.1796875" style="22" bestFit="1" customWidth="1"/>
    <col min="1538" max="1568" width="10.1796875" style="22" customWidth="1"/>
    <col min="1569" max="1572" width="8.453125" style="22" customWidth="1"/>
    <col min="1573" max="1573" width="10.1796875" style="22" customWidth="1"/>
    <col min="1574" max="1578" width="10" style="22" customWidth="1"/>
    <col min="1579" max="1790" width="9.1796875" style="22"/>
    <col min="1791" max="1791" width="24.54296875" style="22" bestFit="1" customWidth="1"/>
    <col min="1792" max="1792" width="15.453125" style="22" bestFit="1" customWidth="1"/>
    <col min="1793" max="1793" width="10.1796875" style="22" bestFit="1" customWidth="1"/>
    <col min="1794" max="1824" width="10.1796875" style="22" customWidth="1"/>
    <col min="1825" max="1828" width="8.453125" style="22" customWidth="1"/>
    <col min="1829" max="1829" width="10.1796875" style="22" customWidth="1"/>
    <col min="1830" max="1834" width="10" style="22" customWidth="1"/>
    <col min="1835" max="2046" width="9.1796875" style="22"/>
    <col min="2047" max="2047" width="24.54296875" style="22" bestFit="1" customWidth="1"/>
    <col min="2048" max="2048" width="15.453125" style="22" bestFit="1" customWidth="1"/>
    <col min="2049" max="2049" width="10.1796875" style="22" bestFit="1" customWidth="1"/>
    <col min="2050" max="2080" width="10.1796875" style="22" customWidth="1"/>
    <col min="2081" max="2084" width="8.453125" style="22" customWidth="1"/>
    <col min="2085" max="2085" width="10.1796875" style="22" customWidth="1"/>
    <col min="2086" max="2090" width="10" style="22" customWidth="1"/>
    <col min="2091" max="2302" width="9.1796875" style="22"/>
    <col min="2303" max="2303" width="24.54296875" style="22" bestFit="1" customWidth="1"/>
    <col min="2304" max="2304" width="15.453125" style="22" bestFit="1" customWidth="1"/>
    <col min="2305" max="2305" width="10.1796875" style="22" bestFit="1" customWidth="1"/>
    <col min="2306" max="2336" width="10.1796875" style="22" customWidth="1"/>
    <col min="2337" max="2340" width="8.453125" style="22" customWidth="1"/>
    <col min="2341" max="2341" width="10.1796875" style="22" customWidth="1"/>
    <col min="2342" max="2346" width="10" style="22" customWidth="1"/>
    <col min="2347" max="2558" width="9.1796875" style="22"/>
    <col min="2559" max="2559" width="24.54296875" style="22" bestFit="1" customWidth="1"/>
    <col min="2560" max="2560" width="15.453125" style="22" bestFit="1" customWidth="1"/>
    <col min="2561" max="2561" width="10.1796875" style="22" bestFit="1" customWidth="1"/>
    <col min="2562" max="2592" width="10.1796875" style="22" customWidth="1"/>
    <col min="2593" max="2596" width="8.453125" style="22" customWidth="1"/>
    <col min="2597" max="2597" width="10.1796875" style="22" customWidth="1"/>
    <col min="2598" max="2602" width="10" style="22" customWidth="1"/>
    <col min="2603" max="2814" width="9.1796875" style="22"/>
    <col min="2815" max="2815" width="24.54296875" style="22" bestFit="1" customWidth="1"/>
    <col min="2816" max="2816" width="15.453125" style="22" bestFit="1" customWidth="1"/>
    <col min="2817" max="2817" width="10.1796875" style="22" bestFit="1" customWidth="1"/>
    <col min="2818" max="2848" width="10.1796875" style="22" customWidth="1"/>
    <col min="2849" max="2852" width="8.453125" style="22" customWidth="1"/>
    <col min="2853" max="2853" width="10.1796875" style="22" customWidth="1"/>
    <col min="2854" max="2858" width="10" style="22" customWidth="1"/>
    <col min="2859" max="3070" width="9.1796875" style="22"/>
    <col min="3071" max="3071" width="24.54296875" style="22" bestFit="1" customWidth="1"/>
    <col min="3072" max="3072" width="15.453125" style="22" bestFit="1" customWidth="1"/>
    <col min="3073" max="3073" width="10.1796875" style="22" bestFit="1" customWidth="1"/>
    <col min="3074" max="3104" width="10.1796875" style="22" customWidth="1"/>
    <col min="3105" max="3108" width="8.453125" style="22" customWidth="1"/>
    <col min="3109" max="3109" width="10.1796875" style="22" customWidth="1"/>
    <col min="3110" max="3114" width="10" style="22" customWidth="1"/>
    <col min="3115" max="3326" width="9.1796875" style="22"/>
    <col min="3327" max="3327" width="24.54296875" style="22" bestFit="1" customWidth="1"/>
    <col min="3328" max="3328" width="15.453125" style="22" bestFit="1" customWidth="1"/>
    <col min="3329" max="3329" width="10.1796875" style="22" bestFit="1" customWidth="1"/>
    <col min="3330" max="3360" width="10.1796875" style="22" customWidth="1"/>
    <col min="3361" max="3364" width="8.453125" style="22" customWidth="1"/>
    <col min="3365" max="3365" width="10.1796875" style="22" customWidth="1"/>
    <col min="3366" max="3370" width="10" style="22" customWidth="1"/>
    <col min="3371" max="3582" width="9.1796875" style="22"/>
    <col min="3583" max="3583" width="24.54296875" style="22" bestFit="1" customWidth="1"/>
    <col min="3584" max="3584" width="15.453125" style="22" bestFit="1" customWidth="1"/>
    <col min="3585" max="3585" width="10.1796875" style="22" bestFit="1" customWidth="1"/>
    <col min="3586" max="3616" width="10.1796875" style="22" customWidth="1"/>
    <col min="3617" max="3620" width="8.453125" style="22" customWidth="1"/>
    <col min="3621" max="3621" width="10.1796875" style="22" customWidth="1"/>
    <col min="3622" max="3626" width="10" style="22" customWidth="1"/>
    <col min="3627" max="3838" width="9.1796875" style="22"/>
    <col min="3839" max="3839" width="24.54296875" style="22" bestFit="1" customWidth="1"/>
    <col min="3840" max="3840" width="15.453125" style="22" bestFit="1" customWidth="1"/>
    <col min="3841" max="3841" width="10.1796875" style="22" bestFit="1" customWidth="1"/>
    <col min="3842" max="3872" width="10.1796875" style="22" customWidth="1"/>
    <col min="3873" max="3876" width="8.453125" style="22" customWidth="1"/>
    <col min="3877" max="3877" width="10.1796875" style="22" customWidth="1"/>
    <col min="3878" max="3882" width="10" style="22" customWidth="1"/>
    <col min="3883" max="4094" width="9.1796875" style="22"/>
    <col min="4095" max="4095" width="24.54296875" style="22" bestFit="1" customWidth="1"/>
    <col min="4096" max="4096" width="15.453125" style="22" bestFit="1" customWidth="1"/>
    <col min="4097" max="4097" width="10.1796875" style="22" bestFit="1" customWidth="1"/>
    <col min="4098" max="4128" width="10.1796875" style="22" customWidth="1"/>
    <col min="4129" max="4132" width="8.453125" style="22" customWidth="1"/>
    <col min="4133" max="4133" width="10.1796875" style="22" customWidth="1"/>
    <col min="4134" max="4138" width="10" style="22" customWidth="1"/>
    <col min="4139" max="4350" width="9.1796875" style="22"/>
    <col min="4351" max="4351" width="24.54296875" style="22" bestFit="1" customWidth="1"/>
    <col min="4352" max="4352" width="15.453125" style="22" bestFit="1" customWidth="1"/>
    <col min="4353" max="4353" width="10.1796875" style="22" bestFit="1" customWidth="1"/>
    <col min="4354" max="4384" width="10.1796875" style="22" customWidth="1"/>
    <col min="4385" max="4388" width="8.453125" style="22" customWidth="1"/>
    <col min="4389" max="4389" width="10.1796875" style="22" customWidth="1"/>
    <col min="4390" max="4394" width="10" style="22" customWidth="1"/>
    <col min="4395" max="4606" width="9.1796875" style="22"/>
    <col min="4607" max="4607" width="24.54296875" style="22" bestFit="1" customWidth="1"/>
    <col min="4608" max="4608" width="15.453125" style="22" bestFit="1" customWidth="1"/>
    <col min="4609" max="4609" width="10.1796875" style="22" bestFit="1" customWidth="1"/>
    <col min="4610" max="4640" width="10.1796875" style="22" customWidth="1"/>
    <col min="4641" max="4644" width="8.453125" style="22" customWidth="1"/>
    <col min="4645" max="4645" width="10.1796875" style="22" customWidth="1"/>
    <col min="4646" max="4650" width="10" style="22" customWidth="1"/>
    <col min="4651" max="4862" width="9.1796875" style="22"/>
    <col min="4863" max="4863" width="24.54296875" style="22" bestFit="1" customWidth="1"/>
    <col min="4864" max="4864" width="15.453125" style="22" bestFit="1" customWidth="1"/>
    <col min="4865" max="4865" width="10.1796875" style="22" bestFit="1" customWidth="1"/>
    <col min="4866" max="4896" width="10.1796875" style="22" customWidth="1"/>
    <col min="4897" max="4900" width="8.453125" style="22" customWidth="1"/>
    <col min="4901" max="4901" width="10.1796875" style="22" customWidth="1"/>
    <col min="4902" max="4906" width="10" style="22" customWidth="1"/>
    <col min="4907" max="5118" width="9.1796875" style="22"/>
    <col min="5119" max="5119" width="24.54296875" style="22" bestFit="1" customWidth="1"/>
    <col min="5120" max="5120" width="15.453125" style="22" bestFit="1" customWidth="1"/>
    <col min="5121" max="5121" width="10.1796875" style="22" bestFit="1" customWidth="1"/>
    <col min="5122" max="5152" width="10.1796875" style="22" customWidth="1"/>
    <col min="5153" max="5156" width="8.453125" style="22" customWidth="1"/>
    <col min="5157" max="5157" width="10.1796875" style="22" customWidth="1"/>
    <col min="5158" max="5162" width="10" style="22" customWidth="1"/>
    <col min="5163" max="5374" width="9.1796875" style="22"/>
    <col min="5375" max="5375" width="24.54296875" style="22" bestFit="1" customWidth="1"/>
    <col min="5376" max="5376" width="15.453125" style="22" bestFit="1" customWidth="1"/>
    <col min="5377" max="5377" width="10.1796875" style="22" bestFit="1" customWidth="1"/>
    <col min="5378" max="5408" width="10.1796875" style="22" customWidth="1"/>
    <col min="5409" max="5412" width="8.453125" style="22" customWidth="1"/>
    <col min="5413" max="5413" width="10.1796875" style="22" customWidth="1"/>
    <col min="5414" max="5418" width="10" style="22" customWidth="1"/>
    <col min="5419" max="5630" width="9.1796875" style="22"/>
    <col min="5631" max="5631" width="24.54296875" style="22" bestFit="1" customWidth="1"/>
    <col min="5632" max="5632" width="15.453125" style="22" bestFit="1" customWidth="1"/>
    <col min="5633" max="5633" width="10.1796875" style="22" bestFit="1" customWidth="1"/>
    <col min="5634" max="5664" width="10.1796875" style="22" customWidth="1"/>
    <col min="5665" max="5668" width="8.453125" style="22" customWidth="1"/>
    <col min="5669" max="5669" width="10.1796875" style="22" customWidth="1"/>
    <col min="5670" max="5674" width="10" style="22" customWidth="1"/>
    <col min="5675" max="5886" width="9.1796875" style="22"/>
    <col min="5887" max="5887" width="24.54296875" style="22" bestFit="1" customWidth="1"/>
    <col min="5888" max="5888" width="15.453125" style="22" bestFit="1" customWidth="1"/>
    <col min="5889" max="5889" width="10.1796875" style="22" bestFit="1" customWidth="1"/>
    <col min="5890" max="5920" width="10.1796875" style="22" customWidth="1"/>
    <col min="5921" max="5924" width="8.453125" style="22" customWidth="1"/>
    <col min="5925" max="5925" width="10.1796875" style="22" customWidth="1"/>
    <col min="5926" max="5930" width="10" style="22" customWidth="1"/>
    <col min="5931" max="6142" width="9.1796875" style="22"/>
    <col min="6143" max="6143" width="24.54296875" style="22" bestFit="1" customWidth="1"/>
    <col min="6144" max="6144" width="15.453125" style="22" bestFit="1" customWidth="1"/>
    <col min="6145" max="6145" width="10.1796875" style="22" bestFit="1" customWidth="1"/>
    <col min="6146" max="6176" width="10.1796875" style="22" customWidth="1"/>
    <col min="6177" max="6180" width="8.453125" style="22" customWidth="1"/>
    <col min="6181" max="6181" width="10.1796875" style="22" customWidth="1"/>
    <col min="6182" max="6186" width="10" style="22" customWidth="1"/>
    <col min="6187" max="6398" width="9.1796875" style="22"/>
    <col min="6399" max="6399" width="24.54296875" style="22" bestFit="1" customWidth="1"/>
    <col min="6400" max="6400" width="15.453125" style="22" bestFit="1" customWidth="1"/>
    <col min="6401" max="6401" width="10.1796875" style="22" bestFit="1" customWidth="1"/>
    <col min="6402" max="6432" width="10.1796875" style="22" customWidth="1"/>
    <col min="6433" max="6436" width="8.453125" style="22" customWidth="1"/>
    <col min="6437" max="6437" width="10.1796875" style="22" customWidth="1"/>
    <col min="6438" max="6442" width="10" style="22" customWidth="1"/>
    <col min="6443" max="6654" width="9.1796875" style="22"/>
    <col min="6655" max="6655" width="24.54296875" style="22" bestFit="1" customWidth="1"/>
    <col min="6656" max="6656" width="15.453125" style="22" bestFit="1" customWidth="1"/>
    <col min="6657" max="6657" width="10.1796875" style="22" bestFit="1" customWidth="1"/>
    <col min="6658" max="6688" width="10.1796875" style="22" customWidth="1"/>
    <col min="6689" max="6692" width="8.453125" style="22" customWidth="1"/>
    <col min="6693" max="6693" width="10.1796875" style="22" customWidth="1"/>
    <col min="6694" max="6698" width="10" style="22" customWidth="1"/>
    <col min="6699" max="6910" width="9.1796875" style="22"/>
    <col min="6911" max="6911" width="24.54296875" style="22" bestFit="1" customWidth="1"/>
    <col min="6912" max="6912" width="15.453125" style="22" bestFit="1" customWidth="1"/>
    <col min="6913" max="6913" width="10.1796875" style="22" bestFit="1" customWidth="1"/>
    <col min="6914" max="6944" width="10.1796875" style="22" customWidth="1"/>
    <col min="6945" max="6948" width="8.453125" style="22" customWidth="1"/>
    <col min="6949" max="6949" width="10.1796875" style="22" customWidth="1"/>
    <col min="6950" max="6954" width="10" style="22" customWidth="1"/>
    <col min="6955" max="7166" width="9.1796875" style="22"/>
    <col min="7167" max="7167" width="24.54296875" style="22" bestFit="1" customWidth="1"/>
    <col min="7168" max="7168" width="15.453125" style="22" bestFit="1" customWidth="1"/>
    <col min="7169" max="7169" width="10.1796875" style="22" bestFit="1" customWidth="1"/>
    <col min="7170" max="7200" width="10.1796875" style="22" customWidth="1"/>
    <col min="7201" max="7204" width="8.453125" style="22" customWidth="1"/>
    <col min="7205" max="7205" width="10.1796875" style="22" customWidth="1"/>
    <col min="7206" max="7210" width="10" style="22" customWidth="1"/>
    <col min="7211" max="7422" width="9.1796875" style="22"/>
    <col min="7423" max="7423" width="24.54296875" style="22" bestFit="1" customWidth="1"/>
    <col min="7424" max="7424" width="15.453125" style="22" bestFit="1" customWidth="1"/>
    <col min="7425" max="7425" width="10.1796875" style="22" bestFit="1" customWidth="1"/>
    <col min="7426" max="7456" width="10.1796875" style="22" customWidth="1"/>
    <col min="7457" max="7460" width="8.453125" style="22" customWidth="1"/>
    <col min="7461" max="7461" width="10.1796875" style="22" customWidth="1"/>
    <col min="7462" max="7466" width="10" style="22" customWidth="1"/>
    <col min="7467" max="7678" width="9.1796875" style="22"/>
    <col min="7679" max="7679" width="24.54296875" style="22" bestFit="1" customWidth="1"/>
    <col min="7680" max="7680" width="15.453125" style="22" bestFit="1" customWidth="1"/>
    <col min="7681" max="7681" width="10.1796875" style="22" bestFit="1" customWidth="1"/>
    <col min="7682" max="7712" width="10.1796875" style="22" customWidth="1"/>
    <col min="7713" max="7716" width="8.453125" style="22" customWidth="1"/>
    <col min="7717" max="7717" width="10.1796875" style="22" customWidth="1"/>
    <col min="7718" max="7722" width="10" style="22" customWidth="1"/>
    <col min="7723" max="7934" width="9.1796875" style="22"/>
    <col min="7935" max="7935" width="24.54296875" style="22" bestFit="1" customWidth="1"/>
    <col min="7936" max="7936" width="15.453125" style="22" bestFit="1" customWidth="1"/>
    <col min="7937" max="7937" width="10.1796875" style="22" bestFit="1" customWidth="1"/>
    <col min="7938" max="7968" width="10.1796875" style="22" customWidth="1"/>
    <col min="7969" max="7972" width="8.453125" style="22" customWidth="1"/>
    <col min="7973" max="7973" width="10.1796875" style="22" customWidth="1"/>
    <col min="7974" max="7978" width="10" style="22" customWidth="1"/>
    <col min="7979" max="8190" width="9.1796875" style="22"/>
    <col min="8191" max="8191" width="24.54296875" style="22" bestFit="1" customWidth="1"/>
    <col min="8192" max="8192" width="15.453125" style="22" bestFit="1" customWidth="1"/>
    <col min="8193" max="8193" width="10.1796875" style="22" bestFit="1" customWidth="1"/>
    <col min="8194" max="8224" width="10.1796875" style="22" customWidth="1"/>
    <col min="8225" max="8228" width="8.453125" style="22" customWidth="1"/>
    <col min="8229" max="8229" width="10.1796875" style="22" customWidth="1"/>
    <col min="8230" max="8234" width="10" style="22" customWidth="1"/>
    <col min="8235" max="8446" width="9.1796875" style="22"/>
    <col min="8447" max="8447" width="24.54296875" style="22" bestFit="1" customWidth="1"/>
    <col min="8448" max="8448" width="15.453125" style="22" bestFit="1" customWidth="1"/>
    <col min="8449" max="8449" width="10.1796875" style="22" bestFit="1" customWidth="1"/>
    <col min="8450" max="8480" width="10.1796875" style="22" customWidth="1"/>
    <col min="8481" max="8484" width="8.453125" style="22" customWidth="1"/>
    <col min="8485" max="8485" width="10.1796875" style="22" customWidth="1"/>
    <col min="8486" max="8490" width="10" style="22" customWidth="1"/>
    <col min="8491" max="8702" width="9.1796875" style="22"/>
    <col min="8703" max="8703" width="24.54296875" style="22" bestFit="1" customWidth="1"/>
    <col min="8704" max="8704" width="15.453125" style="22" bestFit="1" customWidth="1"/>
    <col min="8705" max="8705" width="10.1796875" style="22" bestFit="1" customWidth="1"/>
    <col min="8706" max="8736" width="10.1796875" style="22" customWidth="1"/>
    <col min="8737" max="8740" width="8.453125" style="22" customWidth="1"/>
    <col min="8741" max="8741" width="10.1796875" style="22" customWidth="1"/>
    <col min="8742" max="8746" width="10" style="22" customWidth="1"/>
    <col min="8747" max="8958" width="9.1796875" style="22"/>
    <col min="8959" max="8959" width="24.54296875" style="22" bestFit="1" customWidth="1"/>
    <col min="8960" max="8960" width="15.453125" style="22" bestFit="1" customWidth="1"/>
    <col min="8961" max="8961" width="10.1796875" style="22" bestFit="1" customWidth="1"/>
    <col min="8962" max="8992" width="10.1796875" style="22" customWidth="1"/>
    <col min="8993" max="8996" width="8.453125" style="22" customWidth="1"/>
    <col min="8997" max="8997" width="10.1796875" style="22" customWidth="1"/>
    <col min="8998" max="9002" width="10" style="22" customWidth="1"/>
    <col min="9003" max="9214" width="9.1796875" style="22"/>
    <col min="9215" max="9215" width="24.54296875" style="22" bestFit="1" customWidth="1"/>
    <col min="9216" max="9216" width="15.453125" style="22" bestFit="1" customWidth="1"/>
    <col min="9217" max="9217" width="10.1796875" style="22" bestFit="1" customWidth="1"/>
    <col min="9218" max="9248" width="10.1796875" style="22" customWidth="1"/>
    <col min="9249" max="9252" width="8.453125" style="22" customWidth="1"/>
    <col min="9253" max="9253" width="10.1796875" style="22" customWidth="1"/>
    <col min="9254" max="9258" width="10" style="22" customWidth="1"/>
    <col min="9259" max="9470" width="9.1796875" style="22"/>
    <col min="9471" max="9471" width="24.54296875" style="22" bestFit="1" customWidth="1"/>
    <col min="9472" max="9472" width="15.453125" style="22" bestFit="1" customWidth="1"/>
    <col min="9473" max="9473" width="10.1796875" style="22" bestFit="1" customWidth="1"/>
    <col min="9474" max="9504" width="10.1796875" style="22" customWidth="1"/>
    <col min="9505" max="9508" width="8.453125" style="22" customWidth="1"/>
    <col min="9509" max="9509" width="10.1796875" style="22" customWidth="1"/>
    <col min="9510" max="9514" width="10" style="22" customWidth="1"/>
    <col min="9515" max="9726" width="9.1796875" style="22"/>
    <col min="9727" max="9727" width="24.54296875" style="22" bestFit="1" customWidth="1"/>
    <col min="9728" max="9728" width="15.453125" style="22" bestFit="1" customWidth="1"/>
    <col min="9729" max="9729" width="10.1796875" style="22" bestFit="1" customWidth="1"/>
    <col min="9730" max="9760" width="10.1796875" style="22" customWidth="1"/>
    <col min="9761" max="9764" width="8.453125" style="22" customWidth="1"/>
    <col min="9765" max="9765" width="10.1796875" style="22" customWidth="1"/>
    <col min="9766" max="9770" width="10" style="22" customWidth="1"/>
    <col min="9771" max="9982" width="9.1796875" style="22"/>
    <col min="9983" max="9983" width="24.54296875" style="22" bestFit="1" customWidth="1"/>
    <col min="9984" max="9984" width="15.453125" style="22" bestFit="1" customWidth="1"/>
    <col min="9985" max="9985" width="10.1796875" style="22" bestFit="1" customWidth="1"/>
    <col min="9986" max="10016" width="10.1796875" style="22" customWidth="1"/>
    <col min="10017" max="10020" width="8.453125" style="22" customWidth="1"/>
    <col min="10021" max="10021" width="10.1796875" style="22" customWidth="1"/>
    <col min="10022" max="10026" width="10" style="22" customWidth="1"/>
    <col min="10027" max="10238" width="9.1796875" style="22"/>
    <col min="10239" max="10239" width="24.54296875" style="22" bestFit="1" customWidth="1"/>
    <col min="10240" max="10240" width="15.453125" style="22" bestFit="1" customWidth="1"/>
    <col min="10241" max="10241" width="10.1796875" style="22" bestFit="1" customWidth="1"/>
    <col min="10242" max="10272" width="10.1796875" style="22" customWidth="1"/>
    <col min="10273" max="10276" width="8.453125" style="22" customWidth="1"/>
    <col min="10277" max="10277" width="10.1796875" style="22" customWidth="1"/>
    <col min="10278" max="10282" width="10" style="22" customWidth="1"/>
    <col min="10283" max="10494" width="9.1796875" style="22"/>
    <col min="10495" max="10495" width="24.54296875" style="22" bestFit="1" customWidth="1"/>
    <col min="10496" max="10496" width="15.453125" style="22" bestFit="1" customWidth="1"/>
    <col min="10497" max="10497" width="10.1796875" style="22" bestFit="1" customWidth="1"/>
    <col min="10498" max="10528" width="10.1796875" style="22" customWidth="1"/>
    <col min="10529" max="10532" width="8.453125" style="22" customWidth="1"/>
    <col min="10533" max="10533" width="10.1796875" style="22" customWidth="1"/>
    <col min="10534" max="10538" width="10" style="22" customWidth="1"/>
    <col min="10539" max="10750" width="9.1796875" style="22"/>
    <col min="10751" max="10751" width="24.54296875" style="22" bestFit="1" customWidth="1"/>
    <col min="10752" max="10752" width="15.453125" style="22" bestFit="1" customWidth="1"/>
    <col min="10753" max="10753" width="10.1796875" style="22" bestFit="1" customWidth="1"/>
    <col min="10754" max="10784" width="10.1796875" style="22" customWidth="1"/>
    <col min="10785" max="10788" width="8.453125" style="22" customWidth="1"/>
    <col min="10789" max="10789" width="10.1796875" style="22" customWidth="1"/>
    <col min="10790" max="10794" width="10" style="22" customWidth="1"/>
    <col min="10795" max="11006" width="9.1796875" style="22"/>
    <col min="11007" max="11007" width="24.54296875" style="22" bestFit="1" customWidth="1"/>
    <col min="11008" max="11008" width="15.453125" style="22" bestFit="1" customWidth="1"/>
    <col min="11009" max="11009" width="10.1796875" style="22" bestFit="1" customWidth="1"/>
    <col min="11010" max="11040" width="10.1796875" style="22" customWidth="1"/>
    <col min="11041" max="11044" width="8.453125" style="22" customWidth="1"/>
    <col min="11045" max="11045" width="10.1796875" style="22" customWidth="1"/>
    <col min="11046" max="11050" width="10" style="22" customWidth="1"/>
    <col min="11051" max="11262" width="9.1796875" style="22"/>
    <col min="11263" max="11263" width="24.54296875" style="22" bestFit="1" customWidth="1"/>
    <col min="11264" max="11264" width="15.453125" style="22" bestFit="1" customWidth="1"/>
    <col min="11265" max="11265" width="10.1796875" style="22" bestFit="1" customWidth="1"/>
    <col min="11266" max="11296" width="10.1796875" style="22" customWidth="1"/>
    <col min="11297" max="11300" width="8.453125" style="22" customWidth="1"/>
    <col min="11301" max="11301" width="10.1796875" style="22" customWidth="1"/>
    <col min="11302" max="11306" width="10" style="22" customWidth="1"/>
    <col min="11307" max="11518" width="9.1796875" style="22"/>
    <col min="11519" max="11519" width="24.54296875" style="22" bestFit="1" customWidth="1"/>
    <col min="11520" max="11520" width="15.453125" style="22" bestFit="1" customWidth="1"/>
    <col min="11521" max="11521" width="10.1796875" style="22" bestFit="1" customWidth="1"/>
    <col min="11522" max="11552" width="10.1796875" style="22" customWidth="1"/>
    <col min="11553" max="11556" width="8.453125" style="22" customWidth="1"/>
    <col min="11557" max="11557" width="10.1796875" style="22" customWidth="1"/>
    <col min="11558" max="11562" width="10" style="22" customWidth="1"/>
    <col min="11563" max="11774" width="9.1796875" style="22"/>
    <col min="11775" max="11775" width="24.54296875" style="22" bestFit="1" customWidth="1"/>
    <col min="11776" max="11776" width="15.453125" style="22" bestFit="1" customWidth="1"/>
    <col min="11777" max="11777" width="10.1796875" style="22" bestFit="1" customWidth="1"/>
    <col min="11778" max="11808" width="10.1796875" style="22" customWidth="1"/>
    <col min="11809" max="11812" width="8.453125" style="22" customWidth="1"/>
    <col min="11813" max="11813" width="10.1796875" style="22" customWidth="1"/>
    <col min="11814" max="11818" width="10" style="22" customWidth="1"/>
    <col min="11819" max="12030" width="9.1796875" style="22"/>
    <col min="12031" max="12031" width="24.54296875" style="22" bestFit="1" customWidth="1"/>
    <col min="12032" max="12032" width="15.453125" style="22" bestFit="1" customWidth="1"/>
    <col min="12033" max="12033" width="10.1796875" style="22" bestFit="1" customWidth="1"/>
    <col min="12034" max="12064" width="10.1796875" style="22" customWidth="1"/>
    <col min="12065" max="12068" width="8.453125" style="22" customWidth="1"/>
    <col min="12069" max="12069" width="10.1796875" style="22" customWidth="1"/>
    <col min="12070" max="12074" width="10" style="22" customWidth="1"/>
    <col min="12075" max="12286" width="9.1796875" style="22"/>
    <col min="12287" max="12287" width="24.54296875" style="22" bestFit="1" customWidth="1"/>
    <col min="12288" max="12288" width="15.453125" style="22" bestFit="1" customWidth="1"/>
    <col min="12289" max="12289" width="10.1796875" style="22" bestFit="1" customWidth="1"/>
    <col min="12290" max="12320" width="10.1796875" style="22" customWidth="1"/>
    <col min="12321" max="12324" width="8.453125" style="22" customWidth="1"/>
    <col min="12325" max="12325" width="10.1796875" style="22" customWidth="1"/>
    <col min="12326" max="12330" width="10" style="22" customWidth="1"/>
    <col min="12331" max="12542" width="9.1796875" style="22"/>
    <col min="12543" max="12543" width="24.54296875" style="22" bestFit="1" customWidth="1"/>
    <col min="12544" max="12544" width="15.453125" style="22" bestFit="1" customWidth="1"/>
    <col min="12545" max="12545" width="10.1796875" style="22" bestFit="1" customWidth="1"/>
    <col min="12546" max="12576" width="10.1796875" style="22" customWidth="1"/>
    <col min="12577" max="12580" width="8.453125" style="22" customWidth="1"/>
    <col min="12581" max="12581" width="10.1796875" style="22" customWidth="1"/>
    <col min="12582" max="12586" width="10" style="22" customWidth="1"/>
    <col min="12587" max="12798" width="9.1796875" style="22"/>
    <col min="12799" max="12799" width="24.54296875" style="22" bestFit="1" customWidth="1"/>
    <col min="12800" max="12800" width="15.453125" style="22" bestFit="1" customWidth="1"/>
    <col min="12801" max="12801" width="10.1796875" style="22" bestFit="1" customWidth="1"/>
    <col min="12802" max="12832" width="10.1796875" style="22" customWidth="1"/>
    <col min="12833" max="12836" width="8.453125" style="22" customWidth="1"/>
    <col min="12837" max="12837" width="10.1796875" style="22" customWidth="1"/>
    <col min="12838" max="12842" width="10" style="22" customWidth="1"/>
    <col min="12843" max="13054" width="9.1796875" style="22"/>
    <col min="13055" max="13055" width="24.54296875" style="22" bestFit="1" customWidth="1"/>
    <col min="13056" max="13056" width="15.453125" style="22" bestFit="1" customWidth="1"/>
    <col min="13057" max="13057" width="10.1796875" style="22" bestFit="1" customWidth="1"/>
    <col min="13058" max="13088" width="10.1796875" style="22" customWidth="1"/>
    <col min="13089" max="13092" width="8.453125" style="22" customWidth="1"/>
    <col min="13093" max="13093" width="10.1796875" style="22" customWidth="1"/>
    <col min="13094" max="13098" width="10" style="22" customWidth="1"/>
    <col min="13099" max="13310" width="9.1796875" style="22"/>
    <col min="13311" max="13311" width="24.54296875" style="22" bestFit="1" customWidth="1"/>
    <col min="13312" max="13312" width="15.453125" style="22" bestFit="1" customWidth="1"/>
    <col min="13313" max="13313" width="10.1796875" style="22" bestFit="1" customWidth="1"/>
    <col min="13314" max="13344" width="10.1796875" style="22" customWidth="1"/>
    <col min="13345" max="13348" width="8.453125" style="22" customWidth="1"/>
    <col min="13349" max="13349" width="10.1796875" style="22" customWidth="1"/>
    <col min="13350" max="13354" width="10" style="22" customWidth="1"/>
    <col min="13355" max="13566" width="9.1796875" style="22"/>
    <col min="13567" max="13567" width="24.54296875" style="22" bestFit="1" customWidth="1"/>
    <col min="13568" max="13568" width="15.453125" style="22" bestFit="1" customWidth="1"/>
    <col min="13569" max="13569" width="10.1796875" style="22" bestFit="1" customWidth="1"/>
    <col min="13570" max="13600" width="10.1796875" style="22" customWidth="1"/>
    <col min="13601" max="13604" width="8.453125" style="22" customWidth="1"/>
    <col min="13605" max="13605" width="10.1796875" style="22" customWidth="1"/>
    <col min="13606" max="13610" width="10" style="22" customWidth="1"/>
    <col min="13611" max="13822" width="9.1796875" style="22"/>
    <col min="13823" max="13823" width="24.54296875" style="22" bestFit="1" customWidth="1"/>
    <col min="13824" max="13824" width="15.453125" style="22" bestFit="1" customWidth="1"/>
    <col min="13825" max="13825" width="10.1796875" style="22" bestFit="1" customWidth="1"/>
    <col min="13826" max="13856" width="10.1796875" style="22" customWidth="1"/>
    <col min="13857" max="13860" width="8.453125" style="22" customWidth="1"/>
    <col min="13861" max="13861" width="10.1796875" style="22" customWidth="1"/>
    <col min="13862" max="13866" width="10" style="22" customWidth="1"/>
    <col min="13867" max="14078" width="9.1796875" style="22"/>
    <col min="14079" max="14079" width="24.54296875" style="22" bestFit="1" customWidth="1"/>
    <col min="14080" max="14080" width="15.453125" style="22" bestFit="1" customWidth="1"/>
    <col min="14081" max="14081" width="10.1796875" style="22" bestFit="1" customWidth="1"/>
    <col min="14082" max="14112" width="10.1796875" style="22" customWidth="1"/>
    <col min="14113" max="14116" width="8.453125" style="22" customWidth="1"/>
    <col min="14117" max="14117" width="10.1796875" style="22" customWidth="1"/>
    <col min="14118" max="14122" width="10" style="22" customWidth="1"/>
    <col min="14123" max="14334" width="9.1796875" style="22"/>
    <col min="14335" max="14335" width="24.54296875" style="22" bestFit="1" customWidth="1"/>
    <col min="14336" max="14336" width="15.453125" style="22" bestFit="1" customWidth="1"/>
    <col min="14337" max="14337" width="10.1796875" style="22" bestFit="1" customWidth="1"/>
    <col min="14338" max="14368" width="10.1796875" style="22" customWidth="1"/>
    <col min="14369" max="14372" width="8.453125" style="22" customWidth="1"/>
    <col min="14373" max="14373" width="10.1796875" style="22" customWidth="1"/>
    <col min="14374" max="14378" width="10" style="22" customWidth="1"/>
    <col min="14379" max="14590" width="9.1796875" style="22"/>
    <col min="14591" max="14591" width="24.54296875" style="22" bestFit="1" customWidth="1"/>
    <col min="14592" max="14592" width="15.453125" style="22" bestFit="1" customWidth="1"/>
    <col min="14593" max="14593" width="10.1796875" style="22" bestFit="1" customWidth="1"/>
    <col min="14594" max="14624" width="10.1796875" style="22" customWidth="1"/>
    <col min="14625" max="14628" width="8.453125" style="22" customWidth="1"/>
    <col min="14629" max="14629" width="10.1796875" style="22" customWidth="1"/>
    <col min="14630" max="14634" width="10" style="22" customWidth="1"/>
    <col min="14635" max="14846" width="9.1796875" style="22"/>
    <col min="14847" max="14847" width="24.54296875" style="22" bestFit="1" customWidth="1"/>
    <col min="14848" max="14848" width="15.453125" style="22" bestFit="1" customWidth="1"/>
    <col min="14849" max="14849" width="10.1796875" style="22" bestFit="1" customWidth="1"/>
    <col min="14850" max="14880" width="10.1796875" style="22" customWidth="1"/>
    <col min="14881" max="14884" width="8.453125" style="22" customWidth="1"/>
    <col min="14885" max="14885" width="10.1796875" style="22" customWidth="1"/>
    <col min="14886" max="14890" width="10" style="22" customWidth="1"/>
    <col min="14891" max="15102" width="9.1796875" style="22"/>
    <col min="15103" max="15103" width="24.54296875" style="22" bestFit="1" customWidth="1"/>
    <col min="15104" max="15104" width="15.453125" style="22" bestFit="1" customWidth="1"/>
    <col min="15105" max="15105" width="10.1796875" style="22" bestFit="1" customWidth="1"/>
    <col min="15106" max="15136" width="10.1796875" style="22" customWidth="1"/>
    <col min="15137" max="15140" width="8.453125" style="22" customWidth="1"/>
    <col min="15141" max="15141" width="10.1796875" style="22" customWidth="1"/>
    <col min="15142" max="15146" width="10" style="22" customWidth="1"/>
    <col min="15147" max="15358" width="9.1796875" style="22"/>
    <col min="15359" max="15359" width="24.54296875" style="22" bestFit="1" customWidth="1"/>
    <col min="15360" max="15360" width="15.453125" style="22" bestFit="1" customWidth="1"/>
    <col min="15361" max="15361" width="10.1796875" style="22" bestFit="1" customWidth="1"/>
    <col min="15362" max="15392" width="10.1796875" style="22" customWidth="1"/>
    <col min="15393" max="15396" width="8.453125" style="22" customWidth="1"/>
    <col min="15397" max="15397" width="10.1796875" style="22" customWidth="1"/>
    <col min="15398" max="15402" width="10" style="22" customWidth="1"/>
    <col min="15403" max="15614" width="9.1796875" style="22"/>
    <col min="15615" max="15615" width="24.54296875" style="22" bestFit="1" customWidth="1"/>
    <col min="15616" max="15616" width="15.453125" style="22" bestFit="1" customWidth="1"/>
    <col min="15617" max="15617" width="10.1796875" style="22" bestFit="1" customWidth="1"/>
    <col min="15618" max="15648" width="10.1796875" style="22" customWidth="1"/>
    <col min="15649" max="15652" width="8.453125" style="22" customWidth="1"/>
    <col min="15653" max="15653" width="10.1796875" style="22" customWidth="1"/>
    <col min="15654" max="15658" width="10" style="22" customWidth="1"/>
    <col min="15659" max="15870" width="9.1796875" style="22"/>
    <col min="15871" max="15871" width="24.54296875" style="22" bestFit="1" customWidth="1"/>
    <col min="15872" max="15872" width="15.453125" style="22" bestFit="1" customWidth="1"/>
    <col min="15873" max="15873" width="10.1796875" style="22" bestFit="1" customWidth="1"/>
    <col min="15874" max="15904" width="10.1796875" style="22" customWidth="1"/>
    <col min="15905" max="15908" width="8.453125" style="22" customWidth="1"/>
    <col min="15909" max="15909" width="10.1796875" style="22" customWidth="1"/>
    <col min="15910" max="15914" width="10" style="22" customWidth="1"/>
    <col min="15915" max="16126" width="9.1796875" style="22"/>
    <col min="16127" max="16127" width="24.54296875" style="22" bestFit="1" customWidth="1"/>
    <col min="16128" max="16128" width="15.453125" style="22" bestFit="1" customWidth="1"/>
    <col min="16129" max="16129" width="10.1796875" style="22" bestFit="1" customWidth="1"/>
    <col min="16130" max="16160" width="10.1796875" style="22" customWidth="1"/>
    <col min="16161" max="16164" width="8.453125" style="22" customWidth="1"/>
    <col min="16165" max="16165" width="10.1796875" style="22" customWidth="1"/>
    <col min="16166" max="16170" width="10" style="22" customWidth="1"/>
    <col min="16171" max="16384" width="9.1796875" style="22"/>
  </cols>
  <sheetData>
    <row r="1" spans="1:76" s="21" customFormat="1" ht="87.5" customHeight="1">
      <c r="A1" s="20" t="s">
        <v>14</v>
      </c>
      <c r="B1" s="20" t="s">
        <v>923</v>
      </c>
      <c r="C1" s="20" t="s">
        <v>922</v>
      </c>
      <c r="D1" s="20" t="s">
        <v>921</v>
      </c>
      <c r="E1" s="20" t="s">
        <v>1317</v>
      </c>
      <c r="F1" s="20" t="s">
        <v>1289</v>
      </c>
      <c r="G1" s="20" t="s">
        <v>15</v>
      </c>
      <c r="H1" s="20" t="s">
        <v>1290</v>
      </c>
      <c r="I1" s="20" t="s">
        <v>1291</v>
      </c>
      <c r="J1" s="20" t="s">
        <v>920</v>
      </c>
      <c r="K1" s="20" t="s">
        <v>1292</v>
      </c>
      <c r="L1" s="20" t="s">
        <v>15</v>
      </c>
      <c r="M1" s="20" t="s">
        <v>1293</v>
      </c>
      <c r="N1" s="20" t="s">
        <v>15</v>
      </c>
      <c r="O1" s="20" t="s">
        <v>924</v>
      </c>
      <c r="P1" s="20" t="s">
        <v>15</v>
      </c>
      <c r="Q1" s="20" t="s">
        <v>925</v>
      </c>
      <c r="R1" s="20" t="s">
        <v>15</v>
      </c>
      <c r="S1" s="20" t="s">
        <v>926</v>
      </c>
      <c r="T1" s="20" t="s">
        <v>15</v>
      </c>
      <c r="U1" s="20" t="s">
        <v>927</v>
      </c>
      <c r="V1" s="20" t="s">
        <v>928</v>
      </c>
      <c r="W1" s="20" t="s">
        <v>929</v>
      </c>
      <c r="X1" s="20" t="s">
        <v>1370</v>
      </c>
      <c r="Y1" s="20" t="s">
        <v>930</v>
      </c>
      <c r="Z1" s="20" t="s">
        <v>931</v>
      </c>
      <c r="AA1" s="20" t="s">
        <v>932</v>
      </c>
      <c r="AB1" s="20" t="s">
        <v>933</v>
      </c>
      <c r="AC1" s="20" t="s">
        <v>1371</v>
      </c>
      <c r="AD1" s="20" t="s">
        <v>934</v>
      </c>
      <c r="AE1" s="20" t="s">
        <v>935</v>
      </c>
      <c r="AF1" s="20" t="s">
        <v>15</v>
      </c>
      <c r="AG1" s="20" t="s">
        <v>936</v>
      </c>
      <c r="AH1" s="20" t="s">
        <v>15</v>
      </c>
      <c r="AI1" s="20" t="s">
        <v>1294</v>
      </c>
      <c r="AJ1" s="20" t="s">
        <v>15</v>
      </c>
      <c r="AK1" s="20" t="s">
        <v>1295</v>
      </c>
      <c r="AL1" s="20" t="s">
        <v>15</v>
      </c>
      <c r="AM1" s="20" t="s">
        <v>209</v>
      </c>
      <c r="AN1" s="20" t="s">
        <v>15</v>
      </c>
      <c r="AO1" s="20" t="s">
        <v>1297</v>
      </c>
      <c r="AP1" s="20" t="s">
        <v>15</v>
      </c>
      <c r="AQ1" s="20" t="s">
        <v>1367</v>
      </c>
      <c r="AR1" s="20" t="s">
        <v>919</v>
      </c>
      <c r="AS1" s="20" t="s">
        <v>918</v>
      </c>
      <c r="AT1" s="20" t="s">
        <v>917</v>
      </c>
      <c r="AU1" s="20" t="s">
        <v>916</v>
      </c>
      <c r="AV1" s="20" t="s">
        <v>1296</v>
      </c>
      <c r="AW1" s="20" t="s">
        <v>1462</v>
      </c>
      <c r="AX1" s="20" t="s">
        <v>1298</v>
      </c>
      <c r="AY1" s="20" t="s">
        <v>15</v>
      </c>
      <c r="AZ1" s="20" t="s">
        <v>1299</v>
      </c>
      <c r="BA1" s="20" t="s">
        <v>1300</v>
      </c>
      <c r="BB1" s="20" t="s">
        <v>1372</v>
      </c>
      <c r="BC1" s="20" t="s">
        <v>1301</v>
      </c>
      <c r="BD1" s="20" t="s">
        <v>15</v>
      </c>
      <c r="BE1" s="1388" t="s">
        <v>1193</v>
      </c>
      <c r="BF1" s="1388" t="s">
        <v>1302</v>
      </c>
      <c r="BG1" s="1388" t="s">
        <v>1303</v>
      </c>
      <c r="BH1" s="1388" t="s">
        <v>902</v>
      </c>
      <c r="BI1" s="1250" t="s">
        <v>1199</v>
      </c>
      <c r="BJ1" s="1250" t="s">
        <v>1198</v>
      </c>
      <c r="BK1" s="1250" t="s">
        <v>1204</v>
      </c>
      <c r="BL1" s="1250" t="s">
        <v>1200</v>
      </c>
      <c r="BM1" s="1250" t="s">
        <v>1201</v>
      </c>
      <c r="BN1" s="1250" t="s">
        <v>1205</v>
      </c>
      <c r="BO1" s="1250" t="s">
        <v>1202</v>
      </c>
      <c r="BP1" s="1250" t="s">
        <v>1203</v>
      </c>
      <c r="BQ1" s="1250" t="s">
        <v>1206</v>
      </c>
      <c r="BR1" s="1250" t="s">
        <v>1214</v>
      </c>
      <c r="BS1" s="1250" t="s">
        <v>1215</v>
      </c>
      <c r="BT1" s="1250" t="s">
        <v>1224</v>
      </c>
      <c r="BU1" s="1250" t="s">
        <v>15</v>
      </c>
      <c r="BV1" s="1250" t="s">
        <v>1225</v>
      </c>
      <c r="BW1" s="1250" t="s">
        <v>15</v>
      </c>
      <c r="BX1" s="20" t="s">
        <v>1318</v>
      </c>
    </row>
    <row r="2" spans="1:76">
      <c r="A2" s="160">
        <v>44926</v>
      </c>
      <c r="B2" s="1014">
        <v>1057.7</v>
      </c>
      <c r="C2" s="1014">
        <v>584.85299999999995</v>
      </c>
      <c r="D2" s="1014">
        <v>6839.7</v>
      </c>
      <c r="E2" s="1311">
        <v>0</v>
      </c>
      <c r="F2" s="1014">
        <v>15537.4</v>
      </c>
      <c r="G2" s="1014">
        <v>4824.8999999999996</v>
      </c>
      <c r="H2" s="1015">
        <v>562719.4</v>
      </c>
      <c r="I2" s="1014">
        <v>259573.3</v>
      </c>
      <c r="J2" s="1014">
        <v>202799.7</v>
      </c>
      <c r="K2" s="1014">
        <v>14948.1</v>
      </c>
      <c r="L2" s="1014">
        <v>7010.3</v>
      </c>
      <c r="M2" s="1014">
        <v>42873.13</v>
      </c>
      <c r="N2" s="1014">
        <v>34112</v>
      </c>
      <c r="O2" s="1014">
        <v>135921.16</v>
      </c>
      <c r="P2" s="1014">
        <v>112758.72</v>
      </c>
      <c r="Q2" s="1014">
        <v>137979.97</v>
      </c>
      <c r="R2" s="1014">
        <v>94637</v>
      </c>
      <c r="S2" s="1014">
        <v>14051.63</v>
      </c>
      <c r="T2" s="1014">
        <v>10671.64</v>
      </c>
      <c r="U2" s="1014">
        <v>13951</v>
      </c>
      <c r="V2" s="1014">
        <v>7267.2</v>
      </c>
      <c r="W2" s="1014">
        <v>208358.7</v>
      </c>
      <c r="X2" s="1014">
        <v>345.9</v>
      </c>
      <c r="Y2" s="1014">
        <v>50716</v>
      </c>
      <c r="Z2" s="1014">
        <v>552895.16</v>
      </c>
      <c r="AA2" s="1014">
        <v>281853.77</v>
      </c>
      <c r="AB2" s="250">
        <v>208308.1</v>
      </c>
      <c r="AC2" s="1014">
        <v>1112.4000000000001</v>
      </c>
      <c r="AD2" s="1081">
        <v>942</v>
      </c>
      <c r="AE2" s="1014">
        <v>35266.31</v>
      </c>
      <c r="AF2" s="1014">
        <v>25141.360000000001</v>
      </c>
      <c r="AG2" s="1014">
        <v>81505.86</v>
      </c>
      <c r="AH2" s="1014">
        <v>63010.07</v>
      </c>
      <c r="AI2" s="1014">
        <v>64378.59</v>
      </c>
      <c r="AJ2" s="1014">
        <v>52433.37</v>
      </c>
      <c r="AK2" s="1014">
        <v>58261.8</v>
      </c>
      <c r="AL2" s="1014">
        <v>22914.2</v>
      </c>
      <c r="AM2" s="1014">
        <v>16.3</v>
      </c>
      <c r="AN2" s="1014">
        <v>17.3</v>
      </c>
      <c r="AO2" s="1014">
        <v>473982.3</v>
      </c>
      <c r="AP2" s="1014">
        <v>218932.6</v>
      </c>
      <c r="AQ2" s="1014">
        <v>64527.199999999997</v>
      </c>
      <c r="AR2" s="1014"/>
      <c r="AS2" s="1014">
        <v>442398</v>
      </c>
      <c r="AT2" s="1014">
        <v>194808.9</v>
      </c>
      <c r="AU2" s="1014">
        <v>76695</v>
      </c>
      <c r="AV2" s="1014">
        <v>4124.08</v>
      </c>
      <c r="AW2" s="1014">
        <v>2741.31</v>
      </c>
      <c r="AX2" s="1014">
        <v>219.51</v>
      </c>
      <c r="AY2" s="1014">
        <v>132.87</v>
      </c>
      <c r="AZ2" s="1014">
        <v>786.53200000000004</v>
      </c>
      <c r="BA2" s="1014">
        <v>335.25700000000001</v>
      </c>
      <c r="BB2" s="1089">
        <v>1778</v>
      </c>
      <c r="BC2" s="1014">
        <v>3088.6</v>
      </c>
      <c r="BD2" s="1014">
        <v>490.6</v>
      </c>
      <c r="BE2" s="1014">
        <v>6671.670000000001</v>
      </c>
      <c r="BF2" s="1014">
        <v>26678.170175438598</v>
      </c>
      <c r="BG2" s="1014">
        <v>9120.1987082302694</v>
      </c>
      <c r="BH2" s="1014">
        <v>6265.62</v>
      </c>
      <c r="BI2" s="1014">
        <v>2426200</v>
      </c>
      <c r="BJ2" s="1014">
        <v>469</v>
      </c>
      <c r="BK2" s="1014">
        <v>18678.099999999999</v>
      </c>
      <c r="BL2" s="1014">
        <v>2878204</v>
      </c>
      <c r="BM2" s="1014">
        <v>72982</v>
      </c>
      <c r="BN2" s="1014">
        <v>18237.400000000001</v>
      </c>
      <c r="BO2" s="1014">
        <v>2612160</v>
      </c>
      <c r="BP2" s="1014">
        <v>124167</v>
      </c>
      <c r="BQ2" s="1014">
        <v>15388.6</v>
      </c>
      <c r="BR2" s="1014">
        <v>7764.89</v>
      </c>
      <c r="BS2" s="1014">
        <v>5295.72</v>
      </c>
      <c r="BT2" s="1014">
        <v>989431</v>
      </c>
      <c r="BU2" s="1014">
        <v>562671</v>
      </c>
      <c r="BV2" s="1014">
        <v>660612</v>
      </c>
      <c r="BW2" s="1014">
        <v>418193</v>
      </c>
      <c r="BX2" s="1324">
        <v>0</v>
      </c>
    </row>
    <row r="3" spans="1:76">
      <c r="A3" s="160">
        <v>44927</v>
      </c>
      <c r="B3" s="1014">
        <v>1057.7</v>
      </c>
      <c r="C3" s="1014">
        <v>584.85299999999995</v>
      </c>
      <c r="D3" s="1014">
        <v>6839.7</v>
      </c>
      <c r="E3" s="1311">
        <v>0</v>
      </c>
      <c r="F3" s="1014">
        <v>15552.4</v>
      </c>
      <c r="G3" s="1014">
        <v>4829</v>
      </c>
      <c r="H3" s="1015">
        <v>562876.6</v>
      </c>
      <c r="I3" s="1015">
        <v>259654</v>
      </c>
      <c r="J3" s="1015">
        <v>202823.7</v>
      </c>
      <c r="K3" s="1014">
        <v>14948.1</v>
      </c>
      <c r="L3" s="1014">
        <v>7010.3</v>
      </c>
      <c r="M3" s="1014">
        <v>42899.76</v>
      </c>
      <c r="N3" s="1014">
        <v>34132.93</v>
      </c>
      <c r="O3" s="1014">
        <v>135936.04</v>
      </c>
      <c r="P3" s="1014">
        <v>112771.51</v>
      </c>
      <c r="Q3" s="1014">
        <v>137996.99</v>
      </c>
      <c r="R3" s="1014">
        <v>94649.34</v>
      </c>
      <c r="S3" s="1014">
        <v>14051.63</v>
      </c>
      <c r="T3" s="1014">
        <v>10671.64</v>
      </c>
      <c r="U3" s="1014">
        <v>14232.24</v>
      </c>
      <c r="V3" s="1014">
        <v>7416.85</v>
      </c>
      <c r="W3" s="1014">
        <v>208382.7</v>
      </c>
      <c r="X3" s="1014">
        <v>345.9</v>
      </c>
      <c r="Y3" s="1014">
        <v>50716</v>
      </c>
      <c r="Z3" s="1014">
        <v>553038.69999999995</v>
      </c>
      <c r="AA3" s="1014">
        <v>281923.8</v>
      </c>
      <c r="AB3" s="250">
        <v>208332.1</v>
      </c>
      <c r="AC3" s="1014">
        <v>1112.4000000000001</v>
      </c>
      <c r="AD3" s="1081">
        <v>942</v>
      </c>
      <c r="AE3" s="250">
        <v>35268.339999999997</v>
      </c>
      <c r="AF3" s="250">
        <v>25142.799999999999</v>
      </c>
      <c r="AG3" s="1014">
        <v>81513.09</v>
      </c>
      <c r="AH3" s="1014">
        <v>63015.839999999997</v>
      </c>
      <c r="AI3" s="1014">
        <v>64393.88</v>
      </c>
      <c r="AJ3" s="1014">
        <v>52445.63</v>
      </c>
      <c r="AK3" s="1014">
        <v>58269.9</v>
      </c>
      <c r="AL3" s="1014">
        <v>22917.4</v>
      </c>
      <c r="AM3" s="1014">
        <v>16.3</v>
      </c>
      <c r="AN3" s="1014">
        <v>17.3</v>
      </c>
      <c r="AO3" s="1014">
        <v>474131.1</v>
      </c>
      <c r="AP3" s="1014">
        <v>218997.4</v>
      </c>
      <c r="AQ3" s="1014">
        <v>64533</v>
      </c>
      <c r="AR3" s="250"/>
      <c r="AS3" s="1014">
        <v>442532.7</v>
      </c>
      <c r="AT3" s="1014">
        <v>194867.9</v>
      </c>
      <c r="AU3" s="1081">
        <v>76719</v>
      </c>
      <c r="AV3" s="1014">
        <v>4127.96</v>
      </c>
      <c r="AW3" s="1014">
        <v>2744.03</v>
      </c>
      <c r="AX3" s="1014">
        <v>219.51</v>
      </c>
      <c r="AY3" s="1014">
        <v>132.87</v>
      </c>
      <c r="AZ3" s="1014">
        <v>786.53200000000004</v>
      </c>
      <c r="BA3" s="1014">
        <v>335.25700000000001</v>
      </c>
      <c r="BB3" s="1089">
        <v>1778</v>
      </c>
      <c r="BC3" s="1014">
        <v>3089.2</v>
      </c>
      <c r="BD3" s="1014">
        <v>490.6</v>
      </c>
      <c r="BE3" s="1014">
        <v>6488</v>
      </c>
      <c r="BF3" s="1783">
        <v>20926.280701754298</v>
      </c>
      <c r="BG3" s="1015">
        <v>3242.204220151817</v>
      </c>
      <c r="BH3" s="1015">
        <v>6132.38</v>
      </c>
      <c r="BI3" s="1014">
        <v>2426200</v>
      </c>
      <c r="BJ3" s="1014">
        <v>469</v>
      </c>
      <c r="BK3" s="1014">
        <v>18678.099999999999</v>
      </c>
      <c r="BL3" s="250">
        <v>2881942</v>
      </c>
      <c r="BM3" s="250">
        <v>73126</v>
      </c>
      <c r="BN3" s="250">
        <v>18261.400000000001</v>
      </c>
      <c r="BO3" s="1015">
        <v>2615274</v>
      </c>
      <c r="BP3" s="1015">
        <v>124193</v>
      </c>
      <c r="BQ3" s="1015">
        <v>15412.6</v>
      </c>
      <c r="BR3" s="1014">
        <v>7771.96</v>
      </c>
      <c r="BS3" s="1014">
        <v>5300.37</v>
      </c>
      <c r="BT3" s="1014">
        <v>989767</v>
      </c>
      <c r="BU3" s="1014">
        <v>562884</v>
      </c>
      <c r="BV3" s="1014">
        <v>661658</v>
      </c>
      <c r="BW3" s="1014">
        <v>418822</v>
      </c>
      <c r="BX3" s="1324">
        <v>0</v>
      </c>
    </row>
    <row r="4" spans="1:76">
      <c r="A4" s="160">
        <v>44928</v>
      </c>
      <c r="B4" s="1014">
        <v>1057.7</v>
      </c>
      <c r="C4" s="1014">
        <v>584.85299999999995</v>
      </c>
      <c r="D4" s="1014">
        <v>6839.7</v>
      </c>
      <c r="E4" s="1311">
        <v>0</v>
      </c>
      <c r="F4" s="1014">
        <v>15567.4</v>
      </c>
      <c r="G4" s="1014">
        <v>4832.8999999999996</v>
      </c>
      <c r="H4" s="1014">
        <v>563038.9</v>
      </c>
      <c r="I4" s="1014">
        <v>259737.3</v>
      </c>
      <c r="J4" s="1014">
        <v>202847.7</v>
      </c>
      <c r="K4" s="250">
        <v>14948.1</v>
      </c>
      <c r="L4" s="250">
        <v>7010.3</v>
      </c>
      <c r="M4" s="1014">
        <v>42926.54</v>
      </c>
      <c r="N4" s="1014">
        <v>34153.47</v>
      </c>
      <c r="O4" s="1014">
        <v>135952.14000000001</v>
      </c>
      <c r="P4" s="1014">
        <v>112785.19</v>
      </c>
      <c r="Q4" s="1014">
        <v>138014.31</v>
      </c>
      <c r="R4" s="1014">
        <v>94661.81</v>
      </c>
      <c r="S4" s="1014">
        <v>14051.63</v>
      </c>
      <c r="T4" s="1014">
        <v>10671.64</v>
      </c>
      <c r="U4" s="1014">
        <v>14526.39</v>
      </c>
      <c r="V4" s="1014">
        <v>7564.85</v>
      </c>
      <c r="W4" s="1014">
        <v>208406.7</v>
      </c>
      <c r="X4" s="1014">
        <v>345.9</v>
      </c>
      <c r="Y4" s="1014">
        <v>50716</v>
      </c>
      <c r="Z4" s="1014">
        <v>553187.30000000005</v>
      </c>
      <c r="AA4" s="1014">
        <v>282002.8</v>
      </c>
      <c r="AB4" s="250">
        <v>208356.1</v>
      </c>
      <c r="AC4" s="1014">
        <v>1112.4000000000001</v>
      </c>
      <c r="AD4" s="1081">
        <v>942</v>
      </c>
      <c r="AE4" s="250">
        <v>35270.42</v>
      </c>
      <c r="AF4" s="250">
        <v>25144.3</v>
      </c>
      <c r="AG4" s="1014">
        <v>81520.45</v>
      </c>
      <c r="AH4" s="1014">
        <v>63021.68</v>
      </c>
      <c r="AI4" s="1014">
        <v>64410.12</v>
      </c>
      <c r="AJ4" s="1014">
        <v>52458.63</v>
      </c>
      <c r="AK4" s="1014">
        <v>58281.1</v>
      </c>
      <c r="AL4" s="1014">
        <v>22921.8</v>
      </c>
      <c r="AM4" s="1014">
        <v>16.3</v>
      </c>
      <c r="AN4" s="1014">
        <v>17.3</v>
      </c>
      <c r="AO4" s="1014">
        <v>474285.8</v>
      </c>
      <c r="AP4" s="1014">
        <v>219065.5</v>
      </c>
      <c r="AQ4" s="1014">
        <v>64538</v>
      </c>
      <c r="AR4" s="250"/>
      <c r="AS4" s="1014">
        <v>442674.8</v>
      </c>
      <c r="AT4" s="1014">
        <v>194930.1</v>
      </c>
      <c r="AU4" s="1014">
        <v>76743</v>
      </c>
      <c r="AV4" s="1014">
        <v>4131.6400000000003</v>
      </c>
      <c r="AW4" s="1014">
        <v>2746.65</v>
      </c>
      <c r="AX4" s="1014">
        <v>219.51</v>
      </c>
      <c r="AY4" s="1014">
        <v>132.87</v>
      </c>
      <c r="AZ4" s="1014">
        <v>786.53200000000004</v>
      </c>
      <c r="BA4" s="1014">
        <v>335.25700000000001</v>
      </c>
      <c r="BB4" s="1089">
        <v>1778</v>
      </c>
      <c r="BC4" s="1014">
        <v>3091.2</v>
      </c>
      <c r="BD4" s="1014">
        <v>490.6</v>
      </c>
      <c r="BE4" s="1015">
        <v>6616.55</v>
      </c>
      <c r="BF4" s="1015">
        <v>22869.699999999997</v>
      </c>
      <c r="BG4" s="1015">
        <v>7986.8652899315266</v>
      </c>
      <c r="BH4" s="1015">
        <v>6207.62</v>
      </c>
      <c r="BI4" s="1014">
        <v>2426200</v>
      </c>
      <c r="BJ4" s="1014">
        <v>469</v>
      </c>
      <c r="BK4" s="1014">
        <v>18678.099999999999</v>
      </c>
      <c r="BL4" s="250">
        <v>2885978</v>
      </c>
      <c r="BM4" s="250">
        <v>73388</v>
      </c>
      <c r="BN4" s="250">
        <v>18285.13</v>
      </c>
      <c r="BO4" s="1014">
        <v>2618222</v>
      </c>
      <c r="BP4" s="1014">
        <v>124221</v>
      </c>
      <c r="BQ4" s="1014">
        <v>15433.8</v>
      </c>
      <c r="BR4" s="1014">
        <v>7779.21</v>
      </c>
      <c r="BS4" s="1014">
        <v>5305.16</v>
      </c>
      <c r="BT4" s="1014">
        <v>990080</v>
      </c>
      <c r="BU4" s="1014">
        <v>563076</v>
      </c>
      <c r="BV4" s="1014">
        <v>662392</v>
      </c>
      <c r="BW4" s="1014">
        <v>419273</v>
      </c>
      <c r="BX4" s="1324">
        <v>0</v>
      </c>
    </row>
    <row r="5" spans="1:76">
      <c r="A5" s="160">
        <v>44929</v>
      </c>
      <c r="B5" s="1014">
        <v>1057.912</v>
      </c>
      <c r="C5" s="1014">
        <v>584.95799999999997</v>
      </c>
      <c r="D5" s="1014">
        <v>6840</v>
      </c>
      <c r="E5" s="1311">
        <v>1</v>
      </c>
      <c r="F5" s="250">
        <v>15583.2</v>
      </c>
      <c r="G5" s="250">
        <v>4837.7</v>
      </c>
      <c r="H5" s="250">
        <v>563200.9</v>
      </c>
      <c r="I5" s="250">
        <v>259820.3</v>
      </c>
      <c r="J5" s="250">
        <v>202871.7</v>
      </c>
      <c r="K5" s="250">
        <v>14948.1</v>
      </c>
      <c r="L5" s="250">
        <v>7010.3</v>
      </c>
      <c r="M5" s="1014">
        <v>42953.98</v>
      </c>
      <c r="N5" s="1014">
        <v>34174.69</v>
      </c>
      <c r="O5" s="250">
        <v>135967.79</v>
      </c>
      <c r="P5" s="250">
        <v>112798.69</v>
      </c>
      <c r="Q5" s="250">
        <v>138031.34</v>
      </c>
      <c r="R5" s="250">
        <v>94673.78</v>
      </c>
      <c r="S5" s="1014">
        <v>14051.63</v>
      </c>
      <c r="T5" s="1014">
        <v>10671.64</v>
      </c>
      <c r="U5" s="250">
        <v>14825.22</v>
      </c>
      <c r="V5" s="250">
        <v>7713.56</v>
      </c>
      <c r="W5" s="251">
        <v>208430.7</v>
      </c>
      <c r="X5" s="1014">
        <v>345.9</v>
      </c>
      <c r="Y5" s="1014">
        <v>50716</v>
      </c>
      <c r="Z5" s="250">
        <v>553335.6</v>
      </c>
      <c r="AA5" s="250">
        <v>282082.40000000002</v>
      </c>
      <c r="AB5" s="251">
        <v>208380.1</v>
      </c>
      <c r="AC5" s="1014">
        <v>1112.4000000000001</v>
      </c>
      <c r="AD5" s="1081">
        <v>942</v>
      </c>
      <c r="AE5" s="250">
        <v>35272.53</v>
      </c>
      <c r="AF5" s="250">
        <v>25145.8</v>
      </c>
      <c r="AG5" s="250">
        <v>81527.13</v>
      </c>
      <c r="AH5" s="250">
        <v>63026.99</v>
      </c>
      <c r="AI5" s="250">
        <v>64426.35</v>
      </c>
      <c r="AJ5" s="250">
        <v>52471.57</v>
      </c>
      <c r="AK5" s="250">
        <v>58289.8</v>
      </c>
      <c r="AL5" s="250">
        <v>22925.1</v>
      </c>
      <c r="AM5" s="1014">
        <v>16.3</v>
      </c>
      <c r="AN5" s="1014">
        <v>17.3</v>
      </c>
      <c r="AO5" s="250">
        <v>474447.4</v>
      </c>
      <c r="AP5" s="250">
        <v>219136</v>
      </c>
      <c r="AQ5" s="422">
        <v>64543</v>
      </c>
      <c r="AR5" s="250"/>
      <c r="AS5" s="250">
        <v>442823.7</v>
      </c>
      <c r="AT5" s="250">
        <v>194994.6</v>
      </c>
      <c r="AU5" s="250">
        <v>76767</v>
      </c>
      <c r="AV5" s="250">
        <v>4135.16</v>
      </c>
      <c r="AW5" s="250">
        <v>2749.12</v>
      </c>
      <c r="AX5" s="1014">
        <v>219.56</v>
      </c>
      <c r="AY5" s="1014">
        <v>132.9</v>
      </c>
      <c r="AZ5" s="1014">
        <v>786.75599999999997</v>
      </c>
      <c r="BA5" s="1014">
        <v>335.334</v>
      </c>
      <c r="BB5" s="1089">
        <v>1778.23</v>
      </c>
      <c r="BC5" s="1014">
        <v>3093.1</v>
      </c>
      <c r="BD5" s="1014">
        <v>490.6</v>
      </c>
      <c r="BE5" s="219">
        <v>6501.32</v>
      </c>
      <c r="BF5" s="219">
        <v>26209.403508771924</v>
      </c>
      <c r="BG5" s="1015">
        <v>12469.710258117209</v>
      </c>
      <c r="BH5" s="1015">
        <v>6197.77</v>
      </c>
      <c r="BI5" s="1014">
        <v>2426200</v>
      </c>
      <c r="BJ5" s="1014">
        <v>469</v>
      </c>
      <c r="BK5" s="1014">
        <v>18678.099999999999</v>
      </c>
      <c r="BL5" s="250">
        <v>2890196</v>
      </c>
      <c r="BM5" s="250">
        <v>73828</v>
      </c>
      <c r="BN5" s="250">
        <v>18309.16</v>
      </c>
      <c r="BO5" s="1014">
        <v>2621714</v>
      </c>
      <c r="BP5" s="1014">
        <v>124294</v>
      </c>
      <c r="BQ5" s="1014">
        <v>15457.8</v>
      </c>
      <c r="BR5" s="1014">
        <v>7786.39</v>
      </c>
      <c r="BS5" s="1014">
        <v>5309.89</v>
      </c>
      <c r="BT5" s="1014">
        <v>990666</v>
      </c>
      <c r="BU5" s="1014">
        <v>563435</v>
      </c>
      <c r="BV5" s="1014">
        <v>663298</v>
      </c>
      <c r="BW5" s="1014">
        <v>419850</v>
      </c>
      <c r="BX5" s="1324">
        <v>1</v>
      </c>
    </row>
    <row r="6" spans="1:76" ht="12.75" customHeight="1">
      <c r="A6" s="160">
        <v>44930</v>
      </c>
      <c r="B6" s="1014">
        <v>1057.912</v>
      </c>
      <c r="C6" s="1014">
        <v>584.95799999999997</v>
      </c>
      <c r="D6" s="1014">
        <v>6840</v>
      </c>
      <c r="E6" s="1311">
        <v>0</v>
      </c>
      <c r="F6" s="250">
        <v>15598.3</v>
      </c>
      <c r="G6" s="250">
        <v>4842.5</v>
      </c>
      <c r="H6" s="250">
        <v>563362.9</v>
      </c>
      <c r="I6" s="250">
        <v>259903.1</v>
      </c>
      <c r="J6" s="250">
        <v>202895.7</v>
      </c>
      <c r="K6" s="250">
        <v>14948.1</v>
      </c>
      <c r="L6" s="250">
        <v>7010.3</v>
      </c>
      <c r="M6" s="1014">
        <v>42982.9</v>
      </c>
      <c r="N6" s="1014">
        <v>34197.300000000003</v>
      </c>
      <c r="O6" s="250">
        <v>135984.1</v>
      </c>
      <c r="P6" s="250">
        <v>112812.25</v>
      </c>
      <c r="Q6" s="250">
        <v>138048.6</v>
      </c>
      <c r="R6" s="250">
        <v>94685.8</v>
      </c>
      <c r="S6" s="1014">
        <v>14051.63</v>
      </c>
      <c r="T6" s="1014">
        <v>10671.64</v>
      </c>
      <c r="U6" s="250">
        <v>15125.6</v>
      </c>
      <c r="V6" s="250">
        <v>7863.66</v>
      </c>
      <c r="W6" s="250">
        <v>208454.7</v>
      </c>
      <c r="X6" s="1014">
        <v>345.9</v>
      </c>
      <c r="Y6" s="1014">
        <v>50716</v>
      </c>
      <c r="Z6" s="250">
        <v>553483.5</v>
      </c>
      <c r="AA6" s="250">
        <v>282162.59999999998</v>
      </c>
      <c r="AB6" s="250">
        <v>208404.1</v>
      </c>
      <c r="AC6" s="1014">
        <v>1112.4000000000001</v>
      </c>
      <c r="AD6" s="1081">
        <v>942</v>
      </c>
      <c r="AE6" s="250">
        <v>35274.639999999999</v>
      </c>
      <c r="AF6" s="250">
        <v>25147.3</v>
      </c>
      <c r="AG6" s="250">
        <v>81536.039999999994</v>
      </c>
      <c r="AH6" s="250">
        <v>63034.02</v>
      </c>
      <c r="AI6" s="250">
        <v>64442.52</v>
      </c>
      <c r="AJ6" s="250">
        <v>52484.45</v>
      </c>
      <c r="AK6" s="250">
        <v>58303</v>
      </c>
      <c r="AL6" s="250">
        <v>22930.400000000001</v>
      </c>
      <c r="AM6" s="1014">
        <v>16.3</v>
      </c>
      <c r="AN6" s="1014">
        <v>17.3</v>
      </c>
      <c r="AO6" s="250">
        <v>474601.8</v>
      </c>
      <c r="AP6" s="250">
        <v>219203.6</v>
      </c>
      <c r="AQ6" s="422">
        <v>64547.6</v>
      </c>
      <c r="AR6" s="250"/>
      <c r="AS6" s="250">
        <v>442966.3</v>
      </c>
      <c r="AT6" s="250">
        <v>195056.8</v>
      </c>
      <c r="AU6" s="250">
        <v>76791</v>
      </c>
      <c r="AV6" s="250">
        <v>4138.72</v>
      </c>
      <c r="AW6" s="250">
        <v>2751.63</v>
      </c>
      <c r="AX6" s="1014">
        <v>219.56</v>
      </c>
      <c r="AY6" s="1014">
        <v>132.9</v>
      </c>
      <c r="AZ6" s="1014">
        <v>786.75599999999997</v>
      </c>
      <c r="BA6" s="1014">
        <v>335.334</v>
      </c>
      <c r="BB6" s="1089">
        <v>1778.23</v>
      </c>
      <c r="BC6" s="1014">
        <v>3094.9</v>
      </c>
      <c r="BD6" s="1014">
        <v>490.6</v>
      </c>
      <c r="BE6" s="219">
        <v>6859.6699999999992</v>
      </c>
      <c r="BF6" s="219">
        <v>16406.077192982455</v>
      </c>
      <c r="BG6" s="1015">
        <v>11155.524980049529</v>
      </c>
      <c r="BH6" s="1015">
        <v>6126.3400000000011</v>
      </c>
      <c r="BI6" s="1014">
        <v>2426200</v>
      </c>
      <c r="BJ6" s="1014">
        <v>469</v>
      </c>
      <c r="BK6" s="1014">
        <v>18678.099999999999</v>
      </c>
      <c r="BL6" s="250">
        <v>2893538</v>
      </c>
      <c r="BM6" s="250">
        <v>74058</v>
      </c>
      <c r="BN6" s="250">
        <v>18333.14</v>
      </c>
      <c r="BO6" s="1014">
        <v>2624636</v>
      </c>
      <c r="BP6" s="1014">
        <v>124314</v>
      </c>
      <c r="BQ6" s="1014">
        <v>15481.8</v>
      </c>
      <c r="BR6" s="1014">
        <v>7794.3</v>
      </c>
      <c r="BS6" s="1014">
        <v>5314.98</v>
      </c>
      <c r="BT6" s="1014">
        <v>991289</v>
      </c>
      <c r="BU6" s="1014">
        <v>563811</v>
      </c>
      <c r="BV6" s="1014">
        <v>664146</v>
      </c>
      <c r="BW6" s="1014">
        <v>420387</v>
      </c>
      <c r="BX6" s="1324">
        <v>0</v>
      </c>
    </row>
    <row r="7" spans="1:76">
      <c r="A7" s="160">
        <v>44931</v>
      </c>
      <c r="B7" s="250">
        <v>1058.3119999999999</v>
      </c>
      <c r="C7" s="250">
        <v>585.18499999999995</v>
      </c>
      <c r="D7" s="250">
        <v>6840.7</v>
      </c>
      <c r="E7" s="1312">
        <v>1</v>
      </c>
      <c r="F7" s="250">
        <v>15615</v>
      </c>
      <c r="G7" s="250">
        <v>4847.5</v>
      </c>
      <c r="H7" s="250">
        <v>563524.80000000005</v>
      </c>
      <c r="I7" s="250">
        <v>259985.3</v>
      </c>
      <c r="J7" s="250">
        <v>202919.7</v>
      </c>
      <c r="K7" s="250">
        <v>14948.1</v>
      </c>
      <c r="L7" s="250">
        <v>7010.3</v>
      </c>
      <c r="M7" s="1014">
        <v>43013</v>
      </c>
      <c r="N7" s="1014">
        <v>34221.1</v>
      </c>
      <c r="O7" s="250">
        <v>135998.9</v>
      </c>
      <c r="P7" s="250">
        <v>112825</v>
      </c>
      <c r="Q7" s="250">
        <v>138065.9</v>
      </c>
      <c r="R7" s="250">
        <v>94697.8</v>
      </c>
      <c r="S7" s="1014">
        <v>14051.63</v>
      </c>
      <c r="T7" s="1014">
        <v>10671.64</v>
      </c>
      <c r="U7" s="250">
        <v>15426.7</v>
      </c>
      <c r="V7" s="250">
        <v>8015.8</v>
      </c>
      <c r="W7" s="250">
        <v>208478.7</v>
      </c>
      <c r="X7" s="1014">
        <v>345.9</v>
      </c>
      <c r="Y7" s="1014">
        <v>50716</v>
      </c>
      <c r="Z7" s="250">
        <v>553630</v>
      </c>
      <c r="AA7" s="250">
        <v>282240.8</v>
      </c>
      <c r="AB7" s="250">
        <v>208428.1</v>
      </c>
      <c r="AC7" s="1014">
        <v>1112.4000000000001</v>
      </c>
      <c r="AD7" s="1081">
        <v>942</v>
      </c>
      <c r="AE7" s="250">
        <v>35276.699999999997</v>
      </c>
      <c r="AF7" s="250">
        <v>25148.799999999999</v>
      </c>
      <c r="AG7" s="250">
        <v>81546.7</v>
      </c>
      <c r="AH7" s="250">
        <v>63042.400000000001</v>
      </c>
      <c r="AI7" s="250">
        <v>64458.7</v>
      </c>
      <c r="AJ7" s="250">
        <v>52497.3</v>
      </c>
      <c r="AK7" s="250">
        <v>58307.4</v>
      </c>
      <c r="AL7" s="250">
        <v>22932.2</v>
      </c>
      <c r="AM7" s="1014">
        <v>16.3</v>
      </c>
      <c r="AN7" s="1014">
        <v>17.3</v>
      </c>
      <c r="AO7" s="250">
        <v>474759.9</v>
      </c>
      <c r="AP7" s="250">
        <v>219272.5</v>
      </c>
      <c r="AQ7" s="422">
        <v>64553</v>
      </c>
      <c r="AR7" s="250"/>
      <c r="AS7" s="250">
        <v>443116</v>
      </c>
      <c r="AT7" s="250">
        <v>195121.8</v>
      </c>
      <c r="AU7" s="250">
        <v>76815</v>
      </c>
      <c r="AV7" s="250">
        <v>4142.3</v>
      </c>
      <c r="AW7" s="250">
        <v>2754.2</v>
      </c>
      <c r="AX7" s="250">
        <v>219.56</v>
      </c>
      <c r="AY7" s="250">
        <v>132.9</v>
      </c>
      <c r="AZ7" s="1014">
        <v>786.75599999999997</v>
      </c>
      <c r="BA7" s="1014">
        <v>335.334</v>
      </c>
      <c r="BB7" s="1089">
        <v>1778.23</v>
      </c>
      <c r="BC7" s="1014">
        <v>3096.5</v>
      </c>
      <c r="BD7" s="1014">
        <v>490.6</v>
      </c>
      <c r="BE7" s="219">
        <v>7112.5199999999995</v>
      </c>
      <c r="BF7" s="219">
        <v>28167.83157894736</v>
      </c>
      <c r="BG7" s="1015">
        <v>10208.582955071874</v>
      </c>
      <c r="BH7" s="219">
        <v>5602.380000000001</v>
      </c>
      <c r="BI7" s="1014">
        <v>2426200</v>
      </c>
      <c r="BJ7" s="1014">
        <v>469</v>
      </c>
      <c r="BK7" s="1014">
        <v>18678.099999999999</v>
      </c>
      <c r="BL7" s="250">
        <v>2897669</v>
      </c>
      <c r="BM7" s="250">
        <v>74524</v>
      </c>
      <c r="BN7" s="250">
        <v>18357.099999999999</v>
      </c>
      <c r="BO7" s="1014">
        <v>2627839</v>
      </c>
      <c r="BP7" s="1014">
        <v>124330</v>
      </c>
      <c r="BQ7" s="1014">
        <v>15505.8</v>
      </c>
      <c r="BR7" s="1014">
        <v>7803</v>
      </c>
      <c r="BS7" s="1014">
        <v>5320.4</v>
      </c>
      <c r="BT7" s="1014">
        <v>991946</v>
      </c>
      <c r="BU7" s="1014">
        <v>564205</v>
      </c>
      <c r="BV7" s="1014">
        <v>665026</v>
      </c>
      <c r="BW7" s="1014">
        <v>420944</v>
      </c>
      <c r="BX7" s="1324">
        <v>0</v>
      </c>
    </row>
    <row r="8" spans="1:76">
      <c r="A8" s="160">
        <v>44932</v>
      </c>
      <c r="B8" s="250">
        <v>1058.3119999999999</v>
      </c>
      <c r="C8" s="250">
        <v>585.18499999999995</v>
      </c>
      <c r="D8" s="250">
        <v>6840.7</v>
      </c>
      <c r="E8" s="1312">
        <v>0</v>
      </c>
      <c r="F8" s="250">
        <v>15632.6</v>
      </c>
      <c r="G8" s="250">
        <v>4853.3</v>
      </c>
      <c r="H8" s="250">
        <v>563690.1</v>
      </c>
      <c r="I8" s="250">
        <v>260070.39999999999</v>
      </c>
      <c r="J8" s="250">
        <v>202943.7</v>
      </c>
      <c r="K8" s="250">
        <v>14948.1</v>
      </c>
      <c r="L8" s="250">
        <v>7010.3</v>
      </c>
      <c r="M8" s="250">
        <v>43035.3</v>
      </c>
      <c r="N8" s="250">
        <v>34237.4</v>
      </c>
      <c r="O8" s="250">
        <v>136013.9</v>
      </c>
      <c r="P8" s="250">
        <v>112837.5</v>
      </c>
      <c r="Q8" s="250">
        <v>138084.20000000001</v>
      </c>
      <c r="R8" s="250">
        <v>94710.399999999994</v>
      </c>
      <c r="S8" s="1014">
        <v>14051.63</v>
      </c>
      <c r="T8" s="1014">
        <v>10671.64</v>
      </c>
      <c r="U8" s="250">
        <v>15639.4</v>
      </c>
      <c r="V8" s="250">
        <v>8135.7</v>
      </c>
      <c r="W8" s="250">
        <v>208502.7</v>
      </c>
      <c r="X8" s="1014">
        <v>345.9</v>
      </c>
      <c r="Y8" s="1014">
        <v>50716</v>
      </c>
      <c r="Z8" s="250">
        <v>553738.80000000005</v>
      </c>
      <c r="AA8" s="250">
        <v>282295.90000000002</v>
      </c>
      <c r="AB8" s="250">
        <v>208452.1</v>
      </c>
      <c r="AC8" s="1014">
        <v>1112.4000000000001</v>
      </c>
      <c r="AD8" s="1081">
        <v>942</v>
      </c>
      <c r="AE8" s="250">
        <v>35278.9</v>
      </c>
      <c r="AF8" s="250">
        <v>25150.400000000001</v>
      </c>
      <c r="AG8" s="250">
        <v>81557.2</v>
      </c>
      <c r="AH8" s="250">
        <v>63050.8</v>
      </c>
      <c r="AI8" s="250">
        <v>64474.6</v>
      </c>
      <c r="AJ8" s="250">
        <v>52510.5</v>
      </c>
      <c r="AK8" s="250">
        <v>58318</v>
      </c>
      <c r="AL8" s="250">
        <v>22936.400000000001</v>
      </c>
      <c r="AM8" s="1014">
        <v>16.3</v>
      </c>
      <c r="AN8" s="1014">
        <v>17.3</v>
      </c>
      <c r="AO8" s="250">
        <v>474791</v>
      </c>
      <c r="AP8" s="250">
        <v>219285.8</v>
      </c>
      <c r="AQ8" s="422">
        <v>64558.7</v>
      </c>
      <c r="AR8" s="250"/>
      <c r="AS8" s="250">
        <v>443141.5</v>
      </c>
      <c r="AT8" s="250">
        <v>195132.9</v>
      </c>
      <c r="AU8" s="250">
        <v>76834.66</v>
      </c>
      <c r="AV8" s="250">
        <v>4145.8</v>
      </c>
      <c r="AW8" s="250">
        <v>2756.7</v>
      </c>
      <c r="AX8" s="250">
        <v>219.56</v>
      </c>
      <c r="AY8" s="250">
        <v>132.9</v>
      </c>
      <c r="AZ8" s="1014">
        <v>786.75599999999997</v>
      </c>
      <c r="BA8" s="1014">
        <v>335.334</v>
      </c>
      <c r="BB8" s="1089">
        <v>1778.23</v>
      </c>
      <c r="BC8" s="1014">
        <v>3097.2</v>
      </c>
      <c r="BD8" s="1014">
        <v>490.6</v>
      </c>
      <c r="BE8" s="219">
        <v>6356.6099999999979</v>
      </c>
      <c r="BF8" s="219">
        <v>22872.242105263158</v>
      </c>
      <c r="BG8" s="1015">
        <v>9248.1363284522613</v>
      </c>
      <c r="BH8" s="219">
        <v>6049.03</v>
      </c>
      <c r="BI8" s="1014">
        <v>2426200</v>
      </c>
      <c r="BJ8" s="1014">
        <v>469</v>
      </c>
      <c r="BK8" s="1014">
        <v>18678.099999999999</v>
      </c>
      <c r="BL8" s="250">
        <v>2901056</v>
      </c>
      <c r="BM8" s="250">
        <v>75046</v>
      </c>
      <c r="BN8" s="250">
        <v>18375.099999999999</v>
      </c>
      <c r="BO8" s="1014">
        <v>2630467</v>
      </c>
      <c r="BP8" s="1014">
        <v>124365</v>
      </c>
      <c r="BQ8" s="1014">
        <v>15523.8</v>
      </c>
      <c r="BR8" s="1014">
        <v>7809.8</v>
      </c>
      <c r="BS8" s="1014">
        <v>5324.6</v>
      </c>
      <c r="BT8" s="1014">
        <v>992599</v>
      </c>
      <c r="BU8" s="1014">
        <v>564598</v>
      </c>
      <c r="BV8" s="1014">
        <v>665809</v>
      </c>
      <c r="BW8" s="1014">
        <v>421476</v>
      </c>
      <c r="BX8" s="1324">
        <v>0</v>
      </c>
    </row>
    <row r="9" spans="1:76">
      <c r="A9" s="160">
        <v>44933</v>
      </c>
      <c r="B9" s="250">
        <v>1058.3119999999999</v>
      </c>
      <c r="C9" s="250">
        <v>585.18499999999995</v>
      </c>
      <c r="D9" s="250">
        <v>6840.7</v>
      </c>
      <c r="E9" s="1312">
        <v>0</v>
      </c>
      <c r="F9" s="1014">
        <v>15640.8</v>
      </c>
      <c r="G9" s="1014">
        <v>4855.8999999999996</v>
      </c>
      <c r="H9" s="1014">
        <v>563857</v>
      </c>
      <c r="I9" s="1014">
        <v>260154</v>
      </c>
      <c r="J9" s="1014">
        <v>202967.7</v>
      </c>
      <c r="K9" s="250">
        <v>14948.1</v>
      </c>
      <c r="L9" s="250">
        <v>7010.3</v>
      </c>
      <c r="M9" s="1014">
        <v>43049.8</v>
      </c>
      <c r="N9" s="1014">
        <v>34248.1</v>
      </c>
      <c r="O9" s="1014">
        <v>136028.79999999999</v>
      </c>
      <c r="P9" s="1014">
        <v>112850.3</v>
      </c>
      <c r="Q9" s="1014">
        <v>138101.5</v>
      </c>
      <c r="R9" s="1014">
        <v>94722.6</v>
      </c>
      <c r="S9" s="1014">
        <v>14051.63</v>
      </c>
      <c r="T9" s="1014">
        <v>10671.64</v>
      </c>
      <c r="U9" s="1014">
        <v>15885.6</v>
      </c>
      <c r="V9" s="1014">
        <v>8265.9</v>
      </c>
      <c r="W9" s="1014">
        <v>208526.7</v>
      </c>
      <c r="X9" s="1014">
        <v>345.9</v>
      </c>
      <c r="Y9" s="1014">
        <v>50716</v>
      </c>
      <c r="Z9" s="1014">
        <v>553863.69999999995</v>
      </c>
      <c r="AA9" s="1014">
        <v>282361.90000000002</v>
      </c>
      <c r="AB9" s="1014">
        <v>208476.1</v>
      </c>
      <c r="AC9" s="1014">
        <v>1112.4000000000001</v>
      </c>
      <c r="AD9" s="1081">
        <v>942</v>
      </c>
      <c r="AE9" s="1014">
        <v>35281</v>
      </c>
      <c r="AF9" s="1014">
        <v>25151.9</v>
      </c>
      <c r="AG9" s="1014">
        <v>81568.2</v>
      </c>
      <c r="AH9" s="1014">
        <v>63059.4</v>
      </c>
      <c r="AI9" s="1014">
        <v>64489.9</v>
      </c>
      <c r="AJ9" s="1014">
        <v>52523.3</v>
      </c>
      <c r="AK9" s="1014">
        <v>58323.5</v>
      </c>
      <c r="AL9" s="1014">
        <v>22938.6</v>
      </c>
      <c r="AM9" s="1014">
        <v>16.3</v>
      </c>
      <c r="AN9" s="1014">
        <v>17.3</v>
      </c>
      <c r="AO9" s="1014">
        <v>474894.6</v>
      </c>
      <c r="AP9" s="1014">
        <v>219334.7</v>
      </c>
      <c r="AQ9" s="1014">
        <v>64563.9</v>
      </c>
      <c r="AR9" s="1014"/>
      <c r="AS9" s="1014">
        <v>443236.7</v>
      </c>
      <c r="AT9" s="1014">
        <v>195174.5</v>
      </c>
      <c r="AU9" s="1014">
        <v>76850.06</v>
      </c>
      <c r="AV9" s="1014">
        <v>4148.8</v>
      </c>
      <c r="AW9" s="1014">
        <v>2758.7</v>
      </c>
      <c r="AX9" s="1014">
        <v>219.58</v>
      </c>
      <c r="AY9" s="250">
        <v>132.9</v>
      </c>
      <c r="AZ9" s="1014">
        <v>787.774</v>
      </c>
      <c r="BA9" s="1014">
        <v>335.80700000000002</v>
      </c>
      <c r="BB9" s="1089">
        <v>1784.5</v>
      </c>
      <c r="BC9" s="1014">
        <v>3098.2</v>
      </c>
      <c r="BD9" s="1014">
        <v>490.6</v>
      </c>
      <c r="BE9" s="1014">
        <v>6779.78</v>
      </c>
      <c r="BF9" s="1014">
        <v>14289.931578947368</v>
      </c>
      <c r="BG9" s="1014">
        <v>4712.9045301954875</v>
      </c>
      <c r="BH9" s="1014">
        <v>5304.3499999999995</v>
      </c>
      <c r="BI9" s="1014">
        <v>2426200</v>
      </c>
      <c r="BJ9" s="1014">
        <v>469</v>
      </c>
      <c r="BK9" s="1014">
        <v>18678.099999999999</v>
      </c>
      <c r="BL9" s="1014">
        <v>2903394</v>
      </c>
      <c r="BM9" s="1014">
        <v>75346</v>
      </c>
      <c r="BN9" s="1014">
        <v>18387.7</v>
      </c>
      <c r="BO9" s="1014">
        <v>2631915</v>
      </c>
      <c r="BP9" s="1014">
        <v>124367</v>
      </c>
      <c r="BQ9" s="1014">
        <v>15536.4</v>
      </c>
      <c r="BR9" s="1014">
        <v>7814.1</v>
      </c>
      <c r="BS9" s="1014">
        <v>5327.4</v>
      </c>
      <c r="BT9" s="1014">
        <v>993265</v>
      </c>
      <c r="BU9" s="1014">
        <v>564997</v>
      </c>
      <c r="BV9" s="1014">
        <v>666530</v>
      </c>
      <c r="BW9" s="1014">
        <v>421952</v>
      </c>
      <c r="BX9" s="1324">
        <v>1</v>
      </c>
    </row>
    <row r="10" spans="1:76">
      <c r="A10" s="160">
        <v>44934</v>
      </c>
      <c r="B10" s="250">
        <v>1058.3119999999999</v>
      </c>
      <c r="C10" s="250">
        <v>585.18499999999995</v>
      </c>
      <c r="D10" s="250">
        <v>6840.7</v>
      </c>
      <c r="E10" s="1312">
        <v>0</v>
      </c>
      <c r="F10" s="250">
        <v>15656.1</v>
      </c>
      <c r="G10" s="250">
        <v>4860.6000000000004</v>
      </c>
      <c r="H10" s="250">
        <v>564022.9</v>
      </c>
      <c r="I10" s="250">
        <v>260238.2</v>
      </c>
      <c r="J10" s="250">
        <v>202991.7</v>
      </c>
      <c r="K10" s="250">
        <v>14948.1</v>
      </c>
      <c r="L10" s="250">
        <v>7010.3</v>
      </c>
      <c r="M10" s="250">
        <v>43065.1</v>
      </c>
      <c r="N10" s="250">
        <v>34259.199999999997</v>
      </c>
      <c r="O10" s="250">
        <v>136044.29999999999</v>
      </c>
      <c r="P10" s="250">
        <v>112862.9</v>
      </c>
      <c r="Q10" s="250">
        <v>138118.39999999999</v>
      </c>
      <c r="R10" s="250">
        <v>94734.5</v>
      </c>
      <c r="S10" s="1014">
        <v>14051.63</v>
      </c>
      <c r="T10" s="1014">
        <v>10671.64</v>
      </c>
      <c r="U10" s="250">
        <v>16177</v>
      </c>
      <c r="V10" s="250">
        <v>8418.5</v>
      </c>
      <c r="W10" s="250">
        <v>208550.7</v>
      </c>
      <c r="X10" s="1014">
        <v>345.9</v>
      </c>
      <c r="Y10" s="1014">
        <v>50716</v>
      </c>
      <c r="Z10" s="250">
        <v>554013.1</v>
      </c>
      <c r="AA10" s="250">
        <v>282433.2</v>
      </c>
      <c r="AB10" s="250">
        <v>208500.1</v>
      </c>
      <c r="AC10" s="1014">
        <v>1112.4000000000001</v>
      </c>
      <c r="AD10" s="1081">
        <v>942</v>
      </c>
      <c r="AE10" s="250">
        <v>35283</v>
      </c>
      <c r="AF10" s="250">
        <v>25153.3</v>
      </c>
      <c r="AG10" s="250">
        <v>81576.100000000006</v>
      </c>
      <c r="AH10" s="250">
        <v>63065.7</v>
      </c>
      <c r="AI10" s="250">
        <v>64505.8</v>
      </c>
      <c r="AJ10" s="250">
        <v>52536.3</v>
      </c>
      <c r="AK10" s="250">
        <v>58337.8</v>
      </c>
      <c r="AL10" s="250">
        <v>22944.3</v>
      </c>
      <c r="AM10" s="1014">
        <v>16.3</v>
      </c>
      <c r="AN10" s="1014">
        <v>17.3</v>
      </c>
      <c r="AO10" s="250">
        <v>475053.2</v>
      </c>
      <c r="AP10" s="250">
        <v>219408.5</v>
      </c>
      <c r="AQ10" s="422">
        <v>64568.4</v>
      </c>
      <c r="AR10" s="250"/>
      <c r="AS10" s="250">
        <v>443382.8</v>
      </c>
      <c r="AT10" s="250">
        <v>195237.9</v>
      </c>
      <c r="AU10" s="250">
        <v>76874.06</v>
      </c>
      <c r="AV10" s="250">
        <v>4151.7</v>
      </c>
      <c r="AW10" s="250">
        <v>2760.8</v>
      </c>
      <c r="AX10" s="1014">
        <v>219.58</v>
      </c>
      <c r="AY10" s="250">
        <v>132.9</v>
      </c>
      <c r="AZ10" s="1014">
        <v>787.774</v>
      </c>
      <c r="BA10" s="1014">
        <v>335.80700000000002</v>
      </c>
      <c r="BB10" s="1089">
        <v>1784.5</v>
      </c>
      <c r="BC10" s="1014">
        <v>3100.2</v>
      </c>
      <c r="BD10" s="1014">
        <v>490.6</v>
      </c>
      <c r="BE10" s="219">
        <v>6812.62</v>
      </c>
      <c r="BF10" s="219">
        <v>31890.489473684218</v>
      </c>
      <c r="BG10" s="1015">
        <v>8957.2669552346397</v>
      </c>
      <c r="BH10" s="219">
        <v>6858.9599999999982</v>
      </c>
      <c r="BI10" s="1014">
        <v>2426200</v>
      </c>
      <c r="BJ10" s="1014">
        <v>469</v>
      </c>
      <c r="BK10" s="1014">
        <v>18678.099999999999</v>
      </c>
      <c r="BL10" s="250">
        <v>2907940</v>
      </c>
      <c r="BM10" s="250">
        <v>76262</v>
      </c>
      <c r="BN10" s="250">
        <v>18411.599999999999</v>
      </c>
      <c r="BO10" s="1014">
        <v>2634882</v>
      </c>
      <c r="BP10" s="1014">
        <v>124369</v>
      </c>
      <c r="BQ10" s="1014">
        <v>15560.4</v>
      </c>
      <c r="BR10" s="1014">
        <v>7821</v>
      </c>
      <c r="BS10" s="1014">
        <v>5331.9</v>
      </c>
      <c r="BT10" s="1014">
        <v>993871</v>
      </c>
      <c r="BU10" s="1014">
        <v>565359</v>
      </c>
      <c r="BV10" s="1014">
        <v>667391</v>
      </c>
      <c r="BW10" s="1014">
        <v>422500</v>
      </c>
      <c r="BX10" s="1324">
        <v>0</v>
      </c>
    </row>
    <row r="11" spans="1:76">
      <c r="A11" s="160">
        <v>44935</v>
      </c>
      <c r="B11" s="250">
        <v>1058.4939999999999</v>
      </c>
      <c r="C11" s="250">
        <v>585.226</v>
      </c>
      <c r="D11" s="250">
        <v>6841.2</v>
      </c>
      <c r="E11" s="1312">
        <v>1</v>
      </c>
      <c r="F11" s="250">
        <v>15672.6</v>
      </c>
      <c r="G11" s="250">
        <v>4866</v>
      </c>
      <c r="H11" s="250">
        <v>564182.5</v>
      </c>
      <c r="I11" s="250">
        <v>260319.7</v>
      </c>
      <c r="J11" s="250">
        <v>203015.7</v>
      </c>
      <c r="K11" s="250">
        <v>14948.1</v>
      </c>
      <c r="L11" s="250">
        <v>7010.3</v>
      </c>
      <c r="M11" s="250">
        <v>43081.2</v>
      </c>
      <c r="N11" s="250">
        <v>34270.9</v>
      </c>
      <c r="O11" s="250">
        <v>136060.1</v>
      </c>
      <c r="P11" s="250">
        <v>112875.7</v>
      </c>
      <c r="Q11" s="250">
        <v>138135.6</v>
      </c>
      <c r="R11" s="250">
        <v>94746.7</v>
      </c>
      <c r="S11" s="1014">
        <v>14051.63</v>
      </c>
      <c r="T11" s="1014">
        <v>10671.64</v>
      </c>
      <c r="U11" s="250">
        <v>16464.099999999999</v>
      </c>
      <c r="V11" s="250">
        <v>8563</v>
      </c>
      <c r="W11" s="250">
        <v>208574.7</v>
      </c>
      <c r="X11" s="1014">
        <v>345.9</v>
      </c>
      <c r="Y11" s="1014">
        <v>50716</v>
      </c>
      <c r="Z11" s="250">
        <v>554161.4</v>
      </c>
      <c r="AA11" s="250">
        <v>282509.5</v>
      </c>
      <c r="AB11" s="250">
        <v>208524.1</v>
      </c>
      <c r="AC11" s="1014">
        <v>1112.4000000000001</v>
      </c>
      <c r="AD11" s="1081">
        <v>942</v>
      </c>
      <c r="AE11" s="250">
        <v>35285.1</v>
      </c>
      <c r="AF11" s="250">
        <v>25154.799999999999</v>
      </c>
      <c r="AG11" s="250">
        <v>81583.899999999994</v>
      </c>
      <c r="AH11" s="250">
        <v>63071.9</v>
      </c>
      <c r="AI11" s="250">
        <v>64521.7</v>
      </c>
      <c r="AJ11" s="250">
        <v>52549.4</v>
      </c>
      <c r="AK11" s="250">
        <v>58353.2</v>
      </c>
      <c r="AL11" s="250">
        <v>22950.2</v>
      </c>
      <c r="AM11" s="1014">
        <v>16.3</v>
      </c>
      <c r="AN11" s="1014">
        <v>17.3</v>
      </c>
      <c r="AO11" s="250">
        <v>475204.7</v>
      </c>
      <c r="AP11" s="250">
        <v>219476.9</v>
      </c>
      <c r="AQ11" s="422">
        <v>64573.3</v>
      </c>
      <c r="AR11" s="250"/>
      <c r="AS11" s="250">
        <v>443522.4</v>
      </c>
      <c r="AT11" s="250">
        <v>195298.9</v>
      </c>
      <c r="AU11" s="250">
        <v>76898.06</v>
      </c>
      <c r="AV11" s="250">
        <v>4154.8</v>
      </c>
      <c r="AW11" s="250">
        <v>2763</v>
      </c>
      <c r="AX11" s="1014">
        <v>219.58</v>
      </c>
      <c r="AY11" s="250">
        <v>132.9</v>
      </c>
      <c r="AZ11" s="1014">
        <v>788.19799999999998</v>
      </c>
      <c r="BA11" s="1014">
        <v>335.971</v>
      </c>
      <c r="BB11" s="1089">
        <v>1785.07</v>
      </c>
      <c r="BC11" s="1014">
        <v>3102.1</v>
      </c>
      <c r="BD11" s="1014">
        <v>490.6</v>
      </c>
      <c r="BE11" s="219">
        <v>6692.2899999999991</v>
      </c>
      <c r="BF11" s="219">
        <v>29326.224561403502</v>
      </c>
      <c r="BG11" s="1015">
        <v>10339.594618956004</v>
      </c>
      <c r="BH11" s="219">
        <v>6231.55</v>
      </c>
      <c r="BI11" s="1014">
        <v>2426200</v>
      </c>
      <c r="BJ11" s="1014">
        <v>469</v>
      </c>
      <c r="BK11" s="1014">
        <v>18678.099999999999</v>
      </c>
      <c r="BL11" s="250">
        <v>2912862</v>
      </c>
      <c r="BM11" s="250">
        <v>77122</v>
      </c>
      <c r="BN11" s="250">
        <v>18435.599999999999</v>
      </c>
      <c r="BO11" s="1014">
        <v>2638355</v>
      </c>
      <c r="BP11" s="1014">
        <v>124472</v>
      </c>
      <c r="BQ11" s="1014">
        <v>15584.4</v>
      </c>
      <c r="BR11" s="1014">
        <v>7828</v>
      </c>
      <c r="BS11" s="1014">
        <v>5336.5</v>
      </c>
      <c r="BT11" s="1014">
        <v>994534</v>
      </c>
      <c r="BU11" s="1014">
        <v>565752</v>
      </c>
      <c r="BV11" s="1014">
        <v>668259</v>
      </c>
      <c r="BW11" s="1014">
        <v>423052</v>
      </c>
      <c r="BX11" s="1324">
        <v>1</v>
      </c>
    </row>
    <row r="12" spans="1:76">
      <c r="A12" s="160">
        <v>44936</v>
      </c>
      <c r="B12" s="250">
        <v>1058.4939999999999</v>
      </c>
      <c r="C12" s="250">
        <v>585.226</v>
      </c>
      <c r="D12" s="250">
        <v>6841.2</v>
      </c>
      <c r="E12" s="1312">
        <v>0</v>
      </c>
      <c r="F12" s="250">
        <v>15688.9</v>
      </c>
      <c r="G12" s="250">
        <v>4870.8999999999996</v>
      </c>
      <c r="H12" s="250">
        <v>564343.80000000005</v>
      </c>
      <c r="I12" s="250">
        <v>260402.2</v>
      </c>
      <c r="J12" s="250">
        <v>203039.7</v>
      </c>
      <c r="K12" s="250">
        <v>14948.1</v>
      </c>
      <c r="L12" s="250">
        <v>7010.3</v>
      </c>
      <c r="M12" s="250">
        <v>43104.800000000003</v>
      </c>
      <c r="N12" s="250">
        <v>34288.9</v>
      </c>
      <c r="O12" s="250">
        <v>136074.5</v>
      </c>
      <c r="P12" s="250">
        <v>112887.6</v>
      </c>
      <c r="Q12" s="250">
        <v>138153.29999999999</v>
      </c>
      <c r="R12" s="250">
        <v>94758.9</v>
      </c>
      <c r="S12" s="1014">
        <v>14051.63</v>
      </c>
      <c r="T12" s="1014">
        <v>10671.64</v>
      </c>
      <c r="U12" s="250">
        <v>16747.400000000001</v>
      </c>
      <c r="V12" s="250">
        <v>8704.1</v>
      </c>
      <c r="W12" s="250">
        <v>208598.7</v>
      </c>
      <c r="X12" s="1014">
        <v>345.9</v>
      </c>
      <c r="Y12" s="1014">
        <v>50716</v>
      </c>
      <c r="Z12" s="250">
        <v>554308</v>
      </c>
      <c r="AA12" s="250">
        <v>282586.59999999998</v>
      </c>
      <c r="AB12" s="250">
        <v>208548.1</v>
      </c>
      <c r="AC12" s="1014">
        <v>1112.4000000000001</v>
      </c>
      <c r="AD12" s="1081">
        <v>942</v>
      </c>
      <c r="AE12" s="250">
        <v>35287.199999999997</v>
      </c>
      <c r="AF12" s="250">
        <v>25156.3</v>
      </c>
      <c r="AG12" s="250">
        <v>81591.3</v>
      </c>
      <c r="AH12" s="250">
        <v>63077.8</v>
      </c>
      <c r="AI12" s="250">
        <v>64537.4</v>
      </c>
      <c r="AJ12" s="250">
        <v>52562.3</v>
      </c>
      <c r="AK12" s="250">
        <v>58362.1</v>
      </c>
      <c r="AL12" s="250">
        <v>22953.8</v>
      </c>
      <c r="AM12" s="1014">
        <v>16.3</v>
      </c>
      <c r="AN12" s="1014">
        <v>17.3</v>
      </c>
      <c r="AO12" s="250">
        <v>475354.6</v>
      </c>
      <c r="AP12" s="250">
        <v>219542.5</v>
      </c>
      <c r="AQ12" s="250">
        <v>64578.7</v>
      </c>
      <c r="AR12" s="250"/>
      <c r="AS12" s="250">
        <v>443660.6</v>
      </c>
      <c r="AT12" s="250">
        <v>195359.3</v>
      </c>
      <c r="AU12" s="250">
        <v>76922.06</v>
      </c>
      <c r="AV12" s="250">
        <v>4158</v>
      </c>
      <c r="AW12" s="250">
        <v>2765.2</v>
      </c>
      <c r="AX12" s="1014">
        <v>219.58</v>
      </c>
      <c r="AY12" s="250">
        <v>132.9</v>
      </c>
      <c r="AZ12" s="1014">
        <v>788.19799999999998</v>
      </c>
      <c r="BA12" s="1014">
        <v>335.971</v>
      </c>
      <c r="BB12" s="1089">
        <v>1785.07</v>
      </c>
      <c r="BC12" s="250">
        <v>3103.6</v>
      </c>
      <c r="BD12" s="250">
        <v>490.6</v>
      </c>
      <c r="BE12" s="250">
        <v>6040.9599999999991</v>
      </c>
      <c r="BF12" s="250">
        <v>29963.212280701759</v>
      </c>
      <c r="BG12" s="250">
        <v>11117.787337389285</v>
      </c>
      <c r="BH12" s="250">
        <v>5523.52</v>
      </c>
      <c r="BI12" s="1014">
        <v>2426200</v>
      </c>
      <c r="BJ12" s="1014">
        <v>469</v>
      </c>
      <c r="BK12" s="1014">
        <v>18678.099999999999</v>
      </c>
      <c r="BL12" s="250">
        <v>2917701</v>
      </c>
      <c r="BM12" s="250">
        <v>78040</v>
      </c>
      <c r="BN12" s="250">
        <v>18459.599999999999</v>
      </c>
      <c r="BO12" s="250">
        <v>2641654</v>
      </c>
      <c r="BP12" s="250">
        <v>124495</v>
      </c>
      <c r="BQ12" s="250">
        <v>15608.4</v>
      </c>
      <c r="BR12" s="250">
        <v>7835.1</v>
      </c>
      <c r="BS12" s="250">
        <v>5341</v>
      </c>
      <c r="BT12" s="250">
        <v>995195</v>
      </c>
      <c r="BU12" s="250">
        <v>566146</v>
      </c>
      <c r="BV12" s="250">
        <v>669148</v>
      </c>
      <c r="BW12" s="250">
        <v>423617</v>
      </c>
      <c r="BX12" s="1324">
        <v>0</v>
      </c>
    </row>
    <row r="13" spans="1:76">
      <c r="A13" s="160">
        <v>44937</v>
      </c>
      <c r="B13" s="250">
        <v>1058.4939999999999</v>
      </c>
      <c r="C13" s="250">
        <v>585.226</v>
      </c>
      <c r="D13" s="250">
        <v>6841.2</v>
      </c>
      <c r="E13" s="1312">
        <v>0</v>
      </c>
      <c r="F13" s="250">
        <v>15705.5</v>
      </c>
      <c r="G13" s="250">
        <v>4876</v>
      </c>
      <c r="H13" s="250">
        <v>564506.4</v>
      </c>
      <c r="I13" s="250">
        <v>260485.4</v>
      </c>
      <c r="J13" s="250">
        <v>203063.7</v>
      </c>
      <c r="K13" s="250">
        <v>14948.1</v>
      </c>
      <c r="L13" s="250">
        <v>7010.3</v>
      </c>
      <c r="M13" s="250">
        <v>43132.800000000003</v>
      </c>
      <c r="N13" s="250">
        <v>34310.300000000003</v>
      </c>
      <c r="O13" s="250">
        <v>136088.4</v>
      </c>
      <c r="P13" s="250">
        <v>112899.5</v>
      </c>
      <c r="Q13" s="251">
        <v>138171.29999999999</v>
      </c>
      <c r="R13" s="251">
        <v>94771.3</v>
      </c>
      <c r="S13" s="1014">
        <v>14051.63</v>
      </c>
      <c r="T13" s="1014">
        <v>10671.64</v>
      </c>
      <c r="U13" s="250">
        <v>17031.099999999999</v>
      </c>
      <c r="V13" s="250">
        <v>8852.2000000000007</v>
      </c>
      <c r="W13" s="250">
        <v>208622.7</v>
      </c>
      <c r="X13" s="1014">
        <v>345.9</v>
      </c>
      <c r="Y13" s="1014">
        <v>50716</v>
      </c>
      <c r="Z13" s="250">
        <v>554456.5</v>
      </c>
      <c r="AA13" s="250">
        <v>282661.2</v>
      </c>
      <c r="AB13" s="250">
        <v>208572.1</v>
      </c>
      <c r="AC13" s="1014">
        <v>1112.4000000000001</v>
      </c>
      <c r="AD13" s="1081">
        <v>942</v>
      </c>
      <c r="AE13" s="250">
        <v>35289.300000000003</v>
      </c>
      <c r="AF13" s="250">
        <v>25157.9</v>
      </c>
      <c r="AG13" s="250">
        <v>81599.199999999997</v>
      </c>
      <c r="AH13" s="250">
        <v>63084.1</v>
      </c>
      <c r="AI13" s="250">
        <v>64553.2</v>
      </c>
      <c r="AJ13" s="250">
        <v>52575</v>
      </c>
      <c r="AK13" s="250">
        <v>58367.5</v>
      </c>
      <c r="AL13" s="250">
        <v>22955.8</v>
      </c>
      <c r="AM13" s="1014">
        <v>16.3</v>
      </c>
      <c r="AN13" s="1014">
        <v>17.3</v>
      </c>
      <c r="AO13" s="250">
        <v>475505.9</v>
      </c>
      <c r="AP13" s="250">
        <v>219608.6</v>
      </c>
      <c r="AQ13" s="422">
        <v>64584.2</v>
      </c>
      <c r="AR13" s="1014"/>
      <c r="AS13" s="250">
        <v>443799.4</v>
      </c>
      <c r="AT13" s="250">
        <v>195420</v>
      </c>
      <c r="AU13" s="250">
        <v>76946.06</v>
      </c>
      <c r="AV13" s="250">
        <v>4161</v>
      </c>
      <c r="AW13" s="250">
        <v>2767.3</v>
      </c>
      <c r="AX13" s="1014">
        <v>219.58</v>
      </c>
      <c r="AY13" s="250">
        <v>132.9</v>
      </c>
      <c r="AZ13" s="1014">
        <v>788.19799999999998</v>
      </c>
      <c r="BA13" s="1014">
        <v>335.971</v>
      </c>
      <c r="BB13" s="1089">
        <v>1785.07</v>
      </c>
      <c r="BC13" s="1014">
        <v>3104.4</v>
      </c>
      <c r="BD13" s="1014">
        <v>490.6</v>
      </c>
      <c r="BE13" s="219">
        <v>7449.99</v>
      </c>
      <c r="BF13" s="219">
        <v>31007.564912280701</v>
      </c>
      <c r="BG13" s="1015">
        <v>10535.6918165068</v>
      </c>
      <c r="BH13" s="219">
        <v>6289.67</v>
      </c>
      <c r="BI13" s="1014">
        <v>2426200</v>
      </c>
      <c r="BJ13" s="1014">
        <v>469</v>
      </c>
      <c r="BK13" s="1014">
        <v>18678.099999999999</v>
      </c>
      <c r="BL13" s="250">
        <v>2922602</v>
      </c>
      <c r="BM13" s="250">
        <v>78754</v>
      </c>
      <c r="BN13" s="250">
        <v>18483.599999999999</v>
      </c>
      <c r="BO13" s="1014">
        <v>2645198</v>
      </c>
      <c r="BP13" s="1014">
        <v>124535</v>
      </c>
      <c r="BQ13" s="1014">
        <v>15632.4</v>
      </c>
      <c r="BR13" s="1014">
        <v>7842.1</v>
      </c>
      <c r="BS13" s="1014">
        <v>5345.6</v>
      </c>
      <c r="BT13" s="1014">
        <v>995869</v>
      </c>
      <c r="BU13" s="1014">
        <v>566550</v>
      </c>
      <c r="BV13" s="1014">
        <v>670010</v>
      </c>
      <c r="BW13" s="1014">
        <v>424166</v>
      </c>
      <c r="BX13" s="1324">
        <v>0</v>
      </c>
    </row>
    <row r="14" spans="1:76">
      <c r="A14" s="160">
        <v>44938</v>
      </c>
      <c r="B14" s="250">
        <v>1058.4939999999999</v>
      </c>
      <c r="C14" s="250">
        <v>585.226</v>
      </c>
      <c r="D14" s="250">
        <v>6841.2</v>
      </c>
      <c r="E14" s="1312">
        <v>0</v>
      </c>
      <c r="F14" s="250">
        <v>15722.6</v>
      </c>
      <c r="G14" s="250">
        <v>4881.2</v>
      </c>
      <c r="H14" s="250">
        <v>564676</v>
      </c>
      <c r="I14" s="250">
        <v>260570</v>
      </c>
      <c r="J14" s="250">
        <v>203087.7</v>
      </c>
      <c r="K14" s="250">
        <v>14948.1</v>
      </c>
      <c r="L14" s="250">
        <v>7010.3</v>
      </c>
      <c r="M14" s="250">
        <v>43159</v>
      </c>
      <c r="N14" s="250">
        <v>34331</v>
      </c>
      <c r="O14" s="250">
        <v>136103.5</v>
      </c>
      <c r="P14" s="250">
        <v>112912.3</v>
      </c>
      <c r="Q14" s="251">
        <v>138190</v>
      </c>
      <c r="R14" s="251">
        <v>94784.3</v>
      </c>
      <c r="S14" s="1014">
        <v>14051.63</v>
      </c>
      <c r="T14" s="1014">
        <v>10671.64</v>
      </c>
      <c r="U14" s="250">
        <v>17332</v>
      </c>
      <c r="V14" s="250">
        <v>9006</v>
      </c>
      <c r="W14" s="250">
        <v>208646.7</v>
      </c>
      <c r="X14" s="1014">
        <v>345.9</v>
      </c>
      <c r="Y14" s="1014">
        <v>50716</v>
      </c>
      <c r="Z14" s="250">
        <v>554608</v>
      </c>
      <c r="AA14" s="250">
        <v>282737</v>
      </c>
      <c r="AB14" s="1014">
        <v>208596.1</v>
      </c>
      <c r="AC14" s="1014">
        <v>1112.4000000000001</v>
      </c>
      <c r="AD14" s="1081">
        <v>942</v>
      </c>
      <c r="AE14" s="250">
        <v>35291.5</v>
      </c>
      <c r="AF14" s="250">
        <v>25159.4</v>
      </c>
      <c r="AG14" s="250">
        <v>81607</v>
      </c>
      <c r="AH14" s="250">
        <v>63090.3</v>
      </c>
      <c r="AI14" s="250">
        <v>64569.7</v>
      </c>
      <c r="AJ14" s="250">
        <v>52588.1</v>
      </c>
      <c r="AK14" s="250">
        <v>58376.7</v>
      </c>
      <c r="AL14" s="250">
        <v>22959.4</v>
      </c>
      <c r="AM14" s="1014">
        <v>16.3</v>
      </c>
      <c r="AN14" s="1014">
        <v>17.3</v>
      </c>
      <c r="AO14" s="250">
        <v>475657</v>
      </c>
      <c r="AP14" s="250">
        <v>219675</v>
      </c>
      <c r="AQ14" s="422">
        <v>64590</v>
      </c>
      <c r="AR14" s="1014"/>
      <c r="AS14" s="250">
        <v>443937</v>
      </c>
      <c r="AT14" s="250">
        <v>195480</v>
      </c>
      <c r="AU14" s="250">
        <v>76970.100000000006</v>
      </c>
      <c r="AV14" s="250">
        <v>4163</v>
      </c>
      <c r="AW14" s="250">
        <v>2768.8</v>
      </c>
      <c r="AX14" s="1014">
        <v>219.62</v>
      </c>
      <c r="AY14" s="250">
        <v>132.94</v>
      </c>
      <c r="AZ14" s="1014">
        <v>788.19799999999998</v>
      </c>
      <c r="BA14" s="1014">
        <v>335.971</v>
      </c>
      <c r="BB14" s="1089">
        <v>1785.07</v>
      </c>
      <c r="BC14" s="1014">
        <v>3106.4</v>
      </c>
      <c r="BD14" s="1014">
        <v>490.6</v>
      </c>
      <c r="BE14" s="219">
        <v>6311.64</v>
      </c>
      <c r="BF14" s="219">
        <v>29192.987719298198</v>
      </c>
      <c r="BG14" s="1015">
        <v>10103.853787092899</v>
      </c>
      <c r="BH14" s="219">
        <v>6865.93</v>
      </c>
      <c r="BI14" s="1014">
        <v>2426200</v>
      </c>
      <c r="BJ14" s="1014">
        <v>469</v>
      </c>
      <c r="BK14" s="1014">
        <v>18678.099999999999</v>
      </c>
      <c r="BL14" s="250">
        <v>2927676</v>
      </c>
      <c r="BM14" s="250">
        <v>79462</v>
      </c>
      <c r="BN14" s="250">
        <v>18507.599999999999</v>
      </c>
      <c r="BO14" s="1014">
        <v>2648854</v>
      </c>
      <c r="BP14" s="1014">
        <v>124576</v>
      </c>
      <c r="BQ14" s="1014">
        <v>15656.4</v>
      </c>
      <c r="BR14" s="1014">
        <v>7849.2</v>
      </c>
      <c r="BS14" s="1014">
        <v>5350.2</v>
      </c>
      <c r="BT14" s="1014">
        <v>996568</v>
      </c>
      <c r="BU14" s="1014">
        <v>566968</v>
      </c>
      <c r="BV14" s="1014">
        <v>670872</v>
      </c>
      <c r="BW14" s="1014">
        <v>424714</v>
      </c>
      <c r="BX14" s="1324">
        <v>0</v>
      </c>
    </row>
    <row r="15" spans="1:76">
      <c r="A15" s="160">
        <v>44939</v>
      </c>
      <c r="B15" s="250">
        <v>1058.4939999999999</v>
      </c>
      <c r="C15" s="250">
        <v>585.226</v>
      </c>
      <c r="D15" s="250">
        <v>6841.2</v>
      </c>
      <c r="E15" s="1312">
        <v>0</v>
      </c>
      <c r="F15" s="250">
        <v>15737</v>
      </c>
      <c r="G15" s="250">
        <v>4884.3</v>
      </c>
      <c r="H15" s="250">
        <v>564843</v>
      </c>
      <c r="I15" s="250">
        <v>260654</v>
      </c>
      <c r="J15" s="250">
        <v>203111.7</v>
      </c>
      <c r="K15" s="250">
        <v>14948.1</v>
      </c>
      <c r="L15" s="250">
        <v>7010.3</v>
      </c>
      <c r="M15" s="250">
        <v>43185.3</v>
      </c>
      <c r="N15" s="250">
        <v>34351.800000000003</v>
      </c>
      <c r="O15" s="250">
        <v>136120</v>
      </c>
      <c r="P15" s="250">
        <v>112925.7</v>
      </c>
      <c r="Q15" s="251">
        <v>138208.20000000001</v>
      </c>
      <c r="R15" s="251">
        <v>94797</v>
      </c>
      <c r="S15" s="1014">
        <v>14051.63</v>
      </c>
      <c r="T15" s="1014">
        <v>10671.64</v>
      </c>
      <c r="U15" s="250">
        <v>17640</v>
      </c>
      <c r="V15" s="250">
        <v>9164</v>
      </c>
      <c r="W15" s="250">
        <v>208670.7</v>
      </c>
      <c r="X15" s="1014">
        <v>345.9</v>
      </c>
      <c r="Y15" s="1014">
        <v>50716</v>
      </c>
      <c r="Z15" s="250">
        <v>554754</v>
      </c>
      <c r="AA15" s="250">
        <v>282808</v>
      </c>
      <c r="AB15" s="1014">
        <v>208620.1</v>
      </c>
      <c r="AC15" s="1014">
        <v>1112.4000000000001</v>
      </c>
      <c r="AD15" s="1081">
        <v>942</v>
      </c>
      <c r="AE15" s="250">
        <v>35293.599999999999</v>
      </c>
      <c r="AF15" s="250">
        <v>25161</v>
      </c>
      <c r="AG15" s="250">
        <v>81615.5</v>
      </c>
      <c r="AH15" s="250">
        <v>63097.1</v>
      </c>
      <c r="AI15" s="250">
        <v>64585.1</v>
      </c>
      <c r="AJ15" s="250">
        <v>52600.3</v>
      </c>
      <c r="AK15" s="250">
        <v>58393.2</v>
      </c>
      <c r="AL15" s="250">
        <v>22965.7</v>
      </c>
      <c r="AM15" s="1014">
        <v>16.3</v>
      </c>
      <c r="AN15" s="1014">
        <v>17.3</v>
      </c>
      <c r="AO15" s="250">
        <v>475815</v>
      </c>
      <c r="AP15" s="250">
        <v>219745</v>
      </c>
      <c r="AQ15" s="422">
        <v>64595</v>
      </c>
      <c r="AR15" s="1014"/>
      <c r="AS15" s="250">
        <v>444080</v>
      </c>
      <c r="AT15" s="250">
        <v>195542</v>
      </c>
      <c r="AU15" s="250">
        <v>76994.100000000006</v>
      </c>
      <c r="AV15" s="250">
        <v>4164.8</v>
      </c>
      <c r="AW15" s="250">
        <v>2770.2</v>
      </c>
      <c r="AX15" s="1014">
        <v>219.62</v>
      </c>
      <c r="AY15" s="250">
        <v>132.94</v>
      </c>
      <c r="AZ15" s="1014">
        <v>788.19799999999998</v>
      </c>
      <c r="BA15" s="1014">
        <v>335.971</v>
      </c>
      <c r="BB15" s="1089">
        <v>1785.07</v>
      </c>
      <c r="BC15" s="1014">
        <v>3108.8</v>
      </c>
      <c r="BD15" s="1014">
        <v>490.7</v>
      </c>
      <c r="BE15" s="250">
        <v>7138.84</v>
      </c>
      <c r="BF15" s="250">
        <v>30705.757894736798</v>
      </c>
      <c r="BG15" s="250">
        <v>9169.8014148102593</v>
      </c>
      <c r="BH15" s="250">
        <v>6675.24</v>
      </c>
      <c r="BI15" s="1014">
        <v>2428000</v>
      </c>
      <c r="BJ15" s="1014">
        <v>470</v>
      </c>
      <c r="BK15" s="1014">
        <v>18687.599999999999</v>
      </c>
      <c r="BL15" s="250">
        <v>2930609</v>
      </c>
      <c r="BM15" s="250">
        <v>79857</v>
      </c>
      <c r="BN15" s="250">
        <v>18522.259999999998</v>
      </c>
      <c r="BO15" s="1014">
        <v>2652370</v>
      </c>
      <c r="BP15" s="1014">
        <v>124639</v>
      </c>
      <c r="BQ15" s="1014">
        <v>15680.4</v>
      </c>
      <c r="BR15" s="1014">
        <v>7856.2</v>
      </c>
      <c r="BS15" s="1014">
        <v>5354.8</v>
      </c>
      <c r="BT15" s="1014">
        <v>997268</v>
      </c>
      <c r="BU15" s="1014">
        <v>567380</v>
      </c>
      <c r="BV15" s="1014">
        <v>671734</v>
      </c>
      <c r="BW15" s="1014">
        <v>425264</v>
      </c>
      <c r="BX15" s="1324">
        <v>0</v>
      </c>
    </row>
    <row r="16" spans="1:76">
      <c r="A16" s="160">
        <v>44940</v>
      </c>
      <c r="B16" s="250">
        <v>1058.4939999999999</v>
      </c>
      <c r="C16" s="250">
        <v>585.226</v>
      </c>
      <c r="D16" s="250">
        <v>6841.2</v>
      </c>
      <c r="E16" s="1312">
        <v>0</v>
      </c>
      <c r="F16" s="250">
        <v>15749</v>
      </c>
      <c r="G16" s="250">
        <v>4884.6000000000004</v>
      </c>
      <c r="H16" s="250">
        <v>565011</v>
      </c>
      <c r="I16" s="250">
        <v>260739</v>
      </c>
      <c r="J16" s="250">
        <v>203135.7</v>
      </c>
      <c r="K16" s="250">
        <v>14948.1</v>
      </c>
      <c r="L16" s="250">
        <v>7010.3</v>
      </c>
      <c r="M16" s="250">
        <v>43213.7</v>
      </c>
      <c r="N16" s="250">
        <v>34374.1</v>
      </c>
      <c r="O16" s="250">
        <v>136134.70000000001</v>
      </c>
      <c r="P16" s="250">
        <v>112938.2</v>
      </c>
      <c r="Q16" s="250">
        <v>138225.79999999999</v>
      </c>
      <c r="R16" s="250">
        <v>94809.5</v>
      </c>
      <c r="S16" s="1014">
        <v>14051.63</v>
      </c>
      <c r="T16" s="1014">
        <v>10671.64</v>
      </c>
      <c r="U16" s="250">
        <v>17940</v>
      </c>
      <c r="V16" s="250">
        <v>9320</v>
      </c>
      <c r="W16" s="250">
        <v>208694.7</v>
      </c>
      <c r="X16" s="1014">
        <v>345.9</v>
      </c>
      <c r="Y16" s="1014">
        <v>50716</v>
      </c>
      <c r="Z16" s="250">
        <v>554902</v>
      </c>
      <c r="AA16" s="250">
        <v>282882</v>
      </c>
      <c r="AB16" s="1790">
        <v>208644.1</v>
      </c>
      <c r="AC16" s="1014">
        <v>1112.4000000000001</v>
      </c>
      <c r="AD16" s="1081">
        <v>942</v>
      </c>
      <c r="AE16" s="250">
        <v>35295.699999999997</v>
      </c>
      <c r="AF16" s="250">
        <v>25162.5</v>
      </c>
      <c r="AG16" s="250">
        <v>81624.399999999994</v>
      </c>
      <c r="AH16" s="250">
        <v>63104.1</v>
      </c>
      <c r="AI16" s="250">
        <v>64602.3</v>
      </c>
      <c r="AJ16" s="250">
        <v>52613.3</v>
      </c>
      <c r="AK16" s="250">
        <v>58398.2</v>
      </c>
      <c r="AL16" s="250">
        <v>22967.7</v>
      </c>
      <c r="AM16" s="1014">
        <v>16.3</v>
      </c>
      <c r="AN16" s="1014">
        <v>17.3</v>
      </c>
      <c r="AO16" s="250">
        <v>475975</v>
      </c>
      <c r="AP16" s="250">
        <v>219819</v>
      </c>
      <c r="AQ16" s="250">
        <v>64600</v>
      </c>
      <c r="AR16" s="250"/>
      <c r="AS16" s="250">
        <v>444223</v>
      </c>
      <c r="AT16" s="250">
        <v>195605</v>
      </c>
      <c r="AU16" s="250">
        <v>77018.100000000006</v>
      </c>
      <c r="AV16" s="250">
        <v>4166.7</v>
      </c>
      <c r="AW16" s="250">
        <v>2771.6</v>
      </c>
      <c r="AX16" s="1014">
        <v>219.62</v>
      </c>
      <c r="AY16" s="250">
        <v>132.94</v>
      </c>
      <c r="AZ16" s="1014">
        <v>788.19799999999998</v>
      </c>
      <c r="BA16" s="1014">
        <v>335.971</v>
      </c>
      <c r="BB16" s="1089">
        <v>1785.07</v>
      </c>
      <c r="BC16" s="250">
        <v>3111.2</v>
      </c>
      <c r="BD16" s="250">
        <v>490.7</v>
      </c>
      <c r="BE16" s="250">
        <v>7141.87</v>
      </c>
      <c r="BF16" s="250">
        <v>30221.164912280699</v>
      </c>
      <c r="BG16" s="250">
        <v>10031.139933763499</v>
      </c>
      <c r="BH16" s="250">
        <v>6172.5</v>
      </c>
      <c r="BI16" s="250">
        <v>2432200</v>
      </c>
      <c r="BJ16" s="250">
        <v>471</v>
      </c>
      <c r="BK16" s="250">
        <v>18711.599999999999</v>
      </c>
      <c r="BL16" s="250">
        <v>2930609</v>
      </c>
      <c r="BM16" s="250">
        <v>79857</v>
      </c>
      <c r="BN16" s="250">
        <v>18522.259999999998</v>
      </c>
      <c r="BO16" s="250">
        <v>2656014</v>
      </c>
      <c r="BP16" s="250">
        <v>124771</v>
      </c>
      <c r="BQ16" s="250">
        <v>15704.4</v>
      </c>
      <c r="BR16" s="250">
        <v>7863.5</v>
      </c>
      <c r="BS16" s="250">
        <v>5359.7</v>
      </c>
      <c r="BT16" s="250">
        <v>997952</v>
      </c>
      <c r="BU16" s="250">
        <v>567786</v>
      </c>
      <c r="BV16" s="250">
        <v>672596</v>
      </c>
      <c r="BW16" s="250">
        <v>425814</v>
      </c>
      <c r="BX16" s="1324">
        <v>0</v>
      </c>
    </row>
    <row r="17" spans="1:78">
      <c r="A17" s="160">
        <v>44941</v>
      </c>
      <c r="B17" s="250">
        <v>1058.4939999999999</v>
      </c>
      <c r="C17" s="250">
        <v>585.226</v>
      </c>
      <c r="D17" s="250">
        <v>6841.2</v>
      </c>
      <c r="E17" s="1312">
        <v>0</v>
      </c>
      <c r="F17" s="250">
        <v>15760.6</v>
      </c>
      <c r="G17" s="250">
        <v>4885</v>
      </c>
      <c r="H17" s="250">
        <v>565177</v>
      </c>
      <c r="I17" s="250">
        <v>260822</v>
      </c>
      <c r="J17" s="250">
        <v>203159.7</v>
      </c>
      <c r="K17" s="250">
        <v>14948.1</v>
      </c>
      <c r="L17" s="250">
        <v>7010.3</v>
      </c>
      <c r="M17" s="250">
        <v>43242.1</v>
      </c>
      <c r="N17" s="250">
        <v>34396.5</v>
      </c>
      <c r="O17" s="250">
        <v>136150.20000000001</v>
      </c>
      <c r="P17" s="250">
        <v>112950.8</v>
      </c>
      <c r="Q17" s="250">
        <v>138243.20000000001</v>
      </c>
      <c r="R17" s="250">
        <v>94821.9</v>
      </c>
      <c r="S17" s="1014">
        <v>14051.63</v>
      </c>
      <c r="T17" s="1014">
        <v>10671.64</v>
      </c>
      <c r="U17" s="250">
        <v>18240</v>
      </c>
      <c r="V17" s="250">
        <v>9476</v>
      </c>
      <c r="W17" s="250">
        <v>208718.7</v>
      </c>
      <c r="X17" s="1014">
        <v>345.9</v>
      </c>
      <c r="Y17" s="1014">
        <v>50716</v>
      </c>
      <c r="Z17" s="250">
        <v>555052</v>
      </c>
      <c r="AA17" s="250">
        <v>282954</v>
      </c>
      <c r="AB17" s="1014">
        <v>208668.1</v>
      </c>
      <c r="AC17" s="1014">
        <v>1112.4000000000001</v>
      </c>
      <c r="AD17" s="1081">
        <v>942</v>
      </c>
      <c r="AE17" s="250">
        <v>35297.800000000003</v>
      </c>
      <c r="AF17" s="250">
        <v>25164</v>
      </c>
      <c r="AG17" s="250">
        <v>81632.600000000006</v>
      </c>
      <c r="AH17" s="250">
        <v>63110.6</v>
      </c>
      <c r="AI17" s="250">
        <v>64620.800000000003</v>
      </c>
      <c r="AJ17" s="250">
        <v>52627</v>
      </c>
      <c r="AK17" s="250">
        <v>58411</v>
      </c>
      <c r="AL17" s="250">
        <v>22972.6</v>
      </c>
      <c r="AM17" s="1014">
        <v>16.3</v>
      </c>
      <c r="AN17" s="1014">
        <v>17.3</v>
      </c>
      <c r="AO17" s="250">
        <v>476131</v>
      </c>
      <c r="AP17" s="250">
        <v>219891</v>
      </c>
      <c r="AQ17" s="250">
        <v>64606</v>
      </c>
      <c r="AR17" s="250"/>
      <c r="AS17" s="250">
        <v>444361</v>
      </c>
      <c r="AT17" s="250">
        <v>195665</v>
      </c>
      <c r="AU17" s="250">
        <v>77042.100000000006</v>
      </c>
      <c r="AV17" s="250">
        <v>4168.7</v>
      </c>
      <c r="AW17" s="250">
        <v>2773</v>
      </c>
      <c r="AX17" s="1014">
        <v>219.62</v>
      </c>
      <c r="AY17" s="250">
        <v>132.94</v>
      </c>
      <c r="AZ17" s="1014">
        <v>788.19799999999998</v>
      </c>
      <c r="BA17" s="1014">
        <v>335.971</v>
      </c>
      <c r="BB17" s="1089">
        <v>1785.07</v>
      </c>
      <c r="BC17" s="250">
        <v>3113.6</v>
      </c>
      <c r="BD17" s="250">
        <v>490.7</v>
      </c>
      <c r="BE17" s="250">
        <v>7021.88</v>
      </c>
      <c r="BF17" s="250">
        <v>31016.661403508799</v>
      </c>
      <c r="BG17" s="250">
        <v>10154.001882045801</v>
      </c>
      <c r="BH17" s="250">
        <v>6404.61</v>
      </c>
      <c r="BI17" s="250">
        <v>2436200</v>
      </c>
      <c r="BJ17" s="250">
        <v>472</v>
      </c>
      <c r="BK17" s="250">
        <v>18735.599999999999</v>
      </c>
      <c r="BL17" s="250">
        <v>2930609</v>
      </c>
      <c r="BM17" s="250">
        <v>79857</v>
      </c>
      <c r="BN17" s="250">
        <v>18522.259999999998</v>
      </c>
      <c r="BO17" s="250">
        <v>2659690</v>
      </c>
      <c r="BP17" s="250">
        <v>124902</v>
      </c>
      <c r="BQ17" s="250">
        <v>15728.4</v>
      </c>
      <c r="BR17" s="250">
        <v>7870.7</v>
      </c>
      <c r="BS17" s="250">
        <v>5364.5</v>
      </c>
      <c r="BT17" s="250">
        <v>998640</v>
      </c>
      <c r="BU17" s="250">
        <v>568194</v>
      </c>
      <c r="BV17" s="250">
        <v>673450</v>
      </c>
      <c r="BW17" s="250">
        <v>426358</v>
      </c>
      <c r="BX17" s="1324">
        <v>0</v>
      </c>
    </row>
    <row r="18" spans="1:78" ht="12.75" customHeight="1">
      <c r="A18" s="160">
        <v>44942</v>
      </c>
      <c r="B18" s="250">
        <v>1058.979</v>
      </c>
      <c r="C18" s="250">
        <v>585.40300000000002</v>
      </c>
      <c r="D18" s="250">
        <v>6842.7</v>
      </c>
      <c r="E18" s="1312">
        <v>0.5</v>
      </c>
      <c r="F18" s="250">
        <v>15772.3</v>
      </c>
      <c r="G18" s="250">
        <v>4885.6000000000004</v>
      </c>
      <c r="H18" s="250">
        <v>565342</v>
      </c>
      <c r="I18" s="250">
        <v>260906</v>
      </c>
      <c r="J18" s="250">
        <v>203183.7</v>
      </c>
      <c r="K18" s="250">
        <v>14948.1</v>
      </c>
      <c r="L18" s="250">
        <v>7010.3</v>
      </c>
      <c r="M18" s="250">
        <v>43270.9</v>
      </c>
      <c r="N18" s="250">
        <v>34419.199999999997</v>
      </c>
      <c r="O18" s="250">
        <v>136165.6</v>
      </c>
      <c r="P18" s="250">
        <v>112963.4</v>
      </c>
      <c r="Q18" s="250">
        <v>138261</v>
      </c>
      <c r="R18" s="250">
        <v>94834.4</v>
      </c>
      <c r="S18" s="1014">
        <v>14051.63</v>
      </c>
      <c r="T18" s="1014">
        <v>10671.64</v>
      </c>
      <c r="U18" s="250">
        <v>18544</v>
      </c>
      <c r="V18" s="250">
        <v>9634</v>
      </c>
      <c r="W18" s="250">
        <v>208742.7</v>
      </c>
      <c r="X18" s="1014">
        <v>345.9</v>
      </c>
      <c r="Y18" s="1014">
        <v>50716</v>
      </c>
      <c r="Z18" s="250">
        <v>555202</v>
      </c>
      <c r="AA18" s="250">
        <v>283028</v>
      </c>
      <c r="AB18" s="250">
        <v>208692.1</v>
      </c>
      <c r="AC18" s="1014">
        <v>1112.4000000000001</v>
      </c>
      <c r="AD18" s="1081">
        <v>942</v>
      </c>
      <c r="AE18" s="250">
        <v>35299.9</v>
      </c>
      <c r="AF18" s="250">
        <v>25165.5</v>
      </c>
      <c r="AG18" s="250">
        <v>81641</v>
      </c>
      <c r="AH18" s="250">
        <v>63117.3</v>
      </c>
      <c r="AI18" s="250">
        <v>64637.1</v>
      </c>
      <c r="AJ18" s="250">
        <v>52640.1</v>
      </c>
      <c r="AK18" s="250">
        <v>58423</v>
      </c>
      <c r="AL18" s="250">
        <v>22977</v>
      </c>
      <c r="AM18" s="1014">
        <v>16.3</v>
      </c>
      <c r="AN18" s="1014">
        <v>17.3</v>
      </c>
      <c r="AO18" s="250">
        <v>476292</v>
      </c>
      <c r="AP18" s="250">
        <v>219965</v>
      </c>
      <c r="AQ18" s="250">
        <v>64611</v>
      </c>
      <c r="AR18" s="250"/>
      <c r="AS18" s="250">
        <v>444505</v>
      </c>
      <c r="AT18" s="250">
        <v>195728</v>
      </c>
      <c r="AU18" s="250">
        <v>77066.100000000006</v>
      </c>
      <c r="AV18" s="250">
        <v>4170.7</v>
      </c>
      <c r="AW18" s="250">
        <v>2774.5</v>
      </c>
      <c r="AX18" s="1014">
        <v>219.62</v>
      </c>
      <c r="AY18" s="250">
        <v>132.94</v>
      </c>
      <c r="AZ18" s="1014">
        <v>788.64400000000001</v>
      </c>
      <c r="BA18" s="1014">
        <v>336.14699999999999</v>
      </c>
      <c r="BB18" s="1089">
        <v>1785.6</v>
      </c>
      <c r="BC18" s="250">
        <v>3116</v>
      </c>
      <c r="BD18" s="250">
        <v>490.8</v>
      </c>
      <c r="BE18" s="250">
        <v>6510.63</v>
      </c>
      <c r="BF18" s="250">
        <v>31201.454385964898</v>
      </c>
      <c r="BG18" s="250">
        <v>10263.695201005999</v>
      </c>
      <c r="BH18" s="250">
        <v>6303.13</v>
      </c>
      <c r="BI18" s="250">
        <v>2440200</v>
      </c>
      <c r="BJ18" s="250">
        <v>473</v>
      </c>
      <c r="BK18" s="250">
        <v>18759.599999999999</v>
      </c>
      <c r="BL18" s="250">
        <v>2930609</v>
      </c>
      <c r="BM18" s="250">
        <v>79857</v>
      </c>
      <c r="BN18" s="250">
        <v>18522.259999999998</v>
      </c>
      <c r="BO18" s="250">
        <v>2663104</v>
      </c>
      <c r="BP18" s="250">
        <v>124934</v>
      </c>
      <c r="BQ18" s="250">
        <v>15752.4</v>
      </c>
      <c r="BR18" s="250">
        <v>7877.9</v>
      </c>
      <c r="BS18" s="250">
        <v>5369.3</v>
      </c>
      <c r="BT18" s="250">
        <v>999334</v>
      </c>
      <c r="BU18" s="250">
        <v>568604</v>
      </c>
      <c r="BV18" s="250">
        <v>674312</v>
      </c>
      <c r="BW18" s="250">
        <v>426902</v>
      </c>
      <c r="BX18" s="1324">
        <v>0.4</v>
      </c>
    </row>
    <row r="19" spans="1:78">
      <c r="A19" s="160">
        <v>44943</v>
      </c>
      <c r="B19" s="250">
        <v>1058.979</v>
      </c>
      <c r="C19" s="250">
        <v>585.40300000000002</v>
      </c>
      <c r="D19" s="250">
        <v>6842.7</v>
      </c>
      <c r="E19" s="1312">
        <v>0</v>
      </c>
      <c r="F19" s="250">
        <v>15784</v>
      </c>
      <c r="G19" s="250">
        <v>4887</v>
      </c>
      <c r="H19" s="250">
        <v>565509</v>
      </c>
      <c r="I19" s="250">
        <v>260990</v>
      </c>
      <c r="J19" s="250">
        <v>203207.7</v>
      </c>
      <c r="K19" s="250">
        <v>14948.1</v>
      </c>
      <c r="L19" s="250">
        <v>7010.3</v>
      </c>
      <c r="M19" s="250">
        <v>43299.1</v>
      </c>
      <c r="N19" s="250">
        <v>34441.4</v>
      </c>
      <c r="O19" s="250">
        <v>136179.70000000001</v>
      </c>
      <c r="P19" s="250">
        <v>112975</v>
      </c>
      <c r="Q19" s="250">
        <v>138279.1</v>
      </c>
      <c r="R19" s="250">
        <v>94847</v>
      </c>
      <c r="S19" s="1014">
        <v>14051.63</v>
      </c>
      <c r="T19" s="1014">
        <v>10671.64</v>
      </c>
      <c r="U19" s="250">
        <v>18844</v>
      </c>
      <c r="V19" s="250">
        <v>9790</v>
      </c>
      <c r="W19" s="250">
        <v>208766.7</v>
      </c>
      <c r="X19" s="1014">
        <v>345.9</v>
      </c>
      <c r="Y19" s="1014">
        <v>50716</v>
      </c>
      <c r="Z19" s="250">
        <v>555352</v>
      </c>
      <c r="AA19" s="250">
        <v>283102</v>
      </c>
      <c r="AB19" s="250">
        <v>208716.1</v>
      </c>
      <c r="AC19" s="1014">
        <v>1112.4000000000001</v>
      </c>
      <c r="AD19" s="1081">
        <v>942</v>
      </c>
      <c r="AE19" s="250">
        <v>35302</v>
      </c>
      <c r="AF19" s="250">
        <v>25167</v>
      </c>
      <c r="AG19" s="250">
        <v>81650.399999999994</v>
      </c>
      <c r="AH19" s="250">
        <v>63124.800000000003</v>
      </c>
      <c r="AI19" s="250">
        <v>64653.4</v>
      </c>
      <c r="AJ19" s="250">
        <v>52653.2</v>
      </c>
      <c r="AK19" s="250">
        <v>58432</v>
      </c>
      <c r="AL19" s="250">
        <v>22980.5</v>
      </c>
      <c r="AM19" s="1014">
        <v>16.3</v>
      </c>
      <c r="AN19" s="1014">
        <v>17.3</v>
      </c>
      <c r="AO19" s="250">
        <v>476452</v>
      </c>
      <c r="AP19" s="250">
        <v>220039</v>
      </c>
      <c r="AQ19" s="250">
        <v>64617</v>
      </c>
      <c r="AR19" s="1014"/>
      <c r="AS19" s="250">
        <v>444647</v>
      </c>
      <c r="AT19" s="250">
        <v>195790</v>
      </c>
      <c r="AU19" s="250">
        <v>77090.100000000006</v>
      </c>
      <c r="AV19" s="250">
        <v>4172.7</v>
      </c>
      <c r="AW19" s="250">
        <v>2775.9</v>
      </c>
      <c r="AX19" s="1014">
        <v>219.66</v>
      </c>
      <c r="AY19" s="250">
        <v>132.96</v>
      </c>
      <c r="AZ19" s="1014">
        <v>788.64400000000001</v>
      </c>
      <c r="BA19" s="1014">
        <v>336.14699999999999</v>
      </c>
      <c r="BB19" s="1089">
        <v>1785.6</v>
      </c>
      <c r="BC19" s="250">
        <v>3118.4</v>
      </c>
      <c r="BD19" s="250">
        <v>490.8</v>
      </c>
      <c r="BE19" s="250">
        <v>6740.82</v>
      </c>
      <c r="BF19" s="250">
        <v>30638.3877192982</v>
      </c>
      <c r="BG19" s="250">
        <v>10472.8472492989</v>
      </c>
      <c r="BH19" s="250">
        <v>6367.01</v>
      </c>
      <c r="BI19" s="250">
        <v>2444000</v>
      </c>
      <c r="BJ19" s="250">
        <v>474</v>
      </c>
      <c r="BK19" s="1014">
        <v>18783.599999999999</v>
      </c>
      <c r="BL19" s="250">
        <v>2930609</v>
      </c>
      <c r="BM19" s="250">
        <v>79857</v>
      </c>
      <c r="BN19" s="250">
        <v>18522.259999999998</v>
      </c>
      <c r="BO19" s="250">
        <v>2666442</v>
      </c>
      <c r="BP19" s="250">
        <v>124965</v>
      </c>
      <c r="BQ19" s="250">
        <v>15776.4</v>
      </c>
      <c r="BR19" s="250">
        <v>7885</v>
      </c>
      <c r="BS19" s="250">
        <v>5374</v>
      </c>
      <c r="BT19" s="250">
        <v>1000012</v>
      </c>
      <c r="BU19" s="250">
        <v>569008</v>
      </c>
      <c r="BV19" s="250">
        <v>675210</v>
      </c>
      <c r="BW19" s="250">
        <v>427474</v>
      </c>
      <c r="BX19" s="1324">
        <v>0</v>
      </c>
      <c r="BZ19" s="637"/>
    </row>
    <row r="20" spans="1:78">
      <c r="A20" s="160">
        <v>44944</v>
      </c>
      <c r="B20" s="250">
        <v>1058.979</v>
      </c>
      <c r="C20" s="250">
        <v>585.40300000000002</v>
      </c>
      <c r="D20" s="250">
        <v>6842.7</v>
      </c>
      <c r="E20" s="1312">
        <v>0</v>
      </c>
      <c r="F20" s="250">
        <v>15795.6</v>
      </c>
      <c r="G20" s="250">
        <v>4891</v>
      </c>
      <c r="H20" s="250">
        <v>565673</v>
      </c>
      <c r="I20" s="250">
        <v>261074</v>
      </c>
      <c r="J20" s="250">
        <v>203231.7</v>
      </c>
      <c r="K20" s="250">
        <v>14948.1</v>
      </c>
      <c r="L20" s="250">
        <v>7010.3</v>
      </c>
      <c r="M20" s="250">
        <v>43326.5</v>
      </c>
      <c r="N20" s="250">
        <v>34462.699999999997</v>
      </c>
      <c r="O20" s="250">
        <v>136194.4</v>
      </c>
      <c r="P20" s="250">
        <v>112986.9</v>
      </c>
      <c r="Q20" s="250">
        <v>138296.79999999999</v>
      </c>
      <c r="R20" s="250">
        <v>94859.1</v>
      </c>
      <c r="S20" s="1014">
        <v>14051.63</v>
      </c>
      <c r="T20" s="1014">
        <v>10671.64</v>
      </c>
      <c r="U20" s="250">
        <v>19140</v>
      </c>
      <c r="V20" s="250">
        <v>9950</v>
      </c>
      <c r="W20" s="250">
        <v>208790.7</v>
      </c>
      <c r="X20" s="1014">
        <v>345.9</v>
      </c>
      <c r="Y20" s="1014">
        <v>50716</v>
      </c>
      <c r="Z20" s="250">
        <v>555502</v>
      </c>
      <c r="AA20" s="250">
        <v>283173</v>
      </c>
      <c r="AB20" s="250">
        <v>208740.1</v>
      </c>
      <c r="AC20" s="1014">
        <v>1112.4000000000001</v>
      </c>
      <c r="AD20" s="1081">
        <v>942</v>
      </c>
      <c r="AE20" s="250">
        <v>35304.1</v>
      </c>
      <c r="AF20" s="250">
        <v>25168.6</v>
      </c>
      <c r="AG20" s="250">
        <v>81659.399999999994</v>
      </c>
      <c r="AH20" s="250">
        <v>63131.9</v>
      </c>
      <c r="AI20" s="250">
        <v>64669.4</v>
      </c>
      <c r="AJ20" s="250">
        <v>52665.9</v>
      </c>
      <c r="AK20" s="250">
        <v>58442.5</v>
      </c>
      <c r="AL20" s="250">
        <v>22984.5</v>
      </c>
      <c r="AM20" s="1014">
        <v>16.3</v>
      </c>
      <c r="AN20" s="1014">
        <v>17.3</v>
      </c>
      <c r="AO20" s="250">
        <v>476610</v>
      </c>
      <c r="AP20" s="250">
        <v>220111</v>
      </c>
      <c r="AQ20" s="422">
        <v>64623</v>
      </c>
      <c r="AR20" s="1014"/>
      <c r="AS20" s="250">
        <v>444790</v>
      </c>
      <c r="AT20" s="250">
        <v>195852</v>
      </c>
      <c r="AU20" s="250">
        <v>77114.100000000006</v>
      </c>
      <c r="AV20" s="250">
        <v>4174.3</v>
      </c>
      <c r="AW20" s="250">
        <v>2777.1</v>
      </c>
      <c r="AX20" s="1014">
        <v>219.66</v>
      </c>
      <c r="AY20" s="250">
        <v>132.96</v>
      </c>
      <c r="AZ20" s="1014">
        <v>788.64400000000001</v>
      </c>
      <c r="BA20" s="1014">
        <v>336.14699999999999</v>
      </c>
      <c r="BB20" s="1089">
        <v>1785.6</v>
      </c>
      <c r="BC20" s="1014">
        <v>3120.8</v>
      </c>
      <c r="BD20" s="1014">
        <v>490.9</v>
      </c>
      <c r="BE20" s="250">
        <v>5822.56</v>
      </c>
      <c r="BF20" s="250">
        <v>37282.989473684203</v>
      </c>
      <c r="BG20" s="250">
        <v>11663.314197592201</v>
      </c>
      <c r="BH20" s="250">
        <v>5498.15</v>
      </c>
      <c r="BI20" s="250">
        <v>2448000</v>
      </c>
      <c r="BJ20" s="250">
        <v>475</v>
      </c>
      <c r="BK20" s="1014">
        <v>18807.599999999999</v>
      </c>
      <c r="BL20" s="250">
        <v>2930609</v>
      </c>
      <c r="BM20" s="250">
        <v>79857</v>
      </c>
      <c r="BN20" s="250">
        <v>18522.259999999998</v>
      </c>
      <c r="BO20" s="1014">
        <v>2669868</v>
      </c>
      <c r="BP20" s="1014">
        <v>125012</v>
      </c>
      <c r="BQ20" s="1014">
        <v>15800.4</v>
      </c>
      <c r="BR20" s="1014">
        <v>7892</v>
      </c>
      <c r="BS20" s="1014">
        <v>5378.6</v>
      </c>
      <c r="BT20" s="1014">
        <v>1000662</v>
      </c>
      <c r="BU20" s="1014">
        <v>569388</v>
      </c>
      <c r="BV20" s="1014">
        <v>676078</v>
      </c>
      <c r="BW20" s="1014">
        <v>428024</v>
      </c>
      <c r="BX20" s="1324">
        <v>0</v>
      </c>
      <c r="BZ20" s="637"/>
    </row>
    <row r="21" spans="1:78">
      <c r="A21" s="160">
        <v>44945</v>
      </c>
      <c r="B21" s="250">
        <v>1058.979</v>
      </c>
      <c r="C21" s="250">
        <v>585.40300000000002</v>
      </c>
      <c r="D21" s="250">
        <v>6842.7</v>
      </c>
      <c r="E21" s="1312">
        <v>0</v>
      </c>
      <c r="F21" s="250">
        <v>15807.4</v>
      </c>
      <c r="G21" s="250">
        <v>4895.1000000000004</v>
      </c>
      <c r="H21" s="250">
        <v>565843.4</v>
      </c>
      <c r="I21" s="250">
        <v>261158</v>
      </c>
      <c r="J21" s="250">
        <v>203255</v>
      </c>
      <c r="K21" s="250">
        <v>14948.1</v>
      </c>
      <c r="L21" s="250">
        <v>7010.3</v>
      </c>
      <c r="M21" s="250">
        <v>43355</v>
      </c>
      <c r="N21" s="250">
        <v>34484.9</v>
      </c>
      <c r="O21" s="250">
        <v>136209.29999999999</v>
      </c>
      <c r="P21" s="250">
        <v>112999.2</v>
      </c>
      <c r="Q21" s="250">
        <v>138314.6</v>
      </c>
      <c r="R21" s="250">
        <v>94871.3</v>
      </c>
      <c r="S21" s="1014">
        <v>14051.63</v>
      </c>
      <c r="T21" s="1014">
        <v>10671.64</v>
      </c>
      <c r="U21" s="250">
        <v>19444</v>
      </c>
      <c r="V21" s="250">
        <v>10108</v>
      </c>
      <c r="W21" s="250">
        <v>208814.7</v>
      </c>
      <c r="X21" s="1014">
        <v>345.9</v>
      </c>
      <c r="Y21" s="1014">
        <v>50716</v>
      </c>
      <c r="Z21" s="250">
        <v>555648</v>
      </c>
      <c r="AA21" s="250">
        <v>283247</v>
      </c>
      <c r="AB21" s="250">
        <v>208764.1</v>
      </c>
      <c r="AC21" s="1014">
        <v>1112.4000000000001</v>
      </c>
      <c r="AD21" s="1081">
        <v>942</v>
      </c>
      <c r="AE21" s="250">
        <v>35306.199999999997</v>
      </c>
      <c r="AF21" s="250">
        <v>25170.1</v>
      </c>
      <c r="AG21" s="250">
        <v>81668.600000000006</v>
      </c>
      <c r="AH21" s="250">
        <v>63139.199999999997</v>
      </c>
      <c r="AI21" s="250">
        <v>64685.3</v>
      </c>
      <c r="AJ21" s="250">
        <v>52678.6</v>
      </c>
      <c r="AK21" s="250">
        <v>58452.6</v>
      </c>
      <c r="AL21" s="250">
        <v>22988.5</v>
      </c>
      <c r="AM21" s="1014">
        <v>16.3</v>
      </c>
      <c r="AN21" s="1014">
        <v>17.3</v>
      </c>
      <c r="AO21" s="250">
        <v>476768</v>
      </c>
      <c r="AP21" s="250">
        <v>220184</v>
      </c>
      <c r="AQ21" s="250">
        <v>64628</v>
      </c>
      <c r="AR21" s="1014"/>
      <c r="AS21" s="250">
        <v>444932</v>
      </c>
      <c r="AT21" s="250">
        <v>195913</v>
      </c>
      <c r="AU21" s="250">
        <v>77138</v>
      </c>
      <c r="AV21" s="250">
        <v>4176.1000000000004</v>
      </c>
      <c r="AW21" s="250">
        <v>2778.4</v>
      </c>
      <c r="AX21" s="1014">
        <v>219.66</v>
      </c>
      <c r="AY21" s="250">
        <v>132.96</v>
      </c>
      <c r="AZ21" s="1014">
        <v>788.64400000000001</v>
      </c>
      <c r="BA21" s="1014">
        <v>336.14699999999999</v>
      </c>
      <c r="BB21" s="1089">
        <v>1785.6</v>
      </c>
      <c r="BC21" s="250">
        <v>3123.1</v>
      </c>
      <c r="BD21" s="1014">
        <v>490.9</v>
      </c>
      <c r="BE21" s="250">
        <v>7436</v>
      </c>
      <c r="BF21" s="250">
        <v>33015</v>
      </c>
      <c r="BG21" s="250">
        <v>10337</v>
      </c>
      <c r="BH21" s="250">
        <v>6443.38</v>
      </c>
      <c r="BI21" s="250">
        <v>2452248</v>
      </c>
      <c r="BJ21" s="250">
        <v>476</v>
      </c>
      <c r="BK21" s="1014">
        <v>18831.599999999999</v>
      </c>
      <c r="BL21" s="250">
        <v>2930609</v>
      </c>
      <c r="BM21" s="250">
        <v>79857</v>
      </c>
      <c r="BN21" s="250">
        <v>18522.259999999998</v>
      </c>
      <c r="BO21" s="250">
        <v>2673288</v>
      </c>
      <c r="BP21" s="250">
        <v>125090</v>
      </c>
      <c r="BQ21" s="250">
        <v>15824.4</v>
      </c>
      <c r="BR21" s="250">
        <v>7899.2</v>
      </c>
      <c r="BS21" s="250">
        <v>5383.4</v>
      </c>
      <c r="BT21" s="250">
        <v>1001296</v>
      </c>
      <c r="BU21" s="250">
        <v>569758</v>
      </c>
      <c r="BV21" s="250">
        <v>676932</v>
      </c>
      <c r="BW21" s="250">
        <v>428566</v>
      </c>
      <c r="BX21" s="1324">
        <v>0</v>
      </c>
    </row>
    <row r="22" spans="1:78" ht="12.75" customHeight="1">
      <c r="A22" s="160">
        <v>44946</v>
      </c>
      <c r="B22" s="250">
        <v>1058.979</v>
      </c>
      <c r="C22" s="250">
        <v>585.40300000000002</v>
      </c>
      <c r="D22" s="250">
        <v>6842.7</v>
      </c>
      <c r="E22" s="1312">
        <v>0</v>
      </c>
      <c r="F22" s="250">
        <v>15818.4</v>
      </c>
      <c r="G22" s="250">
        <v>4899.2</v>
      </c>
      <c r="H22" s="250">
        <v>566012</v>
      </c>
      <c r="I22" s="250">
        <v>261243</v>
      </c>
      <c r="J22" s="250">
        <v>203274</v>
      </c>
      <c r="K22" s="250">
        <v>14948.1</v>
      </c>
      <c r="L22" s="250">
        <v>7010.3</v>
      </c>
      <c r="M22" s="250">
        <v>43383.4</v>
      </c>
      <c r="N22" s="250">
        <v>34507.199999999997</v>
      </c>
      <c r="O22" s="250">
        <v>136224.6</v>
      </c>
      <c r="P22" s="250">
        <v>113011.3</v>
      </c>
      <c r="Q22" s="250">
        <v>138332.1</v>
      </c>
      <c r="R22" s="250">
        <v>94883.5</v>
      </c>
      <c r="S22" s="1014">
        <v>14051.63</v>
      </c>
      <c r="T22" s="1014">
        <v>10671.64</v>
      </c>
      <c r="U22" s="250">
        <v>19744</v>
      </c>
      <c r="V22" s="250">
        <v>10268</v>
      </c>
      <c r="W22" s="250">
        <v>208838.7</v>
      </c>
      <c r="X22" s="1014">
        <v>345.9</v>
      </c>
      <c r="Y22" s="1014">
        <v>50716</v>
      </c>
      <c r="Z22" s="250">
        <v>555800</v>
      </c>
      <c r="AA22" s="250">
        <v>283322</v>
      </c>
      <c r="AB22" s="250">
        <v>208788.1</v>
      </c>
      <c r="AC22" s="1014">
        <v>1112.4000000000001</v>
      </c>
      <c r="AD22" s="1081">
        <v>942</v>
      </c>
      <c r="AE22" s="250">
        <v>35308.300000000003</v>
      </c>
      <c r="AF22" s="250">
        <v>25171.599999999999</v>
      </c>
      <c r="AG22" s="250">
        <v>81677.2</v>
      </c>
      <c r="AH22" s="250">
        <v>63146</v>
      </c>
      <c r="AI22" s="250">
        <v>64701</v>
      </c>
      <c r="AJ22" s="250">
        <v>52691.1</v>
      </c>
      <c r="AK22" s="250">
        <v>58464.1</v>
      </c>
      <c r="AL22" s="250">
        <v>22992.7</v>
      </c>
      <c r="AM22" s="1014">
        <v>16.3</v>
      </c>
      <c r="AN22" s="1014">
        <v>17.3</v>
      </c>
      <c r="AO22" s="250">
        <v>476927</v>
      </c>
      <c r="AP22" s="250">
        <v>220258</v>
      </c>
      <c r="AQ22" s="422">
        <v>64635</v>
      </c>
      <c r="AR22" s="1014"/>
      <c r="AS22" s="250">
        <v>445073</v>
      </c>
      <c r="AT22" s="250">
        <v>195975</v>
      </c>
      <c r="AU22" s="250">
        <v>77162</v>
      </c>
      <c r="AV22" s="250">
        <v>4177.8</v>
      </c>
      <c r="AW22" s="250">
        <v>2779.6</v>
      </c>
      <c r="AX22" s="1014">
        <v>219.66</v>
      </c>
      <c r="AY22" s="250">
        <v>132.96</v>
      </c>
      <c r="AZ22" s="1014">
        <v>788.64400000000001</v>
      </c>
      <c r="BA22" s="1014">
        <v>336.14699999999999</v>
      </c>
      <c r="BB22" s="1089">
        <v>1785.6</v>
      </c>
      <c r="BC22" s="1014">
        <v>3125.4</v>
      </c>
      <c r="BD22" s="1014">
        <v>490.9</v>
      </c>
      <c r="BE22" s="250">
        <v>6645.16</v>
      </c>
      <c r="BF22" s="250">
        <v>37220.215789473703</v>
      </c>
      <c r="BG22" s="250">
        <v>10085.915709143501</v>
      </c>
      <c r="BH22" s="250">
        <v>5917.69</v>
      </c>
      <c r="BI22" s="250">
        <v>2452272</v>
      </c>
      <c r="BJ22" s="250">
        <v>477</v>
      </c>
      <c r="BK22" s="1014">
        <v>18855.599999999999</v>
      </c>
      <c r="BL22" s="250">
        <v>2930609</v>
      </c>
      <c r="BM22" s="250">
        <v>79857</v>
      </c>
      <c r="BN22" s="250">
        <v>18522.259999999998</v>
      </c>
      <c r="BO22" s="1014">
        <v>2676764</v>
      </c>
      <c r="BP22" s="1014">
        <v>125161</v>
      </c>
      <c r="BQ22" s="1014">
        <v>15848.4</v>
      </c>
      <c r="BR22" s="1014">
        <v>7905.7</v>
      </c>
      <c r="BS22" s="1014">
        <v>5387.9</v>
      </c>
      <c r="BT22" s="1014">
        <v>1001910</v>
      </c>
      <c r="BU22" s="1014">
        <v>570120</v>
      </c>
      <c r="BV22" s="1014">
        <v>677810</v>
      </c>
      <c r="BW22" s="1014">
        <v>429116</v>
      </c>
      <c r="BX22" s="1324">
        <v>0</v>
      </c>
      <c r="BZ22" s="637"/>
    </row>
    <row r="23" spans="1:78">
      <c r="A23" s="160">
        <v>44947</v>
      </c>
      <c r="B23" s="250">
        <v>1058.979</v>
      </c>
      <c r="C23" s="250">
        <v>585.40300000000002</v>
      </c>
      <c r="D23" s="250">
        <v>6842.7</v>
      </c>
      <c r="E23" s="1312">
        <v>0</v>
      </c>
      <c r="F23" s="250">
        <v>15830.6</v>
      </c>
      <c r="G23" s="250">
        <v>4902</v>
      </c>
      <c r="H23" s="250">
        <v>566182</v>
      </c>
      <c r="I23" s="250">
        <v>261328</v>
      </c>
      <c r="J23" s="250">
        <v>203298</v>
      </c>
      <c r="K23" s="250">
        <v>14948.1</v>
      </c>
      <c r="L23" s="250">
        <v>7010.3</v>
      </c>
      <c r="M23" s="250">
        <v>43410.6</v>
      </c>
      <c r="N23" s="250">
        <v>34528.800000000003</v>
      </c>
      <c r="O23" s="250">
        <v>136239.5</v>
      </c>
      <c r="P23" s="250">
        <v>113023.3</v>
      </c>
      <c r="Q23" s="250">
        <v>138349.1</v>
      </c>
      <c r="R23" s="250">
        <v>94895.5</v>
      </c>
      <c r="S23" s="1014">
        <v>14051.63</v>
      </c>
      <c r="T23" s="1014">
        <v>10671.64</v>
      </c>
      <c r="U23" s="250">
        <v>20044</v>
      </c>
      <c r="V23" s="250">
        <v>10426</v>
      </c>
      <c r="W23" s="250">
        <v>208862.7</v>
      </c>
      <c r="X23" s="1014">
        <v>345.9</v>
      </c>
      <c r="Y23" s="1014">
        <v>50716</v>
      </c>
      <c r="Z23" s="250">
        <v>555950</v>
      </c>
      <c r="AA23" s="250">
        <v>283392</v>
      </c>
      <c r="AB23" s="250">
        <v>208812.1</v>
      </c>
      <c r="AC23" s="1014">
        <v>1112.4000000000001</v>
      </c>
      <c r="AD23" s="1081">
        <v>942</v>
      </c>
      <c r="AE23" s="250">
        <v>35310.5</v>
      </c>
      <c r="AF23" s="250">
        <v>25173.200000000001</v>
      </c>
      <c r="AG23" s="250">
        <v>81686.3</v>
      </c>
      <c r="AH23" s="250">
        <v>63153.2</v>
      </c>
      <c r="AI23" s="250">
        <v>64716.7</v>
      </c>
      <c r="AJ23" s="250">
        <v>52703.6</v>
      </c>
      <c r="AK23" s="250">
        <v>58473.9</v>
      </c>
      <c r="AL23" s="250">
        <v>22996.6</v>
      </c>
      <c r="AM23" s="1014">
        <v>16.3</v>
      </c>
      <c r="AN23" s="1014">
        <v>17.3</v>
      </c>
      <c r="AO23" s="250">
        <v>477085</v>
      </c>
      <c r="AP23" s="250">
        <v>220328</v>
      </c>
      <c r="AQ23" s="250">
        <v>64638</v>
      </c>
      <c r="AR23" s="1014"/>
      <c r="AS23" s="250">
        <v>445216</v>
      </c>
      <c r="AT23" s="250">
        <v>196037</v>
      </c>
      <c r="AU23" s="250">
        <v>77186</v>
      </c>
      <c r="AV23" s="250">
        <v>4179.5</v>
      </c>
      <c r="AW23" s="250">
        <v>2780.8</v>
      </c>
      <c r="AX23" s="1014">
        <v>219.66</v>
      </c>
      <c r="AY23" s="1014">
        <v>132.96</v>
      </c>
      <c r="AZ23" s="250">
        <v>788.64400000000001</v>
      </c>
      <c r="BA23" s="250">
        <v>336.14699999999999</v>
      </c>
      <c r="BB23" s="1089">
        <v>1785.6</v>
      </c>
      <c r="BC23" s="250">
        <v>3127.8</v>
      </c>
      <c r="BD23" s="250">
        <v>491</v>
      </c>
      <c r="BE23" s="250">
        <v>6541.87</v>
      </c>
      <c r="BF23" s="250">
        <v>37522.994736842098</v>
      </c>
      <c r="BG23" s="250">
        <v>11460.241435305899</v>
      </c>
      <c r="BH23" s="250">
        <v>6628.3</v>
      </c>
      <c r="BI23" s="250">
        <v>2453878.5</v>
      </c>
      <c r="BJ23" s="250">
        <v>478</v>
      </c>
      <c r="BK23" s="1014">
        <v>18870.900000000001</v>
      </c>
      <c r="BL23" s="250">
        <v>2932598</v>
      </c>
      <c r="BM23" s="250">
        <v>80147</v>
      </c>
      <c r="BN23" s="250">
        <v>18533.3</v>
      </c>
      <c r="BO23" s="250">
        <v>2680218</v>
      </c>
      <c r="BP23" s="1014">
        <v>125201</v>
      </c>
      <c r="BQ23" s="250">
        <v>15872.4</v>
      </c>
      <c r="BR23" s="250">
        <v>7911.9</v>
      </c>
      <c r="BS23" s="250">
        <v>5392.2</v>
      </c>
      <c r="BT23" s="250">
        <v>1002518</v>
      </c>
      <c r="BU23" s="250">
        <v>570476</v>
      </c>
      <c r="BV23" s="250">
        <v>678692</v>
      </c>
      <c r="BW23" s="250">
        <v>429672</v>
      </c>
      <c r="BX23" s="1324">
        <v>0</v>
      </c>
    </row>
    <row r="24" spans="1:78">
      <c r="A24" s="160">
        <v>44948</v>
      </c>
      <c r="B24" s="250">
        <v>1058.979</v>
      </c>
      <c r="C24" s="250">
        <v>585.40300000000002</v>
      </c>
      <c r="D24" s="250">
        <v>6842.7</v>
      </c>
      <c r="E24" s="1312">
        <v>0</v>
      </c>
      <c r="F24" s="1014">
        <v>15845.8</v>
      </c>
      <c r="G24" s="1014">
        <v>4907.2</v>
      </c>
      <c r="H24" s="1014">
        <v>566348</v>
      </c>
      <c r="I24" s="1014">
        <v>261412</v>
      </c>
      <c r="J24" s="1014">
        <v>203322</v>
      </c>
      <c r="K24" s="250">
        <v>14948.1</v>
      </c>
      <c r="L24" s="250">
        <v>7010.3</v>
      </c>
      <c r="M24" s="1014">
        <v>43434.1</v>
      </c>
      <c r="N24" s="1014">
        <v>34547.300000000003</v>
      </c>
      <c r="O24" s="1014">
        <v>136254.70000000001</v>
      </c>
      <c r="P24" s="1014">
        <v>113035.5</v>
      </c>
      <c r="Q24" s="1014">
        <v>138366</v>
      </c>
      <c r="R24" s="1014">
        <v>94907.6</v>
      </c>
      <c r="S24" s="1014">
        <v>14051.63</v>
      </c>
      <c r="T24" s="1014">
        <v>10671.64</v>
      </c>
      <c r="U24" s="1014">
        <v>20338</v>
      </c>
      <c r="V24" s="1014">
        <v>10578</v>
      </c>
      <c r="W24" s="1014">
        <v>208886.7</v>
      </c>
      <c r="X24" s="1014">
        <v>345.9</v>
      </c>
      <c r="Y24" s="1014">
        <v>50716</v>
      </c>
      <c r="Z24" s="1014">
        <v>556102</v>
      </c>
      <c r="AA24" s="1014">
        <v>283466</v>
      </c>
      <c r="AB24" s="1014">
        <v>208836.1</v>
      </c>
      <c r="AC24" s="1014">
        <v>1112.4000000000001</v>
      </c>
      <c r="AD24" s="1081">
        <v>942</v>
      </c>
      <c r="AE24" s="1014">
        <v>35312.6</v>
      </c>
      <c r="AF24" s="1014">
        <v>25174.7</v>
      </c>
      <c r="AG24" s="1014">
        <v>81694.7</v>
      </c>
      <c r="AH24" s="1014">
        <v>63159.7</v>
      </c>
      <c r="AI24" s="1014">
        <v>64731.9</v>
      </c>
      <c r="AJ24" s="1014">
        <v>52715.6</v>
      </c>
      <c r="AK24" s="1014">
        <v>58487.4</v>
      </c>
      <c r="AL24" s="1014">
        <v>23001.9</v>
      </c>
      <c r="AM24" s="1014">
        <v>16.3</v>
      </c>
      <c r="AN24" s="1014">
        <v>17.3</v>
      </c>
      <c r="AO24" s="1014">
        <v>477241</v>
      </c>
      <c r="AP24" s="1014">
        <v>220396</v>
      </c>
      <c r="AQ24" s="1014">
        <v>64643</v>
      </c>
      <c r="AR24" s="1014"/>
      <c r="AS24" s="1014">
        <v>445360</v>
      </c>
      <c r="AT24" s="1014">
        <v>196099</v>
      </c>
      <c r="AU24" s="1014">
        <v>77210</v>
      </c>
      <c r="AV24" s="1014">
        <v>4181.3</v>
      </c>
      <c r="AW24" s="1014">
        <v>2782.1</v>
      </c>
      <c r="AX24" s="1014">
        <v>219.66</v>
      </c>
      <c r="AY24" s="1014">
        <v>132.96</v>
      </c>
      <c r="AZ24" s="250">
        <v>788.64400000000001</v>
      </c>
      <c r="BA24" s="250">
        <v>336.14699999999999</v>
      </c>
      <c r="BB24" s="1089">
        <v>1785.6</v>
      </c>
      <c r="BC24" s="1014">
        <v>3130.1</v>
      </c>
      <c r="BD24" s="250">
        <v>491</v>
      </c>
      <c r="BE24" s="1014">
        <v>6383.89</v>
      </c>
      <c r="BF24" s="1014">
        <v>37140</v>
      </c>
      <c r="BG24" s="1014">
        <v>11159.0164889509</v>
      </c>
      <c r="BH24" s="1014">
        <v>6133.47</v>
      </c>
      <c r="BI24" s="250">
        <v>2453878.5</v>
      </c>
      <c r="BJ24" s="250">
        <v>478</v>
      </c>
      <c r="BK24" s="1014">
        <v>18870.900000000001</v>
      </c>
      <c r="BL24" s="1014">
        <v>2937298</v>
      </c>
      <c r="BM24" s="1014">
        <v>80933</v>
      </c>
      <c r="BN24" s="1014">
        <v>18557.3</v>
      </c>
      <c r="BO24" s="1014">
        <v>2683850</v>
      </c>
      <c r="BP24" s="1014">
        <v>125282</v>
      </c>
      <c r="BQ24" s="1014">
        <v>15896.4</v>
      </c>
      <c r="BR24" s="1014">
        <v>7918.2</v>
      </c>
      <c r="BS24" s="1014">
        <v>5396.6</v>
      </c>
      <c r="BT24" s="1014">
        <v>1003168</v>
      </c>
      <c r="BU24" s="1014">
        <v>570858</v>
      </c>
      <c r="BV24" s="1014">
        <v>679588</v>
      </c>
      <c r="BW24" s="1014">
        <v>430228</v>
      </c>
      <c r="BX24" s="1324">
        <v>0</v>
      </c>
    </row>
    <row r="25" spans="1:78">
      <c r="A25" s="160">
        <v>44949</v>
      </c>
      <c r="B25" s="250">
        <v>1058.979</v>
      </c>
      <c r="C25" s="250">
        <v>585.40300000000002</v>
      </c>
      <c r="D25" s="250">
        <v>6842.7</v>
      </c>
      <c r="E25" s="1312">
        <v>0</v>
      </c>
      <c r="F25" s="1014">
        <v>15861.1</v>
      </c>
      <c r="G25" s="1014">
        <v>4912.6000000000004</v>
      </c>
      <c r="H25" s="1014">
        <v>566516</v>
      </c>
      <c r="I25" s="1014">
        <v>261496</v>
      </c>
      <c r="J25" s="1014">
        <v>203346</v>
      </c>
      <c r="K25" s="250">
        <v>14948.1</v>
      </c>
      <c r="L25" s="250">
        <v>7010.3</v>
      </c>
      <c r="M25" s="1014">
        <v>43459</v>
      </c>
      <c r="N25" s="1014">
        <v>34567.300000000003</v>
      </c>
      <c r="O25" s="1014">
        <v>136269.4</v>
      </c>
      <c r="P25" s="1014">
        <v>113047.4</v>
      </c>
      <c r="Q25" s="1014">
        <v>138382.9</v>
      </c>
      <c r="R25" s="1014">
        <v>94919.5</v>
      </c>
      <c r="S25" s="1014">
        <v>14051.63</v>
      </c>
      <c r="T25" s="1014">
        <v>10671.64</v>
      </c>
      <c r="U25" s="1014">
        <v>20632</v>
      </c>
      <c r="V25" s="1014">
        <v>10734</v>
      </c>
      <c r="W25" s="1014">
        <v>208910.7</v>
      </c>
      <c r="X25" s="1014">
        <v>345.9</v>
      </c>
      <c r="Y25" s="1014">
        <v>50716</v>
      </c>
      <c r="Z25" s="1014">
        <v>556254</v>
      </c>
      <c r="AA25" s="1014">
        <v>283534</v>
      </c>
      <c r="AB25" s="1014">
        <v>208860.1</v>
      </c>
      <c r="AC25" s="1014">
        <v>1112.4000000000001</v>
      </c>
      <c r="AD25" s="1081">
        <v>942</v>
      </c>
      <c r="AE25" s="1014">
        <v>35314.699999999997</v>
      </c>
      <c r="AF25" s="1014">
        <v>25176.3</v>
      </c>
      <c r="AG25" s="1014">
        <v>81703.600000000006</v>
      </c>
      <c r="AH25" s="1014">
        <v>63166.7</v>
      </c>
      <c r="AI25" s="1014">
        <v>64746.6</v>
      </c>
      <c r="AJ25" s="1014">
        <v>52727.199999999997</v>
      </c>
      <c r="AK25" s="1014">
        <v>58497.3</v>
      </c>
      <c r="AL25" s="1014">
        <v>23005.8</v>
      </c>
      <c r="AM25" s="1014">
        <v>16.3</v>
      </c>
      <c r="AN25" s="1014">
        <v>17.3</v>
      </c>
      <c r="AO25" s="1014">
        <v>477397</v>
      </c>
      <c r="AP25" s="1014">
        <v>220464</v>
      </c>
      <c r="AQ25" s="1014">
        <v>64648</v>
      </c>
      <c r="AR25" s="1014"/>
      <c r="AS25" s="1014">
        <v>445502</v>
      </c>
      <c r="AT25" s="1014">
        <v>196161</v>
      </c>
      <c r="AU25" s="1014">
        <v>77234</v>
      </c>
      <c r="AV25" s="1014">
        <v>4183.5</v>
      </c>
      <c r="AW25" s="1014">
        <v>2783.8</v>
      </c>
      <c r="AX25" s="1014">
        <v>219.66</v>
      </c>
      <c r="AY25" s="1014">
        <v>132.96</v>
      </c>
      <c r="AZ25" s="250">
        <v>788.64400000000001</v>
      </c>
      <c r="BA25" s="250">
        <v>336.14699999999999</v>
      </c>
      <c r="BB25" s="1089">
        <v>1785.6</v>
      </c>
      <c r="BC25" s="1014">
        <v>3130.1</v>
      </c>
      <c r="BD25" s="250">
        <v>491</v>
      </c>
      <c r="BE25" s="1014">
        <v>7225.22</v>
      </c>
      <c r="BF25" s="1014">
        <v>39989.340350877203</v>
      </c>
      <c r="BG25" s="1014">
        <v>10918.824045506</v>
      </c>
      <c r="BH25" s="1014">
        <v>6676.03</v>
      </c>
      <c r="BI25" s="250">
        <v>2453878.5</v>
      </c>
      <c r="BJ25" s="250">
        <v>478</v>
      </c>
      <c r="BK25" s="1014">
        <v>18870.900000000001</v>
      </c>
      <c r="BL25" s="1014">
        <v>2941908</v>
      </c>
      <c r="BM25" s="1014">
        <v>81847</v>
      </c>
      <c r="BN25" s="1014">
        <v>18581.3</v>
      </c>
      <c r="BO25" s="1014">
        <v>2687506</v>
      </c>
      <c r="BP25" s="1014">
        <v>125378</v>
      </c>
      <c r="BQ25" s="1014">
        <v>15920.4</v>
      </c>
      <c r="BR25" s="1014">
        <v>7924.5</v>
      </c>
      <c r="BS25" s="1014">
        <v>5401.1</v>
      </c>
      <c r="BT25" s="1014">
        <v>1003806</v>
      </c>
      <c r="BU25" s="1014">
        <v>571234</v>
      </c>
      <c r="BV25" s="1014">
        <v>680474</v>
      </c>
      <c r="BW25" s="1014">
        <v>430782</v>
      </c>
      <c r="BX25" s="1324">
        <v>0</v>
      </c>
    </row>
    <row r="26" spans="1:78">
      <c r="A26" s="160">
        <v>44950</v>
      </c>
      <c r="B26" s="1014">
        <v>1059.318</v>
      </c>
      <c r="C26" s="1014">
        <v>585.52300000000002</v>
      </c>
      <c r="D26" s="1014">
        <v>6843.3</v>
      </c>
      <c r="E26" s="1312">
        <v>1</v>
      </c>
      <c r="F26" s="1014">
        <v>15876</v>
      </c>
      <c r="G26" s="1014">
        <v>4917.2</v>
      </c>
      <c r="H26" s="1014">
        <v>566678</v>
      </c>
      <c r="I26" s="1014">
        <v>261579</v>
      </c>
      <c r="J26" s="1014">
        <v>203370</v>
      </c>
      <c r="K26" s="250">
        <v>14948.1</v>
      </c>
      <c r="L26" s="250">
        <v>7010.3</v>
      </c>
      <c r="M26" s="1014">
        <v>43481.5</v>
      </c>
      <c r="N26" s="1014">
        <v>34584.6</v>
      </c>
      <c r="O26" s="1014">
        <v>136283.29999999999</v>
      </c>
      <c r="P26" s="1014">
        <v>113058.9</v>
      </c>
      <c r="Q26" s="1014">
        <v>138399.70000000001</v>
      </c>
      <c r="R26" s="1014">
        <v>94931.199999999997</v>
      </c>
      <c r="S26" s="1014">
        <v>14051.63</v>
      </c>
      <c r="T26" s="1014">
        <v>10671.64</v>
      </c>
      <c r="U26" s="1014">
        <v>20838</v>
      </c>
      <c r="V26" s="1014">
        <v>10842</v>
      </c>
      <c r="W26" s="1014">
        <v>208934.7</v>
      </c>
      <c r="X26" s="1014">
        <v>345.9</v>
      </c>
      <c r="Y26" s="1014">
        <v>50716</v>
      </c>
      <c r="Z26" s="1014">
        <v>556479</v>
      </c>
      <c r="AA26" s="1014">
        <v>283643</v>
      </c>
      <c r="AB26" s="1014">
        <v>208884.1</v>
      </c>
      <c r="AC26" s="1014">
        <v>1112.4000000000001</v>
      </c>
      <c r="AD26" s="1081">
        <v>942</v>
      </c>
      <c r="AE26" s="1014">
        <v>35316.800000000003</v>
      </c>
      <c r="AF26" s="1014">
        <v>25177.7</v>
      </c>
      <c r="AG26" s="1014">
        <v>81712.600000000006</v>
      </c>
      <c r="AH26" s="1014">
        <v>63173.9</v>
      </c>
      <c r="AI26" s="1014">
        <v>64760.9</v>
      </c>
      <c r="AJ26" s="1014">
        <v>52738.7</v>
      </c>
      <c r="AK26" s="1014">
        <v>58505.2</v>
      </c>
      <c r="AL26" s="1014">
        <v>23008.9</v>
      </c>
      <c r="AM26" s="1014">
        <v>16.3</v>
      </c>
      <c r="AN26" s="1014">
        <v>17.3</v>
      </c>
      <c r="AO26" s="1014">
        <v>477550</v>
      </c>
      <c r="AP26" s="1014">
        <v>220531.4</v>
      </c>
      <c r="AQ26" s="1014">
        <v>64652.9</v>
      </c>
      <c r="AR26" s="1014"/>
      <c r="AS26" s="1014">
        <v>445643</v>
      </c>
      <c r="AT26" s="1014">
        <v>196222</v>
      </c>
      <c r="AU26" s="1014">
        <v>77258</v>
      </c>
      <c r="AV26" s="1014">
        <v>4185.8</v>
      </c>
      <c r="AW26" s="1014">
        <v>2785.4</v>
      </c>
      <c r="AX26" s="1014">
        <v>219.7</v>
      </c>
      <c r="AY26" s="1014">
        <v>132.99</v>
      </c>
      <c r="AZ26" s="1014">
        <v>788.96400000000006</v>
      </c>
      <c r="BA26" s="1014">
        <v>336.26799999999997</v>
      </c>
      <c r="BB26" s="1089">
        <v>1786.03</v>
      </c>
      <c r="BC26" s="1014">
        <v>3134.4</v>
      </c>
      <c r="BD26" s="1014">
        <v>491</v>
      </c>
      <c r="BE26" s="1014">
        <v>7034.72</v>
      </c>
      <c r="BF26" s="1014">
        <v>37698.259649122803</v>
      </c>
      <c r="BG26" s="1014">
        <v>11077.241217532101</v>
      </c>
      <c r="BH26" s="1014">
        <v>6255.1</v>
      </c>
      <c r="BI26" s="250">
        <v>2453878.5</v>
      </c>
      <c r="BJ26" s="250">
        <v>478</v>
      </c>
      <c r="BK26" s="1014">
        <v>18870.900000000001</v>
      </c>
      <c r="BL26" s="1014">
        <v>2946501</v>
      </c>
      <c r="BM26" s="1014">
        <v>82447</v>
      </c>
      <c r="BN26" s="1014">
        <v>18605.3</v>
      </c>
      <c r="BO26" s="1014">
        <v>2691085</v>
      </c>
      <c r="BP26" s="1014">
        <v>125431</v>
      </c>
      <c r="BQ26" s="1014">
        <v>15944.4</v>
      </c>
      <c r="BR26" s="1014">
        <v>7930.6</v>
      </c>
      <c r="BS26" s="1014">
        <v>5405.3</v>
      </c>
      <c r="BT26" s="1014">
        <v>1004451</v>
      </c>
      <c r="BU26" s="1014">
        <v>571615</v>
      </c>
      <c r="BV26" s="1014">
        <v>681383</v>
      </c>
      <c r="BW26" s="1014">
        <v>431354</v>
      </c>
      <c r="BX26" s="1324">
        <v>1</v>
      </c>
    </row>
    <row r="27" spans="1:78" s="423" customFormat="1">
      <c r="A27" s="160">
        <v>44951</v>
      </c>
      <c r="B27" s="1014">
        <v>1059.318</v>
      </c>
      <c r="C27" s="1014">
        <v>585.52300000000002</v>
      </c>
      <c r="D27" s="1014">
        <v>6843.3</v>
      </c>
      <c r="E27" s="1312">
        <v>0</v>
      </c>
      <c r="F27" s="1014">
        <v>15891.1</v>
      </c>
      <c r="G27" s="1014">
        <v>4922.2</v>
      </c>
      <c r="H27" s="1014">
        <v>566845</v>
      </c>
      <c r="I27" s="1014">
        <v>261664</v>
      </c>
      <c r="J27" s="1014">
        <v>203394</v>
      </c>
      <c r="K27" s="250">
        <v>14948.1</v>
      </c>
      <c r="L27" s="250">
        <v>7010.3</v>
      </c>
      <c r="M27" s="1014">
        <v>43504.9</v>
      </c>
      <c r="N27" s="1014">
        <v>34602.6</v>
      </c>
      <c r="O27" s="1014">
        <v>136299</v>
      </c>
      <c r="P27" s="1014">
        <v>113071.5</v>
      </c>
      <c r="Q27" s="1014">
        <v>138417.20000000001</v>
      </c>
      <c r="R27" s="1014">
        <v>94943.5</v>
      </c>
      <c r="S27" s="1014">
        <v>14051.63</v>
      </c>
      <c r="T27" s="1014">
        <v>10671.64</v>
      </c>
      <c r="U27" s="1014">
        <v>20989.3</v>
      </c>
      <c r="V27" s="1014">
        <v>10919</v>
      </c>
      <c r="W27" s="1014">
        <v>208958.7</v>
      </c>
      <c r="X27" s="1014">
        <v>345.9</v>
      </c>
      <c r="Y27" s="1014">
        <v>50716</v>
      </c>
      <c r="Z27" s="1014">
        <v>556774</v>
      </c>
      <c r="AA27" s="1014">
        <v>283790</v>
      </c>
      <c r="AB27" s="1014">
        <v>208908.1</v>
      </c>
      <c r="AC27" s="1014">
        <v>1112.4000000000001</v>
      </c>
      <c r="AD27" s="1081">
        <v>942</v>
      </c>
      <c r="AE27" s="1014">
        <v>35318.9</v>
      </c>
      <c r="AF27" s="1014">
        <v>25179.3</v>
      </c>
      <c r="AG27" s="1014">
        <v>81721.600000000006</v>
      </c>
      <c r="AH27" s="1014">
        <v>63180.9</v>
      </c>
      <c r="AI27" s="1014">
        <v>64775.5</v>
      </c>
      <c r="AJ27" s="1014">
        <v>52750.400000000001</v>
      </c>
      <c r="AK27" s="1014">
        <v>58518.5</v>
      </c>
      <c r="AL27" s="1014">
        <v>23014.2</v>
      </c>
      <c r="AM27" s="1014">
        <v>16.3</v>
      </c>
      <c r="AN27" s="1014">
        <v>17.3</v>
      </c>
      <c r="AO27" s="1014">
        <v>477706.5</v>
      </c>
      <c r="AP27" s="1014">
        <v>220599.1</v>
      </c>
      <c r="AQ27" s="1014">
        <v>64658.1</v>
      </c>
      <c r="AR27" s="1014"/>
      <c r="AS27" s="1014">
        <v>445786</v>
      </c>
      <c r="AT27" s="1014">
        <v>196284</v>
      </c>
      <c r="AU27" s="1014">
        <v>77282</v>
      </c>
      <c r="AV27" s="1014">
        <v>4187.6000000000004</v>
      </c>
      <c r="AW27" s="1014">
        <v>2786.8</v>
      </c>
      <c r="AX27" s="1014">
        <v>219.7</v>
      </c>
      <c r="AY27" s="1014">
        <v>132.99</v>
      </c>
      <c r="AZ27" s="1014">
        <v>788.96400000000006</v>
      </c>
      <c r="BA27" s="1014">
        <v>336.26799999999997</v>
      </c>
      <c r="BB27" s="1089">
        <v>1786.03</v>
      </c>
      <c r="BC27" s="1014">
        <v>3136.5</v>
      </c>
      <c r="BD27" s="1014">
        <v>491</v>
      </c>
      <c r="BE27" s="1014">
        <v>7080.74</v>
      </c>
      <c r="BF27" s="1014">
        <v>36460.384210526303</v>
      </c>
      <c r="BG27" s="1014">
        <v>10894.9465087344</v>
      </c>
      <c r="BH27" s="1014">
        <v>6330.2</v>
      </c>
      <c r="BI27" s="250">
        <v>2453878.5</v>
      </c>
      <c r="BJ27" s="250">
        <v>478</v>
      </c>
      <c r="BK27" s="1014">
        <v>18870.900000000001</v>
      </c>
      <c r="BL27" s="1014">
        <v>2951142</v>
      </c>
      <c r="BM27" s="1014">
        <v>83223</v>
      </c>
      <c r="BN27" s="1014">
        <v>18629.3</v>
      </c>
      <c r="BO27" s="1014">
        <v>2694727</v>
      </c>
      <c r="BP27" s="1014">
        <v>125492</v>
      </c>
      <c r="BQ27" s="1014">
        <v>15968.4</v>
      </c>
      <c r="BR27" s="1014">
        <v>7936.8</v>
      </c>
      <c r="BS27" s="1014">
        <v>5409.6</v>
      </c>
      <c r="BT27" s="1014">
        <v>1005081</v>
      </c>
      <c r="BU27" s="1014">
        <v>571990</v>
      </c>
      <c r="BV27" s="1014">
        <v>682276</v>
      </c>
      <c r="BW27" s="1014">
        <v>431912</v>
      </c>
      <c r="BX27" s="1325">
        <v>0</v>
      </c>
    </row>
    <row r="28" spans="1:78">
      <c r="A28" s="160">
        <v>44952</v>
      </c>
      <c r="B28" s="1014">
        <v>1059.318</v>
      </c>
      <c r="C28" s="1014">
        <v>585.52300000000002</v>
      </c>
      <c r="D28" s="1014">
        <v>6843.3</v>
      </c>
      <c r="E28" s="1312">
        <v>0</v>
      </c>
      <c r="F28" s="1014">
        <v>15914.6</v>
      </c>
      <c r="G28" s="1014">
        <v>4929.3</v>
      </c>
      <c r="H28" s="1014">
        <v>567012.1</v>
      </c>
      <c r="I28" s="1014">
        <v>261748.3</v>
      </c>
      <c r="J28" s="1014">
        <v>203418</v>
      </c>
      <c r="K28" s="250">
        <v>14948.1</v>
      </c>
      <c r="L28" s="250">
        <v>7010.3</v>
      </c>
      <c r="M28" s="1014">
        <v>43527.4</v>
      </c>
      <c r="N28" s="1014">
        <v>34619.9</v>
      </c>
      <c r="O28" s="1014">
        <v>136313</v>
      </c>
      <c r="P28" s="1014">
        <v>113083</v>
      </c>
      <c r="Q28" s="1014">
        <v>138434.5</v>
      </c>
      <c r="R28" s="1014">
        <v>94955.6</v>
      </c>
      <c r="S28" s="1014">
        <v>14051.63</v>
      </c>
      <c r="T28" s="1014">
        <v>10671.64</v>
      </c>
      <c r="U28" s="1014">
        <v>21140</v>
      </c>
      <c r="V28" s="1014">
        <v>10996.4</v>
      </c>
      <c r="W28" s="1081">
        <v>208982.7</v>
      </c>
      <c r="X28" s="1014">
        <v>345.9</v>
      </c>
      <c r="Y28" s="1014">
        <v>50716</v>
      </c>
      <c r="Z28" s="1014">
        <v>557058</v>
      </c>
      <c r="AA28" s="1014">
        <v>283931</v>
      </c>
      <c r="AB28" s="1014">
        <v>208932.1</v>
      </c>
      <c r="AC28" s="1014">
        <v>1112.4000000000001</v>
      </c>
      <c r="AD28" s="1081">
        <v>942</v>
      </c>
      <c r="AE28" s="1014">
        <v>35321</v>
      </c>
      <c r="AF28" s="1014">
        <v>25180.799999999999</v>
      </c>
      <c r="AG28" s="1014">
        <v>81730</v>
      </c>
      <c r="AH28" s="1014">
        <v>63187.5</v>
      </c>
      <c r="AI28" s="1014">
        <v>64789.9</v>
      </c>
      <c r="AJ28" s="1014">
        <v>52762</v>
      </c>
      <c r="AK28" s="1014">
        <v>58528.2</v>
      </c>
      <c r="AL28" s="1014">
        <v>23018.1</v>
      </c>
      <c r="AM28" s="1014">
        <v>16.3</v>
      </c>
      <c r="AN28" s="1014">
        <v>17.3</v>
      </c>
      <c r="AO28" s="1014">
        <v>477848</v>
      </c>
      <c r="AP28" s="1014">
        <v>220661</v>
      </c>
      <c r="AQ28" s="1014">
        <v>64663</v>
      </c>
      <c r="AR28" s="1014"/>
      <c r="AS28" s="1014">
        <v>445925</v>
      </c>
      <c r="AT28" s="1014">
        <v>196345</v>
      </c>
      <c r="AU28" s="1014">
        <v>77305.2</v>
      </c>
      <c r="AV28" s="1014">
        <v>4188</v>
      </c>
      <c r="AW28" s="1014">
        <v>2787</v>
      </c>
      <c r="AX28" s="1014">
        <v>219.7</v>
      </c>
      <c r="AY28" s="1014">
        <v>132.99</v>
      </c>
      <c r="AZ28" s="1014">
        <v>788.96400000000006</v>
      </c>
      <c r="BA28" s="1014">
        <v>336.26799999999997</v>
      </c>
      <c r="BB28" s="1089">
        <v>1786.03</v>
      </c>
      <c r="BC28" s="1014">
        <v>3139.2</v>
      </c>
      <c r="BD28" s="1014">
        <v>492.2</v>
      </c>
      <c r="BE28" s="1014">
        <v>7058.8899999999994</v>
      </c>
      <c r="BF28" s="1014">
        <v>36941.531578947361</v>
      </c>
      <c r="BG28" s="1014">
        <v>9445.3332971306827</v>
      </c>
      <c r="BH28" s="1014">
        <v>5914.3499999999995</v>
      </c>
      <c r="BI28" s="250">
        <v>2453878.5</v>
      </c>
      <c r="BJ28" s="250">
        <v>478</v>
      </c>
      <c r="BK28" s="1014">
        <v>18870.900000000001</v>
      </c>
      <c r="BL28" s="1014">
        <v>2955201</v>
      </c>
      <c r="BM28" s="1014">
        <v>83779</v>
      </c>
      <c r="BN28" s="1014">
        <v>18651</v>
      </c>
      <c r="BO28" s="1014">
        <v>2698445</v>
      </c>
      <c r="BP28" s="1014">
        <v>125565</v>
      </c>
      <c r="BQ28" s="1014">
        <v>15992.4</v>
      </c>
      <c r="BR28" s="1014">
        <v>7943</v>
      </c>
      <c r="BS28" s="1014">
        <v>5414</v>
      </c>
      <c r="BT28" s="1014">
        <v>1005501</v>
      </c>
      <c r="BU28" s="1014">
        <v>572248</v>
      </c>
      <c r="BV28" s="1014">
        <v>683253</v>
      </c>
      <c r="BW28" s="1014">
        <v>432513</v>
      </c>
      <c r="BX28" s="1324">
        <v>0</v>
      </c>
    </row>
    <row r="29" spans="1:78" s="423" customFormat="1" ht="11" customHeight="1">
      <c r="A29" s="160">
        <v>44953</v>
      </c>
      <c r="B29" s="1014">
        <v>1059.318</v>
      </c>
      <c r="C29" s="1014">
        <v>585.52300000000002</v>
      </c>
      <c r="D29" s="1014">
        <v>6843.3</v>
      </c>
      <c r="E29" s="1312">
        <v>0</v>
      </c>
      <c r="F29" s="1014">
        <v>15941.6</v>
      </c>
      <c r="G29" s="1014">
        <v>4937.3999999999996</v>
      </c>
      <c r="H29" s="1014">
        <v>567174.19999999995</v>
      </c>
      <c r="I29" s="1014">
        <v>261830.8</v>
      </c>
      <c r="J29" s="1014">
        <v>203442</v>
      </c>
      <c r="K29" s="250">
        <v>14948.1</v>
      </c>
      <c r="L29" s="250">
        <v>7010.3</v>
      </c>
      <c r="M29" s="1014">
        <v>43550.7</v>
      </c>
      <c r="N29" s="1014">
        <v>34638</v>
      </c>
      <c r="O29" s="1014">
        <v>136328</v>
      </c>
      <c r="P29" s="1014">
        <v>113095</v>
      </c>
      <c r="Q29" s="1014">
        <v>138451</v>
      </c>
      <c r="R29" s="1014">
        <v>94967</v>
      </c>
      <c r="S29" s="1014">
        <v>14051.63</v>
      </c>
      <c r="T29" s="1014">
        <v>10671.64</v>
      </c>
      <c r="U29" s="1014">
        <v>21288.400000000001</v>
      </c>
      <c r="V29" s="1014">
        <v>11069.1</v>
      </c>
      <c r="W29" s="1014">
        <v>209006.7</v>
      </c>
      <c r="X29" s="1014">
        <v>345.9</v>
      </c>
      <c r="Y29" s="1014">
        <v>50716</v>
      </c>
      <c r="Z29" s="1014">
        <v>557344</v>
      </c>
      <c r="AA29" s="1014">
        <v>284076</v>
      </c>
      <c r="AB29" s="1014">
        <v>208956.1</v>
      </c>
      <c r="AC29" s="1014">
        <v>1112.4000000000001</v>
      </c>
      <c r="AD29" s="1081">
        <v>942</v>
      </c>
      <c r="AE29" s="1014">
        <v>35323.199999999997</v>
      </c>
      <c r="AF29" s="1014">
        <v>25182.400000000001</v>
      </c>
      <c r="AG29" s="1014">
        <v>81738.5</v>
      </c>
      <c r="AH29" s="1014">
        <v>63194.2</v>
      </c>
      <c r="AI29" s="1014">
        <v>64803.9</v>
      </c>
      <c r="AJ29" s="1014">
        <v>52773.3</v>
      </c>
      <c r="AK29" s="1014">
        <v>58539.1</v>
      </c>
      <c r="AL29" s="1014">
        <v>23022.5</v>
      </c>
      <c r="AM29" s="1014">
        <v>16.3</v>
      </c>
      <c r="AN29" s="1014">
        <v>17.3</v>
      </c>
      <c r="AO29" s="1014">
        <v>477990</v>
      </c>
      <c r="AP29" s="1014">
        <v>220723</v>
      </c>
      <c r="AQ29" s="1014">
        <v>64667.7</v>
      </c>
      <c r="AR29" s="1014"/>
      <c r="AS29" s="1014">
        <v>446068</v>
      </c>
      <c r="AT29" s="1014">
        <v>196407</v>
      </c>
      <c r="AU29" s="1014">
        <v>77329.2</v>
      </c>
      <c r="AV29" s="1014">
        <v>4188.2</v>
      </c>
      <c r="AW29" s="1014">
        <v>2787.2</v>
      </c>
      <c r="AX29" s="1014">
        <v>219.7</v>
      </c>
      <c r="AY29" s="1014">
        <v>132.99</v>
      </c>
      <c r="AZ29" s="1014">
        <v>788.96400000000006</v>
      </c>
      <c r="BA29" s="1014">
        <v>336.26799999999997</v>
      </c>
      <c r="BB29" s="1089">
        <v>1786.03</v>
      </c>
      <c r="BC29" s="1014">
        <v>3142.2</v>
      </c>
      <c r="BD29" s="1014">
        <v>494</v>
      </c>
      <c r="BE29" s="1014">
        <v>7379.0700000000015</v>
      </c>
      <c r="BF29" s="1014">
        <v>38135.370175438591</v>
      </c>
      <c r="BG29" s="1014">
        <v>10918.751012196602</v>
      </c>
      <c r="BH29" s="1014">
        <v>7006.51</v>
      </c>
      <c r="BI29" s="250">
        <v>2453878.5</v>
      </c>
      <c r="BJ29" s="250">
        <v>478</v>
      </c>
      <c r="BK29" s="1014">
        <v>18870.900000000001</v>
      </c>
      <c r="BL29" s="1014">
        <v>2959609</v>
      </c>
      <c r="BM29" s="1014">
        <v>84333</v>
      </c>
      <c r="BN29" s="1014">
        <v>18675</v>
      </c>
      <c r="BO29" s="1014">
        <v>2701923</v>
      </c>
      <c r="BP29" s="1014">
        <v>125614</v>
      </c>
      <c r="BQ29" s="1014">
        <v>16016.4</v>
      </c>
      <c r="BR29" s="1014">
        <v>7949.2</v>
      </c>
      <c r="BS29" s="1014">
        <v>5418.2</v>
      </c>
      <c r="BT29" s="1014">
        <v>1005824</v>
      </c>
      <c r="BU29" s="1014">
        <v>572454</v>
      </c>
      <c r="BV29" s="1014">
        <v>684309</v>
      </c>
      <c r="BW29" s="1014">
        <v>433159</v>
      </c>
      <c r="BX29" s="1372">
        <v>0</v>
      </c>
    </row>
    <row r="30" spans="1:78" s="423" customFormat="1">
      <c r="A30" s="160">
        <v>44954</v>
      </c>
      <c r="B30" s="1014">
        <v>1059.326</v>
      </c>
      <c r="C30" s="1014">
        <v>585.52599999999995</v>
      </c>
      <c r="D30" s="1014">
        <v>6843.7</v>
      </c>
      <c r="E30" s="1312">
        <v>1</v>
      </c>
      <c r="F30" s="250">
        <v>15969.4</v>
      </c>
      <c r="G30" s="250">
        <v>4945.8999999999996</v>
      </c>
      <c r="H30" s="251">
        <v>567339</v>
      </c>
      <c r="I30" s="251">
        <v>261914</v>
      </c>
      <c r="J30" s="251">
        <v>203466</v>
      </c>
      <c r="K30" s="250">
        <v>14948.1</v>
      </c>
      <c r="L30" s="250">
        <v>7010.3</v>
      </c>
      <c r="M30" s="251">
        <v>43576.3</v>
      </c>
      <c r="N30" s="251">
        <v>34658.300000000003</v>
      </c>
      <c r="O30" s="251">
        <v>136344</v>
      </c>
      <c r="P30" s="251">
        <v>113108</v>
      </c>
      <c r="Q30" s="251">
        <v>138467</v>
      </c>
      <c r="R30" s="251">
        <v>94978</v>
      </c>
      <c r="S30" s="1014">
        <v>14051.63</v>
      </c>
      <c r="T30" s="1014">
        <v>10671.64</v>
      </c>
      <c r="U30" s="251">
        <v>21438.1</v>
      </c>
      <c r="V30" s="251">
        <v>11144.7</v>
      </c>
      <c r="W30" s="251">
        <v>209030.7</v>
      </c>
      <c r="X30" s="1014">
        <v>345.9</v>
      </c>
      <c r="Y30" s="1014">
        <v>50716</v>
      </c>
      <c r="Z30" s="251">
        <v>557637</v>
      </c>
      <c r="AA30" s="251">
        <v>284223</v>
      </c>
      <c r="AB30" s="251">
        <v>208980.1</v>
      </c>
      <c r="AC30" s="1014">
        <v>1112.4000000000001</v>
      </c>
      <c r="AD30" s="1081">
        <v>942</v>
      </c>
      <c r="AE30" s="250">
        <v>35325.300000000003</v>
      </c>
      <c r="AF30" s="250">
        <v>25183.9</v>
      </c>
      <c r="AG30" s="251">
        <v>81746</v>
      </c>
      <c r="AH30" s="251">
        <v>63200</v>
      </c>
      <c r="AI30" s="251">
        <v>64818.5</v>
      </c>
      <c r="AJ30" s="251">
        <v>52785.1</v>
      </c>
      <c r="AK30" s="251">
        <v>58552.1</v>
      </c>
      <c r="AL30" s="251">
        <v>23027.599999999999</v>
      </c>
      <c r="AM30" s="1014">
        <v>16.3</v>
      </c>
      <c r="AN30" s="1014">
        <v>17.3</v>
      </c>
      <c r="AO30" s="251">
        <v>478132.8</v>
      </c>
      <c r="AP30" s="251">
        <v>220786.4</v>
      </c>
      <c r="AQ30" s="251">
        <v>64671.8</v>
      </c>
      <c r="AR30" s="1014"/>
      <c r="AS30" s="251">
        <v>446210</v>
      </c>
      <c r="AT30" s="251">
        <v>196469</v>
      </c>
      <c r="AU30" s="251">
        <v>77353.2</v>
      </c>
      <c r="AV30" s="251">
        <v>4188.3</v>
      </c>
      <c r="AW30" s="251">
        <v>2787.4</v>
      </c>
      <c r="AX30" s="1014">
        <v>219.7</v>
      </c>
      <c r="AY30" s="1014">
        <v>132.99</v>
      </c>
      <c r="AZ30" s="1014">
        <v>788.96400000000006</v>
      </c>
      <c r="BA30" s="1014">
        <v>336.26799999999997</v>
      </c>
      <c r="BB30" s="1089">
        <v>1786.03</v>
      </c>
      <c r="BC30" s="251">
        <v>3145.4</v>
      </c>
      <c r="BD30" s="251">
        <v>496</v>
      </c>
      <c r="BE30" s="251">
        <v>6874.29</v>
      </c>
      <c r="BF30" s="251">
        <v>38164.322807017539</v>
      </c>
      <c r="BG30" s="251">
        <v>11446.8495676369</v>
      </c>
      <c r="BH30" s="251">
        <v>6470.8799999999992</v>
      </c>
      <c r="BI30" s="250">
        <v>2453878.5</v>
      </c>
      <c r="BJ30" s="250">
        <v>478</v>
      </c>
      <c r="BK30" s="1014">
        <v>18870.900000000001</v>
      </c>
      <c r="BL30" s="250">
        <v>2964091</v>
      </c>
      <c r="BM30" s="250">
        <v>84945</v>
      </c>
      <c r="BN30" s="250">
        <v>18699</v>
      </c>
      <c r="BO30" s="251">
        <v>2705433</v>
      </c>
      <c r="BP30" s="251">
        <v>125665</v>
      </c>
      <c r="BQ30" s="251">
        <v>16040.4</v>
      </c>
      <c r="BR30" s="251">
        <v>7955.5</v>
      </c>
      <c r="BS30" s="251">
        <v>5422.6</v>
      </c>
      <c r="BT30" s="251">
        <v>1006139</v>
      </c>
      <c r="BU30" s="251">
        <v>572654</v>
      </c>
      <c r="BV30" s="251">
        <v>685358</v>
      </c>
      <c r="BW30" s="251">
        <v>433800</v>
      </c>
      <c r="BX30" s="1372">
        <v>0</v>
      </c>
    </row>
    <row r="31" spans="1:78">
      <c r="A31" s="160">
        <v>44955</v>
      </c>
      <c r="B31" s="1014">
        <v>1059.326</v>
      </c>
      <c r="C31" s="1014">
        <v>585.52599999999995</v>
      </c>
      <c r="D31" s="1014">
        <v>6843.7</v>
      </c>
      <c r="E31" s="1312">
        <v>0</v>
      </c>
      <c r="F31" s="250">
        <v>15997.8</v>
      </c>
      <c r="G31" s="250">
        <v>4954.6000000000004</v>
      </c>
      <c r="H31" s="250">
        <v>567506.9</v>
      </c>
      <c r="I31" s="250">
        <v>261998.8</v>
      </c>
      <c r="J31" s="250">
        <v>203490</v>
      </c>
      <c r="K31" s="250">
        <v>14948.1</v>
      </c>
      <c r="L31" s="250">
        <v>7010.3</v>
      </c>
      <c r="M31" s="250">
        <v>43602.6</v>
      </c>
      <c r="N31" s="250">
        <v>34679.199999999997</v>
      </c>
      <c r="O31" s="250">
        <v>136359.6</v>
      </c>
      <c r="P31" s="250">
        <v>113121.5</v>
      </c>
      <c r="Q31" s="250">
        <v>138483</v>
      </c>
      <c r="R31" s="250">
        <v>94990</v>
      </c>
      <c r="S31" s="1014">
        <v>14051.63</v>
      </c>
      <c r="T31" s="1014">
        <v>10671.64</v>
      </c>
      <c r="U31" s="250">
        <v>21588.1</v>
      </c>
      <c r="V31" s="250">
        <v>11220.5</v>
      </c>
      <c r="W31" s="250">
        <v>209054.7</v>
      </c>
      <c r="X31" s="1014">
        <v>345.9</v>
      </c>
      <c r="Y31" s="1014">
        <v>50716</v>
      </c>
      <c r="Z31" s="250">
        <v>557930</v>
      </c>
      <c r="AA31" s="250">
        <v>284370</v>
      </c>
      <c r="AB31" s="250">
        <v>209004.1</v>
      </c>
      <c r="AC31" s="1014">
        <v>1112.4000000000001</v>
      </c>
      <c r="AD31" s="1081">
        <v>942</v>
      </c>
      <c r="AE31" s="250">
        <v>35327.5</v>
      </c>
      <c r="AF31" s="250">
        <v>25185.5</v>
      </c>
      <c r="AG31" s="250">
        <v>81752.100000000006</v>
      </c>
      <c r="AH31" s="250">
        <v>63204.800000000003</v>
      </c>
      <c r="AI31" s="250">
        <v>64834</v>
      </c>
      <c r="AJ31" s="250">
        <v>52797.5</v>
      </c>
      <c r="AK31" s="250">
        <v>58561.5</v>
      </c>
      <c r="AL31" s="250">
        <v>23031.1</v>
      </c>
      <c r="AM31" s="1014">
        <v>16.3</v>
      </c>
      <c r="AN31" s="1014">
        <v>17.3</v>
      </c>
      <c r="AO31" s="250">
        <v>478274</v>
      </c>
      <c r="AP31" s="250">
        <v>220848</v>
      </c>
      <c r="AQ31" s="422">
        <v>64676.1</v>
      </c>
      <c r="AR31" s="1014"/>
      <c r="AS31" s="250">
        <v>446354</v>
      </c>
      <c r="AT31" s="250">
        <v>196531</v>
      </c>
      <c r="AU31" s="250">
        <v>77377.2</v>
      </c>
      <c r="AV31" s="250">
        <v>4188.8999999999996</v>
      </c>
      <c r="AW31" s="250">
        <v>2787.8</v>
      </c>
      <c r="AX31" s="1014">
        <v>219.7</v>
      </c>
      <c r="AY31" s="1014">
        <v>132.99</v>
      </c>
      <c r="AZ31" s="1014">
        <v>788.96400000000006</v>
      </c>
      <c r="BA31" s="1014">
        <v>336.26799999999997</v>
      </c>
      <c r="BB31" s="1089">
        <v>1786.03</v>
      </c>
      <c r="BC31" s="1014">
        <v>3148.4</v>
      </c>
      <c r="BD31" s="1014">
        <v>497.8</v>
      </c>
      <c r="BE31" s="219">
        <v>6774.5299999999988</v>
      </c>
      <c r="BF31" s="219">
        <v>36168.259649122811</v>
      </c>
      <c r="BG31" s="1015">
        <v>10729.926549251863</v>
      </c>
      <c r="BH31" s="219">
        <v>6106.58</v>
      </c>
      <c r="BI31" s="250">
        <v>2453878.5</v>
      </c>
      <c r="BJ31" s="250">
        <v>478</v>
      </c>
      <c r="BK31" s="1014">
        <v>18870.900000000001</v>
      </c>
      <c r="BL31" s="250">
        <v>2968670</v>
      </c>
      <c r="BM31" s="250">
        <v>85477</v>
      </c>
      <c r="BN31" s="250">
        <v>18723</v>
      </c>
      <c r="BO31" s="1014">
        <v>2709089</v>
      </c>
      <c r="BP31" s="1014">
        <v>125701</v>
      </c>
      <c r="BQ31" s="1014">
        <v>16064.4</v>
      </c>
      <c r="BR31" s="1014">
        <v>7961.9</v>
      </c>
      <c r="BS31" s="1014">
        <v>5427.1</v>
      </c>
      <c r="BT31" s="1014">
        <v>1006454</v>
      </c>
      <c r="BU31" s="1014">
        <v>572854</v>
      </c>
      <c r="BV31" s="1014">
        <v>686446</v>
      </c>
      <c r="BW31" s="1014">
        <v>434460</v>
      </c>
      <c r="BX31" s="1324">
        <v>0</v>
      </c>
    </row>
    <row r="32" spans="1:78">
      <c r="A32" s="160">
        <v>44956</v>
      </c>
      <c r="B32" s="1014">
        <v>1059.53</v>
      </c>
      <c r="C32" s="1014">
        <v>585.59900000000005</v>
      </c>
      <c r="D32" s="1014">
        <v>6844.2</v>
      </c>
      <c r="E32" s="1312">
        <v>1</v>
      </c>
      <c r="F32" s="250">
        <v>16025.8</v>
      </c>
      <c r="G32" s="250">
        <v>4963.3</v>
      </c>
      <c r="H32" s="250">
        <v>567672.1</v>
      </c>
      <c r="I32" s="250">
        <v>262082</v>
      </c>
      <c r="J32" s="250">
        <v>203514</v>
      </c>
      <c r="K32" s="250">
        <v>14948.1</v>
      </c>
      <c r="L32" s="250">
        <v>7010.3</v>
      </c>
      <c r="M32" s="250">
        <v>43628.1</v>
      </c>
      <c r="N32" s="250">
        <v>34699.300000000003</v>
      </c>
      <c r="O32" s="250">
        <v>136375</v>
      </c>
      <c r="P32" s="250">
        <v>113134</v>
      </c>
      <c r="Q32" s="250">
        <v>138500</v>
      </c>
      <c r="R32" s="250">
        <v>95002</v>
      </c>
      <c r="S32" s="1014">
        <v>14051.63</v>
      </c>
      <c r="T32" s="1014">
        <v>10671.64</v>
      </c>
      <c r="U32" s="250">
        <v>21738.1</v>
      </c>
      <c r="V32" s="250">
        <v>11299.8</v>
      </c>
      <c r="W32" s="250">
        <v>209078.7</v>
      </c>
      <c r="X32" s="1014">
        <v>345.9</v>
      </c>
      <c r="Y32" s="1014">
        <v>50716</v>
      </c>
      <c r="Z32" s="250">
        <v>558217.1</v>
      </c>
      <c r="AA32" s="250">
        <v>284509.3</v>
      </c>
      <c r="AB32" s="250">
        <v>209028.1</v>
      </c>
      <c r="AC32" s="1014">
        <v>1112.4000000000001</v>
      </c>
      <c r="AD32" s="1081">
        <v>942</v>
      </c>
      <c r="AE32" s="250">
        <v>35329.699999999997</v>
      </c>
      <c r="AF32" s="250">
        <v>25187.1</v>
      </c>
      <c r="AG32" s="250">
        <v>81757.600000000006</v>
      </c>
      <c r="AH32" s="250">
        <v>63209.1</v>
      </c>
      <c r="AI32" s="250">
        <v>64849.4</v>
      </c>
      <c r="AJ32" s="250">
        <v>52809.9</v>
      </c>
      <c r="AK32" s="250">
        <v>58569.8</v>
      </c>
      <c r="AL32" s="250">
        <v>23034.400000000001</v>
      </c>
      <c r="AM32" s="1014">
        <v>16.3</v>
      </c>
      <c r="AN32" s="1014">
        <v>17.3</v>
      </c>
      <c r="AO32" s="250">
        <v>478415</v>
      </c>
      <c r="AP32" s="250">
        <v>220910</v>
      </c>
      <c r="AQ32" s="422">
        <v>64680.800000000003</v>
      </c>
      <c r="AR32" s="1014"/>
      <c r="AS32" s="250">
        <v>446495</v>
      </c>
      <c r="AT32" s="250">
        <v>196593</v>
      </c>
      <c r="AU32" s="250">
        <v>77401.2</v>
      </c>
      <c r="AV32" s="250">
        <v>4191.2</v>
      </c>
      <c r="AW32" s="250">
        <v>2789.3</v>
      </c>
      <c r="AX32" s="1014">
        <v>219.7</v>
      </c>
      <c r="AY32" s="1014">
        <v>132.99</v>
      </c>
      <c r="AZ32" s="1014">
        <v>788.96400000000006</v>
      </c>
      <c r="BA32" s="1014">
        <v>336.26799999999997</v>
      </c>
      <c r="BB32" s="1089">
        <v>1786.03</v>
      </c>
      <c r="BC32" s="1014">
        <v>3150.8</v>
      </c>
      <c r="BD32" s="1014">
        <v>497.8</v>
      </c>
      <c r="BE32" s="219">
        <v>6993.62</v>
      </c>
      <c r="BF32" s="219">
        <v>34552.380701754388</v>
      </c>
      <c r="BG32" s="1015">
        <v>10585.518551273301</v>
      </c>
      <c r="BH32" s="219">
        <v>5618.69</v>
      </c>
      <c r="BI32" s="250">
        <v>2453878.5</v>
      </c>
      <c r="BJ32" s="250">
        <v>478</v>
      </c>
      <c r="BK32" s="1014">
        <v>18870.900000000001</v>
      </c>
      <c r="BL32" s="250">
        <v>2973183</v>
      </c>
      <c r="BM32" s="250">
        <v>85989</v>
      </c>
      <c r="BN32" s="250">
        <v>18747</v>
      </c>
      <c r="BO32" s="1014">
        <v>2712761</v>
      </c>
      <c r="BP32" s="1014">
        <v>125725</v>
      </c>
      <c r="BQ32" s="1014">
        <v>16088.4</v>
      </c>
      <c r="BR32" s="1014">
        <v>7968.3</v>
      </c>
      <c r="BS32" s="1014">
        <v>5431.5</v>
      </c>
      <c r="BT32" s="1014">
        <v>1006767</v>
      </c>
      <c r="BU32" s="1014">
        <v>573051</v>
      </c>
      <c r="BV32" s="1014">
        <v>687489</v>
      </c>
      <c r="BW32" s="1014">
        <v>435094</v>
      </c>
      <c r="BX32" s="1324">
        <v>0</v>
      </c>
    </row>
    <row r="33" spans="1:76">
      <c r="A33" s="160">
        <v>44957</v>
      </c>
      <c r="B33" s="1014">
        <v>1059.53</v>
      </c>
      <c r="C33" s="1014">
        <v>585.59900000000005</v>
      </c>
      <c r="D33" s="1014">
        <v>6844.2</v>
      </c>
      <c r="E33" s="1312">
        <v>0</v>
      </c>
      <c r="F33" s="1014">
        <v>16053.5</v>
      </c>
      <c r="G33" s="1014">
        <v>4971.5</v>
      </c>
      <c r="H33" s="1014">
        <v>567838.5</v>
      </c>
      <c r="I33" s="1014">
        <v>262165.3</v>
      </c>
      <c r="J33" s="1014">
        <v>203538</v>
      </c>
      <c r="K33" s="250">
        <v>14948.1</v>
      </c>
      <c r="L33" s="250">
        <v>7010.3</v>
      </c>
      <c r="M33" s="1014">
        <v>43653.1</v>
      </c>
      <c r="N33" s="1014">
        <v>34718.800000000003</v>
      </c>
      <c r="O33" s="1014">
        <v>136391.5</v>
      </c>
      <c r="P33" s="1014">
        <v>113148.4</v>
      </c>
      <c r="Q33" s="1014">
        <v>138517.5</v>
      </c>
      <c r="R33" s="1014">
        <v>95014.3</v>
      </c>
      <c r="S33" s="1014">
        <v>14051.63</v>
      </c>
      <c r="T33" s="1014">
        <v>10671.64</v>
      </c>
      <c r="U33" s="1014">
        <v>21887.4</v>
      </c>
      <c r="V33" s="1014">
        <v>11379</v>
      </c>
      <c r="W33" s="1014">
        <v>209102.7</v>
      </c>
      <c r="X33" s="1014">
        <v>345.9</v>
      </c>
      <c r="Y33" s="1014">
        <v>50716</v>
      </c>
      <c r="Z33" s="1014">
        <v>558509</v>
      </c>
      <c r="AA33" s="1014">
        <v>284650.8</v>
      </c>
      <c r="AB33" s="1014">
        <v>209052.1</v>
      </c>
      <c r="AC33" s="1014">
        <v>1112.4000000000001</v>
      </c>
      <c r="AD33" s="1081">
        <v>942</v>
      </c>
      <c r="AE33" s="1014">
        <v>35331.9</v>
      </c>
      <c r="AF33" s="1014">
        <v>25188.6</v>
      </c>
      <c r="AG33" s="1014">
        <v>81763.199999999997</v>
      </c>
      <c r="AH33" s="1014">
        <v>63213.4</v>
      </c>
      <c r="AI33" s="1014">
        <v>64864.2</v>
      </c>
      <c r="AJ33" s="1014">
        <v>52821.9</v>
      </c>
      <c r="AK33" s="1014">
        <v>58582.5</v>
      </c>
      <c r="AL33" s="1014">
        <v>23039</v>
      </c>
      <c r="AM33" s="1014">
        <v>16.3</v>
      </c>
      <c r="AN33" s="1014">
        <v>17.3</v>
      </c>
      <c r="AO33" s="1014">
        <v>478556.9</v>
      </c>
      <c r="AP33" s="1014">
        <v>220975.2</v>
      </c>
      <c r="AQ33" s="1014">
        <v>64685.599999999999</v>
      </c>
      <c r="AR33" s="1014"/>
      <c r="AS33" s="1014">
        <v>446638</v>
      </c>
      <c r="AT33" s="1014">
        <v>196655</v>
      </c>
      <c r="AU33" s="1014">
        <v>77425.2</v>
      </c>
      <c r="AV33" s="1014">
        <v>4191.3999999999996</v>
      </c>
      <c r="AW33" s="1014">
        <v>2789.5</v>
      </c>
      <c r="AX33" s="1014">
        <v>219.7</v>
      </c>
      <c r="AY33" s="1014">
        <v>132.99</v>
      </c>
      <c r="AZ33" s="1014">
        <v>789.08900000000006</v>
      </c>
      <c r="BA33" s="1014">
        <v>336.315</v>
      </c>
      <c r="BB33" s="1089">
        <v>1786.2</v>
      </c>
      <c r="BC33" s="1014">
        <v>3153.8</v>
      </c>
      <c r="BD33" s="1014">
        <v>499.5</v>
      </c>
      <c r="BE33" s="1014">
        <v>7147.18</v>
      </c>
      <c r="BF33" s="1014">
        <v>34874.247368420998</v>
      </c>
      <c r="BG33" s="1014">
        <v>10711.70329784</v>
      </c>
      <c r="BH33" s="1014">
        <v>52733.130666261</v>
      </c>
      <c r="BI33" s="250">
        <v>2453878.5</v>
      </c>
      <c r="BJ33" s="250">
        <v>478</v>
      </c>
      <c r="BK33" s="1014">
        <v>18870.900000000001</v>
      </c>
      <c r="BL33" s="1014">
        <v>2977654</v>
      </c>
      <c r="BM33" s="1014">
        <v>86459</v>
      </c>
      <c r="BN33" s="1014">
        <v>18770.599999999999</v>
      </c>
      <c r="BO33" s="1014">
        <v>2716374</v>
      </c>
      <c r="BP33" s="1014">
        <v>125750</v>
      </c>
      <c r="BQ33" s="1014">
        <v>16112</v>
      </c>
      <c r="BR33" s="1014">
        <v>7974.6</v>
      </c>
      <c r="BS33" s="1014">
        <v>5436</v>
      </c>
      <c r="BT33" s="1014">
        <v>1007056</v>
      </c>
      <c r="BU33" s="1014">
        <v>573240</v>
      </c>
      <c r="BV33" s="1014">
        <v>688555</v>
      </c>
      <c r="BW33" s="1014">
        <v>435746</v>
      </c>
      <c r="BX33" s="1324">
        <v>0</v>
      </c>
    </row>
    <row r="34" spans="1:76" ht="13">
      <c r="A34" s="638"/>
      <c r="B34" s="187"/>
      <c r="C34" s="187"/>
      <c r="D34" s="187"/>
      <c r="E34" s="1313"/>
      <c r="F34" s="187"/>
      <c r="G34" s="187"/>
      <c r="H34" s="183"/>
      <c r="I34" s="183"/>
      <c r="J34" s="184"/>
      <c r="K34" s="188"/>
      <c r="L34" s="187"/>
      <c r="M34" s="187"/>
      <c r="N34" s="187"/>
      <c r="O34" s="187"/>
      <c r="P34" s="384"/>
      <c r="Q34" s="187"/>
      <c r="R34" s="187"/>
      <c r="S34" s="187"/>
      <c r="T34" s="187"/>
      <c r="U34" s="187"/>
      <c r="V34" s="187"/>
      <c r="W34" s="188"/>
      <c r="X34" s="187"/>
      <c r="Y34" s="187"/>
      <c r="Z34" s="185"/>
      <c r="AA34" s="186"/>
      <c r="AB34" s="187"/>
      <c r="AC34" s="187"/>
      <c r="AD34" s="1039"/>
      <c r="AE34" s="187"/>
      <c r="AF34" s="187"/>
      <c r="AG34" s="187"/>
      <c r="AH34" s="187"/>
      <c r="AI34" s="187"/>
      <c r="AJ34" s="187"/>
      <c r="AK34" s="188"/>
      <c r="AL34" s="188"/>
      <c r="AM34" s="187"/>
      <c r="AN34" s="187"/>
      <c r="AO34" s="187"/>
      <c r="AP34" s="187"/>
      <c r="AQ34" s="658"/>
      <c r="AR34" s="680"/>
      <c r="AS34" s="187"/>
      <c r="AT34" s="187"/>
      <c r="AU34" s="187"/>
      <c r="AV34" s="187"/>
      <c r="AW34" s="187"/>
      <c r="AX34" s="187"/>
      <c r="AY34" s="187"/>
      <c r="AZ34" s="187"/>
      <c r="BA34" s="187"/>
      <c r="BB34" s="1796"/>
      <c r="BC34" s="187"/>
      <c r="BD34" s="187"/>
      <c r="BE34" s="187"/>
      <c r="BF34" s="187"/>
      <c r="BG34" s="1016"/>
      <c r="BH34" s="187"/>
      <c r="BI34" s="187"/>
      <c r="BJ34" s="187"/>
      <c r="BK34" s="187"/>
      <c r="BL34" s="187"/>
      <c r="BM34" s="187"/>
      <c r="BN34" s="187"/>
      <c r="BO34" s="187"/>
      <c r="BP34" s="187"/>
      <c r="BQ34" s="187"/>
      <c r="BR34" s="187"/>
      <c r="BS34" s="187"/>
      <c r="BT34" s="187"/>
      <c r="BU34" s="187"/>
      <c r="BV34" s="187"/>
      <c r="BW34" s="1016"/>
      <c r="BX34" s="1017"/>
    </row>
    <row r="35" spans="1:76">
      <c r="A35" s="647">
        <v>44957</v>
      </c>
      <c r="B35" s="250">
        <v>1059.53</v>
      </c>
      <c r="C35" s="250">
        <v>585.59900000000005</v>
      </c>
      <c r="D35" s="1014">
        <v>6844.2</v>
      </c>
      <c r="E35" s="1312">
        <v>0</v>
      </c>
      <c r="F35" s="250">
        <v>16053.5</v>
      </c>
      <c r="G35" s="250">
        <v>4971.5</v>
      </c>
      <c r="H35" s="250">
        <v>567838.5</v>
      </c>
      <c r="I35" s="250">
        <v>262165.3</v>
      </c>
      <c r="J35" s="250">
        <v>203538</v>
      </c>
      <c r="K35" s="219">
        <v>14948.1</v>
      </c>
      <c r="L35" s="250">
        <v>7010.3</v>
      </c>
      <c r="M35" s="250">
        <v>43653.1</v>
      </c>
      <c r="N35" s="250">
        <v>34718.800000000003</v>
      </c>
      <c r="O35" s="250">
        <v>136391.5</v>
      </c>
      <c r="P35" s="250">
        <v>113148.4</v>
      </c>
      <c r="Q35" s="250">
        <v>138517.5</v>
      </c>
      <c r="R35" s="250">
        <v>95014.3</v>
      </c>
      <c r="S35" s="1014">
        <v>14051.63</v>
      </c>
      <c r="T35" s="1014">
        <v>10671.64</v>
      </c>
      <c r="U35" s="250">
        <v>21887.4</v>
      </c>
      <c r="V35" s="250">
        <v>11379</v>
      </c>
      <c r="W35" s="250">
        <v>209102.7</v>
      </c>
      <c r="X35" s="1014">
        <v>345.9</v>
      </c>
      <c r="Y35" s="1014">
        <v>50716</v>
      </c>
      <c r="Z35" s="250">
        <v>558509</v>
      </c>
      <c r="AA35" s="250">
        <v>284650.8</v>
      </c>
      <c r="AB35" s="250">
        <v>209052.1</v>
      </c>
      <c r="AC35" s="1014">
        <v>1112.4000000000001</v>
      </c>
      <c r="AD35" s="1081">
        <v>942</v>
      </c>
      <c r="AE35" s="250">
        <v>35331.9</v>
      </c>
      <c r="AF35" s="250">
        <v>25188.6</v>
      </c>
      <c r="AG35" s="250">
        <v>81763.199999999997</v>
      </c>
      <c r="AH35" s="250">
        <v>63213.4</v>
      </c>
      <c r="AI35" s="250">
        <v>64864.2</v>
      </c>
      <c r="AJ35" s="250">
        <v>52821.9</v>
      </c>
      <c r="AK35" s="250">
        <v>58582.5</v>
      </c>
      <c r="AL35" s="250">
        <v>23039</v>
      </c>
      <c r="AM35" s="250">
        <v>16.3</v>
      </c>
      <c r="AN35" s="250">
        <v>17.3</v>
      </c>
      <c r="AO35" s="250">
        <v>478556.9</v>
      </c>
      <c r="AP35" s="250">
        <v>220975.2</v>
      </c>
      <c r="AQ35" s="422">
        <v>64685.599999999999</v>
      </c>
      <c r="AR35" s="1014"/>
      <c r="AS35" s="250">
        <v>446638</v>
      </c>
      <c r="AT35" s="250">
        <v>196655</v>
      </c>
      <c r="AU35" s="250">
        <v>77425.2</v>
      </c>
      <c r="AV35" s="250">
        <v>4191.3999999999996</v>
      </c>
      <c r="AW35" s="250">
        <v>2789.5</v>
      </c>
      <c r="AX35" s="683">
        <v>219.7</v>
      </c>
      <c r="AY35" s="683">
        <v>132.99</v>
      </c>
      <c r="AZ35" s="250">
        <v>789.08900000000006</v>
      </c>
      <c r="BA35" s="250">
        <v>336.315</v>
      </c>
      <c r="BB35" s="1089">
        <v>1786.2</v>
      </c>
      <c r="BC35" s="1014">
        <v>3153.8</v>
      </c>
      <c r="BD35" s="1014">
        <v>499.5</v>
      </c>
      <c r="BE35" s="219">
        <v>7147.18</v>
      </c>
      <c r="BF35" s="219">
        <v>34874.247368420998</v>
      </c>
      <c r="BG35" s="1015">
        <v>10711.70329784</v>
      </c>
      <c r="BH35" s="219">
        <v>52733.130666261</v>
      </c>
      <c r="BI35" s="1014">
        <v>2453878.5</v>
      </c>
      <c r="BJ35" s="1014">
        <v>478</v>
      </c>
      <c r="BK35" s="1014">
        <v>18870.900000000001</v>
      </c>
      <c r="BL35" s="1014">
        <v>2977654</v>
      </c>
      <c r="BM35" s="1014">
        <v>86459</v>
      </c>
      <c r="BN35" s="1014">
        <v>18770.599999999999</v>
      </c>
      <c r="BO35" s="1014">
        <v>2716374</v>
      </c>
      <c r="BP35" s="1014">
        <v>125750</v>
      </c>
      <c r="BQ35" s="1014">
        <v>16112</v>
      </c>
      <c r="BR35" s="1014">
        <v>7974.6</v>
      </c>
      <c r="BS35" s="1014">
        <v>5436</v>
      </c>
      <c r="BT35" s="1014">
        <v>1007056</v>
      </c>
      <c r="BU35" s="1014">
        <v>573240</v>
      </c>
      <c r="BV35" s="1014">
        <v>688555</v>
      </c>
      <c r="BW35" s="1014">
        <v>435746</v>
      </c>
      <c r="BX35" s="1324">
        <v>0</v>
      </c>
    </row>
    <row r="36" spans="1:76">
      <c r="A36" s="647">
        <v>44958</v>
      </c>
      <c r="B36" s="250">
        <v>1059.53</v>
      </c>
      <c r="C36" s="250">
        <v>585.59900000000005</v>
      </c>
      <c r="D36" s="1014">
        <v>6844.2</v>
      </c>
      <c r="E36" s="1312">
        <v>0</v>
      </c>
      <c r="F36" s="250">
        <v>16080.9</v>
      </c>
      <c r="G36" s="250">
        <v>4980.3</v>
      </c>
      <c r="H36" s="250">
        <v>568005.80000000005</v>
      </c>
      <c r="I36" s="250">
        <v>262250.7</v>
      </c>
      <c r="J36" s="250">
        <v>203562</v>
      </c>
      <c r="K36" s="219">
        <v>14948.1</v>
      </c>
      <c r="L36" s="250">
        <v>7010.3</v>
      </c>
      <c r="M36" s="250">
        <v>43678.9</v>
      </c>
      <c r="N36" s="250">
        <v>34738.800000000003</v>
      </c>
      <c r="O36" s="250">
        <v>136406.79999999999</v>
      </c>
      <c r="P36" s="250">
        <v>113161.3</v>
      </c>
      <c r="Q36" s="250">
        <v>138534.70000000001</v>
      </c>
      <c r="R36" s="250">
        <v>95026</v>
      </c>
      <c r="S36" s="1014">
        <v>14051.63</v>
      </c>
      <c r="T36" s="1014">
        <v>10671.64</v>
      </c>
      <c r="U36" s="250">
        <v>22046</v>
      </c>
      <c r="V36" s="250">
        <v>11464.5</v>
      </c>
      <c r="W36" s="250">
        <v>209126.7</v>
      </c>
      <c r="X36" s="1014">
        <v>345.9</v>
      </c>
      <c r="Y36" s="1014">
        <v>50716</v>
      </c>
      <c r="Z36" s="250">
        <v>558802.9</v>
      </c>
      <c r="AA36" s="250">
        <v>284791.5</v>
      </c>
      <c r="AB36" s="250">
        <v>209076.1</v>
      </c>
      <c r="AC36" s="1014">
        <v>1112.4000000000001</v>
      </c>
      <c r="AD36" s="1081">
        <v>942</v>
      </c>
      <c r="AE36" s="250">
        <v>35334.1</v>
      </c>
      <c r="AF36" s="250">
        <v>25190.3</v>
      </c>
      <c r="AG36" s="250">
        <v>81771.5</v>
      </c>
      <c r="AH36" s="250">
        <v>63219.9</v>
      </c>
      <c r="AI36" s="250">
        <v>64879.1</v>
      </c>
      <c r="AJ36" s="250">
        <v>52834.1</v>
      </c>
      <c r="AK36" s="250">
        <v>58590</v>
      </c>
      <c r="AL36" s="250">
        <v>23041.8</v>
      </c>
      <c r="AM36" s="250">
        <v>16.3</v>
      </c>
      <c r="AN36" s="250">
        <v>17.3</v>
      </c>
      <c r="AO36" s="250">
        <v>478710.3</v>
      </c>
      <c r="AP36" s="250">
        <v>221040.4</v>
      </c>
      <c r="AQ36" s="422">
        <v>64690.400000000001</v>
      </c>
      <c r="AR36" s="1014"/>
      <c r="AS36" s="250">
        <v>446791.8</v>
      </c>
      <c r="AT36" s="250">
        <v>196721.5</v>
      </c>
      <c r="AU36" s="250">
        <v>77449.2</v>
      </c>
      <c r="AV36" s="250">
        <v>4191.6000000000004</v>
      </c>
      <c r="AW36" s="250">
        <v>2789.7</v>
      </c>
      <c r="AX36" s="683">
        <v>219.7</v>
      </c>
      <c r="AY36" s="683">
        <v>132.99</v>
      </c>
      <c r="AZ36" s="250">
        <v>789.08900000000006</v>
      </c>
      <c r="BA36" s="250">
        <v>336.315</v>
      </c>
      <c r="BB36" s="1089">
        <v>1786.2</v>
      </c>
      <c r="BC36" s="1014">
        <v>3156.3</v>
      </c>
      <c r="BD36" s="1014">
        <v>500</v>
      </c>
      <c r="BE36" s="250">
        <v>7007.74</v>
      </c>
      <c r="BF36" s="250">
        <v>37774.221052631576</v>
      </c>
      <c r="BG36" s="1014">
        <v>7946.0901579026704</v>
      </c>
      <c r="BH36" s="250">
        <v>5969.85</v>
      </c>
      <c r="BI36" s="1014">
        <v>2453878.5</v>
      </c>
      <c r="BJ36" s="1014">
        <v>478</v>
      </c>
      <c r="BK36" s="1014">
        <v>18870.900000000001</v>
      </c>
      <c r="BL36" s="1014">
        <v>2981998</v>
      </c>
      <c r="BM36" s="1014">
        <v>87111</v>
      </c>
      <c r="BN36" s="1014">
        <v>18794.599999999999</v>
      </c>
      <c r="BO36" s="1014">
        <v>2719897</v>
      </c>
      <c r="BP36" s="1014">
        <v>125812</v>
      </c>
      <c r="BQ36" s="1014">
        <v>16136</v>
      </c>
      <c r="BR36" s="250">
        <v>7980.8</v>
      </c>
      <c r="BS36" s="250">
        <v>5440.5</v>
      </c>
      <c r="BT36" s="250">
        <v>1007354</v>
      </c>
      <c r="BU36" s="250">
        <v>573427</v>
      </c>
      <c r="BV36" s="250">
        <v>689594</v>
      </c>
      <c r="BW36" s="250">
        <v>436385</v>
      </c>
      <c r="BX36" s="1324">
        <v>0</v>
      </c>
    </row>
    <row r="37" spans="1:76">
      <c r="A37" s="647">
        <v>44959</v>
      </c>
      <c r="B37" s="250">
        <v>1059.53</v>
      </c>
      <c r="C37" s="250">
        <v>585.59900000000005</v>
      </c>
      <c r="D37" s="1014">
        <v>6844.2</v>
      </c>
      <c r="E37" s="1312">
        <v>0</v>
      </c>
      <c r="F37" s="250">
        <v>16108.6</v>
      </c>
      <c r="G37" s="250">
        <v>4988.8999999999996</v>
      </c>
      <c r="H37" s="250">
        <v>568068.5</v>
      </c>
      <c r="I37" s="250">
        <v>262282.3</v>
      </c>
      <c r="J37" s="250">
        <v>203571.15</v>
      </c>
      <c r="K37" s="219">
        <v>14948.1</v>
      </c>
      <c r="L37" s="250">
        <v>7010.3</v>
      </c>
      <c r="M37" s="250">
        <v>43707.199999999997</v>
      </c>
      <c r="N37" s="250">
        <v>34760.699999999997</v>
      </c>
      <c r="O37" s="250">
        <v>136416.70000000001</v>
      </c>
      <c r="P37" s="250">
        <v>113169.2</v>
      </c>
      <c r="Q37" s="250">
        <v>138551.9</v>
      </c>
      <c r="R37" s="250">
        <v>95037.8</v>
      </c>
      <c r="S37" s="1014">
        <v>14051.63</v>
      </c>
      <c r="T37" s="1014">
        <v>10671.64</v>
      </c>
      <c r="U37" s="250">
        <v>22159.200000000001</v>
      </c>
      <c r="V37" s="250">
        <v>11522.5</v>
      </c>
      <c r="W37" s="250">
        <v>209150.7</v>
      </c>
      <c r="X37" s="1014">
        <v>345.9</v>
      </c>
      <c r="Y37" s="1014">
        <v>50716</v>
      </c>
      <c r="Z37" s="250">
        <v>559024.6</v>
      </c>
      <c r="AA37" s="250">
        <v>284900.59999999998</v>
      </c>
      <c r="AB37" s="250">
        <v>209100.1</v>
      </c>
      <c r="AC37" s="1014">
        <v>1112.4000000000001</v>
      </c>
      <c r="AD37" s="1081">
        <v>942</v>
      </c>
      <c r="AE37" s="250">
        <v>35336.400000000001</v>
      </c>
      <c r="AF37" s="250">
        <v>25191.9</v>
      </c>
      <c r="AG37" s="250">
        <v>81777</v>
      </c>
      <c r="AH37" s="250">
        <v>63224.2</v>
      </c>
      <c r="AI37" s="250">
        <v>64894.1</v>
      </c>
      <c r="AJ37" s="250">
        <v>52846.5</v>
      </c>
      <c r="AK37" s="250">
        <v>58600.3</v>
      </c>
      <c r="AL37" s="250">
        <v>23045.8</v>
      </c>
      <c r="AM37" s="250">
        <v>16.3</v>
      </c>
      <c r="AN37" s="250">
        <v>17.3</v>
      </c>
      <c r="AO37" s="250">
        <v>478854.8</v>
      </c>
      <c r="AP37" s="250">
        <v>221104</v>
      </c>
      <c r="AQ37" s="422">
        <v>64695.3</v>
      </c>
      <c r="AR37" s="1014"/>
      <c r="AS37" s="250">
        <v>446936.9</v>
      </c>
      <c r="AT37" s="250">
        <v>196784.5</v>
      </c>
      <c r="AU37" s="250">
        <v>77473.2</v>
      </c>
      <c r="AV37" s="250">
        <v>4191.8</v>
      </c>
      <c r="AW37" s="250">
        <v>2789.8</v>
      </c>
      <c r="AX37" s="683">
        <v>219.7</v>
      </c>
      <c r="AY37" s="683">
        <v>132.99</v>
      </c>
      <c r="AZ37" s="250">
        <v>789.08900000000006</v>
      </c>
      <c r="BA37" s="250">
        <v>336.315</v>
      </c>
      <c r="BB37" s="1089">
        <v>1786.2</v>
      </c>
      <c r="BC37" s="1014">
        <v>3158.7</v>
      </c>
      <c r="BD37" s="1014">
        <v>500</v>
      </c>
      <c r="BE37" s="250">
        <v>6974.55</v>
      </c>
      <c r="BF37" s="250">
        <v>32859.4368421053</v>
      </c>
      <c r="BG37" s="1014">
        <v>8896.5311370029594</v>
      </c>
      <c r="BH37" s="250">
        <v>6449.55</v>
      </c>
      <c r="BI37" s="1014">
        <v>2453878.5</v>
      </c>
      <c r="BJ37" s="1014">
        <v>478</v>
      </c>
      <c r="BK37" s="1014">
        <v>18870.900000000001</v>
      </c>
      <c r="BL37" s="1014">
        <v>2986335</v>
      </c>
      <c r="BM37" s="1014">
        <v>87641</v>
      </c>
      <c r="BN37" s="1014">
        <v>18818.599999999999</v>
      </c>
      <c r="BO37" s="250">
        <v>2723284</v>
      </c>
      <c r="BP37" s="250">
        <v>125874</v>
      </c>
      <c r="BQ37" s="250">
        <v>16160</v>
      </c>
      <c r="BR37" s="250">
        <v>7987.1</v>
      </c>
      <c r="BS37" s="250">
        <v>5445</v>
      </c>
      <c r="BT37" s="250">
        <v>1007670</v>
      </c>
      <c r="BU37" s="250">
        <v>573631</v>
      </c>
      <c r="BV37" s="250">
        <v>690212</v>
      </c>
      <c r="BW37" s="250">
        <v>436744</v>
      </c>
      <c r="BX37" s="1324">
        <v>0</v>
      </c>
    </row>
    <row r="38" spans="1:76">
      <c r="A38" s="647">
        <v>44960</v>
      </c>
      <c r="B38" s="250">
        <v>1059.53</v>
      </c>
      <c r="C38" s="250">
        <v>585.59900000000005</v>
      </c>
      <c r="D38" s="1014">
        <v>6844.2</v>
      </c>
      <c r="E38" s="1312">
        <v>0</v>
      </c>
      <c r="F38" s="250">
        <v>16137.3</v>
      </c>
      <c r="G38" s="250">
        <v>4997.8</v>
      </c>
      <c r="H38" s="250">
        <v>568233.5</v>
      </c>
      <c r="I38" s="250">
        <v>262367</v>
      </c>
      <c r="J38" s="250">
        <v>203595.2</v>
      </c>
      <c r="K38" s="219">
        <v>14948.1</v>
      </c>
      <c r="L38" s="250">
        <v>7010.3</v>
      </c>
      <c r="M38" s="250">
        <v>43732.45</v>
      </c>
      <c r="N38" s="250">
        <v>34780.120000000003</v>
      </c>
      <c r="O38" s="250">
        <v>136428.19</v>
      </c>
      <c r="P38" s="250">
        <v>113178.8</v>
      </c>
      <c r="Q38" s="250">
        <v>138568.79</v>
      </c>
      <c r="R38" s="250">
        <v>95049.54</v>
      </c>
      <c r="S38" s="1014">
        <v>14051.63</v>
      </c>
      <c r="T38" s="1014">
        <v>10671.64</v>
      </c>
      <c r="U38" s="250">
        <v>22306.28</v>
      </c>
      <c r="V38" s="250">
        <v>11599.647000000001</v>
      </c>
      <c r="W38" s="250">
        <v>209174.7</v>
      </c>
      <c r="X38" s="1014">
        <v>345.9</v>
      </c>
      <c r="Y38" s="1014">
        <v>50716</v>
      </c>
      <c r="Z38" s="250">
        <v>559317.99</v>
      </c>
      <c r="AA38" s="250">
        <v>285042.19</v>
      </c>
      <c r="AB38" s="250">
        <v>209124.1</v>
      </c>
      <c r="AC38" s="1014">
        <v>1112.4000000000001</v>
      </c>
      <c r="AD38" s="1081">
        <v>942</v>
      </c>
      <c r="AE38" s="250">
        <v>35338.65</v>
      </c>
      <c r="AF38" s="250">
        <v>25193.59</v>
      </c>
      <c r="AG38" s="250">
        <v>81785.899999999994</v>
      </c>
      <c r="AH38" s="250">
        <v>63231.18</v>
      </c>
      <c r="AI38" s="250">
        <v>64907.97</v>
      </c>
      <c r="AJ38" s="250">
        <v>52857.26</v>
      </c>
      <c r="AK38" s="250">
        <v>58611.3</v>
      </c>
      <c r="AL38" s="250">
        <v>23050.1</v>
      </c>
      <c r="AM38" s="250">
        <v>16.3</v>
      </c>
      <c r="AN38" s="250">
        <v>17.3</v>
      </c>
      <c r="AO38" s="250">
        <v>478999.4</v>
      </c>
      <c r="AP38" s="250">
        <v>221167.4</v>
      </c>
      <c r="AQ38" s="422">
        <v>64700.031000000003</v>
      </c>
      <c r="AR38" s="1014"/>
      <c r="AS38" s="250">
        <v>447082.82</v>
      </c>
      <c r="AT38" s="250">
        <v>196847.75899999999</v>
      </c>
      <c r="AU38" s="250">
        <v>77497.2</v>
      </c>
      <c r="AV38" s="250">
        <v>4191.9799999999996</v>
      </c>
      <c r="AW38" s="250">
        <v>2790.04</v>
      </c>
      <c r="AX38" s="683">
        <v>219.7</v>
      </c>
      <c r="AY38" s="683">
        <v>132.99</v>
      </c>
      <c r="AZ38" s="250">
        <v>789.08900000000006</v>
      </c>
      <c r="BA38" s="250">
        <v>336.315</v>
      </c>
      <c r="BB38" s="1089">
        <v>1786.2</v>
      </c>
      <c r="BC38" s="1014">
        <v>3161.1</v>
      </c>
      <c r="BD38" s="1014">
        <v>500.8</v>
      </c>
      <c r="BE38" s="250">
        <v>7043.9</v>
      </c>
      <c r="BF38" s="250">
        <v>33132.417543859599</v>
      </c>
      <c r="BG38" s="1014">
        <v>9077.7117075228507</v>
      </c>
      <c r="BH38" s="250">
        <v>6144.15</v>
      </c>
      <c r="BI38" s="1014">
        <v>2453878.5</v>
      </c>
      <c r="BJ38" s="1014">
        <v>478</v>
      </c>
      <c r="BK38" s="1014">
        <v>18870.900000000001</v>
      </c>
      <c r="BL38" s="1014">
        <v>2990905</v>
      </c>
      <c r="BM38" s="1014">
        <v>88158</v>
      </c>
      <c r="BN38" s="1014">
        <v>18842.599999999999</v>
      </c>
      <c r="BO38" s="250">
        <v>2726968</v>
      </c>
      <c r="BP38" s="250">
        <v>125929</v>
      </c>
      <c r="BQ38" s="250">
        <v>16184</v>
      </c>
      <c r="BR38" s="250">
        <v>7993.58</v>
      </c>
      <c r="BS38" s="250">
        <v>5449.49</v>
      </c>
      <c r="BT38" s="250">
        <v>1007979</v>
      </c>
      <c r="BU38" s="250">
        <v>573827</v>
      </c>
      <c r="BV38" s="250">
        <v>691020</v>
      </c>
      <c r="BW38" s="250">
        <v>437237</v>
      </c>
      <c r="BX38" s="1324">
        <v>0</v>
      </c>
    </row>
    <row r="39" spans="1:76">
      <c r="A39" s="647">
        <v>44961</v>
      </c>
      <c r="B39" s="250">
        <v>1059.53</v>
      </c>
      <c r="C39" s="250">
        <v>585.59900000000005</v>
      </c>
      <c r="D39" s="1014">
        <v>6844.2</v>
      </c>
      <c r="E39" s="1312">
        <v>0</v>
      </c>
      <c r="F39" s="250">
        <v>16166.1</v>
      </c>
      <c r="G39" s="250">
        <v>5007.3999999999996</v>
      </c>
      <c r="H39" s="250">
        <v>568398.18000000005</v>
      </c>
      <c r="I39" s="250">
        <v>262451.8</v>
      </c>
      <c r="J39" s="250">
        <v>203619.20000000001</v>
      </c>
      <c r="K39" s="219">
        <v>14948.1</v>
      </c>
      <c r="L39" s="250">
        <v>7010.3</v>
      </c>
      <c r="M39" s="250">
        <v>43756.9</v>
      </c>
      <c r="N39" s="250">
        <v>34799.14</v>
      </c>
      <c r="O39" s="250">
        <v>136442.04999999999</v>
      </c>
      <c r="P39" s="250">
        <v>113189.94</v>
      </c>
      <c r="Q39" s="250">
        <v>138585.22</v>
      </c>
      <c r="R39" s="250">
        <v>95061.33</v>
      </c>
      <c r="S39" s="1014">
        <v>14051.63</v>
      </c>
      <c r="T39" s="1014">
        <v>10671.64</v>
      </c>
      <c r="U39" s="250">
        <v>22451.56</v>
      </c>
      <c r="V39" s="250">
        <v>11675.35</v>
      </c>
      <c r="W39" s="250">
        <v>209198.7</v>
      </c>
      <c r="X39" s="1014">
        <v>345.9</v>
      </c>
      <c r="Y39" s="1014">
        <v>50716</v>
      </c>
      <c r="Z39" s="250">
        <v>559627.56999999995</v>
      </c>
      <c r="AA39" s="250">
        <v>285192.93</v>
      </c>
      <c r="AB39" s="250">
        <v>209148.1</v>
      </c>
      <c r="AC39" s="1014">
        <v>1112.4000000000001</v>
      </c>
      <c r="AD39" s="1081">
        <v>942</v>
      </c>
      <c r="AE39" s="250">
        <v>35340.89</v>
      </c>
      <c r="AF39" s="250">
        <v>25195.23</v>
      </c>
      <c r="AG39" s="250">
        <v>81794.62</v>
      </c>
      <c r="AH39" s="250">
        <v>63238.04</v>
      </c>
      <c r="AI39" s="250">
        <v>64922.28</v>
      </c>
      <c r="AJ39" s="250">
        <v>52868.62</v>
      </c>
      <c r="AK39" s="250">
        <v>58630.8</v>
      </c>
      <c r="AL39" s="250">
        <v>23057.7</v>
      </c>
      <c r="AM39" s="250">
        <v>16.3</v>
      </c>
      <c r="AN39" s="250">
        <v>17.3</v>
      </c>
      <c r="AO39" s="250">
        <v>479149.4</v>
      </c>
      <c r="AP39" s="250">
        <v>221233.5</v>
      </c>
      <c r="AQ39" s="422">
        <v>64704.218000000001</v>
      </c>
      <c r="AR39" s="1014"/>
      <c r="AS39" s="250">
        <v>447233.34</v>
      </c>
      <c r="AT39" s="250">
        <v>196912.65</v>
      </c>
      <c r="AU39" s="250">
        <v>77521.2</v>
      </c>
      <c r="AV39" s="250">
        <v>4193</v>
      </c>
      <c r="AW39" s="250">
        <v>2790.73</v>
      </c>
      <c r="AX39" s="683">
        <v>220.01</v>
      </c>
      <c r="AY39" s="683">
        <v>133.16</v>
      </c>
      <c r="AZ39" s="250">
        <v>789.08900000000006</v>
      </c>
      <c r="BA39" s="250">
        <v>336.315</v>
      </c>
      <c r="BB39" s="1089">
        <v>1786.2</v>
      </c>
      <c r="BC39" s="1014">
        <v>3163.9</v>
      </c>
      <c r="BD39" s="1014">
        <v>502.1</v>
      </c>
      <c r="BE39" s="250">
        <v>8897.0300000000007</v>
      </c>
      <c r="BF39" s="250">
        <v>34924.592982456103</v>
      </c>
      <c r="BG39" s="1014">
        <v>11100.5175604262</v>
      </c>
      <c r="BH39" s="250">
        <v>5962.11</v>
      </c>
      <c r="BI39" s="1014">
        <v>2453878.5</v>
      </c>
      <c r="BJ39" s="1014">
        <v>478</v>
      </c>
      <c r="BK39" s="1014">
        <v>18870.900000000001</v>
      </c>
      <c r="BL39" s="1014">
        <v>2995487</v>
      </c>
      <c r="BM39" s="1014">
        <v>88831</v>
      </c>
      <c r="BN39" s="1014">
        <v>18866.599999999999</v>
      </c>
      <c r="BO39" s="250">
        <v>2730639</v>
      </c>
      <c r="BP39" s="250">
        <v>125990</v>
      </c>
      <c r="BQ39" s="250">
        <v>16208</v>
      </c>
      <c r="BR39" s="250">
        <v>8000.02</v>
      </c>
      <c r="BS39" s="250">
        <v>5453.99</v>
      </c>
      <c r="BT39" s="250">
        <v>1008309</v>
      </c>
      <c r="BU39" s="250">
        <v>574035</v>
      </c>
      <c r="BV39" s="250">
        <v>691523</v>
      </c>
      <c r="BW39" s="250">
        <v>437517</v>
      </c>
      <c r="BX39" s="1324">
        <v>0</v>
      </c>
    </row>
    <row r="40" spans="1:76">
      <c r="A40" s="647">
        <v>44962</v>
      </c>
      <c r="B40" s="250">
        <v>1059.53</v>
      </c>
      <c r="C40" s="250">
        <v>585.59900000000005</v>
      </c>
      <c r="D40" s="1014">
        <v>6844.2</v>
      </c>
      <c r="E40" s="1312">
        <v>0</v>
      </c>
      <c r="F40" s="250">
        <v>16195.7</v>
      </c>
      <c r="G40" s="250">
        <v>5017.6000000000004</v>
      </c>
      <c r="H40" s="250">
        <v>568563.9</v>
      </c>
      <c r="I40" s="250">
        <v>262535.90000000002</v>
      </c>
      <c r="J40" s="250">
        <v>203643.2</v>
      </c>
      <c r="K40" s="219">
        <v>14948.1</v>
      </c>
      <c r="L40" s="250">
        <v>7010.3</v>
      </c>
      <c r="M40" s="250">
        <v>43781.599999999999</v>
      </c>
      <c r="N40" s="250">
        <v>34818.410000000003</v>
      </c>
      <c r="O40" s="250">
        <v>136454.78</v>
      </c>
      <c r="P40" s="250">
        <v>113200.72</v>
      </c>
      <c r="Q40" s="250">
        <v>138601.73000000001</v>
      </c>
      <c r="R40" s="250">
        <v>95073.05</v>
      </c>
      <c r="S40" s="1014">
        <v>14051.63</v>
      </c>
      <c r="T40" s="1014">
        <v>10671.64</v>
      </c>
      <c r="U40" s="250">
        <v>22598.639999999999</v>
      </c>
      <c r="V40" s="250">
        <v>11748.74</v>
      </c>
      <c r="W40" s="250">
        <v>209222.7</v>
      </c>
      <c r="X40" s="1014">
        <v>345.9</v>
      </c>
      <c r="Y40" s="1014">
        <v>50716</v>
      </c>
      <c r="Z40" s="250">
        <v>559931.68000000005</v>
      </c>
      <c r="AA40" s="250">
        <v>285344</v>
      </c>
      <c r="AB40" s="250">
        <v>209172.1</v>
      </c>
      <c r="AC40" s="1014">
        <v>1112.4000000000001</v>
      </c>
      <c r="AD40" s="1081">
        <v>942</v>
      </c>
      <c r="AE40" s="250">
        <v>35343.15</v>
      </c>
      <c r="AF40" s="250">
        <v>25196.9</v>
      </c>
      <c r="AG40" s="250">
        <v>81803.3</v>
      </c>
      <c r="AH40" s="250">
        <v>63244.85</v>
      </c>
      <c r="AI40" s="250">
        <v>64936.79</v>
      </c>
      <c r="AJ40" s="250">
        <v>52880.12</v>
      </c>
      <c r="AK40" s="250">
        <v>58641.4</v>
      </c>
      <c r="AL40" s="250">
        <v>23061.8</v>
      </c>
      <c r="AM40" s="250">
        <v>16.3</v>
      </c>
      <c r="AN40" s="250">
        <v>17.3</v>
      </c>
      <c r="AO40" s="250">
        <v>479301.5</v>
      </c>
      <c r="AP40" s="250">
        <v>221300.5</v>
      </c>
      <c r="AQ40" s="422">
        <v>64708.468000000001</v>
      </c>
      <c r="AR40" s="1014"/>
      <c r="AS40" s="250">
        <v>447386.2</v>
      </c>
      <c r="AT40" s="250">
        <v>196978.53</v>
      </c>
      <c r="AU40" s="250">
        <v>77545.2</v>
      </c>
      <c r="AV40" s="250">
        <v>4194.7</v>
      </c>
      <c r="AW40" s="250">
        <v>2791.88</v>
      </c>
      <c r="AX40" s="683">
        <v>220.01</v>
      </c>
      <c r="AY40" s="683">
        <v>133.16</v>
      </c>
      <c r="AZ40" s="250">
        <v>789.08900000000006</v>
      </c>
      <c r="BA40" s="250">
        <v>336.315</v>
      </c>
      <c r="BB40" s="1089">
        <v>1786.2</v>
      </c>
      <c r="BC40" s="1014">
        <v>3167.1</v>
      </c>
      <c r="BD40" s="1014">
        <v>504.1</v>
      </c>
      <c r="BE40" s="250">
        <v>7845.48</v>
      </c>
      <c r="BF40" s="250">
        <v>36057.196491228096</v>
      </c>
      <c r="BG40" s="1014">
        <v>11008.588177839199</v>
      </c>
      <c r="BH40" s="250">
        <v>5313.07</v>
      </c>
      <c r="BI40" s="1014">
        <v>2453878.5</v>
      </c>
      <c r="BJ40" s="1014">
        <v>478</v>
      </c>
      <c r="BK40" s="1014">
        <v>18870.900000000001</v>
      </c>
      <c r="BL40" s="1014">
        <v>3000079</v>
      </c>
      <c r="BM40" s="1014">
        <v>89732</v>
      </c>
      <c r="BN40" s="1014">
        <v>18890.599999999999</v>
      </c>
      <c r="BO40" s="250">
        <v>2734419</v>
      </c>
      <c r="BP40" s="250">
        <v>126037</v>
      </c>
      <c r="BQ40" s="250">
        <v>16232</v>
      </c>
      <c r="BR40" s="250">
        <v>8006.54</v>
      </c>
      <c r="BS40" s="250">
        <v>5458.54</v>
      </c>
      <c r="BT40" s="250">
        <v>1008842</v>
      </c>
      <c r="BU40" s="250">
        <v>574343</v>
      </c>
      <c r="BV40" s="250">
        <v>691750</v>
      </c>
      <c r="BW40" s="250">
        <v>437652</v>
      </c>
      <c r="BX40" s="1324">
        <v>0</v>
      </c>
    </row>
    <row r="41" spans="1:76">
      <c r="A41" s="647">
        <v>44963</v>
      </c>
      <c r="B41" s="250">
        <v>1059.53</v>
      </c>
      <c r="C41" s="250">
        <v>585.59900000000005</v>
      </c>
      <c r="D41" s="1014">
        <v>6844.2</v>
      </c>
      <c r="E41" s="1312">
        <v>0</v>
      </c>
      <c r="F41" s="250">
        <v>16225.3</v>
      </c>
      <c r="G41" s="250">
        <v>5028.1000000000004</v>
      </c>
      <c r="H41" s="250">
        <v>568727.9</v>
      </c>
      <c r="I41" s="250">
        <v>262619.8</v>
      </c>
      <c r="J41" s="250">
        <v>203667.20000000001</v>
      </c>
      <c r="K41" s="219">
        <v>14948.1</v>
      </c>
      <c r="L41" s="250">
        <v>7010.3</v>
      </c>
      <c r="M41" s="250">
        <v>43807.5</v>
      </c>
      <c r="N41" s="250">
        <v>34838.71</v>
      </c>
      <c r="O41" s="250">
        <v>136467.42000000001</v>
      </c>
      <c r="P41" s="250">
        <v>113211.59</v>
      </c>
      <c r="Q41" s="250">
        <v>138618.72</v>
      </c>
      <c r="R41" s="250">
        <v>95084.92</v>
      </c>
      <c r="S41" s="1014">
        <v>14051.63</v>
      </c>
      <c r="T41" s="1014">
        <v>10671.64</v>
      </c>
      <c r="U41" s="250">
        <v>22745.18</v>
      </c>
      <c r="V41" s="250">
        <v>11823.73</v>
      </c>
      <c r="W41" s="250">
        <v>209246.7</v>
      </c>
      <c r="X41" s="1014">
        <v>345.9</v>
      </c>
      <c r="Y41" s="1014">
        <v>50716</v>
      </c>
      <c r="Z41" s="250">
        <v>560235.24</v>
      </c>
      <c r="AA41" s="250">
        <v>285496.02</v>
      </c>
      <c r="AB41" s="250">
        <v>209196.1</v>
      </c>
      <c r="AC41" s="1014">
        <v>1112.4000000000001</v>
      </c>
      <c r="AD41" s="1081">
        <v>942</v>
      </c>
      <c r="AE41" s="250">
        <v>35345.51</v>
      </c>
      <c r="AF41" s="250">
        <v>25198.63</v>
      </c>
      <c r="AG41" s="250">
        <v>81812.22</v>
      </c>
      <c r="AH41" s="250">
        <v>63251.839999999997</v>
      </c>
      <c r="AI41" s="250">
        <v>64951.07</v>
      </c>
      <c r="AJ41" s="250">
        <v>52891.42</v>
      </c>
      <c r="AK41" s="250">
        <v>58650.5</v>
      </c>
      <c r="AL41" s="250">
        <v>23065.3</v>
      </c>
      <c r="AM41" s="250">
        <v>16.3</v>
      </c>
      <c r="AN41" s="250">
        <v>17.3</v>
      </c>
      <c r="AO41" s="250">
        <v>479452.9</v>
      </c>
      <c r="AP41" s="250">
        <v>221367.2</v>
      </c>
      <c r="AQ41" s="422">
        <v>64713.248</v>
      </c>
      <c r="AR41" s="1014"/>
      <c r="AS41" s="250">
        <v>447538.63</v>
      </c>
      <c r="AT41" s="250">
        <v>197044.24</v>
      </c>
      <c r="AU41" s="250">
        <v>77569.2</v>
      </c>
      <c r="AV41" s="250">
        <v>4196.57</v>
      </c>
      <c r="AW41" s="250">
        <v>2793.17</v>
      </c>
      <c r="AX41" s="683">
        <v>220.01</v>
      </c>
      <c r="AY41" s="683">
        <v>133.16</v>
      </c>
      <c r="AZ41" s="250">
        <v>789.08900000000006</v>
      </c>
      <c r="BA41" s="250">
        <v>336.315</v>
      </c>
      <c r="BB41" s="1089">
        <v>1786.2</v>
      </c>
      <c r="BC41" s="1014">
        <v>3170.4</v>
      </c>
      <c r="BD41" s="1014">
        <v>506.3</v>
      </c>
      <c r="BE41" s="250">
        <v>7425.51</v>
      </c>
      <c r="BF41" s="250">
        <v>35812.564912280701</v>
      </c>
      <c r="BG41" s="1014">
        <v>10452.6718740381</v>
      </c>
      <c r="BH41" s="250">
        <v>6383.82</v>
      </c>
      <c r="BI41" s="1014">
        <v>2453878.5</v>
      </c>
      <c r="BJ41" s="1014">
        <v>478</v>
      </c>
      <c r="BK41" s="1014">
        <v>18870.900000000001</v>
      </c>
      <c r="BL41" s="250">
        <v>3004653</v>
      </c>
      <c r="BM41" s="250">
        <v>90616</v>
      </c>
      <c r="BN41" s="250">
        <v>18914.599999999999</v>
      </c>
      <c r="BO41" s="250">
        <v>2738108</v>
      </c>
      <c r="BP41" s="250">
        <v>126133</v>
      </c>
      <c r="BQ41" s="250">
        <v>16256</v>
      </c>
      <c r="BR41" s="250">
        <v>8013.08</v>
      </c>
      <c r="BS41" s="250">
        <v>5463.1</v>
      </c>
      <c r="BT41" s="250">
        <v>1009376</v>
      </c>
      <c r="BU41" s="250">
        <v>574654</v>
      </c>
      <c r="BV41" s="250">
        <v>691940</v>
      </c>
      <c r="BW41" s="250">
        <v>437773</v>
      </c>
      <c r="BX41" s="1324">
        <v>0</v>
      </c>
    </row>
    <row r="42" spans="1:76" s="423" customFormat="1">
      <c r="A42" s="647">
        <v>44964</v>
      </c>
      <c r="B42" s="250">
        <v>1059.8610000000001</v>
      </c>
      <c r="C42" s="250">
        <v>585.71500000000003</v>
      </c>
      <c r="D42" s="1014">
        <v>6845</v>
      </c>
      <c r="E42" s="1312">
        <v>0.3</v>
      </c>
      <c r="F42" s="250">
        <v>16254.9</v>
      </c>
      <c r="G42" s="250">
        <v>5038</v>
      </c>
      <c r="H42" s="251">
        <v>568892.6</v>
      </c>
      <c r="I42" s="251">
        <v>262703.8</v>
      </c>
      <c r="J42" s="251">
        <v>203691.2</v>
      </c>
      <c r="K42" s="219">
        <v>14948.1</v>
      </c>
      <c r="L42" s="250">
        <v>7010.3</v>
      </c>
      <c r="M42" s="251">
        <v>43835.6</v>
      </c>
      <c r="N42" s="251">
        <v>34860.6</v>
      </c>
      <c r="O42" s="251">
        <v>136481.70000000001</v>
      </c>
      <c r="P42" s="251">
        <v>113223.6</v>
      </c>
      <c r="Q42" s="251">
        <v>138635.9</v>
      </c>
      <c r="R42" s="251">
        <v>95097</v>
      </c>
      <c r="S42" s="1014">
        <v>14051.63</v>
      </c>
      <c r="T42" s="1014">
        <v>10671.64</v>
      </c>
      <c r="U42" s="251">
        <v>22894</v>
      </c>
      <c r="V42" s="251">
        <v>11906</v>
      </c>
      <c r="W42" s="251">
        <v>209270.7</v>
      </c>
      <c r="X42" s="1014">
        <v>345.9</v>
      </c>
      <c r="Y42" s="1014">
        <v>50716</v>
      </c>
      <c r="Z42" s="251">
        <v>560553</v>
      </c>
      <c r="AA42" s="251">
        <v>285648</v>
      </c>
      <c r="AB42" s="251">
        <v>209220.1</v>
      </c>
      <c r="AC42" s="1014">
        <v>1112.4000000000001</v>
      </c>
      <c r="AD42" s="1081">
        <v>942</v>
      </c>
      <c r="AE42" s="251">
        <v>35348</v>
      </c>
      <c r="AF42" s="251">
        <v>25200.400000000001</v>
      </c>
      <c r="AG42" s="251">
        <v>81822.600000000006</v>
      </c>
      <c r="AH42" s="251">
        <v>63260</v>
      </c>
      <c r="AI42" s="251">
        <v>64965.1</v>
      </c>
      <c r="AJ42" s="251">
        <v>52902.5</v>
      </c>
      <c r="AK42" s="250">
        <v>58664.5</v>
      </c>
      <c r="AL42" s="250">
        <v>23070.7</v>
      </c>
      <c r="AM42" s="250">
        <v>16.3</v>
      </c>
      <c r="AN42" s="250">
        <v>17.3</v>
      </c>
      <c r="AO42" s="251">
        <v>479608</v>
      </c>
      <c r="AP42" s="251">
        <v>221435</v>
      </c>
      <c r="AQ42" s="725">
        <v>64718</v>
      </c>
      <c r="AR42" s="1014"/>
      <c r="AS42" s="251">
        <v>447694</v>
      </c>
      <c r="AT42" s="251">
        <v>197111</v>
      </c>
      <c r="AU42" s="251">
        <v>77593.2</v>
      </c>
      <c r="AV42" s="250">
        <v>4198.8</v>
      </c>
      <c r="AW42" s="250">
        <v>2794.8</v>
      </c>
      <c r="AX42" s="683">
        <v>220.07</v>
      </c>
      <c r="AY42" s="683">
        <v>133.19999999999999</v>
      </c>
      <c r="AZ42" s="250">
        <v>789.45399999999995</v>
      </c>
      <c r="BA42" s="250">
        <v>336.45299999999997</v>
      </c>
      <c r="BB42" s="1089">
        <v>1786.5</v>
      </c>
      <c r="BC42" s="1014">
        <v>3173.2</v>
      </c>
      <c r="BD42" s="1014">
        <v>507.2</v>
      </c>
      <c r="BE42" s="251">
        <v>7464.93</v>
      </c>
      <c r="BF42" s="251">
        <v>35711.026315789502</v>
      </c>
      <c r="BG42" s="1081">
        <v>9376.9763618846591</v>
      </c>
      <c r="BH42" s="251">
        <v>6224.21</v>
      </c>
      <c r="BI42" s="1014">
        <v>2453878.5</v>
      </c>
      <c r="BJ42" s="1014">
        <v>478</v>
      </c>
      <c r="BK42" s="1014">
        <v>18870.900000000001</v>
      </c>
      <c r="BL42" s="251">
        <v>3009294</v>
      </c>
      <c r="BM42" s="251">
        <v>91264</v>
      </c>
      <c r="BN42" s="251">
        <v>18938.599999999999</v>
      </c>
      <c r="BO42" s="250">
        <v>2741772</v>
      </c>
      <c r="BP42" s="250">
        <v>126171</v>
      </c>
      <c r="BQ42" s="250">
        <v>16280</v>
      </c>
      <c r="BR42" s="251">
        <v>8019.7</v>
      </c>
      <c r="BS42" s="251">
        <v>5467.7</v>
      </c>
      <c r="BT42" s="251">
        <v>1009886</v>
      </c>
      <c r="BU42" s="251">
        <v>574958</v>
      </c>
      <c r="BV42" s="251">
        <v>692196</v>
      </c>
      <c r="BW42" s="251">
        <v>437938</v>
      </c>
      <c r="BX42" s="1325">
        <v>0.4</v>
      </c>
    </row>
    <row r="43" spans="1:76">
      <c r="A43" s="647">
        <v>44965</v>
      </c>
      <c r="B43" s="250">
        <v>1059.8610000000001</v>
      </c>
      <c r="C43" s="250">
        <v>585.71500000000003</v>
      </c>
      <c r="D43" s="1014">
        <v>6845</v>
      </c>
      <c r="E43" s="1312">
        <v>0</v>
      </c>
      <c r="F43" s="250">
        <v>16281.6</v>
      </c>
      <c r="G43" s="250">
        <v>5049.5</v>
      </c>
      <c r="H43" s="250">
        <v>569045.4</v>
      </c>
      <c r="I43" s="250">
        <v>262782.2</v>
      </c>
      <c r="J43" s="250">
        <v>203713.8</v>
      </c>
      <c r="K43" s="219">
        <v>14948.1</v>
      </c>
      <c r="L43" s="250">
        <v>7010.3</v>
      </c>
      <c r="M43" s="250">
        <v>43863.8</v>
      </c>
      <c r="N43" s="250">
        <v>34882.699999999997</v>
      </c>
      <c r="O43" s="250">
        <v>136494.39999999999</v>
      </c>
      <c r="P43" s="250">
        <v>113234.4</v>
      </c>
      <c r="Q43" s="250">
        <v>138653.29999999999</v>
      </c>
      <c r="R43" s="250">
        <v>95109</v>
      </c>
      <c r="S43" s="1014">
        <v>14051.63</v>
      </c>
      <c r="T43" s="1014">
        <v>10671.64</v>
      </c>
      <c r="U43" s="250">
        <v>23020</v>
      </c>
      <c r="V43" s="250">
        <v>11970</v>
      </c>
      <c r="W43" s="250">
        <v>209291.5</v>
      </c>
      <c r="X43" s="1014">
        <v>345.9</v>
      </c>
      <c r="Y43" s="1014">
        <v>50716</v>
      </c>
      <c r="Z43" s="250">
        <v>560867</v>
      </c>
      <c r="AA43" s="250">
        <v>285808</v>
      </c>
      <c r="AB43" s="251">
        <v>209244.1</v>
      </c>
      <c r="AC43" s="1014">
        <v>1112.4000000000001</v>
      </c>
      <c r="AD43" s="1081">
        <v>942</v>
      </c>
      <c r="AE43" s="250">
        <v>35348</v>
      </c>
      <c r="AF43" s="250">
        <v>25202</v>
      </c>
      <c r="AG43" s="250">
        <v>81832.399999999994</v>
      </c>
      <c r="AH43" s="250">
        <v>63267.7</v>
      </c>
      <c r="AI43" s="250">
        <v>64979.1</v>
      </c>
      <c r="AJ43" s="250">
        <v>52913.599999999999</v>
      </c>
      <c r="AK43" s="250">
        <v>58674.3</v>
      </c>
      <c r="AL43" s="250">
        <v>23074.7</v>
      </c>
      <c r="AM43" s="250">
        <v>16.399999999999999</v>
      </c>
      <c r="AN43" s="250">
        <v>17.399999999999999</v>
      </c>
      <c r="AO43" s="250">
        <v>479760</v>
      </c>
      <c r="AP43" s="250">
        <v>221502</v>
      </c>
      <c r="AQ43" s="422">
        <v>64723</v>
      </c>
      <c r="AR43" s="1014"/>
      <c r="AS43" s="250">
        <v>447848</v>
      </c>
      <c r="AT43" s="250">
        <v>197178</v>
      </c>
      <c r="AU43" s="250">
        <v>77617.2</v>
      </c>
      <c r="AV43" s="250">
        <v>4201.3</v>
      </c>
      <c r="AW43" s="250">
        <v>2796.6</v>
      </c>
      <c r="AX43" s="683">
        <v>220.07</v>
      </c>
      <c r="AY43" s="683">
        <v>133.19999999999999</v>
      </c>
      <c r="AZ43" s="250">
        <v>791.75</v>
      </c>
      <c r="BA43" s="250">
        <v>337.346</v>
      </c>
      <c r="BB43" s="385">
        <v>1789.21</v>
      </c>
      <c r="BC43" s="1014">
        <v>3175.6</v>
      </c>
      <c r="BD43" s="1014">
        <v>507.2</v>
      </c>
      <c r="BE43" s="250">
        <v>6577.46</v>
      </c>
      <c r="BF43" s="250">
        <v>36788.028070175402</v>
      </c>
      <c r="BG43" s="1014">
        <v>9224.3719454490601</v>
      </c>
      <c r="BH43" s="250">
        <v>5811.35</v>
      </c>
      <c r="BI43" s="1014">
        <v>2455945.5</v>
      </c>
      <c r="BJ43" s="1014">
        <v>478</v>
      </c>
      <c r="BK43" s="1014">
        <v>18886.8</v>
      </c>
      <c r="BL43" s="250">
        <v>3013964</v>
      </c>
      <c r="BM43" s="250">
        <v>91933</v>
      </c>
      <c r="BN43" s="250">
        <v>18962.599999999999</v>
      </c>
      <c r="BO43" s="250">
        <v>2743025</v>
      </c>
      <c r="BP43" s="250">
        <v>126181</v>
      </c>
      <c r="BQ43" s="250">
        <v>16294.3</v>
      </c>
      <c r="BR43" s="250">
        <v>8025.9</v>
      </c>
      <c r="BS43" s="250">
        <v>5472</v>
      </c>
      <c r="BT43" s="250">
        <v>1010696</v>
      </c>
      <c r="BU43" s="250">
        <v>575416</v>
      </c>
      <c r="BV43" s="250">
        <v>692402</v>
      </c>
      <c r="BW43" s="250">
        <v>438072</v>
      </c>
      <c r="BX43" s="1325">
        <v>2.2999999999999998</v>
      </c>
    </row>
    <row r="44" spans="1:76">
      <c r="A44" s="647">
        <v>44966</v>
      </c>
      <c r="B44" s="250">
        <v>1059.8610000000001</v>
      </c>
      <c r="C44" s="250">
        <v>585.71500000000003</v>
      </c>
      <c r="D44" s="1014">
        <v>6845</v>
      </c>
      <c r="E44" s="1312">
        <v>0</v>
      </c>
      <c r="F44" s="250">
        <v>16310.9</v>
      </c>
      <c r="G44" s="250">
        <v>5064.5</v>
      </c>
      <c r="H44" s="250">
        <v>569209</v>
      </c>
      <c r="I44" s="250">
        <v>262866</v>
      </c>
      <c r="J44" s="250">
        <v>203737.8</v>
      </c>
      <c r="K44" s="219">
        <v>14948.1</v>
      </c>
      <c r="L44" s="250">
        <v>7010.3</v>
      </c>
      <c r="M44" s="250">
        <v>43892.1</v>
      </c>
      <c r="N44" s="250">
        <v>34905</v>
      </c>
      <c r="O44" s="250">
        <v>136507.20000000001</v>
      </c>
      <c r="P44" s="250">
        <v>113245.3</v>
      </c>
      <c r="Q44" s="250">
        <v>138670.20000000001</v>
      </c>
      <c r="R44" s="250">
        <v>95120.8</v>
      </c>
      <c r="S44" s="1014">
        <v>14051.63</v>
      </c>
      <c r="T44" s="1014">
        <v>10671.64</v>
      </c>
      <c r="U44" s="250">
        <v>23166</v>
      </c>
      <c r="V44" s="250">
        <v>12044</v>
      </c>
      <c r="W44" s="250">
        <v>209315.5</v>
      </c>
      <c r="X44" s="1014">
        <v>345.9</v>
      </c>
      <c r="Y44" s="1014">
        <v>50716</v>
      </c>
      <c r="Z44" s="250">
        <v>561170</v>
      </c>
      <c r="AA44" s="250">
        <v>285966</v>
      </c>
      <c r="AB44" s="250">
        <v>209268.1</v>
      </c>
      <c r="AC44" s="1014">
        <v>1112.4000000000001</v>
      </c>
      <c r="AD44" s="1081">
        <v>942</v>
      </c>
      <c r="AE44" s="250">
        <v>35352.400000000001</v>
      </c>
      <c r="AF44" s="250">
        <v>25203.5</v>
      </c>
      <c r="AG44" s="250">
        <v>81842.5</v>
      </c>
      <c r="AH44" s="250">
        <v>63275.6</v>
      </c>
      <c r="AI44" s="250">
        <v>64993.5</v>
      </c>
      <c r="AJ44" s="250">
        <v>52925</v>
      </c>
      <c r="AK44" s="250">
        <v>58683.9</v>
      </c>
      <c r="AL44" s="250">
        <v>23078.400000000001</v>
      </c>
      <c r="AM44" s="250">
        <v>16.399999999999999</v>
      </c>
      <c r="AN44" s="250">
        <v>17.399999999999999</v>
      </c>
      <c r="AO44" s="250">
        <v>479912</v>
      </c>
      <c r="AP44" s="250">
        <v>221569</v>
      </c>
      <c r="AQ44" s="422">
        <v>64728</v>
      </c>
      <c r="AR44" s="1014"/>
      <c r="AS44" s="250">
        <v>448000</v>
      </c>
      <c r="AT44" s="250">
        <v>197243</v>
      </c>
      <c r="AU44" s="250">
        <v>77641</v>
      </c>
      <c r="AV44" s="250">
        <v>4203.7</v>
      </c>
      <c r="AW44" s="250">
        <v>2798.4</v>
      </c>
      <c r="AX44" s="683">
        <v>220.2</v>
      </c>
      <c r="AY44" s="683">
        <v>133.27000000000001</v>
      </c>
      <c r="AZ44" s="250">
        <v>791.75</v>
      </c>
      <c r="BA44" s="250">
        <v>337.346</v>
      </c>
      <c r="BB44" s="385">
        <v>1789.21</v>
      </c>
      <c r="BC44" s="1014">
        <v>3178</v>
      </c>
      <c r="BD44" s="1014">
        <v>507.2</v>
      </c>
      <c r="BE44" s="250">
        <v>7160.34</v>
      </c>
      <c r="BF44" s="250">
        <v>36251.303508771904</v>
      </c>
      <c r="BG44" s="1014">
        <v>10071.429160822199</v>
      </c>
      <c r="BH44" s="250">
        <v>6178.38</v>
      </c>
      <c r="BI44" s="1014">
        <v>2458729.5</v>
      </c>
      <c r="BJ44" s="1014">
        <v>479</v>
      </c>
      <c r="BK44" s="1014">
        <v>18910.8</v>
      </c>
      <c r="BL44" s="250">
        <v>3018690</v>
      </c>
      <c r="BM44" s="250">
        <v>92834</v>
      </c>
      <c r="BN44" s="250">
        <v>18986.599999999999</v>
      </c>
      <c r="BO44" s="250">
        <v>2743025</v>
      </c>
      <c r="BP44" s="250">
        <v>126181</v>
      </c>
      <c r="BQ44" s="250">
        <v>16294.3</v>
      </c>
      <c r="BR44" s="250">
        <v>8032</v>
      </c>
      <c r="BS44" s="250">
        <v>5476.2</v>
      </c>
      <c r="BT44" s="250">
        <v>1011878</v>
      </c>
      <c r="BU44" s="250">
        <v>576070</v>
      </c>
      <c r="BV44" s="250">
        <v>692712</v>
      </c>
      <c r="BW44" s="250">
        <v>438262</v>
      </c>
      <c r="BX44" s="1324">
        <v>0</v>
      </c>
    </row>
    <row r="45" spans="1:76">
      <c r="A45" s="647">
        <v>44967</v>
      </c>
      <c r="B45" s="250">
        <v>1059.8610000000001</v>
      </c>
      <c r="C45" s="250">
        <v>585.71500000000003</v>
      </c>
      <c r="D45" s="1014">
        <v>6845</v>
      </c>
      <c r="E45" s="1312">
        <v>0</v>
      </c>
      <c r="F45" s="250">
        <v>16337.8</v>
      </c>
      <c r="G45" s="250">
        <v>5078.6000000000004</v>
      </c>
      <c r="H45" s="250">
        <v>569374</v>
      </c>
      <c r="I45" s="250">
        <v>262950</v>
      </c>
      <c r="J45" s="250">
        <v>203761.8</v>
      </c>
      <c r="K45" s="219">
        <v>14948.1</v>
      </c>
      <c r="L45" s="250">
        <v>7010.3</v>
      </c>
      <c r="M45" s="250">
        <v>43921.599999999999</v>
      </c>
      <c r="N45" s="250">
        <v>34928.199999999997</v>
      </c>
      <c r="O45" s="250">
        <v>136519.70000000001</v>
      </c>
      <c r="P45" s="250">
        <v>113256.1</v>
      </c>
      <c r="Q45" s="250">
        <v>138687.5</v>
      </c>
      <c r="R45" s="250">
        <v>95132.7</v>
      </c>
      <c r="S45" s="1014">
        <v>14051.63</v>
      </c>
      <c r="T45" s="1014">
        <v>10671.64</v>
      </c>
      <c r="U45" s="250">
        <v>23316</v>
      </c>
      <c r="V45" s="250">
        <v>12124</v>
      </c>
      <c r="W45" s="250">
        <v>209339.5</v>
      </c>
      <c r="X45" s="1014">
        <v>345.9</v>
      </c>
      <c r="Y45" s="1014">
        <v>50716</v>
      </c>
      <c r="Z45" s="250">
        <v>561460</v>
      </c>
      <c r="AA45" s="250">
        <v>286116</v>
      </c>
      <c r="AB45" s="250">
        <v>209292.1</v>
      </c>
      <c r="AC45" s="1014">
        <v>1112.4000000000001</v>
      </c>
      <c r="AD45" s="1081">
        <v>942</v>
      </c>
      <c r="AE45" s="250">
        <v>35354.699999999997</v>
      </c>
      <c r="AF45" s="250">
        <v>25205.1</v>
      </c>
      <c r="AG45" s="250">
        <v>81852.2</v>
      </c>
      <c r="AH45" s="250">
        <v>63283.199999999997</v>
      </c>
      <c r="AI45" s="250">
        <v>65007.9</v>
      </c>
      <c r="AJ45" s="250">
        <v>52936.4</v>
      </c>
      <c r="AK45" s="250">
        <v>58693.1</v>
      </c>
      <c r="AL45" s="250">
        <v>23082.1</v>
      </c>
      <c r="AM45" s="250">
        <v>16.399999999999999</v>
      </c>
      <c r="AN45" s="250">
        <v>17.399999999999999</v>
      </c>
      <c r="AO45" s="250">
        <v>480052</v>
      </c>
      <c r="AP45" s="250">
        <v>221631</v>
      </c>
      <c r="AQ45" s="422">
        <v>64734</v>
      </c>
      <c r="AR45" s="1014"/>
      <c r="AS45" s="250">
        <v>448140</v>
      </c>
      <c r="AT45" s="250">
        <v>197304</v>
      </c>
      <c r="AU45" s="250">
        <v>77665</v>
      </c>
      <c r="AV45" s="250">
        <v>4205.7</v>
      </c>
      <c r="AW45" s="250">
        <v>2799.8</v>
      </c>
      <c r="AX45" s="683">
        <v>220.2</v>
      </c>
      <c r="AY45" s="683">
        <v>133.27000000000001</v>
      </c>
      <c r="AZ45" s="250">
        <v>791.75</v>
      </c>
      <c r="BA45" s="250">
        <v>337.346</v>
      </c>
      <c r="BB45" s="385">
        <v>1789.21</v>
      </c>
      <c r="BC45" s="1014">
        <v>3180.4</v>
      </c>
      <c r="BD45" s="1014">
        <v>507.3</v>
      </c>
      <c r="BE45" s="250">
        <v>7254.96</v>
      </c>
      <c r="BF45" s="250">
        <v>25762.298245614031</v>
      </c>
      <c r="BG45" s="1014">
        <v>8495.8320425128495</v>
      </c>
      <c r="BH45" s="250">
        <v>5645.38</v>
      </c>
      <c r="BI45" s="1014">
        <v>2458729.5</v>
      </c>
      <c r="BJ45" s="1014">
        <v>479</v>
      </c>
      <c r="BK45" s="1014">
        <v>18922.8</v>
      </c>
      <c r="BL45" s="250">
        <v>3023286</v>
      </c>
      <c r="BM45" s="250">
        <v>93545</v>
      </c>
      <c r="BN45" s="250">
        <v>19010.599999999999</v>
      </c>
      <c r="BO45" s="250">
        <v>2743025</v>
      </c>
      <c r="BP45" s="250">
        <v>126181</v>
      </c>
      <c r="BQ45" s="250">
        <v>16294.3</v>
      </c>
      <c r="BR45" s="250">
        <v>8038.2</v>
      </c>
      <c r="BS45" s="250">
        <v>5480.4</v>
      </c>
      <c r="BT45" s="250">
        <v>1013060</v>
      </c>
      <c r="BU45" s="250">
        <v>576722</v>
      </c>
      <c r="BV45" s="250">
        <v>692894</v>
      </c>
      <c r="BW45" s="250">
        <v>438380</v>
      </c>
      <c r="BX45" s="1324">
        <v>0</v>
      </c>
    </row>
    <row r="46" spans="1:76">
      <c r="A46" s="647">
        <v>44968</v>
      </c>
      <c r="B46" s="250">
        <v>1059.8610000000001</v>
      </c>
      <c r="C46" s="250">
        <v>585.71500000000003</v>
      </c>
      <c r="D46" s="1014">
        <v>6845</v>
      </c>
      <c r="E46" s="1312">
        <v>0</v>
      </c>
      <c r="F46" s="250">
        <v>16362.2</v>
      </c>
      <c r="G46" s="250">
        <v>5092.1000000000004</v>
      </c>
      <c r="H46" s="250">
        <v>569540</v>
      </c>
      <c r="I46" s="250">
        <v>263034</v>
      </c>
      <c r="J46" s="250">
        <v>203785.8</v>
      </c>
      <c r="K46" s="219">
        <v>14948.1</v>
      </c>
      <c r="L46" s="250">
        <v>7010.3</v>
      </c>
      <c r="M46" s="250">
        <v>43951</v>
      </c>
      <c r="N46" s="250">
        <v>34952.300000000003</v>
      </c>
      <c r="O46" s="250">
        <v>136534.70000000001</v>
      </c>
      <c r="P46" s="250">
        <v>113268.8</v>
      </c>
      <c r="Q46" s="250">
        <v>138704.4</v>
      </c>
      <c r="R46" s="250">
        <v>95144.5</v>
      </c>
      <c r="S46" s="1014">
        <v>14051.63</v>
      </c>
      <c r="T46" s="1014">
        <v>10671.64</v>
      </c>
      <c r="U46" s="250">
        <v>23464</v>
      </c>
      <c r="V46" s="250">
        <v>12202</v>
      </c>
      <c r="W46" s="250">
        <v>209363.5</v>
      </c>
      <c r="X46" s="1014">
        <v>345.9</v>
      </c>
      <c r="Y46" s="1014">
        <v>50716</v>
      </c>
      <c r="Z46" s="250">
        <v>561744</v>
      </c>
      <c r="AA46" s="250">
        <v>286264</v>
      </c>
      <c r="AB46" s="250">
        <v>209316.1</v>
      </c>
      <c r="AC46" s="1014">
        <v>1112.4000000000001</v>
      </c>
      <c r="AD46" s="1081">
        <v>942</v>
      </c>
      <c r="AE46" s="250">
        <v>35357</v>
      </c>
      <c r="AF46" s="250">
        <v>25206.7</v>
      </c>
      <c r="AG46" s="250">
        <v>81862.3</v>
      </c>
      <c r="AH46" s="250">
        <v>63291.1</v>
      </c>
      <c r="AI46" s="250">
        <v>65021.4</v>
      </c>
      <c r="AJ46" s="250">
        <v>52947.1</v>
      </c>
      <c r="AK46" s="250">
        <v>58703.1</v>
      </c>
      <c r="AL46" s="250">
        <v>23086.1</v>
      </c>
      <c r="AM46" s="250">
        <v>16.399999999999999</v>
      </c>
      <c r="AN46" s="250">
        <v>17.399999999999999</v>
      </c>
      <c r="AO46" s="250">
        <v>480183</v>
      </c>
      <c r="AP46" s="250">
        <v>221689</v>
      </c>
      <c r="AQ46" s="422">
        <v>64739</v>
      </c>
      <c r="AR46" s="1014"/>
      <c r="AS46" s="250">
        <v>448272</v>
      </c>
      <c r="AT46" s="250">
        <v>197362</v>
      </c>
      <c r="AU46" s="250">
        <v>77689</v>
      </c>
      <c r="AV46" s="250">
        <v>4207.2</v>
      </c>
      <c r="AW46" s="250">
        <v>2801</v>
      </c>
      <c r="AX46" s="683">
        <v>220.2</v>
      </c>
      <c r="AY46" s="683">
        <v>133.27000000000001</v>
      </c>
      <c r="AZ46" s="250">
        <v>791.75</v>
      </c>
      <c r="BA46" s="250">
        <v>337.346</v>
      </c>
      <c r="BB46" s="385">
        <v>1789.21</v>
      </c>
      <c r="BC46" s="1014">
        <v>3182.5</v>
      </c>
      <c r="BD46" s="1014">
        <v>507.3</v>
      </c>
      <c r="BE46" s="250">
        <v>6860.02</v>
      </c>
      <c r="BF46" s="250">
        <v>21295.638596491201</v>
      </c>
      <c r="BG46" s="1014">
        <v>6887.7146854211196</v>
      </c>
      <c r="BH46" s="250">
        <v>5816.82</v>
      </c>
      <c r="BI46" s="1014">
        <v>2458729.5</v>
      </c>
      <c r="BJ46" s="1014">
        <v>479</v>
      </c>
      <c r="BK46" s="1014">
        <v>18922.8</v>
      </c>
      <c r="BL46" s="250">
        <v>3028000</v>
      </c>
      <c r="BM46" s="250">
        <v>94053</v>
      </c>
      <c r="BN46" s="250">
        <v>19034.599999999999</v>
      </c>
      <c r="BO46" s="250">
        <v>2743025</v>
      </c>
      <c r="BP46" s="250">
        <v>126181</v>
      </c>
      <c r="BQ46" s="250">
        <v>16294.3</v>
      </c>
      <c r="BR46" s="250">
        <v>8044.3</v>
      </c>
      <c r="BS46" s="250">
        <v>5484.6</v>
      </c>
      <c r="BT46" s="250">
        <v>1014234</v>
      </c>
      <c r="BU46" s="250">
        <v>577368</v>
      </c>
      <c r="BV46" s="250">
        <v>693084</v>
      </c>
      <c r="BW46" s="250">
        <v>438498</v>
      </c>
      <c r="BX46" s="1324">
        <v>0</v>
      </c>
    </row>
    <row r="47" spans="1:76">
      <c r="A47" s="647">
        <v>44969</v>
      </c>
      <c r="B47" s="250">
        <v>1059.8610000000001</v>
      </c>
      <c r="C47" s="250">
        <v>585.71500000000003</v>
      </c>
      <c r="D47" s="1014">
        <v>6845</v>
      </c>
      <c r="E47" s="1312">
        <v>0</v>
      </c>
      <c r="F47" s="250">
        <v>16389.599999999999</v>
      </c>
      <c r="G47" s="250">
        <v>5105.3999999999996</v>
      </c>
      <c r="H47" s="250">
        <v>569700</v>
      </c>
      <c r="I47" s="250">
        <v>263118</v>
      </c>
      <c r="J47" s="250">
        <v>203809.8</v>
      </c>
      <c r="K47" s="219">
        <v>14948.1</v>
      </c>
      <c r="L47" s="250">
        <v>7010.3</v>
      </c>
      <c r="M47" s="250">
        <v>43979.199999999997</v>
      </c>
      <c r="N47" s="250">
        <v>34973.300000000003</v>
      </c>
      <c r="O47" s="250">
        <v>136550.79999999999</v>
      </c>
      <c r="P47" s="250">
        <v>113282.3</v>
      </c>
      <c r="Q47" s="250">
        <v>138721.4</v>
      </c>
      <c r="R47" s="250">
        <v>95156.4</v>
      </c>
      <c r="S47" s="1014">
        <v>14051.63</v>
      </c>
      <c r="T47" s="1014">
        <v>10671.64</v>
      </c>
      <c r="U47" s="250">
        <v>23614</v>
      </c>
      <c r="V47" s="250">
        <v>12280</v>
      </c>
      <c r="W47" s="250">
        <v>209387.5</v>
      </c>
      <c r="X47" s="1014">
        <v>345.9</v>
      </c>
      <c r="Y47" s="1014">
        <v>50716</v>
      </c>
      <c r="Z47" s="250">
        <v>562032</v>
      </c>
      <c r="AA47" s="250">
        <v>286414</v>
      </c>
      <c r="AB47" s="250">
        <v>209340.1</v>
      </c>
      <c r="AC47" s="1014">
        <v>1112.4000000000001</v>
      </c>
      <c r="AD47" s="1081">
        <v>942</v>
      </c>
      <c r="AE47" s="250">
        <v>35359.300000000003</v>
      </c>
      <c r="AF47" s="250">
        <v>25208.3</v>
      </c>
      <c r="AG47" s="250">
        <v>81870.600000000006</v>
      </c>
      <c r="AH47" s="250">
        <v>63297.599999999999</v>
      </c>
      <c r="AI47" s="250">
        <v>65035.5</v>
      </c>
      <c r="AJ47" s="250">
        <v>52958.2</v>
      </c>
      <c r="AK47" s="250">
        <v>58711.7</v>
      </c>
      <c r="AL47" s="250">
        <v>23089.5</v>
      </c>
      <c r="AM47" s="250">
        <v>16.399999999999999</v>
      </c>
      <c r="AN47" s="250">
        <v>17.399999999999999</v>
      </c>
      <c r="AO47" s="250">
        <v>480325</v>
      </c>
      <c r="AP47" s="250">
        <v>221752</v>
      </c>
      <c r="AQ47" s="422">
        <v>64744</v>
      </c>
      <c r="AR47" s="1014"/>
      <c r="AS47" s="250">
        <v>448414</v>
      </c>
      <c r="AT47" s="250">
        <v>197424</v>
      </c>
      <c r="AU47" s="250">
        <v>77713</v>
      </c>
      <c r="AV47" s="250">
        <v>4208.8</v>
      </c>
      <c r="AW47" s="250">
        <v>2802.1</v>
      </c>
      <c r="AX47" s="683">
        <v>220.2</v>
      </c>
      <c r="AY47" s="683">
        <v>133.27000000000001</v>
      </c>
      <c r="AZ47" s="250">
        <v>791.75</v>
      </c>
      <c r="BA47" s="250">
        <v>337.346</v>
      </c>
      <c r="BB47" s="385">
        <v>1789.21</v>
      </c>
      <c r="BC47" s="1014">
        <v>3184.9</v>
      </c>
      <c r="BD47" s="1014">
        <v>507.4</v>
      </c>
      <c r="BE47" s="250">
        <v>6275.27</v>
      </c>
      <c r="BF47" s="250">
        <v>27727.917543859599</v>
      </c>
      <c r="BG47" s="1014">
        <v>8864.5253573719001</v>
      </c>
      <c r="BH47" s="250">
        <v>6081.95</v>
      </c>
      <c r="BI47" s="1014">
        <v>2460985.5</v>
      </c>
      <c r="BJ47" s="1014">
        <v>480</v>
      </c>
      <c r="BK47" s="1014">
        <v>18943</v>
      </c>
      <c r="BL47" s="250">
        <v>3032692</v>
      </c>
      <c r="BM47" s="250">
        <v>94519</v>
      </c>
      <c r="BN47" s="250">
        <v>19058.599999999999</v>
      </c>
      <c r="BO47" s="250">
        <v>2743025</v>
      </c>
      <c r="BP47" s="250">
        <v>126181</v>
      </c>
      <c r="BQ47" s="250">
        <v>16294.3</v>
      </c>
      <c r="BR47" s="250">
        <v>8050.7</v>
      </c>
      <c r="BS47" s="250">
        <v>5489</v>
      </c>
      <c r="BT47" s="250">
        <v>1015434</v>
      </c>
      <c r="BU47" s="250">
        <v>578030</v>
      </c>
      <c r="BV47" s="250">
        <v>693290</v>
      </c>
      <c r="BW47" s="250">
        <v>438630</v>
      </c>
      <c r="BX47" s="1324">
        <v>0</v>
      </c>
    </row>
    <row r="48" spans="1:76" ht="12.75" customHeight="1">
      <c r="A48" s="647">
        <v>44970</v>
      </c>
      <c r="B48" s="250">
        <v>1059.8610000000001</v>
      </c>
      <c r="C48" s="250">
        <v>585.71500000000003</v>
      </c>
      <c r="D48" s="1014">
        <v>6845</v>
      </c>
      <c r="E48" s="1312">
        <v>0</v>
      </c>
      <c r="F48" s="250">
        <v>16417.8</v>
      </c>
      <c r="G48" s="250">
        <v>5119.6000000000004</v>
      </c>
      <c r="H48" s="250">
        <v>569862</v>
      </c>
      <c r="I48" s="250">
        <v>263200</v>
      </c>
      <c r="J48" s="250">
        <v>203833.8</v>
      </c>
      <c r="K48" s="219">
        <v>14948.1</v>
      </c>
      <c r="L48" s="250">
        <v>7010.3</v>
      </c>
      <c r="M48" s="250">
        <v>44007.7</v>
      </c>
      <c r="N48" s="250">
        <v>34995.599999999999</v>
      </c>
      <c r="O48" s="250">
        <v>136566.70000000001</v>
      </c>
      <c r="P48" s="250">
        <v>113295.4</v>
      </c>
      <c r="Q48" s="250">
        <v>138739</v>
      </c>
      <c r="R48" s="250">
        <v>95168.5</v>
      </c>
      <c r="S48" s="1014">
        <v>14051.63</v>
      </c>
      <c r="T48" s="1014">
        <v>10671.64</v>
      </c>
      <c r="U48" s="250">
        <v>23778</v>
      </c>
      <c r="V48" s="250">
        <v>12368</v>
      </c>
      <c r="W48" s="250">
        <v>209411.5</v>
      </c>
      <c r="X48" s="1014">
        <v>345.9</v>
      </c>
      <c r="Y48" s="1014">
        <v>50716</v>
      </c>
      <c r="Z48" s="250">
        <v>562314</v>
      </c>
      <c r="AA48" s="250">
        <v>286558</v>
      </c>
      <c r="AB48" s="250">
        <v>209364.1</v>
      </c>
      <c r="AC48" s="1014">
        <v>1112.4000000000001</v>
      </c>
      <c r="AD48" s="1081">
        <v>942</v>
      </c>
      <c r="AE48" s="250">
        <v>35361.5</v>
      </c>
      <c r="AF48" s="250">
        <v>25209.9</v>
      </c>
      <c r="AG48" s="250">
        <v>81879.399999999994</v>
      </c>
      <c r="AH48" s="250">
        <v>63304.5</v>
      </c>
      <c r="AI48" s="250">
        <v>65049.7</v>
      </c>
      <c r="AJ48" s="250">
        <v>52969.5</v>
      </c>
      <c r="AK48" s="250">
        <v>58720.7</v>
      </c>
      <c r="AL48" s="250">
        <v>23092.799999999999</v>
      </c>
      <c r="AM48" s="250">
        <v>16.399999999999999</v>
      </c>
      <c r="AN48" s="250">
        <v>17.399999999999999</v>
      </c>
      <c r="AO48" s="250">
        <v>480470</v>
      </c>
      <c r="AP48" s="250">
        <v>221816</v>
      </c>
      <c r="AQ48" s="422">
        <v>64749</v>
      </c>
      <c r="AR48" s="1014"/>
      <c r="AS48" s="250">
        <v>448560</v>
      </c>
      <c r="AT48" s="250">
        <v>197488</v>
      </c>
      <c r="AU48" s="250">
        <v>77737</v>
      </c>
      <c r="AV48" s="250">
        <v>4210.3999999999996</v>
      </c>
      <c r="AW48" s="250">
        <v>2803.2</v>
      </c>
      <c r="AX48" s="683">
        <v>220.2</v>
      </c>
      <c r="AY48" s="683">
        <v>133.27000000000001</v>
      </c>
      <c r="AZ48" s="250">
        <v>791.75</v>
      </c>
      <c r="BA48" s="250">
        <v>337.346</v>
      </c>
      <c r="BB48" s="385">
        <v>1789.21</v>
      </c>
      <c r="BC48" s="1014">
        <v>3187.4</v>
      </c>
      <c r="BD48" s="1014">
        <v>507.6</v>
      </c>
      <c r="BE48" s="250">
        <v>6372.1</v>
      </c>
      <c r="BF48" s="250">
        <v>31208.110526315799</v>
      </c>
      <c r="BG48" s="1014">
        <v>9818.4976379616601</v>
      </c>
      <c r="BH48" s="250">
        <v>6003.09</v>
      </c>
      <c r="BI48" s="1014">
        <v>2462379.5</v>
      </c>
      <c r="BJ48" s="1014">
        <v>481</v>
      </c>
      <c r="BK48" s="1014">
        <v>18961</v>
      </c>
      <c r="BL48" s="250">
        <v>3037730</v>
      </c>
      <c r="BM48" s="250">
        <v>95235</v>
      </c>
      <c r="BN48" s="250">
        <v>19082.599999999999</v>
      </c>
      <c r="BO48" s="250">
        <v>2743025</v>
      </c>
      <c r="BP48" s="250">
        <v>126181</v>
      </c>
      <c r="BQ48" s="250">
        <v>16294.3</v>
      </c>
      <c r="BR48" s="250">
        <v>8057.1</v>
      </c>
      <c r="BS48" s="250">
        <v>5493.4</v>
      </c>
      <c r="BT48" s="250">
        <v>1016632</v>
      </c>
      <c r="BU48" s="250">
        <v>578690</v>
      </c>
      <c r="BV48" s="250">
        <v>693488</v>
      </c>
      <c r="BW48" s="250">
        <v>438756</v>
      </c>
      <c r="BX48" s="1324">
        <v>0</v>
      </c>
    </row>
    <row r="49" spans="1:76" ht="12.75" customHeight="1">
      <c r="A49" s="647">
        <v>44971</v>
      </c>
      <c r="B49" s="250">
        <v>1059.8610000000001</v>
      </c>
      <c r="C49" s="250">
        <v>585.71500000000003</v>
      </c>
      <c r="D49" s="1014">
        <v>6845</v>
      </c>
      <c r="E49" s="1312">
        <v>0</v>
      </c>
      <c r="F49" s="250">
        <v>16445.7</v>
      </c>
      <c r="G49" s="250">
        <v>5132.7</v>
      </c>
      <c r="H49" s="250">
        <v>570024.1</v>
      </c>
      <c r="I49" s="250">
        <v>263284.2</v>
      </c>
      <c r="J49" s="250">
        <v>203857.8</v>
      </c>
      <c r="K49" s="219">
        <v>14948.1</v>
      </c>
      <c r="L49" s="250">
        <v>7010.3</v>
      </c>
      <c r="M49" s="250">
        <v>44034</v>
      </c>
      <c r="N49" s="250">
        <v>35016.800000000003</v>
      </c>
      <c r="O49" s="250">
        <v>136582</v>
      </c>
      <c r="P49" s="250">
        <v>113308</v>
      </c>
      <c r="Q49" s="250">
        <v>138756</v>
      </c>
      <c r="R49" s="250">
        <v>95180.7</v>
      </c>
      <c r="S49" s="1014">
        <v>14051.63</v>
      </c>
      <c r="T49" s="1014">
        <v>10671.64</v>
      </c>
      <c r="U49" s="250">
        <v>23928.7</v>
      </c>
      <c r="V49" s="250">
        <v>12447.5</v>
      </c>
      <c r="W49" s="250">
        <v>209435.5</v>
      </c>
      <c r="X49" s="1014">
        <v>345.9</v>
      </c>
      <c r="Y49" s="1014">
        <v>50716</v>
      </c>
      <c r="Z49" s="250">
        <v>562596</v>
      </c>
      <c r="AA49" s="250">
        <v>286702</v>
      </c>
      <c r="AB49" s="250">
        <v>209388.1</v>
      </c>
      <c r="AC49" s="1014">
        <v>1112.4000000000001</v>
      </c>
      <c r="AD49" s="1081">
        <v>942</v>
      </c>
      <c r="AE49" s="250">
        <v>35363.599999999999</v>
      </c>
      <c r="AF49" s="250">
        <v>25211.4</v>
      </c>
      <c r="AG49" s="250">
        <v>81886.7</v>
      </c>
      <c r="AH49" s="250">
        <v>63310.3</v>
      </c>
      <c r="AI49" s="250">
        <v>65064.3</v>
      </c>
      <c r="AJ49" s="250">
        <v>52981.2</v>
      </c>
      <c r="AK49" s="250">
        <v>58728.6</v>
      </c>
      <c r="AL49" s="250">
        <v>23095.8</v>
      </c>
      <c r="AM49" s="250">
        <v>16.399999999999999</v>
      </c>
      <c r="AN49" s="250">
        <v>17.399999999999999</v>
      </c>
      <c r="AO49" s="250">
        <v>480607</v>
      </c>
      <c r="AP49" s="250">
        <v>221876</v>
      </c>
      <c r="AQ49" s="250">
        <v>64755.1</v>
      </c>
      <c r="AR49" s="250"/>
      <c r="AS49" s="250">
        <v>448698</v>
      </c>
      <c r="AT49" s="250">
        <v>197548</v>
      </c>
      <c r="AU49" s="250">
        <v>77761</v>
      </c>
      <c r="AV49" s="250">
        <v>4211.7</v>
      </c>
      <c r="AW49" s="250">
        <v>2804.2</v>
      </c>
      <c r="AX49" s="683">
        <v>220.2</v>
      </c>
      <c r="AY49" s="683">
        <v>133.27000000000001</v>
      </c>
      <c r="AZ49" s="250">
        <v>791.75</v>
      </c>
      <c r="BA49" s="250">
        <v>337.346</v>
      </c>
      <c r="BB49" s="385">
        <v>1789.21</v>
      </c>
      <c r="BC49" s="250">
        <v>3189.6</v>
      </c>
      <c r="BD49" s="250">
        <v>507.6</v>
      </c>
      <c r="BE49" s="250">
        <v>6892.84</v>
      </c>
      <c r="BF49" s="250">
        <v>27798.982456140398</v>
      </c>
      <c r="BG49" s="250">
        <v>8947.9282226988398</v>
      </c>
      <c r="BH49" s="250">
        <v>6072.47</v>
      </c>
      <c r="BI49" s="1014">
        <v>2462379.5</v>
      </c>
      <c r="BJ49" s="1014">
        <v>481</v>
      </c>
      <c r="BK49" s="1014">
        <v>18961</v>
      </c>
      <c r="BL49" s="250">
        <v>3043249</v>
      </c>
      <c r="BM49" s="250">
        <v>95528</v>
      </c>
      <c r="BN49" s="250">
        <v>19106.57</v>
      </c>
      <c r="BO49" s="250">
        <v>2744277</v>
      </c>
      <c r="BP49" s="250">
        <v>126210</v>
      </c>
      <c r="BQ49" s="250">
        <v>16297.88</v>
      </c>
      <c r="BR49" s="250">
        <v>8063.4</v>
      </c>
      <c r="BS49" s="250">
        <v>5497.8</v>
      </c>
      <c r="BT49" s="250">
        <v>1017797</v>
      </c>
      <c r="BU49" s="250">
        <v>579338</v>
      </c>
      <c r="BV49" s="250">
        <v>693575</v>
      </c>
      <c r="BW49" s="250">
        <v>438877</v>
      </c>
      <c r="BX49" s="1324">
        <v>0</v>
      </c>
    </row>
    <row r="50" spans="1:76">
      <c r="A50" s="647">
        <v>44972</v>
      </c>
      <c r="B50" s="250">
        <v>1059.8610000000001</v>
      </c>
      <c r="C50" s="250">
        <v>585.71500000000003</v>
      </c>
      <c r="D50" s="1014">
        <v>6845</v>
      </c>
      <c r="E50" s="1312">
        <v>0</v>
      </c>
      <c r="F50" s="250">
        <v>16475.5</v>
      </c>
      <c r="G50" s="250">
        <v>5146.8</v>
      </c>
      <c r="H50" s="250">
        <v>570188</v>
      </c>
      <c r="I50" s="250">
        <v>263368</v>
      </c>
      <c r="J50" s="250">
        <v>203881.8</v>
      </c>
      <c r="K50" s="219">
        <v>14948.1</v>
      </c>
      <c r="L50" s="250">
        <v>7010.3</v>
      </c>
      <c r="M50" s="250">
        <v>44064.6</v>
      </c>
      <c r="N50" s="250">
        <v>35040.199999999997</v>
      </c>
      <c r="O50" s="250">
        <v>136598.6</v>
      </c>
      <c r="P50" s="250">
        <v>113322.2</v>
      </c>
      <c r="Q50" s="250">
        <v>138774.9</v>
      </c>
      <c r="R50" s="250">
        <v>95192.7</v>
      </c>
      <c r="S50" s="1014">
        <v>14051.63</v>
      </c>
      <c r="T50" s="1014">
        <v>10671.64</v>
      </c>
      <c r="U50" s="250">
        <v>24079.4</v>
      </c>
      <c r="V50" s="250">
        <v>12532.1</v>
      </c>
      <c r="W50" s="250">
        <v>209459.5</v>
      </c>
      <c r="X50" s="1014">
        <v>345.9</v>
      </c>
      <c r="Y50" s="1014">
        <v>50716</v>
      </c>
      <c r="Z50" s="250">
        <v>562896</v>
      </c>
      <c r="AA50" s="250">
        <v>286852</v>
      </c>
      <c r="AB50" s="250">
        <v>209412.1</v>
      </c>
      <c r="AC50" s="1014">
        <v>1112.4000000000001</v>
      </c>
      <c r="AD50" s="1081">
        <v>942</v>
      </c>
      <c r="AE50" s="250">
        <v>35365.800000000003</v>
      </c>
      <c r="AF50" s="250">
        <v>25213</v>
      </c>
      <c r="AG50" s="250">
        <v>81893.899999999994</v>
      </c>
      <c r="AH50" s="250">
        <v>63315.8</v>
      </c>
      <c r="AI50" s="250">
        <v>65080.800000000003</v>
      </c>
      <c r="AJ50" s="250">
        <v>52994.7</v>
      </c>
      <c r="AK50" s="250">
        <v>58737.2</v>
      </c>
      <c r="AL50" s="250">
        <v>23099.3</v>
      </c>
      <c r="AM50" s="250">
        <v>16.399999999999999</v>
      </c>
      <c r="AN50" s="250">
        <v>17.399999999999999</v>
      </c>
      <c r="AO50" s="250">
        <v>480752.2</v>
      </c>
      <c r="AP50" s="250">
        <v>221940</v>
      </c>
      <c r="AQ50" s="250">
        <v>64760.4</v>
      </c>
      <c r="AR50" s="250"/>
      <c r="AS50" s="250">
        <v>448844</v>
      </c>
      <c r="AT50" s="250">
        <v>197611</v>
      </c>
      <c r="AU50" s="250">
        <v>77785</v>
      </c>
      <c r="AV50" s="250">
        <v>4213.6000000000004</v>
      </c>
      <c r="AW50" s="250">
        <v>2805.6</v>
      </c>
      <c r="AX50" s="683">
        <v>220.2</v>
      </c>
      <c r="AY50" s="683">
        <v>133.27000000000001</v>
      </c>
      <c r="AZ50" s="250">
        <v>791.75</v>
      </c>
      <c r="BA50" s="250">
        <v>337.346</v>
      </c>
      <c r="BB50" s="385">
        <v>1789.21</v>
      </c>
      <c r="BC50" s="250">
        <v>3192.1</v>
      </c>
      <c r="BD50" s="250">
        <v>507.6</v>
      </c>
      <c r="BE50" s="250">
        <v>7153.098</v>
      </c>
      <c r="BF50" s="250">
        <v>32491.8083040936</v>
      </c>
      <c r="BG50" s="250">
        <v>9285.1872640038291</v>
      </c>
      <c r="BH50" s="250">
        <v>5523.58</v>
      </c>
      <c r="BI50" s="1014">
        <v>2462379.5</v>
      </c>
      <c r="BJ50" s="1014">
        <v>481</v>
      </c>
      <c r="BK50" s="1014">
        <v>18961</v>
      </c>
      <c r="BL50" s="250">
        <v>3047889</v>
      </c>
      <c r="BM50" s="250">
        <v>95950</v>
      </c>
      <c r="BN50" s="250">
        <v>19130.599999999999</v>
      </c>
      <c r="BO50" s="250">
        <v>2747978</v>
      </c>
      <c r="BP50" s="250">
        <v>126251</v>
      </c>
      <c r="BQ50" s="250">
        <v>16321.9</v>
      </c>
      <c r="BR50" s="250">
        <v>8069.8</v>
      </c>
      <c r="BS50" s="250">
        <v>5502.2</v>
      </c>
      <c r="BT50" s="250">
        <v>1019051</v>
      </c>
      <c r="BU50" s="250">
        <v>580028</v>
      </c>
      <c r="BV50" s="250">
        <v>693931</v>
      </c>
      <c r="BW50" s="250">
        <v>439039</v>
      </c>
      <c r="BX50" s="1324">
        <v>0</v>
      </c>
    </row>
    <row r="51" spans="1:76">
      <c r="A51" s="647">
        <v>44973</v>
      </c>
      <c r="B51" s="250">
        <v>1059.8610000000001</v>
      </c>
      <c r="C51" s="250">
        <v>585.71500000000003</v>
      </c>
      <c r="D51" s="1014">
        <v>6845</v>
      </c>
      <c r="E51" s="1312">
        <v>0</v>
      </c>
      <c r="F51" s="250">
        <v>16504</v>
      </c>
      <c r="G51" s="250">
        <v>5160.5</v>
      </c>
      <c r="H51" s="250">
        <v>570346</v>
      </c>
      <c r="I51" s="250">
        <v>263450</v>
      </c>
      <c r="J51" s="637">
        <v>203905.8</v>
      </c>
      <c r="K51" s="219">
        <v>14948.1</v>
      </c>
      <c r="L51" s="250">
        <v>7010.3</v>
      </c>
      <c r="M51" s="250">
        <v>44092.800000000003</v>
      </c>
      <c r="N51" s="250">
        <v>35062.699999999997</v>
      </c>
      <c r="O51" s="250">
        <v>136613</v>
      </c>
      <c r="P51" s="250">
        <v>113334</v>
      </c>
      <c r="Q51" s="250">
        <v>138792</v>
      </c>
      <c r="R51" s="250">
        <v>95205</v>
      </c>
      <c r="S51" s="1014">
        <v>14051.63</v>
      </c>
      <c r="T51" s="1014">
        <v>10671.64</v>
      </c>
      <c r="U51" s="250">
        <v>24225.1</v>
      </c>
      <c r="V51" s="250">
        <v>12611.8</v>
      </c>
      <c r="W51" s="250">
        <v>209483.5</v>
      </c>
      <c r="X51" s="1014">
        <v>345.9</v>
      </c>
      <c r="Y51" s="1014">
        <v>50716</v>
      </c>
      <c r="Z51" s="250">
        <v>563186</v>
      </c>
      <c r="AA51" s="250">
        <v>286999</v>
      </c>
      <c r="AB51" s="250">
        <v>209436.1</v>
      </c>
      <c r="AC51" s="1014">
        <v>1112.4000000000001</v>
      </c>
      <c r="AD51" s="1081">
        <v>942</v>
      </c>
      <c r="AE51" s="250">
        <v>35367.800000000003</v>
      </c>
      <c r="AF51" s="250">
        <v>25214.5</v>
      </c>
      <c r="AG51" s="250">
        <v>81899.899999999994</v>
      </c>
      <c r="AH51" s="250">
        <v>63320.6</v>
      </c>
      <c r="AI51" s="250">
        <v>65096.2</v>
      </c>
      <c r="AJ51" s="250">
        <v>53007.3</v>
      </c>
      <c r="AK51" s="250">
        <v>58747.199999999997</v>
      </c>
      <c r="AL51" s="250">
        <v>23103.200000000001</v>
      </c>
      <c r="AM51" s="250">
        <v>16.399999999999999</v>
      </c>
      <c r="AN51" s="250">
        <v>17.399999999999999</v>
      </c>
      <c r="AO51" s="250">
        <v>480894</v>
      </c>
      <c r="AP51" s="250">
        <v>222002</v>
      </c>
      <c r="AQ51" s="250">
        <v>64765.5</v>
      </c>
      <c r="AR51" s="250"/>
      <c r="AS51" s="250">
        <v>448986</v>
      </c>
      <c r="AT51" s="250">
        <v>197673</v>
      </c>
      <c r="AU51" s="250">
        <v>77809</v>
      </c>
      <c r="AV51" s="250">
        <v>4216.8</v>
      </c>
      <c r="AW51" s="250">
        <v>2807.8</v>
      </c>
      <c r="AX51" s="683">
        <v>220.2</v>
      </c>
      <c r="AY51" s="683">
        <v>133.27000000000001</v>
      </c>
      <c r="AZ51" s="250">
        <v>791.75</v>
      </c>
      <c r="BA51" s="250">
        <v>337.346</v>
      </c>
      <c r="BB51" s="385">
        <v>1789.21</v>
      </c>
      <c r="BC51" s="250">
        <v>3194</v>
      </c>
      <c r="BD51" s="250">
        <v>507.6</v>
      </c>
      <c r="BE51" s="250">
        <v>7120.2006250000004</v>
      </c>
      <c r="BF51" s="250">
        <v>32720.324342105301</v>
      </c>
      <c r="BG51" s="250">
        <v>9340.3171169910001</v>
      </c>
      <c r="BH51" s="250">
        <v>5267.71</v>
      </c>
      <c r="BI51" s="1014">
        <v>2462379.5</v>
      </c>
      <c r="BJ51" s="1014">
        <v>481</v>
      </c>
      <c r="BK51" s="1014">
        <v>18961</v>
      </c>
      <c r="BL51" s="250">
        <v>3052407</v>
      </c>
      <c r="BM51" s="250">
        <v>96348</v>
      </c>
      <c r="BN51" s="250">
        <v>19154.599999999999</v>
      </c>
      <c r="BO51" s="250">
        <v>2751513</v>
      </c>
      <c r="BP51" s="250">
        <v>126294</v>
      </c>
      <c r="BQ51" s="250">
        <v>16345.9</v>
      </c>
      <c r="BR51" s="250">
        <v>8076.1</v>
      </c>
      <c r="BS51" s="250">
        <v>5506.4</v>
      </c>
      <c r="BT51" s="250">
        <v>1020222</v>
      </c>
      <c r="BU51" s="250">
        <v>580670</v>
      </c>
      <c r="BV51" s="250">
        <v>694140</v>
      </c>
      <c r="BW51" s="250">
        <v>439168</v>
      </c>
      <c r="BX51" s="1324">
        <v>0</v>
      </c>
    </row>
    <row r="52" spans="1:76">
      <c r="A52" s="647">
        <v>44974</v>
      </c>
      <c r="B52" s="250">
        <v>1059.8610000000001</v>
      </c>
      <c r="C52" s="250">
        <v>585.71500000000003</v>
      </c>
      <c r="D52" s="1014">
        <v>6845</v>
      </c>
      <c r="E52" s="1312">
        <v>0</v>
      </c>
      <c r="F52" s="250">
        <v>16533.099999999999</v>
      </c>
      <c r="G52" s="250">
        <v>5174.6000000000004</v>
      </c>
      <c r="H52" s="250">
        <v>570509</v>
      </c>
      <c r="I52" s="250">
        <v>263533</v>
      </c>
      <c r="J52" s="250">
        <v>203929.8</v>
      </c>
      <c r="K52" s="219">
        <v>14948.1</v>
      </c>
      <c r="L52" s="250">
        <v>7010.3</v>
      </c>
      <c r="M52" s="250">
        <v>44119.7</v>
      </c>
      <c r="N52" s="250">
        <v>35084</v>
      </c>
      <c r="O52" s="250">
        <v>136629</v>
      </c>
      <c r="P52" s="250">
        <v>113347</v>
      </c>
      <c r="Q52" s="250">
        <v>138808</v>
      </c>
      <c r="R52" s="250">
        <v>95216.7</v>
      </c>
      <c r="S52" s="1014">
        <v>14051.63</v>
      </c>
      <c r="T52" s="1014">
        <v>10671.64</v>
      </c>
      <c r="U52" s="250">
        <v>24367</v>
      </c>
      <c r="V52" s="250">
        <v>12687</v>
      </c>
      <c r="W52" s="250">
        <v>209507.5</v>
      </c>
      <c r="X52" s="1014">
        <v>345.9</v>
      </c>
      <c r="Y52" s="1014">
        <v>50716</v>
      </c>
      <c r="Z52" s="250">
        <v>563474</v>
      </c>
      <c r="AA52" s="250">
        <v>287146</v>
      </c>
      <c r="AB52" s="250">
        <v>209460.1</v>
      </c>
      <c r="AC52" s="1014">
        <v>1112.4000000000001</v>
      </c>
      <c r="AD52" s="1081">
        <v>942</v>
      </c>
      <c r="AE52" s="250">
        <v>35369.9</v>
      </c>
      <c r="AF52" s="250">
        <v>25216</v>
      </c>
      <c r="AG52" s="250">
        <v>81908.600000000006</v>
      </c>
      <c r="AH52" s="250">
        <v>63327.4</v>
      </c>
      <c r="AI52" s="250">
        <v>65108.6</v>
      </c>
      <c r="AJ52" s="250">
        <v>53017.3</v>
      </c>
      <c r="AK52" s="250">
        <v>58753.9</v>
      </c>
      <c r="AL52" s="250">
        <v>23105.8</v>
      </c>
      <c r="AM52" s="250">
        <v>16.399999999999999</v>
      </c>
      <c r="AN52" s="250">
        <v>17.399999999999999</v>
      </c>
      <c r="AO52" s="250">
        <v>481030</v>
      </c>
      <c r="AP52" s="250">
        <v>222061</v>
      </c>
      <c r="AQ52" s="250">
        <v>64770.3</v>
      </c>
      <c r="AR52" s="250"/>
      <c r="AS52" s="250">
        <v>449121</v>
      </c>
      <c r="AT52" s="250">
        <v>197732</v>
      </c>
      <c r="AU52" s="250">
        <f>AU51+23</f>
        <v>77832</v>
      </c>
      <c r="AV52" s="250">
        <v>4219.8</v>
      </c>
      <c r="AW52" s="250">
        <v>2809.8</v>
      </c>
      <c r="AX52" s="683">
        <v>220.2</v>
      </c>
      <c r="AY52" s="683">
        <v>133.27000000000001</v>
      </c>
      <c r="AZ52" s="250">
        <v>791.75</v>
      </c>
      <c r="BA52" s="250">
        <v>337.346</v>
      </c>
      <c r="BB52" s="385">
        <v>1789.21</v>
      </c>
      <c r="BC52" s="250">
        <v>3195.8</v>
      </c>
      <c r="BD52" s="250">
        <v>507.6</v>
      </c>
      <c r="BE52" s="250">
        <v>7083.7758823529402</v>
      </c>
      <c r="BF52" s="250">
        <v>32917.465221878199</v>
      </c>
      <c r="BG52" s="250">
        <v>9359.6594883822108</v>
      </c>
      <c r="BH52" s="250">
        <v>6833.9</v>
      </c>
      <c r="BI52" s="1014">
        <v>2462379.5</v>
      </c>
      <c r="BJ52" s="1014">
        <v>481</v>
      </c>
      <c r="BK52" s="1014">
        <v>18961</v>
      </c>
      <c r="BL52" s="250">
        <v>3056923</v>
      </c>
      <c r="BM52" s="250">
        <v>96995</v>
      </c>
      <c r="BN52" s="250">
        <v>19178.599999999999</v>
      </c>
      <c r="BO52" s="250">
        <v>2755143</v>
      </c>
      <c r="BP52" s="250">
        <v>126365</v>
      </c>
      <c r="BQ52" s="250">
        <v>16369.9</v>
      </c>
      <c r="BR52" s="250">
        <v>8082.1</v>
      </c>
      <c r="BS52" s="250">
        <v>5510.6</v>
      </c>
      <c r="BT52" s="250">
        <v>1021397</v>
      </c>
      <c r="BU52" s="250">
        <v>581311</v>
      </c>
      <c r="BV52" s="250">
        <v>694334</v>
      </c>
      <c r="BW52" s="250">
        <v>439291</v>
      </c>
      <c r="BX52" s="1324">
        <v>0</v>
      </c>
    </row>
    <row r="53" spans="1:76">
      <c r="A53" s="647">
        <v>44975</v>
      </c>
      <c r="B53" s="250">
        <v>1059.8610000000001</v>
      </c>
      <c r="C53" s="250">
        <v>585.71500000000003</v>
      </c>
      <c r="D53" s="1014">
        <v>6845</v>
      </c>
      <c r="E53" s="1312">
        <v>0</v>
      </c>
      <c r="F53" s="250">
        <v>16563.599999999999</v>
      </c>
      <c r="G53" s="250">
        <v>5190.2</v>
      </c>
      <c r="H53" s="250">
        <v>570674</v>
      </c>
      <c r="I53" s="250">
        <v>263617</v>
      </c>
      <c r="J53" s="250">
        <v>203953.8</v>
      </c>
      <c r="K53" s="219">
        <v>14948.1</v>
      </c>
      <c r="L53" s="250">
        <v>7010.3</v>
      </c>
      <c r="M53" s="250">
        <v>44147.8</v>
      </c>
      <c r="N53" s="250">
        <v>35106.199999999997</v>
      </c>
      <c r="O53" s="250">
        <v>136645</v>
      </c>
      <c r="P53" s="250">
        <v>113361</v>
      </c>
      <c r="Q53" s="250">
        <v>138825</v>
      </c>
      <c r="R53" s="250">
        <v>95228</v>
      </c>
      <c r="S53" s="1014">
        <v>14051.63</v>
      </c>
      <c r="T53" s="1014">
        <v>10671.64</v>
      </c>
      <c r="U53" s="250">
        <v>24517.4</v>
      </c>
      <c r="V53" s="250">
        <v>12762</v>
      </c>
      <c r="W53" s="250">
        <v>209531.5</v>
      </c>
      <c r="X53" s="1014">
        <v>345.9</v>
      </c>
      <c r="Y53" s="1014">
        <v>50716</v>
      </c>
      <c r="Z53" s="250">
        <v>563775</v>
      </c>
      <c r="AA53" s="250">
        <v>287305</v>
      </c>
      <c r="AB53" s="250">
        <v>209484.1</v>
      </c>
      <c r="AC53" s="1014">
        <v>1112.4000000000001</v>
      </c>
      <c r="AD53" s="1081">
        <v>942</v>
      </c>
      <c r="AE53" s="250">
        <v>35372</v>
      </c>
      <c r="AF53" s="250">
        <v>25216.5</v>
      </c>
      <c r="AG53" s="250">
        <v>81917.8</v>
      </c>
      <c r="AH53" s="250">
        <v>63334.6</v>
      </c>
      <c r="AI53" s="250">
        <v>65120.800000000003</v>
      </c>
      <c r="AJ53" s="250">
        <v>53027.4</v>
      </c>
      <c r="AK53" s="250">
        <v>58765</v>
      </c>
      <c r="AL53" s="250">
        <v>23110.3</v>
      </c>
      <c r="AM53" s="250">
        <v>16.399999999999999</v>
      </c>
      <c r="AN53" s="250">
        <v>17.399999999999999</v>
      </c>
      <c r="AO53" s="250">
        <v>481176</v>
      </c>
      <c r="AP53" s="250">
        <v>222125</v>
      </c>
      <c r="AQ53" s="422">
        <v>64774.7</v>
      </c>
      <c r="AR53" s="1014"/>
      <c r="AS53" s="250">
        <v>449269</v>
      </c>
      <c r="AT53" s="250">
        <v>197796</v>
      </c>
      <c r="AU53" s="250">
        <v>77856</v>
      </c>
      <c r="AV53" s="250">
        <v>4223.1000000000004</v>
      </c>
      <c r="AW53" s="250">
        <v>2812</v>
      </c>
      <c r="AX53" s="683">
        <v>220.2</v>
      </c>
      <c r="AY53" s="683">
        <v>133.27000000000001</v>
      </c>
      <c r="AZ53" s="250">
        <v>791.75</v>
      </c>
      <c r="BA53" s="250">
        <v>337.346</v>
      </c>
      <c r="BB53" s="385">
        <v>1789.21</v>
      </c>
      <c r="BC53" s="1014">
        <v>3197.8</v>
      </c>
      <c r="BD53" s="1014">
        <v>507.6</v>
      </c>
      <c r="BE53" s="250">
        <v>7025.9927777777802</v>
      </c>
      <c r="BF53" s="250">
        <v>33094.470077972699</v>
      </c>
      <c r="BG53" s="1014">
        <v>9381.6275086648293</v>
      </c>
      <c r="BH53" s="250">
        <v>4613.0600000000004</v>
      </c>
      <c r="BI53" s="1014">
        <v>2462379.5</v>
      </c>
      <c r="BJ53" s="1014">
        <v>481</v>
      </c>
      <c r="BK53" s="1014">
        <v>18961</v>
      </c>
      <c r="BL53" s="250">
        <v>3061615</v>
      </c>
      <c r="BM53" s="250">
        <v>97820</v>
      </c>
      <c r="BN53" s="250">
        <v>19202.599999999999</v>
      </c>
      <c r="BO53" s="250">
        <v>2758969</v>
      </c>
      <c r="BP53" s="250">
        <v>126435</v>
      </c>
      <c r="BQ53" s="250">
        <v>16393.900000000001</v>
      </c>
      <c r="BR53" s="250">
        <v>8088.8</v>
      </c>
      <c r="BS53" s="250">
        <v>5515.1</v>
      </c>
      <c r="BT53" s="250">
        <v>1022598</v>
      </c>
      <c r="BU53" s="250">
        <v>581969</v>
      </c>
      <c r="BV53" s="250">
        <v>694527</v>
      </c>
      <c r="BW53" s="250">
        <v>439411</v>
      </c>
      <c r="BX53" s="1324">
        <v>0</v>
      </c>
    </row>
    <row r="54" spans="1:76">
      <c r="A54" s="647">
        <v>44976</v>
      </c>
      <c r="B54" s="250">
        <v>1059.8610000000001</v>
      </c>
      <c r="C54" s="250">
        <v>585.71500000000003</v>
      </c>
      <c r="D54" s="1014">
        <v>6845</v>
      </c>
      <c r="E54" s="1312">
        <v>0</v>
      </c>
      <c r="F54" s="250">
        <v>16592.3</v>
      </c>
      <c r="G54" s="250">
        <v>5205.5</v>
      </c>
      <c r="H54" s="250">
        <v>570834</v>
      </c>
      <c r="I54" s="250">
        <v>263700</v>
      </c>
      <c r="J54" s="250">
        <v>203977.8</v>
      </c>
      <c r="K54" s="219">
        <v>14948.1</v>
      </c>
      <c r="L54" s="250">
        <v>7010.3</v>
      </c>
      <c r="M54" s="250">
        <v>44174.9</v>
      </c>
      <c r="N54" s="250">
        <v>35127.599999999999</v>
      </c>
      <c r="O54" s="250">
        <v>136661</v>
      </c>
      <c r="P54" s="250">
        <v>113374</v>
      </c>
      <c r="Q54" s="250">
        <v>138842</v>
      </c>
      <c r="R54" s="250">
        <v>95240.6</v>
      </c>
      <c r="S54" s="1014">
        <v>14051.63</v>
      </c>
      <c r="T54" s="1014">
        <v>10671.64</v>
      </c>
      <c r="U54" s="250">
        <v>24663</v>
      </c>
      <c r="V54" s="250">
        <v>12843</v>
      </c>
      <c r="W54" s="250">
        <v>209555.5</v>
      </c>
      <c r="X54" s="1014">
        <v>345.9</v>
      </c>
      <c r="Y54" s="1014">
        <v>50716</v>
      </c>
      <c r="Z54" s="250">
        <v>564069</v>
      </c>
      <c r="AA54" s="250">
        <v>287453</v>
      </c>
      <c r="AB54" s="250">
        <v>209508.1</v>
      </c>
      <c r="AC54" s="1014">
        <v>1112.4000000000001</v>
      </c>
      <c r="AD54" s="1081">
        <v>942</v>
      </c>
      <c r="AE54" s="250">
        <v>35374.1</v>
      </c>
      <c r="AF54" s="250">
        <v>25219</v>
      </c>
      <c r="AG54" s="250">
        <v>81927</v>
      </c>
      <c r="AH54" s="250">
        <v>63341.1</v>
      </c>
      <c r="AI54" s="250">
        <v>65132.9</v>
      </c>
      <c r="AJ54" s="250">
        <v>53037</v>
      </c>
      <c r="AK54" s="250">
        <v>58776.4</v>
      </c>
      <c r="AL54" s="250">
        <v>23114.799999999999</v>
      </c>
      <c r="AM54" s="250">
        <v>16.399999999999999</v>
      </c>
      <c r="AN54" s="250">
        <v>17.399999999999999</v>
      </c>
      <c r="AO54" s="250">
        <v>481319</v>
      </c>
      <c r="AP54" s="250">
        <v>222188</v>
      </c>
      <c r="AQ54" s="250">
        <v>64778.9</v>
      </c>
      <c r="AR54" s="250"/>
      <c r="AS54" s="250">
        <v>449412</v>
      </c>
      <c r="AT54" s="250">
        <v>197858</v>
      </c>
      <c r="AU54" s="250">
        <v>77880</v>
      </c>
      <c r="AV54" s="250">
        <v>4225.7</v>
      </c>
      <c r="AW54" s="250">
        <v>2813.8</v>
      </c>
      <c r="AX54" s="683">
        <v>220.2</v>
      </c>
      <c r="AY54" s="683">
        <v>133.27000000000001</v>
      </c>
      <c r="AZ54" s="250">
        <v>791.75</v>
      </c>
      <c r="BA54" s="250">
        <v>337.346</v>
      </c>
      <c r="BB54" s="385">
        <v>1789.21</v>
      </c>
      <c r="BC54" s="250">
        <v>3199.7</v>
      </c>
      <c r="BD54" s="250">
        <v>507.6</v>
      </c>
      <c r="BE54" s="250">
        <v>6983.08315789474</v>
      </c>
      <c r="BF54" s="250">
        <v>33248.419482917801</v>
      </c>
      <c r="BG54" s="250">
        <v>9399.0835957820509</v>
      </c>
      <c r="BH54" s="250">
        <v>4112.1000000000004</v>
      </c>
      <c r="BI54" s="1014">
        <v>2462379.5</v>
      </c>
      <c r="BJ54" s="1014">
        <v>481</v>
      </c>
      <c r="BK54" s="1014">
        <v>18961</v>
      </c>
      <c r="BL54" s="250">
        <v>3065839</v>
      </c>
      <c r="BM54" s="250">
        <v>98663</v>
      </c>
      <c r="BN54" s="250">
        <v>19226.599999999999</v>
      </c>
      <c r="BO54" s="250">
        <v>2762284</v>
      </c>
      <c r="BP54" s="250">
        <v>126504</v>
      </c>
      <c r="BQ54" s="250">
        <v>16417.900000000001</v>
      </c>
      <c r="BR54" s="250">
        <v>8094.8</v>
      </c>
      <c r="BS54" s="250">
        <v>5519.3</v>
      </c>
      <c r="BT54" s="250">
        <v>1023737</v>
      </c>
      <c r="BU54" s="250">
        <v>582596</v>
      </c>
      <c r="BV54" s="250">
        <v>694711</v>
      </c>
      <c r="BW54" s="250">
        <v>439529</v>
      </c>
      <c r="BX54" s="1324">
        <v>0</v>
      </c>
    </row>
    <row r="55" spans="1:76">
      <c r="A55" s="647">
        <v>44977</v>
      </c>
      <c r="B55" s="250">
        <v>1060.6759999999999</v>
      </c>
      <c r="C55" s="250">
        <v>585.98900000000003</v>
      </c>
      <c r="D55" s="1014">
        <v>6846.5</v>
      </c>
      <c r="E55" s="1312">
        <v>1</v>
      </c>
      <c r="F55" s="250">
        <v>16622.099999999999</v>
      </c>
      <c r="G55" s="250">
        <v>5219.1000000000004</v>
      </c>
      <c r="H55" s="335">
        <v>570989</v>
      </c>
      <c r="I55" s="335">
        <v>263780</v>
      </c>
      <c r="J55" s="250">
        <v>204001.8</v>
      </c>
      <c r="K55" s="219">
        <v>14948.1</v>
      </c>
      <c r="L55" s="250">
        <v>7010.3</v>
      </c>
      <c r="M55" s="250">
        <v>44201.5</v>
      </c>
      <c r="N55" s="250">
        <v>35148.800000000003</v>
      </c>
      <c r="O55" s="250">
        <v>136678</v>
      </c>
      <c r="P55" s="250">
        <v>113387</v>
      </c>
      <c r="Q55" s="250">
        <v>138858</v>
      </c>
      <c r="R55" s="250">
        <v>95252</v>
      </c>
      <c r="S55" s="1014">
        <v>14051.63</v>
      </c>
      <c r="T55" s="1014">
        <v>10671.64</v>
      </c>
      <c r="U55" s="250">
        <v>24811.599999999999</v>
      </c>
      <c r="V55" s="250">
        <v>12923.6</v>
      </c>
      <c r="W55" s="250">
        <v>209579.5</v>
      </c>
      <c r="X55" s="1014">
        <v>345.9</v>
      </c>
      <c r="Y55" s="1014">
        <v>50716</v>
      </c>
      <c r="Z55" s="250">
        <v>564366</v>
      </c>
      <c r="AA55" s="250">
        <v>287603</v>
      </c>
      <c r="AB55" s="250">
        <v>209532.1</v>
      </c>
      <c r="AC55" s="1014">
        <v>1112.4000000000001</v>
      </c>
      <c r="AD55" s="1081">
        <v>942</v>
      </c>
      <c r="AE55" s="250">
        <v>35376.199999999997</v>
      </c>
      <c r="AF55" s="250">
        <v>25220.6</v>
      </c>
      <c r="AG55" s="250">
        <v>81936.600000000006</v>
      </c>
      <c r="AH55" s="250">
        <v>63349.1</v>
      </c>
      <c r="AI55" s="250">
        <v>65145.7</v>
      </c>
      <c r="AJ55" s="250">
        <v>53048.1</v>
      </c>
      <c r="AK55" s="250">
        <v>58786.9</v>
      </c>
      <c r="AL55" s="250">
        <v>23118.9</v>
      </c>
      <c r="AM55" s="250">
        <v>16.399999999999999</v>
      </c>
      <c r="AN55" s="250">
        <v>17.399999999999999</v>
      </c>
      <c r="AO55" s="250">
        <v>481465</v>
      </c>
      <c r="AP55" s="250">
        <v>222252</v>
      </c>
      <c r="AQ55" s="250">
        <v>64783.5</v>
      </c>
      <c r="AR55" s="250"/>
      <c r="AS55" s="250">
        <v>449559</v>
      </c>
      <c r="AT55" s="250">
        <v>197922</v>
      </c>
      <c r="AU55" s="250">
        <v>77904</v>
      </c>
      <c r="AV55" s="250">
        <v>4228.8999999999996</v>
      </c>
      <c r="AW55" s="250">
        <v>2816</v>
      </c>
      <c r="AX55" s="683">
        <v>220.2</v>
      </c>
      <c r="AY55" s="683">
        <v>133.27000000000001</v>
      </c>
      <c r="AZ55" s="250">
        <v>791.94200000000001</v>
      </c>
      <c r="BA55" s="250">
        <v>337.41899999999998</v>
      </c>
      <c r="BB55" s="385">
        <v>1789.7</v>
      </c>
      <c r="BC55" s="250">
        <v>3201.6</v>
      </c>
      <c r="BD55" s="250">
        <v>507.6</v>
      </c>
      <c r="BE55" s="250">
        <v>5995.5599999999995</v>
      </c>
      <c r="BF55" s="250">
        <v>36170.594736842104</v>
      </c>
      <c r="BG55" s="250">
        <v>10482.875600598758</v>
      </c>
      <c r="BH55" s="250">
        <v>4740.5600000000004</v>
      </c>
      <c r="BI55" s="1014">
        <v>2462379.5</v>
      </c>
      <c r="BJ55" s="1014">
        <v>481</v>
      </c>
      <c r="BK55" s="1014">
        <v>18961</v>
      </c>
      <c r="BL55" s="250">
        <v>3071896</v>
      </c>
      <c r="BM55" s="250">
        <v>98741</v>
      </c>
      <c r="BN55" s="250">
        <v>19250.599999999999</v>
      </c>
      <c r="BO55" s="250">
        <v>2764641</v>
      </c>
      <c r="BP55" s="250">
        <v>126504</v>
      </c>
      <c r="BQ55" s="250">
        <v>16441.900000000001</v>
      </c>
      <c r="BR55" s="250">
        <v>8099.4</v>
      </c>
      <c r="BS55" s="250">
        <v>5522.7</v>
      </c>
      <c r="BT55" s="250">
        <v>1024926</v>
      </c>
      <c r="BU55" s="250">
        <v>583247</v>
      </c>
      <c r="BV55" s="250">
        <v>694896</v>
      </c>
      <c r="BW55" s="250">
        <v>439647</v>
      </c>
      <c r="BX55" s="1324">
        <v>1</v>
      </c>
    </row>
    <row r="56" spans="1:76">
      <c r="A56" s="647">
        <v>44978</v>
      </c>
      <c r="B56" s="250">
        <v>1060.6759999999999</v>
      </c>
      <c r="C56" s="250">
        <v>585.98900000000003</v>
      </c>
      <c r="D56" s="1014">
        <v>6846.5</v>
      </c>
      <c r="E56" s="1312">
        <v>0</v>
      </c>
      <c r="F56" s="250">
        <v>16651.099999999999</v>
      </c>
      <c r="G56" s="250">
        <v>5232.5</v>
      </c>
      <c r="H56" s="250">
        <v>571158.4</v>
      </c>
      <c r="I56" s="250">
        <v>263867.2</v>
      </c>
      <c r="J56" s="1812">
        <v>204025.8</v>
      </c>
      <c r="K56" s="219">
        <v>14948.1</v>
      </c>
      <c r="L56" s="250">
        <v>7010.3</v>
      </c>
      <c r="M56" s="250">
        <v>44227.7</v>
      </c>
      <c r="N56" s="250">
        <v>35169.9</v>
      </c>
      <c r="O56" s="250">
        <v>136694.70000000001</v>
      </c>
      <c r="P56" s="250">
        <v>113401.5</v>
      </c>
      <c r="Q56" s="250">
        <v>138875.5</v>
      </c>
      <c r="R56" s="250">
        <v>95263.8</v>
      </c>
      <c r="S56" s="1014">
        <v>14051.63</v>
      </c>
      <c r="T56" s="1014">
        <v>10671.64</v>
      </c>
      <c r="U56" s="250">
        <v>24958.7</v>
      </c>
      <c r="V56" s="250">
        <v>13001</v>
      </c>
      <c r="W56" s="1812">
        <v>209603.5</v>
      </c>
      <c r="X56" s="1014">
        <v>345.9</v>
      </c>
      <c r="Y56" s="1014">
        <v>50716</v>
      </c>
      <c r="Z56" s="250">
        <v>564669</v>
      </c>
      <c r="AA56" s="250">
        <v>287757.5</v>
      </c>
      <c r="AB56" s="1812">
        <v>209556.1</v>
      </c>
      <c r="AC56" s="1014">
        <v>1112.4000000000001</v>
      </c>
      <c r="AD56" s="1081">
        <v>942</v>
      </c>
      <c r="AE56" s="250">
        <v>35378.300000000003</v>
      </c>
      <c r="AF56" s="250">
        <v>25222.2</v>
      </c>
      <c r="AG56" s="250">
        <v>81946.67</v>
      </c>
      <c r="AH56" s="250">
        <v>63356.9</v>
      </c>
      <c r="AI56" s="250">
        <v>65158.2</v>
      </c>
      <c r="AJ56" s="250">
        <v>53058.5</v>
      </c>
      <c r="AK56" s="250">
        <v>58795.7</v>
      </c>
      <c r="AL56" s="250">
        <v>23122.5</v>
      </c>
      <c r="AM56" s="250">
        <v>16.399999999999999</v>
      </c>
      <c r="AN56" s="250">
        <v>17.399999999999999</v>
      </c>
      <c r="AO56" s="250">
        <v>481615.3</v>
      </c>
      <c r="AP56" s="250">
        <v>222317.3</v>
      </c>
      <c r="AQ56" s="250">
        <v>64788.4</v>
      </c>
      <c r="AR56" s="250"/>
      <c r="AS56" s="250">
        <v>449709.7</v>
      </c>
      <c r="AT56" s="250">
        <v>197987</v>
      </c>
      <c r="AU56" s="250">
        <v>77928</v>
      </c>
      <c r="AV56" s="250">
        <v>4231.8999999999996</v>
      </c>
      <c r="AW56" s="250">
        <v>2818.1</v>
      </c>
      <c r="AX56" s="683">
        <v>220.2</v>
      </c>
      <c r="AY56" s="683">
        <v>133.27000000000001</v>
      </c>
      <c r="AZ56" s="250">
        <v>791.94200000000001</v>
      </c>
      <c r="BA56" s="250">
        <v>337.41899999999998</v>
      </c>
      <c r="BB56" s="250">
        <v>1789.7</v>
      </c>
      <c r="BC56" s="250">
        <v>3202.8</v>
      </c>
      <c r="BD56" s="250">
        <v>507.6</v>
      </c>
      <c r="BE56" s="250">
        <v>6204.5300000000016</v>
      </c>
      <c r="BF56" s="250">
        <v>34906.298245614038</v>
      </c>
      <c r="BG56" s="250">
        <v>9823.3936522894764</v>
      </c>
      <c r="BH56" s="250">
        <v>4535.5</v>
      </c>
      <c r="BI56" s="1014">
        <v>2462379.5</v>
      </c>
      <c r="BJ56" s="1014">
        <v>481</v>
      </c>
      <c r="BK56" s="1014">
        <v>18961</v>
      </c>
      <c r="BL56" s="250">
        <v>3077093</v>
      </c>
      <c r="BM56" s="250">
        <v>98939</v>
      </c>
      <c r="BN56" s="250">
        <v>19272.8</v>
      </c>
      <c r="BO56" s="250">
        <v>2767367</v>
      </c>
      <c r="BP56" s="250">
        <v>126507</v>
      </c>
      <c r="BQ56" s="250">
        <v>16464.2</v>
      </c>
      <c r="BR56" s="250">
        <v>8105.4</v>
      </c>
      <c r="BS56" s="250">
        <v>5526.8</v>
      </c>
      <c r="BT56" s="250">
        <v>1026102</v>
      </c>
      <c r="BU56" s="250">
        <v>583901</v>
      </c>
      <c r="BV56" s="250">
        <v>695129</v>
      </c>
      <c r="BW56" s="250">
        <v>439794</v>
      </c>
      <c r="BX56" s="1324">
        <v>0</v>
      </c>
    </row>
    <row r="57" spans="1:76">
      <c r="A57" s="647">
        <v>44979</v>
      </c>
      <c r="B57" s="250">
        <v>1060.6759999999999</v>
      </c>
      <c r="C57" s="250">
        <v>585.98900000000003</v>
      </c>
      <c r="D57" s="1014">
        <v>6846.5</v>
      </c>
      <c r="E57" s="1312">
        <v>0</v>
      </c>
      <c r="F57" s="250">
        <v>16680.400000000001</v>
      </c>
      <c r="G57" s="250">
        <v>5245.5</v>
      </c>
      <c r="H57" s="250">
        <v>571322.30000000005</v>
      </c>
      <c r="I57" s="250">
        <v>263951</v>
      </c>
      <c r="J57" s="250">
        <v>204049.8</v>
      </c>
      <c r="K57" s="219">
        <v>14948.1</v>
      </c>
      <c r="L57" s="250">
        <v>7010.3</v>
      </c>
      <c r="M57" s="250">
        <v>44251.5</v>
      </c>
      <c r="N57" s="250">
        <v>35188.300000000003</v>
      </c>
      <c r="O57" s="250">
        <v>136711.70000000001</v>
      </c>
      <c r="P57" s="250">
        <v>113415.5</v>
      </c>
      <c r="Q57" s="250">
        <v>138893</v>
      </c>
      <c r="R57" s="250">
        <v>95276</v>
      </c>
      <c r="S57" s="1014">
        <v>14051.63</v>
      </c>
      <c r="T57" s="1014">
        <v>10671.64</v>
      </c>
      <c r="U57" s="250">
        <v>25106</v>
      </c>
      <c r="V57" s="250">
        <v>13078.6</v>
      </c>
      <c r="W57" s="250">
        <v>209627.5</v>
      </c>
      <c r="X57" s="1014">
        <v>345.9</v>
      </c>
      <c r="Y57" s="1014">
        <v>50716</v>
      </c>
      <c r="Z57" s="250">
        <v>564971.4</v>
      </c>
      <c r="AA57" s="250">
        <v>287908.8</v>
      </c>
      <c r="AB57" s="250">
        <v>209580.1</v>
      </c>
      <c r="AC57" s="1014">
        <v>1112.4000000000001</v>
      </c>
      <c r="AD57" s="1081">
        <v>942</v>
      </c>
      <c r="AE57" s="250">
        <v>35380.5</v>
      </c>
      <c r="AF57" s="250">
        <v>25223.7</v>
      </c>
      <c r="AG57" s="250">
        <v>81956.899999999994</v>
      </c>
      <c r="AH57" s="250">
        <v>63364.800000000003</v>
      </c>
      <c r="AI57" s="250">
        <v>65170.7</v>
      </c>
      <c r="AJ57" s="250">
        <v>53068.5</v>
      </c>
      <c r="AK57" s="250">
        <v>58805.9</v>
      </c>
      <c r="AL57" s="250">
        <v>23126.3</v>
      </c>
      <c r="AM57" s="250">
        <v>16.399999999999999</v>
      </c>
      <c r="AN57" s="250">
        <v>17.399999999999999</v>
      </c>
      <c r="AO57" s="250">
        <v>481764.3</v>
      </c>
      <c r="AP57" s="250">
        <v>222382.2</v>
      </c>
      <c r="AQ57" s="250">
        <v>64793.5</v>
      </c>
      <c r="AR57" s="250"/>
      <c r="AS57" s="250">
        <v>449859.9</v>
      </c>
      <c r="AT57" s="250">
        <v>198051.9</v>
      </c>
      <c r="AU57" s="250">
        <v>77952</v>
      </c>
      <c r="AV57" s="250">
        <v>4234.5</v>
      </c>
      <c r="AW57" s="250">
        <v>2819.8</v>
      </c>
      <c r="AX57" s="683">
        <v>220.2</v>
      </c>
      <c r="AY57" s="683">
        <v>133.27000000000001</v>
      </c>
      <c r="AZ57" s="250">
        <v>791.94200000000001</v>
      </c>
      <c r="BA57" s="250">
        <v>337.41899999999998</v>
      </c>
      <c r="BB57" s="250">
        <v>1789.7</v>
      </c>
      <c r="BC57" s="250">
        <v>3203.4</v>
      </c>
      <c r="BD57" s="250">
        <v>507.6</v>
      </c>
      <c r="BE57" s="250">
        <v>6695.38</v>
      </c>
      <c r="BF57" s="250">
        <v>34990.287719298198</v>
      </c>
      <c r="BG57" s="250">
        <v>9766.5114902784808</v>
      </c>
      <c r="BH57" s="250">
        <v>5883.63</v>
      </c>
      <c r="BI57" s="1014">
        <v>2462379.5</v>
      </c>
      <c r="BJ57" s="1014">
        <v>481</v>
      </c>
      <c r="BK57" s="1014">
        <v>18961</v>
      </c>
      <c r="BL57" s="250">
        <v>3079521</v>
      </c>
      <c r="BM57" s="250">
        <v>98939</v>
      </c>
      <c r="BN57" s="250">
        <v>19296.900000000001</v>
      </c>
      <c r="BO57" s="250">
        <v>2773582</v>
      </c>
      <c r="BP57" s="250">
        <v>126545</v>
      </c>
      <c r="BQ57" s="250">
        <v>16488.3</v>
      </c>
      <c r="BR57" s="250">
        <v>8114.5</v>
      </c>
      <c r="BS57" s="250">
        <v>5532.4</v>
      </c>
      <c r="BT57" s="250">
        <v>1027298</v>
      </c>
      <c r="BU57" s="250">
        <v>584561</v>
      </c>
      <c r="BV57" s="250">
        <v>695318</v>
      </c>
      <c r="BW57" s="250">
        <v>439915</v>
      </c>
      <c r="BX57" s="1324">
        <v>0</v>
      </c>
    </row>
    <row r="58" spans="1:76">
      <c r="A58" s="647">
        <v>44980</v>
      </c>
      <c r="B58" s="250">
        <v>1060.6759999999999</v>
      </c>
      <c r="C58" s="250">
        <v>585.98900000000003</v>
      </c>
      <c r="D58" s="1014">
        <v>6846.5</v>
      </c>
      <c r="E58" s="1312">
        <v>0</v>
      </c>
      <c r="F58" s="250">
        <v>16705.099999999999</v>
      </c>
      <c r="G58" s="250">
        <v>5256.8</v>
      </c>
      <c r="H58" s="250">
        <v>571473.9</v>
      </c>
      <c r="I58" s="250">
        <v>264029.8</v>
      </c>
      <c r="J58" s="250">
        <v>204072.8</v>
      </c>
      <c r="K58" s="219">
        <v>14948.2</v>
      </c>
      <c r="L58" s="250">
        <v>7010.3</v>
      </c>
      <c r="M58" s="250">
        <v>44272.08</v>
      </c>
      <c r="N58" s="250">
        <v>35203.699999999997</v>
      </c>
      <c r="O58" s="250">
        <v>136726.17000000001</v>
      </c>
      <c r="P58" s="250">
        <v>113428.14</v>
      </c>
      <c r="Q58" s="250">
        <v>138910.35</v>
      </c>
      <c r="R58" s="250">
        <v>95287.92</v>
      </c>
      <c r="S58" s="1014">
        <v>14051.63</v>
      </c>
      <c r="T58" s="1014">
        <v>10671.64</v>
      </c>
      <c r="U58" s="250">
        <v>25239.54</v>
      </c>
      <c r="V58" s="250">
        <v>13147.91</v>
      </c>
      <c r="W58" s="250">
        <v>209651.5</v>
      </c>
      <c r="X58" s="1014">
        <v>345.9</v>
      </c>
      <c r="Y58" s="1014">
        <v>50716</v>
      </c>
      <c r="Z58" s="250">
        <v>565230.56000000006</v>
      </c>
      <c r="AA58" s="250">
        <v>288044.01</v>
      </c>
      <c r="AB58" s="250">
        <v>209604.1</v>
      </c>
      <c r="AC58" s="1014">
        <v>1112.4000000000001</v>
      </c>
      <c r="AD58" s="1081">
        <v>942</v>
      </c>
      <c r="AE58" s="250">
        <v>35382.800000000003</v>
      </c>
      <c r="AF58" s="250">
        <v>25225.360000000001</v>
      </c>
      <c r="AG58" s="250">
        <v>81966.850000000006</v>
      </c>
      <c r="AH58" s="250">
        <v>63372.54</v>
      </c>
      <c r="AI58" s="250">
        <v>65183.23</v>
      </c>
      <c r="AJ58" s="250">
        <v>53078.85</v>
      </c>
      <c r="AK58" s="250">
        <v>58805.9</v>
      </c>
      <c r="AL58" s="250">
        <v>23126.3</v>
      </c>
      <c r="AM58" s="250">
        <v>16.399999999999999</v>
      </c>
      <c r="AN58" s="250">
        <v>17.399999999999999</v>
      </c>
      <c r="AO58" s="250">
        <v>481887.6</v>
      </c>
      <c r="AP58" s="250">
        <v>222436.3</v>
      </c>
      <c r="AQ58" s="250">
        <v>64798.438999999998</v>
      </c>
      <c r="AR58" s="250"/>
      <c r="AS58" s="250">
        <v>449983.79</v>
      </c>
      <c r="AT58" s="250">
        <v>198105.61900000001</v>
      </c>
      <c r="AU58" s="250">
        <v>77972</v>
      </c>
      <c r="AV58" s="250">
        <v>4238.43</v>
      </c>
      <c r="AW58" s="250">
        <v>2822.46</v>
      </c>
      <c r="AX58" s="683">
        <v>220.27</v>
      </c>
      <c r="AY58" s="683">
        <v>133.32</v>
      </c>
      <c r="AZ58" s="250">
        <v>791.94200000000001</v>
      </c>
      <c r="BA58" s="250">
        <v>337.41899999999998</v>
      </c>
      <c r="BB58" s="250">
        <v>1789.7</v>
      </c>
      <c r="BC58" s="250">
        <v>3203.8</v>
      </c>
      <c r="BD58" s="250">
        <v>507.6</v>
      </c>
      <c r="BE58" s="250">
        <v>5647.43</v>
      </c>
      <c r="BF58" s="250">
        <v>27344.350877192999</v>
      </c>
      <c r="BG58" s="250">
        <v>7013.0622308813099</v>
      </c>
      <c r="BH58" s="250">
        <v>4804.57</v>
      </c>
      <c r="BI58" s="1014">
        <v>2462379.5</v>
      </c>
      <c r="BJ58" s="250">
        <v>481</v>
      </c>
      <c r="BK58" s="250">
        <v>18968.240000000002</v>
      </c>
      <c r="BL58" s="250">
        <v>3081219</v>
      </c>
      <c r="BM58" s="250">
        <v>98942</v>
      </c>
      <c r="BN58" s="250">
        <v>19313.8</v>
      </c>
      <c r="BO58" s="250">
        <v>2777950</v>
      </c>
      <c r="BP58" s="250">
        <v>126576</v>
      </c>
      <c r="BQ58" s="250">
        <v>16505.2</v>
      </c>
      <c r="BR58" s="250">
        <v>8121.91</v>
      </c>
      <c r="BS58" s="250">
        <v>5537.13</v>
      </c>
      <c r="BT58" s="250">
        <v>1028224</v>
      </c>
      <c r="BU58" s="250">
        <v>585082</v>
      </c>
      <c r="BV58" s="250">
        <v>695525</v>
      </c>
      <c r="BW58" s="250">
        <v>440048</v>
      </c>
      <c r="BX58" s="1324">
        <v>0</v>
      </c>
    </row>
    <row r="59" spans="1:76">
      <c r="A59" s="647">
        <v>44981</v>
      </c>
      <c r="B59" s="250">
        <v>1060.6759999999999</v>
      </c>
      <c r="C59" s="250">
        <v>585.98900000000003</v>
      </c>
      <c r="D59" s="1014">
        <v>6846.5</v>
      </c>
      <c r="E59" s="1312">
        <v>0</v>
      </c>
      <c r="F59" s="250">
        <v>16732.8</v>
      </c>
      <c r="G59" s="250">
        <v>5264.1</v>
      </c>
      <c r="H59" s="250">
        <v>571638.4</v>
      </c>
      <c r="I59" s="250">
        <v>264113.3</v>
      </c>
      <c r="J59" s="250">
        <v>204096.8</v>
      </c>
      <c r="K59" s="219">
        <v>14948.7</v>
      </c>
      <c r="L59" s="250">
        <v>7010.3</v>
      </c>
      <c r="M59" s="250">
        <v>44290.15</v>
      </c>
      <c r="N59" s="250">
        <v>35217.11</v>
      </c>
      <c r="O59" s="250">
        <v>136742.70000000001</v>
      </c>
      <c r="P59" s="250">
        <v>113441.2</v>
      </c>
      <c r="Q59" s="250">
        <v>138927.35</v>
      </c>
      <c r="R59" s="250">
        <v>95299.68</v>
      </c>
      <c r="S59" s="1014">
        <v>14051.63</v>
      </c>
      <c r="T59" s="1014">
        <v>10671.64</v>
      </c>
      <c r="U59" s="250">
        <v>25389.22</v>
      </c>
      <c r="V59" s="250">
        <v>13222.14</v>
      </c>
      <c r="W59" s="250">
        <v>209675.5</v>
      </c>
      <c r="X59" s="1014">
        <v>345.9</v>
      </c>
      <c r="Y59" s="1014">
        <v>50716</v>
      </c>
      <c r="Z59" s="250">
        <v>565515.63</v>
      </c>
      <c r="AA59" s="250">
        <v>288184.02</v>
      </c>
      <c r="AB59" s="250">
        <v>209628.1</v>
      </c>
      <c r="AC59" s="1014">
        <v>1112.4000000000001</v>
      </c>
      <c r="AD59" s="1081">
        <v>942</v>
      </c>
      <c r="AE59" s="250">
        <v>35385.03</v>
      </c>
      <c r="AF59" s="250">
        <v>25226.94</v>
      </c>
      <c r="AG59" s="250">
        <v>81975.16</v>
      </c>
      <c r="AH59" s="250">
        <v>63379.03</v>
      </c>
      <c r="AI59" s="250">
        <v>65195.12</v>
      </c>
      <c r="AJ59" s="250">
        <v>53088.77</v>
      </c>
      <c r="AK59" s="250">
        <v>58812.2</v>
      </c>
      <c r="AL59" s="250">
        <v>23131.200000000001</v>
      </c>
      <c r="AM59" s="250">
        <v>16.399999999999999</v>
      </c>
      <c r="AN59" s="250">
        <v>17.399999999999999</v>
      </c>
      <c r="AO59" s="250">
        <v>482029.2</v>
      </c>
      <c r="AP59" s="250">
        <v>222498.8</v>
      </c>
      <c r="AQ59" s="250">
        <v>64803.37</v>
      </c>
      <c r="AR59" s="250"/>
      <c r="AS59" s="250">
        <v>450126.07</v>
      </c>
      <c r="AT59" s="250">
        <v>198167.40599999999</v>
      </c>
      <c r="AU59" s="250">
        <v>77996</v>
      </c>
      <c r="AV59" s="250">
        <v>4240.7700000000004</v>
      </c>
      <c r="AW59" s="250">
        <v>2824.12</v>
      </c>
      <c r="AX59" s="250">
        <v>220.27</v>
      </c>
      <c r="AY59" s="250">
        <v>133.32</v>
      </c>
      <c r="AZ59" s="250">
        <v>791.94200000000001</v>
      </c>
      <c r="BA59" s="250">
        <v>337.41899999999998</v>
      </c>
      <c r="BB59" s="250">
        <v>1789.7</v>
      </c>
      <c r="BC59" s="250">
        <v>3204.7</v>
      </c>
      <c r="BD59" s="250">
        <v>507.7</v>
      </c>
      <c r="BE59" s="250">
        <v>6710.61</v>
      </c>
      <c r="BF59" s="250">
        <v>32320.5947368421</v>
      </c>
      <c r="BG59" s="250">
        <v>9777.1195175147004</v>
      </c>
      <c r="BH59" s="250">
        <v>5940.16</v>
      </c>
      <c r="BI59" s="1014">
        <v>2462379.5</v>
      </c>
      <c r="BJ59" s="250">
        <v>481</v>
      </c>
      <c r="BK59" s="250">
        <v>18968.240000000002</v>
      </c>
      <c r="BL59" s="250">
        <v>3087050</v>
      </c>
      <c r="BM59" s="250">
        <v>99092</v>
      </c>
      <c r="BN59" s="250">
        <v>19337.8</v>
      </c>
      <c r="BO59" s="250">
        <v>2780267</v>
      </c>
      <c r="BP59" s="250">
        <v>126576</v>
      </c>
      <c r="BQ59" s="250">
        <v>16529.2</v>
      </c>
      <c r="BR59" s="250">
        <v>8128.06</v>
      </c>
      <c r="BS59" s="250">
        <v>5541.39</v>
      </c>
      <c r="BT59" s="250">
        <v>1029081</v>
      </c>
      <c r="BU59" s="250">
        <v>585566</v>
      </c>
      <c r="BV59" s="250">
        <v>695737</v>
      </c>
      <c r="BW59" s="250">
        <v>440185</v>
      </c>
      <c r="BX59" s="1324">
        <v>0</v>
      </c>
    </row>
    <row r="60" spans="1:76">
      <c r="A60" s="647">
        <v>44982</v>
      </c>
      <c r="B60" s="250">
        <v>1060.6759999999999</v>
      </c>
      <c r="C60" s="250">
        <v>585.98900000000003</v>
      </c>
      <c r="D60" s="1014">
        <v>6846.5</v>
      </c>
      <c r="E60" s="1312">
        <v>0</v>
      </c>
      <c r="F60" s="250">
        <v>16762.099999999999</v>
      </c>
      <c r="G60" s="250">
        <v>5272.6</v>
      </c>
      <c r="H60" s="250">
        <v>571801.1</v>
      </c>
      <c r="I60" s="250">
        <v>264196.90000000002</v>
      </c>
      <c r="J60" s="251">
        <v>204120.8</v>
      </c>
      <c r="K60" s="219">
        <v>14949.2</v>
      </c>
      <c r="L60" s="250">
        <v>7010.4</v>
      </c>
      <c r="M60" s="250">
        <v>44309.55</v>
      </c>
      <c r="N60" s="250">
        <v>35231.68</v>
      </c>
      <c r="O60" s="250">
        <v>136757.73000000001</v>
      </c>
      <c r="P60" s="250">
        <v>113454.12</v>
      </c>
      <c r="Q60" s="250">
        <v>138944.03</v>
      </c>
      <c r="R60" s="250">
        <v>95311.54</v>
      </c>
      <c r="S60" s="1014">
        <v>14051.63</v>
      </c>
      <c r="T60" s="1014">
        <v>10671.64</v>
      </c>
      <c r="U60" s="250">
        <v>25540.51</v>
      </c>
      <c r="V60" s="250">
        <v>13296.97</v>
      </c>
      <c r="W60" s="251">
        <v>209699.5</v>
      </c>
      <c r="X60" s="1014">
        <v>345.9</v>
      </c>
      <c r="Y60" s="1014">
        <v>50716</v>
      </c>
      <c r="Z60" s="250">
        <v>565797.12</v>
      </c>
      <c r="AA60" s="250">
        <v>288325.56</v>
      </c>
      <c r="AB60" s="251">
        <v>209652.1</v>
      </c>
      <c r="AC60" s="1014">
        <v>1112.4000000000001</v>
      </c>
      <c r="AD60" s="1081">
        <v>942</v>
      </c>
      <c r="AE60" s="250">
        <v>35387.269999999997</v>
      </c>
      <c r="AF60" s="250">
        <v>25228.52</v>
      </c>
      <c r="AG60" s="250">
        <v>81984.14</v>
      </c>
      <c r="AH60" s="250">
        <v>63386.06</v>
      </c>
      <c r="AI60" s="250">
        <v>65207.76</v>
      </c>
      <c r="AJ60" s="250">
        <v>53099.360000000001</v>
      </c>
      <c r="AK60" s="250">
        <v>58829.3</v>
      </c>
      <c r="AL60" s="250">
        <v>23135.599999999999</v>
      </c>
      <c r="AM60" s="250">
        <v>16.399999999999999</v>
      </c>
      <c r="AN60" s="250">
        <v>17.399999999999999</v>
      </c>
      <c r="AO60" s="250">
        <v>482168.4</v>
      </c>
      <c r="AP60" s="250">
        <v>222560.3</v>
      </c>
      <c r="AQ60" s="422">
        <v>64808.012000000002</v>
      </c>
      <c r="AR60" s="1014"/>
      <c r="AS60" s="250">
        <v>450265.65</v>
      </c>
      <c r="AT60" s="250">
        <v>198228.24</v>
      </c>
      <c r="AU60" s="250">
        <v>78020</v>
      </c>
      <c r="AV60" s="250">
        <v>4243.5200000000004</v>
      </c>
      <c r="AW60" s="250">
        <v>2826.04</v>
      </c>
      <c r="AX60" s="250">
        <v>220.27</v>
      </c>
      <c r="AY60" s="250">
        <v>133.32</v>
      </c>
      <c r="AZ60" s="250">
        <v>791.94200000000001</v>
      </c>
      <c r="BA60" s="250">
        <v>337.41899999999998</v>
      </c>
      <c r="BB60" s="250">
        <v>1789.7</v>
      </c>
      <c r="BC60" s="250">
        <v>3206.9</v>
      </c>
      <c r="BD60" s="250">
        <v>507.7</v>
      </c>
      <c r="BE60" s="250">
        <v>5866.69</v>
      </c>
      <c r="BF60" s="250">
        <v>32319.556140350898</v>
      </c>
      <c r="BG60" s="1014">
        <v>10034.6056349059</v>
      </c>
      <c r="BH60" s="250">
        <v>5854.38</v>
      </c>
      <c r="BI60" s="1014">
        <v>2462379.5</v>
      </c>
      <c r="BJ60" s="250">
        <v>481</v>
      </c>
      <c r="BK60" s="250">
        <v>18968.240000000002</v>
      </c>
      <c r="BL60" s="250">
        <v>3093077</v>
      </c>
      <c r="BM60" s="250">
        <v>99213</v>
      </c>
      <c r="BN60" s="250">
        <v>19361.8</v>
      </c>
      <c r="BO60" s="250">
        <v>2782627</v>
      </c>
      <c r="BP60" s="250">
        <v>126576</v>
      </c>
      <c r="BQ60" s="250">
        <v>16553.2</v>
      </c>
      <c r="BR60" s="250">
        <v>8134.34</v>
      </c>
      <c r="BS60" s="250">
        <v>5545.77</v>
      </c>
      <c r="BT60" s="250">
        <v>1030295</v>
      </c>
      <c r="BU60" s="250">
        <v>586238</v>
      </c>
      <c r="BV60" s="250">
        <v>696006</v>
      </c>
      <c r="BW60" s="250">
        <v>440353</v>
      </c>
      <c r="BX60" s="1324">
        <v>0</v>
      </c>
    </row>
    <row r="61" spans="1:76">
      <c r="A61" s="647">
        <v>44983</v>
      </c>
      <c r="B61" s="250">
        <v>1060.6759999999999</v>
      </c>
      <c r="C61" s="250">
        <v>585.98900000000003</v>
      </c>
      <c r="D61" s="1014">
        <v>6846.5</v>
      </c>
      <c r="E61" s="1312">
        <v>0</v>
      </c>
      <c r="F61" s="250">
        <v>16791.5</v>
      </c>
      <c r="G61" s="250">
        <v>5281.5</v>
      </c>
      <c r="H61" s="250">
        <v>571962.4</v>
      </c>
      <c r="I61" s="250">
        <v>264280.2</v>
      </c>
      <c r="J61" s="250">
        <v>204144.8</v>
      </c>
      <c r="K61" s="219">
        <v>14949.6</v>
      </c>
      <c r="L61" s="250">
        <v>7010.4</v>
      </c>
      <c r="M61" s="250">
        <v>44329.61</v>
      </c>
      <c r="N61" s="250">
        <v>35246.83</v>
      </c>
      <c r="O61" s="250">
        <v>136773.51</v>
      </c>
      <c r="P61" s="250">
        <v>113467.27</v>
      </c>
      <c r="Q61" s="250">
        <v>138960.45000000001</v>
      </c>
      <c r="R61" s="250">
        <v>95323.47</v>
      </c>
      <c r="S61" s="1014">
        <v>14051.63</v>
      </c>
      <c r="T61" s="1014">
        <v>10671.64</v>
      </c>
      <c r="U61" s="250">
        <v>25691.599999999999</v>
      </c>
      <c r="V61" s="250">
        <v>13371.53</v>
      </c>
      <c r="W61" s="250">
        <v>209723.5</v>
      </c>
      <c r="X61" s="1014">
        <v>345.9</v>
      </c>
      <c r="Y61" s="1014">
        <v>50716</v>
      </c>
      <c r="Z61" s="250">
        <v>566073.85</v>
      </c>
      <c r="AA61" s="250">
        <v>288466.84000000003</v>
      </c>
      <c r="AB61" s="251">
        <v>209676.1</v>
      </c>
      <c r="AC61" s="1014">
        <v>1112.4000000000001</v>
      </c>
      <c r="AD61" s="1081">
        <v>942</v>
      </c>
      <c r="AE61" s="250">
        <v>35389.5</v>
      </c>
      <c r="AF61" s="250">
        <v>25230.12</v>
      </c>
      <c r="AG61" s="250">
        <v>81992.84</v>
      </c>
      <c r="AH61" s="250">
        <v>63392.87</v>
      </c>
      <c r="AI61" s="250">
        <v>65220.37</v>
      </c>
      <c r="AJ61" s="250">
        <v>53109.93</v>
      </c>
      <c r="AK61" s="250">
        <v>58839.1</v>
      </c>
      <c r="AL61" s="250">
        <v>23139.5</v>
      </c>
      <c r="AM61" s="250">
        <v>16.399999999999999</v>
      </c>
      <c r="AN61" s="250">
        <v>17.399999999999999</v>
      </c>
      <c r="AO61" s="250">
        <v>482305</v>
      </c>
      <c r="AP61" s="250">
        <v>222620.9</v>
      </c>
      <c r="AQ61" s="422">
        <v>64812.656000000003</v>
      </c>
      <c r="AR61" s="1014"/>
      <c r="AS61" s="250">
        <v>450403.5</v>
      </c>
      <c r="AT61" s="250">
        <v>198288.44</v>
      </c>
      <c r="AU61" s="250">
        <v>78044</v>
      </c>
      <c r="AV61" s="250">
        <v>4246.4399999999996</v>
      </c>
      <c r="AW61" s="250">
        <v>2828.07</v>
      </c>
      <c r="AX61" s="250">
        <v>220.27</v>
      </c>
      <c r="AY61" s="250">
        <v>133.32</v>
      </c>
      <c r="AZ61" s="250">
        <v>791.94200000000001</v>
      </c>
      <c r="BA61" s="250">
        <v>337.41899999999998</v>
      </c>
      <c r="BB61" s="250">
        <v>1789.7</v>
      </c>
      <c r="BC61" s="250">
        <v>3209.3</v>
      </c>
      <c r="BD61" s="250">
        <v>507.7</v>
      </c>
      <c r="BE61" s="250">
        <v>5937.87</v>
      </c>
      <c r="BF61" s="250">
        <v>31768.559649122799</v>
      </c>
      <c r="BG61" s="1014">
        <v>10500.1480688471</v>
      </c>
      <c r="BH61" s="250">
        <v>5402.87</v>
      </c>
      <c r="BI61" s="1014">
        <v>2462379.5</v>
      </c>
      <c r="BJ61" s="250">
        <v>481</v>
      </c>
      <c r="BK61" s="250">
        <v>18968.240000000002</v>
      </c>
      <c r="BL61" s="250">
        <v>3098797</v>
      </c>
      <c r="BM61" s="250">
        <v>99438</v>
      </c>
      <c r="BN61" s="250">
        <v>19385.8</v>
      </c>
      <c r="BO61" s="250">
        <v>2784962</v>
      </c>
      <c r="BP61" s="250">
        <v>126576</v>
      </c>
      <c r="BQ61" s="250">
        <v>16577.2</v>
      </c>
      <c r="BR61" s="250">
        <v>8140.7</v>
      </c>
      <c r="BS61" s="250">
        <v>5550.21</v>
      </c>
      <c r="BT61" s="250">
        <v>1030889</v>
      </c>
      <c r="BU61" s="250">
        <v>586587</v>
      </c>
      <c r="BV61" s="250">
        <v>696844</v>
      </c>
      <c r="BW61" s="250">
        <v>440865</v>
      </c>
      <c r="BX61" s="1324">
        <v>0</v>
      </c>
    </row>
    <row r="62" spans="1:76">
      <c r="A62" s="647">
        <v>44984</v>
      </c>
      <c r="B62" s="250">
        <v>1060.6759999999999</v>
      </c>
      <c r="C62" s="250">
        <v>585.98900000000003</v>
      </c>
      <c r="D62" s="1014">
        <v>6846.5</v>
      </c>
      <c r="E62" s="1312">
        <v>0</v>
      </c>
      <c r="F62" s="250">
        <v>16821.099999999999</v>
      </c>
      <c r="G62" s="250">
        <v>5290.6</v>
      </c>
      <c r="H62" s="250">
        <v>572122.19999999995</v>
      </c>
      <c r="I62" s="250">
        <v>264362.59999999998</v>
      </c>
      <c r="J62" s="250">
        <v>204168.8</v>
      </c>
      <c r="K62" s="219">
        <v>14950.1</v>
      </c>
      <c r="L62" s="250">
        <v>7010.5</v>
      </c>
      <c r="M62" s="250">
        <v>44349.49</v>
      </c>
      <c r="N62" s="250">
        <v>35261.83</v>
      </c>
      <c r="O62" s="250">
        <v>136789.82999999999</v>
      </c>
      <c r="P62" s="250">
        <v>113480.71</v>
      </c>
      <c r="Q62" s="250">
        <v>138977.38</v>
      </c>
      <c r="R62" s="250">
        <v>95335.45</v>
      </c>
      <c r="S62" s="1014">
        <v>14051.63</v>
      </c>
      <c r="T62" s="1014">
        <v>10671.64</v>
      </c>
      <c r="U62" s="250">
        <v>25842.95</v>
      </c>
      <c r="V62" s="250">
        <v>13447.33</v>
      </c>
      <c r="W62" s="250">
        <v>209747.5</v>
      </c>
      <c r="X62" s="1014">
        <v>345.9</v>
      </c>
      <c r="Y62" s="1014">
        <v>50716</v>
      </c>
      <c r="Z62" s="250">
        <v>566357.69999999995</v>
      </c>
      <c r="AA62" s="250">
        <v>288609.3</v>
      </c>
      <c r="AB62" s="250">
        <v>209700.1</v>
      </c>
      <c r="AC62" s="1014">
        <v>1112.4000000000001</v>
      </c>
      <c r="AD62" s="1081">
        <v>942</v>
      </c>
      <c r="AE62" s="250">
        <v>35391.75</v>
      </c>
      <c r="AF62" s="250">
        <v>25231.71</v>
      </c>
      <c r="AG62" s="250">
        <v>82001.69</v>
      </c>
      <c r="AH62" s="250">
        <v>63399.75</v>
      </c>
      <c r="AI62" s="250">
        <v>65232.98</v>
      </c>
      <c r="AJ62" s="250">
        <v>53120.5</v>
      </c>
      <c r="AK62" s="250">
        <v>58852.4</v>
      </c>
      <c r="AL62" s="250">
        <v>23144.9</v>
      </c>
      <c r="AM62" s="250">
        <v>16.399999999999999</v>
      </c>
      <c r="AN62" s="250">
        <v>17.399999999999999</v>
      </c>
      <c r="AO62" s="250">
        <v>482444.1</v>
      </c>
      <c r="AP62" s="250">
        <v>222681.8</v>
      </c>
      <c r="AQ62" s="422">
        <v>64817.807999999997</v>
      </c>
      <c r="AR62" s="1014"/>
      <c r="AS62" s="250">
        <v>450542.53</v>
      </c>
      <c r="AT62" s="250">
        <v>198349.9</v>
      </c>
      <c r="AU62" s="250">
        <v>78068</v>
      </c>
      <c r="AV62" s="250">
        <v>4249.37</v>
      </c>
      <c r="AW62" s="250">
        <v>2830.1</v>
      </c>
      <c r="AX62" s="250">
        <v>220.27</v>
      </c>
      <c r="AY62" s="250">
        <v>133.32</v>
      </c>
      <c r="AZ62" s="250">
        <v>791.94200000000001</v>
      </c>
      <c r="BA62" s="250">
        <v>337.41899999999998</v>
      </c>
      <c r="BB62" s="250">
        <v>1789.7</v>
      </c>
      <c r="BC62" s="250">
        <v>3211.6</v>
      </c>
      <c r="BD62" s="219">
        <v>507.7</v>
      </c>
      <c r="BE62" s="250">
        <v>6184.82</v>
      </c>
      <c r="BF62" s="250">
        <v>32712.980701754401</v>
      </c>
      <c r="BG62" s="1014">
        <v>8615.92214804373</v>
      </c>
      <c r="BH62" s="250">
        <v>6375.29</v>
      </c>
      <c r="BI62" s="1014">
        <v>2462379.5</v>
      </c>
      <c r="BJ62" s="250">
        <v>481</v>
      </c>
      <c r="BK62" s="250">
        <v>18968.240000000002</v>
      </c>
      <c r="BL62" s="250">
        <v>3104532</v>
      </c>
      <c r="BM62" s="250">
        <v>99675</v>
      </c>
      <c r="BN62" s="250">
        <v>19409.8</v>
      </c>
      <c r="BO62" s="250">
        <v>2787322</v>
      </c>
      <c r="BP62" s="250">
        <v>126576</v>
      </c>
      <c r="BQ62" s="250">
        <v>16601.2</v>
      </c>
      <c r="BR62" s="250">
        <v>8147.19</v>
      </c>
      <c r="BS62" s="250">
        <v>5554.77</v>
      </c>
      <c r="BT62" s="250">
        <v>1031537</v>
      </c>
      <c r="BU62" s="250">
        <v>586988</v>
      </c>
      <c r="BV62" s="250">
        <v>697663</v>
      </c>
      <c r="BW62" s="250">
        <v>441342</v>
      </c>
      <c r="BX62" s="1324">
        <v>0</v>
      </c>
    </row>
    <row r="63" spans="1:76">
      <c r="A63" s="647">
        <v>44985</v>
      </c>
      <c r="B63" s="250">
        <v>1060.683</v>
      </c>
      <c r="C63" s="250">
        <v>585.99199999999996</v>
      </c>
      <c r="D63" s="250">
        <v>6847.3</v>
      </c>
      <c r="E63" s="1312">
        <v>0</v>
      </c>
      <c r="F63" s="250">
        <v>16850.900000000001</v>
      </c>
      <c r="G63" s="250">
        <v>5299.5</v>
      </c>
      <c r="H63" s="250">
        <v>572287.6</v>
      </c>
      <c r="I63" s="250">
        <v>264445</v>
      </c>
      <c r="J63" s="250">
        <v>204192.8</v>
      </c>
      <c r="K63" s="219">
        <v>14950.6</v>
      </c>
      <c r="L63" s="250">
        <v>7010.5</v>
      </c>
      <c r="M63" s="250">
        <v>44369</v>
      </c>
      <c r="N63" s="250">
        <v>35276.5</v>
      </c>
      <c r="O63" s="250">
        <v>136805</v>
      </c>
      <c r="P63" s="250">
        <v>113493.37</v>
      </c>
      <c r="Q63" s="250">
        <v>138995</v>
      </c>
      <c r="R63" s="250">
        <v>95347.7</v>
      </c>
      <c r="S63" s="1014">
        <v>14051.63</v>
      </c>
      <c r="T63" s="1014">
        <v>10671.64</v>
      </c>
      <c r="U63" s="250">
        <v>25995.38</v>
      </c>
      <c r="V63" s="250">
        <v>13522.31</v>
      </c>
      <c r="W63" s="250">
        <v>209771.5</v>
      </c>
      <c r="X63" s="1014">
        <v>345.9</v>
      </c>
      <c r="Y63" s="1014">
        <v>50716</v>
      </c>
      <c r="Z63" s="250">
        <v>566637.16</v>
      </c>
      <c r="AA63" s="250">
        <v>288750.7</v>
      </c>
      <c r="AB63" s="250">
        <v>209724.1</v>
      </c>
      <c r="AC63" s="1014">
        <v>1112.4000000000001</v>
      </c>
      <c r="AD63" s="1081">
        <v>942</v>
      </c>
      <c r="AE63" s="250">
        <v>35394</v>
      </c>
      <c r="AF63" s="250">
        <v>25233.33</v>
      </c>
      <c r="AG63" s="250">
        <v>82010.289999999994</v>
      </c>
      <c r="AH63" s="250">
        <v>63406.27</v>
      </c>
      <c r="AI63" s="250">
        <v>65245.66</v>
      </c>
      <c r="AJ63" s="250">
        <v>53131.11</v>
      </c>
      <c r="AK63" s="250">
        <v>58860.5</v>
      </c>
      <c r="AL63" s="250">
        <v>23147.9</v>
      </c>
      <c r="AM63" s="250">
        <v>16.399999999999999</v>
      </c>
      <c r="AN63" s="250">
        <v>17.399999999999999</v>
      </c>
      <c r="AO63" s="250">
        <v>482583.8</v>
      </c>
      <c r="AP63" s="250">
        <v>222743.4</v>
      </c>
      <c r="AQ63" s="422">
        <v>64823.076999999997</v>
      </c>
      <c r="AR63" s="1014"/>
      <c r="AS63" s="250">
        <v>450682</v>
      </c>
      <c r="AT63" s="250">
        <v>198409.9</v>
      </c>
      <c r="AU63" s="250">
        <v>78092</v>
      </c>
      <c r="AV63" s="250">
        <v>4252.26</v>
      </c>
      <c r="AW63" s="250">
        <v>2832.12</v>
      </c>
      <c r="AX63" s="1014">
        <v>220.32</v>
      </c>
      <c r="AY63" s="1014">
        <v>133.35</v>
      </c>
      <c r="AZ63" s="250">
        <v>792.53</v>
      </c>
      <c r="BA63" s="250">
        <v>337.64400000000001</v>
      </c>
      <c r="BB63" s="385">
        <v>1790.5</v>
      </c>
      <c r="BC63" s="250">
        <v>3213.9</v>
      </c>
      <c r="BD63" s="219">
        <v>507.7</v>
      </c>
      <c r="BE63" s="250">
        <v>6144.79</v>
      </c>
      <c r="BF63" s="250">
        <v>33482.664912280699</v>
      </c>
      <c r="BG63" s="1014">
        <v>10763.2763547919</v>
      </c>
      <c r="BH63" s="250">
        <v>5921.04</v>
      </c>
      <c r="BI63" s="1014">
        <v>2462379.5</v>
      </c>
      <c r="BJ63" s="250">
        <v>481</v>
      </c>
      <c r="BK63" s="250">
        <v>18968.240000000002</v>
      </c>
      <c r="BL63" s="250">
        <v>3110009</v>
      </c>
      <c r="BM63" s="250">
        <v>99817</v>
      </c>
      <c r="BN63" s="250">
        <v>19433.8</v>
      </c>
      <c r="BO63" s="250">
        <v>2790233</v>
      </c>
      <c r="BP63" s="250">
        <v>126579</v>
      </c>
      <c r="BQ63" s="250">
        <v>16625.2</v>
      </c>
      <c r="BR63" s="250">
        <v>8153.76</v>
      </c>
      <c r="BS63" s="250">
        <v>5559.38</v>
      </c>
      <c r="BT63" s="250">
        <v>1031902</v>
      </c>
      <c r="BU63" s="250">
        <v>587222</v>
      </c>
      <c r="BV63" s="250">
        <v>698801</v>
      </c>
      <c r="BW63" s="250">
        <v>442033</v>
      </c>
      <c r="BX63" s="1324">
        <v>0.6</v>
      </c>
    </row>
    <row r="64" spans="1:76">
      <c r="A64" s="638"/>
      <c r="B64" s="638"/>
      <c r="C64" s="183"/>
      <c r="D64" s="183"/>
      <c r="E64" s="1314"/>
      <c r="F64" s="183"/>
      <c r="G64" s="183"/>
      <c r="H64" s="183"/>
      <c r="I64" s="183"/>
      <c r="J64" s="183"/>
      <c r="K64" s="183"/>
      <c r="L64" s="183"/>
      <c r="M64" s="183"/>
      <c r="N64" s="183"/>
      <c r="O64" s="183"/>
      <c r="P64" s="183"/>
      <c r="Q64" s="183"/>
      <c r="R64" s="183"/>
      <c r="S64" s="183"/>
      <c r="T64" s="183"/>
      <c r="U64" s="183"/>
      <c r="V64" s="183"/>
      <c r="W64" s="183"/>
      <c r="X64" s="183"/>
      <c r="Y64" s="183"/>
      <c r="Z64" s="183"/>
      <c r="AA64" s="183"/>
      <c r="AB64" s="183"/>
      <c r="AC64" s="183"/>
      <c r="AD64" s="183"/>
      <c r="AE64" s="183"/>
      <c r="AF64" s="183"/>
      <c r="AG64" s="183"/>
      <c r="AH64" s="183"/>
      <c r="AI64" s="183"/>
      <c r="AJ64" s="183"/>
      <c r="AK64" s="183"/>
      <c r="AL64" s="183"/>
      <c r="AM64" s="183"/>
      <c r="AN64" s="183"/>
      <c r="AO64" s="183"/>
      <c r="AP64" s="183"/>
      <c r="AQ64" s="659"/>
      <c r="AR64" s="682"/>
      <c r="AS64" s="183"/>
      <c r="AT64" s="183"/>
      <c r="AU64" s="183"/>
      <c r="AV64" s="183"/>
      <c r="AW64" s="183"/>
      <c r="AX64" s="183"/>
      <c r="AY64" s="183"/>
      <c r="AZ64" s="183"/>
      <c r="BA64" s="183"/>
      <c r="BB64" s="1797"/>
      <c r="BC64" s="183"/>
      <c r="BD64" s="183"/>
      <c r="BE64" s="183"/>
      <c r="BF64" s="183"/>
      <c r="BG64" s="1108"/>
      <c r="BH64" s="1108"/>
      <c r="BI64" s="183"/>
      <c r="BJ64" s="183"/>
      <c r="BK64" s="183"/>
      <c r="BL64" s="183"/>
      <c r="BM64" s="183"/>
      <c r="BN64" s="183"/>
      <c r="BO64" s="183"/>
      <c r="BP64" s="183"/>
      <c r="BQ64" s="183"/>
      <c r="BR64" s="183"/>
      <c r="BS64" s="183"/>
      <c r="BT64" s="183"/>
      <c r="BU64" s="183"/>
      <c r="BV64" s="183"/>
      <c r="BW64" s="183"/>
      <c r="BX64" s="1410"/>
    </row>
    <row r="65" spans="1:76">
      <c r="A65" s="647">
        <v>44985</v>
      </c>
      <c r="B65" s="250">
        <v>1060.683</v>
      </c>
      <c r="C65" s="250">
        <v>585.99199999999996</v>
      </c>
      <c r="D65" s="250">
        <v>6847.3</v>
      </c>
      <c r="E65" s="1312">
        <v>0</v>
      </c>
      <c r="F65" s="250">
        <v>16850.900000000001</v>
      </c>
      <c r="G65" s="250">
        <v>5299.5</v>
      </c>
      <c r="H65" s="250">
        <v>572287.6</v>
      </c>
      <c r="I65" s="250">
        <v>264445</v>
      </c>
      <c r="J65" s="250">
        <v>204192.8</v>
      </c>
      <c r="K65" s="219">
        <v>14950.6</v>
      </c>
      <c r="L65" s="250">
        <v>7010.5</v>
      </c>
      <c r="M65" s="250">
        <v>44369</v>
      </c>
      <c r="N65" s="250">
        <v>35276.5</v>
      </c>
      <c r="O65" s="250">
        <v>136805</v>
      </c>
      <c r="P65" s="250">
        <v>113493.37</v>
      </c>
      <c r="Q65" s="250">
        <v>138995</v>
      </c>
      <c r="R65" s="250">
        <v>95347.7</v>
      </c>
      <c r="S65" s="1014">
        <v>14051.63</v>
      </c>
      <c r="T65" s="1014">
        <v>10671.64</v>
      </c>
      <c r="U65" s="250">
        <v>25995.38</v>
      </c>
      <c r="V65" s="250">
        <v>13522.31</v>
      </c>
      <c r="W65" s="250">
        <v>209771.5</v>
      </c>
      <c r="X65" s="1014">
        <v>345.9</v>
      </c>
      <c r="Y65" s="1014">
        <v>50716</v>
      </c>
      <c r="Z65" s="250">
        <v>566637.16</v>
      </c>
      <c r="AA65" s="250">
        <v>288750.7</v>
      </c>
      <c r="AB65" s="250">
        <v>209724.1</v>
      </c>
      <c r="AC65" s="1014">
        <v>1112.4000000000001</v>
      </c>
      <c r="AD65" s="1081">
        <v>942</v>
      </c>
      <c r="AE65" s="250">
        <v>35394</v>
      </c>
      <c r="AF65" s="250">
        <v>25233.33</v>
      </c>
      <c r="AG65" s="250">
        <v>82010.289999999994</v>
      </c>
      <c r="AH65" s="250">
        <v>63406.27</v>
      </c>
      <c r="AI65" s="250">
        <v>65245.66</v>
      </c>
      <c r="AJ65" s="250">
        <v>53131.11</v>
      </c>
      <c r="AK65" s="250">
        <v>58860.5</v>
      </c>
      <c r="AL65" s="250">
        <v>23147.9</v>
      </c>
      <c r="AM65" s="250">
        <v>16.399999999999999</v>
      </c>
      <c r="AN65" s="250">
        <v>17.399999999999999</v>
      </c>
      <c r="AO65" s="250">
        <v>482583.8</v>
      </c>
      <c r="AP65" s="250">
        <v>222743.4</v>
      </c>
      <c r="AQ65" s="422">
        <v>64823.076999999997</v>
      </c>
      <c r="AR65" s="1014"/>
      <c r="AS65" s="250">
        <v>450682</v>
      </c>
      <c r="AT65" s="250">
        <v>198409.9</v>
      </c>
      <c r="AU65" s="250">
        <v>78092</v>
      </c>
      <c r="AV65" s="250">
        <v>4252.26</v>
      </c>
      <c r="AW65" s="250">
        <v>2832.12</v>
      </c>
      <c r="AX65" s="1014">
        <v>220.32</v>
      </c>
      <c r="AY65" s="1014">
        <v>133.35</v>
      </c>
      <c r="AZ65" s="250">
        <v>792.53</v>
      </c>
      <c r="BA65" s="250">
        <v>337.64400000000001</v>
      </c>
      <c r="BB65" s="385">
        <v>1790.5</v>
      </c>
      <c r="BC65" s="250">
        <v>2893.3</v>
      </c>
      <c r="BD65" s="250">
        <v>443</v>
      </c>
      <c r="BE65" s="250">
        <v>6144.79</v>
      </c>
      <c r="BF65" s="250">
        <v>33482.664912280699</v>
      </c>
      <c r="BG65" s="250">
        <v>10763.2763547919</v>
      </c>
      <c r="BH65" s="250">
        <v>5921.04</v>
      </c>
      <c r="BI65" s="1014">
        <v>2462379.5</v>
      </c>
      <c r="BJ65" s="250">
        <v>481</v>
      </c>
      <c r="BK65" s="250">
        <v>18968.240000000002</v>
      </c>
      <c r="BL65" s="250">
        <v>3110009</v>
      </c>
      <c r="BM65" s="250">
        <v>99817</v>
      </c>
      <c r="BN65" s="250">
        <v>19433.8</v>
      </c>
      <c r="BO65" s="250">
        <v>2790233</v>
      </c>
      <c r="BP65" s="250">
        <v>126579</v>
      </c>
      <c r="BQ65" s="250">
        <v>16625.2</v>
      </c>
      <c r="BR65" s="250">
        <v>8153.76</v>
      </c>
      <c r="BS65" s="250">
        <v>5559.38</v>
      </c>
      <c r="BT65" s="250">
        <v>1031902</v>
      </c>
      <c r="BU65" s="250">
        <v>587222</v>
      </c>
      <c r="BV65" s="250">
        <v>698801</v>
      </c>
      <c r="BW65" s="250">
        <v>442033</v>
      </c>
      <c r="BX65" s="1324">
        <v>0.6</v>
      </c>
    </row>
    <row r="66" spans="1:76">
      <c r="A66" s="647">
        <v>44986</v>
      </c>
      <c r="B66" s="250">
        <v>1060.683</v>
      </c>
      <c r="C66" s="250">
        <v>585.99199999999996</v>
      </c>
      <c r="D66" s="250">
        <v>6847.3</v>
      </c>
      <c r="E66" s="1312">
        <v>0</v>
      </c>
      <c r="F66" s="250">
        <v>16880.7</v>
      </c>
      <c r="G66" s="250">
        <v>5307.6</v>
      </c>
      <c r="H66" s="250">
        <v>572446.4</v>
      </c>
      <c r="I66" s="250">
        <v>264529.40000000002</v>
      </c>
      <c r="J66" s="250">
        <v>204216.8</v>
      </c>
      <c r="K66" s="250">
        <v>14951.1</v>
      </c>
      <c r="L66" s="250">
        <v>7010.6</v>
      </c>
      <c r="M66" s="250">
        <v>44389</v>
      </c>
      <c r="N66" s="250">
        <v>35291.199999999997</v>
      </c>
      <c r="O66" s="250">
        <v>136820.20000000001</v>
      </c>
      <c r="P66" s="250">
        <v>113506</v>
      </c>
      <c r="Q66" s="250">
        <v>139012.29999999999</v>
      </c>
      <c r="R66" s="250">
        <v>95359.8</v>
      </c>
      <c r="S66" s="1014">
        <v>14051.63</v>
      </c>
      <c r="T66" s="1014">
        <v>10671.64</v>
      </c>
      <c r="U66" s="250">
        <v>26148.7</v>
      </c>
      <c r="V66" s="250">
        <v>13597.1</v>
      </c>
      <c r="W66" s="250">
        <v>209795.5</v>
      </c>
      <c r="X66" s="1014">
        <v>345.9</v>
      </c>
      <c r="Y66" s="1014">
        <v>50716</v>
      </c>
      <c r="Z66" s="250">
        <v>566914.9</v>
      </c>
      <c r="AA66" s="250">
        <v>288890.5</v>
      </c>
      <c r="AB66" s="250">
        <v>209748.1</v>
      </c>
      <c r="AC66" s="1014">
        <v>1112.4000000000001</v>
      </c>
      <c r="AD66" s="1081">
        <v>942</v>
      </c>
      <c r="AE66" s="250">
        <v>35396.199999999997</v>
      </c>
      <c r="AF66" s="250">
        <v>25234.799999999999</v>
      </c>
      <c r="AG66" s="250">
        <v>82016.7</v>
      </c>
      <c r="AH66" s="250">
        <v>63411.199999999997</v>
      </c>
      <c r="AI66" s="250">
        <v>65258.5</v>
      </c>
      <c r="AJ66" s="250">
        <v>53141.8</v>
      </c>
      <c r="AK66" s="250">
        <v>58869</v>
      </c>
      <c r="AL66" s="250">
        <v>23150.9</v>
      </c>
      <c r="AM66" s="250">
        <v>16.399999999999999</v>
      </c>
      <c r="AN66" s="250">
        <v>17.399999999999999</v>
      </c>
      <c r="AO66" s="250">
        <v>482723.9</v>
      </c>
      <c r="AP66" s="250">
        <v>222805.1</v>
      </c>
      <c r="AQ66" s="250">
        <v>64828.326999999997</v>
      </c>
      <c r="AR66" s="250"/>
      <c r="AS66" s="250">
        <v>450821.8</v>
      </c>
      <c r="AT66" s="250">
        <v>198470.9</v>
      </c>
      <c r="AU66" s="250">
        <v>78116</v>
      </c>
      <c r="AV66" s="251">
        <v>4254.25</v>
      </c>
      <c r="AW66" s="251">
        <v>2833.5</v>
      </c>
      <c r="AX66" s="251">
        <v>220.32</v>
      </c>
      <c r="AY66" s="251">
        <v>133.35</v>
      </c>
      <c r="AZ66" s="250">
        <v>792.53</v>
      </c>
      <c r="BA66" s="250">
        <v>337.64400000000001</v>
      </c>
      <c r="BB66" s="385">
        <v>1790.5</v>
      </c>
      <c r="BC66" s="250">
        <v>2895.6</v>
      </c>
      <c r="BD66" s="250">
        <v>443.6</v>
      </c>
      <c r="BE66" s="250">
        <v>6105.87</v>
      </c>
      <c r="BF66" s="250">
        <v>33200.9561403509</v>
      </c>
      <c r="BG66" s="250">
        <v>8538.5045571011906</v>
      </c>
      <c r="BH66" s="250">
        <v>5852.32</v>
      </c>
      <c r="BI66" s="1014">
        <v>2462379.5</v>
      </c>
      <c r="BJ66" s="250">
        <v>481</v>
      </c>
      <c r="BK66" s="250">
        <v>18968.240000000002</v>
      </c>
      <c r="BL66" s="250">
        <v>3112443</v>
      </c>
      <c r="BM66" s="250">
        <v>99817</v>
      </c>
      <c r="BN66" s="250">
        <v>19457.8</v>
      </c>
      <c r="BO66" s="250">
        <v>2796607</v>
      </c>
      <c r="BP66" s="250">
        <v>126589</v>
      </c>
      <c r="BQ66" s="250">
        <v>16649.2</v>
      </c>
      <c r="BR66" s="250">
        <v>8160.23</v>
      </c>
      <c r="BS66" s="250">
        <v>5563.88</v>
      </c>
      <c r="BT66" s="250">
        <v>1032250</v>
      </c>
      <c r="BU66" s="250">
        <v>587438</v>
      </c>
      <c r="BV66" s="250">
        <v>699856</v>
      </c>
      <c r="BW66" s="250">
        <v>442677</v>
      </c>
      <c r="BX66" s="1324">
        <v>0</v>
      </c>
    </row>
    <row r="67" spans="1:76">
      <c r="A67" s="647">
        <v>44987</v>
      </c>
      <c r="B67" s="250">
        <v>1060.683</v>
      </c>
      <c r="C67" s="250">
        <v>585.99199999999996</v>
      </c>
      <c r="D67" s="250">
        <v>6847.3</v>
      </c>
      <c r="E67" s="1312">
        <v>0</v>
      </c>
      <c r="F67" s="250">
        <v>16910.599999999999</v>
      </c>
      <c r="G67" s="250">
        <v>5315.9</v>
      </c>
      <c r="H67" s="250">
        <v>572613.80000000005</v>
      </c>
      <c r="I67" s="250">
        <v>264615.5</v>
      </c>
      <c r="J67" s="250">
        <v>204240.8</v>
      </c>
      <c r="K67" s="250">
        <v>14951.7</v>
      </c>
      <c r="L67" s="250">
        <v>7010.6</v>
      </c>
      <c r="M67" s="250">
        <v>44413.27</v>
      </c>
      <c r="N67" s="250">
        <v>35309.82</v>
      </c>
      <c r="O67" s="250">
        <v>136835.6</v>
      </c>
      <c r="P67" s="250">
        <v>113518.7</v>
      </c>
      <c r="Q67" s="250">
        <v>139029.5</v>
      </c>
      <c r="R67" s="250">
        <v>95371.8</v>
      </c>
      <c r="S67" s="1014">
        <v>14051.63</v>
      </c>
      <c r="T67" s="1014">
        <v>10671.64</v>
      </c>
      <c r="U67" s="250">
        <v>26299.8</v>
      </c>
      <c r="V67" s="250">
        <v>13670.2</v>
      </c>
      <c r="W67" s="250">
        <v>209819.5</v>
      </c>
      <c r="X67" s="1014">
        <v>345.9</v>
      </c>
      <c r="Y67" s="1014">
        <v>50716</v>
      </c>
      <c r="Z67" s="250">
        <v>567196.1</v>
      </c>
      <c r="AA67" s="250">
        <v>289035.40000000002</v>
      </c>
      <c r="AB67" s="250">
        <v>209772.1</v>
      </c>
      <c r="AC67" s="1014">
        <v>1112.4000000000001</v>
      </c>
      <c r="AD67" s="1081">
        <v>942</v>
      </c>
      <c r="AE67" s="250">
        <v>35398.400000000001</v>
      </c>
      <c r="AF67" s="250">
        <v>25236.400000000001</v>
      </c>
      <c r="AG67" s="250">
        <v>82024.100000000006</v>
      </c>
      <c r="AH67" s="250">
        <v>63416.9</v>
      </c>
      <c r="AI67" s="250">
        <v>65271.199999999997</v>
      </c>
      <c r="AJ67" s="250">
        <v>53152.4</v>
      </c>
      <c r="AK67" s="250">
        <v>58877.5</v>
      </c>
      <c r="AL67" s="250">
        <v>23154.1</v>
      </c>
      <c r="AM67" s="250">
        <v>16.399999999999999</v>
      </c>
      <c r="AN67" s="250">
        <v>17.399999999999999</v>
      </c>
      <c r="AO67" s="250">
        <v>482860.6</v>
      </c>
      <c r="AP67" s="250">
        <v>222866.2</v>
      </c>
      <c r="AQ67" s="250">
        <v>64833.7</v>
      </c>
      <c r="AR67" s="250"/>
      <c r="AS67" s="250">
        <v>450961</v>
      </c>
      <c r="AT67" s="250">
        <v>198531.9</v>
      </c>
      <c r="AU67" s="250">
        <v>78140</v>
      </c>
      <c r="AV67" s="250">
        <v>4255.68</v>
      </c>
      <c r="AW67" s="250">
        <v>2834.48</v>
      </c>
      <c r="AX67" s="250">
        <v>220.32</v>
      </c>
      <c r="AY67" s="250">
        <v>133.35</v>
      </c>
      <c r="AZ67" s="250">
        <v>792.53</v>
      </c>
      <c r="BA67" s="250">
        <v>337.64400000000001</v>
      </c>
      <c r="BB67" s="385">
        <v>1790.5</v>
      </c>
      <c r="BC67" s="250">
        <v>2898.2</v>
      </c>
      <c r="BD67" s="250">
        <v>444.4</v>
      </c>
      <c r="BE67" s="250">
        <v>5960.75</v>
      </c>
      <c r="BF67" s="250">
        <v>32981.485964912281</v>
      </c>
      <c r="BG67" s="250">
        <v>10809.867376386415</v>
      </c>
      <c r="BH67" s="250">
        <v>5765.25</v>
      </c>
      <c r="BI67" s="1014">
        <v>2462379.5</v>
      </c>
      <c r="BJ67" s="250">
        <v>481</v>
      </c>
      <c r="BK67" s="250">
        <v>18968.240000000002</v>
      </c>
      <c r="BL67" s="250">
        <v>3114874</v>
      </c>
      <c r="BM67" s="250">
        <v>99819</v>
      </c>
      <c r="BN67" s="250">
        <v>19481.8</v>
      </c>
      <c r="BO67" s="250">
        <v>2802889</v>
      </c>
      <c r="BP67" s="250">
        <v>126605</v>
      </c>
      <c r="BQ67" s="250">
        <v>16673.2</v>
      </c>
      <c r="BR67" s="250">
        <v>8166.61</v>
      </c>
      <c r="BS67" s="250">
        <v>5568.3</v>
      </c>
      <c r="BT67" s="250">
        <v>1032900</v>
      </c>
      <c r="BU67" s="250">
        <v>587824</v>
      </c>
      <c r="BV67" s="250">
        <v>700738</v>
      </c>
      <c r="BW67" s="250">
        <v>443224</v>
      </c>
      <c r="BX67" s="1324">
        <v>0</v>
      </c>
    </row>
    <row r="68" spans="1:76">
      <c r="A68" s="647">
        <v>44988</v>
      </c>
      <c r="B68" s="250">
        <v>1060.683</v>
      </c>
      <c r="C68" s="250">
        <v>585.99199999999996</v>
      </c>
      <c r="D68" s="250">
        <v>6847.3</v>
      </c>
      <c r="E68" s="1312">
        <v>0</v>
      </c>
      <c r="F68" s="250">
        <v>16939.900000000001</v>
      </c>
      <c r="G68" s="250">
        <v>5323.9</v>
      </c>
      <c r="H68" s="250">
        <v>572774.1</v>
      </c>
      <c r="I68" s="250">
        <v>264697.8</v>
      </c>
      <c r="J68" s="250">
        <v>204264.8</v>
      </c>
      <c r="K68" s="219">
        <v>14952.6</v>
      </c>
      <c r="L68" s="250">
        <v>7010.6</v>
      </c>
      <c r="M68" s="250">
        <v>44437.52</v>
      </c>
      <c r="N68" s="250">
        <v>35328.620000000003</v>
      </c>
      <c r="O68" s="250">
        <v>136850.54</v>
      </c>
      <c r="P68" s="250">
        <v>113530.99</v>
      </c>
      <c r="Q68" s="250">
        <v>139046.15</v>
      </c>
      <c r="R68" s="250">
        <v>95383.52</v>
      </c>
      <c r="S68" s="1014">
        <v>14051.63</v>
      </c>
      <c r="T68" s="1014">
        <v>10671.64</v>
      </c>
      <c r="U68" s="250">
        <v>26449.15</v>
      </c>
      <c r="V68" s="250">
        <v>13743.95</v>
      </c>
      <c r="W68" s="250">
        <v>209843.5</v>
      </c>
      <c r="X68" s="1014">
        <v>345.9</v>
      </c>
      <c r="Y68" s="1014">
        <v>50716</v>
      </c>
      <c r="Z68" s="250">
        <v>567476.13</v>
      </c>
      <c r="AA68" s="250">
        <v>289179.34999999998</v>
      </c>
      <c r="AB68" s="250">
        <v>209796.1</v>
      </c>
      <c r="AC68" s="1014">
        <v>1112.4000000000001</v>
      </c>
      <c r="AD68" s="1081">
        <v>942</v>
      </c>
      <c r="AE68" s="250">
        <v>35400.660000000003</v>
      </c>
      <c r="AF68" s="250">
        <v>25238.07</v>
      </c>
      <c r="AG68" s="250">
        <v>82031.23</v>
      </c>
      <c r="AH68" s="250">
        <v>63422.41</v>
      </c>
      <c r="AI68" s="250">
        <v>65283.66</v>
      </c>
      <c r="AJ68" s="250">
        <v>53162.87</v>
      </c>
      <c r="AK68" s="250">
        <v>58887.199999999997</v>
      </c>
      <c r="AL68" s="250">
        <v>23157.7</v>
      </c>
      <c r="AM68" s="250">
        <v>16.399999999999999</v>
      </c>
      <c r="AN68" s="250">
        <v>17.399999999999999</v>
      </c>
      <c r="AO68" s="250">
        <v>482997.2</v>
      </c>
      <c r="AP68" s="250">
        <v>222927.9</v>
      </c>
      <c r="AQ68" s="422">
        <v>64838.8</v>
      </c>
      <c r="AR68" s="1014"/>
      <c r="AS68" s="250">
        <v>451098.9</v>
      </c>
      <c r="AT68" s="250">
        <v>198592.5</v>
      </c>
      <c r="AU68" s="251">
        <v>78164</v>
      </c>
      <c r="AV68" s="250">
        <v>4257.16</v>
      </c>
      <c r="AW68" s="250">
        <v>2835.46</v>
      </c>
      <c r="AX68" s="1014">
        <v>220.32</v>
      </c>
      <c r="AY68" s="1014">
        <v>133.35</v>
      </c>
      <c r="AZ68" s="250">
        <v>792.53</v>
      </c>
      <c r="BA68" s="250">
        <v>337.64400000000001</v>
      </c>
      <c r="BB68" s="385">
        <v>1790.5</v>
      </c>
      <c r="BC68" s="250">
        <v>2900.9</v>
      </c>
      <c r="BD68" s="250">
        <v>445.6</v>
      </c>
      <c r="BE68" s="250">
        <v>6056.15</v>
      </c>
      <c r="BF68" s="250">
        <v>33190.089473684202</v>
      </c>
      <c r="BG68" s="250">
        <v>10835.5159875345</v>
      </c>
      <c r="BH68" s="250">
        <v>5640.94</v>
      </c>
      <c r="BI68" s="1014">
        <v>2462379.5</v>
      </c>
      <c r="BJ68" s="250">
        <v>481</v>
      </c>
      <c r="BK68" s="250">
        <v>18968.240000000002</v>
      </c>
      <c r="BL68" s="250">
        <v>3117264</v>
      </c>
      <c r="BM68" s="250">
        <v>99819</v>
      </c>
      <c r="BN68" s="250">
        <v>19505.8</v>
      </c>
      <c r="BO68" s="250">
        <v>2809184</v>
      </c>
      <c r="BP68" s="250">
        <v>126614</v>
      </c>
      <c r="BQ68" s="250">
        <v>16697.2</v>
      </c>
      <c r="BR68" s="250">
        <v>8172.9</v>
      </c>
      <c r="BS68" s="250">
        <v>5572.69</v>
      </c>
      <c r="BT68" s="250">
        <v>1033562</v>
      </c>
      <c r="BU68" s="250">
        <v>588214</v>
      </c>
      <c r="BV68" s="250">
        <v>701603</v>
      </c>
      <c r="BW68" s="250">
        <v>443761</v>
      </c>
      <c r="BX68" s="1324">
        <v>0</v>
      </c>
    </row>
    <row r="69" spans="1:76">
      <c r="A69" s="647">
        <v>44989</v>
      </c>
      <c r="B69" s="250">
        <v>1060.683</v>
      </c>
      <c r="C69" s="250">
        <v>585.99199999999996</v>
      </c>
      <c r="D69" s="250">
        <v>6847.3</v>
      </c>
      <c r="E69" s="1312">
        <v>0</v>
      </c>
      <c r="F69" s="250">
        <v>16969.7</v>
      </c>
      <c r="G69" s="250">
        <v>5332.5</v>
      </c>
      <c r="H69" s="250">
        <v>572938.4</v>
      </c>
      <c r="I69" s="250">
        <v>264781.40000000002</v>
      </c>
      <c r="J69" s="250">
        <v>204288.8</v>
      </c>
      <c r="K69" s="250">
        <v>14953.4</v>
      </c>
      <c r="L69" s="250">
        <v>7010.7</v>
      </c>
      <c r="M69" s="250">
        <v>44463.72</v>
      </c>
      <c r="N69" s="250">
        <v>35349.47</v>
      </c>
      <c r="O69" s="250">
        <v>136866.45000000001</v>
      </c>
      <c r="P69" s="250">
        <v>113544.12</v>
      </c>
      <c r="Q69" s="250">
        <v>139062.41</v>
      </c>
      <c r="R69" s="250">
        <v>95395.16</v>
      </c>
      <c r="S69" s="1014">
        <v>14051.63</v>
      </c>
      <c r="T69" s="1014">
        <v>10671.64</v>
      </c>
      <c r="U69" s="250">
        <v>26599.119999999999</v>
      </c>
      <c r="V69" s="250">
        <v>13821.33</v>
      </c>
      <c r="W69" s="250">
        <v>209867.5</v>
      </c>
      <c r="X69" s="1014">
        <v>345.9</v>
      </c>
      <c r="Y69" s="1014">
        <v>50716</v>
      </c>
      <c r="Z69" s="250">
        <v>567766.48</v>
      </c>
      <c r="AA69" s="250">
        <v>289326.03000000003</v>
      </c>
      <c r="AB69" s="250">
        <v>209820.1</v>
      </c>
      <c r="AC69" s="1014">
        <v>1112.4000000000001</v>
      </c>
      <c r="AD69" s="1081">
        <v>942</v>
      </c>
      <c r="AE69" s="250">
        <v>35402.78</v>
      </c>
      <c r="AF69" s="250">
        <v>25239.66</v>
      </c>
      <c r="AG69" s="250">
        <v>82039.7</v>
      </c>
      <c r="AH69" s="250">
        <v>63429.02</v>
      </c>
      <c r="AI69" s="250">
        <v>65295.68</v>
      </c>
      <c r="AJ69" s="250">
        <v>53172.94</v>
      </c>
      <c r="AK69" s="250">
        <v>58898.3</v>
      </c>
      <c r="AL69" s="250">
        <v>23162</v>
      </c>
      <c r="AM69" s="250">
        <v>16.399999999999999</v>
      </c>
      <c r="AN69" s="250">
        <v>17.399999999999999</v>
      </c>
      <c r="AO69" s="250">
        <v>483135.5</v>
      </c>
      <c r="AP69" s="250">
        <v>222990.4</v>
      </c>
      <c r="AQ69" s="250">
        <v>64843.468000000001</v>
      </c>
      <c r="AR69" s="250"/>
      <c r="AS69" s="250">
        <v>451236.7</v>
      </c>
      <c r="AT69" s="250">
        <v>198653</v>
      </c>
      <c r="AU69" s="250">
        <v>78188</v>
      </c>
      <c r="AV69" s="250">
        <v>4258.62</v>
      </c>
      <c r="AW69" s="250">
        <v>2836.43</v>
      </c>
      <c r="AX69" s="250">
        <v>220.32</v>
      </c>
      <c r="AY69" s="250">
        <v>133.35</v>
      </c>
      <c r="AZ69" s="250">
        <v>792.53</v>
      </c>
      <c r="BA69" s="250">
        <v>337.64400000000001</v>
      </c>
      <c r="BB69" s="385">
        <v>1790.5</v>
      </c>
      <c r="BC69" s="250">
        <v>2903.5</v>
      </c>
      <c r="BD69" s="250">
        <v>447</v>
      </c>
      <c r="BE69" s="250">
        <v>6466.49</v>
      </c>
      <c r="BF69" s="250">
        <v>34285.821052631603</v>
      </c>
      <c r="BG69" s="250">
        <v>10728.8155563535</v>
      </c>
      <c r="BH69" s="250">
        <v>5444.63</v>
      </c>
      <c r="BI69" s="1014">
        <v>2462379.5</v>
      </c>
      <c r="BJ69" s="250">
        <v>481</v>
      </c>
      <c r="BK69" s="250">
        <v>18968.240000000002</v>
      </c>
      <c r="BL69" s="250">
        <v>3119652</v>
      </c>
      <c r="BM69" s="250">
        <v>99819</v>
      </c>
      <c r="BN69" s="250">
        <v>19529.8</v>
      </c>
      <c r="BO69" s="250">
        <v>2815405</v>
      </c>
      <c r="BP69" s="250">
        <v>126626</v>
      </c>
      <c r="BQ69" s="250">
        <v>16721.2</v>
      </c>
      <c r="BR69" s="250">
        <v>8179.41</v>
      </c>
      <c r="BS69" s="250">
        <v>5577.23</v>
      </c>
      <c r="BT69" s="250">
        <v>1034258</v>
      </c>
      <c r="BU69" s="250">
        <v>588621</v>
      </c>
      <c r="BV69" s="250">
        <v>702469</v>
      </c>
      <c r="BW69" s="250">
        <v>444299</v>
      </c>
      <c r="BX69" s="1324">
        <v>0</v>
      </c>
    </row>
    <row r="70" spans="1:76">
      <c r="A70" s="647">
        <v>44990</v>
      </c>
      <c r="B70" s="250">
        <v>1060.683</v>
      </c>
      <c r="C70" s="250">
        <v>585.99199999999996</v>
      </c>
      <c r="D70" s="250">
        <v>6847.3</v>
      </c>
      <c r="E70" s="1312">
        <v>0</v>
      </c>
      <c r="F70" s="250">
        <v>16999.5</v>
      </c>
      <c r="G70" s="250">
        <v>5341.2</v>
      </c>
      <c r="H70" s="250">
        <v>573100.80000000005</v>
      </c>
      <c r="I70" s="250">
        <v>264864.8</v>
      </c>
      <c r="J70" s="250">
        <v>204312.8</v>
      </c>
      <c r="K70" s="250">
        <v>14954.2</v>
      </c>
      <c r="L70" s="250">
        <v>7010.7</v>
      </c>
      <c r="M70" s="250">
        <v>44489.93</v>
      </c>
      <c r="N70" s="250">
        <v>35370.339999999997</v>
      </c>
      <c r="O70" s="250">
        <v>136880.82999999999</v>
      </c>
      <c r="P70" s="250">
        <v>113556.09</v>
      </c>
      <c r="Q70" s="250">
        <v>139078.89000000001</v>
      </c>
      <c r="R70" s="250">
        <v>95406.88</v>
      </c>
      <c r="S70" s="1014">
        <v>14051.63</v>
      </c>
      <c r="T70" s="1014">
        <v>10671.64</v>
      </c>
      <c r="U70" s="250">
        <v>26749.65</v>
      </c>
      <c r="V70" s="250">
        <v>13896.68</v>
      </c>
      <c r="W70" s="250">
        <v>209891.5</v>
      </c>
      <c r="X70" s="1014">
        <v>345.9</v>
      </c>
      <c r="Y70" s="1014">
        <v>50716</v>
      </c>
      <c r="Z70" s="250">
        <v>568044.69999999995</v>
      </c>
      <c r="AA70" s="250">
        <v>289468.62</v>
      </c>
      <c r="AB70" s="250">
        <v>209844.1</v>
      </c>
      <c r="AC70" s="1014">
        <v>1112.4000000000001</v>
      </c>
      <c r="AD70" s="1081">
        <v>942</v>
      </c>
      <c r="AE70" s="250">
        <v>35404.86</v>
      </c>
      <c r="AF70" s="250">
        <v>25241.21</v>
      </c>
      <c r="AG70" s="250">
        <v>82045.37</v>
      </c>
      <c r="AH70" s="250">
        <v>63433.36</v>
      </c>
      <c r="AI70" s="250">
        <v>65307.7</v>
      </c>
      <c r="AJ70" s="250">
        <v>53182.99</v>
      </c>
      <c r="AK70" s="250">
        <v>58904.9</v>
      </c>
      <c r="AL70" s="250">
        <v>23164.6</v>
      </c>
      <c r="AM70" s="250">
        <v>16.399999999999999</v>
      </c>
      <c r="AN70" s="250">
        <v>17.399999999999999</v>
      </c>
      <c r="AO70" s="250">
        <v>483273.4</v>
      </c>
      <c r="AP70" s="250">
        <v>223052.6</v>
      </c>
      <c r="AQ70" s="250">
        <v>64847.991000000002</v>
      </c>
      <c r="AR70" s="250"/>
      <c r="AS70" s="250">
        <v>451376</v>
      </c>
      <c r="AT70" s="250">
        <v>198714.2</v>
      </c>
      <c r="AU70" s="250">
        <v>78212</v>
      </c>
      <c r="AV70" s="250">
        <v>4259.97</v>
      </c>
      <c r="AW70" s="250">
        <v>2837.34</v>
      </c>
      <c r="AX70" s="250">
        <v>220.32</v>
      </c>
      <c r="AY70" s="250">
        <v>133.35</v>
      </c>
      <c r="AZ70" s="250">
        <v>792.53</v>
      </c>
      <c r="BA70" s="250">
        <v>337.64400000000001</v>
      </c>
      <c r="BB70" s="385">
        <v>1790.5</v>
      </c>
      <c r="BC70" s="250">
        <v>2906.2</v>
      </c>
      <c r="BD70" s="250">
        <v>448.5</v>
      </c>
      <c r="BE70" s="250">
        <v>6386.3</v>
      </c>
      <c r="BF70" s="250">
        <v>34255.0210526316</v>
      </c>
      <c r="BG70" s="250">
        <v>10125.720935181</v>
      </c>
      <c r="BH70" s="250">
        <v>5579.13</v>
      </c>
      <c r="BI70" s="1014">
        <v>2462379.5</v>
      </c>
      <c r="BJ70" s="250">
        <v>481</v>
      </c>
      <c r="BK70" s="250">
        <v>18968.240000000002</v>
      </c>
      <c r="BL70" s="250">
        <v>3122069</v>
      </c>
      <c r="BM70" s="250">
        <v>99819</v>
      </c>
      <c r="BN70" s="250">
        <v>19553.8</v>
      </c>
      <c r="BO70" s="250">
        <v>2821563</v>
      </c>
      <c r="BP70" s="250">
        <v>126677</v>
      </c>
      <c r="BQ70" s="250">
        <v>16745.2</v>
      </c>
      <c r="BR70" s="250">
        <v>8185.82</v>
      </c>
      <c r="BS70" s="250">
        <v>5581.68</v>
      </c>
      <c r="BT70" s="250">
        <v>1034962</v>
      </c>
      <c r="BU70" s="250">
        <v>589033</v>
      </c>
      <c r="BV70" s="250">
        <v>703349</v>
      </c>
      <c r="BW70" s="250">
        <v>444844</v>
      </c>
      <c r="BX70" s="1324">
        <v>0</v>
      </c>
    </row>
    <row r="71" spans="1:76">
      <c r="A71" s="647">
        <v>44991</v>
      </c>
      <c r="B71" s="250">
        <v>1060.683</v>
      </c>
      <c r="C71" s="250">
        <v>585.99199999999996</v>
      </c>
      <c r="D71" s="250">
        <v>6847.3</v>
      </c>
      <c r="E71" s="1312">
        <v>0</v>
      </c>
      <c r="F71" s="250">
        <v>17029.3</v>
      </c>
      <c r="G71" s="250">
        <v>5349.9</v>
      </c>
      <c r="H71" s="250">
        <v>573263</v>
      </c>
      <c r="I71" s="250">
        <v>264947</v>
      </c>
      <c r="J71" s="250">
        <v>204336.8</v>
      </c>
      <c r="K71" s="250">
        <v>14954.9</v>
      </c>
      <c r="L71" s="250">
        <v>7010.8</v>
      </c>
      <c r="M71" s="250">
        <v>44515.1</v>
      </c>
      <c r="N71" s="250">
        <v>35390.5</v>
      </c>
      <c r="O71" s="250">
        <v>136896</v>
      </c>
      <c r="P71" s="250">
        <v>113569</v>
      </c>
      <c r="Q71" s="250">
        <v>139095</v>
      </c>
      <c r="R71" s="250">
        <v>95418</v>
      </c>
      <c r="S71" s="1014">
        <v>14051.63</v>
      </c>
      <c r="T71" s="1014">
        <v>10671.64</v>
      </c>
      <c r="U71" s="250">
        <v>26898.3</v>
      </c>
      <c r="V71" s="250">
        <v>13973</v>
      </c>
      <c r="W71" s="250">
        <v>209915.5</v>
      </c>
      <c r="X71" s="1014">
        <v>345.9</v>
      </c>
      <c r="Y71" s="1014">
        <v>50716</v>
      </c>
      <c r="Z71" s="250">
        <v>568330</v>
      </c>
      <c r="AA71" s="250">
        <v>289612</v>
      </c>
      <c r="AB71" s="250">
        <v>209868.1</v>
      </c>
      <c r="AC71" s="1014">
        <v>1112.4000000000001</v>
      </c>
      <c r="AD71" s="1081">
        <v>942</v>
      </c>
      <c r="AE71" s="250">
        <v>35406.9</v>
      </c>
      <c r="AF71" s="250">
        <v>25242.7</v>
      </c>
      <c r="AG71" s="250">
        <v>82054</v>
      </c>
      <c r="AH71" s="250">
        <v>63440</v>
      </c>
      <c r="AI71" s="250">
        <v>65319.8</v>
      </c>
      <c r="AJ71" s="250">
        <v>53193.1</v>
      </c>
      <c r="AK71" s="250">
        <v>58914.8</v>
      </c>
      <c r="AL71" s="250">
        <v>23168.2</v>
      </c>
      <c r="AM71" s="250">
        <v>16.399999999999999</v>
      </c>
      <c r="AN71" s="250">
        <v>17.399999999999999</v>
      </c>
      <c r="AO71" s="250">
        <v>483409</v>
      </c>
      <c r="AP71" s="250">
        <v>223113</v>
      </c>
      <c r="AQ71" s="250">
        <v>64853</v>
      </c>
      <c r="AR71" s="250"/>
      <c r="AS71" s="250">
        <v>451512</v>
      </c>
      <c r="AT71" s="250">
        <v>198774</v>
      </c>
      <c r="AU71" s="250">
        <v>78236</v>
      </c>
      <c r="AV71" s="250">
        <v>4261.3999999999996</v>
      </c>
      <c r="AW71" s="250">
        <v>2838.4</v>
      </c>
      <c r="AX71" s="250">
        <v>220.32</v>
      </c>
      <c r="AY71" s="250">
        <v>133.35</v>
      </c>
      <c r="AZ71" s="250">
        <v>792.53</v>
      </c>
      <c r="BA71" s="250">
        <v>337.64400000000001</v>
      </c>
      <c r="BB71" s="385">
        <v>1790.5</v>
      </c>
      <c r="BC71" s="250">
        <v>2908.9</v>
      </c>
      <c r="BD71" s="250">
        <v>450</v>
      </c>
      <c r="BE71" s="250">
        <v>6431.93</v>
      </c>
      <c r="BF71" s="250">
        <v>33940.963157894701</v>
      </c>
      <c r="BG71" s="250">
        <v>9645.3140653952905</v>
      </c>
      <c r="BH71" s="250">
        <v>5721</v>
      </c>
      <c r="BI71" s="1014">
        <v>2462379.5</v>
      </c>
      <c r="BJ71" s="250">
        <v>481</v>
      </c>
      <c r="BK71" s="250">
        <v>18968.240000000002</v>
      </c>
      <c r="BL71" s="250">
        <v>3124464</v>
      </c>
      <c r="BM71" s="250">
        <v>99819</v>
      </c>
      <c r="BN71" s="250">
        <v>19577.8</v>
      </c>
      <c r="BO71" s="250">
        <v>2827729</v>
      </c>
      <c r="BP71" s="250">
        <v>126705</v>
      </c>
      <c r="BQ71" s="250">
        <v>16768.7</v>
      </c>
      <c r="BR71" s="250">
        <v>8193.2000000000007</v>
      </c>
      <c r="BS71" s="250">
        <v>5586.5</v>
      </c>
      <c r="BT71" s="250">
        <v>1035657</v>
      </c>
      <c r="BU71" s="250">
        <v>589440</v>
      </c>
      <c r="BV71" s="250">
        <v>704208</v>
      </c>
      <c r="BW71" s="250">
        <v>445377</v>
      </c>
      <c r="BX71" s="1324">
        <v>0</v>
      </c>
    </row>
    <row r="72" spans="1:76">
      <c r="A72" s="647">
        <v>44992</v>
      </c>
      <c r="B72" s="250">
        <v>1060.683</v>
      </c>
      <c r="C72" s="250">
        <v>585.99199999999996</v>
      </c>
      <c r="D72" s="250">
        <v>6848.4</v>
      </c>
      <c r="E72" s="1312">
        <v>0</v>
      </c>
      <c r="F72" s="250">
        <v>17060.400000000001</v>
      </c>
      <c r="G72" s="250">
        <v>5359.2</v>
      </c>
      <c r="H72" s="250">
        <v>573428</v>
      </c>
      <c r="I72" s="250">
        <v>265032</v>
      </c>
      <c r="J72" s="250">
        <v>204360.8</v>
      </c>
      <c r="K72" s="250">
        <v>14955.5</v>
      </c>
      <c r="L72" s="250">
        <v>7010.9</v>
      </c>
      <c r="M72" s="250">
        <v>44541.4</v>
      </c>
      <c r="N72" s="250">
        <v>35411.699999999997</v>
      </c>
      <c r="O72" s="250">
        <v>136912</v>
      </c>
      <c r="P72" s="250">
        <v>113582</v>
      </c>
      <c r="Q72" s="250">
        <v>139113</v>
      </c>
      <c r="R72" s="250">
        <v>95430.2</v>
      </c>
      <c r="S72" s="1014">
        <v>14051.63</v>
      </c>
      <c r="T72" s="1014">
        <v>10671.64</v>
      </c>
      <c r="U72" s="250">
        <v>27050.9</v>
      </c>
      <c r="V72" s="250">
        <v>14051.6</v>
      </c>
      <c r="W72" s="250">
        <v>209939.5</v>
      </c>
      <c r="X72" s="1014">
        <v>345.9</v>
      </c>
      <c r="Y72" s="1014">
        <v>50716</v>
      </c>
      <c r="Z72" s="250">
        <v>568629</v>
      </c>
      <c r="AA72" s="250">
        <v>289764</v>
      </c>
      <c r="AB72" s="250">
        <v>209892.1</v>
      </c>
      <c r="AC72" s="1014">
        <v>1112.4000000000001</v>
      </c>
      <c r="AD72" s="1081">
        <v>942</v>
      </c>
      <c r="AE72" s="250">
        <v>35409.1</v>
      </c>
      <c r="AF72" s="250">
        <v>25244.3</v>
      </c>
      <c r="AG72" s="250">
        <v>82063.899999999994</v>
      </c>
      <c r="AH72" s="250">
        <v>63447.6</v>
      </c>
      <c r="AI72" s="250">
        <v>65332.5</v>
      </c>
      <c r="AJ72" s="250">
        <v>53203.8</v>
      </c>
      <c r="AK72" s="250">
        <v>58924.800000000003</v>
      </c>
      <c r="AL72" s="250">
        <v>23171.9</v>
      </c>
      <c r="AM72" s="250">
        <v>16.399999999999999</v>
      </c>
      <c r="AN72" s="250">
        <v>17.399999999999999</v>
      </c>
      <c r="AO72" s="250">
        <v>483553</v>
      </c>
      <c r="AP72" s="250">
        <v>223178</v>
      </c>
      <c r="AQ72" s="250">
        <v>64858</v>
      </c>
      <c r="AR72" s="250"/>
      <c r="AS72" s="250">
        <v>451657</v>
      </c>
      <c r="AT72" s="250">
        <v>198837</v>
      </c>
      <c r="AU72" s="250">
        <v>78260</v>
      </c>
      <c r="AV72" s="250">
        <v>4262.8999999999996</v>
      </c>
      <c r="AW72" s="250">
        <v>2839.3</v>
      </c>
      <c r="AX72" s="250">
        <v>220.32</v>
      </c>
      <c r="AY72" s="250">
        <v>133.35</v>
      </c>
      <c r="AZ72" s="250">
        <v>792.53</v>
      </c>
      <c r="BA72" s="250">
        <v>337.64400000000001</v>
      </c>
      <c r="BB72" s="385">
        <v>1790.52</v>
      </c>
      <c r="BC72" s="250">
        <v>2911.6</v>
      </c>
      <c r="BD72" s="250">
        <v>451.6</v>
      </c>
      <c r="BE72" s="250">
        <v>7215.58</v>
      </c>
      <c r="BF72" s="250">
        <v>35980.6456140351</v>
      </c>
      <c r="BG72" s="250">
        <v>9659.1074938012207</v>
      </c>
      <c r="BH72" s="250">
        <v>6050.85</v>
      </c>
      <c r="BI72" s="1014">
        <v>2462379.5</v>
      </c>
      <c r="BJ72" s="250">
        <v>481</v>
      </c>
      <c r="BK72" s="250">
        <v>18968.240000000002</v>
      </c>
      <c r="BL72" s="250">
        <v>3126926</v>
      </c>
      <c r="BM72" s="250">
        <v>99819</v>
      </c>
      <c r="BN72" s="250">
        <v>19601.8</v>
      </c>
      <c r="BO72" s="250">
        <v>2834049</v>
      </c>
      <c r="BP72" s="250">
        <v>126763</v>
      </c>
      <c r="BQ72" s="250">
        <v>16792.7</v>
      </c>
      <c r="BR72" s="250">
        <v>8201.5</v>
      </c>
      <c r="BS72" s="250">
        <v>5591.8</v>
      </c>
      <c r="BT72" s="250">
        <v>1036328</v>
      </c>
      <c r="BU72" s="250">
        <v>589840</v>
      </c>
      <c r="BV72" s="250">
        <v>705232</v>
      </c>
      <c r="BW72" s="250">
        <v>446004</v>
      </c>
      <c r="BX72" s="1324">
        <v>0</v>
      </c>
    </row>
    <row r="73" spans="1:76">
      <c r="A73" s="647">
        <v>44993</v>
      </c>
      <c r="B73" s="250">
        <v>1060.683</v>
      </c>
      <c r="C73" s="250">
        <v>585.99199999999996</v>
      </c>
      <c r="D73" s="250">
        <v>6848.4</v>
      </c>
      <c r="E73" s="1312">
        <v>0</v>
      </c>
      <c r="F73" s="250">
        <v>17091.400000000001</v>
      </c>
      <c r="G73" s="250">
        <v>5368.6</v>
      </c>
      <c r="H73" s="250">
        <v>573580</v>
      </c>
      <c r="I73" s="250">
        <v>265114</v>
      </c>
      <c r="J73" s="250">
        <v>204384.8</v>
      </c>
      <c r="K73" s="250">
        <v>14956.2</v>
      </c>
      <c r="L73" s="250">
        <v>7010.9</v>
      </c>
      <c r="M73" s="250">
        <v>44567.3</v>
      </c>
      <c r="N73" s="250">
        <v>35432.300000000003</v>
      </c>
      <c r="O73" s="250">
        <v>136929</v>
      </c>
      <c r="P73" s="250">
        <v>113596</v>
      </c>
      <c r="Q73" s="250">
        <v>139130</v>
      </c>
      <c r="R73" s="250">
        <v>95442.1</v>
      </c>
      <c r="S73" s="1014">
        <v>14051.63</v>
      </c>
      <c r="T73" s="1014">
        <v>10671.64</v>
      </c>
      <c r="U73" s="250">
        <v>27202.799999999999</v>
      </c>
      <c r="V73" s="250">
        <v>14129.4</v>
      </c>
      <c r="W73" s="250">
        <v>209963.5</v>
      </c>
      <c r="X73" s="1014">
        <v>345.9</v>
      </c>
      <c r="Y73" s="1014">
        <v>50716</v>
      </c>
      <c r="Z73" s="250">
        <v>568922</v>
      </c>
      <c r="AA73" s="250">
        <v>289914</v>
      </c>
      <c r="AB73" s="250">
        <v>209916.1</v>
      </c>
      <c r="AC73" s="1014">
        <v>1112.4000000000001</v>
      </c>
      <c r="AD73" s="1081">
        <v>942</v>
      </c>
      <c r="AE73" s="250">
        <v>35411.300000000003</v>
      </c>
      <c r="AF73" s="250">
        <v>25245.9</v>
      </c>
      <c r="AG73" s="250">
        <v>82073.399999999994</v>
      </c>
      <c r="AH73" s="250">
        <v>63455</v>
      </c>
      <c r="AI73" s="250">
        <v>65345.2</v>
      </c>
      <c r="AJ73" s="250">
        <v>53214.400000000001</v>
      </c>
      <c r="AK73" s="250">
        <v>58935.7</v>
      </c>
      <c r="AL73" s="250">
        <v>23176.3</v>
      </c>
      <c r="AM73" s="250">
        <v>16.399999999999999</v>
      </c>
      <c r="AN73" s="250">
        <v>17.399999999999999</v>
      </c>
      <c r="AO73" s="250">
        <v>483700</v>
      </c>
      <c r="AP73" s="250">
        <v>223243</v>
      </c>
      <c r="AQ73" s="250">
        <v>64863.1</v>
      </c>
      <c r="AR73" s="250"/>
      <c r="AS73" s="250">
        <v>451804</v>
      </c>
      <c r="AT73" s="250">
        <v>198901</v>
      </c>
      <c r="AU73" s="250">
        <v>78284</v>
      </c>
      <c r="AV73" s="250">
        <v>4264.47</v>
      </c>
      <c r="AW73" s="250">
        <v>2840.4</v>
      </c>
      <c r="AX73" s="250">
        <v>220.5</v>
      </c>
      <c r="AY73" s="250">
        <v>133.4</v>
      </c>
      <c r="AZ73" s="250">
        <v>792.53</v>
      </c>
      <c r="BA73" s="250">
        <v>337.64400000000001</v>
      </c>
      <c r="BB73" s="385">
        <v>1790.52</v>
      </c>
      <c r="BC73" s="250">
        <v>2914.6</v>
      </c>
      <c r="BD73" s="250">
        <v>453.2</v>
      </c>
      <c r="BE73" s="250">
        <v>6719.68</v>
      </c>
      <c r="BF73" s="250">
        <v>35630.49649122807</v>
      </c>
      <c r="BG73" s="250">
        <v>10381.87177685572</v>
      </c>
      <c r="BH73" s="250">
        <v>5027.6099999999997</v>
      </c>
      <c r="BI73" s="1014">
        <v>2462379.5</v>
      </c>
      <c r="BJ73" s="250">
        <v>481</v>
      </c>
      <c r="BK73" s="250">
        <v>18968.240000000002</v>
      </c>
      <c r="BL73" s="250">
        <v>3129351</v>
      </c>
      <c r="BM73" s="250">
        <v>99819</v>
      </c>
      <c r="BN73" s="250">
        <v>19625.7</v>
      </c>
      <c r="BO73" s="250">
        <v>2840314</v>
      </c>
      <c r="BP73" s="250">
        <v>126790</v>
      </c>
      <c r="BQ73" s="250">
        <v>16816.7</v>
      </c>
      <c r="BR73" s="250">
        <v>8209.7999999999993</v>
      </c>
      <c r="BS73" s="250">
        <v>5597.8</v>
      </c>
      <c r="BT73" s="250">
        <v>1037024</v>
      </c>
      <c r="BU73" s="250">
        <v>590247</v>
      </c>
      <c r="BV73" s="250">
        <v>706110</v>
      </c>
      <c r="BW73" s="250">
        <v>446550</v>
      </c>
      <c r="BX73" s="1324">
        <v>0</v>
      </c>
    </row>
    <row r="74" spans="1:76">
      <c r="A74" s="647">
        <v>44994</v>
      </c>
      <c r="B74" s="250">
        <v>1060.683</v>
      </c>
      <c r="C74" s="250">
        <v>585.99199999999996</v>
      </c>
      <c r="D74" s="250">
        <v>6848.4</v>
      </c>
      <c r="E74" s="1312">
        <v>0</v>
      </c>
      <c r="F74" s="250">
        <v>17121.099999999999</v>
      </c>
      <c r="G74" s="250">
        <v>5377.5</v>
      </c>
      <c r="H74" s="250">
        <v>573744</v>
      </c>
      <c r="I74" s="250">
        <v>265196</v>
      </c>
      <c r="J74" s="250">
        <v>204408.8</v>
      </c>
      <c r="K74" s="250">
        <v>14956.2</v>
      </c>
      <c r="L74" s="250">
        <v>7010.9</v>
      </c>
      <c r="M74" s="250">
        <v>44594.3</v>
      </c>
      <c r="N74" s="250">
        <v>35453.4</v>
      </c>
      <c r="O74" s="250">
        <v>136944</v>
      </c>
      <c r="P74" s="250">
        <v>113608</v>
      </c>
      <c r="Q74" s="250">
        <v>139147</v>
      </c>
      <c r="R74" s="250">
        <v>95453.5</v>
      </c>
      <c r="S74" s="1014">
        <v>14051.63</v>
      </c>
      <c r="T74" s="1014">
        <v>10671.64</v>
      </c>
      <c r="U74" s="250">
        <v>27348.9</v>
      </c>
      <c r="V74" s="250">
        <v>14206</v>
      </c>
      <c r="W74" s="251">
        <v>209987.5</v>
      </c>
      <c r="X74" s="1014">
        <v>345.9</v>
      </c>
      <c r="Y74" s="1014">
        <v>50716</v>
      </c>
      <c r="Z74" s="250">
        <v>569210</v>
      </c>
      <c r="AA74" s="250">
        <v>290056</v>
      </c>
      <c r="AB74" s="250">
        <v>209940.1</v>
      </c>
      <c r="AC74" s="1014">
        <v>1112.4000000000001</v>
      </c>
      <c r="AD74" s="1081">
        <v>942</v>
      </c>
      <c r="AE74" s="250">
        <v>35413.300000000003</v>
      </c>
      <c r="AF74" s="250">
        <v>25247.4</v>
      </c>
      <c r="AG74" s="250">
        <v>82080.800000000003</v>
      </c>
      <c r="AH74" s="250">
        <v>63460.6</v>
      </c>
      <c r="AI74" s="250">
        <v>65358.2</v>
      </c>
      <c r="AJ74" s="250">
        <v>53225.1</v>
      </c>
      <c r="AK74" s="250">
        <v>58947</v>
      </c>
      <c r="AL74" s="250">
        <v>23180.7</v>
      </c>
      <c r="AM74" s="250">
        <v>16.399999999999999</v>
      </c>
      <c r="AN74" s="250">
        <v>17.399999999999999</v>
      </c>
      <c r="AO74" s="250">
        <v>483836</v>
      </c>
      <c r="AP74" s="250">
        <v>223304</v>
      </c>
      <c r="AQ74" s="250">
        <v>64867.5</v>
      </c>
      <c r="AR74" s="250"/>
      <c r="AS74" s="250">
        <v>451941</v>
      </c>
      <c r="AT74" s="250">
        <v>198961</v>
      </c>
      <c r="AU74" s="250">
        <v>78307</v>
      </c>
      <c r="AV74" s="250">
        <v>4266</v>
      </c>
      <c r="AW74" s="250">
        <v>2841.4</v>
      </c>
      <c r="AX74" s="250">
        <v>220.5</v>
      </c>
      <c r="AY74" s="250">
        <v>133.4</v>
      </c>
      <c r="AZ74" s="250">
        <v>792.53</v>
      </c>
      <c r="BA74" s="250">
        <v>337.64400000000001</v>
      </c>
      <c r="BB74" s="385">
        <v>1790.52</v>
      </c>
      <c r="BC74" s="250">
        <v>2917.3</v>
      </c>
      <c r="BD74" s="250">
        <v>454.7</v>
      </c>
      <c r="BE74" s="250">
        <v>6254.5099999999993</v>
      </c>
      <c r="BF74" s="250">
        <v>36014.970175438597</v>
      </c>
      <c r="BG74" s="250">
        <v>10640.417091493709</v>
      </c>
      <c r="BH74" s="250">
        <v>4618.43</v>
      </c>
      <c r="BI74" s="1014">
        <v>2462379.5</v>
      </c>
      <c r="BJ74" s="250">
        <v>481</v>
      </c>
      <c r="BK74" s="250">
        <v>18968.240000000002</v>
      </c>
      <c r="BL74" s="250">
        <v>3131728</v>
      </c>
      <c r="BM74" s="250">
        <v>99819</v>
      </c>
      <c r="BN74" s="250">
        <v>19649.7</v>
      </c>
      <c r="BO74" s="250">
        <v>2846382</v>
      </c>
      <c r="BP74" s="250">
        <v>126834</v>
      </c>
      <c r="BQ74" s="250">
        <v>16840.7</v>
      </c>
      <c r="BR74" s="250">
        <v>8217.7999999999993</v>
      </c>
      <c r="BS74" s="250">
        <v>5602</v>
      </c>
      <c r="BT74" s="250">
        <v>1037670</v>
      </c>
      <c r="BU74" s="250">
        <v>590628</v>
      </c>
      <c r="BV74" s="250">
        <v>706964</v>
      </c>
      <c r="BW74" s="250">
        <v>447080</v>
      </c>
      <c r="BX74" s="1324">
        <v>0</v>
      </c>
    </row>
    <row r="75" spans="1:76">
      <c r="A75" s="647">
        <v>44995</v>
      </c>
      <c r="B75" s="250">
        <v>1060.683</v>
      </c>
      <c r="C75" s="250">
        <v>585.99199999999996</v>
      </c>
      <c r="D75" s="250">
        <v>6848.4</v>
      </c>
      <c r="E75" s="1312">
        <v>0</v>
      </c>
      <c r="F75" s="250">
        <v>17151.599999999999</v>
      </c>
      <c r="G75" s="250">
        <v>5386.4</v>
      </c>
      <c r="H75" s="250">
        <v>573907</v>
      </c>
      <c r="I75" s="250">
        <v>265280</v>
      </c>
      <c r="J75" s="250">
        <v>204432.8</v>
      </c>
      <c r="K75" s="250">
        <v>14956.2</v>
      </c>
      <c r="L75" s="250">
        <v>7010.9</v>
      </c>
      <c r="M75" s="250">
        <v>44622</v>
      </c>
      <c r="N75" s="250">
        <v>35475.300000000003</v>
      </c>
      <c r="O75" s="250">
        <v>136958</v>
      </c>
      <c r="P75" s="250">
        <v>113620</v>
      </c>
      <c r="Q75" s="250">
        <v>139163</v>
      </c>
      <c r="R75" s="250">
        <v>95464.9</v>
      </c>
      <c r="S75" s="1014">
        <v>14051.63</v>
      </c>
      <c r="T75" s="1014">
        <v>10671.64</v>
      </c>
      <c r="U75" s="250">
        <v>27499</v>
      </c>
      <c r="V75" s="250">
        <v>14285.6</v>
      </c>
      <c r="W75" s="250">
        <v>210011.5</v>
      </c>
      <c r="X75" s="1014">
        <v>345.9</v>
      </c>
      <c r="Y75" s="1014">
        <v>50716</v>
      </c>
      <c r="Z75" s="250">
        <v>569503</v>
      </c>
      <c r="AA75" s="250">
        <v>290201</v>
      </c>
      <c r="AB75" s="250">
        <v>209964.1</v>
      </c>
      <c r="AC75" s="1014">
        <v>1112.4000000000001</v>
      </c>
      <c r="AD75" s="1081">
        <v>942</v>
      </c>
      <c r="AE75" s="250">
        <v>35415.5</v>
      </c>
      <c r="AF75" s="250">
        <v>25249</v>
      </c>
      <c r="AG75" s="250">
        <v>82086.399999999994</v>
      </c>
      <c r="AH75" s="250">
        <v>63464.7</v>
      </c>
      <c r="AI75" s="250">
        <v>65372.3</v>
      </c>
      <c r="AJ75" s="250">
        <v>53236.6</v>
      </c>
      <c r="AK75" s="250">
        <v>58954.1</v>
      </c>
      <c r="AL75" s="250">
        <v>23183.4</v>
      </c>
      <c r="AM75" s="250">
        <v>16.399999999999999</v>
      </c>
      <c r="AN75" s="250">
        <v>17.399999999999999</v>
      </c>
      <c r="AO75" s="250">
        <v>483981</v>
      </c>
      <c r="AP75" s="250">
        <v>223370</v>
      </c>
      <c r="AQ75" s="250">
        <v>64872.1</v>
      </c>
      <c r="AR75" s="250"/>
      <c r="AS75" s="250">
        <v>452086</v>
      </c>
      <c r="AT75" s="250">
        <v>199024</v>
      </c>
      <c r="AU75" s="250">
        <v>78331</v>
      </c>
      <c r="AV75" s="250">
        <v>4267.5</v>
      </c>
      <c r="AW75" s="250">
        <v>2842.5</v>
      </c>
      <c r="AX75" s="250">
        <v>220.5</v>
      </c>
      <c r="AY75" s="250">
        <v>133.4</v>
      </c>
      <c r="AZ75" s="250">
        <v>792.53</v>
      </c>
      <c r="BA75" s="250">
        <v>337.64400000000001</v>
      </c>
      <c r="BB75" s="385">
        <v>1790.52</v>
      </c>
      <c r="BC75" s="250">
        <v>2919.8</v>
      </c>
      <c r="BD75" s="250">
        <v>455.6</v>
      </c>
      <c r="BE75" s="250">
        <v>6215.0199999999995</v>
      </c>
      <c r="BF75" s="250">
        <v>36988.659649122805</v>
      </c>
      <c r="BG75" s="250">
        <v>9669.4740936776907</v>
      </c>
      <c r="BH75" s="250">
        <v>5963.1</v>
      </c>
      <c r="BI75" s="1014">
        <v>2462379.5</v>
      </c>
      <c r="BJ75" s="250">
        <v>481</v>
      </c>
      <c r="BK75" s="250">
        <v>18968.240000000002</v>
      </c>
      <c r="BL75" s="250">
        <v>3134165</v>
      </c>
      <c r="BM75" s="250">
        <v>99819</v>
      </c>
      <c r="BN75" s="250">
        <v>19673.7</v>
      </c>
      <c r="BO75" s="250">
        <v>2852772</v>
      </c>
      <c r="BP75" s="250">
        <v>126848</v>
      </c>
      <c r="BQ75" s="250">
        <f>24+BQ74</f>
        <v>16864.7</v>
      </c>
      <c r="BR75" s="250">
        <v>8225.7000000000007</v>
      </c>
      <c r="BS75" s="250">
        <v>5607.1</v>
      </c>
      <c r="BT75" s="250">
        <v>1038697</v>
      </c>
      <c r="BU75" s="250">
        <v>591207</v>
      </c>
      <c r="BV75" s="250">
        <v>707399</v>
      </c>
      <c r="BW75" s="250">
        <v>447333</v>
      </c>
      <c r="BX75" s="1324">
        <v>0</v>
      </c>
    </row>
    <row r="76" spans="1:76">
      <c r="A76" s="647">
        <v>44996</v>
      </c>
      <c r="B76" s="250">
        <v>1060.683</v>
      </c>
      <c r="C76" s="250">
        <v>585.99199999999996</v>
      </c>
      <c r="D76" s="250">
        <v>6848.4</v>
      </c>
      <c r="E76" s="1312">
        <v>0</v>
      </c>
      <c r="F76" s="250">
        <v>17181.7</v>
      </c>
      <c r="G76" s="250">
        <v>5396.1</v>
      </c>
      <c r="H76" s="250">
        <v>574069</v>
      </c>
      <c r="I76" s="250">
        <v>265363</v>
      </c>
      <c r="J76" s="250">
        <v>204456.8</v>
      </c>
      <c r="K76" s="250">
        <v>14956.2</v>
      </c>
      <c r="L76" s="250">
        <v>7010.9</v>
      </c>
      <c r="M76" s="250">
        <v>44646.3</v>
      </c>
      <c r="N76" s="250">
        <v>35494.5</v>
      </c>
      <c r="O76" s="250">
        <v>136972</v>
      </c>
      <c r="P76" s="250">
        <v>113632</v>
      </c>
      <c r="Q76" s="250">
        <v>139179</v>
      </c>
      <c r="R76" s="250">
        <v>95476.1</v>
      </c>
      <c r="S76" s="1014">
        <v>14051.63</v>
      </c>
      <c r="T76" s="1014">
        <v>10671.64</v>
      </c>
      <c r="U76" s="250">
        <v>27675.5</v>
      </c>
      <c r="V76" s="250">
        <v>14375</v>
      </c>
      <c r="W76" s="250">
        <v>210035.5</v>
      </c>
      <c r="X76" s="1014">
        <v>345.9</v>
      </c>
      <c r="Y76" s="1014">
        <v>50716</v>
      </c>
      <c r="Z76" s="250">
        <v>569762</v>
      </c>
      <c r="AA76" s="250">
        <v>290332</v>
      </c>
      <c r="AB76" s="250">
        <v>209988.1</v>
      </c>
      <c r="AC76" s="1014">
        <v>1112.4000000000001</v>
      </c>
      <c r="AD76" s="1081">
        <v>942</v>
      </c>
      <c r="AE76" s="250">
        <v>35417.599999999999</v>
      </c>
      <c r="AF76" s="250">
        <v>25250.5</v>
      </c>
      <c r="AG76" s="250">
        <v>82091.600000000006</v>
      </c>
      <c r="AH76" s="250">
        <v>63468.7</v>
      </c>
      <c r="AI76" s="250">
        <v>65384.5</v>
      </c>
      <c r="AJ76" s="250">
        <v>53246.6</v>
      </c>
      <c r="AK76" s="250">
        <v>58965.2</v>
      </c>
      <c r="AL76" s="250">
        <v>23187.8</v>
      </c>
      <c r="AM76" s="250">
        <v>16.399999999999999</v>
      </c>
      <c r="AN76" s="250">
        <v>17.399999999999999</v>
      </c>
      <c r="AO76" s="250">
        <v>484125</v>
      </c>
      <c r="AP76" s="250">
        <v>223434</v>
      </c>
      <c r="AQ76" s="250">
        <v>64876.1</v>
      </c>
      <c r="AR76" s="250"/>
      <c r="AS76" s="250">
        <v>452231</v>
      </c>
      <c r="AT76" s="250">
        <v>199087</v>
      </c>
      <c r="AU76" s="250">
        <v>78355</v>
      </c>
      <c r="AV76" s="250">
        <v>4269</v>
      </c>
      <c r="AW76" s="250">
        <v>2843.5</v>
      </c>
      <c r="AX76" s="250">
        <v>220.5</v>
      </c>
      <c r="AY76" s="250">
        <v>133.4</v>
      </c>
      <c r="AZ76" s="250">
        <v>792.53</v>
      </c>
      <c r="BA76" s="250">
        <v>337.64400000000001</v>
      </c>
      <c r="BB76" s="385">
        <v>1790.52</v>
      </c>
      <c r="BC76" s="250">
        <v>2922.3</v>
      </c>
      <c r="BD76" s="250">
        <v>456.4</v>
      </c>
      <c r="BE76" s="250">
        <v>5795.46</v>
      </c>
      <c r="BF76" s="250">
        <v>36378.571929824597</v>
      </c>
      <c r="BG76" s="250">
        <v>9787.2851742012499</v>
      </c>
      <c r="BH76" s="250">
        <v>5583.48</v>
      </c>
      <c r="BI76" s="250">
        <v>2462727.5</v>
      </c>
      <c r="BJ76" s="250">
        <v>481</v>
      </c>
      <c r="BK76" s="250">
        <v>18972.21</v>
      </c>
      <c r="BL76" s="250">
        <v>3137153</v>
      </c>
      <c r="BM76" s="250">
        <v>99843</v>
      </c>
      <c r="BN76" s="250">
        <v>19697.7</v>
      </c>
      <c r="BO76" s="250">
        <v>2857924</v>
      </c>
      <c r="BP76" s="250">
        <v>126908</v>
      </c>
      <c r="BQ76" s="250">
        <v>16884.7</v>
      </c>
      <c r="BR76" s="250">
        <v>8233.6</v>
      </c>
      <c r="BS76" s="250">
        <v>5612.2</v>
      </c>
      <c r="BT76" s="250">
        <v>1040076</v>
      </c>
      <c r="BU76" s="250">
        <v>591963</v>
      </c>
      <c r="BV76" s="250">
        <v>707399</v>
      </c>
      <c r="BW76" s="250">
        <v>447334</v>
      </c>
      <c r="BX76" s="1324">
        <v>0</v>
      </c>
    </row>
    <row r="77" spans="1:76">
      <c r="A77" s="647">
        <v>44997</v>
      </c>
      <c r="B77" s="250">
        <v>1060.683</v>
      </c>
      <c r="C77" s="250">
        <v>585.99199999999996</v>
      </c>
      <c r="D77" s="250">
        <v>6848.4</v>
      </c>
      <c r="E77" s="1312">
        <v>0</v>
      </c>
      <c r="F77" s="250">
        <v>17211.599999999999</v>
      </c>
      <c r="G77" s="250">
        <v>5409.8</v>
      </c>
      <c r="H77" s="250">
        <v>574230</v>
      </c>
      <c r="I77" s="250">
        <v>265446</v>
      </c>
      <c r="J77" s="250">
        <v>204480.8</v>
      </c>
      <c r="K77" s="250">
        <v>14958.9</v>
      </c>
      <c r="L77" s="250">
        <v>7010.9</v>
      </c>
      <c r="M77" s="250">
        <v>44673.4</v>
      </c>
      <c r="N77" s="250">
        <v>35515.9</v>
      </c>
      <c r="O77" s="250">
        <v>136986</v>
      </c>
      <c r="P77" s="250">
        <v>113643</v>
      </c>
      <c r="Q77" s="250">
        <v>139195</v>
      </c>
      <c r="R77" s="250">
        <v>95487.5</v>
      </c>
      <c r="S77" s="1014">
        <v>14051.63</v>
      </c>
      <c r="T77" s="1014">
        <v>10671.64</v>
      </c>
      <c r="U77" s="250">
        <v>27831</v>
      </c>
      <c r="V77" s="250">
        <v>14453.5</v>
      </c>
      <c r="W77" s="250">
        <v>210059.5</v>
      </c>
      <c r="X77" s="1014">
        <v>345.9</v>
      </c>
      <c r="Y77" s="1014">
        <v>50716</v>
      </c>
      <c r="Z77" s="250">
        <v>570038</v>
      </c>
      <c r="AA77" s="250">
        <v>290475</v>
      </c>
      <c r="AB77" s="250">
        <v>210012.1</v>
      </c>
      <c r="AC77" s="1014">
        <v>1112.4000000000001</v>
      </c>
      <c r="AD77" s="1081">
        <v>942</v>
      </c>
      <c r="AE77" s="250">
        <v>35419.599999999999</v>
      </c>
      <c r="AF77" s="250">
        <v>25252</v>
      </c>
      <c r="AG77" s="250">
        <v>82096.800000000003</v>
      </c>
      <c r="AH77" s="250">
        <v>63472.7</v>
      </c>
      <c r="AI77" s="250">
        <v>65395.7</v>
      </c>
      <c r="AJ77" s="250">
        <v>53255.6</v>
      </c>
      <c r="AK77" s="250">
        <v>58971.3</v>
      </c>
      <c r="AL77" s="250">
        <v>23190.2</v>
      </c>
      <c r="AM77" s="250">
        <v>16.399999999999999</v>
      </c>
      <c r="AN77" s="250">
        <v>17.399999999999999</v>
      </c>
      <c r="AO77" s="250">
        <v>484268</v>
      </c>
      <c r="AP77" s="250">
        <v>223499</v>
      </c>
      <c r="AQ77" s="250">
        <v>64880.1</v>
      </c>
      <c r="AR77" s="250"/>
      <c r="AS77" s="250">
        <v>452375</v>
      </c>
      <c r="AT77" s="250">
        <v>199150</v>
      </c>
      <c r="AU77" s="250">
        <v>78379</v>
      </c>
      <c r="AV77" s="250">
        <v>4270.3999999999996</v>
      </c>
      <c r="AW77" s="250">
        <v>2844.5</v>
      </c>
      <c r="AX77" s="250">
        <v>220.5</v>
      </c>
      <c r="AY77" s="250">
        <v>133.4</v>
      </c>
      <c r="AZ77" s="250">
        <v>792.53</v>
      </c>
      <c r="BA77" s="250">
        <v>337.64400000000001</v>
      </c>
      <c r="BB77" s="385">
        <v>1790.52</v>
      </c>
      <c r="BC77" s="250">
        <v>2924.8</v>
      </c>
      <c r="BD77" s="250">
        <v>457.1</v>
      </c>
      <c r="BE77" s="250">
        <v>6251.5499999999993</v>
      </c>
      <c r="BF77" s="250">
        <v>34954.57543859649</v>
      </c>
      <c r="BG77" s="250">
        <v>10031.639991222706</v>
      </c>
      <c r="BH77" s="250">
        <v>5303.2000000000007</v>
      </c>
      <c r="BI77" s="250">
        <v>2464791.5</v>
      </c>
      <c r="BJ77" s="250">
        <v>482</v>
      </c>
      <c r="BK77" s="250">
        <v>18996.2</v>
      </c>
      <c r="BL77" s="250">
        <v>3143022</v>
      </c>
      <c r="BM77" s="250">
        <v>99980</v>
      </c>
      <c r="BN77" s="250">
        <v>19721.7</v>
      </c>
      <c r="BO77" s="250">
        <v>2857924</v>
      </c>
      <c r="BP77" s="250">
        <v>126908</v>
      </c>
      <c r="BQ77" s="250">
        <v>16884.7</v>
      </c>
      <c r="BR77" s="250">
        <v>8241.4</v>
      </c>
      <c r="BS77" s="250">
        <v>5617.1</v>
      </c>
      <c r="BT77" s="250">
        <v>1041442</v>
      </c>
      <c r="BU77" s="250">
        <v>592707</v>
      </c>
      <c r="BV77" s="250">
        <v>707830</v>
      </c>
      <c r="BW77" s="250">
        <v>447584</v>
      </c>
      <c r="BX77" s="1324">
        <v>0</v>
      </c>
    </row>
    <row r="78" spans="1:76">
      <c r="A78" s="647">
        <v>44998</v>
      </c>
      <c r="B78" s="250">
        <v>1060.7660000000001</v>
      </c>
      <c r="C78" s="250">
        <v>585.99199999999996</v>
      </c>
      <c r="D78" s="385">
        <v>6849.2</v>
      </c>
      <c r="E78" s="1312">
        <v>1</v>
      </c>
      <c r="F78" s="250">
        <v>17241.900000000001</v>
      </c>
      <c r="G78" s="250">
        <v>5423.7</v>
      </c>
      <c r="H78" s="250">
        <v>574392</v>
      </c>
      <c r="I78" s="250">
        <v>265529</v>
      </c>
      <c r="J78" s="250">
        <v>204504.8</v>
      </c>
      <c r="K78" s="250">
        <v>14958.9</v>
      </c>
      <c r="L78" s="250">
        <v>7010.9</v>
      </c>
      <c r="M78" s="250">
        <v>44702.3</v>
      </c>
      <c r="N78" s="250">
        <v>35538.800000000003</v>
      </c>
      <c r="O78" s="250">
        <v>137001</v>
      </c>
      <c r="P78" s="250">
        <v>113655</v>
      </c>
      <c r="Q78" s="250">
        <v>139212</v>
      </c>
      <c r="R78" s="250">
        <v>95499.199999999997</v>
      </c>
      <c r="S78" s="1014">
        <v>14051.63</v>
      </c>
      <c r="T78" s="1014">
        <v>10671.64</v>
      </c>
      <c r="U78" s="250">
        <v>27982.3</v>
      </c>
      <c r="V78" s="250">
        <v>14529.7</v>
      </c>
      <c r="W78" s="250">
        <v>210083.5</v>
      </c>
      <c r="X78" s="1014">
        <v>345.9</v>
      </c>
      <c r="Y78" s="1014">
        <v>50716</v>
      </c>
      <c r="Z78" s="250">
        <v>570337</v>
      </c>
      <c r="AA78" s="250">
        <v>290630</v>
      </c>
      <c r="AB78" s="250">
        <v>210036.1</v>
      </c>
      <c r="AC78" s="1014">
        <v>1112.4000000000001</v>
      </c>
      <c r="AD78" s="1081">
        <v>942</v>
      </c>
      <c r="AE78" s="250">
        <v>35421.800000000003</v>
      </c>
      <c r="AF78" s="250">
        <v>25253.599999999999</v>
      </c>
      <c r="AG78" s="250">
        <v>82105</v>
      </c>
      <c r="AH78" s="250">
        <v>63479</v>
      </c>
      <c r="AI78" s="250">
        <v>65405.1</v>
      </c>
      <c r="AJ78" s="250">
        <v>53263.5</v>
      </c>
      <c r="AK78" s="250">
        <v>58988.3</v>
      </c>
      <c r="AL78" s="250">
        <v>23197</v>
      </c>
      <c r="AM78" s="250">
        <v>16.399999999999999</v>
      </c>
      <c r="AN78" s="250">
        <v>17.399999999999999</v>
      </c>
      <c r="AO78" s="250">
        <v>484411</v>
      </c>
      <c r="AP78" s="250">
        <v>223563</v>
      </c>
      <c r="AQ78" s="250">
        <v>64884.9</v>
      </c>
      <c r="AR78" s="250"/>
      <c r="AS78" s="250">
        <v>452519</v>
      </c>
      <c r="AT78" s="250">
        <v>199213</v>
      </c>
      <c r="AU78" s="250">
        <v>78403</v>
      </c>
      <c r="AV78" s="250">
        <v>4271.8999999999996</v>
      </c>
      <c r="AW78" s="250">
        <v>2845.5</v>
      </c>
      <c r="AX78" s="250">
        <v>220.5</v>
      </c>
      <c r="AY78" s="250">
        <v>133.4</v>
      </c>
      <c r="AZ78" s="250">
        <v>792.91499999999996</v>
      </c>
      <c r="BA78" s="250">
        <v>337.78899999999999</v>
      </c>
      <c r="BB78" s="385">
        <v>1791.4</v>
      </c>
      <c r="BC78" s="250">
        <v>2927.4</v>
      </c>
      <c r="BD78" s="250">
        <v>458.4</v>
      </c>
      <c r="BE78" s="250">
        <v>6203.46</v>
      </c>
      <c r="BF78" s="250">
        <v>34191.271929824565</v>
      </c>
      <c r="BG78" s="250">
        <v>10091.563863011041</v>
      </c>
      <c r="BH78" s="250">
        <v>5928.1</v>
      </c>
      <c r="BI78" s="250">
        <v>2466975.5</v>
      </c>
      <c r="BJ78" s="250">
        <v>483</v>
      </c>
      <c r="BK78" s="250">
        <v>19020.2</v>
      </c>
      <c r="BL78" s="250">
        <v>3149013</v>
      </c>
      <c r="BM78" s="250">
        <v>100073</v>
      </c>
      <c r="BN78" s="250">
        <v>19745.7</v>
      </c>
      <c r="BO78" s="250">
        <v>2857924</v>
      </c>
      <c r="BP78" s="250">
        <v>126908</v>
      </c>
      <c r="BQ78" s="250">
        <v>16884.7</v>
      </c>
      <c r="BR78" s="250">
        <v>8249.4</v>
      </c>
      <c r="BS78" s="250">
        <v>5622.1</v>
      </c>
      <c r="BT78" s="250">
        <v>1042879</v>
      </c>
      <c r="BU78" s="250">
        <v>593488</v>
      </c>
      <c r="BV78" s="250">
        <v>708028</v>
      </c>
      <c r="BW78" s="250">
        <v>447737</v>
      </c>
      <c r="BX78" s="1324">
        <v>1</v>
      </c>
    </row>
    <row r="79" spans="1:76">
      <c r="A79" s="647">
        <v>44999</v>
      </c>
      <c r="B79" s="250">
        <v>1060.7660000000001</v>
      </c>
      <c r="C79" s="250">
        <v>585.99199999999996</v>
      </c>
      <c r="D79" s="385">
        <v>6849.2</v>
      </c>
      <c r="E79" s="1312">
        <v>0</v>
      </c>
      <c r="F79" s="250">
        <v>17272.3</v>
      </c>
      <c r="G79" s="250">
        <v>5437.7</v>
      </c>
      <c r="H79" s="250">
        <v>574549.4</v>
      </c>
      <c r="I79" s="250">
        <v>265609</v>
      </c>
      <c r="J79" s="250">
        <v>204527.4</v>
      </c>
      <c r="K79" s="250">
        <v>14958.9</v>
      </c>
      <c r="L79" s="250">
        <v>7010.9</v>
      </c>
      <c r="M79" s="250">
        <v>44732.1</v>
      </c>
      <c r="N79" s="250">
        <v>35562.5</v>
      </c>
      <c r="O79" s="250">
        <v>137016.70000000001</v>
      </c>
      <c r="P79" s="250">
        <v>113668.2</v>
      </c>
      <c r="Q79" s="250">
        <v>139230.39999999999</v>
      </c>
      <c r="R79" s="250">
        <v>95511.1</v>
      </c>
      <c r="S79" s="1014">
        <v>14051.63</v>
      </c>
      <c r="T79" s="1014">
        <v>10671.64</v>
      </c>
      <c r="U79" s="250">
        <v>28127.9</v>
      </c>
      <c r="V79" s="250">
        <v>14609.6</v>
      </c>
      <c r="W79" s="250">
        <v>210107.5</v>
      </c>
      <c r="X79" s="1014">
        <v>345.9</v>
      </c>
      <c r="Y79" s="1014">
        <v>50716</v>
      </c>
      <c r="Z79" s="250">
        <v>570625.69999999995</v>
      </c>
      <c r="AA79" s="250">
        <v>290774.7</v>
      </c>
      <c r="AB79" s="250">
        <v>210060.1</v>
      </c>
      <c r="AC79" s="1014">
        <v>1112.4000000000001</v>
      </c>
      <c r="AD79" s="1081">
        <v>942</v>
      </c>
      <c r="AE79" s="250">
        <v>35424</v>
      </c>
      <c r="AF79" s="250">
        <v>25255.3</v>
      </c>
      <c r="AG79" s="250">
        <v>82113.100000000006</v>
      </c>
      <c r="AH79" s="250">
        <v>63485.3</v>
      </c>
      <c r="AI79" s="250">
        <v>65414.3</v>
      </c>
      <c r="AJ79" s="250">
        <v>53271.199999999997</v>
      </c>
      <c r="AK79" s="250">
        <v>58995.5</v>
      </c>
      <c r="AL79" s="250">
        <v>23199.8</v>
      </c>
      <c r="AM79" s="250">
        <v>16.399999999999999</v>
      </c>
      <c r="AN79" s="250">
        <v>17.399999999999999</v>
      </c>
      <c r="AO79" s="250">
        <v>484554.2</v>
      </c>
      <c r="AP79" s="250">
        <v>223628.2</v>
      </c>
      <c r="AQ79" s="250">
        <v>64890.1</v>
      </c>
      <c r="AR79" s="250"/>
      <c r="AS79" s="250">
        <v>452662.4</v>
      </c>
      <c r="AT79" s="250">
        <v>199275.7</v>
      </c>
      <c r="AU79" s="250">
        <v>78427</v>
      </c>
      <c r="AV79" s="250">
        <v>4273.3999999999996</v>
      </c>
      <c r="AW79" s="250">
        <v>2846.6</v>
      </c>
      <c r="AX79" s="250">
        <v>220.5</v>
      </c>
      <c r="AY79" s="250">
        <v>133.4</v>
      </c>
      <c r="AZ79" s="250">
        <v>792.91499999999996</v>
      </c>
      <c r="BA79" s="250">
        <v>337.78899999999999</v>
      </c>
      <c r="BB79" s="385">
        <v>1791.4</v>
      </c>
      <c r="BC79" s="250">
        <v>2930</v>
      </c>
      <c r="BD79" s="250">
        <v>459.8</v>
      </c>
      <c r="BE79" s="250">
        <v>6523.02</v>
      </c>
      <c r="BF79" s="250">
        <v>35288.584210526315</v>
      </c>
      <c r="BG79" s="250">
        <v>9739.650116144021</v>
      </c>
      <c r="BH79" s="250">
        <v>5443.72</v>
      </c>
      <c r="BI79" s="250">
        <v>2469159.5</v>
      </c>
      <c r="BJ79" s="250">
        <v>484</v>
      </c>
      <c r="BK79" s="250">
        <v>19044.2</v>
      </c>
      <c r="BL79" s="250">
        <v>3154878</v>
      </c>
      <c r="BM79" s="250">
        <v>100228</v>
      </c>
      <c r="BN79" s="250">
        <v>19769.7</v>
      </c>
      <c r="BO79" s="250">
        <v>2857924</v>
      </c>
      <c r="BP79" s="250">
        <v>126908</v>
      </c>
      <c r="BQ79" s="250">
        <v>16884.7</v>
      </c>
      <c r="BR79" s="250">
        <v>8256.7000000000007</v>
      </c>
      <c r="BS79" s="250">
        <v>5626.8</v>
      </c>
      <c r="BT79" s="250">
        <v>1044291</v>
      </c>
      <c r="BU79" s="250">
        <v>594258</v>
      </c>
      <c r="BV79" s="250">
        <v>707426</v>
      </c>
      <c r="BW79" s="250">
        <v>447363</v>
      </c>
      <c r="BX79" s="1324">
        <v>0</v>
      </c>
    </row>
    <row r="80" spans="1:76">
      <c r="A80" s="647">
        <v>45000</v>
      </c>
      <c r="B80" s="250">
        <v>1060.7660000000001</v>
      </c>
      <c r="C80" s="250">
        <v>585.99199999999996</v>
      </c>
      <c r="D80" s="385">
        <v>6849.2</v>
      </c>
      <c r="E80" s="1312">
        <v>0</v>
      </c>
      <c r="F80" s="250">
        <v>17302.2</v>
      </c>
      <c r="G80" s="250">
        <v>5451.3</v>
      </c>
      <c r="H80" s="250">
        <v>574720.1</v>
      </c>
      <c r="I80" s="250">
        <v>265694.8</v>
      </c>
      <c r="J80" s="250">
        <v>204551.4</v>
      </c>
      <c r="K80" s="250">
        <v>14958.9</v>
      </c>
      <c r="L80" s="250">
        <v>7010.9</v>
      </c>
      <c r="M80" s="250">
        <v>44760.800000000003</v>
      </c>
      <c r="N80" s="250">
        <v>35585.199999999997</v>
      </c>
      <c r="O80" s="250">
        <v>137031.5</v>
      </c>
      <c r="P80" s="250">
        <v>113680.5</v>
      </c>
      <c r="Q80" s="250">
        <v>139247.70000000001</v>
      </c>
      <c r="R80" s="250">
        <v>95523</v>
      </c>
      <c r="S80" s="1014">
        <v>14051.63</v>
      </c>
      <c r="T80" s="1014">
        <v>10671.64</v>
      </c>
      <c r="U80" s="250">
        <v>28276.5</v>
      </c>
      <c r="V80" s="250">
        <v>14687.8</v>
      </c>
      <c r="W80" s="250">
        <v>210131.5</v>
      </c>
      <c r="X80" s="1014">
        <v>345.9</v>
      </c>
      <c r="Y80" s="1014">
        <v>50716</v>
      </c>
      <c r="Z80" s="250">
        <v>570921.5</v>
      </c>
      <c r="AA80" s="250">
        <v>290923</v>
      </c>
      <c r="AB80" s="250">
        <v>210084.1</v>
      </c>
      <c r="AC80" s="1014">
        <v>1112.4000000000001</v>
      </c>
      <c r="AD80" s="1081">
        <v>942</v>
      </c>
      <c r="AE80" s="250">
        <v>35426.1</v>
      </c>
      <c r="AF80" s="250">
        <v>25256.799999999999</v>
      </c>
      <c r="AG80" s="250">
        <v>82119.8</v>
      </c>
      <c r="AH80" s="250">
        <v>63490.5</v>
      </c>
      <c r="AI80" s="250">
        <v>65423.4</v>
      </c>
      <c r="AJ80" s="250">
        <v>53278.8</v>
      </c>
      <c r="AK80" s="250">
        <v>59003.8</v>
      </c>
      <c r="AL80" s="250">
        <v>23202.799999999999</v>
      </c>
      <c r="AM80" s="250">
        <v>16.399999999999999</v>
      </c>
      <c r="AN80" s="250">
        <v>17.399999999999999</v>
      </c>
      <c r="AO80" s="250">
        <v>484697.8</v>
      </c>
      <c r="AP80" s="250">
        <v>223692.79999999999</v>
      </c>
      <c r="AQ80" s="250">
        <v>64895.1</v>
      </c>
      <c r="AR80" s="250"/>
      <c r="AS80" s="250">
        <v>452806.2</v>
      </c>
      <c r="AT80" s="250">
        <v>199338.3</v>
      </c>
      <c r="AU80" s="250">
        <v>78451</v>
      </c>
      <c r="AV80" s="250">
        <v>4274.8</v>
      </c>
      <c r="AW80" s="250">
        <v>2847.5</v>
      </c>
      <c r="AX80" s="250">
        <v>220.5</v>
      </c>
      <c r="AY80" s="250">
        <v>133.4</v>
      </c>
      <c r="AZ80" s="250">
        <v>792.91499999999996</v>
      </c>
      <c r="BA80" s="250">
        <v>337.78899999999999</v>
      </c>
      <c r="BB80" s="385">
        <v>1791.4</v>
      </c>
      <c r="BC80" s="250">
        <v>2932.5</v>
      </c>
      <c r="BD80" s="250">
        <v>460.9</v>
      </c>
      <c r="BE80" s="250">
        <v>5957.77</v>
      </c>
      <c r="BF80" s="250">
        <v>35231.531578947397</v>
      </c>
      <c r="BG80" s="250">
        <v>9329.6572155100603</v>
      </c>
      <c r="BH80" s="250">
        <v>5346.19</v>
      </c>
      <c r="BI80" s="250">
        <v>2471775.5</v>
      </c>
      <c r="BJ80" s="250">
        <v>485</v>
      </c>
      <c r="BK80" s="250">
        <v>19068.2</v>
      </c>
      <c r="BL80" s="250">
        <v>3160746</v>
      </c>
      <c r="BM80" s="250">
        <v>100335</v>
      </c>
      <c r="BN80" s="250">
        <v>19793.7</v>
      </c>
      <c r="BO80" s="250">
        <v>2857924</v>
      </c>
      <c r="BP80" s="250">
        <v>126908</v>
      </c>
      <c r="BQ80" s="250">
        <v>16884.7</v>
      </c>
      <c r="BR80" s="250">
        <v>8263</v>
      </c>
      <c r="BS80" s="250">
        <v>5631.24</v>
      </c>
      <c r="BT80" s="250">
        <v>1045670</v>
      </c>
      <c r="BU80" s="250">
        <v>595006</v>
      </c>
      <c r="BV80" s="250">
        <v>707427</v>
      </c>
      <c r="BW80" s="250">
        <v>447364</v>
      </c>
      <c r="BX80" s="1324">
        <v>0</v>
      </c>
    </row>
    <row r="81" spans="1:76">
      <c r="A81" s="647">
        <v>45001</v>
      </c>
      <c r="B81" s="250">
        <v>1060.7660000000001</v>
      </c>
      <c r="C81" s="250">
        <v>585.99199999999996</v>
      </c>
      <c r="D81" s="385">
        <v>6849.2</v>
      </c>
      <c r="E81" s="1312">
        <v>0</v>
      </c>
      <c r="F81" s="250">
        <v>17332.599999999999</v>
      </c>
      <c r="G81" s="250">
        <v>5465.1</v>
      </c>
      <c r="H81" s="250">
        <v>574887</v>
      </c>
      <c r="I81" s="250">
        <v>265778</v>
      </c>
      <c r="J81" s="250">
        <v>204575.4</v>
      </c>
      <c r="K81" s="250">
        <v>14958.9</v>
      </c>
      <c r="L81" s="250">
        <v>7010.9</v>
      </c>
      <c r="M81" s="250">
        <v>44789.599999999999</v>
      </c>
      <c r="N81" s="250">
        <v>35607.9</v>
      </c>
      <c r="O81" s="250">
        <v>137046.6</v>
      </c>
      <c r="P81" s="250">
        <v>113693</v>
      </c>
      <c r="Q81" s="250">
        <v>139265</v>
      </c>
      <c r="R81" s="250">
        <v>95534.8</v>
      </c>
      <c r="S81" s="1014">
        <v>14051.63</v>
      </c>
      <c r="T81" s="1014">
        <v>10671.64</v>
      </c>
      <c r="U81" s="250">
        <v>28435</v>
      </c>
      <c r="V81" s="250">
        <v>14770</v>
      </c>
      <c r="W81" s="250">
        <v>210155.5</v>
      </c>
      <c r="X81" s="1014">
        <v>345.9</v>
      </c>
      <c r="Y81" s="1014">
        <v>50716</v>
      </c>
      <c r="Z81" s="250">
        <v>571212</v>
      </c>
      <c r="AA81" s="250">
        <v>291070</v>
      </c>
      <c r="AB81" s="250">
        <v>210108.1</v>
      </c>
      <c r="AC81" s="1014">
        <v>1112.4000000000001</v>
      </c>
      <c r="AD81" s="1081">
        <v>942</v>
      </c>
      <c r="AE81" s="250">
        <v>35428.400000000001</v>
      </c>
      <c r="AF81" s="250">
        <v>25258.5</v>
      </c>
      <c r="AG81" s="250">
        <v>82126.600000000006</v>
      </c>
      <c r="AH81" s="250">
        <v>63495.8</v>
      </c>
      <c r="AI81" s="250">
        <v>65433.9</v>
      </c>
      <c r="AJ81" s="250">
        <v>53287.199999999997</v>
      </c>
      <c r="AK81" s="250">
        <v>59012.6</v>
      </c>
      <c r="AL81" s="250">
        <v>23206</v>
      </c>
      <c r="AM81" s="250">
        <v>16.399999999999999</v>
      </c>
      <c r="AN81" s="250">
        <v>17.399999999999999</v>
      </c>
      <c r="AO81" s="250">
        <v>484841</v>
      </c>
      <c r="AP81" s="250">
        <v>223757</v>
      </c>
      <c r="AQ81" s="250">
        <v>64900</v>
      </c>
      <c r="AR81" s="250"/>
      <c r="AS81" s="250">
        <v>452951</v>
      </c>
      <c r="AT81" s="250">
        <v>199401</v>
      </c>
      <c r="AU81" s="250">
        <v>78475</v>
      </c>
      <c r="AV81" s="250">
        <v>4276.2</v>
      </c>
      <c r="AW81" s="250">
        <v>2848.5</v>
      </c>
      <c r="AX81" s="250">
        <v>220.5</v>
      </c>
      <c r="AY81" s="250">
        <v>133.4</v>
      </c>
      <c r="AZ81" s="250">
        <v>792.91499999999996</v>
      </c>
      <c r="BA81" s="250">
        <v>337.78899999999999</v>
      </c>
      <c r="BB81" s="385">
        <v>1791.4</v>
      </c>
      <c r="BC81" s="250">
        <v>2935.1</v>
      </c>
      <c r="BD81" s="250">
        <v>462.1</v>
      </c>
      <c r="BE81" s="250">
        <v>6193.4</v>
      </c>
      <c r="BF81" s="250">
        <v>35139.433333333298</v>
      </c>
      <c r="BG81" s="250">
        <v>10160.7535027913</v>
      </c>
      <c r="BH81" s="250">
        <v>5496.19</v>
      </c>
      <c r="BI81" s="250">
        <v>2474000</v>
      </c>
      <c r="BJ81" s="250">
        <v>486</v>
      </c>
      <c r="BK81" s="250">
        <v>19092.2</v>
      </c>
      <c r="BL81" s="250">
        <v>3166700</v>
      </c>
      <c r="BM81" s="250">
        <v>100486</v>
      </c>
      <c r="BN81" s="250">
        <v>19817.7</v>
      </c>
      <c r="BO81" s="250">
        <v>2857924</v>
      </c>
      <c r="BP81" s="250">
        <v>126908</v>
      </c>
      <c r="BQ81" s="250">
        <v>16884.7</v>
      </c>
      <c r="BR81" s="250">
        <v>8269.7000000000007</v>
      </c>
      <c r="BS81" s="250">
        <v>5635.7</v>
      </c>
      <c r="BT81" s="250">
        <v>1046908</v>
      </c>
      <c r="BU81" s="250">
        <v>595680</v>
      </c>
      <c r="BV81" s="250">
        <v>707547</v>
      </c>
      <c r="BW81" s="250">
        <v>447444</v>
      </c>
      <c r="BX81" s="1324">
        <v>0</v>
      </c>
    </row>
    <row r="82" spans="1:76">
      <c r="A82" s="647">
        <v>45002</v>
      </c>
      <c r="B82" s="250">
        <v>1060.7660000000001</v>
      </c>
      <c r="C82" s="250">
        <v>585.99199999999996</v>
      </c>
      <c r="D82" s="385">
        <v>6849.2</v>
      </c>
      <c r="E82" s="1312">
        <v>0</v>
      </c>
      <c r="F82" s="250">
        <v>17362.8</v>
      </c>
      <c r="G82" s="250">
        <v>5479.3</v>
      </c>
      <c r="H82" s="250">
        <v>575054</v>
      </c>
      <c r="I82" s="250">
        <v>265862</v>
      </c>
      <c r="J82" s="250">
        <v>204599.4</v>
      </c>
      <c r="K82" s="250">
        <v>14958.9</v>
      </c>
      <c r="L82" s="250">
        <v>7011</v>
      </c>
      <c r="M82" s="250">
        <v>44824.1</v>
      </c>
      <c r="N82" s="250">
        <v>35635.5</v>
      </c>
      <c r="O82" s="250">
        <v>137061.5</v>
      </c>
      <c r="P82" s="250">
        <v>113705.3</v>
      </c>
      <c r="Q82" s="250">
        <v>139282.29999999999</v>
      </c>
      <c r="R82" s="250">
        <v>95546.7</v>
      </c>
      <c r="S82" s="1014">
        <v>14051.63</v>
      </c>
      <c r="T82" s="1014">
        <v>10671.64</v>
      </c>
      <c r="U82" s="250">
        <v>28597</v>
      </c>
      <c r="V82" s="250">
        <v>14852</v>
      </c>
      <c r="W82" s="250">
        <v>210179.5</v>
      </c>
      <c r="X82" s="1014">
        <v>345.9</v>
      </c>
      <c r="Y82" s="1014">
        <v>50716</v>
      </c>
      <c r="Z82" s="250">
        <v>571495</v>
      </c>
      <c r="AA82" s="250">
        <v>291215</v>
      </c>
      <c r="AB82" s="250">
        <v>210132.1</v>
      </c>
      <c r="AC82" s="1014">
        <v>1112.4000000000001</v>
      </c>
      <c r="AD82" s="1081">
        <v>942</v>
      </c>
      <c r="AE82" s="250">
        <v>35430.5</v>
      </c>
      <c r="AF82" s="250">
        <v>25260.9</v>
      </c>
      <c r="AG82" s="250">
        <v>82134</v>
      </c>
      <c r="AH82" s="250">
        <v>63501.4</v>
      </c>
      <c r="AI82" s="250">
        <v>65437.9</v>
      </c>
      <c r="AJ82" s="250">
        <v>53290.400000000001</v>
      </c>
      <c r="AK82" s="250">
        <v>59020.800000000003</v>
      </c>
      <c r="AL82" s="250">
        <v>23209</v>
      </c>
      <c r="AM82" s="250">
        <v>16.5</v>
      </c>
      <c r="AN82" s="250">
        <v>17.600000000000001</v>
      </c>
      <c r="AO82" s="250">
        <v>484985</v>
      </c>
      <c r="AP82" s="250">
        <v>223822</v>
      </c>
      <c r="AQ82" s="250">
        <v>64905</v>
      </c>
      <c r="AR82" s="250"/>
      <c r="AS82" s="250">
        <v>453095</v>
      </c>
      <c r="AT82" s="250">
        <v>199464</v>
      </c>
      <c r="AU82" s="250">
        <v>78499</v>
      </c>
      <c r="AV82" s="250">
        <v>4277.6000000000004</v>
      </c>
      <c r="AW82" s="250">
        <v>2849.4</v>
      </c>
      <c r="AX82" s="250">
        <v>220.5</v>
      </c>
      <c r="AY82" s="250">
        <v>133.4</v>
      </c>
      <c r="AZ82" s="250">
        <v>792.91499999999996</v>
      </c>
      <c r="BA82" s="250">
        <v>337.78899999999999</v>
      </c>
      <c r="BB82" s="385">
        <v>1791.4</v>
      </c>
      <c r="BC82" s="250">
        <v>2937.6</v>
      </c>
      <c r="BD82" s="250">
        <v>463.2</v>
      </c>
      <c r="BE82" s="250">
        <v>6217.25</v>
      </c>
      <c r="BF82" s="250">
        <v>35115.236842105303</v>
      </c>
      <c r="BG82" s="250">
        <v>9688.6093046726492</v>
      </c>
      <c r="BH82" s="250">
        <v>5355.74</v>
      </c>
      <c r="BI82" s="250">
        <v>2476200</v>
      </c>
      <c r="BJ82" s="250">
        <v>487</v>
      </c>
      <c r="BK82" s="250">
        <v>19116.2</v>
      </c>
      <c r="BL82" s="250">
        <v>3172458</v>
      </c>
      <c r="BM82" s="250">
        <v>100729</v>
      </c>
      <c r="BN82" s="250">
        <v>19841.7</v>
      </c>
      <c r="BO82" s="250">
        <v>2857924</v>
      </c>
      <c r="BP82" s="250">
        <v>126908</v>
      </c>
      <c r="BQ82" s="250">
        <v>16884.7</v>
      </c>
      <c r="BR82" s="250">
        <v>8276.4</v>
      </c>
      <c r="BS82" s="250">
        <v>5640.2</v>
      </c>
      <c r="BT82" s="250">
        <v>1048084</v>
      </c>
      <c r="BU82" s="250">
        <v>596325</v>
      </c>
      <c r="BV82" s="250">
        <v>707759</v>
      </c>
      <c r="BW82" s="250">
        <v>447577</v>
      </c>
      <c r="BX82" s="1324">
        <v>0</v>
      </c>
    </row>
    <row r="83" spans="1:76">
      <c r="A83" s="647">
        <v>45003</v>
      </c>
      <c r="B83" s="250">
        <v>1060.7660000000001</v>
      </c>
      <c r="C83" s="250">
        <v>585.99199999999996</v>
      </c>
      <c r="D83" s="385">
        <v>6849.2</v>
      </c>
      <c r="E83" s="1312">
        <v>0</v>
      </c>
      <c r="F83" s="250">
        <v>17393.3</v>
      </c>
      <c r="G83" s="250">
        <v>5492.8</v>
      </c>
      <c r="H83" s="250">
        <v>575222</v>
      </c>
      <c r="I83" s="250">
        <v>265948</v>
      </c>
      <c r="J83" s="250">
        <v>204623.4</v>
      </c>
      <c r="K83" s="250">
        <v>14958.9</v>
      </c>
      <c r="L83" s="250">
        <v>7011</v>
      </c>
      <c r="M83" s="250">
        <v>44862.8</v>
      </c>
      <c r="N83" s="250">
        <v>35666.400000000001</v>
      </c>
      <c r="O83" s="250">
        <v>137077.4</v>
      </c>
      <c r="P83" s="250">
        <v>113718.39999999999</v>
      </c>
      <c r="Q83" s="250">
        <v>139299.6</v>
      </c>
      <c r="R83" s="250">
        <v>95558.7</v>
      </c>
      <c r="S83" s="1014">
        <v>14051.63</v>
      </c>
      <c r="T83" s="1014">
        <v>10671.64</v>
      </c>
      <c r="U83" s="250">
        <v>28748</v>
      </c>
      <c r="V83" s="250">
        <v>14930</v>
      </c>
      <c r="W83" s="250">
        <v>210203.5</v>
      </c>
      <c r="X83" s="1014">
        <v>345.9</v>
      </c>
      <c r="Y83" s="1014">
        <v>50716</v>
      </c>
      <c r="Z83" s="250">
        <v>571793</v>
      </c>
      <c r="AA83" s="250">
        <v>291367</v>
      </c>
      <c r="AB83" s="250">
        <v>210156.1</v>
      </c>
      <c r="AC83" s="1014">
        <v>1112.4000000000001</v>
      </c>
      <c r="AD83" s="1081">
        <v>942</v>
      </c>
      <c r="AE83" s="250">
        <v>35432.699999999997</v>
      </c>
      <c r="AF83" s="250">
        <v>25261.8</v>
      </c>
      <c r="AG83" s="250">
        <v>82143.399999999994</v>
      </c>
      <c r="AH83" s="250">
        <v>63508.7</v>
      </c>
      <c r="AI83" s="250">
        <v>65437.9</v>
      </c>
      <c r="AJ83" s="250">
        <v>53290.400000000001</v>
      </c>
      <c r="AK83" s="250">
        <v>59030.9</v>
      </c>
      <c r="AL83" s="250">
        <v>23212.799999999999</v>
      </c>
      <c r="AM83" s="250">
        <v>16.5</v>
      </c>
      <c r="AN83" s="250">
        <v>17.600000000000001</v>
      </c>
      <c r="AO83" s="250">
        <v>485129</v>
      </c>
      <c r="AP83" s="250">
        <v>223887</v>
      </c>
      <c r="AQ83" s="250">
        <v>64910</v>
      </c>
      <c r="AR83" s="250"/>
      <c r="AS83" s="250">
        <v>453240</v>
      </c>
      <c r="AT83" s="250">
        <v>199527</v>
      </c>
      <c r="AU83" s="250">
        <v>78523</v>
      </c>
      <c r="AV83" s="250">
        <v>4279.1000000000004</v>
      </c>
      <c r="AW83" s="250">
        <v>2850.4</v>
      </c>
      <c r="AX83" s="250">
        <v>220.5</v>
      </c>
      <c r="AY83" s="250">
        <v>133.4</v>
      </c>
      <c r="AZ83" s="250">
        <v>792.91499999999996</v>
      </c>
      <c r="BA83" s="250">
        <v>337.78899999999999</v>
      </c>
      <c r="BB83" s="385">
        <v>1791.4</v>
      </c>
      <c r="BC83" s="250">
        <v>2940.2</v>
      </c>
      <c r="BD83" s="250">
        <v>464.6</v>
      </c>
      <c r="BE83" s="250">
        <v>6883.93</v>
      </c>
      <c r="BF83" s="250">
        <v>35318.1280701754</v>
      </c>
      <c r="BG83" s="250">
        <v>10366.936183399301</v>
      </c>
      <c r="BH83" s="250">
        <v>6046.45</v>
      </c>
      <c r="BI83" s="250">
        <v>2478200</v>
      </c>
      <c r="BJ83" s="250">
        <v>488</v>
      </c>
      <c r="BK83" s="250">
        <v>19139.5</v>
      </c>
      <c r="BL83" s="250">
        <v>3178489</v>
      </c>
      <c r="BM83" s="250">
        <v>100843</v>
      </c>
      <c r="BN83" s="250">
        <v>19865.7</v>
      </c>
      <c r="BO83" s="250">
        <v>2857924</v>
      </c>
      <c r="BP83" s="250">
        <v>126908</v>
      </c>
      <c r="BQ83" s="250">
        <v>16884.7</v>
      </c>
      <c r="BR83" s="250">
        <v>8282.7999999999993</v>
      </c>
      <c r="BS83" s="250">
        <v>5644.7</v>
      </c>
      <c r="BT83" s="250">
        <v>1049301</v>
      </c>
      <c r="BU83" s="250">
        <v>596993</v>
      </c>
      <c r="BV83" s="250">
        <v>708025</v>
      </c>
      <c r="BW83" s="250">
        <v>447741</v>
      </c>
      <c r="BX83" s="1324">
        <v>0</v>
      </c>
    </row>
    <row r="84" spans="1:76">
      <c r="A84" s="647">
        <v>45004</v>
      </c>
      <c r="B84" s="250">
        <v>1060.7660000000001</v>
      </c>
      <c r="C84" s="250">
        <v>585.99199999999996</v>
      </c>
      <c r="D84" s="385">
        <v>6849.2</v>
      </c>
      <c r="E84" s="1312">
        <v>0</v>
      </c>
      <c r="F84" s="250">
        <v>17423.5</v>
      </c>
      <c r="G84" s="250">
        <v>5506.4</v>
      </c>
      <c r="H84" s="250">
        <v>575390</v>
      </c>
      <c r="I84" s="250">
        <v>266032</v>
      </c>
      <c r="J84" s="250">
        <v>204647.4</v>
      </c>
      <c r="K84" s="250">
        <v>14958.9</v>
      </c>
      <c r="L84" s="250">
        <v>7011</v>
      </c>
      <c r="M84" s="250">
        <v>44901.5</v>
      </c>
      <c r="N84" s="250">
        <v>35698.300000000003</v>
      </c>
      <c r="O84" s="250">
        <v>137092.6</v>
      </c>
      <c r="P84" s="250">
        <v>113731.2</v>
      </c>
      <c r="Q84" s="250">
        <v>139316.5</v>
      </c>
      <c r="R84" s="250">
        <v>95570.6</v>
      </c>
      <c r="S84" s="1014">
        <v>14051.63</v>
      </c>
      <c r="T84" s="1014">
        <v>10671.64</v>
      </c>
      <c r="U84" s="250">
        <v>28906</v>
      </c>
      <c r="V84" s="250">
        <v>15010</v>
      </c>
      <c r="W84" s="250">
        <v>210227.5</v>
      </c>
      <c r="X84" s="1014">
        <v>345.9</v>
      </c>
      <c r="Y84" s="1014">
        <v>50716</v>
      </c>
      <c r="Z84" s="250">
        <v>572083</v>
      </c>
      <c r="AA84" s="250">
        <v>291518</v>
      </c>
      <c r="AB84" s="250">
        <v>210180.1</v>
      </c>
      <c r="AC84" s="1014">
        <v>1112.4000000000001</v>
      </c>
      <c r="AD84" s="1081">
        <v>942</v>
      </c>
      <c r="AE84" s="250">
        <v>35434.9</v>
      </c>
      <c r="AF84" s="250">
        <v>25263.5</v>
      </c>
      <c r="AG84" s="250">
        <v>82152.399999999994</v>
      </c>
      <c r="AH84" s="250">
        <v>63515.6</v>
      </c>
      <c r="AI84" s="250">
        <v>65438.1</v>
      </c>
      <c r="AJ84" s="250">
        <v>53290.5</v>
      </c>
      <c r="AK84" s="250">
        <v>59038.8</v>
      </c>
      <c r="AL84" s="250">
        <v>23215.8</v>
      </c>
      <c r="AM84" s="250">
        <v>16.5</v>
      </c>
      <c r="AN84" s="250">
        <v>17.600000000000001</v>
      </c>
      <c r="AO84" s="250">
        <v>485270</v>
      </c>
      <c r="AP84" s="250">
        <v>223950</v>
      </c>
      <c r="AQ84" s="250">
        <v>64914</v>
      </c>
      <c r="AR84" s="250"/>
      <c r="AS84" s="250">
        <v>453382</v>
      </c>
      <c r="AT84" s="250">
        <v>199589</v>
      </c>
      <c r="AU84" s="250">
        <v>78547</v>
      </c>
      <c r="AV84" s="250">
        <v>4280.5</v>
      </c>
      <c r="AW84" s="250">
        <v>2851.3</v>
      </c>
      <c r="AX84" s="250">
        <v>220.55</v>
      </c>
      <c r="AY84" s="250">
        <v>133.47</v>
      </c>
      <c r="AZ84" s="250">
        <v>792.91499999999996</v>
      </c>
      <c r="BA84" s="250">
        <v>337.78899999999999</v>
      </c>
      <c r="BB84" s="385">
        <v>1791.4</v>
      </c>
      <c r="BC84" s="250">
        <v>2942.7</v>
      </c>
      <c r="BD84" s="250">
        <v>465.8</v>
      </c>
      <c r="BE84" s="250">
        <v>6603.52</v>
      </c>
      <c r="BF84" s="250">
        <v>34928.294736842101</v>
      </c>
      <c r="BG84" s="250">
        <v>10410.887873737</v>
      </c>
      <c r="BH84" s="250">
        <v>5256.55</v>
      </c>
      <c r="BI84" s="250">
        <v>2480500</v>
      </c>
      <c r="BJ84" s="250">
        <v>489</v>
      </c>
      <c r="BK84" s="250">
        <v>19163.5</v>
      </c>
      <c r="BL84" s="250">
        <v>3184416</v>
      </c>
      <c r="BM84" s="250">
        <v>100907</v>
      </c>
      <c r="BN84" s="250">
        <v>19889.7</v>
      </c>
      <c r="BO84" s="250">
        <v>2857924</v>
      </c>
      <c r="BP84" s="250">
        <v>126908</v>
      </c>
      <c r="BQ84" s="250">
        <v>16884.7</v>
      </c>
      <c r="BR84" s="250">
        <v>8289.2000000000007</v>
      </c>
      <c r="BS84" s="250">
        <v>5649.1</v>
      </c>
      <c r="BT84" s="250">
        <v>1050492</v>
      </c>
      <c r="BU84" s="250">
        <v>597648</v>
      </c>
      <c r="BV84" s="250">
        <v>708287</v>
      </c>
      <c r="BW84" s="250">
        <v>447901</v>
      </c>
      <c r="BX84" s="1324">
        <v>0</v>
      </c>
    </row>
    <row r="85" spans="1:76">
      <c r="A85" s="647">
        <v>45005</v>
      </c>
      <c r="B85" s="250">
        <v>1060.7660000000001</v>
      </c>
      <c r="C85" s="250">
        <v>585.99199999999996</v>
      </c>
      <c r="D85" s="385">
        <v>6849.2</v>
      </c>
      <c r="E85" s="1312">
        <v>0</v>
      </c>
      <c r="F85" s="250">
        <v>17453.900000000001</v>
      </c>
      <c r="G85" s="250">
        <v>5520.1</v>
      </c>
      <c r="H85" s="250">
        <v>575558</v>
      </c>
      <c r="I85" s="250">
        <v>266117</v>
      </c>
      <c r="J85" s="250">
        <v>204671.4</v>
      </c>
      <c r="K85" s="250">
        <v>14958.9</v>
      </c>
      <c r="L85" s="250">
        <v>7011</v>
      </c>
      <c r="M85" s="250">
        <v>44942.7</v>
      </c>
      <c r="N85" s="250">
        <v>35731.800000000003</v>
      </c>
      <c r="O85" s="250">
        <v>137108.79999999999</v>
      </c>
      <c r="P85" s="250">
        <v>113744.5</v>
      </c>
      <c r="Q85" s="250">
        <v>139333.6</v>
      </c>
      <c r="R85" s="250">
        <v>95582.7</v>
      </c>
      <c r="S85" s="1014">
        <v>14051.63</v>
      </c>
      <c r="T85" s="1014">
        <v>10671.64</v>
      </c>
      <c r="U85" s="250">
        <v>29062</v>
      </c>
      <c r="V85" s="250">
        <v>15090</v>
      </c>
      <c r="W85" s="250">
        <v>210251.5</v>
      </c>
      <c r="X85" s="1014">
        <v>345.9</v>
      </c>
      <c r="Y85" s="1014">
        <v>50716</v>
      </c>
      <c r="Z85" s="250">
        <v>572383</v>
      </c>
      <c r="AA85" s="250">
        <v>291672</v>
      </c>
      <c r="AB85" s="250">
        <v>210204.1</v>
      </c>
      <c r="AC85" s="1014">
        <v>1112.4000000000001</v>
      </c>
      <c r="AD85" s="1081">
        <v>942</v>
      </c>
      <c r="AE85" s="250">
        <v>35437.1</v>
      </c>
      <c r="AF85" s="250">
        <v>25265.1</v>
      </c>
      <c r="AG85" s="250">
        <v>82161.2</v>
      </c>
      <c r="AH85" s="250">
        <v>63522.5</v>
      </c>
      <c r="AI85" s="250">
        <v>65438.5</v>
      </c>
      <c r="AJ85" s="250">
        <v>53290.6</v>
      </c>
      <c r="AK85" s="250">
        <v>59050.3</v>
      </c>
      <c r="AL85" s="250">
        <v>23220.3</v>
      </c>
      <c r="AM85" s="250">
        <v>16.5</v>
      </c>
      <c r="AN85" s="250">
        <v>17.600000000000001</v>
      </c>
      <c r="AO85" s="250">
        <v>485414</v>
      </c>
      <c r="AP85" s="250">
        <v>224015</v>
      </c>
      <c r="AQ85" s="250">
        <v>64919</v>
      </c>
      <c r="AR85" s="250"/>
      <c r="AS85" s="250">
        <v>453526</v>
      </c>
      <c r="AT85" s="250">
        <v>199652</v>
      </c>
      <c r="AU85" s="250">
        <v>78571</v>
      </c>
      <c r="AV85" s="250">
        <v>4282.3999999999996</v>
      </c>
      <c r="AW85" s="250">
        <v>2852.6</v>
      </c>
      <c r="AX85" s="250">
        <v>220.55</v>
      </c>
      <c r="AY85" s="250">
        <v>133.47</v>
      </c>
      <c r="AZ85" s="250">
        <v>792.91499999999996</v>
      </c>
      <c r="BA85" s="250">
        <v>337.78899999999999</v>
      </c>
      <c r="BB85" s="385">
        <v>1791.4</v>
      </c>
      <c r="BC85" s="250">
        <v>2945.2</v>
      </c>
      <c r="BD85" s="250">
        <v>466.5</v>
      </c>
      <c r="BE85" s="250">
        <v>6000.67</v>
      </c>
      <c r="BF85" s="250">
        <v>34737.321052631603</v>
      </c>
      <c r="BG85" s="250">
        <v>10572.9787641316</v>
      </c>
      <c r="BH85" s="250">
        <v>5333.94</v>
      </c>
      <c r="BI85" s="250">
        <v>2482700</v>
      </c>
      <c r="BJ85" s="250">
        <v>490</v>
      </c>
      <c r="BK85" s="250">
        <v>19187.5</v>
      </c>
      <c r="BL85" s="250">
        <v>3190394</v>
      </c>
      <c r="BM85" s="250">
        <v>100995</v>
      </c>
      <c r="BN85" s="250">
        <v>19913.7</v>
      </c>
      <c r="BO85" s="250">
        <v>2857924</v>
      </c>
      <c r="BP85" s="250">
        <v>126908</v>
      </c>
      <c r="BQ85" s="250">
        <v>16884.7</v>
      </c>
      <c r="BR85" s="250">
        <v>8296.4</v>
      </c>
      <c r="BS85" s="250">
        <v>5653.9</v>
      </c>
      <c r="BT85" s="250">
        <v>1051697</v>
      </c>
      <c r="BU85" s="250">
        <v>598308</v>
      </c>
      <c r="BV85" s="250">
        <v>708547</v>
      </c>
      <c r="BW85" s="250">
        <v>448059</v>
      </c>
      <c r="BX85" s="1324">
        <v>0</v>
      </c>
    </row>
    <row r="86" spans="1:76">
      <c r="A86" s="647">
        <v>45006</v>
      </c>
      <c r="B86" s="250">
        <v>1061.008</v>
      </c>
      <c r="C86" s="250">
        <v>586.07600000000002</v>
      </c>
      <c r="D86" s="385">
        <v>6850</v>
      </c>
      <c r="E86" s="1312">
        <v>0.2</v>
      </c>
      <c r="F86" s="250">
        <v>17484.400000000001</v>
      </c>
      <c r="G86" s="250">
        <v>5534</v>
      </c>
      <c r="H86" s="250">
        <v>575728</v>
      </c>
      <c r="I86" s="250">
        <v>266202</v>
      </c>
      <c r="J86" s="250">
        <v>204695.4</v>
      </c>
      <c r="K86" s="250">
        <v>14958.9</v>
      </c>
      <c r="L86" s="250">
        <v>7011</v>
      </c>
      <c r="M86" s="250">
        <v>44986.3</v>
      </c>
      <c r="N86" s="250">
        <v>35767.4</v>
      </c>
      <c r="O86" s="250">
        <v>137125.29999999999</v>
      </c>
      <c r="P86" s="250">
        <v>113758.2</v>
      </c>
      <c r="Q86" s="250">
        <v>139349.4</v>
      </c>
      <c r="R86" s="250">
        <v>95593.7</v>
      </c>
      <c r="S86" s="1014">
        <v>14051.63</v>
      </c>
      <c r="T86" s="1014">
        <v>10671.64</v>
      </c>
      <c r="U86" s="250">
        <v>29216</v>
      </c>
      <c r="V86" s="250">
        <v>15172</v>
      </c>
      <c r="W86" s="250">
        <v>210275.5</v>
      </c>
      <c r="X86" s="1014">
        <v>345.9</v>
      </c>
      <c r="Y86" s="1014">
        <v>50716</v>
      </c>
      <c r="Z86" s="250">
        <v>572686</v>
      </c>
      <c r="AA86" s="250">
        <v>291824</v>
      </c>
      <c r="AB86" s="250">
        <v>210228.1</v>
      </c>
      <c r="AC86" s="1014">
        <v>1112.4000000000001</v>
      </c>
      <c r="AD86" s="1081">
        <v>942</v>
      </c>
      <c r="AE86" s="250">
        <v>35439.599999999999</v>
      </c>
      <c r="AF86" s="250">
        <v>25266.9</v>
      </c>
      <c r="AG86" s="250">
        <v>82169.7</v>
      </c>
      <c r="AH86" s="250">
        <v>63529.1</v>
      </c>
      <c r="AI86" s="250">
        <v>65438.5</v>
      </c>
      <c r="AJ86" s="250">
        <v>53290.6</v>
      </c>
      <c r="AK86" s="250">
        <v>59061.7</v>
      </c>
      <c r="AL86" s="250">
        <v>23224.799999999999</v>
      </c>
      <c r="AM86" s="250">
        <v>16.5</v>
      </c>
      <c r="AN86" s="250">
        <v>17.600000000000001</v>
      </c>
      <c r="AO86" s="250">
        <v>485560</v>
      </c>
      <c r="AP86" s="250">
        <v>224081</v>
      </c>
      <c r="AQ86" s="250">
        <v>64924</v>
      </c>
      <c r="AR86" s="250"/>
      <c r="AS86" s="250">
        <v>453675</v>
      </c>
      <c r="AT86" s="250">
        <v>199716</v>
      </c>
      <c r="AU86" s="250">
        <v>78595</v>
      </c>
      <c r="AV86" s="250">
        <v>4283.8</v>
      </c>
      <c r="AW86" s="250">
        <v>2853.5</v>
      </c>
      <c r="AX86" s="250">
        <v>220.6</v>
      </c>
      <c r="AY86" s="250">
        <v>133.5</v>
      </c>
      <c r="AZ86" s="250">
        <v>793.226</v>
      </c>
      <c r="BA86" s="250">
        <v>337.90699999999998</v>
      </c>
      <c r="BB86" s="385">
        <v>1791.8</v>
      </c>
      <c r="BC86" s="250">
        <v>2947.8</v>
      </c>
      <c r="BD86" s="250">
        <v>467.7</v>
      </c>
      <c r="BE86" s="250">
        <v>7031.12</v>
      </c>
      <c r="BF86" s="250">
        <v>34610.863157894702</v>
      </c>
      <c r="BG86" s="250">
        <v>10404.382279318999</v>
      </c>
      <c r="BH86" s="250">
        <v>5027.07</v>
      </c>
      <c r="BI86" s="250">
        <v>2484800</v>
      </c>
      <c r="BJ86" s="250">
        <v>491</v>
      </c>
      <c r="BK86" s="250">
        <v>19211.5</v>
      </c>
      <c r="BL86" s="250">
        <v>3196406</v>
      </c>
      <c r="BM86" s="250">
        <v>101127</v>
      </c>
      <c r="BN86" s="250">
        <v>19937.7</v>
      </c>
      <c r="BO86" s="250">
        <v>2857924</v>
      </c>
      <c r="BP86" s="250">
        <v>126908</v>
      </c>
      <c r="BQ86" s="250">
        <v>16884.7</v>
      </c>
      <c r="BR86" s="250">
        <v>8303.9</v>
      </c>
      <c r="BS86" s="250">
        <v>5658.9</v>
      </c>
      <c r="BT86" s="250">
        <v>1052877</v>
      </c>
      <c r="BU86" s="250">
        <v>598957</v>
      </c>
      <c r="BV86" s="250">
        <v>708853</v>
      </c>
      <c r="BW86" s="250">
        <v>448248</v>
      </c>
      <c r="BX86" s="1324">
        <v>0.3</v>
      </c>
    </row>
    <row r="87" spans="1:76">
      <c r="A87" s="647">
        <v>45007</v>
      </c>
      <c r="B87" s="250">
        <v>1061.008</v>
      </c>
      <c r="C87" s="250">
        <v>586.07600000000002</v>
      </c>
      <c r="D87" s="385">
        <v>6850</v>
      </c>
      <c r="E87" s="1312">
        <v>0</v>
      </c>
      <c r="F87" s="250">
        <v>17513.7</v>
      </c>
      <c r="G87" s="250">
        <v>5546.9</v>
      </c>
      <c r="H87" s="250">
        <v>575894</v>
      </c>
      <c r="I87" s="250">
        <v>266286</v>
      </c>
      <c r="J87" s="250">
        <v>204719.4</v>
      </c>
      <c r="K87" s="250">
        <v>14958.9</v>
      </c>
      <c r="L87" s="250">
        <v>7011</v>
      </c>
      <c r="M87" s="250">
        <v>45025.5</v>
      </c>
      <c r="N87" s="250">
        <v>35799.300000000003</v>
      </c>
      <c r="O87" s="250">
        <v>137141</v>
      </c>
      <c r="P87" s="250">
        <v>113770.9</v>
      </c>
      <c r="Q87" s="250">
        <v>139363.9</v>
      </c>
      <c r="R87" s="250">
        <v>95603.8</v>
      </c>
      <c r="S87" s="1014">
        <v>14051.63</v>
      </c>
      <c r="T87" s="1014">
        <v>10671.64</v>
      </c>
      <c r="U87" s="250">
        <v>29370</v>
      </c>
      <c r="V87" s="250">
        <v>15254</v>
      </c>
      <c r="W87" s="250">
        <v>210299.5</v>
      </c>
      <c r="X87" s="1014">
        <v>345.9</v>
      </c>
      <c r="Y87" s="1014">
        <v>50716</v>
      </c>
      <c r="Z87" s="250">
        <v>572984</v>
      </c>
      <c r="AA87" s="250">
        <v>291974</v>
      </c>
      <c r="AB87" s="250">
        <v>210252.1</v>
      </c>
      <c r="AC87" s="1014">
        <v>1112.4000000000001</v>
      </c>
      <c r="AD87" s="1081">
        <v>942</v>
      </c>
      <c r="AE87" s="250">
        <v>35442.199999999997</v>
      </c>
      <c r="AF87" s="250">
        <v>25268.7</v>
      </c>
      <c r="AG87" s="250">
        <v>82177.7</v>
      </c>
      <c r="AH87" s="250">
        <v>63535.3</v>
      </c>
      <c r="AI87" s="250">
        <v>65438.5</v>
      </c>
      <c r="AJ87" s="250">
        <v>53290.6</v>
      </c>
      <c r="AK87" s="250">
        <v>59075.8</v>
      </c>
      <c r="AL87" s="250">
        <v>23230.400000000001</v>
      </c>
      <c r="AM87" s="250">
        <v>16.5</v>
      </c>
      <c r="AN87" s="250">
        <v>17.600000000000001</v>
      </c>
      <c r="AO87" s="250">
        <v>485700</v>
      </c>
      <c r="AP87" s="250">
        <v>224144</v>
      </c>
      <c r="AQ87" s="250">
        <v>64929</v>
      </c>
      <c r="AR87" s="250"/>
      <c r="AS87" s="250">
        <v>453814</v>
      </c>
      <c r="AT87" s="250">
        <v>199778</v>
      </c>
      <c r="AU87" s="250">
        <v>78619</v>
      </c>
      <c r="AV87" s="250">
        <v>4285</v>
      </c>
      <c r="AW87" s="250">
        <v>2854.4</v>
      </c>
      <c r="AX87" s="250">
        <v>220.6</v>
      </c>
      <c r="AY87" s="250">
        <v>133.5</v>
      </c>
      <c r="AZ87" s="250">
        <v>793.226</v>
      </c>
      <c r="BA87" s="250">
        <v>337.90699999999998</v>
      </c>
      <c r="BB87" s="385">
        <v>1791.8</v>
      </c>
      <c r="BC87" s="250">
        <v>2950.3</v>
      </c>
      <c r="BD87" s="250">
        <v>469</v>
      </c>
      <c r="BE87" s="250">
        <v>6453.46</v>
      </c>
      <c r="BF87" s="250">
        <v>31828.163157894702</v>
      </c>
      <c r="BG87" s="250">
        <v>9807.5832180759098</v>
      </c>
      <c r="BH87" s="250">
        <v>4924.47</v>
      </c>
      <c r="BI87" s="250">
        <v>2487000</v>
      </c>
      <c r="BJ87" s="250">
        <v>492</v>
      </c>
      <c r="BK87" s="250">
        <v>19235.5</v>
      </c>
      <c r="BL87" s="250">
        <v>3202171</v>
      </c>
      <c r="BM87" s="250">
        <v>101217</v>
      </c>
      <c r="BN87" s="250">
        <v>19961.7</v>
      </c>
      <c r="BO87" s="250">
        <v>2857924</v>
      </c>
      <c r="BP87" s="250">
        <v>126908</v>
      </c>
      <c r="BQ87" s="250">
        <v>16884.7</v>
      </c>
      <c r="BR87" s="250">
        <v>8311.1</v>
      </c>
      <c r="BS87" s="250">
        <v>5663.7</v>
      </c>
      <c r="BT87" s="250">
        <v>1054143</v>
      </c>
      <c r="BU87" s="250">
        <v>599650</v>
      </c>
      <c r="BV87" s="250">
        <v>708966</v>
      </c>
      <c r="BW87" s="250">
        <v>448319</v>
      </c>
      <c r="BX87" s="1324">
        <v>0</v>
      </c>
    </row>
    <row r="88" spans="1:76">
      <c r="A88" s="647">
        <v>45008</v>
      </c>
      <c r="B88" s="250">
        <v>1061.008</v>
      </c>
      <c r="C88" s="250">
        <v>586.07600000000002</v>
      </c>
      <c r="D88" s="385">
        <v>6850</v>
      </c>
      <c r="E88" s="1312">
        <v>0</v>
      </c>
      <c r="F88" s="250">
        <v>17543.8</v>
      </c>
      <c r="G88" s="250">
        <v>5560.6</v>
      </c>
      <c r="H88" s="250">
        <v>576064</v>
      </c>
      <c r="I88" s="250">
        <v>266370</v>
      </c>
      <c r="J88" s="251">
        <v>204743.4</v>
      </c>
      <c r="K88" s="250">
        <v>14958.9</v>
      </c>
      <c r="L88" s="250">
        <v>7011</v>
      </c>
      <c r="M88" s="251">
        <v>45064.800000000003</v>
      </c>
      <c r="N88" s="251">
        <v>35831.599999999999</v>
      </c>
      <c r="O88" s="250">
        <v>137156.4</v>
      </c>
      <c r="P88" s="250">
        <v>113783.6</v>
      </c>
      <c r="Q88" s="251">
        <v>139378.79999999999</v>
      </c>
      <c r="R88" s="251">
        <v>95614.1</v>
      </c>
      <c r="S88" s="1014">
        <v>14051.63</v>
      </c>
      <c r="T88" s="1014">
        <v>10671.64</v>
      </c>
      <c r="U88" s="251">
        <v>29519</v>
      </c>
      <c r="V88" s="251">
        <v>15333</v>
      </c>
      <c r="W88" s="251">
        <v>210323.5</v>
      </c>
      <c r="X88" s="1014">
        <v>345.9</v>
      </c>
      <c r="Y88" s="1014">
        <v>50716</v>
      </c>
      <c r="Z88" s="250">
        <v>573284</v>
      </c>
      <c r="AA88" s="250">
        <v>292126</v>
      </c>
      <c r="AB88" s="250">
        <v>210276.1</v>
      </c>
      <c r="AC88" s="1014">
        <v>1112.4000000000001</v>
      </c>
      <c r="AD88" s="1081">
        <v>942</v>
      </c>
      <c r="AE88" s="250">
        <v>35444.9</v>
      </c>
      <c r="AF88" s="250">
        <v>25270.6</v>
      </c>
      <c r="AG88" s="251">
        <v>82186</v>
      </c>
      <c r="AH88" s="251">
        <v>63541.7</v>
      </c>
      <c r="AI88" s="251">
        <v>65438.5</v>
      </c>
      <c r="AJ88" s="251">
        <v>53290.6</v>
      </c>
      <c r="AK88" s="251">
        <v>59087.4</v>
      </c>
      <c r="AL88" s="251">
        <v>23235.1</v>
      </c>
      <c r="AM88" s="250">
        <v>16.5</v>
      </c>
      <c r="AN88" s="250">
        <v>17.600000000000001</v>
      </c>
      <c r="AO88" s="250">
        <v>485842</v>
      </c>
      <c r="AP88" s="250">
        <v>224208</v>
      </c>
      <c r="AQ88" s="422">
        <v>64934</v>
      </c>
      <c r="AR88" s="1014"/>
      <c r="AS88" s="251">
        <v>453957</v>
      </c>
      <c r="AT88" s="251">
        <v>199840</v>
      </c>
      <c r="AU88" s="251">
        <v>78643</v>
      </c>
      <c r="AV88" s="250">
        <v>4286.2</v>
      </c>
      <c r="AW88" s="250">
        <v>2855.2</v>
      </c>
      <c r="AX88" s="250">
        <v>220.6</v>
      </c>
      <c r="AY88" s="250">
        <v>133.5</v>
      </c>
      <c r="AZ88" s="250">
        <v>793.226</v>
      </c>
      <c r="BA88" s="250">
        <v>337.90699999999998</v>
      </c>
      <c r="BB88" s="385">
        <v>1791.8</v>
      </c>
      <c r="BC88" s="250">
        <v>2952.9</v>
      </c>
      <c r="BD88" s="250">
        <v>470.2</v>
      </c>
      <c r="BE88" s="250">
        <v>6626.24</v>
      </c>
      <c r="BF88" s="250">
        <v>31643.640350877198</v>
      </c>
      <c r="BG88" s="1014">
        <v>9378.9106511157806</v>
      </c>
      <c r="BH88" s="250">
        <v>5392.19</v>
      </c>
      <c r="BI88" s="251">
        <v>2489000</v>
      </c>
      <c r="BJ88" s="251">
        <v>493</v>
      </c>
      <c r="BK88" s="251">
        <v>19259.5</v>
      </c>
      <c r="BL88" s="251">
        <v>3208115</v>
      </c>
      <c r="BM88" s="251">
        <v>101358</v>
      </c>
      <c r="BN88" s="251">
        <v>19985.7</v>
      </c>
      <c r="BO88" s="250">
        <v>2857924</v>
      </c>
      <c r="BP88" s="250">
        <v>126908</v>
      </c>
      <c r="BQ88" s="250">
        <v>16884.7</v>
      </c>
      <c r="BR88" s="250">
        <v>8318.7000000000007</v>
      </c>
      <c r="BS88" s="250">
        <v>5668.7</v>
      </c>
      <c r="BT88" s="250">
        <v>1055538</v>
      </c>
      <c r="BU88" s="250">
        <v>600411</v>
      </c>
      <c r="BV88" s="250">
        <v>708966</v>
      </c>
      <c r="BW88" s="250">
        <v>448319</v>
      </c>
      <c r="BX88" s="1324">
        <v>0</v>
      </c>
    </row>
    <row r="89" spans="1:76">
      <c r="A89" s="647">
        <v>45009</v>
      </c>
      <c r="B89" s="250">
        <v>1061.008</v>
      </c>
      <c r="C89" s="250">
        <v>586.07600000000002</v>
      </c>
      <c r="D89" s="385">
        <v>6850</v>
      </c>
      <c r="E89" s="1312">
        <v>0</v>
      </c>
      <c r="F89" s="250">
        <v>17564</v>
      </c>
      <c r="G89" s="250">
        <v>5568.9</v>
      </c>
      <c r="H89" s="250">
        <v>576232</v>
      </c>
      <c r="I89" s="250">
        <v>266456</v>
      </c>
      <c r="J89" s="251">
        <v>204767.4</v>
      </c>
      <c r="K89" s="250">
        <v>14958.9</v>
      </c>
      <c r="L89" s="250">
        <v>7011</v>
      </c>
      <c r="M89" s="250">
        <v>45105.1</v>
      </c>
      <c r="N89" s="250">
        <v>35864.699999999997</v>
      </c>
      <c r="O89" s="250">
        <v>137170.6</v>
      </c>
      <c r="P89" s="250">
        <v>113795.8</v>
      </c>
      <c r="Q89" s="250">
        <v>139394</v>
      </c>
      <c r="R89" s="250">
        <v>95624.4</v>
      </c>
      <c r="S89" s="1014">
        <v>14051.63</v>
      </c>
      <c r="T89" s="1014">
        <v>10671.64</v>
      </c>
      <c r="U89" s="250">
        <v>29665</v>
      </c>
      <c r="V89" s="250">
        <v>15408</v>
      </c>
      <c r="W89" s="251">
        <v>210347.5</v>
      </c>
      <c r="X89" s="1014">
        <v>345.9</v>
      </c>
      <c r="Y89" s="1014">
        <v>50716</v>
      </c>
      <c r="Z89" s="250">
        <v>573583</v>
      </c>
      <c r="AA89" s="250">
        <v>292280</v>
      </c>
      <c r="AB89" s="250">
        <v>210300.1</v>
      </c>
      <c r="AC89" s="1014">
        <v>1112.4000000000001</v>
      </c>
      <c r="AD89" s="1081">
        <v>942</v>
      </c>
      <c r="AE89" s="250">
        <v>35447.599999999999</v>
      </c>
      <c r="AF89" s="250">
        <v>25272.5</v>
      </c>
      <c r="AG89" s="250">
        <v>82194.3</v>
      </c>
      <c r="AH89" s="250">
        <v>63548.2</v>
      </c>
      <c r="AI89" s="251">
        <v>65438.5</v>
      </c>
      <c r="AJ89" s="251">
        <v>53290.6</v>
      </c>
      <c r="AK89" s="250">
        <v>59091.7</v>
      </c>
      <c r="AL89" s="250">
        <v>23236.799999999999</v>
      </c>
      <c r="AM89" s="250">
        <v>16.5</v>
      </c>
      <c r="AN89" s="250">
        <v>17.600000000000001</v>
      </c>
      <c r="AO89" s="250">
        <v>485997</v>
      </c>
      <c r="AP89" s="250">
        <v>224279</v>
      </c>
      <c r="AQ89" s="422">
        <v>64939</v>
      </c>
      <c r="AR89" s="1014"/>
      <c r="AS89" s="250">
        <v>454103</v>
      </c>
      <c r="AT89" s="250">
        <v>199904</v>
      </c>
      <c r="AU89" s="251">
        <v>78667</v>
      </c>
      <c r="AV89" s="250">
        <v>4287.3999999999996</v>
      </c>
      <c r="AW89" s="250">
        <v>2856</v>
      </c>
      <c r="AX89" s="250">
        <v>220.6</v>
      </c>
      <c r="AY89" s="250">
        <v>133.5</v>
      </c>
      <c r="AZ89" s="250">
        <v>793.226</v>
      </c>
      <c r="BA89" s="250">
        <v>337.90699999999998</v>
      </c>
      <c r="BB89" s="385">
        <v>1791.8</v>
      </c>
      <c r="BC89" s="250">
        <v>2955.6</v>
      </c>
      <c r="BD89" s="250">
        <v>471.5</v>
      </c>
      <c r="BE89" s="250">
        <v>6499.82</v>
      </c>
      <c r="BF89" s="250">
        <v>31995.115789473701</v>
      </c>
      <c r="BG89" s="1014">
        <v>9359.6904413439006</v>
      </c>
      <c r="BH89" s="250">
        <v>5464.5</v>
      </c>
      <c r="BI89" s="251">
        <v>2491000</v>
      </c>
      <c r="BJ89" s="251">
        <v>494</v>
      </c>
      <c r="BK89" s="251">
        <v>19283.5</v>
      </c>
      <c r="BL89" s="251">
        <v>3213961</v>
      </c>
      <c r="BM89" s="251">
        <v>101571</v>
      </c>
      <c r="BN89" s="251">
        <v>20009.7</v>
      </c>
      <c r="BO89" s="250">
        <v>2857924</v>
      </c>
      <c r="BP89" s="250">
        <v>126908</v>
      </c>
      <c r="BQ89" s="250">
        <v>16884.7</v>
      </c>
      <c r="BR89" s="250">
        <v>8326.2999999999993</v>
      </c>
      <c r="BS89" s="250">
        <v>5673.8</v>
      </c>
      <c r="BT89" s="250">
        <v>1056949</v>
      </c>
      <c r="BU89" s="250">
        <v>601182</v>
      </c>
      <c r="BV89" s="250">
        <v>708967</v>
      </c>
      <c r="BW89" s="250">
        <v>448320</v>
      </c>
      <c r="BX89" s="1324">
        <v>0</v>
      </c>
    </row>
    <row r="90" spans="1:76">
      <c r="A90" s="647">
        <v>45010</v>
      </c>
      <c r="B90" s="250">
        <v>1061.008</v>
      </c>
      <c r="C90" s="250">
        <v>586.07600000000002</v>
      </c>
      <c r="D90" s="385">
        <v>6850</v>
      </c>
      <c r="E90" s="1312">
        <v>0</v>
      </c>
      <c r="F90" s="250">
        <v>17577.3</v>
      </c>
      <c r="G90" s="250">
        <v>5573.7</v>
      </c>
      <c r="H90" s="250">
        <v>576396</v>
      </c>
      <c r="I90" s="250">
        <v>266540</v>
      </c>
      <c r="J90" s="251">
        <v>204791.4</v>
      </c>
      <c r="K90" s="250">
        <v>14958.9</v>
      </c>
      <c r="L90" s="250">
        <v>7011</v>
      </c>
      <c r="M90" s="250">
        <v>45145.2</v>
      </c>
      <c r="N90" s="250">
        <v>35897.699999999997</v>
      </c>
      <c r="O90" s="250">
        <v>137185.1</v>
      </c>
      <c r="P90" s="250">
        <v>113807.6</v>
      </c>
      <c r="Q90" s="250">
        <v>139410.1</v>
      </c>
      <c r="R90" s="250">
        <v>95635.9</v>
      </c>
      <c r="S90" s="1014">
        <v>14051.63</v>
      </c>
      <c r="T90" s="1014">
        <v>10671.64</v>
      </c>
      <c r="U90" s="250">
        <v>29811</v>
      </c>
      <c r="V90" s="250">
        <v>15482</v>
      </c>
      <c r="W90" s="250">
        <v>210371.5</v>
      </c>
      <c r="X90" s="1014">
        <v>345.9</v>
      </c>
      <c r="Y90" s="1014">
        <v>50716</v>
      </c>
      <c r="Z90" s="250">
        <v>573883</v>
      </c>
      <c r="AA90" s="250">
        <v>292436</v>
      </c>
      <c r="AB90" s="250">
        <v>210324.1</v>
      </c>
      <c r="AC90" s="1014">
        <v>1112.4000000000001</v>
      </c>
      <c r="AD90" s="1081">
        <v>942</v>
      </c>
      <c r="AE90" s="250">
        <v>35450</v>
      </c>
      <c r="AF90" s="250">
        <v>25274.2</v>
      </c>
      <c r="AG90" s="250">
        <v>82202</v>
      </c>
      <c r="AH90" s="250">
        <v>63554.2</v>
      </c>
      <c r="AI90" s="251">
        <v>65438.5</v>
      </c>
      <c r="AJ90" s="251">
        <v>53290.6</v>
      </c>
      <c r="AK90" s="250">
        <v>59102.8</v>
      </c>
      <c r="AL90" s="250">
        <v>23241.200000000001</v>
      </c>
      <c r="AM90" s="250">
        <v>16.5</v>
      </c>
      <c r="AN90" s="250">
        <v>17.600000000000001</v>
      </c>
      <c r="AO90" s="250">
        <v>486157</v>
      </c>
      <c r="AP90" s="250">
        <v>224353</v>
      </c>
      <c r="AQ90" s="422">
        <v>64944</v>
      </c>
      <c r="AR90" s="1014"/>
      <c r="AS90" s="250">
        <v>454248</v>
      </c>
      <c r="AT90" s="250">
        <v>199967</v>
      </c>
      <c r="AU90" s="251">
        <v>78691</v>
      </c>
      <c r="AV90" s="250">
        <v>4288.6000000000004</v>
      </c>
      <c r="AW90" s="250">
        <v>2856.8</v>
      </c>
      <c r="AX90" s="250">
        <v>220.6</v>
      </c>
      <c r="AY90" s="250">
        <v>133.5</v>
      </c>
      <c r="AZ90" s="250">
        <v>793.226</v>
      </c>
      <c r="BA90" s="250">
        <v>337.90699999999998</v>
      </c>
      <c r="BB90" s="385">
        <v>1791.8</v>
      </c>
      <c r="BC90" s="250">
        <v>2958.2</v>
      </c>
      <c r="BD90" s="250">
        <v>472.9</v>
      </c>
      <c r="BE90" s="250">
        <v>6009.07</v>
      </c>
      <c r="BF90" s="250">
        <v>33479.059649122799</v>
      </c>
      <c r="BG90" s="1014">
        <v>10387.3527774991</v>
      </c>
      <c r="BH90" s="250">
        <v>5163.76</v>
      </c>
      <c r="BI90" s="250">
        <v>2493000</v>
      </c>
      <c r="BJ90" s="250">
        <v>495</v>
      </c>
      <c r="BK90" s="250">
        <v>19307.5</v>
      </c>
      <c r="BL90" s="251">
        <v>3219726</v>
      </c>
      <c r="BM90" s="251">
        <v>101797</v>
      </c>
      <c r="BN90" s="251">
        <v>20033.7</v>
      </c>
      <c r="BO90" s="250">
        <v>2857924</v>
      </c>
      <c r="BP90" s="250">
        <v>126908</v>
      </c>
      <c r="BQ90" s="250">
        <v>16884.7</v>
      </c>
      <c r="BR90" s="250">
        <v>8333.4</v>
      </c>
      <c r="BS90" s="250">
        <v>5678.5</v>
      </c>
      <c r="BT90" s="250">
        <v>1058354</v>
      </c>
      <c r="BU90" s="250">
        <v>601954</v>
      </c>
      <c r="BV90" s="250">
        <v>708968</v>
      </c>
      <c r="BW90" s="250">
        <v>448320</v>
      </c>
      <c r="BX90" s="1324">
        <v>0</v>
      </c>
    </row>
    <row r="91" spans="1:76">
      <c r="A91" s="647">
        <v>45011</v>
      </c>
      <c r="B91" s="250">
        <v>1061.008</v>
      </c>
      <c r="C91" s="250">
        <v>586.07600000000002</v>
      </c>
      <c r="D91" s="385">
        <v>6850</v>
      </c>
      <c r="E91" s="1312">
        <v>0</v>
      </c>
      <c r="F91" s="250">
        <v>17589.599999999999</v>
      </c>
      <c r="G91" s="250">
        <v>5575.7</v>
      </c>
      <c r="H91" s="250">
        <v>576556</v>
      </c>
      <c r="I91" s="250">
        <v>266622</v>
      </c>
      <c r="J91" s="251">
        <v>204814.6</v>
      </c>
      <c r="K91" s="250">
        <v>14958.9</v>
      </c>
      <c r="L91" s="250">
        <v>7011</v>
      </c>
      <c r="M91" s="250">
        <v>45186.1</v>
      </c>
      <c r="N91" s="250">
        <v>35931.1</v>
      </c>
      <c r="O91" s="250">
        <v>137199.29999999999</v>
      </c>
      <c r="P91" s="250">
        <v>113819.4</v>
      </c>
      <c r="Q91" s="250">
        <v>139427.29999999999</v>
      </c>
      <c r="R91" s="250">
        <v>95648.2</v>
      </c>
      <c r="S91" s="1014">
        <v>14051.63</v>
      </c>
      <c r="T91" s="1014">
        <v>10671.64</v>
      </c>
      <c r="U91" s="250">
        <v>29957</v>
      </c>
      <c r="V91" s="250">
        <v>15557</v>
      </c>
      <c r="W91" s="250">
        <v>210395.5</v>
      </c>
      <c r="X91" s="1014">
        <v>345.9</v>
      </c>
      <c r="Y91" s="1014">
        <v>50716</v>
      </c>
      <c r="Z91" s="250">
        <v>574179</v>
      </c>
      <c r="AA91" s="250">
        <v>292585</v>
      </c>
      <c r="AB91" s="250">
        <v>210348.1</v>
      </c>
      <c r="AC91" s="1014">
        <v>1112.4000000000001</v>
      </c>
      <c r="AD91" s="1081">
        <v>942</v>
      </c>
      <c r="AE91" s="250">
        <v>35452.300000000003</v>
      </c>
      <c r="AF91" s="250">
        <v>25275.8</v>
      </c>
      <c r="AG91" s="250">
        <v>82210.100000000006</v>
      </c>
      <c r="AH91" s="250">
        <v>63560.5</v>
      </c>
      <c r="AI91" s="251">
        <v>65438.5</v>
      </c>
      <c r="AJ91" s="251">
        <v>53290.6</v>
      </c>
      <c r="AK91" s="250">
        <v>59110.8</v>
      </c>
      <c r="AL91" s="250">
        <v>23244.3</v>
      </c>
      <c r="AM91" s="250">
        <v>16.5</v>
      </c>
      <c r="AN91" s="250">
        <v>17.7</v>
      </c>
      <c r="AO91" s="250">
        <v>486320</v>
      </c>
      <c r="AP91" s="250">
        <v>224428</v>
      </c>
      <c r="AQ91" s="422">
        <v>64949</v>
      </c>
      <c r="AR91" s="1014"/>
      <c r="AS91" s="250">
        <v>454394</v>
      </c>
      <c r="AT91" s="250">
        <v>200031</v>
      </c>
      <c r="AU91" s="251">
        <v>78715</v>
      </c>
      <c r="AV91" s="250">
        <v>4290.1000000000004</v>
      </c>
      <c r="AW91" s="250">
        <v>2857.8</v>
      </c>
      <c r="AX91" s="250">
        <v>220.6</v>
      </c>
      <c r="AY91" s="250">
        <v>133.5</v>
      </c>
      <c r="AZ91" s="250">
        <v>793.226</v>
      </c>
      <c r="BA91" s="250">
        <v>337.90699999999998</v>
      </c>
      <c r="BB91" s="385">
        <v>1791.8</v>
      </c>
      <c r="BC91" s="250">
        <v>2960.9</v>
      </c>
      <c r="BD91" s="250">
        <v>474.3</v>
      </c>
      <c r="BE91" s="250">
        <v>6141.37</v>
      </c>
      <c r="BF91" s="250">
        <v>33241.587719298201</v>
      </c>
      <c r="BG91" s="1014">
        <v>9183.3816274330693</v>
      </c>
      <c r="BH91" s="250">
        <v>5549.3</v>
      </c>
      <c r="BI91" s="250">
        <v>2495000</v>
      </c>
      <c r="BJ91" s="250">
        <v>496</v>
      </c>
      <c r="BK91" s="250">
        <v>19329.5</v>
      </c>
      <c r="BL91" s="251">
        <v>3221250</v>
      </c>
      <c r="BM91" s="251">
        <v>101852</v>
      </c>
      <c r="BN91" s="251">
        <v>20039.599999999999</v>
      </c>
      <c r="BO91" s="250">
        <v>2862378</v>
      </c>
      <c r="BP91" s="250">
        <v>126954</v>
      </c>
      <c r="BQ91" s="250">
        <v>16902.099999999999</v>
      </c>
      <c r="BR91" s="250">
        <v>8339.6</v>
      </c>
      <c r="BS91" s="250">
        <v>5682.7</v>
      </c>
      <c r="BT91" s="250">
        <v>1059748</v>
      </c>
      <c r="BU91" s="250">
        <v>602717</v>
      </c>
      <c r="BV91" s="250">
        <v>708968</v>
      </c>
      <c r="BW91" s="250">
        <v>448321</v>
      </c>
      <c r="BX91" s="1324">
        <v>0</v>
      </c>
    </row>
    <row r="92" spans="1:76">
      <c r="A92" s="647">
        <v>45012</v>
      </c>
      <c r="B92" s="250">
        <v>1061.329</v>
      </c>
      <c r="C92" s="250">
        <v>586.18700000000001</v>
      </c>
      <c r="D92" s="385">
        <v>6850.7</v>
      </c>
      <c r="E92" s="1312">
        <v>0.3</v>
      </c>
      <c r="F92" s="250">
        <v>17601.400000000001</v>
      </c>
      <c r="G92" s="250">
        <v>5577.3</v>
      </c>
      <c r="H92" s="250">
        <v>576718</v>
      </c>
      <c r="I92" s="250">
        <v>266704</v>
      </c>
      <c r="J92" s="251">
        <v>204838.6</v>
      </c>
      <c r="K92" s="250">
        <v>14958.9</v>
      </c>
      <c r="L92" s="250">
        <v>7011</v>
      </c>
      <c r="M92" s="250">
        <v>45228.1</v>
      </c>
      <c r="N92" s="250">
        <v>35965.199999999997</v>
      </c>
      <c r="O92" s="250">
        <v>137213.5</v>
      </c>
      <c r="P92" s="250">
        <v>113831.1</v>
      </c>
      <c r="Q92" s="250">
        <v>139442.79999999999</v>
      </c>
      <c r="R92" s="250">
        <v>95659.1</v>
      </c>
      <c r="S92" s="1014">
        <v>14051.63</v>
      </c>
      <c r="T92" s="1014">
        <v>10671.64</v>
      </c>
      <c r="U92" s="250">
        <v>30109</v>
      </c>
      <c r="V92" s="250">
        <v>15635</v>
      </c>
      <c r="W92" s="250">
        <v>210419.5</v>
      </c>
      <c r="X92" s="1014">
        <v>345.9</v>
      </c>
      <c r="Y92" s="1014">
        <v>50716</v>
      </c>
      <c r="Z92" s="250">
        <v>574473</v>
      </c>
      <c r="AA92" s="250">
        <v>292733</v>
      </c>
      <c r="AB92" s="250">
        <v>210372.1</v>
      </c>
      <c r="AC92" s="1014">
        <v>1112.4000000000001</v>
      </c>
      <c r="AD92" s="1081">
        <v>942</v>
      </c>
      <c r="AE92" s="250">
        <v>35454.699999999997</v>
      </c>
      <c r="AF92" s="250">
        <v>25277.599999999999</v>
      </c>
      <c r="AG92" s="250">
        <v>82218.100000000006</v>
      </c>
      <c r="AH92" s="250">
        <v>63566.6</v>
      </c>
      <c r="AI92" s="251">
        <v>65438.5</v>
      </c>
      <c r="AJ92" s="251">
        <v>53290.6</v>
      </c>
      <c r="AK92" s="250">
        <v>59119.8</v>
      </c>
      <c r="AL92" s="250">
        <v>23247.7</v>
      </c>
      <c r="AM92" s="250">
        <v>16.5</v>
      </c>
      <c r="AN92" s="250">
        <v>17.7</v>
      </c>
      <c r="AO92" s="250">
        <v>486483</v>
      </c>
      <c r="AP92" s="250">
        <v>224503</v>
      </c>
      <c r="AQ92" s="422">
        <v>64954</v>
      </c>
      <c r="AR92" s="1014"/>
      <c r="AS92" s="250">
        <v>454540</v>
      </c>
      <c r="AT92" s="250">
        <v>200094</v>
      </c>
      <c r="AU92" s="251">
        <v>78739</v>
      </c>
      <c r="AV92" s="250">
        <v>4291.5</v>
      </c>
      <c r="AW92" s="250">
        <v>2858.8</v>
      </c>
      <c r="AX92" s="250">
        <v>220.6</v>
      </c>
      <c r="AY92" s="250">
        <v>133.5</v>
      </c>
      <c r="AZ92" s="250">
        <v>793.226</v>
      </c>
      <c r="BA92" s="250">
        <v>337.90699999999998</v>
      </c>
      <c r="BB92" s="385">
        <v>1791.8</v>
      </c>
      <c r="BC92" s="250">
        <v>2963.5</v>
      </c>
      <c r="BD92" s="250">
        <v>475.5</v>
      </c>
      <c r="BE92" s="250">
        <v>6513.88</v>
      </c>
      <c r="BF92" s="250">
        <v>33453.443859649102</v>
      </c>
      <c r="BG92" s="1014">
        <v>9366.7454665413607</v>
      </c>
      <c r="BH92" s="250">
        <v>5642.13</v>
      </c>
      <c r="BI92" s="250">
        <v>2497000</v>
      </c>
      <c r="BJ92" s="250">
        <v>497</v>
      </c>
      <c r="BK92" s="250">
        <v>19353.5</v>
      </c>
      <c r="BL92" s="251">
        <v>3221250</v>
      </c>
      <c r="BM92" s="251">
        <v>101852</v>
      </c>
      <c r="BN92" s="251">
        <v>20039.599999999999</v>
      </c>
      <c r="BO92" s="250">
        <v>2868734</v>
      </c>
      <c r="BP92" s="250">
        <v>126994</v>
      </c>
      <c r="BQ92" s="250">
        <v>16926.099999999999</v>
      </c>
      <c r="BR92" s="250">
        <v>8345.2000000000007</v>
      </c>
      <c r="BS92" s="250">
        <v>5686.6</v>
      </c>
      <c r="BT92" s="250">
        <v>1061109</v>
      </c>
      <c r="BU92" s="250">
        <v>603460</v>
      </c>
      <c r="BV92" s="250">
        <v>708969</v>
      </c>
      <c r="BW92" s="250">
        <v>448321</v>
      </c>
      <c r="BX92" s="1324">
        <v>0</v>
      </c>
    </row>
    <row r="93" spans="1:76">
      <c r="A93" s="647">
        <v>45013</v>
      </c>
      <c r="B93" s="250">
        <v>1061.329</v>
      </c>
      <c r="C93" s="250">
        <v>586.18700000000001</v>
      </c>
      <c r="D93" s="385">
        <v>6850.7</v>
      </c>
      <c r="E93" s="1312">
        <v>0</v>
      </c>
      <c r="F93" s="250">
        <v>17615</v>
      </c>
      <c r="G93" s="250">
        <v>5579.5</v>
      </c>
      <c r="H93" s="250">
        <v>576883</v>
      </c>
      <c r="I93" s="250">
        <v>266789</v>
      </c>
      <c r="J93" s="251">
        <v>204862.6</v>
      </c>
      <c r="K93" s="250">
        <v>14958.9</v>
      </c>
      <c r="L93" s="250">
        <v>7011</v>
      </c>
      <c r="M93" s="251">
        <v>45269.4</v>
      </c>
      <c r="N93" s="251">
        <v>35998.800000000003</v>
      </c>
      <c r="O93" s="251">
        <v>137227</v>
      </c>
      <c r="P93" s="251">
        <v>113842</v>
      </c>
      <c r="Q93" s="251">
        <v>139457</v>
      </c>
      <c r="R93" s="251">
        <v>95669.3</v>
      </c>
      <c r="S93" s="1014">
        <v>14051.63</v>
      </c>
      <c r="T93" s="1014">
        <v>10671.64</v>
      </c>
      <c r="U93" s="251">
        <v>30256</v>
      </c>
      <c r="V93" s="251">
        <v>15707</v>
      </c>
      <c r="W93" s="251">
        <v>210443.5</v>
      </c>
      <c r="X93" s="1014">
        <v>345.9</v>
      </c>
      <c r="Y93" s="1014">
        <v>50716</v>
      </c>
      <c r="Z93" s="251">
        <v>574770</v>
      </c>
      <c r="AA93" s="251">
        <v>292883</v>
      </c>
      <c r="AB93" s="251">
        <v>210396.1</v>
      </c>
      <c r="AC93" s="1014">
        <v>1112.4000000000001</v>
      </c>
      <c r="AD93" s="1081">
        <v>942</v>
      </c>
      <c r="AE93" s="251">
        <v>35457.300000000003</v>
      </c>
      <c r="AF93" s="251">
        <v>25279.3</v>
      </c>
      <c r="AG93" s="251">
        <v>82225.3</v>
      </c>
      <c r="AH93" s="251">
        <v>63572.1</v>
      </c>
      <c r="AI93" s="251">
        <v>65438.5</v>
      </c>
      <c r="AJ93" s="251">
        <v>53290.6</v>
      </c>
      <c r="AK93" s="251">
        <v>59126.5</v>
      </c>
      <c r="AL93" s="251">
        <v>23250.2</v>
      </c>
      <c r="AM93" s="250">
        <v>16.5</v>
      </c>
      <c r="AN93" s="250">
        <v>17.7</v>
      </c>
      <c r="AO93" s="251">
        <v>486648</v>
      </c>
      <c r="AP93" s="251">
        <v>224577</v>
      </c>
      <c r="AQ93" s="251">
        <v>64958</v>
      </c>
      <c r="AR93" s="251"/>
      <c r="AS93" s="251">
        <v>454688</v>
      </c>
      <c r="AT93" s="251">
        <v>200159</v>
      </c>
      <c r="AU93" s="251">
        <v>78763</v>
      </c>
      <c r="AV93" s="251">
        <v>4293.3999999999996</v>
      </c>
      <c r="AW93" s="251">
        <v>2860.1</v>
      </c>
      <c r="AX93" s="250">
        <v>220.6</v>
      </c>
      <c r="AY93" s="250">
        <v>133.5</v>
      </c>
      <c r="AZ93" s="250">
        <v>793.58799999999997</v>
      </c>
      <c r="BA93" s="250">
        <v>338.04500000000002</v>
      </c>
      <c r="BB93" s="385">
        <v>1792.2</v>
      </c>
      <c r="BC93" s="251">
        <v>2966</v>
      </c>
      <c r="BD93" s="251">
        <v>476</v>
      </c>
      <c r="BE93" s="251">
        <v>6054.4</v>
      </c>
      <c r="BF93" s="251">
        <v>32680.889473684201</v>
      </c>
      <c r="BG93" s="251">
        <v>9268.6622886526293</v>
      </c>
      <c r="BH93" s="251">
        <v>5434.86</v>
      </c>
      <c r="BI93" s="251">
        <v>2498000</v>
      </c>
      <c r="BJ93" s="251">
        <v>498</v>
      </c>
      <c r="BK93" s="251">
        <v>19363.2</v>
      </c>
      <c r="BL93" s="251">
        <v>3224887</v>
      </c>
      <c r="BM93" s="251">
        <v>101853</v>
      </c>
      <c r="BN93" s="251">
        <v>20053.7</v>
      </c>
      <c r="BO93" s="250">
        <v>2873305</v>
      </c>
      <c r="BP93" s="250">
        <v>126995</v>
      </c>
      <c r="BQ93" s="250">
        <v>16950.099999999999</v>
      </c>
      <c r="BR93" s="251">
        <v>8350.7000000000007</v>
      </c>
      <c r="BS93" s="251">
        <v>5690.4</v>
      </c>
      <c r="BT93" s="251">
        <v>1062476</v>
      </c>
      <c r="BU93" s="251">
        <v>604214</v>
      </c>
      <c r="BV93" s="251">
        <v>709005</v>
      </c>
      <c r="BW93" s="251">
        <v>448345</v>
      </c>
      <c r="BX93" s="1324">
        <v>0.4</v>
      </c>
    </row>
    <row r="94" spans="1:76">
      <c r="A94" s="647">
        <v>45014</v>
      </c>
      <c r="B94" s="250">
        <v>1061.329</v>
      </c>
      <c r="C94" s="250">
        <v>586.18700000000001</v>
      </c>
      <c r="D94" s="385">
        <v>6850.7</v>
      </c>
      <c r="E94" s="1312">
        <v>0</v>
      </c>
      <c r="F94" s="250">
        <v>17625.400000000001</v>
      </c>
      <c r="G94" s="250">
        <v>5583</v>
      </c>
      <c r="H94" s="250">
        <v>577046</v>
      </c>
      <c r="I94" s="250">
        <v>266872</v>
      </c>
      <c r="J94" s="251">
        <v>204886.6</v>
      </c>
      <c r="K94" s="250">
        <v>14958.9</v>
      </c>
      <c r="L94" s="250">
        <v>7011</v>
      </c>
      <c r="M94" s="251">
        <v>45309.4</v>
      </c>
      <c r="N94" s="251">
        <v>36031.300000000003</v>
      </c>
      <c r="O94" s="251">
        <v>137241</v>
      </c>
      <c r="P94" s="251">
        <v>113854</v>
      </c>
      <c r="Q94" s="251">
        <v>139473</v>
      </c>
      <c r="R94" s="251">
        <v>95679.9</v>
      </c>
      <c r="S94" s="1014">
        <v>14051.63</v>
      </c>
      <c r="T94" s="1014">
        <v>10671.64</v>
      </c>
      <c r="U94" s="251">
        <v>30407</v>
      </c>
      <c r="V94" s="251">
        <v>15786</v>
      </c>
      <c r="W94" s="251">
        <v>210467.5</v>
      </c>
      <c r="X94" s="1014">
        <v>345.9</v>
      </c>
      <c r="Y94" s="1014">
        <v>50716</v>
      </c>
      <c r="Z94" s="251">
        <v>575065</v>
      </c>
      <c r="AA94" s="251">
        <v>293032</v>
      </c>
      <c r="AB94" s="251">
        <v>210420.1</v>
      </c>
      <c r="AC94" s="1014">
        <v>1112.4000000000001</v>
      </c>
      <c r="AD94" s="1081">
        <v>942</v>
      </c>
      <c r="AE94" s="251">
        <v>35459.800000000003</v>
      </c>
      <c r="AF94" s="251">
        <v>25281</v>
      </c>
      <c r="AG94" s="251">
        <v>82232.899999999994</v>
      </c>
      <c r="AH94" s="251">
        <v>63578</v>
      </c>
      <c r="AI94" s="251">
        <v>65438.5</v>
      </c>
      <c r="AJ94" s="251">
        <v>53290.6</v>
      </c>
      <c r="AK94" s="251">
        <v>59135.5</v>
      </c>
      <c r="AL94" s="251">
        <v>23253.7</v>
      </c>
      <c r="AM94" s="250">
        <v>16.5</v>
      </c>
      <c r="AN94" s="250">
        <v>17.7</v>
      </c>
      <c r="AO94" s="251">
        <v>486814</v>
      </c>
      <c r="AP94" s="251">
        <v>224654</v>
      </c>
      <c r="AQ94" s="251">
        <v>64963</v>
      </c>
      <c r="AR94" s="251"/>
      <c r="AS94" s="251">
        <v>454836</v>
      </c>
      <c r="AT94" s="251">
        <v>200222</v>
      </c>
      <c r="AU94" s="251">
        <v>78787</v>
      </c>
      <c r="AV94" s="251">
        <v>4295.7</v>
      </c>
      <c r="AW94" s="251">
        <v>2861.6</v>
      </c>
      <c r="AX94" s="250">
        <v>220.6</v>
      </c>
      <c r="AY94" s="250">
        <v>133.5</v>
      </c>
      <c r="AZ94" s="250">
        <v>793.58799999999997</v>
      </c>
      <c r="BA94" s="250">
        <v>338.04500000000002</v>
      </c>
      <c r="BB94" s="385">
        <v>1792.2</v>
      </c>
      <c r="BC94" s="251">
        <v>2968.3</v>
      </c>
      <c r="BD94" s="251">
        <v>476.1</v>
      </c>
      <c r="BE94" s="251">
        <v>6288.3899999999994</v>
      </c>
      <c r="BF94" s="251">
        <v>32111.591228070174</v>
      </c>
      <c r="BG94" s="251">
        <v>9090.9585129200768</v>
      </c>
      <c r="BH94" s="251">
        <v>5545.63</v>
      </c>
      <c r="BI94" s="251">
        <v>2501000</v>
      </c>
      <c r="BJ94" s="251">
        <v>499</v>
      </c>
      <c r="BK94" s="251">
        <v>19387</v>
      </c>
      <c r="BL94" s="251">
        <v>3225038</v>
      </c>
      <c r="BM94" s="251">
        <v>101854</v>
      </c>
      <c r="BN94" s="251">
        <v>20054.900000000001</v>
      </c>
      <c r="BO94" s="250">
        <v>2878032</v>
      </c>
      <c r="BP94" s="250">
        <v>128003</v>
      </c>
      <c r="BQ94" s="250">
        <v>16974.099999999999</v>
      </c>
      <c r="BR94" s="251">
        <v>8356.2999999999993</v>
      </c>
      <c r="BS94" s="251">
        <v>5694.3</v>
      </c>
      <c r="BT94" s="251">
        <v>1063844</v>
      </c>
      <c r="BU94" s="251">
        <v>604959</v>
      </c>
      <c r="BV94" s="251">
        <v>709006</v>
      </c>
      <c r="BW94" s="251">
        <v>448346</v>
      </c>
      <c r="BX94" s="1324">
        <v>0</v>
      </c>
    </row>
    <row r="95" spans="1:76">
      <c r="A95" s="647">
        <v>45015</v>
      </c>
      <c r="B95" s="250">
        <v>1061.329</v>
      </c>
      <c r="C95" s="250">
        <v>586.18700000000001</v>
      </c>
      <c r="D95" s="385">
        <v>6850.7</v>
      </c>
      <c r="E95" s="1312">
        <v>0</v>
      </c>
      <c r="F95" s="250">
        <v>17635.900000000001</v>
      </c>
      <c r="G95" s="250">
        <v>5587.8</v>
      </c>
      <c r="H95" s="250">
        <v>577206</v>
      </c>
      <c r="I95" s="250">
        <v>266954</v>
      </c>
      <c r="J95" s="251">
        <v>204910.6</v>
      </c>
      <c r="K95" s="250">
        <v>14958.9</v>
      </c>
      <c r="L95" s="250">
        <v>7011</v>
      </c>
      <c r="M95" s="251">
        <v>45348.7</v>
      </c>
      <c r="N95" s="251">
        <v>36063.1</v>
      </c>
      <c r="O95" s="251">
        <v>137254</v>
      </c>
      <c r="P95" s="251">
        <v>113865</v>
      </c>
      <c r="Q95" s="251">
        <v>139490</v>
      </c>
      <c r="R95" s="251">
        <v>95691.7</v>
      </c>
      <c r="S95" s="1014">
        <v>14051.63</v>
      </c>
      <c r="T95" s="1014">
        <v>10671.64</v>
      </c>
      <c r="U95" s="251">
        <v>30552.799999999999</v>
      </c>
      <c r="V95" s="251">
        <v>15861.2</v>
      </c>
      <c r="W95" s="251">
        <v>210491.5</v>
      </c>
      <c r="X95" s="1014">
        <v>345.9</v>
      </c>
      <c r="Y95" s="1014">
        <v>50716</v>
      </c>
      <c r="Z95" s="251">
        <v>575350</v>
      </c>
      <c r="AA95" s="251">
        <v>293183</v>
      </c>
      <c r="AB95" s="251">
        <v>210444.1</v>
      </c>
      <c r="AC95" s="1014">
        <v>1112.4000000000001</v>
      </c>
      <c r="AD95" s="1081">
        <v>942</v>
      </c>
      <c r="AE95" s="251">
        <v>35461.9</v>
      </c>
      <c r="AF95" s="251">
        <v>25282.6</v>
      </c>
      <c r="AG95" s="251">
        <v>82240.800000000003</v>
      </c>
      <c r="AH95" s="251">
        <v>63584</v>
      </c>
      <c r="AI95" s="251">
        <v>65438.5</v>
      </c>
      <c r="AJ95" s="251">
        <v>53290.6</v>
      </c>
      <c r="AK95" s="251">
        <v>59136.2</v>
      </c>
      <c r="AL95" s="251">
        <v>23254</v>
      </c>
      <c r="AM95" s="250">
        <v>16.5</v>
      </c>
      <c r="AN95" s="250">
        <v>17.7</v>
      </c>
      <c r="AO95" s="251">
        <v>486978</v>
      </c>
      <c r="AP95" s="251">
        <v>224731</v>
      </c>
      <c r="AQ95" s="251">
        <v>64968</v>
      </c>
      <c r="AR95" s="251"/>
      <c r="AS95" s="251">
        <v>454982</v>
      </c>
      <c r="AT95" s="251">
        <v>200286</v>
      </c>
      <c r="AU95" s="251">
        <v>78811</v>
      </c>
      <c r="AV95" s="251">
        <v>4298</v>
      </c>
      <c r="AW95" s="251">
        <v>2863.1</v>
      </c>
      <c r="AX95" s="250">
        <v>220.6</v>
      </c>
      <c r="AY95" s="250">
        <v>133.5</v>
      </c>
      <c r="AZ95" s="250">
        <v>793.58799999999997</v>
      </c>
      <c r="BA95" s="250">
        <v>338.04500000000002</v>
      </c>
      <c r="BB95" s="385">
        <v>1792.2</v>
      </c>
      <c r="BC95" s="251">
        <f>BC94+2.3</f>
        <v>2970.6000000000004</v>
      </c>
      <c r="BD95" s="251">
        <v>476.1</v>
      </c>
      <c r="BE95" s="251">
        <v>6896.0999999999995</v>
      </c>
      <c r="BF95" s="251">
        <v>31859.249122807014</v>
      </c>
      <c r="BG95" s="251">
        <v>10402.764225489444</v>
      </c>
      <c r="BH95" s="251">
        <v>4991.3900000000003</v>
      </c>
      <c r="BI95" s="251">
        <v>2503952</v>
      </c>
      <c r="BJ95" s="251">
        <v>500</v>
      </c>
      <c r="BK95" s="251">
        <v>19411</v>
      </c>
      <c r="BL95" s="251">
        <v>3225038</v>
      </c>
      <c r="BM95" s="251">
        <v>101854</v>
      </c>
      <c r="BN95" s="251">
        <v>20054.900000000001</v>
      </c>
      <c r="BO95" s="251">
        <v>2882889</v>
      </c>
      <c r="BP95" s="251">
        <v>129041</v>
      </c>
      <c r="BQ95" s="251">
        <v>16998.099999999999</v>
      </c>
      <c r="BR95" s="251">
        <v>8361.7000000000007</v>
      </c>
      <c r="BS95" s="251">
        <v>5698.2</v>
      </c>
      <c r="BT95" s="251">
        <v>1065222</v>
      </c>
      <c r="BU95" s="251">
        <v>605710</v>
      </c>
      <c r="BV95" s="251">
        <v>709006</v>
      </c>
      <c r="BW95" s="251">
        <v>448346</v>
      </c>
      <c r="BX95" s="1324">
        <v>0</v>
      </c>
    </row>
    <row r="96" spans="1:76">
      <c r="A96" s="647">
        <v>45016</v>
      </c>
      <c r="B96" s="250">
        <v>1061.329</v>
      </c>
      <c r="C96" s="250">
        <v>586.18700000000001</v>
      </c>
      <c r="D96" s="385">
        <v>6850.7</v>
      </c>
      <c r="E96" s="1312">
        <v>0</v>
      </c>
      <c r="F96" s="250">
        <v>17646.599999999999</v>
      </c>
      <c r="G96" s="250">
        <v>5592.6</v>
      </c>
      <c r="H96" s="250">
        <v>577370</v>
      </c>
      <c r="I96" s="250">
        <v>267038</v>
      </c>
      <c r="J96" s="251">
        <v>204934.6</v>
      </c>
      <c r="K96" s="250">
        <v>14958.9</v>
      </c>
      <c r="L96" s="250">
        <v>7011</v>
      </c>
      <c r="M96" s="250">
        <v>45388.7</v>
      </c>
      <c r="N96" s="250">
        <v>36095.599999999999</v>
      </c>
      <c r="O96" s="250">
        <v>137260.6</v>
      </c>
      <c r="P96" s="250">
        <v>113878.2</v>
      </c>
      <c r="Q96" s="250">
        <v>139506</v>
      </c>
      <c r="R96" s="250">
        <v>95703.2</v>
      </c>
      <c r="S96" s="1014">
        <v>14051.63</v>
      </c>
      <c r="T96" s="1014">
        <v>10671.64</v>
      </c>
      <c r="U96" s="250">
        <v>30700.799999999999</v>
      </c>
      <c r="V96" s="250">
        <v>15939.1</v>
      </c>
      <c r="W96" s="250">
        <v>210515.5</v>
      </c>
      <c r="X96" s="1014">
        <v>345.9</v>
      </c>
      <c r="Y96" s="1014">
        <v>50716</v>
      </c>
      <c r="Z96" s="250">
        <v>575660</v>
      </c>
      <c r="AA96" s="250">
        <v>293341</v>
      </c>
      <c r="AB96" s="250">
        <v>210468.1</v>
      </c>
      <c r="AC96" s="1014">
        <v>1112.4000000000001</v>
      </c>
      <c r="AD96" s="1081">
        <v>942</v>
      </c>
      <c r="AE96" s="250">
        <v>35464.400000000001</v>
      </c>
      <c r="AF96" s="250">
        <v>25284.3</v>
      </c>
      <c r="AG96" s="250">
        <v>82247.899999999994</v>
      </c>
      <c r="AH96" s="250">
        <v>63589.4</v>
      </c>
      <c r="AI96" s="251">
        <v>65438.5</v>
      </c>
      <c r="AJ96" s="251">
        <v>53290.6</v>
      </c>
      <c r="AK96" s="250">
        <v>59153</v>
      </c>
      <c r="AL96" s="250">
        <v>23260.6</v>
      </c>
      <c r="AM96" s="250">
        <v>16.5</v>
      </c>
      <c r="AN96" s="250">
        <v>17.7</v>
      </c>
      <c r="AO96" s="250">
        <v>487146</v>
      </c>
      <c r="AP96" s="250">
        <v>224808</v>
      </c>
      <c r="AQ96" s="422">
        <v>64972.9</v>
      </c>
      <c r="AR96" s="1014"/>
      <c r="AS96" s="250">
        <v>455130</v>
      </c>
      <c r="AT96" s="250">
        <v>200350</v>
      </c>
      <c r="AU96" s="251">
        <v>78835</v>
      </c>
      <c r="AV96" s="250">
        <v>4299.8999999999996</v>
      </c>
      <c r="AW96" s="250">
        <v>2864.4</v>
      </c>
      <c r="AX96" s="250">
        <v>220.6</v>
      </c>
      <c r="AY96" s="250">
        <v>133.5</v>
      </c>
      <c r="AZ96" s="250">
        <v>793.58799999999997</v>
      </c>
      <c r="BA96" s="250">
        <v>338.04500000000002</v>
      </c>
      <c r="BB96" s="385">
        <v>1792.2</v>
      </c>
      <c r="BC96" s="1812">
        <v>2972.9000000000005</v>
      </c>
      <c r="BD96" s="1812">
        <v>476.20000000000005</v>
      </c>
      <c r="BE96" s="250">
        <v>5744.58</v>
      </c>
      <c r="BF96" s="250">
        <v>31353.4762308998</v>
      </c>
      <c r="BG96" s="1014">
        <v>8610.2825506172194</v>
      </c>
      <c r="BH96" s="250">
        <v>6173.96</v>
      </c>
      <c r="BI96" s="250">
        <v>2507168</v>
      </c>
      <c r="BJ96" s="250">
        <v>501</v>
      </c>
      <c r="BK96" s="250">
        <v>19435</v>
      </c>
      <c r="BL96" s="251">
        <v>3225038</v>
      </c>
      <c r="BM96" s="251">
        <v>101854</v>
      </c>
      <c r="BN96" s="251">
        <v>20054.900000000001</v>
      </c>
      <c r="BO96" s="250">
        <v>2887948</v>
      </c>
      <c r="BP96" s="250">
        <v>130026</v>
      </c>
      <c r="BQ96" s="250">
        <v>17022.099999999999</v>
      </c>
      <c r="BR96" s="250">
        <v>8367.2999999999993</v>
      </c>
      <c r="BS96" s="250">
        <v>5702</v>
      </c>
      <c r="BT96" s="250">
        <v>1066648</v>
      </c>
      <c r="BU96" s="250">
        <v>606482</v>
      </c>
      <c r="BV96" s="250">
        <v>709007</v>
      </c>
      <c r="BW96" s="250">
        <v>448346</v>
      </c>
      <c r="BX96" s="1324">
        <v>0</v>
      </c>
    </row>
    <row r="97" spans="1:76" ht="13">
      <c r="A97" s="638"/>
      <c r="B97" s="187"/>
      <c r="C97" s="187"/>
      <c r="D97" s="187"/>
      <c r="E97" s="1313"/>
      <c r="F97" s="187"/>
      <c r="G97" s="187"/>
      <c r="H97" s="183"/>
      <c r="I97" s="183"/>
      <c r="J97" s="184"/>
      <c r="K97" s="188"/>
      <c r="L97" s="187"/>
      <c r="M97" s="187"/>
      <c r="N97" s="187"/>
      <c r="O97" s="187"/>
      <c r="P97" s="384"/>
      <c r="Q97" s="187"/>
      <c r="R97" s="187"/>
      <c r="S97" s="187"/>
      <c r="T97" s="187"/>
      <c r="U97" s="187"/>
      <c r="V97" s="187"/>
      <c r="W97" s="188"/>
      <c r="X97" s="187"/>
      <c r="Y97" s="187"/>
      <c r="Z97" s="185"/>
      <c r="AA97" s="186"/>
      <c r="AB97" s="185"/>
      <c r="AC97" s="187"/>
      <c r="AD97" s="187"/>
      <c r="AE97" s="187"/>
      <c r="AF97" s="187"/>
      <c r="AG97" s="187"/>
      <c r="AH97" s="187"/>
      <c r="AI97" s="187"/>
      <c r="AJ97" s="187"/>
      <c r="AK97" s="188"/>
      <c r="AL97" s="188"/>
      <c r="AM97" s="187"/>
      <c r="AN97" s="187"/>
      <c r="AO97" s="187"/>
      <c r="AP97" s="187"/>
      <c r="AQ97" s="658"/>
      <c r="AR97" s="680"/>
      <c r="AS97" s="187"/>
      <c r="AT97" s="187"/>
      <c r="AU97" s="187"/>
      <c r="AV97" s="187"/>
      <c r="AW97" s="187"/>
      <c r="AX97" s="187"/>
      <c r="AY97" s="187"/>
      <c r="AZ97" s="187"/>
      <c r="BA97" s="187"/>
      <c r="BB97" s="1796"/>
      <c r="BC97" s="187"/>
      <c r="BD97" s="187"/>
      <c r="BE97" s="187"/>
      <c r="BF97" s="187"/>
      <c r="BG97" s="1016"/>
      <c r="BH97" s="187"/>
      <c r="BI97" s="187"/>
      <c r="BJ97" s="187"/>
      <c r="BK97" s="187"/>
      <c r="BL97" s="187"/>
      <c r="BM97" s="187"/>
      <c r="BN97" s="187"/>
      <c r="BO97" s="187"/>
      <c r="BP97" s="187"/>
      <c r="BQ97" s="187"/>
      <c r="BR97" s="187"/>
      <c r="BS97" s="187"/>
      <c r="BT97" s="187"/>
      <c r="BU97" s="187"/>
      <c r="BV97" s="187"/>
      <c r="BW97" s="1016"/>
      <c r="BX97" s="1409"/>
    </row>
    <row r="98" spans="1:76">
      <c r="A98" s="647">
        <v>45016</v>
      </c>
      <c r="B98" s="250">
        <v>1061.329</v>
      </c>
      <c r="C98" s="250">
        <v>586.18700000000001</v>
      </c>
      <c r="D98" s="250">
        <v>6850.7</v>
      </c>
      <c r="E98" s="1312">
        <v>0</v>
      </c>
      <c r="F98" s="250">
        <v>17646.599999999999</v>
      </c>
      <c r="G98" s="250">
        <v>5592.6</v>
      </c>
      <c r="H98" s="250">
        <v>577370</v>
      </c>
      <c r="I98" s="250">
        <v>267038</v>
      </c>
      <c r="J98" s="251">
        <v>204934.6</v>
      </c>
      <c r="K98" s="219">
        <v>14958.9</v>
      </c>
      <c r="L98" s="250">
        <v>7011</v>
      </c>
      <c r="M98" s="250">
        <v>45388.7</v>
      </c>
      <c r="N98" s="250">
        <v>36095.599999999999</v>
      </c>
      <c r="O98" s="250">
        <v>137260.6</v>
      </c>
      <c r="P98" s="250">
        <v>113878.2</v>
      </c>
      <c r="Q98" s="250">
        <v>139506</v>
      </c>
      <c r="R98" s="250">
        <v>95703.2</v>
      </c>
      <c r="S98" s="1014">
        <v>14051.63</v>
      </c>
      <c r="T98" s="1014">
        <v>10671.64</v>
      </c>
      <c r="U98" s="250">
        <v>30700.799999999999</v>
      </c>
      <c r="V98" s="250">
        <v>15939.1</v>
      </c>
      <c r="W98" s="250">
        <v>210515.5</v>
      </c>
      <c r="X98" s="1014">
        <v>345.9</v>
      </c>
      <c r="Y98" s="1014">
        <v>50716</v>
      </c>
      <c r="Z98" s="250">
        <v>575660</v>
      </c>
      <c r="AA98" s="250">
        <v>293341</v>
      </c>
      <c r="AB98" s="250">
        <v>210468.1</v>
      </c>
      <c r="AC98" s="1014">
        <v>1112.4000000000001</v>
      </c>
      <c r="AD98" s="1081">
        <v>942</v>
      </c>
      <c r="AE98" s="250">
        <v>35464.400000000001</v>
      </c>
      <c r="AF98" s="250">
        <v>25284.3</v>
      </c>
      <c r="AG98" s="250">
        <v>82247.899999999994</v>
      </c>
      <c r="AH98" s="250">
        <v>63589.4</v>
      </c>
      <c r="AI98" s="251">
        <v>65438.5</v>
      </c>
      <c r="AJ98" s="251">
        <v>53290.6</v>
      </c>
      <c r="AK98" s="250">
        <v>59153</v>
      </c>
      <c r="AL98" s="250">
        <v>23260.6</v>
      </c>
      <c r="AM98" s="250">
        <v>16.5</v>
      </c>
      <c r="AN98" s="250">
        <v>17.7</v>
      </c>
      <c r="AO98" s="250">
        <v>487146</v>
      </c>
      <c r="AP98" s="250">
        <v>224808</v>
      </c>
      <c r="AQ98" s="422">
        <v>64972.9</v>
      </c>
      <c r="AR98" s="1014"/>
      <c r="AS98" s="250">
        <v>455130</v>
      </c>
      <c r="AT98" s="250">
        <v>200350</v>
      </c>
      <c r="AU98" s="251">
        <v>78835</v>
      </c>
      <c r="AV98" s="250">
        <v>4299.8999999999996</v>
      </c>
      <c r="AW98" s="250">
        <v>2864.4</v>
      </c>
      <c r="AX98" s="1014">
        <v>220.6</v>
      </c>
      <c r="AY98" s="1014">
        <v>133.5</v>
      </c>
      <c r="AZ98" s="250">
        <v>793.58799999999997</v>
      </c>
      <c r="BA98" s="250">
        <v>338.04500000000002</v>
      </c>
      <c r="BB98" s="385">
        <v>1792.2</v>
      </c>
      <c r="BC98" s="1812">
        <v>2925.6</v>
      </c>
      <c r="BD98" s="1812">
        <v>455</v>
      </c>
      <c r="BE98" s="250">
        <v>5744.58</v>
      </c>
      <c r="BF98" s="250">
        <v>31353.4762308998</v>
      </c>
      <c r="BG98" s="1014">
        <v>8610.2825506172194</v>
      </c>
      <c r="BH98" s="250">
        <v>6173.96</v>
      </c>
      <c r="BI98" s="250">
        <v>2507168</v>
      </c>
      <c r="BJ98" s="250">
        <v>501</v>
      </c>
      <c r="BK98" s="250">
        <v>19435</v>
      </c>
      <c r="BL98" s="250">
        <v>3225038</v>
      </c>
      <c r="BM98" s="250">
        <v>101854</v>
      </c>
      <c r="BN98" s="250">
        <v>20054.900000000001</v>
      </c>
      <c r="BO98" s="250">
        <v>2887948</v>
      </c>
      <c r="BP98" s="250">
        <v>130026</v>
      </c>
      <c r="BQ98" s="250">
        <v>17022.099999999999</v>
      </c>
      <c r="BR98" s="250">
        <v>8367.2999999999993</v>
      </c>
      <c r="BS98" s="250">
        <v>5702</v>
      </c>
      <c r="BT98" s="250">
        <v>1066648</v>
      </c>
      <c r="BU98" s="250">
        <v>606482</v>
      </c>
      <c r="BV98" s="250">
        <v>709007</v>
      </c>
      <c r="BW98" s="250">
        <v>448346</v>
      </c>
      <c r="BX98" s="1324">
        <v>0</v>
      </c>
    </row>
    <row r="99" spans="1:76">
      <c r="A99" s="647">
        <v>45017</v>
      </c>
      <c r="B99" s="250">
        <v>1061.329</v>
      </c>
      <c r="C99" s="250">
        <v>586.18700000000001</v>
      </c>
      <c r="D99" s="250">
        <v>6850.7</v>
      </c>
      <c r="E99" s="1312">
        <v>0</v>
      </c>
      <c r="F99" s="250">
        <v>17657.400000000001</v>
      </c>
      <c r="G99" s="250">
        <v>5597.4</v>
      </c>
      <c r="H99" s="250">
        <v>577536</v>
      </c>
      <c r="I99" s="250">
        <v>267122</v>
      </c>
      <c r="J99" s="250">
        <v>204958.6</v>
      </c>
      <c r="K99" s="219">
        <v>14958.9</v>
      </c>
      <c r="L99" s="250">
        <v>7011</v>
      </c>
      <c r="M99" s="250">
        <v>45427.8</v>
      </c>
      <c r="N99" s="250">
        <v>36127.1</v>
      </c>
      <c r="O99" s="250">
        <v>137285</v>
      </c>
      <c r="P99" s="250">
        <v>113890</v>
      </c>
      <c r="Q99" s="250">
        <v>139521</v>
      </c>
      <c r="R99" s="250">
        <v>95714.3</v>
      </c>
      <c r="S99" s="1014">
        <v>14051.63</v>
      </c>
      <c r="T99" s="1014">
        <v>10671.64</v>
      </c>
      <c r="U99" s="250">
        <v>30848</v>
      </c>
      <c r="V99" s="250">
        <v>16008.5</v>
      </c>
      <c r="W99" s="250">
        <v>210539.5</v>
      </c>
      <c r="X99" s="1014">
        <v>345.9</v>
      </c>
      <c r="Y99" s="1014">
        <v>50716</v>
      </c>
      <c r="Z99" s="250">
        <v>575967</v>
      </c>
      <c r="AA99" s="250">
        <v>293506</v>
      </c>
      <c r="AB99" s="250">
        <v>210492.1</v>
      </c>
      <c r="AC99" s="1014">
        <v>1112.4000000000001</v>
      </c>
      <c r="AD99" s="1081">
        <v>942</v>
      </c>
      <c r="AE99" s="250">
        <v>35467</v>
      </c>
      <c r="AF99" s="250">
        <v>25286.1</v>
      </c>
      <c r="AG99" s="250">
        <v>82254.899999999994</v>
      </c>
      <c r="AH99" s="250">
        <v>63594.7</v>
      </c>
      <c r="AI99" s="250">
        <v>65438.5</v>
      </c>
      <c r="AJ99" s="250">
        <v>53290.6</v>
      </c>
      <c r="AK99" s="250">
        <v>59163.4</v>
      </c>
      <c r="AL99" s="250">
        <v>23264.5</v>
      </c>
      <c r="AM99" s="250">
        <v>16.5</v>
      </c>
      <c r="AN99" s="250">
        <v>17.7</v>
      </c>
      <c r="AO99" s="250">
        <v>487318</v>
      </c>
      <c r="AP99" s="250">
        <v>224887</v>
      </c>
      <c r="AQ99" s="250">
        <v>64977.4</v>
      </c>
      <c r="AR99" s="250"/>
      <c r="AS99" s="250">
        <v>455283</v>
      </c>
      <c r="AT99" s="250">
        <v>200417</v>
      </c>
      <c r="AU99" s="250">
        <v>78859</v>
      </c>
      <c r="AV99" s="250">
        <v>4302.3</v>
      </c>
      <c r="AW99" s="250">
        <v>2866</v>
      </c>
      <c r="AX99" s="1014">
        <v>220.6</v>
      </c>
      <c r="AY99" s="1014">
        <v>133.5</v>
      </c>
      <c r="AZ99" s="250">
        <v>793.58799999999997</v>
      </c>
      <c r="BA99" s="250">
        <v>338.04500000000002</v>
      </c>
      <c r="BB99" s="385">
        <v>1792.2</v>
      </c>
      <c r="BC99" s="250">
        <v>2928</v>
      </c>
      <c r="BD99" s="250">
        <v>455</v>
      </c>
      <c r="BE99" s="250">
        <v>5823.93</v>
      </c>
      <c r="BF99" s="250">
        <v>32326.485964912299</v>
      </c>
      <c r="BG99" s="250">
        <v>9995.3979890534993</v>
      </c>
      <c r="BH99" s="250">
        <v>5572.87</v>
      </c>
      <c r="BI99" s="250">
        <v>2510504</v>
      </c>
      <c r="BJ99" s="250">
        <v>502</v>
      </c>
      <c r="BK99" s="250">
        <v>19459</v>
      </c>
      <c r="BL99" s="250">
        <v>3225038</v>
      </c>
      <c r="BM99" s="250">
        <v>101854</v>
      </c>
      <c r="BN99" s="250">
        <v>20054.900000000001</v>
      </c>
      <c r="BO99" s="250">
        <v>2893034</v>
      </c>
      <c r="BP99" s="250">
        <v>130972</v>
      </c>
      <c r="BQ99" s="250">
        <v>17046.099999999999</v>
      </c>
      <c r="BR99" s="250">
        <v>8372.7999999999993</v>
      </c>
      <c r="BS99" s="250">
        <v>5705.9</v>
      </c>
      <c r="BT99" s="250">
        <v>1068666</v>
      </c>
      <c r="BU99" s="250">
        <v>607253</v>
      </c>
      <c r="BV99" s="250">
        <v>709007</v>
      </c>
      <c r="BW99" s="250">
        <v>448347</v>
      </c>
      <c r="BX99" s="1811">
        <v>0</v>
      </c>
    </row>
    <row r="100" spans="1:76">
      <c r="A100" s="647">
        <v>45018</v>
      </c>
      <c r="B100" s="250">
        <v>1061.329</v>
      </c>
      <c r="C100" s="250">
        <v>586.18700000000001</v>
      </c>
      <c r="D100" s="250">
        <v>6850.7</v>
      </c>
      <c r="E100" s="1312">
        <v>0</v>
      </c>
      <c r="F100" s="250">
        <v>17668.8</v>
      </c>
      <c r="G100" s="250">
        <v>5601.2</v>
      </c>
      <c r="H100" s="250">
        <v>577701</v>
      </c>
      <c r="I100" s="250">
        <v>267206</v>
      </c>
      <c r="J100" s="250">
        <v>204982.6</v>
      </c>
      <c r="K100" s="219">
        <v>14958.9</v>
      </c>
      <c r="L100" s="250">
        <v>7011</v>
      </c>
      <c r="M100" s="250">
        <v>45466.9</v>
      </c>
      <c r="N100" s="250">
        <v>36158.5</v>
      </c>
      <c r="O100" s="250">
        <v>137301</v>
      </c>
      <c r="P100" s="250">
        <v>113903</v>
      </c>
      <c r="Q100" s="250">
        <v>139534</v>
      </c>
      <c r="R100" s="250">
        <v>95724.3</v>
      </c>
      <c r="S100" s="1014">
        <v>14051.63</v>
      </c>
      <c r="T100" s="1014">
        <v>10671.64</v>
      </c>
      <c r="U100" s="250">
        <v>30995</v>
      </c>
      <c r="V100" s="250">
        <v>16079</v>
      </c>
      <c r="W100" s="250">
        <v>210563.5</v>
      </c>
      <c r="X100" s="1014">
        <v>345.9</v>
      </c>
      <c r="Y100" s="1014">
        <v>50716</v>
      </c>
      <c r="Z100" s="250">
        <v>576275</v>
      </c>
      <c r="AA100" s="250">
        <v>293666</v>
      </c>
      <c r="AB100" s="250">
        <v>210516.1</v>
      </c>
      <c r="AC100" s="1014">
        <v>1112.4000000000001</v>
      </c>
      <c r="AD100" s="1081">
        <v>942</v>
      </c>
      <c r="AE100" s="250">
        <v>35469.4</v>
      </c>
      <c r="AF100" s="250">
        <v>25287.8</v>
      </c>
      <c r="AG100" s="250">
        <v>82261.899999999994</v>
      </c>
      <c r="AH100" s="250">
        <v>63600.1</v>
      </c>
      <c r="AI100" s="250">
        <v>65438.5</v>
      </c>
      <c r="AJ100" s="250">
        <v>53290.6</v>
      </c>
      <c r="AK100" s="250">
        <v>59175.6</v>
      </c>
      <c r="AL100" s="250">
        <v>23269.200000000001</v>
      </c>
      <c r="AM100" s="250">
        <v>16.5</v>
      </c>
      <c r="AN100" s="250">
        <v>17.7</v>
      </c>
      <c r="AO100" s="250">
        <v>487488</v>
      </c>
      <c r="AP100" s="250">
        <v>224966</v>
      </c>
      <c r="AQ100" s="250">
        <v>64981.4</v>
      </c>
      <c r="AR100" s="250"/>
      <c r="AS100" s="250">
        <v>455436</v>
      </c>
      <c r="AT100" s="250">
        <v>200482</v>
      </c>
      <c r="AU100" s="250">
        <v>78883</v>
      </c>
      <c r="AV100" s="250">
        <v>4304.6000000000004</v>
      </c>
      <c r="AW100" s="250">
        <v>2867.5</v>
      </c>
      <c r="AX100" s="1014">
        <v>220.6</v>
      </c>
      <c r="AY100" s="1014">
        <v>133.5</v>
      </c>
      <c r="AZ100" s="250">
        <v>793.58799999999997</v>
      </c>
      <c r="BA100" s="250">
        <v>338.04500000000002</v>
      </c>
      <c r="BB100" s="385">
        <v>1792.2</v>
      </c>
      <c r="BC100" s="250">
        <v>2930.4</v>
      </c>
      <c r="BD100" s="250">
        <v>455.1</v>
      </c>
      <c r="BE100" s="250">
        <v>5520.96</v>
      </c>
      <c r="BF100" s="250">
        <v>31966.496491228099</v>
      </c>
      <c r="BG100" s="250">
        <v>9431.29354661867</v>
      </c>
      <c r="BH100" s="250">
        <v>5526.36</v>
      </c>
      <c r="BI100" s="250">
        <v>2512352.6</v>
      </c>
      <c r="BJ100" s="250">
        <v>503</v>
      </c>
      <c r="BK100" s="250">
        <v>19482.400000000001</v>
      </c>
      <c r="BL100" s="250">
        <v>3226897</v>
      </c>
      <c r="BM100" s="250">
        <v>101899</v>
      </c>
      <c r="BN100" s="250">
        <v>20064.7</v>
      </c>
      <c r="BO100" s="250">
        <v>2897071</v>
      </c>
      <c r="BP100" s="250">
        <v>131513</v>
      </c>
      <c r="BQ100" s="250">
        <v>17070.099999999999</v>
      </c>
      <c r="BR100" s="250">
        <v>8378.2999999999993</v>
      </c>
      <c r="BS100" s="250">
        <v>5709.7</v>
      </c>
      <c r="BT100" s="250">
        <v>1069468</v>
      </c>
      <c r="BU100" s="250">
        <v>608018</v>
      </c>
      <c r="BV100" s="250">
        <v>709008</v>
      </c>
      <c r="BW100" s="250">
        <v>448347</v>
      </c>
      <c r="BX100" s="1811">
        <v>0</v>
      </c>
    </row>
    <row r="101" spans="1:76">
      <c r="A101" s="647">
        <v>45019</v>
      </c>
      <c r="B101" s="250">
        <v>1061.4739999999999</v>
      </c>
      <c r="C101" s="250">
        <v>586.25699999999995</v>
      </c>
      <c r="D101" s="250">
        <v>6851.3</v>
      </c>
      <c r="E101" s="1312">
        <v>0.6</v>
      </c>
      <c r="F101" s="250">
        <v>17685.099999999999</v>
      </c>
      <c r="G101" s="250">
        <v>5605</v>
      </c>
      <c r="H101" s="250">
        <v>577870</v>
      </c>
      <c r="I101" s="250">
        <v>267291</v>
      </c>
      <c r="J101" s="250">
        <v>205006.6</v>
      </c>
      <c r="K101" s="219">
        <v>14958.9</v>
      </c>
      <c r="L101" s="250">
        <v>7011</v>
      </c>
      <c r="M101" s="250">
        <v>45505.3</v>
      </c>
      <c r="N101" s="250">
        <v>36189.4</v>
      </c>
      <c r="O101" s="250">
        <v>137316.1</v>
      </c>
      <c r="P101" s="250">
        <v>113915.4</v>
      </c>
      <c r="Q101" s="250">
        <v>139549</v>
      </c>
      <c r="R101" s="250">
        <v>95734.399999999994</v>
      </c>
      <c r="S101" s="1014">
        <v>14051.63</v>
      </c>
      <c r="T101" s="1014">
        <v>10671.64</v>
      </c>
      <c r="U101" s="250">
        <v>31142.2</v>
      </c>
      <c r="V101" s="250">
        <v>16150.8</v>
      </c>
      <c r="W101" s="250">
        <v>210587.5</v>
      </c>
      <c r="X101" s="1014">
        <v>345.9</v>
      </c>
      <c r="Y101" s="1014">
        <v>50716</v>
      </c>
      <c r="Z101" s="250">
        <v>576578</v>
      </c>
      <c r="AA101" s="250">
        <v>293819</v>
      </c>
      <c r="AB101" s="250">
        <v>210540.1</v>
      </c>
      <c r="AC101" s="1014">
        <v>1112.4000000000001</v>
      </c>
      <c r="AD101" s="1081">
        <v>942</v>
      </c>
      <c r="AE101" s="250">
        <v>35471.800000000003</v>
      </c>
      <c r="AF101" s="250">
        <v>25289.5</v>
      </c>
      <c r="AG101" s="250">
        <v>82270.8</v>
      </c>
      <c r="AH101" s="250">
        <v>63607</v>
      </c>
      <c r="AI101" s="250">
        <v>65438.5</v>
      </c>
      <c r="AJ101" s="250">
        <v>53290.6</v>
      </c>
      <c r="AK101" s="250">
        <v>59180.6</v>
      </c>
      <c r="AL101" s="250">
        <v>23271.1</v>
      </c>
      <c r="AM101" s="250">
        <v>16.5</v>
      </c>
      <c r="AN101" s="250">
        <v>17.7</v>
      </c>
      <c r="AO101" s="250">
        <v>487653</v>
      </c>
      <c r="AP101" s="250">
        <v>225038</v>
      </c>
      <c r="AQ101" s="250">
        <v>64986.1</v>
      </c>
      <c r="AR101" s="250"/>
      <c r="AS101" s="250">
        <v>455589</v>
      </c>
      <c r="AT101" s="250">
        <v>200549</v>
      </c>
      <c r="AU101" s="250">
        <v>78907</v>
      </c>
      <c r="AV101" s="250">
        <v>4306.3999999999996</v>
      </c>
      <c r="AW101" s="250">
        <v>2868.8</v>
      </c>
      <c r="AX101" s="1014">
        <v>220.6</v>
      </c>
      <c r="AY101" s="1014">
        <v>133.5</v>
      </c>
      <c r="AZ101" s="250">
        <v>793.87400000000002</v>
      </c>
      <c r="BA101" s="250">
        <v>338.154</v>
      </c>
      <c r="BB101" s="250">
        <v>1792.6</v>
      </c>
      <c r="BC101" s="250">
        <v>2932.7</v>
      </c>
      <c r="BD101" s="250">
        <v>455.2</v>
      </c>
      <c r="BE101" s="250">
        <v>5807.6800000000012</v>
      </c>
      <c r="BF101" s="250">
        <v>31388.359649122809</v>
      </c>
      <c r="BG101" s="250">
        <v>9118.4701941348758</v>
      </c>
      <c r="BH101" s="250">
        <v>4155.13</v>
      </c>
      <c r="BI101" s="250">
        <v>2512352.6</v>
      </c>
      <c r="BJ101" s="250">
        <v>504</v>
      </c>
      <c r="BK101" s="250">
        <v>19482.400000000001</v>
      </c>
      <c r="BL101" s="250">
        <v>3232840</v>
      </c>
      <c r="BM101" s="250">
        <v>101989</v>
      </c>
      <c r="BN101" s="250">
        <v>20088.7</v>
      </c>
      <c r="BO101" s="250">
        <v>2899688</v>
      </c>
      <c r="BP101" s="250">
        <v>131515</v>
      </c>
      <c r="BQ101" s="250">
        <v>17094.099999999999</v>
      </c>
      <c r="BR101" s="250">
        <v>8385.7999999999993</v>
      </c>
      <c r="BS101" s="250">
        <v>5714.4</v>
      </c>
      <c r="BT101" s="250">
        <v>1070808</v>
      </c>
      <c r="BU101" s="250">
        <v>608752</v>
      </c>
      <c r="BV101" s="250">
        <v>709009</v>
      </c>
      <c r="BW101" s="250">
        <v>448348</v>
      </c>
      <c r="BX101" s="1312">
        <v>0.4</v>
      </c>
    </row>
    <row r="102" spans="1:76" ht="12.75" customHeight="1">
      <c r="A102" s="647">
        <v>45020</v>
      </c>
      <c r="B102" s="385">
        <v>1061.73</v>
      </c>
      <c r="C102" s="250">
        <v>586.38</v>
      </c>
      <c r="D102" s="250">
        <v>6851.9</v>
      </c>
      <c r="E102" s="1312">
        <v>1</v>
      </c>
      <c r="F102" s="250">
        <v>17702</v>
      </c>
      <c r="G102" s="250">
        <v>5609</v>
      </c>
      <c r="H102" s="250">
        <v>578038.9</v>
      </c>
      <c r="I102" s="250">
        <v>267376.3</v>
      </c>
      <c r="J102" s="250">
        <v>205030.6</v>
      </c>
      <c r="K102" s="219">
        <v>14958.9</v>
      </c>
      <c r="L102" s="250">
        <v>7011</v>
      </c>
      <c r="M102" s="250">
        <v>45542.2</v>
      </c>
      <c r="N102" s="250">
        <v>36219</v>
      </c>
      <c r="O102" s="250">
        <v>137333.4</v>
      </c>
      <c r="P102" s="250">
        <v>113929.1</v>
      </c>
      <c r="Q102" s="250">
        <v>139565</v>
      </c>
      <c r="R102" s="250">
        <v>95745.8</v>
      </c>
      <c r="S102" s="1014">
        <v>14051.63</v>
      </c>
      <c r="T102" s="1014">
        <v>10671.64</v>
      </c>
      <c r="U102" s="250">
        <v>31290.3</v>
      </c>
      <c r="V102" s="250">
        <v>16229.7</v>
      </c>
      <c r="W102" s="250">
        <v>210611.5</v>
      </c>
      <c r="X102" s="1014">
        <v>345.9</v>
      </c>
      <c r="Y102" s="1014">
        <v>50716</v>
      </c>
      <c r="Z102" s="250">
        <v>576900.9</v>
      </c>
      <c r="AA102" s="250">
        <v>293973.3</v>
      </c>
      <c r="AB102" s="250">
        <v>210564.1</v>
      </c>
      <c r="AC102" s="1014">
        <v>1112.4000000000001</v>
      </c>
      <c r="AD102" s="1081">
        <v>942</v>
      </c>
      <c r="AE102" s="250">
        <v>35474.1</v>
      </c>
      <c r="AF102" s="250">
        <v>25291.1</v>
      </c>
      <c r="AG102" s="250">
        <v>82280.7</v>
      </c>
      <c r="AH102" s="250">
        <v>63614.6</v>
      </c>
      <c r="AI102" s="250">
        <v>65438.5</v>
      </c>
      <c r="AJ102" s="250">
        <v>53290.6</v>
      </c>
      <c r="AK102" s="250">
        <v>59199.5</v>
      </c>
      <c r="AL102" s="250">
        <v>23278.5</v>
      </c>
      <c r="AM102" s="250">
        <v>16.5</v>
      </c>
      <c r="AN102" s="250">
        <v>17.7</v>
      </c>
      <c r="AO102" s="250">
        <v>487819.7</v>
      </c>
      <c r="AP102" s="250">
        <v>225111.7</v>
      </c>
      <c r="AQ102" s="250">
        <v>64991.1</v>
      </c>
      <c r="AR102" s="250"/>
      <c r="AS102" s="250">
        <v>455741.8</v>
      </c>
      <c r="AT102" s="250">
        <v>200615.1</v>
      </c>
      <c r="AU102" s="250">
        <v>78931</v>
      </c>
      <c r="AV102" s="250">
        <v>4308.3999999999996</v>
      </c>
      <c r="AW102" s="250">
        <v>2870.1</v>
      </c>
      <c r="AX102" s="250">
        <v>220.67</v>
      </c>
      <c r="AY102" s="250">
        <v>133.55000000000001</v>
      </c>
      <c r="AZ102" s="250">
        <v>793.87400000000002</v>
      </c>
      <c r="BA102" s="250">
        <v>338.154</v>
      </c>
      <c r="BB102" s="250">
        <v>1792.6</v>
      </c>
      <c r="BC102" s="250">
        <v>2935</v>
      </c>
      <c r="BD102" s="250">
        <v>455.3</v>
      </c>
      <c r="BE102" s="335">
        <v>5701</v>
      </c>
      <c r="BF102" s="335">
        <v>31970</v>
      </c>
      <c r="BG102" s="335">
        <v>9387</v>
      </c>
      <c r="BH102" s="335">
        <v>5695</v>
      </c>
      <c r="BI102" s="250">
        <v>2512442.6</v>
      </c>
      <c r="BJ102" s="250">
        <v>505</v>
      </c>
      <c r="BK102" s="250">
        <v>19483.400000000001</v>
      </c>
      <c r="BL102" s="250">
        <v>3238879</v>
      </c>
      <c r="BM102" s="250">
        <v>102057</v>
      </c>
      <c r="BN102" s="250">
        <v>20112.7</v>
      </c>
      <c r="BO102" s="250">
        <v>2902338</v>
      </c>
      <c r="BP102" s="250">
        <v>131515</v>
      </c>
      <c r="BQ102" s="250">
        <v>17118.099999999999</v>
      </c>
      <c r="BR102" s="250">
        <v>8393.7999999999993</v>
      </c>
      <c r="BS102" s="250">
        <v>5719.4</v>
      </c>
      <c r="BT102" s="250">
        <v>1072220</v>
      </c>
      <c r="BU102" s="250">
        <v>609532</v>
      </c>
      <c r="BV102" s="250">
        <v>709045</v>
      </c>
      <c r="BW102" s="250">
        <v>448369</v>
      </c>
      <c r="BX102" s="1401">
        <v>0</v>
      </c>
    </row>
    <row r="103" spans="1:76">
      <c r="A103" s="647">
        <v>45021</v>
      </c>
      <c r="B103" s="385">
        <v>1061.73</v>
      </c>
      <c r="C103" s="250">
        <v>586.38</v>
      </c>
      <c r="D103" s="250">
        <v>6851.9</v>
      </c>
      <c r="E103" s="1312">
        <v>0</v>
      </c>
      <c r="F103" s="250">
        <v>17715.3</v>
      </c>
      <c r="G103" s="250">
        <v>5613.1</v>
      </c>
      <c r="H103" s="250">
        <v>578207.19999999995</v>
      </c>
      <c r="I103" s="250">
        <v>267460.5</v>
      </c>
      <c r="J103" s="250">
        <v>205054.6</v>
      </c>
      <c r="K103" s="219">
        <v>14958.9</v>
      </c>
      <c r="L103" s="250">
        <v>7011</v>
      </c>
      <c r="M103" s="250">
        <v>45579.5</v>
      </c>
      <c r="N103" s="250">
        <v>36248.9</v>
      </c>
      <c r="O103" s="250">
        <v>137348.5</v>
      </c>
      <c r="P103" s="250">
        <v>113941.6</v>
      </c>
      <c r="Q103" s="250">
        <v>139581.9</v>
      </c>
      <c r="R103" s="250">
        <v>95757.2</v>
      </c>
      <c r="S103" s="1014">
        <v>14051.63</v>
      </c>
      <c r="T103" s="1014">
        <v>10671.64</v>
      </c>
      <c r="U103" s="250">
        <v>31440.7</v>
      </c>
      <c r="V103" s="250">
        <v>16307.8</v>
      </c>
      <c r="W103" s="250">
        <v>210635.5</v>
      </c>
      <c r="X103" s="1014">
        <v>345.9</v>
      </c>
      <c r="Y103" s="1014">
        <v>50716</v>
      </c>
      <c r="Z103" s="250">
        <v>577203.30000000005</v>
      </c>
      <c r="AA103" s="250">
        <v>294124.40000000002</v>
      </c>
      <c r="AB103" s="250">
        <v>210588.1</v>
      </c>
      <c r="AC103" s="1014">
        <v>1112.4000000000001</v>
      </c>
      <c r="AD103" s="1081">
        <v>942</v>
      </c>
      <c r="AE103" s="250">
        <v>35476.199999999997</v>
      </c>
      <c r="AF103" s="250">
        <v>25292.7</v>
      </c>
      <c r="AG103" s="250">
        <v>82289.8</v>
      </c>
      <c r="AH103" s="250">
        <v>63621.599999999999</v>
      </c>
      <c r="AI103" s="250">
        <v>65438.5</v>
      </c>
      <c r="AJ103" s="250">
        <v>53290.6</v>
      </c>
      <c r="AK103" s="250">
        <v>59206.8</v>
      </c>
      <c r="AL103" s="250">
        <v>23281.4</v>
      </c>
      <c r="AM103" s="250">
        <v>16.5</v>
      </c>
      <c r="AN103" s="250">
        <v>17.7</v>
      </c>
      <c r="AO103" s="250">
        <v>487987.4</v>
      </c>
      <c r="AP103" s="250">
        <v>225187.6</v>
      </c>
      <c r="AQ103" s="250">
        <v>64995.7</v>
      </c>
      <c r="AR103" s="250"/>
      <c r="AS103" s="250">
        <v>455894.2</v>
      </c>
      <c r="AT103" s="250">
        <v>200680.9</v>
      </c>
      <c r="AU103" s="250">
        <v>78955</v>
      </c>
      <c r="AV103" s="250">
        <v>4310.8</v>
      </c>
      <c r="AW103" s="250">
        <v>2871.7</v>
      </c>
      <c r="AX103" s="250">
        <v>220.67</v>
      </c>
      <c r="AY103" s="250">
        <v>133.55000000000001</v>
      </c>
      <c r="AZ103" s="250">
        <v>793.87400000000002</v>
      </c>
      <c r="BA103" s="250">
        <v>338.154</v>
      </c>
      <c r="BB103" s="250">
        <v>1792.6</v>
      </c>
      <c r="BC103" s="250">
        <v>2937.2</v>
      </c>
      <c r="BD103" s="250">
        <v>455.3</v>
      </c>
      <c r="BE103" s="250">
        <v>6004.43</v>
      </c>
      <c r="BF103" s="250">
        <v>33390.356140350901</v>
      </c>
      <c r="BG103" s="250">
        <v>9692.8795700307091</v>
      </c>
      <c r="BH103" s="250">
        <v>5404.25</v>
      </c>
      <c r="BI103" s="250">
        <v>2514334.7000000002</v>
      </c>
      <c r="BJ103" s="250">
        <v>506</v>
      </c>
      <c r="BK103" s="250">
        <v>19499.400000000001</v>
      </c>
      <c r="BL103" s="250">
        <v>3240547</v>
      </c>
      <c r="BM103" s="250">
        <v>102065</v>
      </c>
      <c r="BN103" s="250">
        <v>20119.2</v>
      </c>
      <c r="BO103" s="250">
        <v>2906809</v>
      </c>
      <c r="BP103" s="250">
        <v>132111</v>
      </c>
      <c r="BQ103" s="250">
        <v>17141.7</v>
      </c>
      <c r="BR103" s="250">
        <v>8400.7999999999993</v>
      </c>
      <c r="BS103" s="250">
        <v>5723.8</v>
      </c>
      <c r="BT103" s="250">
        <v>1073613</v>
      </c>
      <c r="BU103" s="250">
        <v>610294</v>
      </c>
      <c r="BV103" s="250">
        <v>709045</v>
      </c>
      <c r="BW103" s="250">
        <v>448370</v>
      </c>
      <c r="BX103" s="1401">
        <v>0</v>
      </c>
    </row>
    <row r="104" spans="1:76">
      <c r="A104" s="647">
        <v>45022</v>
      </c>
      <c r="B104" s="385">
        <v>1061.73</v>
      </c>
      <c r="C104" s="250">
        <v>586.38</v>
      </c>
      <c r="D104" s="250">
        <v>6851.9</v>
      </c>
      <c r="E104" s="1312">
        <v>0</v>
      </c>
      <c r="F104" s="250">
        <v>17728.5</v>
      </c>
      <c r="G104" s="250">
        <v>5619.2</v>
      </c>
      <c r="H104" s="250">
        <v>578376</v>
      </c>
      <c r="I104" s="250">
        <v>267545</v>
      </c>
      <c r="J104" s="250">
        <v>205078.6</v>
      </c>
      <c r="K104" s="219">
        <v>14958.9</v>
      </c>
      <c r="L104" s="250">
        <v>7011</v>
      </c>
      <c r="M104" s="250">
        <v>45619.199999999997</v>
      </c>
      <c r="N104" s="250">
        <v>36281</v>
      </c>
      <c r="O104" s="250">
        <v>137363.79999999999</v>
      </c>
      <c r="P104" s="250">
        <v>113954.2</v>
      </c>
      <c r="Q104" s="250">
        <v>139597.5</v>
      </c>
      <c r="R104" s="250">
        <v>95768.4</v>
      </c>
      <c r="S104" s="1014">
        <v>14051.63</v>
      </c>
      <c r="T104" s="1014">
        <v>10671.64</v>
      </c>
      <c r="U104" s="250">
        <v>31592</v>
      </c>
      <c r="V104" s="250">
        <v>16381</v>
      </c>
      <c r="W104" s="250">
        <v>210659.5</v>
      </c>
      <c r="X104" s="1014">
        <v>345.9</v>
      </c>
      <c r="Y104" s="1014">
        <v>50716</v>
      </c>
      <c r="Z104" s="250">
        <v>577512</v>
      </c>
      <c r="AA104" s="250">
        <v>294286</v>
      </c>
      <c r="AB104" s="250">
        <v>210612.1</v>
      </c>
      <c r="AC104" s="1014">
        <v>1112.4000000000001</v>
      </c>
      <c r="AD104" s="1081">
        <v>942</v>
      </c>
      <c r="AE104" s="250">
        <v>35478.400000000001</v>
      </c>
      <c r="AF104" s="250">
        <v>25294.3</v>
      </c>
      <c r="AG104" s="250">
        <v>82299</v>
      </c>
      <c r="AH104" s="250">
        <v>63628.800000000003</v>
      </c>
      <c r="AI104" s="250">
        <v>65438.5</v>
      </c>
      <c r="AJ104" s="250">
        <v>53290.6</v>
      </c>
      <c r="AK104" s="250">
        <v>59216.9</v>
      </c>
      <c r="AL104" s="250">
        <v>23285.3</v>
      </c>
      <c r="AM104" s="250">
        <v>16.5</v>
      </c>
      <c r="AN104" s="250">
        <v>17.7</v>
      </c>
      <c r="AO104" s="250">
        <v>488156</v>
      </c>
      <c r="AP104" s="250">
        <v>225265</v>
      </c>
      <c r="AQ104" s="250">
        <v>65000</v>
      </c>
      <c r="AR104" s="250"/>
      <c r="AS104" s="250">
        <v>456048</v>
      </c>
      <c r="AT104" s="250">
        <v>200748</v>
      </c>
      <c r="AU104" s="250">
        <v>78979</v>
      </c>
      <c r="AV104" s="250">
        <v>4313.3</v>
      </c>
      <c r="AW104" s="250">
        <v>2873.5</v>
      </c>
      <c r="AX104" s="250">
        <v>220.8</v>
      </c>
      <c r="AY104" s="250">
        <v>133.63999999999999</v>
      </c>
      <c r="AZ104" s="250">
        <v>793.87400000000002</v>
      </c>
      <c r="BA104" s="250">
        <v>338.154</v>
      </c>
      <c r="BB104" s="250">
        <v>1792.6</v>
      </c>
      <c r="BC104" s="250">
        <v>2939</v>
      </c>
      <c r="BD104" s="250">
        <v>455.3</v>
      </c>
      <c r="BE104" s="250">
        <v>6386.3</v>
      </c>
      <c r="BF104" s="250">
        <v>33356.677192982497</v>
      </c>
      <c r="BG104" s="250">
        <v>9489.9605797448403</v>
      </c>
      <c r="BH104" s="250">
        <v>6600.88</v>
      </c>
      <c r="BI104" s="250">
        <v>2516500</v>
      </c>
      <c r="BJ104" s="250">
        <v>507</v>
      </c>
      <c r="BK104" s="250">
        <v>19523.400000000001</v>
      </c>
      <c r="BL104" s="250">
        <v>3240547</v>
      </c>
      <c r="BM104" s="250">
        <v>102065</v>
      </c>
      <c r="BN104" s="250">
        <v>20119.2</v>
      </c>
      <c r="BO104" s="250">
        <v>2911631</v>
      </c>
      <c r="BP104" s="250">
        <v>132987</v>
      </c>
      <c r="BQ104" s="250">
        <v>17165.7</v>
      </c>
      <c r="BR104" s="250">
        <v>8409</v>
      </c>
      <c r="BS104" s="250">
        <v>5729</v>
      </c>
      <c r="BT104" s="250">
        <v>1074768</v>
      </c>
      <c r="BU104" s="250">
        <v>610935</v>
      </c>
      <c r="BV104" s="250">
        <v>709195</v>
      </c>
      <c r="BW104" s="250">
        <v>448458</v>
      </c>
      <c r="BX104" s="1401">
        <v>0</v>
      </c>
    </row>
    <row r="105" spans="1:76">
      <c r="A105" s="647">
        <v>45023</v>
      </c>
      <c r="B105" s="385">
        <v>1061.73</v>
      </c>
      <c r="C105" s="250">
        <v>586.38</v>
      </c>
      <c r="D105" s="250">
        <v>6851.9</v>
      </c>
      <c r="E105" s="1312">
        <v>0</v>
      </c>
      <c r="F105" s="250">
        <v>17741.099999999999</v>
      </c>
      <c r="G105" s="250">
        <v>5625</v>
      </c>
      <c r="H105" s="250">
        <v>578542</v>
      </c>
      <c r="I105" s="250">
        <v>267630</v>
      </c>
      <c r="J105" s="250">
        <v>205102.6</v>
      </c>
      <c r="K105" s="219">
        <v>14959</v>
      </c>
      <c r="L105" s="250">
        <v>7011</v>
      </c>
      <c r="M105" s="250">
        <v>45661.5</v>
      </c>
      <c r="N105" s="250">
        <v>36315.5</v>
      </c>
      <c r="O105" s="250">
        <v>137378.70000000001</v>
      </c>
      <c r="P105" s="250">
        <v>113966.5</v>
      </c>
      <c r="Q105" s="250">
        <v>139612.79999999999</v>
      </c>
      <c r="R105" s="250">
        <v>95779.5</v>
      </c>
      <c r="S105" s="1014">
        <v>14051.63</v>
      </c>
      <c r="T105" s="1014">
        <v>10671.64</v>
      </c>
      <c r="U105" s="250">
        <v>31740</v>
      </c>
      <c r="V105" s="250">
        <v>16457</v>
      </c>
      <c r="W105" s="250">
        <v>210683.5</v>
      </c>
      <c r="X105" s="1014">
        <v>345.9</v>
      </c>
      <c r="Y105" s="1014">
        <v>50716</v>
      </c>
      <c r="Z105" s="250">
        <v>577826</v>
      </c>
      <c r="AA105" s="250">
        <v>294450</v>
      </c>
      <c r="AB105" s="250">
        <v>210636.1</v>
      </c>
      <c r="AC105" s="1014">
        <v>1112.4000000000001</v>
      </c>
      <c r="AD105" s="1081">
        <v>942</v>
      </c>
      <c r="AE105" s="250">
        <v>35480.6</v>
      </c>
      <c r="AF105" s="250">
        <v>25296</v>
      </c>
      <c r="AG105" s="250">
        <v>82309</v>
      </c>
      <c r="AH105" s="250">
        <v>63636.4</v>
      </c>
      <c r="AI105" s="250">
        <v>65438.5</v>
      </c>
      <c r="AJ105" s="250">
        <v>53290.6</v>
      </c>
      <c r="AK105" s="250">
        <v>59229.2</v>
      </c>
      <c r="AL105" s="250">
        <v>23290.2</v>
      </c>
      <c r="AM105" s="250">
        <v>16.5</v>
      </c>
      <c r="AN105" s="250">
        <v>17.7</v>
      </c>
      <c r="AO105" s="250">
        <v>488326</v>
      </c>
      <c r="AP105" s="250">
        <v>225342</v>
      </c>
      <c r="AQ105" s="250">
        <v>65004</v>
      </c>
      <c r="AR105" s="250"/>
      <c r="AS105" s="250">
        <v>456202</v>
      </c>
      <c r="AT105" s="250">
        <v>200814</v>
      </c>
      <c r="AU105" s="250">
        <v>79003</v>
      </c>
      <c r="AV105" s="250">
        <v>4316</v>
      </c>
      <c r="AW105" s="250">
        <v>2875.4</v>
      </c>
      <c r="AX105" s="250">
        <v>220.8</v>
      </c>
      <c r="AY105" s="250">
        <v>133.63999999999999</v>
      </c>
      <c r="AZ105" s="250">
        <v>793.87400000000002</v>
      </c>
      <c r="BA105" s="250">
        <v>338.154</v>
      </c>
      <c r="BB105" s="250">
        <v>1792.6</v>
      </c>
      <c r="BC105" s="250">
        <v>2941.1</v>
      </c>
      <c r="BD105" s="250">
        <v>455.3</v>
      </c>
      <c r="BE105" s="250">
        <v>6074.88</v>
      </c>
      <c r="BF105" s="250">
        <v>30799.2807017544</v>
      </c>
      <c r="BG105" s="250">
        <v>9930.7662402141996</v>
      </c>
      <c r="BH105" s="250">
        <v>5754.63</v>
      </c>
      <c r="BI105" s="250">
        <v>2518500</v>
      </c>
      <c r="BJ105" s="250">
        <v>508</v>
      </c>
      <c r="BK105" s="250">
        <v>19547</v>
      </c>
      <c r="BL105" s="250">
        <v>3240547</v>
      </c>
      <c r="BM105" s="250">
        <v>102065</v>
      </c>
      <c r="BN105" s="250">
        <v>20119.2</v>
      </c>
      <c r="BO105" s="250">
        <v>2916630</v>
      </c>
      <c r="BP105" s="250">
        <v>133898</v>
      </c>
      <c r="BQ105" s="250">
        <v>17189.7</v>
      </c>
      <c r="BR105" s="250">
        <v>8416.7000000000007</v>
      </c>
      <c r="BS105" s="250">
        <v>5734.1</v>
      </c>
      <c r="BT105" s="250">
        <v>1076181</v>
      </c>
      <c r="BU105" s="250">
        <v>611710</v>
      </c>
      <c r="BV105" s="250">
        <v>709196</v>
      </c>
      <c r="BW105" s="250">
        <v>448459</v>
      </c>
      <c r="BX105" s="1401">
        <v>0</v>
      </c>
    </row>
    <row r="106" spans="1:76">
      <c r="A106" s="647">
        <v>45024</v>
      </c>
      <c r="B106" s="385">
        <v>1061.73</v>
      </c>
      <c r="C106" s="250">
        <v>586.38</v>
      </c>
      <c r="D106" s="250">
        <v>6851.9</v>
      </c>
      <c r="E106" s="1312">
        <v>0</v>
      </c>
      <c r="F106" s="250">
        <v>17753.2</v>
      </c>
      <c r="G106" s="250">
        <v>5631</v>
      </c>
      <c r="H106" s="250">
        <v>578704</v>
      </c>
      <c r="I106" s="250">
        <v>267712</v>
      </c>
      <c r="J106" s="250">
        <v>205126.6</v>
      </c>
      <c r="K106" s="219">
        <v>14959</v>
      </c>
      <c r="L106" s="250">
        <v>7011</v>
      </c>
      <c r="M106" s="250">
        <v>45703.199999999997</v>
      </c>
      <c r="N106" s="250">
        <v>36349.4</v>
      </c>
      <c r="O106" s="250">
        <v>137393.29999999999</v>
      </c>
      <c r="P106" s="250">
        <v>113978.3</v>
      </c>
      <c r="Q106" s="250">
        <v>139626.70000000001</v>
      </c>
      <c r="R106" s="250">
        <v>95789.4</v>
      </c>
      <c r="S106" s="1014">
        <v>14051.63</v>
      </c>
      <c r="T106" s="1014">
        <v>10671.64</v>
      </c>
      <c r="U106" s="250">
        <v>31886</v>
      </c>
      <c r="V106" s="250">
        <v>16534</v>
      </c>
      <c r="W106" s="250">
        <v>210707.5</v>
      </c>
      <c r="X106" s="1014">
        <v>345.9</v>
      </c>
      <c r="Y106" s="1014">
        <v>50716</v>
      </c>
      <c r="Z106" s="250">
        <v>578134</v>
      </c>
      <c r="AA106" s="250">
        <v>294606</v>
      </c>
      <c r="AB106" s="250">
        <v>210660.1</v>
      </c>
      <c r="AC106" s="1014">
        <v>1112.4000000000001</v>
      </c>
      <c r="AD106" s="1081">
        <v>942</v>
      </c>
      <c r="AE106" s="250">
        <v>35483</v>
      </c>
      <c r="AF106" s="250">
        <v>25297.599999999999</v>
      </c>
      <c r="AG106" s="250">
        <v>82316.3</v>
      </c>
      <c r="AH106" s="250">
        <v>63642.1</v>
      </c>
      <c r="AI106" s="250">
        <v>65438.5</v>
      </c>
      <c r="AJ106" s="250">
        <v>53290.6</v>
      </c>
      <c r="AK106" s="250">
        <v>59242.9</v>
      </c>
      <c r="AL106" s="250">
        <v>23295.599999999999</v>
      </c>
      <c r="AM106" s="250">
        <v>16.5</v>
      </c>
      <c r="AN106" s="250">
        <v>17.7</v>
      </c>
      <c r="AO106" s="250">
        <v>488492</v>
      </c>
      <c r="AP106" s="250">
        <v>225418</v>
      </c>
      <c r="AQ106" s="422">
        <v>65008</v>
      </c>
      <c r="AR106" s="1014"/>
      <c r="AS106" s="250">
        <v>456352</v>
      </c>
      <c r="AT106" s="250">
        <v>200879</v>
      </c>
      <c r="AU106" s="250">
        <v>79027</v>
      </c>
      <c r="AV106" s="250">
        <v>4318.8</v>
      </c>
      <c r="AW106" s="250">
        <v>2877.3</v>
      </c>
      <c r="AX106" s="250">
        <v>220.8</v>
      </c>
      <c r="AY106" s="250">
        <v>133.63999999999999</v>
      </c>
      <c r="AZ106" s="250">
        <v>793.87400000000002</v>
      </c>
      <c r="BA106" s="250">
        <v>338.154</v>
      </c>
      <c r="BB106" s="250">
        <v>1792.6</v>
      </c>
      <c r="BC106" s="250">
        <v>2943.4</v>
      </c>
      <c r="BD106" s="250">
        <v>455.3</v>
      </c>
      <c r="BE106" s="250">
        <v>5798.71</v>
      </c>
      <c r="BF106" s="250">
        <v>30490.3543859649</v>
      </c>
      <c r="BG106" s="1014">
        <v>10363.526500341301</v>
      </c>
      <c r="BH106" s="250">
        <v>5635.8</v>
      </c>
      <c r="BI106" s="250">
        <v>2520600</v>
      </c>
      <c r="BJ106" s="250">
        <v>509</v>
      </c>
      <c r="BK106" s="250">
        <v>19571</v>
      </c>
      <c r="BL106" s="250">
        <v>3240547</v>
      </c>
      <c r="BM106" s="250">
        <v>102065</v>
      </c>
      <c r="BN106" s="250">
        <v>20119.2</v>
      </c>
      <c r="BO106" s="250">
        <v>2921350</v>
      </c>
      <c r="BP106" s="250">
        <v>134937</v>
      </c>
      <c r="BQ106" s="250">
        <v>17213.7</v>
      </c>
      <c r="BR106" s="250">
        <v>8424.2000000000007</v>
      </c>
      <c r="BS106" s="250">
        <v>5739.1</v>
      </c>
      <c r="BT106" s="250">
        <v>1077556</v>
      </c>
      <c r="BU106" s="250">
        <v>612462</v>
      </c>
      <c r="BV106" s="250">
        <v>709196</v>
      </c>
      <c r="BW106" s="250">
        <v>448459</v>
      </c>
      <c r="BX106" s="1401">
        <v>0</v>
      </c>
    </row>
    <row r="107" spans="1:76">
      <c r="A107" s="647">
        <v>45025</v>
      </c>
      <c r="B107" s="385">
        <v>1061.73</v>
      </c>
      <c r="C107" s="250">
        <v>586.38</v>
      </c>
      <c r="D107" s="250">
        <v>6851.9</v>
      </c>
      <c r="E107" s="1312">
        <v>0</v>
      </c>
      <c r="F107" s="250">
        <v>17765.5</v>
      </c>
      <c r="G107" s="250">
        <v>5636.8</v>
      </c>
      <c r="H107" s="250">
        <v>578870</v>
      </c>
      <c r="I107" s="250">
        <v>267796</v>
      </c>
      <c r="J107" s="250">
        <v>205150.6</v>
      </c>
      <c r="K107" s="219">
        <v>14959</v>
      </c>
      <c r="L107" s="250">
        <v>7011</v>
      </c>
      <c r="M107" s="250">
        <v>45743.6</v>
      </c>
      <c r="N107" s="250">
        <v>36382.300000000003</v>
      </c>
      <c r="O107" s="250">
        <v>137407.79999999999</v>
      </c>
      <c r="P107" s="250">
        <v>113989.8</v>
      </c>
      <c r="Q107" s="250">
        <v>139640.6</v>
      </c>
      <c r="R107" s="250">
        <v>95799.4</v>
      </c>
      <c r="S107" s="1014">
        <v>14051.63</v>
      </c>
      <c r="T107" s="1014">
        <v>10671.64</v>
      </c>
      <c r="U107" s="250">
        <v>32035</v>
      </c>
      <c r="V107" s="250">
        <v>16612</v>
      </c>
      <c r="W107" s="250">
        <v>210731.5</v>
      </c>
      <c r="X107" s="1014">
        <v>345.9</v>
      </c>
      <c r="Y107" s="1014">
        <v>50716</v>
      </c>
      <c r="Z107" s="250">
        <v>578433</v>
      </c>
      <c r="AA107" s="250">
        <v>294758</v>
      </c>
      <c r="AB107" s="250">
        <v>210684.1</v>
      </c>
      <c r="AC107" s="1014">
        <v>1112.4000000000001</v>
      </c>
      <c r="AD107" s="1081">
        <v>942</v>
      </c>
      <c r="AE107" s="250">
        <v>35485.4</v>
      </c>
      <c r="AF107" s="250">
        <v>25299.3</v>
      </c>
      <c r="AG107" s="250">
        <v>82322.600000000006</v>
      </c>
      <c r="AH107" s="250">
        <v>63646.9</v>
      </c>
      <c r="AI107" s="250">
        <v>65438.5</v>
      </c>
      <c r="AJ107" s="250">
        <v>53290.6</v>
      </c>
      <c r="AK107" s="250">
        <v>59255.1</v>
      </c>
      <c r="AL107" s="250">
        <v>23300.3</v>
      </c>
      <c r="AM107" s="250">
        <v>16.5</v>
      </c>
      <c r="AN107" s="250">
        <v>17.7</v>
      </c>
      <c r="AO107" s="250">
        <v>488654</v>
      </c>
      <c r="AP107" s="250">
        <v>225492</v>
      </c>
      <c r="AQ107" s="422">
        <v>65012</v>
      </c>
      <c r="AR107" s="1014"/>
      <c r="AS107" s="250">
        <v>456501</v>
      </c>
      <c r="AT107" s="250">
        <v>200943</v>
      </c>
      <c r="AU107" s="250">
        <v>79051</v>
      </c>
      <c r="AV107" s="250">
        <v>4321.5</v>
      </c>
      <c r="AW107" s="250">
        <v>2879.2</v>
      </c>
      <c r="AX107" s="1014">
        <v>221.11</v>
      </c>
      <c r="AY107" s="1014">
        <v>133.79</v>
      </c>
      <c r="AZ107" s="250">
        <v>793.87400000000002</v>
      </c>
      <c r="BA107" s="250">
        <v>338.154</v>
      </c>
      <c r="BB107" s="250">
        <v>1792.6</v>
      </c>
      <c r="BC107" s="250">
        <v>2945.7</v>
      </c>
      <c r="BD107" s="250">
        <v>455.3</v>
      </c>
      <c r="BE107" s="250">
        <v>5734.93</v>
      </c>
      <c r="BF107" s="250">
        <v>29387.143859649099</v>
      </c>
      <c r="BG107" s="1014">
        <v>10087.747131124501</v>
      </c>
      <c r="BH107" s="250">
        <v>5437.47</v>
      </c>
      <c r="BI107" s="250">
        <v>2522700</v>
      </c>
      <c r="BJ107" s="250">
        <v>510</v>
      </c>
      <c r="BK107" s="250">
        <v>19595</v>
      </c>
      <c r="BL107" s="250">
        <v>3240547</v>
      </c>
      <c r="BM107" s="250">
        <v>102065</v>
      </c>
      <c r="BN107" s="250">
        <v>20119.2</v>
      </c>
      <c r="BO107" s="250">
        <v>2926212</v>
      </c>
      <c r="BP107" s="250">
        <v>136000</v>
      </c>
      <c r="BQ107" s="250">
        <v>17237.7</v>
      </c>
      <c r="BR107" s="250">
        <v>8431.7999999999993</v>
      </c>
      <c r="BS107" s="250">
        <v>5744</v>
      </c>
      <c r="BT107" s="250">
        <v>1078976</v>
      </c>
      <c r="BU107" s="250">
        <v>613240</v>
      </c>
      <c r="BV107" s="250">
        <v>709482</v>
      </c>
      <c r="BW107" s="250">
        <v>448616</v>
      </c>
      <c r="BX107" s="1401">
        <v>0</v>
      </c>
    </row>
    <row r="108" spans="1:76">
      <c r="A108" s="647">
        <v>45026</v>
      </c>
      <c r="B108" s="385">
        <v>1061.73</v>
      </c>
      <c r="C108" s="250">
        <v>586.38</v>
      </c>
      <c r="D108" s="250">
        <v>6851.9</v>
      </c>
      <c r="E108" s="1312">
        <v>0</v>
      </c>
      <c r="F108" s="250">
        <v>17777.7</v>
      </c>
      <c r="G108" s="250">
        <v>5642.2</v>
      </c>
      <c r="H108" s="250">
        <v>579032</v>
      </c>
      <c r="I108" s="250">
        <v>267880</v>
      </c>
      <c r="J108" s="250">
        <v>205174.6</v>
      </c>
      <c r="K108" s="219">
        <v>14959</v>
      </c>
      <c r="L108" s="250">
        <v>7011</v>
      </c>
      <c r="M108" s="250">
        <v>45783.7</v>
      </c>
      <c r="N108" s="250">
        <v>36414.800000000003</v>
      </c>
      <c r="O108" s="250">
        <v>137422.39999999999</v>
      </c>
      <c r="P108" s="250">
        <v>114001.4</v>
      </c>
      <c r="Q108" s="250">
        <v>139655.29999999999</v>
      </c>
      <c r="R108" s="250">
        <v>95809.4</v>
      </c>
      <c r="S108" s="1014">
        <v>14051.63</v>
      </c>
      <c r="T108" s="1014">
        <v>10671.64</v>
      </c>
      <c r="U108" s="250">
        <v>32181</v>
      </c>
      <c r="V108" s="250">
        <v>16690</v>
      </c>
      <c r="W108" s="250">
        <v>210755.5</v>
      </c>
      <c r="X108" s="1014">
        <v>345.9</v>
      </c>
      <c r="Y108" s="1014">
        <v>50716</v>
      </c>
      <c r="Z108" s="250">
        <v>578736</v>
      </c>
      <c r="AA108" s="250">
        <v>294911</v>
      </c>
      <c r="AB108" s="250">
        <v>210708.1</v>
      </c>
      <c r="AC108" s="1014">
        <v>1112.4000000000001</v>
      </c>
      <c r="AD108" s="1081">
        <v>942</v>
      </c>
      <c r="AE108" s="250">
        <v>35488</v>
      </c>
      <c r="AF108" s="250">
        <v>25301.1</v>
      </c>
      <c r="AG108" s="250">
        <v>82330.2</v>
      </c>
      <c r="AH108" s="250">
        <v>63652.7</v>
      </c>
      <c r="AI108" s="250">
        <v>65438.5</v>
      </c>
      <c r="AJ108" s="250">
        <v>53290.6</v>
      </c>
      <c r="AK108" s="250">
        <v>59266.3</v>
      </c>
      <c r="AL108" s="250">
        <v>23304.7</v>
      </c>
      <c r="AM108" s="250">
        <v>16.5</v>
      </c>
      <c r="AN108" s="250">
        <v>17.7</v>
      </c>
      <c r="AO108" s="250">
        <v>488822</v>
      </c>
      <c r="AP108" s="250">
        <v>225569</v>
      </c>
      <c r="AQ108" s="422">
        <v>65017</v>
      </c>
      <c r="AR108" s="1014"/>
      <c r="AS108" s="250">
        <v>456651</v>
      </c>
      <c r="AT108" s="250">
        <v>201008</v>
      </c>
      <c r="AU108" s="250">
        <v>79075</v>
      </c>
      <c r="AV108" s="250">
        <v>4324.3</v>
      </c>
      <c r="AW108" s="250">
        <v>2881.2</v>
      </c>
      <c r="AX108" s="1014">
        <v>221.11</v>
      </c>
      <c r="AY108" s="1014">
        <v>133.79</v>
      </c>
      <c r="AZ108" s="250">
        <v>793.87400000000002</v>
      </c>
      <c r="BA108" s="250">
        <v>338.154</v>
      </c>
      <c r="BB108" s="250">
        <v>1792.6</v>
      </c>
      <c r="BC108" s="250">
        <v>2948</v>
      </c>
      <c r="BD108" s="250">
        <v>455.3</v>
      </c>
      <c r="BE108" s="250">
        <v>6193.27</v>
      </c>
      <c r="BF108" s="250">
        <v>32679.3438596491</v>
      </c>
      <c r="BG108" s="1014">
        <v>5600.5547354546597</v>
      </c>
      <c r="BH108" s="250">
        <v>5864.78</v>
      </c>
      <c r="BI108" s="250">
        <v>2525000</v>
      </c>
      <c r="BJ108" s="250">
        <v>511</v>
      </c>
      <c r="BK108" s="250">
        <v>19619</v>
      </c>
      <c r="BL108" s="250">
        <v>3240547</v>
      </c>
      <c r="BM108" s="250">
        <v>102065</v>
      </c>
      <c r="BN108" s="250">
        <v>20119.2</v>
      </c>
      <c r="BO108" s="250">
        <v>2930966</v>
      </c>
      <c r="BP108" s="250">
        <v>136949</v>
      </c>
      <c r="BQ108" s="250">
        <v>17261.7</v>
      </c>
      <c r="BR108" s="250">
        <v>8439</v>
      </c>
      <c r="BS108" s="250">
        <v>5748.7</v>
      </c>
      <c r="BT108" s="250">
        <v>1080347</v>
      </c>
      <c r="BU108" s="250">
        <v>613989</v>
      </c>
      <c r="BV108" s="250">
        <v>709493</v>
      </c>
      <c r="BW108" s="250">
        <v>448617</v>
      </c>
      <c r="BX108" s="1401">
        <v>0</v>
      </c>
    </row>
    <row r="109" spans="1:76">
      <c r="A109" s="647">
        <v>45027</v>
      </c>
      <c r="B109" s="385">
        <v>1062.06</v>
      </c>
      <c r="C109" s="250">
        <v>586.548</v>
      </c>
      <c r="D109" s="250">
        <v>6852.5</v>
      </c>
      <c r="E109" s="1312">
        <v>0.6</v>
      </c>
      <c r="F109" s="250">
        <v>17790</v>
      </c>
      <c r="G109" s="250">
        <v>5647.3</v>
      </c>
      <c r="H109" s="250">
        <v>579195</v>
      </c>
      <c r="I109" s="250">
        <v>267963</v>
      </c>
      <c r="J109" s="250">
        <v>205198.6</v>
      </c>
      <c r="K109" s="219">
        <v>14959</v>
      </c>
      <c r="L109" s="250">
        <v>7011</v>
      </c>
      <c r="M109" s="250">
        <v>45824</v>
      </c>
      <c r="N109" s="250">
        <v>36447.300000000003</v>
      </c>
      <c r="O109" s="250">
        <v>137436.6</v>
      </c>
      <c r="P109" s="250">
        <v>114012.9</v>
      </c>
      <c r="Q109" s="250">
        <v>139670.1</v>
      </c>
      <c r="R109" s="250">
        <v>95819.5</v>
      </c>
      <c r="S109" s="1014">
        <v>14051.63</v>
      </c>
      <c r="T109" s="1014">
        <v>10671.64</v>
      </c>
      <c r="U109" s="250">
        <v>32330</v>
      </c>
      <c r="V109" s="250">
        <v>16766</v>
      </c>
      <c r="W109" s="250">
        <v>210779.5</v>
      </c>
      <c r="X109" s="1014">
        <v>345.9</v>
      </c>
      <c r="Y109" s="1014">
        <v>50716</v>
      </c>
      <c r="Z109" s="250">
        <v>579032</v>
      </c>
      <c r="AA109" s="250">
        <v>295063</v>
      </c>
      <c r="AB109" s="250">
        <v>210732.1</v>
      </c>
      <c r="AC109" s="1014">
        <v>1112.4000000000001</v>
      </c>
      <c r="AD109" s="1081">
        <v>942</v>
      </c>
      <c r="AE109" s="250">
        <v>35490.5</v>
      </c>
      <c r="AF109" s="250">
        <v>25302.9</v>
      </c>
      <c r="AG109" s="250">
        <v>82335.8</v>
      </c>
      <c r="AH109" s="250">
        <v>63657</v>
      </c>
      <c r="AI109" s="250">
        <v>65438.5</v>
      </c>
      <c r="AJ109" s="250">
        <v>53290.6</v>
      </c>
      <c r="AK109" s="250">
        <v>59274.400000000001</v>
      </c>
      <c r="AL109" s="250">
        <v>23307.8</v>
      </c>
      <c r="AM109" s="250">
        <v>16.5</v>
      </c>
      <c r="AN109" s="250">
        <v>17.7</v>
      </c>
      <c r="AO109" s="250">
        <v>488990</v>
      </c>
      <c r="AP109" s="250">
        <v>225646</v>
      </c>
      <c r="AQ109" s="422">
        <v>65022</v>
      </c>
      <c r="AR109" s="1014"/>
      <c r="AS109" s="250">
        <v>456803</v>
      </c>
      <c r="AT109" s="250">
        <v>201074</v>
      </c>
      <c r="AU109" s="250">
        <v>79099</v>
      </c>
      <c r="AV109" s="250">
        <v>4327.2</v>
      </c>
      <c r="AW109" s="250">
        <v>2883.2</v>
      </c>
      <c r="AX109" s="1014">
        <v>221.15</v>
      </c>
      <c r="AY109" s="1014">
        <v>133.81</v>
      </c>
      <c r="AZ109" s="250">
        <v>794.27700000000004</v>
      </c>
      <c r="BA109" s="250">
        <v>338.30700000000002</v>
      </c>
      <c r="BB109" s="250">
        <v>1793.2</v>
      </c>
      <c r="BC109" s="250">
        <v>2950.4</v>
      </c>
      <c r="BD109" s="250">
        <v>455.3</v>
      </c>
      <c r="BE109" s="250">
        <v>5678.48</v>
      </c>
      <c r="BF109" s="250">
        <v>32058.159649122801</v>
      </c>
      <c r="BG109" s="1014">
        <v>7377.2743725119899</v>
      </c>
      <c r="BH109" s="250">
        <v>5245.77</v>
      </c>
      <c r="BI109" s="250">
        <v>2527200</v>
      </c>
      <c r="BJ109" s="250">
        <v>512</v>
      </c>
      <c r="BK109" s="250">
        <v>19643</v>
      </c>
      <c r="BL109" s="250">
        <v>3240547</v>
      </c>
      <c r="BM109" s="250">
        <v>102065</v>
      </c>
      <c r="BN109" s="250">
        <v>20119.2</v>
      </c>
      <c r="BO109" s="250">
        <v>2935728</v>
      </c>
      <c r="BP109" s="250">
        <v>137579</v>
      </c>
      <c r="BQ109" s="250">
        <v>17285.7</v>
      </c>
      <c r="BR109" s="250">
        <v>8446.2999999999993</v>
      </c>
      <c r="BS109" s="250">
        <v>5753.5</v>
      </c>
      <c r="BT109" s="250">
        <v>1081724</v>
      </c>
      <c r="BU109" s="250">
        <v>614755</v>
      </c>
      <c r="BV109" s="250">
        <v>709518</v>
      </c>
      <c r="BW109" s="250">
        <v>448640</v>
      </c>
      <c r="BX109" s="1324">
        <v>0.5</v>
      </c>
    </row>
    <row r="110" spans="1:76">
      <c r="A110" s="647">
        <v>45028</v>
      </c>
      <c r="B110" s="385">
        <v>1062.06</v>
      </c>
      <c r="C110" s="250">
        <v>586.548</v>
      </c>
      <c r="D110" s="250">
        <v>6852.5</v>
      </c>
      <c r="E110" s="1312">
        <v>0</v>
      </c>
      <c r="F110" s="250">
        <v>17801.400000000001</v>
      </c>
      <c r="G110" s="250">
        <v>5652.2</v>
      </c>
      <c r="H110" s="250">
        <v>579357</v>
      </c>
      <c r="I110" s="250">
        <v>268047</v>
      </c>
      <c r="J110" s="250">
        <v>205222.6</v>
      </c>
      <c r="K110" s="219">
        <v>14959</v>
      </c>
      <c r="L110" s="250">
        <v>7011</v>
      </c>
      <c r="M110" s="250">
        <v>45862.400000000001</v>
      </c>
      <c r="N110" s="250">
        <v>36478.400000000001</v>
      </c>
      <c r="O110" s="250">
        <v>137450.79999999999</v>
      </c>
      <c r="P110" s="250">
        <v>114024.2</v>
      </c>
      <c r="Q110" s="250">
        <v>139685.1</v>
      </c>
      <c r="R110" s="250">
        <v>95829.6</v>
      </c>
      <c r="S110" s="1014">
        <v>14051.63</v>
      </c>
      <c r="T110" s="1014">
        <v>10671.64</v>
      </c>
      <c r="U110" s="250">
        <v>32478</v>
      </c>
      <c r="V110" s="250">
        <v>16843</v>
      </c>
      <c r="W110" s="250">
        <v>210803.5</v>
      </c>
      <c r="X110" s="1014">
        <v>345.9</v>
      </c>
      <c r="Y110" s="1014">
        <v>50716</v>
      </c>
      <c r="Z110" s="250">
        <v>579324</v>
      </c>
      <c r="AA110" s="250">
        <v>295213</v>
      </c>
      <c r="AB110" s="250">
        <v>210756.1</v>
      </c>
      <c r="AC110" s="1014">
        <v>1112.4000000000001</v>
      </c>
      <c r="AD110" s="1081">
        <v>942</v>
      </c>
      <c r="AE110" s="250">
        <v>35493</v>
      </c>
      <c r="AF110" s="250">
        <v>25304.7</v>
      </c>
      <c r="AG110" s="250">
        <v>82341.5</v>
      </c>
      <c r="AH110" s="250">
        <v>63661.4</v>
      </c>
      <c r="AI110" s="250">
        <v>65438.5</v>
      </c>
      <c r="AJ110" s="250">
        <v>53290.6</v>
      </c>
      <c r="AK110" s="250">
        <v>59284.3</v>
      </c>
      <c r="AL110" s="250">
        <v>23311.4</v>
      </c>
      <c r="AM110" s="250">
        <v>16.5</v>
      </c>
      <c r="AN110" s="250">
        <v>17.7</v>
      </c>
      <c r="AO110" s="250">
        <v>489155</v>
      </c>
      <c r="AP110" s="250">
        <v>225721</v>
      </c>
      <c r="AQ110" s="422">
        <v>65026</v>
      </c>
      <c r="AR110" s="1014"/>
      <c r="AS110" s="250">
        <v>456953</v>
      </c>
      <c r="AT110" s="250">
        <v>201138</v>
      </c>
      <c r="AU110" s="250">
        <v>79123</v>
      </c>
      <c r="AV110" s="250">
        <v>4330.1000000000004</v>
      </c>
      <c r="AW110" s="250">
        <v>2885.2</v>
      </c>
      <c r="AX110" s="1014">
        <v>221.15</v>
      </c>
      <c r="AY110" s="1014">
        <v>133.81</v>
      </c>
      <c r="AZ110" s="250">
        <v>794.27700000000004</v>
      </c>
      <c r="BA110" s="250">
        <v>338.30700000000002</v>
      </c>
      <c r="BB110" s="250">
        <v>1793.2</v>
      </c>
      <c r="BC110" s="250">
        <v>2952.8</v>
      </c>
      <c r="BD110" s="250">
        <v>455.3</v>
      </c>
      <c r="BE110" s="250">
        <v>6036.13</v>
      </c>
      <c r="BF110" s="250">
        <v>33018.115789473697</v>
      </c>
      <c r="BG110" s="1014">
        <v>9477.5478687720406</v>
      </c>
      <c r="BH110" s="250">
        <v>5409.52</v>
      </c>
      <c r="BI110" s="251">
        <v>2529200</v>
      </c>
      <c r="BJ110" s="250">
        <v>513</v>
      </c>
      <c r="BK110" s="250">
        <v>19667</v>
      </c>
      <c r="BL110" s="250">
        <v>3240547</v>
      </c>
      <c r="BM110" s="250">
        <v>102065</v>
      </c>
      <c r="BN110" s="250">
        <v>20119.2</v>
      </c>
      <c r="BO110" s="250">
        <v>2940449</v>
      </c>
      <c r="BP110" s="250">
        <v>138305</v>
      </c>
      <c r="BQ110" s="250">
        <v>17309.7</v>
      </c>
      <c r="BR110" s="250">
        <v>8453</v>
      </c>
      <c r="BS110" s="250">
        <v>5757.9</v>
      </c>
      <c r="BT110" s="250">
        <v>1083144</v>
      </c>
      <c r="BU110" s="250">
        <v>615537</v>
      </c>
      <c r="BV110" s="250">
        <v>709519</v>
      </c>
      <c r="BW110" s="250">
        <v>448641</v>
      </c>
      <c r="BX110" s="1324">
        <v>0</v>
      </c>
    </row>
    <row r="111" spans="1:76">
      <c r="A111" s="647">
        <v>45029</v>
      </c>
      <c r="B111" s="385">
        <v>1062.06</v>
      </c>
      <c r="C111" s="250">
        <v>586.548</v>
      </c>
      <c r="D111" s="250">
        <v>6852.5</v>
      </c>
      <c r="E111" s="1312">
        <v>0</v>
      </c>
      <c r="F111" s="250">
        <v>17811.599999999999</v>
      </c>
      <c r="G111" s="250">
        <v>5656.1</v>
      </c>
      <c r="H111" s="250">
        <v>579520</v>
      </c>
      <c r="I111" s="250">
        <v>268130</v>
      </c>
      <c r="J111" s="250">
        <v>205246.6</v>
      </c>
      <c r="K111" s="219">
        <v>14959</v>
      </c>
      <c r="L111" s="250">
        <v>7011</v>
      </c>
      <c r="M111" s="250">
        <v>45900.4</v>
      </c>
      <c r="N111" s="250">
        <v>36509.4</v>
      </c>
      <c r="O111" s="250">
        <v>137465.79999999999</v>
      </c>
      <c r="P111" s="250">
        <v>114036.1</v>
      </c>
      <c r="Q111" s="250">
        <v>139700</v>
      </c>
      <c r="R111" s="250">
        <v>95840</v>
      </c>
      <c r="S111" s="1014">
        <v>14051.63</v>
      </c>
      <c r="T111" s="1014">
        <v>10671.64</v>
      </c>
      <c r="U111" s="250">
        <v>32625</v>
      </c>
      <c r="V111" s="250">
        <v>16919</v>
      </c>
      <c r="W111" s="250">
        <v>210827.5</v>
      </c>
      <c r="X111" s="1014">
        <v>345.9</v>
      </c>
      <c r="Y111" s="1014">
        <v>50716</v>
      </c>
      <c r="Z111" s="250">
        <v>579622</v>
      </c>
      <c r="AA111" s="250">
        <v>295364</v>
      </c>
      <c r="AB111" s="250">
        <v>210780.1</v>
      </c>
      <c r="AC111" s="1014">
        <v>1112.4000000000001</v>
      </c>
      <c r="AD111" s="1081">
        <v>942</v>
      </c>
      <c r="AE111" s="250">
        <v>35495.300000000003</v>
      </c>
      <c r="AF111" s="250">
        <v>25306.3</v>
      </c>
      <c r="AG111" s="250">
        <v>82348.899999999994</v>
      </c>
      <c r="AH111" s="250">
        <v>63667</v>
      </c>
      <c r="AI111" s="250">
        <v>65438.5</v>
      </c>
      <c r="AJ111" s="250">
        <v>53290.6</v>
      </c>
      <c r="AK111" s="250">
        <v>59296.3</v>
      </c>
      <c r="AL111" s="250">
        <v>23316.2</v>
      </c>
      <c r="AM111" s="250">
        <v>16.5</v>
      </c>
      <c r="AN111" s="250">
        <v>17.7</v>
      </c>
      <c r="AO111" s="250">
        <v>489322</v>
      </c>
      <c r="AP111" s="250">
        <v>225797</v>
      </c>
      <c r="AQ111" s="422">
        <v>65031</v>
      </c>
      <c r="AR111" s="1014"/>
      <c r="AS111" s="250">
        <v>457102</v>
      </c>
      <c r="AT111" s="250">
        <v>201203</v>
      </c>
      <c r="AU111" s="250">
        <v>79147</v>
      </c>
      <c r="AV111" s="250">
        <v>4332.8999999999996</v>
      </c>
      <c r="AW111" s="250">
        <v>2887.2</v>
      </c>
      <c r="AX111" s="1014">
        <v>221.15</v>
      </c>
      <c r="AY111" s="1014">
        <v>133.81</v>
      </c>
      <c r="AZ111" s="250">
        <v>794.27700000000004</v>
      </c>
      <c r="BA111" s="250">
        <v>338.30700000000002</v>
      </c>
      <c r="BB111" s="250">
        <v>1793.2</v>
      </c>
      <c r="BC111" s="250">
        <v>2955.1</v>
      </c>
      <c r="BD111" s="250">
        <v>455.4</v>
      </c>
      <c r="BE111" s="250">
        <v>5997.6</v>
      </c>
      <c r="BF111" s="250">
        <v>33611.922807017501</v>
      </c>
      <c r="BG111" s="1014">
        <v>9442.1045044965194</v>
      </c>
      <c r="BH111" s="250">
        <v>5417.49</v>
      </c>
      <c r="BI111" s="250">
        <v>2532200</v>
      </c>
      <c r="BJ111" s="250">
        <v>514</v>
      </c>
      <c r="BK111" s="250">
        <v>19691</v>
      </c>
      <c r="BL111" s="250">
        <v>3240547</v>
      </c>
      <c r="BM111" s="250">
        <v>102065</v>
      </c>
      <c r="BN111" s="250">
        <v>20119.2</v>
      </c>
      <c r="BO111" s="250">
        <v>2945101</v>
      </c>
      <c r="BP111" s="250">
        <v>138686</v>
      </c>
      <c r="BQ111" s="250">
        <v>17333.7</v>
      </c>
      <c r="BR111" s="250">
        <v>8458.6</v>
      </c>
      <c r="BS111" s="250">
        <v>5761.8</v>
      </c>
      <c r="BT111" s="250">
        <v>1084532</v>
      </c>
      <c r="BU111" s="250">
        <v>616300</v>
      </c>
      <c r="BV111" s="250">
        <v>709519</v>
      </c>
      <c r="BW111" s="250">
        <v>448641</v>
      </c>
      <c r="BX111" s="1324">
        <v>0</v>
      </c>
    </row>
    <row r="112" spans="1:76">
      <c r="A112" s="647">
        <v>45030</v>
      </c>
      <c r="B112" s="385">
        <v>1062.06</v>
      </c>
      <c r="C112" s="250">
        <v>586.548</v>
      </c>
      <c r="D112" s="250">
        <v>6852.5</v>
      </c>
      <c r="E112" s="1312">
        <v>0</v>
      </c>
      <c r="F112" s="250">
        <v>17821.900000000001</v>
      </c>
      <c r="G112" s="250">
        <v>5660.1</v>
      </c>
      <c r="H112" s="250">
        <v>579680</v>
      </c>
      <c r="I112" s="250">
        <v>268212</v>
      </c>
      <c r="J112" s="250">
        <v>205270.6</v>
      </c>
      <c r="K112" s="219">
        <v>14959</v>
      </c>
      <c r="L112" s="250">
        <v>7011</v>
      </c>
      <c r="M112" s="250">
        <v>45940.1</v>
      </c>
      <c r="N112" s="250">
        <v>36541.800000000003</v>
      </c>
      <c r="O112" s="250">
        <v>137480.1</v>
      </c>
      <c r="P112" s="250">
        <v>114048</v>
      </c>
      <c r="Q112" s="250">
        <v>139715.29999999999</v>
      </c>
      <c r="R112" s="250">
        <v>95850.7</v>
      </c>
      <c r="S112" s="1014">
        <v>14051.63</v>
      </c>
      <c r="T112" s="1014">
        <v>10671.64</v>
      </c>
      <c r="U112" s="250">
        <v>32742</v>
      </c>
      <c r="V112" s="250">
        <v>16982</v>
      </c>
      <c r="W112" s="250">
        <v>210851.5</v>
      </c>
      <c r="X112" s="1014">
        <v>345.9</v>
      </c>
      <c r="Y112" s="1014">
        <v>50716</v>
      </c>
      <c r="Z112" s="250">
        <v>579942</v>
      </c>
      <c r="AA112" s="250">
        <v>295529</v>
      </c>
      <c r="AB112" s="250">
        <v>210804.1</v>
      </c>
      <c r="AC112" s="1014">
        <v>1112.4000000000001</v>
      </c>
      <c r="AD112" s="1081">
        <v>942</v>
      </c>
      <c r="AE112" s="250">
        <v>35497.4</v>
      </c>
      <c r="AF112" s="250">
        <v>25307.8</v>
      </c>
      <c r="AG112" s="250">
        <v>82356.5</v>
      </c>
      <c r="AH112" s="250">
        <v>63672.6</v>
      </c>
      <c r="AI112" s="250">
        <v>65438.5</v>
      </c>
      <c r="AJ112" s="250">
        <v>53290.6</v>
      </c>
      <c r="AK112" s="250">
        <v>59302.2</v>
      </c>
      <c r="AL112" s="250">
        <v>23318.400000000001</v>
      </c>
      <c r="AM112" s="250">
        <v>16.5</v>
      </c>
      <c r="AN112" s="250">
        <v>17.7</v>
      </c>
      <c r="AO112" s="250">
        <v>489490</v>
      </c>
      <c r="AP112" s="250">
        <v>225874</v>
      </c>
      <c r="AQ112" s="422">
        <v>65036</v>
      </c>
      <c r="AR112" s="1014"/>
      <c r="AS112" s="250">
        <v>457252</v>
      </c>
      <c r="AT112" s="250">
        <v>201268</v>
      </c>
      <c r="AU112" s="250">
        <v>79171</v>
      </c>
      <c r="AV112" s="250">
        <v>4335.6000000000004</v>
      </c>
      <c r="AW112" s="250">
        <v>2889.1</v>
      </c>
      <c r="AX112" s="1014">
        <v>221.15</v>
      </c>
      <c r="AY112" s="1014">
        <v>133.81</v>
      </c>
      <c r="AZ112" s="250">
        <v>794.27700000000004</v>
      </c>
      <c r="BA112" s="250">
        <v>338.30700000000002</v>
      </c>
      <c r="BB112" s="250">
        <v>1793.2</v>
      </c>
      <c r="BC112" s="250">
        <v>2957.5</v>
      </c>
      <c r="BD112" s="250">
        <v>455.4</v>
      </c>
      <c r="BE112" s="250">
        <v>6226.59</v>
      </c>
      <c r="BF112" s="250">
        <v>33448.592982456103</v>
      </c>
      <c r="BG112" s="1014">
        <v>8867.2385318864108</v>
      </c>
      <c r="BH112" s="250">
        <v>4974.82</v>
      </c>
      <c r="BI112" s="250">
        <v>2534500</v>
      </c>
      <c r="BJ112" s="250">
        <v>515</v>
      </c>
      <c r="BK112" s="250">
        <v>19715</v>
      </c>
      <c r="BL112" s="250">
        <v>3240547</v>
      </c>
      <c r="BM112" s="250">
        <v>102065</v>
      </c>
      <c r="BN112" s="250">
        <v>20119.2</v>
      </c>
      <c r="BO112" s="250">
        <v>2949670</v>
      </c>
      <c r="BP112" s="250">
        <v>139150</v>
      </c>
      <c r="BQ112" s="250">
        <v>17357.7</v>
      </c>
      <c r="BR112" s="250">
        <v>8464.1</v>
      </c>
      <c r="BS112" s="250">
        <v>5765.7</v>
      </c>
      <c r="BT112" s="250">
        <v>1085931</v>
      </c>
      <c r="BU112" s="250">
        <v>617065</v>
      </c>
      <c r="BV112" s="250">
        <v>709520</v>
      </c>
      <c r="BW112" s="250">
        <v>448642</v>
      </c>
      <c r="BX112" s="1324">
        <v>0</v>
      </c>
    </row>
    <row r="113" spans="1:76" s="423" customFormat="1">
      <c r="A113" s="647">
        <v>45031</v>
      </c>
      <c r="B113" s="385">
        <v>1062.06</v>
      </c>
      <c r="C113" s="250">
        <v>586.548</v>
      </c>
      <c r="D113" s="250">
        <v>6852.5</v>
      </c>
      <c r="E113" s="1312">
        <v>0</v>
      </c>
      <c r="F113" s="251">
        <v>17832.2</v>
      </c>
      <c r="G113" s="251">
        <v>5664.1</v>
      </c>
      <c r="H113" s="251">
        <v>579842</v>
      </c>
      <c r="I113" s="251">
        <v>268295</v>
      </c>
      <c r="J113" s="251">
        <v>205294.6</v>
      </c>
      <c r="K113" s="219">
        <v>14959</v>
      </c>
      <c r="L113" s="250">
        <v>7011</v>
      </c>
      <c r="M113" s="251">
        <v>45981.2</v>
      </c>
      <c r="N113" s="251">
        <v>36575.699999999997</v>
      </c>
      <c r="O113" s="251">
        <v>137495.29999999999</v>
      </c>
      <c r="P113" s="251">
        <v>114060.1</v>
      </c>
      <c r="Q113" s="251">
        <v>139730.29999999999</v>
      </c>
      <c r="R113" s="251">
        <v>95861.2</v>
      </c>
      <c r="S113" s="1014">
        <v>14051.63</v>
      </c>
      <c r="T113" s="1014">
        <v>10671.64</v>
      </c>
      <c r="U113" s="251">
        <v>32828</v>
      </c>
      <c r="V113" s="251">
        <v>17025</v>
      </c>
      <c r="W113" s="251">
        <v>210875.5</v>
      </c>
      <c r="X113" s="1014">
        <v>345.9</v>
      </c>
      <c r="Y113" s="1014">
        <v>50716</v>
      </c>
      <c r="Z113" s="251">
        <v>580306</v>
      </c>
      <c r="AA113" s="251">
        <v>295719</v>
      </c>
      <c r="AB113" s="251">
        <v>210828.1</v>
      </c>
      <c r="AC113" s="1014">
        <v>1112.4000000000001</v>
      </c>
      <c r="AD113" s="1081">
        <v>942</v>
      </c>
      <c r="AE113" s="251">
        <v>35499.9</v>
      </c>
      <c r="AF113" s="251">
        <v>25309.5</v>
      </c>
      <c r="AG113" s="251">
        <v>82364.5</v>
      </c>
      <c r="AH113" s="251">
        <v>63678.7</v>
      </c>
      <c r="AI113" s="250">
        <v>65438.5</v>
      </c>
      <c r="AJ113" s="250">
        <v>53290.6</v>
      </c>
      <c r="AK113" s="251">
        <v>59314.400000000001</v>
      </c>
      <c r="AL113" s="251">
        <v>23322.799999999999</v>
      </c>
      <c r="AM113" s="250">
        <v>16.5</v>
      </c>
      <c r="AN113" s="250">
        <v>17.7</v>
      </c>
      <c r="AO113" s="251">
        <v>489658</v>
      </c>
      <c r="AP113" s="251">
        <v>225951</v>
      </c>
      <c r="AQ113" s="251">
        <v>65041</v>
      </c>
      <c r="AR113" s="251"/>
      <c r="AS113" s="251">
        <v>457402</v>
      </c>
      <c r="AT113" s="251">
        <v>201333</v>
      </c>
      <c r="AU113" s="251">
        <v>79195</v>
      </c>
      <c r="AV113" s="251">
        <v>4338.5</v>
      </c>
      <c r="AW113" s="251">
        <v>2891.1</v>
      </c>
      <c r="AX113" s="1014">
        <v>221.2</v>
      </c>
      <c r="AY113" s="1014">
        <v>133.84</v>
      </c>
      <c r="AZ113" s="250">
        <v>794.27700000000004</v>
      </c>
      <c r="BA113" s="250">
        <v>338.30700000000002</v>
      </c>
      <c r="BB113" s="250">
        <v>1793.2</v>
      </c>
      <c r="BC113" s="251">
        <v>2959.9</v>
      </c>
      <c r="BD113" s="251">
        <v>455.4</v>
      </c>
      <c r="BE113" s="251">
        <v>5856.83</v>
      </c>
      <c r="BF113" s="251">
        <v>33527.743859649097</v>
      </c>
      <c r="BG113" s="1014">
        <v>9779.0691189899899</v>
      </c>
      <c r="BH113" s="251">
        <v>4760.01</v>
      </c>
      <c r="BI113" s="251">
        <v>2536700</v>
      </c>
      <c r="BJ113" s="251">
        <v>516</v>
      </c>
      <c r="BK113" s="251">
        <v>19739</v>
      </c>
      <c r="BL113" s="250">
        <v>3240547</v>
      </c>
      <c r="BM113" s="250">
        <v>102065</v>
      </c>
      <c r="BN113" s="250">
        <v>20119.2</v>
      </c>
      <c r="BO113" s="251">
        <v>2954311</v>
      </c>
      <c r="BP113" s="251">
        <v>139572</v>
      </c>
      <c r="BQ113" s="251">
        <v>17381.7</v>
      </c>
      <c r="BR113" s="251">
        <v>8469.7000000000007</v>
      </c>
      <c r="BS113" s="251">
        <v>5769.6</v>
      </c>
      <c r="BT113" s="251">
        <v>1087346</v>
      </c>
      <c r="BU113" s="251">
        <v>617842</v>
      </c>
      <c r="BV113" s="251">
        <v>709568</v>
      </c>
      <c r="BW113" s="251">
        <v>448672</v>
      </c>
      <c r="BX113" s="1324">
        <v>0</v>
      </c>
    </row>
    <row r="114" spans="1:76" s="423" customFormat="1">
      <c r="A114" s="647">
        <v>45032</v>
      </c>
      <c r="B114" s="385">
        <v>1062.06</v>
      </c>
      <c r="C114" s="250">
        <v>586.548</v>
      </c>
      <c r="D114" s="250">
        <v>6852.5</v>
      </c>
      <c r="E114" s="1312">
        <v>0</v>
      </c>
      <c r="F114" s="251">
        <v>17842.5</v>
      </c>
      <c r="G114" s="251">
        <v>5668</v>
      </c>
      <c r="H114" s="251">
        <v>580004</v>
      </c>
      <c r="I114" s="251">
        <v>268378</v>
      </c>
      <c r="J114" s="251">
        <v>205318.6</v>
      </c>
      <c r="K114" s="219">
        <v>14959</v>
      </c>
      <c r="L114" s="250">
        <v>7011</v>
      </c>
      <c r="M114" s="251">
        <v>46022.5</v>
      </c>
      <c r="N114" s="251">
        <v>36609.5</v>
      </c>
      <c r="O114" s="251">
        <v>137509.79999999999</v>
      </c>
      <c r="P114" s="251">
        <v>114071.8</v>
      </c>
      <c r="Q114" s="251">
        <v>139744.6</v>
      </c>
      <c r="R114" s="251">
        <v>95871.3</v>
      </c>
      <c r="S114" s="1014">
        <v>14051.63</v>
      </c>
      <c r="T114" s="1014">
        <v>10671.64</v>
      </c>
      <c r="U114" s="251">
        <v>32890.6</v>
      </c>
      <c r="V114" s="251">
        <v>17057</v>
      </c>
      <c r="W114" s="251">
        <v>210893.5</v>
      </c>
      <c r="X114" s="1014">
        <v>345.9</v>
      </c>
      <c r="Y114" s="1014">
        <v>50716</v>
      </c>
      <c r="Z114" s="251">
        <v>580686</v>
      </c>
      <c r="AA114" s="251">
        <v>295918</v>
      </c>
      <c r="AB114" s="251">
        <v>210852.1</v>
      </c>
      <c r="AC114" s="1014">
        <v>1112.4000000000001</v>
      </c>
      <c r="AD114" s="1081">
        <v>942</v>
      </c>
      <c r="AE114" s="250">
        <v>35502.300000000003</v>
      </c>
      <c r="AF114" s="250">
        <v>25311.200000000001</v>
      </c>
      <c r="AG114" s="250">
        <v>82371.5</v>
      </c>
      <c r="AH114" s="250">
        <v>63683.9</v>
      </c>
      <c r="AI114" s="250">
        <v>65438.5</v>
      </c>
      <c r="AJ114" s="250">
        <v>53290.6</v>
      </c>
      <c r="AK114" s="251">
        <v>59323.6</v>
      </c>
      <c r="AL114" s="251">
        <v>23326.2</v>
      </c>
      <c r="AM114" s="250">
        <v>16.5</v>
      </c>
      <c r="AN114" s="250">
        <v>17.7</v>
      </c>
      <c r="AO114" s="251">
        <v>489823</v>
      </c>
      <c r="AP114" s="251">
        <v>226027</v>
      </c>
      <c r="AQ114" s="725">
        <v>65045</v>
      </c>
      <c r="AR114" s="1014"/>
      <c r="AS114" s="251">
        <v>457552</v>
      </c>
      <c r="AT114" s="251">
        <v>201398</v>
      </c>
      <c r="AU114" s="250">
        <v>79219</v>
      </c>
      <c r="AV114" s="251">
        <v>4341.3999999999996</v>
      </c>
      <c r="AW114" s="251">
        <v>2893.2</v>
      </c>
      <c r="AX114" s="1014">
        <v>221.2</v>
      </c>
      <c r="AY114" s="1014">
        <v>133.84</v>
      </c>
      <c r="AZ114" s="250">
        <v>797.91300000000001</v>
      </c>
      <c r="BA114" s="250">
        <v>339.702</v>
      </c>
      <c r="BB114" s="250">
        <v>1797.2</v>
      </c>
      <c r="BC114" s="251">
        <v>2962.2</v>
      </c>
      <c r="BD114" s="251">
        <v>455.4</v>
      </c>
      <c r="BE114" s="251">
        <v>5404.84</v>
      </c>
      <c r="BF114" s="251">
        <v>33610.575438596497</v>
      </c>
      <c r="BG114" s="1014">
        <v>9960.2949223194501</v>
      </c>
      <c r="BH114" s="251">
        <v>5376.88</v>
      </c>
      <c r="BI114" s="251">
        <v>2539000</v>
      </c>
      <c r="BJ114" s="251">
        <v>517</v>
      </c>
      <c r="BK114" s="251">
        <v>19763</v>
      </c>
      <c r="BL114" s="250">
        <v>3240547</v>
      </c>
      <c r="BM114" s="250">
        <v>102065</v>
      </c>
      <c r="BN114" s="250">
        <v>20119.2</v>
      </c>
      <c r="BO114" s="250">
        <v>2958935</v>
      </c>
      <c r="BP114" s="250">
        <v>140008</v>
      </c>
      <c r="BQ114" s="250">
        <v>17405.7</v>
      </c>
      <c r="BR114" s="251">
        <v>8475.6</v>
      </c>
      <c r="BS114" s="251">
        <v>5773.5</v>
      </c>
      <c r="BT114" s="251">
        <v>1088687</v>
      </c>
      <c r="BU114" s="251">
        <v>618583</v>
      </c>
      <c r="BV114" s="251">
        <v>709569</v>
      </c>
      <c r="BW114" s="251">
        <v>448672</v>
      </c>
      <c r="BX114" s="1324">
        <v>1</v>
      </c>
    </row>
    <row r="115" spans="1:76">
      <c r="A115" s="647">
        <v>45033</v>
      </c>
      <c r="B115" s="385">
        <v>1063.79</v>
      </c>
      <c r="C115" s="250">
        <v>587.41700000000003</v>
      </c>
      <c r="D115" s="250">
        <v>6854.6</v>
      </c>
      <c r="E115" s="1312">
        <v>0.4</v>
      </c>
      <c r="F115" s="250">
        <v>17852.900000000001</v>
      </c>
      <c r="G115" s="250">
        <v>5672.3</v>
      </c>
      <c r="H115" s="422">
        <v>580167</v>
      </c>
      <c r="I115" s="422">
        <v>268460</v>
      </c>
      <c r="J115" s="422">
        <v>205342.6</v>
      </c>
      <c r="K115" s="219">
        <v>14959</v>
      </c>
      <c r="L115" s="250">
        <v>7011</v>
      </c>
      <c r="M115" s="422">
        <v>46061.8</v>
      </c>
      <c r="N115" s="422">
        <v>36641.599999999999</v>
      </c>
      <c r="O115" s="422">
        <v>137523.6</v>
      </c>
      <c r="P115" s="422">
        <v>114082.9</v>
      </c>
      <c r="Q115" s="422">
        <v>139757.79999999999</v>
      </c>
      <c r="R115" s="422">
        <v>95880.4</v>
      </c>
      <c r="S115" s="1014">
        <v>14051.63</v>
      </c>
      <c r="T115" s="1014">
        <v>10671.64</v>
      </c>
      <c r="U115" s="251">
        <v>32890.6</v>
      </c>
      <c r="V115" s="251">
        <v>17057</v>
      </c>
      <c r="W115" s="251">
        <v>210893.5</v>
      </c>
      <c r="X115" s="1014">
        <v>345.9</v>
      </c>
      <c r="Y115" s="1014">
        <v>50716</v>
      </c>
      <c r="Z115" s="422">
        <v>581113</v>
      </c>
      <c r="AA115" s="422">
        <v>296143</v>
      </c>
      <c r="AB115" s="250">
        <v>210876.1</v>
      </c>
      <c r="AC115" s="1014">
        <v>1112.4000000000001</v>
      </c>
      <c r="AD115" s="1081">
        <v>942</v>
      </c>
      <c r="AE115" s="250">
        <v>35504.400000000001</v>
      </c>
      <c r="AF115" s="250">
        <v>25312.5</v>
      </c>
      <c r="AG115" s="250">
        <v>82378.5</v>
      </c>
      <c r="AH115" s="250">
        <v>63689.2</v>
      </c>
      <c r="AI115" s="250">
        <v>65438.5</v>
      </c>
      <c r="AJ115" s="250">
        <v>53290.6</v>
      </c>
      <c r="AK115" s="422">
        <v>59331.199999999997</v>
      </c>
      <c r="AL115" s="422">
        <v>23329.1</v>
      </c>
      <c r="AM115" s="250">
        <v>16.5</v>
      </c>
      <c r="AN115" s="250">
        <v>17.7</v>
      </c>
      <c r="AO115" s="422">
        <v>489980</v>
      </c>
      <c r="AP115" s="422">
        <v>226099</v>
      </c>
      <c r="AQ115" s="422">
        <v>65050</v>
      </c>
      <c r="AR115" s="1014"/>
      <c r="AS115" s="422">
        <v>457699</v>
      </c>
      <c r="AT115" s="422">
        <v>201461</v>
      </c>
      <c r="AU115" s="250">
        <v>79243</v>
      </c>
      <c r="AV115" s="250">
        <v>4344.2</v>
      </c>
      <c r="AW115" s="250">
        <v>2895.1</v>
      </c>
      <c r="AX115" s="1014">
        <v>221.2</v>
      </c>
      <c r="AY115" s="1014">
        <v>133.84</v>
      </c>
      <c r="AZ115" s="250">
        <v>805.827</v>
      </c>
      <c r="BA115" s="250">
        <v>342.74</v>
      </c>
      <c r="BB115" s="385">
        <v>1805.8</v>
      </c>
      <c r="BC115" s="250">
        <v>2964.6</v>
      </c>
      <c r="BD115" s="250">
        <v>455.4</v>
      </c>
      <c r="BE115" s="422">
        <v>5892.79</v>
      </c>
      <c r="BF115" s="422">
        <v>31634.173684210498</v>
      </c>
      <c r="BG115" s="1014">
        <v>10484.473646685799</v>
      </c>
      <c r="BH115" s="422">
        <v>4959.7</v>
      </c>
      <c r="BI115" s="250">
        <v>2541200</v>
      </c>
      <c r="BJ115" s="250">
        <v>518</v>
      </c>
      <c r="BK115" s="250">
        <v>19787</v>
      </c>
      <c r="BL115" s="250">
        <v>3240547</v>
      </c>
      <c r="BM115" s="250">
        <v>102065</v>
      </c>
      <c r="BN115" s="250">
        <v>20119.2</v>
      </c>
      <c r="BO115" s="250">
        <v>2963696</v>
      </c>
      <c r="BP115" s="250">
        <v>140773</v>
      </c>
      <c r="BQ115" s="250">
        <v>17429.7</v>
      </c>
      <c r="BR115" s="250">
        <v>8480.7999999999993</v>
      </c>
      <c r="BS115" s="250">
        <v>5777.4</v>
      </c>
      <c r="BT115" s="250">
        <v>1090042</v>
      </c>
      <c r="BU115" s="250">
        <v>619324</v>
      </c>
      <c r="BV115" s="250">
        <v>709570</v>
      </c>
      <c r="BW115" s="250">
        <v>448673</v>
      </c>
      <c r="BX115" s="1324">
        <v>1</v>
      </c>
    </row>
    <row r="116" spans="1:76">
      <c r="A116" s="647">
        <v>45034</v>
      </c>
      <c r="B116" s="385">
        <v>1063.79</v>
      </c>
      <c r="C116" s="250">
        <v>587.41700000000003</v>
      </c>
      <c r="D116" s="250">
        <v>6854.6</v>
      </c>
      <c r="E116" s="1312">
        <v>0</v>
      </c>
      <c r="F116" s="250">
        <v>17863.099999999999</v>
      </c>
      <c r="G116" s="250">
        <v>5677.1</v>
      </c>
      <c r="H116" s="422">
        <v>580333</v>
      </c>
      <c r="I116" s="422">
        <v>268543</v>
      </c>
      <c r="J116" s="422">
        <v>205366.6</v>
      </c>
      <c r="K116" s="219">
        <v>14959</v>
      </c>
      <c r="L116" s="250">
        <v>7011</v>
      </c>
      <c r="M116" s="422">
        <v>46101.599999999999</v>
      </c>
      <c r="N116" s="422">
        <v>36674.1</v>
      </c>
      <c r="O116" s="422">
        <v>137538</v>
      </c>
      <c r="P116" s="422">
        <v>114094</v>
      </c>
      <c r="Q116" s="422">
        <v>139772</v>
      </c>
      <c r="R116" s="422">
        <v>95890.3</v>
      </c>
      <c r="S116" s="1014">
        <v>14051.63</v>
      </c>
      <c r="T116" s="1014">
        <v>10671.64</v>
      </c>
      <c r="U116" s="251">
        <v>32890.6</v>
      </c>
      <c r="V116" s="251">
        <v>17057</v>
      </c>
      <c r="W116" s="251">
        <v>210893.5</v>
      </c>
      <c r="X116" s="1014">
        <v>345.9</v>
      </c>
      <c r="Y116" s="1014">
        <v>50716</v>
      </c>
      <c r="Z116" s="422">
        <v>581551</v>
      </c>
      <c r="AA116" s="422">
        <v>296372</v>
      </c>
      <c r="AB116" s="422">
        <v>210900.1</v>
      </c>
      <c r="AC116" s="1014">
        <v>1112.4000000000001</v>
      </c>
      <c r="AD116" s="1081">
        <v>942</v>
      </c>
      <c r="AE116" s="250">
        <v>35506.300000000003</v>
      </c>
      <c r="AF116" s="250">
        <v>25313.8</v>
      </c>
      <c r="AG116" s="250">
        <v>82384.100000000006</v>
      </c>
      <c r="AH116" s="250">
        <v>63693.4</v>
      </c>
      <c r="AI116" s="250">
        <v>65438.5</v>
      </c>
      <c r="AJ116" s="250">
        <v>53290.6</v>
      </c>
      <c r="AK116" s="422">
        <v>59346.8</v>
      </c>
      <c r="AL116" s="422">
        <v>23335.1</v>
      </c>
      <c r="AM116" s="250">
        <v>16.5</v>
      </c>
      <c r="AN116" s="250">
        <v>17.7</v>
      </c>
      <c r="AO116" s="422">
        <v>490135</v>
      </c>
      <c r="AP116" s="422">
        <v>226171</v>
      </c>
      <c r="AQ116" s="422">
        <v>65055</v>
      </c>
      <c r="AR116" s="1014"/>
      <c r="AS116" s="422">
        <v>457846</v>
      </c>
      <c r="AT116" s="422">
        <v>201524</v>
      </c>
      <c r="AU116" s="250">
        <v>79267</v>
      </c>
      <c r="AV116" s="250">
        <v>4347</v>
      </c>
      <c r="AW116" s="250">
        <v>2897</v>
      </c>
      <c r="AX116" s="1014">
        <v>221.2</v>
      </c>
      <c r="AY116" s="1014">
        <v>133.84</v>
      </c>
      <c r="AZ116" s="250">
        <v>816.20899999999995</v>
      </c>
      <c r="BA116" s="250">
        <v>346.73200000000003</v>
      </c>
      <c r="BB116" s="385">
        <v>1817</v>
      </c>
      <c r="BC116" s="250">
        <v>2966.9</v>
      </c>
      <c r="BD116" s="250">
        <v>455.4</v>
      </c>
      <c r="BE116" s="422">
        <v>5880.04</v>
      </c>
      <c r="BF116" s="422">
        <v>32593.391228070199</v>
      </c>
      <c r="BG116" s="1014">
        <v>10830.358417338301</v>
      </c>
      <c r="BH116" s="422">
        <v>5797.72</v>
      </c>
      <c r="BI116" s="250">
        <v>2543400</v>
      </c>
      <c r="BJ116" s="250">
        <v>519</v>
      </c>
      <c r="BK116" s="250">
        <v>19811</v>
      </c>
      <c r="BL116" s="250">
        <v>3240547</v>
      </c>
      <c r="BM116" s="250">
        <v>102065</v>
      </c>
      <c r="BN116" s="250">
        <v>20119.2</v>
      </c>
      <c r="BO116" s="250">
        <v>2968533</v>
      </c>
      <c r="BP116" s="250">
        <v>141862</v>
      </c>
      <c r="BQ116" s="250">
        <v>17453.7</v>
      </c>
      <c r="BR116" s="422">
        <v>8486.2999999999993</v>
      </c>
      <c r="BS116" s="422">
        <v>5781.1</v>
      </c>
      <c r="BT116" s="422">
        <v>1091439</v>
      </c>
      <c r="BU116" s="422">
        <v>620086</v>
      </c>
      <c r="BV116" s="422">
        <v>709571</v>
      </c>
      <c r="BW116" s="422">
        <v>448674</v>
      </c>
      <c r="BX116" s="1324">
        <v>1</v>
      </c>
    </row>
    <row r="117" spans="1:76">
      <c r="A117" s="647">
        <v>45035</v>
      </c>
      <c r="B117" s="385">
        <v>1063.79</v>
      </c>
      <c r="C117" s="250">
        <v>587.41700000000003</v>
      </c>
      <c r="D117" s="250">
        <v>6854.6</v>
      </c>
      <c r="E117" s="1312">
        <v>0</v>
      </c>
      <c r="F117" s="250">
        <v>17873.099999999999</v>
      </c>
      <c r="G117" s="250">
        <v>5681.4</v>
      </c>
      <c r="H117" s="422">
        <v>580499</v>
      </c>
      <c r="I117" s="422">
        <v>268626</v>
      </c>
      <c r="J117" s="422">
        <v>205390.6</v>
      </c>
      <c r="K117" s="219">
        <v>14959</v>
      </c>
      <c r="L117" s="250">
        <v>7011</v>
      </c>
      <c r="M117" s="422">
        <v>46142.1</v>
      </c>
      <c r="N117" s="422">
        <v>36707.300000000003</v>
      </c>
      <c r="O117" s="422">
        <v>137548</v>
      </c>
      <c r="P117" s="422">
        <v>114103</v>
      </c>
      <c r="Q117" s="422">
        <v>139787</v>
      </c>
      <c r="R117" s="422">
        <v>95900.800000000003</v>
      </c>
      <c r="S117" s="1014">
        <v>14051.63</v>
      </c>
      <c r="T117" s="1014">
        <v>10671.64</v>
      </c>
      <c r="U117" s="251">
        <v>32890.6</v>
      </c>
      <c r="V117" s="251">
        <v>17057</v>
      </c>
      <c r="W117" s="251">
        <v>210893.5</v>
      </c>
      <c r="X117" s="1014">
        <v>345.9</v>
      </c>
      <c r="Y117" s="1014">
        <v>50716</v>
      </c>
      <c r="Z117" s="422">
        <v>581877</v>
      </c>
      <c r="AA117" s="422">
        <v>296550</v>
      </c>
      <c r="AB117" s="422">
        <v>210924.1</v>
      </c>
      <c r="AC117" s="1014">
        <v>1112.4000000000001</v>
      </c>
      <c r="AD117" s="1081">
        <v>942</v>
      </c>
      <c r="AE117" s="250">
        <v>35508.400000000001</v>
      </c>
      <c r="AF117" s="250">
        <v>25315.1</v>
      </c>
      <c r="AG117" s="250">
        <v>82390.7</v>
      </c>
      <c r="AH117" s="250">
        <v>63698.400000000001</v>
      </c>
      <c r="AI117" s="250">
        <v>65438.5</v>
      </c>
      <c r="AJ117" s="250">
        <v>53290.6</v>
      </c>
      <c r="AK117" s="422">
        <v>59354</v>
      </c>
      <c r="AL117" s="422">
        <v>23337.8</v>
      </c>
      <c r="AM117" s="250">
        <v>16.5</v>
      </c>
      <c r="AN117" s="250">
        <v>17.7</v>
      </c>
      <c r="AO117" s="422">
        <v>490188</v>
      </c>
      <c r="AP117" s="422">
        <v>226195</v>
      </c>
      <c r="AQ117" s="422">
        <v>65060</v>
      </c>
      <c r="AR117" s="1014"/>
      <c r="AS117" s="422">
        <v>457887</v>
      </c>
      <c r="AT117" s="422">
        <v>201542</v>
      </c>
      <c r="AU117" s="250">
        <v>79273.399999999994</v>
      </c>
      <c r="AV117" s="250">
        <v>4349.6000000000004</v>
      </c>
      <c r="AW117" s="250">
        <v>2898.9</v>
      </c>
      <c r="AX117" s="1014">
        <v>221.2</v>
      </c>
      <c r="AY117" s="1014">
        <v>133.84</v>
      </c>
      <c r="AZ117" s="250">
        <v>819.154</v>
      </c>
      <c r="BA117" s="250">
        <v>347.86200000000002</v>
      </c>
      <c r="BB117" s="385">
        <v>1820.1</v>
      </c>
      <c r="BC117" s="250">
        <v>2969.2</v>
      </c>
      <c r="BD117" s="250">
        <v>455.4</v>
      </c>
      <c r="BE117" s="422">
        <v>5590.6</v>
      </c>
      <c r="BF117" s="422">
        <v>29024.963157894701</v>
      </c>
      <c r="BG117" s="1014">
        <v>9443.8835803979691</v>
      </c>
      <c r="BH117" s="422">
        <v>5155.2700000000004</v>
      </c>
      <c r="BI117" s="250">
        <v>2545600</v>
      </c>
      <c r="BJ117" s="250">
        <v>520</v>
      </c>
      <c r="BK117" s="250">
        <v>19835</v>
      </c>
      <c r="BL117" s="250">
        <v>3240547</v>
      </c>
      <c r="BM117" s="250">
        <v>102065</v>
      </c>
      <c r="BN117" s="250">
        <v>20119.2</v>
      </c>
      <c r="BO117" s="250">
        <v>2973227</v>
      </c>
      <c r="BP117" s="250">
        <v>142573</v>
      </c>
      <c r="BQ117" s="250">
        <v>17477.7</v>
      </c>
      <c r="BR117" s="422">
        <v>8491.9</v>
      </c>
      <c r="BS117" s="422">
        <v>5785</v>
      </c>
      <c r="BT117" s="422">
        <v>1092755</v>
      </c>
      <c r="BU117" s="422">
        <v>620807</v>
      </c>
      <c r="BV117" s="422">
        <v>709571</v>
      </c>
      <c r="BW117" s="422">
        <v>448675</v>
      </c>
      <c r="BX117" s="1324">
        <v>0</v>
      </c>
    </row>
    <row r="118" spans="1:76">
      <c r="A118" s="647">
        <v>45036</v>
      </c>
      <c r="B118" s="385">
        <v>1063.79</v>
      </c>
      <c r="C118" s="250">
        <v>587.41700000000003</v>
      </c>
      <c r="D118" s="250">
        <v>6854.6</v>
      </c>
      <c r="E118" s="1312">
        <v>0</v>
      </c>
      <c r="F118" s="250">
        <v>17883.3</v>
      </c>
      <c r="G118" s="250">
        <v>5685.4</v>
      </c>
      <c r="H118" s="422">
        <v>580662.46900000004</v>
      </c>
      <c r="I118" s="422">
        <v>268708.60399999999</v>
      </c>
      <c r="J118" s="422">
        <v>205414.6</v>
      </c>
      <c r="K118" s="219">
        <v>14959</v>
      </c>
      <c r="L118" s="250">
        <v>7011</v>
      </c>
      <c r="M118" s="422">
        <v>46181.5</v>
      </c>
      <c r="N118" s="422">
        <v>36739.5</v>
      </c>
      <c r="O118" s="422">
        <v>137558</v>
      </c>
      <c r="P118" s="422">
        <v>114110</v>
      </c>
      <c r="Q118" s="422">
        <v>139803</v>
      </c>
      <c r="R118" s="422">
        <v>95911.3</v>
      </c>
      <c r="S118" s="1014">
        <v>14051.63</v>
      </c>
      <c r="T118" s="1014">
        <v>10671.64</v>
      </c>
      <c r="U118" s="251">
        <v>32990.800000000003</v>
      </c>
      <c r="V118" s="251">
        <v>17115.3</v>
      </c>
      <c r="W118" s="251">
        <v>210912.8</v>
      </c>
      <c r="X118" s="1014">
        <v>345.9</v>
      </c>
      <c r="Y118" s="1014">
        <v>50716</v>
      </c>
      <c r="Z118" s="422">
        <v>582142</v>
      </c>
      <c r="AA118" s="422">
        <v>296685</v>
      </c>
      <c r="AB118" s="422">
        <v>210948.1</v>
      </c>
      <c r="AC118" s="1014">
        <v>1112.4000000000001</v>
      </c>
      <c r="AD118" s="1081">
        <v>942</v>
      </c>
      <c r="AE118" s="250">
        <v>35510.9</v>
      </c>
      <c r="AF118" s="250">
        <v>25316.799999999999</v>
      </c>
      <c r="AG118" s="250">
        <v>82397.3</v>
      </c>
      <c r="AH118" s="250">
        <v>63703.4</v>
      </c>
      <c r="AI118" s="250">
        <v>65438.5</v>
      </c>
      <c r="AJ118" s="250">
        <v>53290.6</v>
      </c>
      <c r="AK118" s="422">
        <v>59361.2</v>
      </c>
      <c r="AL118" s="422">
        <v>23340.6</v>
      </c>
      <c r="AM118" s="250">
        <v>16.5</v>
      </c>
      <c r="AN118" s="250">
        <v>17.7</v>
      </c>
      <c r="AO118" s="422">
        <v>490284</v>
      </c>
      <c r="AP118" s="422">
        <v>226240</v>
      </c>
      <c r="AQ118" s="422">
        <v>65064.7</v>
      </c>
      <c r="AR118" s="422"/>
      <c r="AS118" s="422">
        <v>457965</v>
      </c>
      <c r="AT118" s="422">
        <v>201576</v>
      </c>
      <c r="AU118" s="250">
        <v>79286.399999999994</v>
      </c>
      <c r="AV118" s="250">
        <v>4351.8999999999996</v>
      </c>
      <c r="AW118" s="250">
        <v>2900.5</v>
      </c>
      <c r="AX118" s="1014">
        <v>221.2</v>
      </c>
      <c r="AY118" s="1014">
        <v>133.84</v>
      </c>
      <c r="AZ118" s="250">
        <v>819.154</v>
      </c>
      <c r="BA118" s="250">
        <v>347.86200000000002</v>
      </c>
      <c r="BB118" s="385">
        <v>1820.1</v>
      </c>
      <c r="BC118" s="250">
        <v>2971.1</v>
      </c>
      <c r="BD118" s="250">
        <v>455.4</v>
      </c>
      <c r="BE118" s="422">
        <v>6260.92</v>
      </c>
      <c r="BF118" s="422">
        <v>28498.985964912299</v>
      </c>
      <c r="BG118" s="1014">
        <v>9236.9576916597998</v>
      </c>
      <c r="BH118" s="422">
        <v>5711.28</v>
      </c>
      <c r="BI118" s="422">
        <v>2547760</v>
      </c>
      <c r="BJ118" s="250">
        <v>521</v>
      </c>
      <c r="BK118" s="422">
        <v>19859</v>
      </c>
      <c r="BL118" s="250">
        <v>3240547</v>
      </c>
      <c r="BM118" s="250">
        <v>102065</v>
      </c>
      <c r="BN118" s="250">
        <v>20119.2</v>
      </c>
      <c r="BO118" s="422">
        <v>2977662</v>
      </c>
      <c r="BP118" s="422">
        <v>143119</v>
      </c>
      <c r="BQ118" s="422">
        <v>17502.09</v>
      </c>
      <c r="BR118" s="422">
        <v>8497.2999999999993</v>
      </c>
      <c r="BS118" s="422">
        <v>5788.8</v>
      </c>
      <c r="BT118" s="422">
        <v>1094155</v>
      </c>
      <c r="BU118" s="422">
        <v>621571</v>
      </c>
      <c r="BV118" s="422">
        <v>709572</v>
      </c>
      <c r="BW118" s="422">
        <v>448675</v>
      </c>
      <c r="BX118" s="1324">
        <v>0</v>
      </c>
    </row>
    <row r="119" spans="1:76" s="336" customFormat="1">
      <c r="A119" s="647">
        <v>45037</v>
      </c>
      <c r="B119" s="250">
        <v>1066.1389999999999</v>
      </c>
      <c r="C119" s="250">
        <v>588.84</v>
      </c>
      <c r="D119" s="250">
        <v>6857.6</v>
      </c>
      <c r="E119" s="1312">
        <v>2.2999999999999998</v>
      </c>
      <c r="F119" s="250">
        <v>17889.400000000001</v>
      </c>
      <c r="G119" s="250">
        <v>5687.7</v>
      </c>
      <c r="H119" s="422">
        <v>580788</v>
      </c>
      <c r="I119" s="422">
        <v>268771.20000000001</v>
      </c>
      <c r="J119" s="422">
        <v>205432.5</v>
      </c>
      <c r="K119" s="219">
        <v>14959</v>
      </c>
      <c r="L119" s="250">
        <v>7011</v>
      </c>
      <c r="M119" s="422">
        <v>46196</v>
      </c>
      <c r="N119" s="422">
        <v>36751.300000000003</v>
      </c>
      <c r="O119" s="422">
        <v>137570</v>
      </c>
      <c r="P119" s="422">
        <v>114120</v>
      </c>
      <c r="Q119" s="422">
        <v>139817</v>
      </c>
      <c r="R119" s="422">
        <v>95920.8</v>
      </c>
      <c r="S119" s="1014">
        <v>14051.63</v>
      </c>
      <c r="T119" s="1014">
        <v>10671.64</v>
      </c>
      <c r="U119" s="422">
        <v>33104.6</v>
      </c>
      <c r="V119" s="422">
        <v>17176.099999999999</v>
      </c>
      <c r="W119" s="422">
        <v>210931.4</v>
      </c>
      <c r="X119" s="1014">
        <v>345.9</v>
      </c>
      <c r="Y119" s="1014">
        <v>50716</v>
      </c>
      <c r="Z119" s="422">
        <v>582358</v>
      </c>
      <c r="AA119" s="422">
        <v>296796</v>
      </c>
      <c r="AB119" s="422">
        <v>210970.1</v>
      </c>
      <c r="AC119" s="1014">
        <v>1112.4000000000001</v>
      </c>
      <c r="AD119" s="1081">
        <v>942</v>
      </c>
      <c r="AE119" s="250">
        <v>35513.199999999997</v>
      </c>
      <c r="AF119" s="250">
        <v>25318.400000000001</v>
      </c>
      <c r="AG119" s="250">
        <v>82403.600000000006</v>
      </c>
      <c r="AH119" s="250">
        <v>63708.3</v>
      </c>
      <c r="AI119" s="422">
        <v>65461.9</v>
      </c>
      <c r="AJ119" s="422">
        <v>53310</v>
      </c>
      <c r="AK119" s="422">
        <v>59375.5</v>
      </c>
      <c r="AL119" s="422">
        <v>23346.1</v>
      </c>
      <c r="AM119" s="250">
        <v>16.600000000000001</v>
      </c>
      <c r="AN119" s="250">
        <v>17.8</v>
      </c>
      <c r="AO119" s="422">
        <v>490381</v>
      </c>
      <c r="AP119" s="422">
        <v>226285</v>
      </c>
      <c r="AQ119" s="422">
        <v>65069.599999999999</v>
      </c>
      <c r="AR119" s="1014"/>
      <c r="AS119" s="422">
        <v>458049</v>
      </c>
      <c r="AT119" s="422">
        <v>201614</v>
      </c>
      <c r="AU119" s="250">
        <v>79300.800000000003</v>
      </c>
      <c r="AV119" s="250">
        <v>4352.6000000000004</v>
      </c>
      <c r="AW119" s="250">
        <v>2901.2</v>
      </c>
      <c r="AX119" s="1014">
        <v>221.2</v>
      </c>
      <c r="AY119" s="1014">
        <v>133.84</v>
      </c>
      <c r="AZ119" s="250">
        <v>819.399</v>
      </c>
      <c r="BA119" s="250">
        <v>348.01</v>
      </c>
      <c r="BB119" s="385">
        <v>1821.6</v>
      </c>
      <c r="BC119" s="250">
        <v>2972</v>
      </c>
      <c r="BD119" s="250">
        <v>455.4</v>
      </c>
      <c r="BE119" s="422">
        <v>6343.2</v>
      </c>
      <c r="BF119" s="422">
        <v>20825.6578947368</v>
      </c>
      <c r="BG119" s="1014">
        <v>6676.55566120819</v>
      </c>
      <c r="BH119" s="422">
        <v>4649.9799999999996</v>
      </c>
      <c r="BI119" s="422">
        <v>2549601.5</v>
      </c>
      <c r="BJ119" s="250">
        <v>522</v>
      </c>
      <c r="BK119" s="422">
        <v>19873.5</v>
      </c>
      <c r="BL119" s="250">
        <v>3240547</v>
      </c>
      <c r="BM119" s="250">
        <v>102065</v>
      </c>
      <c r="BN119" s="250">
        <v>20119.2</v>
      </c>
      <c r="BO119" s="250">
        <v>2980257</v>
      </c>
      <c r="BP119" s="250">
        <v>143393</v>
      </c>
      <c r="BQ119" s="250">
        <v>17516.740000000002</v>
      </c>
      <c r="BR119" s="422">
        <v>8501.5</v>
      </c>
      <c r="BS119" s="422">
        <v>5791.6</v>
      </c>
      <c r="BT119" s="422">
        <v>1095187</v>
      </c>
      <c r="BU119" s="422">
        <v>622156</v>
      </c>
      <c r="BV119" s="422">
        <v>709616</v>
      </c>
      <c r="BW119" s="422">
        <v>448706</v>
      </c>
      <c r="BX119" s="1324">
        <v>0.2</v>
      </c>
    </row>
    <row r="120" spans="1:76">
      <c r="A120" s="647">
        <v>45038</v>
      </c>
      <c r="B120" s="250">
        <v>1066.1389999999999</v>
      </c>
      <c r="C120" s="250">
        <v>588.84</v>
      </c>
      <c r="D120" s="250">
        <v>6857.6</v>
      </c>
      <c r="E120" s="1312">
        <v>0</v>
      </c>
      <c r="F120" s="250">
        <v>17901.400000000001</v>
      </c>
      <c r="G120" s="250">
        <v>5692.6</v>
      </c>
      <c r="H120" s="422">
        <v>580953.80000000005</v>
      </c>
      <c r="I120" s="422">
        <v>268858.40000000002</v>
      </c>
      <c r="J120" s="422">
        <v>205456.5</v>
      </c>
      <c r="K120" s="219">
        <v>14959</v>
      </c>
      <c r="L120" s="250">
        <v>7011</v>
      </c>
      <c r="M120" s="422">
        <v>46196</v>
      </c>
      <c r="N120" s="422">
        <v>36751.300000000003</v>
      </c>
      <c r="O120" s="422">
        <v>137583</v>
      </c>
      <c r="P120" s="422">
        <v>114130</v>
      </c>
      <c r="Q120" s="422">
        <v>139830</v>
      </c>
      <c r="R120" s="422">
        <v>95930</v>
      </c>
      <c r="S120" s="1014">
        <v>14051.63</v>
      </c>
      <c r="T120" s="1014">
        <v>10671.64</v>
      </c>
      <c r="U120" s="422">
        <v>33257.599999999999</v>
      </c>
      <c r="V120" s="422">
        <v>17257.2</v>
      </c>
      <c r="W120" s="422">
        <v>210955.4</v>
      </c>
      <c r="X120" s="1014">
        <v>345.9</v>
      </c>
      <c r="Y120" s="1014">
        <v>50716</v>
      </c>
      <c r="Z120" s="422">
        <v>582646</v>
      </c>
      <c r="AA120" s="422">
        <v>296938</v>
      </c>
      <c r="AB120" s="422">
        <v>210994.1</v>
      </c>
      <c r="AC120" s="1014">
        <v>1112.4000000000001</v>
      </c>
      <c r="AD120" s="1081">
        <v>942</v>
      </c>
      <c r="AE120" s="250">
        <v>35515.599999999999</v>
      </c>
      <c r="AF120" s="250">
        <v>25320</v>
      </c>
      <c r="AG120" s="250">
        <v>82409.899999999994</v>
      </c>
      <c r="AH120" s="250">
        <v>63713</v>
      </c>
      <c r="AI120" s="422">
        <v>65497.5</v>
      </c>
      <c r="AJ120" s="422">
        <v>53339</v>
      </c>
      <c r="AK120" s="422">
        <v>59385.5</v>
      </c>
      <c r="AL120" s="422">
        <v>23350.1</v>
      </c>
      <c r="AM120" s="250">
        <v>16.600000000000001</v>
      </c>
      <c r="AN120" s="250">
        <v>17.8</v>
      </c>
      <c r="AO120" s="422">
        <v>490546.9</v>
      </c>
      <c r="AP120" s="422">
        <v>226362</v>
      </c>
      <c r="AQ120" s="422">
        <v>65074.1</v>
      </c>
      <c r="AR120" s="1014"/>
      <c r="AS120" s="422">
        <v>458198</v>
      </c>
      <c r="AT120" s="422">
        <v>201678</v>
      </c>
      <c r="AU120" s="250">
        <v>79324.800000000003</v>
      </c>
      <c r="AV120" s="250">
        <v>4354.5</v>
      </c>
      <c r="AW120" s="250">
        <v>2902.3</v>
      </c>
      <c r="AX120" s="1014">
        <v>221.2</v>
      </c>
      <c r="AY120" s="1014">
        <v>133.84</v>
      </c>
      <c r="AZ120" s="250">
        <v>819.399</v>
      </c>
      <c r="BA120" s="250">
        <v>348.01</v>
      </c>
      <c r="BB120" s="385">
        <v>1821.6</v>
      </c>
      <c r="BC120" s="250">
        <v>2974.3</v>
      </c>
      <c r="BD120" s="250">
        <v>455.6</v>
      </c>
      <c r="BE120" s="422">
        <v>5474.48</v>
      </c>
      <c r="BF120" s="422">
        <v>32821.905263157903</v>
      </c>
      <c r="BG120" s="1014">
        <v>9853.2864287339708</v>
      </c>
      <c r="BH120" s="422">
        <v>5279.85</v>
      </c>
      <c r="BI120" s="422">
        <v>2552985.5</v>
      </c>
      <c r="BJ120" s="250">
        <v>523</v>
      </c>
      <c r="BK120" s="422">
        <v>19897.5</v>
      </c>
      <c r="BL120" s="250">
        <v>3240547</v>
      </c>
      <c r="BM120" s="250">
        <v>102065</v>
      </c>
      <c r="BN120" s="250">
        <v>20119.2</v>
      </c>
      <c r="BO120" s="250">
        <v>2985159</v>
      </c>
      <c r="BP120" s="250">
        <v>144270</v>
      </c>
      <c r="BQ120" s="250">
        <v>17540.7</v>
      </c>
      <c r="BR120" s="422">
        <v>8508.5</v>
      </c>
      <c r="BS120" s="422">
        <v>5796</v>
      </c>
      <c r="BT120" s="422">
        <v>1096583</v>
      </c>
      <c r="BU120" s="422">
        <v>622928</v>
      </c>
      <c r="BV120" s="422">
        <v>709616</v>
      </c>
      <c r="BW120" s="422">
        <v>448706</v>
      </c>
      <c r="BX120" s="1324">
        <v>0</v>
      </c>
    </row>
    <row r="121" spans="1:76">
      <c r="A121" s="647">
        <v>45039</v>
      </c>
      <c r="B121" s="250">
        <v>1066.1389999999999</v>
      </c>
      <c r="C121" s="250">
        <v>588.84</v>
      </c>
      <c r="D121" s="250">
        <v>6857.6</v>
      </c>
      <c r="E121" s="1312">
        <v>0</v>
      </c>
      <c r="F121" s="250">
        <v>17913.3</v>
      </c>
      <c r="G121" s="250">
        <v>5697.5</v>
      </c>
      <c r="H121" s="422">
        <v>581124</v>
      </c>
      <c r="I121" s="422">
        <v>268939.5</v>
      </c>
      <c r="J121" s="422">
        <v>205480.5</v>
      </c>
      <c r="K121" s="219">
        <v>14959</v>
      </c>
      <c r="L121" s="250">
        <v>7011</v>
      </c>
      <c r="M121" s="422">
        <v>46196</v>
      </c>
      <c r="N121" s="422">
        <v>36751.300000000003</v>
      </c>
      <c r="O121" s="422">
        <v>137596</v>
      </c>
      <c r="P121" s="422">
        <v>114141</v>
      </c>
      <c r="Q121" s="422">
        <v>139845</v>
      </c>
      <c r="R121" s="422">
        <v>95940.800000000003</v>
      </c>
      <c r="S121" s="1014">
        <v>14051.63</v>
      </c>
      <c r="T121" s="1014">
        <v>10671.64</v>
      </c>
      <c r="U121" s="422">
        <v>33413</v>
      </c>
      <c r="V121" s="422">
        <v>17331</v>
      </c>
      <c r="W121" s="422">
        <v>210979.4</v>
      </c>
      <c r="X121" s="1014">
        <v>345.9</v>
      </c>
      <c r="Y121" s="1014">
        <v>50716</v>
      </c>
      <c r="Z121" s="422">
        <v>582941</v>
      </c>
      <c r="AA121" s="422">
        <v>297092</v>
      </c>
      <c r="AB121" s="422">
        <v>211018.1</v>
      </c>
      <c r="AC121" s="1014">
        <v>1112.4000000000001</v>
      </c>
      <c r="AD121" s="1081">
        <v>942</v>
      </c>
      <c r="AE121" s="422">
        <v>35518.1</v>
      </c>
      <c r="AF121" s="422">
        <v>25321.8</v>
      </c>
      <c r="AG121" s="422">
        <v>82416.100000000006</v>
      </c>
      <c r="AH121" s="422">
        <v>63717.599999999999</v>
      </c>
      <c r="AI121" s="422">
        <v>65532.9</v>
      </c>
      <c r="AJ121" s="422">
        <v>53369.3</v>
      </c>
      <c r="AK121" s="422">
        <v>59392.2</v>
      </c>
      <c r="AL121" s="422">
        <v>23352.7</v>
      </c>
      <c r="AM121" s="250">
        <v>16.600000000000001</v>
      </c>
      <c r="AN121" s="250">
        <v>17.8</v>
      </c>
      <c r="AO121" s="422">
        <v>490720</v>
      </c>
      <c r="AP121" s="422">
        <v>226441</v>
      </c>
      <c r="AQ121" s="422">
        <v>65078.5</v>
      </c>
      <c r="AR121" s="422"/>
      <c r="AS121" s="422">
        <v>458354.5</v>
      </c>
      <c r="AT121" s="422">
        <v>201746.5</v>
      </c>
      <c r="AU121" s="422">
        <v>79348.800000000003</v>
      </c>
      <c r="AV121" s="422">
        <v>4356.1000000000004</v>
      </c>
      <c r="AW121" s="422">
        <v>2903.5</v>
      </c>
      <c r="AX121" s="1014">
        <v>221.2</v>
      </c>
      <c r="AY121" s="1014">
        <v>133.84</v>
      </c>
      <c r="AZ121" s="250">
        <v>819.399</v>
      </c>
      <c r="BA121" s="250">
        <v>348.01</v>
      </c>
      <c r="BB121" s="385">
        <v>1821.6</v>
      </c>
      <c r="BC121" s="422">
        <v>2976.5</v>
      </c>
      <c r="BD121" s="422">
        <v>455.7</v>
      </c>
      <c r="BE121" s="422">
        <v>5985.85</v>
      </c>
      <c r="BF121" s="422">
        <v>32664.349122807002</v>
      </c>
      <c r="BG121" s="422">
        <v>8053.07625386777</v>
      </c>
      <c r="BH121" s="422">
        <v>5380.24</v>
      </c>
      <c r="BI121" s="422">
        <v>2556273.5</v>
      </c>
      <c r="BJ121" s="250">
        <v>524</v>
      </c>
      <c r="BK121" s="422">
        <v>19921.5</v>
      </c>
      <c r="BL121" s="250">
        <v>3240547</v>
      </c>
      <c r="BM121" s="250">
        <v>102065</v>
      </c>
      <c r="BN121" s="250">
        <v>20119.2</v>
      </c>
      <c r="BO121" s="422">
        <v>2990078</v>
      </c>
      <c r="BP121" s="422">
        <v>145010</v>
      </c>
      <c r="BQ121" s="422">
        <v>17564.7</v>
      </c>
      <c r="BR121" s="422">
        <v>8515.2999999999993</v>
      </c>
      <c r="BS121" s="422">
        <v>5800.5</v>
      </c>
      <c r="BT121" s="422">
        <v>1097988</v>
      </c>
      <c r="BU121" s="422">
        <v>623703</v>
      </c>
      <c r="BV121" s="422">
        <v>709617</v>
      </c>
      <c r="BW121" s="422">
        <v>448707</v>
      </c>
      <c r="BX121" s="1324">
        <v>0</v>
      </c>
    </row>
    <row r="122" spans="1:76">
      <c r="A122" s="647">
        <v>45040</v>
      </c>
      <c r="B122" s="250">
        <v>1066.1389999999999</v>
      </c>
      <c r="C122" s="250">
        <v>588.84</v>
      </c>
      <c r="D122" s="250">
        <v>6857.6</v>
      </c>
      <c r="E122" s="1312">
        <v>0</v>
      </c>
      <c r="F122" s="250">
        <v>17924.900000000001</v>
      </c>
      <c r="G122" s="250">
        <v>5702.9</v>
      </c>
      <c r="H122" s="250">
        <v>581287.1</v>
      </c>
      <c r="I122" s="250">
        <v>269021.90000000002</v>
      </c>
      <c r="J122" s="250">
        <v>205504.5</v>
      </c>
      <c r="K122" s="219">
        <v>14959</v>
      </c>
      <c r="L122" s="250">
        <v>7011</v>
      </c>
      <c r="M122" s="422">
        <v>46196</v>
      </c>
      <c r="N122" s="422">
        <v>36751.300000000003</v>
      </c>
      <c r="O122" s="250">
        <v>137610.29999999999</v>
      </c>
      <c r="P122" s="250">
        <v>114152</v>
      </c>
      <c r="Q122" s="250">
        <v>139860</v>
      </c>
      <c r="R122" s="250">
        <v>95950.9</v>
      </c>
      <c r="S122" s="1014">
        <v>14051.63</v>
      </c>
      <c r="T122" s="1014">
        <v>10671.64</v>
      </c>
      <c r="U122" s="250">
        <v>33566</v>
      </c>
      <c r="V122" s="250">
        <v>17407</v>
      </c>
      <c r="W122" s="250">
        <v>211003.4</v>
      </c>
      <c r="X122" s="1014">
        <v>345.9</v>
      </c>
      <c r="Y122" s="1014">
        <v>50716</v>
      </c>
      <c r="Z122" s="250">
        <v>583243</v>
      </c>
      <c r="AA122" s="250">
        <v>297246</v>
      </c>
      <c r="AB122" s="250">
        <v>211042.1</v>
      </c>
      <c r="AC122" s="1014">
        <v>1112.4000000000001</v>
      </c>
      <c r="AD122" s="1081">
        <v>942</v>
      </c>
      <c r="AE122" s="250">
        <v>35520.5</v>
      </c>
      <c r="AF122" s="250">
        <v>25323.5</v>
      </c>
      <c r="AG122" s="250">
        <v>82422</v>
      </c>
      <c r="AH122" s="250">
        <v>63721.9</v>
      </c>
      <c r="AI122" s="250">
        <v>65567.8</v>
      </c>
      <c r="AJ122" s="250">
        <v>53398.6</v>
      </c>
      <c r="AK122" s="250">
        <v>59411</v>
      </c>
      <c r="AL122" s="250">
        <v>23360.1</v>
      </c>
      <c r="AM122" s="250">
        <v>16.600000000000001</v>
      </c>
      <c r="AN122" s="250">
        <v>17.8</v>
      </c>
      <c r="AO122" s="250">
        <v>490891</v>
      </c>
      <c r="AP122" s="250">
        <v>226520</v>
      </c>
      <c r="AQ122" s="250">
        <v>65083.7</v>
      </c>
      <c r="AR122" s="250"/>
      <c r="AS122" s="250">
        <v>458509</v>
      </c>
      <c r="AT122" s="250">
        <v>201813</v>
      </c>
      <c r="AU122" s="250">
        <v>79372.800000000003</v>
      </c>
      <c r="AV122" s="250">
        <v>4357</v>
      </c>
      <c r="AW122" s="250">
        <v>2904.2</v>
      </c>
      <c r="AX122" s="250">
        <v>222.43</v>
      </c>
      <c r="AY122" s="250">
        <v>134.77000000000001</v>
      </c>
      <c r="AZ122" s="250">
        <v>819.399</v>
      </c>
      <c r="BA122" s="250">
        <v>348.01</v>
      </c>
      <c r="BB122" s="385">
        <v>1821.6</v>
      </c>
      <c r="BC122" s="250">
        <v>2978.8</v>
      </c>
      <c r="BD122" s="250">
        <v>455.7</v>
      </c>
      <c r="BE122" s="250">
        <v>5797.38</v>
      </c>
      <c r="BF122" s="250">
        <v>31199.435087719299</v>
      </c>
      <c r="BG122" s="250">
        <v>10028.583781802899</v>
      </c>
      <c r="BH122" s="250">
        <v>4739.2</v>
      </c>
      <c r="BI122" s="250">
        <v>2559393.5</v>
      </c>
      <c r="BJ122" s="250">
        <v>525</v>
      </c>
      <c r="BK122" s="250">
        <v>19945.5</v>
      </c>
      <c r="BL122" s="250">
        <v>3240547</v>
      </c>
      <c r="BM122" s="250">
        <v>102065</v>
      </c>
      <c r="BN122" s="250">
        <v>20119.2</v>
      </c>
      <c r="BO122" s="250">
        <v>2994976</v>
      </c>
      <c r="BP122" s="250">
        <v>145784</v>
      </c>
      <c r="BQ122" s="250">
        <v>17588.240000000002</v>
      </c>
      <c r="BR122" s="250">
        <v>8520.7999999999993</v>
      </c>
      <c r="BS122" s="250">
        <v>5804.2</v>
      </c>
      <c r="BT122" s="250">
        <v>1099405</v>
      </c>
      <c r="BU122" s="250">
        <v>624481</v>
      </c>
      <c r="BV122" s="250">
        <v>709618</v>
      </c>
      <c r="BW122" s="250">
        <v>448709</v>
      </c>
      <c r="BX122" s="1324">
        <v>0</v>
      </c>
    </row>
    <row r="123" spans="1:76">
      <c r="A123" s="647">
        <v>45041</v>
      </c>
      <c r="B123" s="250">
        <v>1066.521</v>
      </c>
      <c r="C123" s="250">
        <v>589.03200000000004</v>
      </c>
      <c r="D123" s="250">
        <v>6858.3</v>
      </c>
      <c r="E123" s="1312">
        <v>0.4</v>
      </c>
      <c r="F123" s="250">
        <v>17939.3</v>
      </c>
      <c r="G123" s="250">
        <v>5709.2</v>
      </c>
      <c r="H123" s="250">
        <v>581455.6</v>
      </c>
      <c r="I123" s="250">
        <v>269106.8</v>
      </c>
      <c r="J123" s="250">
        <v>205528.5</v>
      </c>
      <c r="K123" s="219">
        <v>14959</v>
      </c>
      <c r="L123" s="250">
        <v>7011</v>
      </c>
      <c r="M123" s="422">
        <v>46196</v>
      </c>
      <c r="N123" s="422">
        <v>36751.300000000003</v>
      </c>
      <c r="O123" s="250">
        <v>137622</v>
      </c>
      <c r="P123" s="250">
        <v>114161</v>
      </c>
      <c r="Q123" s="250">
        <v>139874</v>
      </c>
      <c r="R123" s="250">
        <v>95961.2</v>
      </c>
      <c r="S123" s="1014">
        <v>14051.63</v>
      </c>
      <c r="T123" s="1014">
        <v>10671.64</v>
      </c>
      <c r="U123" s="250">
        <v>33723</v>
      </c>
      <c r="V123" s="250">
        <v>17481</v>
      </c>
      <c r="W123" s="250">
        <v>211027.4</v>
      </c>
      <c r="X123" s="1014">
        <v>345.9</v>
      </c>
      <c r="Y123" s="1014">
        <v>50716</v>
      </c>
      <c r="Z123" s="250">
        <v>583534</v>
      </c>
      <c r="AA123" s="250">
        <v>297400</v>
      </c>
      <c r="AB123" s="250">
        <v>211066.1</v>
      </c>
      <c r="AC123" s="1014">
        <v>1112.4000000000001</v>
      </c>
      <c r="AD123" s="1081">
        <v>942</v>
      </c>
      <c r="AE123" s="250">
        <v>35523.1</v>
      </c>
      <c r="AF123" s="250">
        <v>25325.200000000001</v>
      </c>
      <c r="AG123" s="250">
        <v>82427.3</v>
      </c>
      <c r="AH123" s="250">
        <v>63726</v>
      </c>
      <c r="AI123" s="250">
        <v>65603.899999999994</v>
      </c>
      <c r="AJ123" s="250">
        <v>53428.9</v>
      </c>
      <c r="AK123" s="250">
        <v>59416</v>
      </c>
      <c r="AL123" s="250">
        <v>23362.1</v>
      </c>
      <c r="AM123" s="250">
        <v>16.600000000000001</v>
      </c>
      <c r="AN123" s="250">
        <v>17.8</v>
      </c>
      <c r="AO123" s="250">
        <v>491065</v>
      </c>
      <c r="AP123" s="250">
        <v>226599</v>
      </c>
      <c r="AQ123" s="250">
        <v>65088.5</v>
      </c>
      <c r="AR123" s="250"/>
      <c r="AS123" s="250">
        <v>458668</v>
      </c>
      <c r="AT123" s="250">
        <v>201882</v>
      </c>
      <c r="AU123" s="250">
        <v>79396.800000000003</v>
      </c>
      <c r="AV123" s="250">
        <v>4358.3</v>
      </c>
      <c r="AW123" s="250">
        <v>2905.2</v>
      </c>
      <c r="AX123" s="250">
        <v>223.5</v>
      </c>
      <c r="AY123" s="250">
        <v>135.5</v>
      </c>
      <c r="AZ123" s="250">
        <v>820.08900000000006</v>
      </c>
      <c r="BA123" s="250">
        <v>348.27600000000001</v>
      </c>
      <c r="BB123" s="250">
        <v>1822.4</v>
      </c>
      <c r="BC123" s="250">
        <v>2981.2</v>
      </c>
      <c r="BD123" s="250">
        <v>455.7</v>
      </c>
      <c r="BE123" s="250">
        <v>6134.89</v>
      </c>
      <c r="BF123" s="250">
        <v>31580.7368421053</v>
      </c>
      <c r="BG123" s="250">
        <v>8926.8647690566395</v>
      </c>
      <c r="BH123" s="250">
        <v>5338.3</v>
      </c>
      <c r="BI123" s="250">
        <v>2562129.5</v>
      </c>
      <c r="BJ123" s="250">
        <v>526</v>
      </c>
      <c r="BK123" s="250">
        <v>19969.5</v>
      </c>
      <c r="BL123" s="250">
        <v>3240547</v>
      </c>
      <c r="BM123" s="250">
        <v>102065</v>
      </c>
      <c r="BN123" s="250">
        <v>20119.2</v>
      </c>
      <c r="BO123" s="250">
        <v>2999914</v>
      </c>
      <c r="BP123" s="250">
        <v>146462</v>
      </c>
      <c r="BQ123" s="250">
        <v>17612.2</v>
      </c>
      <c r="BR123" s="250">
        <v>8528.9</v>
      </c>
      <c r="BS123" s="250">
        <v>5809.2</v>
      </c>
      <c r="BT123" s="250">
        <v>1100821</v>
      </c>
      <c r="BU123" s="250">
        <v>625265</v>
      </c>
      <c r="BV123" s="250">
        <v>709654</v>
      </c>
      <c r="BW123" s="250">
        <v>448732</v>
      </c>
      <c r="BX123" s="1324">
        <v>0.7</v>
      </c>
    </row>
    <row r="124" spans="1:76">
      <c r="A124" s="647">
        <v>45042</v>
      </c>
      <c r="B124" s="250">
        <v>1066.521</v>
      </c>
      <c r="C124" s="250">
        <v>589.03200000000004</v>
      </c>
      <c r="D124" s="250">
        <v>6858.3</v>
      </c>
      <c r="E124" s="1312">
        <v>0</v>
      </c>
      <c r="F124" s="250">
        <v>17953</v>
      </c>
      <c r="G124" s="250">
        <v>5715.1</v>
      </c>
      <c r="H124" s="422">
        <v>581616</v>
      </c>
      <c r="I124" s="422">
        <v>269187.40000000002</v>
      </c>
      <c r="J124" s="422">
        <v>205552.5</v>
      </c>
      <c r="K124" s="219">
        <v>14959</v>
      </c>
      <c r="L124" s="250">
        <v>7011</v>
      </c>
      <c r="M124" s="422">
        <v>46196</v>
      </c>
      <c r="N124" s="422">
        <v>36751.300000000003</v>
      </c>
      <c r="O124" s="422">
        <v>137633.26</v>
      </c>
      <c r="P124" s="422">
        <v>114170.97</v>
      </c>
      <c r="Q124" s="422">
        <v>139889.15</v>
      </c>
      <c r="R124" s="422">
        <v>95971.22</v>
      </c>
      <c r="S124" s="1014">
        <v>14051.63</v>
      </c>
      <c r="T124" s="1014">
        <v>10671.64</v>
      </c>
      <c r="U124" s="422">
        <v>33871.910000000003</v>
      </c>
      <c r="V124" s="422">
        <v>17553.560000000001</v>
      </c>
      <c r="W124" s="422">
        <v>211051.4</v>
      </c>
      <c r="X124" s="1014">
        <v>345.9</v>
      </c>
      <c r="Y124" s="1014">
        <v>50716</v>
      </c>
      <c r="Z124" s="422">
        <v>583816.13</v>
      </c>
      <c r="AA124" s="422">
        <v>297546.26</v>
      </c>
      <c r="AB124" s="422">
        <v>211090.1</v>
      </c>
      <c r="AC124" s="1014">
        <v>1112.4000000000001</v>
      </c>
      <c r="AD124" s="1081">
        <v>942</v>
      </c>
      <c r="AE124" s="250">
        <v>35525.57</v>
      </c>
      <c r="AF124" s="250">
        <v>25326.95</v>
      </c>
      <c r="AG124" s="422">
        <v>82433.649999999994</v>
      </c>
      <c r="AH124" s="422">
        <v>63730.78</v>
      </c>
      <c r="AI124" s="422">
        <v>65638.559999999998</v>
      </c>
      <c r="AJ124" s="422">
        <v>53457.96</v>
      </c>
      <c r="AK124" s="422">
        <v>59420.6</v>
      </c>
      <c r="AL124" s="422">
        <v>23364</v>
      </c>
      <c r="AM124" s="250">
        <v>16.600000000000001</v>
      </c>
      <c r="AN124" s="250">
        <v>17.8</v>
      </c>
      <c r="AO124" s="422">
        <v>491231.3</v>
      </c>
      <c r="AP124" s="422">
        <v>226675.6</v>
      </c>
      <c r="AQ124" s="422">
        <v>65093.607000000004</v>
      </c>
      <c r="AR124" s="1014"/>
      <c r="AS124" s="422">
        <v>458819.01</v>
      </c>
      <c r="AT124" s="422">
        <v>201947.59</v>
      </c>
      <c r="AU124" s="422">
        <v>79420.800000000003</v>
      </c>
      <c r="AV124" s="250">
        <v>4360.8500000000004</v>
      </c>
      <c r="AW124" s="250">
        <v>2907.01</v>
      </c>
      <c r="AX124" s="250">
        <v>223.5</v>
      </c>
      <c r="AY124" s="250">
        <v>135.5</v>
      </c>
      <c r="AZ124" s="250">
        <v>820.08900000000006</v>
      </c>
      <c r="BA124" s="250">
        <v>348.27600000000001</v>
      </c>
      <c r="BB124" s="250">
        <v>1822.4</v>
      </c>
      <c r="BC124" s="422">
        <v>2983.5</v>
      </c>
      <c r="BD124" s="422">
        <v>455.7</v>
      </c>
      <c r="BE124" s="422">
        <v>6214.34</v>
      </c>
      <c r="BF124" s="422">
        <v>32825.263157894697</v>
      </c>
      <c r="BG124" s="1014">
        <v>8978.7398152334899</v>
      </c>
      <c r="BH124" s="422">
        <v>6730.87</v>
      </c>
      <c r="BI124" s="422">
        <v>2564937.5</v>
      </c>
      <c r="BJ124" s="422">
        <v>527</v>
      </c>
      <c r="BK124" s="422">
        <v>19993.5</v>
      </c>
      <c r="BL124" s="250">
        <v>3240547</v>
      </c>
      <c r="BM124" s="250">
        <v>102065</v>
      </c>
      <c r="BN124" s="250">
        <v>20119.2</v>
      </c>
      <c r="BO124" s="250">
        <v>3004712</v>
      </c>
      <c r="BP124" s="250">
        <v>147225</v>
      </c>
      <c r="BQ124" s="250">
        <v>17636.2</v>
      </c>
      <c r="BR124" s="422">
        <v>8537.24</v>
      </c>
      <c r="BS124" s="422">
        <v>5814.33</v>
      </c>
      <c r="BT124" s="422">
        <v>1101966</v>
      </c>
      <c r="BU124" s="422">
        <v>625896</v>
      </c>
      <c r="BV124" s="422">
        <v>709813</v>
      </c>
      <c r="BW124" s="422">
        <v>448829</v>
      </c>
      <c r="BX124" s="1324">
        <v>0</v>
      </c>
    </row>
    <row r="125" spans="1:76">
      <c r="A125" s="647">
        <v>45043</v>
      </c>
      <c r="B125" s="250">
        <v>1066.521</v>
      </c>
      <c r="C125" s="250">
        <v>589.03200000000004</v>
      </c>
      <c r="D125" s="250">
        <v>6858.3</v>
      </c>
      <c r="E125" s="1312">
        <v>0</v>
      </c>
      <c r="F125" s="250">
        <v>17967.900000000001</v>
      </c>
      <c r="G125" s="250">
        <v>5722</v>
      </c>
      <c r="H125" s="422">
        <v>581781.28</v>
      </c>
      <c r="I125" s="422">
        <v>269270.57</v>
      </c>
      <c r="J125" s="422">
        <v>205576.5</v>
      </c>
      <c r="K125" s="219">
        <v>14959</v>
      </c>
      <c r="L125" s="250">
        <v>7011</v>
      </c>
      <c r="M125" s="422">
        <v>46196</v>
      </c>
      <c r="N125" s="422">
        <v>36751.300000000003</v>
      </c>
      <c r="O125" s="422">
        <v>137646.24</v>
      </c>
      <c r="P125" s="422">
        <v>114181.09</v>
      </c>
      <c r="Q125" s="422">
        <v>139904.34</v>
      </c>
      <c r="R125" s="422">
        <v>95181.7</v>
      </c>
      <c r="S125" s="1014">
        <v>14051.63</v>
      </c>
      <c r="T125" s="1014">
        <v>10671.64</v>
      </c>
      <c r="U125" s="422">
        <v>34023.07</v>
      </c>
      <c r="V125" s="422">
        <v>17631.61</v>
      </c>
      <c r="W125" s="422">
        <v>211075.4</v>
      </c>
      <c r="X125" s="1014">
        <v>345.9</v>
      </c>
      <c r="Y125" s="1014">
        <v>50716</v>
      </c>
      <c r="Z125" s="422">
        <v>584123.64</v>
      </c>
      <c r="AA125" s="422">
        <v>297701.56</v>
      </c>
      <c r="AB125" s="422">
        <v>211114.1</v>
      </c>
      <c r="AC125" s="1014">
        <v>1112.4000000000001</v>
      </c>
      <c r="AD125" s="1081">
        <v>942</v>
      </c>
      <c r="AE125" s="250">
        <v>35528.080000000002</v>
      </c>
      <c r="AF125" s="250">
        <v>25328.66</v>
      </c>
      <c r="AG125" s="422">
        <v>82440.210000000006</v>
      </c>
      <c r="AH125" s="422">
        <v>63735.71</v>
      </c>
      <c r="AI125" s="422">
        <v>65677.94</v>
      </c>
      <c r="AJ125" s="422">
        <v>53491.27</v>
      </c>
      <c r="AK125" s="422">
        <v>59434</v>
      </c>
      <c r="AL125" s="422">
        <v>23369.3</v>
      </c>
      <c r="AM125" s="250">
        <v>16.600000000000001</v>
      </c>
      <c r="AN125" s="250">
        <v>17.8</v>
      </c>
      <c r="AO125" s="422">
        <v>491402.2</v>
      </c>
      <c r="AP125" s="422">
        <v>226754</v>
      </c>
      <c r="AQ125" s="422">
        <v>65098.707000000002</v>
      </c>
      <c r="AR125" s="1014"/>
      <c r="AS125" s="422">
        <v>458975.9</v>
      </c>
      <c r="AT125" s="422">
        <v>202015.5</v>
      </c>
      <c r="AU125" s="422">
        <v>79444.800000000003</v>
      </c>
      <c r="AV125" s="250">
        <v>4360.8599999999997</v>
      </c>
      <c r="AW125" s="250">
        <v>2908.85</v>
      </c>
      <c r="AX125" s="1014">
        <v>224.08</v>
      </c>
      <c r="AY125" s="1014">
        <v>135.87</v>
      </c>
      <c r="AZ125" s="250">
        <v>820.08900000000006</v>
      </c>
      <c r="BA125" s="250">
        <v>348.27600000000001</v>
      </c>
      <c r="BB125" s="250">
        <v>1822.4</v>
      </c>
      <c r="BC125" s="422">
        <v>2985.6</v>
      </c>
      <c r="BD125" s="422">
        <v>455.7</v>
      </c>
      <c r="BE125" s="422">
        <v>6038.57</v>
      </c>
      <c r="BF125" s="422">
        <v>33383.052631578903</v>
      </c>
      <c r="BG125" s="1014">
        <v>8297.4321643570893</v>
      </c>
      <c r="BH125" s="422">
        <v>7164.13</v>
      </c>
      <c r="BI125" s="422">
        <v>2567457.5</v>
      </c>
      <c r="BJ125" s="422">
        <v>528</v>
      </c>
      <c r="BK125" s="422">
        <v>20017.5</v>
      </c>
      <c r="BL125" s="250">
        <v>3240547</v>
      </c>
      <c r="BM125" s="250">
        <v>102065</v>
      </c>
      <c r="BN125" s="250">
        <v>20119.2</v>
      </c>
      <c r="BO125" s="250">
        <v>3009727</v>
      </c>
      <c r="BP125" s="250">
        <v>148039</v>
      </c>
      <c r="BQ125" s="250">
        <v>17660.09</v>
      </c>
      <c r="BR125" s="422">
        <v>8546</v>
      </c>
      <c r="BS125" s="422">
        <v>5819.71</v>
      </c>
      <c r="BT125" s="422">
        <v>1102694</v>
      </c>
      <c r="BU125" s="422">
        <v>626323</v>
      </c>
      <c r="BV125" s="422">
        <v>710979</v>
      </c>
      <c r="BW125" s="422">
        <v>449511</v>
      </c>
      <c r="BX125" s="1324">
        <v>0</v>
      </c>
    </row>
    <row r="126" spans="1:76">
      <c r="A126" s="647">
        <v>45044</v>
      </c>
      <c r="B126" s="250">
        <v>1066.521</v>
      </c>
      <c r="C126" s="250">
        <v>589.03200000000004</v>
      </c>
      <c r="D126" s="250">
        <v>6858.3</v>
      </c>
      <c r="E126" s="1312">
        <v>0</v>
      </c>
      <c r="F126" s="250">
        <v>17982.7</v>
      </c>
      <c r="G126" s="250">
        <v>5729</v>
      </c>
      <c r="H126" s="250">
        <v>581948.21000000008</v>
      </c>
      <c r="I126" s="250">
        <v>269354.38</v>
      </c>
      <c r="J126" s="250">
        <v>205600.5</v>
      </c>
      <c r="K126" s="219">
        <v>14959</v>
      </c>
      <c r="L126" s="250">
        <v>7011</v>
      </c>
      <c r="M126" s="422">
        <v>46196</v>
      </c>
      <c r="N126" s="422">
        <v>36751.300000000003</v>
      </c>
      <c r="O126" s="250">
        <v>137657.17000000001</v>
      </c>
      <c r="P126" s="250">
        <v>114190.02</v>
      </c>
      <c r="Q126" s="250">
        <v>139919.49</v>
      </c>
      <c r="R126" s="250">
        <v>95922.17</v>
      </c>
      <c r="S126" s="250">
        <v>14051.63</v>
      </c>
      <c r="T126" s="250">
        <v>10671.64</v>
      </c>
      <c r="U126" s="250">
        <v>34175.01</v>
      </c>
      <c r="V126" s="250">
        <v>17705.439999999999</v>
      </c>
      <c r="W126" s="250">
        <v>211099.4</v>
      </c>
      <c r="X126" s="1014">
        <v>345.9</v>
      </c>
      <c r="Y126" s="1014">
        <v>50716</v>
      </c>
      <c r="Z126" s="250">
        <v>584422.5</v>
      </c>
      <c r="AA126" s="422">
        <v>297857.59999999998</v>
      </c>
      <c r="AB126" s="250">
        <v>211138.1</v>
      </c>
      <c r="AC126" s="1014">
        <v>1112.4000000000001</v>
      </c>
      <c r="AD126" s="1081">
        <v>942</v>
      </c>
      <c r="AE126" s="250">
        <v>35530.6</v>
      </c>
      <c r="AF126" s="250">
        <v>25330.3</v>
      </c>
      <c r="AG126" s="250">
        <v>82446.600000000006</v>
      </c>
      <c r="AH126" s="250">
        <v>63740.53</v>
      </c>
      <c r="AI126" s="250">
        <v>65716.149999999994</v>
      </c>
      <c r="AJ126" s="250">
        <v>53523.8</v>
      </c>
      <c r="AK126" s="250">
        <v>59444.7</v>
      </c>
      <c r="AL126" s="250">
        <v>23373</v>
      </c>
      <c r="AM126" s="250">
        <v>16.600000000000001</v>
      </c>
      <c r="AN126" s="250">
        <v>17.8</v>
      </c>
      <c r="AO126" s="250">
        <v>491570.6</v>
      </c>
      <c r="AP126" s="250">
        <v>226831.3</v>
      </c>
      <c r="AQ126" s="250">
        <v>65103.906999999999</v>
      </c>
      <c r="AR126" s="250"/>
      <c r="AS126" s="250">
        <v>459130.7</v>
      </c>
      <c r="AT126" s="250">
        <v>202082.6</v>
      </c>
      <c r="AU126" s="250">
        <v>79468.800000000003</v>
      </c>
      <c r="AV126" s="250">
        <v>4365.8100000000004</v>
      </c>
      <c r="AW126" s="250">
        <v>2910.66</v>
      </c>
      <c r="AX126" s="250">
        <v>224.08</v>
      </c>
      <c r="AY126" s="250">
        <v>135.88</v>
      </c>
      <c r="AZ126" s="250">
        <v>820.08900000000006</v>
      </c>
      <c r="BA126" s="250">
        <v>348.27600000000001</v>
      </c>
      <c r="BB126" s="250">
        <v>1822.4</v>
      </c>
      <c r="BC126" s="250">
        <v>2987.7</v>
      </c>
      <c r="BD126" s="250">
        <v>455.7</v>
      </c>
      <c r="BE126" s="250">
        <v>5857.72</v>
      </c>
      <c r="BF126" s="250">
        <v>34187.477192982398</v>
      </c>
      <c r="BG126" s="250">
        <v>9094.1833088041894</v>
      </c>
      <c r="BH126" s="250">
        <v>6739.38</v>
      </c>
      <c r="BI126" s="250">
        <v>2570217.5</v>
      </c>
      <c r="BJ126" s="250">
        <v>529</v>
      </c>
      <c r="BK126" s="250">
        <v>20041.5</v>
      </c>
      <c r="BL126" s="250">
        <v>3240547</v>
      </c>
      <c r="BM126" s="250">
        <v>102065</v>
      </c>
      <c r="BN126" s="250">
        <v>20119.2</v>
      </c>
      <c r="BO126" s="250">
        <v>3014797</v>
      </c>
      <c r="BP126" s="250">
        <v>149023</v>
      </c>
      <c r="BQ126" s="250">
        <v>17684.32</v>
      </c>
      <c r="BR126" s="250">
        <v>8554.83</v>
      </c>
      <c r="BS126" s="250">
        <v>5825.13</v>
      </c>
      <c r="BT126" s="250">
        <v>1103235</v>
      </c>
      <c r="BU126" s="250">
        <v>626642</v>
      </c>
      <c r="BV126" s="250">
        <v>712009</v>
      </c>
      <c r="BW126" s="250">
        <v>450141</v>
      </c>
      <c r="BX126" s="1324">
        <v>0</v>
      </c>
    </row>
    <row r="127" spans="1:76">
      <c r="A127" s="647">
        <v>45045</v>
      </c>
      <c r="B127" s="250">
        <v>1066.521</v>
      </c>
      <c r="C127" s="250">
        <v>589.03200000000004</v>
      </c>
      <c r="D127" s="250">
        <v>6858.3</v>
      </c>
      <c r="E127" s="1312">
        <v>0</v>
      </c>
      <c r="F127" s="250">
        <v>17997.599999999999</v>
      </c>
      <c r="G127" s="250">
        <v>5733.6</v>
      </c>
      <c r="H127" s="250">
        <v>582113.75000000012</v>
      </c>
      <c r="I127" s="250">
        <v>269437.84000000003</v>
      </c>
      <c r="J127" s="250">
        <v>205624.5</v>
      </c>
      <c r="K127" s="219">
        <v>14959</v>
      </c>
      <c r="L127" s="250">
        <v>7011</v>
      </c>
      <c r="M127" s="422">
        <v>46196</v>
      </c>
      <c r="N127" s="422">
        <v>36751.300000000003</v>
      </c>
      <c r="O127" s="250">
        <v>137669.67000000001</v>
      </c>
      <c r="P127" s="250">
        <v>114200</v>
      </c>
      <c r="Q127" s="250">
        <v>139934.03</v>
      </c>
      <c r="R127" s="250">
        <v>96002.559999999998</v>
      </c>
      <c r="S127" s="250">
        <v>14051.63</v>
      </c>
      <c r="T127" s="250">
        <v>10671.64</v>
      </c>
      <c r="U127" s="250">
        <v>34322.9</v>
      </c>
      <c r="V127" s="250">
        <v>17778.5</v>
      </c>
      <c r="W127" s="250">
        <v>211123.4</v>
      </c>
      <c r="X127" s="1014">
        <v>345.9</v>
      </c>
      <c r="Y127" s="1014">
        <v>50716</v>
      </c>
      <c r="Z127" s="250">
        <v>584714.16</v>
      </c>
      <c r="AA127" s="250">
        <v>298008.09999999998</v>
      </c>
      <c r="AB127" s="250">
        <v>211162.1</v>
      </c>
      <c r="AC127" s="1014">
        <v>1112.4000000000001</v>
      </c>
      <c r="AD127" s="1081">
        <v>942</v>
      </c>
      <c r="AE127" s="250">
        <v>35533.08</v>
      </c>
      <c r="AF127" s="250">
        <v>25332</v>
      </c>
      <c r="AG127" s="250">
        <v>82453.13</v>
      </c>
      <c r="AH127" s="250">
        <v>63745.48</v>
      </c>
      <c r="AI127" s="250">
        <v>65754.31</v>
      </c>
      <c r="AJ127" s="250">
        <v>53556.22</v>
      </c>
      <c r="AK127" s="250">
        <v>59453.9</v>
      </c>
      <c r="AL127" s="250">
        <v>23376.9</v>
      </c>
      <c r="AM127" s="250">
        <v>16.600000000000001</v>
      </c>
      <c r="AN127" s="250">
        <v>17.8</v>
      </c>
      <c r="AO127" s="250">
        <v>491729.5</v>
      </c>
      <c r="AP127" s="250">
        <v>226904.2</v>
      </c>
      <c r="AQ127" s="250">
        <v>65108.6</v>
      </c>
      <c r="AR127" s="250"/>
      <c r="AS127" s="250">
        <v>459274.56</v>
      </c>
      <c r="AT127" s="250">
        <v>202145.07</v>
      </c>
      <c r="AU127" s="250">
        <v>79491.400000000009</v>
      </c>
      <c r="AV127" s="250">
        <v>4368.54</v>
      </c>
      <c r="AW127" s="250">
        <v>2912.67</v>
      </c>
      <c r="AX127" s="250">
        <v>224.08</v>
      </c>
      <c r="AY127" s="250">
        <v>135.88</v>
      </c>
      <c r="AZ127" s="250">
        <v>820.08900000000006</v>
      </c>
      <c r="BA127" s="250">
        <v>348.27600000000001</v>
      </c>
      <c r="BB127" s="250">
        <v>1822.4</v>
      </c>
      <c r="BC127" s="250">
        <v>2990</v>
      </c>
      <c r="BD127" s="250">
        <v>455.7</v>
      </c>
      <c r="BE127" s="250">
        <v>6073.63</v>
      </c>
      <c r="BF127" s="250">
        <v>33829.589473684202</v>
      </c>
      <c r="BG127" s="250">
        <v>9644.5303851075605</v>
      </c>
      <c r="BH127" s="250">
        <v>6956.41</v>
      </c>
      <c r="BI127" s="250">
        <v>2572185.5</v>
      </c>
      <c r="BJ127" s="250">
        <v>530</v>
      </c>
      <c r="BK127" s="250">
        <v>20065.5</v>
      </c>
      <c r="BL127" s="250">
        <v>3240547</v>
      </c>
      <c r="BM127" s="250">
        <v>102065</v>
      </c>
      <c r="BN127" s="250">
        <v>20119.2</v>
      </c>
      <c r="BO127" s="250">
        <v>3019750</v>
      </c>
      <c r="BP127" s="250">
        <v>149746</v>
      </c>
      <c r="BQ127" s="250">
        <v>17708.32</v>
      </c>
      <c r="BR127" s="250">
        <v>8563.68</v>
      </c>
      <c r="BS127" s="250">
        <v>5830.59</v>
      </c>
      <c r="BT127" s="250">
        <v>1103641</v>
      </c>
      <c r="BU127" s="250">
        <v>626891</v>
      </c>
      <c r="BV127" s="250">
        <v>713118</v>
      </c>
      <c r="BW127" s="250">
        <v>450820</v>
      </c>
      <c r="BX127" s="1324">
        <v>0</v>
      </c>
    </row>
    <row r="128" spans="1:76">
      <c r="A128" s="647">
        <v>45046</v>
      </c>
      <c r="B128" s="250">
        <v>1066.521</v>
      </c>
      <c r="C128" s="250">
        <v>589.03200000000004</v>
      </c>
      <c r="D128" s="250">
        <v>6858.3</v>
      </c>
      <c r="E128" s="1312">
        <v>0</v>
      </c>
      <c r="F128" s="250">
        <v>18011.900000000001</v>
      </c>
      <c r="G128" s="250">
        <v>5735.5</v>
      </c>
      <c r="H128" s="250">
        <v>582276.95000000007</v>
      </c>
      <c r="I128" s="250">
        <v>269519.66000000003</v>
      </c>
      <c r="J128" s="250">
        <v>205648.5</v>
      </c>
      <c r="K128" s="219">
        <v>14959</v>
      </c>
      <c r="L128" s="250">
        <v>7011</v>
      </c>
      <c r="M128" s="422">
        <v>46196</v>
      </c>
      <c r="N128" s="422">
        <v>36751.300000000003</v>
      </c>
      <c r="O128" s="250">
        <v>137682.1</v>
      </c>
      <c r="P128" s="250">
        <v>114209.7</v>
      </c>
      <c r="Q128" s="250">
        <v>139948.10999999999</v>
      </c>
      <c r="R128" s="250">
        <v>96012.67</v>
      </c>
      <c r="S128" s="250">
        <v>14051.63</v>
      </c>
      <c r="T128" s="250">
        <v>10671.64</v>
      </c>
      <c r="U128" s="250">
        <v>34466.9</v>
      </c>
      <c r="V128" s="250">
        <v>17853.060000000001</v>
      </c>
      <c r="W128" s="250">
        <v>211147.4</v>
      </c>
      <c r="X128" s="1014">
        <v>345.9</v>
      </c>
      <c r="Y128" s="1014">
        <v>50716</v>
      </c>
      <c r="Z128" s="250">
        <v>585017.15</v>
      </c>
      <c r="AA128" s="250">
        <v>298156.38</v>
      </c>
      <c r="AB128" s="250">
        <v>211186.1</v>
      </c>
      <c r="AC128" s="1014">
        <v>1112.4000000000001</v>
      </c>
      <c r="AD128" s="1081">
        <v>942</v>
      </c>
      <c r="AE128" s="250">
        <v>35535.47</v>
      </c>
      <c r="AF128" s="250">
        <v>25333.7</v>
      </c>
      <c r="AG128" s="250">
        <v>82459.83</v>
      </c>
      <c r="AH128" s="250">
        <v>63750.43</v>
      </c>
      <c r="AI128" s="250">
        <v>65792.59</v>
      </c>
      <c r="AJ128" s="250">
        <v>53588.55</v>
      </c>
      <c r="AK128" s="250">
        <v>59467.1</v>
      </c>
      <c r="AL128" s="250">
        <v>23382.1</v>
      </c>
      <c r="AM128" s="250">
        <v>16.600000000000001</v>
      </c>
      <c r="AN128" s="250">
        <v>17.8</v>
      </c>
      <c r="AO128" s="250">
        <v>491895.1</v>
      </c>
      <c r="AP128" s="250">
        <v>226980.2</v>
      </c>
      <c r="AQ128" s="250">
        <v>65113.3</v>
      </c>
      <c r="AR128" s="250"/>
      <c r="AS128" s="250">
        <v>459427.2</v>
      </c>
      <c r="AT128" s="250">
        <v>202211.29</v>
      </c>
      <c r="AU128" s="250">
        <v>79515.400000000009</v>
      </c>
      <c r="AV128" s="250">
        <v>4370.49</v>
      </c>
      <c r="AW128" s="250">
        <v>2914.15</v>
      </c>
      <c r="AX128" s="250">
        <v>224.08</v>
      </c>
      <c r="AY128" s="250">
        <v>135.88</v>
      </c>
      <c r="AZ128" s="250">
        <v>820.08900000000006</v>
      </c>
      <c r="BA128" s="250">
        <v>348.27600000000001</v>
      </c>
      <c r="BB128" s="250">
        <v>1822.4</v>
      </c>
      <c r="BC128" s="250">
        <v>2992.2</v>
      </c>
      <c r="BD128" s="250">
        <v>455.7</v>
      </c>
      <c r="BE128" s="250">
        <v>6517.29</v>
      </c>
      <c r="BF128" s="250">
        <v>31535.787719298241</v>
      </c>
      <c r="BG128" s="250">
        <v>7608.1909239212346</v>
      </c>
      <c r="BH128" s="250">
        <v>7583.88</v>
      </c>
      <c r="BI128" s="250">
        <v>2575089.5</v>
      </c>
      <c r="BJ128" s="250">
        <v>531</v>
      </c>
      <c r="BK128" s="250">
        <v>20088.650000000001</v>
      </c>
      <c r="BL128" s="250">
        <v>3240547</v>
      </c>
      <c r="BM128" s="250">
        <v>102065</v>
      </c>
      <c r="BN128" s="250">
        <v>20119.2</v>
      </c>
      <c r="BO128" s="250">
        <v>3024723</v>
      </c>
      <c r="BP128" s="250">
        <v>150465</v>
      </c>
      <c r="BQ128" s="250">
        <v>17732.32</v>
      </c>
      <c r="BR128" s="250">
        <v>8572.4</v>
      </c>
      <c r="BS128" s="250">
        <v>5835.95</v>
      </c>
      <c r="BT128" s="250">
        <v>1104023</v>
      </c>
      <c r="BU128" s="250">
        <v>627125</v>
      </c>
      <c r="BV128" s="250">
        <v>714211</v>
      </c>
      <c r="BW128" s="250">
        <v>451488</v>
      </c>
      <c r="BX128" s="1324">
        <v>0</v>
      </c>
    </row>
    <row r="129" spans="1:90" ht="13">
      <c r="A129" s="182"/>
      <c r="B129" s="658"/>
      <c r="C129" s="658"/>
      <c r="D129" s="658"/>
      <c r="E129" s="1316"/>
      <c r="F129" s="658"/>
      <c r="G129" s="658"/>
      <c r="H129" s="659"/>
      <c r="I129" s="659"/>
      <c r="J129" s="851"/>
      <c r="K129" s="852"/>
      <c r="L129" s="658"/>
      <c r="M129" s="658"/>
      <c r="N129" s="658"/>
      <c r="O129" s="658"/>
      <c r="P129" s="853"/>
      <c r="Q129" s="658"/>
      <c r="R129" s="658"/>
      <c r="S129" s="658"/>
      <c r="T129" s="658"/>
      <c r="U129" s="658"/>
      <c r="V129" s="658"/>
      <c r="W129" s="852"/>
      <c r="X129" s="658"/>
      <c r="Y129" s="658"/>
      <c r="Z129" s="854"/>
      <c r="AA129" s="855"/>
      <c r="AB129" s="658"/>
      <c r="AC129" s="658"/>
      <c r="AD129" s="658"/>
      <c r="AE129" s="658"/>
      <c r="AF129" s="658"/>
      <c r="AG129" s="658"/>
      <c r="AH129" s="658"/>
      <c r="AI129" s="658"/>
      <c r="AJ129" s="658"/>
      <c r="AK129" s="852"/>
      <c r="AL129" s="852"/>
      <c r="AM129" s="658"/>
      <c r="AN129" s="658"/>
      <c r="AO129" s="658"/>
      <c r="AP129" s="658"/>
      <c r="AQ129" s="658"/>
      <c r="AR129" s="658"/>
      <c r="AS129" s="658"/>
      <c r="AT129" s="658"/>
      <c r="AU129" s="658"/>
      <c r="AV129" s="658"/>
      <c r="AW129" s="658"/>
      <c r="AX129" s="658"/>
      <c r="AY129" s="658"/>
      <c r="AZ129" s="658"/>
      <c r="BA129" s="658"/>
      <c r="BB129" s="1798"/>
      <c r="BC129" s="658"/>
      <c r="BD129" s="658"/>
      <c r="BE129" s="658"/>
      <c r="BF129" s="658"/>
      <c r="BG129" s="1016"/>
      <c r="BH129" s="658"/>
      <c r="BI129" s="658"/>
      <c r="BJ129" s="658"/>
      <c r="BK129" s="658"/>
      <c r="BL129" s="658"/>
      <c r="BM129" s="658"/>
      <c r="BN129" s="658"/>
      <c r="BO129" s="658"/>
      <c r="BP129" s="658"/>
      <c r="BQ129" s="658"/>
      <c r="BR129" s="658"/>
      <c r="BS129" s="658"/>
      <c r="BT129" s="658"/>
      <c r="BU129" s="658"/>
      <c r="BV129" s="658"/>
      <c r="BW129" s="1017"/>
      <c r="BX129" s="1017"/>
    </row>
    <row r="130" spans="1:90">
      <c r="A130" s="160">
        <v>45046</v>
      </c>
      <c r="B130" s="250">
        <v>1066.521</v>
      </c>
      <c r="C130" s="250">
        <v>589.03200000000004</v>
      </c>
      <c r="D130" s="250">
        <v>6858.3</v>
      </c>
      <c r="E130" s="1312">
        <v>0</v>
      </c>
      <c r="F130" s="250">
        <v>18011.900000000001</v>
      </c>
      <c r="G130" s="250">
        <v>5735.5</v>
      </c>
      <c r="H130" s="422">
        <v>2839.3</v>
      </c>
      <c r="I130" s="422">
        <v>1431.6</v>
      </c>
      <c r="J130" s="422">
        <v>205648.5</v>
      </c>
      <c r="K130" s="422">
        <v>14959</v>
      </c>
      <c r="L130" s="422">
        <v>7011</v>
      </c>
      <c r="M130" s="422">
        <v>46196</v>
      </c>
      <c r="N130" s="422">
        <v>36751.300000000003</v>
      </c>
      <c r="O130" s="422">
        <v>137682.1</v>
      </c>
      <c r="P130" s="422">
        <v>114209.7</v>
      </c>
      <c r="Q130" s="422">
        <v>139948.10999999999</v>
      </c>
      <c r="R130" s="422">
        <v>96012.67</v>
      </c>
      <c r="S130" s="250">
        <v>14051.63</v>
      </c>
      <c r="T130" s="250">
        <v>10671.64</v>
      </c>
      <c r="U130" s="422">
        <v>34466.9</v>
      </c>
      <c r="V130" s="422">
        <v>17853.060000000001</v>
      </c>
      <c r="W130" s="422">
        <v>211147.4</v>
      </c>
      <c r="X130" s="1014">
        <v>345.9</v>
      </c>
      <c r="Y130" s="1014">
        <v>50716</v>
      </c>
      <c r="Z130" s="422">
        <v>585017.15</v>
      </c>
      <c r="AA130" s="422">
        <v>298156.38</v>
      </c>
      <c r="AB130" s="422">
        <v>211186.1</v>
      </c>
      <c r="AC130" s="1014">
        <v>1112.4000000000001</v>
      </c>
      <c r="AD130" s="1081">
        <v>942</v>
      </c>
      <c r="AE130" s="422">
        <v>35535.47</v>
      </c>
      <c r="AF130" s="422">
        <v>25333.7</v>
      </c>
      <c r="AG130" s="422">
        <v>82459.83</v>
      </c>
      <c r="AH130" s="422">
        <v>63750.43</v>
      </c>
      <c r="AI130" s="422">
        <v>65792.59</v>
      </c>
      <c r="AJ130" s="422">
        <v>53588.55</v>
      </c>
      <c r="AK130" s="422">
        <v>59467.1</v>
      </c>
      <c r="AL130" s="422">
        <v>23382.1</v>
      </c>
      <c r="AM130" s="250">
        <v>16.600000000000001</v>
      </c>
      <c r="AN130" s="250">
        <v>17.8</v>
      </c>
      <c r="AO130" s="422">
        <v>491895.1</v>
      </c>
      <c r="AP130" s="422">
        <v>226980.2</v>
      </c>
      <c r="AQ130" s="422">
        <v>65113.3</v>
      </c>
      <c r="AR130" s="1014"/>
      <c r="AS130" s="422">
        <v>459427.2</v>
      </c>
      <c r="AT130" s="422">
        <v>202211.29</v>
      </c>
      <c r="AU130" s="422">
        <v>79515.400000000009</v>
      </c>
      <c r="AV130" s="422">
        <v>4370.49</v>
      </c>
      <c r="AW130" s="422">
        <v>2914.15</v>
      </c>
      <c r="AX130" s="1014">
        <v>224.08</v>
      </c>
      <c r="AY130" s="1014">
        <v>135.88</v>
      </c>
      <c r="AZ130" s="250">
        <v>820.08900000000006</v>
      </c>
      <c r="BA130" s="250">
        <v>348.27600000000001</v>
      </c>
      <c r="BB130" s="385">
        <v>1822.4</v>
      </c>
      <c r="BC130" s="422">
        <v>2992.2</v>
      </c>
      <c r="BD130" s="422">
        <v>455.7</v>
      </c>
      <c r="BE130" s="422">
        <v>6517.29</v>
      </c>
      <c r="BF130" s="422">
        <v>31535.787719298241</v>
      </c>
      <c r="BG130" s="422">
        <v>7608.1909239212346</v>
      </c>
      <c r="BH130" s="422">
        <v>7583.88</v>
      </c>
      <c r="BI130" s="422">
        <v>2575089.5</v>
      </c>
      <c r="BJ130" s="422">
        <v>531</v>
      </c>
      <c r="BK130" s="422">
        <v>20088.650000000001</v>
      </c>
      <c r="BL130" s="250">
        <v>3240547</v>
      </c>
      <c r="BM130" s="250">
        <v>102065</v>
      </c>
      <c r="BN130" s="250">
        <v>20119.2</v>
      </c>
      <c r="BO130" s="422">
        <v>3024723</v>
      </c>
      <c r="BP130" s="422">
        <v>150465</v>
      </c>
      <c r="BQ130" s="422">
        <v>17732.32</v>
      </c>
      <c r="BR130" s="422">
        <v>8572.4</v>
      </c>
      <c r="BS130" s="422">
        <v>5835.95</v>
      </c>
      <c r="BT130" s="422">
        <v>1104023</v>
      </c>
      <c r="BU130" s="422">
        <v>627125</v>
      </c>
      <c r="BV130" s="422">
        <v>714211</v>
      </c>
      <c r="BW130" s="422">
        <v>451488</v>
      </c>
      <c r="BX130" s="1324">
        <v>0</v>
      </c>
    </row>
    <row r="131" spans="1:90">
      <c r="A131" s="160">
        <v>45047</v>
      </c>
      <c r="B131" s="250">
        <v>1066.521</v>
      </c>
      <c r="C131" s="250">
        <v>589.03200000000004</v>
      </c>
      <c r="D131" s="250">
        <v>6858.3</v>
      </c>
      <c r="E131" s="1312">
        <v>0</v>
      </c>
      <c r="F131" s="250">
        <v>18026.5</v>
      </c>
      <c r="G131" s="250">
        <v>5737.6</v>
      </c>
      <c r="H131" s="850">
        <v>3003</v>
      </c>
      <c r="I131" s="850">
        <v>1513.88</v>
      </c>
      <c r="J131" s="850">
        <v>205672.5</v>
      </c>
      <c r="K131" s="422">
        <v>14959</v>
      </c>
      <c r="L131" s="422">
        <v>7011</v>
      </c>
      <c r="M131" s="422">
        <v>46196</v>
      </c>
      <c r="N131" s="422">
        <v>36751.300000000003</v>
      </c>
      <c r="O131" s="850">
        <v>137695.72</v>
      </c>
      <c r="P131" s="850">
        <v>114220.34</v>
      </c>
      <c r="Q131" s="850">
        <v>139962.42000000001</v>
      </c>
      <c r="R131" s="850">
        <v>96022.88</v>
      </c>
      <c r="S131" s="250">
        <v>14051.63</v>
      </c>
      <c r="T131" s="250">
        <v>10671.64</v>
      </c>
      <c r="U131" s="850">
        <v>34612</v>
      </c>
      <c r="V131" s="850">
        <v>17924.599999999999</v>
      </c>
      <c r="W131" s="850">
        <v>211171.4</v>
      </c>
      <c r="X131" s="1014">
        <v>345.9</v>
      </c>
      <c r="Y131" s="1014">
        <v>50716</v>
      </c>
      <c r="Z131" s="850">
        <v>585324.30000000005</v>
      </c>
      <c r="AA131" s="850">
        <v>298311.8</v>
      </c>
      <c r="AB131" s="850">
        <v>211210.1</v>
      </c>
      <c r="AC131" s="1014">
        <v>1112.4000000000001</v>
      </c>
      <c r="AD131" s="1081">
        <v>942</v>
      </c>
      <c r="AE131" s="850">
        <v>35537.9</v>
      </c>
      <c r="AF131" s="850">
        <v>25335.4</v>
      </c>
      <c r="AG131" s="850">
        <v>82468</v>
      </c>
      <c r="AH131" s="850">
        <v>63756.73</v>
      </c>
      <c r="AI131" s="850">
        <v>65830.77</v>
      </c>
      <c r="AJ131" s="850">
        <v>53620.9</v>
      </c>
      <c r="AK131" s="850">
        <v>59480</v>
      </c>
      <c r="AL131" s="850">
        <v>23387.1</v>
      </c>
      <c r="AM131" s="250">
        <v>16.600000000000001</v>
      </c>
      <c r="AN131" s="250">
        <v>17.8</v>
      </c>
      <c r="AO131" s="850">
        <v>492062.1</v>
      </c>
      <c r="AP131" s="850">
        <v>227056.9</v>
      </c>
      <c r="AQ131" s="850">
        <v>65118.400000000001</v>
      </c>
      <c r="AR131" s="850"/>
      <c r="AS131" s="850">
        <v>459580.26</v>
      </c>
      <c r="AT131" s="850">
        <v>202277.6</v>
      </c>
      <c r="AU131" s="850">
        <v>79539.400000000009</v>
      </c>
      <c r="AV131" s="850">
        <v>4372.8999999999996</v>
      </c>
      <c r="AW131" s="850">
        <v>2915.96</v>
      </c>
      <c r="AX131" s="1014">
        <v>224.08</v>
      </c>
      <c r="AY131" s="1014">
        <v>135.88</v>
      </c>
      <c r="AZ131" s="250">
        <v>820.08900000000006</v>
      </c>
      <c r="BA131" s="250">
        <v>348.27600000000001</v>
      </c>
      <c r="BB131" s="385">
        <v>1822.4</v>
      </c>
      <c r="BC131" s="850">
        <v>2994.4</v>
      </c>
      <c r="BD131" s="850">
        <v>455.7</v>
      </c>
      <c r="BE131" s="850">
        <v>6464.8</v>
      </c>
      <c r="BF131" s="850">
        <v>31984.514035087701</v>
      </c>
      <c r="BG131" s="850">
        <v>7677.3688134100503</v>
      </c>
      <c r="BH131" s="850">
        <v>6806.3</v>
      </c>
      <c r="BI131" s="850">
        <v>2577945.5</v>
      </c>
      <c r="BJ131" s="850">
        <v>532</v>
      </c>
      <c r="BK131" s="850">
        <v>20112.650000000001</v>
      </c>
      <c r="BL131" s="250">
        <v>3240547</v>
      </c>
      <c r="BM131" s="250">
        <v>102065</v>
      </c>
      <c r="BN131" s="250">
        <v>20119.2</v>
      </c>
      <c r="BO131" s="850">
        <v>3029877</v>
      </c>
      <c r="BP131" s="850">
        <v>151321</v>
      </c>
      <c r="BQ131" s="850">
        <v>17756.32</v>
      </c>
      <c r="BR131" s="850">
        <v>8581.19</v>
      </c>
      <c r="BS131" s="850">
        <v>5841.38</v>
      </c>
      <c r="BT131" s="850">
        <v>1104457</v>
      </c>
      <c r="BU131" s="850">
        <v>627390</v>
      </c>
      <c r="BV131" s="850">
        <v>715189</v>
      </c>
      <c r="BW131" s="850">
        <v>452078</v>
      </c>
      <c r="BX131" s="1324">
        <v>0</v>
      </c>
    </row>
    <row r="132" spans="1:90">
      <c r="A132" s="160">
        <v>45048</v>
      </c>
      <c r="B132" s="250">
        <v>1066.6969999999999</v>
      </c>
      <c r="C132" s="250">
        <v>589.12</v>
      </c>
      <c r="D132" s="250">
        <v>6858.9</v>
      </c>
      <c r="E132" s="1315">
        <v>1</v>
      </c>
      <c r="F132" s="250">
        <v>18041.2</v>
      </c>
      <c r="G132" s="250">
        <v>5739.7</v>
      </c>
      <c r="H132" s="422">
        <v>3170.6</v>
      </c>
      <c r="I132" s="422">
        <v>1597.6</v>
      </c>
      <c r="J132" s="422">
        <v>205696.5</v>
      </c>
      <c r="K132" s="422">
        <v>14959</v>
      </c>
      <c r="L132" s="422">
        <v>7011</v>
      </c>
      <c r="M132" s="422">
        <v>46196</v>
      </c>
      <c r="N132" s="422">
        <v>36751.300000000003</v>
      </c>
      <c r="O132" s="422">
        <v>137710.6</v>
      </c>
      <c r="P132" s="422">
        <v>114231.9</v>
      </c>
      <c r="Q132" s="422">
        <v>139977.24</v>
      </c>
      <c r="R132" s="422">
        <v>96033.2</v>
      </c>
      <c r="S132" s="250">
        <v>14051.63</v>
      </c>
      <c r="T132" s="250">
        <v>10671.64</v>
      </c>
      <c r="U132" s="422">
        <v>34760</v>
      </c>
      <c r="V132" s="422">
        <v>18000</v>
      </c>
      <c r="W132" s="422">
        <v>211195.4</v>
      </c>
      <c r="X132" s="1014">
        <v>345.9</v>
      </c>
      <c r="Y132" s="1014">
        <v>50716</v>
      </c>
      <c r="Z132" s="422">
        <v>585637</v>
      </c>
      <c r="AA132" s="422">
        <v>298467</v>
      </c>
      <c r="AB132" s="422">
        <v>211234.1</v>
      </c>
      <c r="AC132" s="1014">
        <v>1112.4000000000001</v>
      </c>
      <c r="AD132" s="1081">
        <v>942</v>
      </c>
      <c r="AE132" s="422">
        <v>35540.400000000001</v>
      </c>
      <c r="AF132" s="422">
        <v>25337.200000000001</v>
      </c>
      <c r="AG132" s="422">
        <v>82475.100000000006</v>
      </c>
      <c r="AH132" s="422">
        <v>63762.400000000001</v>
      </c>
      <c r="AI132" s="422">
        <v>65869.3</v>
      </c>
      <c r="AJ132" s="422">
        <v>53653.599999999999</v>
      </c>
      <c r="AK132" s="422">
        <v>59494.3</v>
      </c>
      <c r="AL132" s="422">
        <v>23392.799999999999</v>
      </c>
      <c r="AM132" s="250">
        <v>16.600000000000001</v>
      </c>
      <c r="AN132" s="250">
        <v>17.8</v>
      </c>
      <c r="AO132" s="422">
        <v>492230</v>
      </c>
      <c r="AP132" s="422">
        <v>227134</v>
      </c>
      <c r="AQ132" s="422">
        <v>65123.3</v>
      </c>
      <c r="AR132" s="1014"/>
      <c r="AS132" s="422">
        <v>459734</v>
      </c>
      <c r="AT132" s="422">
        <v>202344</v>
      </c>
      <c r="AU132" s="422">
        <v>79563.400000000009</v>
      </c>
      <c r="AV132" s="850">
        <v>4376.3999999999996</v>
      </c>
      <c r="AW132" s="850">
        <v>2918.6</v>
      </c>
      <c r="AX132" s="1014">
        <v>224.1</v>
      </c>
      <c r="AY132" s="1014">
        <v>135.9</v>
      </c>
      <c r="AZ132" s="250">
        <v>820.29200000000003</v>
      </c>
      <c r="BA132" s="250">
        <v>348.35300000000001</v>
      </c>
      <c r="BB132" s="385">
        <v>1822.7</v>
      </c>
      <c r="BC132" s="422">
        <v>2995.5</v>
      </c>
      <c r="BD132" s="850">
        <v>455.7</v>
      </c>
      <c r="BE132" s="422">
        <v>6386.78</v>
      </c>
      <c r="BF132" s="422">
        <v>30225.768421052599</v>
      </c>
      <c r="BG132" s="422">
        <v>5970.7538574295204</v>
      </c>
      <c r="BH132" s="422">
        <v>7587.6</v>
      </c>
      <c r="BI132" s="422">
        <v>2580777.5</v>
      </c>
      <c r="BJ132" s="850">
        <v>533</v>
      </c>
      <c r="BK132" s="422">
        <v>20136.599999999999</v>
      </c>
      <c r="BL132" s="250">
        <v>3240547</v>
      </c>
      <c r="BM132" s="250">
        <v>102065</v>
      </c>
      <c r="BN132" s="250">
        <v>20119.2</v>
      </c>
      <c r="BO132" s="422">
        <v>3035094</v>
      </c>
      <c r="BP132" s="422">
        <v>152214</v>
      </c>
      <c r="BQ132" s="422">
        <v>17780.3</v>
      </c>
      <c r="BR132" s="422">
        <v>8589.9</v>
      </c>
      <c r="BS132" s="422">
        <v>5846.7</v>
      </c>
      <c r="BT132" s="422">
        <v>1104894</v>
      </c>
      <c r="BU132" s="422">
        <v>627662</v>
      </c>
      <c r="BV132" s="422">
        <v>716258</v>
      </c>
      <c r="BW132" s="422">
        <v>452715</v>
      </c>
      <c r="BX132" s="1324">
        <v>1</v>
      </c>
    </row>
    <row r="133" spans="1:90">
      <c r="A133" s="160">
        <v>45049</v>
      </c>
      <c r="B133" s="250">
        <v>1066.6969999999999</v>
      </c>
      <c r="C133" s="250">
        <v>589.12</v>
      </c>
      <c r="D133" s="250">
        <v>6858.9</v>
      </c>
      <c r="E133" s="1315">
        <v>0</v>
      </c>
      <c r="F133" s="250">
        <v>18055.900000000001</v>
      </c>
      <c r="G133" s="250">
        <v>5741.7</v>
      </c>
      <c r="H133" s="250">
        <v>3325.6</v>
      </c>
      <c r="I133" s="250">
        <v>1676.5</v>
      </c>
      <c r="J133" s="250">
        <v>205718.9</v>
      </c>
      <c r="K133" s="250">
        <v>14959.1</v>
      </c>
      <c r="L133" s="250">
        <v>7011</v>
      </c>
      <c r="M133" s="422">
        <v>46196</v>
      </c>
      <c r="N133" s="422">
        <v>36751.300000000003</v>
      </c>
      <c r="O133" s="250">
        <v>137724</v>
      </c>
      <c r="P133" s="250">
        <v>114242.6</v>
      </c>
      <c r="Q133" s="250">
        <v>139992.20000000001</v>
      </c>
      <c r="R133" s="250">
        <v>96043.4</v>
      </c>
      <c r="S133" s="250">
        <v>14051.63</v>
      </c>
      <c r="T133" s="250">
        <v>10671.64</v>
      </c>
      <c r="U133" s="250">
        <v>34906</v>
      </c>
      <c r="V133" s="250">
        <v>18074</v>
      </c>
      <c r="W133" s="250">
        <v>211219.4</v>
      </c>
      <c r="X133" s="1014">
        <v>345.9</v>
      </c>
      <c r="Y133" s="1014">
        <v>50716</v>
      </c>
      <c r="Z133" s="250">
        <v>585923</v>
      </c>
      <c r="AA133" s="250">
        <v>298610</v>
      </c>
      <c r="AB133" s="250">
        <v>211258.1</v>
      </c>
      <c r="AC133" s="1014">
        <v>1112.4000000000001</v>
      </c>
      <c r="AD133" s="1081">
        <v>942</v>
      </c>
      <c r="AE133" s="250">
        <v>35542.9</v>
      </c>
      <c r="AF133" s="250">
        <v>25338.9</v>
      </c>
      <c r="AG133" s="250">
        <v>82479.3</v>
      </c>
      <c r="AH133" s="250">
        <v>63765.7</v>
      </c>
      <c r="AI133" s="250">
        <v>65907.8</v>
      </c>
      <c r="AJ133" s="250">
        <v>53686.3</v>
      </c>
      <c r="AK133" s="250">
        <v>59500.4</v>
      </c>
      <c r="AL133" s="250">
        <v>23395.200000000001</v>
      </c>
      <c r="AM133" s="250">
        <v>16.600000000000001</v>
      </c>
      <c r="AN133" s="250">
        <v>17.8</v>
      </c>
      <c r="AO133" s="250">
        <v>492397</v>
      </c>
      <c r="AP133" s="250">
        <v>227211</v>
      </c>
      <c r="AQ133" s="250">
        <v>65128.6</v>
      </c>
      <c r="AR133" s="250"/>
      <c r="AS133" s="250">
        <v>459886</v>
      </c>
      <c r="AT133" s="250">
        <v>202410</v>
      </c>
      <c r="AU133" s="250">
        <v>79587.400000000009</v>
      </c>
      <c r="AV133" s="250">
        <v>4379.8999999999996</v>
      </c>
      <c r="AW133" s="250">
        <v>2921.1</v>
      </c>
      <c r="AX133" s="1014">
        <v>224.1</v>
      </c>
      <c r="AY133" s="250">
        <v>135.96</v>
      </c>
      <c r="AZ133" s="250">
        <v>820.29200000000003</v>
      </c>
      <c r="BA133" s="250">
        <v>348.35300000000001</v>
      </c>
      <c r="BB133" s="385">
        <v>1822.7</v>
      </c>
      <c r="BC133" s="250">
        <v>2996.9</v>
      </c>
      <c r="BD133" s="850">
        <v>455.7</v>
      </c>
      <c r="BE133" s="250">
        <v>6240.02</v>
      </c>
      <c r="BF133" s="250">
        <v>30956.035087719294</v>
      </c>
      <c r="BG133" s="250">
        <v>8966.2605874286655</v>
      </c>
      <c r="BH133" s="250">
        <v>7128.04</v>
      </c>
      <c r="BI133" s="250">
        <v>2583657.5</v>
      </c>
      <c r="BJ133" s="250">
        <v>534</v>
      </c>
      <c r="BK133" s="250">
        <v>20160.599999999999</v>
      </c>
      <c r="BL133" s="250">
        <v>3240547</v>
      </c>
      <c r="BM133" s="250">
        <v>102065</v>
      </c>
      <c r="BN133" s="250">
        <v>20119.2</v>
      </c>
      <c r="BO133" s="250">
        <v>3040398</v>
      </c>
      <c r="BP133" s="250">
        <v>152975</v>
      </c>
      <c r="BQ133" s="250">
        <v>17804.3</v>
      </c>
      <c r="BR133" s="250">
        <v>8598.6</v>
      </c>
      <c r="BS133" s="250">
        <v>5852.1</v>
      </c>
      <c r="BT133" s="250">
        <v>1105304</v>
      </c>
      <c r="BU133" s="250">
        <v>627912</v>
      </c>
      <c r="BV133" s="250">
        <v>717393</v>
      </c>
      <c r="BW133" s="250">
        <v>453394</v>
      </c>
      <c r="BX133" s="1324">
        <v>0</v>
      </c>
    </row>
    <row r="134" spans="1:90">
      <c r="A134" s="160">
        <v>45050</v>
      </c>
      <c r="B134" s="250">
        <v>1066.6969999999999</v>
      </c>
      <c r="C134" s="250">
        <v>589.12</v>
      </c>
      <c r="D134" s="250">
        <v>6858.9</v>
      </c>
      <c r="E134" s="1315">
        <v>0</v>
      </c>
      <c r="F134" s="250">
        <v>18071</v>
      </c>
      <c r="G134" s="250">
        <v>5743.8</v>
      </c>
      <c r="H134" s="250">
        <v>3491</v>
      </c>
      <c r="I134" s="250">
        <v>1760</v>
      </c>
      <c r="J134" s="250">
        <v>205742.9</v>
      </c>
      <c r="K134" s="250">
        <v>14959.1</v>
      </c>
      <c r="L134" s="250">
        <v>7011</v>
      </c>
      <c r="M134" s="422">
        <v>46196</v>
      </c>
      <c r="N134" s="422">
        <v>36751.300000000003</v>
      </c>
      <c r="O134" s="250">
        <v>137736.70000000001</v>
      </c>
      <c r="P134" s="250">
        <v>114252.8</v>
      </c>
      <c r="Q134" s="250">
        <v>140006.29999999999</v>
      </c>
      <c r="R134" s="250">
        <v>96053.2</v>
      </c>
      <c r="S134" s="250">
        <v>14051.63</v>
      </c>
      <c r="T134" s="250">
        <v>10671.64</v>
      </c>
      <c r="U134" s="250">
        <v>35056</v>
      </c>
      <c r="V134" s="250">
        <v>18148</v>
      </c>
      <c r="W134" s="250">
        <v>211243.4</v>
      </c>
      <c r="X134" s="1014">
        <v>345.9</v>
      </c>
      <c r="Y134" s="1014">
        <v>50716</v>
      </c>
      <c r="Z134" s="250">
        <v>586218</v>
      </c>
      <c r="AA134" s="250">
        <v>298758</v>
      </c>
      <c r="AB134" s="250">
        <v>211282.1</v>
      </c>
      <c r="AC134" s="1014">
        <v>1112.4000000000001</v>
      </c>
      <c r="AD134" s="1081">
        <v>942</v>
      </c>
      <c r="AE134" s="250">
        <v>35545.4</v>
      </c>
      <c r="AF134" s="250">
        <v>25340.6</v>
      </c>
      <c r="AG134" s="250">
        <v>82484.100000000006</v>
      </c>
      <c r="AH134" s="250">
        <v>63769.2</v>
      </c>
      <c r="AI134" s="250">
        <v>65946.399999999994</v>
      </c>
      <c r="AJ134" s="250">
        <v>53719</v>
      </c>
      <c r="AK134" s="250">
        <v>59507.7</v>
      </c>
      <c r="AL134" s="250">
        <v>23398</v>
      </c>
      <c r="AM134" s="250">
        <v>16.600000000000001</v>
      </c>
      <c r="AN134" s="250">
        <v>17.8</v>
      </c>
      <c r="AO134" s="250">
        <v>492564</v>
      </c>
      <c r="AP134" s="250">
        <v>227287</v>
      </c>
      <c r="AQ134" s="250">
        <v>65134</v>
      </c>
      <c r="AR134" s="250"/>
      <c r="AS134" s="250">
        <v>460040</v>
      </c>
      <c r="AT134" s="250">
        <v>202476</v>
      </c>
      <c r="AU134" s="250">
        <v>79611.400000000009</v>
      </c>
      <c r="AV134" s="250">
        <v>4382.8999999999996</v>
      </c>
      <c r="AW134" s="250">
        <v>2923.1</v>
      </c>
      <c r="AX134" s="250">
        <v>224.32</v>
      </c>
      <c r="AY134" s="250">
        <v>136</v>
      </c>
      <c r="AZ134" s="250">
        <v>820.29200000000003</v>
      </c>
      <c r="BA134" s="250">
        <v>348.35300000000001</v>
      </c>
      <c r="BB134" s="385">
        <v>1822.7</v>
      </c>
      <c r="BC134" s="250">
        <v>2999</v>
      </c>
      <c r="BD134" s="850">
        <v>455.7</v>
      </c>
      <c r="BE134" s="250">
        <v>6067.45</v>
      </c>
      <c r="BF134" s="250">
        <v>31565.14736842105</v>
      </c>
      <c r="BG134" s="250">
        <v>11404.249954931394</v>
      </c>
      <c r="BH134" s="250">
        <v>6754.2100000000009</v>
      </c>
      <c r="BI134" s="250">
        <v>2586297.5</v>
      </c>
      <c r="BJ134" s="250">
        <v>535</v>
      </c>
      <c r="BK134" s="250">
        <v>20184.599999999999</v>
      </c>
      <c r="BL134" s="250">
        <v>3240547</v>
      </c>
      <c r="BM134" s="250">
        <v>102065</v>
      </c>
      <c r="BN134" s="250">
        <v>20119.2</v>
      </c>
      <c r="BO134" s="250">
        <v>3045686</v>
      </c>
      <c r="BP134" s="250">
        <v>153726</v>
      </c>
      <c r="BQ134" s="250">
        <v>17828.3</v>
      </c>
      <c r="BR134" s="250">
        <v>8607.5</v>
      </c>
      <c r="BS134" s="250">
        <v>5857.6</v>
      </c>
      <c r="BT134" s="250">
        <v>1105719</v>
      </c>
      <c r="BU134" s="250">
        <v>628165</v>
      </c>
      <c r="BV134" s="250">
        <v>718434</v>
      </c>
      <c r="BW134" s="250">
        <v>453994</v>
      </c>
      <c r="BX134" s="1324">
        <v>0</v>
      </c>
    </row>
    <row r="135" spans="1:90">
      <c r="A135" s="160">
        <v>45051</v>
      </c>
      <c r="B135" s="250">
        <v>1066.6969999999999</v>
      </c>
      <c r="C135" s="250">
        <v>589.12</v>
      </c>
      <c r="D135" s="250">
        <v>6858.9</v>
      </c>
      <c r="E135" s="1315">
        <v>0</v>
      </c>
      <c r="F135" s="250">
        <v>18086</v>
      </c>
      <c r="G135" s="250">
        <v>5746</v>
      </c>
      <c r="H135" s="250">
        <v>3655</v>
      </c>
      <c r="I135" s="250">
        <v>1843</v>
      </c>
      <c r="J135" s="250">
        <v>205766.9</v>
      </c>
      <c r="K135" s="250">
        <v>14959.1</v>
      </c>
      <c r="L135" s="250">
        <v>7011</v>
      </c>
      <c r="M135" s="422">
        <v>46196</v>
      </c>
      <c r="N135" s="422">
        <v>36751.300000000003</v>
      </c>
      <c r="O135" s="250">
        <v>137751.79999999999</v>
      </c>
      <c r="P135" s="250">
        <v>114264.6</v>
      </c>
      <c r="Q135" s="250">
        <v>140021</v>
      </c>
      <c r="R135" s="250">
        <v>96063.5</v>
      </c>
      <c r="S135" s="250">
        <v>14051.63</v>
      </c>
      <c r="T135" s="250">
        <v>10671.64</v>
      </c>
      <c r="U135" s="250">
        <v>35204</v>
      </c>
      <c r="V135" s="250">
        <v>18227</v>
      </c>
      <c r="W135" s="250">
        <v>211267.4</v>
      </c>
      <c r="X135" s="1014">
        <v>345.9</v>
      </c>
      <c r="Y135" s="1014">
        <v>50716</v>
      </c>
      <c r="Z135" s="250">
        <v>586532</v>
      </c>
      <c r="AA135" s="250">
        <v>298910</v>
      </c>
      <c r="AB135" s="250">
        <v>211306.1</v>
      </c>
      <c r="AC135" s="1014">
        <v>1112.4000000000001</v>
      </c>
      <c r="AD135" s="1081">
        <v>942</v>
      </c>
      <c r="AE135" s="250">
        <v>35547.800000000003</v>
      </c>
      <c r="AF135" s="250">
        <v>25342.3</v>
      </c>
      <c r="AG135" s="250">
        <v>82492.2</v>
      </c>
      <c r="AH135" s="250">
        <v>63775.3</v>
      </c>
      <c r="AI135" s="250">
        <v>65985.2</v>
      </c>
      <c r="AJ135" s="250">
        <v>53751.9</v>
      </c>
      <c r="AK135" s="250">
        <v>59527.8</v>
      </c>
      <c r="AL135" s="250">
        <v>23406</v>
      </c>
      <c r="AM135" s="250">
        <v>16.7</v>
      </c>
      <c r="AN135" s="250">
        <v>17.899999999999999</v>
      </c>
      <c r="AO135" s="250">
        <v>492730</v>
      </c>
      <c r="AP135" s="250">
        <v>227363</v>
      </c>
      <c r="AQ135" s="250">
        <v>65139</v>
      </c>
      <c r="AR135" s="250"/>
      <c r="AS135" s="250">
        <v>460192</v>
      </c>
      <c r="AT135" s="250">
        <v>202542</v>
      </c>
      <c r="AU135" s="250">
        <v>79635.400000000009</v>
      </c>
      <c r="AV135" s="250">
        <v>4386.2</v>
      </c>
      <c r="AW135" s="250">
        <v>2925.5</v>
      </c>
      <c r="AX135" s="250">
        <v>224.32</v>
      </c>
      <c r="AY135" s="250">
        <v>136.01</v>
      </c>
      <c r="AZ135" s="250">
        <v>820.29200000000003</v>
      </c>
      <c r="BA135" s="250">
        <v>348.35300000000001</v>
      </c>
      <c r="BB135" s="385">
        <v>1822.7</v>
      </c>
      <c r="BC135" s="250">
        <v>3000.8</v>
      </c>
      <c r="BD135" s="250">
        <v>455.7</v>
      </c>
      <c r="BE135" s="250">
        <v>6089.87</v>
      </c>
      <c r="BF135" s="250">
        <v>30634.694736842099</v>
      </c>
      <c r="BG135" s="250">
        <v>9095.0709682805682</v>
      </c>
      <c r="BH135" s="250">
        <v>6586.1699999999992</v>
      </c>
      <c r="BI135" s="250">
        <v>2589105.5</v>
      </c>
      <c r="BJ135" s="250">
        <v>536</v>
      </c>
      <c r="BK135" s="250">
        <v>20208.599999999999</v>
      </c>
      <c r="BL135" s="250">
        <v>3240547</v>
      </c>
      <c r="BM135" s="250">
        <v>102065</v>
      </c>
      <c r="BN135" s="250">
        <v>20119.2</v>
      </c>
      <c r="BO135" s="250">
        <v>3050954</v>
      </c>
      <c r="BP135" s="250">
        <v>154554</v>
      </c>
      <c r="BQ135" s="250">
        <v>17852.3</v>
      </c>
      <c r="BR135" s="250">
        <v>8616.5</v>
      </c>
      <c r="BS135" s="250">
        <v>5863.2</v>
      </c>
      <c r="BT135" s="250">
        <v>1106152</v>
      </c>
      <c r="BU135" s="250">
        <v>628428</v>
      </c>
      <c r="BV135" s="250">
        <v>719540</v>
      </c>
      <c r="BW135" s="250">
        <v>454667</v>
      </c>
      <c r="BX135" s="1324">
        <v>0</v>
      </c>
    </row>
    <row r="136" spans="1:90" s="1038" customFormat="1">
      <c r="A136" s="160">
        <v>45052</v>
      </c>
      <c r="B136" s="250">
        <v>1066.6969999999999</v>
      </c>
      <c r="C136" s="250">
        <v>589.12</v>
      </c>
      <c r="D136" s="250">
        <v>6858.9</v>
      </c>
      <c r="E136" s="1315">
        <v>0</v>
      </c>
      <c r="F136" s="250">
        <v>18101</v>
      </c>
      <c r="G136" s="250">
        <v>5748.2</v>
      </c>
      <c r="H136" s="250">
        <v>3820</v>
      </c>
      <c r="I136" s="250">
        <v>1926</v>
      </c>
      <c r="J136" s="250">
        <v>205790.9</v>
      </c>
      <c r="K136" s="250">
        <v>14959.1</v>
      </c>
      <c r="L136" s="250">
        <v>7011</v>
      </c>
      <c r="M136" s="422">
        <v>46196</v>
      </c>
      <c r="N136" s="422">
        <v>36751.300000000003</v>
      </c>
      <c r="O136" s="250">
        <v>137765.29999999999</v>
      </c>
      <c r="P136" s="250">
        <v>114275.3</v>
      </c>
      <c r="Q136" s="250">
        <v>140035.4</v>
      </c>
      <c r="R136" s="250">
        <v>96073.9</v>
      </c>
      <c r="S136" s="250">
        <v>14051.63</v>
      </c>
      <c r="T136" s="250">
        <v>10671.64</v>
      </c>
      <c r="U136" s="250">
        <v>35442</v>
      </c>
      <c r="V136" s="250">
        <v>18344</v>
      </c>
      <c r="W136" s="250">
        <v>211291.4</v>
      </c>
      <c r="X136" s="1014">
        <v>345.9</v>
      </c>
      <c r="Y136" s="1014">
        <v>50716</v>
      </c>
      <c r="Z136" s="250">
        <v>586748</v>
      </c>
      <c r="AA136" s="250">
        <v>299022</v>
      </c>
      <c r="AB136" s="250">
        <v>211330.1</v>
      </c>
      <c r="AC136" s="1014">
        <v>1112.4000000000001</v>
      </c>
      <c r="AD136" s="1081">
        <v>942</v>
      </c>
      <c r="AE136" s="250">
        <v>35550.400000000001</v>
      </c>
      <c r="AF136" s="250">
        <v>25344.1</v>
      </c>
      <c r="AG136" s="250">
        <v>82500</v>
      </c>
      <c r="AH136" s="250">
        <v>63781.2</v>
      </c>
      <c r="AI136" s="250">
        <v>66025.7</v>
      </c>
      <c r="AJ136" s="250">
        <v>53786.6</v>
      </c>
      <c r="AK136" s="250">
        <v>59540</v>
      </c>
      <c r="AL136" s="250">
        <v>23410.799999999999</v>
      </c>
      <c r="AM136" s="250">
        <v>16.600000000000001</v>
      </c>
      <c r="AN136" s="250">
        <v>17.8</v>
      </c>
      <c r="AO136" s="250">
        <v>492896</v>
      </c>
      <c r="AP136" s="250">
        <v>227439</v>
      </c>
      <c r="AQ136" s="250">
        <v>65144</v>
      </c>
      <c r="AR136" s="250"/>
      <c r="AS136" s="250">
        <v>460344</v>
      </c>
      <c r="AT136" s="250">
        <v>202608</v>
      </c>
      <c r="AU136" s="250">
        <v>79659.400000000009</v>
      </c>
      <c r="AV136" s="250">
        <v>4389.6000000000004</v>
      </c>
      <c r="AW136" s="250">
        <v>2928</v>
      </c>
      <c r="AX136" s="250">
        <v>224.32</v>
      </c>
      <c r="AY136" s="250">
        <v>136.01</v>
      </c>
      <c r="AZ136" s="250">
        <v>820.29200000000003</v>
      </c>
      <c r="BA136" s="250">
        <v>348.35300000000001</v>
      </c>
      <c r="BB136" s="385">
        <v>1822.7</v>
      </c>
      <c r="BC136" s="250">
        <v>3002</v>
      </c>
      <c r="BD136" s="250">
        <v>455.7</v>
      </c>
      <c r="BE136" s="250">
        <v>5765.8899999999994</v>
      </c>
      <c r="BF136" s="250">
        <v>30284.508771929824</v>
      </c>
      <c r="BG136" s="250">
        <v>8715.8118260026677</v>
      </c>
      <c r="BH136" s="250">
        <v>5880.92</v>
      </c>
      <c r="BI136" s="250">
        <v>2592225.5</v>
      </c>
      <c r="BJ136" s="250">
        <v>537</v>
      </c>
      <c r="BK136" s="250">
        <v>20232.599999999999</v>
      </c>
      <c r="BL136" s="250">
        <v>3240547</v>
      </c>
      <c r="BM136" s="250">
        <v>102065</v>
      </c>
      <c r="BN136" s="250">
        <v>20119.2</v>
      </c>
      <c r="BO136" s="250">
        <v>3056286</v>
      </c>
      <c r="BP136" s="250">
        <v>155350</v>
      </c>
      <c r="BQ136" s="250">
        <v>17876.3</v>
      </c>
      <c r="BR136" s="250">
        <v>8625.4</v>
      </c>
      <c r="BS136" s="250">
        <v>5868.7</v>
      </c>
      <c r="BT136" s="250">
        <v>1106568</v>
      </c>
      <c r="BU136" s="250">
        <v>628682</v>
      </c>
      <c r="BV136" s="250">
        <v>720634</v>
      </c>
      <c r="BW136" s="250">
        <v>455337</v>
      </c>
      <c r="BX136" s="1324">
        <v>0</v>
      </c>
      <c r="BY136" s="336"/>
      <c r="BZ136" s="336"/>
      <c r="CA136" s="336"/>
      <c r="CB136" s="336"/>
      <c r="CC136" s="336"/>
      <c r="CD136" s="336"/>
      <c r="CE136" s="336"/>
      <c r="CF136" s="336"/>
      <c r="CG136" s="336"/>
      <c r="CH136" s="336"/>
      <c r="CI136" s="336"/>
      <c r="CJ136" s="336"/>
      <c r="CK136" s="336"/>
      <c r="CL136" s="336"/>
    </row>
    <row r="137" spans="1:90" s="1038" customFormat="1">
      <c r="A137" s="160">
        <v>45053</v>
      </c>
      <c r="B137" s="250">
        <v>1066.6969999999999</v>
      </c>
      <c r="C137" s="250">
        <v>589.12</v>
      </c>
      <c r="D137" s="250">
        <v>6858.9</v>
      </c>
      <c r="E137" s="1315">
        <v>0</v>
      </c>
      <c r="F137" s="250">
        <v>18116</v>
      </c>
      <c r="G137" s="250">
        <v>5750.2</v>
      </c>
      <c r="H137" s="250">
        <v>3988</v>
      </c>
      <c r="I137" s="250">
        <v>2010</v>
      </c>
      <c r="J137" s="250">
        <v>205814.9</v>
      </c>
      <c r="K137" s="250">
        <v>14959.1</v>
      </c>
      <c r="L137" s="250">
        <v>7011</v>
      </c>
      <c r="M137" s="422">
        <v>46196</v>
      </c>
      <c r="N137" s="422">
        <v>36751.300000000003</v>
      </c>
      <c r="O137" s="250">
        <v>137777.79999999999</v>
      </c>
      <c r="P137" s="250">
        <v>114285.4</v>
      </c>
      <c r="Q137" s="250">
        <v>140049.29999999999</v>
      </c>
      <c r="R137" s="250">
        <v>96084</v>
      </c>
      <c r="S137" s="250">
        <v>14051.63</v>
      </c>
      <c r="T137" s="250">
        <v>10671.64</v>
      </c>
      <c r="U137" s="250">
        <v>35743</v>
      </c>
      <c r="V137" s="250">
        <v>18498</v>
      </c>
      <c r="W137" s="250">
        <v>211315.4</v>
      </c>
      <c r="X137" s="1014">
        <v>345.9</v>
      </c>
      <c r="Y137" s="1014">
        <v>50716</v>
      </c>
      <c r="Z137" s="250">
        <v>586897</v>
      </c>
      <c r="AA137" s="250">
        <v>299095</v>
      </c>
      <c r="AB137" s="250">
        <v>211354.1</v>
      </c>
      <c r="AC137" s="1014">
        <v>1112.4000000000001</v>
      </c>
      <c r="AD137" s="1081">
        <v>942</v>
      </c>
      <c r="AE137" s="250">
        <v>35552.800000000003</v>
      </c>
      <c r="AF137" s="250">
        <v>25345.8</v>
      </c>
      <c r="AG137" s="250">
        <v>82507.3</v>
      </c>
      <c r="AH137" s="250">
        <v>63786.8</v>
      </c>
      <c r="AI137" s="250">
        <v>66066</v>
      </c>
      <c r="AJ137" s="250">
        <v>53821</v>
      </c>
      <c r="AK137" s="250">
        <v>59547.4</v>
      </c>
      <c r="AL137" s="250">
        <v>23413.7</v>
      </c>
      <c r="AM137" s="250">
        <v>16.600000000000001</v>
      </c>
      <c r="AN137" s="250">
        <v>17.8</v>
      </c>
      <c r="AO137" s="250">
        <v>493063</v>
      </c>
      <c r="AP137" s="250">
        <v>227515</v>
      </c>
      <c r="AQ137" s="250">
        <v>65149</v>
      </c>
      <c r="AR137" s="250"/>
      <c r="AS137" s="250">
        <v>460496</v>
      </c>
      <c r="AT137" s="250">
        <v>202674</v>
      </c>
      <c r="AU137" s="250">
        <v>79683.399999999994</v>
      </c>
      <c r="AV137" s="250">
        <v>4392.6000000000004</v>
      </c>
      <c r="AW137" s="250">
        <v>2930.1</v>
      </c>
      <c r="AX137" s="250">
        <v>224.32</v>
      </c>
      <c r="AY137" s="250">
        <v>136.01</v>
      </c>
      <c r="AZ137" s="250">
        <v>820.29200000000003</v>
      </c>
      <c r="BA137" s="250">
        <v>348.35300000000001</v>
      </c>
      <c r="BB137" s="385">
        <v>1822.7</v>
      </c>
      <c r="BC137" s="250">
        <v>3003</v>
      </c>
      <c r="BD137" s="250">
        <v>455.7</v>
      </c>
      <c r="BE137" s="250">
        <v>5638.51</v>
      </c>
      <c r="BF137" s="250">
        <v>29489.107017543858</v>
      </c>
      <c r="BG137" s="250">
        <v>8837.5347951816475</v>
      </c>
      <c r="BH137" s="250">
        <v>6530.3099999999995</v>
      </c>
      <c r="BI137" s="250">
        <v>2594865.5</v>
      </c>
      <c r="BJ137" s="250">
        <v>538</v>
      </c>
      <c r="BK137" s="250">
        <v>20256.599999999999</v>
      </c>
      <c r="BL137" s="250">
        <v>3240547</v>
      </c>
      <c r="BM137" s="250">
        <v>102065</v>
      </c>
      <c r="BN137" s="250">
        <v>20119.2</v>
      </c>
      <c r="BO137" s="250">
        <v>3061698</v>
      </c>
      <c r="BP137" s="250">
        <v>156056</v>
      </c>
      <c r="BQ137" s="250">
        <v>17900.3</v>
      </c>
      <c r="BR137" s="250">
        <v>8634.2000000000007</v>
      </c>
      <c r="BS137" s="250">
        <v>5874.2</v>
      </c>
      <c r="BT137" s="250">
        <v>1106978</v>
      </c>
      <c r="BU137" s="250">
        <v>628928</v>
      </c>
      <c r="BV137" s="250">
        <v>721718</v>
      </c>
      <c r="BW137" s="250">
        <v>456000</v>
      </c>
      <c r="BX137" s="1324">
        <v>0</v>
      </c>
      <c r="BY137" s="336"/>
      <c r="BZ137" s="336"/>
      <c r="CA137" s="336"/>
      <c r="CB137" s="336"/>
      <c r="CC137" s="336"/>
      <c r="CD137" s="336"/>
      <c r="CE137" s="336"/>
      <c r="CF137" s="336"/>
      <c r="CG137" s="336"/>
      <c r="CH137" s="336"/>
      <c r="CI137" s="336"/>
      <c r="CJ137" s="336"/>
      <c r="CK137" s="336"/>
      <c r="CL137" s="336"/>
    </row>
    <row r="138" spans="1:90">
      <c r="A138" s="160">
        <v>45054</v>
      </c>
      <c r="B138" s="250">
        <v>1067.0650000000001</v>
      </c>
      <c r="C138" s="250">
        <v>589.31200000000001</v>
      </c>
      <c r="D138" s="250">
        <v>6859.6</v>
      </c>
      <c r="E138" s="1315">
        <v>1</v>
      </c>
      <c r="F138" s="250">
        <v>18131</v>
      </c>
      <c r="G138" s="250">
        <v>5752.1</v>
      </c>
      <c r="H138" s="250">
        <v>4144</v>
      </c>
      <c r="I138" s="250">
        <v>2087</v>
      </c>
      <c r="J138" s="250">
        <v>205836.79999999999</v>
      </c>
      <c r="K138" s="250">
        <v>14959.1</v>
      </c>
      <c r="L138" s="250">
        <v>7011</v>
      </c>
      <c r="M138" s="422">
        <v>46196</v>
      </c>
      <c r="N138" s="422">
        <v>36751.300000000003</v>
      </c>
      <c r="O138" s="250">
        <v>137791.20000000001</v>
      </c>
      <c r="P138" s="250">
        <v>114296</v>
      </c>
      <c r="Q138" s="250">
        <v>140063.79999999999</v>
      </c>
      <c r="R138" s="250">
        <v>96094.1</v>
      </c>
      <c r="S138" s="250">
        <v>14051.63</v>
      </c>
      <c r="T138" s="250">
        <v>10671.64</v>
      </c>
      <c r="U138" s="250">
        <v>36035</v>
      </c>
      <c r="V138" s="250">
        <v>18651</v>
      </c>
      <c r="W138" s="250">
        <v>211339.4</v>
      </c>
      <c r="X138" s="1014">
        <v>345.9</v>
      </c>
      <c r="Y138" s="1014">
        <v>50716</v>
      </c>
      <c r="Z138" s="250">
        <v>587045</v>
      </c>
      <c r="AA138" s="250">
        <v>299163</v>
      </c>
      <c r="AB138" s="250">
        <v>211378.1</v>
      </c>
      <c r="AC138" s="1014">
        <v>1112.4000000000001</v>
      </c>
      <c r="AD138" s="1081">
        <v>942</v>
      </c>
      <c r="AE138" s="250">
        <v>35555.199999999997</v>
      </c>
      <c r="AF138" s="250">
        <v>25347.4</v>
      </c>
      <c r="AG138" s="250">
        <v>82513.899999999994</v>
      </c>
      <c r="AH138" s="250">
        <v>63791.8</v>
      </c>
      <c r="AI138" s="250">
        <v>66104.600000000006</v>
      </c>
      <c r="AJ138" s="250">
        <v>53853.9</v>
      </c>
      <c r="AK138" s="250">
        <v>59559.4</v>
      </c>
      <c r="AL138" s="250">
        <v>23418.400000000001</v>
      </c>
      <c r="AM138" s="250">
        <v>16.600000000000001</v>
      </c>
      <c r="AN138" s="250">
        <v>17.8</v>
      </c>
      <c r="AO138" s="250">
        <v>493228</v>
      </c>
      <c r="AP138" s="250">
        <v>227591</v>
      </c>
      <c r="AQ138" s="250">
        <v>65155</v>
      </c>
      <c r="AR138" s="250"/>
      <c r="AS138" s="250">
        <v>460648</v>
      </c>
      <c r="AT138" s="250">
        <v>202740</v>
      </c>
      <c r="AU138" s="250">
        <v>79707.399999999994</v>
      </c>
      <c r="AV138" s="250">
        <v>4396.2</v>
      </c>
      <c r="AW138" s="250">
        <v>2932.7</v>
      </c>
      <c r="AX138" s="250">
        <v>224.32</v>
      </c>
      <c r="AY138" s="250">
        <v>136.01</v>
      </c>
      <c r="AZ138" s="250">
        <v>820.61900000000003</v>
      </c>
      <c r="BA138" s="250">
        <v>348.47699999999998</v>
      </c>
      <c r="BB138" s="385">
        <v>1823.3</v>
      </c>
      <c r="BC138" s="250">
        <v>3004.2</v>
      </c>
      <c r="BD138" s="250">
        <v>455.7</v>
      </c>
      <c r="BE138" s="250">
        <v>5588.0599999999995</v>
      </c>
      <c r="BF138" s="250">
        <v>30372.764912280705</v>
      </c>
      <c r="BG138" s="250">
        <v>8792.6011974950743</v>
      </c>
      <c r="BH138" s="250">
        <v>6202.95</v>
      </c>
      <c r="BI138" s="250">
        <v>2597121.5</v>
      </c>
      <c r="BJ138" s="250">
        <v>539</v>
      </c>
      <c r="BK138" s="250">
        <v>20280.599999999999</v>
      </c>
      <c r="BL138" s="250">
        <v>3240547</v>
      </c>
      <c r="BM138" s="250">
        <v>102065</v>
      </c>
      <c r="BN138" s="250">
        <v>20119.2</v>
      </c>
      <c r="BO138" s="250">
        <v>3067206</v>
      </c>
      <c r="BP138" s="250">
        <v>156657</v>
      </c>
      <c r="BQ138" s="250">
        <v>17924.3</v>
      </c>
      <c r="BR138" s="250">
        <v>8643.1</v>
      </c>
      <c r="BS138" s="250">
        <v>5879.6</v>
      </c>
      <c r="BT138" s="250">
        <v>1107408</v>
      </c>
      <c r="BU138" s="250">
        <v>629190</v>
      </c>
      <c r="BV138" s="250">
        <v>722822</v>
      </c>
      <c r="BW138" s="250">
        <v>456676</v>
      </c>
      <c r="BX138" s="1324">
        <v>1</v>
      </c>
    </row>
    <row r="139" spans="1:90">
      <c r="A139" s="160">
        <v>45055</v>
      </c>
      <c r="B139" s="250">
        <v>1067.0650000000001</v>
      </c>
      <c r="C139" s="250">
        <v>589.31200000000001</v>
      </c>
      <c r="D139" s="250">
        <v>6859.6</v>
      </c>
      <c r="E139" s="1315">
        <v>0</v>
      </c>
      <c r="F139" s="250">
        <v>18144.599999999999</v>
      </c>
      <c r="G139" s="250">
        <v>5753.1</v>
      </c>
      <c r="H139" s="250">
        <v>4311.8</v>
      </c>
      <c r="I139" s="250">
        <v>2170.6999999999998</v>
      </c>
      <c r="J139" s="250">
        <v>205860.8</v>
      </c>
      <c r="K139" s="250">
        <v>14959.1</v>
      </c>
      <c r="L139" s="250">
        <v>7011</v>
      </c>
      <c r="M139" s="422">
        <v>46196</v>
      </c>
      <c r="N139" s="422">
        <v>36751.300000000003</v>
      </c>
      <c r="O139" s="250">
        <v>137803.29999999999</v>
      </c>
      <c r="P139" s="250">
        <v>114305.8</v>
      </c>
      <c r="Q139" s="250">
        <v>140078.29999999999</v>
      </c>
      <c r="R139" s="250">
        <v>96094</v>
      </c>
      <c r="S139" s="250">
        <v>14051.63</v>
      </c>
      <c r="T139" s="250">
        <v>10671.64</v>
      </c>
      <c r="U139" s="250">
        <v>36330.9</v>
      </c>
      <c r="V139" s="250">
        <v>18803</v>
      </c>
      <c r="W139" s="250">
        <v>211363.4</v>
      </c>
      <c r="X139" s="1014">
        <v>345.9</v>
      </c>
      <c r="Y139" s="1014">
        <v>50716</v>
      </c>
      <c r="Z139" s="250">
        <v>587197.30000000005</v>
      </c>
      <c r="AA139" s="250">
        <v>299234.40000000002</v>
      </c>
      <c r="AB139" s="250">
        <v>211402.1</v>
      </c>
      <c r="AC139" s="1014">
        <v>1112.4000000000001</v>
      </c>
      <c r="AD139" s="1081">
        <v>942</v>
      </c>
      <c r="AE139" s="250">
        <v>35557.699999999997</v>
      </c>
      <c r="AF139" s="250">
        <v>25349.1</v>
      </c>
      <c r="AG139" s="250">
        <v>82519.199999999997</v>
      </c>
      <c r="AH139" s="250">
        <v>63795.6</v>
      </c>
      <c r="AI139" s="250">
        <v>66142.8</v>
      </c>
      <c r="AJ139" s="250">
        <v>53886.1</v>
      </c>
      <c r="AK139" s="250">
        <v>59564.9</v>
      </c>
      <c r="AL139" s="250">
        <v>23420.5</v>
      </c>
      <c r="AM139" s="250">
        <v>16.600000000000001</v>
      </c>
      <c r="AN139" s="250">
        <v>17.8</v>
      </c>
      <c r="AO139" s="250">
        <v>493397.3</v>
      </c>
      <c r="AP139" s="250">
        <v>227668</v>
      </c>
      <c r="AQ139" s="250">
        <v>65160</v>
      </c>
      <c r="AR139" s="250"/>
      <c r="AS139" s="250">
        <v>460800.2</v>
      </c>
      <c r="AT139" s="250">
        <v>202806.39999999999</v>
      </c>
      <c r="AU139" s="250">
        <v>79731.399999999994</v>
      </c>
      <c r="AV139" s="250">
        <v>4399.7</v>
      </c>
      <c r="AW139" s="250">
        <v>2935.2</v>
      </c>
      <c r="AX139" s="250">
        <v>224.32</v>
      </c>
      <c r="AY139" s="250">
        <v>136.01</v>
      </c>
      <c r="AZ139" s="250">
        <v>820.61900000000003</v>
      </c>
      <c r="BA139" s="250">
        <v>348.47699999999998</v>
      </c>
      <c r="BB139" s="385">
        <v>1823.3</v>
      </c>
      <c r="BC139" s="250">
        <v>3005.4</v>
      </c>
      <c r="BD139" s="250">
        <v>455.7</v>
      </c>
      <c r="BE139" s="250">
        <v>5954.67</v>
      </c>
      <c r="BF139" s="250">
        <v>29295.264912280705</v>
      </c>
      <c r="BG139" s="250">
        <v>8261.0734566587762</v>
      </c>
      <c r="BH139" s="250">
        <v>6183.32</v>
      </c>
      <c r="BI139" s="250">
        <v>2599737.5</v>
      </c>
      <c r="BJ139" s="250">
        <v>540</v>
      </c>
      <c r="BK139" s="250">
        <v>20304.599999999999</v>
      </c>
      <c r="BL139" s="250">
        <v>3240547</v>
      </c>
      <c r="BM139" s="250">
        <v>102065</v>
      </c>
      <c r="BN139" s="250">
        <v>20119.2</v>
      </c>
      <c r="BO139" s="250">
        <v>3072654</v>
      </c>
      <c r="BP139" s="250">
        <v>157393</v>
      </c>
      <c r="BQ139" s="250">
        <v>17948.3</v>
      </c>
      <c r="BR139" s="250">
        <v>8650.4</v>
      </c>
      <c r="BS139" s="250">
        <v>5884.4</v>
      </c>
      <c r="BT139" s="250">
        <v>1107739</v>
      </c>
      <c r="BU139" s="250">
        <v>629396</v>
      </c>
      <c r="BV139" s="250">
        <v>723941</v>
      </c>
      <c r="BW139" s="250">
        <v>457370</v>
      </c>
      <c r="BX139" s="1324">
        <v>0</v>
      </c>
    </row>
    <row r="140" spans="1:90">
      <c r="A140" s="160">
        <v>45056</v>
      </c>
      <c r="B140" s="250">
        <v>1067.0650000000001</v>
      </c>
      <c r="C140" s="250">
        <v>589.31200000000001</v>
      </c>
      <c r="D140" s="250">
        <v>6859.6</v>
      </c>
      <c r="E140" s="1315">
        <v>0</v>
      </c>
      <c r="F140" s="250">
        <v>18159.7</v>
      </c>
      <c r="G140" s="250">
        <v>5757.2</v>
      </c>
      <c r="H140" s="250">
        <v>4477.2</v>
      </c>
      <c r="I140" s="250">
        <v>2253.3000000000002</v>
      </c>
      <c r="J140" s="250">
        <v>205884.79999999999</v>
      </c>
      <c r="K140" s="250">
        <v>14959.1</v>
      </c>
      <c r="L140" s="250">
        <v>7011</v>
      </c>
      <c r="M140" s="422">
        <v>46196</v>
      </c>
      <c r="N140" s="422">
        <v>36751.300000000003</v>
      </c>
      <c r="O140" s="250">
        <v>137814.1</v>
      </c>
      <c r="P140" s="250">
        <v>114314.4</v>
      </c>
      <c r="Q140" s="250">
        <v>140092.4</v>
      </c>
      <c r="R140" s="250">
        <v>96114</v>
      </c>
      <c r="S140" s="250">
        <v>14051.63</v>
      </c>
      <c r="T140" s="250">
        <v>10671.64</v>
      </c>
      <c r="U140" s="250">
        <v>36622.800000000003</v>
      </c>
      <c r="V140" s="250">
        <v>18946.2</v>
      </c>
      <c r="W140" s="250">
        <v>211387.4</v>
      </c>
      <c r="X140" s="1014">
        <v>345.9</v>
      </c>
      <c r="Y140" s="1014">
        <v>50716</v>
      </c>
      <c r="Z140" s="250">
        <v>587344.9</v>
      </c>
      <c r="AA140" s="250">
        <v>299309.5</v>
      </c>
      <c r="AB140" s="250">
        <v>211426.1</v>
      </c>
      <c r="AC140" s="1014">
        <v>1112.4000000000001</v>
      </c>
      <c r="AD140" s="1081">
        <v>942</v>
      </c>
      <c r="AE140" s="250">
        <v>35560.1</v>
      </c>
      <c r="AF140" s="250">
        <v>25350.799999999999</v>
      </c>
      <c r="AG140" s="250">
        <v>82524.399999999994</v>
      </c>
      <c r="AH140" s="250">
        <v>63799.5</v>
      </c>
      <c r="AI140" s="250">
        <v>66179.899999999994</v>
      </c>
      <c r="AJ140" s="250">
        <v>53917.599999999999</v>
      </c>
      <c r="AK140" s="250">
        <v>59577.2</v>
      </c>
      <c r="AL140" s="250">
        <v>23425.4</v>
      </c>
      <c r="AM140" s="250">
        <v>16.600000000000001</v>
      </c>
      <c r="AN140" s="250">
        <v>17.8</v>
      </c>
      <c r="AO140" s="250">
        <v>493557.4</v>
      </c>
      <c r="AP140" s="250">
        <v>227738.4</v>
      </c>
      <c r="AQ140" s="250">
        <v>65165</v>
      </c>
      <c r="AR140" s="250"/>
      <c r="AS140" s="250">
        <v>460947.7</v>
      </c>
      <c r="AT140" s="250">
        <v>202870.39999999999</v>
      </c>
      <c r="AU140" s="250">
        <v>79755.399999999994</v>
      </c>
      <c r="AV140" s="250">
        <v>4403.2</v>
      </c>
      <c r="AW140" s="250">
        <v>2937.7</v>
      </c>
      <c r="AX140" s="250">
        <v>224.32</v>
      </c>
      <c r="AY140" s="250">
        <v>136.01</v>
      </c>
      <c r="AZ140" s="250">
        <v>820.61900000000003</v>
      </c>
      <c r="BA140" s="250">
        <v>348.47699999999998</v>
      </c>
      <c r="BB140" s="385">
        <v>1823.3</v>
      </c>
      <c r="BC140" s="250">
        <v>3006.6</v>
      </c>
      <c r="BD140" s="250">
        <v>455.7</v>
      </c>
      <c r="BE140" s="250">
        <v>5799.84</v>
      </c>
      <c r="BF140" s="250">
        <v>29341.110526315792</v>
      </c>
      <c r="BG140" s="250">
        <v>7576.1774173766835</v>
      </c>
      <c r="BH140" s="250">
        <v>5967.74</v>
      </c>
      <c r="BI140" s="250">
        <v>2600084</v>
      </c>
      <c r="BJ140" s="250">
        <v>541</v>
      </c>
      <c r="BK140" s="250">
        <v>20307.93</v>
      </c>
      <c r="BL140" s="250">
        <v>3244580</v>
      </c>
      <c r="BM140" s="250">
        <v>102314</v>
      </c>
      <c r="BN140" s="250">
        <v>20139.599999999999</v>
      </c>
      <c r="BO140" s="250">
        <v>3076579</v>
      </c>
      <c r="BP140" s="250">
        <v>157581</v>
      </c>
      <c r="BQ140" s="250">
        <v>17972.3</v>
      </c>
      <c r="BR140" s="250">
        <v>8656.5</v>
      </c>
      <c r="BS140" s="250">
        <v>5888.7</v>
      </c>
      <c r="BT140" s="250">
        <v>1108084</v>
      </c>
      <c r="BU140" s="250">
        <v>629611</v>
      </c>
      <c r="BV140" s="250">
        <v>724977</v>
      </c>
      <c r="BW140" s="250">
        <v>458010</v>
      </c>
      <c r="BX140" s="1324">
        <v>0</v>
      </c>
    </row>
    <row r="141" spans="1:90">
      <c r="A141" s="160">
        <v>45057</v>
      </c>
      <c r="B141" s="250">
        <v>1067.0650000000001</v>
      </c>
      <c r="C141" s="250">
        <v>589.31200000000001</v>
      </c>
      <c r="D141" s="250">
        <v>6859.6</v>
      </c>
      <c r="E141" s="1315">
        <v>0</v>
      </c>
      <c r="F141" s="250">
        <v>18175.5</v>
      </c>
      <c r="G141" s="250">
        <v>5762.1</v>
      </c>
      <c r="H141" s="250">
        <v>4645.6000000000004</v>
      </c>
      <c r="I141" s="250">
        <v>2336.8000000000002</v>
      </c>
      <c r="J141" s="250">
        <v>205908.8</v>
      </c>
      <c r="K141" s="250">
        <v>14959.1</v>
      </c>
      <c r="L141" s="250">
        <v>7011</v>
      </c>
      <c r="M141" s="422">
        <v>46196</v>
      </c>
      <c r="N141" s="422">
        <v>36751.300000000003</v>
      </c>
      <c r="O141" s="250">
        <v>137827.5</v>
      </c>
      <c r="P141" s="250">
        <v>114324.3</v>
      </c>
      <c r="Q141" s="250">
        <v>140107.20000000001</v>
      </c>
      <c r="R141" s="250">
        <v>96124.2</v>
      </c>
      <c r="S141" s="250">
        <v>14051.63</v>
      </c>
      <c r="T141" s="250">
        <v>10671.64</v>
      </c>
      <c r="U141" s="250">
        <v>36928.9</v>
      </c>
      <c r="V141" s="250">
        <v>19101.900000000001</v>
      </c>
      <c r="W141" s="250">
        <v>211411.4</v>
      </c>
      <c r="X141" s="1014">
        <v>345.9</v>
      </c>
      <c r="Y141" s="1014">
        <v>50716</v>
      </c>
      <c r="Z141" s="250">
        <v>587494</v>
      </c>
      <c r="AA141" s="250">
        <v>299380</v>
      </c>
      <c r="AB141" s="250">
        <v>211450.1</v>
      </c>
      <c r="AC141" s="1014">
        <v>1112.4000000000001</v>
      </c>
      <c r="AD141" s="1081">
        <v>942</v>
      </c>
      <c r="AE141" s="250">
        <v>35562.699999999997</v>
      </c>
      <c r="AF141" s="250">
        <v>25352.5</v>
      </c>
      <c r="AG141" s="250">
        <v>82530.5</v>
      </c>
      <c r="AH141" s="250">
        <v>63804</v>
      </c>
      <c r="AI141" s="250">
        <v>66217.8</v>
      </c>
      <c r="AJ141" s="250">
        <v>53949.7</v>
      </c>
      <c r="AK141" s="250">
        <v>59595</v>
      </c>
      <c r="AL141" s="250">
        <v>23432.5</v>
      </c>
      <c r="AM141" s="250">
        <v>16.600000000000001</v>
      </c>
      <c r="AN141" s="250">
        <v>17.8</v>
      </c>
      <c r="AO141" s="250">
        <v>493718.1</v>
      </c>
      <c r="AP141" s="250">
        <v>227809</v>
      </c>
      <c r="AQ141" s="250">
        <v>65170</v>
      </c>
      <c r="AR141" s="250"/>
      <c r="AS141" s="250">
        <v>461095.1</v>
      </c>
      <c r="AT141" s="250">
        <v>202934.39999999999</v>
      </c>
      <c r="AU141" s="250">
        <v>79779.399999999994</v>
      </c>
      <c r="AV141" s="250">
        <v>4406.6000000000004</v>
      </c>
      <c r="AW141" s="250">
        <v>2940.1</v>
      </c>
      <c r="AX141" s="250">
        <v>224.32</v>
      </c>
      <c r="AY141" s="250">
        <v>136.01</v>
      </c>
      <c r="AZ141" s="250">
        <v>820.61900000000003</v>
      </c>
      <c r="BA141" s="250">
        <v>348.47699999999998</v>
      </c>
      <c r="BB141" s="385">
        <v>1823.3</v>
      </c>
      <c r="BC141" s="250">
        <v>3008.1</v>
      </c>
      <c r="BD141" s="250">
        <v>455.7</v>
      </c>
      <c r="BE141" s="250">
        <v>5573.84</v>
      </c>
      <c r="BF141" s="250">
        <v>30119.514035087701</v>
      </c>
      <c r="BG141" s="250">
        <v>7321.9405397298297</v>
      </c>
      <c r="BH141" s="250">
        <v>5586.58</v>
      </c>
      <c r="BI141" s="250">
        <v>2600084</v>
      </c>
      <c r="BJ141" s="250">
        <v>541</v>
      </c>
      <c r="BK141" s="250">
        <v>20307.93</v>
      </c>
      <c r="BL141" s="250">
        <v>3249353</v>
      </c>
      <c r="BM141" s="250">
        <v>102707</v>
      </c>
      <c r="BN141" s="250">
        <v>20163.599999999999</v>
      </c>
      <c r="BO141" s="250">
        <v>3080257</v>
      </c>
      <c r="BP141" s="250">
        <v>157685</v>
      </c>
      <c r="BQ141" s="250">
        <v>17996.3</v>
      </c>
      <c r="BR141" s="250">
        <v>8662.7999999999993</v>
      </c>
      <c r="BS141" s="250">
        <v>5893.1</v>
      </c>
      <c r="BT141" s="250">
        <v>1108509</v>
      </c>
      <c r="BU141" s="250">
        <v>629870</v>
      </c>
      <c r="BV141" s="250">
        <v>726080</v>
      </c>
      <c r="BW141" s="250">
        <v>458684</v>
      </c>
      <c r="BX141" s="1324">
        <v>0</v>
      </c>
    </row>
    <row r="142" spans="1:90">
      <c r="A142" s="160">
        <v>45058</v>
      </c>
      <c r="B142" s="250">
        <v>1067.0650000000001</v>
      </c>
      <c r="C142" s="250">
        <v>589.31200000000001</v>
      </c>
      <c r="D142" s="250">
        <v>6859.6</v>
      </c>
      <c r="E142" s="1315">
        <v>0</v>
      </c>
      <c r="F142" s="250">
        <v>18190.7</v>
      </c>
      <c r="G142" s="250">
        <v>5766.9</v>
      </c>
      <c r="H142" s="250">
        <v>4815</v>
      </c>
      <c r="I142" s="250">
        <v>2421</v>
      </c>
      <c r="J142" s="250">
        <v>205932.79999999999</v>
      </c>
      <c r="K142" s="250">
        <v>14959.1</v>
      </c>
      <c r="L142" s="250">
        <v>7011</v>
      </c>
      <c r="M142" s="422">
        <v>46196</v>
      </c>
      <c r="N142" s="422">
        <v>36751.300000000003</v>
      </c>
      <c r="O142" s="250">
        <v>137839.5</v>
      </c>
      <c r="P142" s="250">
        <v>114333.6</v>
      </c>
      <c r="Q142" s="250">
        <v>140121.79999999999</v>
      </c>
      <c r="R142" s="250">
        <v>96134.399999999994</v>
      </c>
      <c r="S142" s="250">
        <v>14051.63</v>
      </c>
      <c r="T142" s="250">
        <v>10671.64</v>
      </c>
      <c r="U142" s="250">
        <v>37225</v>
      </c>
      <c r="V142" s="250">
        <v>19249</v>
      </c>
      <c r="W142" s="250">
        <v>211435.4</v>
      </c>
      <c r="X142" s="1014">
        <v>345.9</v>
      </c>
      <c r="Y142" s="1014">
        <v>50716</v>
      </c>
      <c r="Z142" s="250">
        <v>587644</v>
      </c>
      <c r="AA142" s="250">
        <v>299455</v>
      </c>
      <c r="AB142" s="250">
        <v>211474.1</v>
      </c>
      <c r="AC142" s="1014">
        <v>1112.4000000000001</v>
      </c>
      <c r="AD142" s="1081">
        <v>942</v>
      </c>
      <c r="AE142" s="250">
        <v>35565.199999999997</v>
      </c>
      <c r="AF142" s="250">
        <v>25354.3</v>
      </c>
      <c r="AG142" s="250">
        <v>82536.399999999994</v>
      </c>
      <c r="AH142" s="250">
        <v>63808.3</v>
      </c>
      <c r="AI142" s="250">
        <v>66254.7</v>
      </c>
      <c r="AJ142" s="250">
        <v>53980.9</v>
      </c>
      <c r="AK142" s="250">
        <v>59605.7</v>
      </c>
      <c r="AL142" s="250">
        <v>23436.799999999999</v>
      </c>
      <c r="AM142" s="250">
        <v>16.600000000000001</v>
      </c>
      <c r="AN142" s="250">
        <v>17.8</v>
      </c>
      <c r="AO142" s="250">
        <v>493880</v>
      </c>
      <c r="AP142" s="250">
        <v>227880</v>
      </c>
      <c r="AQ142" s="250">
        <v>65175</v>
      </c>
      <c r="AR142" s="250"/>
      <c r="AS142" s="250">
        <v>461242</v>
      </c>
      <c r="AT142" s="250">
        <v>202998</v>
      </c>
      <c r="AU142" s="250">
        <v>79803.399999999994</v>
      </c>
      <c r="AV142" s="250">
        <v>4409.7</v>
      </c>
      <c r="AW142" s="250">
        <v>2942.3</v>
      </c>
      <c r="AX142" s="250">
        <v>224.32</v>
      </c>
      <c r="AY142" s="250">
        <v>136.01</v>
      </c>
      <c r="AZ142" s="250">
        <v>820.61900000000003</v>
      </c>
      <c r="BA142" s="250">
        <v>348.47699999999998</v>
      </c>
      <c r="BB142" s="385">
        <v>1823.3</v>
      </c>
      <c r="BC142" s="250">
        <v>3009.9</v>
      </c>
      <c r="BD142" s="250">
        <v>455.7</v>
      </c>
      <c r="BE142" s="250">
        <v>5838.4</v>
      </c>
      <c r="BF142" s="250">
        <v>30944.549122806999</v>
      </c>
      <c r="BG142" s="250">
        <v>8745.8427386345793</v>
      </c>
      <c r="BH142" s="250">
        <v>5979.91</v>
      </c>
      <c r="BI142" s="250">
        <v>2600084</v>
      </c>
      <c r="BJ142" s="250">
        <v>541</v>
      </c>
      <c r="BK142" s="250">
        <v>20307.93</v>
      </c>
      <c r="BL142" s="250">
        <v>3254010</v>
      </c>
      <c r="BM142" s="250">
        <v>103108</v>
      </c>
      <c r="BN142" s="250">
        <v>20187.599999999999</v>
      </c>
      <c r="BO142" s="250">
        <v>3083916</v>
      </c>
      <c r="BP142" s="250">
        <v>157771</v>
      </c>
      <c r="BQ142" s="250">
        <v>18020.3</v>
      </c>
      <c r="BR142" s="250">
        <v>8669.1</v>
      </c>
      <c r="BS142" s="250">
        <v>5897.4</v>
      </c>
      <c r="BT142" s="250">
        <v>1109216</v>
      </c>
      <c r="BU142" s="250">
        <v>630282</v>
      </c>
      <c r="BV142" s="250">
        <v>726935</v>
      </c>
      <c r="BW142" s="250">
        <v>459226</v>
      </c>
      <c r="BX142" s="1324">
        <v>0</v>
      </c>
    </row>
    <row r="143" spans="1:90">
      <c r="A143" s="160">
        <v>45059</v>
      </c>
      <c r="B143" s="250">
        <v>1067.0650000000001</v>
      </c>
      <c r="C143" s="250">
        <v>589.31200000000001</v>
      </c>
      <c r="D143" s="250">
        <v>6859.6</v>
      </c>
      <c r="E143" s="1315">
        <v>0</v>
      </c>
      <c r="F143" s="250">
        <v>18206.099999999999</v>
      </c>
      <c r="G143" s="250">
        <v>5771.7</v>
      </c>
      <c r="H143" s="250">
        <v>4983</v>
      </c>
      <c r="I143" s="250">
        <v>2504</v>
      </c>
      <c r="J143" s="250">
        <v>205956.8</v>
      </c>
      <c r="K143" s="250">
        <v>14959.1</v>
      </c>
      <c r="L143" s="250">
        <v>7011</v>
      </c>
      <c r="M143" s="422">
        <v>46196</v>
      </c>
      <c r="N143" s="422">
        <v>36751.300000000003</v>
      </c>
      <c r="O143" s="250">
        <v>137849.29999999999</v>
      </c>
      <c r="P143" s="250">
        <v>114341.7</v>
      </c>
      <c r="Q143" s="250">
        <v>140135.6</v>
      </c>
      <c r="R143" s="250">
        <v>96144.3</v>
      </c>
      <c r="S143" s="250">
        <v>14051.63</v>
      </c>
      <c r="T143" s="250">
        <v>10671.64</v>
      </c>
      <c r="U143" s="250">
        <v>37505</v>
      </c>
      <c r="V143" s="250">
        <v>19391</v>
      </c>
      <c r="W143" s="250">
        <v>211459.4</v>
      </c>
      <c r="X143" s="1014">
        <v>345.9</v>
      </c>
      <c r="Y143" s="1014">
        <v>50716</v>
      </c>
      <c r="Z143" s="250">
        <v>587794</v>
      </c>
      <c r="AA143" s="250">
        <v>299523</v>
      </c>
      <c r="AB143" s="250">
        <v>211498.1</v>
      </c>
      <c r="AC143" s="1014">
        <v>1112.4000000000001</v>
      </c>
      <c r="AD143" s="1081">
        <v>942</v>
      </c>
      <c r="AE143" s="250">
        <v>35567.599999999999</v>
      </c>
      <c r="AF143" s="250">
        <v>25356</v>
      </c>
      <c r="AG143" s="250">
        <v>82541.100000000006</v>
      </c>
      <c r="AH143" s="250">
        <v>63811.8</v>
      </c>
      <c r="AI143" s="250">
        <v>66291.600000000006</v>
      </c>
      <c r="AJ143" s="250">
        <v>54012.1</v>
      </c>
      <c r="AK143" s="250">
        <v>59605.7</v>
      </c>
      <c r="AL143" s="250">
        <v>23436.799999999999</v>
      </c>
      <c r="AM143" s="250">
        <v>16.600000000000001</v>
      </c>
      <c r="AN143" s="250">
        <v>17.8</v>
      </c>
      <c r="AO143" s="250">
        <v>494040</v>
      </c>
      <c r="AP143" s="250">
        <v>227950</v>
      </c>
      <c r="AQ143" s="250">
        <v>65180</v>
      </c>
      <c r="AR143" s="250"/>
      <c r="AS143" s="250">
        <v>461390</v>
      </c>
      <c r="AT143" s="250">
        <v>203062</v>
      </c>
      <c r="AU143" s="250">
        <v>79827.399999999994</v>
      </c>
      <c r="AV143" s="250">
        <v>4412.8</v>
      </c>
      <c r="AW143" s="250">
        <v>2944.5</v>
      </c>
      <c r="AX143" s="250">
        <v>224.32</v>
      </c>
      <c r="AY143" s="250">
        <v>136.01</v>
      </c>
      <c r="AZ143" s="250">
        <v>820.61900000000003</v>
      </c>
      <c r="BA143" s="250">
        <v>348.47699999999998</v>
      </c>
      <c r="BB143" s="385">
        <v>1823.3</v>
      </c>
      <c r="BC143" s="250">
        <v>3011.2</v>
      </c>
      <c r="BD143" s="250">
        <v>455.7</v>
      </c>
      <c r="BE143" s="250">
        <v>6266.05</v>
      </c>
      <c r="BF143" s="250">
        <v>31651.029824561399</v>
      </c>
      <c r="BG143" s="250">
        <v>9201.1224669225994</v>
      </c>
      <c r="BH143" s="250">
        <v>6045.46</v>
      </c>
      <c r="BI143" s="250">
        <v>2600084</v>
      </c>
      <c r="BJ143" s="250">
        <v>541</v>
      </c>
      <c r="BK143" s="250">
        <v>20307.93</v>
      </c>
      <c r="BL143" s="250">
        <v>3258682</v>
      </c>
      <c r="BM143" s="250">
        <v>103464</v>
      </c>
      <c r="BN143" s="250">
        <v>20211.599999999999</v>
      </c>
      <c r="BO143" s="250">
        <v>3087680</v>
      </c>
      <c r="BP143" s="250">
        <v>157864</v>
      </c>
      <c r="BQ143" s="250">
        <v>18044.3</v>
      </c>
      <c r="BR143" s="250">
        <v>8675.4</v>
      </c>
      <c r="BS143" s="250">
        <v>5901.8</v>
      </c>
      <c r="BT143" s="250">
        <v>1109928</v>
      </c>
      <c r="BU143" s="250">
        <v>630694</v>
      </c>
      <c r="BV143" s="250">
        <v>727786</v>
      </c>
      <c r="BW143" s="250">
        <v>459766</v>
      </c>
      <c r="BX143" s="1324">
        <v>0</v>
      </c>
    </row>
    <row r="144" spans="1:90">
      <c r="A144" s="160">
        <v>45060</v>
      </c>
      <c r="B144" s="250">
        <v>1067.0650000000001</v>
      </c>
      <c r="C144" s="250">
        <v>589.31200000000001</v>
      </c>
      <c r="D144" s="250">
        <v>6859.6</v>
      </c>
      <c r="E144" s="1315">
        <v>0</v>
      </c>
      <c r="F144" s="250">
        <v>18222.099999999999</v>
      </c>
      <c r="G144" s="250">
        <v>5776.7</v>
      </c>
      <c r="H144" s="250">
        <v>5139</v>
      </c>
      <c r="I144" s="250">
        <v>2583</v>
      </c>
      <c r="J144" s="250">
        <v>205979</v>
      </c>
      <c r="K144" s="250">
        <v>14959.2</v>
      </c>
      <c r="L144" s="250">
        <v>7011</v>
      </c>
      <c r="M144" s="422">
        <v>46196</v>
      </c>
      <c r="N144" s="422">
        <v>36751.300000000003</v>
      </c>
      <c r="O144" s="250">
        <v>137861.20000000001</v>
      </c>
      <c r="P144" s="250">
        <v>114351.2</v>
      </c>
      <c r="Q144" s="250">
        <v>140149.6</v>
      </c>
      <c r="R144" s="250">
        <v>96154.3</v>
      </c>
      <c r="S144" s="250">
        <v>14051.63</v>
      </c>
      <c r="T144" s="250">
        <v>10671.64</v>
      </c>
      <c r="U144" s="250">
        <v>37899</v>
      </c>
      <c r="V144" s="250">
        <v>19590</v>
      </c>
      <c r="W144" s="250">
        <v>211483.4</v>
      </c>
      <c r="X144" s="1014">
        <v>345.9</v>
      </c>
      <c r="Y144" s="1014">
        <v>50716</v>
      </c>
      <c r="Z144" s="250">
        <v>587826</v>
      </c>
      <c r="AA144" s="250">
        <v>299543</v>
      </c>
      <c r="AB144" s="250">
        <v>211503.3</v>
      </c>
      <c r="AC144" s="1014">
        <v>1112.4000000000001</v>
      </c>
      <c r="AD144" s="1081">
        <v>942</v>
      </c>
      <c r="AE144" s="250">
        <v>35569.800000000003</v>
      </c>
      <c r="AF144" s="250">
        <v>25357.4</v>
      </c>
      <c r="AG144" s="422">
        <v>82545</v>
      </c>
      <c r="AH144" s="422">
        <v>63814.6</v>
      </c>
      <c r="AI144" s="250">
        <v>66327.5</v>
      </c>
      <c r="AJ144" s="250">
        <v>54042.2</v>
      </c>
      <c r="AK144" s="250">
        <v>59616.2</v>
      </c>
      <c r="AL144" s="250">
        <v>23440.9</v>
      </c>
      <c r="AM144" s="250">
        <v>16.8</v>
      </c>
      <c r="AN144" s="250">
        <v>18</v>
      </c>
      <c r="AO144" s="250">
        <v>494202</v>
      </c>
      <c r="AP144" s="250">
        <v>228021</v>
      </c>
      <c r="AQ144" s="422">
        <v>65185</v>
      </c>
      <c r="AR144" s="1014"/>
      <c r="AS144" s="250">
        <v>461540</v>
      </c>
      <c r="AT144" s="250">
        <v>203128</v>
      </c>
      <c r="AU144" s="422">
        <v>79851.399999999994</v>
      </c>
      <c r="AV144" s="250">
        <v>4416.1000000000004</v>
      </c>
      <c r="AW144" s="250">
        <v>2946.8</v>
      </c>
      <c r="AX144" s="250">
        <v>224.32</v>
      </c>
      <c r="AY144" s="250">
        <v>136.01</v>
      </c>
      <c r="AZ144" s="250">
        <v>822.5</v>
      </c>
      <c r="BA144" s="250">
        <v>349.19900000000001</v>
      </c>
      <c r="BB144" s="385">
        <v>1825.4</v>
      </c>
      <c r="BC144" s="250">
        <v>3012.5</v>
      </c>
      <c r="BD144" s="250">
        <v>455.7</v>
      </c>
      <c r="BE144" s="250">
        <v>5862.03</v>
      </c>
      <c r="BF144" s="250">
        <v>31216.312280701801</v>
      </c>
      <c r="BG144" s="250">
        <v>8672.3310111917908</v>
      </c>
      <c r="BH144" s="250">
        <v>6767.44</v>
      </c>
      <c r="BI144" s="250">
        <v>2600084</v>
      </c>
      <c r="BJ144" s="250">
        <v>541</v>
      </c>
      <c r="BK144" s="250">
        <v>20307.93</v>
      </c>
      <c r="BL144" s="250">
        <v>3263307</v>
      </c>
      <c r="BM144" s="250">
        <v>103854</v>
      </c>
      <c r="BN144" s="250">
        <v>20235.599999999999</v>
      </c>
      <c r="BO144" s="250">
        <v>3091388</v>
      </c>
      <c r="BP144" s="250">
        <v>157958</v>
      </c>
      <c r="BQ144" s="250">
        <v>18068.3</v>
      </c>
      <c r="BR144" s="250">
        <v>8681.7999999999993</v>
      </c>
      <c r="BS144" s="250">
        <v>5906.3</v>
      </c>
      <c r="BT144" s="250">
        <v>1110603</v>
      </c>
      <c r="BU144" s="250">
        <v>631102</v>
      </c>
      <c r="BV144" s="250">
        <v>729128</v>
      </c>
      <c r="BW144" s="250">
        <v>460580</v>
      </c>
      <c r="BX144" s="1324">
        <v>1.88</v>
      </c>
    </row>
    <row r="145" spans="1:76">
      <c r="A145" s="160">
        <v>45061</v>
      </c>
      <c r="B145" s="250">
        <v>1067.0650000000001</v>
      </c>
      <c r="C145" s="250">
        <v>589.31200000000001</v>
      </c>
      <c r="D145" s="250">
        <v>6859.6</v>
      </c>
      <c r="E145" s="1315">
        <v>0</v>
      </c>
      <c r="F145" s="250">
        <v>18236.900000000001</v>
      </c>
      <c r="G145" s="250">
        <v>5781.3</v>
      </c>
      <c r="H145" s="250">
        <v>5302</v>
      </c>
      <c r="I145" s="250">
        <v>2665</v>
      </c>
      <c r="J145" s="250">
        <v>206003</v>
      </c>
      <c r="K145" s="250">
        <v>14959.2</v>
      </c>
      <c r="L145" s="250">
        <v>7011</v>
      </c>
      <c r="M145" s="422">
        <v>46196</v>
      </c>
      <c r="N145" s="422">
        <v>36751.300000000003</v>
      </c>
      <c r="O145" s="250">
        <v>137875</v>
      </c>
      <c r="P145" s="250">
        <v>114361.60000000001</v>
      </c>
      <c r="Q145" s="250">
        <v>140162.79999999999</v>
      </c>
      <c r="R145" s="250">
        <v>96163.8</v>
      </c>
      <c r="S145" s="250">
        <v>14051.63</v>
      </c>
      <c r="T145" s="250">
        <v>10671.64</v>
      </c>
      <c r="U145" s="250">
        <v>38201</v>
      </c>
      <c r="V145" s="250">
        <v>19741</v>
      </c>
      <c r="W145" s="250">
        <v>211507.4</v>
      </c>
      <c r="X145" s="1014">
        <v>345.9</v>
      </c>
      <c r="Y145" s="1014">
        <v>50716</v>
      </c>
      <c r="Z145" s="250">
        <v>587972</v>
      </c>
      <c r="AA145" s="250">
        <v>299615</v>
      </c>
      <c r="AB145" s="250">
        <v>211527.3</v>
      </c>
      <c r="AC145" s="1014">
        <v>1112.4000000000001</v>
      </c>
      <c r="AD145" s="1081">
        <v>942</v>
      </c>
      <c r="AE145" s="250">
        <v>35572.199999999997</v>
      </c>
      <c r="AF145" s="250">
        <v>25359.1</v>
      </c>
      <c r="AG145" s="422">
        <v>82550.5</v>
      </c>
      <c r="AH145" s="422">
        <v>63818.7</v>
      </c>
      <c r="AI145" s="250">
        <v>66362.399999999994</v>
      </c>
      <c r="AJ145" s="250">
        <v>54071.5</v>
      </c>
      <c r="AK145" s="250">
        <v>59637.3</v>
      </c>
      <c r="AL145" s="250">
        <v>23449.200000000001</v>
      </c>
      <c r="AM145" s="250">
        <v>16.8</v>
      </c>
      <c r="AN145" s="250">
        <v>18</v>
      </c>
      <c r="AO145" s="250">
        <v>494361</v>
      </c>
      <c r="AP145" s="250">
        <v>228091</v>
      </c>
      <c r="AQ145" s="422">
        <v>65190</v>
      </c>
      <c r="AR145" s="1014"/>
      <c r="AS145" s="250">
        <v>461686</v>
      </c>
      <c r="AT145" s="250">
        <v>203191</v>
      </c>
      <c r="AU145" s="422">
        <v>79875.399999999994</v>
      </c>
      <c r="AV145" s="250">
        <v>4419.6000000000004</v>
      </c>
      <c r="AW145" s="250">
        <v>2949.3</v>
      </c>
      <c r="AX145" s="250">
        <v>224.32</v>
      </c>
      <c r="AY145" s="250">
        <v>136.01</v>
      </c>
      <c r="AZ145" s="250">
        <v>822.5</v>
      </c>
      <c r="BA145" s="250">
        <v>349.19900000000001</v>
      </c>
      <c r="BB145" s="385">
        <v>1825.4</v>
      </c>
      <c r="BC145" s="250">
        <v>3013.6</v>
      </c>
      <c r="BD145" s="250">
        <v>455.7</v>
      </c>
      <c r="BE145" s="250">
        <v>5861.16</v>
      </c>
      <c r="BF145" s="250">
        <v>31373.6456140351</v>
      </c>
      <c r="BG145" s="250">
        <v>6637.3947574126796</v>
      </c>
      <c r="BH145" s="250">
        <v>6170.5</v>
      </c>
      <c r="BI145" s="250">
        <v>2600084</v>
      </c>
      <c r="BJ145" s="250">
        <v>541</v>
      </c>
      <c r="BK145" s="250">
        <v>20307.93</v>
      </c>
      <c r="BL145" s="250">
        <v>3267898</v>
      </c>
      <c r="BM145" s="250">
        <v>104138</v>
      </c>
      <c r="BN145" s="250">
        <v>20259.599999999999</v>
      </c>
      <c r="BO145" s="250">
        <v>3094959</v>
      </c>
      <c r="BP145" s="250">
        <v>158064</v>
      </c>
      <c r="BQ145" s="250">
        <v>18092.3</v>
      </c>
      <c r="BR145" s="250">
        <v>8688.1</v>
      </c>
      <c r="BS145" s="250">
        <v>5910.6</v>
      </c>
      <c r="BT145" s="250">
        <v>1110934</v>
      </c>
      <c r="BU145" s="250">
        <v>631308</v>
      </c>
      <c r="BV145" s="250">
        <v>729619</v>
      </c>
      <c r="BW145" s="250">
        <v>460874</v>
      </c>
      <c r="BX145" s="1324">
        <v>0</v>
      </c>
    </row>
    <row r="146" spans="1:76">
      <c r="A146" s="160">
        <v>45062</v>
      </c>
      <c r="B146" s="250">
        <v>1067.7529999999999</v>
      </c>
      <c r="C146" s="250">
        <v>589.65700000000004</v>
      </c>
      <c r="D146" s="250">
        <v>6860.6</v>
      </c>
      <c r="E146" s="1315">
        <v>0.7</v>
      </c>
      <c r="F146" s="250">
        <v>18253.099999999999</v>
      </c>
      <c r="G146" s="250">
        <v>5786.4</v>
      </c>
      <c r="H146" s="250">
        <v>5468</v>
      </c>
      <c r="I146" s="250">
        <v>2748</v>
      </c>
      <c r="J146" s="250">
        <v>206027</v>
      </c>
      <c r="K146" s="250">
        <v>14959.2</v>
      </c>
      <c r="L146" s="250">
        <v>7011</v>
      </c>
      <c r="M146" s="422">
        <v>46196</v>
      </c>
      <c r="N146" s="422">
        <v>36751.300000000003</v>
      </c>
      <c r="O146" s="250">
        <v>137887.29999999999</v>
      </c>
      <c r="P146" s="250">
        <v>114371.6</v>
      </c>
      <c r="Q146" s="250">
        <v>140177.20000000001</v>
      </c>
      <c r="R146" s="250">
        <v>96173.8</v>
      </c>
      <c r="S146" s="250">
        <v>14051.63</v>
      </c>
      <c r="T146" s="250">
        <v>10671.64</v>
      </c>
      <c r="U146" s="250">
        <v>38499</v>
      </c>
      <c r="V146" s="250">
        <v>19889</v>
      </c>
      <c r="W146" s="250">
        <v>211531.4</v>
      </c>
      <c r="X146" s="1014">
        <v>345.9</v>
      </c>
      <c r="Y146" s="1014">
        <v>50716</v>
      </c>
      <c r="Z146" s="250">
        <v>588110</v>
      </c>
      <c r="AA146" s="250">
        <v>299686</v>
      </c>
      <c r="AB146" s="250">
        <v>211551.3</v>
      </c>
      <c r="AC146" s="1014">
        <v>1112.4000000000001</v>
      </c>
      <c r="AD146" s="1081">
        <v>942</v>
      </c>
      <c r="AE146" s="250">
        <v>35574.800000000003</v>
      </c>
      <c r="AF146" s="250">
        <v>25360.799999999999</v>
      </c>
      <c r="AG146" s="250">
        <v>82557.2</v>
      </c>
      <c r="AH146" s="250">
        <v>63823.8</v>
      </c>
      <c r="AI146" s="250">
        <v>66397.5</v>
      </c>
      <c r="AJ146" s="250">
        <v>54101.2</v>
      </c>
      <c r="AK146" s="250">
        <v>59643.8</v>
      </c>
      <c r="AL146" s="250">
        <v>23451.7</v>
      </c>
      <c r="AM146" s="250">
        <v>16.8</v>
      </c>
      <c r="AN146" s="250">
        <v>18</v>
      </c>
      <c r="AO146" s="250">
        <v>494521</v>
      </c>
      <c r="AP146" s="250">
        <v>228161</v>
      </c>
      <c r="AQ146" s="250">
        <v>65195</v>
      </c>
      <c r="AR146" s="250"/>
      <c r="AS146" s="250">
        <v>461833</v>
      </c>
      <c r="AT146" s="250">
        <v>203255</v>
      </c>
      <c r="AU146" s="250">
        <v>79899.399999999994</v>
      </c>
      <c r="AV146" s="250">
        <v>4423.2</v>
      </c>
      <c r="AW146" s="250">
        <v>2951.8</v>
      </c>
      <c r="AX146" s="250">
        <v>225</v>
      </c>
      <c r="AY146" s="250">
        <v>136.37</v>
      </c>
      <c r="AZ146" s="250">
        <v>822.5</v>
      </c>
      <c r="BA146" s="250">
        <v>349.19900000000001</v>
      </c>
      <c r="BB146" s="385">
        <v>1825.4</v>
      </c>
      <c r="BC146" s="250">
        <v>3014.8</v>
      </c>
      <c r="BD146" s="250">
        <v>455.7</v>
      </c>
      <c r="BE146" s="250">
        <v>5755.4299999999994</v>
      </c>
      <c r="BF146" s="250">
        <v>31916.333333333336</v>
      </c>
      <c r="BG146" s="250">
        <v>11411.131561915401</v>
      </c>
      <c r="BH146" s="1412">
        <v>4883.4900000000007</v>
      </c>
      <c r="BI146" s="250">
        <v>2600084</v>
      </c>
      <c r="BJ146" s="250">
        <v>541</v>
      </c>
      <c r="BK146" s="250">
        <v>20307.93</v>
      </c>
      <c r="BL146" s="250">
        <v>3272446</v>
      </c>
      <c r="BM146" s="250">
        <v>104414</v>
      </c>
      <c r="BN146" s="250">
        <v>20283.599999999999</v>
      </c>
      <c r="BO146" s="250">
        <v>3098444</v>
      </c>
      <c r="BP146" s="250">
        <v>158180</v>
      </c>
      <c r="BQ146" s="250">
        <v>18116.3</v>
      </c>
      <c r="BR146" s="250">
        <v>8695.5</v>
      </c>
      <c r="BS146" s="250">
        <v>5915.5</v>
      </c>
      <c r="BT146" s="250">
        <v>1111304</v>
      </c>
      <c r="BU146" s="250">
        <v>631540</v>
      </c>
      <c r="BV146" s="250">
        <v>730722</v>
      </c>
      <c r="BW146" s="250">
        <v>461551</v>
      </c>
      <c r="BX146" s="1324">
        <v>0</v>
      </c>
    </row>
    <row r="147" spans="1:76">
      <c r="A147" s="160">
        <v>45063</v>
      </c>
      <c r="B147" s="250">
        <v>1067.7529999999999</v>
      </c>
      <c r="C147" s="250">
        <v>589.65700000000004</v>
      </c>
      <c r="D147" s="250">
        <v>6860.6</v>
      </c>
      <c r="E147" s="1315">
        <v>0</v>
      </c>
      <c r="F147" s="250">
        <v>18269.099999999999</v>
      </c>
      <c r="G147" s="250">
        <v>5791.2</v>
      </c>
      <c r="H147" s="250">
        <v>5633.77</v>
      </c>
      <c r="I147" s="250">
        <v>2830.86</v>
      </c>
      <c r="J147" s="250">
        <v>206051</v>
      </c>
      <c r="K147" s="250">
        <v>14959.2</v>
      </c>
      <c r="L147" s="250">
        <v>7011</v>
      </c>
      <c r="M147" s="422">
        <v>46196</v>
      </c>
      <c r="N147" s="422">
        <v>36751.300000000003</v>
      </c>
      <c r="O147" s="250">
        <v>137900.51999999999</v>
      </c>
      <c r="P147" s="250">
        <v>114382.15</v>
      </c>
      <c r="Q147" s="250">
        <v>140191.74</v>
      </c>
      <c r="R147" s="250">
        <v>96184.02</v>
      </c>
      <c r="S147" s="250">
        <v>14051.63</v>
      </c>
      <c r="T147" s="250">
        <v>10671.64</v>
      </c>
      <c r="U147" s="250">
        <v>38803.449999999997</v>
      </c>
      <c r="V147" s="250">
        <v>20040.84</v>
      </c>
      <c r="W147" s="250">
        <v>211555.4</v>
      </c>
      <c r="X147" s="1014">
        <v>345.9</v>
      </c>
      <c r="Y147" s="1014">
        <v>50716</v>
      </c>
      <c r="Z147" s="250">
        <v>588244.99</v>
      </c>
      <c r="AA147" s="250">
        <v>299753.7</v>
      </c>
      <c r="AB147" s="250">
        <v>211575.3</v>
      </c>
      <c r="AC147" s="1014">
        <v>1112.4000000000001</v>
      </c>
      <c r="AD147" s="1081">
        <v>942</v>
      </c>
      <c r="AE147" s="250">
        <v>35577.160000000003</v>
      </c>
      <c r="AF147" s="250">
        <v>25362.5</v>
      </c>
      <c r="AG147" s="250">
        <v>82562.570000000007</v>
      </c>
      <c r="AH147" s="250">
        <v>63827.75</v>
      </c>
      <c r="AI147" s="250">
        <v>66433.100000000006</v>
      </c>
      <c r="AJ147" s="250">
        <v>54131.39</v>
      </c>
      <c r="AK147" s="250">
        <v>59653.8</v>
      </c>
      <c r="AL147" s="250">
        <v>23455.7</v>
      </c>
      <c r="AM147" s="250">
        <v>16.8</v>
      </c>
      <c r="AN147" s="250">
        <v>18</v>
      </c>
      <c r="AO147" s="250">
        <v>494679.8</v>
      </c>
      <c r="AP147" s="250">
        <v>228230.7</v>
      </c>
      <c r="AQ147" s="250">
        <v>65199.692000000003</v>
      </c>
      <c r="AR147" s="250"/>
      <c r="AS147" s="250">
        <v>461979.95</v>
      </c>
      <c r="AT147" s="250">
        <v>203318.55</v>
      </c>
      <c r="AU147" s="250">
        <v>79923.399999999994</v>
      </c>
      <c r="AV147" s="250">
        <v>4426.28</v>
      </c>
      <c r="AW147" s="250">
        <v>2954.01</v>
      </c>
      <c r="AX147" s="250">
        <v>225.13</v>
      </c>
      <c r="AY147" s="250">
        <v>136.44999999999999</v>
      </c>
      <c r="AZ147" s="250">
        <v>822.5</v>
      </c>
      <c r="BA147" s="250">
        <v>349.19900000000001</v>
      </c>
      <c r="BB147" s="385">
        <v>1825.4</v>
      </c>
      <c r="BC147" s="250">
        <v>3016</v>
      </c>
      <c r="BD147" s="250">
        <v>455.7</v>
      </c>
      <c r="BE147" s="250">
        <v>5687.95</v>
      </c>
      <c r="BF147" s="250">
        <v>28775.877192982502</v>
      </c>
      <c r="BG147" s="250">
        <v>8044.7365776820297</v>
      </c>
      <c r="BH147" s="250">
        <v>4801.01</v>
      </c>
      <c r="BI147" s="250">
        <v>2600084</v>
      </c>
      <c r="BJ147" s="250">
        <v>541</v>
      </c>
      <c r="BK147" s="250">
        <v>20307.93</v>
      </c>
      <c r="BL147" s="250">
        <v>3276983</v>
      </c>
      <c r="BM147" s="250">
        <v>104717</v>
      </c>
      <c r="BN147" s="250">
        <v>20307.599999999999</v>
      </c>
      <c r="BO147" s="250">
        <v>3101983</v>
      </c>
      <c r="BP147" s="250">
        <v>158288</v>
      </c>
      <c r="BQ147" s="250">
        <v>18140.3</v>
      </c>
      <c r="BR147" s="250">
        <v>8702.57</v>
      </c>
      <c r="BS147" s="250">
        <v>5920.25</v>
      </c>
      <c r="BT147" s="250">
        <v>1111645</v>
      </c>
      <c r="BU147" s="250">
        <v>631753</v>
      </c>
      <c r="BV147" s="250">
        <v>731445</v>
      </c>
      <c r="BW147" s="250">
        <v>461992</v>
      </c>
      <c r="BX147" s="1324">
        <v>0</v>
      </c>
    </row>
    <row r="148" spans="1:76">
      <c r="A148" s="160">
        <v>45064</v>
      </c>
      <c r="B148" s="250">
        <v>1067.7529999999999</v>
      </c>
      <c r="C148" s="250">
        <v>589.65700000000004</v>
      </c>
      <c r="D148" s="250">
        <v>6860.6</v>
      </c>
      <c r="E148" s="1315">
        <v>0</v>
      </c>
      <c r="F148" s="250">
        <v>18283</v>
      </c>
      <c r="G148" s="250">
        <v>5796.3</v>
      </c>
      <c r="H148" s="250">
        <v>5801.5020000000004</v>
      </c>
      <c r="I148" s="250">
        <v>2914.6689999999999</v>
      </c>
      <c r="J148" s="250">
        <v>206075</v>
      </c>
      <c r="K148" s="250">
        <v>14959.2</v>
      </c>
      <c r="L148" s="250">
        <v>7011</v>
      </c>
      <c r="M148" s="422">
        <v>46196</v>
      </c>
      <c r="N148" s="422">
        <v>36751.300000000003</v>
      </c>
      <c r="O148" s="250">
        <v>137913.07</v>
      </c>
      <c r="P148" s="250">
        <v>114392.216</v>
      </c>
      <c r="Q148" s="250">
        <v>140206.62</v>
      </c>
      <c r="R148" s="250">
        <v>96194.26</v>
      </c>
      <c r="S148" s="250">
        <v>14051.63</v>
      </c>
      <c r="T148" s="250">
        <v>10671.64</v>
      </c>
      <c r="U148" s="250">
        <v>39071.828000000001</v>
      </c>
      <c r="V148" s="250">
        <v>20175.737000000001</v>
      </c>
      <c r="W148" s="250">
        <v>211579.4</v>
      </c>
      <c r="X148" s="1014">
        <v>345.9</v>
      </c>
      <c r="Y148" s="1014">
        <v>50716</v>
      </c>
      <c r="Z148" s="250">
        <v>588421.76500000001</v>
      </c>
      <c r="AA148" s="250">
        <v>299843.55699999997</v>
      </c>
      <c r="AB148" s="250">
        <v>211599.3</v>
      </c>
      <c r="AC148" s="1014">
        <v>1112.4000000000001</v>
      </c>
      <c r="AD148" s="1081">
        <v>942</v>
      </c>
      <c r="AE148" s="250">
        <v>35579.69</v>
      </c>
      <c r="AF148" s="250">
        <v>25364.22</v>
      </c>
      <c r="AG148" s="250">
        <v>82567.45</v>
      </c>
      <c r="AH148" s="250">
        <v>63831.41</v>
      </c>
      <c r="AI148" s="250">
        <v>66469.820000000007</v>
      </c>
      <c r="AJ148" s="250">
        <v>54162.6</v>
      </c>
      <c r="AK148" s="250">
        <v>59664.2</v>
      </c>
      <c r="AL148" s="250">
        <v>23459.8</v>
      </c>
      <c r="AM148" s="250">
        <v>16.8</v>
      </c>
      <c r="AN148" s="250">
        <v>18</v>
      </c>
      <c r="AO148" s="250">
        <v>494843.2</v>
      </c>
      <c r="AP148" s="250">
        <v>228304.1</v>
      </c>
      <c r="AQ148" s="250">
        <v>65204.93</v>
      </c>
      <c r="AR148" s="250"/>
      <c r="AS148" s="250">
        <v>462130.6</v>
      </c>
      <c r="AT148" s="250">
        <v>203383.9</v>
      </c>
      <c r="AU148" s="250">
        <v>79947.399999999994</v>
      </c>
      <c r="AV148" s="250">
        <v>4430.17</v>
      </c>
      <c r="AW148" s="250">
        <v>2956.76</v>
      </c>
      <c r="AX148" s="250">
        <v>225.19</v>
      </c>
      <c r="AY148" s="250">
        <v>136.5</v>
      </c>
      <c r="AZ148" s="250">
        <v>822.5</v>
      </c>
      <c r="BA148" s="250">
        <v>349.19900000000001</v>
      </c>
      <c r="BB148" s="385">
        <v>1825.4</v>
      </c>
      <c r="BC148" s="250">
        <v>3016.5</v>
      </c>
      <c r="BD148" s="250">
        <v>455.7</v>
      </c>
      <c r="BE148" s="250">
        <v>5513.42</v>
      </c>
      <c r="BF148" s="250">
        <v>30427.087719298299</v>
      </c>
      <c r="BG148" s="250">
        <v>8342.5197304453995</v>
      </c>
      <c r="BH148" s="250">
        <v>5136.8100000000004</v>
      </c>
      <c r="BI148" s="250">
        <v>2601238.1</v>
      </c>
      <c r="BJ148" s="250">
        <v>542</v>
      </c>
      <c r="BK148" s="250">
        <v>20321.400000000001</v>
      </c>
      <c r="BL148" s="250">
        <v>3278986</v>
      </c>
      <c r="BM148" s="250">
        <v>104867</v>
      </c>
      <c r="BN148" s="250">
        <v>20318.13</v>
      </c>
      <c r="BO148" s="250">
        <v>3106705</v>
      </c>
      <c r="BP148" s="250">
        <v>158718</v>
      </c>
      <c r="BQ148" s="250">
        <v>18164.3</v>
      </c>
      <c r="BR148" s="250">
        <v>8709.14</v>
      </c>
      <c r="BS148" s="250">
        <v>5924.87</v>
      </c>
      <c r="BT148" s="250">
        <v>1112025</v>
      </c>
      <c r="BU148" s="250">
        <v>631988</v>
      </c>
      <c r="BV148" s="250">
        <v>732486</v>
      </c>
      <c r="BW148" s="250">
        <v>462652</v>
      </c>
      <c r="BX148" s="1324">
        <v>0</v>
      </c>
    </row>
    <row r="149" spans="1:76">
      <c r="A149" s="160">
        <v>45065</v>
      </c>
      <c r="B149" s="250">
        <v>1067.7529999999999</v>
      </c>
      <c r="C149" s="250">
        <v>589.65700000000004</v>
      </c>
      <c r="D149" s="250">
        <v>6860.6</v>
      </c>
      <c r="E149" s="1315">
        <v>0</v>
      </c>
      <c r="F149" s="250">
        <v>18295.900000000001</v>
      </c>
      <c r="G149" s="250">
        <v>5801.6</v>
      </c>
      <c r="H149" s="250">
        <v>5966.84</v>
      </c>
      <c r="I149" s="250">
        <v>2997.58</v>
      </c>
      <c r="J149" s="250">
        <v>206099</v>
      </c>
      <c r="K149" s="250">
        <v>14959.2</v>
      </c>
      <c r="L149" s="250">
        <v>7011</v>
      </c>
      <c r="M149" s="422">
        <v>46196</v>
      </c>
      <c r="N149" s="422">
        <v>36751.300000000003</v>
      </c>
      <c r="O149" s="250">
        <v>137925.37</v>
      </c>
      <c r="P149" s="250">
        <v>114401.96</v>
      </c>
      <c r="Q149" s="250">
        <v>140220.98000000001</v>
      </c>
      <c r="R149" s="250">
        <v>96204.33</v>
      </c>
      <c r="S149" s="250">
        <v>14051.63</v>
      </c>
      <c r="T149" s="250">
        <v>10671.64</v>
      </c>
      <c r="U149" s="250">
        <v>39219.330999999998</v>
      </c>
      <c r="V149" s="250">
        <v>20250.813999999998</v>
      </c>
      <c r="W149" s="250">
        <v>211603.4</v>
      </c>
      <c r="X149" s="1014">
        <v>345.9</v>
      </c>
      <c r="Y149" s="1014">
        <v>50716</v>
      </c>
      <c r="Z149" s="250">
        <v>588713.32999999996</v>
      </c>
      <c r="AA149" s="250">
        <v>299992.31</v>
      </c>
      <c r="AB149" s="250">
        <v>211623.3</v>
      </c>
      <c r="AC149" s="1014">
        <v>1112.4000000000001</v>
      </c>
      <c r="AD149" s="1081">
        <v>942</v>
      </c>
      <c r="AE149" s="250">
        <v>35582.15</v>
      </c>
      <c r="AF149" s="250">
        <v>25365.95</v>
      </c>
      <c r="AG149" s="422">
        <v>82574.320000000007</v>
      </c>
      <c r="AH149" s="250">
        <v>63836.57</v>
      </c>
      <c r="AI149" s="250">
        <v>66504.789999999994</v>
      </c>
      <c r="AJ149" s="250">
        <v>54192.49</v>
      </c>
      <c r="AK149" s="250">
        <v>59674.6</v>
      </c>
      <c r="AL149" s="250">
        <v>23463.9</v>
      </c>
      <c r="AM149" s="250">
        <v>16.8</v>
      </c>
      <c r="AN149" s="250">
        <v>18</v>
      </c>
      <c r="AO149" s="250">
        <v>495005.3</v>
      </c>
      <c r="AP149" s="250">
        <v>228377.9</v>
      </c>
      <c r="AQ149" s="422">
        <v>65209.877999999997</v>
      </c>
      <c r="AR149" s="1014"/>
      <c r="AS149" s="250">
        <v>462276.109</v>
      </c>
      <c r="AT149" s="250">
        <v>203447.05900000001</v>
      </c>
      <c r="AU149" s="422">
        <v>79971.399999999994</v>
      </c>
      <c r="AV149" s="250">
        <v>4432.2299999999996</v>
      </c>
      <c r="AW149" s="250">
        <v>2958.23</v>
      </c>
      <c r="AX149" s="250">
        <v>225.21</v>
      </c>
      <c r="AY149" s="250">
        <v>136.51</v>
      </c>
      <c r="AZ149" s="250">
        <v>822.5</v>
      </c>
      <c r="BA149" s="250">
        <v>349.19900000000001</v>
      </c>
      <c r="BB149" s="385">
        <v>1825.4</v>
      </c>
      <c r="BC149" s="250">
        <v>3016.7</v>
      </c>
      <c r="BD149" s="250">
        <v>455.7</v>
      </c>
      <c r="BE149" s="250">
        <v>5610.01</v>
      </c>
      <c r="BF149" s="250">
        <v>29876.659649122801</v>
      </c>
      <c r="BG149" s="250">
        <v>2487.85129502058</v>
      </c>
      <c r="BH149" s="250">
        <v>4131.09</v>
      </c>
      <c r="BI149" s="250">
        <v>2603494.1</v>
      </c>
      <c r="BJ149" s="250">
        <v>543</v>
      </c>
      <c r="BK149" s="250">
        <v>20345.400000000001</v>
      </c>
      <c r="BL149" s="250">
        <v>3278986</v>
      </c>
      <c r="BM149" s="250">
        <v>104867</v>
      </c>
      <c r="BN149" s="250">
        <v>20318.13</v>
      </c>
      <c r="BO149" s="250">
        <v>3111792</v>
      </c>
      <c r="BP149" s="250">
        <v>159356</v>
      </c>
      <c r="BQ149" s="250">
        <v>18188.3</v>
      </c>
      <c r="BR149" s="250">
        <v>8715.77</v>
      </c>
      <c r="BS149" s="250">
        <v>5929.56</v>
      </c>
      <c r="BT149" s="250">
        <v>1112422</v>
      </c>
      <c r="BU149" s="250">
        <v>632231</v>
      </c>
      <c r="BV149" s="250">
        <v>733586</v>
      </c>
      <c r="BW149" s="250">
        <v>463338</v>
      </c>
      <c r="BX149" s="1324">
        <v>0</v>
      </c>
    </row>
    <row r="150" spans="1:76">
      <c r="A150" s="160">
        <v>45066</v>
      </c>
      <c r="B150" s="250">
        <v>1067.7529999999999</v>
      </c>
      <c r="C150" s="250">
        <v>589.65700000000004</v>
      </c>
      <c r="D150" s="250">
        <v>6860.6</v>
      </c>
      <c r="E150" s="1315">
        <v>0</v>
      </c>
      <c r="F150" s="250">
        <v>18306.400000000001</v>
      </c>
      <c r="G150" s="250">
        <v>5804.3</v>
      </c>
      <c r="H150" s="250">
        <v>6140.8</v>
      </c>
      <c r="I150" s="250">
        <v>3082.1</v>
      </c>
      <c r="J150" s="250">
        <v>206123</v>
      </c>
      <c r="K150" s="250">
        <v>14959.2</v>
      </c>
      <c r="L150" s="250">
        <v>7011</v>
      </c>
      <c r="M150" s="422">
        <v>46196</v>
      </c>
      <c r="N150" s="422">
        <v>36751.300000000003</v>
      </c>
      <c r="O150" s="250">
        <v>137939.91</v>
      </c>
      <c r="P150" s="250">
        <v>114413.6</v>
      </c>
      <c r="Q150" s="250">
        <v>140235.67000000001</v>
      </c>
      <c r="R150" s="250">
        <v>96214.58</v>
      </c>
      <c r="S150" s="250">
        <v>14051.63</v>
      </c>
      <c r="T150" s="250">
        <v>10671.64</v>
      </c>
      <c r="U150" s="250">
        <v>39366.972999999998</v>
      </c>
      <c r="V150" s="250">
        <v>20330</v>
      </c>
      <c r="W150" s="250">
        <v>211627.4</v>
      </c>
      <c r="X150" s="1014">
        <v>345.9</v>
      </c>
      <c r="Y150" s="1014">
        <v>50716</v>
      </c>
      <c r="Z150" s="250">
        <v>589021</v>
      </c>
      <c r="AA150" s="250">
        <v>300141.09999999998</v>
      </c>
      <c r="AB150" s="250">
        <v>211647.3</v>
      </c>
      <c r="AC150" s="1014">
        <v>1112.4000000000001</v>
      </c>
      <c r="AD150" s="1081">
        <v>942</v>
      </c>
      <c r="AE150" s="250">
        <v>35584.61</v>
      </c>
      <c r="AF150" s="250">
        <v>25367.67</v>
      </c>
      <c r="AG150" s="422">
        <v>82584.69</v>
      </c>
      <c r="AH150" s="250">
        <v>63844.53</v>
      </c>
      <c r="AI150" s="250">
        <v>66539.48</v>
      </c>
      <c r="AJ150" s="250">
        <v>54222.080000000002</v>
      </c>
      <c r="AK150" s="250">
        <v>59687.9</v>
      </c>
      <c r="AL150" s="250">
        <v>23469.1</v>
      </c>
      <c r="AM150" s="250">
        <v>16.8</v>
      </c>
      <c r="AN150" s="250">
        <v>18</v>
      </c>
      <c r="AO150" s="250">
        <v>495168.2</v>
      </c>
      <c r="AP150" s="250">
        <v>228451.6</v>
      </c>
      <c r="AQ150" s="250">
        <v>65214.892</v>
      </c>
      <c r="AR150" s="1014"/>
      <c r="AS150" s="250">
        <v>462426.5</v>
      </c>
      <c r="AT150" s="250">
        <v>203512.2</v>
      </c>
      <c r="AU150" s="250">
        <v>79995.399999999994</v>
      </c>
      <c r="AV150" s="250">
        <v>4432.2299999999996</v>
      </c>
      <c r="AW150" s="250">
        <v>2958.24</v>
      </c>
      <c r="AX150" s="250">
        <v>225.21</v>
      </c>
      <c r="AY150" s="250">
        <v>136.51</v>
      </c>
      <c r="AZ150" s="250">
        <v>822.5</v>
      </c>
      <c r="BA150" s="250">
        <v>349.19900000000001</v>
      </c>
      <c r="BB150" s="385">
        <v>1825.4</v>
      </c>
      <c r="BC150" s="250">
        <v>3017.8</v>
      </c>
      <c r="BD150" s="250">
        <v>455.7</v>
      </c>
      <c r="BE150" s="250">
        <v>6318.21</v>
      </c>
      <c r="BF150" s="250">
        <v>28646.8421052632</v>
      </c>
      <c r="BG150" s="250">
        <v>2562.15979850638</v>
      </c>
      <c r="BH150" s="250">
        <v>4105.3900000000003</v>
      </c>
      <c r="BI150" s="250">
        <v>2605562</v>
      </c>
      <c r="BJ150" s="250">
        <v>544</v>
      </c>
      <c r="BK150" s="250">
        <v>20367.400000000001</v>
      </c>
      <c r="BL150" s="250">
        <v>3280126</v>
      </c>
      <c r="BM150" s="250">
        <v>104868</v>
      </c>
      <c r="BN150" s="250">
        <v>20327.5</v>
      </c>
      <c r="BO150" s="250">
        <v>3114046</v>
      </c>
      <c r="BP150" s="250">
        <v>159517</v>
      </c>
      <c r="BQ150" s="250">
        <v>18203.53</v>
      </c>
      <c r="BR150" s="250">
        <v>8722.33</v>
      </c>
      <c r="BS150" s="250">
        <v>5934.18</v>
      </c>
      <c r="BT150" s="250">
        <v>1112817</v>
      </c>
      <c r="BU150" s="250">
        <v>632472</v>
      </c>
      <c r="BV150" s="250">
        <v>734066</v>
      </c>
      <c r="BW150" s="250">
        <v>463612</v>
      </c>
      <c r="BX150" s="1324">
        <v>0</v>
      </c>
    </row>
    <row r="151" spans="1:76">
      <c r="A151" s="160">
        <v>45067</v>
      </c>
      <c r="B151" s="250">
        <v>1067.7529999999999</v>
      </c>
      <c r="C151" s="250">
        <v>589.65700000000004</v>
      </c>
      <c r="D151" s="250">
        <v>6860.6</v>
      </c>
      <c r="E151" s="1315">
        <v>0</v>
      </c>
      <c r="F151" s="250">
        <v>18318.099999999999</v>
      </c>
      <c r="G151" s="250">
        <v>5804.9</v>
      </c>
      <c r="H151" s="250">
        <v>6318.4</v>
      </c>
      <c r="I151" s="250">
        <v>3167.6</v>
      </c>
      <c r="J151" s="250">
        <v>206147</v>
      </c>
      <c r="K151" s="250">
        <v>14959.2</v>
      </c>
      <c r="L151" s="250">
        <v>7011</v>
      </c>
      <c r="M151" s="422">
        <v>46196</v>
      </c>
      <c r="N151" s="422">
        <v>36751.300000000003</v>
      </c>
      <c r="O151" s="250">
        <v>137953.96</v>
      </c>
      <c r="P151" s="250">
        <v>114424.89</v>
      </c>
      <c r="Q151" s="250">
        <v>140250.01999999999</v>
      </c>
      <c r="R151" s="250">
        <v>96224.66</v>
      </c>
      <c r="S151" s="250">
        <v>14051.63</v>
      </c>
      <c r="T151" s="250">
        <v>10671.64</v>
      </c>
      <c r="U151" s="250">
        <v>39514.595999999998</v>
      </c>
      <c r="V151" s="250">
        <v>20400</v>
      </c>
      <c r="W151" s="250">
        <v>211651.4</v>
      </c>
      <c r="X151" s="1014">
        <v>345.9</v>
      </c>
      <c r="Y151" s="1014">
        <v>50716</v>
      </c>
      <c r="Z151" s="250">
        <v>589324.25</v>
      </c>
      <c r="AA151" s="250">
        <v>300291.88</v>
      </c>
      <c r="AB151" s="250">
        <v>211671.3</v>
      </c>
      <c r="AC151" s="1014">
        <v>1112.4000000000001</v>
      </c>
      <c r="AD151" s="1081">
        <v>942</v>
      </c>
      <c r="AE151" s="250">
        <v>35587.050000000003</v>
      </c>
      <c r="AF151" s="250">
        <v>25369.37</v>
      </c>
      <c r="AG151" s="422">
        <v>82593.34</v>
      </c>
      <c r="AH151" s="250">
        <v>63851.14</v>
      </c>
      <c r="AI151" s="250">
        <v>66574.149999999994</v>
      </c>
      <c r="AJ151" s="250">
        <v>54251.41</v>
      </c>
      <c r="AK151" s="250">
        <v>59698.9</v>
      </c>
      <c r="AL151" s="250">
        <v>23473.3</v>
      </c>
      <c r="AM151" s="250">
        <v>16.8</v>
      </c>
      <c r="AN151" s="250">
        <v>18</v>
      </c>
      <c r="AO151" s="250">
        <v>495330.1</v>
      </c>
      <c r="AP151" s="250">
        <v>228524.6</v>
      </c>
      <c r="AQ151" s="250">
        <v>65219.576000000001</v>
      </c>
      <c r="AR151" s="1014"/>
      <c r="AS151" s="250">
        <v>462573.6</v>
      </c>
      <c r="AT151" s="250">
        <v>203576.1</v>
      </c>
      <c r="AU151" s="250">
        <v>80019.399999999994</v>
      </c>
      <c r="AV151" s="250">
        <v>4432.2299999999996</v>
      </c>
      <c r="AW151" s="250">
        <v>2958.24</v>
      </c>
      <c r="AX151" s="250">
        <v>225.21</v>
      </c>
      <c r="AY151" s="250">
        <v>136.51</v>
      </c>
      <c r="AZ151" s="250">
        <v>822.5</v>
      </c>
      <c r="BA151" s="250">
        <v>349.19900000000001</v>
      </c>
      <c r="BB151" s="385">
        <v>1825.4</v>
      </c>
      <c r="BC151" s="250">
        <v>3020.1</v>
      </c>
      <c r="BD151" s="250">
        <v>455.7</v>
      </c>
      <c r="BE151" s="250">
        <v>6545.74</v>
      </c>
      <c r="BF151" s="250">
        <v>25277.633333333299</v>
      </c>
      <c r="BG151" s="250">
        <v>1369.3191721857199</v>
      </c>
      <c r="BH151" s="250">
        <v>5032.6000000000004</v>
      </c>
      <c r="BI151" s="250">
        <v>2608226</v>
      </c>
      <c r="BJ151" s="250">
        <v>545</v>
      </c>
      <c r="BK151" s="250">
        <v>20385</v>
      </c>
      <c r="BL151" s="250">
        <v>3284537</v>
      </c>
      <c r="BM151" s="250">
        <v>105248</v>
      </c>
      <c r="BN151" s="250">
        <v>20351.5</v>
      </c>
      <c r="BO151" s="250">
        <v>3114191</v>
      </c>
      <c r="BP151" s="250">
        <v>159517</v>
      </c>
      <c r="BQ151" s="250">
        <v>18204.5</v>
      </c>
      <c r="BR151" s="250">
        <v>8728.7199999999993</v>
      </c>
      <c r="BS151" s="250">
        <v>5938.61</v>
      </c>
      <c r="BT151" s="250">
        <v>1113249</v>
      </c>
      <c r="BU151" s="250">
        <v>632726</v>
      </c>
      <c r="BV151" s="250">
        <v>734706</v>
      </c>
      <c r="BW151" s="250">
        <v>464015</v>
      </c>
      <c r="BX151" s="1324">
        <v>0</v>
      </c>
    </row>
    <row r="152" spans="1:76">
      <c r="A152" s="160">
        <v>45068</v>
      </c>
      <c r="B152" s="250">
        <v>1067.998</v>
      </c>
      <c r="C152" s="250">
        <v>589.774</v>
      </c>
      <c r="D152" s="250">
        <v>6861.1</v>
      </c>
      <c r="E152" s="1315">
        <v>0.2</v>
      </c>
      <c r="F152" s="250">
        <v>18330.3</v>
      </c>
      <c r="G152" s="250">
        <v>5807.1</v>
      </c>
      <c r="H152" s="250">
        <v>6496.4</v>
      </c>
      <c r="I152" s="250">
        <v>3252.8</v>
      </c>
      <c r="J152" s="250">
        <v>206171</v>
      </c>
      <c r="K152" s="250">
        <v>14959.2</v>
      </c>
      <c r="L152" s="250">
        <v>7011</v>
      </c>
      <c r="M152" s="422">
        <v>46196</v>
      </c>
      <c r="N152" s="422">
        <v>36751.300000000003</v>
      </c>
      <c r="O152" s="250">
        <v>137967.95000000001</v>
      </c>
      <c r="P152" s="250">
        <v>114435.96</v>
      </c>
      <c r="Q152" s="250">
        <v>140263.89000000001</v>
      </c>
      <c r="R152" s="250">
        <v>96234.41</v>
      </c>
      <c r="S152" s="250">
        <v>14051.63</v>
      </c>
      <c r="T152" s="250">
        <v>10671.64</v>
      </c>
      <c r="U152" s="250">
        <v>39664.79</v>
      </c>
      <c r="V152" s="250">
        <v>20477</v>
      </c>
      <c r="W152" s="250">
        <v>211675.4</v>
      </c>
      <c r="X152" s="1014">
        <v>345.9</v>
      </c>
      <c r="Y152" s="1014">
        <v>50716</v>
      </c>
      <c r="Z152" s="250">
        <v>589631.06000000006</v>
      </c>
      <c r="AA152" s="250">
        <v>300441.63</v>
      </c>
      <c r="AB152" s="250">
        <v>211695.3</v>
      </c>
      <c r="AC152" s="1014">
        <v>1112.4000000000001</v>
      </c>
      <c r="AD152" s="1081">
        <v>942</v>
      </c>
      <c r="AE152" s="250">
        <v>35589.440000000002</v>
      </c>
      <c r="AF152" s="250">
        <v>25371.05</v>
      </c>
      <c r="AG152" s="422">
        <v>82602.009999999995</v>
      </c>
      <c r="AH152" s="250">
        <v>63857.8</v>
      </c>
      <c r="AI152" s="250">
        <v>66606.539999999994</v>
      </c>
      <c r="AJ152" s="250">
        <v>54278.9</v>
      </c>
      <c r="AK152" s="250">
        <v>59713</v>
      </c>
      <c r="AL152" s="250">
        <v>23478.7</v>
      </c>
      <c r="AM152" s="250">
        <v>16.8</v>
      </c>
      <c r="AN152" s="250">
        <v>18</v>
      </c>
      <c r="AO152" s="250">
        <v>495488.3</v>
      </c>
      <c r="AP152" s="250">
        <v>228597.2</v>
      </c>
      <c r="AQ152" s="250">
        <v>65224.247000000003</v>
      </c>
      <c r="AR152" s="1014"/>
      <c r="AS152" s="250">
        <v>462720.8</v>
      </c>
      <c r="AT152" s="250">
        <v>203639.9</v>
      </c>
      <c r="AU152" s="250">
        <v>80043.399999999994</v>
      </c>
      <c r="AV152" s="250">
        <v>4432.4799999999996</v>
      </c>
      <c r="AW152" s="250">
        <v>2958.41</v>
      </c>
      <c r="AX152" s="250">
        <v>225.21</v>
      </c>
      <c r="AY152" s="250">
        <v>136.51</v>
      </c>
      <c r="AZ152" s="250">
        <v>822.90899999999999</v>
      </c>
      <c r="BA152" s="250">
        <v>349.35500000000002</v>
      </c>
      <c r="BB152" s="385">
        <v>1825.9</v>
      </c>
      <c r="BC152" s="250">
        <v>3022.3</v>
      </c>
      <c r="BD152" s="250">
        <v>455.7</v>
      </c>
      <c r="BE152" s="250">
        <v>6389.46</v>
      </c>
      <c r="BF152" s="250">
        <v>26867.2192982456</v>
      </c>
      <c r="BG152" s="250">
        <v>4026.9658815862999</v>
      </c>
      <c r="BH152" s="250">
        <v>4293.07</v>
      </c>
      <c r="BI152" s="250">
        <v>2610482</v>
      </c>
      <c r="BJ152" s="250">
        <v>546</v>
      </c>
      <c r="BK152" s="250">
        <v>20409</v>
      </c>
      <c r="BL152" s="250">
        <v>3288841</v>
      </c>
      <c r="BM152" s="250">
        <v>106131</v>
      </c>
      <c r="BN152" s="250">
        <v>20375.5</v>
      </c>
      <c r="BO152" s="250">
        <v>3115237</v>
      </c>
      <c r="BP152" s="250">
        <v>159517</v>
      </c>
      <c r="BQ152" s="250">
        <v>18215.43</v>
      </c>
      <c r="BR152" s="250">
        <v>8734.82</v>
      </c>
      <c r="BS152" s="250">
        <v>5942.84</v>
      </c>
      <c r="BT152" s="250">
        <v>1114241</v>
      </c>
      <c r="BU152" s="250">
        <v>633270</v>
      </c>
      <c r="BV152" s="250">
        <v>735142</v>
      </c>
      <c r="BW152" s="250">
        <v>464284</v>
      </c>
      <c r="BX152" s="1324">
        <v>0.4</v>
      </c>
    </row>
    <row r="153" spans="1:76">
      <c r="A153" s="160">
        <v>45069</v>
      </c>
      <c r="B153" s="250">
        <v>1067.998</v>
      </c>
      <c r="C153" s="250">
        <v>589.774</v>
      </c>
      <c r="D153" s="250">
        <v>6861.1</v>
      </c>
      <c r="E153" s="1315">
        <v>0</v>
      </c>
      <c r="F153" s="250">
        <v>18341.7</v>
      </c>
      <c r="G153" s="250">
        <v>5807.7</v>
      </c>
      <c r="H153" s="250">
        <v>6599.5</v>
      </c>
      <c r="I153" s="250">
        <v>3303.9</v>
      </c>
      <c r="J153" s="250">
        <v>206186</v>
      </c>
      <c r="K153" s="250">
        <v>14959.2</v>
      </c>
      <c r="L153" s="250">
        <v>7011</v>
      </c>
      <c r="M153" s="422">
        <v>46196</v>
      </c>
      <c r="N153" s="422">
        <v>36751.300000000003</v>
      </c>
      <c r="O153" s="250">
        <v>137980</v>
      </c>
      <c r="P153" s="250">
        <v>114446</v>
      </c>
      <c r="Q153" s="250">
        <v>140279</v>
      </c>
      <c r="R153" s="250">
        <v>96244.6</v>
      </c>
      <c r="S153" s="250">
        <v>14051.63</v>
      </c>
      <c r="T153" s="250">
        <v>10671.64</v>
      </c>
      <c r="U153" s="250">
        <v>39792</v>
      </c>
      <c r="V153" s="250">
        <v>20539</v>
      </c>
      <c r="W153" s="250">
        <v>211699.4</v>
      </c>
      <c r="X153" s="1014">
        <v>345.9</v>
      </c>
      <c r="Y153" s="1014">
        <v>50716</v>
      </c>
      <c r="Z153" s="250">
        <v>589878</v>
      </c>
      <c r="AA153" s="250">
        <v>300566</v>
      </c>
      <c r="AB153" s="250">
        <v>211719.3</v>
      </c>
      <c r="AC153" s="1014">
        <v>1112.4000000000001</v>
      </c>
      <c r="AD153" s="1081">
        <v>942</v>
      </c>
      <c r="AE153" s="250">
        <v>35591.9</v>
      </c>
      <c r="AF153" s="250">
        <v>25372.7</v>
      </c>
      <c r="AG153" s="422">
        <v>82610</v>
      </c>
      <c r="AH153" s="250">
        <v>63863.9</v>
      </c>
      <c r="AI153" s="250">
        <v>66639.3</v>
      </c>
      <c r="AJ153" s="250">
        <v>54306.6</v>
      </c>
      <c r="AK153" s="250">
        <v>59722.1</v>
      </c>
      <c r="AL153" s="250">
        <v>23482.2</v>
      </c>
      <c r="AM153" s="250">
        <v>16.8</v>
      </c>
      <c r="AN153" s="250">
        <v>18</v>
      </c>
      <c r="AO153" s="250">
        <v>495651</v>
      </c>
      <c r="AP153" s="250">
        <v>228672</v>
      </c>
      <c r="AQ153" s="250">
        <v>65230</v>
      </c>
      <c r="AR153" s="1014"/>
      <c r="AS153" s="250">
        <v>462864</v>
      </c>
      <c r="AT153" s="250">
        <v>203702</v>
      </c>
      <c r="AU153" s="250">
        <v>80067.399999999994</v>
      </c>
      <c r="AV153" s="250">
        <v>4435.7</v>
      </c>
      <c r="AW153" s="250">
        <v>2960.6</v>
      </c>
      <c r="AX153" s="250">
        <v>225.3</v>
      </c>
      <c r="AY153" s="250">
        <v>136.5</v>
      </c>
      <c r="AZ153" s="250">
        <v>822.90899999999999</v>
      </c>
      <c r="BA153" s="250">
        <v>349.35500000000002</v>
      </c>
      <c r="BB153" s="385">
        <v>1825.9</v>
      </c>
      <c r="BC153" s="250">
        <v>3023.7</v>
      </c>
      <c r="BD153" s="250">
        <v>455.7</v>
      </c>
      <c r="BE153" s="250">
        <v>5483.98</v>
      </c>
      <c r="BF153" s="250">
        <v>29353.9385964912</v>
      </c>
      <c r="BG153" s="250">
        <v>16392.339300860302</v>
      </c>
      <c r="BH153" s="250">
        <v>3518.36</v>
      </c>
      <c r="BI153" s="250">
        <v>2612900</v>
      </c>
      <c r="BJ153" s="250">
        <v>547</v>
      </c>
      <c r="BK153" s="250">
        <v>20433</v>
      </c>
      <c r="BL153" s="250">
        <v>3293296</v>
      </c>
      <c r="BM153" s="250">
        <v>106872</v>
      </c>
      <c r="BN153" s="250">
        <v>20399.5</v>
      </c>
      <c r="BO153" s="250">
        <v>3115237</v>
      </c>
      <c r="BP153" s="250">
        <v>159517</v>
      </c>
      <c r="BQ153" s="250">
        <v>18215.43</v>
      </c>
      <c r="BR153" s="250">
        <v>8741.2999999999993</v>
      </c>
      <c r="BS153" s="250">
        <v>5947.4</v>
      </c>
      <c r="BT153" s="250">
        <v>1115447</v>
      </c>
      <c r="BU153" s="250">
        <v>633944</v>
      </c>
      <c r="BV153" s="250">
        <v>735512</v>
      </c>
      <c r="BW153" s="250">
        <v>464514</v>
      </c>
      <c r="BX153" s="1324">
        <v>0</v>
      </c>
    </row>
    <row r="154" spans="1:76">
      <c r="A154" s="160">
        <v>45070</v>
      </c>
      <c r="B154" s="250">
        <v>1067.998</v>
      </c>
      <c r="C154" s="250">
        <v>589.774</v>
      </c>
      <c r="D154" s="250">
        <v>6861.1</v>
      </c>
      <c r="E154" s="1315">
        <v>0</v>
      </c>
      <c r="F154" s="250">
        <v>18352.8</v>
      </c>
      <c r="G154" s="250">
        <v>5808.2</v>
      </c>
      <c r="H154" s="250">
        <v>6599.5</v>
      </c>
      <c r="I154" s="250">
        <v>3303.9</v>
      </c>
      <c r="J154" s="250">
        <v>206186</v>
      </c>
      <c r="K154" s="250">
        <v>14959.2</v>
      </c>
      <c r="L154" s="250">
        <v>7011</v>
      </c>
      <c r="M154" s="422">
        <v>46196</v>
      </c>
      <c r="N154" s="422">
        <v>36751.300000000003</v>
      </c>
      <c r="O154" s="250">
        <v>137992</v>
      </c>
      <c r="P154" s="250">
        <v>114455</v>
      </c>
      <c r="Q154" s="250">
        <v>140294</v>
      </c>
      <c r="R154" s="250">
        <v>96255.1</v>
      </c>
      <c r="S154" s="250">
        <v>14051.63</v>
      </c>
      <c r="T154" s="250">
        <v>10671.64</v>
      </c>
      <c r="U154" s="250">
        <v>39876</v>
      </c>
      <c r="V154" s="250">
        <v>20583</v>
      </c>
      <c r="W154" s="250">
        <v>211723.4</v>
      </c>
      <c r="X154" s="1014">
        <v>345.9</v>
      </c>
      <c r="Y154" s="1014">
        <v>50716</v>
      </c>
      <c r="Z154" s="250">
        <v>590044</v>
      </c>
      <c r="AA154" s="250">
        <v>300651</v>
      </c>
      <c r="AB154" s="250">
        <v>211743.3</v>
      </c>
      <c r="AC154" s="1014">
        <v>1112.4000000000001</v>
      </c>
      <c r="AD154" s="1081">
        <v>942</v>
      </c>
      <c r="AE154" s="250">
        <v>35594.400000000001</v>
      </c>
      <c r="AF154" s="250">
        <v>25374.5</v>
      </c>
      <c r="AG154" s="422">
        <v>82615.3</v>
      </c>
      <c r="AH154" s="250">
        <v>63867.9</v>
      </c>
      <c r="AI154" s="250">
        <v>66674.100000000006</v>
      </c>
      <c r="AJ154" s="250">
        <v>54336.4</v>
      </c>
      <c r="AK154" s="250">
        <v>59727.3</v>
      </c>
      <c r="AL154" s="250">
        <v>23484.3</v>
      </c>
      <c r="AM154" s="250">
        <v>16.8</v>
      </c>
      <c r="AN154" s="250">
        <v>18</v>
      </c>
      <c r="AO154" s="250">
        <v>495801</v>
      </c>
      <c r="AP154" s="250">
        <v>228742</v>
      </c>
      <c r="AQ154" s="250">
        <v>65235</v>
      </c>
      <c r="AR154" s="1014"/>
      <c r="AS154" s="250">
        <v>462998</v>
      </c>
      <c r="AT154" s="250">
        <v>203761</v>
      </c>
      <c r="AU154" s="250">
        <v>80091.399999999994</v>
      </c>
      <c r="AV154" s="250">
        <v>4438.8</v>
      </c>
      <c r="AW154" s="250">
        <v>2962.8</v>
      </c>
      <c r="AX154" s="250">
        <v>225.3</v>
      </c>
      <c r="AY154" s="250">
        <v>136.5</v>
      </c>
      <c r="AZ154" s="250">
        <v>822.90899999999999</v>
      </c>
      <c r="BA154" s="250">
        <v>349.35500000000002</v>
      </c>
      <c r="BB154" s="385">
        <v>1825.9</v>
      </c>
      <c r="BC154" s="250">
        <v>3025.5</v>
      </c>
      <c r="BD154" s="250">
        <v>455.7</v>
      </c>
      <c r="BE154" s="250">
        <v>5710.47</v>
      </c>
      <c r="BF154" s="250">
        <v>26294.419298245601</v>
      </c>
      <c r="BG154" s="250">
        <v>13235.0252605852</v>
      </c>
      <c r="BH154" s="250">
        <v>4110.7299999999996</v>
      </c>
      <c r="BI154" s="250">
        <v>2615000</v>
      </c>
      <c r="BJ154" s="250">
        <v>548</v>
      </c>
      <c r="BK154" s="250">
        <v>20457</v>
      </c>
      <c r="BL154" s="250">
        <v>3297313</v>
      </c>
      <c r="BM154" s="250">
        <v>107052</v>
      </c>
      <c r="BN154" s="250">
        <v>20423.5</v>
      </c>
      <c r="BO154" s="250">
        <v>3115237</v>
      </c>
      <c r="BP154" s="250">
        <v>159517</v>
      </c>
      <c r="BQ154" s="250">
        <v>18215.43</v>
      </c>
      <c r="BR154" s="250">
        <v>8747.6</v>
      </c>
      <c r="BS154" s="250">
        <v>5951.8</v>
      </c>
      <c r="BT154" s="250">
        <v>1116678</v>
      </c>
      <c r="BU154" s="250">
        <v>634613</v>
      </c>
      <c r="BV154" s="250">
        <v>736225</v>
      </c>
      <c r="BW154" s="250">
        <v>464922</v>
      </c>
      <c r="BX154" s="1324">
        <v>0</v>
      </c>
    </row>
    <row r="155" spans="1:76">
      <c r="A155" s="160">
        <v>45071</v>
      </c>
      <c r="B155" s="250">
        <v>1067.998</v>
      </c>
      <c r="C155" s="250">
        <v>589.774</v>
      </c>
      <c r="D155" s="250">
        <v>6861.1</v>
      </c>
      <c r="E155" s="1315">
        <v>0</v>
      </c>
      <c r="F155" s="250">
        <v>18363.400000000001</v>
      </c>
      <c r="G155" s="250">
        <v>5808.2</v>
      </c>
      <c r="H155" s="250">
        <v>6599.5</v>
      </c>
      <c r="I155" s="250">
        <v>3303.9</v>
      </c>
      <c r="J155" s="250">
        <v>206186</v>
      </c>
      <c r="K155" s="250">
        <v>14959.2</v>
      </c>
      <c r="L155" s="250">
        <v>7011</v>
      </c>
      <c r="M155" s="422">
        <v>46196</v>
      </c>
      <c r="N155" s="422">
        <v>36751.300000000003</v>
      </c>
      <c r="O155" s="250">
        <v>138003</v>
      </c>
      <c r="P155" s="250">
        <v>114464</v>
      </c>
      <c r="Q155" s="250">
        <v>140309</v>
      </c>
      <c r="R155" s="250">
        <v>96265.5</v>
      </c>
      <c r="S155" s="250">
        <v>14051.63</v>
      </c>
      <c r="T155" s="250">
        <v>10671.64</v>
      </c>
      <c r="U155" s="250">
        <v>39960</v>
      </c>
      <c r="V155" s="250">
        <v>20624</v>
      </c>
      <c r="W155" s="250">
        <v>211747.4</v>
      </c>
      <c r="X155" s="1014">
        <v>345.9</v>
      </c>
      <c r="Y155" s="1014">
        <v>50716</v>
      </c>
      <c r="Z155" s="250">
        <v>590232</v>
      </c>
      <c r="AA155" s="250">
        <v>300748</v>
      </c>
      <c r="AB155" s="250">
        <v>211767.3</v>
      </c>
      <c r="AC155" s="1014">
        <v>1112.4000000000001</v>
      </c>
      <c r="AD155" s="1081">
        <v>942</v>
      </c>
      <c r="AE155" s="250">
        <v>35596.9</v>
      </c>
      <c r="AF155" s="250">
        <v>25376.2</v>
      </c>
      <c r="AG155" s="422">
        <v>82621.600000000006</v>
      </c>
      <c r="AH155" s="250">
        <v>63872.6</v>
      </c>
      <c r="AI155" s="250">
        <v>66710.5</v>
      </c>
      <c r="AJ155" s="250">
        <v>54367.7</v>
      </c>
      <c r="AK155" s="250">
        <v>59736.4</v>
      </c>
      <c r="AL155" s="250">
        <v>23487.9</v>
      </c>
      <c r="AM155" s="250">
        <v>16.8</v>
      </c>
      <c r="AN155" s="250">
        <v>18</v>
      </c>
      <c r="AO155" s="250">
        <v>495966</v>
      </c>
      <c r="AP155" s="250">
        <v>228818</v>
      </c>
      <c r="AQ155" s="422">
        <v>65241</v>
      </c>
      <c r="AR155" s="1014"/>
      <c r="AS155" s="250">
        <v>463145</v>
      </c>
      <c r="AT155" s="250">
        <v>203825</v>
      </c>
      <c r="AU155" s="250">
        <v>80115.399999999994</v>
      </c>
      <c r="AV155" s="250">
        <v>4442.2</v>
      </c>
      <c r="AW155" s="250">
        <v>2965.2</v>
      </c>
      <c r="AX155" s="250">
        <v>225.3</v>
      </c>
      <c r="AY155" s="250">
        <v>136.5</v>
      </c>
      <c r="AZ155" s="250">
        <v>822.90899999999999</v>
      </c>
      <c r="BA155" s="250">
        <v>349.35500000000002</v>
      </c>
      <c r="BB155" s="385">
        <v>1825.9</v>
      </c>
      <c r="BC155" s="250">
        <v>3027.7</v>
      </c>
      <c r="BD155" s="250">
        <v>455.7</v>
      </c>
      <c r="BE155" s="250">
        <v>5217.12</v>
      </c>
      <c r="BF155" s="250">
        <v>29149.498245613999</v>
      </c>
      <c r="BG155" s="1014">
        <v>7335.02262296342</v>
      </c>
      <c r="BH155" s="250">
        <v>4472.88</v>
      </c>
      <c r="BI155" s="250">
        <v>2617000</v>
      </c>
      <c r="BJ155" s="250">
        <v>549</v>
      </c>
      <c r="BK155" s="250">
        <v>20481</v>
      </c>
      <c r="BL155" s="250">
        <v>3301503</v>
      </c>
      <c r="BM155" s="250">
        <v>107169</v>
      </c>
      <c r="BN155" s="250">
        <v>20447.5</v>
      </c>
      <c r="BO155" s="250">
        <v>3115237</v>
      </c>
      <c r="BP155" s="250">
        <v>159517</v>
      </c>
      <c r="BQ155" s="250">
        <v>18215.43</v>
      </c>
      <c r="BR155" s="250">
        <v>8753.9</v>
      </c>
      <c r="BS155" s="250">
        <v>5956.1</v>
      </c>
      <c r="BT155" s="250">
        <v>1117909</v>
      </c>
      <c r="BU155" s="250">
        <v>635285</v>
      </c>
      <c r="BV155" s="250">
        <v>736435</v>
      </c>
      <c r="BW155" s="250">
        <v>465059</v>
      </c>
      <c r="BX155" s="1324">
        <v>0</v>
      </c>
    </row>
    <row r="156" spans="1:76">
      <c r="A156" s="160">
        <v>45072</v>
      </c>
      <c r="B156" s="250">
        <v>1067.998</v>
      </c>
      <c r="C156" s="250">
        <v>589.774</v>
      </c>
      <c r="D156" s="250">
        <v>6861.1</v>
      </c>
      <c r="E156" s="1315">
        <v>0</v>
      </c>
      <c r="F156" s="250">
        <v>18373.900000000001</v>
      </c>
      <c r="G156" s="250">
        <v>5808.3</v>
      </c>
      <c r="H156" s="250">
        <v>6599.5</v>
      </c>
      <c r="I156" s="250">
        <v>3303.9</v>
      </c>
      <c r="J156" s="250">
        <v>206186</v>
      </c>
      <c r="K156" s="250">
        <v>14961.7</v>
      </c>
      <c r="L156" s="250">
        <v>7011.1</v>
      </c>
      <c r="M156" s="422">
        <v>46196</v>
      </c>
      <c r="N156" s="422">
        <v>36751.300000000003</v>
      </c>
      <c r="O156" s="250">
        <v>138015</v>
      </c>
      <c r="P156" s="250">
        <v>114472</v>
      </c>
      <c r="Q156" s="250">
        <v>140324</v>
      </c>
      <c r="R156" s="250">
        <v>96275.6</v>
      </c>
      <c r="S156" s="250">
        <v>14051.63</v>
      </c>
      <c r="T156" s="250">
        <v>10671.64</v>
      </c>
      <c r="U156" s="250">
        <v>40044</v>
      </c>
      <c r="V156" s="250">
        <v>20668</v>
      </c>
      <c r="W156" s="250">
        <v>211771.4</v>
      </c>
      <c r="X156" s="1014">
        <v>345.9</v>
      </c>
      <c r="Y156" s="1014">
        <v>50716</v>
      </c>
      <c r="Z156" s="250">
        <v>590426</v>
      </c>
      <c r="AA156" s="250">
        <v>300842</v>
      </c>
      <c r="AB156" s="250">
        <v>211791.3</v>
      </c>
      <c r="AC156" s="1014">
        <v>1112.4000000000001</v>
      </c>
      <c r="AD156" s="1081">
        <v>942</v>
      </c>
      <c r="AE156" s="250">
        <v>35599.300000000003</v>
      </c>
      <c r="AF156" s="250">
        <v>25377.9</v>
      </c>
      <c r="AG156" s="250">
        <v>82629.3</v>
      </c>
      <c r="AH156" s="250">
        <v>63878.5</v>
      </c>
      <c r="AI156" s="250">
        <v>66744.5</v>
      </c>
      <c r="AJ156" s="250">
        <v>54396.5</v>
      </c>
      <c r="AK156" s="250">
        <v>59750.2</v>
      </c>
      <c r="AL156" s="250">
        <v>23492.9</v>
      </c>
      <c r="AM156" s="250">
        <v>16.8</v>
      </c>
      <c r="AN156" s="250">
        <v>18</v>
      </c>
      <c r="AO156" s="250">
        <v>496136</v>
      </c>
      <c r="AP156" s="250">
        <v>228896</v>
      </c>
      <c r="AQ156" s="250">
        <v>65246</v>
      </c>
      <c r="AR156" s="250"/>
      <c r="AS156" s="250">
        <v>463298</v>
      </c>
      <c r="AT156" s="250">
        <v>203891</v>
      </c>
      <c r="AU156" s="250">
        <v>80139.399999999994</v>
      </c>
      <c r="AV156" s="250">
        <v>4445.6000000000004</v>
      </c>
      <c r="AW156" s="250">
        <v>2967.7</v>
      </c>
      <c r="AX156" s="250">
        <v>225.3</v>
      </c>
      <c r="AY156" s="250">
        <v>136.5</v>
      </c>
      <c r="AZ156" s="250">
        <v>822.90899999999999</v>
      </c>
      <c r="BA156" s="250">
        <v>349.35500000000002</v>
      </c>
      <c r="BB156" s="385">
        <v>1825.9</v>
      </c>
      <c r="BC156" s="250">
        <v>3030</v>
      </c>
      <c r="BD156" s="250">
        <v>455.7</v>
      </c>
      <c r="BE156" s="250">
        <v>5650.24</v>
      </c>
      <c r="BF156" s="250">
        <v>30304.161403508799</v>
      </c>
      <c r="BG156" s="250">
        <v>7638.2416962937396</v>
      </c>
      <c r="BH156" s="250">
        <v>6422.38</v>
      </c>
      <c r="BI156" s="250">
        <v>2619000</v>
      </c>
      <c r="BJ156" s="250">
        <v>550</v>
      </c>
      <c r="BK156" s="250">
        <v>20505</v>
      </c>
      <c r="BL156" s="250">
        <v>3305530</v>
      </c>
      <c r="BM156" s="250">
        <v>107405</v>
      </c>
      <c r="BN156" s="250">
        <v>20471.5</v>
      </c>
      <c r="BO156" s="250">
        <v>3115237</v>
      </c>
      <c r="BP156" s="250">
        <v>159517</v>
      </c>
      <c r="BQ156" s="250">
        <v>18215.43</v>
      </c>
      <c r="BR156" s="250">
        <v>8760</v>
      </c>
      <c r="BS156" s="250">
        <v>5960.4</v>
      </c>
      <c r="BT156" s="250">
        <v>1119119</v>
      </c>
      <c r="BU156" s="250">
        <v>635938</v>
      </c>
      <c r="BV156" s="250">
        <v>736697</v>
      </c>
      <c r="BW156" s="250">
        <v>465225</v>
      </c>
      <c r="BX156" s="1324">
        <v>0</v>
      </c>
    </row>
    <row r="157" spans="1:76">
      <c r="A157" s="160">
        <v>45073</v>
      </c>
      <c r="B157" s="250">
        <v>1067.998</v>
      </c>
      <c r="C157" s="250">
        <v>589.774</v>
      </c>
      <c r="D157" s="250">
        <v>6861.1</v>
      </c>
      <c r="E157" s="1315">
        <v>0</v>
      </c>
      <c r="F157" s="250">
        <v>18385.3</v>
      </c>
      <c r="G157" s="250">
        <v>5808.6</v>
      </c>
      <c r="H157" s="250">
        <v>6642.5</v>
      </c>
      <c r="I157" s="250">
        <v>3325.3</v>
      </c>
      <c r="J157" s="250">
        <v>206192</v>
      </c>
      <c r="K157" s="250">
        <v>14962.8</v>
      </c>
      <c r="L157" s="250">
        <v>7011.1</v>
      </c>
      <c r="M157" s="422">
        <v>46196</v>
      </c>
      <c r="N157" s="422">
        <v>36751.300000000003</v>
      </c>
      <c r="O157" s="250">
        <v>138024</v>
      </c>
      <c r="P157" s="250">
        <v>114479</v>
      </c>
      <c r="Q157" s="250">
        <v>140338</v>
      </c>
      <c r="R157" s="250">
        <v>96286</v>
      </c>
      <c r="S157" s="250">
        <v>14051.63</v>
      </c>
      <c r="T157" s="250">
        <v>10671.64</v>
      </c>
      <c r="U157" s="250">
        <v>40145</v>
      </c>
      <c r="V157" s="250">
        <v>20722</v>
      </c>
      <c r="W157" s="250">
        <v>211795.4</v>
      </c>
      <c r="X157" s="1014">
        <v>345.9</v>
      </c>
      <c r="Y157" s="1014">
        <v>50716</v>
      </c>
      <c r="Z157" s="250">
        <v>590648</v>
      </c>
      <c r="AA157" s="250">
        <v>300948</v>
      </c>
      <c r="AB157" s="250">
        <v>211815.3</v>
      </c>
      <c r="AC157" s="1014">
        <v>1112.4000000000001</v>
      </c>
      <c r="AD157" s="1081">
        <v>942</v>
      </c>
      <c r="AE157" s="250">
        <v>35601.800000000003</v>
      </c>
      <c r="AF157" s="250">
        <v>25379.599999999999</v>
      </c>
      <c r="AG157" s="422">
        <v>82637.7</v>
      </c>
      <c r="AH157" s="250">
        <v>63885</v>
      </c>
      <c r="AI157" s="250">
        <v>66778.7</v>
      </c>
      <c r="AJ157" s="250">
        <v>54425.4</v>
      </c>
      <c r="AK157" s="250">
        <v>59758.6</v>
      </c>
      <c r="AL157" s="250">
        <v>23496</v>
      </c>
      <c r="AM157" s="250">
        <v>16.8</v>
      </c>
      <c r="AN157" s="250">
        <v>18.100000000000001</v>
      </c>
      <c r="AO157" s="250">
        <v>496311</v>
      </c>
      <c r="AP157" s="250">
        <v>228975</v>
      </c>
      <c r="AQ157" s="422">
        <v>65251</v>
      </c>
      <c r="AR157" s="1014"/>
      <c r="AS157" s="250">
        <v>463456</v>
      </c>
      <c r="AT157" s="250">
        <v>203959</v>
      </c>
      <c r="AU157" s="250">
        <v>80163.399999999994</v>
      </c>
      <c r="AV157" s="250">
        <v>4449.2</v>
      </c>
      <c r="AW157" s="250">
        <v>2970.2</v>
      </c>
      <c r="AX157" s="250">
        <v>225.88</v>
      </c>
      <c r="AY157" s="250">
        <v>136.87</v>
      </c>
      <c r="AZ157" s="250">
        <v>822.90899999999999</v>
      </c>
      <c r="BA157" s="250">
        <v>349.35500000000002</v>
      </c>
      <c r="BB157" s="385">
        <v>1825.9</v>
      </c>
      <c r="BC157" s="250">
        <v>3032.1</v>
      </c>
      <c r="BD157" s="250">
        <v>455.7</v>
      </c>
      <c r="BE157" s="250">
        <v>5505.11</v>
      </c>
      <c r="BF157" s="250">
        <v>31047.6754385965</v>
      </c>
      <c r="BG157" s="1014">
        <v>7472.8917644138301</v>
      </c>
      <c r="BH157" s="250">
        <v>7784.51</v>
      </c>
      <c r="BI157" s="250">
        <v>2622000</v>
      </c>
      <c r="BJ157" s="250">
        <v>551</v>
      </c>
      <c r="BK157" s="250">
        <v>20529</v>
      </c>
      <c r="BL157" s="250">
        <v>3310100</v>
      </c>
      <c r="BM157" s="250">
        <v>107851</v>
      </c>
      <c r="BN157" s="250">
        <v>20495.5</v>
      </c>
      <c r="BO157" s="250">
        <v>3115237</v>
      </c>
      <c r="BP157" s="250">
        <v>159517</v>
      </c>
      <c r="BQ157" s="250">
        <v>18215.43</v>
      </c>
      <c r="BR157" s="250">
        <v>8766.2999999999993</v>
      </c>
      <c r="BS157" s="250">
        <v>5964.7</v>
      </c>
      <c r="BT157" s="250">
        <v>1120347</v>
      </c>
      <c r="BU157" s="250">
        <v>636602</v>
      </c>
      <c r="BV157" s="250">
        <v>736930</v>
      </c>
      <c r="BW157" s="250">
        <v>465368</v>
      </c>
      <c r="BX157" s="1324">
        <v>0</v>
      </c>
    </row>
    <row r="158" spans="1:76">
      <c r="A158" s="160">
        <v>45074</v>
      </c>
      <c r="B158" s="250">
        <v>1067.998</v>
      </c>
      <c r="C158" s="250">
        <v>589.774</v>
      </c>
      <c r="D158" s="250">
        <v>6861.1</v>
      </c>
      <c r="E158" s="1315">
        <v>0</v>
      </c>
      <c r="F158" s="250">
        <v>18396.8</v>
      </c>
      <c r="G158" s="250">
        <v>5808.9</v>
      </c>
      <c r="H158" s="250">
        <v>6808.665</v>
      </c>
      <c r="I158" s="250">
        <v>3407.9639999999999</v>
      </c>
      <c r="J158" s="250">
        <v>206216</v>
      </c>
      <c r="K158" s="250">
        <v>14963</v>
      </c>
      <c r="L158" s="250">
        <v>7011.1</v>
      </c>
      <c r="M158" s="422">
        <v>46196</v>
      </c>
      <c r="N158" s="422">
        <v>36751.300000000003</v>
      </c>
      <c r="O158" s="250">
        <v>138037</v>
      </c>
      <c r="P158" s="250">
        <v>114489</v>
      </c>
      <c r="Q158" s="250">
        <v>140353</v>
      </c>
      <c r="R158" s="250">
        <v>96296.4</v>
      </c>
      <c r="S158" s="250">
        <v>14051.63</v>
      </c>
      <c r="T158" s="250">
        <v>10671.64</v>
      </c>
      <c r="U158" s="250">
        <v>40289.599999999999</v>
      </c>
      <c r="V158" s="250">
        <v>20800.7</v>
      </c>
      <c r="W158" s="250">
        <v>211819.4</v>
      </c>
      <c r="X158" s="1014">
        <v>345.9</v>
      </c>
      <c r="Y158" s="1014">
        <v>50716</v>
      </c>
      <c r="Z158" s="250">
        <v>590957</v>
      </c>
      <c r="AA158" s="250">
        <v>301093</v>
      </c>
      <c r="AB158" s="250">
        <v>211839.3</v>
      </c>
      <c r="AC158" s="1014">
        <v>1112.4000000000001</v>
      </c>
      <c r="AD158" s="1081">
        <v>942</v>
      </c>
      <c r="AE158" s="250">
        <v>35604.199999999997</v>
      </c>
      <c r="AF158" s="250">
        <v>25381.3</v>
      </c>
      <c r="AG158" s="422">
        <v>82644.800000000003</v>
      </c>
      <c r="AH158" s="250">
        <v>63890.3</v>
      </c>
      <c r="AI158" s="250">
        <v>66813.899999999994</v>
      </c>
      <c r="AJ158" s="250">
        <v>54455.1</v>
      </c>
      <c r="AK158" s="250">
        <v>59770.2</v>
      </c>
      <c r="AL158" s="250">
        <v>23500.3</v>
      </c>
      <c r="AM158" s="250">
        <v>16.8</v>
      </c>
      <c r="AN158" s="250">
        <v>18.100000000000001</v>
      </c>
      <c r="AO158" s="250">
        <v>496485</v>
      </c>
      <c r="AP158" s="250">
        <v>229055</v>
      </c>
      <c r="AQ158" s="422">
        <v>65255.8</v>
      </c>
      <c r="AR158" s="1014"/>
      <c r="AS158" s="250">
        <v>463611</v>
      </c>
      <c r="AT158" s="250">
        <v>204026</v>
      </c>
      <c r="AU158" s="250">
        <v>80187.399999999994</v>
      </c>
      <c r="AV158" s="850">
        <v>4452.7</v>
      </c>
      <c r="AW158" s="850">
        <v>2972.7</v>
      </c>
      <c r="AX158" s="250">
        <v>225.88</v>
      </c>
      <c r="AY158" s="250">
        <v>136.87</v>
      </c>
      <c r="AZ158" s="250">
        <v>822.90899999999999</v>
      </c>
      <c r="BA158" s="250">
        <v>349.35500000000002</v>
      </c>
      <c r="BB158" s="385">
        <v>1825.9</v>
      </c>
      <c r="BC158" s="250">
        <v>3034.3</v>
      </c>
      <c r="BD158" s="250">
        <v>455.7</v>
      </c>
      <c r="BE158" s="250">
        <v>5952.86</v>
      </c>
      <c r="BF158" s="250">
        <v>30759.2929824561</v>
      </c>
      <c r="BG158" s="1014">
        <v>8802.9058723656999</v>
      </c>
      <c r="BH158" s="250">
        <v>7299.22</v>
      </c>
      <c r="BI158" s="250">
        <v>2624640</v>
      </c>
      <c r="BJ158" s="250">
        <v>552</v>
      </c>
      <c r="BK158" s="250">
        <f>24+BK157</f>
        <v>20553</v>
      </c>
      <c r="BL158" s="250">
        <v>3314652</v>
      </c>
      <c r="BM158" s="250">
        <v>108590</v>
      </c>
      <c r="BN158" s="250">
        <v>20519.5</v>
      </c>
      <c r="BO158" s="250">
        <v>3115237</v>
      </c>
      <c r="BP158" s="250">
        <v>159517</v>
      </c>
      <c r="BQ158" s="250">
        <v>18215.43</v>
      </c>
      <c r="BR158" s="250">
        <v>8772.7000000000007</v>
      </c>
      <c r="BS158" s="250">
        <v>5969.2</v>
      </c>
      <c r="BT158" s="250">
        <v>1121419</v>
      </c>
      <c r="BU158" s="250">
        <v>637189</v>
      </c>
      <c r="BV158" s="250">
        <v>737125</v>
      </c>
      <c r="BW158" s="250">
        <v>465483</v>
      </c>
      <c r="BX158" s="1324">
        <v>0</v>
      </c>
    </row>
    <row r="159" spans="1:76">
      <c r="A159" s="160">
        <v>45075</v>
      </c>
      <c r="B159" s="250">
        <v>1067.998</v>
      </c>
      <c r="C159" s="250">
        <v>589.774</v>
      </c>
      <c r="D159" s="250">
        <v>6861.1</v>
      </c>
      <c r="E159" s="1315">
        <v>0</v>
      </c>
      <c r="F159" s="250">
        <v>18409.3</v>
      </c>
      <c r="G159" s="250">
        <v>5810.7</v>
      </c>
      <c r="H159" s="250">
        <v>6973.2209999999995</v>
      </c>
      <c r="I159" s="250">
        <v>3490.53</v>
      </c>
      <c r="J159" s="250">
        <v>206240</v>
      </c>
      <c r="K159" s="250">
        <v>14963</v>
      </c>
      <c r="L159" s="250">
        <v>7011.1</v>
      </c>
      <c r="M159" s="422">
        <v>46196</v>
      </c>
      <c r="N159" s="422">
        <v>36751.300000000003</v>
      </c>
      <c r="O159" s="250">
        <v>138049</v>
      </c>
      <c r="P159" s="250">
        <v>114499</v>
      </c>
      <c r="Q159" s="250">
        <v>140368</v>
      </c>
      <c r="R159" s="250">
        <v>96306.7</v>
      </c>
      <c r="S159" s="250">
        <v>14054</v>
      </c>
      <c r="T159" s="250">
        <v>10673.3</v>
      </c>
      <c r="U159" s="250">
        <v>40437.9</v>
      </c>
      <c r="V159" s="250">
        <v>20875.7</v>
      </c>
      <c r="W159" s="250">
        <v>211843.4</v>
      </c>
      <c r="X159" s="1014">
        <v>345.9</v>
      </c>
      <c r="Y159" s="1014">
        <v>50716</v>
      </c>
      <c r="Z159" s="250">
        <v>591259</v>
      </c>
      <c r="AA159" s="250">
        <v>301240</v>
      </c>
      <c r="AB159" s="250">
        <v>211863.3</v>
      </c>
      <c r="AC159" s="1014">
        <v>1112.4000000000001</v>
      </c>
      <c r="AD159" s="1081">
        <v>942</v>
      </c>
      <c r="AE159" s="250">
        <v>35604.199999999997</v>
      </c>
      <c r="AF159" s="250">
        <v>25381.3</v>
      </c>
      <c r="AG159" s="422">
        <v>82651.3</v>
      </c>
      <c r="AH159" s="250">
        <v>63895</v>
      </c>
      <c r="AI159" s="250">
        <v>66849.3</v>
      </c>
      <c r="AJ159" s="250">
        <v>54485</v>
      </c>
      <c r="AK159" s="250">
        <v>59781.2</v>
      </c>
      <c r="AL159" s="250">
        <v>23504.7</v>
      </c>
      <c r="AM159" s="250">
        <v>16.8</v>
      </c>
      <c r="AN159" s="250">
        <v>18.100000000000001</v>
      </c>
      <c r="AO159" s="250">
        <v>496658</v>
      </c>
      <c r="AP159" s="250">
        <v>229132</v>
      </c>
      <c r="AQ159" s="422">
        <v>65261.1</v>
      </c>
      <c r="AR159" s="1014"/>
      <c r="AS159" s="250">
        <v>463765</v>
      </c>
      <c r="AT159" s="250">
        <v>204092</v>
      </c>
      <c r="AU159" s="250">
        <v>80211.399999999994</v>
      </c>
      <c r="AV159" s="850">
        <v>4456.2</v>
      </c>
      <c r="AW159" s="850">
        <v>2975.2</v>
      </c>
      <c r="AX159" s="250">
        <v>225.88</v>
      </c>
      <c r="AY159" s="250">
        <v>136.87</v>
      </c>
      <c r="AZ159" s="250">
        <v>822.90899999999999</v>
      </c>
      <c r="BA159" s="250">
        <v>349.35500000000002</v>
      </c>
      <c r="BB159" s="385">
        <v>1825.9</v>
      </c>
      <c r="BC159" s="250">
        <v>3036.5</v>
      </c>
      <c r="BD159" s="250">
        <v>455.7</v>
      </c>
      <c r="BE159" s="250">
        <v>5698.03</v>
      </c>
      <c r="BF159" s="250">
        <v>31638.859649122805</v>
      </c>
      <c r="BG159" s="1014">
        <v>8816.8883857459077</v>
      </c>
      <c r="BH159" s="250">
        <v>5524.079999999999</v>
      </c>
      <c r="BI159" s="250">
        <v>2624640</v>
      </c>
      <c r="BJ159" s="250">
        <v>552</v>
      </c>
      <c r="BK159" s="250">
        <v>20566</v>
      </c>
      <c r="BL159" s="250">
        <v>3318660</v>
      </c>
      <c r="BM159" s="250">
        <v>109053</v>
      </c>
      <c r="BN159" s="250">
        <v>20543.5</v>
      </c>
      <c r="BO159" s="250">
        <v>3117017</v>
      </c>
      <c r="BP159" s="250">
        <v>159669</v>
      </c>
      <c r="BQ159" s="250">
        <v>18223.099999999999</v>
      </c>
      <c r="BR159" s="250">
        <v>8778.9</v>
      </c>
      <c r="BS159" s="250">
        <v>5973.5</v>
      </c>
      <c r="BT159" s="250">
        <v>1122601</v>
      </c>
      <c r="BU159" s="250">
        <v>637829</v>
      </c>
      <c r="BV159" s="250">
        <v>737360</v>
      </c>
      <c r="BW159" s="250">
        <v>465619</v>
      </c>
      <c r="BX159" s="1324">
        <v>0</v>
      </c>
    </row>
    <row r="160" spans="1:76">
      <c r="A160" s="160">
        <v>45076</v>
      </c>
      <c r="B160" s="250">
        <v>1067.998</v>
      </c>
      <c r="C160" s="250">
        <v>589.774</v>
      </c>
      <c r="D160" s="250">
        <v>6861.1</v>
      </c>
      <c r="E160" s="1315">
        <v>0</v>
      </c>
      <c r="F160" s="250">
        <v>18422.900000000001</v>
      </c>
      <c r="G160" s="250">
        <v>5813.8</v>
      </c>
      <c r="H160" s="250">
        <v>7137.09</v>
      </c>
      <c r="I160" s="250">
        <v>3573.4</v>
      </c>
      <c r="J160" s="250">
        <v>206264</v>
      </c>
      <c r="K160" s="250">
        <v>14963</v>
      </c>
      <c r="L160" s="250">
        <v>7011.1</v>
      </c>
      <c r="M160" s="422">
        <v>46196</v>
      </c>
      <c r="N160" s="422">
        <v>36751.300000000003</v>
      </c>
      <c r="O160" s="250">
        <v>138063.4</v>
      </c>
      <c r="P160" s="250">
        <v>114510.1</v>
      </c>
      <c r="Q160" s="250">
        <v>140383.6</v>
      </c>
      <c r="R160" s="250">
        <v>96317</v>
      </c>
      <c r="S160" s="250">
        <v>14058.1</v>
      </c>
      <c r="T160" s="250">
        <v>10676.3</v>
      </c>
      <c r="U160" s="250">
        <v>40588.9</v>
      </c>
      <c r="V160" s="250">
        <v>20953.400000000001</v>
      </c>
      <c r="W160" s="250">
        <v>211867.4</v>
      </c>
      <c r="X160" s="1014">
        <v>345.9</v>
      </c>
      <c r="Y160" s="1014">
        <v>50716</v>
      </c>
      <c r="Z160" s="250">
        <v>591566.30000000005</v>
      </c>
      <c r="AA160" s="250">
        <v>301390.8</v>
      </c>
      <c r="AB160" s="250">
        <v>211887.3</v>
      </c>
      <c r="AC160" s="1014">
        <v>1112.4000000000001</v>
      </c>
      <c r="AD160" s="1081">
        <v>942</v>
      </c>
      <c r="AE160" s="250">
        <v>35604.199999999997</v>
      </c>
      <c r="AF160" s="250">
        <v>25381.3</v>
      </c>
      <c r="AG160" s="250">
        <v>82659.100000000006</v>
      </c>
      <c r="AH160" s="250">
        <v>63901</v>
      </c>
      <c r="AI160" s="250">
        <v>66884.800000000003</v>
      </c>
      <c r="AJ160" s="250">
        <v>54514.9</v>
      </c>
      <c r="AK160" s="250">
        <v>59792.7</v>
      </c>
      <c r="AL160" s="250">
        <v>23509.200000000001</v>
      </c>
      <c r="AM160" s="250">
        <v>16.8</v>
      </c>
      <c r="AN160" s="250">
        <v>18.100000000000001</v>
      </c>
      <c r="AO160" s="250">
        <v>496834.2</v>
      </c>
      <c r="AP160" s="250">
        <v>229210.7</v>
      </c>
      <c r="AQ160" s="250">
        <v>65267</v>
      </c>
      <c r="AR160" s="250"/>
      <c r="AS160" s="250">
        <v>463925</v>
      </c>
      <c r="AT160" s="250">
        <v>204161</v>
      </c>
      <c r="AU160" s="250">
        <v>80235.399999999994</v>
      </c>
      <c r="AV160" s="250">
        <v>4459.7</v>
      </c>
      <c r="AW160" s="250">
        <v>2977.6</v>
      </c>
      <c r="AX160" s="250">
        <v>225.88</v>
      </c>
      <c r="AY160" s="250">
        <v>136.87</v>
      </c>
      <c r="AZ160" s="250">
        <v>822.90899999999999</v>
      </c>
      <c r="BA160" s="250">
        <v>349.35500000000002</v>
      </c>
      <c r="BB160" s="385">
        <v>1825.9</v>
      </c>
      <c r="BC160" s="250">
        <v>3038.8</v>
      </c>
      <c r="BD160" s="250">
        <v>455.7</v>
      </c>
      <c r="BE160" s="250">
        <v>5968.94</v>
      </c>
      <c r="BF160" s="250">
        <v>30440.475438596499</v>
      </c>
      <c r="BG160" s="250">
        <v>8767.6283199309692</v>
      </c>
      <c r="BH160" s="250">
        <v>8331.84</v>
      </c>
      <c r="BI160" s="250">
        <v>2625475.2000000002</v>
      </c>
      <c r="BJ160" s="250">
        <v>553</v>
      </c>
      <c r="BK160" s="250">
        <v>20574.8</v>
      </c>
      <c r="BL160" s="250">
        <v>3321922</v>
      </c>
      <c r="BM160" s="250">
        <v>109406</v>
      </c>
      <c r="BN160" s="250">
        <v>20567.2</v>
      </c>
      <c r="BO160" s="250">
        <v>3120668</v>
      </c>
      <c r="BP160" s="250">
        <v>159975</v>
      </c>
      <c r="BQ160" s="250">
        <v>18238.900000000001</v>
      </c>
      <c r="BR160" s="250">
        <v>8785.5</v>
      </c>
      <c r="BS160" s="250">
        <v>5978.1</v>
      </c>
      <c r="BT160" s="250">
        <v>1123855</v>
      </c>
      <c r="BU160" s="250">
        <v>638514</v>
      </c>
      <c r="BV160" s="250">
        <v>737559</v>
      </c>
      <c r="BW160" s="250">
        <v>465739</v>
      </c>
      <c r="BX160" s="1324">
        <v>0</v>
      </c>
    </row>
    <row r="161" spans="1:76">
      <c r="A161" s="160">
        <v>45077</v>
      </c>
      <c r="B161" s="250">
        <v>1067.998</v>
      </c>
      <c r="C161" s="250">
        <v>589.774</v>
      </c>
      <c r="D161" s="250">
        <v>6861.1</v>
      </c>
      <c r="E161" s="1315">
        <v>0</v>
      </c>
      <c r="F161" s="250">
        <v>18434.2</v>
      </c>
      <c r="G161" s="250">
        <v>5814.1</v>
      </c>
      <c r="H161" s="250">
        <v>7302</v>
      </c>
      <c r="I161" s="250">
        <v>3656</v>
      </c>
      <c r="J161" s="250">
        <v>206288</v>
      </c>
      <c r="K161" s="250">
        <v>14963</v>
      </c>
      <c r="L161" s="250">
        <v>7011.1</v>
      </c>
      <c r="M161" s="422">
        <v>46196</v>
      </c>
      <c r="N161" s="422">
        <v>36751.300000000003</v>
      </c>
      <c r="O161" s="250">
        <v>138076.6</v>
      </c>
      <c r="P161" s="250">
        <v>114520.4</v>
      </c>
      <c r="Q161" s="250">
        <v>140398.5</v>
      </c>
      <c r="R161" s="250">
        <v>96327.3</v>
      </c>
      <c r="S161" s="250">
        <v>14062.2</v>
      </c>
      <c r="T161" s="250">
        <v>10679.2</v>
      </c>
      <c r="U161" s="250">
        <v>40738</v>
      </c>
      <c r="V161" s="250">
        <v>21030</v>
      </c>
      <c r="W161" s="250">
        <v>211891.4</v>
      </c>
      <c r="X161" s="1014">
        <v>345.9</v>
      </c>
      <c r="Y161" s="1014">
        <v>50716</v>
      </c>
      <c r="Z161" s="250">
        <v>591868</v>
      </c>
      <c r="AA161" s="250">
        <v>301539</v>
      </c>
      <c r="AB161" s="250">
        <v>211911.3</v>
      </c>
      <c r="AC161" s="1014">
        <v>1112.4000000000001</v>
      </c>
      <c r="AD161" s="1081">
        <v>942</v>
      </c>
      <c r="AE161" s="250">
        <v>35604.199999999997</v>
      </c>
      <c r="AF161" s="250">
        <v>25381.3</v>
      </c>
      <c r="AG161" s="250">
        <v>82665.899999999994</v>
      </c>
      <c r="AH161" s="250">
        <v>63906.2</v>
      </c>
      <c r="AI161" s="250">
        <v>66921.100000000006</v>
      </c>
      <c r="AJ161" s="250">
        <v>54545.599999999999</v>
      </c>
      <c r="AK161" s="250">
        <v>59803.8</v>
      </c>
      <c r="AL161" s="250">
        <v>23513.200000000001</v>
      </c>
      <c r="AM161" s="250">
        <v>16.8</v>
      </c>
      <c r="AN161" s="250">
        <v>18.100000000000001</v>
      </c>
      <c r="AO161" s="250">
        <v>497006</v>
      </c>
      <c r="AP161" s="250">
        <v>229289</v>
      </c>
      <c r="AQ161" s="250">
        <v>65272</v>
      </c>
      <c r="AR161" s="250"/>
      <c r="AS161" s="250">
        <v>464078</v>
      </c>
      <c r="AT161" s="250">
        <v>204227</v>
      </c>
      <c r="AU161" s="250">
        <v>80259.399999999994</v>
      </c>
      <c r="AV161" s="250">
        <v>4463.5</v>
      </c>
      <c r="AW161" s="250">
        <v>2980.2</v>
      </c>
      <c r="AX161" s="250">
        <v>225.92</v>
      </c>
      <c r="AY161" s="250">
        <v>136.9</v>
      </c>
      <c r="AZ161" s="250">
        <v>822.90899999999999</v>
      </c>
      <c r="BA161" s="250">
        <v>349.35500000000002</v>
      </c>
      <c r="BB161" s="385">
        <v>1825.9</v>
      </c>
      <c r="BC161" s="250">
        <v>3041.2</v>
      </c>
      <c r="BD161" s="250">
        <v>455.7</v>
      </c>
      <c r="BE161" s="250">
        <v>5815.34</v>
      </c>
      <c r="BF161" s="250">
        <v>30099.5105263158</v>
      </c>
      <c r="BG161" s="250">
        <v>8988.8021687605105</v>
      </c>
      <c r="BH161" s="250">
        <v>7461.17</v>
      </c>
      <c r="BI161" s="250">
        <v>2628300</v>
      </c>
      <c r="BJ161" s="250">
        <v>554</v>
      </c>
      <c r="BK161" s="250">
        <v>20598.8</v>
      </c>
      <c r="BL161" s="250">
        <v>3326487</v>
      </c>
      <c r="BM161" s="250">
        <v>110240</v>
      </c>
      <c r="BN161" s="250">
        <v>20591.2</v>
      </c>
      <c r="BO161" s="250">
        <v>3120668</v>
      </c>
      <c r="BP161" s="250">
        <v>159975</v>
      </c>
      <c r="BQ161" s="250">
        <v>18238.900000000001</v>
      </c>
      <c r="BR161" s="250">
        <v>8791.9</v>
      </c>
      <c r="BS161" s="250">
        <v>5982.6</v>
      </c>
      <c r="BT161" s="250">
        <v>1125081</v>
      </c>
      <c r="BU161" s="250">
        <v>639178</v>
      </c>
      <c r="BV161" s="250">
        <v>737739</v>
      </c>
      <c r="BW161" s="250">
        <v>465845</v>
      </c>
      <c r="BX161" s="1324">
        <v>0</v>
      </c>
    </row>
    <row r="162" spans="1:76">
      <c r="A162" s="182"/>
      <c r="B162" s="187"/>
      <c r="C162" s="187"/>
      <c r="D162" s="187"/>
      <c r="E162" s="1402"/>
      <c r="F162" s="187"/>
      <c r="G162" s="187"/>
      <c r="H162" s="187"/>
      <c r="I162" s="187"/>
      <c r="J162" s="187"/>
      <c r="K162" s="187"/>
      <c r="L162" s="187"/>
      <c r="M162" s="187"/>
      <c r="N162" s="187"/>
      <c r="O162" s="187"/>
      <c r="P162" s="187"/>
      <c r="Q162" s="187"/>
      <c r="R162" s="187"/>
      <c r="S162" s="187"/>
      <c r="T162" s="187"/>
      <c r="U162" s="187"/>
      <c r="V162" s="187"/>
      <c r="W162" s="187"/>
      <c r="X162" s="187"/>
      <c r="Y162" s="187"/>
      <c r="Z162" s="187"/>
      <c r="AA162" s="187"/>
      <c r="AB162" s="187"/>
      <c r="AC162" s="187"/>
      <c r="AD162" s="187"/>
      <c r="AE162" s="187"/>
      <c r="AF162" s="187"/>
      <c r="AG162" s="187"/>
      <c r="AH162" s="187"/>
      <c r="AI162" s="187"/>
      <c r="AJ162" s="187"/>
      <c r="AK162" s="187"/>
      <c r="AL162" s="187"/>
      <c r="AM162" s="187"/>
      <c r="AN162" s="187"/>
      <c r="AO162" s="187"/>
      <c r="AP162" s="187"/>
      <c r="AQ162" s="187"/>
      <c r="AR162" s="187"/>
      <c r="AS162" s="187"/>
      <c r="AT162" s="187"/>
      <c r="AU162" s="187"/>
      <c r="AV162" s="187"/>
      <c r="AW162" s="187"/>
      <c r="AX162" s="187"/>
      <c r="AY162" s="187"/>
      <c r="AZ162" s="187"/>
      <c r="BA162" s="187"/>
      <c r="BB162" s="1796"/>
      <c r="BC162" s="187"/>
      <c r="BD162" s="187"/>
      <c r="BE162" s="187"/>
      <c r="BF162" s="187"/>
      <c r="BG162" s="187"/>
      <c r="BH162" s="187"/>
      <c r="BI162" s="187"/>
      <c r="BJ162" s="187"/>
      <c r="BK162" s="187"/>
      <c r="BL162" s="187"/>
      <c r="BM162" s="187"/>
      <c r="BN162" s="187"/>
      <c r="BO162" s="187"/>
      <c r="BP162" s="187"/>
      <c r="BQ162" s="187"/>
      <c r="BR162" s="187"/>
      <c r="BS162" s="187"/>
      <c r="BT162" s="187"/>
      <c r="BU162" s="187"/>
      <c r="BV162" s="187"/>
      <c r="BW162" s="187"/>
      <c r="BX162" s="1409"/>
    </row>
    <row r="163" spans="1:76">
      <c r="A163" s="160">
        <v>45077</v>
      </c>
      <c r="B163" s="250">
        <v>1067.998</v>
      </c>
      <c r="C163" s="250">
        <v>589.774</v>
      </c>
      <c r="D163" s="250">
        <v>6861.1</v>
      </c>
      <c r="E163" s="1315">
        <v>0</v>
      </c>
      <c r="F163" s="250">
        <v>18434.2</v>
      </c>
      <c r="G163" s="250">
        <v>5814.1</v>
      </c>
      <c r="H163" s="250">
        <v>7302</v>
      </c>
      <c r="I163" s="250">
        <v>3656</v>
      </c>
      <c r="J163" s="250">
        <v>206288</v>
      </c>
      <c r="K163" s="250">
        <v>14963</v>
      </c>
      <c r="L163" s="250">
        <v>7011.1</v>
      </c>
      <c r="M163" s="422">
        <v>46196.1</v>
      </c>
      <c r="N163" s="422">
        <v>36751.4</v>
      </c>
      <c r="O163" s="250">
        <v>138076.6</v>
      </c>
      <c r="P163" s="250">
        <v>114520.4</v>
      </c>
      <c r="Q163" s="250">
        <v>140398.5</v>
      </c>
      <c r="R163" s="250">
        <v>96327.3</v>
      </c>
      <c r="S163" s="250">
        <v>14062.2</v>
      </c>
      <c r="T163" s="250">
        <v>10679.2</v>
      </c>
      <c r="U163" s="250">
        <v>40738</v>
      </c>
      <c r="V163" s="250">
        <v>21030</v>
      </c>
      <c r="W163" s="250">
        <v>211891.4</v>
      </c>
      <c r="X163" s="1014">
        <v>345.9</v>
      </c>
      <c r="Y163" s="1014">
        <v>50716</v>
      </c>
      <c r="Z163" s="250">
        <v>591868</v>
      </c>
      <c r="AA163" s="250">
        <v>301539</v>
      </c>
      <c r="AB163" s="250">
        <v>211911.3</v>
      </c>
      <c r="AC163" s="1014">
        <v>1112.4000000000001</v>
      </c>
      <c r="AD163" s="1081">
        <v>942</v>
      </c>
      <c r="AE163" s="250">
        <v>0</v>
      </c>
      <c r="AF163" s="250">
        <v>0</v>
      </c>
      <c r="AG163" s="250">
        <v>82665.899999999994</v>
      </c>
      <c r="AH163" s="250">
        <v>63906.2</v>
      </c>
      <c r="AI163" s="250">
        <v>66921.100000000006</v>
      </c>
      <c r="AJ163" s="250">
        <v>54545.599999999999</v>
      </c>
      <c r="AK163" s="250">
        <v>59803.8</v>
      </c>
      <c r="AL163" s="250">
        <v>23513.200000000001</v>
      </c>
      <c r="AM163" s="250">
        <v>16.8</v>
      </c>
      <c r="AN163" s="250">
        <v>18.100000000000001</v>
      </c>
      <c r="AO163" s="250">
        <v>497006</v>
      </c>
      <c r="AP163" s="250">
        <v>229289</v>
      </c>
      <c r="AQ163" s="250">
        <v>65272</v>
      </c>
      <c r="AR163" s="250"/>
      <c r="AS163" s="250">
        <v>464078</v>
      </c>
      <c r="AT163" s="250">
        <v>204227</v>
      </c>
      <c r="AU163" s="250">
        <v>80259.399999999994</v>
      </c>
      <c r="AV163" s="250">
        <v>4463.5</v>
      </c>
      <c r="AW163" s="250">
        <v>2980.2</v>
      </c>
      <c r="AX163" s="250">
        <v>225.92</v>
      </c>
      <c r="AY163" s="250">
        <v>136.9</v>
      </c>
      <c r="AZ163" s="250">
        <v>822.90899999999999</v>
      </c>
      <c r="BA163" s="250">
        <v>349.35500000000002</v>
      </c>
      <c r="BB163" s="385">
        <v>1825.9</v>
      </c>
      <c r="BC163" s="250">
        <v>3041.2</v>
      </c>
      <c r="BD163" s="250">
        <v>455.7</v>
      </c>
      <c r="BE163" s="250">
        <v>5815.34</v>
      </c>
      <c r="BF163" s="250">
        <v>30099.5105263158</v>
      </c>
      <c r="BG163" s="250">
        <v>8988.8021687605105</v>
      </c>
      <c r="BH163" s="250">
        <v>7461.17</v>
      </c>
      <c r="BI163" s="250">
        <v>2628300</v>
      </c>
      <c r="BJ163" s="250">
        <v>554</v>
      </c>
      <c r="BK163" s="250">
        <v>20598.8</v>
      </c>
      <c r="BL163" s="250">
        <v>3326487</v>
      </c>
      <c r="BM163" s="250">
        <v>110240</v>
      </c>
      <c r="BN163" s="250">
        <v>20591.2</v>
      </c>
      <c r="BO163" s="250">
        <v>3120668</v>
      </c>
      <c r="BP163" s="250">
        <v>159975</v>
      </c>
      <c r="BQ163" s="250">
        <v>18238.900000000001</v>
      </c>
      <c r="BR163" s="250">
        <v>8791.9</v>
      </c>
      <c r="BS163" s="250">
        <v>5982.6</v>
      </c>
      <c r="BT163" s="250">
        <v>1125081</v>
      </c>
      <c r="BU163" s="250">
        <v>639178</v>
      </c>
      <c r="BV163" s="250">
        <v>737739</v>
      </c>
      <c r="BW163" s="250">
        <v>465845</v>
      </c>
      <c r="BX163" s="1324">
        <v>0</v>
      </c>
    </row>
    <row r="164" spans="1:76">
      <c r="A164" s="160">
        <v>45078</v>
      </c>
      <c r="B164" s="250">
        <v>1067.998</v>
      </c>
      <c r="C164" s="250">
        <v>589.774</v>
      </c>
      <c r="D164" s="250">
        <v>6861.1</v>
      </c>
      <c r="E164" s="1315">
        <v>0</v>
      </c>
      <c r="F164" s="250">
        <v>18445.5</v>
      </c>
      <c r="G164" s="250">
        <v>5814.2</v>
      </c>
      <c r="H164" s="250">
        <v>7468</v>
      </c>
      <c r="I164" s="250">
        <v>3738</v>
      </c>
      <c r="J164" s="250">
        <v>206312</v>
      </c>
      <c r="K164" s="250">
        <v>14963</v>
      </c>
      <c r="L164" s="250">
        <v>7011.1</v>
      </c>
      <c r="M164" s="422">
        <v>46196.1</v>
      </c>
      <c r="N164" s="422">
        <v>36751.4</v>
      </c>
      <c r="O164" s="250">
        <v>138089.60000000001</v>
      </c>
      <c r="P164" s="250">
        <v>114530.5</v>
      </c>
      <c r="Q164" s="250">
        <v>140413.4</v>
      </c>
      <c r="R164" s="250">
        <v>96337.5</v>
      </c>
      <c r="S164" s="250">
        <v>14063.6</v>
      </c>
      <c r="T164" s="250">
        <v>10680.14</v>
      </c>
      <c r="U164" s="250">
        <v>40886</v>
      </c>
      <c r="V164" s="250">
        <v>21104</v>
      </c>
      <c r="W164" s="250">
        <v>211915.4</v>
      </c>
      <c r="X164" s="1014">
        <v>345.9</v>
      </c>
      <c r="Y164" s="1014">
        <v>50716</v>
      </c>
      <c r="Z164" s="250">
        <v>592164</v>
      </c>
      <c r="AA164" s="250">
        <v>301686</v>
      </c>
      <c r="AB164" s="250">
        <v>211935.3</v>
      </c>
      <c r="AC164" s="1014">
        <v>1112.4000000000001</v>
      </c>
      <c r="AD164" s="1081">
        <v>942</v>
      </c>
      <c r="AE164" s="250">
        <v>1.93</v>
      </c>
      <c r="AF164" s="250">
        <v>1.38</v>
      </c>
      <c r="AG164" s="422">
        <v>82671.3</v>
      </c>
      <c r="AH164" s="250">
        <v>63910.3</v>
      </c>
      <c r="AI164" s="250">
        <v>66957.8</v>
      </c>
      <c r="AJ164" s="250">
        <v>54576.800000000003</v>
      </c>
      <c r="AK164" s="250">
        <v>59816.4</v>
      </c>
      <c r="AL164" s="250">
        <v>23518.2</v>
      </c>
      <c r="AM164" s="250">
        <v>16.8</v>
      </c>
      <c r="AN164" s="250">
        <v>18.100000000000001</v>
      </c>
      <c r="AO164" s="250">
        <v>497170</v>
      </c>
      <c r="AP164" s="250">
        <v>229365</v>
      </c>
      <c r="AQ164" s="422">
        <v>65278</v>
      </c>
      <c r="AR164" s="1014"/>
      <c r="AS164" s="250">
        <v>464223</v>
      </c>
      <c r="AT164" s="250">
        <v>204291</v>
      </c>
      <c r="AU164" s="250">
        <v>80283.399999999994</v>
      </c>
      <c r="AV164" s="850">
        <v>4467.7</v>
      </c>
      <c r="AW164" s="850">
        <v>2983.2</v>
      </c>
      <c r="AX164" s="250">
        <v>225.92</v>
      </c>
      <c r="AY164" s="250">
        <v>136.9</v>
      </c>
      <c r="AZ164" s="250">
        <v>822.90899999999999</v>
      </c>
      <c r="BA164" s="250">
        <v>349.35500000000002</v>
      </c>
      <c r="BB164" s="385">
        <v>1825.9</v>
      </c>
      <c r="BC164" s="250">
        <v>3042.7</v>
      </c>
      <c r="BD164" s="250">
        <v>455.7</v>
      </c>
      <c r="BE164" s="250">
        <v>5641.34</v>
      </c>
      <c r="BF164" s="250">
        <v>30333.952631578901</v>
      </c>
      <c r="BG164" s="250">
        <v>4292.71940284834</v>
      </c>
      <c r="BH164" s="250">
        <v>6702.79</v>
      </c>
      <c r="BI164" s="250">
        <v>2630800</v>
      </c>
      <c r="BJ164" s="250">
        <v>555</v>
      </c>
      <c r="BK164" s="250">
        <v>20622.8</v>
      </c>
      <c r="BL164" s="250">
        <v>3331031</v>
      </c>
      <c r="BM164" s="250">
        <v>110944</v>
      </c>
      <c r="BN164" s="250">
        <v>20615.2</v>
      </c>
      <c r="BO164" s="250">
        <v>3120668</v>
      </c>
      <c r="BP164" s="250">
        <v>159975</v>
      </c>
      <c r="BQ164" s="250">
        <v>18238.900000000001</v>
      </c>
      <c r="BR164" s="250">
        <v>8798.2000000000007</v>
      </c>
      <c r="BS164" s="250">
        <v>5986.9</v>
      </c>
      <c r="BT164" s="250">
        <v>1126266</v>
      </c>
      <c r="BU164" s="250">
        <v>639819</v>
      </c>
      <c r="BV164" s="250">
        <v>737907</v>
      </c>
      <c r="BW164" s="250">
        <v>465944</v>
      </c>
      <c r="BX164" s="1324">
        <v>0</v>
      </c>
    </row>
    <row r="165" spans="1:76">
      <c r="A165" s="160">
        <v>45079</v>
      </c>
      <c r="B165" s="250">
        <v>1067.998</v>
      </c>
      <c r="C165" s="250">
        <v>589.774</v>
      </c>
      <c r="D165" s="250">
        <v>6861.1</v>
      </c>
      <c r="E165" s="1315">
        <v>0</v>
      </c>
      <c r="F165" s="250">
        <v>18457</v>
      </c>
      <c r="G165" s="250">
        <v>5814.6</v>
      </c>
      <c r="H165" s="250">
        <v>7638</v>
      </c>
      <c r="I165" s="250">
        <v>3822</v>
      </c>
      <c r="J165" s="250">
        <v>206336</v>
      </c>
      <c r="K165" s="250">
        <v>14963</v>
      </c>
      <c r="L165" s="250">
        <v>7011.1</v>
      </c>
      <c r="M165" s="422">
        <v>46196.1</v>
      </c>
      <c r="N165" s="422">
        <v>36751.4</v>
      </c>
      <c r="O165" s="250">
        <v>138102.6</v>
      </c>
      <c r="P165" s="250">
        <v>114540.8</v>
      </c>
      <c r="Q165" s="250">
        <v>140428</v>
      </c>
      <c r="R165" s="250">
        <v>96347.7</v>
      </c>
      <c r="S165" s="250">
        <v>14063.6</v>
      </c>
      <c r="T165" s="250">
        <v>10680.14</v>
      </c>
      <c r="U165" s="250">
        <v>41036</v>
      </c>
      <c r="V165" s="250">
        <v>21180</v>
      </c>
      <c r="W165" s="250">
        <v>211939.4</v>
      </c>
      <c r="X165" s="1014">
        <v>345.9</v>
      </c>
      <c r="Y165" s="1014">
        <v>50716</v>
      </c>
      <c r="Z165" s="250">
        <v>592456</v>
      </c>
      <c r="AA165" s="250">
        <v>301829</v>
      </c>
      <c r="AB165" s="250">
        <v>211959.3</v>
      </c>
      <c r="AC165" s="1014">
        <v>1112.4000000000001</v>
      </c>
      <c r="AD165" s="1081">
        <v>942</v>
      </c>
      <c r="AE165" s="250">
        <v>5.2</v>
      </c>
      <c r="AF165" s="250">
        <v>3.7</v>
      </c>
      <c r="AG165" s="422">
        <v>82676.800000000003</v>
      </c>
      <c r="AH165" s="250">
        <v>63914.2</v>
      </c>
      <c r="AI165" s="250">
        <v>66993.399999999994</v>
      </c>
      <c r="AJ165" s="250">
        <v>54607</v>
      </c>
      <c r="AK165" s="250">
        <v>59826.1</v>
      </c>
      <c r="AL165" s="250">
        <v>23521.9</v>
      </c>
      <c r="AM165" s="250">
        <v>16.8</v>
      </c>
      <c r="AN165" s="250">
        <v>18.100000000000001</v>
      </c>
      <c r="AO165" s="250">
        <v>497334</v>
      </c>
      <c r="AP165" s="250">
        <v>229440</v>
      </c>
      <c r="AQ165" s="422">
        <v>65283</v>
      </c>
      <c r="AR165" s="1014"/>
      <c r="AS165" s="250">
        <v>464370</v>
      </c>
      <c r="AT165" s="250">
        <v>204354</v>
      </c>
      <c r="AU165" s="250">
        <v>80307.399999999994</v>
      </c>
      <c r="AV165" s="850">
        <v>4472</v>
      </c>
      <c r="AW165" s="850">
        <v>2986.1</v>
      </c>
      <c r="AX165" s="250">
        <v>225.92</v>
      </c>
      <c r="AY165" s="250">
        <v>136.9</v>
      </c>
      <c r="AZ165" s="250">
        <v>822.90899999999999</v>
      </c>
      <c r="BA165" s="250">
        <v>349.35500000000002</v>
      </c>
      <c r="BB165" s="385">
        <v>1825.9</v>
      </c>
      <c r="BC165" s="250">
        <v>3044.6</v>
      </c>
      <c r="BD165" s="250">
        <v>455.7</v>
      </c>
      <c r="BE165" s="250">
        <v>5796.19</v>
      </c>
      <c r="BF165" s="250">
        <v>30951.3438596491</v>
      </c>
      <c r="BG165" s="250">
        <v>8880.9331418286893</v>
      </c>
      <c r="BH165" s="250">
        <v>6801.68</v>
      </c>
      <c r="BI165" s="250">
        <v>2633000</v>
      </c>
      <c r="BJ165" s="250">
        <v>556</v>
      </c>
      <c r="BK165" s="250">
        <v>20646.8</v>
      </c>
      <c r="BL165" s="250">
        <v>3335724</v>
      </c>
      <c r="BM165" s="250">
        <v>111800</v>
      </c>
      <c r="BN165" s="250">
        <v>20639.2</v>
      </c>
      <c r="BO165" s="250">
        <v>3120668</v>
      </c>
      <c r="BP165" s="250">
        <v>159975</v>
      </c>
      <c r="BQ165" s="250">
        <v>18238.900000000001</v>
      </c>
      <c r="BR165" s="250">
        <v>8804.6</v>
      </c>
      <c r="BS165" s="250">
        <v>5991.5</v>
      </c>
      <c r="BT165" s="250">
        <v>1127480</v>
      </c>
      <c r="BU165" s="250">
        <v>640481</v>
      </c>
      <c r="BV165" s="250">
        <v>738083</v>
      </c>
      <c r="BW165" s="250">
        <v>466047</v>
      </c>
      <c r="BX165" s="1324">
        <v>0</v>
      </c>
    </row>
    <row r="166" spans="1:76">
      <c r="A166" s="160">
        <v>45080</v>
      </c>
      <c r="B166" s="250">
        <v>1067.998</v>
      </c>
      <c r="C166" s="250">
        <v>589.774</v>
      </c>
      <c r="D166" s="250">
        <v>6861.1</v>
      </c>
      <c r="E166" s="1315">
        <v>0</v>
      </c>
      <c r="F166" s="250">
        <v>18468.099999999999</v>
      </c>
      <c r="G166" s="250">
        <v>5814.9</v>
      </c>
      <c r="H166" s="250">
        <v>7802</v>
      </c>
      <c r="I166" s="250">
        <v>3904</v>
      </c>
      <c r="J166" s="250">
        <v>206360</v>
      </c>
      <c r="K166" s="250">
        <v>14963.1</v>
      </c>
      <c r="L166" s="250">
        <v>7011.1</v>
      </c>
      <c r="M166" s="422">
        <v>46196.1</v>
      </c>
      <c r="N166" s="422">
        <v>36751.4</v>
      </c>
      <c r="O166" s="250">
        <v>138115.6</v>
      </c>
      <c r="P166" s="250">
        <v>114551</v>
      </c>
      <c r="Q166" s="250">
        <v>140443.1</v>
      </c>
      <c r="R166" s="250">
        <v>96358.399999999994</v>
      </c>
      <c r="S166" s="250">
        <v>14063.6</v>
      </c>
      <c r="T166" s="250">
        <v>10680.14</v>
      </c>
      <c r="U166" s="250">
        <v>41184</v>
      </c>
      <c r="V166" s="250">
        <v>21255</v>
      </c>
      <c r="W166" s="250">
        <v>211963.4</v>
      </c>
      <c r="X166" s="1014">
        <v>345.9</v>
      </c>
      <c r="Y166" s="1014">
        <v>50716</v>
      </c>
      <c r="Z166" s="250">
        <v>592746</v>
      </c>
      <c r="AA166" s="250">
        <v>301974</v>
      </c>
      <c r="AB166" s="250">
        <v>211983.3</v>
      </c>
      <c r="AC166" s="1014">
        <v>1112.4000000000001</v>
      </c>
      <c r="AD166" s="1081">
        <v>942</v>
      </c>
      <c r="AE166" s="250">
        <v>8.1999999999999993</v>
      </c>
      <c r="AF166" s="250">
        <v>6</v>
      </c>
      <c r="AG166" s="422">
        <v>82682.5</v>
      </c>
      <c r="AH166" s="250">
        <v>63918.6</v>
      </c>
      <c r="AI166" s="250">
        <v>67028.399999999994</v>
      </c>
      <c r="AJ166" s="250">
        <v>54636.7</v>
      </c>
      <c r="AK166" s="250">
        <v>59835.8</v>
      </c>
      <c r="AL166" s="250">
        <v>23525.5</v>
      </c>
      <c r="AM166" s="250">
        <v>16.8</v>
      </c>
      <c r="AN166" s="250">
        <v>18.100000000000001</v>
      </c>
      <c r="AO166" s="250">
        <v>497497</v>
      </c>
      <c r="AP166" s="250">
        <v>229515</v>
      </c>
      <c r="AQ166" s="422">
        <v>65288</v>
      </c>
      <c r="AR166" s="1014"/>
      <c r="AS166" s="250">
        <v>464515</v>
      </c>
      <c r="AT166" s="250">
        <v>204417</v>
      </c>
      <c r="AU166" s="250">
        <v>80331.399999999994</v>
      </c>
      <c r="AV166" s="850">
        <v>4476.2</v>
      </c>
      <c r="AW166" s="850">
        <v>2989</v>
      </c>
      <c r="AX166" s="850">
        <v>226</v>
      </c>
      <c r="AY166" s="850">
        <v>136.94</v>
      </c>
      <c r="AZ166" s="250">
        <v>822.90899999999999</v>
      </c>
      <c r="BA166" s="250">
        <v>349.35500000000002</v>
      </c>
      <c r="BB166" s="385">
        <v>1825.9</v>
      </c>
      <c r="BC166" s="250">
        <v>3046.4</v>
      </c>
      <c r="BD166" s="250">
        <v>455.7</v>
      </c>
      <c r="BE166" s="250">
        <v>5260.75</v>
      </c>
      <c r="BF166" s="250">
        <v>29760.5438596491</v>
      </c>
      <c r="BG166" s="250">
        <v>9659.0103894223303</v>
      </c>
      <c r="BH166" s="250">
        <v>6875.34</v>
      </c>
      <c r="BI166" s="250">
        <v>2635200</v>
      </c>
      <c r="BJ166" s="250">
        <v>557</v>
      </c>
      <c r="BK166" s="250">
        <v>20670</v>
      </c>
      <c r="BL166" s="250">
        <v>3340070</v>
      </c>
      <c r="BM166" s="250">
        <v>112610</v>
      </c>
      <c r="BN166" s="250">
        <v>20663.2</v>
      </c>
      <c r="BO166" s="250">
        <v>3120668</v>
      </c>
      <c r="BP166" s="250">
        <v>159975</v>
      </c>
      <c r="BQ166" s="250">
        <v>18238.900000000001</v>
      </c>
      <c r="BR166" s="250">
        <v>8810.7999999999993</v>
      </c>
      <c r="BS166" s="250">
        <v>5995.8</v>
      </c>
      <c r="BT166" s="250">
        <v>1128646</v>
      </c>
      <c r="BU166" s="250">
        <v>641123</v>
      </c>
      <c r="BV166" s="250">
        <v>738363</v>
      </c>
      <c r="BW166" s="250">
        <v>466216</v>
      </c>
      <c r="BX166" s="1324">
        <v>0</v>
      </c>
    </row>
    <row r="167" spans="1:76">
      <c r="A167" s="160">
        <v>45081</v>
      </c>
      <c r="B167" s="250">
        <v>1067.998</v>
      </c>
      <c r="C167" s="250">
        <v>589.774</v>
      </c>
      <c r="D167" s="250">
        <v>6861.1</v>
      </c>
      <c r="E167" s="1315">
        <v>0</v>
      </c>
      <c r="F167" s="250">
        <v>18480.099999999999</v>
      </c>
      <c r="G167" s="250">
        <v>5815</v>
      </c>
      <c r="H167" s="250">
        <v>7966</v>
      </c>
      <c r="I167" s="250">
        <v>3986</v>
      </c>
      <c r="J167" s="250">
        <v>206384</v>
      </c>
      <c r="K167" s="250">
        <v>14963.1</v>
      </c>
      <c r="L167" s="250">
        <v>7011.1</v>
      </c>
      <c r="M167" s="422">
        <v>46196.1</v>
      </c>
      <c r="N167" s="422">
        <v>36751.4</v>
      </c>
      <c r="O167" s="250">
        <v>138128.5</v>
      </c>
      <c r="P167" s="250">
        <v>114561.4</v>
      </c>
      <c r="Q167" s="250">
        <v>140457.60000000001</v>
      </c>
      <c r="R167" s="250">
        <v>96368.8</v>
      </c>
      <c r="S167" s="250">
        <v>14063.6</v>
      </c>
      <c r="T167" s="250">
        <v>10680.14</v>
      </c>
      <c r="U167" s="250">
        <v>41334</v>
      </c>
      <c r="V167" s="250">
        <v>21329</v>
      </c>
      <c r="W167" s="250">
        <v>211987.4</v>
      </c>
      <c r="X167" s="1014">
        <v>345.9</v>
      </c>
      <c r="Y167" s="1014">
        <v>50716</v>
      </c>
      <c r="Z167" s="250">
        <v>593044</v>
      </c>
      <c r="AA167" s="250">
        <v>302126</v>
      </c>
      <c r="AB167" s="250">
        <v>212007.3</v>
      </c>
      <c r="AC167" s="1014">
        <v>1112.4000000000001</v>
      </c>
      <c r="AD167" s="1081">
        <v>942</v>
      </c>
      <c r="AE167" s="250">
        <v>11.5</v>
      </c>
      <c r="AF167" s="250">
        <v>8.3000000000000007</v>
      </c>
      <c r="AG167" s="422">
        <v>82690</v>
      </c>
      <c r="AH167" s="250">
        <v>63924.4</v>
      </c>
      <c r="AI167" s="250">
        <v>67065.7</v>
      </c>
      <c r="AJ167" s="250">
        <v>54668.4</v>
      </c>
      <c r="AK167" s="250">
        <v>59846.5</v>
      </c>
      <c r="AL167" s="250">
        <v>23529.7</v>
      </c>
      <c r="AM167" s="250">
        <v>16.8</v>
      </c>
      <c r="AN167" s="250">
        <v>18.100000000000001</v>
      </c>
      <c r="AO167" s="250">
        <v>497668</v>
      </c>
      <c r="AP167" s="250">
        <v>229594</v>
      </c>
      <c r="AQ167" s="422">
        <v>65293</v>
      </c>
      <c r="AR167" s="1014"/>
      <c r="AS167" s="250">
        <v>464667</v>
      </c>
      <c r="AT167" s="250">
        <v>204483</v>
      </c>
      <c r="AU167" s="250">
        <v>80355.399999999994</v>
      </c>
      <c r="AV167" s="850">
        <v>4480.3</v>
      </c>
      <c r="AW167" s="850">
        <v>2992</v>
      </c>
      <c r="AX167" s="850">
        <v>226</v>
      </c>
      <c r="AY167" s="850">
        <v>136.94</v>
      </c>
      <c r="AZ167" s="250">
        <v>822.90899999999999</v>
      </c>
      <c r="BA167" s="250">
        <v>349.35500000000002</v>
      </c>
      <c r="BB167" s="385">
        <v>1825.9</v>
      </c>
      <c r="BC167" s="250">
        <v>3048.5</v>
      </c>
      <c r="BD167" s="250">
        <v>455.7</v>
      </c>
      <c r="BE167" s="250">
        <v>5742.27</v>
      </c>
      <c r="BF167" s="250">
        <v>30269.587719298244</v>
      </c>
      <c r="BG167" s="250">
        <v>8841.8272660643743</v>
      </c>
      <c r="BH167" s="250">
        <v>7622.7</v>
      </c>
      <c r="BI167" s="250">
        <v>2637200</v>
      </c>
      <c r="BJ167" s="250">
        <v>558</v>
      </c>
      <c r="BK167" s="250">
        <v>20694</v>
      </c>
      <c r="BL167" s="250">
        <v>3345131</v>
      </c>
      <c r="BM167" s="250">
        <v>113312</v>
      </c>
      <c r="BN167" s="250">
        <v>20686.8</v>
      </c>
      <c r="BO167" s="250">
        <v>3120668</v>
      </c>
      <c r="BP167" s="250">
        <v>159975</v>
      </c>
      <c r="BQ167" s="250">
        <v>18238.900000000001</v>
      </c>
      <c r="BR167" s="250">
        <v>8817.2999999999993</v>
      </c>
      <c r="BS167" s="250">
        <v>6000.4</v>
      </c>
      <c r="BT167" s="250">
        <v>1129890</v>
      </c>
      <c r="BU167" s="250">
        <v>641806</v>
      </c>
      <c r="BV167" s="250">
        <v>738582</v>
      </c>
      <c r="BW167" s="250">
        <v>466349</v>
      </c>
      <c r="BX167" s="1324">
        <v>0</v>
      </c>
    </row>
    <row r="168" spans="1:76">
      <c r="A168" s="160">
        <v>45082</v>
      </c>
      <c r="B168" s="250">
        <v>1068.2570000000001</v>
      </c>
      <c r="C168" s="250">
        <v>589.90800000000002</v>
      </c>
      <c r="D168" s="250">
        <v>6861.7</v>
      </c>
      <c r="E168" s="1315">
        <v>1</v>
      </c>
      <c r="F168" s="250">
        <v>18491.8</v>
      </c>
      <c r="G168" s="250">
        <v>5815.1</v>
      </c>
      <c r="H168" s="250">
        <v>8123</v>
      </c>
      <c r="I168" s="250">
        <v>4067</v>
      </c>
      <c r="J168" s="250">
        <v>206408</v>
      </c>
      <c r="K168" s="250">
        <v>14963.1</v>
      </c>
      <c r="L168" s="250">
        <v>7011.1</v>
      </c>
      <c r="M168" s="422">
        <v>46196.1</v>
      </c>
      <c r="N168" s="422">
        <v>36751.4</v>
      </c>
      <c r="O168" s="250">
        <v>138139.79999999999</v>
      </c>
      <c r="P168" s="250">
        <v>114570.7</v>
      </c>
      <c r="Q168" s="250">
        <v>140471.70000000001</v>
      </c>
      <c r="R168" s="250">
        <v>96378.7</v>
      </c>
      <c r="S168" s="250">
        <v>14063.6</v>
      </c>
      <c r="T168" s="250">
        <v>10680.14</v>
      </c>
      <c r="U168" s="250">
        <v>41480</v>
      </c>
      <c r="V168" s="250">
        <v>21402</v>
      </c>
      <c r="W168" s="250">
        <v>212011.4</v>
      </c>
      <c r="X168" s="1014">
        <v>345.9</v>
      </c>
      <c r="Y168" s="1014">
        <v>50716</v>
      </c>
      <c r="Z168" s="250">
        <v>593323</v>
      </c>
      <c r="AA168" s="250">
        <v>302268</v>
      </c>
      <c r="AB168" s="250">
        <v>212031.3</v>
      </c>
      <c r="AC168" s="1014">
        <v>1112.4000000000001</v>
      </c>
      <c r="AD168" s="1081">
        <v>942</v>
      </c>
      <c r="AE168" s="250">
        <v>14.7</v>
      </c>
      <c r="AF168" s="250">
        <v>10.6</v>
      </c>
      <c r="AG168" s="250">
        <v>82696.600000000006</v>
      </c>
      <c r="AH168" s="250">
        <v>63929.4</v>
      </c>
      <c r="AI168" s="250">
        <v>67104.2</v>
      </c>
      <c r="AJ168" s="250">
        <v>54700.800000000003</v>
      </c>
      <c r="AK168" s="250">
        <v>59847.3</v>
      </c>
      <c r="AL168" s="250">
        <v>23530</v>
      </c>
      <c r="AM168" s="250">
        <v>16.8</v>
      </c>
      <c r="AN168" s="250">
        <v>18.100000000000001</v>
      </c>
      <c r="AO168" s="250">
        <v>497833</v>
      </c>
      <c r="AP168" s="250">
        <v>229670</v>
      </c>
      <c r="AQ168" s="250">
        <v>65298</v>
      </c>
      <c r="AR168" s="250"/>
      <c r="AS168" s="250">
        <v>464816</v>
      </c>
      <c r="AT168" s="250">
        <v>204548</v>
      </c>
      <c r="AU168" s="250">
        <v>80379.399999999994</v>
      </c>
      <c r="AV168" s="250">
        <v>4484.3999999999996</v>
      </c>
      <c r="AW168" s="250">
        <v>2994.8</v>
      </c>
      <c r="AX168" s="850">
        <v>226</v>
      </c>
      <c r="AY168" s="850">
        <v>136.94</v>
      </c>
      <c r="AZ168" s="250">
        <v>823.28399999999999</v>
      </c>
      <c r="BA168" s="250">
        <v>349.49900000000002</v>
      </c>
      <c r="BB168" s="385">
        <v>1826.21</v>
      </c>
      <c r="BC168" s="250">
        <v>3050</v>
      </c>
      <c r="BD168" s="250">
        <v>455.7</v>
      </c>
      <c r="BE168" s="250">
        <v>5935</v>
      </c>
      <c r="BF168" s="250">
        <v>30301.412280701752</v>
      </c>
      <c r="BG168" s="250">
        <v>7861.0369547806713</v>
      </c>
      <c r="BH168" s="250">
        <v>6603.25</v>
      </c>
      <c r="BI168" s="250">
        <v>2639120</v>
      </c>
      <c r="BJ168" s="250">
        <v>559</v>
      </c>
      <c r="BK168" s="250">
        <v>20718</v>
      </c>
      <c r="BL168" s="250">
        <v>3350116</v>
      </c>
      <c r="BM168" s="250">
        <v>114132</v>
      </c>
      <c r="BN168" s="250">
        <v>20710.8</v>
      </c>
      <c r="BO168" s="250">
        <v>3120668</v>
      </c>
      <c r="BP168" s="250">
        <v>159975</v>
      </c>
      <c r="BQ168" s="250">
        <v>18238.900000000001</v>
      </c>
      <c r="BR168" s="250">
        <v>8823.6</v>
      </c>
      <c r="BS168" s="250">
        <v>6004.8</v>
      </c>
      <c r="BT168" s="250">
        <v>1131062</v>
      </c>
      <c r="BU168" s="250">
        <v>642440</v>
      </c>
      <c r="BV168" s="250">
        <v>738734</v>
      </c>
      <c r="BW168" s="250">
        <v>466438</v>
      </c>
      <c r="BX168" s="1324">
        <v>1</v>
      </c>
    </row>
    <row r="169" spans="1:76">
      <c r="A169" s="160">
        <v>45083</v>
      </c>
      <c r="B169" s="250">
        <v>1068.2570000000001</v>
      </c>
      <c r="C169" s="250">
        <v>589.90800000000002</v>
      </c>
      <c r="D169" s="250">
        <v>6861.7</v>
      </c>
      <c r="E169" s="1312">
        <v>0</v>
      </c>
      <c r="F169" s="250">
        <v>18504.099999999999</v>
      </c>
      <c r="G169" s="250">
        <v>5815.1</v>
      </c>
      <c r="H169" s="250">
        <v>8287.49</v>
      </c>
      <c r="I169" s="250">
        <v>4149.8999999999996</v>
      </c>
      <c r="J169" s="250">
        <v>206432</v>
      </c>
      <c r="K169" s="250">
        <v>14963.1</v>
      </c>
      <c r="L169" s="250">
        <v>7011.1</v>
      </c>
      <c r="M169" s="422">
        <v>46196.1</v>
      </c>
      <c r="N169" s="422">
        <v>36751.4</v>
      </c>
      <c r="O169" s="250">
        <v>138154.04999999999</v>
      </c>
      <c r="P169" s="250">
        <v>114581.58</v>
      </c>
      <c r="Q169" s="250">
        <v>140486.79</v>
      </c>
      <c r="R169" s="250">
        <v>96389.23</v>
      </c>
      <c r="S169" s="250">
        <v>14063.6</v>
      </c>
      <c r="T169" s="250">
        <v>10680.14</v>
      </c>
      <c r="U169" s="250">
        <v>41633.447</v>
      </c>
      <c r="V169" s="250">
        <v>21481.84</v>
      </c>
      <c r="W169" s="250">
        <v>212035.4</v>
      </c>
      <c r="X169" s="1014">
        <v>345.9</v>
      </c>
      <c r="Y169" s="1014">
        <v>50716</v>
      </c>
      <c r="Z169" s="250">
        <v>593634.36</v>
      </c>
      <c r="AA169" s="250">
        <v>302419.45</v>
      </c>
      <c r="AB169" s="250">
        <v>212055.3</v>
      </c>
      <c r="AC169" s="1014">
        <v>1112.4000000000001</v>
      </c>
      <c r="AD169" s="1081">
        <v>942</v>
      </c>
      <c r="AE169" s="250">
        <v>18.100000000000001</v>
      </c>
      <c r="AF169" s="250">
        <v>13</v>
      </c>
      <c r="AG169" s="250">
        <v>82701.899999999994</v>
      </c>
      <c r="AH169" s="250">
        <v>63933.440000000002</v>
      </c>
      <c r="AI169" s="250">
        <v>67143.67</v>
      </c>
      <c r="AJ169" s="250">
        <v>54734.23</v>
      </c>
      <c r="AK169" s="250">
        <v>59865.9</v>
      </c>
      <c r="AL169" s="250">
        <v>23537.3</v>
      </c>
      <c r="AM169" s="250">
        <v>16.8</v>
      </c>
      <c r="AN169" s="250">
        <v>18.100000000000001</v>
      </c>
      <c r="AO169" s="250">
        <v>498006.8</v>
      </c>
      <c r="AP169" s="250">
        <v>229749.4</v>
      </c>
      <c r="AQ169" s="250">
        <v>65303</v>
      </c>
      <c r="AR169" s="250"/>
      <c r="AS169" s="250">
        <v>464967</v>
      </c>
      <c r="AT169" s="250">
        <v>204613.11</v>
      </c>
      <c r="AU169" s="250">
        <v>80403.399999999994</v>
      </c>
      <c r="AV169" s="250">
        <v>4488.6400000000003</v>
      </c>
      <c r="AW169" s="250">
        <v>2997.72</v>
      </c>
      <c r="AX169" s="850">
        <v>226.04</v>
      </c>
      <c r="AY169" s="850">
        <v>136.96</v>
      </c>
      <c r="AZ169" s="250">
        <v>823.28399999999999</v>
      </c>
      <c r="BA169" s="250">
        <v>349.49900000000002</v>
      </c>
      <c r="BB169" s="385">
        <v>1826.21</v>
      </c>
      <c r="BC169" s="250">
        <v>3051.7</v>
      </c>
      <c r="BD169" s="250">
        <v>455.7</v>
      </c>
      <c r="BE169" s="250">
        <v>6138.98</v>
      </c>
      <c r="BF169" s="250">
        <v>30604.101754385967</v>
      </c>
      <c r="BG169" s="250">
        <v>8789.3119390435986</v>
      </c>
      <c r="BH169" s="250">
        <v>6456.7800000000007</v>
      </c>
      <c r="BI169" s="250">
        <v>2641280</v>
      </c>
      <c r="BJ169" s="250">
        <v>560</v>
      </c>
      <c r="BK169" s="250">
        <v>20742</v>
      </c>
      <c r="BL169" s="250">
        <v>3355416</v>
      </c>
      <c r="BM169" s="250">
        <v>114742</v>
      </c>
      <c r="BN169" s="250">
        <v>20734.8</v>
      </c>
      <c r="BO169" s="250">
        <v>3120668</v>
      </c>
      <c r="BP169" s="250">
        <v>159975</v>
      </c>
      <c r="BQ169" s="250">
        <v>18238.900000000001</v>
      </c>
      <c r="BR169" s="250">
        <v>8830.06</v>
      </c>
      <c r="BS169" s="250">
        <v>6009.28</v>
      </c>
      <c r="BT169" s="250">
        <v>1132280</v>
      </c>
      <c r="BU169" s="250">
        <v>643106</v>
      </c>
      <c r="BV169" s="250">
        <v>738984</v>
      </c>
      <c r="BW169" s="250">
        <v>466590</v>
      </c>
      <c r="BX169" s="1324">
        <v>0</v>
      </c>
    </row>
    <row r="170" spans="1:76">
      <c r="A170" s="160">
        <v>45084</v>
      </c>
      <c r="B170" s="250">
        <v>1068.2570000000001</v>
      </c>
      <c r="C170" s="250">
        <v>589.90800000000002</v>
      </c>
      <c r="D170" s="250">
        <v>6861.7</v>
      </c>
      <c r="E170" s="1401">
        <v>0</v>
      </c>
      <c r="F170" s="250">
        <v>18515.900000000001</v>
      </c>
      <c r="G170" s="250">
        <v>5815.1</v>
      </c>
      <c r="H170" s="250">
        <v>8445.6669999999995</v>
      </c>
      <c r="I170" s="250">
        <v>4230.1469999999999</v>
      </c>
      <c r="J170" s="250">
        <v>206456</v>
      </c>
      <c r="K170" s="250">
        <v>14963.1</v>
      </c>
      <c r="L170" s="250">
        <v>7011.1</v>
      </c>
      <c r="M170" s="422">
        <v>46196.1</v>
      </c>
      <c r="N170" s="422">
        <v>36751.4</v>
      </c>
      <c r="O170" s="250">
        <v>138167.07</v>
      </c>
      <c r="P170" s="250">
        <v>114591.79</v>
      </c>
      <c r="Q170" s="250">
        <v>140501.14000000001</v>
      </c>
      <c r="R170" s="250">
        <v>96399.23</v>
      </c>
      <c r="S170" s="250">
        <v>14063.6</v>
      </c>
      <c r="T170" s="250">
        <v>10680.14</v>
      </c>
      <c r="U170" s="250">
        <v>41780.6</v>
      </c>
      <c r="V170" s="250">
        <v>21558.627</v>
      </c>
      <c r="W170" s="250">
        <v>212059.4</v>
      </c>
      <c r="X170" s="1014">
        <v>345.9</v>
      </c>
      <c r="Y170" s="1014">
        <v>50716</v>
      </c>
      <c r="Z170" s="250">
        <v>593927.44999999995</v>
      </c>
      <c r="AA170" s="250">
        <v>302563.8</v>
      </c>
      <c r="AB170" s="250">
        <v>212079.3</v>
      </c>
      <c r="AC170" s="1014">
        <v>1112.4000000000001</v>
      </c>
      <c r="AD170" s="1081">
        <v>942</v>
      </c>
      <c r="AE170" s="250">
        <v>21.34</v>
      </c>
      <c r="AF170" s="250">
        <v>15.31</v>
      </c>
      <c r="AG170" s="250">
        <v>82708.78</v>
      </c>
      <c r="AH170" s="250">
        <v>63938.66</v>
      </c>
      <c r="AI170" s="250">
        <v>67181.009999999995</v>
      </c>
      <c r="AJ170" s="250">
        <v>54765.97</v>
      </c>
      <c r="AK170" s="250">
        <v>59877.599999999999</v>
      </c>
      <c r="AL170" s="250">
        <v>23542</v>
      </c>
      <c r="AM170" s="250">
        <v>16.8</v>
      </c>
      <c r="AN170" s="250">
        <v>18.100000000000001</v>
      </c>
      <c r="AO170" s="250">
        <v>498173.7</v>
      </c>
      <c r="AP170" s="250">
        <v>229825.9</v>
      </c>
      <c r="AQ170" s="250">
        <v>65309</v>
      </c>
      <c r="AR170" s="250"/>
      <c r="AS170" s="250">
        <v>465119</v>
      </c>
      <c r="AT170" s="250">
        <v>204678.5</v>
      </c>
      <c r="AU170" s="250">
        <v>80427.399999999994</v>
      </c>
      <c r="AV170" s="250">
        <v>4492.6400000000003</v>
      </c>
      <c r="AW170" s="250">
        <v>3000.66</v>
      </c>
      <c r="AX170" s="250">
        <v>226.4</v>
      </c>
      <c r="AY170" s="850">
        <v>136.96</v>
      </c>
      <c r="AZ170" s="250">
        <v>823.28399999999999</v>
      </c>
      <c r="BA170" s="250">
        <v>349.49900000000002</v>
      </c>
      <c r="BB170" s="385">
        <v>1826.21</v>
      </c>
      <c r="BC170" s="250">
        <v>3053.4</v>
      </c>
      <c r="BD170" s="250">
        <v>455.7</v>
      </c>
      <c r="BE170" s="250">
        <v>6087.11</v>
      </c>
      <c r="BF170" s="250">
        <v>30383.661403508777</v>
      </c>
      <c r="BG170" s="250">
        <v>9628.9988415151292</v>
      </c>
      <c r="BH170" s="250">
        <v>7192.2099999999991</v>
      </c>
      <c r="BI170" s="250">
        <v>2643344</v>
      </c>
      <c r="BJ170" s="250">
        <v>561</v>
      </c>
      <c r="BK170" s="250">
        <v>20765.759999999998</v>
      </c>
      <c r="BL170" s="250">
        <v>3360686</v>
      </c>
      <c r="BM170" s="250">
        <v>115366</v>
      </c>
      <c r="BN170" s="250">
        <v>20758.439999999999</v>
      </c>
      <c r="BO170" s="250">
        <v>3120668</v>
      </c>
      <c r="BP170" s="250">
        <v>159975</v>
      </c>
      <c r="BQ170" s="250">
        <v>18238.900000000001</v>
      </c>
      <c r="BR170" s="250">
        <v>8836.4500000000007</v>
      </c>
      <c r="BS170" s="250">
        <v>6013.74</v>
      </c>
      <c r="BT170" s="250">
        <v>1133619</v>
      </c>
      <c r="BU170" s="250">
        <v>643831</v>
      </c>
      <c r="BV170" s="250">
        <v>739012</v>
      </c>
      <c r="BW170" s="250">
        <v>466607</v>
      </c>
      <c r="BX170" s="1324">
        <v>0</v>
      </c>
    </row>
    <row r="171" spans="1:76">
      <c r="A171" s="160">
        <v>45085</v>
      </c>
      <c r="B171" s="250">
        <v>1068.2570000000001</v>
      </c>
      <c r="C171" s="250">
        <v>589.90800000000002</v>
      </c>
      <c r="D171" s="250">
        <v>6861.7</v>
      </c>
      <c r="E171" s="1401">
        <v>0</v>
      </c>
      <c r="F171" s="250">
        <v>18527.7</v>
      </c>
      <c r="G171" s="250">
        <v>5815.2</v>
      </c>
      <c r="H171" s="250">
        <v>8602.24</v>
      </c>
      <c r="I171" s="250">
        <v>4308.3010000000004</v>
      </c>
      <c r="J171" s="250">
        <v>206478.9</v>
      </c>
      <c r="K171" s="250">
        <v>14963.1</v>
      </c>
      <c r="L171" s="250">
        <v>7011.1</v>
      </c>
      <c r="M171" s="422">
        <v>46196.1</v>
      </c>
      <c r="N171" s="422">
        <v>36751.4</v>
      </c>
      <c r="O171" s="250">
        <v>138179.14000000001</v>
      </c>
      <c r="P171" s="250">
        <v>114601.49</v>
      </c>
      <c r="Q171" s="250">
        <v>140514.96</v>
      </c>
      <c r="R171" s="250">
        <v>96408.99</v>
      </c>
      <c r="S171" s="250">
        <v>14063.6</v>
      </c>
      <c r="T171" s="250">
        <v>10680.14</v>
      </c>
      <c r="U171" s="250">
        <v>41927.173999999999</v>
      </c>
      <c r="V171" s="250">
        <v>21639.844000000001</v>
      </c>
      <c r="W171" s="250">
        <v>212083.4</v>
      </c>
      <c r="X171" s="1014">
        <v>345.9</v>
      </c>
      <c r="Y171" s="1014">
        <v>50716</v>
      </c>
      <c r="Z171" s="250">
        <v>594210.05000000005</v>
      </c>
      <c r="AA171" s="250">
        <v>302696.90000000002</v>
      </c>
      <c r="AB171" s="250">
        <v>212103.3</v>
      </c>
      <c r="AC171" s="1014">
        <v>1112.4000000000001</v>
      </c>
      <c r="AD171" s="1081">
        <v>942</v>
      </c>
      <c r="AE171" s="250">
        <v>24.54</v>
      </c>
      <c r="AF171" s="250">
        <v>17.579999999999998</v>
      </c>
      <c r="AG171" s="422">
        <v>82712.100000000006</v>
      </c>
      <c r="AH171" s="250">
        <v>63941.06</v>
      </c>
      <c r="AI171" s="250">
        <v>67220.179999999993</v>
      </c>
      <c r="AJ171" s="250">
        <v>54799.15</v>
      </c>
      <c r="AK171" s="250">
        <v>59884.4</v>
      </c>
      <c r="AL171" s="250">
        <v>23544.6</v>
      </c>
      <c r="AM171" s="250">
        <v>16.899999999999999</v>
      </c>
      <c r="AN171" s="250">
        <v>18.2</v>
      </c>
      <c r="AO171" s="250">
        <v>498339.9</v>
      </c>
      <c r="AP171" s="250">
        <v>229901.8</v>
      </c>
      <c r="AQ171" s="422">
        <v>65313</v>
      </c>
      <c r="AR171" s="1014"/>
      <c r="AS171" s="250">
        <v>465269.9</v>
      </c>
      <c r="AT171" s="250">
        <v>204743.6</v>
      </c>
      <c r="AU171" s="250">
        <v>80451.399999999994</v>
      </c>
      <c r="AV171" s="850">
        <v>4497.01</v>
      </c>
      <c r="AW171" s="850">
        <v>3003.56</v>
      </c>
      <c r="AX171" s="250">
        <v>226.04</v>
      </c>
      <c r="AY171" s="850">
        <v>137.12</v>
      </c>
      <c r="AZ171" s="250">
        <v>823.28399999999999</v>
      </c>
      <c r="BA171" s="250">
        <v>349.49900000000002</v>
      </c>
      <c r="BB171" s="385">
        <v>1826.21</v>
      </c>
      <c r="BC171" s="250">
        <v>3054.6</v>
      </c>
      <c r="BD171" s="250">
        <v>455.7</v>
      </c>
      <c r="BE171" s="250">
        <v>6154.84</v>
      </c>
      <c r="BF171" s="250">
        <v>30344.242105263202</v>
      </c>
      <c r="BG171" s="250">
        <v>7513.5303348671396</v>
      </c>
      <c r="BH171" s="250">
        <v>7204.89</v>
      </c>
      <c r="BI171" s="250">
        <v>2645384</v>
      </c>
      <c r="BJ171" s="250">
        <v>562</v>
      </c>
      <c r="BK171" s="250">
        <v>20789.759999999998</v>
      </c>
      <c r="BL171" s="250">
        <v>3365606</v>
      </c>
      <c r="BM171" s="250">
        <v>116192</v>
      </c>
      <c r="BN171" s="250">
        <v>20782.439999999999</v>
      </c>
      <c r="BO171" s="250">
        <v>3120668</v>
      </c>
      <c r="BP171" s="250">
        <v>159975</v>
      </c>
      <c r="BQ171" s="250">
        <v>18238.900000000001</v>
      </c>
      <c r="BR171" s="250">
        <v>8842.74</v>
      </c>
      <c r="BS171" s="250">
        <v>6018.12</v>
      </c>
      <c r="BT171" s="250">
        <v>1134902</v>
      </c>
      <c r="BU171" s="250">
        <v>644533</v>
      </c>
      <c r="BV171" s="250">
        <v>739325</v>
      </c>
      <c r="BW171" s="250">
        <v>466786</v>
      </c>
      <c r="BX171" s="1324">
        <v>0</v>
      </c>
    </row>
    <row r="172" spans="1:76">
      <c r="A172" s="160">
        <v>45086</v>
      </c>
      <c r="B172" s="250">
        <v>1068.2570000000001</v>
      </c>
      <c r="C172" s="250">
        <v>589.90800000000002</v>
      </c>
      <c r="D172" s="250">
        <v>6861.7</v>
      </c>
      <c r="E172" s="1401">
        <v>0</v>
      </c>
      <c r="F172" s="250">
        <v>18540.099999999999</v>
      </c>
      <c r="G172" s="250">
        <v>5816.7</v>
      </c>
      <c r="H172" s="250">
        <v>8771</v>
      </c>
      <c r="I172" s="250">
        <v>4392.1000000000004</v>
      </c>
      <c r="J172" s="250">
        <v>206502.9</v>
      </c>
      <c r="K172" s="250">
        <v>14963.1</v>
      </c>
      <c r="L172" s="250">
        <v>7011.1</v>
      </c>
      <c r="M172" s="422">
        <v>46196.1</v>
      </c>
      <c r="N172" s="422">
        <v>36751.4</v>
      </c>
      <c r="O172" s="250">
        <v>138191.26</v>
      </c>
      <c r="P172" s="250">
        <v>114611.36</v>
      </c>
      <c r="Q172" s="250">
        <v>140529.37</v>
      </c>
      <c r="R172" s="250">
        <v>96419</v>
      </c>
      <c r="S172" s="250">
        <v>14063.6</v>
      </c>
      <c r="T172" s="250">
        <v>10680.14</v>
      </c>
      <c r="U172" s="250">
        <v>42080.966999999997</v>
      </c>
      <c r="V172" s="250">
        <v>21722.651000000002</v>
      </c>
      <c r="W172" s="250">
        <v>212107.4</v>
      </c>
      <c r="X172" s="1014">
        <v>345.9</v>
      </c>
      <c r="Y172" s="1014">
        <v>50716</v>
      </c>
      <c r="Z172" s="250">
        <v>594495.51899999997</v>
      </c>
      <c r="AA172" s="250">
        <v>302835.51799999998</v>
      </c>
      <c r="AB172" s="250">
        <v>212127.3</v>
      </c>
      <c r="AC172" s="1014">
        <v>1112.4000000000001</v>
      </c>
      <c r="AD172" s="1081">
        <v>942</v>
      </c>
      <c r="AE172" s="250">
        <v>27.87</v>
      </c>
      <c r="AF172" s="250">
        <v>19.940000000000001</v>
      </c>
      <c r="AG172" s="250">
        <v>82719.679999999993</v>
      </c>
      <c r="AH172" s="250">
        <v>63946.69</v>
      </c>
      <c r="AI172" s="250">
        <v>67260.34</v>
      </c>
      <c r="AJ172" s="250">
        <v>54833.279999999999</v>
      </c>
      <c r="AK172" s="250">
        <v>59889.11</v>
      </c>
      <c r="AL172" s="250">
        <v>23546.3</v>
      </c>
      <c r="AM172" s="250">
        <v>16.899999999999999</v>
      </c>
      <c r="AN172" s="250">
        <v>18.2</v>
      </c>
      <c r="AO172" s="250">
        <v>498497.5</v>
      </c>
      <c r="AP172" s="250">
        <v>229974.1</v>
      </c>
      <c r="AQ172" s="250">
        <v>65319.063999999998</v>
      </c>
      <c r="AR172" s="250"/>
      <c r="AS172" s="250">
        <v>465412.9</v>
      </c>
      <c r="AT172" s="250">
        <v>204806.11</v>
      </c>
      <c r="AU172" s="250">
        <v>80475.399999999994</v>
      </c>
      <c r="AV172" s="250">
        <v>4500.91</v>
      </c>
      <c r="AW172" s="250">
        <v>3006.24</v>
      </c>
      <c r="AX172" s="250">
        <v>226.32</v>
      </c>
      <c r="AY172" s="850">
        <v>137.12</v>
      </c>
      <c r="AZ172" s="250">
        <v>823.28399999999999</v>
      </c>
      <c r="BA172" s="250">
        <v>349.49900000000002</v>
      </c>
      <c r="BB172" s="385">
        <v>1826.4</v>
      </c>
      <c r="BC172" s="250">
        <v>3054.9</v>
      </c>
      <c r="BD172" s="250">
        <v>455.7</v>
      </c>
      <c r="BE172" s="250">
        <v>6035.87</v>
      </c>
      <c r="BF172" s="250">
        <v>18037.515789473699</v>
      </c>
      <c r="BG172" s="250">
        <v>8904.6104668516691</v>
      </c>
      <c r="BH172" s="250">
        <v>6661.19</v>
      </c>
      <c r="BI172" s="250">
        <v>2645900.7999999998</v>
      </c>
      <c r="BJ172" s="250">
        <v>562</v>
      </c>
      <c r="BK172" s="250">
        <v>20795.84</v>
      </c>
      <c r="BL172" s="250">
        <v>3370026</v>
      </c>
      <c r="BM172" s="250">
        <v>116532</v>
      </c>
      <c r="BN172" s="250">
        <v>20806.400000000001</v>
      </c>
      <c r="BO172" s="250">
        <v>3121902</v>
      </c>
      <c r="BP172" s="250">
        <v>160011</v>
      </c>
      <c r="BQ172" s="250">
        <v>18246.490000000002</v>
      </c>
      <c r="BR172" s="250">
        <v>8849.07</v>
      </c>
      <c r="BS172" s="250">
        <v>6022.49</v>
      </c>
      <c r="BT172" s="250">
        <v>1136123</v>
      </c>
      <c r="BU172" s="250">
        <v>645196</v>
      </c>
      <c r="BV172" s="250">
        <v>739522</v>
      </c>
      <c r="BW172" s="250">
        <v>466908</v>
      </c>
      <c r="BX172" s="1324">
        <v>0</v>
      </c>
    </row>
    <row r="173" spans="1:76">
      <c r="A173" s="160">
        <v>45087</v>
      </c>
      <c r="B173" s="250">
        <v>1068.2570000000001</v>
      </c>
      <c r="C173" s="250">
        <v>589.90800000000002</v>
      </c>
      <c r="D173" s="250">
        <v>6861.7</v>
      </c>
      <c r="E173" s="1401">
        <v>0</v>
      </c>
      <c r="F173" s="250">
        <v>18553.599999999999</v>
      </c>
      <c r="G173" s="250">
        <v>5820.4</v>
      </c>
      <c r="H173" s="250">
        <v>8936.7999999999993</v>
      </c>
      <c r="I173" s="250">
        <v>4473.8999999999996</v>
      </c>
      <c r="J173" s="250">
        <v>206526.9</v>
      </c>
      <c r="K173" s="250">
        <v>14963.1</v>
      </c>
      <c r="L173" s="250">
        <v>7011.1</v>
      </c>
      <c r="M173" s="422">
        <v>46196.1</v>
      </c>
      <c r="N173" s="422">
        <v>36751.4</v>
      </c>
      <c r="O173" s="250">
        <v>138203.64000000001</v>
      </c>
      <c r="P173" s="250">
        <v>114620.93</v>
      </c>
      <c r="Q173" s="250">
        <v>140543.71</v>
      </c>
      <c r="R173" s="250">
        <v>96429.16</v>
      </c>
      <c r="S173" s="250">
        <v>14063.6</v>
      </c>
      <c r="T173" s="250">
        <v>10680.14</v>
      </c>
      <c r="U173" s="250">
        <v>42230.64</v>
      </c>
      <c r="V173" s="250">
        <v>21800</v>
      </c>
      <c r="W173" s="250">
        <v>212131.4</v>
      </c>
      <c r="X173" s="1014">
        <v>345.9</v>
      </c>
      <c r="Y173" s="1014">
        <v>50716</v>
      </c>
      <c r="Z173" s="250">
        <v>594774.9</v>
      </c>
      <c r="AA173" s="250">
        <v>302973.15999999997</v>
      </c>
      <c r="AB173" s="250">
        <v>212151.3</v>
      </c>
      <c r="AC173" s="1014">
        <v>1112.4000000000001</v>
      </c>
      <c r="AD173" s="1081">
        <v>942</v>
      </c>
      <c r="AE173" s="250">
        <v>31.15</v>
      </c>
      <c r="AF173" s="250">
        <v>22.28</v>
      </c>
      <c r="AG173" s="422">
        <v>82728.600000000006</v>
      </c>
      <c r="AH173" s="250">
        <v>63953.18</v>
      </c>
      <c r="AI173" s="250">
        <v>67296.42</v>
      </c>
      <c r="AJ173" s="250">
        <v>54864.14</v>
      </c>
      <c r="AK173" s="250">
        <v>59899.5</v>
      </c>
      <c r="AL173" s="250">
        <v>23550.3</v>
      </c>
      <c r="AM173" s="250">
        <v>16.899999999999999</v>
      </c>
      <c r="AN173" s="250">
        <v>18.2</v>
      </c>
      <c r="AO173" s="250">
        <v>498647.8</v>
      </c>
      <c r="AP173" s="250">
        <v>230040.2</v>
      </c>
      <c r="AQ173" s="422">
        <v>65324.163999999997</v>
      </c>
      <c r="AR173" s="1014"/>
      <c r="AS173" s="250">
        <v>465550.16</v>
      </c>
      <c r="AT173" s="250">
        <v>204866.22</v>
      </c>
      <c r="AU173" s="250">
        <v>80499.399999999994</v>
      </c>
      <c r="AV173" s="850">
        <v>4504.62</v>
      </c>
      <c r="AW173" s="850">
        <v>3008.83</v>
      </c>
      <c r="AX173" s="250">
        <v>226.32</v>
      </c>
      <c r="AY173" s="850">
        <v>137.12</v>
      </c>
      <c r="AZ173" s="250">
        <v>823.28399999999999</v>
      </c>
      <c r="BA173" s="250">
        <v>349.49900000000002</v>
      </c>
      <c r="BB173" s="385">
        <v>1826.4</v>
      </c>
      <c r="BC173" s="250">
        <v>3054.9</v>
      </c>
      <c r="BD173" s="250">
        <v>455.7</v>
      </c>
      <c r="BE173" s="250">
        <v>6076.16</v>
      </c>
      <c r="BF173" s="250">
        <v>15109.929824561401</v>
      </c>
      <c r="BG173" s="250">
        <v>7253.0812446619602</v>
      </c>
      <c r="BH173" s="250">
        <v>6280.44</v>
      </c>
      <c r="BI173" s="250">
        <v>2645900.7999999998</v>
      </c>
      <c r="BJ173" s="250">
        <v>562</v>
      </c>
      <c r="BK173" s="250">
        <v>20795.84</v>
      </c>
      <c r="BL173" s="250">
        <v>3372586</v>
      </c>
      <c r="BM173" s="250">
        <v>116532</v>
      </c>
      <c r="BN173" s="250">
        <v>20830.400000000001</v>
      </c>
      <c r="BO173" s="250">
        <v>3125996</v>
      </c>
      <c r="BP173" s="250">
        <v>160131</v>
      </c>
      <c r="BQ173" s="250">
        <v>18270.5</v>
      </c>
      <c r="BR173" s="250">
        <v>8855.41</v>
      </c>
      <c r="BS173" s="250">
        <v>6026.91</v>
      </c>
      <c r="BT173" s="250">
        <v>1137342</v>
      </c>
      <c r="BU173" s="250">
        <v>645863</v>
      </c>
      <c r="BV173" s="250">
        <v>739717</v>
      </c>
      <c r="BW173" s="250">
        <v>467022</v>
      </c>
      <c r="BX173" s="1324">
        <v>0</v>
      </c>
    </row>
    <row r="174" spans="1:76">
      <c r="A174" s="160">
        <v>45088</v>
      </c>
      <c r="B174" s="250">
        <v>1068.2570000000001</v>
      </c>
      <c r="C174" s="250">
        <v>589.90800000000002</v>
      </c>
      <c r="D174" s="250">
        <v>6861.7</v>
      </c>
      <c r="E174" s="250">
        <v>0</v>
      </c>
      <c r="F174" s="250">
        <v>18567.900000000001</v>
      </c>
      <c r="G174" s="250">
        <v>5824.1</v>
      </c>
      <c r="H174" s="250">
        <v>9099.1</v>
      </c>
      <c r="I174" s="250">
        <v>4555.6000000000004</v>
      </c>
      <c r="J174" s="250">
        <v>206550.9</v>
      </c>
      <c r="K174" s="250">
        <v>14963.1</v>
      </c>
      <c r="L174" s="250">
        <v>7011.1</v>
      </c>
      <c r="M174" s="250">
        <v>46196.1</v>
      </c>
      <c r="N174" s="250">
        <v>36751.4</v>
      </c>
      <c r="O174" s="250">
        <v>138216.21</v>
      </c>
      <c r="P174" s="250">
        <v>114630.67</v>
      </c>
      <c r="Q174" s="250">
        <v>140557.79999999999</v>
      </c>
      <c r="R174" s="250">
        <v>96439.31</v>
      </c>
      <c r="S174" s="250">
        <v>14063.6</v>
      </c>
      <c r="T174" s="250">
        <v>10680.14</v>
      </c>
      <c r="U174" s="250">
        <v>42381.85</v>
      </c>
      <c r="V174" s="250">
        <v>21878</v>
      </c>
      <c r="W174" s="250">
        <v>212155.4</v>
      </c>
      <c r="X174" s="1014">
        <v>345.9</v>
      </c>
      <c r="Y174" s="1014">
        <v>50716</v>
      </c>
      <c r="Z174" s="250">
        <v>595044.4</v>
      </c>
      <c r="AA174" s="250">
        <v>303107.46999999997</v>
      </c>
      <c r="AB174" s="250">
        <v>212175.3</v>
      </c>
      <c r="AC174" s="1014">
        <v>1112.4000000000001</v>
      </c>
      <c r="AD174" s="1081">
        <v>942</v>
      </c>
      <c r="AE174" s="250">
        <v>34.4</v>
      </c>
      <c r="AF174" s="250">
        <v>24.61</v>
      </c>
      <c r="AG174" s="250">
        <v>82735.11</v>
      </c>
      <c r="AH174" s="250">
        <v>63958.16</v>
      </c>
      <c r="AI174" s="250">
        <v>67333.039999999994</v>
      </c>
      <c r="AJ174" s="250">
        <v>54895.41</v>
      </c>
      <c r="AK174" s="250">
        <v>59908</v>
      </c>
      <c r="AL174" s="250">
        <v>23553.599999999999</v>
      </c>
      <c r="AM174" s="250">
        <v>16.899999999999999</v>
      </c>
      <c r="AN174" s="250">
        <v>18.2</v>
      </c>
      <c r="AO174" s="250">
        <v>498796.5</v>
      </c>
      <c r="AP174" s="250">
        <v>230106</v>
      </c>
      <c r="AQ174" s="250">
        <v>65329.027000000002</v>
      </c>
      <c r="AR174" s="250"/>
      <c r="AS174" s="250">
        <v>465685.2</v>
      </c>
      <c r="AT174" s="250">
        <v>204925.7</v>
      </c>
      <c r="AU174" s="250">
        <v>80523.399999999994</v>
      </c>
      <c r="AV174" s="250">
        <v>4508.1400000000003</v>
      </c>
      <c r="AW174" s="250">
        <v>3011.23</v>
      </c>
      <c r="AX174" s="250">
        <v>226.32</v>
      </c>
      <c r="AY174" s="250">
        <v>137.12</v>
      </c>
      <c r="AZ174" s="250">
        <v>823.28399999999999</v>
      </c>
      <c r="BA174" s="250">
        <v>349.49900000000002</v>
      </c>
      <c r="BB174" s="250">
        <v>1826.4</v>
      </c>
      <c r="BC174" s="250">
        <v>3055</v>
      </c>
      <c r="BD174" s="250">
        <v>455.7</v>
      </c>
      <c r="BE174" s="250">
        <v>5739.48</v>
      </c>
      <c r="BF174" s="250">
        <v>14448.3543859649</v>
      </c>
      <c r="BG174" s="250">
        <v>7158.77915421739</v>
      </c>
      <c r="BH174" s="250">
        <v>6151.48</v>
      </c>
      <c r="BI174" s="250">
        <v>2645900.7999999998</v>
      </c>
      <c r="BJ174" s="250">
        <v>562</v>
      </c>
      <c r="BK174" s="250">
        <v>20795.84</v>
      </c>
      <c r="BL174" s="250">
        <v>3375178</v>
      </c>
      <c r="BM174" s="250">
        <v>116532</v>
      </c>
      <c r="BN174" s="250">
        <v>20854.400000000001</v>
      </c>
      <c r="BO174" s="250">
        <v>3130637</v>
      </c>
      <c r="BP174" s="250">
        <v>160378</v>
      </c>
      <c r="BQ174" s="250">
        <v>18294.5</v>
      </c>
      <c r="BR174" s="250">
        <v>8861.73</v>
      </c>
      <c r="BS174" s="250">
        <v>6031.28</v>
      </c>
      <c r="BT174" s="250">
        <v>1138552</v>
      </c>
      <c r="BU174" s="250">
        <v>646525</v>
      </c>
      <c r="BV174" s="250">
        <v>739881</v>
      </c>
      <c r="BW174" s="250">
        <v>467118</v>
      </c>
      <c r="BX174" s="1324">
        <v>0</v>
      </c>
    </row>
    <row r="175" spans="1:76">
      <c r="A175" s="160">
        <v>45089</v>
      </c>
      <c r="B175" s="250">
        <v>1068.588</v>
      </c>
      <c r="C175" s="250">
        <v>590.07600000000002</v>
      </c>
      <c r="D175" s="250">
        <v>6862.3</v>
      </c>
      <c r="E175" s="250">
        <v>0.3</v>
      </c>
      <c r="F175" s="250">
        <v>18581.400000000001</v>
      </c>
      <c r="G175" s="250">
        <v>5828.1</v>
      </c>
      <c r="H175" s="250">
        <v>9263.2999999999993</v>
      </c>
      <c r="I175" s="250">
        <v>4638</v>
      </c>
      <c r="J175" s="250">
        <v>206574.9</v>
      </c>
      <c r="K175" s="250">
        <v>14963.1</v>
      </c>
      <c r="L175" s="250">
        <v>7011.1</v>
      </c>
      <c r="M175" s="250">
        <v>46196.1</v>
      </c>
      <c r="N175" s="250">
        <v>36751.4</v>
      </c>
      <c r="O175" s="250">
        <v>138228.57</v>
      </c>
      <c r="P175" s="250">
        <v>114640.36</v>
      </c>
      <c r="Q175" s="250">
        <v>140571.94</v>
      </c>
      <c r="R175" s="250">
        <v>96449.56</v>
      </c>
      <c r="S175" s="250">
        <v>14063.6</v>
      </c>
      <c r="T175" s="250">
        <v>10680.14</v>
      </c>
      <c r="U175" s="250">
        <v>42534.332000000002</v>
      </c>
      <c r="V175" s="250">
        <v>21957</v>
      </c>
      <c r="W175" s="250">
        <v>212179.4</v>
      </c>
      <c r="X175" s="1014">
        <v>345.9</v>
      </c>
      <c r="Y175" s="1014">
        <v>50716</v>
      </c>
      <c r="Z175" s="250">
        <v>595314.1</v>
      </c>
      <c r="AA175" s="250">
        <v>303240.38</v>
      </c>
      <c r="AB175" s="250">
        <v>212199.3</v>
      </c>
      <c r="AC175" s="1014">
        <v>1112.4000000000001</v>
      </c>
      <c r="AD175" s="1081">
        <v>942</v>
      </c>
      <c r="AE175" s="250">
        <v>37.46</v>
      </c>
      <c r="AF175" s="250">
        <v>26.81</v>
      </c>
      <c r="AG175" s="250">
        <v>82741.119999999995</v>
      </c>
      <c r="AH175" s="250">
        <v>63962.8</v>
      </c>
      <c r="AI175" s="250">
        <v>67367.5</v>
      </c>
      <c r="AJ175" s="250">
        <v>54924.61</v>
      </c>
      <c r="AK175" s="250">
        <v>59917.5</v>
      </c>
      <c r="AL175" s="250">
        <v>23557.3</v>
      </c>
      <c r="AM175" s="250">
        <v>16.899999999999999</v>
      </c>
      <c r="AN175" s="250">
        <v>18.2</v>
      </c>
      <c r="AO175" s="250">
        <v>498942.8</v>
      </c>
      <c r="AP175" s="250">
        <v>230170.7</v>
      </c>
      <c r="AQ175" s="250">
        <v>65333.478999999999</v>
      </c>
      <c r="AR175" s="250"/>
      <c r="AS175" s="250">
        <v>465819.8</v>
      </c>
      <c r="AT175" s="250">
        <v>204985</v>
      </c>
      <c r="AU175" s="250">
        <v>80547.399999999994</v>
      </c>
      <c r="AV175" s="250">
        <v>4511.13</v>
      </c>
      <c r="AW175" s="250">
        <v>3013.22</v>
      </c>
      <c r="AX175" s="250">
        <v>226.32</v>
      </c>
      <c r="AY175" s="250">
        <v>137.12</v>
      </c>
      <c r="AZ175" s="250">
        <v>823.61599999999999</v>
      </c>
      <c r="BA175" s="250">
        <v>349.625</v>
      </c>
      <c r="BB175" s="250">
        <v>1826.8</v>
      </c>
      <c r="BC175" s="250">
        <v>3055.3</v>
      </c>
      <c r="BD175" s="250">
        <v>455.7</v>
      </c>
      <c r="BE175" s="250">
        <v>5879.11</v>
      </c>
      <c r="BF175" s="250">
        <v>13659.3245614035</v>
      </c>
      <c r="BG175" s="250">
        <v>8770.2316489495297</v>
      </c>
      <c r="BH175" s="250">
        <v>6331.24</v>
      </c>
      <c r="BI175" s="250">
        <v>2645900.7999999998</v>
      </c>
      <c r="BJ175" s="250">
        <v>562</v>
      </c>
      <c r="BK175" s="250">
        <v>20795.84</v>
      </c>
      <c r="BL175" s="250">
        <v>3377688</v>
      </c>
      <c r="BM175" s="250">
        <v>116532</v>
      </c>
      <c r="BN175" s="250">
        <v>20878.400000000001</v>
      </c>
      <c r="BO175" s="250">
        <v>3134868</v>
      </c>
      <c r="BP175" s="250">
        <v>160552</v>
      </c>
      <c r="BQ175" s="250">
        <v>18318.5</v>
      </c>
      <c r="BR175" s="250">
        <v>8867.9599999999991</v>
      </c>
      <c r="BS175" s="250">
        <v>6035.59</v>
      </c>
      <c r="BT175" s="250">
        <v>1139718</v>
      </c>
      <c r="BU175" s="250">
        <v>647162</v>
      </c>
      <c r="BV175" s="250">
        <v>740031</v>
      </c>
      <c r="BW175" s="250">
        <v>467204</v>
      </c>
      <c r="BX175" s="1324">
        <v>0.3</v>
      </c>
    </row>
    <row r="176" spans="1:76">
      <c r="A176" s="160">
        <v>45090</v>
      </c>
      <c r="B176" s="250">
        <v>1068.588</v>
      </c>
      <c r="C176" s="250">
        <v>590.07600000000002</v>
      </c>
      <c r="D176" s="250">
        <v>6862.3</v>
      </c>
      <c r="E176" s="250">
        <v>0</v>
      </c>
      <c r="F176" s="250">
        <v>18595.7</v>
      </c>
      <c r="G176" s="250">
        <v>5832.9</v>
      </c>
      <c r="H176" s="250">
        <v>9423.2000000000007</v>
      </c>
      <c r="I176" s="250">
        <v>4718.8</v>
      </c>
      <c r="J176" s="250">
        <v>206598.9</v>
      </c>
      <c r="K176" s="250">
        <v>14963.1</v>
      </c>
      <c r="L176" s="250">
        <v>7011.1</v>
      </c>
      <c r="M176" s="250">
        <v>46196.1</v>
      </c>
      <c r="N176" s="250">
        <v>36751.4</v>
      </c>
      <c r="O176" s="250">
        <v>138240</v>
      </c>
      <c r="P176" s="250">
        <v>114649</v>
      </c>
      <c r="Q176" s="250">
        <v>140587</v>
      </c>
      <c r="R176" s="250">
        <v>96460</v>
      </c>
      <c r="S176" s="250">
        <v>14063.6</v>
      </c>
      <c r="T176" s="250">
        <v>10680.14</v>
      </c>
      <c r="U176" s="250">
        <v>42681.188000000002</v>
      </c>
      <c r="V176" s="250">
        <v>22032</v>
      </c>
      <c r="W176" s="250">
        <v>212203.4</v>
      </c>
      <c r="X176" s="1014">
        <v>345.9</v>
      </c>
      <c r="Y176" s="1014">
        <v>50716</v>
      </c>
      <c r="Z176" s="250">
        <v>595598.43999999994</v>
      </c>
      <c r="AA176" s="250">
        <v>303383.34000000003</v>
      </c>
      <c r="AB176" s="250">
        <v>212223.3</v>
      </c>
      <c r="AC176" s="1014">
        <v>1112.4000000000001</v>
      </c>
      <c r="AD176" s="1081">
        <v>942</v>
      </c>
      <c r="AE176" s="250">
        <v>40.799999999999997</v>
      </c>
      <c r="AF176" s="250">
        <v>29.1</v>
      </c>
      <c r="AG176" s="250">
        <v>82748.100000000006</v>
      </c>
      <c r="AH176" s="250">
        <v>63968.1</v>
      </c>
      <c r="AI176" s="250">
        <v>67403</v>
      </c>
      <c r="AJ176" s="250">
        <v>54954</v>
      </c>
      <c r="AK176" s="250">
        <v>59927.8</v>
      </c>
      <c r="AL176" s="250">
        <v>23561.1</v>
      </c>
      <c r="AM176" s="250">
        <v>16.899999999999999</v>
      </c>
      <c r="AN176" s="250">
        <v>18.2</v>
      </c>
      <c r="AO176" s="250">
        <v>499098</v>
      </c>
      <c r="AP176" s="250">
        <v>230239</v>
      </c>
      <c r="AQ176" s="250">
        <v>65338.7</v>
      </c>
      <c r="AR176" s="250"/>
      <c r="AS176" s="250">
        <v>465961.8</v>
      </c>
      <c r="AT176" s="250">
        <v>205046.7</v>
      </c>
      <c r="AU176" s="250">
        <v>80571.399999999994</v>
      </c>
      <c r="AV176" s="250">
        <v>4514.3</v>
      </c>
      <c r="AW176" s="250">
        <v>3015.4</v>
      </c>
      <c r="AX176" s="250">
        <v>226.32</v>
      </c>
      <c r="AY176" s="250">
        <v>137.12</v>
      </c>
      <c r="AZ176" s="250">
        <v>823.61599999999999</v>
      </c>
      <c r="BA176" s="250">
        <v>349.625</v>
      </c>
      <c r="BB176" s="250">
        <v>1826.8</v>
      </c>
      <c r="BC176" s="250">
        <v>3056.3</v>
      </c>
      <c r="BD176" s="250">
        <v>455.7</v>
      </c>
      <c r="BE176" s="1014">
        <v>5202.5200000000004</v>
      </c>
      <c r="BF176" s="1014">
        <v>28062.866666666701</v>
      </c>
      <c r="BG176" s="1014">
        <v>7777.2944265797896</v>
      </c>
      <c r="BH176" s="1014">
        <v>6020.27</v>
      </c>
      <c r="BI176" s="250">
        <v>2645900.7999999998</v>
      </c>
      <c r="BJ176" s="250">
        <v>562</v>
      </c>
      <c r="BK176" s="250">
        <v>20795.84</v>
      </c>
      <c r="BL176" s="250">
        <v>3380084</v>
      </c>
      <c r="BM176" s="250">
        <v>116532</v>
      </c>
      <c r="BN176" s="250">
        <v>20902.400000000001</v>
      </c>
      <c r="BO176" s="250">
        <v>3139935</v>
      </c>
      <c r="BP176" s="250">
        <v>161249</v>
      </c>
      <c r="BQ176" s="250">
        <v>18342.5</v>
      </c>
      <c r="BR176" s="250">
        <v>8874.2999999999993</v>
      </c>
      <c r="BS176" s="250">
        <v>6040</v>
      </c>
      <c r="BT176" s="250">
        <v>1140917</v>
      </c>
      <c r="BU176" s="250">
        <v>647822</v>
      </c>
      <c r="BV176" s="250">
        <v>740247</v>
      </c>
      <c r="BW176" s="250">
        <v>467331</v>
      </c>
      <c r="BX176" s="1324">
        <v>0</v>
      </c>
    </row>
    <row r="177" spans="1:76">
      <c r="A177" s="160">
        <v>45091</v>
      </c>
      <c r="B177" s="1014">
        <v>1068.588</v>
      </c>
      <c r="C177" s="1014">
        <v>590.07600000000002</v>
      </c>
      <c r="D177" s="1014">
        <v>6862.3</v>
      </c>
      <c r="E177" s="1839">
        <v>0</v>
      </c>
      <c r="F177" s="1014">
        <v>18610.099999999999</v>
      </c>
      <c r="G177" s="1014">
        <v>5837.5</v>
      </c>
      <c r="H177" s="1014">
        <v>9585.7999999999993</v>
      </c>
      <c r="I177" s="1014">
        <v>4800.5</v>
      </c>
      <c r="J177" s="1014">
        <v>206622.9</v>
      </c>
      <c r="K177" s="1014">
        <v>14963.1</v>
      </c>
      <c r="L177" s="1014">
        <v>7011.1</v>
      </c>
      <c r="M177" s="1014">
        <v>46196.1</v>
      </c>
      <c r="N177" s="1014">
        <v>36751.4</v>
      </c>
      <c r="O177" s="1014">
        <v>138253</v>
      </c>
      <c r="P177" s="1014">
        <v>114660</v>
      </c>
      <c r="Q177" s="1014">
        <v>140602</v>
      </c>
      <c r="R177" s="1014">
        <v>96471</v>
      </c>
      <c r="S177" s="1014">
        <v>14063.6</v>
      </c>
      <c r="T177" s="1014">
        <v>10680.14</v>
      </c>
      <c r="U177" s="1014">
        <v>42827.983999999997</v>
      </c>
      <c r="V177" s="1014">
        <v>22105</v>
      </c>
      <c r="W177" s="1014">
        <v>212227.4</v>
      </c>
      <c r="X177" s="1014">
        <v>345.9</v>
      </c>
      <c r="Y177" s="1014">
        <v>50716</v>
      </c>
      <c r="Z177" s="1014">
        <v>595887.9</v>
      </c>
      <c r="AA177" s="1014">
        <v>303527.7</v>
      </c>
      <c r="AB177" s="1014">
        <v>212247.3</v>
      </c>
      <c r="AC177" s="1014">
        <v>1112.4000000000001</v>
      </c>
      <c r="AD177" s="1081">
        <v>942</v>
      </c>
      <c r="AE177" s="1014">
        <v>44.03</v>
      </c>
      <c r="AF177" s="1014">
        <v>31.47</v>
      </c>
      <c r="AG177" s="1014">
        <v>82752.100000000006</v>
      </c>
      <c r="AH177" s="1014">
        <v>63971</v>
      </c>
      <c r="AI177" s="1014">
        <v>67439.899999999994</v>
      </c>
      <c r="AJ177" s="1014">
        <v>54986</v>
      </c>
      <c r="AK177" s="1014">
        <v>59938.5</v>
      </c>
      <c r="AL177" s="1014">
        <v>23565</v>
      </c>
      <c r="AM177" s="1014">
        <v>16.899999999999999</v>
      </c>
      <c r="AN177" s="1014">
        <v>18.2</v>
      </c>
      <c r="AO177" s="1014">
        <v>499261</v>
      </c>
      <c r="AP177" s="1014">
        <v>230310</v>
      </c>
      <c r="AQ177" s="1014">
        <v>65343.199999999997</v>
      </c>
      <c r="AR177" s="1014"/>
      <c r="AS177" s="1014">
        <v>466109</v>
      </c>
      <c r="AT177" s="1014">
        <v>205110.3</v>
      </c>
      <c r="AU177" s="1014">
        <v>80595.399999999994</v>
      </c>
      <c r="AV177" s="1014">
        <v>4517.6000000000004</v>
      </c>
      <c r="AW177" s="1014">
        <v>3017.6</v>
      </c>
      <c r="AX177" s="1014">
        <v>226.32</v>
      </c>
      <c r="AY177" s="1105">
        <v>137.12</v>
      </c>
      <c r="AZ177" s="1014">
        <v>823.61599999999999</v>
      </c>
      <c r="BA177" s="1014">
        <v>349.625</v>
      </c>
      <c r="BB177" s="1089">
        <v>1826.8</v>
      </c>
      <c r="BC177" s="1014">
        <v>3057.8</v>
      </c>
      <c r="BD177" s="1014">
        <v>455.7</v>
      </c>
      <c r="BE177" s="1014">
        <v>5950.07</v>
      </c>
      <c r="BF177" s="1014">
        <v>30418.498245613999</v>
      </c>
      <c r="BG177" s="1014">
        <v>8697.4598446093496</v>
      </c>
      <c r="BH177" s="1014">
        <v>5940.92</v>
      </c>
      <c r="BI177" s="1014">
        <v>2645900.7999999998</v>
      </c>
      <c r="BJ177" s="1014">
        <v>562</v>
      </c>
      <c r="BK177" s="1014">
        <v>20795.84</v>
      </c>
      <c r="BL177" s="1014">
        <v>3382462</v>
      </c>
      <c r="BM177" s="1014">
        <v>116532</v>
      </c>
      <c r="BN177" s="1014">
        <v>20926.400000000001</v>
      </c>
      <c r="BO177" s="1014">
        <v>3144981</v>
      </c>
      <c r="BP177" s="1014">
        <v>161959</v>
      </c>
      <c r="BQ177" s="1014">
        <v>18366.5</v>
      </c>
      <c r="BR177" s="1014">
        <v>8880.6</v>
      </c>
      <c r="BS177" s="1014">
        <v>6044.4</v>
      </c>
      <c r="BT177" s="1014">
        <v>1142087</v>
      </c>
      <c r="BU177" s="1014">
        <v>648461</v>
      </c>
      <c r="BV177" s="1014">
        <v>740397</v>
      </c>
      <c r="BW177" s="1014">
        <v>467417</v>
      </c>
      <c r="BX177" s="1324">
        <v>0</v>
      </c>
    </row>
    <row r="178" spans="1:76">
      <c r="A178" s="160">
        <v>45092</v>
      </c>
      <c r="B178" s="1014">
        <v>1068.588</v>
      </c>
      <c r="C178" s="1014">
        <v>590.07600000000002</v>
      </c>
      <c r="D178" s="1014">
        <v>6862.3</v>
      </c>
      <c r="E178" s="1839">
        <v>0</v>
      </c>
      <c r="F178" s="1014">
        <v>18624.2</v>
      </c>
      <c r="G178" s="1014">
        <v>5842.1</v>
      </c>
      <c r="H178" s="1014">
        <v>9751.5</v>
      </c>
      <c r="I178" s="1014">
        <v>4883.5</v>
      </c>
      <c r="J178" s="1014">
        <v>206646.9</v>
      </c>
      <c r="K178" s="1014">
        <v>14963.1</v>
      </c>
      <c r="L178" s="1014">
        <v>7011.1</v>
      </c>
      <c r="M178" s="1014">
        <v>46196.1</v>
      </c>
      <c r="N178" s="1014">
        <v>36751.4</v>
      </c>
      <c r="O178" s="1014">
        <v>138265</v>
      </c>
      <c r="P178" s="1014">
        <v>114669</v>
      </c>
      <c r="Q178" s="1014">
        <v>140617</v>
      </c>
      <c r="R178" s="1014">
        <v>96481.5</v>
      </c>
      <c r="S178" s="1014">
        <v>14063.6</v>
      </c>
      <c r="T178" s="1014">
        <v>10680.14</v>
      </c>
      <c r="U178" s="1014">
        <v>42995.1</v>
      </c>
      <c r="V178" s="1014">
        <v>22189</v>
      </c>
      <c r="W178" s="1014">
        <v>212251.4</v>
      </c>
      <c r="X178" s="1014">
        <v>345.9</v>
      </c>
      <c r="Y178" s="1014">
        <v>50716</v>
      </c>
      <c r="Z178" s="1014">
        <v>596165.25</v>
      </c>
      <c r="AA178" s="1014">
        <v>303666.09999999998</v>
      </c>
      <c r="AB178" s="1014">
        <v>212271.3</v>
      </c>
      <c r="AC178" s="1014">
        <v>1112.4000000000001</v>
      </c>
      <c r="AD178" s="1081">
        <v>942</v>
      </c>
      <c r="AE178" s="1014">
        <v>47.27</v>
      </c>
      <c r="AF178" s="1014">
        <v>37.770000000000003</v>
      </c>
      <c r="AG178" s="1014">
        <v>82756.399999999994</v>
      </c>
      <c r="AH178" s="1014">
        <v>63974.2</v>
      </c>
      <c r="AI178" s="1014">
        <v>67476.7</v>
      </c>
      <c r="AJ178" s="1014">
        <v>55017.8</v>
      </c>
      <c r="AK178" s="1014">
        <v>59949</v>
      </c>
      <c r="AL178" s="1014">
        <v>23569.200000000001</v>
      </c>
      <c r="AM178" s="1014">
        <v>16.899999999999999</v>
      </c>
      <c r="AN178" s="1014">
        <v>18.2</v>
      </c>
      <c r="AO178" s="1014">
        <v>499424</v>
      </c>
      <c r="AP178" s="1014">
        <v>230381</v>
      </c>
      <c r="AQ178" s="1014">
        <v>65348.5</v>
      </c>
      <c r="AR178" s="1014"/>
      <c r="AS178" s="1014">
        <v>466260.7</v>
      </c>
      <c r="AT178" s="1014">
        <v>205175.9</v>
      </c>
      <c r="AU178" s="1014">
        <v>80619.399999999994</v>
      </c>
      <c r="AV178" s="1014">
        <v>4521</v>
      </c>
      <c r="AW178" s="1014">
        <v>3019</v>
      </c>
      <c r="AX178" s="1014">
        <v>226.32</v>
      </c>
      <c r="AY178" s="1105">
        <v>137.12</v>
      </c>
      <c r="AZ178" s="1014">
        <v>823.61599999999999</v>
      </c>
      <c r="BA178" s="1014">
        <v>349.625</v>
      </c>
      <c r="BB178" s="1089">
        <v>1826.8</v>
      </c>
      <c r="BC178" s="1014">
        <v>3059.1</v>
      </c>
      <c r="BD178" s="1014">
        <v>455.7</v>
      </c>
      <c r="BE178" s="1014">
        <v>5894.1800000000012</v>
      </c>
      <c r="BF178" s="1014">
        <v>31058.870175438595</v>
      </c>
      <c r="BG178" s="1014">
        <v>7713.8148323004498</v>
      </c>
      <c r="BH178" s="1014">
        <v>5996.8799999999992</v>
      </c>
      <c r="BI178" s="1014">
        <v>2645900.7999999998</v>
      </c>
      <c r="BJ178" s="1014">
        <v>562</v>
      </c>
      <c r="BK178" s="1014">
        <v>20795.84</v>
      </c>
      <c r="BL178" s="1014">
        <v>3384765</v>
      </c>
      <c r="BM178" s="1014">
        <v>116532</v>
      </c>
      <c r="BN178" s="1014">
        <v>20950.400000000001</v>
      </c>
      <c r="BO178" s="1014">
        <v>3149867</v>
      </c>
      <c r="BP178" s="1014">
        <v>162614</v>
      </c>
      <c r="BQ178" s="1014">
        <v>18390.5</v>
      </c>
      <c r="BR178" s="1014">
        <v>8886.7999999999993</v>
      </c>
      <c r="BS178" s="1014">
        <v>6048.8</v>
      </c>
      <c r="BT178" s="1014">
        <v>1143267</v>
      </c>
      <c r="BU178" s="1014">
        <v>649103</v>
      </c>
      <c r="BV178" s="1014">
        <v>740541</v>
      </c>
      <c r="BW178" s="1014">
        <v>467502</v>
      </c>
      <c r="BX178" s="1324">
        <v>0</v>
      </c>
    </row>
    <row r="179" spans="1:76">
      <c r="A179" s="160">
        <v>45093</v>
      </c>
      <c r="B179" s="1014">
        <v>1068.588</v>
      </c>
      <c r="C179" s="1014">
        <v>590.07600000000002</v>
      </c>
      <c r="D179" s="1014">
        <v>6862.3</v>
      </c>
      <c r="E179" s="1839">
        <v>0</v>
      </c>
      <c r="F179" s="1014">
        <v>18638.599999999999</v>
      </c>
      <c r="G179" s="1014">
        <v>5846.9</v>
      </c>
      <c r="H179" s="1014">
        <v>9918.1</v>
      </c>
      <c r="I179" s="1014">
        <v>4966.5</v>
      </c>
      <c r="J179" s="1014">
        <v>206670.9</v>
      </c>
      <c r="K179" s="1014">
        <v>14963.1</v>
      </c>
      <c r="L179" s="1014">
        <v>7011.1</v>
      </c>
      <c r="M179" s="1014">
        <v>46196.1</v>
      </c>
      <c r="N179" s="1014">
        <v>36751.4</v>
      </c>
      <c r="O179" s="1105">
        <v>138276</v>
      </c>
      <c r="P179" s="1105">
        <v>114678</v>
      </c>
      <c r="Q179" s="1105">
        <v>140630</v>
      </c>
      <c r="R179" s="1105">
        <v>96491.1</v>
      </c>
      <c r="S179" s="1014">
        <v>14063.6</v>
      </c>
      <c r="T179" s="1014">
        <v>10680.14</v>
      </c>
      <c r="U179" s="1105">
        <v>43329.9</v>
      </c>
      <c r="V179" s="1105">
        <v>22356.5</v>
      </c>
      <c r="W179" s="1014">
        <v>212275.4</v>
      </c>
      <c r="X179" s="1014">
        <v>345.9</v>
      </c>
      <c r="Y179" s="1014">
        <v>50716</v>
      </c>
      <c r="Z179" s="1105">
        <v>596270</v>
      </c>
      <c r="AA179" s="1105">
        <v>303719</v>
      </c>
      <c r="AB179" s="1014">
        <v>212295.3</v>
      </c>
      <c r="AC179" s="1014">
        <v>1112.4000000000001</v>
      </c>
      <c r="AD179" s="1081">
        <v>942</v>
      </c>
      <c r="AE179" s="1014">
        <v>50.52</v>
      </c>
      <c r="AF179" s="1014">
        <v>36.08</v>
      </c>
      <c r="AG179" s="1014">
        <v>82760</v>
      </c>
      <c r="AH179" s="1014">
        <v>63976.800000000003</v>
      </c>
      <c r="AI179" s="1105">
        <v>67514.100000000006</v>
      </c>
      <c r="AJ179" s="1105">
        <v>55049.8</v>
      </c>
      <c r="AK179" s="1105">
        <v>59955.199999999997</v>
      </c>
      <c r="AL179" s="1105">
        <v>23571.7</v>
      </c>
      <c r="AM179" s="1014">
        <v>16.899999999999999</v>
      </c>
      <c r="AN179" s="1014">
        <v>18.2</v>
      </c>
      <c r="AO179" s="1014">
        <v>499592</v>
      </c>
      <c r="AP179" s="1014">
        <v>230454</v>
      </c>
      <c r="AQ179" s="1014">
        <v>65352.7</v>
      </c>
      <c r="AR179" s="1014"/>
      <c r="AS179" s="1014">
        <v>466411</v>
      </c>
      <c r="AT179" s="1014">
        <v>205240</v>
      </c>
      <c r="AU179" s="1014">
        <v>80643.399999999994</v>
      </c>
      <c r="AV179" s="1105">
        <v>4524.7</v>
      </c>
      <c r="AW179" s="1105">
        <v>3022.3</v>
      </c>
      <c r="AX179" s="1014">
        <v>226.32</v>
      </c>
      <c r="AY179" s="1105">
        <v>137.12</v>
      </c>
      <c r="AZ179" s="1014">
        <v>823.61599999999999</v>
      </c>
      <c r="BA179" s="1014">
        <v>349.625</v>
      </c>
      <c r="BB179" s="1089">
        <v>1826.8</v>
      </c>
      <c r="BC179" s="1014">
        <v>3060.3</v>
      </c>
      <c r="BD179" s="1014">
        <v>455.7</v>
      </c>
      <c r="BE179" s="1014">
        <v>8781.24</v>
      </c>
      <c r="BF179" s="1014">
        <v>31264.392982456142</v>
      </c>
      <c r="BG179" s="1014">
        <v>9828.5434288021661</v>
      </c>
      <c r="BH179" s="1014">
        <v>5642.71</v>
      </c>
      <c r="BI179" s="1014">
        <v>2645900.7999999998</v>
      </c>
      <c r="BJ179" s="1014">
        <v>562</v>
      </c>
      <c r="BK179" s="1014">
        <v>20795.84</v>
      </c>
      <c r="BL179" s="1014">
        <v>3387082</v>
      </c>
      <c r="BM179" s="1014">
        <v>116532</v>
      </c>
      <c r="BN179" s="1014">
        <v>20974.400000000001</v>
      </c>
      <c r="BO179" s="1014">
        <v>3154830</v>
      </c>
      <c r="BP179" s="1014">
        <v>163250</v>
      </c>
      <c r="BQ179" s="1014">
        <v>18414.5</v>
      </c>
      <c r="BR179" s="1014">
        <v>8893.1</v>
      </c>
      <c r="BS179" s="1014">
        <v>6053.1</v>
      </c>
      <c r="BT179" s="1014">
        <v>1144410</v>
      </c>
      <c r="BU179" s="1014">
        <v>649722</v>
      </c>
      <c r="BV179" s="1014">
        <v>740676</v>
      </c>
      <c r="BW179" s="1014">
        <v>467579</v>
      </c>
      <c r="BX179" s="1324">
        <v>0</v>
      </c>
    </row>
    <row r="180" spans="1:76">
      <c r="A180" s="160">
        <v>45094</v>
      </c>
      <c r="B180" s="1014">
        <v>1068.588</v>
      </c>
      <c r="C180" s="1014">
        <v>590.07600000000002</v>
      </c>
      <c r="D180" s="1014">
        <v>6862.3</v>
      </c>
      <c r="E180" s="1839">
        <v>0</v>
      </c>
      <c r="F180" s="1014">
        <v>18652.7</v>
      </c>
      <c r="G180" s="1014">
        <v>5851.3</v>
      </c>
      <c r="H180" s="1014">
        <v>10082.799999999999</v>
      </c>
      <c r="I180" s="1014">
        <v>5048.3</v>
      </c>
      <c r="J180" s="1014">
        <v>206694.9</v>
      </c>
      <c r="K180" s="1014">
        <v>14963.1</v>
      </c>
      <c r="L180" s="1014">
        <v>7011.1</v>
      </c>
      <c r="M180" s="1014">
        <v>46196.1</v>
      </c>
      <c r="N180" s="1014">
        <v>36751.4</v>
      </c>
      <c r="O180" s="1014">
        <v>138288</v>
      </c>
      <c r="P180" s="1014">
        <v>114688</v>
      </c>
      <c r="Q180" s="1014">
        <v>140643</v>
      </c>
      <c r="R180" s="1014">
        <v>96500</v>
      </c>
      <c r="S180" s="1014">
        <v>14063.6</v>
      </c>
      <c r="T180" s="1014">
        <v>10680.14</v>
      </c>
      <c r="U180" s="1014">
        <v>43618.8</v>
      </c>
      <c r="V180" s="1014">
        <v>22499.200000000001</v>
      </c>
      <c r="W180" s="1014">
        <v>212299.4</v>
      </c>
      <c r="X180" s="1014">
        <v>345.9</v>
      </c>
      <c r="Y180" s="1014">
        <v>50716</v>
      </c>
      <c r="Z180" s="1014">
        <v>596422</v>
      </c>
      <c r="AA180" s="1014">
        <v>303795</v>
      </c>
      <c r="AB180" s="1014">
        <v>212319.3</v>
      </c>
      <c r="AC180" s="1014">
        <v>1112.4000000000001</v>
      </c>
      <c r="AD180" s="1081">
        <v>942</v>
      </c>
      <c r="AE180" s="1014">
        <v>53.6</v>
      </c>
      <c r="AF180" s="1014">
        <v>38.299999999999997</v>
      </c>
      <c r="AG180" s="1014">
        <v>82763.899999999994</v>
      </c>
      <c r="AH180" s="1014">
        <v>63979.6</v>
      </c>
      <c r="AI180" s="1014">
        <v>67549.8</v>
      </c>
      <c r="AJ180" s="1014">
        <v>55080.7</v>
      </c>
      <c r="AK180" s="1014">
        <v>59970</v>
      </c>
      <c r="AL180" s="1014">
        <v>23577.599999999999</v>
      </c>
      <c r="AM180" s="1014">
        <v>16.899999999999999</v>
      </c>
      <c r="AN180" s="1014">
        <v>18.2</v>
      </c>
      <c r="AO180" s="1014">
        <v>499756</v>
      </c>
      <c r="AP180" s="1014">
        <v>230525</v>
      </c>
      <c r="AQ180" s="1014">
        <v>65357.2</v>
      </c>
      <c r="AR180" s="1014"/>
      <c r="AS180" s="1014">
        <v>466564</v>
      </c>
      <c r="AT180" s="1014">
        <v>205306</v>
      </c>
      <c r="AU180" s="1014">
        <v>80667.399999999994</v>
      </c>
      <c r="AV180" s="1014">
        <v>4528.1000000000004</v>
      </c>
      <c r="AW180" s="1014">
        <v>3024.6</v>
      </c>
      <c r="AX180" s="1014">
        <v>226.32</v>
      </c>
      <c r="AY180" s="1105">
        <v>137.12</v>
      </c>
      <c r="AZ180" s="1014">
        <v>823.61599999999999</v>
      </c>
      <c r="BA180" s="1014">
        <v>349.625</v>
      </c>
      <c r="BB180" s="1089">
        <v>1826.8</v>
      </c>
      <c r="BC180" s="1014">
        <v>3061.5</v>
      </c>
      <c r="BD180" s="1014">
        <v>455.7</v>
      </c>
      <c r="BE180" s="1014">
        <v>6065.0496803364404</v>
      </c>
      <c r="BF180" s="1014">
        <v>31132.952631578948</v>
      </c>
      <c r="BG180" s="1014">
        <v>8951.2726340458612</v>
      </c>
      <c r="BH180" s="1014">
        <v>5505.7100000000009</v>
      </c>
      <c r="BI180" s="1014">
        <v>2645900.7999999998</v>
      </c>
      <c r="BJ180" s="1014">
        <v>562</v>
      </c>
      <c r="BK180" s="1014">
        <v>20795.84</v>
      </c>
      <c r="BL180" s="1014">
        <v>3389420</v>
      </c>
      <c r="BM180" s="1014">
        <v>116532</v>
      </c>
      <c r="BN180" s="1014">
        <v>20998.400000000001</v>
      </c>
      <c r="BO180" s="1014">
        <v>3159891</v>
      </c>
      <c r="BP180" s="1014">
        <v>163779</v>
      </c>
      <c r="BQ180" s="1014">
        <v>18438.099999999999</v>
      </c>
      <c r="BR180" s="1014">
        <v>8899.2999999999993</v>
      </c>
      <c r="BS180" s="1014">
        <v>6057.4</v>
      </c>
      <c r="BT180" s="1014">
        <v>1145577</v>
      </c>
      <c r="BU180" s="1014">
        <v>650356</v>
      </c>
      <c r="BV180" s="1014">
        <v>740833</v>
      </c>
      <c r="BW180" s="1014">
        <v>467673</v>
      </c>
      <c r="BX180" s="1326">
        <v>0</v>
      </c>
    </row>
    <row r="181" spans="1:76" ht="13.5" customHeight="1">
      <c r="A181" s="160">
        <v>45095</v>
      </c>
      <c r="B181" s="1014">
        <v>1068.588</v>
      </c>
      <c r="C181" s="1014">
        <v>590.07600000000002</v>
      </c>
      <c r="D181" s="1014">
        <v>6862.3</v>
      </c>
      <c r="E181" s="1839">
        <v>0</v>
      </c>
      <c r="F181" s="1014">
        <v>18666.8</v>
      </c>
      <c r="G181" s="1014">
        <v>5856</v>
      </c>
      <c r="H181" s="1014">
        <v>10245.11</v>
      </c>
      <c r="I181" s="1014">
        <v>5129.4309999999996</v>
      </c>
      <c r="J181" s="1014">
        <v>206718.9</v>
      </c>
      <c r="K181" s="1014">
        <v>14963.1</v>
      </c>
      <c r="L181" s="1014">
        <v>7011.1</v>
      </c>
      <c r="M181" s="1014">
        <v>46196.1</v>
      </c>
      <c r="N181" s="1014">
        <v>36751.4</v>
      </c>
      <c r="O181" s="1014">
        <v>138298</v>
      </c>
      <c r="P181" s="1014">
        <v>114697</v>
      </c>
      <c r="Q181" s="1014">
        <v>140657</v>
      </c>
      <c r="R181" s="1014">
        <v>96510</v>
      </c>
      <c r="S181" s="1014">
        <v>14063.6</v>
      </c>
      <c r="T181" s="1014">
        <v>10680.14</v>
      </c>
      <c r="U181" s="1014">
        <v>43893.599999999999</v>
      </c>
      <c r="V181" s="1014">
        <v>22645.5</v>
      </c>
      <c r="W181" s="1014">
        <v>212323.4</v>
      </c>
      <c r="X181" s="1014">
        <v>345.9</v>
      </c>
      <c r="Y181" s="1014">
        <v>50716</v>
      </c>
      <c r="Z181" s="1014">
        <v>596574</v>
      </c>
      <c r="AA181" s="1014">
        <v>303864</v>
      </c>
      <c r="AB181" s="1014">
        <v>212343.3</v>
      </c>
      <c r="AC181" s="1014">
        <v>1112.4000000000001</v>
      </c>
      <c r="AD181" s="1081">
        <v>942</v>
      </c>
      <c r="AE181" s="1014">
        <v>56.82</v>
      </c>
      <c r="AF181" s="1014">
        <v>40.58</v>
      </c>
      <c r="AG181" s="1014">
        <v>82769.3</v>
      </c>
      <c r="AH181" s="1014">
        <v>63983.5</v>
      </c>
      <c r="AI181" s="1014">
        <v>67585.5</v>
      </c>
      <c r="AJ181" s="1014">
        <v>55111.6</v>
      </c>
      <c r="AK181" s="1014">
        <v>59970</v>
      </c>
      <c r="AL181" s="1014">
        <v>23577.599999999999</v>
      </c>
      <c r="AM181" s="1014">
        <v>16.899999999999999</v>
      </c>
      <c r="AN181" s="1014">
        <v>18.2</v>
      </c>
      <c r="AO181" s="1014">
        <v>499923</v>
      </c>
      <c r="AP181" s="1014">
        <v>230598</v>
      </c>
      <c r="AQ181" s="1014">
        <v>65361</v>
      </c>
      <c r="AR181" s="1014"/>
      <c r="AS181" s="1014">
        <v>466716</v>
      </c>
      <c r="AT181" s="1014">
        <v>205372</v>
      </c>
      <c r="AU181" s="1014">
        <v>80691.399999999994</v>
      </c>
      <c r="AV181" s="1105">
        <v>4531.5</v>
      </c>
      <c r="AW181" s="1105">
        <v>3026.9</v>
      </c>
      <c r="AX181" s="1014">
        <v>226.32</v>
      </c>
      <c r="AY181" s="1105">
        <v>137.12</v>
      </c>
      <c r="AZ181" s="1014">
        <v>823.61599999999999</v>
      </c>
      <c r="BA181" s="1014">
        <v>349.625</v>
      </c>
      <c r="BB181" s="1089">
        <v>1826.8</v>
      </c>
      <c r="BC181" s="1014">
        <v>3062.9</v>
      </c>
      <c r="BD181" s="1014">
        <v>455.7</v>
      </c>
      <c r="BE181" s="1014">
        <v>5246.42</v>
      </c>
      <c r="BF181" s="1014">
        <v>30903.0947368421</v>
      </c>
      <c r="BG181" s="1014">
        <v>9247.3744971270171</v>
      </c>
      <c r="BH181" s="1014">
        <v>6224.5599999999995</v>
      </c>
      <c r="BI181" s="1014">
        <v>2645900.7999999998</v>
      </c>
      <c r="BJ181" s="1014">
        <v>562</v>
      </c>
      <c r="BK181" s="1014">
        <v>20795.84</v>
      </c>
      <c r="BL181" s="1014">
        <v>3391732</v>
      </c>
      <c r="BM181" s="1014">
        <v>116532</v>
      </c>
      <c r="BN181" s="1014">
        <v>21022.400000000001</v>
      </c>
      <c r="BO181" s="1014">
        <v>3164719</v>
      </c>
      <c r="BP181" s="1014">
        <v>164496</v>
      </c>
      <c r="BQ181" s="1014">
        <v>18462.099999999999</v>
      </c>
      <c r="BR181" s="1014">
        <v>8905.5</v>
      </c>
      <c r="BS181" s="1014">
        <v>6061.7</v>
      </c>
      <c r="BT181" s="1014">
        <v>1146764</v>
      </c>
      <c r="BU181" s="1014">
        <v>651005</v>
      </c>
      <c r="BV181" s="1014">
        <v>741014</v>
      </c>
      <c r="BW181" s="1014">
        <v>467786</v>
      </c>
      <c r="BX181" s="1326">
        <v>0</v>
      </c>
    </row>
    <row r="182" spans="1:76">
      <c r="A182" s="160">
        <v>45096</v>
      </c>
      <c r="B182" s="1014">
        <v>1068.588</v>
      </c>
      <c r="C182" s="1014">
        <v>590.07600000000002</v>
      </c>
      <c r="D182" s="1014">
        <v>6862.3</v>
      </c>
      <c r="E182" s="1839">
        <v>0</v>
      </c>
      <c r="F182" s="1014">
        <v>18681.2</v>
      </c>
      <c r="G182" s="1014">
        <v>5860.7</v>
      </c>
      <c r="H182" s="1014">
        <v>10408.675999999999</v>
      </c>
      <c r="I182" s="1014">
        <v>5211.7349999999997</v>
      </c>
      <c r="J182" s="1014">
        <v>206742.9</v>
      </c>
      <c r="K182" s="1014">
        <v>14963.1</v>
      </c>
      <c r="L182" s="1014">
        <v>7011.1</v>
      </c>
      <c r="M182" s="1014">
        <v>46196.1</v>
      </c>
      <c r="N182" s="1014">
        <v>36751.4</v>
      </c>
      <c r="O182" s="1014">
        <v>138309</v>
      </c>
      <c r="P182" s="1014">
        <v>114706</v>
      </c>
      <c r="Q182" s="1014">
        <v>140670</v>
      </c>
      <c r="R182" s="1014">
        <v>96519.9</v>
      </c>
      <c r="S182" s="1014">
        <v>14063.6</v>
      </c>
      <c r="T182" s="1014">
        <v>10680.14</v>
      </c>
      <c r="U182" s="1014">
        <v>44188.6</v>
      </c>
      <c r="V182" s="1014">
        <v>22794.9</v>
      </c>
      <c r="W182" s="1014">
        <v>212347.4</v>
      </c>
      <c r="X182" s="1014">
        <v>345.9</v>
      </c>
      <c r="Y182" s="1014">
        <v>50716</v>
      </c>
      <c r="Z182" s="1014">
        <v>596725</v>
      </c>
      <c r="AA182" s="1014">
        <v>303938</v>
      </c>
      <c r="AB182" s="1014">
        <v>212367.3</v>
      </c>
      <c r="AC182" s="1014">
        <v>1112.4000000000001</v>
      </c>
      <c r="AD182" s="1081">
        <v>942</v>
      </c>
      <c r="AE182" s="1014">
        <v>60.06</v>
      </c>
      <c r="AF182" s="1014">
        <v>42.9</v>
      </c>
      <c r="AG182" s="1014">
        <v>82777.2</v>
      </c>
      <c r="AH182" s="1014">
        <v>63989.599999999999</v>
      </c>
      <c r="AI182" s="1014">
        <v>67621.7</v>
      </c>
      <c r="AJ182" s="1014">
        <v>55142.6</v>
      </c>
      <c r="AK182" s="1014">
        <v>59982.1</v>
      </c>
      <c r="AL182" s="1014">
        <v>23582.400000000001</v>
      </c>
      <c r="AM182" s="1014">
        <v>16.899999999999999</v>
      </c>
      <c r="AN182" s="1014">
        <v>18.2</v>
      </c>
      <c r="AO182" s="1014">
        <v>500089</v>
      </c>
      <c r="AP182" s="1014">
        <v>230670</v>
      </c>
      <c r="AQ182" s="1014">
        <v>65365.3</v>
      </c>
      <c r="AR182" s="1014"/>
      <c r="AS182" s="1014">
        <v>466869</v>
      </c>
      <c r="AT182" s="1014">
        <v>205438</v>
      </c>
      <c r="AU182" s="1014">
        <v>80715.399999999994</v>
      </c>
      <c r="AV182" s="1105">
        <v>4534.6000000000004</v>
      </c>
      <c r="AW182" s="1105">
        <v>3028.9</v>
      </c>
      <c r="AX182" s="1014">
        <v>226.32</v>
      </c>
      <c r="AY182" s="1105">
        <v>137.12</v>
      </c>
      <c r="AZ182" s="1014">
        <v>823.61599999999999</v>
      </c>
      <c r="BA182" s="1014">
        <v>349.625</v>
      </c>
      <c r="BB182" s="1089">
        <v>1826.8</v>
      </c>
      <c r="BC182" s="1014">
        <v>3064.3</v>
      </c>
      <c r="BD182" s="1014">
        <v>455.7</v>
      </c>
      <c r="BE182" s="1014">
        <v>6328.39</v>
      </c>
      <c r="BF182" s="1014">
        <v>29119.589473684209</v>
      </c>
      <c r="BG182" s="1014">
        <v>8579.4260254216515</v>
      </c>
      <c r="BH182" s="1014">
        <v>6227.63</v>
      </c>
      <c r="BI182" s="1014">
        <v>2645900.7999999998</v>
      </c>
      <c r="BJ182" s="1014">
        <v>562</v>
      </c>
      <c r="BK182" s="1014">
        <v>20795.84</v>
      </c>
      <c r="BL182" s="1014">
        <v>3394114</v>
      </c>
      <c r="BM182" s="1014">
        <v>116532</v>
      </c>
      <c r="BN182" s="1014">
        <v>21046.400000000001</v>
      </c>
      <c r="BO182" s="1014">
        <v>3169938</v>
      </c>
      <c r="BP182" s="1014">
        <v>165075</v>
      </c>
      <c r="BQ182" s="1014">
        <v>18486.099999999999</v>
      </c>
      <c r="BR182" s="1014">
        <v>8911.7999999999993</v>
      </c>
      <c r="BS182" s="1014">
        <v>6066.1</v>
      </c>
      <c r="BT182" s="1014">
        <v>1147969</v>
      </c>
      <c r="BU182" s="1014">
        <v>651666</v>
      </c>
      <c r="BV182" s="1014">
        <v>741208</v>
      </c>
      <c r="BW182" s="1014">
        <v>467909</v>
      </c>
      <c r="BX182" s="1326">
        <v>0</v>
      </c>
    </row>
    <row r="183" spans="1:76">
      <c r="A183" s="160">
        <v>45097</v>
      </c>
      <c r="B183" s="1014">
        <v>1068.588</v>
      </c>
      <c r="C183" s="1014">
        <v>590.07600000000002</v>
      </c>
      <c r="D183" s="1014">
        <v>6862.3</v>
      </c>
      <c r="E183" s="1839">
        <v>0</v>
      </c>
      <c r="F183" s="1014">
        <v>18695.8</v>
      </c>
      <c r="G183" s="1014">
        <v>5865.5</v>
      </c>
      <c r="H183" s="1014">
        <v>10570</v>
      </c>
      <c r="I183" s="1014">
        <v>5294</v>
      </c>
      <c r="J183" s="1014">
        <v>206766.9</v>
      </c>
      <c r="K183" s="1014">
        <v>14963.1</v>
      </c>
      <c r="L183" s="1014">
        <v>7011.1</v>
      </c>
      <c r="M183" s="1014">
        <v>46196.1</v>
      </c>
      <c r="N183" s="1014">
        <v>36751.4</v>
      </c>
      <c r="O183" s="1014">
        <v>138321</v>
      </c>
      <c r="P183" s="1014">
        <v>114715.4</v>
      </c>
      <c r="Q183" s="1014">
        <v>140685</v>
      </c>
      <c r="R183" s="1014">
        <v>96530</v>
      </c>
      <c r="S183" s="1014">
        <v>14063.6</v>
      </c>
      <c r="T183" s="1014">
        <v>10680.14</v>
      </c>
      <c r="U183" s="1014">
        <v>44444</v>
      </c>
      <c r="V183" s="1014">
        <v>22926</v>
      </c>
      <c r="W183" s="1014">
        <v>212371.4</v>
      </c>
      <c r="X183" s="1014">
        <v>345.9</v>
      </c>
      <c r="Y183" s="1014">
        <v>50716</v>
      </c>
      <c r="Z183" s="1014">
        <v>596913</v>
      </c>
      <c r="AA183" s="1014">
        <v>304032</v>
      </c>
      <c r="AB183" s="1014">
        <v>212391.3</v>
      </c>
      <c r="AC183" s="1014">
        <v>1112.4000000000001</v>
      </c>
      <c r="AD183" s="1081">
        <v>942</v>
      </c>
      <c r="AE183" s="1014">
        <v>63.4</v>
      </c>
      <c r="AF183" s="1014">
        <v>45.3</v>
      </c>
      <c r="AG183" s="1014">
        <v>82784.899999999994</v>
      </c>
      <c r="AH183" s="1014">
        <v>63995.5</v>
      </c>
      <c r="AI183" s="1014">
        <v>67657.7</v>
      </c>
      <c r="AJ183" s="1014">
        <v>55173.8</v>
      </c>
      <c r="AK183" s="1014">
        <v>59992</v>
      </c>
      <c r="AL183" s="1014">
        <v>23586.3</v>
      </c>
      <c r="AM183" s="1014">
        <v>16.899999999999999</v>
      </c>
      <c r="AN183" s="1014">
        <v>18.2</v>
      </c>
      <c r="AO183" s="1014">
        <v>500257</v>
      </c>
      <c r="AP183" s="1014">
        <v>230744</v>
      </c>
      <c r="AQ183" s="1014">
        <v>65370</v>
      </c>
      <c r="AR183" s="1014"/>
      <c r="AS183" s="1014">
        <v>467022</v>
      </c>
      <c r="AT183" s="1014">
        <v>205504</v>
      </c>
      <c r="AU183" s="1014">
        <v>80739.399999999994</v>
      </c>
      <c r="AV183" s="1105">
        <v>4537.8999999999996</v>
      </c>
      <c r="AW183" s="1105">
        <v>3031.2</v>
      </c>
      <c r="AX183" s="1014">
        <v>226.32</v>
      </c>
      <c r="AY183" s="1105">
        <v>137.12</v>
      </c>
      <c r="AZ183" s="1014">
        <v>823.95799999999997</v>
      </c>
      <c r="BA183" s="1014">
        <v>349.755</v>
      </c>
      <c r="BB183" s="1089">
        <v>1827.31</v>
      </c>
      <c r="BC183" s="1014">
        <v>3065.9</v>
      </c>
      <c r="BD183" s="1014">
        <v>455.7</v>
      </c>
      <c r="BE183" s="1014">
        <v>5787.58</v>
      </c>
      <c r="BF183" s="1014">
        <v>28985.466666666667</v>
      </c>
      <c r="BG183" s="1014">
        <v>9102.3377783598589</v>
      </c>
      <c r="BH183" s="1014">
        <v>5681.43</v>
      </c>
      <c r="BI183" s="1014">
        <v>2645900.7999999998</v>
      </c>
      <c r="BJ183" s="1014">
        <v>562</v>
      </c>
      <c r="BK183" s="1014">
        <v>20795.84</v>
      </c>
      <c r="BL183" s="1014">
        <v>3396516</v>
      </c>
      <c r="BM183" s="1014">
        <v>116532</v>
      </c>
      <c r="BN183" s="1014">
        <v>21070.2</v>
      </c>
      <c r="BO183" s="1014">
        <v>3175312</v>
      </c>
      <c r="BP183" s="1014">
        <v>165545</v>
      </c>
      <c r="BQ183" s="1014">
        <v>18510.3</v>
      </c>
      <c r="BR183" s="1014">
        <v>8918.2999999999993</v>
      </c>
      <c r="BS183" s="1014">
        <v>6070.6</v>
      </c>
      <c r="BT183" s="1014">
        <v>1149179</v>
      </c>
      <c r="BU183" s="1014">
        <v>652331</v>
      </c>
      <c r="BV183" s="1014">
        <v>741464</v>
      </c>
      <c r="BW183" s="1014">
        <v>468072</v>
      </c>
      <c r="BX183" s="1326">
        <v>0</v>
      </c>
    </row>
    <row r="184" spans="1:76">
      <c r="A184" s="160">
        <v>45098</v>
      </c>
      <c r="B184" s="1014">
        <v>1068.588</v>
      </c>
      <c r="C184" s="1014">
        <v>590.07600000000002</v>
      </c>
      <c r="D184" s="1014">
        <v>6862.3</v>
      </c>
      <c r="E184" s="1839">
        <v>0</v>
      </c>
      <c r="F184" s="1014">
        <v>18709.8</v>
      </c>
      <c r="G184" s="1014">
        <v>5869.9</v>
      </c>
      <c r="H184" s="1014">
        <v>10732</v>
      </c>
      <c r="I184" s="1014">
        <v>5375</v>
      </c>
      <c r="J184" s="1014">
        <v>206790.9</v>
      </c>
      <c r="K184" s="1014">
        <v>14963.1</v>
      </c>
      <c r="L184" s="1014">
        <v>7011.1</v>
      </c>
      <c r="M184" s="1014">
        <v>46196.1</v>
      </c>
      <c r="N184" s="1014">
        <v>36751.4</v>
      </c>
      <c r="O184" s="1014">
        <v>138332</v>
      </c>
      <c r="P184" s="1014">
        <v>114724.2</v>
      </c>
      <c r="Q184" s="1014">
        <v>140700</v>
      </c>
      <c r="R184" s="1014">
        <v>96540</v>
      </c>
      <c r="S184" s="1014">
        <v>14063.6</v>
      </c>
      <c r="T184" s="1014">
        <v>10680.14</v>
      </c>
      <c r="U184" s="1014">
        <v>44594</v>
      </c>
      <c r="V184" s="1014">
        <v>23000</v>
      </c>
      <c r="W184" s="1014">
        <v>212395.4</v>
      </c>
      <c r="X184" s="1014">
        <v>345.9</v>
      </c>
      <c r="Y184" s="1014">
        <v>50716</v>
      </c>
      <c r="Z184" s="1014">
        <v>597202</v>
      </c>
      <c r="AA184" s="1014">
        <v>304178</v>
      </c>
      <c r="AB184" s="1014">
        <v>212415.3</v>
      </c>
      <c r="AC184" s="1014">
        <v>1112.4000000000001</v>
      </c>
      <c r="AD184" s="1081">
        <v>942</v>
      </c>
      <c r="AE184" s="1014">
        <v>66.7</v>
      </c>
      <c r="AF184" s="1014">
        <v>47.8</v>
      </c>
      <c r="AG184" s="1014">
        <v>82791.7</v>
      </c>
      <c r="AH184" s="1014">
        <v>64000.5</v>
      </c>
      <c r="AI184" s="1014">
        <v>67693</v>
      </c>
      <c r="AJ184" s="1014">
        <v>55204.4</v>
      </c>
      <c r="AK184" s="1014">
        <v>60001.599999999999</v>
      </c>
      <c r="AL184" s="1014">
        <v>23590.1</v>
      </c>
      <c r="AM184" s="1014">
        <v>16.899999999999999</v>
      </c>
      <c r="AN184" s="1014">
        <v>18.2</v>
      </c>
      <c r="AO184" s="1014">
        <v>500424</v>
      </c>
      <c r="AP184" s="1014">
        <v>230818</v>
      </c>
      <c r="AQ184" s="1014">
        <v>65375</v>
      </c>
      <c r="AR184" s="1014"/>
      <c r="AS184" s="1014">
        <v>467174</v>
      </c>
      <c r="AT184" s="1014">
        <v>205570</v>
      </c>
      <c r="AU184" s="1014">
        <v>80763.399999999994</v>
      </c>
      <c r="AV184" s="1105">
        <v>4540.8999999999996</v>
      </c>
      <c r="AW184" s="1105">
        <v>3033.2</v>
      </c>
      <c r="AX184" s="1014">
        <v>226.32</v>
      </c>
      <c r="AY184" s="1105">
        <v>137.12</v>
      </c>
      <c r="AZ184" s="1014">
        <v>823.95799999999997</v>
      </c>
      <c r="BA184" s="1014">
        <v>349.755</v>
      </c>
      <c r="BB184" s="1089">
        <v>1827.31</v>
      </c>
      <c r="BC184" s="1014">
        <v>3068.4</v>
      </c>
      <c r="BD184" s="1014">
        <v>455.7</v>
      </c>
      <c r="BE184" s="1014">
        <v>6159.74</v>
      </c>
      <c r="BF184" s="1014">
        <v>30176.491228070176</v>
      </c>
      <c r="BG184" s="1014">
        <v>8283.4348337485608</v>
      </c>
      <c r="BH184" s="1014">
        <v>5943.43</v>
      </c>
      <c r="BI184" s="1014">
        <v>2646182.3999999994</v>
      </c>
      <c r="BJ184" s="1014">
        <v>563</v>
      </c>
      <c r="BK184" s="1014">
        <v>20797.599999999999</v>
      </c>
      <c r="BL184" s="1014">
        <v>3398702</v>
      </c>
      <c r="BM184" s="1014">
        <v>116532</v>
      </c>
      <c r="BN184" s="1014">
        <v>21092.400000000001</v>
      </c>
      <c r="BO184" s="1014">
        <v>3180490</v>
      </c>
      <c r="BP184" s="1014">
        <v>165900</v>
      </c>
      <c r="BQ184" s="1014">
        <v>18534.3</v>
      </c>
      <c r="BR184" s="1014">
        <v>8924.6</v>
      </c>
      <c r="BS184" s="1014">
        <v>6075</v>
      </c>
      <c r="BT184" s="1014">
        <v>1150360</v>
      </c>
      <c r="BU184" s="1014">
        <v>652978</v>
      </c>
      <c r="BV184" s="1014">
        <v>741645</v>
      </c>
      <c r="BW184" s="1014">
        <v>468188</v>
      </c>
      <c r="BX184" s="1324">
        <v>0</v>
      </c>
    </row>
    <row r="185" spans="1:76" s="336" customFormat="1">
      <c r="A185" s="160">
        <v>45099</v>
      </c>
      <c r="B185" s="1014">
        <v>1068.596</v>
      </c>
      <c r="C185" s="1014">
        <v>590.08000000000004</v>
      </c>
      <c r="D185" s="1014">
        <v>6862.3</v>
      </c>
      <c r="E185" s="1839">
        <v>0</v>
      </c>
      <c r="F185" s="1014">
        <v>18719.7</v>
      </c>
      <c r="G185" s="1014">
        <v>5871.8</v>
      </c>
      <c r="H185" s="1014">
        <v>10895</v>
      </c>
      <c r="I185" s="1014">
        <v>5457</v>
      </c>
      <c r="J185" s="1081">
        <v>206814.9</v>
      </c>
      <c r="K185" s="1014">
        <v>14963.1</v>
      </c>
      <c r="L185" s="1014">
        <v>7011.1</v>
      </c>
      <c r="M185" s="1014">
        <v>46196.1</v>
      </c>
      <c r="N185" s="1014">
        <v>36751.4</v>
      </c>
      <c r="O185" s="1014">
        <v>138343</v>
      </c>
      <c r="P185" s="1014">
        <v>114733</v>
      </c>
      <c r="Q185" s="1014">
        <v>140714.6</v>
      </c>
      <c r="R185" s="1014">
        <v>96549.9</v>
      </c>
      <c r="S185" s="1014">
        <v>14063.6</v>
      </c>
      <c r="T185" s="1014">
        <v>10680.14</v>
      </c>
      <c r="U185" s="1014">
        <v>44748</v>
      </c>
      <c r="V185" s="1014">
        <v>23076</v>
      </c>
      <c r="W185" s="1014">
        <v>212419.4</v>
      </c>
      <c r="X185" s="1014">
        <v>345.9</v>
      </c>
      <c r="Y185" s="1014">
        <v>50716</v>
      </c>
      <c r="Z185" s="1014">
        <v>597492</v>
      </c>
      <c r="AA185" s="1014">
        <v>304324</v>
      </c>
      <c r="AB185" s="1014">
        <v>212439.3</v>
      </c>
      <c r="AC185" s="1014">
        <v>1112.4000000000001</v>
      </c>
      <c r="AD185" s="1081">
        <v>942</v>
      </c>
      <c r="AE185" s="1014">
        <v>69.900000000000006</v>
      </c>
      <c r="AF185" s="1014">
        <v>50.2</v>
      </c>
      <c r="AG185" s="1014">
        <v>82798</v>
      </c>
      <c r="AH185" s="1014">
        <v>64005.3</v>
      </c>
      <c r="AI185" s="1014">
        <v>67728.800000000003</v>
      </c>
      <c r="AJ185" s="1014">
        <v>55235.4</v>
      </c>
      <c r="AK185" s="1014">
        <v>60012.800000000003</v>
      </c>
      <c r="AL185" s="1014">
        <v>23594.5</v>
      </c>
      <c r="AM185" s="1014">
        <v>16.899999999999999</v>
      </c>
      <c r="AN185" s="1014">
        <v>18.2</v>
      </c>
      <c r="AO185" s="1014">
        <v>500596</v>
      </c>
      <c r="AP185" s="1014">
        <v>230897</v>
      </c>
      <c r="AQ185" s="1014">
        <v>65380</v>
      </c>
      <c r="AR185" s="1014"/>
      <c r="AS185" s="1014">
        <v>467328</v>
      </c>
      <c r="AT185" s="1014">
        <v>205636</v>
      </c>
      <c r="AU185" s="1014">
        <v>80787.399999999994</v>
      </c>
      <c r="AV185" s="1105">
        <v>4544</v>
      </c>
      <c r="AW185" s="1105">
        <v>3035.3</v>
      </c>
      <c r="AX185" s="1014">
        <v>226.4</v>
      </c>
      <c r="AY185" s="1105">
        <v>137.16999999999999</v>
      </c>
      <c r="AZ185" s="1014">
        <v>823.95799999999997</v>
      </c>
      <c r="BA185" s="1014">
        <v>349.755</v>
      </c>
      <c r="BB185" s="1089">
        <v>1827.31</v>
      </c>
      <c r="BC185" s="1014">
        <v>3070.6</v>
      </c>
      <c r="BD185" s="1014">
        <v>455.7</v>
      </c>
      <c r="BE185" s="1014">
        <v>5646.97</v>
      </c>
      <c r="BF185" s="1014">
        <v>31200.3947368421</v>
      </c>
      <c r="BG185" s="1014">
        <v>9010.5376535883406</v>
      </c>
      <c r="BH185" s="1014">
        <v>5185.29</v>
      </c>
      <c r="BI185" s="1014">
        <v>2649302.3999999994</v>
      </c>
      <c r="BJ185" s="1014">
        <v>564</v>
      </c>
      <c r="BK185" s="1014">
        <v>20821.599999999999</v>
      </c>
      <c r="BL185" s="1014">
        <v>3399080</v>
      </c>
      <c r="BM185" s="1014">
        <v>116550</v>
      </c>
      <c r="BN185" s="1014">
        <v>21094.400000000001</v>
      </c>
      <c r="BO185" s="1014">
        <v>3183479</v>
      </c>
      <c r="BP185" s="1014">
        <v>165908</v>
      </c>
      <c r="BQ185" s="1014">
        <v>18556.5</v>
      </c>
      <c r="BR185" s="1014">
        <v>8931</v>
      </c>
      <c r="BS185" s="1014">
        <v>6079.5</v>
      </c>
      <c r="BT185" s="1014">
        <v>1151560</v>
      </c>
      <c r="BU185" s="1014">
        <v>653630</v>
      </c>
      <c r="BV185" s="1014">
        <v>741898</v>
      </c>
      <c r="BW185" s="1014">
        <v>468346</v>
      </c>
      <c r="BX185" s="1324">
        <v>0</v>
      </c>
    </row>
    <row r="186" spans="1:76">
      <c r="A186" s="160">
        <v>45100</v>
      </c>
      <c r="B186" s="1014">
        <v>1068.596</v>
      </c>
      <c r="C186" s="1014">
        <v>590.08000000000004</v>
      </c>
      <c r="D186" s="1014">
        <v>6862.3</v>
      </c>
      <c r="E186" s="1839">
        <v>0</v>
      </c>
      <c r="F186" s="1014">
        <v>18729.900000000001</v>
      </c>
      <c r="G186" s="1014">
        <v>5872.4</v>
      </c>
      <c r="H186" s="1014">
        <v>11056</v>
      </c>
      <c r="I186" s="1014">
        <v>5538</v>
      </c>
      <c r="J186" s="1014">
        <v>206838.9</v>
      </c>
      <c r="K186" s="1014">
        <v>14963.1</v>
      </c>
      <c r="L186" s="1014">
        <v>7011.1</v>
      </c>
      <c r="M186" s="1014">
        <v>46196.1</v>
      </c>
      <c r="N186" s="1014">
        <v>36751.4</v>
      </c>
      <c r="O186" s="1014">
        <v>138354</v>
      </c>
      <c r="P186" s="1014">
        <v>114742</v>
      </c>
      <c r="Q186" s="1014">
        <v>140729</v>
      </c>
      <c r="R186" s="1014">
        <v>96560</v>
      </c>
      <c r="S186" s="1014">
        <v>14063.6</v>
      </c>
      <c r="T186" s="1014">
        <v>10680.14</v>
      </c>
      <c r="U186" s="1014">
        <v>44892</v>
      </c>
      <c r="V186" s="1014">
        <v>23152</v>
      </c>
      <c r="W186" s="1014">
        <v>212443.4</v>
      </c>
      <c r="X186" s="1014">
        <v>345.9</v>
      </c>
      <c r="Y186" s="1014">
        <v>50716</v>
      </c>
      <c r="Z186" s="1014">
        <v>597784</v>
      </c>
      <c r="AA186" s="1014">
        <v>304468</v>
      </c>
      <c r="AB186" s="1014">
        <v>212463.3</v>
      </c>
      <c r="AC186" s="1014">
        <v>1112.4000000000001</v>
      </c>
      <c r="AD186" s="1081">
        <v>942</v>
      </c>
      <c r="AE186" s="1014">
        <v>73.2</v>
      </c>
      <c r="AF186" s="1014">
        <v>52.7</v>
      </c>
      <c r="AG186" s="1014">
        <v>82804.800000000003</v>
      </c>
      <c r="AH186" s="1014">
        <v>64010.400000000001</v>
      </c>
      <c r="AI186" s="1014">
        <v>67765</v>
      </c>
      <c r="AJ186" s="1014">
        <v>55266.7</v>
      </c>
      <c r="AK186" s="1014">
        <v>60020.800000000003</v>
      </c>
      <c r="AL186" s="1014">
        <v>23597.7</v>
      </c>
      <c r="AM186" s="1014">
        <v>16.899999999999999</v>
      </c>
      <c r="AN186" s="1014">
        <v>18.2</v>
      </c>
      <c r="AO186" s="1014">
        <v>500765</v>
      </c>
      <c r="AP186" s="1014">
        <v>230974</v>
      </c>
      <c r="AQ186" s="1014">
        <v>65385</v>
      </c>
      <c r="AR186" s="1014"/>
      <c r="AS186" s="1014">
        <v>467480</v>
      </c>
      <c r="AT186" s="1014">
        <v>205702</v>
      </c>
      <c r="AU186" s="1014">
        <v>80811.399999999994</v>
      </c>
      <c r="AV186" s="1105">
        <v>4547.3</v>
      </c>
      <c r="AW186" s="1105">
        <v>3037.5</v>
      </c>
      <c r="AX186" s="1014">
        <v>226.4</v>
      </c>
      <c r="AY186" s="1105">
        <v>137.16999999999999</v>
      </c>
      <c r="AZ186" s="1014">
        <v>823.95799999999997</v>
      </c>
      <c r="BA186" s="1014">
        <v>349.755</v>
      </c>
      <c r="BB186" s="1089">
        <v>1827.31</v>
      </c>
      <c r="BC186" s="1014">
        <v>3072.6</v>
      </c>
      <c r="BD186" s="1014">
        <v>455.7</v>
      </c>
      <c r="BE186" s="1014">
        <v>5413.27</v>
      </c>
      <c r="BF186" s="1014">
        <v>31192.045614035102</v>
      </c>
      <c r="BG186" s="1014">
        <v>8945.9048298055695</v>
      </c>
      <c r="BH186" s="1014">
        <v>5717.46</v>
      </c>
      <c r="BI186" s="1014">
        <v>2652422.3999999994</v>
      </c>
      <c r="BJ186" s="1014">
        <v>565</v>
      </c>
      <c r="BK186" s="1014">
        <v>20845.599999999999</v>
      </c>
      <c r="BL186" s="1014">
        <v>3403030</v>
      </c>
      <c r="BM186" s="1014">
        <v>116609</v>
      </c>
      <c r="BN186" s="1014">
        <v>21118.400000000001</v>
      </c>
      <c r="BO186" s="1014">
        <v>3183479</v>
      </c>
      <c r="BP186" s="1014">
        <v>165908</v>
      </c>
      <c r="BQ186" s="1014">
        <v>18556.5</v>
      </c>
      <c r="BR186" s="1014">
        <v>8937.2999999999993</v>
      </c>
      <c r="BS186" s="1014">
        <v>6083.8</v>
      </c>
      <c r="BT186" s="1014">
        <v>1152716</v>
      </c>
      <c r="BU186" s="1014">
        <v>654266</v>
      </c>
      <c r="BV186" s="1014">
        <v>742140</v>
      </c>
      <c r="BW186" s="1014">
        <v>468491</v>
      </c>
      <c r="BX186" s="1324">
        <v>0</v>
      </c>
    </row>
    <row r="187" spans="1:76">
      <c r="A187" s="160">
        <v>45101</v>
      </c>
      <c r="B187" s="1014">
        <v>1068.596</v>
      </c>
      <c r="C187" s="1014">
        <v>590.08000000000004</v>
      </c>
      <c r="D187" s="1014">
        <v>6862.3</v>
      </c>
      <c r="E187" s="1839">
        <v>0</v>
      </c>
      <c r="F187" s="1014">
        <v>18739.400000000001</v>
      </c>
      <c r="G187" s="1014">
        <v>5873.2</v>
      </c>
      <c r="H187" s="1014">
        <v>11220</v>
      </c>
      <c r="I187" s="1014">
        <v>5620</v>
      </c>
      <c r="J187" s="1014">
        <v>206862.9</v>
      </c>
      <c r="K187" s="1014">
        <v>14963.2</v>
      </c>
      <c r="L187" s="1014">
        <v>7011.1</v>
      </c>
      <c r="M187" s="1014">
        <v>46196.1</v>
      </c>
      <c r="N187" s="1014">
        <v>36751.4</v>
      </c>
      <c r="O187" s="1014">
        <v>138364</v>
      </c>
      <c r="P187" s="1014">
        <v>114750</v>
      </c>
      <c r="Q187" s="1014">
        <v>140743</v>
      </c>
      <c r="R187" s="1014">
        <v>96569</v>
      </c>
      <c r="S187" s="1014">
        <v>14063.6</v>
      </c>
      <c r="T187" s="1014">
        <v>10680.14</v>
      </c>
      <c r="U187" s="1014">
        <v>45038</v>
      </c>
      <c r="V187" s="1014">
        <v>23220</v>
      </c>
      <c r="W187" s="1014">
        <v>212467.4</v>
      </c>
      <c r="X187" s="1014">
        <v>345.9</v>
      </c>
      <c r="Y187" s="1014">
        <v>50716</v>
      </c>
      <c r="Z187" s="1014">
        <v>598080</v>
      </c>
      <c r="AA187" s="1014">
        <v>304621</v>
      </c>
      <c r="AB187" s="1014">
        <v>212487.3</v>
      </c>
      <c r="AC187" s="1014">
        <v>1112.4000000000001</v>
      </c>
      <c r="AD187" s="1081">
        <v>942</v>
      </c>
      <c r="AE187" s="1014">
        <v>76.3</v>
      </c>
      <c r="AF187" s="1014">
        <v>55.1</v>
      </c>
      <c r="AG187" s="1014">
        <v>82811.399999999994</v>
      </c>
      <c r="AH187" s="1014">
        <v>64015.1</v>
      </c>
      <c r="AI187" s="1014">
        <v>67802.399999999994</v>
      </c>
      <c r="AJ187" s="1014">
        <v>55298.7</v>
      </c>
      <c r="AK187" s="1014">
        <v>60029.9</v>
      </c>
      <c r="AL187" s="1014">
        <v>23601.3</v>
      </c>
      <c r="AM187" s="1014">
        <v>16.899999999999999</v>
      </c>
      <c r="AN187" s="1014">
        <v>18.2</v>
      </c>
      <c r="AO187" s="1014">
        <v>500936</v>
      </c>
      <c r="AP187" s="1014">
        <v>231052</v>
      </c>
      <c r="AQ187" s="1014">
        <v>65389</v>
      </c>
      <c r="AR187" s="1014"/>
      <c r="AS187" s="1014">
        <v>467632</v>
      </c>
      <c r="AT187" s="1014">
        <v>205766</v>
      </c>
      <c r="AU187" s="1014">
        <v>80835.399999999994</v>
      </c>
      <c r="AV187" s="1105">
        <v>4550.2</v>
      </c>
      <c r="AW187" s="1105">
        <v>3039.4</v>
      </c>
      <c r="AX187" s="1014">
        <v>226.4</v>
      </c>
      <c r="AY187" s="1105">
        <v>137.16999999999999</v>
      </c>
      <c r="AZ187" s="1014">
        <v>823.95799999999997</v>
      </c>
      <c r="BA187" s="1014">
        <v>349.755</v>
      </c>
      <c r="BB187" s="1089">
        <v>1827.31</v>
      </c>
      <c r="BC187" s="1014">
        <v>3074.9</v>
      </c>
      <c r="BD187" s="1014">
        <v>455.7</v>
      </c>
      <c r="BE187" s="1014">
        <v>6617.15</v>
      </c>
      <c r="BF187" s="1014">
        <v>31190.149122807001</v>
      </c>
      <c r="BG187" s="1014">
        <v>8429.9362722498499</v>
      </c>
      <c r="BH187" s="1014">
        <v>5738.46</v>
      </c>
      <c r="BI187" s="1014">
        <v>2655590.3999999994</v>
      </c>
      <c r="BJ187" s="1014">
        <v>566</v>
      </c>
      <c r="BK187" s="1014">
        <v>20869.599999999999</v>
      </c>
      <c r="BL187" s="1014">
        <v>3406922</v>
      </c>
      <c r="BM187" s="1014">
        <v>116747</v>
      </c>
      <c r="BN187" s="1014">
        <v>21142.400000000001</v>
      </c>
      <c r="BO187" s="1014">
        <v>3183479</v>
      </c>
      <c r="BP187" s="1014">
        <v>165908</v>
      </c>
      <c r="BQ187" s="1014">
        <v>18556.5</v>
      </c>
      <c r="BR187" s="1014">
        <v>8942.7999999999993</v>
      </c>
      <c r="BS187" s="1014">
        <v>6087.7</v>
      </c>
      <c r="BT187" s="1014">
        <v>1153884</v>
      </c>
      <c r="BU187" s="1014">
        <v>654904</v>
      </c>
      <c r="BV187" s="1014">
        <v>742346</v>
      </c>
      <c r="BW187" s="1014">
        <v>468616</v>
      </c>
      <c r="BX187" s="1326">
        <v>0</v>
      </c>
    </row>
    <row r="188" spans="1:76">
      <c r="A188" s="160">
        <v>45102</v>
      </c>
      <c r="B188" s="1014">
        <v>1068.596</v>
      </c>
      <c r="C188" s="1014">
        <v>590.08000000000004</v>
      </c>
      <c r="D188" s="1014">
        <v>6862.3</v>
      </c>
      <c r="E188" s="1839">
        <v>0</v>
      </c>
      <c r="F188" s="1014">
        <v>18748</v>
      </c>
      <c r="G188" s="1014">
        <v>5875</v>
      </c>
      <c r="H188" s="1014">
        <v>11382</v>
      </c>
      <c r="I188" s="1014">
        <v>5702</v>
      </c>
      <c r="J188" s="1014">
        <v>206886.9</v>
      </c>
      <c r="K188" s="1014">
        <v>14963.2</v>
      </c>
      <c r="L188" s="1014">
        <v>7011.1</v>
      </c>
      <c r="M188" s="1014">
        <v>46196.1</v>
      </c>
      <c r="N188" s="1014">
        <v>36751.4</v>
      </c>
      <c r="O188" s="1014">
        <v>138375</v>
      </c>
      <c r="P188" s="1014">
        <v>114758</v>
      </c>
      <c r="Q188" s="1014">
        <v>140757</v>
      </c>
      <c r="R188" s="1014">
        <v>96579</v>
      </c>
      <c r="S188" s="1014">
        <v>14063.6</v>
      </c>
      <c r="T188" s="1014">
        <v>10680.14</v>
      </c>
      <c r="U188" s="1014">
        <v>45189</v>
      </c>
      <c r="V188" s="1014">
        <v>23297</v>
      </c>
      <c r="W188" s="1014">
        <v>212491.4</v>
      </c>
      <c r="X188" s="1014">
        <v>345.9</v>
      </c>
      <c r="Y188" s="1014">
        <v>50716</v>
      </c>
      <c r="Z188" s="1014">
        <v>598373</v>
      </c>
      <c r="AA188" s="1014">
        <v>304766</v>
      </c>
      <c r="AB188" s="1014">
        <v>212511.3</v>
      </c>
      <c r="AC188" s="1014">
        <v>1112.4000000000001</v>
      </c>
      <c r="AD188" s="1081">
        <v>942</v>
      </c>
      <c r="AE188" s="1014">
        <v>79.5</v>
      </c>
      <c r="AF188" s="1014">
        <v>57.5</v>
      </c>
      <c r="AG188" s="1014">
        <v>82818.5</v>
      </c>
      <c r="AH188" s="1014">
        <v>64020.4</v>
      </c>
      <c r="AI188" s="1014">
        <v>67839.600000000006</v>
      </c>
      <c r="AJ188" s="1014">
        <v>55330.9</v>
      </c>
      <c r="AK188" s="1014">
        <v>60041.599999999999</v>
      </c>
      <c r="AL188" s="1014">
        <v>23605.9</v>
      </c>
      <c r="AM188" s="1014">
        <v>16.899999999999999</v>
      </c>
      <c r="AN188" s="1014">
        <v>18.2</v>
      </c>
      <c r="AO188" s="1014">
        <v>501109</v>
      </c>
      <c r="AP188" s="1014">
        <v>231131</v>
      </c>
      <c r="AQ188" s="1014">
        <v>65393</v>
      </c>
      <c r="AR188" s="1014"/>
      <c r="AS188" s="1014">
        <v>467786</v>
      </c>
      <c r="AT188" s="1014">
        <v>205832</v>
      </c>
      <c r="AU188" s="1014">
        <v>80859.399999999994</v>
      </c>
      <c r="AV188" s="1014">
        <v>4553.3</v>
      </c>
      <c r="AW188" s="1014">
        <v>3041.4</v>
      </c>
      <c r="AX188" s="1014">
        <v>226.4</v>
      </c>
      <c r="AY188" s="1105">
        <v>137.16999999999999</v>
      </c>
      <c r="AZ188" s="1014">
        <v>823.95799999999997</v>
      </c>
      <c r="BA188" s="1014">
        <v>349.755</v>
      </c>
      <c r="BB188" s="1089">
        <v>1827.31</v>
      </c>
      <c r="BC188" s="1014">
        <v>3077.3</v>
      </c>
      <c r="BD188" s="1014">
        <v>455.7</v>
      </c>
      <c r="BE188" s="1014">
        <v>5865.75</v>
      </c>
      <c r="BF188" s="1014">
        <v>30600.440350877201</v>
      </c>
      <c r="BG188" s="1014">
        <v>9895.7221219073308</v>
      </c>
      <c r="BH188" s="1014">
        <v>5773.11</v>
      </c>
      <c r="BI188" s="1014">
        <v>2658700</v>
      </c>
      <c r="BJ188" s="1014">
        <v>567</v>
      </c>
      <c r="BK188" s="1014">
        <v>20893.599999999999</v>
      </c>
      <c r="BL188" s="1014">
        <v>3410794</v>
      </c>
      <c r="BM188" s="1014">
        <v>116868</v>
      </c>
      <c r="BN188" s="1014">
        <v>21166.400000000001</v>
      </c>
      <c r="BO188" s="1014">
        <v>3183479</v>
      </c>
      <c r="BP188" s="1014">
        <v>165908</v>
      </c>
      <c r="BQ188" s="1014">
        <v>18556.5</v>
      </c>
      <c r="BR188" s="1014">
        <v>8947.1</v>
      </c>
      <c r="BS188" s="1014">
        <v>6090.8</v>
      </c>
      <c r="BT188" s="1014">
        <v>1155084</v>
      </c>
      <c r="BU188" s="1014">
        <v>655560</v>
      </c>
      <c r="BV188" s="1014">
        <v>742520</v>
      </c>
      <c r="BW188" s="1014">
        <v>468720</v>
      </c>
      <c r="BX188" s="1326">
        <v>0</v>
      </c>
    </row>
    <row r="189" spans="1:76">
      <c r="A189" s="160">
        <v>45103</v>
      </c>
      <c r="B189" s="1014">
        <v>1068.596</v>
      </c>
      <c r="C189" s="1014">
        <v>590.08000000000004</v>
      </c>
      <c r="D189" s="1014">
        <v>6862.3</v>
      </c>
      <c r="E189" s="1839">
        <v>0</v>
      </c>
      <c r="F189" s="1014">
        <v>18756.8</v>
      </c>
      <c r="G189" s="1014">
        <v>5876.5</v>
      </c>
      <c r="H189" s="1014">
        <v>11544</v>
      </c>
      <c r="I189" s="1014">
        <v>5784</v>
      </c>
      <c r="J189" s="1014">
        <v>206910.9</v>
      </c>
      <c r="K189" s="1014">
        <v>14963.2</v>
      </c>
      <c r="L189" s="1014">
        <v>7011.1</v>
      </c>
      <c r="M189" s="1014">
        <v>46196.1</v>
      </c>
      <c r="N189" s="1014">
        <v>36751.4</v>
      </c>
      <c r="O189" s="1014">
        <v>138385</v>
      </c>
      <c r="P189" s="1014">
        <v>114766</v>
      </c>
      <c r="Q189" s="1014">
        <v>140770</v>
      </c>
      <c r="R189" s="1014">
        <v>96588</v>
      </c>
      <c r="S189" s="1014">
        <v>14063.6</v>
      </c>
      <c r="T189" s="1014">
        <v>10680.14</v>
      </c>
      <c r="U189" s="1014">
        <v>45335</v>
      </c>
      <c r="V189" s="1014">
        <v>23369</v>
      </c>
      <c r="W189" s="1014">
        <v>212515.4</v>
      </c>
      <c r="X189" s="1014">
        <v>345.9</v>
      </c>
      <c r="Y189" s="1014">
        <v>50716</v>
      </c>
      <c r="Z189" s="1014">
        <v>598667</v>
      </c>
      <c r="AA189" s="1014">
        <v>304914</v>
      </c>
      <c r="AB189" s="1014">
        <v>212535.3</v>
      </c>
      <c r="AC189" s="1014">
        <v>1112.4000000000001</v>
      </c>
      <c r="AD189" s="1081">
        <v>942</v>
      </c>
      <c r="AE189" s="1014">
        <v>82.7</v>
      </c>
      <c r="AF189" s="1014">
        <v>60</v>
      </c>
      <c r="AG189" s="1014">
        <v>82824</v>
      </c>
      <c r="AH189" s="1014">
        <v>64024.4</v>
      </c>
      <c r="AI189" s="1014">
        <v>67876.5</v>
      </c>
      <c r="AJ189" s="1014">
        <v>55362.7</v>
      </c>
      <c r="AK189" s="1014">
        <v>60052.6</v>
      </c>
      <c r="AL189" s="1014">
        <v>23610.3</v>
      </c>
      <c r="AM189" s="1014">
        <v>16.899999999999999</v>
      </c>
      <c r="AN189" s="1014">
        <v>18.2</v>
      </c>
      <c r="AO189" s="1014">
        <v>501281</v>
      </c>
      <c r="AP189" s="1014">
        <v>231210</v>
      </c>
      <c r="AQ189" s="1014">
        <v>65398</v>
      </c>
      <c r="AR189" s="1014"/>
      <c r="AS189" s="1014">
        <v>467938</v>
      </c>
      <c r="AT189" s="1014">
        <v>205900</v>
      </c>
      <c r="AU189" s="1014">
        <v>80883.399999999994</v>
      </c>
      <c r="AV189" s="1014">
        <v>4555.3</v>
      </c>
      <c r="AW189" s="1014">
        <v>3042.7</v>
      </c>
      <c r="AX189" s="1014">
        <v>226.4</v>
      </c>
      <c r="AY189" s="1105">
        <v>137.16999999999999</v>
      </c>
      <c r="AZ189" s="1014">
        <v>823.95799999999997</v>
      </c>
      <c r="BA189" s="1014">
        <v>349.755</v>
      </c>
      <c r="BB189" s="1089">
        <v>1827.31</v>
      </c>
      <c r="BC189" s="1014">
        <v>3080.2</v>
      </c>
      <c r="BD189" s="1014">
        <v>456.6</v>
      </c>
      <c r="BE189" s="1014">
        <v>5869.81</v>
      </c>
      <c r="BF189" s="1014">
        <v>30995.5842105263</v>
      </c>
      <c r="BG189" s="1014">
        <v>8669.4103289860595</v>
      </c>
      <c r="BH189" s="1014">
        <v>6137.16</v>
      </c>
      <c r="BI189" s="1014">
        <v>2661800</v>
      </c>
      <c r="BJ189" s="1014">
        <v>568</v>
      </c>
      <c r="BK189" s="1014">
        <v>20917.599999999999</v>
      </c>
      <c r="BL189" s="1014">
        <v>3414562</v>
      </c>
      <c r="BM189" s="1014">
        <v>117032</v>
      </c>
      <c r="BN189" s="1014">
        <v>21190.400000000001</v>
      </c>
      <c r="BO189" s="1014">
        <v>3183479</v>
      </c>
      <c r="BP189" s="1014">
        <v>165908</v>
      </c>
      <c r="BQ189" s="1014">
        <v>18556.5</v>
      </c>
      <c r="BR189" s="1014">
        <v>8951.4</v>
      </c>
      <c r="BS189" s="1014">
        <v>6093.9</v>
      </c>
      <c r="BT189" s="1014">
        <v>1155920</v>
      </c>
      <c r="BU189" s="1014">
        <v>656026</v>
      </c>
      <c r="BV189" s="1014">
        <v>742980</v>
      </c>
      <c r="BW189" s="1014">
        <v>468996</v>
      </c>
      <c r="BX189" s="1326">
        <v>0</v>
      </c>
    </row>
    <row r="190" spans="1:76">
      <c r="A190" s="160">
        <v>45104</v>
      </c>
      <c r="B190" s="1014">
        <v>1068.7819999999999</v>
      </c>
      <c r="C190" s="1014">
        <v>590.16700000000003</v>
      </c>
      <c r="D190" s="1089">
        <v>6863.8</v>
      </c>
      <c r="E190" s="1311">
        <v>0</v>
      </c>
      <c r="F190" s="1014">
        <v>18766.900000000001</v>
      </c>
      <c r="G190" s="1014">
        <v>5877.3</v>
      </c>
      <c r="H190" s="1014">
        <v>11705.6</v>
      </c>
      <c r="I190" s="1014">
        <v>5864.9</v>
      </c>
      <c r="J190" s="1014">
        <v>206934.9</v>
      </c>
      <c r="K190" s="1014">
        <v>14963.2</v>
      </c>
      <c r="L190" s="1014">
        <v>7011.1</v>
      </c>
      <c r="M190" s="1014">
        <v>46196.1</v>
      </c>
      <c r="N190" s="1014">
        <v>36751.4</v>
      </c>
      <c r="O190" s="1014">
        <v>138394.68</v>
      </c>
      <c r="P190" s="1014">
        <v>114773.79</v>
      </c>
      <c r="Q190" s="1014">
        <v>140784.99</v>
      </c>
      <c r="R190" s="1014">
        <v>96598.28</v>
      </c>
      <c r="S190" s="1014">
        <v>14063.6</v>
      </c>
      <c r="T190" s="1014">
        <v>10680.14</v>
      </c>
      <c r="U190" s="1014">
        <v>45480.98</v>
      </c>
      <c r="V190" s="1014">
        <v>23444.33</v>
      </c>
      <c r="W190" s="1014">
        <v>212539.4</v>
      </c>
      <c r="X190" s="1014">
        <v>345.9</v>
      </c>
      <c r="Y190" s="1014">
        <v>50716</v>
      </c>
      <c r="Z190" s="1014">
        <v>598956.06000000006</v>
      </c>
      <c r="AA190" s="1014">
        <v>305055.53999999998</v>
      </c>
      <c r="AB190" s="1014">
        <v>212559.3</v>
      </c>
      <c r="AC190" s="1014">
        <v>1112.4000000000001</v>
      </c>
      <c r="AD190" s="1081">
        <v>942</v>
      </c>
      <c r="AE190" s="1014">
        <v>85.97</v>
      </c>
      <c r="AF190" s="1014">
        <v>62.41</v>
      </c>
      <c r="AG190" s="1014">
        <v>82830.179999999993</v>
      </c>
      <c r="AH190" s="1014">
        <v>64028.95</v>
      </c>
      <c r="AI190" s="1014">
        <v>67910.850000000006</v>
      </c>
      <c r="AJ190" s="1014">
        <v>55392.21</v>
      </c>
      <c r="AK190" s="1014">
        <v>60065.3</v>
      </c>
      <c r="AL190" s="1014">
        <v>23615.3</v>
      </c>
      <c r="AM190" s="1014">
        <v>16.899999999999999</v>
      </c>
      <c r="AN190" s="1014">
        <v>18.2</v>
      </c>
      <c r="AO190" s="1014">
        <v>501449.9</v>
      </c>
      <c r="AP190" s="1014">
        <v>231286.9</v>
      </c>
      <c r="AQ190" s="1014">
        <v>65402.39</v>
      </c>
      <c r="AR190" s="1014"/>
      <c r="AS190" s="1014">
        <v>468088.7</v>
      </c>
      <c r="AT190" s="1014">
        <v>205964.26</v>
      </c>
      <c r="AU190" s="1014">
        <v>80907.399999999994</v>
      </c>
      <c r="AV190" s="1014">
        <v>4555.2700000000004</v>
      </c>
      <c r="AW190" s="1014">
        <v>3042.7</v>
      </c>
      <c r="AX190" s="1014">
        <v>226.57</v>
      </c>
      <c r="AY190" s="1014">
        <v>137.30000000000001</v>
      </c>
      <c r="AZ190" s="1014">
        <v>824.21100000000001</v>
      </c>
      <c r="BA190" s="1014">
        <v>349.85199999999998</v>
      </c>
      <c r="BB190" s="1089">
        <v>1827.35</v>
      </c>
      <c r="BC190" s="1014">
        <v>3083.8</v>
      </c>
      <c r="BD190" s="1014">
        <v>458.9</v>
      </c>
      <c r="BE190" s="1014">
        <v>5954.35</v>
      </c>
      <c r="BF190" s="1014">
        <v>30876.9368421053</v>
      </c>
      <c r="BG190" s="1014">
        <v>8932.7278803104491</v>
      </c>
      <c r="BH190" s="1014">
        <v>4989.18</v>
      </c>
      <c r="BI190" s="1014">
        <v>2664080</v>
      </c>
      <c r="BJ190" s="1014">
        <v>569</v>
      </c>
      <c r="BK190" s="1014">
        <v>20939.240000000002</v>
      </c>
      <c r="BL190" s="1014">
        <v>3418346</v>
      </c>
      <c r="BM190" s="1014">
        <v>117216</v>
      </c>
      <c r="BN190" s="1014">
        <v>21214.44</v>
      </c>
      <c r="BO190" s="1014">
        <v>3183835</v>
      </c>
      <c r="BP190" s="1014">
        <v>165913</v>
      </c>
      <c r="BQ190" s="1014">
        <v>18559.12</v>
      </c>
      <c r="BR190" s="1014">
        <v>8955.98</v>
      </c>
      <c r="BS190" s="1014">
        <v>6097.27</v>
      </c>
      <c r="BT190" s="1014">
        <v>1156005</v>
      </c>
      <c r="BU190" s="1014">
        <v>656080</v>
      </c>
      <c r="BV190" s="1014">
        <v>744395</v>
      </c>
      <c r="BW190" s="1014">
        <v>469854</v>
      </c>
      <c r="BX190" s="1326">
        <v>0</v>
      </c>
    </row>
    <row r="191" spans="1:76">
      <c r="A191" s="160">
        <v>45105</v>
      </c>
      <c r="B191" s="1014">
        <v>1068.7819999999999</v>
      </c>
      <c r="C191" s="1014">
        <v>590.16700000000003</v>
      </c>
      <c r="D191" s="1089">
        <v>6863.8</v>
      </c>
      <c r="E191" s="1311">
        <v>0</v>
      </c>
      <c r="F191" s="1014">
        <v>18780.2</v>
      </c>
      <c r="G191" s="1014">
        <v>5881.1</v>
      </c>
      <c r="H191" s="1014">
        <v>11866.38</v>
      </c>
      <c r="I191" s="1014">
        <v>5946.11</v>
      </c>
      <c r="J191" s="1014">
        <v>206958.9</v>
      </c>
      <c r="K191" s="1014">
        <v>14963.2</v>
      </c>
      <c r="L191" s="1014">
        <v>7011.1</v>
      </c>
      <c r="M191" s="1014">
        <v>46196.1</v>
      </c>
      <c r="N191" s="1014">
        <v>36751.4</v>
      </c>
      <c r="O191" s="1014">
        <v>138403.10999999999</v>
      </c>
      <c r="P191" s="1014">
        <v>114780.71</v>
      </c>
      <c r="Q191" s="1014">
        <v>140799.51999999999</v>
      </c>
      <c r="R191" s="1014">
        <v>96608.05</v>
      </c>
      <c r="S191" s="1014">
        <v>14063.6</v>
      </c>
      <c r="T191" s="1014">
        <v>10680.14</v>
      </c>
      <c r="U191" s="1014">
        <v>45627.55</v>
      </c>
      <c r="V191" s="1014">
        <v>23519.37</v>
      </c>
      <c r="W191" s="1014">
        <v>212563.4</v>
      </c>
      <c r="X191" s="1014">
        <v>345.9</v>
      </c>
      <c r="Y191" s="1014">
        <v>50716</v>
      </c>
      <c r="Z191" s="1014">
        <v>599239.46</v>
      </c>
      <c r="AA191" s="1014">
        <v>305197.3</v>
      </c>
      <c r="AB191" s="1014">
        <v>212583.3</v>
      </c>
      <c r="AC191" s="1014">
        <v>1112.4000000000001</v>
      </c>
      <c r="AD191" s="1081">
        <v>942</v>
      </c>
      <c r="AE191" s="1014">
        <v>89.22</v>
      </c>
      <c r="AF191" s="1014">
        <v>64.88</v>
      </c>
      <c r="AG191" s="1014">
        <v>82836.320000000007</v>
      </c>
      <c r="AH191" s="1014">
        <v>64033.5</v>
      </c>
      <c r="AI191" s="1014">
        <v>67946.67</v>
      </c>
      <c r="AJ191" s="1014">
        <v>55423.25</v>
      </c>
      <c r="AK191" s="1014">
        <v>60071.4</v>
      </c>
      <c r="AL191" s="1014">
        <v>23617.7</v>
      </c>
      <c r="AM191" s="1014">
        <v>16.899999999999999</v>
      </c>
      <c r="AN191" s="1014">
        <v>18.2</v>
      </c>
      <c r="AO191" s="1014">
        <v>501616.6</v>
      </c>
      <c r="AP191" s="1014">
        <v>231361.2</v>
      </c>
      <c r="AQ191" s="1014">
        <v>65407.3</v>
      </c>
      <c r="AR191" s="1014"/>
      <c r="AS191" s="1014">
        <v>468239.02</v>
      </c>
      <c r="AT191" s="1014">
        <v>206029.1</v>
      </c>
      <c r="AU191" s="1014">
        <v>80931.399999999994</v>
      </c>
      <c r="AV191" s="1014">
        <v>4555.3100000000004</v>
      </c>
      <c r="AW191" s="1014">
        <v>3042.73</v>
      </c>
      <c r="AX191" s="1014">
        <v>226.63</v>
      </c>
      <c r="AY191" s="1014">
        <v>137.35</v>
      </c>
      <c r="AZ191" s="1014">
        <v>824.21100000000001</v>
      </c>
      <c r="BA191" s="1014">
        <v>349.85199999999998</v>
      </c>
      <c r="BB191" s="1089">
        <v>1827.35</v>
      </c>
      <c r="BC191" s="1014">
        <v>3087.6</v>
      </c>
      <c r="BD191" s="1014">
        <v>461.2</v>
      </c>
      <c r="BE191" s="1014">
        <v>5947.6</v>
      </c>
      <c r="BF191" s="1014">
        <v>30978.773684210501</v>
      </c>
      <c r="BG191" s="1014">
        <v>8539.7276895615196</v>
      </c>
      <c r="BH191" s="1014">
        <v>5498.39</v>
      </c>
      <c r="BI191" s="1014">
        <v>2664080</v>
      </c>
      <c r="BJ191" s="1014">
        <v>569</v>
      </c>
      <c r="BK191" s="1014">
        <v>20939.240000000002</v>
      </c>
      <c r="BL191" s="1014">
        <v>3422516</v>
      </c>
      <c r="BM191" s="1014">
        <v>117823</v>
      </c>
      <c r="BN191" s="1014">
        <v>21238.1</v>
      </c>
      <c r="BO191" s="1014">
        <v>3187149</v>
      </c>
      <c r="BP191" s="1014">
        <v>166072</v>
      </c>
      <c r="BQ191" s="1014">
        <v>18582.77</v>
      </c>
      <c r="BR191" s="1014">
        <v>8960.6</v>
      </c>
      <c r="BS191" s="1014">
        <v>6100.62</v>
      </c>
      <c r="BT191" s="1014">
        <v>1156465</v>
      </c>
      <c r="BU191" s="1014">
        <v>656339</v>
      </c>
      <c r="BV191" s="1014">
        <v>745431</v>
      </c>
      <c r="BW191" s="1014">
        <v>470472</v>
      </c>
      <c r="BX191" s="1326">
        <v>0</v>
      </c>
    </row>
    <row r="192" spans="1:76">
      <c r="A192" s="160">
        <v>45106</v>
      </c>
      <c r="B192" s="1014">
        <v>1068.7819999999999</v>
      </c>
      <c r="C192" s="1014">
        <v>590.16700000000003</v>
      </c>
      <c r="D192" s="1089">
        <v>6863.8</v>
      </c>
      <c r="E192" s="1311">
        <v>0</v>
      </c>
      <c r="F192" s="1014">
        <v>18793.400000000001</v>
      </c>
      <c r="G192" s="1014">
        <v>5884.4</v>
      </c>
      <c r="H192" s="1014">
        <v>12028</v>
      </c>
      <c r="I192" s="1014">
        <v>6027.8</v>
      </c>
      <c r="J192" s="1014">
        <v>206982.9</v>
      </c>
      <c r="K192" s="1014">
        <v>14963.2</v>
      </c>
      <c r="L192" s="1014">
        <v>7011.1</v>
      </c>
      <c r="M192" s="1014">
        <v>46196.1</v>
      </c>
      <c r="N192" s="1014">
        <v>36751.4</v>
      </c>
      <c r="O192" s="1014">
        <v>138411.51999999999</v>
      </c>
      <c r="P192" s="1014">
        <v>114787.17</v>
      </c>
      <c r="Q192" s="1014">
        <v>140814.35</v>
      </c>
      <c r="R192" s="1014">
        <v>96617.99</v>
      </c>
      <c r="S192" s="1014">
        <v>14063.6</v>
      </c>
      <c r="T192" s="1014">
        <v>10680.14</v>
      </c>
      <c r="U192" s="1014">
        <v>45775.336000000003</v>
      </c>
      <c r="V192" s="1014">
        <v>23597</v>
      </c>
      <c r="W192" s="1014">
        <v>212587.4</v>
      </c>
      <c r="X192" s="1014">
        <v>345.9</v>
      </c>
      <c r="Y192" s="1014">
        <v>50716</v>
      </c>
      <c r="Z192" s="1014">
        <v>599530.25</v>
      </c>
      <c r="AA192" s="1014">
        <v>305337.13</v>
      </c>
      <c r="AB192" s="1014">
        <v>212607.3</v>
      </c>
      <c r="AC192" s="1014">
        <v>1112.4000000000001</v>
      </c>
      <c r="AD192" s="1081">
        <v>942</v>
      </c>
      <c r="AE192" s="1014">
        <v>92.5</v>
      </c>
      <c r="AF192" s="1014">
        <v>67.34</v>
      </c>
      <c r="AG192" s="1014">
        <v>82842.100000000006</v>
      </c>
      <c r="AH192" s="1014">
        <v>64037.86</v>
      </c>
      <c r="AI192" s="1014">
        <v>67982.12</v>
      </c>
      <c r="AJ192" s="1014">
        <v>55453.8</v>
      </c>
      <c r="AK192" s="1014">
        <v>60084.3</v>
      </c>
      <c r="AL192" s="1014">
        <v>23622.7</v>
      </c>
      <c r="AM192" s="1014">
        <v>16.899999999999999</v>
      </c>
      <c r="AN192" s="1014">
        <v>18.2</v>
      </c>
      <c r="AO192" s="1014">
        <v>501784.9</v>
      </c>
      <c r="AP192" s="1014">
        <v>231435.2</v>
      </c>
      <c r="AQ192" s="1014">
        <v>65412.493000000002</v>
      </c>
      <c r="AR192" s="1014"/>
      <c r="AS192" s="1014">
        <v>468395.1</v>
      </c>
      <c r="AT192" s="1014">
        <v>206096.5</v>
      </c>
      <c r="AU192" s="1014">
        <v>80955.399999999994</v>
      </c>
      <c r="AV192" s="1014">
        <v>4555.33</v>
      </c>
      <c r="AW192" s="1014">
        <v>3042.74</v>
      </c>
      <c r="AX192" s="1014">
        <v>226.63</v>
      </c>
      <c r="AY192" s="1014">
        <v>137.35</v>
      </c>
      <c r="AZ192" s="1014">
        <v>824.21100000000001</v>
      </c>
      <c r="BA192" s="1014">
        <v>349.85199999999998</v>
      </c>
      <c r="BB192" s="1089">
        <v>1827.35</v>
      </c>
      <c r="BC192" s="1014">
        <v>3091.4</v>
      </c>
      <c r="BD192" s="1014">
        <v>463.6</v>
      </c>
      <c r="BE192" s="1014">
        <v>5834.62</v>
      </c>
      <c r="BF192" s="1014">
        <v>30899.5438596491</v>
      </c>
      <c r="BG192" s="1014">
        <v>8629.0754396775192</v>
      </c>
      <c r="BH192" s="1014">
        <v>5557.81</v>
      </c>
      <c r="BI192" s="1014">
        <v>2664080</v>
      </c>
      <c r="BJ192" s="1014">
        <v>569</v>
      </c>
      <c r="BK192" s="1014">
        <v>20939.240000000002</v>
      </c>
      <c r="BL192" s="1014">
        <v>3426867</v>
      </c>
      <c r="BM192" s="1014">
        <v>118359</v>
      </c>
      <c r="BN192" s="1014">
        <v>21262.1</v>
      </c>
      <c r="BO192" s="1014">
        <v>3190575</v>
      </c>
      <c r="BP192" s="1014">
        <v>166112</v>
      </c>
      <c r="BQ192" s="1014">
        <v>18606.8</v>
      </c>
      <c r="BR192" s="1014">
        <v>8966.08</v>
      </c>
      <c r="BS192" s="1014">
        <v>6104.42</v>
      </c>
      <c r="BT192" s="1014">
        <v>1157863</v>
      </c>
      <c r="BU192" s="1014">
        <v>657123</v>
      </c>
      <c r="BV192" s="1014">
        <v>745431</v>
      </c>
      <c r="BW192" s="1014">
        <v>470473</v>
      </c>
      <c r="BX192" s="1326">
        <v>0</v>
      </c>
    </row>
    <row r="193" spans="1:76">
      <c r="A193" s="160">
        <v>45107</v>
      </c>
      <c r="B193" s="1014">
        <v>1068.7819999999999</v>
      </c>
      <c r="C193" s="1014">
        <v>590.16700000000003</v>
      </c>
      <c r="D193" s="1089">
        <v>6863.8</v>
      </c>
      <c r="E193" s="1311">
        <v>0</v>
      </c>
      <c r="F193" s="1014">
        <v>18807.7</v>
      </c>
      <c r="G193" s="1014">
        <v>5888.6</v>
      </c>
      <c r="H193" s="1014">
        <v>12190.123</v>
      </c>
      <c r="I193" s="1014">
        <v>6109.6949999999997</v>
      </c>
      <c r="J193" s="1014">
        <v>207006.9</v>
      </c>
      <c r="K193" s="1014">
        <v>14963.3</v>
      </c>
      <c r="L193" s="1014">
        <v>7011.1</v>
      </c>
      <c r="M193" s="1014">
        <v>46196.1</v>
      </c>
      <c r="N193" s="1014">
        <v>36751.4</v>
      </c>
      <c r="O193" s="1014">
        <v>138419.48000000001</v>
      </c>
      <c r="P193" s="1014">
        <v>114793.77</v>
      </c>
      <c r="Q193" s="1014">
        <v>140829.34</v>
      </c>
      <c r="R193" s="1014">
        <v>96628.15</v>
      </c>
      <c r="S193" s="1014">
        <v>14063.6</v>
      </c>
      <c r="T193" s="1014">
        <v>10680.14</v>
      </c>
      <c r="U193" s="1014">
        <v>45923.24</v>
      </c>
      <c r="V193" s="1014">
        <v>23674.343000000001</v>
      </c>
      <c r="W193" s="1014">
        <v>212611.4</v>
      </c>
      <c r="X193" s="1014">
        <v>345.9</v>
      </c>
      <c r="Y193" s="1014">
        <v>50716</v>
      </c>
      <c r="Z193" s="1014">
        <v>599812.326</v>
      </c>
      <c r="AA193" s="1014">
        <v>305475.8</v>
      </c>
      <c r="AB193" s="1014">
        <v>212631.3</v>
      </c>
      <c r="AC193" s="1014">
        <v>1112.4000000000001</v>
      </c>
      <c r="AD193" s="1081">
        <v>942</v>
      </c>
      <c r="AE193" s="1014">
        <v>95.67</v>
      </c>
      <c r="AF193" s="1014">
        <v>69.75</v>
      </c>
      <c r="AG193" s="1014">
        <v>82847.47</v>
      </c>
      <c r="AH193" s="1014">
        <v>64041.98</v>
      </c>
      <c r="AI193" s="1014">
        <v>68018.48</v>
      </c>
      <c r="AJ193" s="1089">
        <v>55485.21</v>
      </c>
      <c r="AK193" s="1014">
        <v>60088</v>
      </c>
      <c r="AL193" s="1014">
        <v>23624.2</v>
      </c>
      <c r="AM193" s="1014">
        <v>16.899999999999999</v>
      </c>
      <c r="AN193" s="1014">
        <v>18.2</v>
      </c>
      <c r="AO193" s="1014">
        <v>501951.6</v>
      </c>
      <c r="AP193" s="1014">
        <v>231508.1</v>
      </c>
      <c r="AQ193" s="1014">
        <v>65417.675999999999</v>
      </c>
      <c r="AR193" s="1014"/>
      <c r="AS193" s="1014">
        <v>468546.41</v>
      </c>
      <c r="AT193" s="1014">
        <v>206161.74</v>
      </c>
      <c r="AU193" s="1014">
        <v>80979.399999999994</v>
      </c>
      <c r="AV193" s="1014">
        <v>4555.3500000000004</v>
      </c>
      <c r="AW193" s="1014">
        <v>3042.76</v>
      </c>
      <c r="AX193" s="1014">
        <v>226.63</v>
      </c>
      <c r="AY193" s="1014">
        <v>137.35</v>
      </c>
      <c r="AZ193" s="1014">
        <v>824.21100000000001</v>
      </c>
      <c r="BA193" s="1014">
        <v>349.85199999999998</v>
      </c>
      <c r="BB193" s="1089">
        <v>1827.35</v>
      </c>
      <c r="BC193" s="1014">
        <v>3094.9</v>
      </c>
      <c r="BD193" s="1014">
        <v>465.4</v>
      </c>
      <c r="BE193" s="1014">
        <v>5598.56</v>
      </c>
      <c r="BF193" s="1014">
        <v>34597.280701754396</v>
      </c>
      <c r="BG193" s="1014">
        <v>9898.4161174988203</v>
      </c>
      <c r="BH193" s="1014">
        <v>5455.28</v>
      </c>
      <c r="BI193" s="1014">
        <v>2664080</v>
      </c>
      <c r="BJ193" s="1014">
        <v>569</v>
      </c>
      <c r="BK193" s="1014">
        <v>20939.240000000002</v>
      </c>
      <c r="BL193" s="1014">
        <v>3431179</v>
      </c>
      <c r="BM193" s="1014">
        <v>118864</v>
      </c>
      <c r="BN193" s="1014">
        <v>21286.1</v>
      </c>
      <c r="BO193" s="1014">
        <v>3194010</v>
      </c>
      <c r="BP193" s="1014">
        <v>166217</v>
      </c>
      <c r="BQ193" s="1014">
        <v>18630.8</v>
      </c>
      <c r="BR193" s="1014">
        <v>8972.7099999999991</v>
      </c>
      <c r="BS193" s="1014">
        <v>6108.8</v>
      </c>
      <c r="BT193" s="1014">
        <v>1159289</v>
      </c>
      <c r="BU193" s="1014">
        <v>657917</v>
      </c>
      <c r="BV193" s="1014">
        <v>745432</v>
      </c>
      <c r="BW193" s="1014">
        <v>470473</v>
      </c>
      <c r="BX193" s="1326">
        <v>0</v>
      </c>
    </row>
    <row r="194" spans="1:76">
      <c r="A194" s="1085"/>
      <c r="B194" s="1086"/>
      <c r="C194" s="1086"/>
      <c r="D194" s="1086"/>
      <c r="E194" s="1414"/>
      <c r="F194" s="1086"/>
      <c r="G194" s="1086"/>
      <c r="H194" s="1086"/>
      <c r="I194" s="1086"/>
      <c r="J194" s="1086"/>
      <c r="K194" s="1086"/>
      <c r="L194" s="1086"/>
      <c r="M194" s="1086"/>
      <c r="N194" s="1086"/>
      <c r="O194" s="1086"/>
      <c r="P194" s="1086"/>
      <c r="Q194" s="1086"/>
      <c r="R194" s="1086"/>
      <c r="S194" s="1086"/>
      <c r="T194" s="1086"/>
      <c r="U194" s="1086"/>
      <c r="V194" s="1086"/>
      <c r="W194" s="1086"/>
      <c r="X194" s="1086"/>
      <c r="Y194" s="1086"/>
      <c r="Z194" s="1086"/>
      <c r="AA194" s="1086"/>
      <c r="AB194" s="1086"/>
      <c r="AC194" s="1086"/>
      <c r="AD194" s="1086"/>
      <c r="AE194" s="1086"/>
      <c r="AF194" s="1086"/>
      <c r="AG194" s="1086"/>
      <c r="AH194" s="1086"/>
      <c r="AI194" s="1086"/>
      <c r="AJ194" s="1086"/>
      <c r="AK194" s="1086"/>
      <c r="AL194" s="1086"/>
      <c r="AM194" s="1086"/>
      <c r="AN194" s="1086"/>
      <c r="AO194" s="1086"/>
      <c r="AP194" s="1086"/>
      <c r="AQ194" s="1086"/>
      <c r="AR194" s="1086"/>
      <c r="AS194" s="1086"/>
      <c r="AT194" s="1086"/>
      <c r="AU194" s="1086"/>
      <c r="AV194" s="1086"/>
      <c r="AW194" s="1086"/>
      <c r="AX194" s="1086"/>
      <c r="AY194" s="1086"/>
      <c r="AZ194" s="1086"/>
      <c r="BA194" s="1086"/>
      <c r="BB194" s="1799"/>
      <c r="BC194" s="1086"/>
      <c r="BD194" s="1086"/>
      <c r="BE194" s="1086"/>
      <c r="BF194" s="1086"/>
      <c r="BG194" s="1086"/>
      <c r="BH194" s="1086"/>
      <c r="BI194" s="1086"/>
      <c r="BJ194" s="1086"/>
      <c r="BK194" s="1086"/>
      <c r="BL194" s="1086"/>
      <c r="BM194" s="1086"/>
      <c r="BN194" s="1086"/>
      <c r="BO194" s="1086"/>
      <c r="BP194" s="1086"/>
      <c r="BQ194" s="1086"/>
      <c r="BR194" s="1086"/>
      <c r="BS194" s="1086"/>
      <c r="BT194" s="1086"/>
      <c r="BU194" s="1086"/>
      <c r="BV194" s="1086"/>
      <c r="BW194" s="1086"/>
      <c r="BX194" s="1411"/>
    </row>
    <row r="195" spans="1:76">
      <c r="A195" s="160">
        <v>45107</v>
      </c>
      <c r="B195" s="1014">
        <v>1068.7819999999999</v>
      </c>
      <c r="C195" s="1014">
        <v>590.16700000000003</v>
      </c>
      <c r="D195" s="1089">
        <v>6863.8</v>
      </c>
      <c r="E195" s="1311">
        <v>0</v>
      </c>
      <c r="F195" s="1014">
        <v>18807.7</v>
      </c>
      <c r="G195" s="1014">
        <v>5888.6</v>
      </c>
      <c r="H195" s="1014">
        <v>12190.123</v>
      </c>
      <c r="I195" s="1014">
        <v>6109.6949999999997</v>
      </c>
      <c r="J195" s="1014">
        <v>207006.9</v>
      </c>
      <c r="K195" s="1014">
        <v>14963.3</v>
      </c>
      <c r="L195" s="1014">
        <v>7011.1</v>
      </c>
      <c r="M195" s="1014">
        <v>46196.1</v>
      </c>
      <c r="N195" s="1014">
        <v>36751.4</v>
      </c>
      <c r="O195" s="1014">
        <v>138419.48000000001</v>
      </c>
      <c r="P195" s="1014">
        <v>114793.77</v>
      </c>
      <c r="Q195" s="1014">
        <v>140829.34</v>
      </c>
      <c r="R195" s="1014">
        <v>96628.15</v>
      </c>
      <c r="S195" s="1014">
        <v>14063.6</v>
      </c>
      <c r="T195" s="1014">
        <v>10680.14</v>
      </c>
      <c r="U195" s="1014">
        <v>45923.24</v>
      </c>
      <c r="V195" s="1014">
        <v>23674.343000000001</v>
      </c>
      <c r="W195" s="1014">
        <v>212611.4</v>
      </c>
      <c r="X195" s="1014">
        <v>345.9</v>
      </c>
      <c r="Y195" s="1014">
        <v>50716</v>
      </c>
      <c r="Z195" s="1014">
        <v>599812.326</v>
      </c>
      <c r="AA195" s="1014">
        <v>305475.8</v>
      </c>
      <c r="AB195" s="1014">
        <v>212631.3</v>
      </c>
      <c r="AC195" s="1014">
        <v>1112.4000000000001</v>
      </c>
      <c r="AD195" s="1081">
        <v>942</v>
      </c>
      <c r="AE195" s="1014">
        <v>95.67</v>
      </c>
      <c r="AF195" s="1014">
        <v>69.75</v>
      </c>
      <c r="AG195" s="1014">
        <v>82847.47</v>
      </c>
      <c r="AH195" s="1014">
        <v>64041.98</v>
      </c>
      <c r="AI195" s="1014">
        <v>68018.48</v>
      </c>
      <c r="AJ195" s="1089">
        <v>55485.21</v>
      </c>
      <c r="AK195" s="1014">
        <v>60088</v>
      </c>
      <c r="AL195" s="1014">
        <v>23624.2</v>
      </c>
      <c r="AM195" s="1014">
        <v>16.899999999999999</v>
      </c>
      <c r="AN195" s="1014">
        <v>18.2</v>
      </c>
      <c r="AO195" s="1014">
        <v>501951.6</v>
      </c>
      <c r="AP195" s="1014">
        <v>231508.1</v>
      </c>
      <c r="AQ195" s="1014">
        <v>65417.675999999999</v>
      </c>
      <c r="AR195" s="1014"/>
      <c r="AS195" s="1014">
        <v>468546.41</v>
      </c>
      <c r="AT195" s="1014">
        <v>206161.74</v>
      </c>
      <c r="AU195" s="1014">
        <v>80979.399999999994</v>
      </c>
      <c r="AV195" s="1014">
        <v>4555.3500000000004</v>
      </c>
      <c r="AW195" s="1014">
        <v>3042.76</v>
      </c>
      <c r="AX195" s="1014">
        <v>226.63</v>
      </c>
      <c r="AY195" s="1014">
        <v>137.35</v>
      </c>
      <c r="AZ195" s="1014">
        <v>824.21100000000001</v>
      </c>
      <c r="BA195" s="1014">
        <v>349.85199999999998</v>
      </c>
      <c r="BB195" s="1089">
        <v>1827.35</v>
      </c>
      <c r="BC195" s="1014">
        <v>3094.9</v>
      </c>
      <c r="BD195" s="1014">
        <v>465.4</v>
      </c>
      <c r="BE195" s="1014">
        <v>5598.56</v>
      </c>
      <c r="BF195" s="1014">
        <v>34597.280701754396</v>
      </c>
      <c r="BG195" s="1014">
        <v>9898.4161174988203</v>
      </c>
      <c r="BH195" s="1014">
        <v>5455.28</v>
      </c>
      <c r="BI195" s="1014">
        <v>2664080</v>
      </c>
      <c r="BJ195" s="1014">
        <v>569</v>
      </c>
      <c r="BK195" s="1014">
        <v>20939.240000000002</v>
      </c>
      <c r="BL195" s="1014">
        <v>3431179</v>
      </c>
      <c r="BM195" s="1014">
        <v>118864</v>
      </c>
      <c r="BN195" s="1014">
        <v>21286.1</v>
      </c>
      <c r="BO195" s="1014">
        <v>3194010</v>
      </c>
      <c r="BP195" s="1014">
        <v>166217</v>
      </c>
      <c r="BQ195" s="1014">
        <v>18630.8</v>
      </c>
      <c r="BR195" s="1014">
        <v>8972.7099999999991</v>
      </c>
      <c r="BS195" s="1014">
        <v>6108.8</v>
      </c>
      <c r="BT195" s="1014">
        <v>1159289</v>
      </c>
      <c r="BU195" s="1014">
        <v>657917</v>
      </c>
      <c r="BV195" s="1014">
        <v>745432</v>
      </c>
      <c r="BW195" s="1014">
        <v>470473</v>
      </c>
      <c r="BX195" s="1326">
        <v>0</v>
      </c>
    </row>
    <row r="196" spans="1:76">
      <c r="A196" s="160">
        <v>45108</v>
      </c>
      <c r="B196" s="1014">
        <v>1068.7819999999999</v>
      </c>
      <c r="C196" s="1014">
        <v>590.16700000000003</v>
      </c>
      <c r="D196" s="1089">
        <v>6863.8</v>
      </c>
      <c r="E196" s="1311">
        <v>0</v>
      </c>
      <c r="F196" s="250">
        <v>18822.400000000001</v>
      </c>
      <c r="G196" s="250">
        <v>5892.8</v>
      </c>
      <c r="H196" s="250">
        <v>12351.85</v>
      </c>
      <c r="I196" s="250">
        <v>6191.35</v>
      </c>
      <c r="J196" s="250">
        <v>207030.9</v>
      </c>
      <c r="K196" s="1014">
        <v>14963.3</v>
      </c>
      <c r="L196" s="1014">
        <v>7011.1</v>
      </c>
      <c r="M196" s="1014">
        <v>46196.1</v>
      </c>
      <c r="N196" s="1014">
        <v>36751.4</v>
      </c>
      <c r="O196" s="250">
        <v>138429.44</v>
      </c>
      <c r="P196" s="250">
        <v>114801.65</v>
      </c>
      <c r="Q196" s="250">
        <v>140843.6</v>
      </c>
      <c r="R196" s="250">
        <v>96638.11</v>
      </c>
      <c r="S196" s="1014">
        <v>14063.6</v>
      </c>
      <c r="T196" s="1014">
        <v>10680.14</v>
      </c>
      <c r="U196" s="250">
        <v>46070.73</v>
      </c>
      <c r="V196" s="250">
        <v>23752.01</v>
      </c>
      <c r="W196" s="250">
        <v>212635.4</v>
      </c>
      <c r="X196" s="1014">
        <v>345.9</v>
      </c>
      <c r="Y196" s="1014">
        <v>50716</v>
      </c>
      <c r="Z196" s="250">
        <v>600095.01</v>
      </c>
      <c r="AA196" s="250">
        <v>305613.27</v>
      </c>
      <c r="AB196" s="250">
        <v>212655.3</v>
      </c>
      <c r="AC196" s="1014">
        <v>1112.4000000000001</v>
      </c>
      <c r="AD196" s="1081">
        <v>942</v>
      </c>
      <c r="AE196" s="250">
        <v>99.01</v>
      </c>
      <c r="AF196" s="250">
        <v>72.209999999999994</v>
      </c>
      <c r="AG196" s="422">
        <v>82853.38</v>
      </c>
      <c r="AH196" s="250">
        <v>64046.57</v>
      </c>
      <c r="AI196" s="250">
        <v>68052.05</v>
      </c>
      <c r="AJ196" s="250">
        <v>55513.73</v>
      </c>
      <c r="AK196" s="250">
        <v>60101.4</v>
      </c>
      <c r="AL196" s="250">
        <v>23629.5</v>
      </c>
      <c r="AM196" s="1014">
        <v>16.899999999999999</v>
      </c>
      <c r="AN196" s="1014">
        <v>18.2</v>
      </c>
      <c r="AO196" s="250">
        <v>502110.5</v>
      </c>
      <c r="AP196" s="250">
        <v>231578</v>
      </c>
      <c r="AQ196" s="250">
        <v>65422.25</v>
      </c>
      <c r="AR196" s="1014"/>
      <c r="AS196" s="250">
        <v>468691.7</v>
      </c>
      <c r="AT196" s="250">
        <v>206224.8</v>
      </c>
      <c r="AU196" s="250">
        <v>81003.399999999994</v>
      </c>
      <c r="AV196" s="250">
        <v>4555.3599999999997</v>
      </c>
      <c r="AW196" s="250">
        <v>3042.78</v>
      </c>
      <c r="AX196" s="1014">
        <v>226.63</v>
      </c>
      <c r="AY196" s="1014">
        <v>137.35</v>
      </c>
      <c r="AZ196" s="1014">
        <v>824.21100000000001</v>
      </c>
      <c r="BA196" s="1014">
        <v>349.85199999999998</v>
      </c>
      <c r="BB196" s="1089">
        <v>1827.35</v>
      </c>
      <c r="BC196" s="250">
        <v>3098.7</v>
      </c>
      <c r="BD196" s="250">
        <v>467.8</v>
      </c>
      <c r="BE196" s="250">
        <v>5783.92</v>
      </c>
      <c r="BF196" s="250">
        <v>30044.6122807018</v>
      </c>
      <c r="BG196" s="250">
        <v>5026.59391411253</v>
      </c>
      <c r="BH196" s="250">
        <v>6049.32</v>
      </c>
      <c r="BI196" s="1014">
        <v>2664080</v>
      </c>
      <c r="BJ196" s="1014">
        <v>569</v>
      </c>
      <c r="BK196" s="1014">
        <v>20939.240000000002</v>
      </c>
      <c r="BL196" s="250">
        <v>3435367</v>
      </c>
      <c r="BM196" s="250">
        <v>119180</v>
      </c>
      <c r="BN196" s="250">
        <v>21310.1</v>
      </c>
      <c r="BO196" s="250">
        <v>3197095</v>
      </c>
      <c r="BP196" s="250">
        <v>166265</v>
      </c>
      <c r="BQ196" s="250">
        <v>18654.8</v>
      </c>
      <c r="BR196" s="250">
        <v>8980.0300000000007</v>
      </c>
      <c r="BS196" s="250">
        <v>6113.52</v>
      </c>
      <c r="BT196" s="250">
        <v>1160700</v>
      </c>
      <c r="BU196" s="250">
        <v>658700</v>
      </c>
      <c r="BV196" s="250">
        <v>745433</v>
      </c>
      <c r="BW196" s="250">
        <v>470473</v>
      </c>
      <c r="BX196" s="1324">
        <v>0</v>
      </c>
    </row>
    <row r="197" spans="1:76">
      <c r="A197" s="160">
        <v>45109</v>
      </c>
      <c r="B197" s="1014">
        <v>1068.7819999999999</v>
      </c>
      <c r="C197" s="1014">
        <v>590.16700000000003</v>
      </c>
      <c r="D197" s="1089">
        <v>6863.8</v>
      </c>
      <c r="E197" s="1311">
        <v>0</v>
      </c>
      <c r="F197" s="250">
        <v>18837.900000000001</v>
      </c>
      <c r="G197" s="250">
        <v>5897.9</v>
      </c>
      <c r="H197" s="251">
        <v>12515</v>
      </c>
      <c r="I197" s="251">
        <v>6272.9</v>
      </c>
      <c r="J197" s="251">
        <v>207054.9</v>
      </c>
      <c r="K197" s="1014">
        <v>14963.3</v>
      </c>
      <c r="L197" s="1014">
        <v>7011.1</v>
      </c>
      <c r="M197" s="1014">
        <v>46196.1</v>
      </c>
      <c r="N197" s="1014">
        <v>36751.4</v>
      </c>
      <c r="O197" s="251">
        <v>138439.42000000001</v>
      </c>
      <c r="P197" s="251">
        <v>114809.62</v>
      </c>
      <c r="Q197" s="251">
        <v>140857.92000000001</v>
      </c>
      <c r="R197" s="251">
        <v>96648.28</v>
      </c>
      <c r="S197" s="1014">
        <v>14063.6</v>
      </c>
      <c r="T197" s="1014">
        <v>10680.14</v>
      </c>
      <c r="U197" s="251">
        <v>46217.81</v>
      </c>
      <c r="V197" s="251">
        <v>23832</v>
      </c>
      <c r="W197" s="251">
        <v>212659.4</v>
      </c>
      <c r="X197" s="1014">
        <v>345.9</v>
      </c>
      <c r="Y197" s="1014">
        <v>50716</v>
      </c>
      <c r="Z197" s="251">
        <v>600384.43999999994</v>
      </c>
      <c r="AA197" s="251">
        <v>305748.94</v>
      </c>
      <c r="AB197" s="251">
        <v>212679.3</v>
      </c>
      <c r="AC197" s="1014">
        <v>1112.4000000000001</v>
      </c>
      <c r="AD197" s="1081">
        <v>942</v>
      </c>
      <c r="AE197" s="250">
        <v>102.24</v>
      </c>
      <c r="AF197" s="250">
        <v>74.64</v>
      </c>
      <c r="AG197" s="422">
        <v>82858.850000000006</v>
      </c>
      <c r="AH197" s="250">
        <v>64050.75</v>
      </c>
      <c r="AI197" s="251">
        <v>68084.92</v>
      </c>
      <c r="AJ197" s="1009">
        <v>55541.38</v>
      </c>
      <c r="AK197" s="251">
        <v>60112.3</v>
      </c>
      <c r="AL197" s="251">
        <v>23633.8</v>
      </c>
      <c r="AM197" s="1014">
        <v>16.899999999999999</v>
      </c>
      <c r="AN197" s="1014">
        <v>18.2</v>
      </c>
      <c r="AO197" s="251">
        <v>502275.1</v>
      </c>
      <c r="AP197" s="251">
        <v>231649.7</v>
      </c>
      <c r="AQ197" s="725">
        <v>65426.656000000003</v>
      </c>
      <c r="AR197" s="1014"/>
      <c r="AS197" s="251">
        <v>468846</v>
      </c>
      <c r="AT197" s="251">
        <v>206291.3</v>
      </c>
      <c r="AU197" s="251">
        <v>81027.399999999994</v>
      </c>
      <c r="AV197" s="850">
        <v>4555.3900000000003</v>
      </c>
      <c r="AW197" s="850">
        <v>3042.8</v>
      </c>
      <c r="AX197" s="1014">
        <v>226.63</v>
      </c>
      <c r="AY197" s="1014">
        <v>137.35</v>
      </c>
      <c r="AZ197" s="1014">
        <v>824.21100000000001</v>
      </c>
      <c r="BA197" s="1014">
        <v>349.85199999999998</v>
      </c>
      <c r="BB197" s="1089">
        <v>1827.35</v>
      </c>
      <c r="BC197" s="250">
        <v>3102.2</v>
      </c>
      <c r="BD197" s="250">
        <v>469.5</v>
      </c>
      <c r="BE197" s="251">
        <v>5701.87</v>
      </c>
      <c r="BF197" s="251">
        <v>33985.764912280698</v>
      </c>
      <c r="BG197" s="1081">
        <v>5279.5148082472197</v>
      </c>
      <c r="BH197" s="251">
        <v>4524.3599999999997</v>
      </c>
      <c r="BI197" s="1014">
        <v>2664080</v>
      </c>
      <c r="BJ197" s="1014">
        <v>569</v>
      </c>
      <c r="BK197" s="1014">
        <v>20939.240000000002</v>
      </c>
      <c r="BL197" s="250">
        <v>3439650</v>
      </c>
      <c r="BM197" s="250">
        <v>119675</v>
      </c>
      <c r="BN197" s="250">
        <v>21334.1</v>
      </c>
      <c r="BO197" s="250">
        <v>3200484</v>
      </c>
      <c r="BP197" s="250">
        <v>166334</v>
      </c>
      <c r="BQ197" s="250">
        <v>18678.8</v>
      </c>
      <c r="BR197" s="251">
        <v>8987.2999999999993</v>
      </c>
      <c r="BS197" s="251">
        <v>6118.2</v>
      </c>
      <c r="BT197" s="251">
        <v>1162112</v>
      </c>
      <c r="BU197" s="251">
        <v>659487</v>
      </c>
      <c r="BV197" s="250">
        <v>746223</v>
      </c>
      <c r="BW197" s="250">
        <v>470925</v>
      </c>
      <c r="BX197" s="1324">
        <v>0</v>
      </c>
    </row>
    <row r="198" spans="1:76">
      <c r="A198" s="160">
        <v>45110</v>
      </c>
      <c r="B198" s="1014">
        <v>1068.7819999999999</v>
      </c>
      <c r="C198" s="1014">
        <v>590.16700000000003</v>
      </c>
      <c r="D198" s="1089">
        <v>6863.8</v>
      </c>
      <c r="E198" s="1311">
        <v>0</v>
      </c>
      <c r="F198" s="250">
        <v>18852.5</v>
      </c>
      <c r="G198" s="250">
        <v>5902.5</v>
      </c>
      <c r="H198" s="251">
        <v>12676.83</v>
      </c>
      <c r="I198" s="251">
        <v>6353.96</v>
      </c>
      <c r="J198" s="251">
        <v>207078.9</v>
      </c>
      <c r="K198" s="1014">
        <v>14963.3</v>
      </c>
      <c r="L198" s="1014">
        <v>7011.1</v>
      </c>
      <c r="M198" s="1014">
        <v>46196.1</v>
      </c>
      <c r="N198" s="1014">
        <v>36751.4</v>
      </c>
      <c r="O198" s="250">
        <v>138449.60999999999</v>
      </c>
      <c r="P198" s="250">
        <v>114817.66</v>
      </c>
      <c r="Q198" s="250">
        <v>140872.37</v>
      </c>
      <c r="R198" s="250">
        <v>96658.58</v>
      </c>
      <c r="S198" s="1014">
        <v>14063.6</v>
      </c>
      <c r="T198" s="1014">
        <v>10680.14</v>
      </c>
      <c r="U198" s="250">
        <v>46363.01</v>
      </c>
      <c r="V198" s="250">
        <v>23908.080000000002</v>
      </c>
      <c r="W198" s="250">
        <v>212683.4</v>
      </c>
      <c r="X198" s="1014">
        <v>345.9</v>
      </c>
      <c r="Y198" s="1014">
        <v>50716</v>
      </c>
      <c r="Z198" s="250">
        <v>600672</v>
      </c>
      <c r="AA198" s="250">
        <v>305888.19</v>
      </c>
      <c r="AB198" s="251">
        <v>212703.3</v>
      </c>
      <c r="AC198" s="1014">
        <v>1112.4000000000001</v>
      </c>
      <c r="AD198" s="1081">
        <v>942</v>
      </c>
      <c r="AE198" s="250">
        <v>105.41</v>
      </c>
      <c r="AF198" s="250">
        <v>77.040000000000006</v>
      </c>
      <c r="AG198" s="422">
        <v>82864.289999999994</v>
      </c>
      <c r="AH198" s="250">
        <v>64054.97</v>
      </c>
      <c r="AI198" s="250">
        <v>68117.820000000007</v>
      </c>
      <c r="AJ198" s="385">
        <v>55569.01</v>
      </c>
      <c r="AK198" s="250">
        <v>60124.9</v>
      </c>
      <c r="AL198" s="250">
        <v>23638.7</v>
      </c>
      <c r="AM198" s="1014">
        <v>16.899999999999999</v>
      </c>
      <c r="AN198" s="1014">
        <v>18.2</v>
      </c>
      <c r="AO198" s="250">
        <v>502439.7</v>
      </c>
      <c r="AP198" s="250">
        <v>231724.6</v>
      </c>
      <c r="AQ198" s="422">
        <v>65431.163999999997</v>
      </c>
      <c r="AR198" s="1014"/>
      <c r="AS198" s="250">
        <v>468995.75</v>
      </c>
      <c r="AT198" s="250">
        <v>206355.91</v>
      </c>
      <c r="AU198" s="250">
        <v>81051.399999999994</v>
      </c>
      <c r="AV198" s="850">
        <v>4555.4399999999996</v>
      </c>
      <c r="AW198" s="850">
        <v>3042.85</v>
      </c>
      <c r="AX198" s="850">
        <v>227.44</v>
      </c>
      <c r="AY198" s="850">
        <v>137.79</v>
      </c>
      <c r="AZ198" s="1014">
        <v>824.21100000000001</v>
      </c>
      <c r="BA198" s="1014">
        <v>349.85199999999998</v>
      </c>
      <c r="BB198" s="1089">
        <v>1827.35</v>
      </c>
      <c r="BC198" s="251">
        <v>3106</v>
      </c>
      <c r="BD198" s="422">
        <v>471.9</v>
      </c>
      <c r="BE198" s="250">
        <v>5798.08</v>
      </c>
      <c r="BF198" s="250">
        <v>34007.701754385998</v>
      </c>
      <c r="BG198" s="1014">
        <v>8737.7952732635295</v>
      </c>
      <c r="BH198" s="250">
        <v>5536.74</v>
      </c>
      <c r="BI198" s="1014">
        <v>2664080</v>
      </c>
      <c r="BJ198" s="1014">
        <v>569</v>
      </c>
      <c r="BK198" s="1014">
        <v>20939.240000000002</v>
      </c>
      <c r="BL198" s="250">
        <v>3443985</v>
      </c>
      <c r="BM198" s="250">
        <v>120108</v>
      </c>
      <c r="BN198" s="250">
        <v>21358.1</v>
      </c>
      <c r="BO198" s="250">
        <v>3203744</v>
      </c>
      <c r="BP198" s="250">
        <v>166370</v>
      </c>
      <c r="BQ198" s="250">
        <v>18702.8</v>
      </c>
      <c r="BR198" s="250">
        <v>8994.51</v>
      </c>
      <c r="BS198" s="250">
        <v>6122.86</v>
      </c>
      <c r="BT198" s="250">
        <v>1163513</v>
      </c>
      <c r="BU198" s="250">
        <v>660269</v>
      </c>
      <c r="BV198" s="250">
        <v>746223</v>
      </c>
      <c r="BW198" s="250">
        <v>470925</v>
      </c>
      <c r="BX198" s="1324">
        <v>0</v>
      </c>
    </row>
    <row r="199" spans="1:76">
      <c r="A199" s="160">
        <v>45111</v>
      </c>
      <c r="B199" s="1014">
        <v>1068.7819999999999</v>
      </c>
      <c r="C199" s="1014">
        <v>590.16700000000003</v>
      </c>
      <c r="D199" s="1089">
        <v>6863.8</v>
      </c>
      <c r="E199" s="1311">
        <v>0</v>
      </c>
      <c r="F199" s="250">
        <v>18867.8</v>
      </c>
      <c r="G199" s="250">
        <v>5907.5</v>
      </c>
      <c r="H199" s="250">
        <v>12842.29</v>
      </c>
      <c r="I199" s="250">
        <v>6437.17</v>
      </c>
      <c r="J199" s="250">
        <v>207102.9</v>
      </c>
      <c r="K199" s="1014">
        <v>14963.5</v>
      </c>
      <c r="L199" s="1014">
        <v>7011.1</v>
      </c>
      <c r="M199" s="1014">
        <v>46196.1</v>
      </c>
      <c r="N199" s="1014">
        <v>36751.4</v>
      </c>
      <c r="O199" s="250">
        <v>138459</v>
      </c>
      <c r="P199" s="250">
        <v>114825</v>
      </c>
      <c r="Q199" s="250">
        <v>140887</v>
      </c>
      <c r="R199" s="250">
        <v>96669.1</v>
      </c>
      <c r="S199" s="1014">
        <v>14063.6</v>
      </c>
      <c r="T199" s="1014">
        <v>10680.14</v>
      </c>
      <c r="U199" s="250">
        <v>46514</v>
      </c>
      <c r="V199" s="250">
        <v>23982.9</v>
      </c>
      <c r="W199" s="250">
        <v>212707.4</v>
      </c>
      <c r="X199" s="1014">
        <v>345.9</v>
      </c>
      <c r="Y199" s="1014">
        <v>50716</v>
      </c>
      <c r="Z199" s="250">
        <v>600961</v>
      </c>
      <c r="AA199" s="250">
        <v>306036</v>
      </c>
      <c r="AB199" s="250">
        <v>212727.3</v>
      </c>
      <c r="AC199" s="1014">
        <v>1112.4000000000001</v>
      </c>
      <c r="AD199" s="1081">
        <v>942</v>
      </c>
      <c r="AE199" s="250">
        <v>108.65</v>
      </c>
      <c r="AF199" s="250">
        <v>79.489999999999995</v>
      </c>
      <c r="AG199" s="422">
        <v>82872.5</v>
      </c>
      <c r="AH199" s="250">
        <v>64061.3</v>
      </c>
      <c r="AI199" s="250">
        <v>68151.899999999994</v>
      </c>
      <c r="AJ199" s="250">
        <v>55597.7</v>
      </c>
      <c r="AK199" s="250">
        <v>60128.9</v>
      </c>
      <c r="AL199" s="250">
        <v>23640.400000000001</v>
      </c>
      <c r="AM199" s="1014">
        <v>16.899999999999999</v>
      </c>
      <c r="AN199" s="1014">
        <v>18.2</v>
      </c>
      <c r="AO199" s="250">
        <v>502607</v>
      </c>
      <c r="AP199" s="250">
        <v>231798</v>
      </c>
      <c r="AQ199" s="250">
        <v>65436.4</v>
      </c>
      <c r="AR199" s="1014"/>
      <c r="AS199" s="250">
        <v>469150</v>
      </c>
      <c r="AT199" s="250">
        <v>206422</v>
      </c>
      <c r="AU199" s="250">
        <v>81075.399999999994</v>
      </c>
      <c r="AV199" s="850">
        <v>4555.4399999999996</v>
      </c>
      <c r="AW199" s="850">
        <v>3042.85</v>
      </c>
      <c r="AX199" s="850">
        <v>227.49</v>
      </c>
      <c r="AY199" s="850">
        <v>137.82</v>
      </c>
      <c r="AZ199" s="850">
        <v>824.41399999999999</v>
      </c>
      <c r="BA199" s="850">
        <v>349.92899999999997</v>
      </c>
      <c r="BB199" s="657">
        <v>1827.9</v>
      </c>
      <c r="BC199" s="250">
        <v>3109.9</v>
      </c>
      <c r="BD199" s="250">
        <v>474.3</v>
      </c>
      <c r="BE199" s="250">
        <v>5506.98</v>
      </c>
      <c r="BF199" s="250">
        <v>31698.940350877201</v>
      </c>
      <c r="BG199" s="250">
        <v>7327.3042249233804</v>
      </c>
      <c r="BH199" s="250">
        <v>4568.28</v>
      </c>
      <c r="BI199" s="1014">
        <v>2664080</v>
      </c>
      <c r="BJ199" s="1014">
        <v>569</v>
      </c>
      <c r="BK199" s="1014">
        <v>20939.240000000002</v>
      </c>
      <c r="BL199" s="250">
        <v>3448330</v>
      </c>
      <c r="BM199" s="250">
        <v>120561</v>
      </c>
      <c r="BN199" s="250">
        <v>21382.1</v>
      </c>
      <c r="BO199" s="250">
        <v>3206898</v>
      </c>
      <c r="BP199" s="250">
        <v>166428</v>
      </c>
      <c r="BQ199" s="250">
        <v>18726.8</v>
      </c>
      <c r="BR199" s="250">
        <v>9002.2000000000007</v>
      </c>
      <c r="BS199" s="250">
        <v>6127.7</v>
      </c>
      <c r="BT199" s="250">
        <v>1164967</v>
      </c>
      <c r="BU199" s="250">
        <v>661078</v>
      </c>
      <c r="BV199" s="250">
        <v>746276</v>
      </c>
      <c r="BW199" s="250">
        <v>470961</v>
      </c>
      <c r="BX199" s="1324">
        <v>0.2</v>
      </c>
    </row>
    <row r="200" spans="1:76">
      <c r="A200" s="160">
        <v>45112</v>
      </c>
      <c r="B200" s="1014">
        <v>1068.7819999999999</v>
      </c>
      <c r="C200" s="1014">
        <v>590.16700000000003</v>
      </c>
      <c r="D200" s="1089">
        <v>6863.8</v>
      </c>
      <c r="E200" s="1311">
        <v>0</v>
      </c>
      <c r="F200" s="250">
        <v>18882.599999999999</v>
      </c>
      <c r="G200" s="250">
        <v>5911.9</v>
      </c>
      <c r="H200" s="250">
        <v>13009.8</v>
      </c>
      <c r="I200" s="250">
        <v>6519.1</v>
      </c>
      <c r="J200" s="250">
        <v>207126.9</v>
      </c>
      <c r="K200" s="1014">
        <v>14963.5</v>
      </c>
      <c r="L200" s="1014">
        <v>7011.1</v>
      </c>
      <c r="M200" s="1014">
        <v>46196.1</v>
      </c>
      <c r="N200" s="1014">
        <v>36751.4</v>
      </c>
      <c r="O200" s="250">
        <v>138470</v>
      </c>
      <c r="P200" s="250">
        <v>114835</v>
      </c>
      <c r="Q200" s="250">
        <v>140902</v>
      </c>
      <c r="R200" s="250">
        <v>96679</v>
      </c>
      <c r="S200" s="1014">
        <v>14063.6</v>
      </c>
      <c r="T200" s="1014">
        <v>10680.14</v>
      </c>
      <c r="U200" s="250">
        <v>46659.5</v>
      </c>
      <c r="V200" s="250">
        <v>24062</v>
      </c>
      <c r="W200" s="250">
        <v>212731.4</v>
      </c>
      <c r="X200" s="1014">
        <v>345.9</v>
      </c>
      <c r="Y200" s="1014">
        <v>50716</v>
      </c>
      <c r="Z200" s="250">
        <v>601259.5</v>
      </c>
      <c r="AA200" s="250">
        <v>306181.84000000003</v>
      </c>
      <c r="AB200" s="250">
        <v>212751.3</v>
      </c>
      <c r="AC200" s="1014">
        <v>1112.4000000000001</v>
      </c>
      <c r="AD200" s="1081">
        <v>942</v>
      </c>
      <c r="AE200" s="250">
        <v>111.89</v>
      </c>
      <c r="AF200" s="250">
        <v>81.89</v>
      </c>
      <c r="AG200" s="422">
        <v>82882.8</v>
      </c>
      <c r="AH200" s="250">
        <v>64069.2</v>
      </c>
      <c r="AI200" s="250">
        <v>68185.2</v>
      </c>
      <c r="AJ200" s="250">
        <v>55626.11</v>
      </c>
      <c r="AK200" s="250">
        <v>60139.5</v>
      </c>
      <c r="AL200" s="250">
        <v>23644.6</v>
      </c>
      <c r="AM200" s="1014">
        <v>16.899999999999999</v>
      </c>
      <c r="AN200" s="1014">
        <v>18.2</v>
      </c>
      <c r="AO200" s="250">
        <v>502770</v>
      </c>
      <c r="AP200" s="250">
        <v>231874</v>
      </c>
      <c r="AQ200" s="250">
        <v>65441.3</v>
      </c>
      <c r="AR200" s="1014"/>
      <c r="AS200" s="250">
        <v>469302.7</v>
      </c>
      <c r="AT200" s="250">
        <v>206488.3</v>
      </c>
      <c r="AU200" s="250">
        <v>81099.399999999994</v>
      </c>
      <c r="AV200" s="850">
        <v>4555.5</v>
      </c>
      <c r="AW200" s="850">
        <v>3042.9</v>
      </c>
      <c r="AX200" s="850">
        <v>227.49</v>
      </c>
      <c r="AY200" s="850">
        <v>137.82</v>
      </c>
      <c r="AZ200" s="850">
        <v>824.41399999999999</v>
      </c>
      <c r="BA200" s="850">
        <v>349.92899999999997</v>
      </c>
      <c r="BB200" s="657">
        <v>1827.9</v>
      </c>
      <c r="BC200" s="250">
        <v>3113.7</v>
      </c>
      <c r="BD200" s="250">
        <v>476.6</v>
      </c>
      <c r="BE200" s="250">
        <v>5662.41</v>
      </c>
      <c r="BF200" s="250">
        <v>32457.715789473681</v>
      </c>
      <c r="BG200" s="250">
        <v>9829.0468168774696</v>
      </c>
      <c r="BH200" s="250">
        <v>6537.71</v>
      </c>
      <c r="BI200" s="1014">
        <v>2664080</v>
      </c>
      <c r="BJ200" s="1014">
        <v>569</v>
      </c>
      <c r="BK200" s="1014">
        <v>20939.240000000002</v>
      </c>
      <c r="BL200" s="250">
        <v>3452112</v>
      </c>
      <c r="BM200" s="250">
        <v>120714</v>
      </c>
      <c r="BN200" s="250">
        <v>21406.1</v>
      </c>
      <c r="BO200" s="250">
        <v>3209405</v>
      </c>
      <c r="BP200" s="250">
        <v>166430</v>
      </c>
      <c r="BQ200" s="250">
        <v>18750.8</v>
      </c>
      <c r="BR200" s="250">
        <v>9010.7000000000007</v>
      </c>
      <c r="BS200" s="250">
        <v>6132.9</v>
      </c>
      <c r="BT200" s="250">
        <v>1166336</v>
      </c>
      <c r="BU200" s="250">
        <v>661835</v>
      </c>
      <c r="BV200" s="250">
        <v>746276</v>
      </c>
      <c r="BW200" s="250">
        <v>470961</v>
      </c>
      <c r="BX200" s="1324">
        <v>0</v>
      </c>
    </row>
    <row r="201" spans="1:76">
      <c r="A201" s="160">
        <v>45113</v>
      </c>
      <c r="B201" s="250">
        <v>1068.7819999999999</v>
      </c>
      <c r="C201" s="250">
        <v>590.16700000000003</v>
      </c>
      <c r="D201" s="250">
        <v>6863.8</v>
      </c>
      <c r="E201" s="1311">
        <v>0</v>
      </c>
      <c r="F201" s="250">
        <v>18899.400000000001</v>
      </c>
      <c r="G201" s="250">
        <v>5916.8</v>
      </c>
      <c r="H201" s="250">
        <v>13177.623</v>
      </c>
      <c r="I201" s="250">
        <v>6602.2</v>
      </c>
      <c r="J201" s="250">
        <v>207150.9</v>
      </c>
      <c r="K201" s="1014">
        <v>14963.5</v>
      </c>
      <c r="L201" s="1014">
        <v>7011.1</v>
      </c>
      <c r="M201" s="1014">
        <v>46196.1</v>
      </c>
      <c r="N201" s="1014">
        <v>36751.4</v>
      </c>
      <c r="O201" s="250">
        <v>138481</v>
      </c>
      <c r="P201" s="250">
        <v>114843</v>
      </c>
      <c r="Q201" s="250">
        <v>140917</v>
      </c>
      <c r="R201" s="250">
        <v>96688</v>
      </c>
      <c r="S201" s="1014">
        <v>14063.6</v>
      </c>
      <c r="T201" s="1014">
        <v>10680.14</v>
      </c>
      <c r="U201" s="250">
        <v>46808.4</v>
      </c>
      <c r="V201" s="250">
        <v>24142.6</v>
      </c>
      <c r="W201" s="250">
        <v>212755.4</v>
      </c>
      <c r="X201" s="1014">
        <v>345.9</v>
      </c>
      <c r="Y201" s="1014">
        <v>50716</v>
      </c>
      <c r="Z201" s="250">
        <v>601558</v>
      </c>
      <c r="AA201" s="250">
        <v>306330</v>
      </c>
      <c r="AB201" s="250">
        <v>212775.3</v>
      </c>
      <c r="AC201" s="1014">
        <v>1112.4000000000001</v>
      </c>
      <c r="AD201" s="1081">
        <v>942</v>
      </c>
      <c r="AE201" s="250">
        <v>115.2</v>
      </c>
      <c r="AF201" s="250">
        <v>84.38</v>
      </c>
      <c r="AG201" s="422">
        <v>82893.100000000006</v>
      </c>
      <c r="AH201" s="250">
        <v>64077</v>
      </c>
      <c r="AI201" s="250">
        <v>68221.600000000006</v>
      </c>
      <c r="AJ201" s="250">
        <v>55657.5</v>
      </c>
      <c r="AK201" s="250">
        <v>60146.6</v>
      </c>
      <c r="AL201" s="250">
        <v>23647.3</v>
      </c>
      <c r="AM201" s="1014">
        <v>16.899999999999999</v>
      </c>
      <c r="AN201" s="1014">
        <v>18.2</v>
      </c>
      <c r="AO201" s="250">
        <v>502933</v>
      </c>
      <c r="AP201" s="250">
        <v>231950</v>
      </c>
      <c r="AQ201" s="250">
        <v>65446.400000000001</v>
      </c>
      <c r="AR201" s="1014"/>
      <c r="AS201" s="250">
        <v>469453</v>
      </c>
      <c r="AT201" s="250">
        <v>206553</v>
      </c>
      <c r="AU201" s="250">
        <v>81123.399999999994</v>
      </c>
      <c r="AV201" s="250">
        <v>4555.6000000000004</v>
      </c>
      <c r="AW201" s="250">
        <v>3043</v>
      </c>
      <c r="AX201" s="850">
        <v>227.49</v>
      </c>
      <c r="AY201" s="850">
        <v>137.82</v>
      </c>
      <c r="AZ201" s="850">
        <v>824.41399999999999</v>
      </c>
      <c r="BA201" s="850">
        <v>349.92899999999997</v>
      </c>
      <c r="BB201" s="657">
        <v>1827.9</v>
      </c>
      <c r="BC201" s="250">
        <v>3117.7</v>
      </c>
      <c r="BD201" s="250">
        <v>478.9</v>
      </c>
      <c r="BE201" s="250">
        <v>5596.3000000000011</v>
      </c>
      <c r="BF201" s="250">
        <v>33529.754385964909</v>
      </c>
      <c r="BG201" s="250">
        <v>11448.25002726303</v>
      </c>
      <c r="BH201" s="250">
        <v>6142.1699999999992</v>
      </c>
      <c r="BI201" s="1014">
        <v>2664080</v>
      </c>
      <c r="BJ201" s="1014">
        <v>569</v>
      </c>
      <c r="BK201" s="1014">
        <v>20939.240000000002</v>
      </c>
      <c r="BL201" s="250">
        <v>3456520</v>
      </c>
      <c r="BM201" s="250">
        <v>121358</v>
      </c>
      <c r="BN201" s="250">
        <v>21430.1</v>
      </c>
      <c r="BO201" s="250">
        <v>3212806</v>
      </c>
      <c r="BP201" s="250">
        <v>166517</v>
      </c>
      <c r="BQ201" s="250">
        <v>18774.8</v>
      </c>
      <c r="BR201" s="250">
        <v>9019.6</v>
      </c>
      <c r="BS201" s="250">
        <v>6138.4</v>
      </c>
      <c r="BT201" s="250">
        <v>1167762</v>
      </c>
      <c r="BU201" s="250">
        <v>662628</v>
      </c>
      <c r="BV201" s="250">
        <v>746228</v>
      </c>
      <c r="BW201" s="250">
        <v>470962</v>
      </c>
      <c r="BX201" s="1324">
        <v>0</v>
      </c>
    </row>
    <row r="202" spans="1:76">
      <c r="A202" s="160">
        <v>45114</v>
      </c>
      <c r="B202" s="250">
        <v>1069.0160000000001</v>
      </c>
      <c r="C202" s="250">
        <v>590.28300000000002</v>
      </c>
      <c r="D202" s="250">
        <v>6865.9</v>
      </c>
      <c r="E202" s="1312">
        <v>1</v>
      </c>
      <c r="F202" s="250">
        <v>18917</v>
      </c>
      <c r="G202" s="250">
        <v>5922.2</v>
      </c>
      <c r="H202" s="250">
        <v>13324.6</v>
      </c>
      <c r="I202" s="250">
        <v>6677.3</v>
      </c>
      <c r="J202" s="250">
        <v>207173.3</v>
      </c>
      <c r="K202" s="1014">
        <v>14963.5</v>
      </c>
      <c r="L202" s="1014">
        <v>7011.1</v>
      </c>
      <c r="M202" s="1014">
        <v>46196.1</v>
      </c>
      <c r="N202" s="1014">
        <v>36751.4</v>
      </c>
      <c r="O202" s="250">
        <v>138491</v>
      </c>
      <c r="P202" s="250">
        <v>114852</v>
      </c>
      <c r="Q202" s="250">
        <v>140931</v>
      </c>
      <c r="R202" s="250">
        <v>96696.1</v>
      </c>
      <c r="S202" s="1014">
        <v>14063.6</v>
      </c>
      <c r="T202" s="1014">
        <v>10680.14</v>
      </c>
      <c r="U202" s="250">
        <v>46951</v>
      </c>
      <c r="V202" s="250">
        <v>24217.4</v>
      </c>
      <c r="W202" s="250">
        <v>212779.4</v>
      </c>
      <c r="X202" s="1014">
        <v>345.9</v>
      </c>
      <c r="Y202" s="1014">
        <v>50716</v>
      </c>
      <c r="Z202" s="250">
        <v>601847</v>
      </c>
      <c r="AA202" s="250">
        <v>306478</v>
      </c>
      <c r="AB202" s="250">
        <v>212799.3</v>
      </c>
      <c r="AC202" s="1014">
        <v>1112.4000000000001</v>
      </c>
      <c r="AD202" s="1081">
        <v>942</v>
      </c>
      <c r="AE202" s="250">
        <v>118.5</v>
      </c>
      <c r="AF202" s="250">
        <v>86.91</v>
      </c>
      <c r="AG202" s="422">
        <v>82903.8</v>
      </c>
      <c r="AH202" s="250">
        <v>64084.800000000003</v>
      </c>
      <c r="AI202" s="250">
        <v>68259.100000000006</v>
      </c>
      <c r="AJ202" s="385">
        <v>55683.6</v>
      </c>
      <c r="AK202" s="250">
        <v>60159.6</v>
      </c>
      <c r="AL202" s="250">
        <v>23652.400000000001</v>
      </c>
      <c r="AM202" s="1014">
        <v>16.899999999999999</v>
      </c>
      <c r="AN202" s="1014">
        <v>18.2</v>
      </c>
      <c r="AO202" s="250">
        <v>503096</v>
      </c>
      <c r="AP202" s="250">
        <v>232024</v>
      </c>
      <c r="AQ202" s="422">
        <v>65451.5</v>
      </c>
      <c r="AR202" s="1014"/>
      <c r="AS202" s="250">
        <v>469604</v>
      </c>
      <c r="AT202" s="250">
        <v>206618</v>
      </c>
      <c r="AU202" s="250">
        <v>81147.399999999994</v>
      </c>
      <c r="AV202" s="850">
        <v>4555.6000000000004</v>
      </c>
      <c r="AW202" s="850">
        <v>3043</v>
      </c>
      <c r="AX202" s="850">
        <v>228.42</v>
      </c>
      <c r="AY202" s="850">
        <v>138.32</v>
      </c>
      <c r="AZ202" s="850">
        <v>824.41399999999999</v>
      </c>
      <c r="BA202" s="850">
        <v>349.92899999999997</v>
      </c>
      <c r="BB202" s="657">
        <v>1827.9</v>
      </c>
      <c r="BC202" s="251">
        <v>3121.6</v>
      </c>
      <c r="BD202" s="422">
        <v>481.2</v>
      </c>
      <c r="BE202" s="250">
        <v>5544.21</v>
      </c>
      <c r="BF202" s="250">
        <v>34239.973684210519</v>
      </c>
      <c r="BG202" s="1014">
        <v>10903.976818655898</v>
      </c>
      <c r="BH202" s="250">
        <v>5832.0999999999995</v>
      </c>
      <c r="BI202" s="1014">
        <v>2664080</v>
      </c>
      <c r="BJ202" s="1014">
        <v>569</v>
      </c>
      <c r="BK202" s="1014">
        <v>20939.240000000002</v>
      </c>
      <c r="BL202" s="250">
        <v>3460732</v>
      </c>
      <c r="BM202" s="250">
        <v>121963</v>
      </c>
      <c r="BN202" s="250">
        <v>21454.1</v>
      </c>
      <c r="BO202" s="250">
        <v>3216071</v>
      </c>
      <c r="BP202" s="250">
        <v>166633</v>
      </c>
      <c r="BQ202" s="250">
        <v>18799.8</v>
      </c>
      <c r="BR202" s="250">
        <v>9028.2999999999993</v>
      </c>
      <c r="BS202" s="250">
        <v>6143.8</v>
      </c>
      <c r="BT202" s="250">
        <v>1169173</v>
      </c>
      <c r="BU202" s="250">
        <v>663406</v>
      </c>
      <c r="BV202" s="250">
        <v>747174</v>
      </c>
      <c r="BW202" s="1014">
        <v>471455</v>
      </c>
      <c r="BX202" s="1324">
        <v>0</v>
      </c>
    </row>
    <row r="203" spans="1:76" s="423" customFormat="1">
      <c r="A203" s="160">
        <v>45115</v>
      </c>
      <c r="B203" s="250">
        <v>1069.0160000000001</v>
      </c>
      <c r="C203" s="250">
        <v>590.28300000000002</v>
      </c>
      <c r="D203" s="250">
        <v>6865.9</v>
      </c>
      <c r="E203" s="1312">
        <v>0</v>
      </c>
      <c r="F203" s="250">
        <v>18933.3</v>
      </c>
      <c r="G203" s="250">
        <v>5925.9</v>
      </c>
      <c r="H203" s="250">
        <v>13483.9</v>
      </c>
      <c r="I203" s="250">
        <v>6759.1</v>
      </c>
      <c r="J203" s="250">
        <v>207197.3</v>
      </c>
      <c r="K203" s="1014">
        <v>14963.5</v>
      </c>
      <c r="L203" s="1014">
        <v>7011.1</v>
      </c>
      <c r="M203" s="1014">
        <v>46196.1</v>
      </c>
      <c r="N203" s="1014">
        <v>36751.4</v>
      </c>
      <c r="O203" s="250">
        <v>138502</v>
      </c>
      <c r="P203" s="250">
        <v>114860</v>
      </c>
      <c r="Q203" s="250">
        <v>140944</v>
      </c>
      <c r="R203" s="250">
        <v>96707.5</v>
      </c>
      <c r="S203" s="1014">
        <v>14063.6</v>
      </c>
      <c r="T203" s="1014">
        <v>10680.14</v>
      </c>
      <c r="U203" s="250">
        <v>47222.7</v>
      </c>
      <c r="V203" s="250">
        <v>24354.400000000001</v>
      </c>
      <c r="W203" s="250">
        <v>212803.4</v>
      </c>
      <c r="X203" s="1014">
        <v>345.9</v>
      </c>
      <c r="Y203" s="1014">
        <v>50716</v>
      </c>
      <c r="Z203" s="250">
        <v>602021</v>
      </c>
      <c r="AA203" s="250">
        <v>306565</v>
      </c>
      <c r="AB203" s="250">
        <v>212823.3</v>
      </c>
      <c r="AC203" s="1014">
        <v>1112.4000000000001</v>
      </c>
      <c r="AD203" s="1081">
        <v>942</v>
      </c>
      <c r="AE203" s="250">
        <v>121.77</v>
      </c>
      <c r="AF203" s="250">
        <v>89.42</v>
      </c>
      <c r="AG203" s="422">
        <v>82912.600000000006</v>
      </c>
      <c r="AH203" s="250">
        <v>64092</v>
      </c>
      <c r="AI203" s="250">
        <v>68296.5</v>
      </c>
      <c r="AJ203" s="385">
        <v>55721.3</v>
      </c>
      <c r="AK203" s="250">
        <v>60173.2</v>
      </c>
      <c r="AL203" s="250">
        <v>23657.9</v>
      </c>
      <c r="AM203" s="1014">
        <v>16.899999999999999</v>
      </c>
      <c r="AN203" s="1014">
        <v>18.2</v>
      </c>
      <c r="AO203" s="250">
        <v>503262</v>
      </c>
      <c r="AP203" s="250">
        <v>232092</v>
      </c>
      <c r="AQ203" s="422">
        <v>65456</v>
      </c>
      <c r="AR203" s="1014"/>
      <c r="AS203" s="250">
        <v>469759</v>
      </c>
      <c r="AT203" s="250">
        <v>206685</v>
      </c>
      <c r="AU203" s="250">
        <v>81171.399999999994</v>
      </c>
      <c r="AV203" s="850">
        <v>4555.7</v>
      </c>
      <c r="AW203" s="850">
        <v>3043</v>
      </c>
      <c r="AX203" s="850">
        <v>228.42</v>
      </c>
      <c r="AY203" s="850">
        <v>138.32</v>
      </c>
      <c r="AZ203" s="850">
        <v>824.41399999999999</v>
      </c>
      <c r="BA203" s="850">
        <v>349.92899999999997</v>
      </c>
      <c r="BB203" s="657">
        <v>1827.9</v>
      </c>
      <c r="BC203" s="251">
        <v>3125.4</v>
      </c>
      <c r="BD203" s="422">
        <v>483.4</v>
      </c>
      <c r="BE203" s="250">
        <v>5533.0900000000011</v>
      </c>
      <c r="BF203" s="250">
        <v>34615.129824561402</v>
      </c>
      <c r="BG203" s="1014">
        <v>9741.4343934060944</v>
      </c>
      <c r="BH203" s="250">
        <v>6293.2499999999991</v>
      </c>
      <c r="BI203" s="250">
        <v>2664931.2000000002</v>
      </c>
      <c r="BJ203" s="250">
        <v>570</v>
      </c>
      <c r="BK203" s="250">
        <v>20946.8</v>
      </c>
      <c r="BL203" s="250">
        <v>3465274</v>
      </c>
      <c r="BM203" s="250">
        <v>122462</v>
      </c>
      <c r="BN203" s="250">
        <v>21478.1</v>
      </c>
      <c r="BO203" s="250">
        <v>3218488</v>
      </c>
      <c r="BP203" s="250">
        <v>166712</v>
      </c>
      <c r="BQ203" s="250">
        <v>18816.099999999999</v>
      </c>
      <c r="BR203" s="250">
        <v>9037.1</v>
      </c>
      <c r="BS203" s="250">
        <v>6149.2</v>
      </c>
      <c r="BT203" s="250">
        <v>1170597</v>
      </c>
      <c r="BU203" s="250">
        <v>664202</v>
      </c>
      <c r="BV203" s="250">
        <v>747480</v>
      </c>
      <c r="BW203" s="250">
        <v>471611</v>
      </c>
      <c r="BX203" s="1324">
        <v>0</v>
      </c>
    </row>
    <row r="204" spans="1:76">
      <c r="A204" s="160">
        <v>45116</v>
      </c>
      <c r="B204" s="250">
        <v>1069.0160000000001</v>
      </c>
      <c r="C204" s="250">
        <v>590.28300000000002</v>
      </c>
      <c r="D204" s="250">
        <v>6865.9</v>
      </c>
      <c r="E204" s="1312">
        <v>0</v>
      </c>
      <c r="F204" s="250">
        <v>18947</v>
      </c>
      <c r="G204" s="250">
        <v>5926.9</v>
      </c>
      <c r="H204" s="250">
        <v>13646.6</v>
      </c>
      <c r="I204" s="250">
        <v>6840.6</v>
      </c>
      <c r="J204" s="250">
        <v>207221.3</v>
      </c>
      <c r="K204" s="1014">
        <v>14963.5</v>
      </c>
      <c r="L204" s="1014">
        <v>7011.1</v>
      </c>
      <c r="M204" s="1014">
        <v>46196.1</v>
      </c>
      <c r="N204" s="1014">
        <v>36751.4</v>
      </c>
      <c r="O204" s="250">
        <v>138512</v>
      </c>
      <c r="P204" s="250">
        <v>114868</v>
      </c>
      <c r="Q204" s="250">
        <v>140958</v>
      </c>
      <c r="R204" s="250">
        <v>96716.6</v>
      </c>
      <c r="S204" s="1014">
        <v>14063.6</v>
      </c>
      <c r="T204" s="1014">
        <v>10680.14</v>
      </c>
      <c r="U204" s="250">
        <v>47524.2</v>
      </c>
      <c r="V204" s="250">
        <v>24506.9</v>
      </c>
      <c r="W204" s="250">
        <v>212827.4</v>
      </c>
      <c r="X204" s="1014">
        <v>345.9</v>
      </c>
      <c r="Y204" s="1014">
        <v>50716</v>
      </c>
      <c r="Z204" s="250">
        <v>602165</v>
      </c>
      <c r="AA204" s="250">
        <v>306637</v>
      </c>
      <c r="AB204" s="250">
        <v>212847.3</v>
      </c>
      <c r="AC204" s="1014">
        <v>1112.4000000000001</v>
      </c>
      <c r="AD204" s="1081">
        <v>942</v>
      </c>
      <c r="AE204" s="250">
        <v>124.99</v>
      </c>
      <c r="AF204" s="250">
        <v>91.89</v>
      </c>
      <c r="AG204" s="422">
        <v>82922.100000000006</v>
      </c>
      <c r="AH204" s="250">
        <v>64099.1</v>
      </c>
      <c r="AI204" s="250">
        <v>68334</v>
      </c>
      <c r="AJ204" s="385">
        <v>55753.2</v>
      </c>
      <c r="AK204" s="250">
        <v>60188</v>
      </c>
      <c r="AL204" s="250">
        <v>23663.7</v>
      </c>
      <c r="AM204" s="1014">
        <v>16.899999999999999</v>
      </c>
      <c r="AN204" s="1014">
        <v>18.2</v>
      </c>
      <c r="AO204" s="250">
        <v>503427</v>
      </c>
      <c r="AP204" s="250">
        <v>232172</v>
      </c>
      <c r="AQ204" s="422">
        <v>65460.1</v>
      </c>
      <c r="AR204" s="1014"/>
      <c r="AS204" s="250">
        <v>469909</v>
      </c>
      <c r="AT204" s="250">
        <v>206750</v>
      </c>
      <c r="AU204" s="250">
        <v>81195.399999999994</v>
      </c>
      <c r="AV204" s="850">
        <v>4555.7</v>
      </c>
      <c r="AW204" s="850">
        <v>3043.1</v>
      </c>
      <c r="AX204" s="850">
        <v>228.71</v>
      </c>
      <c r="AY204" s="850">
        <v>138.44999999999999</v>
      </c>
      <c r="AZ204" s="850">
        <v>824.41399999999999</v>
      </c>
      <c r="BA204" s="850">
        <v>349.92899999999997</v>
      </c>
      <c r="BB204" s="657">
        <v>1827.9</v>
      </c>
      <c r="BC204" s="251">
        <v>3129.1</v>
      </c>
      <c r="BD204" s="422">
        <v>485.7</v>
      </c>
      <c r="BE204" s="1014">
        <v>5223.75</v>
      </c>
      <c r="BF204" s="1014">
        <v>33898.282456140354</v>
      </c>
      <c r="BG204" s="1014">
        <v>10406.20482351457</v>
      </c>
      <c r="BH204" s="1014">
        <v>6009.74</v>
      </c>
      <c r="BI204" s="250">
        <v>2667655.8000000003</v>
      </c>
      <c r="BJ204" s="1014">
        <v>571</v>
      </c>
      <c r="BK204" s="250">
        <v>20970.7</v>
      </c>
      <c r="BL204" s="250">
        <v>3469983</v>
      </c>
      <c r="BM204" s="250">
        <v>123073</v>
      </c>
      <c r="BN204" s="250">
        <v>21502.1</v>
      </c>
      <c r="BO204" s="250">
        <v>3218488</v>
      </c>
      <c r="BP204" s="250">
        <v>166712</v>
      </c>
      <c r="BQ204" s="250">
        <v>18816.099999999999</v>
      </c>
      <c r="BR204" s="250">
        <v>9045.7000000000007</v>
      </c>
      <c r="BS204" s="250">
        <v>6154.5</v>
      </c>
      <c r="BT204" s="250">
        <v>1172015</v>
      </c>
      <c r="BU204" s="250">
        <v>664986</v>
      </c>
      <c r="BV204" s="250">
        <v>747481</v>
      </c>
      <c r="BW204" s="250">
        <v>471612</v>
      </c>
      <c r="BX204" s="1324">
        <v>0</v>
      </c>
    </row>
    <row r="205" spans="1:76">
      <c r="A205" s="160">
        <v>45117</v>
      </c>
      <c r="B205" s="250">
        <v>1069.0160000000001</v>
      </c>
      <c r="C205" s="250">
        <v>590.28300000000002</v>
      </c>
      <c r="D205" s="250">
        <v>6865.9</v>
      </c>
      <c r="E205" s="1312">
        <v>0</v>
      </c>
      <c r="F205" s="250">
        <v>18960.5</v>
      </c>
      <c r="G205" s="250">
        <v>5928</v>
      </c>
      <c r="H205" s="683">
        <v>13810.6</v>
      </c>
      <c r="I205" s="683">
        <v>6922.6</v>
      </c>
      <c r="J205" s="250">
        <v>207245.3</v>
      </c>
      <c r="K205" s="1014">
        <v>14963.5</v>
      </c>
      <c r="L205" s="1014">
        <v>7011.1</v>
      </c>
      <c r="M205" s="1014">
        <v>46196.1</v>
      </c>
      <c r="N205" s="1014">
        <v>36751.4</v>
      </c>
      <c r="O205" s="683">
        <v>138521</v>
      </c>
      <c r="P205" s="683">
        <v>114876</v>
      </c>
      <c r="Q205" s="683">
        <v>140972</v>
      </c>
      <c r="R205" s="683">
        <v>96726.2</v>
      </c>
      <c r="S205" s="1014">
        <v>14063.6</v>
      </c>
      <c r="T205" s="1014">
        <v>10680.14</v>
      </c>
      <c r="U205" s="250">
        <v>47808.1</v>
      </c>
      <c r="V205" s="250">
        <v>24652.400000000001</v>
      </c>
      <c r="W205" s="683">
        <v>212851.4</v>
      </c>
      <c r="X205" s="1014">
        <v>345.9</v>
      </c>
      <c r="Y205" s="1014">
        <v>50716</v>
      </c>
      <c r="Z205" s="683">
        <v>602315</v>
      </c>
      <c r="AA205" s="683">
        <v>306709</v>
      </c>
      <c r="AB205" s="250">
        <v>212871.3</v>
      </c>
      <c r="AC205" s="1014">
        <v>1112.4000000000001</v>
      </c>
      <c r="AD205" s="1081">
        <v>942</v>
      </c>
      <c r="AE205" s="250">
        <v>128.1</v>
      </c>
      <c r="AF205" s="250">
        <v>94.3</v>
      </c>
      <c r="AG205" s="422">
        <v>82929.399999999994</v>
      </c>
      <c r="AH205" s="250">
        <v>64104.5</v>
      </c>
      <c r="AI205" s="683">
        <v>68371.199999999997</v>
      </c>
      <c r="AJ205" s="684">
        <v>55784.5</v>
      </c>
      <c r="AK205" s="683">
        <v>60191.9</v>
      </c>
      <c r="AL205" s="683">
        <v>23665.200000000001</v>
      </c>
      <c r="AM205" s="1014">
        <v>16.899999999999999</v>
      </c>
      <c r="AN205" s="1014">
        <v>18.2</v>
      </c>
      <c r="AO205" s="683">
        <v>503593</v>
      </c>
      <c r="AP205" s="683">
        <v>232247</v>
      </c>
      <c r="AQ205" s="683">
        <v>65464.5</v>
      </c>
      <c r="AR205" s="1014"/>
      <c r="AS205" s="683">
        <v>470061</v>
      </c>
      <c r="AT205" s="683">
        <v>206815</v>
      </c>
      <c r="AU205" s="683">
        <v>81219.399999999994</v>
      </c>
      <c r="AV205" s="850">
        <v>4556.3</v>
      </c>
      <c r="AW205" s="850">
        <v>3043.5</v>
      </c>
      <c r="AX205" s="850">
        <v>228.71</v>
      </c>
      <c r="AY205" s="850">
        <v>138.44999999999999</v>
      </c>
      <c r="AZ205" s="850">
        <v>824.41399999999999</v>
      </c>
      <c r="BA205" s="850">
        <v>349.92899999999997</v>
      </c>
      <c r="BB205" s="657">
        <v>1827.9</v>
      </c>
      <c r="BC205" s="251">
        <v>3131.9</v>
      </c>
      <c r="BD205" s="422">
        <v>487</v>
      </c>
      <c r="BE205" s="1014">
        <v>5300.5399999999991</v>
      </c>
      <c r="BF205" s="1014">
        <v>34771.221052631576</v>
      </c>
      <c r="BG205" s="1014">
        <v>10558.475888315614</v>
      </c>
      <c r="BH205" s="1014">
        <v>5786.82</v>
      </c>
      <c r="BI205" s="250">
        <v>2669791.8000000003</v>
      </c>
      <c r="BJ205" s="1014">
        <v>572</v>
      </c>
      <c r="BK205" s="250">
        <v>20994.7</v>
      </c>
      <c r="BL205" s="250">
        <v>3474544</v>
      </c>
      <c r="BM205" s="250">
        <v>123811</v>
      </c>
      <c r="BN205" s="250">
        <v>21526.1</v>
      </c>
      <c r="BO205" s="250">
        <v>3218488</v>
      </c>
      <c r="BP205" s="250">
        <v>166712</v>
      </c>
      <c r="BQ205" s="250">
        <v>18816.099999999999</v>
      </c>
      <c r="BR205" s="683">
        <v>9054.4</v>
      </c>
      <c r="BS205" s="683">
        <v>6159.8</v>
      </c>
      <c r="BT205" s="683">
        <v>1173386</v>
      </c>
      <c r="BU205" s="683">
        <v>665742</v>
      </c>
      <c r="BV205" s="683">
        <v>747481</v>
      </c>
      <c r="BW205" s="683">
        <v>471612</v>
      </c>
      <c r="BX205" s="1324">
        <v>1</v>
      </c>
    </row>
    <row r="206" spans="1:76">
      <c r="A206" s="160">
        <v>45118</v>
      </c>
      <c r="B206" s="250">
        <v>1069.4970000000001</v>
      </c>
      <c r="C206" s="250">
        <v>590.524</v>
      </c>
      <c r="D206" s="250">
        <v>6866.6</v>
      </c>
      <c r="E206" s="1312">
        <v>1</v>
      </c>
      <c r="F206" s="250">
        <v>18976.400000000001</v>
      </c>
      <c r="G206" s="250">
        <v>5931.6</v>
      </c>
      <c r="H206" s="683">
        <v>13976</v>
      </c>
      <c r="I206" s="683">
        <v>7005</v>
      </c>
      <c r="J206" s="250">
        <v>207269.3</v>
      </c>
      <c r="K206" s="1014">
        <v>14963.5</v>
      </c>
      <c r="L206" s="1014">
        <v>7011.1</v>
      </c>
      <c r="M206" s="1014">
        <v>46196.1</v>
      </c>
      <c r="N206" s="1014">
        <v>36751.4</v>
      </c>
      <c r="O206" s="683">
        <v>138530</v>
      </c>
      <c r="P206" s="683">
        <v>114884</v>
      </c>
      <c r="Q206" s="683">
        <v>140986</v>
      </c>
      <c r="R206" s="683">
        <v>96736.1</v>
      </c>
      <c r="S206" s="1014">
        <v>14063.6</v>
      </c>
      <c r="T206" s="1014">
        <v>10680.14</v>
      </c>
      <c r="U206" s="683">
        <v>48098</v>
      </c>
      <c r="V206" s="683">
        <v>24804</v>
      </c>
      <c r="W206" s="683">
        <v>212875.4</v>
      </c>
      <c r="X206" s="1014">
        <v>345.9</v>
      </c>
      <c r="Y206" s="1014">
        <v>50716</v>
      </c>
      <c r="Z206" s="683">
        <v>602464</v>
      </c>
      <c r="AA206" s="683">
        <v>306777</v>
      </c>
      <c r="AB206" s="250">
        <v>212895.3</v>
      </c>
      <c r="AC206" s="1014">
        <v>1112.4000000000001</v>
      </c>
      <c r="AD206" s="1081">
        <v>942</v>
      </c>
      <c r="AE206" s="250">
        <v>131.5</v>
      </c>
      <c r="AF206" s="250">
        <v>96.9</v>
      </c>
      <c r="AG206" s="422">
        <v>82937</v>
      </c>
      <c r="AH206" s="250">
        <v>64110.2</v>
      </c>
      <c r="AI206" s="683">
        <v>68407.199999999997</v>
      </c>
      <c r="AJ206" s="684">
        <v>55815.1</v>
      </c>
      <c r="AK206" s="683">
        <v>60199.1</v>
      </c>
      <c r="AL206" s="683">
        <v>23667.9</v>
      </c>
      <c r="AM206" s="1014">
        <v>16.899999999999999</v>
      </c>
      <c r="AN206" s="1014">
        <v>18.2</v>
      </c>
      <c r="AO206" s="683">
        <v>503759</v>
      </c>
      <c r="AP206" s="683">
        <v>232321</v>
      </c>
      <c r="AQ206" s="683">
        <v>65470</v>
      </c>
      <c r="AR206" s="1014"/>
      <c r="AS206" s="683">
        <v>470214</v>
      </c>
      <c r="AT206" s="683">
        <v>206881</v>
      </c>
      <c r="AU206" s="683">
        <v>81243.399999999994</v>
      </c>
      <c r="AV206" s="850">
        <v>4557.8</v>
      </c>
      <c r="AW206" s="850">
        <v>3044.5</v>
      </c>
      <c r="AX206" s="850">
        <v>228.75</v>
      </c>
      <c r="AY206" s="850">
        <v>138.47999999999999</v>
      </c>
      <c r="AZ206" s="850">
        <v>824.69600000000003</v>
      </c>
      <c r="BA206" s="850">
        <v>350.03500000000003</v>
      </c>
      <c r="BB206" s="657">
        <v>1828.31</v>
      </c>
      <c r="BC206" s="251">
        <v>3134.7</v>
      </c>
      <c r="BD206" s="422">
        <v>488.5</v>
      </c>
      <c r="BE206" s="1014">
        <v>5427.6699999999992</v>
      </c>
      <c r="BF206" s="1014">
        <v>34837.119298245612</v>
      </c>
      <c r="BG206" s="1014">
        <v>10093.139931519836</v>
      </c>
      <c r="BH206" s="1014">
        <v>6022.3300000000008</v>
      </c>
      <c r="BI206" s="250">
        <v>2670574.8000000003</v>
      </c>
      <c r="BJ206" s="250">
        <v>572</v>
      </c>
      <c r="BK206" s="250">
        <v>21003.4</v>
      </c>
      <c r="BL206" s="250">
        <v>3479024</v>
      </c>
      <c r="BM206" s="250">
        <v>124351</v>
      </c>
      <c r="BN206" s="250">
        <v>21550.1</v>
      </c>
      <c r="BO206" s="250">
        <v>3220676</v>
      </c>
      <c r="BP206" s="250">
        <v>166743</v>
      </c>
      <c r="BQ206" s="250">
        <v>18831.599999999999</v>
      </c>
      <c r="BR206" s="683">
        <v>9063.2000000000007</v>
      </c>
      <c r="BS206" s="683">
        <v>6165.2</v>
      </c>
      <c r="BT206" s="683">
        <v>1174446</v>
      </c>
      <c r="BU206" s="683">
        <v>666342</v>
      </c>
      <c r="BV206" s="683">
        <v>747722</v>
      </c>
      <c r="BW206" s="683">
        <v>471756</v>
      </c>
      <c r="BX206" s="1324">
        <v>0</v>
      </c>
    </row>
    <row r="207" spans="1:76">
      <c r="A207" s="160">
        <v>45119</v>
      </c>
      <c r="B207" s="250">
        <v>1069.4970000000001</v>
      </c>
      <c r="C207" s="250">
        <v>590.524</v>
      </c>
      <c r="D207" s="250">
        <v>6866.6</v>
      </c>
      <c r="E207" s="1312">
        <v>0</v>
      </c>
      <c r="F207" s="250">
        <v>18993.7</v>
      </c>
      <c r="G207" s="250">
        <v>5936.9</v>
      </c>
      <c r="H207" s="683">
        <v>14140</v>
      </c>
      <c r="I207" s="683">
        <v>7087</v>
      </c>
      <c r="J207" s="250">
        <v>207293.3</v>
      </c>
      <c r="K207" s="1014">
        <v>14963.5</v>
      </c>
      <c r="L207" s="1014">
        <v>7011.1</v>
      </c>
      <c r="M207" s="1014">
        <v>46196.1</v>
      </c>
      <c r="N207" s="1014">
        <v>36751.4</v>
      </c>
      <c r="O207" s="683">
        <v>138540</v>
      </c>
      <c r="P207" s="683">
        <v>114891</v>
      </c>
      <c r="Q207" s="683">
        <v>141001</v>
      </c>
      <c r="R207" s="683">
        <v>96746.1</v>
      </c>
      <c r="S207" s="1014">
        <v>14063.6</v>
      </c>
      <c r="T207" s="1014">
        <v>10680.14</v>
      </c>
      <c r="U207" s="683">
        <v>48395</v>
      </c>
      <c r="V207" s="683">
        <v>24949</v>
      </c>
      <c r="W207" s="683">
        <v>212899.4</v>
      </c>
      <c r="X207" s="1014">
        <v>345.9</v>
      </c>
      <c r="Y207" s="1014">
        <v>50716</v>
      </c>
      <c r="Z207" s="683">
        <v>602613</v>
      </c>
      <c r="AA207" s="683">
        <v>306855</v>
      </c>
      <c r="AB207" s="250">
        <v>212919.3</v>
      </c>
      <c r="AC207" s="1014">
        <v>1112.4000000000001</v>
      </c>
      <c r="AD207" s="1081">
        <v>942</v>
      </c>
      <c r="AE207" s="250">
        <v>134.9</v>
      </c>
      <c r="AF207" s="250">
        <v>99.4</v>
      </c>
      <c r="AG207" s="422">
        <v>82943.100000000006</v>
      </c>
      <c r="AH207" s="250">
        <v>64114.8</v>
      </c>
      <c r="AI207" s="683">
        <v>68444.5</v>
      </c>
      <c r="AJ207" s="684">
        <v>55847.199999999997</v>
      </c>
      <c r="AK207" s="683">
        <v>60212.5</v>
      </c>
      <c r="AL207" s="683">
        <v>23672.7</v>
      </c>
      <c r="AM207" s="1014">
        <v>16.899999999999999</v>
      </c>
      <c r="AN207" s="1014">
        <v>18.2</v>
      </c>
      <c r="AO207" s="683">
        <v>503922</v>
      </c>
      <c r="AP207" s="683">
        <v>232392</v>
      </c>
      <c r="AQ207" s="683">
        <v>65475</v>
      </c>
      <c r="AR207" s="1014"/>
      <c r="AS207" s="683">
        <v>470366</v>
      </c>
      <c r="AT207" s="683">
        <v>206947</v>
      </c>
      <c r="AU207" s="683">
        <v>81267.399999999994</v>
      </c>
      <c r="AV207" s="850">
        <v>4559.6000000000004</v>
      </c>
      <c r="AW207" s="850">
        <v>3045.7</v>
      </c>
      <c r="AX207" s="850">
        <v>228.75</v>
      </c>
      <c r="AY207" s="850">
        <v>138.47999999999999</v>
      </c>
      <c r="AZ207" s="850">
        <v>824.69600000000003</v>
      </c>
      <c r="BA207" s="850">
        <v>350.03500000000003</v>
      </c>
      <c r="BB207" s="657">
        <v>1828.31</v>
      </c>
      <c r="BC207" s="251">
        <v>3137.3</v>
      </c>
      <c r="BD207" s="422">
        <v>489.9</v>
      </c>
      <c r="BE207" s="1014">
        <v>5439.7</v>
      </c>
      <c r="BF207" s="1014">
        <v>34594.054385964897</v>
      </c>
      <c r="BG207" s="1014">
        <v>9458.1806357185706</v>
      </c>
      <c r="BH207" s="1014">
        <v>6040.65</v>
      </c>
      <c r="BI207" s="250">
        <v>2670574.8000000003</v>
      </c>
      <c r="BJ207" s="250">
        <v>572</v>
      </c>
      <c r="BK207" s="250">
        <v>21003.4</v>
      </c>
      <c r="BL207" s="250">
        <v>3483486</v>
      </c>
      <c r="BM207" s="250">
        <v>124864</v>
      </c>
      <c r="BN207" s="250">
        <v>21574.1</v>
      </c>
      <c r="BO207" s="250">
        <v>3224070</v>
      </c>
      <c r="BP207" s="250">
        <v>166842</v>
      </c>
      <c r="BQ207" s="250">
        <v>18855.599999999999</v>
      </c>
      <c r="BR207" s="683">
        <v>9072</v>
      </c>
      <c r="BS207" s="683">
        <v>6170.6</v>
      </c>
      <c r="BT207" s="683">
        <v>1175120</v>
      </c>
      <c r="BU207" s="683">
        <v>666740</v>
      </c>
      <c r="BV207" s="683">
        <v>748592</v>
      </c>
      <c r="BW207" s="683">
        <v>472292</v>
      </c>
      <c r="BX207" s="1324">
        <v>0</v>
      </c>
    </row>
    <row r="208" spans="1:76">
      <c r="A208" s="160">
        <v>45120</v>
      </c>
      <c r="B208" s="250">
        <v>1069.4970000000001</v>
      </c>
      <c r="C208" s="250">
        <v>590.524</v>
      </c>
      <c r="D208" s="250">
        <v>6866.6</v>
      </c>
      <c r="E208" s="1312">
        <v>0</v>
      </c>
      <c r="F208" s="250">
        <v>19011.099999999999</v>
      </c>
      <c r="G208" s="250">
        <v>5942.3</v>
      </c>
      <c r="H208" s="1014">
        <v>14303</v>
      </c>
      <c r="I208" s="1014">
        <v>7169</v>
      </c>
      <c r="J208" s="1014">
        <v>207317.3</v>
      </c>
      <c r="K208" s="250">
        <v>14963.7</v>
      </c>
      <c r="L208" s="250">
        <v>7011.1</v>
      </c>
      <c r="M208" s="1014">
        <v>46196.1</v>
      </c>
      <c r="N208" s="1014">
        <v>36751.4</v>
      </c>
      <c r="O208" s="1014">
        <v>138550</v>
      </c>
      <c r="P208" s="1014">
        <v>114899</v>
      </c>
      <c r="Q208" s="1014">
        <v>141016</v>
      </c>
      <c r="R208" s="1014">
        <v>96756.4</v>
      </c>
      <c r="S208" s="1014">
        <v>14063.6</v>
      </c>
      <c r="T208" s="1014">
        <v>10680.14</v>
      </c>
      <c r="U208" s="1014">
        <v>48695</v>
      </c>
      <c r="V208" s="1014">
        <v>25098</v>
      </c>
      <c r="W208" s="1014">
        <v>212923.4</v>
      </c>
      <c r="X208" s="1014">
        <v>345.9</v>
      </c>
      <c r="Y208" s="1014">
        <v>50716</v>
      </c>
      <c r="Z208" s="1014">
        <v>602761</v>
      </c>
      <c r="AA208" s="1014">
        <v>306931</v>
      </c>
      <c r="AB208" s="1014">
        <v>212943.3</v>
      </c>
      <c r="AC208" s="1014">
        <v>1112.4000000000001</v>
      </c>
      <c r="AD208" s="1081">
        <v>942</v>
      </c>
      <c r="AE208" s="250">
        <v>138.19999999999999</v>
      </c>
      <c r="AF208" s="250">
        <v>101.9</v>
      </c>
      <c r="AG208" s="422">
        <v>82951.3</v>
      </c>
      <c r="AH208" s="250">
        <v>64121.1</v>
      </c>
      <c r="AI208" s="1014">
        <v>68481.8</v>
      </c>
      <c r="AJ208" s="1089">
        <v>55879.7</v>
      </c>
      <c r="AK208" s="1014">
        <v>60226.1</v>
      </c>
      <c r="AL208" s="1014">
        <v>23678.1</v>
      </c>
      <c r="AM208" s="250">
        <v>16.899999999999999</v>
      </c>
      <c r="AN208" s="422">
        <v>18.3</v>
      </c>
      <c r="AO208" s="1014">
        <v>504085</v>
      </c>
      <c r="AP208" s="1014">
        <v>232463</v>
      </c>
      <c r="AQ208" s="1014">
        <v>65480</v>
      </c>
      <c r="AR208" s="1014"/>
      <c r="AS208" s="1014">
        <v>470518</v>
      </c>
      <c r="AT208" s="1014">
        <v>207013</v>
      </c>
      <c r="AU208" s="1014">
        <v>81291.399999999994</v>
      </c>
      <c r="AV208" s="850">
        <v>4562.3</v>
      </c>
      <c r="AW208" s="850">
        <v>3047.5</v>
      </c>
      <c r="AX208" s="850">
        <v>228.75</v>
      </c>
      <c r="AY208" s="850">
        <v>138.47999999999999</v>
      </c>
      <c r="AZ208" s="850">
        <v>824.69600000000003</v>
      </c>
      <c r="BA208" s="850">
        <v>350.03500000000003</v>
      </c>
      <c r="BB208" s="657">
        <v>1828.31</v>
      </c>
      <c r="BC208" s="1081">
        <v>3139.4</v>
      </c>
      <c r="BD208" s="1014">
        <v>490.6</v>
      </c>
      <c r="BE208" s="1014">
        <v>4793.5</v>
      </c>
      <c r="BF208" s="1014">
        <v>34619.2929824561</v>
      </c>
      <c r="BG208" s="1014">
        <v>10301.505217968899</v>
      </c>
      <c r="BH208" s="1014">
        <v>5680.52</v>
      </c>
      <c r="BI208" s="250">
        <v>2670574.8000000003</v>
      </c>
      <c r="BJ208" s="250">
        <v>572</v>
      </c>
      <c r="BK208" s="250">
        <v>21003.4</v>
      </c>
      <c r="BL208" s="250">
        <v>3488000</v>
      </c>
      <c r="BM208" s="250">
        <v>125323</v>
      </c>
      <c r="BN208" s="250">
        <v>21598.1</v>
      </c>
      <c r="BO208" s="1014">
        <v>3227466</v>
      </c>
      <c r="BP208" s="1014">
        <v>166913</v>
      </c>
      <c r="BQ208" s="1014">
        <v>18879.599999999999</v>
      </c>
      <c r="BR208" s="1014">
        <v>9080.9</v>
      </c>
      <c r="BS208" s="1014">
        <v>6176.1</v>
      </c>
      <c r="BT208" s="1014">
        <v>1175828</v>
      </c>
      <c r="BU208" s="1014">
        <v>667156</v>
      </c>
      <c r="BV208" s="1014">
        <v>749458</v>
      </c>
      <c r="BW208" s="1014">
        <v>472826</v>
      </c>
      <c r="BX208" s="1324">
        <v>0</v>
      </c>
    </row>
    <row r="209" spans="1:76">
      <c r="A209" s="160">
        <v>45121</v>
      </c>
      <c r="B209" s="250">
        <v>1069.4970000000001</v>
      </c>
      <c r="C209" s="250">
        <v>590.524</v>
      </c>
      <c r="D209" s="250">
        <v>6866.6</v>
      </c>
      <c r="E209" s="1312">
        <v>0</v>
      </c>
      <c r="F209" s="250">
        <v>19026</v>
      </c>
      <c r="G209" s="250">
        <v>5946.2</v>
      </c>
      <c r="H209" s="683">
        <v>14466</v>
      </c>
      <c r="I209" s="683">
        <v>7250</v>
      </c>
      <c r="J209" s="683">
        <v>207341.3</v>
      </c>
      <c r="K209" s="250">
        <v>14963.7</v>
      </c>
      <c r="L209" s="250">
        <v>7011.1</v>
      </c>
      <c r="M209" s="1014">
        <v>46196.1</v>
      </c>
      <c r="N209" s="1014">
        <v>36751.4</v>
      </c>
      <c r="O209" s="683">
        <v>138559</v>
      </c>
      <c r="P209" s="683">
        <v>114906</v>
      </c>
      <c r="Q209" s="683">
        <v>141031</v>
      </c>
      <c r="R209" s="683">
        <v>96766.5</v>
      </c>
      <c r="S209" s="1014">
        <v>14063.6</v>
      </c>
      <c r="T209" s="1014">
        <v>10680.14</v>
      </c>
      <c r="U209" s="683">
        <v>48975</v>
      </c>
      <c r="V209" s="683">
        <v>25244</v>
      </c>
      <c r="W209" s="683">
        <v>212947.4</v>
      </c>
      <c r="X209" s="1014">
        <v>345.9</v>
      </c>
      <c r="Y209" s="1014">
        <v>50716</v>
      </c>
      <c r="Z209" s="683">
        <v>602909</v>
      </c>
      <c r="AA209" s="683">
        <v>307000</v>
      </c>
      <c r="AB209" s="683">
        <v>212967.3</v>
      </c>
      <c r="AC209" s="1014">
        <v>1112.4000000000001</v>
      </c>
      <c r="AD209" s="1081">
        <v>942</v>
      </c>
      <c r="AE209" s="250">
        <v>141.4</v>
      </c>
      <c r="AF209" s="250">
        <v>104.3</v>
      </c>
      <c r="AG209" s="422">
        <v>82957</v>
      </c>
      <c r="AH209" s="250">
        <v>64125.2</v>
      </c>
      <c r="AI209" s="683">
        <v>68517.7</v>
      </c>
      <c r="AJ209" s="684">
        <v>55910.6</v>
      </c>
      <c r="AK209" s="683">
        <v>60230.7</v>
      </c>
      <c r="AL209" s="683">
        <v>23680</v>
      </c>
      <c r="AM209" s="250">
        <v>16.899999999999999</v>
      </c>
      <c r="AN209" s="422">
        <v>18.3</v>
      </c>
      <c r="AO209" s="683">
        <v>504248</v>
      </c>
      <c r="AP209" s="683">
        <v>232535</v>
      </c>
      <c r="AQ209" s="683">
        <v>65485</v>
      </c>
      <c r="AR209" s="1014"/>
      <c r="AS209" s="683">
        <v>470668</v>
      </c>
      <c r="AT209" s="683">
        <v>207078</v>
      </c>
      <c r="AU209" s="683">
        <v>81315.399999999994</v>
      </c>
      <c r="AV209" s="850">
        <v>4565.5</v>
      </c>
      <c r="AW209" s="850">
        <v>3049.6</v>
      </c>
      <c r="AX209" s="850">
        <v>228.75</v>
      </c>
      <c r="AY209" s="850">
        <v>138.47999999999999</v>
      </c>
      <c r="AZ209" s="850">
        <v>824.69600000000003</v>
      </c>
      <c r="BA209" s="850">
        <v>350.03500000000003</v>
      </c>
      <c r="BB209" s="657">
        <v>1828.31</v>
      </c>
      <c r="BC209" s="251">
        <v>3140.9</v>
      </c>
      <c r="BD209" s="1014">
        <v>490.6</v>
      </c>
      <c r="BE209" s="1014">
        <v>5315.43</v>
      </c>
      <c r="BF209" s="1014">
        <v>34570.057894736834</v>
      </c>
      <c r="BG209" s="1014">
        <v>8313.5243503470992</v>
      </c>
      <c r="BH209" s="1014">
        <v>5571.7</v>
      </c>
      <c r="BI209" s="250">
        <v>2671581.8000000003</v>
      </c>
      <c r="BJ209" s="250">
        <v>573</v>
      </c>
      <c r="BK209" s="250">
        <v>21008.7</v>
      </c>
      <c r="BL209" s="250">
        <v>3491514</v>
      </c>
      <c r="BM209" s="250">
        <v>125789</v>
      </c>
      <c r="BN209" s="250">
        <v>21617.8</v>
      </c>
      <c r="BO209" s="1014">
        <v>3230760</v>
      </c>
      <c r="BP209" s="1014">
        <v>166993</v>
      </c>
      <c r="BQ209" s="1014">
        <v>18903.599999999999</v>
      </c>
      <c r="BR209" s="683">
        <v>9088.2000000000007</v>
      </c>
      <c r="BS209" s="683">
        <v>6180.8</v>
      </c>
      <c r="BT209" s="683">
        <v>1176464</v>
      </c>
      <c r="BU209" s="683">
        <v>667536</v>
      </c>
      <c r="BV209" s="683">
        <v>750328</v>
      </c>
      <c r="BW209" s="683">
        <v>473362</v>
      </c>
      <c r="BX209" s="1324">
        <v>0</v>
      </c>
    </row>
    <row r="210" spans="1:76">
      <c r="A210" s="160">
        <v>45122</v>
      </c>
      <c r="B210" s="250">
        <v>1069.4970000000001</v>
      </c>
      <c r="C210" s="250">
        <v>590.524</v>
      </c>
      <c r="D210" s="250">
        <v>6866.6</v>
      </c>
      <c r="E210" s="1312">
        <v>0</v>
      </c>
      <c r="F210" s="250">
        <v>19037.7</v>
      </c>
      <c r="G210" s="250">
        <v>5946.6</v>
      </c>
      <c r="H210" s="250">
        <v>14630</v>
      </c>
      <c r="I210" s="250">
        <v>7332</v>
      </c>
      <c r="J210" s="250">
        <v>207365.3</v>
      </c>
      <c r="K210" s="250">
        <v>14963.8</v>
      </c>
      <c r="L210" s="250">
        <v>7011.1</v>
      </c>
      <c r="M210" s="1014">
        <v>46196.1</v>
      </c>
      <c r="N210" s="1014">
        <v>36751.4</v>
      </c>
      <c r="O210" s="250">
        <v>138568</v>
      </c>
      <c r="P210" s="250">
        <v>114914</v>
      </c>
      <c r="Q210" s="250">
        <v>141045</v>
      </c>
      <c r="R210" s="250">
        <v>96776.6</v>
      </c>
      <c r="S210" s="1014">
        <v>14063.6</v>
      </c>
      <c r="T210" s="1014">
        <v>10680.14</v>
      </c>
      <c r="U210" s="250">
        <v>49265</v>
      </c>
      <c r="V210" s="250">
        <v>25395</v>
      </c>
      <c r="W210" s="250">
        <v>212971.4</v>
      </c>
      <c r="X210" s="1014">
        <v>345.9</v>
      </c>
      <c r="Y210" s="1014">
        <v>50716</v>
      </c>
      <c r="Z210" s="250">
        <v>603057</v>
      </c>
      <c r="AA210" s="250">
        <v>307068</v>
      </c>
      <c r="AB210" s="250">
        <v>212991.3</v>
      </c>
      <c r="AC210" s="1014">
        <v>1112.4000000000001</v>
      </c>
      <c r="AD210" s="1081">
        <v>942</v>
      </c>
      <c r="AE210" s="250">
        <v>144.5</v>
      </c>
      <c r="AF210" s="250">
        <v>106.7</v>
      </c>
      <c r="AG210" s="250">
        <v>82963.7</v>
      </c>
      <c r="AH210" s="250">
        <v>64130.2</v>
      </c>
      <c r="AI210" s="250">
        <v>68553</v>
      </c>
      <c r="AJ210" s="250">
        <v>55941.2</v>
      </c>
      <c r="AK210" s="250">
        <v>60239.1</v>
      </c>
      <c r="AL210" s="250">
        <v>23683.3</v>
      </c>
      <c r="AM210" s="250">
        <v>16.899999999999999</v>
      </c>
      <c r="AN210" s="422">
        <v>18.3</v>
      </c>
      <c r="AO210" s="250">
        <v>504417</v>
      </c>
      <c r="AP210" s="250">
        <v>232611</v>
      </c>
      <c r="AQ210" s="250">
        <v>65489</v>
      </c>
      <c r="AR210" s="250"/>
      <c r="AS210" s="250">
        <v>470820</v>
      </c>
      <c r="AT210" s="250">
        <v>207143</v>
      </c>
      <c r="AU210" s="250">
        <v>81339.399999999994</v>
      </c>
      <c r="AV210" s="250">
        <v>4568.1000000000004</v>
      </c>
      <c r="AW210" s="250">
        <v>3051.2</v>
      </c>
      <c r="AX210" s="850">
        <v>228.75</v>
      </c>
      <c r="AY210" s="850">
        <v>138.47999999999999</v>
      </c>
      <c r="AZ210" s="850">
        <v>824.69600000000003</v>
      </c>
      <c r="BA210" s="850">
        <v>350.03500000000003</v>
      </c>
      <c r="BB210" s="657">
        <v>1828.31</v>
      </c>
      <c r="BC210" s="250">
        <v>3143.3</v>
      </c>
      <c r="BD210" s="250">
        <v>490.7</v>
      </c>
      <c r="BE210" s="1014">
        <v>5287.15</v>
      </c>
      <c r="BF210" s="1014">
        <v>34632.2701754386</v>
      </c>
      <c r="BG210" s="1014">
        <v>9705.2691741066792</v>
      </c>
      <c r="BH210" s="1014">
        <v>6448.1</v>
      </c>
      <c r="BI210" s="250">
        <v>2675661.8000000003</v>
      </c>
      <c r="BJ210" s="250">
        <v>574</v>
      </c>
      <c r="BK210" s="250">
        <v>21032.7</v>
      </c>
      <c r="BL210" s="250">
        <v>3491514</v>
      </c>
      <c r="BM210" s="250">
        <v>125789</v>
      </c>
      <c r="BN210" s="250">
        <v>21617.8</v>
      </c>
      <c r="BO210" s="250">
        <v>3234242</v>
      </c>
      <c r="BP210" s="250">
        <v>167067</v>
      </c>
      <c r="BQ210" s="250">
        <v>18927.599999999999</v>
      </c>
      <c r="BR210" s="250">
        <v>9095.2999999999993</v>
      </c>
      <c r="BS210" s="250">
        <v>6185.4</v>
      </c>
      <c r="BT210" s="250">
        <v>1177130</v>
      </c>
      <c r="BU210" s="250">
        <v>667926</v>
      </c>
      <c r="BV210" s="250">
        <v>751200</v>
      </c>
      <c r="BW210" s="250">
        <v>473910</v>
      </c>
      <c r="BX210" s="1324">
        <v>0</v>
      </c>
    </row>
    <row r="211" spans="1:76">
      <c r="A211" s="160">
        <v>45123</v>
      </c>
      <c r="B211" s="250">
        <v>1069.4970000000001</v>
      </c>
      <c r="C211" s="250">
        <v>590.524</v>
      </c>
      <c r="D211" s="250">
        <v>6866.6</v>
      </c>
      <c r="E211" s="1312">
        <v>0</v>
      </c>
      <c r="F211" s="250">
        <v>19049.5</v>
      </c>
      <c r="G211" s="250">
        <v>5946.9</v>
      </c>
      <c r="H211" s="683">
        <v>14796</v>
      </c>
      <c r="I211" s="683">
        <v>7414</v>
      </c>
      <c r="J211" s="683">
        <v>207389.3</v>
      </c>
      <c r="K211" s="250">
        <v>14963.9</v>
      </c>
      <c r="L211" s="250">
        <v>7011.1</v>
      </c>
      <c r="M211" s="1014">
        <v>46196.1</v>
      </c>
      <c r="N211" s="1014">
        <v>36751.4</v>
      </c>
      <c r="O211" s="683">
        <v>138578</v>
      </c>
      <c r="P211" s="683">
        <v>114922</v>
      </c>
      <c r="Q211" s="683">
        <v>141059</v>
      </c>
      <c r="R211" s="683">
        <v>96786.6</v>
      </c>
      <c r="S211" s="1014">
        <v>14063.6</v>
      </c>
      <c r="T211" s="1014">
        <v>10680.14</v>
      </c>
      <c r="U211" s="683">
        <v>49561</v>
      </c>
      <c r="V211" s="683">
        <v>25547</v>
      </c>
      <c r="W211" s="683">
        <v>212995.4</v>
      </c>
      <c r="X211" s="1014">
        <v>345.9</v>
      </c>
      <c r="Y211" s="1014">
        <v>50716</v>
      </c>
      <c r="Z211" s="683">
        <v>603205</v>
      </c>
      <c r="AA211" s="683">
        <v>307138</v>
      </c>
      <c r="AB211" s="683">
        <v>213015.3</v>
      </c>
      <c r="AC211" s="1014">
        <v>1112.4000000000001</v>
      </c>
      <c r="AD211" s="1081">
        <v>942</v>
      </c>
      <c r="AE211" s="250">
        <v>147.69999999999999</v>
      </c>
      <c r="AF211" s="250">
        <v>109.1</v>
      </c>
      <c r="AG211" s="422">
        <v>82970.399999999994</v>
      </c>
      <c r="AH211" s="250">
        <v>64135.3</v>
      </c>
      <c r="AI211" s="683">
        <v>68588.2</v>
      </c>
      <c r="AJ211" s="684">
        <v>55971.4</v>
      </c>
      <c r="AK211" s="683">
        <v>60252</v>
      </c>
      <c r="AL211" s="683">
        <v>23688.400000000001</v>
      </c>
      <c r="AM211" s="250">
        <v>16.899999999999999</v>
      </c>
      <c r="AN211" s="422">
        <v>18.3</v>
      </c>
      <c r="AO211" s="683">
        <v>504585</v>
      </c>
      <c r="AP211" s="683">
        <v>232688</v>
      </c>
      <c r="AQ211" s="683">
        <v>65493</v>
      </c>
      <c r="AR211" s="1014"/>
      <c r="AS211" s="683">
        <v>470972</v>
      </c>
      <c r="AT211" s="683">
        <v>207209</v>
      </c>
      <c r="AU211" s="683">
        <v>81363.399999999994</v>
      </c>
      <c r="AV211" s="850">
        <v>4570.6000000000004</v>
      </c>
      <c r="AW211" s="850">
        <v>3052.9</v>
      </c>
      <c r="AX211" s="850">
        <v>228.75</v>
      </c>
      <c r="AY211" s="850">
        <v>138.47999999999999</v>
      </c>
      <c r="AZ211" s="850">
        <v>824.69600000000003</v>
      </c>
      <c r="BA211" s="850">
        <v>350.03500000000003</v>
      </c>
      <c r="BB211" s="657">
        <v>1828.31</v>
      </c>
      <c r="BC211" s="251">
        <v>3145.7</v>
      </c>
      <c r="BD211" s="250">
        <v>490.7</v>
      </c>
      <c r="BE211" s="1014">
        <v>5740.46</v>
      </c>
      <c r="BF211" s="1014">
        <v>34628.536842105299</v>
      </c>
      <c r="BG211" s="1014">
        <v>9397.3921788972493</v>
      </c>
      <c r="BH211" s="1014">
        <v>5499.55</v>
      </c>
      <c r="BI211" s="250">
        <v>2679981.8000000003</v>
      </c>
      <c r="BJ211" s="250">
        <v>575</v>
      </c>
      <c r="BK211" s="250">
        <v>21056.7</v>
      </c>
      <c r="BL211" s="250">
        <v>3491514</v>
      </c>
      <c r="BM211" s="250">
        <v>125789</v>
      </c>
      <c r="BN211" s="250">
        <v>21617.8</v>
      </c>
      <c r="BO211" s="1014">
        <v>3237876</v>
      </c>
      <c r="BP211" s="1014">
        <v>167116</v>
      </c>
      <c r="BQ211" s="1014">
        <v>18951.599999999999</v>
      </c>
      <c r="BR211" s="683">
        <v>9102.6</v>
      </c>
      <c r="BS211" s="683">
        <v>6190.2</v>
      </c>
      <c r="BT211" s="683">
        <v>1177832</v>
      </c>
      <c r="BU211" s="683">
        <v>668338</v>
      </c>
      <c r="BV211" s="683">
        <v>752078</v>
      </c>
      <c r="BW211" s="683">
        <v>474456</v>
      </c>
      <c r="BX211" s="1324">
        <v>0</v>
      </c>
    </row>
    <row r="212" spans="1:76">
      <c r="A212" s="160">
        <v>45124</v>
      </c>
      <c r="B212" s="250">
        <v>1069.4970000000001</v>
      </c>
      <c r="C212" s="250">
        <v>590.524</v>
      </c>
      <c r="D212" s="250">
        <v>6866.6</v>
      </c>
      <c r="E212" s="1312">
        <v>0</v>
      </c>
      <c r="F212" s="250">
        <v>19061.400000000001</v>
      </c>
      <c r="G212" s="250">
        <v>5949.9</v>
      </c>
      <c r="H212" s="683">
        <v>14962</v>
      </c>
      <c r="I212" s="683">
        <v>7497</v>
      </c>
      <c r="J212" s="683">
        <v>207413.3</v>
      </c>
      <c r="K212" s="250">
        <v>14963.9</v>
      </c>
      <c r="L212" s="250">
        <v>7011.1</v>
      </c>
      <c r="M212" s="1014">
        <v>46196.1</v>
      </c>
      <c r="N212" s="1014">
        <v>36751.4</v>
      </c>
      <c r="O212" s="683">
        <v>138588</v>
      </c>
      <c r="P212" s="683">
        <v>114929</v>
      </c>
      <c r="Q212" s="683">
        <v>141074</v>
      </c>
      <c r="R212" s="683">
        <v>96796.5</v>
      </c>
      <c r="S212" s="1014">
        <v>14063.6</v>
      </c>
      <c r="T212" s="1014">
        <v>10680.14</v>
      </c>
      <c r="U212" s="683">
        <v>49853</v>
      </c>
      <c r="V212" s="683">
        <v>25693</v>
      </c>
      <c r="W212" s="683">
        <v>213019.4</v>
      </c>
      <c r="X212" s="1014">
        <v>345.9</v>
      </c>
      <c r="Y212" s="1014">
        <v>50716</v>
      </c>
      <c r="Z212" s="683">
        <v>603353</v>
      </c>
      <c r="AA212" s="683">
        <v>307213</v>
      </c>
      <c r="AB212" s="683">
        <v>213039.3</v>
      </c>
      <c r="AC212" s="1014">
        <v>1112.4000000000001</v>
      </c>
      <c r="AD212" s="1081">
        <v>942</v>
      </c>
      <c r="AE212" s="683">
        <v>151</v>
      </c>
      <c r="AF212" s="683">
        <v>111.5</v>
      </c>
      <c r="AG212" s="683">
        <v>82974.7</v>
      </c>
      <c r="AH212" s="683">
        <v>64138.400000000001</v>
      </c>
      <c r="AI212" s="683">
        <v>68623.600000000006</v>
      </c>
      <c r="AJ212" s="683">
        <v>56001.599999999999</v>
      </c>
      <c r="AK212" s="683">
        <v>60264.800000000003</v>
      </c>
      <c r="AL212" s="683">
        <v>23693.5</v>
      </c>
      <c r="AM212" s="250">
        <v>16.899999999999999</v>
      </c>
      <c r="AN212" s="422">
        <v>18.3</v>
      </c>
      <c r="AO212" s="683">
        <v>504753</v>
      </c>
      <c r="AP212" s="683">
        <v>232764</v>
      </c>
      <c r="AQ212" s="683">
        <v>65498</v>
      </c>
      <c r="AR212" s="683"/>
      <c r="AS212" s="683">
        <v>471122</v>
      </c>
      <c r="AT212" s="683">
        <v>207274</v>
      </c>
      <c r="AU212" s="683">
        <v>81387.399999999994</v>
      </c>
      <c r="AV212" s="683">
        <v>4573.1000000000004</v>
      </c>
      <c r="AW212" s="683">
        <v>3054.5</v>
      </c>
      <c r="AX212" s="850">
        <v>228.75</v>
      </c>
      <c r="AY212" s="850">
        <v>138.47999999999999</v>
      </c>
      <c r="AZ212" s="850">
        <v>824.69600000000003</v>
      </c>
      <c r="BA212" s="850">
        <v>350.03500000000003</v>
      </c>
      <c r="BB212" s="657">
        <v>1828.31</v>
      </c>
      <c r="BC212" s="683">
        <v>3148</v>
      </c>
      <c r="BD212" s="250">
        <v>490.7</v>
      </c>
      <c r="BE212" s="1014">
        <v>5487.06</v>
      </c>
      <c r="BF212" s="1014">
        <v>34591.722807017497</v>
      </c>
      <c r="BG212" s="1014">
        <v>9333.2970420216807</v>
      </c>
      <c r="BH212" s="1014">
        <v>5872.41</v>
      </c>
      <c r="BI212" s="683">
        <v>2684200</v>
      </c>
      <c r="BJ212" s="683">
        <v>576</v>
      </c>
      <c r="BK212" s="683">
        <v>21080.7</v>
      </c>
      <c r="BL212" s="250">
        <v>3491514</v>
      </c>
      <c r="BM212" s="250">
        <v>125789</v>
      </c>
      <c r="BN212" s="250">
        <v>21617.8</v>
      </c>
      <c r="BO212" s="683">
        <v>3241428</v>
      </c>
      <c r="BP212" s="683">
        <v>167148</v>
      </c>
      <c r="BQ212" s="683">
        <v>18975.599999999999</v>
      </c>
      <c r="BR212" s="683">
        <v>9109.7999999999993</v>
      </c>
      <c r="BS212" s="683">
        <v>6194.9</v>
      </c>
      <c r="BT212" s="683">
        <v>1178496</v>
      </c>
      <c r="BU212" s="683">
        <v>668730</v>
      </c>
      <c r="BV212" s="683">
        <v>752934</v>
      </c>
      <c r="BW212" s="683">
        <v>474994</v>
      </c>
      <c r="BX212" s="1324">
        <v>0</v>
      </c>
    </row>
    <row r="213" spans="1:76">
      <c r="A213" s="160">
        <v>45125</v>
      </c>
      <c r="B213" s="250">
        <v>1069.4970000000001</v>
      </c>
      <c r="C213" s="250">
        <v>590.524</v>
      </c>
      <c r="D213" s="250">
        <v>6866.6</v>
      </c>
      <c r="E213" s="1312">
        <v>0</v>
      </c>
      <c r="F213" s="250">
        <v>19071.400000000001</v>
      </c>
      <c r="G213" s="250">
        <v>5954</v>
      </c>
      <c r="H213" s="683">
        <v>15128</v>
      </c>
      <c r="I213" s="683">
        <v>7579</v>
      </c>
      <c r="J213" s="683">
        <v>207437.3</v>
      </c>
      <c r="K213" s="250">
        <v>14963.9</v>
      </c>
      <c r="L213" s="250">
        <v>7011.1</v>
      </c>
      <c r="M213" s="1014">
        <v>46196.1</v>
      </c>
      <c r="N213" s="1014">
        <v>36751.4</v>
      </c>
      <c r="O213" s="683">
        <v>138598</v>
      </c>
      <c r="P213" s="683">
        <v>114937</v>
      </c>
      <c r="Q213" s="683">
        <v>141088</v>
      </c>
      <c r="R213" s="683">
        <v>96806.6</v>
      </c>
      <c r="S213" s="1014">
        <v>14063.6</v>
      </c>
      <c r="T213" s="1014">
        <v>10680.14</v>
      </c>
      <c r="U213" s="683">
        <v>50126</v>
      </c>
      <c r="V213" s="683">
        <v>25833</v>
      </c>
      <c r="W213" s="683">
        <v>213043.4</v>
      </c>
      <c r="X213" s="1014">
        <v>345.9</v>
      </c>
      <c r="Y213" s="1014">
        <v>50716</v>
      </c>
      <c r="Z213" s="683">
        <v>603492</v>
      </c>
      <c r="AA213" s="683">
        <v>307284</v>
      </c>
      <c r="AB213" s="683">
        <v>213063.3</v>
      </c>
      <c r="AC213" s="1014">
        <v>1112.4000000000001</v>
      </c>
      <c r="AD213" s="1081">
        <v>942</v>
      </c>
      <c r="AE213" s="683">
        <v>154.19999999999999</v>
      </c>
      <c r="AF213" s="683">
        <v>113.9</v>
      </c>
      <c r="AG213" s="683">
        <v>82979</v>
      </c>
      <c r="AH213" s="683">
        <v>64141.5</v>
      </c>
      <c r="AI213" s="683">
        <v>68661.7</v>
      </c>
      <c r="AJ213" s="683">
        <v>56034.1</v>
      </c>
      <c r="AK213" s="683">
        <v>60276.9</v>
      </c>
      <c r="AL213" s="683">
        <v>23698.2</v>
      </c>
      <c r="AM213" s="250">
        <v>16.899999999999999</v>
      </c>
      <c r="AN213" s="422">
        <v>18.3</v>
      </c>
      <c r="AO213" s="683">
        <v>504889</v>
      </c>
      <c r="AP213" s="683">
        <v>232827</v>
      </c>
      <c r="AQ213" s="683">
        <v>65503</v>
      </c>
      <c r="AR213" s="683"/>
      <c r="AS213" s="683">
        <v>471246</v>
      </c>
      <c r="AT213" s="683">
        <v>207327</v>
      </c>
      <c r="AU213" s="683">
        <v>81407</v>
      </c>
      <c r="AV213" s="683">
        <v>4575.3999999999996</v>
      </c>
      <c r="AW213" s="683">
        <v>3056</v>
      </c>
      <c r="AX213" s="683">
        <v>229</v>
      </c>
      <c r="AY213" s="683">
        <v>138.6</v>
      </c>
      <c r="AZ213" s="850">
        <v>825.10500000000002</v>
      </c>
      <c r="BA213" s="850">
        <v>350.19299999999998</v>
      </c>
      <c r="BB213" s="657">
        <v>1829</v>
      </c>
      <c r="BC213" s="683">
        <v>3150.4</v>
      </c>
      <c r="BD213" s="683">
        <v>490.8</v>
      </c>
      <c r="BE213" s="683">
        <v>5275.24</v>
      </c>
      <c r="BF213" s="683">
        <v>27679.159649122801</v>
      </c>
      <c r="BG213" s="683">
        <v>7363.7256882923302</v>
      </c>
      <c r="BH213" s="683">
        <v>6228.56</v>
      </c>
      <c r="BI213" s="683">
        <v>2686800</v>
      </c>
      <c r="BJ213" s="683">
        <v>577</v>
      </c>
      <c r="BK213" s="683">
        <v>21098.5</v>
      </c>
      <c r="BL213" s="250">
        <v>3491514</v>
      </c>
      <c r="BM213" s="250">
        <v>125789</v>
      </c>
      <c r="BN213" s="250">
        <v>21617.8</v>
      </c>
      <c r="BO213" s="683">
        <v>3243876</v>
      </c>
      <c r="BP213" s="683">
        <v>167189</v>
      </c>
      <c r="BQ213" s="683">
        <v>18993</v>
      </c>
      <c r="BR213" s="683">
        <v>9116.6</v>
      </c>
      <c r="BS213" s="683">
        <v>6199.4</v>
      </c>
      <c r="BT213" s="683">
        <v>1179176</v>
      </c>
      <c r="BU213" s="683">
        <v>669136</v>
      </c>
      <c r="BV213" s="683">
        <v>753992</v>
      </c>
      <c r="BW213" s="683">
        <v>475637</v>
      </c>
      <c r="BX213" s="1324">
        <v>1</v>
      </c>
    </row>
    <row r="214" spans="1:76">
      <c r="A214" s="160">
        <v>45126</v>
      </c>
      <c r="B214" s="250">
        <v>1069.7360000000001</v>
      </c>
      <c r="C214" s="250">
        <v>590.64300000000003</v>
      </c>
      <c r="D214" s="250">
        <v>6867.2</v>
      </c>
      <c r="E214" s="1312">
        <v>0.2</v>
      </c>
      <c r="F214" s="250">
        <v>19083.400000000001</v>
      </c>
      <c r="G214" s="250">
        <v>5958.7</v>
      </c>
      <c r="H214" s="683">
        <v>15298</v>
      </c>
      <c r="I214" s="683">
        <v>7662</v>
      </c>
      <c r="J214" s="683">
        <v>207461.3</v>
      </c>
      <c r="K214" s="250">
        <v>14964</v>
      </c>
      <c r="L214" s="250">
        <v>7011.1</v>
      </c>
      <c r="M214" s="1014">
        <v>46196.1</v>
      </c>
      <c r="N214" s="1014">
        <v>36751.4</v>
      </c>
      <c r="O214" s="683">
        <v>138607</v>
      </c>
      <c r="P214" s="683">
        <v>114945</v>
      </c>
      <c r="Q214" s="683">
        <v>141103</v>
      </c>
      <c r="R214" s="683">
        <v>96816.4</v>
      </c>
      <c r="S214" s="1014">
        <v>14063.6</v>
      </c>
      <c r="T214" s="1014">
        <v>10680.14</v>
      </c>
      <c r="U214" s="683">
        <v>50410</v>
      </c>
      <c r="V214" s="683">
        <v>25982</v>
      </c>
      <c r="W214" s="683">
        <v>213067.4</v>
      </c>
      <c r="X214" s="1014">
        <v>345.9</v>
      </c>
      <c r="Y214" s="1014">
        <v>50716</v>
      </c>
      <c r="Z214" s="683">
        <v>603642</v>
      </c>
      <c r="AA214" s="683">
        <v>307357</v>
      </c>
      <c r="AB214" s="683">
        <v>213087.3</v>
      </c>
      <c r="AC214" s="1014">
        <v>1112.4000000000001</v>
      </c>
      <c r="AD214" s="1081">
        <v>942</v>
      </c>
      <c r="AE214" s="683">
        <v>157.4</v>
      </c>
      <c r="AF214" s="683">
        <v>116.4</v>
      </c>
      <c r="AG214" s="683">
        <v>82983.600000000006</v>
      </c>
      <c r="AH214" s="683">
        <v>64144.9</v>
      </c>
      <c r="AI214" s="683">
        <v>68700.600000000006</v>
      </c>
      <c r="AJ214" s="683">
        <v>56068</v>
      </c>
      <c r="AK214" s="683">
        <v>60280</v>
      </c>
      <c r="AL214" s="683">
        <v>23699.4</v>
      </c>
      <c r="AM214" s="250">
        <v>16.899999999999999</v>
      </c>
      <c r="AN214" s="422">
        <v>18.3</v>
      </c>
      <c r="AO214" s="683">
        <v>505053</v>
      </c>
      <c r="AP214" s="683">
        <v>232902</v>
      </c>
      <c r="AQ214" s="683">
        <v>65508</v>
      </c>
      <c r="AR214" s="683"/>
      <c r="AS214" s="683">
        <v>471394</v>
      </c>
      <c r="AT214" s="683">
        <v>207391</v>
      </c>
      <c r="AU214" s="683">
        <v>81431</v>
      </c>
      <c r="AV214" s="683">
        <v>4577.1000000000004</v>
      </c>
      <c r="AW214" s="683">
        <v>3057.2</v>
      </c>
      <c r="AX214" s="683">
        <v>229</v>
      </c>
      <c r="AY214" s="683">
        <v>138.6</v>
      </c>
      <c r="AZ214" s="850">
        <v>825.10500000000002</v>
      </c>
      <c r="BA214" s="850">
        <v>350.19299999999998</v>
      </c>
      <c r="BB214" s="657">
        <v>1829</v>
      </c>
      <c r="BC214" s="683">
        <v>3152.6</v>
      </c>
      <c r="BD214" s="683">
        <v>490.9</v>
      </c>
      <c r="BE214" s="1323">
        <v>5232.95</v>
      </c>
      <c r="BF214" s="1014">
        <v>34748.9824561403</v>
      </c>
      <c r="BG214" s="1014">
        <v>9103.0327331081407</v>
      </c>
      <c r="BH214" s="1014">
        <v>4900.25</v>
      </c>
      <c r="BI214" s="683">
        <v>2690400</v>
      </c>
      <c r="BJ214" s="683">
        <v>578</v>
      </c>
      <c r="BK214" s="683">
        <v>21122.5</v>
      </c>
      <c r="BL214" s="250">
        <v>3491514</v>
      </c>
      <c r="BM214" s="250">
        <v>125789</v>
      </c>
      <c r="BN214" s="250">
        <v>21617.8</v>
      </c>
      <c r="BO214" s="683">
        <v>3246578</v>
      </c>
      <c r="BP214" s="683">
        <v>167190</v>
      </c>
      <c r="BQ214" s="683">
        <v>19017</v>
      </c>
      <c r="BR214" s="683">
        <v>9124.9</v>
      </c>
      <c r="BS214" s="683">
        <v>6204.6</v>
      </c>
      <c r="BT214" s="683">
        <v>1179848</v>
      </c>
      <c r="BU214" s="683">
        <v>669529</v>
      </c>
      <c r="BV214" s="683">
        <v>754862</v>
      </c>
      <c r="BW214" s="683">
        <v>476187</v>
      </c>
      <c r="BX214" s="1324">
        <v>0</v>
      </c>
    </row>
    <row r="215" spans="1:76">
      <c r="A215" s="160">
        <v>45127</v>
      </c>
      <c r="B215" s="250">
        <v>1069.7360000000001</v>
      </c>
      <c r="C215" s="250">
        <v>590.64300000000003</v>
      </c>
      <c r="D215" s="250">
        <v>6867.2</v>
      </c>
      <c r="E215" s="1312">
        <v>0</v>
      </c>
      <c r="F215" s="250">
        <v>19095.7</v>
      </c>
      <c r="G215" s="250">
        <v>5961.6</v>
      </c>
      <c r="H215" s="683">
        <v>15463.68</v>
      </c>
      <c r="I215" s="683">
        <v>7744.7</v>
      </c>
      <c r="J215" s="683">
        <v>207485.3</v>
      </c>
      <c r="K215" s="250">
        <v>14964.1</v>
      </c>
      <c r="L215" s="250">
        <v>7011.1</v>
      </c>
      <c r="M215" s="1014">
        <v>46196.1</v>
      </c>
      <c r="N215" s="1014">
        <v>36751.4</v>
      </c>
      <c r="O215" s="683">
        <v>138616.9</v>
      </c>
      <c r="P215" s="683">
        <v>114952.37</v>
      </c>
      <c r="Q215" s="683">
        <v>141117.62</v>
      </c>
      <c r="R215" s="683">
        <v>96826.59</v>
      </c>
      <c r="S215" s="1014">
        <v>14063.6</v>
      </c>
      <c r="T215" s="1014">
        <v>10680.14</v>
      </c>
      <c r="U215" s="683">
        <v>50711.27</v>
      </c>
      <c r="V215" s="683">
        <v>26141.43</v>
      </c>
      <c r="W215" s="683">
        <v>213091.4</v>
      </c>
      <c r="X215" s="1014">
        <v>345.9</v>
      </c>
      <c r="Y215" s="1014">
        <v>50716</v>
      </c>
      <c r="Z215" s="683">
        <v>603790.77</v>
      </c>
      <c r="AA215" s="683">
        <v>307428.03000000003</v>
      </c>
      <c r="AB215" s="683">
        <v>213111.3</v>
      </c>
      <c r="AC215" s="1014">
        <v>1112.4000000000001</v>
      </c>
      <c r="AD215" s="1081">
        <v>942</v>
      </c>
      <c r="AE215" s="250">
        <v>160.72</v>
      </c>
      <c r="AF215" s="250">
        <v>118.81</v>
      </c>
      <c r="AG215" s="422">
        <v>82991.17</v>
      </c>
      <c r="AH215" s="250">
        <v>64150.65</v>
      </c>
      <c r="AI215" s="683">
        <v>68741</v>
      </c>
      <c r="AJ215" s="683">
        <v>56103.35</v>
      </c>
      <c r="AK215" s="683">
        <v>60291.8</v>
      </c>
      <c r="AL215" s="683">
        <v>23704.1</v>
      </c>
      <c r="AM215" s="250">
        <v>16.899999999999999</v>
      </c>
      <c r="AN215" s="422">
        <v>18.3</v>
      </c>
      <c r="AO215" s="683">
        <v>505222.2</v>
      </c>
      <c r="AP215" s="683">
        <v>232979.3</v>
      </c>
      <c r="AQ215" s="683">
        <v>65512.000999999997</v>
      </c>
      <c r="AR215" s="1014"/>
      <c r="AS215" s="683">
        <v>471547.06</v>
      </c>
      <c r="AT215" s="683">
        <v>207457.3</v>
      </c>
      <c r="AU215" s="683">
        <v>81455</v>
      </c>
      <c r="AV215" s="850">
        <v>4579.62</v>
      </c>
      <c r="AW215" s="850">
        <v>3058.77</v>
      </c>
      <c r="AX215" s="683">
        <v>229</v>
      </c>
      <c r="AY215" s="683">
        <v>138.6</v>
      </c>
      <c r="AZ215" s="850">
        <v>825.10500000000002</v>
      </c>
      <c r="BA215" s="850">
        <v>350.19299999999998</v>
      </c>
      <c r="BB215" s="657">
        <v>1829</v>
      </c>
      <c r="BC215" s="251">
        <v>3155.1</v>
      </c>
      <c r="BD215" s="422">
        <v>491</v>
      </c>
      <c r="BE215" s="1014">
        <v>5353</v>
      </c>
      <c r="BF215" s="1014">
        <v>34567</v>
      </c>
      <c r="BG215" s="1014">
        <v>8459</v>
      </c>
      <c r="BH215" s="1014">
        <v>5003</v>
      </c>
      <c r="BI215" s="250">
        <v>2694288</v>
      </c>
      <c r="BJ215" s="250">
        <v>579</v>
      </c>
      <c r="BK215" s="250">
        <v>21146.5</v>
      </c>
      <c r="BL215" s="250">
        <v>3491610</v>
      </c>
      <c r="BM215" s="250">
        <v>125789</v>
      </c>
      <c r="BN215" s="250">
        <v>21618.799999999999</v>
      </c>
      <c r="BO215" s="1014">
        <v>3249216</v>
      </c>
      <c r="BP215" s="1014">
        <v>167193</v>
      </c>
      <c r="BQ215" s="1014">
        <v>19041</v>
      </c>
      <c r="BR215" s="683">
        <v>9133.36</v>
      </c>
      <c r="BS215" s="683">
        <v>6209.84</v>
      </c>
      <c r="BT215" s="683">
        <v>1180551</v>
      </c>
      <c r="BU215" s="683">
        <v>669938</v>
      </c>
      <c r="BV215" s="683">
        <v>755742</v>
      </c>
      <c r="BW215" s="683">
        <v>476741</v>
      </c>
      <c r="BX215" s="1324">
        <v>0</v>
      </c>
    </row>
    <row r="216" spans="1:76">
      <c r="A216" s="160">
        <v>45128</v>
      </c>
      <c r="B216" s="250">
        <v>1069.7360000000001</v>
      </c>
      <c r="C216" s="250">
        <v>590.64300000000003</v>
      </c>
      <c r="D216" s="250">
        <v>6867.2</v>
      </c>
      <c r="E216" s="1312">
        <v>0</v>
      </c>
      <c r="F216" s="250">
        <v>19108.3</v>
      </c>
      <c r="G216" s="250">
        <v>5962.9</v>
      </c>
      <c r="H216" s="683">
        <v>15626.1</v>
      </c>
      <c r="I216" s="683">
        <v>7825.1</v>
      </c>
      <c r="J216" s="683">
        <v>207509.3</v>
      </c>
      <c r="K216" s="683">
        <v>14964.2</v>
      </c>
      <c r="L216" s="683">
        <v>7011.1</v>
      </c>
      <c r="M216" s="1014">
        <v>46196.1</v>
      </c>
      <c r="N216" s="1014">
        <v>36751.4</v>
      </c>
      <c r="O216" s="683">
        <v>138626.6</v>
      </c>
      <c r="P216" s="683">
        <v>114959.9</v>
      </c>
      <c r="Q216" s="683">
        <v>141132.20000000001</v>
      </c>
      <c r="R216" s="683">
        <v>96836.6</v>
      </c>
      <c r="S216" s="1014">
        <v>14063.6</v>
      </c>
      <c r="T216" s="1014">
        <v>10680.14</v>
      </c>
      <c r="U216" s="683">
        <v>50902.5</v>
      </c>
      <c r="V216" s="683">
        <v>26239.8</v>
      </c>
      <c r="W216" s="683">
        <v>213115.4</v>
      </c>
      <c r="X216" s="1014">
        <v>345.9</v>
      </c>
      <c r="Y216" s="1014">
        <v>50716</v>
      </c>
      <c r="Z216" s="683">
        <v>604034.30000000005</v>
      </c>
      <c r="AA216" s="683">
        <v>307548.40000000002</v>
      </c>
      <c r="AB216" s="683">
        <v>213135.3</v>
      </c>
      <c r="AC216" s="1014">
        <v>1112.4000000000001</v>
      </c>
      <c r="AD216" s="1081">
        <v>942</v>
      </c>
      <c r="AE216" s="683">
        <v>163.9</v>
      </c>
      <c r="AF216" s="683">
        <v>121.1</v>
      </c>
      <c r="AG216" s="683">
        <v>82998.2</v>
      </c>
      <c r="AH216" s="683">
        <v>64156</v>
      </c>
      <c r="AI216" s="683">
        <v>68779.5</v>
      </c>
      <c r="AJ216" s="683">
        <v>56136.9</v>
      </c>
      <c r="AK216" s="683">
        <v>60303</v>
      </c>
      <c r="AL216" s="683">
        <v>23708.5</v>
      </c>
      <c r="AM216" s="250">
        <v>16.899999999999999</v>
      </c>
      <c r="AN216" s="422">
        <v>18.3</v>
      </c>
      <c r="AO216" s="683">
        <v>505382.1</v>
      </c>
      <c r="AP216" s="683">
        <v>233052.6</v>
      </c>
      <c r="AQ216" s="683">
        <v>65516.800000000003</v>
      </c>
      <c r="AR216" s="683"/>
      <c r="AS216" s="683">
        <v>471695</v>
      </c>
      <c r="AT216" s="683">
        <v>207521.3</v>
      </c>
      <c r="AU216" s="683">
        <v>81479</v>
      </c>
      <c r="AV216" s="683">
        <v>4581.7</v>
      </c>
      <c r="AW216" s="683">
        <v>3060.1</v>
      </c>
      <c r="AX216" s="683">
        <v>229</v>
      </c>
      <c r="AY216" s="683">
        <v>138.6</v>
      </c>
      <c r="AZ216" s="850">
        <v>825.10500000000002</v>
      </c>
      <c r="BA216" s="850">
        <v>350.19299999999998</v>
      </c>
      <c r="BB216" s="657">
        <v>1829</v>
      </c>
      <c r="BC216" s="683">
        <v>3157.4</v>
      </c>
      <c r="BD216" s="683">
        <v>491</v>
      </c>
      <c r="BE216" s="683">
        <v>5669.13</v>
      </c>
      <c r="BF216" s="683">
        <v>32663.184210526299</v>
      </c>
      <c r="BG216" s="683">
        <v>6202.8417862831802</v>
      </c>
      <c r="BH216" s="683">
        <v>6020.04</v>
      </c>
      <c r="BI216" s="683">
        <v>2696736</v>
      </c>
      <c r="BJ216" s="683">
        <v>580</v>
      </c>
      <c r="BK216" s="683">
        <v>21170.5</v>
      </c>
      <c r="BL216" s="250">
        <v>3492386</v>
      </c>
      <c r="BM216" s="250">
        <v>125789</v>
      </c>
      <c r="BN216" s="250">
        <v>21625.9</v>
      </c>
      <c r="BO216" s="683">
        <v>3252070</v>
      </c>
      <c r="BP216" s="683">
        <v>167198</v>
      </c>
      <c r="BQ216" s="683">
        <v>19065</v>
      </c>
      <c r="BR216" s="683">
        <v>9142</v>
      </c>
      <c r="BS216" s="683">
        <v>6215.1</v>
      </c>
      <c r="BT216" s="683">
        <v>1181252</v>
      </c>
      <c r="BU216" s="683">
        <v>670345</v>
      </c>
      <c r="BV216" s="683">
        <v>756617</v>
      </c>
      <c r="BW216" s="683">
        <v>477290</v>
      </c>
      <c r="BX216" s="1324">
        <v>0</v>
      </c>
    </row>
    <row r="217" spans="1:76">
      <c r="A217" s="160">
        <v>45129</v>
      </c>
      <c r="B217" s="250">
        <v>1069.7360000000001</v>
      </c>
      <c r="C217" s="250">
        <v>590.64300000000003</v>
      </c>
      <c r="D217" s="250">
        <v>6867.2</v>
      </c>
      <c r="E217" s="1312">
        <v>0</v>
      </c>
      <c r="F217" s="250">
        <v>19121.5</v>
      </c>
      <c r="G217" s="250">
        <v>5964.5</v>
      </c>
      <c r="H217" s="683">
        <v>15792.9</v>
      </c>
      <c r="I217" s="683">
        <v>7908.1</v>
      </c>
      <c r="J217" s="683">
        <v>207533.3</v>
      </c>
      <c r="K217" s="683">
        <v>14964.2</v>
      </c>
      <c r="L217" s="683">
        <v>7011.1</v>
      </c>
      <c r="M217" s="1014">
        <v>46196.1</v>
      </c>
      <c r="N217" s="1014">
        <v>36751.4</v>
      </c>
      <c r="O217" s="683">
        <v>138636.04999999999</v>
      </c>
      <c r="P217" s="683">
        <v>114967.42</v>
      </c>
      <c r="Q217" s="683">
        <v>141146.65</v>
      </c>
      <c r="R217" s="683">
        <v>96846.76</v>
      </c>
      <c r="S217" s="1014">
        <v>14063.6</v>
      </c>
      <c r="T217" s="1014">
        <v>10680.14</v>
      </c>
      <c r="U217" s="683">
        <v>51052.273000000001</v>
      </c>
      <c r="V217" s="683">
        <v>26316</v>
      </c>
      <c r="W217" s="683">
        <v>213139.4</v>
      </c>
      <c r="X217" s="1014">
        <v>345.9</v>
      </c>
      <c r="Y217" s="1014">
        <v>50716</v>
      </c>
      <c r="Z217" s="683">
        <v>604324.56000000006</v>
      </c>
      <c r="AA217" s="683">
        <v>307694.8</v>
      </c>
      <c r="AB217" s="683">
        <v>213159.3</v>
      </c>
      <c r="AC217" s="1014">
        <v>1112.4000000000001</v>
      </c>
      <c r="AD217" s="1081">
        <v>942</v>
      </c>
      <c r="AE217" s="683">
        <v>167.2</v>
      </c>
      <c r="AF217" s="683">
        <v>123.61</v>
      </c>
      <c r="AG217" s="683">
        <v>83006.53</v>
      </c>
      <c r="AH217" s="683">
        <v>64162.21</v>
      </c>
      <c r="AI217" s="683">
        <v>68819.44</v>
      </c>
      <c r="AJ217" s="683">
        <v>56171.55</v>
      </c>
      <c r="AK217" s="683">
        <v>60309.7</v>
      </c>
      <c r="AL217" s="683">
        <v>23711.1</v>
      </c>
      <c r="AM217" s="250">
        <v>16.899999999999999</v>
      </c>
      <c r="AN217" s="422">
        <v>18.3</v>
      </c>
      <c r="AO217" s="683">
        <v>505544.6</v>
      </c>
      <c r="AP217" s="683">
        <v>233127.1</v>
      </c>
      <c r="AQ217" s="683">
        <v>65521.14</v>
      </c>
      <c r="AR217" s="683"/>
      <c r="AS217" s="683">
        <v>471841.3</v>
      </c>
      <c r="AT217" s="683">
        <v>207584.8</v>
      </c>
      <c r="AU217" s="683">
        <v>81503</v>
      </c>
      <c r="AV217" s="683">
        <v>4584.24</v>
      </c>
      <c r="AW217" s="683">
        <v>3061.76</v>
      </c>
      <c r="AX217" s="683">
        <v>229</v>
      </c>
      <c r="AY217" s="683">
        <v>138.6</v>
      </c>
      <c r="AZ217" s="850">
        <v>825.10500000000002</v>
      </c>
      <c r="BA217" s="850">
        <v>350.19299999999998</v>
      </c>
      <c r="BB217" s="657">
        <v>1829</v>
      </c>
      <c r="BC217" s="683">
        <v>3159.7</v>
      </c>
      <c r="BD217" s="683">
        <v>491.1</v>
      </c>
      <c r="BE217" s="683">
        <v>5478.04</v>
      </c>
      <c r="BF217" s="1014">
        <v>31792.4596491228</v>
      </c>
      <c r="BG217" s="1014">
        <v>11414.2977609029</v>
      </c>
      <c r="BH217" s="1014">
        <v>6082.81</v>
      </c>
      <c r="BI217" s="683">
        <v>2700216</v>
      </c>
      <c r="BJ217" s="683">
        <v>581</v>
      </c>
      <c r="BK217" s="683">
        <v>21194.5</v>
      </c>
      <c r="BL217" s="250">
        <v>3495226</v>
      </c>
      <c r="BM217" s="250">
        <v>125802</v>
      </c>
      <c r="BN217" s="250">
        <v>21649.9</v>
      </c>
      <c r="BO217" s="683">
        <v>3252895</v>
      </c>
      <c r="BP217" s="683">
        <v>167198</v>
      </c>
      <c r="BQ217" s="683">
        <v>19074</v>
      </c>
      <c r="BR217" s="683">
        <v>9150.64</v>
      </c>
      <c r="BS217" s="683">
        <v>6220.42</v>
      </c>
      <c r="BT217" s="683">
        <v>1181931</v>
      </c>
      <c r="BU217" s="683">
        <v>670740</v>
      </c>
      <c r="BV217" s="683">
        <v>757470</v>
      </c>
      <c r="BW217" s="683">
        <v>477826</v>
      </c>
      <c r="BX217" s="1324">
        <v>0</v>
      </c>
    </row>
    <row r="218" spans="1:76">
      <c r="A218" s="160">
        <v>45130</v>
      </c>
      <c r="B218" s="250">
        <v>1069.7360000000001</v>
      </c>
      <c r="C218" s="250">
        <v>590.64300000000003</v>
      </c>
      <c r="D218" s="250">
        <v>6867.2</v>
      </c>
      <c r="E218" s="1312">
        <v>0</v>
      </c>
      <c r="F218" s="250">
        <v>19133.5</v>
      </c>
      <c r="G218" s="250">
        <v>5964.5</v>
      </c>
      <c r="H218" s="683">
        <v>15957.3</v>
      </c>
      <c r="I218" s="683">
        <v>7989.7</v>
      </c>
      <c r="J218" s="683">
        <v>207557.3</v>
      </c>
      <c r="K218" s="683">
        <v>14964.3</v>
      </c>
      <c r="L218" s="683">
        <v>7011.1</v>
      </c>
      <c r="M218" s="1014">
        <v>46196.1</v>
      </c>
      <c r="N218" s="1014">
        <v>36751.4</v>
      </c>
      <c r="O218" s="683">
        <v>138646.19</v>
      </c>
      <c r="P218" s="683">
        <v>114975.29</v>
      </c>
      <c r="Q218" s="683">
        <v>141160.79</v>
      </c>
      <c r="R218" s="683">
        <v>96856.68</v>
      </c>
      <c r="S218" s="1014">
        <v>14063.6</v>
      </c>
      <c r="T218" s="1014">
        <v>10680.14</v>
      </c>
      <c r="U218" s="683">
        <v>51199.805</v>
      </c>
      <c r="V218" s="683">
        <v>26395</v>
      </c>
      <c r="W218" s="683">
        <v>213163.4</v>
      </c>
      <c r="X218" s="1014">
        <v>345.9</v>
      </c>
      <c r="Y218" s="1014">
        <v>50716</v>
      </c>
      <c r="Z218" s="683">
        <v>604615.80000000005</v>
      </c>
      <c r="AA218" s="683">
        <v>307836.88</v>
      </c>
      <c r="AB218" s="683">
        <v>213183.3</v>
      </c>
      <c r="AC218" s="1014">
        <v>1112.4000000000001</v>
      </c>
      <c r="AD218" s="1081">
        <v>942</v>
      </c>
      <c r="AE218" s="683">
        <v>170.37</v>
      </c>
      <c r="AF218" s="683">
        <v>125.98</v>
      </c>
      <c r="AG218" s="683">
        <v>83013.89</v>
      </c>
      <c r="AH218" s="683">
        <v>64167.61</v>
      </c>
      <c r="AI218" s="683">
        <v>68858.490000000005</v>
      </c>
      <c r="AJ218" s="683">
        <v>56205.41</v>
      </c>
      <c r="AK218" s="683">
        <v>60323</v>
      </c>
      <c r="AL218" s="683">
        <v>23716.3</v>
      </c>
      <c r="AM218" s="250">
        <v>16.899999999999999</v>
      </c>
      <c r="AN218" s="422">
        <v>18.3</v>
      </c>
      <c r="AO218" s="683">
        <v>505703.5</v>
      </c>
      <c r="AP218" s="683">
        <v>233200</v>
      </c>
      <c r="AQ218" s="683">
        <v>65525.31</v>
      </c>
      <c r="AR218" s="683"/>
      <c r="AS218" s="683">
        <v>471985</v>
      </c>
      <c r="AT218" s="683">
        <v>207647.2</v>
      </c>
      <c r="AU218" s="683">
        <v>81527</v>
      </c>
      <c r="AV218" s="683">
        <v>4586.7</v>
      </c>
      <c r="AW218" s="683">
        <v>3063.35</v>
      </c>
      <c r="AX218" s="683">
        <v>229</v>
      </c>
      <c r="AY218" s="683">
        <v>138.6</v>
      </c>
      <c r="AZ218" s="850">
        <v>825.10500000000002</v>
      </c>
      <c r="BA218" s="850">
        <v>350.19299999999998</v>
      </c>
      <c r="BB218" s="657">
        <v>1829</v>
      </c>
      <c r="BC218" s="683">
        <v>3162.1</v>
      </c>
      <c r="BD218" s="683">
        <v>491.2</v>
      </c>
      <c r="BE218" s="683">
        <v>5527.81</v>
      </c>
      <c r="BF218" s="683">
        <v>29968.949122807</v>
      </c>
      <c r="BG218" s="683">
        <v>9611.9047144959295</v>
      </c>
      <c r="BH218" s="683">
        <v>6281.71</v>
      </c>
      <c r="BI218" s="683">
        <v>2703864</v>
      </c>
      <c r="BJ218" s="683">
        <v>582</v>
      </c>
      <c r="BK218" s="683">
        <v>21218.5</v>
      </c>
      <c r="BL218" s="683">
        <v>3498148</v>
      </c>
      <c r="BM218" s="683">
        <v>125806</v>
      </c>
      <c r="BN218" s="683">
        <v>21673.9</v>
      </c>
      <c r="BO218" s="683">
        <v>3252895</v>
      </c>
      <c r="BP218" s="683">
        <v>167198</v>
      </c>
      <c r="BQ218" s="683">
        <v>19074</v>
      </c>
      <c r="BR218" s="683">
        <v>9159.27</v>
      </c>
      <c r="BS218" s="683">
        <v>6225.69</v>
      </c>
      <c r="BT218" s="683">
        <v>1182600</v>
      </c>
      <c r="BU218" s="683">
        <v>671128</v>
      </c>
      <c r="BV218" s="683">
        <v>758289</v>
      </c>
      <c r="BW218" s="683">
        <v>478348</v>
      </c>
      <c r="BX218" s="1324">
        <v>0</v>
      </c>
    </row>
    <row r="219" spans="1:76">
      <c r="A219" s="160">
        <v>45131</v>
      </c>
      <c r="B219" s="250">
        <v>1069.7360000000001</v>
      </c>
      <c r="C219" s="250">
        <v>590.64300000000003</v>
      </c>
      <c r="D219" s="250">
        <v>6867.2</v>
      </c>
      <c r="E219" s="1312">
        <v>0</v>
      </c>
      <c r="F219" s="250">
        <v>19144.7</v>
      </c>
      <c r="G219" s="250">
        <v>5965.2</v>
      </c>
      <c r="H219" s="683">
        <v>16122.2</v>
      </c>
      <c r="I219" s="683">
        <v>8071.6</v>
      </c>
      <c r="J219" s="683">
        <v>207581.3</v>
      </c>
      <c r="K219" s="683">
        <v>14964.3</v>
      </c>
      <c r="L219" s="683">
        <v>7011.1</v>
      </c>
      <c r="M219" s="1014">
        <v>46196.1</v>
      </c>
      <c r="N219" s="1014">
        <v>36751.4</v>
      </c>
      <c r="O219" s="683">
        <v>138656.19</v>
      </c>
      <c r="P219" s="683">
        <v>114983.9</v>
      </c>
      <c r="Q219" s="683">
        <v>141175.84</v>
      </c>
      <c r="R219" s="683">
        <v>96866.86</v>
      </c>
      <c r="S219" s="1014">
        <v>14063.6</v>
      </c>
      <c r="T219" s="1014">
        <v>10680.14</v>
      </c>
      <c r="U219" s="683">
        <v>51347.887000000002</v>
      </c>
      <c r="V219" s="683">
        <v>26471</v>
      </c>
      <c r="W219" s="683">
        <v>213187.4</v>
      </c>
      <c r="X219" s="1014">
        <v>345.9</v>
      </c>
      <c r="Y219" s="1014">
        <v>50716</v>
      </c>
      <c r="Z219" s="683">
        <v>604910.93999999994</v>
      </c>
      <c r="AA219" s="683">
        <v>307982.88</v>
      </c>
      <c r="AB219" s="683">
        <v>213207.3</v>
      </c>
      <c r="AC219" s="1014">
        <v>1112.4000000000001</v>
      </c>
      <c r="AD219" s="1081">
        <v>942</v>
      </c>
      <c r="AE219" s="683">
        <v>173.61</v>
      </c>
      <c r="AF219" s="683">
        <v>128.38</v>
      </c>
      <c r="AG219" s="683">
        <v>83022.25</v>
      </c>
      <c r="AH219" s="683">
        <v>64173.84</v>
      </c>
      <c r="AI219" s="683">
        <v>68897.53</v>
      </c>
      <c r="AJ219" s="683">
        <v>56239.18</v>
      </c>
      <c r="AK219" s="683">
        <v>60336.3</v>
      </c>
      <c r="AL219" s="683">
        <v>23721.599999999999</v>
      </c>
      <c r="AM219" s="250">
        <v>16.899999999999999</v>
      </c>
      <c r="AN219" s="422">
        <v>18.3</v>
      </c>
      <c r="AO219" s="683">
        <v>505866.4</v>
      </c>
      <c r="AP219" s="683">
        <v>233275.5</v>
      </c>
      <c r="AQ219" s="683">
        <v>65530.351000000002</v>
      </c>
      <c r="AR219" s="683"/>
      <c r="AS219" s="683">
        <v>472130.8</v>
      </c>
      <c r="AT219" s="683">
        <v>207710.4</v>
      </c>
      <c r="AU219" s="683">
        <v>81551</v>
      </c>
      <c r="AV219" s="683">
        <v>4589.18</v>
      </c>
      <c r="AW219" s="683">
        <v>3064.95</v>
      </c>
      <c r="AX219" s="683">
        <v>229</v>
      </c>
      <c r="AY219" s="683">
        <v>138.6</v>
      </c>
      <c r="AZ219" s="850">
        <v>825.10500000000002</v>
      </c>
      <c r="BA219" s="850">
        <v>350.19299999999998</v>
      </c>
      <c r="BB219" s="657">
        <v>1829</v>
      </c>
      <c r="BC219" s="683">
        <v>3164.5</v>
      </c>
      <c r="BD219" s="683">
        <v>491.3</v>
      </c>
      <c r="BE219" s="683">
        <v>4839.01</v>
      </c>
      <c r="BF219" s="683">
        <v>33170.2701754386</v>
      </c>
      <c r="BG219" s="683">
        <v>9725.7613196088405</v>
      </c>
      <c r="BH219" s="683">
        <v>5866.44</v>
      </c>
      <c r="BI219" s="683">
        <v>2707224</v>
      </c>
      <c r="BJ219" s="683">
        <v>583</v>
      </c>
      <c r="BK219" s="683">
        <v>21242.5</v>
      </c>
      <c r="BL219" s="250">
        <v>3501192</v>
      </c>
      <c r="BM219" s="250">
        <v>125827</v>
      </c>
      <c r="BN219" s="250">
        <v>21697.9</v>
      </c>
      <c r="BO219" s="683">
        <v>3252895</v>
      </c>
      <c r="BP219" s="683">
        <v>167198</v>
      </c>
      <c r="BQ219" s="683">
        <v>19074</v>
      </c>
      <c r="BR219" s="683">
        <v>9167.14</v>
      </c>
      <c r="BS219" s="683">
        <v>6230.54</v>
      </c>
      <c r="BT219" s="683">
        <v>1183561</v>
      </c>
      <c r="BU219" s="683">
        <v>671665</v>
      </c>
      <c r="BV219" s="683">
        <v>758690</v>
      </c>
      <c r="BW219" s="683">
        <v>478605</v>
      </c>
      <c r="BX219" s="1324">
        <v>0</v>
      </c>
    </row>
    <row r="220" spans="1:76">
      <c r="A220" s="160">
        <v>45132</v>
      </c>
      <c r="B220" s="250">
        <v>1070.19</v>
      </c>
      <c r="C220" s="250">
        <v>590.87199999999996</v>
      </c>
      <c r="D220" s="250">
        <v>6867.9</v>
      </c>
      <c r="E220" s="1312">
        <v>0.5</v>
      </c>
      <c r="F220" s="250">
        <v>19154.8</v>
      </c>
      <c r="G220" s="250">
        <v>5966.6</v>
      </c>
      <c r="H220" s="683">
        <v>16285.934999999999</v>
      </c>
      <c r="I220" s="683">
        <v>8152.6989999999996</v>
      </c>
      <c r="J220" s="683">
        <v>207605.3</v>
      </c>
      <c r="K220" s="683">
        <v>14964.3</v>
      </c>
      <c r="L220" s="683">
        <v>7011.1</v>
      </c>
      <c r="M220" s="1014">
        <v>46196.1</v>
      </c>
      <c r="N220" s="1014">
        <v>36751.4</v>
      </c>
      <c r="O220" s="683">
        <v>138665.75</v>
      </c>
      <c r="P220" s="683">
        <v>114990.57</v>
      </c>
      <c r="Q220" s="683">
        <v>141190.07999999999</v>
      </c>
      <c r="R220" s="683">
        <v>96876.56</v>
      </c>
      <c r="S220" s="1014">
        <v>14063.6</v>
      </c>
      <c r="T220" s="1014">
        <v>10680.14</v>
      </c>
      <c r="U220" s="683">
        <v>51494.59</v>
      </c>
      <c r="V220" s="683">
        <v>26543.63</v>
      </c>
      <c r="W220" s="683">
        <v>213211.4</v>
      </c>
      <c r="X220" s="1014">
        <v>345.9</v>
      </c>
      <c r="Y220" s="1014">
        <v>50716</v>
      </c>
      <c r="Z220" s="683">
        <v>605200.03</v>
      </c>
      <c r="AA220" s="683">
        <v>308127.65000000002</v>
      </c>
      <c r="AB220" s="683">
        <v>213231.3</v>
      </c>
      <c r="AC220" s="1014">
        <v>1112.4000000000001</v>
      </c>
      <c r="AD220" s="1081">
        <v>942</v>
      </c>
      <c r="AE220" s="250">
        <v>176.81</v>
      </c>
      <c r="AF220" s="250">
        <v>130.72999999999999</v>
      </c>
      <c r="AG220" s="422">
        <v>83031.350000000006</v>
      </c>
      <c r="AH220" s="250">
        <v>64180.74</v>
      </c>
      <c r="AI220" s="683">
        <v>68935.070000000007</v>
      </c>
      <c r="AJ220" s="683">
        <v>56271.519999999997</v>
      </c>
      <c r="AK220" s="683">
        <v>60347.6</v>
      </c>
      <c r="AL220" s="683">
        <v>23726.1</v>
      </c>
      <c r="AM220" s="250">
        <v>16.899999999999999</v>
      </c>
      <c r="AN220" s="422">
        <v>18.3</v>
      </c>
      <c r="AO220" s="683">
        <v>506028.3</v>
      </c>
      <c r="AP220" s="683">
        <v>233350</v>
      </c>
      <c r="AQ220" s="683">
        <v>65535.103000000003</v>
      </c>
      <c r="AR220" s="1014"/>
      <c r="AS220" s="683">
        <v>472273.31</v>
      </c>
      <c r="AT220" s="683">
        <v>207772.17</v>
      </c>
      <c r="AU220" s="683">
        <v>81575</v>
      </c>
      <c r="AV220" s="683">
        <v>4591.59</v>
      </c>
      <c r="AW220" s="683">
        <v>3066.51</v>
      </c>
      <c r="AX220" s="683">
        <v>229.05</v>
      </c>
      <c r="AY220" s="683">
        <v>138.65</v>
      </c>
      <c r="AZ220" s="850">
        <v>825.51499999999999</v>
      </c>
      <c r="BA220" s="1105">
        <v>350.35199999999998</v>
      </c>
      <c r="BB220" s="657">
        <v>1829.5</v>
      </c>
      <c r="BC220" s="683">
        <v>3166.8</v>
      </c>
      <c r="BD220" s="683">
        <v>491.4</v>
      </c>
      <c r="BE220" s="683">
        <v>5418.42</v>
      </c>
      <c r="BF220" s="683">
        <v>32122.626315779999</v>
      </c>
      <c r="BG220" s="683">
        <v>9669.3191869623206</v>
      </c>
      <c r="BH220" s="683">
        <v>6035.21</v>
      </c>
      <c r="BI220" s="683">
        <v>2711112</v>
      </c>
      <c r="BJ220" s="250">
        <v>584</v>
      </c>
      <c r="BK220" s="250">
        <v>21266.5</v>
      </c>
      <c r="BL220" s="250">
        <v>3504545</v>
      </c>
      <c r="BM220" s="250">
        <v>125894</v>
      </c>
      <c r="BN220" s="250">
        <v>21721.9</v>
      </c>
      <c r="BO220" s="683">
        <v>3252895</v>
      </c>
      <c r="BP220" s="683">
        <v>167198</v>
      </c>
      <c r="BQ220" s="683">
        <v>19074</v>
      </c>
      <c r="BR220" s="683">
        <v>9173.84</v>
      </c>
      <c r="BS220" s="683">
        <v>6234.74</v>
      </c>
      <c r="BT220" s="683">
        <v>1184930</v>
      </c>
      <c r="BU220" s="683">
        <v>672422</v>
      </c>
      <c r="BV220" s="683">
        <v>758746</v>
      </c>
      <c r="BW220" s="683">
        <v>478641</v>
      </c>
      <c r="BX220" s="1324">
        <v>0.4</v>
      </c>
    </row>
    <row r="221" spans="1:76">
      <c r="A221" s="160">
        <v>45133</v>
      </c>
      <c r="B221" s="250">
        <v>1070.19</v>
      </c>
      <c r="C221" s="250">
        <v>590.87199999999996</v>
      </c>
      <c r="D221" s="250">
        <v>6867.9</v>
      </c>
      <c r="E221" s="1312">
        <v>0</v>
      </c>
      <c r="F221" s="1014">
        <v>19165.2</v>
      </c>
      <c r="G221" s="1014">
        <v>5967.9</v>
      </c>
      <c r="H221" s="1014">
        <v>16450.8</v>
      </c>
      <c r="I221" s="1014">
        <v>8234.6</v>
      </c>
      <c r="J221" s="1014">
        <v>207629.3</v>
      </c>
      <c r="K221" s="683">
        <v>14964.5</v>
      </c>
      <c r="L221" s="683">
        <v>7011.1</v>
      </c>
      <c r="M221" s="1014">
        <v>46196.1</v>
      </c>
      <c r="N221" s="1014">
        <v>36751.4</v>
      </c>
      <c r="O221" s="1014">
        <v>138675</v>
      </c>
      <c r="P221" s="1014">
        <v>114998</v>
      </c>
      <c r="Q221" s="1014">
        <v>141205</v>
      </c>
      <c r="R221" s="1014">
        <v>96886</v>
      </c>
      <c r="S221" s="1014">
        <v>14063.6</v>
      </c>
      <c r="T221" s="1014">
        <v>10680.14</v>
      </c>
      <c r="U221" s="1014">
        <v>51642.565999999999</v>
      </c>
      <c r="V221" s="1014">
        <v>26618</v>
      </c>
      <c r="W221" s="1014">
        <v>213235.4</v>
      </c>
      <c r="X221" s="1014">
        <v>345.9</v>
      </c>
      <c r="Y221" s="1014">
        <v>50716</v>
      </c>
      <c r="Z221" s="1014">
        <v>605486.56000000006</v>
      </c>
      <c r="AA221" s="1014">
        <v>308271.88</v>
      </c>
      <c r="AB221" s="1014">
        <v>213255.3</v>
      </c>
      <c r="AC221" s="1014">
        <v>1112.4000000000001</v>
      </c>
      <c r="AD221" s="1081">
        <v>942</v>
      </c>
      <c r="AE221" s="1014">
        <v>180.07</v>
      </c>
      <c r="AF221" s="1014">
        <v>133.16999999999999</v>
      </c>
      <c r="AG221" s="1014">
        <v>83039.399999999994</v>
      </c>
      <c r="AH221" s="1014">
        <v>64187</v>
      </c>
      <c r="AI221" s="1014">
        <v>68974.100000000006</v>
      </c>
      <c r="AJ221" s="1014">
        <v>56305.5</v>
      </c>
      <c r="AK221" s="1014">
        <v>60353.599999999999</v>
      </c>
      <c r="AL221" s="1014">
        <v>23728.5</v>
      </c>
      <c r="AM221" s="250">
        <v>16.899999999999999</v>
      </c>
      <c r="AN221" s="422">
        <v>18.3</v>
      </c>
      <c r="AO221" s="1014">
        <v>506193</v>
      </c>
      <c r="AP221" s="1014">
        <v>233426</v>
      </c>
      <c r="AQ221" s="1014">
        <v>65540.3</v>
      </c>
      <c r="AR221" s="1014"/>
      <c r="AS221" s="1014">
        <v>472420.2</v>
      </c>
      <c r="AT221" s="1014">
        <v>207835.9</v>
      </c>
      <c r="AU221" s="1014">
        <v>81599</v>
      </c>
      <c r="AV221" s="1014">
        <v>4593.8999999999996</v>
      </c>
      <c r="AW221" s="1014">
        <v>3068</v>
      </c>
      <c r="AX221" s="683">
        <v>229.05</v>
      </c>
      <c r="AY221" s="683">
        <v>138.65</v>
      </c>
      <c r="AZ221" s="850">
        <v>825.51499999999999</v>
      </c>
      <c r="BA221" s="1105">
        <v>350.35199999999998</v>
      </c>
      <c r="BB221" s="657">
        <v>1829.5</v>
      </c>
      <c r="BC221" s="1014">
        <v>3169.1</v>
      </c>
      <c r="BD221" s="1014">
        <v>491.4</v>
      </c>
      <c r="BE221" s="1014">
        <v>5236</v>
      </c>
      <c r="BF221" s="1014">
        <v>31766</v>
      </c>
      <c r="BG221" s="1014">
        <v>9774</v>
      </c>
      <c r="BH221" s="1014">
        <v>5404</v>
      </c>
      <c r="BI221" s="683">
        <v>2715336</v>
      </c>
      <c r="BJ221" s="1014">
        <v>585</v>
      </c>
      <c r="BK221" s="1014">
        <v>21290.5</v>
      </c>
      <c r="BL221" s="250">
        <v>3508038</v>
      </c>
      <c r="BM221" s="250">
        <v>125965</v>
      </c>
      <c r="BN221" s="250">
        <v>21745.9</v>
      </c>
      <c r="BO221" s="683">
        <v>3252895</v>
      </c>
      <c r="BP221" s="683">
        <v>167198</v>
      </c>
      <c r="BQ221" s="683">
        <v>19074</v>
      </c>
      <c r="BR221" s="1014">
        <v>9180.6</v>
      </c>
      <c r="BS221" s="1014">
        <v>6239</v>
      </c>
      <c r="BT221" s="1014">
        <v>1186284</v>
      </c>
      <c r="BU221" s="1014">
        <v>673163</v>
      </c>
      <c r="BV221" s="1014">
        <v>758873</v>
      </c>
      <c r="BW221" s="1014">
        <v>478720</v>
      </c>
      <c r="BX221" s="1416">
        <v>0</v>
      </c>
    </row>
    <row r="222" spans="1:76">
      <c r="A222" s="160">
        <v>45134</v>
      </c>
      <c r="B222" s="250">
        <v>1070.19</v>
      </c>
      <c r="C222" s="250">
        <v>590.87199999999996</v>
      </c>
      <c r="D222" s="250">
        <v>6867.9</v>
      </c>
      <c r="E222" s="1312">
        <v>0</v>
      </c>
      <c r="F222" s="250">
        <v>19175.5</v>
      </c>
      <c r="G222" s="250">
        <v>5969.4</v>
      </c>
      <c r="H222" s="683">
        <v>16619</v>
      </c>
      <c r="I222" s="683">
        <v>8318</v>
      </c>
      <c r="J222" s="683">
        <v>207653.3</v>
      </c>
      <c r="K222" s="683">
        <v>14964.5</v>
      </c>
      <c r="L222" s="683">
        <v>7011.1</v>
      </c>
      <c r="M222" s="1014">
        <v>46196.1</v>
      </c>
      <c r="N222" s="1014">
        <v>36751.4</v>
      </c>
      <c r="O222" s="683">
        <v>138684</v>
      </c>
      <c r="P222" s="683">
        <v>115005</v>
      </c>
      <c r="Q222" s="683">
        <v>141219</v>
      </c>
      <c r="R222" s="683">
        <v>96896.7</v>
      </c>
      <c r="S222" s="1014">
        <v>14063.6</v>
      </c>
      <c r="T222" s="1014">
        <v>10680.14</v>
      </c>
      <c r="U222" s="683">
        <v>51792</v>
      </c>
      <c r="V222" s="683">
        <v>26694</v>
      </c>
      <c r="W222" s="683">
        <v>213259.4</v>
      </c>
      <c r="X222" s="1014">
        <v>345.9</v>
      </c>
      <c r="Y222" s="1014">
        <v>50716</v>
      </c>
      <c r="Z222" s="683">
        <v>605778</v>
      </c>
      <c r="AA222" s="683">
        <v>308416</v>
      </c>
      <c r="AB222" s="683">
        <v>213279.3</v>
      </c>
      <c r="AC222" s="1014">
        <v>1112.4000000000001</v>
      </c>
      <c r="AD222" s="1081">
        <v>942</v>
      </c>
      <c r="AE222" s="250">
        <v>183.2</v>
      </c>
      <c r="AF222" s="250">
        <v>135.5</v>
      </c>
      <c r="AG222" s="422">
        <v>83044.800000000003</v>
      </c>
      <c r="AH222" s="250">
        <v>64191</v>
      </c>
      <c r="AI222" s="683">
        <v>69014.7</v>
      </c>
      <c r="AJ222" s="683">
        <v>56340.7</v>
      </c>
      <c r="AK222" s="683">
        <v>60362</v>
      </c>
      <c r="AL222" s="683">
        <v>23731.8</v>
      </c>
      <c r="AM222" s="250">
        <v>16.899999999999999</v>
      </c>
      <c r="AN222" s="422">
        <v>18.3</v>
      </c>
      <c r="AO222" s="683">
        <v>506356</v>
      </c>
      <c r="AP222" s="683">
        <v>233501</v>
      </c>
      <c r="AQ222" s="683">
        <v>65545</v>
      </c>
      <c r="AR222" s="1014"/>
      <c r="AS222" s="683">
        <v>472564</v>
      </c>
      <c r="AT222" s="683">
        <v>207898</v>
      </c>
      <c r="AU222" s="683">
        <v>81623</v>
      </c>
      <c r="AV222" s="683">
        <v>4596.3999999999996</v>
      </c>
      <c r="AW222" s="683">
        <v>3069.6</v>
      </c>
      <c r="AX222" s="683">
        <v>229.05</v>
      </c>
      <c r="AY222" s="683">
        <v>138.65</v>
      </c>
      <c r="AZ222" s="850">
        <v>825.51499999999999</v>
      </c>
      <c r="BA222" s="1105">
        <v>350.35199999999998</v>
      </c>
      <c r="BB222" s="657">
        <v>1829.5</v>
      </c>
      <c r="BC222" s="683">
        <v>3171.5</v>
      </c>
      <c r="BD222" s="683">
        <v>491.5</v>
      </c>
      <c r="BE222" s="683">
        <v>5497</v>
      </c>
      <c r="BF222" s="683">
        <v>31897</v>
      </c>
      <c r="BG222" s="683">
        <v>9290</v>
      </c>
      <c r="BH222" s="683">
        <v>6358</v>
      </c>
      <c r="BI222" s="683">
        <v>2719000</v>
      </c>
      <c r="BJ222" s="250">
        <v>586</v>
      </c>
      <c r="BK222" s="250">
        <v>21314.5</v>
      </c>
      <c r="BL222" s="250">
        <v>3511408</v>
      </c>
      <c r="BM222" s="250">
        <v>126013</v>
      </c>
      <c r="BN222" s="250">
        <v>21769.9</v>
      </c>
      <c r="BO222" s="683">
        <v>3252895</v>
      </c>
      <c r="BP222" s="683">
        <v>167198</v>
      </c>
      <c r="BQ222" s="683">
        <v>19074</v>
      </c>
      <c r="BR222" s="683">
        <v>9187.5</v>
      </c>
      <c r="BS222" s="683">
        <v>6243.2</v>
      </c>
      <c r="BT222" s="683">
        <v>1187435</v>
      </c>
      <c r="BU222" s="683">
        <v>673790</v>
      </c>
      <c r="BV222" s="683">
        <v>759064</v>
      </c>
      <c r="BW222" s="683">
        <v>478839</v>
      </c>
      <c r="BX222" s="1324">
        <v>0</v>
      </c>
    </row>
    <row r="223" spans="1:76">
      <c r="A223" s="160">
        <v>45135</v>
      </c>
      <c r="B223" s="250">
        <v>1070.19</v>
      </c>
      <c r="C223" s="250">
        <v>590.87199999999996</v>
      </c>
      <c r="D223" s="250">
        <v>6867.9</v>
      </c>
      <c r="E223" s="1312">
        <v>0</v>
      </c>
      <c r="F223" s="250">
        <v>19185.7</v>
      </c>
      <c r="G223" s="250">
        <v>5970.8</v>
      </c>
      <c r="H223" s="683">
        <v>16783</v>
      </c>
      <c r="I223" s="683">
        <v>8399</v>
      </c>
      <c r="J223" s="683">
        <v>207677.3</v>
      </c>
      <c r="K223" s="683">
        <v>14964.6</v>
      </c>
      <c r="L223" s="683">
        <v>7011.1</v>
      </c>
      <c r="M223" s="1014">
        <v>46196.1</v>
      </c>
      <c r="N223" s="1014">
        <v>36751.4</v>
      </c>
      <c r="O223" s="683">
        <v>138694</v>
      </c>
      <c r="P223" s="683">
        <v>115013</v>
      </c>
      <c r="Q223" s="683">
        <v>141233</v>
      </c>
      <c r="R223" s="683">
        <v>96906.4</v>
      </c>
      <c r="S223" s="1014">
        <v>14063.6</v>
      </c>
      <c r="T223" s="1014">
        <v>10680.14</v>
      </c>
      <c r="U223" s="683">
        <v>51939</v>
      </c>
      <c r="V223" s="683">
        <v>26769</v>
      </c>
      <c r="W223" s="683">
        <v>213283.4</v>
      </c>
      <c r="X223" s="1014">
        <v>345.9</v>
      </c>
      <c r="Y223" s="1014">
        <v>50716</v>
      </c>
      <c r="Z223" s="683">
        <v>606055</v>
      </c>
      <c r="AA223" s="683">
        <v>308552</v>
      </c>
      <c r="AB223" s="683">
        <v>213303.3</v>
      </c>
      <c r="AC223" s="1014">
        <v>1112.4000000000001</v>
      </c>
      <c r="AD223" s="1081">
        <v>942</v>
      </c>
      <c r="AE223" s="250">
        <v>186.4</v>
      </c>
      <c r="AF223" s="250">
        <v>137.9</v>
      </c>
      <c r="AG223" s="422">
        <v>83052</v>
      </c>
      <c r="AH223" s="250">
        <v>64196.3</v>
      </c>
      <c r="AI223" s="683">
        <v>69053.100000000006</v>
      </c>
      <c r="AJ223" s="683">
        <v>56373.9</v>
      </c>
      <c r="AK223" s="683">
        <v>60374.8</v>
      </c>
      <c r="AL223" s="683">
        <v>23736.799999999999</v>
      </c>
      <c r="AM223" s="250">
        <v>16.899999999999999</v>
      </c>
      <c r="AN223" s="422">
        <v>18.3</v>
      </c>
      <c r="AO223" s="683">
        <v>506503</v>
      </c>
      <c r="AP223" s="683">
        <v>233569</v>
      </c>
      <c r="AQ223" s="683">
        <v>65550</v>
      </c>
      <c r="AR223" s="1014"/>
      <c r="AS223" s="683">
        <v>472693</v>
      </c>
      <c r="AT223" s="683">
        <v>207954</v>
      </c>
      <c r="AU223" s="683">
        <v>81644.3</v>
      </c>
      <c r="AV223" s="683">
        <v>4598.8</v>
      </c>
      <c r="AW223" s="683">
        <v>3071.2</v>
      </c>
      <c r="AX223" s="850">
        <v>229.14</v>
      </c>
      <c r="AY223" s="850">
        <v>138.69</v>
      </c>
      <c r="AZ223" s="850">
        <v>825.51499999999999</v>
      </c>
      <c r="BA223" s="1105">
        <v>350.35199999999998</v>
      </c>
      <c r="BB223" s="657">
        <v>1829.5</v>
      </c>
      <c r="BC223" s="683">
        <v>3173.9</v>
      </c>
      <c r="BD223" s="683">
        <v>491.6</v>
      </c>
      <c r="BE223" s="683">
        <v>5472.75</v>
      </c>
      <c r="BF223" s="683">
        <v>32732.273684210501</v>
      </c>
      <c r="BG223" s="1014">
        <v>9357.0008577812096</v>
      </c>
      <c r="BH223" s="683">
        <v>5944.84</v>
      </c>
      <c r="BI223" s="683">
        <v>2722800</v>
      </c>
      <c r="BJ223" s="250">
        <v>587</v>
      </c>
      <c r="BK223" s="250">
        <v>21338.5</v>
      </c>
      <c r="BL223" s="250">
        <v>3514710</v>
      </c>
      <c r="BM223" s="250">
        <v>126057</v>
      </c>
      <c r="BN223" s="250">
        <v>21793.9</v>
      </c>
      <c r="BO223" s="683">
        <v>3252895</v>
      </c>
      <c r="BP223" s="683">
        <v>167198</v>
      </c>
      <c r="BQ223" s="683">
        <v>19074</v>
      </c>
      <c r="BR223" s="683">
        <v>9194.2000000000007</v>
      </c>
      <c r="BS223" s="683">
        <v>6247.5</v>
      </c>
      <c r="BT223" s="683">
        <v>1188590</v>
      </c>
      <c r="BU223" s="683">
        <v>674426</v>
      </c>
      <c r="BV223" s="683">
        <v>759363</v>
      </c>
      <c r="BW223" s="683">
        <v>479022</v>
      </c>
      <c r="BX223" s="1324">
        <v>0</v>
      </c>
    </row>
    <row r="224" spans="1:76">
      <c r="A224" s="160">
        <v>45136</v>
      </c>
      <c r="B224" s="250">
        <v>1070.19</v>
      </c>
      <c r="C224" s="250">
        <v>590.87199999999996</v>
      </c>
      <c r="D224" s="250">
        <v>6867.9</v>
      </c>
      <c r="E224" s="1312">
        <v>0</v>
      </c>
      <c r="F224" s="250">
        <v>19194.900000000001</v>
      </c>
      <c r="G224" s="250">
        <v>5972.2</v>
      </c>
      <c r="H224" s="683">
        <v>16949</v>
      </c>
      <c r="I224" s="683">
        <v>8481</v>
      </c>
      <c r="J224" s="683">
        <v>207701.3</v>
      </c>
      <c r="K224" s="683">
        <v>14964.6</v>
      </c>
      <c r="L224" s="683">
        <v>7011.1</v>
      </c>
      <c r="M224" s="1014">
        <v>46196.1</v>
      </c>
      <c r="N224" s="1014">
        <v>36751.4</v>
      </c>
      <c r="O224" s="683">
        <v>138704</v>
      </c>
      <c r="P224" s="683">
        <v>115021</v>
      </c>
      <c r="Q224" s="683">
        <v>141247</v>
      </c>
      <c r="R224" s="683">
        <v>96916.2</v>
      </c>
      <c r="S224" s="1014">
        <v>14063.6</v>
      </c>
      <c r="T224" s="1014">
        <v>10680.14</v>
      </c>
      <c r="U224" s="683">
        <v>52086</v>
      </c>
      <c r="V224" s="683">
        <v>26846</v>
      </c>
      <c r="W224" s="683">
        <v>213307.4</v>
      </c>
      <c r="X224" s="1014">
        <v>345.9</v>
      </c>
      <c r="Y224" s="1014">
        <v>50716</v>
      </c>
      <c r="Z224" s="683">
        <v>606350</v>
      </c>
      <c r="AA224" s="683">
        <v>308697</v>
      </c>
      <c r="AB224" s="683">
        <v>213327.3</v>
      </c>
      <c r="AC224" s="1014">
        <v>1112.4000000000001</v>
      </c>
      <c r="AD224" s="1081">
        <v>942</v>
      </c>
      <c r="AE224" s="250">
        <v>189.7</v>
      </c>
      <c r="AF224" s="250">
        <v>140.30000000000001</v>
      </c>
      <c r="AG224" s="422">
        <v>83060.800000000003</v>
      </c>
      <c r="AH224" s="250">
        <v>64202.9</v>
      </c>
      <c r="AI224" s="683">
        <v>69090.399999999994</v>
      </c>
      <c r="AJ224" s="683">
        <v>56406.400000000001</v>
      </c>
      <c r="AK224" s="683">
        <v>60388.6</v>
      </c>
      <c r="AL224" s="683">
        <v>23742.3</v>
      </c>
      <c r="AM224" s="250">
        <v>16.899999999999999</v>
      </c>
      <c r="AN224" s="422">
        <v>18.3</v>
      </c>
      <c r="AO224" s="683">
        <v>506670</v>
      </c>
      <c r="AP224" s="683">
        <v>233645</v>
      </c>
      <c r="AQ224" s="683">
        <v>65554</v>
      </c>
      <c r="AR224" s="1014"/>
      <c r="AS224" s="683">
        <v>472839</v>
      </c>
      <c r="AT224" s="683">
        <v>208017</v>
      </c>
      <c r="AU224" s="683">
        <v>81668.3</v>
      </c>
      <c r="AV224" s="683">
        <v>4601.1000000000004</v>
      </c>
      <c r="AW224" s="683">
        <v>3072.6</v>
      </c>
      <c r="AX224" s="850">
        <v>229.14</v>
      </c>
      <c r="AY224" s="850">
        <v>138.69</v>
      </c>
      <c r="AZ224" s="850">
        <v>825.51499999999999</v>
      </c>
      <c r="BA224" s="1105">
        <v>350.35199999999998</v>
      </c>
      <c r="BB224" s="657">
        <v>1829.5</v>
      </c>
      <c r="BC224" s="683">
        <v>3176.2</v>
      </c>
      <c r="BD224" s="683">
        <v>491.6</v>
      </c>
      <c r="BE224" s="683">
        <v>5683.53</v>
      </c>
      <c r="BF224" s="683">
        <v>32687.6052631579</v>
      </c>
      <c r="BG224" s="1014">
        <v>9153.2049028461406</v>
      </c>
      <c r="BH224" s="683">
        <v>6384.64</v>
      </c>
      <c r="BI224" s="683">
        <v>2726800</v>
      </c>
      <c r="BJ224" s="250">
        <v>588</v>
      </c>
      <c r="BK224" s="250">
        <v>21362.5</v>
      </c>
      <c r="BL224" s="250">
        <v>3517945</v>
      </c>
      <c r="BM224" s="250">
        <v>126093</v>
      </c>
      <c r="BN224" s="250">
        <v>21817.9</v>
      </c>
      <c r="BO224" s="683">
        <v>3252895</v>
      </c>
      <c r="BP224" s="683">
        <v>167198</v>
      </c>
      <c r="BQ224" s="683">
        <v>19074</v>
      </c>
      <c r="BR224" s="683">
        <v>9199.5</v>
      </c>
      <c r="BS224" s="683">
        <v>6251.1</v>
      </c>
      <c r="BT224" s="683">
        <v>1189785</v>
      </c>
      <c r="BU224" s="683">
        <v>675083</v>
      </c>
      <c r="BV224" s="683">
        <v>759515</v>
      </c>
      <c r="BW224" s="683">
        <v>479123</v>
      </c>
      <c r="BX224" s="1324">
        <v>0</v>
      </c>
    </row>
    <row r="225" spans="1:76">
      <c r="A225" s="160">
        <v>45137</v>
      </c>
      <c r="B225" s="250">
        <v>1070.19</v>
      </c>
      <c r="C225" s="250">
        <v>590.87199999999996</v>
      </c>
      <c r="D225" s="250">
        <v>6867.9</v>
      </c>
      <c r="E225" s="1312">
        <v>0</v>
      </c>
      <c r="F225" s="250">
        <v>19204.3</v>
      </c>
      <c r="G225" s="250">
        <v>5973.6</v>
      </c>
      <c r="H225" s="683">
        <v>17115</v>
      </c>
      <c r="I225" s="683">
        <v>8563</v>
      </c>
      <c r="J225" s="683">
        <v>207725.3</v>
      </c>
      <c r="K225" s="250">
        <v>14964.7</v>
      </c>
      <c r="L225" s="250">
        <v>7011.2</v>
      </c>
      <c r="M225" s="1014">
        <v>46196.1</v>
      </c>
      <c r="N225" s="1014">
        <v>36751.4</v>
      </c>
      <c r="O225" s="683">
        <v>138714</v>
      </c>
      <c r="P225" s="683">
        <v>115029</v>
      </c>
      <c r="Q225" s="683">
        <v>141261</v>
      </c>
      <c r="R225" s="683">
        <v>96926.1</v>
      </c>
      <c r="S225" s="1014">
        <v>14063.6</v>
      </c>
      <c r="T225" s="1014">
        <v>10680.14</v>
      </c>
      <c r="U225" s="683">
        <v>52236</v>
      </c>
      <c r="V225" s="683">
        <v>26920</v>
      </c>
      <c r="W225" s="683">
        <v>213331.4</v>
      </c>
      <c r="X225" s="1014">
        <v>345.9</v>
      </c>
      <c r="Y225" s="1014">
        <v>50716</v>
      </c>
      <c r="Z225" s="683">
        <v>606644</v>
      </c>
      <c r="AA225" s="683">
        <v>308846</v>
      </c>
      <c r="AB225" s="683">
        <v>213351.3</v>
      </c>
      <c r="AC225" s="1014">
        <v>1112.4000000000001</v>
      </c>
      <c r="AD225" s="1081">
        <v>942</v>
      </c>
      <c r="AE225" s="250">
        <v>192.9</v>
      </c>
      <c r="AF225" s="250">
        <v>142.80000000000001</v>
      </c>
      <c r="AG225" s="422">
        <v>83069.7</v>
      </c>
      <c r="AH225" s="250">
        <v>64209.599999999999</v>
      </c>
      <c r="AI225" s="683">
        <v>69128.3</v>
      </c>
      <c r="AJ225" s="683">
        <v>56439.4</v>
      </c>
      <c r="AK225" s="683">
        <v>60400.800000000003</v>
      </c>
      <c r="AL225" s="683">
        <v>23746.7</v>
      </c>
      <c r="AM225" s="250">
        <v>16.899999999999999</v>
      </c>
      <c r="AN225" s="422">
        <v>18.3</v>
      </c>
      <c r="AO225" s="683">
        <v>506836</v>
      </c>
      <c r="AP225" s="683">
        <v>233722</v>
      </c>
      <c r="AQ225" s="683">
        <v>65558</v>
      </c>
      <c r="AR225" s="1014"/>
      <c r="AS225" s="683">
        <v>472986</v>
      </c>
      <c r="AT225" s="683">
        <v>208081</v>
      </c>
      <c r="AU225" s="683">
        <v>81692.3</v>
      </c>
      <c r="AV225" s="683">
        <v>4603.6000000000004</v>
      </c>
      <c r="AW225" s="683">
        <v>3074.2</v>
      </c>
      <c r="AX225" s="850">
        <v>229.14</v>
      </c>
      <c r="AY225" s="850">
        <v>138.69</v>
      </c>
      <c r="AZ225" s="850">
        <v>825.51499999999999</v>
      </c>
      <c r="BA225" s="1105">
        <v>350.35199999999998</v>
      </c>
      <c r="BB225" s="657">
        <v>1829.5</v>
      </c>
      <c r="BC225" s="683">
        <v>3178.6</v>
      </c>
      <c r="BD225" s="683">
        <v>491.7</v>
      </c>
      <c r="BE225" s="683">
        <v>5310.11</v>
      </c>
      <c r="BF225" s="683">
        <v>30299.1175438596</v>
      </c>
      <c r="BG225" s="1014">
        <v>9028.5038662954794</v>
      </c>
      <c r="BH225" s="683">
        <v>5715.01</v>
      </c>
      <c r="BI225" s="683">
        <v>2730400</v>
      </c>
      <c r="BJ225" s="250">
        <v>589</v>
      </c>
      <c r="BK225" s="250">
        <v>21386.5</v>
      </c>
      <c r="BL225" s="250">
        <v>3521304</v>
      </c>
      <c r="BM225" s="250">
        <v>126133</v>
      </c>
      <c r="BN225" s="250">
        <v>21841.9</v>
      </c>
      <c r="BO225" s="683">
        <v>3252895</v>
      </c>
      <c r="BP225" s="683">
        <v>167198</v>
      </c>
      <c r="BQ225" s="683">
        <v>19074</v>
      </c>
      <c r="BR225" s="683">
        <v>9204.9</v>
      </c>
      <c r="BS225" s="683">
        <v>6254.9</v>
      </c>
      <c r="BT225" s="683">
        <v>1190969</v>
      </c>
      <c r="BU225" s="683">
        <v>675736</v>
      </c>
      <c r="BV225" s="683">
        <v>759729</v>
      </c>
      <c r="BW225" s="683">
        <v>479260</v>
      </c>
      <c r="BX225" s="1324">
        <v>0</v>
      </c>
    </row>
    <row r="226" spans="1:76">
      <c r="A226" s="160">
        <v>45138</v>
      </c>
      <c r="B226" s="250">
        <v>1070.6030000000001</v>
      </c>
      <c r="C226" s="250">
        <v>591.077</v>
      </c>
      <c r="D226" s="250">
        <v>6868.7</v>
      </c>
      <c r="E226" s="1312">
        <v>1</v>
      </c>
      <c r="F226" s="250">
        <v>19213.3</v>
      </c>
      <c r="G226" s="250">
        <v>5974.9</v>
      </c>
      <c r="H226" s="683">
        <v>17277</v>
      </c>
      <c r="I226" s="683">
        <v>8644</v>
      </c>
      <c r="J226" s="683">
        <v>207749.3</v>
      </c>
      <c r="K226" s="250">
        <v>14964.9</v>
      </c>
      <c r="L226" s="250">
        <v>7011.2</v>
      </c>
      <c r="M226" s="1014">
        <v>46196.1</v>
      </c>
      <c r="N226" s="1014">
        <v>36751.4</v>
      </c>
      <c r="O226" s="683">
        <v>138722</v>
      </c>
      <c r="P226" s="683">
        <v>115036</v>
      </c>
      <c r="Q226" s="683">
        <v>141276</v>
      </c>
      <c r="R226" s="683">
        <v>96935.7</v>
      </c>
      <c r="S226" s="1014">
        <v>14063.6</v>
      </c>
      <c r="T226" s="1014">
        <v>10680.14</v>
      </c>
      <c r="U226" s="683">
        <v>52382</v>
      </c>
      <c r="V226" s="683">
        <v>26992</v>
      </c>
      <c r="W226" s="683">
        <v>213355.4</v>
      </c>
      <c r="X226" s="1014">
        <v>345.9</v>
      </c>
      <c r="Y226" s="1014">
        <v>50716</v>
      </c>
      <c r="Z226" s="683">
        <v>606918</v>
      </c>
      <c r="AA226" s="683">
        <v>308984</v>
      </c>
      <c r="AB226" s="683">
        <v>213375.3</v>
      </c>
      <c r="AC226" s="1014">
        <v>1112.4000000000001</v>
      </c>
      <c r="AD226" s="1081">
        <v>942</v>
      </c>
      <c r="AE226" s="250">
        <v>196.1</v>
      </c>
      <c r="AF226" s="250">
        <v>145.19999999999999</v>
      </c>
      <c r="AG226" s="422">
        <v>83077</v>
      </c>
      <c r="AH226" s="250">
        <v>64214.9</v>
      </c>
      <c r="AI226" s="683">
        <v>69164.899999999994</v>
      </c>
      <c r="AJ226" s="683">
        <v>56471.1</v>
      </c>
      <c r="AK226" s="683">
        <v>60402.1</v>
      </c>
      <c r="AL226" s="683">
        <v>23747.200000000001</v>
      </c>
      <c r="AM226" s="250">
        <v>16.899999999999999</v>
      </c>
      <c r="AN226" s="422">
        <v>18.3</v>
      </c>
      <c r="AO226" s="683">
        <v>506999</v>
      </c>
      <c r="AP226" s="683">
        <v>233797</v>
      </c>
      <c r="AQ226" s="683">
        <v>65562</v>
      </c>
      <c r="AR226" s="1014"/>
      <c r="AS226" s="683">
        <v>473131</v>
      </c>
      <c r="AT226" s="683">
        <v>208144</v>
      </c>
      <c r="AU226" s="683">
        <v>81716.3</v>
      </c>
      <c r="AV226" s="683">
        <v>4605.6000000000004</v>
      </c>
      <c r="AW226" s="683">
        <v>3075.5</v>
      </c>
      <c r="AX226" s="850">
        <v>229.14</v>
      </c>
      <c r="AY226" s="850">
        <v>138.69</v>
      </c>
      <c r="AZ226" s="850">
        <v>825.92399999999998</v>
      </c>
      <c r="BA226" s="1105">
        <v>350.50799999999998</v>
      </c>
      <c r="BB226" s="657">
        <v>1830.1</v>
      </c>
      <c r="BC226" s="683">
        <v>3180.8</v>
      </c>
      <c r="BD226" s="683">
        <v>491.8</v>
      </c>
      <c r="BE226" s="683">
        <v>5490.52</v>
      </c>
      <c r="BF226" s="683">
        <v>32451.491228070176</v>
      </c>
      <c r="BG226" s="1014">
        <v>9398.1142906340501</v>
      </c>
      <c r="BH226" s="683">
        <v>4841.1400000000003</v>
      </c>
      <c r="BI226" s="683">
        <v>2733800</v>
      </c>
      <c r="BJ226" s="250">
        <v>590</v>
      </c>
      <c r="BK226" s="250">
        <v>21410.5</v>
      </c>
      <c r="BL226" s="250">
        <v>3524623</v>
      </c>
      <c r="BM226" s="250">
        <v>126177</v>
      </c>
      <c r="BN226" s="250">
        <v>21865.9</v>
      </c>
      <c r="BO226" s="683">
        <v>3252895</v>
      </c>
      <c r="BP226" s="683">
        <v>167198</v>
      </c>
      <c r="BQ226" s="683">
        <v>19074</v>
      </c>
      <c r="BR226" s="683">
        <v>9210.2999999999993</v>
      </c>
      <c r="BS226" s="683">
        <v>6258.6</v>
      </c>
      <c r="BT226" s="683">
        <v>1192254</v>
      </c>
      <c r="BU226" s="683">
        <v>676442</v>
      </c>
      <c r="BV226" s="683">
        <v>759848</v>
      </c>
      <c r="BW226" s="683">
        <v>479336</v>
      </c>
      <c r="BX226" s="1324">
        <v>1</v>
      </c>
    </row>
    <row r="227" spans="1:76">
      <c r="A227" s="182"/>
      <c r="B227" s="187"/>
      <c r="C227" s="187"/>
      <c r="D227" s="187"/>
      <c r="E227" s="1402"/>
      <c r="F227" s="187"/>
      <c r="G227" s="187"/>
      <c r="H227" s="187"/>
      <c r="I227" s="187"/>
      <c r="J227" s="187"/>
      <c r="K227" s="187"/>
      <c r="L227" s="187"/>
      <c r="M227" s="187"/>
      <c r="N227" s="187"/>
      <c r="O227" s="187"/>
      <c r="P227" s="187"/>
      <c r="Q227" s="187"/>
      <c r="R227" s="187"/>
      <c r="S227" s="187"/>
      <c r="T227" s="187"/>
      <c r="U227" s="187"/>
      <c r="V227" s="187"/>
      <c r="W227" s="187"/>
      <c r="X227" s="187"/>
      <c r="Y227" s="187"/>
      <c r="Z227" s="187"/>
      <c r="AA227" s="187"/>
      <c r="AB227" s="187"/>
      <c r="AC227" s="187"/>
      <c r="AD227" s="187"/>
      <c r="AE227" s="187"/>
      <c r="AF227" s="187"/>
      <c r="AG227" s="187"/>
      <c r="AH227" s="187"/>
      <c r="AI227" s="187"/>
      <c r="AJ227" s="187"/>
      <c r="AK227" s="187"/>
      <c r="AL227" s="187"/>
      <c r="AM227" s="187"/>
      <c r="AN227" s="187"/>
      <c r="AO227" s="187"/>
      <c r="AP227" s="187"/>
      <c r="AQ227" s="187"/>
      <c r="AR227" s="187"/>
      <c r="AS227" s="187"/>
      <c r="AT227" s="187"/>
      <c r="AU227" s="187"/>
      <c r="AV227" s="187"/>
      <c r="AW227" s="187"/>
      <c r="AX227" s="187"/>
      <c r="AY227" s="187"/>
      <c r="AZ227" s="187"/>
      <c r="BA227" s="187"/>
      <c r="BB227" s="1796"/>
      <c r="BC227" s="187"/>
      <c r="BD227" s="187"/>
      <c r="BE227" s="187"/>
      <c r="BF227" s="187"/>
      <c r="BG227" s="187"/>
      <c r="BH227" s="187"/>
      <c r="BI227" s="187"/>
      <c r="BJ227" s="187"/>
      <c r="BK227" s="187"/>
      <c r="BL227" s="187"/>
      <c r="BM227" s="187"/>
      <c r="BN227" s="187"/>
      <c r="BO227" s="187"/>
      <c r="BP227" s="187"/>
      <c r="BQ227" s="187"/>
      <c r="BR227" s="187"/>
      <c r="BS227" s="187"/>
      <c r="BT227" s="187"/>
      <c r="BU227" s="187"/>
      <c r="BV227" s="187"/>
      <c r="BW227" s="187"/>
      <c r="BX227" s="1409"/>
    </row>
    <row r="228" spans="1:76">
      <c r="A228" s="160">
        <v>45138</v>
      </c>
      <c r="B228" s="250">
        <v>1070.6030000000001</v>
      </c>
      <c r="C228" s="250">
        <v>591.077</v>
      </c>
      <c r="D228" s="250">
        <v>6868.7</v>
      </c>
      <c r="E228" s="1317">
        <v>1</v>
      </c>
      <c r="F228" s="250">
        <v>19213.3</v>
      </c>
      <c r="G228" s="250">
        <v>5974.9</v>
      </c>
      <c r="H228" s="683">
        <v>17277</v>
      </c>
      <c r="I228" s="683">
        <v>8644</v>
      </c>
      <c r="J228" s="683">
        <v>207749.3</v>
      </c>
      <c r="K228" s="250">
        <v>14964.9</v>
      </c>
      <c r="L228" s="250">
        <v>7011.2</v>
      </c>
      <c r="M228" s="683">
        <v>46196.1</v>
      </c>
      <c r="N228" s="683">
        <v>36751.4</v>
      </c>
      <c r="O228" s="683">
        <v>138722</v>
      </c>
      <c r="P228" s="683">
        <v>115036</v>
      </c>
      <c r="Q228" s="683">
        <v>141276</v>
      </c>
      <c r="R228" s="683">
        <v>96935.7</v>
      </c>
      <c r="S228" s="250">
        <v>14063.6</v>
      </c>
      <c r="T228" s="250">
        <v>10680.14</v>
      </c>
      <c r="U228" s="683">
        <v>52382</v>
      </c>
      <c r="V228" s="683">
        <v>26992</v>
      </c>
      <c r="W228" s="683">
        <v>213355.4</v>
      </c>
      <c r="X228" s="250">
        <v>345.9</v>
      </c>
      <c r="Y228" s="250">
        <v>50716</v>
      </c>
      <c r="Z228" s="683">
        <v>606918</v>
      </c>
      <c r="AA228" s="683">
        <v>308984</v>
      </c>
      <c r="AB228" s="683">
        <v>213375.3</v>
      </c>
      <c r="AC228" s="250">
        <v>1112.4000000000001</v>
      </c>
      <c r="AD228" s="251">
        <v>942</v>
      </c>
      <c r="AE228" s="250">
        <v>196.1</v>
      </c>
      <c r="AF228" s="250">
        <v>145.19999999999999</v>
      </c>
      <c r="AG228" s="422">
        <v>83077</v>
      </c>
      <c r="AH228" s="250">
        <v>64214.9</v>
      </c>
      <c r="AI228" s="683">
        <v>69164.899999999994</v>
      </c>
      <c r="AJ228" s="683">
        <v>56471.1</v>
      </c>
      <c r="AK228" s="683">
        <v>60402.1</v>
      </c>
      <c r="AL228" s="683">
        <v>23747.200000000001</v>
      </c>
      <c r="AM228" s="250">
        <v>16.899999999999999</v>
      </c>
      <c r="AN228" s="422">
        <v>18.3</v>
      </c>
      <c r="AO228" s="683">
        <v>506999</v>
      </c>
      <c r="AP228" s="683">
        <v>233797</v>
      </c>
      <c r="AQ228" s="683">
        <v>65562</v>
      </c>
      <c r="AR228" s="1014"/>
      <c r="AS228" s="683">
        <v>473131</v>
      </c>
      <c r="AT228" s="683">
        <v>208144</v>
      </c>
      <c r="AU228" s="683">
        <v>81716.3</v>
      </c>
      <c r="AV228" s="683">
        <v>4605.6000000000004</v>
      </c>
      <c r="AW228" s="683">
        <v>3075.5</v>
      </c>
      <c r="AX228" s="850">
        <v>229.14</v>
      </c>
      <c r="AY228" s="850">
        <v>138.69</v>
      </c>
      <c r="AZ228" s="850">
        <v>825.92399999999998</v>
      </c>
      <c r="BA228" s="1105">
        <v>350.50799999999998</v>
      </c>
      <c r="BB228" s="1089">
        <v>1830.1</v>
      </c>
      <c r="BC228" s="683">
        <v>3180.8</v>
      </c>
      <c r="BD228" s="683">
        <v>491.8</v>
      </c>
      <c r="BE228" s="683">
        <v>5490.52</v>
      </c>
      <c r="BF228" s="683">
        <v>32451.491228070176</v>
      </c>
      <c r="BG228" s="1014">
        <v>9398.1142906340501</v>
      </c>
      <c r="BH228" s="683">
        <v>4841.1400000000003</v>
      </c>
      <c r="BI228" s="250">
        <v>2733800</v>
      </c>
      <c r="BJ228" s="250">
        <v>590</v>
      </c>
      <c r="BK228" s="250">
        <v>21410.5</v>
      </c>
      <c r="BL228" s="250">
        <v>3524623</v>
      </c>
      <c r="BM228" s="250">
        <v>126177</v>
      </c>
      <c r="BN228" s="250">
        <v>21865.9</v>
      </c>
      <c r="BO228" s="1014">
        <v>3252895</v>
      </c>
      <c r="BP228" s="1014">
        <v>167198</v>
      </c>
      <c r="BQ228" s="1014">
        <v>19074</v>
      </c>
      <c r="BR228" s="683">
        <v>9210.2999999999993</v>
      </c>
      <c r="BS228" s="683">
        <v>6258.6</v>
      </c>
      <c r="BT228" s="683">
        <v>1192254</v>
      </c>
      <c r="BU228" s="683">
        <v>676442</v>
      </c>
      <c r="BV228" s="683">
        <v>759848</v>
      </c>
      <c r="BW228" s="683">
        <v>479336</v>
      </c>
      <c r="BX228" s="1324">
        <v>1</v>
      </c>
    </row>
    <row r="229" spans="1:76">
      <c r="A229" s="160">
        <v>45139</v>
      </c>
      <c r="B229" s="250">
        <v>1070.6030000000001</v>
      </c>
      <c r="C229" s="250">
        <v>591.077</v>
      </c>
      <c r="D229" s="250">
        <v>6868.7</v>
      </c>
      <c r="E229" s="1317">
        <v>0</v>
      </c>
      <c r="F229" s="250">
        <v>19222.599999999999</v>
      </c>
      <c r="G229" s="250">
        <v>5976.2</v>
      </c>
      <c r="H229" s="683">
        <v>17443</v>
      </c>
      <c r="I229" s="683">
        <v>8726</v>
      </c>
      <c r="J229" s="683">
        <v>207773.3</v>
      </c>
      <c r="K229" s="250">
        <v>14965</v>
      </c>
      <c r="L229" s="250">
        <v>7011.2</v>
      </c>
      <c r="M229" s="683">
        <v>46196.1</v>
      </c>
      <c r="N229" s="683">
        <v>36751.4</v>
      </c>
      <c r="O229" s="683">
        <v>138734</v>
      </c>
      <c r="P229" s="683">
        <v>115044</v>
      </c>
      <c r="Q229" s="683">
        <v>141291</v>
      </c>
      <c r="R229" s="683">
        <v>96945.8</v>
      </c>
      <c r="S229" s="250">
        <v>14063.6</v>
      </c>
      <c r="T229" s="250">
        <v>10680.14</v>
      </c>
      <c r="U229" s="683">
        <v>52531</v>
      </c>
      <c r="V229" s="683">
        <v>27067</v>
      </c>
      <c r="W229" s="683">
        <v>213379.4</v>
      </c>
      <c r="X229" s="250">
        <v>345.9</v>
      </c>
      <c r="Y229" s="250">
        <v>50716</v>
      </c>
      <c r="Z229" s="683">
        <v>607213</v>
      </c>
      <c r="AA229" s="683">
        <v>309131</v>
      </c>
      <c r="AB229" s="683">
        <v>213399.3</v>
      </c>
      <c r="AC229" s="250">
        <v>1112.4000000000001</v>
      </c>
      <c r="AD229" s="251">
        <v>942</v>
      </c>
      <c r="AE229" s="250">
        <v>199.5</v>
      </c>
      <c r="AF229" s="250">
        <v>147.6</v>
      </c>
      <c r="AG229" s="422">
        <v>83081.3</v>
      </c>
      <c r="AH229" s="250">
        <v>64218.3</v>
      </c>
      <c r="AI229" s="683">
        <v>69202</v>
      </c>
      <c r="AJ229" s="683">
        <v>56503.4</v>
      </c>
      <c r="AK229" s="683">
        <v>60418.3</v>
      </c>
      <c r="AL229" s="683">
        <v>23753.599999999999</v>
      </c>
      <c r="AM229" s="250">
        <v>16.899999999999999</v>
      </c>
      <c r="AN229" s="422">
        <v>18.3</v>
      </c>
      <c r="AO229" s="683">
        <v>507167</v>
      </c>
      <c r="AP229" s="683">
        <v>233875</v>
      </c>
      <c r="AQ229" s="683">
        <v>65567</v>
      </c>
      <c r="AR229" s="1014"/>
      <c r="AS229" s="683">
        <v>473280</v>
      </c>
      <c r="AT229" s="683">
        <v>208208</v>
      </c>
      <c r="AU229" s="683">
        <v>81740.3</v>
      </c>
      <c r="AV229" s="683">
        <v>4607.8999999999996</v>
      </c>
      <c r="AW229" s="683">
        <v>3077</v>
      </c>
      <c r="AX229" s="683">
        <v>229.18</v>
      </c>
      <c r="AY229" s="683">
        <v>138.71</v>
      </c>
      <c r="AZ229" s="850">
        <v>825.92399999999998</v>
      </c>
      <c r="BA229" s="1105">
        <v>350.50799999999998</v>
      </c>
      <c r="BB229" s="1089">
        <v>1830.1</v>
      </c>
      <c r="BC229" s="683">
        <v>3182.8</v>
      </c>
      <c r="BD229" s="683">
        <v>491.9</v>
      </c>
      <c r="BE229" s="683">
        <v>5215.21</v>
      </c>
      <c r="BF229" s="683">
        <v>32767.029824561399</v>
      </c>
      <c r="BG229" s="1014">
        <v>8250.6288807026503</v>
      </c>
      <c r="BH229" s="683">
        <v>5554.89</v>
      </c>
      <c r="BI229" s="250">
        <v>2737200</v>
      </c>
      <c r="BJ229" s="250">
        <v>591</v>
      </c>
      <c r="BK229" s="250">
        <v>21434.5</v>
      </c>
      <c r="BL229" s="250">
        <v>3528011</v>
      </c>
      <c r="BM229" s="250">
        <v>126235</v>
      </c>
      <c r="BN229" s="250">
        <v>21889.9</v>
      </c>
      <c r="BO229" s="1014">
        <v>3252895</v>
      </c>
      <c r="BP229" s="1014">
        <v>167198</v>
      </c>
      <c r="BQ229" s="1014">
        <v>19074</v>
      </c>
      <c r="BR229" s="683">
        <v>9215.7999999999993</v>
      </c>
      <c r="BS229" s="683">
        <v>6262.4</v>
      </c>
      <c r="BT229" s="683">
        <v>1193625</v>
      </c>
      <c r="BU229" s="683">
        <v>677197</v>
      </c>
      <c r="BV229" s="683">
        <v>759894</v>
      </c>
      <c r="BW229" s="683">
        <v>479365</v>
      </c>
      <c r="BX229" s="1324">
        <v>0</v>
      </c>
    </row>
    <row r="230" spans="1:76">
      <c r="A230" s="160">
        <v>45140</v>
      </c>
      <c r="B230" s="250">
        <v>1070.6030000000001</v>
      </c>
      <c r="C230" s="250">
        <v>591.077</v>
      </c>
      <c r="D230" s="250">
        <v>6868.7</v>
      </c>
      <c r="E230" s="1317">
        <v>0</v>
      </c>
      <c r="F230" s="250">
        <v>19234.5</v>
      </c>
      <c r="G230" s="250">
        <v>5978.9</v>
      </c>
      <c r="H230" s="683">
        <v>17607</v>
      </c>
      <c r="I230" s="683">
        <v>8808</v>
      </c>
      <c r="J230" s="683">
        <v>207797.3</v>
      </c>
      <c r="K230" s="250">
        <v>14965.2</v>
      </c>
      <c r="L230" s="250">
        <v>7011.2</v>
      </c>
      <c r="M230" s="683">
        <v>46196.1</v>
      </c>
      <c r="N230" s="683">
        <v>36751.4</v>
      </c>
      <c r="O230" s="683">
        <v>138743</v>
      </c>
      <c r="P230" s="683">
        <v>115052</v>
      </c>
      <c r="Q230" s="683">
        <v>141305</v>
      </c>
      <c r="R230" s="684">
        <v>96955.6</v>
      </c>
      <c r="S230" s="250">
        <v>14063.6</v>
      </c>
      <c r="T230" s="250">
        <v>10680.14</v>
      </c>
      <c r="U230" s="683">
        <v>52679</v>
      </c>
      <c r="V230" s="683">
        <v>27139</v>
      </c>
      <c r="W230" s="683">
        <v>213403.4</v>
      </c>
      <c r="X230" s="250">
        <v>345.9</v>
      </c>
      <c r="Y230" s="250">
        <v>50716</v>
      </c>
      <c r="Z230" s="683">
        <v>607495</v>
      </c>
      <c r="AA230" s="683">
        <v>309274</v>
      </c>
      <c r="AB230" s="683">
        <v>213423.3</v>
      </c>
      <c r="AC230" s="250">
        <v>1112.4000000000001</v>
      </c>
      <c r="AD230" s="251">
        <v>942</v>
      </c>
      <c r="AE230" s="250">
        <v>202.8</v>
      </c>
      <c r="AF230" s="250">
        <v>150.1</v>
      </c>
      <c r="AG230" s="422">
        <v>83085.399999999994</v>
      </c>
      <c r="AH230" s="250">
        <v>64221.5</v>
      </c>
      <c r="AI230" s="683">
        <v>69238.8</v>
      </c>
      <c r="AJ230" s="683">
        <v>56535.5</v>
      </c>
      <c r="AK230" s="720">
        <v>60426.1</v>
      </c>
      <c r="AL230" s="720">
        <v>23756.5</v>
      </c>
      <c r="AM230" s="250">
        <v>16.899999999999999</v>
      </c>
      <c r="AN230" s="422">
        <v>18.3</v>
      </c>
      <c r="AO230" s="683">
        <v>507330</v>
      </c>
      <c r="AP230" s="683">
        <v>233947</v>
      </c>
      <c r="AQ230" s="683">
        <v>65572</v>
      </c>
      <c r="AR230" s="1014"/>
      <c r="AS230" s="683">
        <v>473427</v>
      </c>
      <c r="AT230" s="683">
        <v>208272</v>
      </c>
      <c r="AU230" s="683">
        <v>81764.3</v>
      </c>
      <c r="AV230" s="683">
        <v>4609.3999999999996</v>
      </c>
      <c r="AW230" s="683">
        <v>3078</v>
      </c>
      <c r="AX230" s="683">
        <v>229.18</v>
      </c>
      <c r="AY230" s="683">
        <v>138.71</v>
      </c>
      <c r="AZ230" s="850">
        <v>825.92399999999998</v>
      </c>
      <c r="BA230" s="1105">
        <v>350.50799999999998</v>
      </c>
      <c r="BB230" s="1089">
        <v>1830.1</v>
      </c>
      <c r="BC230" s="683">
        <v>3185.2</v>
      </c>
      <c r="BD230" s="683">
        <v>491.9</v>
      </c>
      <c r="BE230" s="683">
        <v>5004.38</v>
      </c>
      <c r="BF230" s="683">
        <v>33646.071929824597</v>
      </c>
      <c r="BG230" s="1014">
        <v>8357.7090677160395</v>
      </c>
      <c r="BH230" s="683">
        <v>6206.98</v>
      </c>
      <c r="BI230" s="250">
        <v>2738800</v>
      </c>
      <c r="BJ230" s="250">
        <v>592</v>
      </c>
      <c r="BK230" s="250">
        <v>21443.1</v>
      </c>
      <c r="BL230" s="250">
        <v>3532513</v>
      </c>
      <c r="BM230" s="250">
        <v>126578</v>
      </c>
      <c r="BN230" s="250">
        <v>21913.9</v>
      </c>
      <c r="BO230" s="1014">
        <v>3254366</v>
      </c>
      <c r="BP230" s="1014">
        <v>167198</v>
      </c>
      <c r="BQ230" s="1014">
        <v>19088.7</v>
      </c>
      <c r="BR230" s="250">
        <v>9221.2000000000007</v>
      </c>
      <c r="BS230" s="250">
        <v>6266.1</v>
      </c>
      <c r="BT230" s="250">
        <v>1194893</v>
      </c>
      <c r="BU230" s="250">
        <v>677896</v>
      </c>
      <c r="BV230" s="250">
        <v>760097</v>
      </c>
      <c r="BW230" s="250">
        <v>479503</v>
      </c>
      <c r="BX230" s="1324">
        <v>0</v>
      </c>
    </row>
    <row r="231" spans="1:76">
      <c r="A231" s="160">
        <v>45141</v>
      </c>
      <c r="B231" s="250">
        <v>1070.6030000000001</v>
      </c>
      <c r="C231" s="250">
        <v>591.077</v>
      </c>
      <c r="D231" s="250">
        <v>6868.7</v>
      </c>
      <c r="E231" s="1317">
        <v>0</v>
      </c>
      <c r="F231" s="250">
        <v>19247.900000000001</v>
      </c>
      <c r="G231" s="250">
        <v>5982.5</v>
      </c>
      <c r="H231" s="683">
        <v>17770</v>
      </c>
      <c r="I231" s="683">
        <v>8889</v>
      </c>
      <c r="J231" s="683">
        <v>207821.3</v>
      </c>
      <c r="K231" s="250">
        <v>14965.4</v>
      </c>
      <c r="L231" s="250">
        <v>7011.2</v>
      </c>
      <c r="M231" s="683">
        <v>46196.1</v>
      </c>
      <c r="N231" s="683">
        <v>36751.4</v>
      </c>
      <c r="O231" s="683">
        <v>138752</v>
      </c>
      <c r="P231" s="683">
        <v>115059</v>
      </c>
      <c r="Q231" s="683">
        <v>141320</v>
      </c>
      <c r="R231" s="683">
        <v>96965.4</v>
      </c>
      <c r="S231" s="250">
        <v>14063.6</v>
      </c>
      <c r="T231" s="250">
        <v>10680.14</v>
      </c>
      <c r="U231" s="683">
        <v>52829</v>
      </c>
      <c r="V231" s="683">
        <v>27212</v>
      </c>
      <c r="W231" s="683">
        <v>213427.4</v>
      </c>
      <c r="X231" s="250">
        <v>345.9</v>
      </c>
      <c r="Y231" s="250">
        <v>50716</v>
      </c>
      <c r="Z231" s="683">
        <v>607774</v>
      </c>
      <c r="AA231" s="683">
        <v>309415</v>
      </c>
      <c r="AB231" s="683">
        <v>213447.3</v>
      </c>
      <c r="AC231" s="250">
        <v>1112.4000000000001</v>
      </c>
      <c r="AD231" s="251">
        <v>942</v>
      </c>
      <c r="AE231" s="250">
        <v>206.1</v>
      </c>
      <c r="AF231" s="250">
        <v>152.6</v>
      </c>
      <c r="AG231" s="422">
        <v>83089.3</v>
      </c>
      <c r="AH231" s="250">
        <v>64224.6</v>
      </c>
      <c r="AI231" s="683">
        <v>69274.899999999994</v>
      </c>
      <c r="AJ231" s="683">
        <v>56567.1</v>
      </c>
      <c r="AK231" s="720">
        <v>60435.5</v>
      </c>
      <c r="AL231" s="720">
        <v>23760.3</v>
      </c>
      <c r="AM231" s="250">
        <v>16.899999999999999</v>
      </c>
      <c r="AN231" s="422">
        <v>18.3</v>
      </c>
      <c r="AO231" s="683">
        <v>507491</v>
      </c>
      <c r="AP231" s="683">
        <v>234018</v>
      </c>
      <c r="AQ231" s="683">
        <v>65577</v>
      </c>
      <c r="AR231" s="1014"/>
      <c r="AS231" s="683">
        <v>473573</v>
      </c>
      <c r="AT231" s="683">
        <v>208335</v>
      </c>
      <c r="AU231" s="683">
        <v>81788.3</v>
      </c>
      <c r="AV231" s="683">
        <v>4611.8</v>
      </c>
      <c r="AW231" s="683">
        <v>3079.6</v>
      </c>
      <c r="AX231" s="683">
        <v>229.18</v>
      </c>
      <c r="AY231" s="683">
        <v>138.71</v>
      </c>
      <c r="AZ231" s="850">
        <v>825.92399999999998</v>
      </c>
      <c r="BA231" s="1105">
        <v>350.50799999999998</v>
      </c>
      <c r="BB231" s="1089">
        <v>1830.1</v>
      </c>
      <c r="BC231" s="683">
        <v>3187</v>
      </c>
      <c r="BD231" s="683">
        <v>492</v>
      </c>
      <c r="BE231" s="683">
        <v>5077.07</v>
      </c>
      <c r="BF231" s="683">
        <v>33525.592982456103</v>
      </c>
      <c r="BG231" s="683">
        <v>9389.4688474222494</v>
      </c>
      <c r="BH231" s="683">
        <v>5817.06</v>
      </c>
      <c r="BI231" s="250">
        <v>2738800</v>
      </c>
      <c r="BJ231" s="250">
        <v>592</v>
      </c>
      <c r="BK231" s="250">
        <v>21443.1</v>
      </c>
      <c r="BL231" s="250">
        <v>3537502</v>
      </c>
      <c r="BM231" s="250">
        <v>127255</v>
      </c>
      <c r="BN231" s="250">
        <v>21937.9</v>
      </c>
      <c r="BO231" s="1014">
        <v>3256734</v>
      </c>
      <c r="BP231" s="1014">
        <v>167198</v>
      </c>
      <c r="BQ231" s="1014">
        <v>19112.7</v>
      </c>
      <c r="BR231" s="250">
        <v>9226.7000000000007</v>
      </c>
      <c r="BS231" s="250">
        <v>6269.9</v>
      </c>
      <c r="BT231" s="250">
        <v>1196067</v>
      </c>
      <c r="BU231" s="250">
        <v>678547</v>
      </c>
      <c r="BV231" s="250">
        <v>760424</v>
      </c>
      <c r="BW231" s="250">
        <v>479704</v>
      </c>
      <c r="BX231" s="1324">
        <v>0</v>
      </c>
    </row>
    <row r="232" spans="1:76">
      <c r="A232" s="160">
        <v>45142</v>
      </c>
      <c r="B232" s="250">
        <v>1071.038</v>
      </c>
      <c r="C232" s="250">
        <v>591.29300000000001</v>
      </c>
      <c r="D232" s="250">
        <v>6869.6</v>
      </c>
      <c r="E232" s="1317">
        <v>1</v>
      </c>
      <c r="F232" s="250">
        <v>19262.7</v>
      </c>
      <c r="G232" s="250">
        <v>5986.8</v>
      </c>
      <c r="H232" s="683">
        <v>17929</v>
      </c>
      <c r="I232" s="683">
        <v>8970</v>
      </c>
      <c r="J232" s="683">
        <v>207845.3</v>
      </c>
      <c r="K232" s="250">
        <v>14965.5</v>
      </c>
      <c r="L232" s="250">
        <v>7011.2</v>
      </c>
      <c r="M232" s="683">
        <v>46196.1</v>
      </c>
      <c r="N232" s="683">
        <v>36751.4</v>
      </c>
      <c r="O232" s="683">
        <v>138762</v>
      </c>
      <c r="P232" s="683">
        <v>115067</v>
      </c>
      <c r="Q232" s="683">
        <v>141334</v>
      </c>
      <c r="R232" s="683">
        <v>96975.5</v>
      </c>
      <c r="S232" s="250">
        <v>14063.6</v>
      </c>
      <c r="T232" s="250">
        <v>10680.14</v>
      </c>
      <c r="U232" s="683">
        <v>52976</v>
      </c>
      <c r="V232" s="683">
        <v>27283</v>
      </c>
      <c r="W232" s="683">
        <v>213451.4</v>
      </c>
      <c r="X232" s="250">
        <v>345.9</v>
      </c>
      <c r="Y232" s="250">
        <v>50716</v>
      </c>
      <c r="Z232" s="683">
        <v>608065</v>
      </c>
      <c r="AA232" s="683">
        <v>309564</v>
      </c>
      <c r="AB232" s="683">
        <v>213471.3</v>
      </c>
      <c r="AC232" s="250">
        <v>1112.4000000000001</v>
      </c>
      <c r="AD232" s="251">
        <v>942</v>
      </c>
      <c r="AE232" s="250">
        <v>209.5</v>
      </c>
      <c r="AF232" s="250">
        <v>155.1</v>
      </c>
      <c r="AG232" s="422">
        <v>83096.7</v>
      </c>
      <c r="AH232" s="250">
        <v>64230.3</v>
      </c>
      <c r="AI232" s="683">
        <v>69311.600000000006</v>
      </c>
      <c r="AJ232" s="683">
        <v>56599.199999999997</v>
      </c>
      <c r="AK232" s="720">
        <v>60446.9</v>
      </c>
      <c r="AL232" s="720">
        <v>23764.5</v>
      </c>
      <c r="AM232" s="250">
        <v>16.899999999999999</v>
      </c>
      <c r="AN232" s="422">
        <v>18.3</v>
      </c>
      <c r="AO232" s="683">
        <v>507657</v>
      </c>
      <c r="AP232" s="683">
        <v>234090</v>
      </c>
      <c r="AQ232" s="422">
        <v>65581</v>
      </c>
      <c r="AR232" s="1014"/>
      <c r="AS232" s="683">
        <v>473724</v>
      </c>
      <c r="AT232" s="683">
        <v>208401</v>
      </c>
      <c r="AU232" s="683">
        <v>81812.3</v>
      </c>
      <c r="AV232" s="683">
        <v>4614.1000000000004</v>
      </c>
      <c r="AW232" s="683">
        <v>3081.1</v>
      </c>
      <c r="AX232" s="683">
        <v>229.18</v>
      </c>
      <c r="AY232" s="683">
        <v>138.71</v>
      </c>
      <c r="AZ232" s="850">
        <v>825.92399999999998</v>
      </c>
      <c r="BA232" s="1105">
        <v>350.50799999999998</v>
      </c>
      <c r="BB232" s="1089">
        <v>1830.1</v>
      </c>
      <c r="BC232" s="683">
        <v>3189.9</v>
      </c>
      <c r="BD232" s="683">
        <v>492.1</v>
      </c>
      <c r="BE232" s="683">
        <v>6047.88</v>
      </c>
      <c r="BF232" s="683">
        <v>33673.392982456098</v>
      </c>
      <c r="BG232" s="683">
        <v>8821.18686331356</v>
      </c>
      <c r="BH232" s="683">
        <v>5764.37</v>
      </c>
      <c r="BI232" s="250">
        <v>2738800</v>
      </c>
      <c r="BJ232" s="250">
        <v>592</v>
      </c>
      <c r="BK232" s="250">
        <v>21443.1</v>
      </c>
      <c r="BL232" s="250">
        <v>3542218</v>
      </c>
      <c r="BM232" s="250">
        <v>128337</v>
      </c>
      <c r="BN232" s="250">
        <v>21961.9</v>
      </c>
      <c r="BO232" s="1014">
        <v>3259896</v>
      </c>
      <c r="BP232" s="1014">
        <v>167231</v>
      </c>
      <c r="BQ232" s="1014">
        <v>19136.7</v>
      </c>
      <c r="BR232" s="250">
        <v>9232.2000000000007</v>
      </c>
      <c r="BS232" s="250">
        <v>6273.7</v>
      </c>
      <c r="BT232" s="250">
        <v>1197262</v>
      </c>
      <c r="BU232" s="250">
        <v>679217</v>
      </c>
      <c r="BV232" s="250">
        <v>761633</v>
      </c>
      <c r="BW232" s="250">
        <v>480406</v>
      </c>
      <c r="BX232" s="1324">
        <v>0</v>
      </c>
    </row>
    <row r="233" spans="1:76">
      <c r="A233" s="160">
        <v>45143</v>
      </c>
      <c r="B233" s="250">
        <v>1071.038</v>
      </c>
      <c r="C233" s="250">
        <v>591.29300000000001</v>
      </c>
      <c r="D233" s="250">
        <v>6869.6</v>
      </c>
      <c r="E233" s="1317">
        <v>0</v>
      </c>
      <c r="F233" s="250">
        <v>19276.2</v>
      </c>
      <c r="G233" s="250">
        <v>5990.5</v>
      </c>
      <c r="H233" s="683">
        <v>18089</v>
      </c>
      <c r="I233" s="683">
        <v>9051</v>
      </c>
      <c r="J233" s="683">
        <v>207869.3</v>
      </c>
      <c r="K233" s="250">
        <v>14965.6</v>
      </c>
      <c r="L233" s="250">
        <v>7011.3</v>
      </c>
      <c r="M233" s="683">
        <v>46196.1</v>
      </c>
      <c r="N233" s="683">
        <v>36751.4</v>
      </c>
      <c r="O233" s="683">
        <v>138772</v>
      </c>
      <c r="P233" s="683">
        <v>115074</v>
      </c>
      <c r="Q233" s="683">
        <v>141349</v>
      </c>
      <c r="R233" s="683">
        <v>96985.600000000006</v>
      </c>
      <c r="S233" s="250">
        <v>14063.6</v>
      </c>
      <c r="T233" s="250">
        <v>10680.14</v>
      </c>
      <c r="U233" s="683">
        <v>53126</v>
      </c>
      <c r="V233" s="683">
        <v>27357</v>
      </c>
      <c r="W233" s="683">
        <v>213475.4</v>
      </c>
      <c r="X233" s="250">
        <v>345.9</v>
      </c>
      <c r="Y233" s="250">
        <v>50716</v>
      </c>
      <c r="Z233" s="683">
        <v>608352</v>
      </c>
      <c r="AA233" s="683">
        <v>309708</v>
      </c>
      <c r="AB233" s="683">
        <v>213495.3</v>
      </c>
      <c r="AC233" s="250">
        <v>1112.4000000000001</v>
      </c>
      <c r="AD233" s="251">
        <v>942</v>
      </c>
      <c r="AE233" s="250">
        <v>212.7</v>
      </c>
      <c r="AF233" s="250">
        <v>157.4</v>
      </c>
      <c r="AG233" s="422">
        <v>83103.7</v>
      </c>
      <c r="AH233" s="250">
        <v>64235.5</v>
      </c>
      <c r="AI233" s="683">
        <v>69347.100000000006</v>
      </c>
      <c r="AJ233" s="683">
        <v>56630</v>
      </c>
      <c r="AK233" s="720">
        <v>60456.6</v>
      </c>
      <c r="AL233" s="720">
        <v>23768.400000000001</v>
      </c>
      <c r="AM233" s="250">
        <v>16.899999999999999</v>
      </c>
      <c r="AN233" s="422">
        <v>18.3</v>
      </c>
      <c r="AO233" s="683">
        <v>507825</v>
      </c>
      <c r="AP233" s="683">
        <v>234164</v>
      </c>
      <c r="AQ233" s="683">
        <v>65586</v>
      </c>
      <c r="AR233" s="1014"/>
      <c r="AS233" s="683">
        <v>473874</v>
      </c>
      <c r="AT233" s="683">
        <v>208465</v>
      </c>
      <c r="AU233" s="683">
        <v>81836.3</v>
      </c>
      <c r="AV233" s="683">
        <v>4616.6000000000004</v>
      </c>
      <c r="AW233" s="683">
        <v>3082.8</v>
      </c>
      <c r="AX233" s="683">
        <v>229.18</v>
      </c>
      <c r="AY233" s="683">
        <v>138.71</v>
      </c>
      <c r="AZ233" s="850">
        <v>825.92399999999998</v>
      </c>
      <c r="BA233" s="1105">
        <v>350.50799999999998</v>
      </c>
      <c r="BB233" s="1089">
        <v>1830.1</v>
      </c>
      <c r="BC233" s="683">
        <v>3192.3</v>
      </c>
      <c r="BD233" s="683">
        <v>492.2</v>
      </c>
      <c r="BE233" s="683">
        <v>5907.45</v>
      </c>
      <c r="BF233" s="683">
        <v>33446.728070175399</v>
      </c>
      <c r="BG233" s="683">
        <v>9599.85311328032</v>
      </c>
      <c r="BH233" s="683">
        <v>6277.8</v>
      </c>
      <c r="BI233" s="250">
        <v>2738800</v>
      </c>
      <c r="BJ233" s="250">
        <v>592</v>
      </c>
      <c r="BK233" s="250">
        <v>21443.1</v>
      </c>
      <c r="BL233" s="250">
        <v>3546784</v>
      </c>
      <c r="BM233" s="250">
        <v>129320</v>
      </c>
      <c r="BN233" s="250">
        <v>21985.5</v>
      </c>
      <c r="BO233" s="683">
        <v>3262810</v>
      </c>
      <c r="BP233" s="683">
        <v>167243</v>
      </c>
      <c r="BQ233" s="683">
        <v>19159.5</v>
      </c>
      <c r="BR233" s="250">
        <v>9237.6</v>
      </c>
      <c r="BS233" s="250">
        <v>6277.4</v>
      </c>
      <c r="BT233" s="250">
        <v>1198435</v>
      </c>
      <c r="BU233" s="250">
        <v>679869</v>
      </c>
      <c r="BV233" s="250">
        <v>761970</v>
      </c>
      <c r="BW233" s="250">
        <v>480609</v>
      </c>
      <c r="BX233" s="1324">
        <v>0</v>
      </c>
    </row>
    <row r="234" spans="1:76">
      <c r="A234" s="160">
        <v>45144</v>
      </c>
      <c r="B234" s="250">
        <v>1071.038</v>
      </c>
      <c r="C234" s="250">
        <v>591.29300000000001</v>
      </c>
      <c r="D234" s="250">
        <v>6869.6</v>
      </c>
      <c r="E234" s="1317">
        <v>0</v>
      </c>
      <c r="F234" s="250">
        <v>19285.599999999999</v>
      </c>
      <c r="G234" s="250">
        <v>5992.4</v>
      </c>
      <c r="H234" s="250">
        <v>18253</v>
      </c>
      <c r="I234" s="250">
        <v>9133</v>
      </c>
      <c r="J234" s="250">
        <v>207893.3</v>
      </c>
      <c r="K234" s="250">
        <v>14965.8</v>
      </c>
      <c r="L234" s="250">
        <v>7011.3</v>
      </c>
      <c r="M234" s="683">
        <v>46196.1</v>
      </c>
      <c r="N234" s="683">
        <v>36751.4</v>
      </c>
      <c r="O234" s="250">
        <v>138782</v>
      </c>
      <c r="P234" s="250">
        <v>115082</v>
      </c>
      <c r="Q234" s="250">
        <v>141363</v>
      </c>
      <c r="R234" s="250">
        <v>96995.8</v>
      </c>
      <c r="S234" s="250">
        <v>14063.6</v>
      </c>
      <c r="T234" s="250">
        <v>10680.14</v>
      </c>
      <c r="U234" s="250">
        <v>53276</v>
      </c>
      <c r="V234" s="250">
        <v>27431</v>
      </c>
      <c r="W234" s="250">
        <v>213499.4</v>
      </c>
      <c r="X234" s="250">
        <v>345.9</v>
      </c>
      <c r="Y234" s="250">
        <v>50716</v>
      </c>
      <c r="Z234" s="250">
        <v>608650</v>
      </c>
      <c r="AA234" s="250">
        <v>309860</v>
      </c>
      <c r="AB234" s="250">
        <v>213519.3</v>
      </c>
      <c r="AC234" s="250">
        <v>1112.4000000000001</v>
      </c>
      <c r="AD234" s="251">
        <v>942</v>
      </c>
      <c r="AE234" s="250">
        <v>215.8</v>
      </c>
      <c r="AF234" s="250">
        <v>159.69999999999999</v>
      </c>
      <c r="AG234" s="422">
        <v>83112.3</v>
      </c>
      <c r="AH234" s="250">
        <v>64241.8</v>
      </c>
      <c r="AI234" s="250">
        <v>69383.5</v>
      </c>
      <c r="AJ234" s="250">
        <v>56661.7</v>
      </c>
      <c r="AK234" s="386">
        <v>60468.7</v>
      </c>
      <c r="AL234" s="386">
        <v>23773.200000000001</v>
      </c>
      <c r="AM234" s="250">
        <v>16.899999999999999</v>
      </c>
      <c r="AN234" s="422">
        <v>18.3</v>
      </c>
      <c r="AO234" s="250">
        <v>507998</v>
      </c>
      <c r="AP234" s="250">
        <v>234243</v>
      </c>
      <c r="AQ234" s="422">
        <v>65591</v>
      </c>
      <c r="AR234" s="1014"/>
      <c r="AS234" s="250">
        <v>474030</v>
      </c>
      <c r="AT234" s="250">
        <v>208532</v>
      </c>
      <c r="AU234" s="683">
        <v>81860.3</v>
      </c>
      <c r="AV234" s="683">
        <v>4619.1000000000004</v>
      </c>
      <c r="AW234" s="683">
        <v>3084.4</v>
      </c>
      <c r="AX234" s="683">
        <v>229.18</v>
      </c>
      <c r="AY234" s="683">
        <v>138.71</v>
      </c>
      <c r="AZ234" s="850">
        <v>825.92399999999998</v>
      </c>
      <c r="BA234" s="1105">
        <v>350.50799999999998</v>
      </c>
      <c r="BB234" s="1089">
        <v>1830.1</v>
      </c>
      <c r="BC234" s="683">
        <v>3194.7</v>
      </c>
      <c r="BD234" s="683">
        <v>492.2</v>
      </c>
      <c r="BE234" s="683">
        <v>6259.67</v>
      </c>
      <c r="BF234" s="683">
        <v>32866.235087719302</v>
      </c>
      <c r="BG234" s="683">
        <v>9221.4288542508402</v>
      </c>
      <c r="BH234" s="683">
        <v>6634.31</v>
      </c>
      <c r="BI234" s="250">
        <v>2742000</v>
      </c>
      <c r="BJ234" s="250">
        <v>593</v>
      </c>
      <c r="BK234" s="250">
        <v>21467</v>
      </c>
      <c r="BL234" s="250">
        <v>3546784</v>
      </c>
      <c r="BM234" s="250">
        <v>129320</v>
      </c>
      <c r="BN234" s="250">
        <v>21985.5</v>
      </c>
      <c r="BO234" s="683">
        <v>3266218</v>
      </c>
      <c r="BP234" s="683">
        <v>167269</v>
      </c>
      <c r="BQ234" s="683">
        <v>19183.5</v>
      </c>
      <c r="BR234" s="250">
        <v>9243.2000000000007</v>
      </c>
      <c r="BS234" s="250">
        <v>6281.2</v>
      </c>
      <c r="BT234" s="250">
        <v>1199649</v>
      </c>
      <c r="BU234" s="250">
        <v>680542</v>
      </c>
      <c r="BV234" s="250">
        <v>762353</v>
      </c>
      <c r="BW234" s="250">
        <v>480839</v>
      </c>
      <c r="BX234" s="1324">
        <v>0</v>
      </c>
    </row>
    <row r="235" spans="1:76">
      <c r="A235" s="160">
        <v>45145</v>
      </c>
      <c r="B235" s="250">
        <v>1071.038</v>
      </c>
      <c r="C235" s="250">
        <v>591.29300000000001</v>
      </c>
      <c r="D235" s="250">
        <v>6869.6</v>
      </c>
      <c r="E235" s="1317">
        <v>0</v>
      </c>
      <c r="F235" s="250">
        <v>19294.900000000001</v>
      </c>
      <c r="G235" s="250">
        <v>5993.7</v>
      </c>
      <c r="H235" s="251">
        <v>18413</v>
      </c>
      <c r="I235" s="251">
        <v>9213</v>
      </c>
      <c r="J235" s="251">
        <v>207917.3</v>
      </c>
      <c r="K235" s="250">
        <v>14965.9</v>
      </c>
      <c r="L235" s="250">
        <v>7011.3</v>
      </c>
      <c r="M235" s="683">
        <v>46196.1</v>
      </c>
      <c r="N235" s="683">
        <v>36751.4</v>
      </c>
      <c r="O235" s="251">
        <v>138792</v>
      </c>
      <c r="P235" s="251">
        <v>115090</v>
      </c>
      <c r="Q235" s="251">
        <v>141378</v>
      </c>
      <c r="R235" s="251">
        <v>97006</v>
      </c>
      <c r="S235" s="250">
        <v>14063.6</v>
      </c>
      <c r="T235" s="250">
        <v>10680.14</v>
      </c>
      <c r="U235" s="251">
        <v>53424</v>
      </c>
      <c r="V235" s="251">
        <v>27500</v>
      </c>
      <c r="W235" s="251">
        <v>213523.4</v>
      </c>
      <c r="X235" s="250">
        <v>345.9</v>
      </c>
      <c r="Y235" s="250">
        <v>50716</v>
      </c>
      <c r="Z235" s="251">
        <v>608936</v>
      </c>
      <c r="AA235" s="251">
        <v>310009</v>
      </c>
      <c r="AB235" s="251">
        <v>213543.3</v>
      </c>
      <c r="AC235" s="250">
        <v>1112.4000000000001</v>
      </c>
      <c r="AD235" s="251">
        <v>942</v>
      </c>
      <c r="AE235" s="250">
        <v>218.9</v>
      </c>
      <c r="AF235" s="250">
        <v>162</v>
      </c>
      <c r="AG235" s="422">
        <v>83120.3</v>
      </c>
      <c r="AH235" s="250">
        <v>64247.9</v>
      </c>
      <c r="AI235" s="251">
        <v>69419.899999999994</v>
      </c>
      <c r="AJ235" s="251">
        <v>56693.4</v>
      </c>
      <c r="AK235" s="724">
        <v>60476.1</v>
      </c>
      <c r="AL235" s="724">
        <v>23776</v>
      </c>
      <c r="AM235" s="250">
        <v>16.899999999999999</v>
      </c>
      <c r="AN235" s="422">
        <v>18.3</v>
      </c>
      <c r="AO235" s="251">
        <v>508169</v>
      </c>
      <c r="AP235" s="251">
        <v>234322</v>
      </c>
      <c r="AQ235" s="725">
        <v>65595</v>
      </c>
      <c r="AR235" s="1014"/>
      <c r="AS235" s="251">
        <v>474181</v>
      </c>
      <c r="AT235" s="251">
        <v>208597</v>
      </c>
      <c r="AU235" s="683">
        <v>81884.3</v>
      </c>
      <c r="AV235" s="683">
        <v>4621.5</v>
      </c>
      <c r="AW235" s="683">
        <v>3086</v>
      </c>
      <c r="AX235" s="683">
        <v>229.18</v>
      </c>
      <c r="AY235" s="683">
        <v>138.71</v>
      </c>
      <c r="AZ235" s="850">
        <v>825.92399999999998</v>
      </c>
      <c r="BA235" s="1105">
        <v>350.50799999999998</v>
      </c>
      <c r="BB235" s="1089">
        <v>1830.1</v>
      </c>
      <c r="BC235" s="683">
        <v>3197.1</v>
      </c>
      <c r="BD235" s="683">
        <v>492.3</v>
      </c>
      <c r="BE235" s="251">
        <v>6194.94</v>
      </c>
      <c r="BF235" s="251">
        <v>32999.882456140404</v>
      </c>
      <c r="BG235" s="1081">
        <v>9574.3996633580391</v>
      </c>
      <c r="BH235" s="251">
        <v>5876.94</v>
      </c>
      <c r="BI235" s="250">
        <v>2745600</v>
      </c>
      <c r="BJ235" s="250">
        <v>594</v>
      </c>
      <c r="BK235" s="250">
        <v>21491</v>
      </c>
      <c r="BL235" s="250">
        <v>3546784</v>
      </c>
      <c r="BM235" s="250">
        <v>129320</v>
      </c>
      <c r="BN235" s="250">
        <v>21985.5</v>
      </c>
      <c r="BO235" s="683">
        <v>3269546</v>
      </c>
      <c r="BP235" s="683">
        <v>167295</v>
      </c>
      <c r="BQ235" s="683">
        <v>19207.5</v>
      </c>
      <c r="BR235" s="251">
        <v>9248.6</v>
      </c>
      <c r="BS235" s="251">
        <v>6285</v>
      </c>
      <c r="BT235" s="251">
        <v>1200829</v>
      </c>
      <c r="BU235" s="251">
        <v>681198</v>
      </c>
      <c r="BV235" s="251">
        <v>762665</v>
      </c>
      <c r="BW235" s="251">
        <v>481041</v>
      </c>
      <c r="BX235" s="1325">
        <v>0</v>
      </c>
    </row>
    <row r="236" spans="1:76">
      <c r="A236" s="160">
        <v>45146</v>
      </c>
      <c r="B236" s="250">
        <v>1074.0350000000001</v>
      </c>
      <c r="C236" s="250">
        <v>592.79499999999996</v>
      </c>
      <c r="D236" s="250">
        <v>6872.9</v>
      </c>
      <c r="E236" s="1317">
        <v>3</v>
      </c>
      <c r="F236" s="250">
        <v>19303.8</v>
      </c>
      <c r="G236" s="250">
        <v>5994.9</v>
      </c>
      <c r="H236" s="250">
        <v>18575</v>
      </c>
      <c r="I236" s="250">
        <v>9295</v>
      </c>
      <c r="J236" s="250">
        <v>207941.3</v>
      </c>
      <c r="K236" s="250">
        <v>14966</v>
      </c>
      <c r="L236" s="250">
        <v>7011.3</v>
      </c>
      <c r="M236" s="683">
        <v>46196.1</v>
      </c>
      <c r="N236" s="683">
        <v>36751.4</v>
      </c>
      <c r="O236" s="250">
        <v>138802</v>
      </c>
      <c r="P236" s="250">
        <v>115098</v>
      </c>
      <c r="Q236" s="250">
        <v>141391</v>
      </c>
      <c r="R236" s="250">
        <v>97015</v>
      </c>
      <c r="S236" s="250">
        <v>14063.6</v>
      </c>
      <c r="T236" s="250">
        <v>10680.14</v>
      </c>
      <c r="U236" s="250">
        <v>53572</v>
      </c>
      <c r="V236" s="250">
        <v>27572</v>
      </c>
      <c r="W236" s="250">
        <v>213547.4</v>
      </c>
      <c r="X236" s="250">
        <v>345.9</v>
      </c>
      <c r="Y236" s="250">
        <v>50716</v>
      </c>
      <c r="Z236" s="250">
        <v>609226</v>
      </c>
      <c r="AA236" s="250">
        <v>310157</v>
      </c>
      <c r="AB236" s="250">
        <v>213567.3</v>
      </c>
      <c r="AC236" s="250">
        <v>1112.4000000000001</v>
      </c>
      <c r="AD236" s="251">
        <v>942</v>
      </c>
      <c r="AE236" s="250">
        <v>222.1</v>
      </c>
      <c r="AF236" s="250">
        <v>164.3</v>
      </c>
      <c r="AG236" s="422">
        <v>83128.899999999994</v>
      </c>
      <c r="AH236" s="250">
        <v>64254.7</v>
      </c>
      <c r="AI236" s="250">
        <v>69456.100000000006</v>
      </c>
      <c r="AJ236" s="250">
        <v>56725</v>
      </c>
      <c r="AK236" s="386">
        <v>60488.7</v>
      </c>
      <c r="AL236" s="386">
        <v>23781</v>
      </c>
      <c r="AM236" s="250">
        <v>16.899999999999999</v>
      </c>
      <c r="AN236" s="422">
        <v>18.3</v>
      </c>
      <c r="AO236" s="250">
        <v>508339</v>
      </c>
      <c r="AP236" s="250">
        <v>234400</v>
      </c>
      <c r="AQ236" s="422">
        <v>65600</v>
      </c>
      <c r="AR236" s="1014"/>
      <c r="AS236" s="250">
        <v>474331</v>
      </c>
      <c r="AT236" s="250">
        <v>208662</v>
      </c>
      <c r="AU236" s="250">
        <v>81908.3</v>
      </c>
      <c r="AV236" s="683">
        <v>4623.8999999999996</v>
      </c>
      <c r="AW236" s="683">
        <v>3087.6</v>
      </c>
      <c r="AX236" s="683">
        <v>230.61</v>
      </c>
      <c r="AY236" s="683">
        <v>139.5</v>
      </c>
      <c r="AZ236" s="850">
        <v>826.30399999999997</v>
      </c>
      <c r="BA236" s="1105">
        <v>350.65300000000002</v>
      </c>
      <c r="BB236" s="1089">
        <v>1830.6</v>
      </c>
      <c r="BC236" s="683">
        <v>3199.4</v>
      </c>
      <c r="BD236" s="683">
        <v>492.4</v>
      </c>
      <c r="BE236" s="250">
        <v>5557.81</v>
      </c>
      <c r="BF236" s="250">
        <v>33498.6859649123</v>
      </c>
      <c r="BG236" s="1014">
        <v>9306.3626715193004</v>
      </c>
      <c r="BH236" s="250">
        <v>6190.95</v>
      </c>
      <c r="BI236" s="250">
        <v>2749000</v>
      </c>
      <c r="BJ236" s="250">
        <v>595</v>
      </c>
      <c r="BK236" s="250">
        <v>21515</v>
      </c>
      <c r="BL236" s="250">
        <v>3546784</v>
      </c>
      <c r="BM236" s="250">
        <v>129320</v>
      </c>
      <c r="BN236" s="250">
        <v>21985.5</v>
      </c>
      <c r="BO236" s="683">
        <v>3272848</v>
      </c>
      <c r="BP236" s="683">
        <v>167315</v>
      </c>
      <c r="BQ236" s="683">
        <v>19231.5</v>
      </c>
      <c r="BR236" s="250">
        <v>9253.7000000000007</v>
      </c>
      <c r="BS236" s="250">
        <v>6288.5</v>
      </c>
      <c r="BT236" s="250">
        <v>1202033</v>
      </c>
      <c r="BU236" s="250">
        <v>681868</v>
      </c>
      <c r="BV236" s="250">
        <v>762981</v>
      </c>
      <c r="BW236" s="250">
        <v>481249</v>
      </c>
      <c r="BX236" s="1324">
        <v>1</v>
      </c>
    </row>
    <row r="237" spans="1:76">
      <c r="A237" s="160">
        <v>45147</v>
      </c>
      <c r="B237" s="250">
        <v>1074.0350000000001</v>
      </c>
      <c r="C237" s="250">
        <v>592.79499999999996</v>
      </c>
      <c r="D237" s="250">
        <v>6872.9</v>
      </c>
      <c r="E237" s="1317">
        <v>0</v>
      </c>
      <c r="F237" s="250">
        <v>19312.7</v>
      </c>
      <c r="G237" s="250">
        <v>5997.1</v>
      </c>
      <c r="H237" s="250">
        <v>18735</v>
      </c>
      <c r="I237" s="250">
        <v>9375</v>
      </c>
      <c r="J237" s="250">
        <v>207965.3</v>
      </c>
      <c r="K237" s="250">
        <v>14966.1</v>
      </c>
      <c r="L237" s="250">
        <v>7011.3</v>
      </c>
      <c r="M237" s="683">
        <v>46196.1</v>
      </c>
      <c r="N237" s="683">
        <v>36751.4</v>
      </c>
      <c r="O237" s="250">
        <v>138812</v>
      </c>
      <c r="P237" s="250">
        <v>115106</v>
      </c>
      <c r="Q237" s="250">
        <v>141406</v>
      </c>
      <c r="R237" s="250">
        <v>97025.3</v>
      </c>
      <c r="S237" s="250">
        <v>14063.6</v>
      </c>
      <c r="T237" s="250">
        <v>10680.14</v>
      </c>
      <c r="U237" s="250">
        <v>53721</v>
      </c>
      <c r="V237" s="250">
        <v>27648</v>
      </c>
      <c r="W237" s="250">
        <v>213571.4</v>
      </c>
      <c r="X237" s="250">
        <v>345.9</v>
      </c>
      <c r="Y237" s="250">
        <v>50716</v>
      </c>
      <c r="Z237" s="250">
        <v>609523</v>
      </c>
      <c r="AA237" s="250">
        <v>310307</v>
      </c>
      <c r="AB237" s="250">
        <v>213591.3</v>
      </c>
      <c r="AC237" s="250">
        <v>1112.4000000000001</v>
      </c>
      <c r="AD237" s="251">
        <v>942</v>
      </c>
      <c r="AE237" s="250">
        <v>225.2</v>
      </c>
      <c r="AF237" s="250">
        <v>166.5</v>
      </c>
      <c r="AG237" s="250">
        <v>83137.5</v>
      </c>
      <c r="AH237" s="250">
        <v>64261.3</v>
      </c>
      <c r="AI237" s="250">
        <v>69492.3</v>
      </c>
      <c r="AJ237" s="250">
        <v>56756.5</v>
      </c>
      <c r="AK237" s="250">
        <v>60504.2</v>
      </c>
      <c r="AL237" s="250">
        <v>23786.7</v>
      </c>
      <c r="AM237" s="250">
        <v>16.899999999999999</v>
      </c>
      <c r="AN237" s="422">
        <v>18.3</v>
      </c>
      <c r="AO237" s="250">
        <v>508510</v>
      </c>
      <c r="AP237" s="250">
        <v>234478</v>
      </c>
      <c r="AQ237" s="250">
        <v>65605</v>
      </c>
      <c r="AR237" s="250"/>
      <c r="AS237" s="250">
        <v>474483</v>
      </c>
      <c r="AT237" s="250">
        <v>208728</v>
      </c>
      <c r="AU237" s="250">
        <v>81932.3</v>
      </c>
      <c r="AV237" s="250">
        <v>4626.3999999999996</v>
      </c>
      <c r="AW237" s="250">
        <v>3089.3</v>
      </c>
      <c r="AX237" s="683">
        <v>230.61</v>
      </c>
      <c r="AY237" s="683">
        <v>139.5</v>
      </c>
      <c r="AZ237" s="850">
        <v>826.30399999999997</v>
      </c>
      <c r="BA237" s="1105">
        <v>350.65300000000002</v>
      </c>
      <c r="BB237" s="1089">
        <v>1830.6</v>
      </c>
      <c r="BC237" s="250">
        <v>3201.8</v>
      </c>
      <c r="BD237" s="250">
        <v>492.5</v>
      </c>
      <c r="BE237" s="250">
        <v>5890.94</v>
      </c>
      <c r="BF237" s="250">
        <v>33188.031578947397</v>
      </c>
      <c r="BG237" s="250">
        <v>9024.7514983465007</v>
      </c>
      <c r="BH237" s="250">
        <v>5989.1</v>
      </c>
      <c r="BI237" s="250">
        <v>2752400</v>
      </c>
      <c r="BJ237" s="250">
        <v>596</v>
      </c>
      <c r="BK237" s="250">
        <v>21539</v>
      </c>
      <c r="BL237" s="250">
        <v>3548884</v>
      </c>
      <c r="BM237" s="250">
        <v>129370</v>
      </c>
      <c r="BN237" s="250">
        <v>22000.400000000001</v>
      </c>
      <c r="BO237" s="250">
        <v>3274142</v>
      </c>
      <c r="BP237" s="250">
        <v>167325</v>
      </c>
      <c r="BQ237" s="250">
        <v>19240.8</v>
      </c>
      <c r="BR237" s="250">
        <v>9258.7999999999993</v>
      </c>
      <c r="BS237" s="250">
        <v>6291.9</v>
      </c>
      <c r="BT237" s="250">
        <v>1203229</v>
      </c>
      <c r="BU237" s="250">
        <v>682527</v>
      </c>
      <c r="BV237" s="250">
        <v>763256</v>
      </c>
      <c r="BW237" s="250">
        <v>481424</v>
      </c>
      <c r="BX237" s="1324">
        <v>0</v>
      </c>
    </row>
    <row r="238" spans="1:76">
      <c r="A238" s="160">
        <v>45148</v>
      </c>
      <c r="B238" s="250">
        <v>1074.0350000000001</v>
      </c>
      <c r="C238" s="250">
        <v>592.79499999999996</v>
      </c>
      <c r="D238" s="250">
        <v>6872.9</v>
      </c>
      <c r="E238" s="1317">
        <v>0</v>
      </c>
      <c r="F238" s="250">
        <v>19321.7</v>
      </c>
      <c r="G238" s="250">
        <v>5999.8</v>
      </c>
      <c r="H238" s="250">
        <v>18897.8</v>
      </c>
      <c r="I238" s="250">
        <v>9456.7000000000007</v>
      </c>
      <c r="J238" s="250">
        <v>207989.3</v>
      </c>
      <c r="K238" s="250">
        <v>14966.2</v>
      </c>
      <c r="L238" s="250">
        <v>7011.3</v>
      </c>
      <c r="M238" s="683">
        <v>46196.1</v>
      </c>
      <c r="N238" s="683">
        <v>36751.4</v>
      </c>
      <c r="O238" s="250">
        <v>138821.70000000001</v>
      </c>
      <c r="P238" s="250">
        <v>115113.3</v>
      </c>
      <c r="Q238" s="250">
        <v>141421.20000000001</v>
      </c>
      <c r="R238" s="250">
        <v>97035.5</v>
      </c>
      <c r="S238" s="250">
        <v>14063.6</v>
      </c>
      <c r="T238" s="250">
        <v>10680.14</v>
      </c>
      <c r="U238" s="250">
        <v>53870.523000000001</v>
      </c>
      <c r="V238" s="250">
        <v>27721</v>
      </c>
      <c r="W238" s="250">
        <v>213595.4</v>
      </c>
      <c r="X238" s="250">
        <v>345.9</v>
      </c>
      <c r="Y238" s="250">
        <v>50716</v>
      </c>
      <c r="Z238" s="250">
        <v>609808.19999999995</v>
      </c>
      <c r="AA238" s="250">
        <v>310456.44</v>
      </c>
      <c r="AB238" s="250">
        <v>213615.3</v>
      </c>
      <c r="AC238" s="250">
        <v>1112.4000000000001</v>
      </c>
      <c r="AD238" s="251">
        <v>942</v>
      </c>
      <c r="AE238" s="250">
        <v>228.33</v>
      </c>
      <c r="AF238" s="250">
        <v>168.81</v>
      </c>
      <c r="AG238" s="250">
        <v>83146.399999999994</v>
      </c>
      <c r="AH238" s="250">
        <v>64267.7</v>
      </c>
      <c r="AI238" s="250">
        <v>69526.7</v>
      </c>
      <c r="AJ238" s="250">
        <v>56786.2</v>
      </c>
      <c r="AK238" s="250">
        <v>60510.1</v>
      </c>
      <c r="AL238" s="250">
        <v>23788.9</v>
      </c>
      <c r="AM238" s="250">
        <v>16.899999999999999</v>
      </c>
      <c r="AN238" s="422">
        <v>18.3</v>
      </c>
      <c r="AO238" s="250">
        <v>508682.3</v>
      </c>
      <c r="AP238" s="250">
        <v>234557.5</v>
      </c>
      <c r="AQ238" s="250">
        <v>65610.47</v>
      </c>
      <c r="AR238" s="250"/>
      <c r="AS238" s="250">
        <v>474636.79999999999</v>
      </c>
      <c r="AT238" s="250">
        <v>208794.4</v>
      </c>
      <c r="AU238" s="250">
        <v>81956.3</v>
      </c>
      <c r="AV238" s="250">
        <v>4628.7700000000004</v>
      </c>
      <c r="AW238" s="250">
        <v>3090.85</v>
      </c>
      <c r="AX238" s="683">
        <v>230.61</v>
      </c>
      <c r="AY238" s="683">
        <v>139.5</v>
      </c>
      <c r="AZ238" s="850">
        <v>826.30399999999997</v>
      </c>
      <c r="BA238" s="1105">
        <v>350.65300000000002</v>
      </c>
      <c r="BB238" s="1089">
        <v>1830.6</v>
      </c>
      <c r="BC238" s="250">
        <v>3204.2</v>
      </c>
      <c r="BD238" s="250">
        <v>492.6</v>
      </c>
      <c r="BE238" s="250">
        <v>5684.28</v>
      </c>
      <c r="BF238" s="250">
        <v>33721.863157894702</v>
      </c>
      <c r="BG238" s="250">
        <v>9424.1666111686209</v>
      </c>
      <c r="BH238" s="250">
        <v>5767.9</v>
      </c>
      <c r="BI238" s="250">
        <v>2756072</v>
      </c>
      <c r="BJ238" s="250">
        <v>597</v>
      </c>
      <c r="BK238" s="250">
        <v>21563</v>
      </c>
      <c r="BL238" s="250">
        <v>3552190</v>
      </c>
      <c r="BM238" s="250">
        <v>129438</v>
      </c>
      <c r="BN238" s="250">
        <v>22024.400000000001</v>
      </c>
      <c r="BO238" s="250">
        <v>3274142</v>
      </c>
      <c r="BP238" s="250">
        <v>167325</v>
      </c>
      <c r="BQ238" s="250">
        <v>19240.8</v>
      </c>
      <c r="BR238" s="250">
        <v>9263.89</v>
      </c>
      <c r="BS238" s="250">
        <v>6295.42</v>
      </c>
      <c r="BT238" s="250">
        <v>1204417</v>
      </c>
      <c r="BU238" s="250">
        <v>683184</v>
      </c>
      <c r="BV238" s="250">
        <v>763429</v>
      </c>
      <c r="BW238" s="250">
        <v>481532</v>
      </c>
      <c r="BX238" s="1324">
        <v>0</v>
      </c>
    </row>
    <row r="239" spans="1:76">
      <c r="A239" s="160">
        <v>45149</v>
      </c>
      <c r="B239" s="250">
        <v>1074.0350000000001</v>
      </c>
      <c r="C239" s="250">
        <v>592.79499999999996</v>
      </c>
      <c r="D239" s="250">
        <v>6872.9</v>
      </c>
      <c r="E239" s="1317">
        <v>0</v>
      </c>
      <c r="F239" s="685">
        <v>19332.7</v>
      </c>
      <c r="G239" s="685">
        <v>6002.6</v>
      </c>
      <c r="H239" s="335">
        <v>19062.7</v>
      </c>
      <c r="I239" s="335">
        <v>9539</v>
      </c>
      <c r="J239" s="335">
        <v>208013.3</v>
      </c>
      <c r="K239" s="250">
        <v>14966.3</v>
      </c>
      <c r="L239" s="250">
        <v>7011.3</v>
      </c>
      <c r="M239" s="683">
        <v>46196.1</v>
      </c>
      <c r="N239" s="683">
        <v>36751.4</v>
      </c>
      <c r="O239" s="335">
        <v>138830.20000000001</v>
      </c>
      <c r="P239" s="335">
        <v>115120.76</v>
      </c>
      <c r="Q239" s="250">
        <v>141436.26999999999</v>
      </c>
      <c r="R239" s="250">
        <v>97045.75</v>
      </c>
      <c r="S239" s="250">
        <v>14063.6</v>
      </c>
      <c r="T239" s="250">
        <v>10680.14</v>
      </c>
      <c r="U239" s="335">
        <v>54022.688000000002</v>
      </c>
      <c r="V239" s="335">
        <v>27792</v>
      </c>
      <c r="W239" s="335">
        <v>213619.4</v>
      </c>
      <c r="X239" s="250">
        <v>345.9</v>
      </c>
      <c r="Y239" s="250">
        <v>50716</v>
      </c>
      <c r="Z239" s="335">
        <v>610097.9</v>
      </c>
      <c r="AA239" s="335">
        <v>310607.8</v>
      </c>
      <c r="AB239" s="335">
        <v>213639.3</v>
      </c>
      <c r="AC239" s="250">
        <v>1112.4000000000001</v>
      </c>
      <c r="AD239" s="251">
        <v>942</v>
      </c>
      <c r="AE239" s="250">
        <v>231.5</v>
      </c>
      <c r="AF239" s="250">
        <v>171.13</v>
      </c>
      <c r="AG239" s="422">
        <v>83154.92</v>
      </c>
      <c r="AH239" s="250">
        <v>64274.43</v>
      </c>
      <c r="AI239" s="335">
        <v>69562</v>
      </c>
      <c r="AJ239" s="335">
        <v>56816.86</v>
      </c>
      <c r="AK239" s="335">
        <v>60516.6</v>
      </c>
      <c r="AL239" s="335">
        <v>23791.4</v>
      </c>
      <c r="AM239" s="250">
        <v>16.899999999999999</v>
      </c>
      <c r="AN239" s="422">
        <v>18.3</v>
      </c>
      <c r="AO239" s="335">
        <v>508852.6</v>
      </c>
      <c r="AP239" s="335">
        <v>234634.4</v>
      </c>
      <c r="AQ239" s="850">
        <v>65615.487999999998</v>
      </c>
      <c r="AR239" s="1014"/>
      <c r="AS239" s="335">
        <v>474787.7</v>
      </c>
      <c r="AT239" s="335">
        <v>208859.6</v>
      </c>
      <c r="AU239" s="335">
        <v>81980.3</v>
      </c>
      <c r="AV239" s="685">
        <v>4631.26</v>
      </c>
      <c r="AW239" s="685">
        <v>3092.5</v>
      </c>
      <c r="AX239" s="683">
        <v>230.61</v>
      </c>
      <c r="AY239" s="683">
        <v>139.5</v>
      </c>
      <c r="AZ239" s="850">
        <v>826.30399999999997</v>
      </c>
      <c r="BA239" s="1105">
        <v>350.65300000000002</v>
      </c>
      <c r="BB239" s="1089">
        <v>1830.6</v>
      </c>
      <c r="BC239" s="685">
        <v>3206.6</v>
      </c>
      <c r="BD239" s="685">
        <v>492.6</v>
      </c>
      <c r="BE239" s="335">
        <v>5485.92</v>
      </c>
      <c r="BF239" s="335">
        <v>33820.4596491228</v>
      </c>
      <c r="BG239" s="1105">
        <v>9369.5970607879499</v>
      </c>
      <c r="BH239" s="335">
        <v>5890.12</v>
      </c>
      <c r="BI239" s="250">
        <v>2758214</v>
      </c>
      <c r="BJ239" s="250">
        <v>597</v>
      </c>
      <c r="BK239" s="250">
        <v>21577.5</v>
      </c>
      <c r="BL239" s="250">
        <v>3555652</v>
      </c>
      <c r="BM239" s="250">
        <v>129523</v>
      </c>
      <c r="BN239" s="250">
        <v>22048.400000000001</v>
      </c>
      <c r="BO239" s="685">
        <v>3276002</v>
      </c>
      <c r="BP239" s="685">
        <v>167534</v>
      </c>
      <c r="BQ239" s="685">
        <v>19250.400000000001</v>
      </c>
      <c r="BR239" s="335">
        <v>9268.94</v>
      </c>
      <c r="BS239" s="335">
        <v>6298.86</v>
      </c>
      <c r="BT239" s="335">
        <v>1205641</v>
      </c>
      <c r="BU239" s="335">
        <v>683864</v>
      </c>
      <c r="BV239" s="335">
        <v>763584</v>
      </c>
      <c r="BW239" s="335">
        <v>481633</v>
      </c>
      <c r="BX239" s="1326">
        <v>0</v>
      </c>
    </row>
    <row r="240" spans="1:76">
      <c r="A240" s="160">
        <v>45150</v>
      </c>
      <c r="B240" s="250">
        <v>1074.0350000000001</v>
      </c>
      <c r="C240" s="250">
        <v>592.79499999999996</v>
      </c>
      <c r="D240" s="250">
        <v>6872.9</v>
      </c>
      <c r="E240" s="1317">
        <v>0</v>
      </c>
      <c r="F240" s="1014">
        <v>19346.099999999999</v>
      </c>
      <c r="G240" s="1014">
        <v>6005.5</v>
      </c>
      <c r="H240" s="1014">
        <v>19225.3</v>
      </c>
      <c r="I240" s="1014">
        <v>9620.1</v>
      </c>
      <c r="J240" s="1014">
        <v>208037.3</v>
      </c>
      <c r="K240" s="250">
        <v>14966.4</v>
      </c>
      <c r="L240" s="250">
        <v>7011.3</v>
      </c>
      <c r="M240" s="683">
        <v>46196.1</v>
      </c>
      <c r="N240" s="683">
        <v>36751.4</v>
      </c>
      <c r="O240" s="1014">
        <v>138839.81</v>
      </c>
      <c r="P240" s="1014">
        <v>115128.35</v>
      </c>
      <c r="Q240" s="1014">
        <v>141450.73000000001</v>
      </c>
      <c r="R240" s="1014">
        <v>97055.8</v>
      </c>
      <c r="S240" s="250">
        <v>14063.6</v>
      </c>
      <c r="T240" s="250">
        <v>10680.14</v>
      </c>
      <c r="U240" s="1014">
        <v>54253.203000000001</v>
      </c>
      <c r="V240" s="1014">
        <v>27911</v>
      </c>
      <c r="W240" s="1014">
        <v>213643.4</v>
      </c>
      <c r="X240" s="250">
        <v>345.9</v>
      </c>
      <c r="Y240" s="250">
        <v>50716</v>
      </c>
      <c r="Z240" s="1014">
        <v>610305.43999999994</v>
      </c>
      <c r="AA240" s="1014">
        <v>310708.03000000003</v>
      </c>
      <c r="AB240" s="1014">
        <v>213663.3</v>
      </c>
      <c r="AC240" s="250">
        <v>1112.4000000000001</v>
      </c>
      <c r="AD240" s="251">
        <v>942</v>
      </c>
      <c r="AE240" s="1014">
        <v>234.63</v>
      </c>
      <c r="AF240" s="1014">
        <v>173.43</v>
      </c>
      <c r="AG240" s="1014">
        <v>83162.62</v>
      </c>
      <c r="AH240" s="1014">
        <v>64280.33</v>
      </c>
      <c r="AI240" s="1014">
        <v>69599.199999999997</v>
      </c>
      <c r="AJ240" s="1014">
        <v>56848.76</v>
      </c>
      <c r="AK240" s="1014">
        <v>60527.8</v>
      </c>
      <c r="AL240" s="1014">
        <v>23795.7</v>
      </c>
      <c r="AM240" s="250">
        <v>16.899999999999999</v>
      </c>
      <c r="AN240" s="422">
        <v>18.3</v>
      </c>
      <c r="AO240" s="1014">
        <v>509017.9</v>
      </c>
      <c r="AP240" s="1014">
        <v>234706.8</v>
      </c>
      <c r="AQ240" s="1014">
        <v>65619.925000000003</v>
      </c>
      <c r="AR240" s="1014"/>
      <c r="AS240" s="1014">
        <v>474938.9</v>
      </c>
      <c r="AT240" s="1014">
        <v>208925.1</v>
      </c>
      <c r="AU240" s="1014">
        <v>82004.3</v>
      </c>
      <c r="AV240" s="1014">
        <v>4633.24</v>
      </c>
      <c r="AW240" s="1014">
        <v>3093.81</v>
      </c>
      <c r="AX240" s="683">
        <v>230.61</v>
      </c>
      <c r="AY240" s="683">
        <v>139.5</v>
      </c>
      <c r="AZ240" s="850">
        <v>826.30399999999997</v>
      </c>
      <c r="BA240" s="1105">
        <v>350.65300000000002</v>
      </c>
      <c r="BB240" s="1089">
        <v>1830.6</v>
      </c>
      <c r="BC240" s="1014">
        <v>3208.9</v>
      </c>
      <c r="BD240" s="1014">
        <v>492.7</v>
      </c>
      <c r="BE240" s="1014">
        <v>5930.58</v>
      </c>
      <c r="BF240" s="1014">
        <v>28391.247368421002</v>
      </c>
      <c r="BG240" s="1014">
        <v>8065.7923578775499</v>
      </c>
      <c r="BH240" s="1014">
        <v>5802.21</v>
      </c>
      <c r="BI240" s="250">
        <v>2758214</v>
      </c>
      <c r="BJ240" s="250">
        <v>597</v>
      </c>
      <c r="BK240" s="250">
        <v>21577.5</v>
      </c>
      <c r="BL240" s="250">
        <v>3559466</v>
      </c>
      <c r="BM240" s="250">
        <v>129692</v>
      </c>
      <c r="BN240" s="250">
        <v>22072.400000000001</v>
      </c>
      <c r="BO240" s="1014">
        <v>3280019</v>
      </c>
      <c r="BP240" s="1014">
        <v>167613</v>
      </c>
      <c r="BQ240" s="1014">
        <v>19274.400000000001</v>
      </c>
      <c r="BR240" s="1014">
        <v>9274.11</v>
      </c>
      <c r="BS240" s="1014">
        <v>6302.38</v>
      </c>
      <c r="BT240" s="1014">
        <v>1206854</v>
      </c>
      <c r="BU240" s="1014">
        <v>684534</v>
      </c>
      <c r="BV240" s="1014">
        <v>763773</v>
      </c>
      <c r="BW240" s="1014">
        <v>481751</v>
      </c>
      <c r="BX240" s="1326">
        <v>0</v>
      </c>
    </row>
    <row r="241" spans="1:130" s="423" customFormat="1">
      <c r="A241" s="160">
        <v>45151</v>
      </c>
      <c r="B241" s="250">
        <v>1074.0350000000001</v>
      </c>
      <c r="C241" s="250">
        <v>592.79499999999996</v>
      </c>
      <c r="D241" s="250">
        <v>6872.9</v>
      </c>
      <c r="E241" s="1317">
        <v>0</v>
      </c>
      <c r="F241" s="1014">
        <v>19360</v>
      </c>
      <c r="G241" s="1014">
        <v>6008.4</v>
      </c>
      <c r="H241" s="1014">
        <v>19390</v>
      </c>
      <c r="I241" s="1014">
        <v>9701.6</v>
      </c>
      <c r="J241" s="1014">
        <v>208061.3</v>
      </c>
      <c r="K241" s="250">
        <v>14966.5</v>
      </c>
      <c r="L241" s="250">
        <v>7011.3</v>
      </c>
      <c r="M241" s="683">
        <v>46196.1</v>
      </c>
      <c r="N241" s="683">
        <v>36751.4</v>
      </c>
      <c r="O241" s="1014">
        <v>138849.54999999999</v>
      </c>
      <c r="P241" s="1014">
        <v>115136.8</v>
      </c>
      <c r="Q241" s="1014">
        <v>141465.12</v>
      </c>
      <c r="R241" s="1014">
        <v>97065.8</v>
      </c>
      <c r="S241" s="250">
        <v>14063.6</v>
      </c>
      <c r="T241" s="250">
        <v>10680.14</v>
      </c>
      <c r="U241" s="1014">
        <v>54549.207000000002</v>
      </c>
      <c r="V241" s="1014">
        <v>28059</v>
      </c>
      <c r="W241" s="1014">
        <v>213667.4</v>
      </c>
      <c r="X241" s="250">
        <v>345.9</v>
      </c>
      <c r="Y241" s="250">
        <v>50716</v>
      </c>
      <c r="Z241" s="1014">
        <v>610451.65</v>
      </c>
      <c r="AA241" s="1014">
        <v>310781.31</v>
      </c>
      <c r="AB241" s="1014">
        <v>213687.3</v>
      </c>
      <c r="AC241" s="250">
        <v>1112.4000000000001</v>
      </c>
      <c r="AD241" s="251">
        <v>942</v>
      </c>
      <c r="AE241" s="1014">
        <v>237.73</v>
      </c>
      <c r="AF241" s="1014">
        <v>175.71</v>
      </c>
      <c r="AG241" s="1014">
        <v>83171.91</v>
      </c>
      <c r="AH241" s="1014">
        <v>64287.42</v>
      </c>
      <c r="AI241" s="1014">
        <v>69635.8</v>
      </c>
      <c r="AJ241" s="1014">
        <v>56880.7</v>
      </c>
      <c r="AK241" s="1014">
        <v>60537.9</v>
      </c>
      <c r="AL241" s="1014">
        <v>23799.4</v>
      </c>
      <c r="AM241" s="250">
        <v>16.899999999999999</v>
      </c>
      <c r="AN241" s="422">
        <v>18.3</v>
      </c>
      <c r="AO241" s="1014">
        <v>509181.7</v>
      </c>
      <c r="AP241" s="1014">
        <v>234778.5</v>
      </c>
      <c r="AQ241" s="1014">
        <v>65624.235000000001</v>
      </c>
      <c r="AR241" s="1014"/>
      <c r="AS241" s="1014">
        <v>475088</v>
      </c>
      <c r="AT241" s="1014">
        <v>208989.6</v>
      </c>
      <c r="AU241" s="1014">
        <v>82028.3</v>
      </c>
      <c r="AV241" s="1014">
        <v>4635.7</v>
      </c>
      <c r="AW241" s="1014">
        <v>3095.45</v>
      </c>
      <c r="AX241" s="683">
        <v>230.61</v>
      </c>
      <c r="AY241" s="683">
        <v>139.5</v>
      </c>
      <c r="AZ241" s="850">
        <v>826.30399999999997</v>
      </c>
      <c r="BA241" s="1105">
        <v>350.65300000000002</v>
      </c>
      <c r="BB241" s="1089">
        <v>1830.6</v>
      </c>
      <c r="BC241" s="1014">
        <v>3211.3</v>
      </c>
      <c r="BD241" s="1014">
        <v>492.8</v>
      </c>
      <c r="BE241" s="1014">
        <v>5891.2</v>
      </c>
      <c r="BF241" s="1014">
        <v>37003.633333333302</v>
      </c>
      <c r="BG241" s="1014">
        <v>7374.7379223519602</v>
      </c>
      <c r="BH241" s="1014">
        <v>7156.92</v>
      </c>
      <c r="BI241" s="250">
        <v>2758214</v>
      </c>
      <c r="BJ241" s="250">
        <v>597</v>
      </c>
      <c r="BK241" s="250">
        <v>21577.5</v>
      </c>
      <c r="BL241" s="250">
        <v>3564968</v>
      </c>
      <c r="BM241" s="250">
        <v>130104</v>
      </c>
      <c r="BN241" s="250">
        <v>22096.400000000001</v>
      </c>
      <c r="BO241" s="1014">
        <v>3282910</v>
      </c>
      <c r="BP241" s="1014">
        <v>167655</v>
      </c>
      <c r="BQ241" s="1014">
        <v>19298.400000000001</v>
      </c>
      <c r="BR241" s="1014">
        <v>9279.3700000000008</v>
      </c>
      <c r="BS241" s="1014">
        <v>6305.95</v>
      </c>
      <c r="BT241" s="1014">
        <v>1208052</v>
      </c>
      <c r="BU241" s="1014">
        <v>685201</v>
      </c>
      <c r="BV241" s="1014">
        <v>763976</v>
      </c>
      <c r="BW241" s="1014">
        <v>481879</v>
      </c>
      <c r="BX241" s="1326">
        <v>0</v>
      </c>
    </row>
    <row r="242" spans="1:130">
      <c r="A242" s="160">
        <v>45152</v>
      </c>
      <c r="B242" s="250">
        <v>1074.3789999999999</v>
      </c>
      <c r="C242" s="250">
        <v>592.96900000000005</v>
      </c>
      <c r="D242" s="250">
        <v>6873.5</v>
      </c>
      <c r="E242" s="1317">
        <v>0.3</v>
      </c>
      <c r="F242" s="1014">
        <v>19373.900000000001</v>
      </c>
      <c r="G242" s="1014">
        <v>6011.9</v>
      </c>
      <c r="H242" s="1014">
        <v>19556.3</v>
      </c>
      <c r="I242" s="1014">
        <v>9783.4</v>
      </c>
      <c r="J242" s="1014">
        <v>208085.3</v>
      </c>
      <c r="K242" s="250">
        <v>14966.6</v>
      </c>
      <c r="L242" s="250">
        <v>7011.3</v>
      </c>
      <c r="M242" s="683">
        <v>46196.1</v>
      </c>
      <c r="N242" s="683">
        <v>36751.4</v>
      </c>
      <c r="O242" s="1014">
        <v>138861.13</v>
      </c>
      <c r="P242" s="1014">
        <v>115145.2</v>
      </c>
      <c r="Q242" s="1014">
        <v>141481.29999999999</v>
      </c>
      <c r="R242" s="1014">
        <v>97076.5</v>
      </c>
      <c r="S242" s="250">
        <v>14063.6</v>
      </c>
      <c r="T242" s="250">
        <v>10680.14</v>
      </c>
      <c r="U242" s="1014">
        <v>54844.667999999998</v>
      </c>
      <c r="V242" s="1014">
        <v>28207</v>
      </c>
      <c r="W242" s="1014">
        <v>213691.4</v>
      </c>
      <c r="X242" s="250">
        <v>345.9</v>
      </c>
      <c r="Y242" s="250">
        <v>50716</v>
      </c>
      <c r="Z242" s="1014">
        <v>610598.75</v>
      </c>
      <c r="AA242" s="1014">
        <v>310854.7</v>
      </c>
      <c r="AB242" s="1014">
        <v>213711.3</v>
      </c>
      <c r="AC242" s="250">
        <v>1112.4000000000001</v>
      </c>
      <c r="AD242" s="251">
        <v>942</v>
      </c>
      <c r="AE242" s="250">
        <v>240.35</v>
      </c>
      <c r="AF242" s="250">
        <v>177.79</v>
      </c>
      <c r="AG242" s="422">
        <v>83180.100000000006</v>
      </c>
      <c r="AH242" s="250">
        <v>64293.5</v>
      </c>
      <c r="AI242" s="1014">
        <v>69670.240000000005</v>
      </c>
      <c r="AJ242" s="1014">
        <v>56910.01</v>
      </c>
      <c r="AK242" s="1014">
        <v>60549.4</v>
      </c>
      <c r="AL242" s="1014">
        <v>23803.9</v>
      </c>
      <c r="AM242" s="250">
        <v>16.899999999999999</v>
      </c>
      <c r="AN242" s="422">
        <v>18.3</v>
      </c>
      <c r="AO242" s="1014">
        <v>509342.7</v>
      </c>
      <c r="AP242" s="1014">
        <v>234848.9</v>
      </c>
      <c r="AQ242" s="1014">
        <v>65629.006999999998</v>
      </c>
      <c r="AR242" s="1014"/>
      <c r="AS242" s="1014">
        <v>475234.6</v>
      </c>
      <c r="AT242" s="1014">
        <v>209053.2</v>
      </c>
      <c r="AU242" s="1014">
        <v>82052.3</v>
      </c>
      <c r="AV242" s="1014">
        <v>4638.1400000000003</v>
      </c>
      <c r="AW242" s="1014">
        <v>3097.08</v>
      </c>
      <c r="AX242" s="683">
        <v>230.61</v>
      </c>
      <c r="AY242" s="683">
        <v>139.5</v>
      </c>
      <c r="AZ242" s="850">
        <v>826.7</v>
      </c>
      <c r="BA242" s="850">
        <v>350.80500000000001</v>
      </c>
      <c r="BB242" s="657">
        <v>1831.05</v>
      </c>
      <c r="BC242" s="683">
        <v>3213.7</v>
      </c>
      <c r="BD242" s="683">
        <v>492.9</v>
      </c>
      <c r="BE242" s="1014">
        <v>5886.85</v>
      </c>
      <c r="BF242" s="1014">
        <v>33657.335087719301</v>
      </c>
      <c r="BG242" s="1014">
        <v>9392.2635810898191</v>
      </c>
      <c r="BH242" s="1014">
        <v>5855.21</v>
      </c>
      <c r="BI242" s="250">
        <v>2758214</v>
      </c>
      <c r="BJ242" s="250">
        <v>597</v>
      </c>
      <c r="BK242" s="250">
        <v>21577.5</v>
      </c>
      <c r="BL242" s="250">
        <v>3568217</v>
      </c>
      <c r="BM242" s="250">
        <v>130227</v>
      </c>
      <c r="BN242" s="250">
        <v>22120.400000000001</v>
      </c>
      <c r="BO242" s="250">
        <v>3287794</v>
      </c>
      <c r="BP242" s="250">
        <v>168050</v>
      </c>
      <c r="BQ242" s="250">
        <v>19322.400000000001</v>
      </c>
      <c r="BR242" s="250">
        <v>9284.5300000000007</v>
      </c>
      <c r="BS242" s="250">
        <v>6309.45</v>
      </c>
      <c r="BT242" s="250">
        <v>1209221</v>
      </c>
      <c r="BU242" s="250">
        <v>685851</v>
      </c>
      <c r="BV242" s="250">
        <v>764197</v>
      </c>
      <c r="BW242" s="250">
        <v>482018</v>
      </c>
      <c r="BX242" s="1326">
        <v>0.4</v>
      </c>
    </row>
    <row r="243" spans="1:130">
      <c r="A243" s="160">
        <v>45153</v>
      </c>
      <c r="B243" s="250">
        <v>1074.3789999999999</v>
      </c>
      <c r="C243" s="250">
        <v>592.96900000000005</v>
      </c>
      <c r="D243" s="250">
        <v>6873.5</v>
      </c>
      <c r="E243" s="1317">
        <v>0</v>
      </c>
      <c r="F243" s="718">
        <v>19388.099999999999</v>
      </c>
      <c r="G243" s="718">
        <v>6015.1</v>
      </c>
      <c r="H243" s="718">
        <v>19722.599999999999</v>
      </c>
      <c r="I243" s="718">
        <v>9865.2000000000007</v>
      </c>
      <c r="J243" s="1081">
        <v>208109.3</v>
      </c>
      <c r="K243" s="250">
        <v>14966.7</v>
      </c>
      <c r="L243" s="250">
        <v>7011.3</v>
      </c>
      <c r="M243" s="683">
        <v>46196.1</v>
      </c>
      <c r="N243" s="683">
        <v>36751.4</v>
      </c>
      <c r="O243" s="718">
        <v>138873</v>
      </c>
      <c r="P243" s="718">
        <v>115155</v>
      </c>
      <c r="Q243" s="718">
        <v>141497</v>
      </c>
      <c r="R243" s="718">
        <v>97087.7</v>
      </c>
      <c r="S243" s="250">
        <v>14063.6</v>
      </c>
      <c r="T243" s="250">
        <v>10680.14</v>
      </c>
      <c r="U243" s="718">
        <v>55139.222999999998</v>
      </c>
      <c r="V243" s="718">
        <v>28355</v>
      </c>
      <c r="W243" s="718">
        <v>213715.4</v>
      </c>
      <c r="X243" s="250">
        <v>345.9</v>
      </c>
      <c r="Y243" s="250">
        <v>50716</v>
      </c>
      <c r="Z243" s="718">
        <v>610745.59999999998</v>
      </c>
      <c r="AA243" s="718">
        <v>310927.38</v>
      </c>
      <c r="AB243" s="1014">
        <v>213735.3</v>
      </c>
      <c r="AC243" s="250">
        <v>1112.4000000000001</v>
      </c>
      <c r="AD243" s="251">
        <v>942</v>
      </c>
      <c r="AE243" s="250">
        <v>242.84</v>
      </c>
      <c r="AF243" s="250">
        <v>177.79</v>
      </c>
      <c r="AG243" s="422">
        <v>83188.5</v>
      </c>
      <c r="AH243" s="250">
        <v>64300.1</v>
      </c>
      <c r="AI243" s="718">
        <v>69703</v>
      </c>
      <c r="AJ243" s="718">
        <v>56938.2</v>
      </c>
      <c r="AK243" s="718">
        <v>60561</v>
      </c>
      <c r="AL243" s="718">
        <v>23808.400000000001</v>
      </c>
      <c r="AM243" s="250">
        <v>16.899999999999999</v>
      </c>
      <c r="AN243" s="422">
        <v>18.3</v>
      </c>
      <c r="AO243" s="718">
        <v>509505</v>
      </c>
      <c r="AP243" s="718">
        <v>234920</v>
      </c>
      <c r="AQ243" s="718">
        <v>65633.600000000006</v>
      </c>
      <c r="AR243" s="1014"/>
      <c r="AS243" s="718">
        <v>475380.7</v>
      </c>
      <c r="AT243" s="718">
        <v>209116.5</v>
      </c>
      <c r="AU243" s="718">
        <v>82076.3</v>
      </c>
      <c r="AV243" s="718">
        <v>4640.6000000000004</v>
      </c>
      <c r="AW243" s="718">
        <v>3098.71</v>
      </c>
      <c r="AX243" s="683">
        <v>230.61</v>
      </c>
      <c r="AY243" s="683">
        <v>139.5</v>
      </c>
      <c r="AZ243" s="850">
        <v>826.7</v>
      </c>
      <c r="BA243" s="850">
        <v>350.80500000000001</v>
      </c>
      <c r="BB243" s="657">
        <v>1831.05</v>
      </c>
      <c r="BC243" s="718">
        <v>3216.1</v>
      </c>
      <c r="BD243" s="718">
        <v>492.9</v>
      </c>
      <c r="BE243" s="718">
        <v>5503.21</v>
      </c>
      <c r="BF243" s="718">
        <v>33631.485964912303</v>
      </c>
      <c r="BG243" s="718">
        <v>8244.0128423367096</v>
      </c>
      <c r="BH243" s="718">
        <v>5882.25</v>
      </c>
      <c r="BI243" s="250">
        <v>2758214</v>
      </c>
      <c r="BJ243" s="250">
        <v>597</v>
      </c>
      <c r="BK243" s="250">
        <v>21577.5</v>
      </c>
      <c r="BL243" s="250">
        <v>3572012</v>
      </c>
      <c r="BM243" s="250">
        <v>130441</v>
      </c>
      <c r="BN243" s="250">
        <v>22144.400000000001</v>
      </c>
      <c r="BO243" s="683">
        <v>3292426</v>
      </c>
      <c r="BP243" s="683">
        <v>168297</v>
      </c>
      <c r="BQ243" s="683">
        <v>19346.400000000001</v>
      </c>
      <c r="BR243" s="718">
        <v>9289.69</v>
      </c>
      <c r="BS243" s="718">
        <v>6312.93</v>
      </c>
      <c r="BT243" s="718">
        <v>1210397</v>
      </c>
      <c r="BU243" s="718">
        <v>686496</v>
      </c>
      <c r="BV243" s="718">
        <v>764466</v>
      </c>
      <c r="BW243" s="718">
        <v>482183</v>
      </c>
      <c r="BX243" s="1417">
        <v>0</v>
      </c>
    </row>
    <row r="244" spans="1:130">
      <c r="A244" s="160">
        <v>45154</v>
      </c>
      <c r="B244" s="250">
        <v>1074.3789999999999</v>
      </c>
      <c r="C244" s="250">
        <v>592.96900000000005</v>
      </c>
      <c r="D244" s="250">
        <v>6873.5</v>
      </c>
      <c r="E244" s="1317">
        <v>0</v>
      </c>
      <c r="F244" s="683">
        <v>19402</v>
      </c>
      <c r="G244" s="683">
        <v>6018.3</v>
      </c>
      <c r="H244" s="683">
        <v>19888.7</v>
      </c>
      <c r="I244" s="683">
        <v>9946.9</v>
      </c>
      <c r="J244" s="718">
        <v>208133.3</v>
      </c>
      <c r="K244" s="250">
        <v>14966.8</v>
      </c>
      <c r="L244" s="250">
        <v>7011.3</v>
      </c>
      <c r="M244" s="683">
        <v>46196.1</v>
      </c>
      <c r="N244" s="683">
        <v>36751.4</v>
      </c>
      <c r="O244" s="683">
        <v>138886</v>
      </c>
      <c r="P244" s="683">
        <v>115165</v>
      </c>
      <c r="Q244" s="683">
        <v>141513</v>
      </c>
      <c r="R244" s="683">
        <v>97098.5</v>
      </c>
      <c r="S244" s="250">
        <v>14063.6</v>
      </c>
      <c r="T244" s="250">
        <v>10680.14</v>
      </c>
      <c r="U244" s="683">
        <v>55431.883000000002</v>
      </c>
      <c r="V244" s="683">
        <v>28501</v>
      </c>
      <c r="W244" s="718">
        <v>213739.4</v>
      </c>
      <c r="X244" s="250">
        <v>345.9</v>
      </c>
      <c r="Y244" s="250">
        <v>50716</v>
      </c>
      <c r="Z244" s="683">
        <v>610892.30000000005</v>
      </c>
      <c r="AA244" s="683">
        <v>310999.28000000003</v>
      </c>
      <c r="AB244" s="1081">
        <v>213759.3</v>
      </c>
      <c r="AC244" s="250">
        <v>1112.4000000000001</v>
      </c>
      <c r="AD244" s="251">
        <v>942</v>
      </c>
      <c r="AE244" s="250">
        <v>245.17</v>
      </c>
      <c r="AF244" s="250">
        <v>181.68</v>
      </c>
      <c r="AG244" s="422">
        <v>83196.100000000006</v>
      </c>
      <c r="AH244" s="250">
        <v>64305.9</v>
      </c>
      <c r="AI244" s="683">
        <v>69734</v>
      </c>
      <c r="AJ244" s="683">
        <v>56964.9</v>
      </c>
      <c r="AK244" s="683">
        <v>60571.3</v>
      </c>
      <c r="AL244" s="683">
        <v>23812.3</v>
      </c>
      <c r="AM244" s="250">
        <v>16.899999999999999</v>
      </c>
      <c r="AN244" s="422">
        <v>18.3</v>
      </c>
      <c r="AO244" s="683">
        <v>509665</v>
      </c>
      <c r="AP244" s="683">
        <v>234990</v>
      </c>
      <c r="AQ244" s="683">
        <v>65638.3</v>
      </c>
      <c r="AR244" s="1014"/>
      <c r="AS244" s="683">
        <v>475526.8</v>
      </c>
      <c r="AT244" s="683">
        <v>209179.8</v>
      </c>
      <c r="AU244" s="718">
        <v>82100.3</v>
      </c>
      <c r="AV244" s="683">
        <v>4642.8999999999996</v>
      </c>
      <c r="AW244" s="683">
        <v>3100.3</v>
      </c>
      <c r="AX244" s="683">
        <v>230.61</v>
      </c>
      <c r="AY244" s="683">
        <v>139.5</v>
      </c>
      <c r="AZ244" s="850">
        <v>826.7</v>
      </c>
      <c r="BA244" s="850">
        <v>350.80500000000001</v>
      </c>
      <c r="BB244" s="657">
        <v>1831.05</v>
      </c>
      <c r="BC244" s="683">
        <v>3218.4</v>
      </c>
      <c r="BD244" s="718">
        <v>493</v>
      </c>
      <c r="BE244" s="683">
        <v>5762.73</v>
      </c>
      <c r="BF244" s="683">
        <v>33891.517543859598</v>
      </c>
      <c r="BG244" s="683">
        <v>9020.4096082795695</v>
      </c>
      <c r="BH244" s="718">
        <v>6488.08</v>
      </c>
      <c r="BI244" s="250">
        <v>2758214</v>
      </c>
      <c r="BJ244" s="250">
        <v>597</v>
      </c>
      <c r="BK244" s="250">
        <v>21577.5</v>
      </c>
      <c r="BL244" s="250">
        <v>3576093</v>
      </c>
      <c r="BM244" s="250">
        <v>130804</v>
      </c>
      <c r="BN244" s="250">
        <v>22168.400000000001</v>
      </c>
      <c r="BO244" s="250">
        <v>3296564</v>
      </c>
      <c r="BP244" s="250">
        <v>168524</v>
      </c>
      <c r="BQ244" s="683">
        <v>19370.400000000001</v>
      </c>
      <c r="BR244" s="250">
        <v>9294.7000000000007</v>
      </c>
      <c r="BS244" s="250">
        <v>6316.3</v>
      </c>
      <c r="BT244" s="250">
        <v>1211552</v>
      </c>
      <c r="BU244" s="250">
        <v>687124</v>
      </c>
      <c r="BV244" s="250">
        <v>764715</v>
      </c>
      <c r="BW244" s="250">
        <v>482336</v>
      </c>
      <c r="BX244" s="1418">
        <v>0</v>
      </c>
    </row>
    <row r="245" spans="1:130" s="336" customFormat="1">
      <c r="A245" s="160">
        <v>45155</v>
      </c>
      <c r="B245" s="250">
        <v>1074.3789999999999</v>
      </c>
      <c r="C245" s="250">
        <v>592.96900000000005</v>
      </c>
      <c r="D245" s="250">
        <v>6873.5</v>
      </c>
      <c r="E245" s="1317">
        <v>0</v>
      </c>
      <c r="F245" s="685">
        <v>19416.099999999999</v>
      </c>
      <c r="G245" s="685">
        <v>6021.6</v>
      </c>
      <c r="H245" s="335">
        <v>20058</v>
      </c>
      <c r="I245" s="683">
        <v>10030</v>
      </c>
      <c r="J245" s="335">
        <v>208157.3</v>
      </c>
      <c r="K245" s="250">
        <v>14966.8</v>
      </c>
      <c r="L245" s="250">
        <v>7011.3</v>
      </c>
      <c r="M245" s="683">
        <v>46196.1</v>
      </c>
      <c r="N245" s="683">
        <v>36751.4</v>
      </c>
      <c r="O245" s="335">
        <v>138899</v>
      </c>
      <c r="P245" s="335">
        <v>115175</v>
      </c>
      <c r="Q245" s="335">
        <v>141529</v>
      </c>
      <c r="R245" s="335">
        <v>97109.7</v>
      </c>
      <c r="S245" s="250">
        <v>14063.6</v>
      </c>
      <c r="T245" s="250">
        <v>10680.14</v>
      </c>
      <c r="U245" s="335">
        <v>55722</v>
      </c>
      <c r="V245" s="335">
        <v>28648</v>
      </c>
      <c r="W245" s="335">
        <v>213763.4</v>
      </c>
      <c r="X245" s="250">
        <v>345.9</v>
      </c>
      <c r="Y245" s="250">
        <v>50716</v>
      </c>
      <c r="Z245" s="335">
        <v>611038</v>
      </c>
      <c r="AA245" s="335">
        <v>311070</v>
      </c>
      <c r="AB245" s="335">
        <v>213783.3</v>
      </c>
      <c r="AC245" s="250">
        <v>1112.4000000000001</v>
      </c>
      <c r="AD245" s="251">
        <v>942</v>
      </c>
      <c r="AE245" s="250">
        <v>247.6</v>
      </c>
      <c r="AF245" s="250">
        <v>183.7</v>
      </c>
      <c r="AG245" s="422">
        <v>83204.800000000003</v>
      </c>
      <c r="AH245" s="250">
        <v>64312.6</v>
      </c>
      <c r="AI245" s="335">
        <v>69764.800000000003</v>
      </c>
      <c r="AJ245" s="335">
        <v>56991.3</v>
      </c>
      <c r="AK245" s="335">
        <v>60576.4</v>
      </c>
      <c r="AL245" s="335">
        <v>23814.1</v>
      </c>
      <c r="AM245" s="250">
        <v>16.899999999999999</v>
      </c>
      <c r="AN245" s="422">
        <v>18.3</v>
      </c>
      <c r="AO245" s="335">
        <v>509826</v>
      </c>
      <c r="AP245" s="335">
        <v>235060</v>
      </c>
      <c r="AQ245" s="335">
        <v>65643</v>
      </c>
      <c r="AR245" s="335"/>
      <c r="AS245" s="335">
        <v>475671</v>
      </c>
      <c r="AT245" s="335">
        <v>209242</v>
      </c>
      <c r="AU245" s="335">
        <v>82124.3</v>
      </c>
      <c r="AV245" s="335">
        <v>4645.2</v>
      </c>
      <c r="AW245" s="335">
        <v>3101.8</v>
      </c>
      <c r="AX245" s="250">
        <v>230.66</v>
      </c>
      <c r="AY245" s="250">
        <v>139.53</v>
      </c>
      <c r="AZ245" s="850">
        <v>826.7</v>
      </c>
      <c r="BA245" s="850">
        <v>350.80500000000001</v>
      </c>
      <c r="BB245" s="657">
        <v>1831.05</v>
      </c>
      <c r="BC245" s="335">
        <v>3220.8</v>
      </c>
      <c r="BD245" s="718">
        <v>493.1</v>
      </c>
      <c r="BE245" s="335">
        <v>5671.22</v>
      </c>
      <c r="BF245" s="335">
        <v>33761.010526315797</v>
      </c>
      <c r="BG245" s="335">
        <v>8945.0277652355508</v>
      </c>
      <c r="BH245" s="335">
        <v>6123.46</v>
      </c>
      <c r="BI245" s="250">
        <v>2758214</v>
      </c>
      <c r="BJ245" s="250">
        <v>597</v>
      </c>
      <c r="BK245" s="250">
        <v>21577.5</v>
      </c>
      <c r="BL245" s="335">
        <v>3580886</v>
      </c>
      <c r="BM245" s="335">
        <v>131204</v>
      </c>
      <c r="BN245" s="335">
        <v>22192.400000000001</v>
      </c>
      <c r="BO245" s="335">
        <v>3300165</v>
      </c>
      <c r="BP245" s="335">
        <v>168593</v>
      </c>
      <c r="BQ245" s="335">
        <v>19394.400000000001</v>
      </c>
      <c r="BR245" s="335">
        <v>9300</v>
      </c>
      <c r="BS245" s="335">
        <v>6319.9</v>
      </c>
      <c r="BT245" s="335">
        <v>1212760</v>
      </c>
      <c r="BU245" s="335">
        <v>687788</v>
      </c>
      <c r="BV245" s="335">
        <v>764906</v>
      </c>
      <c r="BW245" s="335">
        <v>482461</v>
      </c>
      <c r="BX245" s="1418">
        <v>0</v>
      </c>
    </row>
    <row r="246" spans="1:130">
      <c r="A246" s="160">
        <v>45156</v>
      </c>
      <c r="B246" s="250">
        <v>1074.3789999999999</v>
      </c>
      <c r="C246" s="250">
        <v>592.96900000000005</v>
      </c>
      <c r="D246" s="250">
        <v>6873.5</v>
      </c>
      <c r="E246" s="1317">
        <v>0</v>
      </c>
      <c r="F246" s="683">
        <v>19430.5</v>
      </c>
      <c r="G246" s="683">
        <v>6024.8</v>
      </c>
      <c r="H246" s="683">
        <v>20226</v>
      </c>
      <c r="I246" s="683">
        <v>10112</v>
      </c>
      <c r="J246" s="683">
        <v>208181.3</v>
      </c>
      <c r="K246" s="250">
        <v>14967</v>
      </c>
      <c r="L246" s="250">
        <v>7011.3</v>
      </c>
      <c r="M246" s="683">
        <v>46196.1</v>
      </c>
      <c r="N246" s="683">
        <v>36751.4</v>
      </c>
      <c r="O246" s="683">
        <v>138911</v>
      </c>
      <c r="P246" s="683">
        <v>115184</v>
      </c>
      <c r="Q246" s="683">
        <v>141541</v>
      </c>
      <c r="R246" s="683">
        <v>97117.3</v>
      </c>
      <c r="S246" s="250">
        <v>14063.6</v>
      </c>
      <c r="T246" s="250">
        <v>10680.14</v>
      </c>
      <c r="U246" s="683">
        <v>56019</v>
      </c>
      <c r="V246" s="683">
        <v>28796</v>
      </c>
      <c r="W246" s="683">
        <v>213787.4</v>
      </c>
      <c r="X246" s="250">
        <v>345.9</v>
      </c>
      <c r="Y246" s="250">
        <v>50716</v>
      </c>
      <c r="Z246" s="683">
        <v>611186</v>
      </c>
      <c r="AA246" s="683">
        <v>311142</v>
      </c>
      <c r="AB246" s="683">
        <v>213807.3</v>
      </c>
      <c r="AC246" s="250">
        <v>1112.4000000000001</v>
      </c>
      <c r="AD246" s="251">
        <v>942</v>
      </c>
      <c r="AE246" s="250">
        <v>252.5</v>
      </c>
      <c r="AF246" s="250">
        <v>187</v>
      </c>
      <c r="AG246" s="422">
        <v>83212.2</v>
      </c>
      <c r="AH246" s="250">
        <v>64318.3</v>
      </c>
      <c r="AI246" s="683">
        <v>69798.100000000006</v>
      </c>
      <c r="AJ246" s="683">
        <v>57019.7</v>
      </c>
      <c r="AK246" s="683">
        <v>60587.6</v>
      </c>
      <c r="AL246" s="683">
        <v>23818.5</v>
      </c>
      <c r="AM246" s="250">
        <v>16.899999999999999</v>
      </c>
      <c r="AN246" s="422">
        <v>18.3</v>
      </c>
      <c r="AO246" s="683">
        <v>509989</v>
      </c>
      <c r="AP246" s="683">
        <v>235131</v>
      </c>
      <c r="AQ246" s="683">
        <v>65648</v>
      </c>
      <c r="AR246" s="1014"/>
      <c r="AS246" s="683">
        <v>475818</v>
      </c>
      <c r="AT246" s="683">
        <v>209305</v>
      </c>
      <c r="AU246" s="683">
        <v>82148.3</v>
      </c>
      <c r="AV246" s="683">
        <v>4647.1000000000004</v>
      </c>
      <c r="AW246" s="683">
        <v>3103</v>
      </c>
      <c r="AX246" s="250">
        <v>230.66</v>
      </c>
      <c r="AY246" s="250">
        <v>139.53</v>
      </c>
      <c r="AZ246" s="850">
        <v>826.7</v>
      </c>
      <c r="BA246" s="850">
        <v>350.80500000000001</v>
      </c>
      <c r="BB246" s="657">
        <v>1831.05</v>
      </c>
      <c r="BC246" s="683">
        <v>3223.2</v>
      </c>
      <c r="BD246" s="683">
        <v>493.2</v>
      </c>
      <c r="BE246" s="683">
        <v>5926.07</v>
      </c>
      <c r="BF246" s="683">
        <v>33589.503508771901</v>
      </c>
      <c r="BG246" s="683">
        <v>8675.1859264775794</v>
      </c>
      <c r="BH246" s="683">
        <v>5852.5</v>
      </c>
      <c r="BI246" s="250">
        <v>2758214</v>
      </c>
      <c r="BJ246" s="250">
        <v>597</v>
      </c>
      <c r="BK246" s="250">
        <v>21577.5</v>
      </c>
      <c r="BL246" s="683">
        <v>3585818</v>
      </c>
      <c r="BM246" s="683">
        <v>131672</v>
      </c>
      <c r="BN246" s="683">
        <v>22216.400000000001</v>
      </c>
      <c r="BO246" s="683">
        <v>3303777</v>
      </c>
      <c r="BP246" s="683">
        <v>168639</v>
      </c>
      <c r="BQ246" s="335">
        <v>19418.400000000001</v>
      </c>
      <c r="BR246" s="683">
        <v>9305.2999999999993</v>
      </c>
      <c r="BS246" s="683">
        <v>6323.5</v>
      </c>
      <c r="BT246" s="683">
        <v>1213974</v>
      </c>
      <c r="BU246" s="683">
        <v>688455</v>
      </c>
      <c r="BV246" s="683">
        <v>765105</v>
      </c>
      <c r="BW246" s="683">
        <v>482588</v>
      </c>
      <c r="BX246" s="1418">
        <v>0</v>
      </c>
    </row>
    <row r="247" spans="1:130">
      <c r="A247" s="160">
        <v>45157</v>
      </c>
      <c r="B247" s="250">
        <v>1074.3789999999999</v>
      </c>
      <c r="C247" s="250">
        <v>592.96900000000005</v>
      </c>
      <c r="D247" s="250">
        <v>6873.5</v>
      </c>
      <c r="E247" s="1317">
        <v>0</v>
      </c>
      <c r="F247" s="683">
        <v>19444.5</v>
      </c>
      <c r="G247" s="683">
        <v>6028.4</v>
      </c>
      <c r="H247" s="683">
        <v>20399</v>
      </c>
      <c r="I247" s="683">
        <v>10196</v>
      </c>
      <c r="J247" s="683">
        <v>208205.3</v>
      </c>
      <c r="K247" s="250">
        <v>14967.1</v>
      </c>
      <c r="L247" s="250">
        <v>7011.3</v>
      </c>
      <c r="M247" s="683">
        <v>46196.1</v>
      </c>
      <c r="N247" s="683">
        <v>36751.4</v>
      </c>
      <c r="O247" s="683">
        <v>138925</v>
      </c>
      <c r="P247" s="683">
        <v>115195</v>
      </c>
      <c r="Q247" s="683">
        <v>141547</v>
      </c>
      <c r="R247" s="683">
        <v>97122.1</v>
      </c>
      <c r="S247" s="250">
        <v>14063.6</v>
      </c>
      <c r="T247" s="250">
        <v>10680.14</v>
      </c>
      <c r="U247" s="683">
        <v>56333</v>
      </c>
      <c r="V247" s="683">
        <v>28952</v>
      </c>
      <c r="W247" s="683">
        <v>213811.4</v>
      </c>
      <c r="X247" s="250">
        <v>345.9</v>
      </c>
      <c r="Y247" s="250">
        <v>50716</v>
      </c>
      <c r="Z247" s="683">
        <v>611334</v>
      </c>
      <c r="AA247" s="683">
        <v>311218</v>
      </c>
      <c r="AB247" s="683">
        <v>213831.3</v>
      </c>
      <c r="AC247" s="250">
        <v>1112.4000000000001</v>
      </c>
      <c r="AD247" s="251">
        <v>942</v>
      </c>
      <c r="AE247" s="250">
        <v>259.5</v>
      </c>
      <c r="AF247" s="250">
        <v>191.6</v>
      </c>
      <c r="AG247" s="422">
        <v>83221.5</v>
      </c>
      <c r="AH247" s="250">
        <v>64325.4</v>
      </c>
      <c r="AI247" s="683">
        <v>69836.899999999994</v>
      </c>
      <c r="AJ247" s="683">
        <v>57052.9</v>
      </c>
      <c r="AK247" s="683">
        <v>60601.599999999999</v>
      </c>
      <c r="AL247" s="683">
        <v>23823.9</v>
      </c>
      <c r="AM247" s="250">
        <v>16.899999999999999</v>
      </c>
      <c r="AN247" s="422">
        <v>18.3</v>
      </c>
      <c r="AO247" s="683">
        <v>510152</v>
      </c>
      <c r="AP247" s="683">
        <v>235203</v>
      </c>
      <c r="AQ247" s="683">
        <v>65653</v>
      </c>
      <c r="AR247" s="1014"/>
      <c r="AS247" s="683">
        <v>475965</v>
      </c>
      <c r="AT247" s="683">
        <v>209370</v>
      </c>
      <c r="AU247" s="683">
        <v>82172.3</v>
      </c>
      <c r="AV247" s="683">
        <v>4648.5</v>
      </c>
      <c r="AW247" s="683">
        <v>3104</v>
      </c>
      <c r="AX247" s="250">
        <v>230.66</v>
      </c>
      <c r="AY247" s="250">
        <v>139.53</v>
      </c>
      <c r="AZ247" s="850">
        <v>826.7</v>
      </c>
      <c r="BA247" s="850">
        <v>350.80500000000001</v>
      </c>
      <c r="BB247" s="657">
        <v>1831.05</v>
      </c>
      <c r="BC247" s="683">
        <v>3225.6</v>
      </c>
      <c r="BD247" s="683">
        <v>493.3</v>
      </c>
      <c r="BE247" s="683">
        <v>5934.18</v>
      </c>
      <c r="BF247" s="683">
        <v>32667.471929824598</v>
      </c>
      <c r="BG247" s="683">
        <v>4060.2890966477798</v>
      </c>
      <c r="BH247" s="683">
        <v>6258.14</v>
      </c>
      <c r="BI247" s="250">
        <v>2758214</v>
      </c>
      <c r="BJ247" s="250">
        <v>597</v>
      </c>
      <c r="BK247" s="250">
        <v>21577.5</v>
      </c>
      <c r="BL247" s="683">
        <v>3590626</v>
      </c>
      <c r="BM247" s="683">
        <v>132278</v>
      </c>
      <c r="BN247" s="683">
        <v>22240.400000000001</v>
      </c>
      <c r="BO247" s="683">
        <v>3307387</v>
      </c>
      <c r="BP247" s="683">
        <v>168729</v>
      </c>
      <c r="BQ247" s="683">
        <v>19442.400000000001</v>
      </c>
      <c r="BR247" s="683">
        <v>9310.5</v>
      </c>
      <c r="BS247" s="683">
        <v>6327.1</v>
      </c>
      <c r="BT247" s="683">
        <v>1215198</v>
      </c>
      <c r="BU247" s="683">
        <v>689128</v>
      </c>
      <c r="BV247" s="683">
        <v>765321</v>
      </c>
      <c r="BW247" s="683">
        <v>482726</v>
      </c>
      <c r="BX247" s="1418">
        <v>0</v>
      </c>
    </row>
    <row r="248" spans="1:130">
      <c r="A248" s="160">
        <v>45158</v>
      </c>
      <c r="B248" s="250">
        <v>1074.3789999999999</v>
      </c>
      <c r="C248" s="250">
        <v>592.96900000000005</v>
      </c>
      <c r="D248" s="250">
        <v>6873.5</v>
      </c>
      <c r="E248" s="1317">
        <v>0</v>
      </c>
      <c r="F248" s="683">
        <v>19458.099999999999</v>
      </c>
      <c r="G248" s="683">
        <v>6032.1</v>
      </c>
      <c r="H248" s="683">
        <v>20567</v>
      </c>
      <c r="I248" s="683">
        <v>10277</v>
      </c>
      <c r="J248" s="683">
        <v>208229.3</v>
      </c>
      <c r="K248" s="250">
        <v>14967.2</v>
      </c>
      <c r="L248" s="250">
        <v>7011.3</v>
      </c>
      <c r="M248" s="683">
        <v>46196.1</v>
      </c>
      <c r="N248" s="683">
        <v>36751.4</v>
      </c>
      <c r="O248" s="683">
        <v>138939</v>
      </c>
      <c r="P248" s="683">
        <v>115206</v>
      </c>
      <c r="Q248" s="683">
        <v>141553</v>
      </c>
      <c r="R248" s="683">
        <v>97126</v>
      </c>
      <c r="S248" s="250">
        <v>14063.6</v>
      </c>
      <c r="T248" s="250">
        <v>10680.14</v>
      </c>
      <c r="U248" s="683">
        <v>56633</v>
      </c>
      <c r="V248" s="683">
        <v>29108</v>
      </c>
      <c r="W248" s="683">
        <v>213835.4</v>
      </c>
      <c r="X248" s="250">
        <v>345.9</v>
      </c>
      <c r="Y248" s="250">
        <v>50716</v>
      </c>
      <c r="Z248" s="683">
        <v>611480</v>
      </c>
      <c r="AA248" s="683">
        <v>311286</v>
      </c>
      <c r="AB248" s="683">
        <v>213855.3</v>
      </c>
      <c r="AC248" s="250">
        <v>1112.4000000000001</v>
      </c>
      <c r="AD248" s="251">
        <v>942</v>
      </c>
      <c r="AE248" s="250">
        <v>266.3</v>
      </c>
      <c r="AF248" s="250">
        <v>196</v>
      </c>
      <c r="AG248" s="422">
        <v>83232.3</v>
      </c>
      <c r="AH248" s="250">
        <v>64333.599999999999</v>
      </c>
      <c r="AI248" s="683">
        <v>69874.100000000006</v>
      </c>
      <c r="AJ248" s="683">
        <v>57084.800000000003</v>
      </c>
      <c r="AK248" s="683">
        <v>60611</v>
      </c>
      <c r="AL248" s="683">
        <v>23827.599999999999</v>
      </c>
      <c r="AM248" s="250">
        <v>16.899999999999999</v>
      </c>
      <c r="AN248" s="422">
        <v>18.3</v>
      </c>
      <c r="AO248" s="683">
        <v>510309</v>
      </c>
      <c r="AP248" s="683">
        <v>235271</v>
      </c>
      <c r="AQ248" s="683">
        <v>65657</v>
      </c>
      <c r="AR248" s="1014"/>
      <c r="AS248" s="683">
        <v>476108</v>
      </c>
      <c r="AT248" s="683">
        <v>209432</v>
      </c>
      <c r="AU248" s="683">
        <v>82196.3</v>
      </c>
      <c r="AV248" s="683">
        <v>4649.5</v>
      </c>
      <c r="AW248" s="683">
        <v>3104.8</v>
      </c>
      <c r="AX248" s="250">
        <v>230.66</v>
      </c>
      <c r="AY248" s="250">
        <v>139.53</v>
      </c>
      <c r="AZ248" s="850">
        <v>826.7</v>
      </c>
      <c r="BA248" s="850">
        <v>350.80500000000001</v>
      </c>
      <c r="BB248" s="657">
        <v>1831.05</v>
      </c>
      <c r="BC248" s="683">
        <v>3227.4</v>
      </c>
      <c r="BD248" s="683">
        <v>493.3</v>
      </c>
      <c r="BE248" s="683">
        <v>6356.59</v>
      </c>
      <c r="BF248" s="683">
        <v>32346.0210526316</v>
      </c>
      <c r="BG248" s="683">
        <v>2707.5034724992802</v>
      </c>
      <c r="BH248" s="683">
        <v>6249.49</v>
      </c>
      <c r="BI248" s="250">
        <v>2758214</v>
      </c>
      <c r="BJ248" s="250">
        <v>597</v>
      </c>
      <c r="BK248" s="250">
        <v>21577.5</v>
      </c>
      <c r="BL248" s="683">
        <v>3595056</v>
      </c>
      <c r="BM248" s="683">
        <v>132836</v>
      </c>
      <c r="BN248" s="683">
        <v>22264.400000000001</v>
      </c>
      <c r="BO248" s="683">
        <v>3311615</v>
      </c>
      <c r="BP248" s="683">
        <v>169250</v>
      </c>
      <c r="BQ248" s="683">
        <v>19466.400000000001</v>
      </c>
      <c r="BR248" s="683">
        <v>9315.2999999999993</v>
      </c>
      <c r="BS248" s="683">
        <v>6330.3</v>
      </c>
      <c r="BT248" s="683">
        <v>1216371</v>
      </c>
      <c r="BU248" s="683">
        <v>689768</v>
      </c>
      <c r="BV248" s="683">
        <v>765490</v>
      </c>
      <c r="BW248" s="683">
        <v>482835</v>
      </c>
      <c r="BX248" s="1418">
        <v>0</v>
      </c>
    </row>
    <row r="249" spans="1:130" s="423" customFormat="1">
      <c r="A249" s="160">
        <v>45159</v>
      </c>
      <c r="B249" s="250">
        <v>1074.3789999999999</v>
      </c>
      <c r="C249" s="250">
        <v>592.96900000000005</v>
      </c>
      <c r="D249" s="250">
        <v>6873.5</v>
      </c>
      <c r="E249" s="1317">
        <v>0</v>
      </c>
      <c r="F249" s="718">
        <v>19473.599999999999</v>
      </c>
      <c r="G249" s="718">
        <v>6036.1</v>
      </c>
      <c r="H249" s="718">
        <v>20739</v>
      </c>
      <c r="I249" s="683">
        <v>10361</v>
      </c>
      <c r="J249" s="718">
        <v>208253.3</v>
      </c>
      <c r="K249" s="250">
        <v>14967.3</v>
      </c>
      <c r="L249" s="250">
        <v>7011.3</v>
      </c>
      <c r="M249" s="683">
        <v>46196.1</v>
      </c>
      <c r="N249" s="683">
        <v>36751.4</v>
      </c>
      <c r="O249" s="718">
        <v>138952</v>
      </c>
      <c r="P249" s="718">
        <v>115217</v>
      </c>
      <c r="Q249" s="718">
        <v>141559</v>
      </c>
      <c r="R249" s="718">
        <v>97131.4</v>
      </c>
      <c r="S249" s="250">
        <v>14063.6</v>
      </c>
      <c r="T249" s="250">
        <v>10680.14</v>
      </c>
      <c r="U249" s="718">
        <v>56946</v>
      </c>
      <c r="V249" s="718">
        <v>29271</v>
      </c>
      <c r="W249" s="718">
        <v>213859.4</v>
      </c>
      <c r="X249" s="250">
        <v>345.9</v>
      </c>
      <c r="Y249" s="250">
        <v>50716</v>
      </c>
      <c r="Z249" s="718">
        <v>611629</v>
      </c>
      <c r="AA249" s="718">
        <v>311359</v>
      </c>
      <c r="AB249" s="718">
        <v>213879.3</v>
      </c>
      <c r="AC249" s="250">
        <v>1112.4000000000001</v>
      </c>
      <c r="AD249" s="251">
        <v>942</v>
      </c>
      <c r="AE249" s="250">
        <v>273.39999999999998</v>
      </c>
      <c r="AF249" s="250">
        <v>200.7</v>
      </c>
      <c r="AG249" s="422">
        <v>83243.399999999994</v>
      </c>
      <c r="AH249" s="250">
        <v>64342.1</v>
      </c>
      <c r="AI249" s="718">
        <v>69911.899999999994</v>
      </c>
      <c r="AJ249" s="718">
        <v>57117</v>
      </c>
      <c r="AK249" s="718">
        <v>60622.5</v>
      </c>
      <c r="AL249" s="718">
        <v>23832.1</v>
      </c>
      <c r="AM249" s="250">
        <v>16.899999999999999</v>
      </c>
      <c r="AN249" s="422">
        <v>18.3</v>
      </c>
      <c r="AO249" s="718">
        <v>510474</v>
      </c>
      <c r="AP249" s="718">
        <v>235345</v>
      </c>
      <c r="AQ249" s="718">
        <v>65661</v>
      </c>
      <c r="AR249" s="1014"/>
      <c r="AS249" s="718">
        <v>476257</v>
      </c>
      <c r="AT249" s="718">
        <v>209496</v>
      </c>
      <c r="AU249" s="718">
        <v>82220.3</v>
      </c>
      <c r="AV249" s="718">
        <v>4650.3</v>
      </c>
      <c r="AW249" s="718">
        <v>3105.2</v>
      </c>
      <c r="AX249" s="250">
        <v>230.66</v>
      </c>
      <c r="AY249" s="250">
        <v>139.53</v>
      </c>
      <c r="AZ249" s="850">
        <v>826.7</v>
      </c>
      <c r="BA249" s="850">
        <v>350.80500000000001</v>
      </c>
      <c r="BB249" s="657">
        <v>1831.05</v>
      </c>
      <c r="BC249" s="718">
        <v>3229.4</v>
      </c>
      <c r="BD249" s="683">
        <v>493.3</v>
      </c>
      <c r="BE249" s="718">
        <v>6145.81</v>
      </c>
      <c r="BF249" s="718">
        <v>32399.0228070175</v>
      </c>
      <c r="BG249" s="718">
        <v>2709.5171489746499</v>
      </c>
      <c r="BH249" s="718">
        <v>5895.62</v>
      </c>
      <c r="BI249" s="250">
        <v>2760200</v>
      </c>
      <c r="BJ249" s="250">
        <v>598</v>
      </c>
      <c r="BK249" s="250">
        <v>21594.400000000001</v>
      </c>
      <c r="BL249" s="683">
        <v>3599643</v>
      </c>
      <c r="BM249" s="683">
        <v>133555</v>
      </c>
      <c r="BN249" s="683">
        <v>22288.400000000001</v>
      </c>
      <c r="BO249" s="683">
        <v>3317182</v>
      </c>
      <c r="BP249" s="683">
        <v>169688</v>
      </c>
      <c r="BQ249" s="683">
        <v>19490.400000000001</v>
      </c>
      <c r="BR249" s="718">
        <v>9320.2999999999993</v>
      </c>
      <c r="BS249" s="718">
        <v>6333.5</v>
      </c>
      <c r="BT249" s="718">
        <v>1217576</v>
      </c>
      <c r="BU249" s="718">
        <v>690429</v>
      </c>
      <c r="BV249" s="718">
        <v>765713</v>
      </c>
      <c r="BW249" s="718">
        <v>482976</v>
      </c>
      <c r="BX249" s="1418">
        <v>0</v>
      </c>
      <c r="CW249" s="22"/>
      <c r="CX249" s="22"/>
      <c r="CY249" s="22"/>
      <c r="CZ249" s="22"/>
      <c r="DA249" s="22"/>
      <c r="DB249" s="22"/>
      <c r="DC249" s="22"/>
      <c r="DD249" s="22"/>
      <c r="DE249" s="22"/>
      <c r="DF249" s="22"/>
      <c r="DG249" s="22"/>
      <c r="DH249" s="22"/>
      <c r="DI249" s="22"/>
      <c r="DJ249" s="22"/>
      <c r="DK249" s="22"/>
      <c r="DL249" s="22"/>
      <c r="DM249" s="22"/>
      <c r="DN249" s="22"/>
      <c r="DO249" s="22"/>
      <c r="DP249" s="22"/>
      <c r="DQ249" s="22"/>
      <c r="DR249" s="22"/>
      <c r="DS249" s="22"/>
      <c r="DT249" s="22"/>
      <c r="DU249" s="22"/>
      <c r="DV249" s="22"/>
      <c r="DW249" s="22"/>
      <c r="DX249" s="22"/>
      <c r="DY249" s="22"/>
      <c r="DZ249" s="22"/>
    </row>
    <row r="250" spans="1:130" ht="13.5" customHeight="1">
      <c r="A250" s="160">
        <v>45160</v>
      </c>
      <c r="B250" s="250">
        <v>1074.3789999999999</v>
      </c>
      <c r="C250" s="250">
        <v>592.96900000000005</v>
      </c>
      <c r="D250" s="250">
        <v>6873.5</v>
      </c>
      <c r="E250" s="1317">
        <v>0</v>
      </c>
      <c r="F250" s="718">
        <v>19486.7</v>
      </c>
      <c r="G250" s="718">
        <v>6039.4</v>
      </c>
      <c r="H250" s="718">
        <v>20914</v>
      </c>
      <c r="I250" s="683">
        <v>10445</v>
      </c>
      <c r="J250" s="718">
        <v>208277.3</v>
      </c>
      <c r="K250" s="250">
        <v>14967.3</v>
      </c>
      <c r="L250" s="250">
        <v>7011.4</v>
      </c>
      <c r="M250" s="683">
        <v>46196.1</v>
      </c>
      <c r="N250" s="683">
        <v>36751.4</v>
      </c>
      <c r="O250" s="718">
        <v>138966</v>
      </c>
      <c r="P250" s="718">
        <v>115229</v>
      </c>
      <c r="Q250" s="718">
        <v>141566</v>
      </c>
      <c r="R250" s="718">
        <v>97136</v>
      </c>
      <c r="S250" s="250">
        <v>14063.6</v>
      </c>
      <c r="T250" s="250">
        <v>10680.14</v>
      </c>
      <c r="U250" s="718">
        <v>57268</v>
      </c>
      <c r="V250" s="718">
        <v>29436</v>
      </c>
      <c r="W250" s="718">
        <v>213883.4</v>
      </c>
      <c r="X250" s="250">
        <v>345.9</v>
      </c>
      <c r="Y250" s="250">
        <v>50716</v>
      </c>
      <c r="Z250" s="718">
        <v>611777</v>
      </c>
      <c r="AA250" s="718">
        <v>311433</v>
      </c>
      <c r="AB250" s="718">
        <v>213903.3</v>
      </c>
      <c r="AC250" s="250">
        <v>1112.4000000000001</v>
      </c>
      <c r="AD250" s="251">
        <v>942</v>
      </c>
      <c r="AE250" s="251">
        <v>280.39999999999998</v>
      </c>
      <c r="AF250" s="251">
        <v>205.2</v>
      </c>
      <c r="AG250" s="725">
        <v>83254.3</v>
      </c>
      <c r="AH250" s="251">
        <v>64350.5</v>
      </c>
      <c r="AI250" s="718">
        <v>69949.399999999994</v>
      </c>
      <c r="AJ250" s="718">
        <v>57149.2</v>
      </c>
      <c r="AK250" s="718">
        <v>60635</v>
      </c>
      <c r="AL250" s="718">
        <v>23836.9</v>
      </c>
      <c r="AM250" s="250">
        <v>16.899999999999999</v>
      </c>
      <c r="AN250" s="422">
        <v>18.3</v>
      </c>
      <c r="AO250" s="718">
        <v>510645</v>
      </c>
      <c r="AP250" s="718">
        <v>235424</v>
      </c>
      <c r="AQ250" s="718">
        <v>65665</v>
      </c>
      <c r="AR250" s="1081"/>
      <c r="AS250" s="718">
        <v>476409</v>
      </c>
      <c r="AT250" s="718">
        <v>209562</v>
      </c>
      <c r="AU250" s="718">
        <v>82244.3</v>
      </c>
      <c r="AV250" s="718">
        <v>4652.6000000000004</v>
      </c>
      <c r="AW250" s="718">
        <v>3106.1</v>
      </c>
      <c r="AX250" s="250">
        <v>230.74</v>
      </c>
      <c r="AY250" s="250">
        <v>139.58000000000001</v>
      </c>
      <c r="AZ250" s="850">
        <v>826.7</v>
      </c>
      <c r="BA250" s="850">
        <v>350.80500000000001</v>
      </c>
      <c r="BB250" s="657">
        <v>1831.05</v>
      </c>
      <c r="BC250" s="718">
        <v>3231.7</v>
      </c>
      <c r="BD250" s="718">
        <v>493.4</v>
      </c>
      <c r="BE250" s="718">
        <v>6213.68</v>
      </c>
      <c r="BF250" s="718">
        <v>32505.5842105263</v>
      </c>
      <c r="BG250" s="718">
        <v>2410.3384467732399</v>
      </c>
      <c r="BH250" s="718">
        <v>6296.76</v>
      </c>
      <c r="BI250" s="250">
        <v>2763000</v>
      </c>
      <c r="BJ250" s="250">
        <v>599</v>
      </c>
      <c r="BK250" s="250">
        <v>21618.400000000001</v>
      </c>
      <c r="BL250" s="683">
        <v>3603194</v>
      </c>
      <c r="BM250" s="683">
        <v>133690</v>
      </c>
      <c r="BN250" s="683">
        <v>22312.400000000001</v>
      </c>
      <c r="BO250" s="718">
        <v>3321877</v>
      </c>
      <c r="BP250" s="718">
        <v>170333</v>
      </c>
      <c r="BQ250" s="718">
        <v>19514.400000000001</v>
      </c>
      <c r="BR250" s="718">
        <v>9324.7000000000007</v>
      </c>
      <c r="BS250" s="718">
        <v>6336.7</v>
      </c>
      <c r="BT250" s="718">
        <v>1218763</v>
      </c>
      <c r="BU250" s="718">
        <v>691082</v>
      </c>
      <c r="BV250" s="718">
        <v>766071</v>
      </c>
      <c r="BW250" s="718">
        <v>483203</v>
      </c>
      <c r="BX250" s="1418">
        <v>0</v>
      </c>
    </row>
    <row r="251" spans="1:130" s="336" customFormat="1" ht="13.5" customHeight="1">
      <c r="A251" s="160">
        <v>45161</v>
      </c>
      <c r="B251" s="250">
        <v>1074.3789999999999</v>
      </c>
      <c r="C251" s="250">
        <v>592.96900000000005</v>
      </c>
      <c r="D251" s="250">
        <v>6873.5</v>
      </c>
      <c r="E251" s="1317">
        <v>0</v>
      </c>
      <c r="F251" s="718">
        <v>19499.400000000001</v>
      </c>
      <c r="G251" s="718">
        <v>6042.8</v>
      </c>
      <c r="H251" s="718">
        <v>21084</v>
      </c>
      <c r="I251" s="683">
        <v>10527</v>
      </c>
      <c r="J251" s="718">
        <v>208301.3</v>
      </c>
      <c r="K251" s="250">
        <v>14967.5</v>
      </c>
      <c r="L251" s="250">
        <v>7011.4</v>
      </c>
      <c r="M251" s="683">
        <v>46196.1</v>
      </c>
      <c r="N251" s="683">
        <v>36751.4</v>
      </c>
      <c r="O251" s="718">
        <v>138981</v>
      </c>
      <c r="P251" s="718">
        <v>115240</v>
      </c>
      <c r="Q251" s="718">
        <v>141573</v>
      </c>
      <c r="R251" s="718">
        <v>97140.800000000003</v>
      </c>
      <c r="S251" s="250">
        <v>14063.6</v>
      </c>
      <c r="T251" s="250">
        <v>10680.14</v>
      </c>
      <c r="U251" s="718">
        <v>57583</v>
      </c>
      <c r="V251" s="718">
        <v>29596</v>
      </c>
      <c r="W251" s="718">
        <v>213907.4</v>
      </c>
      <c r="X251" s="250">
        <v>345.9</v>
      </c>
      <c r="Y251" s="250">
        <v>50716</v>
      </c>
      <c r="Z251" s="718">
        <v>611925</v>
      </c>
      <c r="AA251" s="718">
        <v>311509</v>
      </c>
      <c r="AB251" s="718">
        <v>213927.3</v>
      </c>
      <c r="AC251" s="250">
        <v>1112.4000000000001</v>
      </c>
      <c r="AD251" s="251">
        <v>942</v>
      </c>
      <c r="AE251" s="251">
        <v>287.3</v>
      </c>
      <c r="AF251" s="251">
        <v>209.7</v>
      </c>
      <c r="AG251" s="725">
        <v>83265</v>
      </c>
      <c r="AH251" s="251">
        <v>64358.7</v>
      </c>
      <c r="AI251" s="718">
        <v>69986.7</v>
      </c>
      <c r="AJ251" s="718">
        <v>57181.2</v>
      </c>
      <c r="AK251" s="718">
        <v>60647.3</v>
      </c>
      <c r="AL251" s="718">
        <v>23841.5</v>
      </c>
      <c r="AM251" s="250">
        <v>16.899999999999999</v>
      </c>
      <c r="AN251" s="422">
        <v>18.3</v>
      </c>
      <c r="AO251" s="718">
        <v>510813</v>
      </c>
      <c r="AP251" s="718">
        <v>235501</v>
      </c>
      <c r="AQ251" s="718">
        <v>65670</v>
      </c>
      <c r="AR251" s="1081"/>
      <c r="AS251" s="718">
        <v>476559</v>
      </c>
      <c r="AT251" s="718">
        <v>209627</v>
      </c>
      <c r="AU251" s="718">
        <v>82268.3</v>
      </c>
      <c r="AV251" s="718">
        <v>4653.8</v>
      </c>
      <c r="AW251" s="718">
        <v>3107.5</v>
      </c>
      <c r="AX251" s="250">
        <v>230.74</v>
      </c>
      <c r="AY251" s="250">
        <v>139.58000000000001</v>
      </c>
      <c r="AZ251" s="850">
        <v>827.298</v>
      </c>
      <c r="BA251" s="850">
        <v>351.03399999999999</v>
      </c>
      <c r="BB251" s="657">
        <v>1831.8</v>
      </c>
      <c r="BC251" s="718">
        <v>3233.8</v>
      </c>
      <c r="BD251" s="718">
        <v>493.4</v>
      </c>
      <c r="BE251" s="251">
        <v>6229.56</v>
      </c>
      <c r="BF251" s="251">
        <v>32601.447368420999</v>
      </c>
      <c r="BG251" s="1081">
        <v>2116.07949659104</v>
      </c>
      <c r="BH251" s="251">
        <v>5911.64</v>
      </c>
      <c r="BI251" s="250">
        <v>2766000</v>
      </c>
      <c r="BJ251" s="250">
        <v>600</v>
      </c>
      <c r="BK251" s="250">
        <v>21642.400000000001</v>
      </c>
      <c r="BL251" s="683">
        <v>3606977</v>
      </c>
      <c r="BM251" s="683">
        <v>133900</v>
      </c>
      <c r="BN251" s="683">
        <v>22336.400000000001</v>
      </c>
      <c r="BO251" s="718">
        <v>3326550</v>
      </c>
      <c r="BP251" s="718">
        <v>170952</v>
      </c>
      <c r="BQ251" s="718">
        <v>19538.400000000001</v>
      </c>
      <c r="BR251" s="718">
        <v>9328.7999999999993</v>
      </c>
      <c r="BS251" s="718">
        <v>6339.8</v>
      </c>
      <c r="BT251" s="251">
        <v>1219875</v>
      </c>
      <c r="BU251" s="251">
        <v>691690</v>
      </c>
      <c r="BV251" s="718">
        <v>766316</v>
      </c>
      <c r="BW251" s="718">
        <v>483362</v>
      </c>
      <c r="BX251" s="1418">
        <v>1</v>
      </c>
      <c r="CW251" s="22"/>
      <c r="CX251" s="22"/>
      <c r="CY251" s="22"/>
      <c r="CZ251" s="22"/>
      <c r="DA251" s="22"/>
      <c r="DB251" s="22"/>
      <c r="DC251" s="22"/>
      <c r="DD251" s="22"/>
      <c r="DE251" s="22"/>
      <c r="DF251" s="22"/>
      <c r="DG251" s="22"/>
      <c r="DH251" s="22"/>
      <c r="DI251" s="22"/>
      <c r="DJ251" s="22"/>
      <c r="DK251" s="22"/>
      <c r="DL251" s="22"/>
      <c r="DM251" s="22"/>
      <c r="DN251" s="22"/>
      <c r="DO251" s="22"/>
      <c r="DP251" s="22"/>
      <c r="DQ251" s="22"/>
      <c r="DR251" s="22"/>
      <c r="DS251" s="22"/>
      <c r="DT251" s="22"/>
      <c r="DU251" s="22"/>
      <c r="DV251" s="22"/>
      <c r="DW251" s="22"/>
      <c r="DX251" s="22"/>
      <c r="DY251" s="22"/>
      <c r="DZ251" s="22"/>
    </row>
    <row r="252" spans="1:130" ht="13.5" customHeight="1">
      <c r="A252" s="160">
        <v>45162</v>
      </c>
      <c r="B252" s="250">
        <v>1074.3789999999999</v>
      </c>
      <c r="C252" s="250">
        <v>592.96900000000005</v>
      </c>
      <c r="D252" s="250">
        <v>6873.5</v>
      </c>
      <c r="E252" s="1317">
        <v>0</v>
      </c>
      <c r="F252" s="718">
        <v>19513.099999999999</v>
      </c>
      <c r="G252" s="718">
        <v>6046.3</v>
      </c>
      <c r="H252" s="718">
        <v>21258</v>
      </c>
      <c r="I252" s="718">
        <v>10611</v>
      </c>
      <c r="J252" s="718">
        <v>208325.3</v>
      </c>
      <c r="K252" s="250">
        <v>14967.6</v>
      </c>
      <c r="L252" s="250">
        <v>7011.4</v>
      </c>
      <c r="M252" s="683">
        <v>46196.1</v>
      </c>
      <c r="N252" s="683">
        <v>36751.4</v>
      </c>
      <c r="O252" s="718">
        <v>138993</v>
      </c>
      <c r="P252" s="718">
        <v>115251</v>
      </c>
      <c r="Q252" s="718">
        <v>141581</v>
      </c>
      <c r="R252" s="718">
        <v>97146</v>
      </c>
      <c r="S252" s="250">
        <v>14063.6</v>
      </c>
      <c r="T252" s="250">
        <v>10680.14</v>
      </c>
      <c r="U252" s="718">
        <v>57892</v>
      </c>
      <c r="V252" s="718">
        <v>29754</v>
      </c>
      <c r="W252" s="718">
        <v>213931.4</v>
      </c>
      <c r="X252" s="250">
        <v>345.9</v>
      </c>
      <c r="Y252" s="250">
        <v>50716</v>
      </c>
      <c r="Z252" s="718">
        <v>612076</v>
      </c>
      <c r="AA252" s="718">
        <v>311586</v>
      </c>
      <c r="AB252" s="718">
        <v>213951.3</v>
      </c>
      <c r="AC252" s="250">
        <v>1112.4000000000001</v>
      </c>
      <c r="AD252" s="251">
        <v>942</v>
      </c>
      <c r="AE252" s="251">
        <v>294.3</v>
      </c>
      <c r="AF252" s="251">
        <v>214.3</v>
      </c>
      <c r="AG252" s="725">
        <v>83275.8</v>
      </c>
      <c r="AH252" s="251">
        <v>64367</v>
      </c>
      <c r="AI252" s="718">
        <v>70024.7</v>
      </c>
      <c r="AJ252" s="718">
        <v>57214.1</v>
      </c>
      <c r="AK252" s="718">
        <v>60648.3</v>
      </c>
      <c r="AL252" s="718">
        <v>23841.9</v>
      </c>
      <c r="AM252" s="250">
        <v>16.899999999999999</v>
      </c>
      <c r="AN252" s="422">
        <v>18.3</v>
      </c>
      <c r="AO252" s="718">
        <v>510985</v>
      </c>
      <c r="AP252" s="718">
        <v>235580</v>
      </c>
      <c r="AQ252" s="725">
        <v>65675</v>
      </c>
      <c r="AR252" s="1081"/>
      <c r="AS252" s="718">
        <v>476711</v>
      </c>
      <c r="AT252" s="718">
        <v>209692</v>
      </c>
      <c r="AU252" s="718">
        <v>82292.3</v>
      </c>
      <c r="AV252" s="718">
        <v>4655.6000000000004</v>
      </c>
      <c r="AW252" s="718">
        <v>3108.7</v>
      </c>
      <c r="AX252" s="250">
        <v>230.74</v>
      </c>
      <c r="AY252" s="250">
        <v>139.58000000000001</v>
      </c>
      <c r="AZ252" s="850">
        <v>827.298</v>
      </c>
      <c r="BA252" s="850">
        <v>351.03399999999999</v>
      </c>
      <c r="BB252" s="657">
        <v>1831.8</v>
      </c>
      <c r="BC252" s="718">
        <v>3236.1</v>
      </c>
      <c r="BD252" s="718">
        <v>493.5</v>
      </c>
      <c r="BE252" s="251">
        <v>5727.61</v>
      </c>
      <c r="BF252" s="251">
        <v>33001.180701754398</v>
      </c>
      <c r="BG252" s="251">
        <v>5377.7764848259203</v>
      </c>
      <c r="BH252" s="251">
        <v>5816.24</v>
      </c>
      <c r="BI252" s="251">
        <v>2769500</v>
      </c>
      <c r="BJ252" s="251">
        <v>601</v>
      </c>
      <c r="BK252" s="251">
        <v>21666.400000000001</v>
      </c>
      <c r="BL252" s="683">
        <v>3611087</v>
      </c>
      <c r="BM252" s="683">
        <v>134100</v>
      </c>
      <c r="BN252" s="683">
        <v>22360.400000000001</v>
      </c>
      <c r="BO252" s="718">
        <v>3331838</v>
      </c>
      <c r="BP252" s="718">
        <v>171461</v>
      </c>
      <c r="BQ252" s="718">
        <v>19562.400000000001</v>
      </c>
      <c r="BR252" s="718">
        <v>9332.9</v>
      </c>
      <c r="BS252" s="718">
        <v>6342.9</v>
      </c>
      <c r="BT252" s="251">
        <v>1221056</v>
      </c>
      <c r="BU252" s="251">
        <v>692339</v>
      </c>
      <c r="BV252" s="718">
        <v>766643</v>
      </c>
      <c r="BW252" s="718">
        <v>483570</v>
      </c>
      <c r="BX252" s="1418">
        <v>0</v>
      </c>
    </row>
    <row r="253" spans="1:130" ht="13.5" customHeight="1">
      <c r="A253" s="160">
        <v>45163</v>
      </c>
      <c r="B253" s="250">
        <v>1074.3789999999999</v>
      </c>
      <c r="C253" s="250">
        <v>592.96900000000005</v>
      </c>
      <c r="D253" s="250">
        <v>6873.5</v>
      </c>
      <c r="E253" s="1317">
        <v>0</v>
      </c>
      <c r="F253" s="718">
        <v>19524.8</v>
      </c>
      <c r="G253" s="718">
        <v>6049</v>
      </c>
      <c r="H253" s="718">
        <v>21434</v>
      </c>
      <c r="I253" s="718">
        <v>10695</v>
      </c>
      <c r="J253" s="718">
        <v>208349.3</v>
      </c>
      <c r="K253" s="250">
        <v>14967.6</v>
      </c>
      <c r="L253" s="250">
        <v>7011.4</v>
      </c>
      <c r="M253" s="683">
        <v>46196.1</v>
      </c>
      <c r="N253" s="683">
        <v>36751.4</v>
      </c>
      <c r="O253" s="718">
        <v>139006</v>
      </c>
      <c r="P253" s="718">
        <v>115261</v>
      </c>
      <c r="Q253" s="718">
        <v>141593</v>
      </c>
      <c r="R253" s="718">
        <v>97153</v>
      </c>
      <c r="S253" s="250">
        <v>14063.6</v>
      </c>
      <c r="T253" s="250">
        <v>10680.14</v>
      </c>
      <c r="U253" s="718">
        <v>58208</v>
      </c>
      <c r="V253" s="718">
        <v>29920</v>
      </c>
      <c r="W253" s="718">
        <v>213955.4</v>
      </c>
      <c r="X253" s="250">
        <v>345.9</v>
      </c>
      <c r="Y253" s="250">
        <v>50716</v>
      </c>
      <c r="Z253" s="718">
        <v>612226</v>
      </c>
      <c r="AA253" s="718">
        <v>311655</v>
      </c>
      <c r="AB253" s="718">
        <v>213975.3</v>
      </c>
      <c r="AC253" s="250">
        <v>1112.4000000000001</v>
      </c>
      <c r="AD253" s="251">
        <v>942</v>
      </c>
      <c r="AE253" s="251">
        <v>299</v>
      </c>
      <c r="AF253" s="251">
        <v>217.5</v>
      </c>
      <c r="AG253" s="725">
        <v>83285.899999999994</v>
      </c>
      <c r="AH253" s="251">
        <v>64374.8</v>
      </c>
      <c r="AI253" s="718">
        <v>70061.899999999994</v>
      </c>
      <c r="AJ253" s="718">
        <v>57246.1</v>
      </c>
      <c r="AK253" s="718">
        <v>60662.5</v>
      </c>
      <c r="AL253" s="718">
        <v>23847.5</v>
      </c>
      <c r="AM253" s="250">
        <v>16.899999999999999</v>
      </c>
      <c r="AN253" s="422">
        <v>18.3</v>
      </c>
      <c r="AO253" s="718">
        <v>511151</v>
      </c>
      <c r="AP253" s="718">
        <v>235654</v>
      </c>
      <c r="AQ253" s="725">
        <v>65681</v>
      </c>
      <c r="AR253" s="1081"/>
      <c r="AS253" s="718">
        <v>476863</v>
      </c>
      <c r="AT253" s="718">
        <v>209758</v>
      </c>
      <c r="AU253" s="718">
        <v>82316.3</v>
      </c>
      <c r="AV253" s="718">
        <v>4657.8</v>
      </c>
      <c r="AW253" s="718">
        <v>3110.2</v>
      </c>
      <c r="AX253" s="250">
        <v>230.74</v>
      </c>
      <c r="AY253" s="250">
        <v>139.58000000000001</v>
      </c>
      <c r="AZ253" s="850">
        <v>827.298</v>
      </c>
      <c r="BA253" s="850">
        <v>351.03399999999999</v>
      </c>
      <c r="BB253" s="657">
        <v>1831.8</v>
      </c>
      <c r="BC253" s="718">
        <v>3238.4</v>
      </c>
      <c r="BD253" s="718">
        <v>493.6</v>
      </c>
      <c r="BE253" s="251">
        <v>6299.73</v>
      </c>
      <c r="BF253" s="251">
        <v>33531.622807017498</v>
      </c>
      <c r="BG253" s="251">
        <v>9021.7721124321397</v>
      </c>
      <c r="BH253" s="251">
        <v>5779.73</v>
      </c>
      <c r="BI253" s="251">
        <v>2770200</v>
      </c>
      <c r="BJ253" s="251">
        <v>602</v>
      </c>
      <c r="BK253" s="251">
        <v>21671.5</v>
      </c>
      <c r="BL253" s="683">
        <v>3614247</v>
      </c>
      <c r="BM253" s="683">
        <v>134248</v>
      </c>
      <c r="BN253" s="683">
        <v>22381.8</v>
      </c>
      <c r="BO253" s="718">
        <v>3335321</v>
      </c>
      <c r="BP253" s="718">
        <v>171643</v>
      </c>
      <c r="BQ253" s="718">
        <v>19583</v>
      </c>
      <c r="BR253" s="718">
        <v>9338</v>
      </c>
      <c r="BS253" s="718">
        <v>6346.2</v>
      </c>
      <c r="BT253" s="251">
        <v>1221957</v>
      </c>
      <c r="BU253" s="251">
        <v>692841</v>
      </c>
      <c r="BV253" s="718">
        <v>766922</v>
      </c>
      <c r="BW253" s="718">
        <v>483741</v>
      </c>
      <c r="BX253" s="1418">
        <v>0</v>
      </c>
    </row>
    <row r="254" spans="1:130" ht="13.5" customHeight="1">
      <c r="A254" s="160">
        <v>45164</v>
      </c>
      <c r="B254" s="250">
        <v>1074.3789999999999</v>
      </c>
      <c r="C254" s="250">
        <v>592.96900000000005</v>
      </c>
      <c r="D254" s="250">
        <v>6873.5</v>
      </c>
      <c r="E254" s="1317">
        <v>0</v>
      </c>
      <c r="F254" s="685">
        <v>19539.3</v>
      </c>
      <c r="G254" s="685">
        <v>6052.9</v>
      </c>
      <c r="H254" s="685">
        <v>21589</v>
      </c>
      <c r="I254" s="685">
        <v>10771</v>
      </c>
      <c r="J254" s="718">
        <v>208371.3</v>
      </c>
      <c r="K254" s="250">
        <v>14967.6</v>
      </c>
      <c r="L254" s="250">
        <v>7011.4</v>
      </c>
      <c r="M254" s="683">
        <v>46196.1</v>
      </c>
      <c r="N254" s="683">
        <v>36751.4</v>
      </c>
      <c r="O254" s="685">
        <v>139019</v>
      </c>
      <c r="P254" s="685">
        <v>115272</v>
      </c>
      <c r="Q254" s="685">
        <v>141609</v>
      </c>
      <c r="R254" s="685">
        <v>97165</v>
      </c>
      <c r="S254" s="250">
        <v>14063.6</v>
      </c>
      <c r="T254" s="250">
        <v>10680.14</v>
      </c>
      <c r="U254" s="685">
        <v>58311</v>
      </c>
      <c r="V254" s="685">
        <v>29972</v>
      </c>
      <c r="W254" s="685">
        <v>213966.4</v>
      </c>
      <c r="X254" s="250">
        <v>345.9</v>
      </c>
      <c r="Y254" s="250">
        <v>50716</v>
      </c>
      <c r="Z254" s="685">
        <v>612561</v>
      </c>
      <c r="AA254" s="685">
        <v>311831</v>
      </c>
      <c r="AB254" s="685">
        <v>213999.3</v>
      </c>
      <c r="AC254" s="250">
        <v>1112.4000000000001</v>
      </c>
      <c r="AD254" s="251">
        <v>942</v>
      </c>
      <c r="AE254" s="685">
        <v>302</v>
      </c>
      <c r="AF254" s="685">
        <v>219.8</v>
      </c>
      <c r="AG254" s="685">
        <v>83296.7</v>
      </c>
      <c r="AH254" s="685">
        <v>64383.1</v>
      </c>
      <c r="AI254" s="685">
        <v>70098.600000000006</v>
      </c>
      <c r="AJ254" s="685">
        <v>57278</v>
      </c>
      <c r="AK254" s="685">
        <v>60674</v>
      </c>
      <c r="AL254" s="685">
        <v>23851.8</v>
      </c>
      <c r="AM254" s="250">
        <v>16.899999999999999</v>
      </c>
      <c r="AN254" s="422">
        <v>18.3</v>
      </c>
      <c r="AO254" s="685">
        <v>511313</v>
      </c>
      <c r="AP254" s="685">
        <v>235730</v>
      </c>
      <c r="AQ254" s="685">
        <v>65685</v>
      </c>
      <c r="AR254" s="685"/>
      <c r="AS254" s="685">
        <v>477018</v>
      </c>
      <c r="AT254" s="685">
        <v>209826</v>
      </c>
      <c r="AU254" s="685">
        <v>82340.3</v>
      </c>
      <c r="AV254" s="685">
        <v>4660.8</v>
      </c>
      <c r="AW254" s="685">
        <v>3112.2</v>
      </c>
      <c r="AX254" s="250">
        <v>230.83</v>
      </c>
      <c r="AY254" s="250">
        <v>139.63</v>
      </c>
      <c r="AZ254" s="850">
        <v>835.48</v>
      </c>
      <c r="BA254" s="850">
        <v>354.13499999999999</v>
      </c>
      <c r="BB254" s="657">
        <v>1843</v>
      </c>
      <c r="BC254" s="685">
        <v>3240.5</v>
      </c>
      <c r="BD254" s="685">
        <v>493.7</v>
      </c>
      <c r="BE254" s="251">
        <v>5709.04</v>
      </c>
      <c r="BF254" s="251">
        <v>33216.815789473701</v>
      </c>
      <c r="BG254" s="251">
        <v>9261.6749858883595</v>
      </c>
      <c r="BH254" s="251">
        <v>6189.79</v>
      </c>
      <c r="BI254" s="251">
        <v>2770200</v>
      </c>
      <c r="BJ254" s="251">
        <v>602</v>
      </c>
      <c r="BK254" s="251">
        <v>21671.5</v>
      </c>
      <c r="BL254" s="683">
        <v>3618057</v>
      </c>
      <c r="BM254" s="683">
        <v>134428</v>
      </c>
      <c r="BN254" s="683">
        <v>22405.8</v>
      </c>
      <c r="BO254" s="685">
        <v>3339927</v>
      </c>
      <c r="BP254" s="685">
        <v>171972</v>
      </c>
      <c r="BQ254" s="685">
        <v>19607</v>
      </c>
      <c r="BR254" s="685">
        <v>9343.9</v>
      </c>
      <c r="BS254" s="685">
        <v>6350</v>
      </c>
      <c r="BT254" s="685">
        <v>1223220</v>
      </c>
      <c r="BU254" s="685">
        <v>693536</v>
      </c>
      <c r="BV254" s="685">
        <v>767304</v>
      </c>
      <c r="BW254" s="685">
        <v>483976</v>
      </c>
      <c r="BX254" s="1418">
        <v>8</v>
      </c>
    </row>
    <row r="255" spans="1:130">
      <c r="A255" s="160">
        <v>45165</v>
      </c>
      <c r="B255" s="250">
        <v>1074.3789999999999</v>
      </c>
      <c r="C255" s="250">
        <v>592.96900000000005</v>
      </c>
      <c r="D255" s="250">
        <v>6873.5</v>
      </c>
      <c r="E255" s="1317">
        <v>0</v>
      </c>
      <c r="F255" s="718">
        <v>19553.8</v>
      </c>
      <c r="G255" s="718">
        <v>6057</v>
      </c>
      <c r="H255" s="718">
        <v>21750</v>
      </c>
      <c r="I255" s="718">
        <v>10852</v>
      </c>
      <c r="J255" s="718">
        <v>208395.3</v>
      </c>
      <c r="K255" s="250">
        <v>14967.6</v>
      </c>
      <c r="L255" s="250">
        <v>7011.4</v>
      </c>
      <c r="M255" s="683">
        <v>46196.1</v>
      </c>
      <c r="N255" s="683">
        <v>36751.4</v>
      </c>
      <c r="O255" s="718">
        <v>139031</v>
      </c>
      <c r="P255" s="718">
        <v>115282</v>
      </c>
      <c r="Q255" s="718">
        <v>141624</v>
      </c>
      <c r="R255" s="718">
        <v>97176</v>
      </c>
      <c r="S255" s="250">
        <v>14063.6</v>
      </c>
      <c r="T255" s="250">
        <v>10680.14</v>
      </c>
      <c r="U255" s="718">
        <v>58541</v>
      </c>
      <c r="V255" s="718">
        <v>30092</v>
      </c>
      <c r="W255" s="718">
        <v>213990.39999999999</v>
      </c>
      <c r="X255" s="250">
        <v>345.9</v>
      </c>
      <c r="Y255" s="250">
        <v>50716</v>
      </c>
      <c r="Z255" s="718">
        <v>612774</v>
      </c>
      <c r="AA255" s="718">
        <v>311940</v>
      </c>
      <c r="AB255" s="718">
        <v>214023.3</v>
      </c>
      <c r="AC255" s="250">
        <v>1112.4000000000001</v>
      </c>
      <c r="AD255" s="251">
        <v>942</v>
      </c>
      <c r="AE255" s="251">
        <v>305.3</v>
      </c>
      <c r="AF255" s="251">
        <v>222.2</v>
      </c>
      <c r="AG255" s="725">
        <v>83305.399999999994</v>
      </c>
      <c r="AH255" s="251">
        <v>64389.9</v>
      </c>
      <c r="AI255" s="718">
        <v>70136</v>
      </c>
      <c r="AJ255" s="718">
        <v>57310.6</v>
      </c>
      <c r="AK255" s="718">
        <v>60680.3</v>
      </c>
      <c r="AL255" s="718">
        <v>23854.2</v>
      </c>
      <c r="AM255" s="250">
        <v>16.899999999999999</v>
      </c>
      <c r="AN255" s="422">
        <v>18.3</v>
      </c>
      <c r="AO255" s="718">
        <v>511479</v>
      </c>
      <c r="AP255" s="718">
        <v>235807</v>
      </c>
      <c r="AQ255" s="725">
        <v>65690</v>
      </c>
      <c r="AR255" s="1081"/>
      <c r="AS255" s="718">
        <v>477170</v>
      </c>
      <c r="AT255" s="718">
        <v>209891</v>
      </c>
      <c r="AU255" s="718">
        <v>82364.3</v>
      </c>
      <c r="AV255" s="718">
        <v>4664.2</v>
      </c>
      <c r="AW255" s="718">
        <v>3114.3</v>
      </c>
      <c r="AX255" s="250">
        <v>230.83</v>
      </c>
      <c r="AY255" s="250">
        <v>139.63</v>
      </c>
      <c r="AZ255" s="850">
        <v>835.48</v>
      </c>
      <c r="BA255" s="850">
        <v>354.13499999999999</v>
      </c>
      <c r="BB255" s="657">
        <v>1843</v>
      </c>
      <c r="BC255" s="718">
        <v>3242.6</v>
      </c>
      <c r="BD255" s="718">
        <v>493.7</v>
      </c>
      <c r="BE255" s="251">
        <v>5635.26</v>
      </c>
      <c r="BF255" s="251">
        <v>33674.414035087699</v>
      </c>
      <c r="BG255" s="251">
        <v>11410.4673245206</v>
      </c>
      <c r="BH255" s="251">
        <v>6151.42</v>
      </c>
      <c r="BI255" s="251">
        <v>2770200</v>
      </c>
      <c r="BJ255" s="251">
        <v>602</v>
      </c>
      <c r="BK255" s="251">
        <v>21671.5</v>
      </c>
      <c r="BL255" s="683">
        <v>3621823</v>
      </c>
      <c r="BM255" s="683">
        <v>134602</v>
      </c>
      <c r="BN255" s="683">
        <v>22429.8</v>
      </c>
      <c r="BO255" s="718">
        <v>3344540</v>
      </c>
      <c r="BP255" s="718">
        <v>172418</v>
      </c>
      <c r="BQ255" s="718">
        <v>19631</v>
      </c>
      <c r="BR255" s="718">
        <v>9349.9</v>
      </c>
      <c r="BS255" s="718">
        <v>6353.8</v>
      </c>
      <c r="BT255" s="251">
        <v>1224427</v>
      </c>
      <c r="BU255" s="251">
        <v>694196</v>
      </c>
      <c r="BV255" s="718">
        <v>767564</v>
      </c>
      <c r="BW255" s="718">
        <v>484145</v>
      </c>
      <c r="BX255" s="1418">
        <v>0</v>
      </c>
    </row>
    <row r="256" spans="1:130" s="423" customFormat="1">
      <c r="A256" s="160">
        <v>45166</v>
      </c>
      <c r="B256" s="250">
        <v>1074.3789999999999</v>
      </c>
      <c r="C256" s="250">
        <v>592.96900000000005</v>
      </c>
      <c r="D256" s="250">
        <v>6873.5</v>
      </c>
      <c r="E256" s="1317">
        <v>0</v>
      </c>
      <c r="F256" s="718">
        <v>19568.400000000001</v>
      </c>
      <c r="G256" s="718">
        <v>6061.1</v>
      </c>
      <c r="H256" s="718">
        <v>21916</v>
      </c>
      <c r="I256" s="718">
        <v>10935</v>
      </c>
      <c r="J256" s="718">
        <v>208419.3</v>
      </c>
      <c r="K256" s="250">
        <v>14967.6</v>
      </c>
      <c r="L256" s="250">
        <v>7011.4</v>
      </c>
      <c r="M256" s="683">
        <v>46196.1</v>
      </c>
      <c r="N256" s="683">
        <v>36751.4</v>
      </c>
      <c r="O256" s="718">
        <v>139042</v>
      </c>
      <c r="P256" s="718">
        <v>115291</v>
      </c>
      <c r="Q256" s="718">
        <v>141639</v>
      </c>
      <c r="R256" s="718">
        <v>97186</v>
      </c>
      <c r="S256" s="250">
        <v>14063.6</v>
      </c>
      <c r="T256" s="250">
        <v>10680.14</v>
      </c>
      <c r="U256" s="718">
        <v>58841</v>
      </c>
      <c r="V256" s="718">
        <v>30252</v>
      </c>
      <c r="W256" s="718">
        <v>214014.4</v>
      </c>
      <c r="X256" s="250">
        <v>345.9</v>
      </c>
      <c r="Y256" s="250">
        <v>50716</v>
      </c>
      <c r="Z256" s="718">
        <v>612924</v>
      </c>
      <c r="AA256" s="718">
        <v>312012</v>
      </c>
      <c r="AB256" s="718">
        <v>214047.3</v>
      </c>
      <c r="AC256" s="250">
        <v>1112.4000000000001</v>
      </c>
      <c r="AD256" s="251">
        <v>942</v>
      </c>
      <c r="AE256" s="718">
        <v>308.60000000000002</v>
      </c>
      <c r="AF256" s="718">
        <v>224.6</v>
      </c>
      <c r="AG256" s="718">
        <v>83312.5</v>
      </c>
      <c r="AH256" s="718">
        <v>64395.3</v>
      </c>
      <c r="AI256" s="718">
        <v>70174.899999999994</v>
      </c>
      <c r="AJ256" s="718">
        <v>57344.3</v>
      </c>
      <c r="AK256" s="718">
        <v>60690.9</v>
      </c>
      <c r="AL256" s="718">
        <v>23858.1</v>
      </c>
      <c r="AM256" s="250">
        <v>16.899999999999999</v>
      </c>
      <c r="AN256" s="422">
        <v>18.3</v>
      </c>
      <c r="AO256" s="718">
        <v>511645</v>
      </c>
      <c r="AP256" s="718">
        <v>235884</v>
      </c>
      <c r="AQ256" s="718">
        <v>65696</v>
      </c>
      <c r="AR256" s="718"/>
      <c r="AS256" s="718">
        <v>477320</v>
      </c>
      <c r="AT256" s="718">
        <v>209957</v>
      </c>
      <c r="AU256" s="718">
        <v>82388.3</v>
      </c>
      <c r="AV256" s="718">
        <v>4667.6000000000004</v>
      </c>
      <c r="AW256" s="718">
        <v>3116.4</v>
      </c>
      <c r="AX256" s="250">
        <v>230.83</v>
      </c>
      <c r="AY256" s="250">
        <v>139.63</v>
      </c>
      <c r="AZ256" s="850">
        <v>835.48</v>
      </c>
      <c r="BA256" s="850">
        <v>354.13499999999999</v>
      </c>
      <c r="BB256" s="657">
        <v>1843</v>
      </c>
      <c r="BC256" s="718">
        <v>3244.9</v>
      </c>
      <c r="BD256" s="718">
        <v>493.7</v>
      </c>
      <c r="BE256" s="251">
        <v>5773.79</v>
      </c>
      <c r="BF256" s="251">
        <v>33831.385000000002</v>
      </c>
      <c r="BG256" s="251">
        <v>10139.407999999999</v>
      </c>
      <c r="BH256" s="251">
        <v>5841.02</v>
      </c>
      <c r="BI256" s="251">
        <v>2770200</v>
      </c>
      <c r="BJ256" s="251">
        <v>602</v>
      </c>
      <c r="BK256" s="251">
        <v>21671.5</v>
      </c>
      <c r="BL256" s="683">
        <v>3625524</v>
      </c>
      <c r="BM256" s="683">
        <v>134807</v>
      </c>
      <c r="BN256" s="683">
        <v>22453.8</v>
      </c>
      <c r="BO256" s="718">
        <v>3349135</v>
      </c>
      <c r="BP256" s="718">
        <v>172922</v>
      </c>
      <c r="BQ256" s="718">
        <v>19655</v>
      </c>
      <c r="BR256" s="718">
        <v>9356</v>
      </c>
      <c r="BS256" s="718">
        <v>6357.8</v>
      </c>
      <c r="BT256" s="718">
        <v>1225628</v>
      </c>
      <c r="BU256" s="718">
        <v>694847</v>
      </c>
      <c r="BV256" s="718">
        <v>767815</v>
      </c>
      <c r="BW256" s="718">
        <v>484308</v>
      </c>
      <c r="BX256" s="1418">
        <v>0</v>
      </c>
      <c r="BY256" s="22"/>
      <c r="BZ256" s="22"/>
      <c r="CA256" s="22"/>
      <c r="CB256" s="22"/>
      <c r="CC256" s="22"/>
      <c r="CD256" s="22"/>
      <c r="CE256" s="22"/>
      <c r="CF256" s="22"/>
      <c r="CG256" s="22"/>
      <c r="CH256" s="22"/>
      <c r="CI256" s="22"/>
      <c r="CJ256" s="22"/>
      <c r="CK256" s="22"/>
      <c r="CL256" s="22"/>
      <c r="CM256" s="22"/>
      <c r="CN256" s="22"/>
      <c r="CO256" s="22"/>
      <c r="CP256" s="22"/>
      <c r="CQ256" s="22"/>
      <c r="CR256" s="22"/>
      <c r="CS256" s="22"/>
      <c r="CT256" s="22"/>
      <c r="CU256" s="22"/>
      <c r="CV256" s="22"/>
      <c r="CW256" s="22"/>
      <c r="CX256" s="22"/>
      <c r="CY256" s="22"/>
      <c r="CZ256" s="22"/>
      <c r="DA256" s="22"/>
      <c r="DB256" s="22"/>
      <c r="DC256" s="22"/>
      <c r="DD256" s="22"/>
      <c r="DE256" s="22"/>
      <c r="DF256" s="22"/>
      <c r="DG256" s="22"/>
      <c r="DH256" s="22"/>
      <c r="DI256" s="22"/>
      <c r="DJ256" s="22"/>
      <c r="DK256" s="22"/>
      <c r="DL256" s="22"/>
      <c r="DM256" s="22"/>
      <c r="DN256" s="22"/>
    </row>
    <row r="257" spans="1:118" s="423" customFormat="1">
      <c r="A257" s="160">
        <v>45167</v>
      </c>
      <c r="B257" s="250">
        <v>1074.6030000000001</v>
      </c>
      <c r="C257" s="250">
        <v>593.07899999999995</v>
      </c>
      <c r="D257" s="250">
        <v>6874.2</v>
      </c>
      <c r="E257" s="1317">
        <v>0.5</v>
      </c>
      <c r="F257" s="718">
        <v>19582.599999999999</v>
      </c>
      <c r="G257" s="718">
        <v>6064.7</v>
      </c>
      <c r="H257" s="718">
        <v>22082</v>
      </c>
      <c r="I257" s="718">
        <v>11017</v>
      </c>
      <c r="J257" s="718">
        <v>208443.3</v>
      </c>
      <c r="K257" s="250">
        <v>14967.6</v>
      </c>
      <c r="L257" s="250">
        <v>7011.4</v>
      </c>
      <c r="M257" s="683">
        <v>46196.1</v>
      </c>
      <c r="N257" s="683">
        <v>36751.4</v>
      </c>
      <c r="O257" s="718">
        <v>139055</v>
      </c>
      <c r="P257" s="718">
        <v>115301</v>
      </c>
      <c r="Q257" s="718">
        <v>141654</v>
      </c>
      <c r="R257" s="718">
        <v>97197</v>
      </c>
      <c r="S257" s="250">
        <v>14063.6</v>
      </c>
      <c r="T257" s="250">
        <v>10680.14</v>
      </c>
      <c r="U257" s="718">
        <v>59150</v>
      </c>
      <c r="V257" s="718">
        <v>30410</v>
      </c>
      <c r="W257" s="718">
        <v>214038.39999999999</v>
      </c>
      <c r="X257" s="250">
        <v>345.9</v>
      </c>
      <c r="Y257" s="250">
        <v>50716</v>
      </c>
      <c r="Z257" s="718">
        <v>613074</v>
      </c>
      <c r="AA257" s="718">
        <v>312088</v>
      </c>
      <c r="AB257" s="718">
        <v>214071.3</v>
      </c>
      <c r="AC257" s="250">
        <v>1112.4000000000001</v>
      </c>
      <c r="AD257" s="251">
        <v>942</v>
      </c>
      <c r="AE257" s="718">
        <v>311.89999999999998</v>
      </c>
      <c r="AF257" s="718">
        <v>227.1</v>
      </c>
      <c r="AG257" s="718">
        <v>83320.5</v>
      </c>
      <c r="AH257" s="718">
        <v>64401.5</v>
      </c>
      <c r="AI257" s="718">
        <v>70214</v>
      </c>
      <c r="AJ257" s="718">
        <v>57378</v>
      </c>
      <c r="AK257" s="718">
        <v>60705.7</v>
      </c>
      <c r="AL257" s="718">
        <v>23863.9</v>
      </c>
      <c r="AM257" s="250">
        <v>16.899999999999999</v>
      </c>
      <c r="AN257" s="422">
        <v>18.3</v>
      </c>
      <c r="AO257" s="718">
        <v>511814</v>
      </c>
      <c r="AP257" s="718">
        <v>235960</v>
      </c>
      <c r="AQ257" s="718">
        <v>65702</v>
      </c>
      <c r="AR257" s="718"/>
      <c r="AS257" s="718">
        <v>477475</v>
      </c>
      <c r="AT257" s="718">
        <v>210024</v>
      </c>
      <c r="AU257" s="718">
        <v>82412.3</v>
      </c>
      <c r="AV257" s="718">
        <v>4670.8</v>
      </c>
      <c r="AW257" s="718">
        <v>3118.5</v>
      </c>
      <c r="AX257" s="718">
        <v>230.87</v>
      </c>
      <c r="AY257" s="718">
        <v>139.66</v>
      </c>
      <c r="AZ257" s="850">
        <v>835.89200000000005</v>
      </c>
      <c r="BA257" s="850">
        <v>354.29300000000001</v>
      </c>
      <c r="BB257" s="657">
        <v>1843.8</v>
      </c>
      <c r="BC257" s="718">
        <v>3247.3</v>
      </c>
      <c r="BD257" s="718">
        <v>493.7</v>
      </c>
      <c r="BE257" s="251">
        <v>5721.67</v>
      </c>
      <c r="BF257" s="251">
        <v>33432.024561403501</v>
      </c>
      <c r="BG257" s="251">
        <v>9120.7421174266292</v>
      </c>
      <c r="BH257" s="251">
        <v>4692.47</v>
      </c>
      <c r="BI257" s="251">
        <v>2770200</v>
      </c>
      <c r="BJ257" s="251">
        <v>602</v>
      </c>
      <c r="BK257" s="718">
        <v>21671.8</v>
      </c>
      <c r="BL257" s="683">
        <v>3628894</v>
      </c>
      <c r="BM257" s="683">
        <v>134957</v>
      </c>
      <c r="BN257" s="683">
        <v>22477.8</v>
      </c>
      <c r="BO257" s="718">
        <v>3353387</v>
      </c>
      <c r="BP257" s="718">
        <v>173197</v>
      </c>
      <c r="BQ257" s="718">
        <v>19679</v>
      </c>
      <c r="BR257" s="718">
        <v>9362</v>
      </c>
      <c r="BS257" s="718">
        <v>6361.8</v>
      </c>
      <c r="BT257" s="718">
        <v>1226866</v>
      </c>
      <c r="BU257" s="718">
        <v>695517</v>
      </c>
      <c r="BV257" s="718">
        <v>768123</v>
      </c>
      <c r="BW257" s="718">
        <v>484508</v>
      </c>
      <c r="BX257" s="1418">
        <v>0.5</v>
      </c>
      <c r="BY257" s="22"/>
      <c r="BZ257" s="22"/>
      <c r="CA257" s="22"/>
      <c r="CB257" s="22"/>
      <c r="CC257" s="22"/>
      <c r="CD257" s="22"/>
      <c r="CE257" s="22"/>
      <c r="CF257" s="22"/>
      <c r="CG257" s="22"/>
      <c r="CH257" s="22"/>
      <c r="CI257" s="22"/>
      <c r="CJ257" s="22"/>
      <c r="CK257" s="22"/>
      <c r="CL257" s="22"/>
      <c r="CM257" s="22"/>
      <c r="CN257" s="22"/>
      <c r="CO257" s="22"/>
      <c r="CP257" s="22"/>
      <c r="CQ257" s="22"/>
      <c r="CR257" s="22"/>
      <c r="CS257" s="22"/>
      <c r="CT257" s="22"/>
      <c r="CU257" s="22"/>
      <c r="CV257" s="22"/>
      <c r="CW257" s="22"/>
      <c r="CX257" s="22"/>
      <c r="CY257" s="22"/>
      <c r="CZ257" s="22"/>
      <c r="DA257" s="22"/>
      <c r="DB257" s="22"/>
      <c r="DC257" s="22"/>
      <c r="DD257" s="22"/>
      <c r="DE257" s="22"/>
      <c r="DF257" s="22"/>
      <c r="DG257" s="22"/>
      <c r="DH257" s="22"/>
      <c r="DI257" s="22"/>
      <c r="DJ257" s="22"/>
      <c r="DK257" s="22"/>
      <c r="DL257" s="22"/>
      <c r="DM257" s="22"/>
      <c r="DN257" s="22"/>
    </row>
    <row r="258" spans="1:118" s="423" customFormat="1">
      <c r="A258" s="160">
        <v>45168</v>
      </c>
      <c r="B258" s="250">
        <v>1074.6030000000001</v>
      </c>
      <c r="C258" s="250">
        <v>593.07899999999995</v>
      </c>
      <c r="D258" s="250">
        <v>6874.2</v>
      </c>
      <c r="E258" s="1318">
        <v>0</v>
      </c>
      <c r="F258" s="718">
        <v>19596.900000000001</v>
      </c>
      <c r="G258" s="718">
        <v>6068.6</v>
      </c>
      <c r="H258" s="718">
        <v>22246</v>
      </c>
      <c r="I258" s="718">
        <v>11099</v>
      </c>
      <c r="J258" s="718">
        <v>208467.3</v>
      </c>
      <c r="K258" s="250">
        <v>14967.7</v>
      </c>
      <c r="L258" s="250">
        <v>7011.4</v>
      </c>
      <c r="M258" s="683">
        <v>46196.1</v>
      </c>
      <c r="N258" s="683">
        <v>36751.4</v>
      </c>
      <c r="O258" s="1081">
        <v>139067</v>
      </c>
      <c r="P258" s="1081">
        <v>115310</v>
      </c>
      <c r="Q258" s="1081">
        <v>141669</v>
      </c>
      <c r="R258" s="1081">
        <v>97207</v>
      </c>
      <c r="S258" s="250">
        <v>14063.6</v>
      </c>
      <c r="T258" s="250">
        <v>10680.14</v>
      </c>
      <c r="U258" s="1081">
        <v>59446</v>
      </c>
      <c r="V258" s="1081">
        <v>30562</v>
      </c>
      <c r="W258" s="1081">
        <v>214062.4</v>
      </c>
      <c r="X258" s="250">
        <v>345.9</v>
      </c>
      <c r="Y258" s="250">
        <v>50716</v>
      </c>
      <c r="Z258" s="1081">
        <v>613224</v>
      </c>
      <c r="AA258" s="1081">
        <v>312161</v>
      </c>
      <c r="AB258" s="1081">
        <v>214095.3</v>
      </c>
      <c r="AC258" s="250">
        <v>1112.4000000000001</v>
      </c>
      <c r="AD258" s="251">
        <v>942</v>
      </c>
      <c r="AE258" s="724">
        <v>315</v>
      </c>
      <c r="AF258" s="724">
        <v>229.5</v>
      </c>
      <c r="AG258" s="1081">
        <v>83329.100000000006</v>
      </c>
      <c r="AH258" s="1081">
        <v>64408.1</v>
      </c>
      <c r="AI258" s="1081">
        <v>70252</v>
      </c>
      <c r="AJ258" s="1398">
        <v>57411.1</v>
      </c>
      <c r="AK258" s="718">
        <v>60714.3</v>
      </c>
      <c r="AL258" s="718">
        <v>23867.1</v>
      </c>
      <c r="AM258" s="250">
        <v>16.899999999999999</v>
      </c>
      <c r="AN258" s="422">
        <v>18.3</v>
      </c>
      <c r="AO258" s="1081">
        <v>511980</v>
      </c>
      <c r="AP258" s="1081">
        <v>236032</v>
      </c>
      <c r="AQ258" s="1081">
        <v>65707</v>
      </c>
      <c r="AR258" s="718"/>
      <c r="AS258" s="718">
        <v>477626</v>
      </c>
      <c r="AT258" s="718">
        <v>210089</v>
      </c>
      <c r="AU258" s="718">
        <v>82436.3</v>
      </c>
      <c r="AV258" s="718">
        <v>4673.6000000000004</v>
      </c>
      <c r="AW258" s="718">
        <v>3120.3</v>
      </c>
      <c r="AX258" s="718">
        <v>230.87</v>
      </c>
      <c r="AY258" s="718">
        <v>139.66</v>
      </c>
      <c r="AZ258" s="850">
        <v>835.89200000000005</v>
      </c>
      <c r="BA258" s="850">
        <v>354.29300000000001</v>
      </c>
      <c r="BB258" s="657">
        <v>1843.8</v>
      </c>
      <c r="BC258" s="1081">
        <v>3249.6</v>
      </c>
      <c r="BD258" s="718">
        <v>493.7</v>
      </c>
      <c r="BE258" s="1081">
        <v>5474.2800000000007</v>
      </c>
      <c r="BF258" s="1081">
        <v>33518.57543859649</v>
      </c>
      <c r="BG258" s="1081">
        <v>8442.0265468876059</v>
      </c>
      <c r="BH258" s="1081">
        <v>6441.8299999999981</v>
      </c>
      <c r="BI258" s="251">
        <v>2770200</v>
      </c>
      <c r="BJ258" s="251">
        <v>602</v>
      </c>
      <c r="BK258" s="718">
        <v>21671.8</v>
      </c>
      <c r="BL258" s="718">
        <v>3632470</v>
      </c>
      <c r="BM258" s="718">
        <v>135188</v>
      </c>
      <c r="BN258" s="718">
        <v>22501.8</v>
      </c>
      <c r="BO258" s="718">
        <v>3357771</v>
      </c>
      <c r="BP258" s="718">
        <v>173564</v>
      </c>
      <c r="BQ258" s="718">
        <v>19703</v>
      </c>
      <c r="BR258" s="1081">
        <v>9368</v>
      </c>
      <c r="BS258" s="1081">
        <v>6365.8</v>
      </c>
      <c r="BT258" s="1081">
        <v>1228073</v>
      </c>
      <c r="BU258" s="1081">
        <v>696176</v>
      </c>
      <c r="BV258" s="718">
        <v>768394</v>
      </c>
      <c r="BW258" s="718">
        <v>484680</v>
      </c>
      <c r="BX258" s="1418">
        <v>0</v>
      </c>
      <c r="BY258" s="22"/>
      <c r="BZ258" s="22"/>
      <c r="CA258" s="22"/>
      <c r="CB258" s="22"/>
      <c r="CC258" s="22"/>
      <c r="CD258" s="22"/>
      <c r="CE258" s="22"/>
      <c r="CF258" s="22"/>
      <c r="CG258" s="22"/>
      <c r="CH258" s="22"/>
      <c r="CI258" s="22"/>
      <c r="CJ258" s="22"/>
      <c r="CK258" s="22"/>
      <c r="CL258" s="22"/>
      <c r="CM258" s="22"/>
      <c r="CN258" s="22"/>
      <c r="CO258" s="22"/>
      <c r="CP258" s="22"/>
      <c r="CQ258" s="22"/>
      <c r="CR258" s="22"/>
      <c r="CS258" s="22"/>
      <c r="CT258" s="22"/>
      <c r="CU258" s="22"/>
      <c r="CV258" s="22"/>
      <c r="CW258" s="22"/>
      <c r="CX258" s="22"/>
      <c r="CY258" s="22"/>
      <c r="CZ258" s="22"/>
      <c r="DA258" s="22"/>
      <c r="DB258" s="22"/>
      <c r="DC258" s="22"/>
      <c r="DD258" s="22"/>
      <c r="DE258" s="22"/>
      <c r="DF258" s="22"/>
      <c r="DG258" s="22"/>
      <c r="DH258" s="22"/>
      <c r="DI258" s="22"/>
      <c r="DJ258" s="22"/>
      <c r="DK258" s="22"/>
      <c r="DL258" s="22"/>
      <c r="DM258" s="22"/>
      <c r="DN258" s="22"/>
    </row>
    <row r="259" spans="1:118" s="423" customFormat="1">
      <c r="A259" s="160">
        <v>45169</v>
      </c>
      <c r="B259" s="250">
        <v>1074.6030000000001</v>
      </c>
      <c r="C259" s="250">
        <v>593.07899999999995</v>
      </c>
      <c r="D259" s="250">
        <v>6874.2</v>
      </c>
      <c r="E259" s="1318">
        <v>0</v>
      </c>
      <c r="F259" s="1014">
        <v>19610.900000000001</v>
      </c>
      <c r="G259" s="1014">
        <v>6072.7</v>
      </c>
      <c r="H259" s="1014">
        <v>22407.7</v>
      </c>
      <c r="I259" s="1014">
        <v>11179.5</v>
      </c>
      <c r="J259" s="1014">
        <v>208491.3</v>
      </c>
      <c r="K259" s="250">
        <v>14967.7</v>
      </c>
      <c r="L259" s="250">
        <v>7011.4</v>
      </c>
      <c r="M259" s="683">
        <v>46196.1</v>
      </c>
      <c r="N259" s="683">
        <v>36751.4</v>
      </c>
      <c r="O259" s="1014">
        <v>139078.29999999999</v>
      </c>
      <c r="P259" s="1014">
        <v>115318.9</v>
      </c>
      <c r="Q259" s="1014">
        <v>141684.79999999999</v>
      </c>
      <c r="R259" s="1014">
        <v>97218</v>
      </c>
      <c r="S259" s="250">
        <v>14063.6</v>
      </c>
      <c r="T259" s="250">
        <v>10680.14</v>
      </c>
      <c r="U259" s="1014">
        <v>59744.4</v>
      </c>
      <c r="V259" s="1014">
        <v>30714.400000000001</v>
      </c>
      <c r="W259" s="1014">
        <v>214086.39999999999</v>
      </c>
      <c r="X259" s="250">
        <v>345.9</v>
      </c>
      <c r="Y259" s="250">
        <v>50716</v>
      </c>
      <c r="Z259" s="1014">
        <v>613371.30000000005</v>
      </c>
      <c r="AA259" s="1014">
        <v>312233.40000000002</v>
      </c>
      <c r="AB259" s="1014">
        <v>214119.3</v>
      </c>
      <c r="AC259" s="250">
        <v>1112.4000000000001</v>
      </c>
      <c r="AD259" s="251">
        <v>942</v>
      </c>
      <c r="AE259" s="386">
        <v>318.2</v>
      </c>
      <c r="AF259" s="386">
        <v>231.8</v>
      </c>
      <c r="AG259" s="1014">
        <v>83338.100000000006</v>
      </c>
      <c r="AH259" s="1014">
        <v>64415.1</v>
      </c>
      <c r="AI259" s="1014">
        <v>70290.100000000006</v>
      </c>
      <c r="AJ259" s="1014">
        <v>57444.1</v>
      </c>
      <c r="AK259" s="718">
        <v>60726.3</v>
      </c>
      <c r="AL259" s="718">
        <v>23871.7</v>
      </c>
      <c r="AM259" s="250">
        <v>16.899999999999999</v>
      </c>
      <c r="AN259" s="422">
        <v>18.3</v>
      </c>
      <c r="AO259" s="1014">
        <v>512142.9</v>
      </c>
      <c r="AP259" s="1014">
        <v>236102.9</v>
      </c>
      <c r="AQ259" s="1014">
        <v>65712.5</v>
      </c>
      <c r="AR259" s="683"/>
      <c r="AS259" s="1014">
        <v>477777.7</v>
      </c>
      <c r="AT259" s="1014">
        <v>210154.3</v>
      </c>
      <c r="AU259" s="1014">
        <v>82460.3</v>
      </c>
      <c r="AV259" s="1014">
        <v>4674.3</v>
      </c>
      <c r="AW259" s="1014">
        <v>3120.7</v>
      </c>
      <c r="AX259" s="718">
        <v>230.87</v>
      </c>
      <c r="AY259" s="718">
        <v>139.66</v>
      </c>
      <c r="AZ259" s="850">
        <v>835.89200000000005</v>
      </c>
      <c r="BA259" s="850">
        <v>354.29300000000001</v>
      </c>
      <c r="BB259" s="657">
        <v>1843.8</v>
      </c>
      <c r="BC259" s="1081">
        <v>3253.2</v>
      </c>
      <c r="BD259" s="1081">
        <v>495.3</v>
      </c>
      <c r="BE259" s="1014">
        <v>5605.8200000000006</v>
      </c>
      <c r="BF259" s="1014">
        <v>33972.510526315789</v>
      </c>
      <c r="BG259" s="1014">
        <v>5215.2745453981261</v>
      </c>
      <c r="BH259" s="1014">
        <v>6243.07</v>
      </c>
      <c r="BI259" s="251">
        <v>2770200</v>
      </c>
      <c r="BJ259" s="251">
        <v>602</v>
      </c>
      <c r="BK259" s="718">
        <v>21671.8</v>
      </c>
      <c r="BL259" s="718">
        <v>3636075</v>
      </c>
      <c r="BM259" s="718">
        <v>135424</v>
      </c>
      <c r="BN259" s="718">
        <v>22525.8</v>
      </c>
      <c r="BO259" s="718">
        <v>3362117</v>
      </c>
      <c r="BP259" s="718">
        <v>174043</v>
      </c>
      <c r="BQ259" s="718">
        <v>19727</v>
      </c>
      <c r="BR259" s="1014">
        <v>9373.9</v>
      </c>
      <c r="BS259" s="1014">
        <v>6369.9</v>
      </c>
      <c r="BT259" s="1014">
        <v>1229338</v>
      </c>
      <c r="BU259" s="1014">
        <v>696865</v>
      </c>
      <c r="BV259" s="1014">
        <v>768639</v>
      </c>
      <c r="BW259" s="1014">
        <v>484837</v>
      </c>
      <c r="BX259" s="1418">
        <v>0</v>
      </c>
      <c r="BY259" s="22"/>
      <c r="BZ259" s="22"/>
      <c r="CA259" s="22"/>
      <c r="CB259" s="22"/>
      <c r="CC259" s="22"/>
      <c r="CD259" s="22"/>
      <c r="CE259" s="22"/>
      <c r="CF259" s="22"/>
      <c r="CG259" s="22"/>
      <c r="CH259" s="22"/>
      <c r="CI259" s="22"/>
      <c r="CJ259" s="22"/>
      <c r="CK259" s="22"/>
      <c r="CL259" s="22"/>
      <c r="CM259" s="22"/>
      <c r="CN259" s="22"/>
      <c r="CO259" s="22"/>
      <c r="CP259" s="22"/>
      <c r="CQ259" s="22"/>
      <c r="CR259" s="22"/>
      <c r="CS259" s="22"/>
      <c r="CT259" s="22"/>
      <c r="CU259" s="22"/>
      <c r="CV259" s="22"/>
      <c r="CW259" s="22"/>
      <c r="CX259" s="22"/>
      <c r="CY259" s="22"/>
      <c r="CZ259" s="22"/>
      <c r="DA259" s="22"/>
      <c r="DB259" s="22"/>
      <c r="DC259" s="22"/>
      <c r="DD259" s="22"/>
      <c r="DE259" s="22"/>
      <c r="DF259" s="22"/>
      <c r="DG259" s="22"/>
      <c r="DH259" s="22"/>
      <c r="DI259" s="22"/>
      <c r="DJ259" s="22"/>
      <c r="DK259" s="22"/>
      <c r="DL259" s="22"/>
      <c r="DM259" s="22"/>
      <c r="DN259" s="22"/>
    </row>
    <row r="260" spans="1:118">
      <c r="A260" s="182"/>
      <c r="B260" s="187"/>
      <c r="C260" s="187"/>
      <c r="D260" s="187"/>
      <c r="E260" s="1402"/>
      <c r="F260" s="187"/>
      <c r="G260" s="187"/>
      <c r="H260" s="187"/>
      <c r="I260" s="187"/>
      <c r="J260" s="187"/>
      <c r="K260" s="187"/>
      <c r="L260" s="187"/>
      <c r="M260" s="187"/>
      <c r="N260" s="187"/>
      <c r="O260" s="187"/>
      <c r="P260" s="187"/>
      <c r="Q260" s="187"/>
      <c r="R260" s="187"/>
      <c r="S260" s="187"/>
      <c r="T260" s="187"/>
      <c r="U260" s="187"/>
      <c r="V260" s="187"/>
      <c r="W260" s="187"/>
      <c r="X260" s="187"/>
      <c r="Y260" s="187"/>
      <c r="Z260" s="187"/>
      <c r="AA260" s="187"/>
      <c r="AB260" s="187"/>
      <c r="AC260" s="187"/>
      <c r="AD260" s="187"/>
      <c r="AE260" s="187"/>
      <c r="AF260" s="187"/>
      <c r="AG260" s="187"/>
      <c r="AH260" s="187"/>
      <c r="AI260" s="187"/>
      <c r="AJ260" s="187"/>
      <c r="AK260" s="187"/>
      <c r="AL260" s="187"/>
      <c r="AM260" s="187"/>
      <c r="AN260" s="187"/>
      <c r="AO260" s="187"/>
      <c r="AP260" s="187"/>
      <c r="AQ260" s="187"/>
      <c r="AR260" s="187"/>
      <c r="AS260" s="187"/>
      <c r="AT260" s="187"/>
      <c r="AU260" s="187"/>
      <c r="AV260" s="187"/>
      <c r="AW260" s="187"/>
      <c r="AX260" s="187"/>
      <c r="AY260" s="187"/>
      <c r="AZ260" s="187"/>
      <c r="BA260" s="187"/>
      <c r="BB260" s="1796"/>
      <c r="BC260" s="187"/>
      <c r="BD260" s="187"/>
      <c r="BE260" s="187"/>
      <c r="BF260" s="187"/>
      <c r="BG260" s="187"/>
      <c r="BH260" s="187"/>
      <c r="BI260" s="187"/>
      <c r="BJ260" s="187"/>
      <c r="BK260" s="187"/>
      <c r="BL260" s="187"/>
      <c r="BM260" s="187"/>
      <c r="BN260" s="187"/>
      <c r="BO260" s="187"/>
      <c r="BP260" s="187"/>
      <c r="BQ260" s="187"/>
      <c r="BR260" s="187"/>
      <c r="BS260" s="187"/>
      <c r="BT260" s="187"/>
      <c r="BU260" s="187"/>
      <c r="BV260" s="187"/>
      <c r="BW260" s="187"/>
      <c r="BX260" s="1409"/>
    </row>
    <row r="261" spans="1:118" s="423" customFormat="1">
      <c r="A261" s="1396">
        <v>45169</v>
      </c>
      <c r="B261" s="718">
        <v>1074.6030000000001</v>
      </c>
      <c r="C261" s="718">
        <v>593.07899999999995</v>
      </c>
      <c r="D261" s="1081">
        <v>6874.2</v>
      </c>
      <c r="E261" s="1311">
        <v>0</v>
      </c>
      <c r="F261" s="1014">
        <v>19610.900000000001</v>
      </c>
      <c r="G261" s="1014">
        <v>6072.7</v>
      </c>
      <c r="H261" s="1014">
        <v>22407.7</v>
      </c>
      <c r="I261" s="1014">
        <v>11179.5</v>
      </c>
      <c r="J261" s="1014">
        <v>208491.3</v>
      </c>
      <c r="K261" s="1014">
        <v>14967.7</v>
      </c>
      <c r="L261" s="1014">
        <v>7011.4</v>
      </c>
      <c r="M261" s="1014">
        <v>46196.1</v>
      </c>
      <c r="N261" s="1014">
        <v>36751.4</v>
      </c>
      <c r="O261" s="1014">
        <v>139078.29999999999</v>
      </c>
      <c r="P261" s="1014">
        <v>115318.9</v>
      </c>
      <c r="Q261" s="1014">
        <v>141684.79999999999</v>
      </c>
      <c r="R261" s="1014">
        <v>97218</v>
      </c>
      <c r="S261" s="1081">
        <v>14063.6</v>
      </c>
      <c r="T261" s="1081">
        <v>10680.14</v>
      </c>
      <c r="U261" s="1014">
        <v>59744.4</v>
      </c>
      <c r="V261" s="1014">
        <v>30714.400000000001</v>
      </c>
      <c r="W261" s="1014">
        <v>214086.39999999999</v>
      </c>
      <c r="X261" s="683">
        <v>345.9</v>
      </c>
      <c r="Y261" s="725">
        <v>50716</v>
      </c>
      <c r="Z261" s="1014">
        <v>613371.30000000005</v>
      </c>
      <c r="AA261" s="1014">
        <v>312233.40000000002</v>
      </c>
      <c r="AB261" s="1014">
        <v>214119.3</v>
      </c>
      <c r="AC261" s="683">
        <v>1112.4000000000001</v>
      </c>
      <c r="AD261" s="718">
        <v>942</v>
      </c>
      <c r="AE261" s="386">
        <v>318.2</v>
      </c>
      <c r="AF261" s="386">
        <v>231.8</v>
      </c>
      <c r="AG261" s="1014">
        <v>83338.100000000006</v>
      </c>
      <c r="AH261" s="1014">
        <v>64415.1</v>
      </c>
      <c r="AI261" s="1014">
        <v>70290.100000000006</v>
      </c>
      <c r="AJ261" s="1014">
        <v>57444.1</v>
      </c>
      <c r="AK261" s="718">
        <v>60726.3</v>
      </c>
      <c r="AL261" s="718">
        <v>23871.7</v>
      </c>
      <c r="AM261" s="250">
        <v>16.899999999999999</v>
      </c>
      <c r="AN261" s="250">
        <v>18.3</v>
      </c>
      <c r="AO261" s="1014">
        <v>512142.9</v>
      </c>
      <c r="AP261" s="1014">
        <v>236102.9</v>
      </c>
      <c r="AQ261" s="1014">
        <v>65712.5</v>
      </c>
      <c r="AR261" s="683"/>
      <c r="AS261" s="1014">
        <v>477777.7</v>
      </c>
      <c r="AT261" s="1014">
        <v>210154.3</v>
      </c>
      <c r="AU261" s="1014">
        <v>82460.3</v>
      </c>
      <c r="AV261" s="1014">
        <v>4674.3</v>
      </c>
      <c r="AW261" s="1014">
        <v>3120.7</v>
      </c>
      <c r="AX261" s="718">
        <v>230.87</v>
      </c>
      <c r="AY261" s="718">
        <v>139.66</v>
      </c>
      <c r="AZ261" s="1014">
        <v>835.89200000000005</v>
      </c>
      <c r="BA261" s="1014">
        <v>354.29300000000001</v>
      </c>
      <c r="BB261" s="1397">
        <v>1843.8</v>
      </c>
      <c r="BC261" s="1081">
        <v>3253.2</v>
      </c>
      <c r="BD261" s="1014">
        <v>495.3</v>
      </c>
      <c r="BE261" s="1014">
        <v>5605.8200000000006</v>
      </c>
      <c r="BF261" s="1014">
        <v>33972.510526315789</v>
      </c>
      <c r="BG261" s="1014">
        <v>5215.2745453981261</v>
      </c>
      <c r="BH261" s="1014">
        <v>6243.07</v>
      </c>
      <c r="BI261" s="1014">
        <v>2770200</v>
      </c>
      <c r="BJ261" s="1014">
        <v>602</v>
      </c>
      <c r="BK261" s="1014">
        <v>21671.8</v>
      </c>
      <c r="BL261" s="1014">
        <v>3636075</v>
      </c>
      <c r="BM261" s="1014">
        <v>135424</v>
      </c>
      <c r="BN261" s="1014">
        <v>22525.8</v>
      </c>
      <c r="BO261" s="718">
        <v>3362117</v>
      </c>
      <c r="BP261" s="718">
        <v>174043</v>
      </c>
      <c r="BQ261" s="718">
        <v>19727</v>
      </c>
      <c r="BR261" s="1014">
        <v>9373.9</v>
      </c>
      <c r="BS261" s="1014">
        <v>6369.9</v>
      </c>
      <c r="BT261" s="1014">
        <v>1229338</v>
      </c>
      <c r="BU261" s="1014">
        <v>696865</v>
      </c>
      <c r="BV261" s="1014">
        <v>768639</v>
      </c>
      <c r="BW261" s="1014">
        <v>484837</v>
      </c>
      <c r="BX261" s="1324">
        <v>0</v>
      </c>
      <c r="BY261" s="22"/>
      <c r="BZ261" s="22"/>
      <c r="CA261" s="22"/>
      <c r="CB261" s="22"/>
      <c r="CC261" s="22"/>
      <c r="CD261" s="22"/>
      <c r="CE261" s="22"/>
      <c r="CF261" s="22"/>
      <c r="CG261" s="22"/>
      <c r="CH261" s="22"/>
      <c r="CI261" s="22"/>
      <c r="CJ261" s="22"/>
      <c r="CK261" s="22"/>
      <c r="CL261" s="22"/>
      <c r="CM261" s="22"/>
      <c r="CN261" s="22"/>
      <c r="CO261" s="22"/>
      <c r="CP261" s="22"/>
      <c r="CQ261" s="22"/>
      <c r="CR261" s="22"/>
      <c r="CS261" s="22"/>
      <c r="CT261" s="22"/>
      <c r="CU261" s="22"/>
      <c r="CV261" s="22"/>
      <c r="CW261" s="22"/>
      <c r="CX261" s="22"/>
      <c r="CY261" s="22"/>
      <c r="CZ261" s="22"/>
      <c r="DA261" s="22"/>
      <c r="DB261" s="22"/>
      <c r="DC261" s="22"/>
      <c r="DD261" s="22"/>
      <c r="DE261" s="22"/>
      <c r="DF261" s="22"/>
      <c r="DG261" s="22"/>
      <c r="DH261" s="22"/>
      <c r="DI261" s="22"/>
      <c r="DJ261" s="22"/>
      <c r="DK261" s="22"/>
      <c r="DL261" s="22"/>
      <c r="DM261" s="22"/>
      <c r="DN261" s="22"/>
    </row>
    <row r="262" spans="1:118" s="423" customFormat="1">
      <c r="A262" s="1396">
        <v>45170</v>
      </c>
      <c r="B262" s="718">
        <v>1074.6030000000001</v>
      </c>
      <c r="C262" s="718">
        <v>593.07899999999995</v>
      </c>
      <c r="D262" s="1081">
        <v>6874.2</v>
      </c>
      <c r="E262" s="1311">
        <v>0</v>
      </c>
      <c r="F262" s="1014">
        <v>19625.599999999999</v>
      </c>
      <c r="G262" s="1014">
        <v>6076.4</v>
      </c>
      <c r="H262" s="1014">
        <v>22573.386999999999</v>
      </c>
      <c r="I262" s="1014">
        <v>11262.822</v>
      </c>
      <c r="J262" s="1014">
        <v>208515.3</v>
      </c>
      <c r="K262" s="1014">
        <v>14967.7</v>
      </c>
      <c r="L262" s="1014">
        <v>7011.4</v>
      </c>
      <c r="M262" s="1014">
        <v>46196.1</v>
      </c>
      <c r="N262" s="1014">
        <v>36751.4</v>
      </c>
      <c r="O262" s="1014">
        <v>139090.38</v>
      </c>
      <c r="P262" s="1014">
        <v>115328.49</v>
      </c>
      <c r="Q262" s="1014">
        <v>141701.10999999999</v>
      </c>
      <c r="R262" s="1014">
        <v>97229.56</v>
      </c>
      <c r="S262" s="1081">
        <v>14063.6</v>
      </c>
      <c r="T262" s="1081">
        <v>10680.14</v>
      </c>
      <c r="U262" s="1014">
        <v>60049.46</v>
      </c>
      <c r="V262" s="1014">
        <v>30871.27</v>
      </c>
      <c r="W262" s="1014">
        <v>214110.4</v>
      </c>
      <c r="X262" s="683">
        <v>345.9</v>
      </c>
      <c r="Y262" s="725">
        <v>50716</v>
      </c>
      <c r="Z262" s="1014">
        <v>613524.76</v>
      </c>
      <c r="AA262" s="1014">
        <v>312309.24</v>
      </c>
      <c r="AB262" s="1014">
        <v>214143.3</v>
      </c>
      <c r="AC262" s="683">
        <v>1112.4000000000001</v>
      </c>
      <c r="AD262" s="718">
        <v>942</v>
      </c>
      <c r="AE262" s="386">
        <v>321.27999999999997</v>
      </c>
      <c r="AF262" s="386">
        <v>234.17</v>
      </c>
      <c r="AG262" s="1014">
        <v>83349.240000000005</v>
      </c>
      <c r="AH262" s="1014">
        <v>64423.62</v>
      </c>
      <c r="AI262" s="1014">
        <v>70329.919999999998</v>
      </c>
      <c r="AJ262" s="1014">
        <v>57478.42</v>
      </c>
      <c r="AK262" s="718">
        <v>60737.7</v>
      </c>
      <c r="AL262" s="718">
        <v>23876.3</v>
      </c>
      <c r="AM262" s="250">
        <v>16.899999999999999</v>
      </c>
      <c r="AN262" s="250">
        <v>18.3</v>
      </c>
      <c r="AO262" s="1014">
        <v>512309.9</v>
      </c>
      <c r="AP262" s="1014">
        <v>236175.2</v>
      </c>
      <c r="AQ262" s="1014">
        <v>65717.591</v>
      </c>
      <c r="AR262" s="683"/>
      <c r="AS262" s="1014">
        <v>477928.8</v>
      </c>
      <c r="AT262" s="1014">
        <v>210219.61</v>
      </c>
      <c r="AU262" s="1014">
        <v>82484.3</v>
      </c>
      <c r="AV262" s="1014">
        <v>4674.32</v>
      </c>
      <c r="AW262" s="1014">
        <v>3120.75</v>
      </c>
      <c r="AX262" s="718">
        <v>230.87</v>
      </c>
      <c r="AY262" s="718">
        <v>139.66</v>
      </c>
      <c r="AZ262" s="1014">
        <v>835.89200000000005</v>
      </c>
      <c r="BA262" s="1014">
        <v>354.29300000000001</v>
      </c>
      <c r="BB262" s="1397">
        <v>1843.8</v>
      </c>
      <c r="BC262" s="1081">
        <v>3255.6</v>
      </c>
      <c r="BD262" s="1014">
        <v>495.3</v>
      </c>
      <c r="BE262" s="1014">
        <v>5943.4</v>
      </c>
      <c r="BF262" s="1014">
        <v>33203.987719298202</v>
      </c>
      <c r="BG262" s="1014">
        <v>1004.00010491381</v>
      </c>
      <c r="BH262" s="1014">
        <v>5373.1</v>
      </c>
      <c r="BI262" s="1014">
        <v>2770200</v>
      </c>
      <c r="BJ262" s="1014">
        <v>602</v>
      </c>
      <c r="BK262" s="1014">
        <v>21671.8</v>
      </c>
      <c r="BL262" s="1014">
        <v>3639542</v>
      </c>
      <c r="BM262" s="1014">
        <v>135541</v>
      </c>
      <c r="BN262" s="1014">
        <v>22549.8</v>
      </c>
      <c r="BO262" s="718">
        <v>3366489</v>
      </c>
      <c r="BP262" s="718">
        <v>174294</v>
      </c>
      <c r="BQ262" s="718">
        <v>19751</v>
      </c>
      <c r="BR262" s="1014">
        <v>9380.0300000000007</v>
      </c>
      <c r="BS262" s="1014">
        <v>6374.1</v>
      </c>
      <c r="BT262" s="1014">
        <v>1230546</v>
      </c>
      <c r="BU262" s="1014">
        <v>697534</v>
      </c>
      <c r="BV262" s="1014">
        <v>768923</v>
      </c>
      <c r="BW262" s="1014">
        <v>485017</v>
      </c>
      <c r="BX262" s="1324">
        <v>0</v>
      </c>
      <c r="BY262" s="22"/>
      <c r="BZ262" s="22"/>
      <c r="CA262" s="22"/>
      <c r="CB262" s="22"/>
      <c r="CC262" s="22"/>
      <c r="CD262" s="22"/>
      <c r="CE262" s="22"/>
      <c r="CF262" s="22"/>
      <c r="CG262" s="22"/>
      <c r="CH262" s="22"/>
      <c r="CI262" s="22"/>
      <c r="CJ262" s="22"/>
      <c r="CK262" s="22"/>
      <c r="CL262" s="22"/>
      <c r="CM262" s="22"/>
      <c r="CN262" s="22"/>
      <c r="CO262" s="22"/>
      <c r="CP262" s="22"/>
      <c r="CQ262" s="22"/>
      <c r="CR262" s="22"/>
      <c r="CS262" s="22"/>
      <c r="CT262" s="22"/>
      <c r="CU262" s="22"/>
      <c r="CV262" s="22"/>
      <c r="CW262" s="22"/>
      <c r="CX262" s="22"/>
      <c r="CY262" s="22"/>
      <c r="CZ262" s="22"/>
      <c r="DA262" s="22"/>
      <c r="DB262" s="22"/>
      <c r="DC262" s="22"/>
      <c r="DD262" s="22"/>
      <c r="DE262" s="22"/>
      <c r="DF262" s="22"/>
      <c r="DG262" s="22"/>
      <c r="DH262" s="22"/>
      <c r="DI262" s="22"/>
      <c r="DJ262" s="22"/>
      <c r="DK262" s="22"/>
      <c r="DL262" s="22"/>
      <c r="DM262" s="22"/>
      <c r="DN262" s="22"/>
    </row>
    <row r="263" spans="1:118" s="423" customFormat="1">
      <c r="A263" s="1396">
        <v>45171</v>
      </c>
      <c r="B263" s="718">
        <v>1074.6030000000001</v>
      </c>
      <c r="C263" s="718">
        <v>593.07899999999995</v>
      </c>
      <c r="D263" s="1081">
        <v>6874.2</v>
      </c>
      <c r="E263" s="1311">
        <v>0</v>
      </c>
      <c r="F263" s="1867">
        <v>19639.400000000001</v>
      </c>
      <c r="G263" s="1014">
        <v>6080</v>
      </c>
      <c r="H263" s="1014">
        <v>22736.3</v>
      </c>
      <c r="I263" s="1014">
        <v>11343.6</v>
      </c>
      <c r="J263" s="1014">
        <v>208539.3</v>
      </c>
      <c r="K263" s="1014">
        <v>14967.7</v>
      </c>
      <c r="L263" s="1014">
        <v>7011.4</v>
      </c>
      <c r="M263" s="1014">
        <v>46196.1</v>
      </c>
      <c r="N263" s="1014">
        <v>36751.4</v>
      </c>
      <c r="O263" s="1014">
        <v>139102.20000000001</v>
      </c>
      <c r="P263" s="1014">
        <v>115337.98</v>
      </c>
      <c r="Q263" s="1014">
        <v>141716.37</v>
      </c>
      <c r="R263" s="1014">
        <v>97240.4</v>
      </c>
      <c r="S263" s="1081">
        <v>14063.6</v>
      </c>
      <c r="T263" s="1081">
        <v>10680.14</v>
      </c>
      <c r="U263" s="1014">
        <v>60343.33</v>
      </c>
      <c r="V263" s="1014">
        <v>31024</v>
      </c>
      <c r="W263" s="1014">
        <v>214134.39999999999</v>
      </c>
      <c r="X263" s="683">
        <v>345.9</v>
      </c>
      <c r="Y263" s="725">
        <v>50716</v>
      </c>
      <c r="Z263" s="1014">
        <v>613671.80000000005</v>
      </c>
      <c r="AA263" s="1014">
        <v>312380.3</v>
      </c>
      <c r="AB263" s="1014">
        <v>214167.3</v>
      </c>
      <c r="AC263" s="683">
        <v>1112.4000000000001</v>
      </c>
      <c r="AD263" s="718">
        <v>942</v>
      </c>
      <c r="AE263" s="1014">
        <v>324.08999999999997</v>
      </c>
      <c r="AF263" s="1014">
        <v>236.34</v>
      </c>
      <c r="AG263" s="1014">
        <v>83359.240000000005</v>
      </c>
      <c r="AH263" s="1014">
        <v>64431.33</v>
      </c>
      <c r="AI263" s="1014">
        <v>70367.77</v>
      </c>
      <c r="AJ263" s="1014">
        <v>57511.02</v>
      </c>
      <c r="AK263" s="1014">
        <v>60746.400000000001</v>
      </c>
      <c r="AL263" s="1014">
        <v>23879.7</v>
      </c>
      <c r="AM263" s="250">
        <v>16.899999999999999</v>
      </c>
      <c r="AN263" s="250">
        <v>18.3</v>
      </c>
      <c r="AO263" s="1014">
        <v>512471.8</v>
      </c>
      <c r="AP263" s="1014">
        <v>236245.6</v>
      </c>
      <c r="AQ263" s="1014">
        <v>65722.214999999997</v>
      </c>
      <c r="AR263" s="1014"/>
      <c r="AS263" s="1014">
        <v>478078.7</v>
      </c>
      <c r="AT263" s="1014">
        <v>210284.4</v>
      </c>
      <c r="AU263" s="1014">
        <v>82508.3</v>
      </c>
      <c r="AV263" s="1014">
        <v>4674.32</v>
      </c>
      <c r="AW263" s="1014">
        <v>3120.75</v>
      </c>
      <c r="AX263" s="718">
        <v>230.87</v>
      </c>
      <c r="AY263" s="718">
        <v>139.66</v>
      </c>
      <c r="AZ263" s="1014">
        <v>835.89200000000005</v>
      </c>
      <c r="BA263" s="1014">
        <v>354.29300000000001</v>
      </c>
      <c r="BB263" s="1397">
        <v>1843.8</v>
      </c>
      <c r="BC263" s="1014">
        <v>3258.6</v>
      </c>
      <c r="BD263" s="1014">
        <v>496.2</v>
      </c>
      <c r="BE263" s="1014">
        <v>6080.68</v>
      </c>
      <c r="BF263" s="1014">
        <v>33517.836842105302</v>
      </c>
      <c r="BG263" s="1014">
        <v>7615.4942622490598</v>
      </c>
      <c r="BH263" s="1014">
        <v>5556.2</v>
      </c>
      <c r="BI263" s="1014">
        <v>2770200</v>
      </c>
      <c r="BJ263" s="1014">
        <v>602</v>
      </c>
      <c r="BK263" s="1014">
        <v>21671.8</v>
      </c>
      <c r="BL263" s="1014">
        <v>3642823</v>
      </c>
      <c r="BM263" s="1014">
        <v>135680</v>
      </c>
      <c r="BN263" s="1014">
        <v>22573.8</v>
      </c>
      <c r="BO263" s="1014">
        <v>3370420</v>
      </c>
      <c r="BP263" s="1014">
        <v>174502</v>
      </c>
      <c r="BQ263" s="1014">
        <v>19775</v>
      </c>
      <c r="BR263" s="1014">
        <v>9386.02</v>
      </c>
      <c r="BS263" s="1014">
        <v>6378.24</v>
      </c>
      <c r="BT263" s="1014">
        <v>1231349</v>
      </c>
      <c r="BU263" s="1014">
        <v>697989</v>
      </c>
      <c r="BV263" s="1014">
        <v>769470</v>
      </c>
      <c r="BW263" s="1014">
        <v>485355</v>
      </c>
      <c r="BX263" s="1324">
        <v>0</v>
      </c>
      <c r="BY263" s="22"/>
      <c r="BZ263" s="22"/>
      <c r="CA263" s="22"/>
      <c r="CB263" s="22"/>
      <c r="CC263" s="22"/>
      <c r="CD263" s="22"/>
      <c r="CE263" s="22"/>
      <c r="CF263" s="22"/>
      <c r="CG263" s="22"/>
      <c r="CH263" s="22"/>
      <c r="CI263" s="22"/>
      <c r="CJ263" s="22"/>
      <c r="CK263" s="22"/>
      <c r="CL263" s="22"/>
      <c r="CM263" s="22"/>
      <c r="CN263" s="22"/>
      <c r="CO263" s="22"/>
      <c r="CP263" s="22"/>
      <c r="CQ263" s="22"/>
      <c r="CR263" s="22"/>
      <c r="CS263" s="22"/>
      <c r="CT263" s="22"/>
      <c r="CU263" s="22"/>
      <c r="CV263" s="22"/>
      <c r="CW263" s="22"/>
      <c r="CX263" s="22"/>
      <c r="CY263" s="22"/>
      <c r="CZ263" s="22"/>
      <c r="DA263" s="22"/>
      <c r="DB263" s="22"/>
      <c r="DC263" s="22"/>
      <c r="DD263" s="22"/>
      <c r="DE263" s="22"/>
      <c r="DF263" s="22"/>
      <c r="DG263" s="22"/>
      <c r="DH263" s="22"/>
      <c r="DI263" s="22"/>
      <c r="DJ263" s="22"/>
      <c r="DK263" s="22"/>
      <c r="DL263" s="22"/>
      <c r="DM263" s="22"/>
      <c r="DN263" s="22"/>
    </row>
    <row r="264" spans="1:118" s="423" customFormat="1">
      <c r="A264" s="1396">
        <v>45172</v>
      </c>
      <c r="B264" s="718">
        <v>1074.6030000000001</v>
      </c>
      <c r="C264" s="718">
        <v>593.07899999999995</v>
      </c>
      <c r="D264" s="1081">
        <v>6874.2</v>
      </c>
      <c r="E264" s="1311">
        <v>0</v>
      </c>
      <c r="F264" s="1014">
        <v>19654.099999999999</v>
      </c>
      <c r="G264" s="1014">
        <v>6084.6</v>
      </c>
      <c r="H264" s="1014">
        <v>22898</v>
      </c>
      <c r="I264" s="1014">
        <v>11424.62</v>
      </c>
      <c r="J264" s="1014">
        <v>208563.3</v>
      </c>
      <c r="K264" s="1014">
        <v>14967.7</v>
      </c>
      <c r="L264" s="1014">
        <v>7011.4</v>
      </c>
      <c r="M264" s="1014">
        <v>46196.1</v>
      </c>
      <c r="N264" s="1014">
        <v>36751.4</v>
      </c>
      <c r="O264" s="1014">
        <v>139113.54999999999</v>
      </c>
      <c r="P264" s="1014">
        <v>115346.88</v>
      </c>
      <c r="Q264" s="1014">
        <v>141731.99</v>
      </c>
      <c r="R264" s="1014">
        <v>97251.39</v>
      </c>
      <c r="S264" s="1081">
        <v>14063.6</v>
      </c>
      <c r="T264" s="1081">
        <v>10680.14</v>
      </c>
      <c r="U264" s="1014">
        <v>60634.5</v>
      </c>
      <c r="V264" s="1014">
        <v>31174</v>
      </c>
      <c r="W264" s="1014">
        <v>214158.4</v>
      </c>
      <c r="X264" s="683">
        <v>345.9</v>
      </c>
      <c r="Y264" s="725">
        <v>50716</v>
      </c>
      <c r="Z264" s="1014">
        <v>613824.06000000006</v>
      </c>
      <c r="AA264" s="1014">
        <v>312455.5</v>
      </c>
      <c r="AB264" s="1014">
        <v>214191.3</v>
      </c>
      <c r="AC264" s="683">
        <v>1112.4000000000001</v>
      </c>
      <c r="AD264" s="718">
        <v>942</v>
      </c>
      <c r="AE264" s="1014">
        <v>326.93</v>
      </c>
      <c r="AF264" s="1014">
        <v>238.56</v>
      </c>
      <c r="AG264" s="1014">
        <v>83367.86</v>
      </c>
      <c r="AH264" s="1014">
        <v>64437.93</v>
      </c>
      <c r="AI264" s="1014">
        <v>70405.83</v>
      </c>
      <c r="AJ264" s="1014">
        <v>57543.83</v>
      </c>
      <c r="AK264" s="1014">
        <v>60756.4</v>
      </c>
      <c r="AL264" s="1014">
        <v>23883.5</v>
      </c>
      <c r="AM264" s="250">
        <v>16.899999999999999</v>
      </c>
      <c r="AN264" s="250">
        <v>18.3</v>
      </c>
      <c r="AO264" s="1014">
        <v>512634.9</v>
      </c>
      <c r="AP264" s="1014">
        <v>236316.79999999999</v>
      </c>
      <c r="AQ264" s="1014">
        <v>65727.016000000003</v>
      </c>
      <c r="AR264" s="1014"/>
      <c r="AS264" s="1014">
        <v>478227.4</v>
      </c>
      <c r="AT264" s="1014">
        <v>210348.7</v>
      </c>
      <c r="AU264" s="1014">
        <v>82532.3</v>
      </c>
      <c r="AV264" s="1014">
        <v>4674.38</v>
      </c>
      <c r="AW264" s="1014">
        <v>3120.8</v>
      </c>
      <c r="AX264" s="718">
        <v>230.87</v>
      </c>
      <c r="AY264" s="718">
        <v>139.66</v>
      </c>
      <c r="AZ264" s="1014">
        <v>835.89200000000005</v>
      </c>
      <c r="BA264" s="1014">
        <v>354.29300000000001</v>
      </c>
      <c r="BB264" s="1397">
        <v>1843.8</v>
      </c>
      <c r="BC264" s="1014">
        <v>3262.9</v>
      </c>
      <c r="BD264" s="1014">
        <v>498.5</v>
      </c>
      <c r="BE264" s="1014">
        <v>5690.11</v>
      </c>
      <c r="BF264" s="1014">
        <v>32978.0614035088</v>
      </c>
      <c r="BG264" s="1014">
        <v>12887.5395643269</v>
      </c>
      <c r="BH264" s="1014">
        <v>5258.31</v>
      </c>
      <c r="BI264" s="1014">
        <v>2770200</v>
      </c>
      <c r="BJ264" s="1014">
        <v>602</v>
      </c>
      <c r="BK264" s="1014">
        <v>21671.8</v>
      </c>
      <c r="BL264" s="1014">
        <v>3646418</v>
      </c>
      <c r="BM264" s="1014">
        <v>136020</v>
      </c>
      <c r="BN264" s="1014">
        <v>22597</v>
      </c>
      <c r="BO264" s="1014">
        <v>3374649</v>
      </c>
      <c r="BP264" s="1014">
        <v>175088</v>
      </c>
      <c r="BQ264" s="1014">
        <v>19799</v>
      </c>
      <c r="BR264" s="1014">
        <v>9392.23</v>
      </c>
      <c r="BS264" s="1014">
        <v>6382.53</v>
      </c>
      <c r="BT264" s="1014">
        <v>1231767</v>
      </c>
      <c r="BU264" s="1014">
        <v>698240</v>
      </c>
      <c r="BV264" s="1014">
        <v>770556</v>
      </c>
      <c r="BW264" s="1014">
        <v>486016</v>
      </c>
      <c r="BX264" s="1324">
        <v>0</v>
      </c>
      <c r="BY264" s="22"/>
      <c r="BZ264" s="22"/>
      <c r="CA264" s="22"/>
      <c r="CB264" s="22"/>
      <c r="CC264" s="22"/>
      <c r="CD264" s="22"/>
      <c r="CE264" s="22"/>
      <c r="CF264" s="22"/>
      <c r="CG264" s="22"/>
      <c r="CH264" s="22"/>
      <c r="CI264" s="22"/>
      <c r="CJ264" s="22"/>
      <c r="CK264" s="22"/>
      <c r="CL264" s="22"/>
      <c r="CM264" s="22"/>
      <c r="CN264" s="22"/>
      <c r="CO264" s="22"/>
      <c r="CP264" s="22"/>
      <c r="CQ264" s="22"/>
      <c r="CR264" s="22"/>
      <c r="CS264" s="22"/>
      <c r="CT264" s="22"/>
      <c r="CU264" s="22"/>
      <c r="CV264" s="22"/>
      <c r="CW264" s="22"/>
      <c r="CX264" s="22"/>
      <c r="CY264" s="22"/>
      <c r="CZ264" s="22"/>
      <c r="DA264" s="22"/>
      <c r="DB264" s="22"/>
      <c r="DC264" s="22"/>
      <c r="DD264" s="22"/>
      <c r="DE264" s="22"/>
      <c r="DF264" s="22"/>
      <c r="DG264" s="22"/>
      <c r="DH264" s="22"/>
      <c r="DI264" s="22"/>
      <c r="DJ264" s="22"/>
      <c r="DK264" s="22"/>
      <c r="DL264" s="22"/>
      <c r="DM264" s="22"/>
      <c r="DN264" s="22"/>
    </row>
    <row r="265" spans="1:118">
      <c r="A265" s="1396">
        <v>45173</v>
      </c>
      <c r="B265" s="718">
        <v>1074.816</v>
      </c>
      <c r="C265" s="718">
        <v>593.18399999999997</v>
      </c>
      <c r="D265" s="1081">
        <v>6874.7</v>
      </c>
      <c r="E265" s="1311">
        <v>0</v>
      </c>
      <c r="F265" s="1014">
        <v>19668.2</v>
      </c>
      <c r="G265" s="1014">
        <v>6089.1</v>
      </c>
      <c r="H265" s="1014">
        <v>23059.4</v>
      </c>
      <c r="I265" s="1014">
        <v>11505.9</v>
      </c>
      <c r="J265" s="1014">
        <v>208587.3</v>
      </c>
      <c r="K265" s="1014">
        <v>14967.7</v>
      </c>
      <c r="L265" s="1014">
        <v>7011.4</v>
      </c>
      <c r="M265" s="1014">
        <v>46196.1</v>
      </c>
      <c r="N265" s="1014">
        <v>36751.4</v>
      </c>
      <c r="O265" s="1014">
        <v>139124.95000000001</v>
      </c>
      <c r="P265" s="1014">
        <v>115355.95</v>
      </c>
      <c r="Q265" s="1014">
        <v>141747.28</v>
      </c>
      <c r="R265" s="1014">
        <v>97261.93</v>
      </c>
      <c r="S265" s="1081">
        <v>14063.6</v>
      </c>
      <c r="T265" s="1081">
        <v>10680.14</v>
      </c>
      <c r="U265" s="1014">
        <v>60921.45</v>
      </c>
      <c r="V265" s="1014">
        <v>31321</v>
      </c>
      <c r="W265" s="1014">
        <v>214182.39999999999</v>
      </c>
      <c r="X265" s="683">
        <v>345.9</v>
      </c>
      <c r="Y265" s="725">
        <v>50716</v>
      </c>
      <c r="Z265" s="1014">
        <v>613982.25</v>
      </c>
      <c r="AA265" s="1014">
        <v>312534.38</v>
      </c>
      <c r="AB265" s="1014">
        <v>214215.3</v>
      </c>
      <c r="AC265" s="683">
        <v>1112.4000000000001</v>
      </c>
      <c r="AD265" s="718">
        <v>942</v>
      </c>
      <c r="AE265" s="1014">
        <v>330.09</v>
      </c>
      <c r="AF265" s="1014">
        <v>240.93</v>
      </c>
      <c r="AG265" s="1014">
        <v>83376.63</v>
      </c>
      <c r="AH265" s="1014">
        <v>64444.639999999999</v>
      </c>
      <c r="AI265" s="1014">
        <v>70444.27</v>
      </c>
      <c r="AJ265" s="1014">
        <v>57576.84</v>
      </c>
      <c r="AK265" s="1014">
        <v>60767.6</v>
      </c>
      <c r="AL265" s="1014">
        <v>23888</v>
      </c>
      <c r="AM265" s="250">
        <v>16.899999999999999</v>
      </c>
      <c r="AN265" s="250">
        <v>18.3</v>
      </c>
      <c r="AO265" s="1014">
        <v>512800.5</v>
      </c>
      <c r="AP265" s="1014">
        <v>236389.1</v>
      </c>
      <c r="AQ265" s="1014">
        <v>65732.194000000003</v>
      </c>
      <c r="AR265" s="1014"/>
      <c r="AS265" s="1014">
        <v>478377.7</v>
      </c>
      <c r="AT265" s="1014">
        <v>210413.7</v>
      </c>
      <c r="AU265" s="1014">
        <v>82556.3</v>
      </c>
      <c r="AV265" s="1014">
        <v>4674.41</v>
      </c>
      <c r="AW265" s="1014">
        <v>3120.81</v>
      </c>
      <c r="AX265" s="718">
        <v>230.87</v>
      </c>
      <c r="AY265" s="718">
        <v>139.66</v>
      </c>
      <c r="AZ265" s="1014">
        <v>836.23500000000001</v>
      </c>
      <c r="BA265" s="1014">
        <v>354.42500000000001</v>
      </c>
      <c r="BB265" s="1397">
        <v>1844</v>
      </c>
      <c r="BC265" s="1014">
        <v>3267.2</v>
      </c>
      <c r="BD265" s="1014">
        <v>500.9</v>
      </c>
      <c r="BE265" s="1014">
        <v>5613.52</v>
      </c>
      <c r="BF265" s="1014">
        <v>34134.463157894701</v>
      </c>
      <c r="BG265" s="1014">
        <v>10351.4395319662</v>
      </c>
      <c r="BH265" s="1014">
        <v>5743.48</v>
      </c>
      <c r="BI265" s="1014">
        <v>2770200</v>
      </c>
      <c r="BJ265" s="1014">
        <v>602</v>
      </c>
      <c r="BK265" s="1014">
        <v>21671.8</v>
      </c>
      <c r="BL265" s="1014">
        <v>3650036</v>
      </c>
      <c r="BM265" s="1014">
        <v>136294</v>
      </c>
      <c r="BN265" s="1014">
        <v>22621</v>
      </c>
      <c r="BO265" s="1014">
        <v>3378944</v>
      </c>
      <c r="BP265" s="1014">
        <v>175651</v>
      </c>
      <c r="BQ265" s="1014">
        <v>19823</v>
      </c>
      <c r="BR265" s="1014">
        <v>9397.4500000000007</v>
      </c>
      <c r="BS265" s="1014">
        <v>6386.33</v>
      </c>
      <c r="BT265" s="1014">
        <v>1232139</v>
      </c>
      <c r="BU265" s="1014">
        <v>698466</v>
      </c>
      <c r="BV265" s="1014">
        <v>771590</v>
      </c>
      <c r="BW265" s="1014">
        <v>486662</v>
      </c>
      <c r="BX265" s="1324">
        <v>0</v>
      </c>
    </row>
    <row r="266" spans="1:118">
      <c r="A266" s="1396">
        <v>45174</v>
      </c>
      <c r="B266" s="718">
        <v>1074.816</v>
      </c>
      <c r="C266" s="718">
        <v>593.18399999999997</v>
      </c>
      <c r="D266" s="1081">
        <v>6874.7</v>
      </c>
      <c r="E266" s="1311">
        <v>0</v>
      </c>
      <c r="F266" s="1081">
        <v>19683.900000000001</v>
      </c>
      <c r="G266" s="1081">
        <v>6093.8</v>
      </c>
      <c r="H266" s="1014">
        <v>23221.200000000001</v>
      </c>
      <c r="I266" s="1081">
        <v>11587.4</v>
      </c>
      <c r="J266" s="1081">
        <v>208611.3</v>
      </c>
      <c r="K266" s="1014">
        <v>14967.7</v>
      </c>
      <c r="L266" s="1014">
        <v>7011.4</v>
      </c>
      <c r="M266" s="1014">
        <v>46196.1</v>
      </c>
      <c r="N266" s="1014">
        <v>36751.4</v>
      </c>
      <c r="O266" s="1081">
        <v>139136</v>
      </c>
      <c r="P266" s="1081">
        <v>115365</v>
      </c>
      <c r="Q266" s="1081">
        <v>141762</v>
      </c>
      <c r="R266" s="1081">
        <v>97272.3</v>
      </c>
      <c r="S266" s="1081">
        <v>14063.6</v>
      </c>
      <c r="T266" s="1081">
        <v>10680.14</v>
      </c>
      <c r="U266" s="1081">
        <v>61214.77</v>
      </c>
      <c r="V266" s="1081">
        <v>31474</v>
      </c>
      <c r="W266" s="1081">
        <v>214206.4</v>
      </c>
      <c r="X266" s="683">
        <v>345.9</v>
      </c>
      <c r="Y266" s="725">
        <v>50716</v>
      </c>
      <c r="Z266" s="1014">
        <v>614135.30000000005</v>
      </c>
      <c r="AA266" s="1081">
        <v>312606.40000000002</v>
      </c>
      <c r="AB266" s="1081">
        <v>214239.3</v>
      </c>
      <c r="AC266" s="683">
        <v>1112.4000000000001</v>
      </c>
      <c r="AD266" s="718">
        <v>942</v>
      </c>
      <c r="AE266" s="1081">
        <v>333.42</v>
      </c>
      <c r="AF266" s="1081">
        <v>243.39</v>
      </c>
      <c r="AG266" s="1081">
        <v>83384.899999999994</v>
      </c>
      <c r="AH266" s="1081">
        <v>64450.9</v>
      </c>
      <c r="AI266" s="1081">
        <v>70482.100000000006</v>
      </c>
      <c r="AJ266" s="1081">
        <v>57609.3</v>
      </c>
      <c r="AK266" s="718">
        <v>60778.3</v>
      </c>
      <c r="AL266" s="718">
        <v>23892.3</v>
      </c>
      <c r="AM266" s="250">
        <v>16.899999999999999</v>
      </c>
      <c r="AN266" s="250">
        <v>18.3</v>
      </c>
      <c r="AO266" s="1081">
        <v>512964</v>
      </c>
      <c r="AP266" s="1081">
        <v>236460</v>
      </c>
      <c r="AQ266" s="1081">
        <v>65737.600000000006</v>
      </c>
      <c r="AR266" s="683"/>
      <c r="AS266" s="1081">
        <v>478527.7</v>
      </c>
      <c r="AT266" s="1081">
        <v>210478.5</v>
      </c>
      <c r="AU266" s="1081">
        <v>82580.3</v>
      </c>
      <c r="AV266" s="1014">
        <v>4674.43</v>
      </c>
      <c r="AW266" s="1014">
        <v>3120.83</v>
      </c>
      <c r="AX266" s="718">
        <v>230.97</v>
      </c>
      <c r="AY266" s="718">
        <v>139.72</v>
      </c>
      <c r="AZ266" s="1014">
        <v>836.23500000000001</v>
      </c>
      <c r="BA266" s="1014">
        <v>354.42500000000001</v>
      </c>
      <c r="BB266" s="1397">
        <v>1844</v>
      </c>
      <c r="BC266" s="1081">
        <v>3271.5</v>
      </c>
      <c r="BD266" s="1014">
        <v>503.2</v>
      </c>
      <c r="BE266" s="1081">
        <v>5687.64</v>
      </c>
      <c r="BF266" s="1081">
        <v>34073.870175438598</v>
      </c>
      <c r="BG266" s="1081">
        <v>9758.0519611493892</v>
      </c>
      <c r="BH266" s="1081">
        <v>5539.27</v>
      </c>
      <c r="BI266" s="1014">
        <v>2770200</v>
      </c>
      <c r="BJ266" s="1014">
        <v>602</v>
      </c>
      <c r="BK266" s="1014">
        <v>21671.8</v>
      </c>
      <c r="BL266" s="1014">
        <v>3653900</v>
      </c>
      <c r="BM266" s="1014">
        <v>136469</v>
      </c>
      <c r="BN266" s="1014">
        <v>22645</v>
      </c>
      <c r="BO266" s="718">
        <v>3383652</v>
      </c>
      <c r="BP266" s="718">
        <v>176205</v>
      </c>
      <c r="BQ266" s="718">
        <v>19847</v>
      </c>
      <c r="BR266" s="1081">
        <v>9403.2199999999993</v>
      </c>
      <c r="BS266" s="1081">
        <v>6390.23</v>
      </c>
      <c r="BT266" s="1081">
        <v>1232537</v>
      </c>
      <c r="BU266" s="1081">
        <v>698709</v>
      </c>
      <c r="BV266" s="1081">
        <v>772663</v>
      </c>
      <c r="BW266" s="1014">
        <v>487343</v>
      </c>
      <c r="BX266" s="1324">
        <v>0</v>
      </c>
    </row>
    <row r="267" spans="1:118">
      <c r="A267" s="1396">
        <v>45175</v>
      </c>
      <c r="B267" s="718">
        <v>1074.816</v>
      </c>
      <c r="C267" s="718">
        <v>593.18399999999997</v>
      </c>
      <c r="D267" s="1081">
        <v>6874.7</v>
      </c>
      <c r="E267" s="1311">
        <v>0</v>
      </c>
      <c r="F267" s="1081">
        <v>19700.5</v>
      </c>
      <c r="G267" s="1081">
        <v>6098.8</v>
      </c>
      <c r="H267" s="1081">
        <v>23380.43</v>
      </c>
      <c r="I267" s="1081">
        <v>11667.37</v>
      </c>
      <c r="J267" s="1081">
        <v>208635.3</v>
      </c>
      <c r="K267" s="1014">
        <v>14967.7</v>
      </c>
      <c r="L267" s="1014">
        <v>7011.4</v>
      </c>
      <c r="M267" s="1014">
        <v>46196.1</v>
      </c>
      <c r="N267" s="1014">
        <v>36751.4</v>
      </c>
      <c r="O267" s="1081">
        <v>139147</v>
      </c>
      <c r="P267" s="1081">
        <v>115373</v>
      </c>
      <c r="Q267" s="1081">
        <v>141778</v>
      </c>
      <c r="R267" s="1081">
        <v>97282.6</v>
      </c>
      <c r="S267" s="1081">
        <v>14063.6</v>
      </c>
      <c r="T267" s="1081">
        <v>10680.14</v>
      </c>
      <c r="U267" s="1081">
        <v>61498.7</v>
      </c>
      <c r="V267" s="1081">
        <v>31619.1</v>
      </c>
      <c r="W267" s="1081">
        <v>214230.39999999999</v>
      </c>
      <c r="X267" s="683">
        <v>345.9</v>
      </c>
      <c r="Y267" s="725">
        <v>50716</v>
      </c>
      <c r="Z267" s="1014">
        <v>614283</v>
      </c>
      <c r="AA267" s="1081">
        <v>312680</v>
      </c>
      <c r="AB267" s="1081">
        <v>214263.3</v>
      </c>
      <c r="AC267" s="683">
        <v>1112.4000000000001</v>
      </c>
      <c r="AD267" s="718">
        <v>942</v>
      </c>
      <c r="AE267" s="1081">
        <v>336.72</v>
      </c>
      <c r="AF267" s="1081">
        <v>245.84</v>
      </c>
      <c r="AG267" s="1081">
        <v>83393.8</v>
      </c>
      <c r="AH267" s="1081">
        <v>64457.8</v>
      </c>
      <c r="AI267" s="1081">
        <v>70519.3</v>
      </c>
      <c r="AJ267" s="1081">
        <v>57641.2</v>
      </c>
      <c r="AK267" s="1081">
        <v>60781.599999999999</v>
      </c>
      <c r="AL267" s="1081">
        <v>23893.599999999999</v>
      </c>
      <c r="AM267" s="250">
        <v>16.899999999999999</v>
      </c>
      <c r="AN267" s="250">
        <v>18.3</v>
      </c>
      <c r="AO267" s="1081">
        <v>513126</v>
      </c>
      <c r="AP267" s="1081">
        <v>236531</v>
      </c>
      <c r="AQ267" s="1081">
        <v>65742.2</v>
      </c>
      <c r="AR267" s="1081"/>
      <c r="AS267" s="1081">
        <v>478674</v>
      </c>
      <c r="AT267" s="1081">
        <v>210541</v>
      </c>
      <c r="AU267" s="1081">
        <v>82604.3</v>
      </c>
      <c r="AV267" s="1081">
        <v>4674.43</v>
      </c>
      <c r="AW267" s="1081">
        <v>3120.83</v>
      </c>
      <c r="AX267" s="718">
        <v>230.97</v>
      </c>
      <c r="AY267" s="718">
        <v>139.72</v>
      </c>
      <c r="AZ267" s="1014">
        <v>836.23500000000001</v>
      </c>
      <c r="BA267" s="1014">
        <v>354.42500000000001</v>
      </c>
      <c r="BB267" s="1397">
        <v>1844</v>
      </c>
      <c r="BC267" s="1081">
        <v>3275.6</v>
      </c>
      <c r="BD267" s="1081">
        <v>505.6</v>
      </c>
      <c r="BE267" s="1081">
        <v>5441.37</v>
      </c>
      <c r="BF267" s="1081">
        <v>34035.285964912298</v>
      </c>
      <c r="BG267" s="1081">
        <v>10237.288879431901</v>
      </c>
      <c r="BH267" s="1081">
        <v>6158.66</v>
      </c>
      <c r="BI267" s="1014">
        <v>2770200</v>
      </c>
      <c r="BJ267" s="1014">
        <v>602</v>
      </c>
      <c r="BK267" s="1014">
        <v>21671.8</v>
      </c>
      <c r="BL267" s="1014">
        <v>3658623</v>
      </c>
      <c r="BM267" s="1014">
        <v>137024</v>
      </c>
      <c r="BN267" s="1014">
        <v>22669</v>
      </c>
      <c r="BO267" s="1081">
        <v>3387457</v>
      </c>
      <c r="BP267" s="1081">
        <v>176341</v>
      </c>
      <c r="BQ267" s="1081">
        <v>19871</v>
      </c>
      <c r="BR267" s="1081">
        <v>9410.1299999999992</v>
      </c>
      <c r="BS267" s="1081">
        <v>6394.52</v>
      </c>
      <c r="BT267" s="1081">
        <v>1232971</v>
      </c>
      <c r="BU267" s="1081">
        <v>698955</v>
      </c>
      <c r="BV267" s="1081">
        <v>773700</v>
      </c>
      <c r="BW267" s="1081">
        <v>487988</v>
      </c>
      <c r="BX267" s="1324">
        <v>0</v>
      </c>
    </row>
    <row r="268" spans="1:118">
      <c r="A268" s="1396">
        <v>45176</v>
      </c>
      <c r="B268" s="718">
        <v>1074.816</v>
      </c>
      <c r="C268" s="718">
        <v>593.18399999999997</v>
      </c>
      <c r="D268" s="1081">
        <v>6874.7</v>
      </c>
      <c r="E268" s="1311">
        <v>0</v>
      </c>
      <c r="F268" s="1014">
        <v>19717.5</v>
      </c>
      <c r="G268" s="1014">
        <v>6104.5</v>
      </c>
      <c r="H268" s="1014">
        <v>23544</v>
      </c>
      <c r="I268" s="1014">
        <v>11750</v>
      </c>
      <c r="J268" s="1014">
        <v>208659.3</v>
      </c>
      <c r="K268" s="1014">
        <v>14967.8</v>
      </c>
      <c r="L268" s="1014">
        <v>7011.4</v>
      </c>
      <c r="M268" s="1014">
        <v>46196.1</v>
      </c>
      <c r="N268" s="1014">
        <v>36751.4</v>
      </c>
      <c r="O268" s="1014">
        <v>139158</v>
      </c>
      <c r="P268" s="1014">
        <v>115382</v>
      </c>
      <c r="Q268" s="1014">
        <v>141793</v>
      </c>
      <c r="R268" s="1014">
        <v>97293.2</v>
      </c>
      <c r="S268" s="1081">
        <v>14063.6</v>
      </c>
      <c r="T268" s="1081">
        <v>10680.14</v>
      </c>
      <c r="U268" s="1014">
        <v>61796</v>
      </c>
      <c r="V268" s="1014">
        <v>31769</v>
      </c>
      <c r="W268" s="1014">
        <v>214254.4</v>
      </c>
      <c r="X268" s="683">
        <v>345.9</v>
      </c>
      <c r="Y268" s="725">
        <v>50716</v>
      </c>
      <c r="Z268" s="1014">
        <v>614435</v>
      </c>
      <c r="AA268" s="1014">
        <v>312758</v>
      </c>
      <c r="AB268" s="1014">
        <v>214287.3</v>
      </c>
      <c r="AC268" s="683">
        <v>1112.4000000000001</v>
      </c>
      <c r="AD268" s="718">
        <v>942</v>
      </c>
      <c r="AE268" s="1014">
        <v>340.1</v>
      </c>
      <c r="AF268" s="1014">
        <v>248.3</v>
      </c>
      <c r="AG268" s="1014">
        <v>83401.8</v>
      </c>
      <c r="AH268" s="1014">
        <v>64464</v>
      </c>
      <c r="AI268" s="1014">
        <v>70555.899999999994</v>
      </c>
      <c r="AJ268" s="1014">
        <v>57672.9</v>
      </c>
      <c r="AK268" s="718">
        <v>60793.599999999999</v>
      </c>
      <c r="AL268" s="718">
        <v>23898.3</v>
      </c>
      <c r="AM268" s="250">
        <v>16.899999999999999</v>
      </c>
      <c r="AN268" s="250">
        <v>18.3</v>
      </c>
      <c r="AO268" s="1014">
        <v>513291</v>
      </c>
      <c r="AP268" s="1014">
        <v>236603</v>
      </c>
      <c r="AQ268" s="1014">
        <v>65748</v>
      </c>
      <c r="AR268" s="683"/>
      <c r="AS268" s="1014">
        <v>478825</v>
      </c>
      <c r="AT268" s="1014">
        <v>210607</v>
      </c>
      <c r="AU268" s="1014">
        <v>82628.3</v>
      </c>
      <c r="AV268" s="1014">
        <v>4674.3999999999996</v>
      </c>
      <c r="AW268" s="1014">
        <v>3120.8</v>
      </c>
      <c r="AX268" s="718">
        <v>230.97</v>
      </c>
      <c r="AY268" s="718">
        <v>139.72</v>
      </c>
      <c r="AZ268" s="1014">
        <v>836.23500000000001</v>
      </c>
      <c r="BA268" s="1014">
        <v>354.42500000000001</v>
      </c>
      <c r="BB268" s="1397">
        <v>1844</v>
      </c>
      <c r="BC268" s="1014">
        <v>3279.9</v>
      </c>
      <c r="BD268" s="1014">
        <v>508</v>
      </c>
      <c r="BE268" s="1014">
        <v>5697.14</v>
      </c>
      <c r="BF268" s="1014">
        <v>34121.028070175402</v>
      </c>
      <c r="BG268" s="1014">
        <v>10000.8657901192</v>
      </c>
      <c r="BH268" s="1014">
        <v>4703.9399999999996</v>
      </c>
      <c r="BI268" s="1014">
        <v>2770200</v>
      </c>
      <c r="BJ268" s="1014">
        <v>602</v>
      </c>
      <c r="BK268" s="1014">
        <v>21671.8</v>
      </c>
      <c r="BL268" s="1014">
        <v>3663617</v>
      </c>
      <c r="BM268" s="1014">
        <v>137817</v>
      </c>
      <c r="BN268" s="1014">
        <v>22693</v>
      </c>
      <c r="BO268" s="718">
        <v>3391138</v>
      </c>
      <c r="BP268" s="718">
        <v>176452</v>
      </c>
      <c r="BQ268" s="718">
        <v>19895</v>
      </c>
      <c r="BR268" s="1014">
        <v>9417.4</v>
      </c>
      <c r="BS268" s="1014">
        <v>6399.1</v>
      </c>
      <c r="BT268" s="1014">
        <v>1233367</v>
      </c>
      <c r="BU268" s="1014">
        <v>699205</v>
      </c>
      <c r="BV268" s="1014">
        <v>774799</v>
      </c>
      <c r="BW268" s="1014">
        <v>488665</v>
      </c>
      <c r="BX268" s="1324">
        <v>0</v>
      </c>
    </row>
    <row r="269" spans="1:118">
      <c r="A269" s="1396">
        <v>45177</v>
      </c>
      <c r="B269" s="718">
        <v>1075.173</v>
      </c>
      <c r="C269" s="718">
        <v>593.35599999999999</v>
      </c>
      <c r="D269" s="1081">
        <v>6876.9</v>
      </c>
      <c r="E269" s="1311">
        <v>1</v>
      </c>
      <c r="F269" s="683">
        <v>19732.2</v>
      </c>
      <c r="G269" s="683">
        <v>6109</v>
      </c>
      <c r="H269" s="1014">
        <v>23702</v>
      </c>
      <c r="I269" s="250">
        <v>11830</v>
      </c>
      <c r="J269" s="250">
        <v>208683.3</v>
      </c>
      <c r="K269" s="1014">
        <v>14967.8</v>
      </c>
      <c r="L269" s="1014">
        <v>7011.4</v>
      </c>
      <c r="M269" s="1014">
        <v>46196.1</v>
      </c>
      <c r="N269" s="1014">
        <v>36751.4</v>
      </c>
      <c r="O269" s="250">
        <v>139169</v>
      </c>
      <c r="P269" s="250">
        <v>115391</v>
      </c>
      <c r="Q269" s="250">
        <v>141808</v>
      </c>
      <c r="R269" s="250">
        <v>97303.3</v>
      </c>
      <c r="S269" s="1081">
        <v>14063.6</v>
      </c>
      <c r="T269" s="1081">
        <v>10680.14</v>
      </c>
      <c r="U269" s="250">
        <v>62082</v>
      </c>
      <c r="V269" s="250">
        <v>31916</v>
      </c>
      <c r="W269" s="1014">
        <v>214278.39999999999</v>
      </c>
      <c r="X269" s="683">
        <v>345.9</v>
      </c>
      <c r="Y269" s="725">
        <v>50716</v>
      </c>
      <c r="Z269" s="1014">
        <v>614583</v>
      </c>
      <c r="AA269" s="250">
        <v>312830</v>
      </c>
      <c r="AB269" s="250">
        <v>214311.3</v>
      </c>
      <c r="AC269" s="683">
        <v>1112.4000000000001</v>
      </c>
      <c r="AD269" s="718">
        <v>942</v>
      </c>
      <c r="AE269" s="1014">
        <v>343.2</v>
      </c>
      <c r="AF269" s="1014">
        <v>250.7</v>
      </c>
      <c r="AG269" s="250">
        <v>83409</v>
      </c>
      <c r="AH269" s="250">
        <v>64470</v>
      </c>
      <c r="AI269" s="250">
        <v>70592</v>
      </c>
      <c r="AJ269" s="250">
        <v>57704</v>
      </c>
      <c r="AK269" s="250">
        <v>60803.199999999997</v>
      </c>
      <c r="AL269" s="250">
        <v>23902.1</v>
      </c>
      <c r="AM269" s="250">
        <v>16.899999999999999</v>
      </c>
      <c r="AN269" s="250">
        <v>18.3</v>
      </c>
      <c r="AO269" s="250">
        <v>513453</v>
      </c>
      <c r="AP269" s="250">
        <v>236673</v>
      </c>
      <c r="AQ269" s="422">
        <v>65753</v>
      </c>
      <c r="AR269" s="683"/>
      <c r="AS269" s="250">
        <v>478972</v>
      </c>
      <c r="AT269" s="250">
        <v>210670</v>
      </c>
      <c r="AU269" s="250">
        <v>82652.3</v>
      </c>
      <c r="AV269" s="683">
        <v>4674.5</v>
      </c>
      <c r="AW269" s="683">
        <v>3120.9</v>
      </c>
      <c r="AX269" s="718">
        <v>230.97</v>
      </c>
      <c r="AY269" s="718">
        <v>139.72</v>
      </c>
      <c r="AZ269" s="1014">
        <v>836.23500000000001</v>
      </c>
      <c r="BA269" s="1014">
        <v>354.42500000000001</v>
      </c>
      <c r="BB269" s="1397">
        <v>1844</v>
      </c>
      <c r="BC269" s="718">
        <v>3284.1</v>
      </c>
      <c r="BD269" s="718">
        <v>510.3</v>
      </c>
      <c r="BE269" s="422">
        <v>5486.77</v>
      </c>
      <c r="BF269" s="422">
        <v>34016.050877193004</v>
      </c>
      <c r="BG269" s="1014">
        <v>9764.7129203571203</v>
      </c>
      <c r="BH269" s="422">
        <v>4995.25</v>
      </c>
      <c r="BI269" s="1014">
        <v>2770200</v>
      </c>
      <c r="BJ269" s="1014">
        <v>602</v>
      </c>
      <c r="BK269" s="1014">
        <v>21671.8</v>
      </c>
      <c r="BL269" s="1014">
        <v>3668331</v>
      </c>
      <c r="BM269" s="1014">
        <v>138491</v>
      </c>
      <c r="BN269" s="1014">
        <v>22717</v>
      </c>
      <c r="BO269" s="718">
        <v>3394679</v>
      </c>
      <c r="BP269" s="718">
        <v>176547</v>
      </c>
      <c r="BQ269" s="718">
        <v>19919</v>
      </c>
      <c r="BR269" s="422">
        <v>9423.1</v>
      </c>
      <c r="BS269" s="422">
        <v>6402.9</v>
      </c>
      <c r="BT269" s="422">
        <v>1233742</v>
      </c>
      <c r="BU269" s="422">
        <v>699432</v>
      </c>
      <c r="BV269" s="422">
        <v>775772</v>
      </c>
      <c r="BW269" s="422">
        <v>489264</v>
      </c>
      <c r="BX269" s="1324">
        <v>0</v>
      </c>
    </row>
    <row r="270" spans="1:118">
      <c r="A270" s="1396">
        <v>45178</v>
      </c>
      <c r="B270" s="718">
        <v>1075.173</v>
      </c>
      <c r="C270" s="718">
        <v>593.35599999999999</v>
      </c>
      <c r="D270" s="1081">
        <v>6876.9</v>
      </c>
      <c r="E270" s="1311">
        <v>0</v>
      </c>
      <c r="F270" s="683">
        <v>19747.2</v>
      </c>
      <c r="G270" s="683">
        <v>6113.5</v>
      </c>
      <c r="H270" s="1014">
        <v>23864</v>
      </c>
      <c r="I270" s="250">
        <v>11911</v>
      </c>
      <c r="J270" s="1014">
        <v>208707.3</v>
      </c>
      <c r="K270" s="1014">
        <v>14967.8</v>
      </c>
      <c r="L270" s="1014">
        <v>7011.4</v>
      </c>
      <c r="M270" s="1014">
        <v>46196.1</v>
      </c>
      <c r="N270" s="1014">
        <v>36751.4</v>
      </c>
      <c r="O270" s="250">
        <v>139181</v>
      </c>
      <c r="P270" s="250">
        <v>115400</v>
      </c>
      <c r="Q270" s="250">
        <v>141823</v>
      </c>
      <c r="R270" s="250">
        <v>97313.600000000006</v>
      </c>
      <c r="S270" s="1081">
        <v>14063.6</v>
      </c>
      <c r="T270" s="1081">
        <v>10680.14</v>
      </c>
      <c r="U270" s="250">
        <v>62378</v>
      </c>
      <c r="V270" s="250">
        <v>32068</v>
      </c>
      <c r="W270" s="1014">
        <v>214302.4</v>
      </c>
      <c r="X270" s="683">
        <v>345.9</v>
      </c>
      <c r="Y270" s="725">
        <v>50716</v>
      </c>
      <c r="Z270" s="1014">
        <v>614733</v>
      </c>
      <c r="AA270" s="250">
        <v>312904</v>
      </c>
      <c r="AB270" s="250">
        <v>214335.3</v>
      </c>
      <c r="AC270" s="683">
        <v>1112.4000000000001</v>
      </c>
      <c r="AD270" s="718">
        <v>942</v>
      </c>
      <c r="AE270" s="1014">
        <v>346.5</v>
      </c>
      <c r="AF270" s="1014">
        <v>253.1</v>
      </c>
      <c r="AG270" s="250">
        <v>83419.3</v>
      </c>
      <c r="AH270" s="250">
        <v>64477.599999999999</v>
      </c>
      <c r="AI270" s="250">
        <v>70630.3</v>
      </c>
      <c r="AJ270" s="250">
        <v>57737.1</v>
      </c>
      <c r="AK270" s="250">
        <v>60813.4</v>
      </c>
      <c r="AL270" s="250">
        <v>23906.1</v>
      </c>
      <c r="AM270" s="250">
        <v>16.899999999999999</v>
      </c>
      <c r="AN270" s="250">
        <v>18.3</v>
      </c>
      <c r="AO270" s="250">
        <v>513618</v>
      </c>
      <c r="AP270" s="250">
        <v>236744</v>
      </c>
      <c r="AQ270" s="422">
        <v>65758</v>
      </c>
      <c r="AR270" s="683"/>
      <c r="AS270" s="250">
        <v>479123</v>
      </c>
      <c r="AT270" s="250">
        <v>210735</v>
      </c>
      <c r="AU270" s="250">
        <v>82676.3</v>
      </c>
      <c r="AV270" s="683">
        <v>4674.6000000000004</v>
      </c>
      <c r="AW270" s="683">
        <v>3121</v>
      </c>
      <c r="AX270" s="718">
        <v>231.3</v>
      </c>
      <c r="AY270" s="718">
        <v>139.80000000000001</v>
      </c>
      <c r="AZ270" s="1014">
        <v>836.23500000000001</v>
      </c>
      <c r="BA270" s="1014">
        <v>354.42500000000001</v>
      </c>
      <c r="BB270" s="1397">
        <v>1844</v>
      </c>
      <c r="BC270" s="718">
        <v>3288.4</v>
      </c>
      <c r="BD270" s="718">
        <v>512.70000000000005</v>
      </c>
      <c r="BE270" s="422">
        <v>5316.18</v>
      </c>
      <c r="BF270" s="422">
        <v>33888.991228070197</v>
      </c>
      <c r="BG270" s="1014">
        <v>9144.8168884633196</v>
      </c>
      <c r="BH270" s="422">
        <v>5560.39</v>
      </c>
      <c r="BI270" s="1014">
        <v>2770200</v>
      </c>
      <c r="BJ270" s="1014">
        <v>602</v>
      </c>
      <c r="BK270" s="1014">
        <v>21671.8</v>
      </c>
      <c r="BL270" s="1014">
        <v>3673217</v>
      </c>
      <c r="BM270" s="1014">
        <v>139203</v>
      </c>
      <c r="BN270" s="1014">
        <v>22741</v>
      </c>
      <c r="BO270" s="718">
        <v>3398339</v>
      </c>
      <c r="BP270" s="718">
        <v>176620</v>
      </c>
      <c r="BQ270" s="718">
        <v>19943</v>
      </c>
      <c r="BR270" s="422">
        <v>9428.5</v>
      </c>
      <c r="BS270" s="422">
        <v>6406.7</v>
      </c>
      <c r="BT270" s="422">
        <v>1234125</v>
      </c>
      <c r="BU270" s="422">
        <v>699670</v>
      </c>
      <c r="BV270" s="422">
        <v>777142</v>
      </c>
      <c r="BW270" s="422">
        <v>490099</v>
      </c>
      <c r="BX270" s="1324">
        <v>0</v>
      </c>
    </row>
    <row r="271" spans="1:118">
      <c r="A271" s="1396">
        <v>45179</v>
      </c>
      <c r="B271" s="718">
        <v>1075.2739999999999</v>
      </c>
      <c r="C271" s="718">
        <v>593.40499999999997</v>
      </c>
      <c r="D271" s="1081">
        <v>6877.4</v>
      </c>
      <c r="E271" s="1311">
        <v>0.2</v>
      </c>
      <c r="F271" s="250">
        <v>19761.8</v>
      </c>
      <c r="G271" s="250">
        <v>6117.9</v>
      </c>
      <c r="H271" s="250">
        <v>24028</v>
      </c>
      <c r="I271" s="250">
        <v>11993</v>
      </c>
      <c r="J271" s="250">
        <v>208731.3</v>
      </c>
      <c r="K271" s="1014">
        <v>14967.8</v>
      </c>
      <c r="L271" s="1014">
        <v>7011.4</v>
      </c>
      <c r="M271" s="1014">
        <v>46196.1</v>
      </c>
      <c r="N271" s="1014">
        <v>36751.4</v>
      </c>
      <c r="O271" s="250">
        <v>139191</v>
      </c>
      <c r="P271" s="250">
        <v>115408</v>
      </c>
      <c r="Q271" s="250">
        <v>141837</v>
      </c>
      <c r="R271" s="250">
        <v>97323.8</v>
      </c>
      <c r="S271" s="1081">
        <v>14063.6</v>
      </c>
      <c r="T271" s="1081">
        <v>10680.14</v>
      </c>
      <c r="U271" s="250">
        <v>62667</v>
      </c>
      <c r="V271" s="250">
        <v>32216</v>
      </c>
      <c r="W271" s="1014">
        <v>214326.39999999999</v>
      </c>
      <c r="X271" s="683">
        <v>345.9</v>
      </c>
      <c r="Y271" s="725">
        <v>50716</v>
      </c>
      <c r="Z271" s="250">
        <v>614884</v>
      </c>
      <c r="AA271" s="250">
        <v>312978</v>
      </c>
      <c r="AB271" s="1081">
        <v>214359.3</v>
      </c>
      <c r="AC271" s="683">
        <v>1112.4000000000001</v>
      </c>
      <c r="AD271" s="718">
        <v>942</v>
      </c>
      <c r="AE271" s="1014">
        <v>349.7</v>
      </c>
      <c r="AF271" s="1014">
        <v>255.6</v>
      </c>
      <c r="AG271" s="250">
        <v>83426</v>
      </c>
      <c r="AH271" s="250">
        <v>64483</v>
      </c>
      <c r="AI271" s="250">
        <v>70667</v>
      </c>
      <c r="AJ271" s="250">
        <v>57768.6</v>
      </c>
      <c r="AK271" s="250">
        <v>60820.6</v>
      </c>
      <c r="AL271" s="250">
        <v>23909</v>
      </c>
      <c r="AM271" s="250">
        <v>16.899999999999999</v>
      </c>
      <c r="AN271" s="250">
        <v>18.3</v>
      </c>
      <c r="AO271" s="250">
        <v>513782</v>
      </c>
      <c r="AP271" s="250">
        <v>236816</v>
      </c>
      <c r="AQ271" s="250">
        <v>65763</v>
      </c>
      <c r="AR271" s="683"/>
      <c r="AS271" s="250">
        <v>479272</v>
      </c>
      <c r="AT271" s="250">
        <v>210800</v>
      </c>
      <c r="AU271" s="250">
        <v>82700.3</v>
      </c>
      <c r="AV271" s="250">
        <v>4674.7</v>
      </c>
      <c r="AW271" s="250">
        <v>3121.1</v>
      </c>
      <c r="AX271" s="718">
        <v>231.3</v>
      </c>
      <c r="AY271" s="718">
        <v>139.80000000000001</v>
      </c>
      <c r="AZ271" s="1014">
        <v>836.23500000000001</v>
      </c>
      <c r="BA271" s="1014">
        <v>354.42500000000001</v>
      </c>
      <c r="BB271" s="1397">
        <v>1844</v>
      </c>
      <c r="BC271" s="250">
        <v>3292.5</v>
      </c>
      <c r="BD271" s="718">
        <v>515.1</v>
      </c>
      <c r="BE271" s="250">
        <v>5995.53</v>
      </c>
      <c r="BF271" s="250">
        <v>33891.952631578897</v>
      </c>
      <c r="BG271" s="250">
        <v>9128.71626503888</v>
      </c>
      <c r="BH271" s="250">
        <v>6484.76</v>
      </c>
      <c r="BI271" s="1014">
        <v>2770200</v>
      </c>
      <c r="BJ271" s="1014">
        <v>602</v>
      </c>
      <c r="BK271" s="1014">
        <v>21671.8</v>
      </c>
      <c r="BL271" s="1014">
        <v>3678014</v>
      </c>
      <c r="BM271" s="1014">
        <v>139821</v>
      </c>
      <c r="BN271" s="1014">
        <v>22765</v>
      </c>
      <c r="BO271" s="718">
        <v>3401893</v>
      </c>
      <c r="BP271" s="718">
        <v>176697</v>
      </c>
      <c r="BQ271" s="718">
        <v>19967</v>
      </c>
      <c r="BR271" s="250">
        <v>9434</v>
      </c>
      <c r="BS271" s="250">
        <v>6410.5</v>
      </c>
      <c r="BT271" s="250">
        <v>1234505</v>
      </c>
      <c r="BU271" s="250">
        <v>699901</v>
      </c>
      <c r="BV271" s="250">
        <v>778216</v>
      </c>
      <c r="BW271" s="250">
        <v>490768</v>
      </c>
      <c r="BX271" s="1324">
        <v>0</v>
      </c>
    </row>
    <row r="272" spans="1:118">
      <c r="A272" s="1396">
        <v>45180</v>
      </c>
      <c r="B272" s="718">
        <v>1075.7139999999999</v>
      </c>
      <c r="C272" s="718">
        <v>593.62199999999996</v>
      </c>
      <c r="D272" s="1081">
        <v>6879</v>
      </c>
      <c r="E272" s="1311">
        <v>0.6</v>
      </c>
      <c r="F272" s="683">
        <v>19776.099999999999</v>
      </c>
      <c r="G272" s="683">
        <v>6122.2</v>
      </c>
      <c r="H272" s="250">
        <v>24190</v>
      </c>
      <c r="I272" s="250">
        <v>12074</v>
      </c>
      <c r="J272" s="250">
        <v>208755.3</v>
      </c>
      <c r="K272" s="1014">
        <v>14967.8</v>
      </c>
      <c r="L272" s="1014">
        <v>7011.4</v>
      </c>
      <c r="M272" s="1014">
        <v>46196.1</v>
      </c>
      <c r="N272" s="1014">
        <v>36751.4</v>
      </c>
      <c r="O272" s="250">
        <v>139203</v>
      </c>
      <c r="P272" s="250">
        <v>115418</v>
      </c>
      <c r="Q272" s="250">
        <v>141852</v>
      </c>
      <c r="R272" s="250">
        <v>97334.1</v>
      </c>
      <c r="S272" s="1081">
        <v>14063.6</v>
      </c>
      <c r="T272" s="1081">
        <v>10680.14</v>
      </c>
      <c r="U272" s="250">
        <v>62969</v>
      </c>
      <c r="V272" s="250">
        <v>32370</v>
      </c>
      <c r="W272" s="1014">
        <v>214350.4</v>
      </c>
      <c r="X272" s="683">
        <v>345.9</v>
      </c>
      <c r="Y272" s="725">
        <v>50716</v>
      </c>
      <c r="Z272" s="250">
        <v>615032</v>
      </c>
      <c r="AA272" s="250">
        <v>313050</v>
      </c>
      <c r="AB272" s="250">
        <v>214383.3</v>
      </c>
      <c r="AC272" s="683">
        <v>1112.4000000000001</v>
      </c>
      <c r="AD272" s="718">
        <v>942</v>
      </c>
      <c r="AE272" s="1014">
        <v>352.9</v>
      </c>
      <c r="AF272" s="1014">
        <v>258</v>
      </c>
      <c r="AG272" s="250">
        <v>83435.5</v>
      </c>
      <c r="AH272" s="250">
        <v>64490.1</v>
      </c>
      <c r="AI272" s="250">
        <v>70704.7</v>
      </c>
      <c r="AJ272" s="250">
        <v>57801.1</v>
      </c>
      <c r="AK272" s="250">
        <v>60836.3</v>
      </c>
      <c r="AL272" s="250">
        <v>23914.9</v>
      </c>
      <c r="AM272" s="250">
        <v>16.899999999999999</v>
      </c>
      <c r="AN272" s="250">
        <v>18.3</v>
      </c>
      <c r="AO272" s="250">
        <v>513946</v>
      </c>
      <c r="AP272" s="250">
        <v>236887</v>
      </c>
      <c r="AQ272" s="250">
        <v>65768</v>
      </c>
      <c r="AR272" s="683"/>
      <c r="AS272" s="250">
        <v>479421</v>
      </c>
      <c r="AT272" s="250">
        <v>210864</v>
      </c>
      <c r="AU272" s="250">
        <v>82724.3</v>
      </c>
      <c r="AV272" s="250">
        <v>4674.7</v>
      </c>
      <c r="AW272" s="250">
        <v>3121.1</v>
      </c>
      <c r="AX272" s="718">
        <v>231.3</v>
      </c>
      <c r="AY272" s="718">
        <v>139.80000000000001</v>
      </c>
      <c r="AZ272" s="1014">
        <v>836.23500000000001</v>
      </c>
      <c r="BA272" s="1014">
        <v>354.42500000000001</v>
      </c>
      <c r="BB272" s="1397">
        <v>1844</v>
      </c>
      <c r="BC272" s="250">
        <v>3295.9</v>
      </c>
      <c r="BD272" s="718">
        <v>517.20000000000005</v>
      </c>
      <c r="BE272" s="250">
        <v>5769.36</v>
      </c>
      <c r="BF272" s="250">
        <v>34017.7526315789</v>
      </c>
      <c r="BG272" s="250">
        <v>9696.8845620486409</v>
      </c>
      <c r="BH272" s="250">
        <v>5431.51</v>
      </c>
      <c r="BI272" s="1014">
        <v>2770200</v>
      </c>
      <c r="BJ272" s="1014">
        <v>602</v>
      </c>
      <c r="BK272" s="1014">
        <v>21671.8</v>
      </c>
      <c r="BL272" s="1014">
        <v>3682593</v>
      </c>
      <c r="BM272" s="1014">
        <v>140601</v>
      </c>
      <c r="BN272" s="1014">
        <v>22789</v>
      </c>
      <c r="BO272" s="718">
        <v>3405399</v>
      </c>
      <c r="BP272" s="718">
        <v>176822</v>
      </c>
      <c r="BQ272" s="718">
        <v>19991</v>
      </c>
      <c r="BR272" s="1014">
        <v>9439.2999999999993</v>
      </c>
      <c r="BS272" s="250">
        <v>6414.1</v>
      </c>
      <c r="BT272" s="250">
        <v>1234913</v>
      </c>
      <c r="BU272" s="250">
        <v>700144</v>
      </c>
      <c r="BV272" s="250">
        <v>779291</v>
      </c>
      <c r="BW272" s="250">
        <v>491432</v>
      </c>
      <c r="BX272" s="1324">
        <v>0</v>
      </c>
    </row>
    <row r="273" spans="1:76">
      <c r="A273" s="1396">
        <v>45181</v>
      </c>
      <c r="B273" s="718">
        <v>1075.875</v>
      </c>
      <c r="C273" s="718">
        <v>593.70000000000005</v>
      </c>
      <c r="D273" s="1081">
        <v>6879.7</v>
      </c>
      <c r="E273" s="1311">
        <v>0.6</v>
      </c>
      <c r="F273" s="1081">
        <v>19790.5</v>
      </c>
      <c r="G273" s="1081">
        <v>6126.3</v>
      </c>
      <c r="H273" s="1081">
        <v>24354</v>
      </c>
      <c r="I273" s="1081">
        <v>12156</v>
      </c>
      <c r="J273" s="1081">
        <v>208779.3</v>
      </c>
      <c r="K273" s="1014">
        <v>14967.9</v>
      </c>
      <c r="L273" s="1014">
        <v>7011.4</v>
      </c>
      <c r="M273" s="1014">
        <v>46196.1</v>
      </c>
      <c r="N273" s="1014">
        <v>36751.4</v>
      </c>
      <c r="O273" s="1081">
        <v>139215</v>
      </c>
      <c r="P273" s="1081">
        <v>115428</v>
      </c>
      <c r="Q273" s="1081">
        <v>141867</v>
      </c>
      <c r="R273" s="1081">
        <v>97344.3</v>
      </c>
      <c r="S273" s="1081">
        <v>14063.6</v>
      </c>
      <c r="T273" s="1081">
        <v>10680.14</v>
      </c>
      <c r="U273" s="1081">
        <v>63262</v>
      </c>
      <c r="V273" s="1081">
        <v>32526</v>
      </c>
      <c r="W273" s="1081">
        <v>214374.39999999999</v>
      </c>
      <c r="X273" s="683">
        <v>345.9</v>
      </c>
      <c r="Y273" s="725">
        <v>50716</v>
      </c>
      <c r="Z273" s="1081">
        <v>615182</v>
      </c>
      <c r="AA273" s="1081">
        <v>313120</v>
      </c>
      <c r="AB273" s="250">
        <v>214407.3</v>
      </c>
      <c r="AC273" s="683">
        <v>1112.4000000000001</v>
      </c>
      <c r="AD273" s="718">
        <v>942</v>
      </c>
      <c r="AE273" s="1014">
        <v>356.3</v>
      </c>
      <c r="AF273" s="1014">
        <v>260.5</v>
      </c>
      <c r="AG273" s="1081">
        <v>83445.5</v>
      </c>
      <c r="AH273" s="1081">
        <v>64497.599999999999</v>
      </c>
      <c r="AI273" s="1081">
        <v>70744.5</v>
      </c>
      <c r="AJ273" s="1081">
        <v>57835.5</v>
      </c>
      <c r="AK273" s="250">
        <v>60843.4</v>
      </c>
      <c r="AL273" s="250">
        <v>23917.599999999999</v>
      </c>
      <c r="AM273" s="250">
        <v>16.899999999999999</v>
      </c>
      <c r="AN273" s="250">
        <v>18.3</v>
      </c>
      <c r="AO273" s="1081">
        <v>514109</v>
      </c>
      <c r="AP273" s="1081">
        <v>236959</v>
      </c>
      <c r="AQ273" s="1081">
        <v>65773</v>
      </c>
      <c r="AR273" s="683"/>
      <c r="AS273" s="1081">
        <v>479569</v>
      </c>
      <c r="AT273" s="1081">
        <v>210929</v>
      </c>
      <c r="AU273" s="1081">
        <v>82748.3</v>
      </c>
      <c r="AV273" s="250">
        <v>4676.8999999999996</v>
      </c>
      <c r="AW273" s="250">
        <v>3122.5</v>
      </c>
      <c r="AX273" s="718">
        <v>231.3</v>
      </c>
      <c r="AY273" s="718">
        <v>139.80000000000001</v>
      </c>
      <c r="AZ273" s="1014">
        <v>836.65300000000002</v>
      </c>
      <c r="BA273" s="1014">
        <v>354.58499999999998</v>
      </c>
      <c r="BB273" s="1397">
        <v>1844.5</v>
      </c>
      <c r="BC273" s="1081">
        <v>3299.3</v>
      </c>
      <c r="BD273" s="718">
        <v>519.29999999999995</v>
      </c>
      <c r="BE273" s="1081">
        <v>5538.05</v>
      </c>
      <c r="BF273" s="1081">
        <v>34041.640350877198</v>
      </c>
      <c r="BG273" s="1081">
        <v>9204.3520981284</v>
      </c>
      <c r="BH273" s="1081">
        <v>5311.64</v>
      </c>
      <c r="BI273" s="1014">
        <v>2770200</v>
      </c>
      <c r="BJ273" s="1014">
        <v>602</v>
      </c>
      <c r="BK273" s="1014">
        <v>21671.8</v>
      </c>
      <c r="BL273" s="1014">
        <v>3687297</v>
      </c>
      <c r="BM273" s="1014">
        <v>141178</v>
      </c>
      <c r="BN273" s="1014">
        <v>22813</v>
      </c>
      <c r="BO273" s="718">
        <v>3408875</v>
      </c>
      <c r="BP273" s="718">
        <v>176879</v>
      </c>
      <c r="BQ273" s="718">
        <v>20015</v>
      </c>
      <c r="BR273" s="1014">
        <v>9444.5</v>
      </c>
      <c r="BS273" s="1081">
        <v>6417.6</v>
      </c>
      <c r="BT273" s="1081">
        <v>1235252</v>
      </c>
      <c r="BU273" s="1081">
        <v>700356</v>
      </c>
      <c r="BV273" s="1081">
        <v>780394</v>
      </c>
      <c r="BW273" s="1081">
        <v>492120</v>
      </c>
      <c r="BX273" s="1324">
        <v>0.6</v>
      </c>
    </row>
    <row r="274" spans="1:76">
      <c r="A274" s="1396">
        <v>45182</v>
      </c>
      <c r="B274" s="718">
        <v>1075.875</v>
      </c>
      <c r="C274" s="718">
        <v>593.70000000000005</v>
      </c>
      <c r="D274" s="1081">
        <v>6879.7</v>
      </c>
      <c r="E274" s="1311">
        <v>0</v>
      </c>
      <c r="F274" s="1014">
        <v>19805</v>
      </c>
      <c r="G274" s="1014">
        <v>6130.5</v>
      </c>
      <c r="H274" s="1014">
        <v>24518</v>
      </c>
      <c r="I274" s="1014">
        <v>12238</v>
      </c>
      <c r="J274" s="1014">
        <v>208803.3</v>
      </c>
      <c r="K274" s="1014">
        <v>14967.9</v>
      </c>
      <c r="L274" s="1014">
        <v>7011.4</v>
      </c>
      <c r="M274" s="1014">
        <v>46196.1</v>
      </c>
      <c r="N274" s="1014">
        <v>36751.4</v>
      </c>
      <c r="O274" s="1014">
        <v>139227</v>
      </c>
      <c r="P274" s="1014">
        <v>115437</v>
      </c>
      <c r="Q274" s="1014">
        <v>141883</v>
      </c>
      <c r="R274" s="1014">
        <v>97354.6</v>
      </c>
      <c r="S274" s="1081">
        <v>14063.6</v>
      </c>
      <c r="T274" s="1081">
        <v>10680.14</v>
      </c>
      <c r="U274" s="1014">
        <v>63568</v>
      </c>
      <c r="V274" s="1014">
        <v>32685</v>
      </c>
      <c r="W274" s="1014">
        <v>214398.4</v>
      </c>
      <c r="X274" s="683">
        <v>345.9</v>
      </c>
      <c r="Y274" s="725">
        <v>50716</v>
      </c>
      <c r="Z274" s="1014">
        <v>615332</v>
      </c>
      <c r="AA274" s="1014">
        <v>313191</v>
      </c>
      <c r="AB274" s="1014">
        <v>214431.3</v>
      </c>
      <c r="AC274" s="683">
        <v>1112.4000000000001</v>
      </c>
      <c r="AD274" s="718">
        <v>942</v>
      </c>
      <c r="AE274" s="1014">
        <v>359.7</v>
      </c>
      <c r="AF274" s="1014">
        <v>263</v>
      </c>
      <c r="AG274" s="1014">
        <v>83455.7</v>
      </c>
      <c r="AH274" s="1014">
        <v>64505.5</v>
      </c>
      <c r="AI274" s="1014">
        <v>70784.399999999994</v>
      </c>
      <c r="AJ274" s="1014">
        <v>57870.1</v>
      </c>
      <c r="AK274" s="250">
        <v>60855.6</v>
      </c>
      <c r="AL274" s="250">
        <v>23922.5</v>
      </c>
      <c r="AM274" s="250">
        <v>16.899999999999999</v>
      </c>
      <c r="AN274" s="250">
        <v>18.3</v>
      </c>
      <c r="AO274" s="1014">
        <v>514274</v>
      </c>
      <c r="AP274" s="1014">
        <v>237030</v>
      </c>
      <c r="AQ274" s="1014">
        <v>65778</v>
      </c>
      <c r="AR274" s="683"/>
      <c r="AS274" s="1014">
        <v>479719</v>
      </c>
      <c r="AT274" s="1014">
        <v>210994</v>
      </c>
      <c r="AU274" s="1014">
        <v>82772.3</v>
      </c>
      <c r="AV274" s="250">
        <v>4676.8999999999996</v>
      </c>
      <c r="AW274" s="250">
        <v>3122.5</v>
      </c>
      <c r="AX274" s="718">
        <v>231.3</v>
      </c>
      <c r="AY274" s="718">
        <v>139.80000000000001</v>
      </c>
      <c r="AZ274" s="1014">
        <v>836.65300000000002</v>
      </c>
      <c r="BA274" s="1014">
        <v>354.58499999999998</v>
      </c>
      <c r="BB274" s="1397">
        <v>1844.5</v>
      </c>
      <c r="BC274" s="1081">
        <v>3303.3</v>
      </c>
      <c r="BD274" s="1014">
        <v>521.70000000000005</v>
      </c>
      <c r="BE274" s="1014">
        <v>5359.47</v>
      </c>
      <c r="BF274" s="1014">
        <v>33880.463157894701</v>
      </c>
      <c r="BG274" s="1014">
        <v>8735.9311123001607</v>
      </c>
      <c r="BH274" s="1014">
        <v>5624.81</v>
      </c>
      <c r="BI274" s="1014">
        <v>2770200</v>
      </c>
      <c r="BJ274" s="1014">
        <v>602</v>
      </c>
      <c r="BK274" s="1014">
        <v>21671.8</v>
      </c>
      <c r="BL274" s="1014">
        <v>3692083</v>
      </c>
      <c r="BM274" s="1014">
        <v>141986</v>
      </c>
      <c r="BN274" s="1014">
        <v>22837</v>
      </c>
      <c r="BO274" s="718">
        <v>3412433</v>
      </c>
      <c r="BP274" s="718">
        <v>176983</v>
      </c>
      <c r="BQ274" s="718">
        <v>20039</v>
      </c>
      <c r="BR274" s="1014">
        <v>9449.7999999999993</v>
      </c>
      <c r="BS274" s="1014">
        <v>6421.2</v>
      </c>
      <c r="BT274" s="1014">
        <v>1235654</v>
      </c>
      <c r="BU274" s="1014">
        <v>700599</v>
      </c>
      <c r="BV274" s="1014">
        <v>781464</v>
      </c>
      <c r="BW274" s="1014">
        <v>492784</v>
      </c>
      <c r="BX274" s="1324">
        <v>0</v>
      </c>
    </row>
    <row r="275" spans="1:76">
      <c r="A275" s="1396">
        <v>45183</v>
      </c>
      <c r="B275" s="718">
        <v>1075.875</v>
      </c>
      <c r="C275" s="718">
        <v>593.70000000000005</v>
      </c>
      <c r="D275" s="1081">
        <v>6879.7</v>
      </c>
      <c r="E275" s="1311">
        <v>0</v>
      </c>
      <c r="F275" s="1014">
        <v>19819.400000000001</v>
      </c>
      <c r="G275" s="1014">
        <v>6134.6</v>
      </c>
      <c r="H275" s="1014">
        <v>24681</v>
      </c>
      <c r="I275" s="1014">
        <v>12318</v>
      </c>
      <c r="J275" s="1014">
        <v>208827.3</v>
      </c>
      <c r="K275" s="1014">
        <v>14968</v>
      </c>
      <c r="L275" s="1014">
        <v>7011.4</v>
      </c>
      <c r="M275" s="1014">
        <v>46196.1</v>
      </c>
      <c r="N275" s="1014">
        <v>36751.4</v>
      </c>
      <c r="O275" s="1014">
        <v>139239</v>
      </c>
      <c r="P275" s="1014">
        <v>115446</v>
      </c>
      <c r="Q275" s="1014">
        <v>141898</v>
      </c>
      <c r="R275" s="1014">
        <v>97364.800000000003</v>
      </c>
      <c r="S275" s="1081">
        <v>14063.6</v>
      </c>
      <c r="T275" s="1081">
        <v>10680.14</v>
      </c>
      <c r="U275" s="1014">
        <v>63870</v>
      </c>
      <c r="V275" s="1014">
        <v>32841</v>
      </c>
      <c r="W275" s="1014">
        <v>214422.39999999999</v>
      </c>
      <c r="X275" s="683">
        <v>345.9</v>
      </c>
      <c r="Y275" s="725">
        <v>50716</v>
      </c>
      <c r="Z275" s="1014">
        <v>615481</v>
      </c>
      <c r="AA275" s="1014">
        <v>313262</v>
      </c>
      <c r="AB275" s="1014">
        <v>214455.3</v>
      </c>
      <c r="AC275" s="683">
        <v>1112.4000000000001</v>
      </c>
      <c r="AD275" s="718">
        <v>942</v>
      </c>
      <c r="AE275" s="1014">
        <v>363.1</v>
      </c>
      <c r="AF275" s="1014">
        <v>265.5</v>
      </c>
      <c r="AG275" s="1014">
        <v>83465.2</v>
      </c>
      <c r="AH275" s="1014">
        <v>64512.800000000003</v>
      </c>
      <c r="AI275" s="1014">
        <v>70823</v>
      </c>
      <c r="AJ275" s="1014">
        <v>57903.5</v>
      </c>
      <c r="AK275" s="250">
        <v>60870.9</v>
      </c>
      <c r="AL275" s="250">
        <v>23928.5</v>
      </c>
      <c r="AM275" s="250">
        <v>16.899999999999999</v>
      </c>
      <c r="AN275" s="250">
        <v>18.3</v>
      </c>
      <c r="AO275" s="1014">
        <v>514438</v>
      </c>
      <c r="AP275" s="1014">
        <v>237101</v>
      </c>
      <c r="AQ275" s="1014">
        <v>65784</v>
      </c>
      <c r="AR275" s="683"/>
      <c r="AS275" s="1014">
        <v>479869</v>
      </c>
      <c r="AT275" s="1014">
        <v>211058</v>
      </c>
      <c r="AU275" s="1014">
        <v>82796.3</v>
      </c>
      <c r="AV275" s="1014">
        <v>4676.8999999999996</v>
      </c>
      <c r="AW275" s="1014">
        <v>3122.5</v>
      </c>
      <c r="AX275" s="718">
        <v>231.35</v>
      </c>
      <c r="AY275" s="718">
        <v>139.93</v>
      </c>
      <c r="AZ275" s="1014">
        <v>836.82600000000002</v>
      </c>
      <c r="BA275" s="1014">
        <v>354.65100000000001</v>
      </c>
      <c r="BB275" s="1397">
        <v>1844.8</v>
      </c>
      <c r="BC275" s="1081">
        <v>3307.5</v>
      </c>
      <c r="BD275" s="1014">
        <v>524</v>
      </c>
      <c r="BE275" s="422">
        <v>5520.27</v>
      </c>
      <c r="BF275" s="422">
        <v>34034.457894736799</v>
      </c>
      <c r="BG275" s="1014">
        <v>9201.5985133270096</v>
      </c>
      <c r="BH275" s="422">
        <v>6152.49</v>
      </c>
      <c r="BI275" s="1014">
        <v>2770200</v>
      </c>
      <c r="BJ275" s="1014">
        <v>602</v>
      </c>
      <c r="BK275" s="1014">
        <v>21671.8</v>
      </c>
      <c r="BL275" s="1014">
        <v>3696776</v>
      </c>
      <c r="BM275" s="1014">
        <v>142553</v>
      </c>
      <c r="BN275" s="1014">
        <v>22861</v>
      </c>
      <c r="BO275" s="718">
        <v>3416007</v>
      </c>
      <c r="BP275" s="718">
        <v>177079</v>
      </c>
      <c r="BQ275" s="718">
        <v>20063</v>
      </c>
      <c r="BR275" s="1014">
        <v>9455.1</v>
      </c>
      <c r="BS275" s="1014">
        <v>6424.8</v>
      </c>
      <c r="BT275" s="1014">
        <v>1236056</v>
      </c>
      <c r="BU275" s="1014">
        <v>700843</v>
      </c>
      <c r="BV275" s="1014">
        <v>782537</v>
      </c>
      <c r="BW275" s="1014">
        <v>493448</v>
      </c>
      <c r="BX275" s="1324">
        <v>0.4</v>
      </c>
    </row>
    <row r="276" spans="1:76">
      <c r="A276" s="1396">
        <v>45184</v>
      </c>
      <c r="B276" s="718">
        <v>1075.875</v>
      </c>
      <c r="C276" s="718">
        <v>593.70000000000005</v>
      </c>
      <c r="D276" s="1081">
        <v>6879.7</v>
      </c>
      <c r="E276" s="1311">
        <v>0</v>
      </c>
      <c r="F276" s="683">
        <v>19832.5</v>
      </c>
      <c r="G276" s="683">
        <v>6137.6</v>
      </c>
      <c r="H276" s="250">
        <v>24844</v>
      </c>
      <c r="I276" s="250">
        <v>12400</v>
      </c>
      <c r="J276" s="250">
        <v>208851.3</v>
      </c>
      <c r="K276" s="1014">
        <v>14968</v>
      </c>
      <c r="L276" s="1014">
        <v>7011.4</v>
      </c>
      <c r="M276" s="1014">
        <v>46196.1</v>
      </c>
      <c r="N276" s="1014">
        <v>36751.4</v>
      </c>
      <c r="O276" s="250">
        <v>139251</v>
      </c>
      <c r="P276" s="250">
        <v>115456</v>
      </c>
      <c r="Q276" s="250">
        <v>141913</v>
      </c>
      <c r="R276" s="250">
        <v>97375.2</v>
      </c>
      <c r="S276" s="1081">
        <v>14063.6</v>
      </c>
      <c r="T276" s="1081">
        <v>10680.14</v>
      </c>
      <c r="U276" s="250">
        <v>64168</v>
      </c>
      <c r="V276" s="250">
        <v>32996</v>
      </c>
      <c r="W276" s="250">
        <v>214446.4</v>
      </c>
      <c r="X276" s="683">
        <v>345.9</v>
      </c>
      <c r="Y276" s="725">
        <v>50716</v>
      </c>
      <c r="Z276" s="250">
        <v>615631</v>
      </c>
      <c r="AA276" s="250">
        <v>313336</v>
      </c>
      <c r="AB276" s="250">
        <v>214479.3</v>
      </c>
      <c r="AC276" s="683">
        <v>1112.4000000000001</v>
      </c>
      <c r="AD276" s="718">
        <v>942</v>
      </c>
      <c r="AE276" s="250">
        <v>366.7</v>
      </c>
      <c r="AF276" s="250">
        <v>268.10000000000002</v>
      </c>
      <c r="AG276" s="250">
        <v>83474.899999999994</v>
      </c>
      <c r="AH276" s="250">
        <v>64520.3</v>
      </c>
      <c r="AI276" s="250">
        <v>70862.3</v>
      </c>
      <c r="AJ276" s="250">
        <v>57937.3</v>
      </c>
      <c r="AK276" s="250">
        <v>60878.1</v>
      </c>
      <c r="AL276" s="250">
        <v>23931.3</v>
      </c>
      <c r="AM276" s="250">
        <v>16.899999999999999</v>
      </c>
      <c r="AN276" s="250">
        <v>18.3</v>
      </c>
      <c r="AO276" s="250">
        <v>514604</v>
      </c>
      <c r="AP276" s="250">
        <v>237175</v>
      </c>
      <c r="AQ276" s="250">
        <v>65788</v>
      </c>
      <c r="AR276" s="250"/>
      <c r="AS276" s="250">
        <v>480019</v>
      </c>
      <c r="AT276" s="250">
        <v>211123</v>
      </c>
      <c r="AU276" s="250">
        <v>82820.3</v>
      </c>
      <c r="AV276" s="250">
        <v>4676.9399999999996</v>
      </c>
      <c r="AW276" s="250">
        <v>3122.55</v>
      </c>
      <c r="AX276" s="718">
        <v>231.35</v>
      </c>
      <c r="AY276" s="718">
        <v>139.93</v>
      </c>
      <c r="AZ276" s="1014">
        <v>836.82600000000002</v>
      </c>
      <c r="BA276" s="1014">
        <v>354.65100000000001</v>
      </c>
      <c r="BB276" s="1397">
        <v>1844.8</v>
      </c>
      <c r="BC276" s="250">
        <v>3311.3</v>
      </c>
      <c r="BD276" s="1014">
        <v>526</v>
      </c>
      <c r="BE276" s="250">
        <v>5780.8</v>
      </c>
      <c r="BF276" s="250">
        <v>34574.250877193001</v>
      </c>
      <c r="BG276" s="250">
        <v>6667.3140365809304</v>
      </c>
      <c r="BH276" s="250">
        <v>5228.2299999999996</v>
      </c>
      <c r="BI276" s="1014">
        <v>2772400</v>
      </c>
      <c r="BJ276" s="1014">
        <v>603</v>
      </c>
      <c r="BK276" s="1014">
        <v>21681</v>
      </c>
      <c r="BL276" s="1014">
        <v>3700098</v>
      </c>
      <c r="BM276" s="1014">
        <v>142919</v>
      </c>
      <c r="BN276" s="1014">
        <v>22879.200000000001</v>
      </c>
      <c r="BO276" s="250">
        <v>3419569</v>
      </c>
      <c r="BP276" s="250">
        <v>177162</v>
      </c>
      <c r="BQ276" s="250">
        <v>20087</v>
      </c>
      <c r="BR276" s="250">
        <v>9460.5</v>
      </c>
      <c r="BS276" s="250">
        <v>6428.6</v>
      </c>
      <c r="BT276" s="250">
        <v>1236492</v>
      </c>
      <c r="BU276" s="250">
        <v>701100</v>
      </c>
      <c r="BV276" s="250">
        <v>783633</v>
      </c>
      <c r="BW276" s="250">
        <v>494122</v>
      </c>
      <c r="BX276" s="1324">
        <v>0</v>
      </c>
    </row>
    <row r="277" spans="1:76">
      <c r="A277" s="1396">
        <v>45185</v>
      </c>
      <c r="B277" s="718">
        <v>1075.875</v>
      </c>
      <c r="C277" s="718">
        <v>593.70000000000005</v>
      </c>
      <c r="D277" s="1081">
        <v>6879.7</v>
      </c>
      <c r="E277" s="1311">
        <v>0</v>
      </c>
      <c r="F277" s="683">
        <v>19842.2</v>
      </c>
      <c r="G277" s="683">
        <v>6138.4</v>
      </c>
      <c r="H277" s="250">
        <v>25013</v>
      </c>
      <c r="I277" s="250">
        <v>12483</v>
      </c>
      <c r="J277" s="250">
        <v>208875.3</v>
      </c>
      <c r="K277" s="1014">
        <v>14968</v>
      </c>
      <c r="L277" s="1014">
        <v>7011.4</v>
      </c>
      <c r="M277" s="1014">
        <v>46196.1</v>
      </c>
      <c r="N277" s="1014">
        <v>36751.4</v>
      </c>
      <c r="O277" s="250">
        <v>139263</v>
      </c>
      <c r="P277" s="250">
        <v>115466</v>
      </c>
      <c r="Q277" s="250">
        <v>141928</v>
      </c>
      <c r="R277" s="250">
        <v>97385.5</v>
      </c>
      <c r="S277" s="1081">
        <v>14063.6</v>
      </c>
      <c r="T277" s="1081">
        <v>10680.14</v>
      </c>
      <c r="U277" s="250">
        <v>64466</v>
      </c>
      <c r="V277" s="250">
        <v>33151</v>
      </c>
      <c r="W277" s="250">
        <v>214470.39999999999</v>
      </c>
      <c r="X277" s="683">
        <v>345.9</v>
      </c>
      <c r="Y277" s="725">
        <v>50716</v>
      </c>
      <c r="Z277" s="250">
        <v>615781</v>
      </c>
      <c r="AA277" s="250">
        <v>313408</v>
      </c>
      <c r="AB277" s="250">
        <v>214503.3</v>
      </c>
      <c r="AC277" s="683">
        <v>1112.4000000000001</v>
      </c>
      <c r="AD277" s="718">
        <v>942</v>
      </c>
      <c r="AE277" s="250">
        <v>369.9</v>
      </c>
      <c r="AF277" s="250">
        <v>270.5</v>
      </c>
      <c r="AG277" s="250">
        <v>83486</v>
      </c>
      <c r="AH277" s="250">
        <v>64529</v>
      </c>
      <c r="AI277" s="250">
        <v>70899.399999999994</v>
      </c>
      <c r="AJ277" s="250">
        <v>57968.9</v>
      </c>
      <c r="AK277" s="250">
        <v>60882.2</v>
      </c>
      <c r="AL277" s="250">
        <v>23932.9</v>
      </c>
      <c r="AM277" s="250">
        <v>16.899999999999999</v>
      </c>
      <c r="AN277" s="250">
        <v>18.3</v>
      </c>
      <c r="AO277" s="250">
        <v>514774</v>
      </c>
      <c r="AP277" s="250">
        <v>237252</v>
      </c>
      <c r="AQ277" s="250">
        <v>65794</v>
      </c>
      <c r="AR277" s="250"/>
      <c r="AS277" s="250">
        <v>480170</v>
      </c>
      <c r="AT277" s="250">
        <v>211188</v>
      </c>
      <c r="AU277" s="250">
        <v>82844.3</v>
      </c>
      <c r="AV277" s="250">
        <v>4676.9399999999996</v>
      </c>
      <c r="AW277" s="250">
        <v>3122.55</v>
      </c>
      <c r="AX277" s="718">
        <v>231.35</v>
      </c>
      <c r="AY277" s="718">
        <v>139.93</v>
      </c>
      <c r="AZ277" s="1014">
        <v>836.82600000000002</v>
      </c>
      <c r="BA277" s="1014">
        <v>354.65100000000001</v>
      </c>
      <c r="BB277" s="1397">
        <v>1844.8</v>
      </c>
      <c r="BC277" s="250">
        <v>3313.7</v>
      </c>
      <c r="BD277" s="1014">
        <v>526</v>
      </c>
      <c r="BE277" s="250">
        <v>5988.17</v>
      </c>
      <c r="BF277" s="250">
        <v>34409.221052631598</v>
      </c>
      <c r="BG277" s="250">
        <v>2379.1817387912201</v>
      </c>
      <c r="BH277" s="250">
        <v>6375.49</v>
      </c>
      <c r="BI277" s="1081">
        <v>2777000</v>
      </c>
      <c r="BJ277" s="250">
        <v>604</v>
      </c>
      <c r="BK277" s="250">
        <v>21705</v>
      </c>
      <c r="BL277" s="1014">
        <v>3700098</v>
      </c>
      <c r="BM277" s="1014">
        <v>142919</v>
      </c>
      <c r="BN277" s="1014">
        <v>22879.200000000001</v>
      </c>
      <c r="BO277" s="250">
        <v>3424299</v>
      </c>
      <c r="BP277" s="250">
        <v>177671</v>
      </c>
      <c r="BQ277" s="250">
        <v>20111</v>
      </c>
      <c r="BR277" s="250">
        <v>9464.7999999999993</v>
      </c>
      <c r="BS277" s="250">
        <v>6431.6</v>
      </c>
      <c r="BT277" s="250">
        <v>1236886</v>
      </c>
      <c r="BU277" s="250">
        <v>701339</v>
      </c>
      <c r="BV277" s="250">
        <v>784667</v>
      </c>
      <c r="BW277" s="250">
        <v>494759</v>
      </c>
      <c r="BX277" s="1324">
        <v>0</v>
      </c>
    </row>
    <row r="278" spans="1:76">
      <c r="A278" s="1396">
        <v>45186</v>
      </c>
      <c r="B278" s="718">
        <v>1075.875</v>
      </c>
      <c r="C278" s="718">
        <v>593.70000000000005</v>
      </c>
      <c r="D278" s="1081">
        <v>6879.7</v>
      </c>
      <c r="E278" s="1311">
        <v>0</v>
      </c>
      <c r="F278" s="683">
        <v>19852.2</v>
      </c>
      <c r="G278" s="683">
        <v>6138.9</v>
      </c>
      <c r="H278" s="335">
        <v>25181</v>
      </c>
      <c r="I278" s="335">
        <v>12565</v>
      </c>
      <c r="J278" s="335">
        <v>208899.3</v>
      </c>
      <c r="K278" s="1014">
        <v>14968</v>
      </c>
      <c r="L278" s="1014">
        <v>7011.4</v>
      </c>
      <c r="M278" s="1014">
        <v>46196.1</v>
      </c>
      <c r="N278" s="1014">
        <v>36751.4</v>
      </c>
      <c r="O278" s="335">
        <v>139276</v>
      </c>
      <c r="P278" s="335">
        <v>115476</v>
      </c>
      <c r="Q278" s="335">
        <v>141942</v>
      </c>
      <c r="R278" s="335">
        <v>97395.5</v>
      </c>
      <c r="S278" s="1081">
        <v>14063.6</v>
      </c>
      <c r="T278" s="1081">
        <v>10680.14</v>
      </c>
      <c r="U278" s="250">
        <v>64770</v>
      </c>
      <c r="V278" s="250">
        <v>33307</v>
      </c>
      <c r="W278" s="250">
        <v>214494.4</v>
      </c>
      <c r="X278" s="683">
        <v>345.9</v>
      </c>
      <c r="Y278" s="725">
        <v>50716</v>
      </c>
      <c r="Z278" s="335">
        <v>615929</v>
      </c>
      <c r="AA278" s="335">
        <v>313477</v>
      </c>
      <c r="AB278" s="335">
        <v>214527.3</v>
      </c>
      <c r="AC278" s="683">
        <v>1112.4000000000001</v>
      </c>
      <c r="AD278" s="718">
        <v>942</v>
      </c>
      <c r="AE278" s="335">
        <v>373.1</v>
      </c>
      <c r="AF278" s="335">
        <v>272.89999999999998</v>
      </c>
      <c r="AG278" s="335">
        <v>83496.399999999994</v>
      </c>
      <c r="AH278" s="335">
        <v>64537</v>
      </c>
      <c r="AI278" s="335">
        <v>70934.899999999994</v>
      </c>
      <c r="AJ278" s="335">
        <v>57999.3</v>
      </c>
      <c r="AK278" s="335">
        <v>60894.2</v>
      </c>
      <c r="AL278" s="335">
        <v>23937.7</v>
      </c>
      <c r="AM278" s="250">
        <v>16.899999999999999</v>
      </c>
      <c r="AN278" s="250">
        <v>18.3</v>
      </c>
      <c r="AO278" s="335">
        <v>514943</v>
      </c>
      <c r="AP278" s="335">
        <v>237327</v>
      </c>
      <c r="AQ278" s="335">
        <v>65799</v>
      </c>
      <c r="AR278" s="335"/>
      <c r="AS278" s="335">
        <v>480322</v>
      </c>
      <c r="AT278" s="335">
        <v>211253</v>
      </c>
      <c r="AU278" s="335">
        <v>82868.3</v>
      </c>
      <c r="AV278" s="335">
        <v>4676.9399999999996</v>
      </c>
      <c r="AW278" s="335">
        <v>3122.55</v>
      </c>
      <c r="AX278" s="718">
        <v>231.35</v>
      </c>
      <c r="AY278" s="718">
        <v>139.93</v>
      </c>
      <c r="AZ278" s="1014">
        <v>836.82600000000002</v>
      </c>
      <c r="BA278" s="1014">
        <v>354.65100000000001</v>
      </c>
      <c r="BB278" s="1397">
        <v>1844.8</v>
      </c>
      <c r="BC278" s="335">
        <v>3316</v>
      </c>
      <c r="BD278" s="1014">
        <v>526</v>
      </c>
      <c r="BE278" s="335">
        <v>6416.19</v>
      </c>
      <c r="BF278" s="335">
        <v>35403.940350877201</v>
      </c>
      <c r="BG278" s="335">
        <v>2133.1602957387299</v>
      </c>
      <c r="BH278" s="335">
        <v>6456.46</v>
      </c>
      <c r="BI278" s="1014">
        <v>2781600</v>
      </c>
      <c r="BJ278" s="335">
        <v>605</v>
      </c>
      <c r="BK278" s="335">
        <v>21729</v>
      </c>
      <c r="BL278" s="1014">
        <v>3700098</v>
      </c>
      <c r="BM278" s="1014">
        <v>142919</v>
      </c>
      <c r="BN278" s="1014">
        <v>22879.200000000001</v>
      </c>
      <c r="BO278" s="335">
        <v>3429570</v>
      </c>
      <c r="BP278" s="335">
        <v>178327</v>
      </c>
      <c r="BQ278" s="335">
        <v>20135</v>
      </c>
      <c r="BR278" s="335">
        <v>9468.9</v>
      </c>
      <c r="BS278" s="335">
        <v>6434.6</v>
      </c>
      <c r="BT278" s="335">
        <v>1237172</v>
      </c>
      <c r="BU278" s="335">
        <v>701515</v>
      </c>
      <c r="BV278" s="335">
        <v>785730</v>
      </c>
      <c r="BW278" s="335">
        <v>495425</v>
      </c>
      <c r="BX278" s="1324">
        <v>0</v>
      </c>
    </row>
    <row r="279" spans="1:76">
      <c r="A279" s="1396">
        <v>45187</v>
      </c>
      <c r="B279" s="718">
        <v>1075.875</v>
      </c>
      <c r="C279" s="718">
        <v>593.70000000000005</v>
      </c>
      <c r="D279" s="1081">
        <v>6879.7</v>
      </c>
      <c r="E279" s="1311">
        <v>0</v>
      </c>
      <c r="F279" s="683">
        <v>19863.3</v>
      </c>
      <c r="G279" s="683">
        <v>6139.1</v>
      </c>
      <c r="H279" s="250">
        <v>25355</v>
      </c>
      <c r="I279" s="250">
        <v>12649</v>
      </c>
      <c r="J279" s="250">
        <v>208923.3</v>
      </c>
      <c r="K279" s="1014">
        <v>14968.1</v>
      </c>
      <c r="L279" s="1014">
        <v>7011.4</v>
      </c>
      <c r="M279" s="1014">
        <v>46196.1</v>
      </c>
      <c r="N279" s="1014">
        <v>36751.4</v>
      </c>
      <c r="O279" s="250">
        <v>139289</v>
      </c>
      <c r="P279" s="250">
        <v>115486</v>
      </c>
      <c r="Q279" s="250">
        <v>141957</v>
      </c>
      <c r="R279" s="250">
        <v>97405.8</v>
      </c>
      <c r="S279" s="1081">
        <v>14063.6</v>
      </c>
      <c r="T279" s="1081">
        <v>10680.14</v>
      </c>
      <c r="U279" s="250">
        <v>65087</v>
      </c>
      <c r="V279" s="250">
        <v>33465</v>
      </c>
      <c r="W279" s="250">
        <v>214518.39999999999</v>
      </c>
      <c r="X279" s="683">
        <v>345.9</v>
      </c>
      <c r="Y279" s="725">
        <v>50716</v>
      </c>
      <c r="Z279" s="250">
        <v>616077</v>
      </c>
      <c r="AA279" s="250">
        <v>313551</v>
      </c>
      <c r="AB279" s="250">
        <v>214551.3</v>
      </c>
      <c r="AC279" s="683">
        <v>1112.4000000000001</v>
      </c>
      <c r="AD279" s="718">
        <v>942</v>
      </c>
      <c r="AE279" s="250">
        <v>376.5</v>
      </c>
      <c r="AF279" s="250">
        <v>275.39999999999998</v>
      </c>
      <c r="AG279" s="250">
        <v>83507.5</v>
      </c>
      <c r="AH279" s="250">
        <v>64545.4</v>
      </c>
      <c r="AI279" s="250">
        <v>70973</v>
      </c>
      <c r="AJ279" s="250">
        <v>58032</v>
      </c>
      <c r="AK279" s="250">
        <v>60904.5</v>
      </c>
      <c r="AL279" s="250">
        <v>23941.7</v>
      </c>
      <c r="AM279" s="250">
        <v>16.899999999999999</v>
      </c>
      <c r="AN279" s="250">
        <v>18.3</v>
      </c>
      <c r="AO279" s="250">
        <v>515113</v>
      </c>
      <c r="AP279" s="250">
        <v>237404</v>
      </c>
      <c r="AQ279" s="250">
        <v>65803</v>
      </c>
      <c r="AR279" s="250"/>
      <c r="AS279" s="250">
        <v>480475</v>
      </c>
      <c r="AT279" s="250">
        <v>211319</v>
      </c>
      <c r="AU279" s="250">
        <v>82892.3</v>
      </c>
      <c r="AV279" s="250">
        <v>4677.05</v>
      </c>
      <c r="AW279" s="250">
        <v>3122.63</v>
      </c>
      <c r="AX279" s="718">
        <v>231.35</v>
      </c>
      <c r="AY279" s="718">
        <v>139.93</v>
      </c>
      <c r="AZ279" s="1014">
        <v>836.82600000000002</v>
      </c>
      <c r="BA279" s="1014">
        <v>354.65100000000001</v>
      </c>
      <c r="BB279" s="1397">
        <v>1844.8</v>
      </c>
      <c r="BC279" s="250">
        <v>3318.3</v>
      </c>
      <c r="BD279" s="250">
        <v>526</v>
      </c>
      <c r="BE279" s="250">
        <v>5712.99</v>
      </c>
      <c r="BF279" s="250">
        <v>35425.300000000003</v>
      </c>
      <c r="BG279" s="250">
        <v>3612.1333903499499</v>
      </c>
      <c r="BH279" s="250">
        <v>5892.23</v>
      </c>
      <c r="BI279" s="422">
        <v>2784800</v>
      </c>
      <c r="BJ279" s="250">
        <v>606</v>
      </c>
      <c r="BK279" s="250">
        <v>21753</v>
      </c>
      <c r="BL279" s="1014">
        <v>3700098</v>
      </c>
      <c r="BM279" s="1014">
        <v>142919</v>
      </c>
      <c r="BN279" s="1014">
        <v>22879.200000000001</v>
      </c>
      <c r="BO279" s="250">
        <v>3434632</v>
      </c>
      <c r="BP279" s="250">
        <v>179103</v>
      </c>
      <c r="BQ279" s="250">
        <v>20159</v>
      </c>
      <c r="BR279" s="250">
        <v>9473.9</v>
      </c>
      <c r="BS279" s="250">
        <v>6437.9</v>
      </c>
      <c r="BT279" s="250">
        <v>1237531</v>
      </c>
      <c r="BU279" s="250">
        <v>701731</v>
      </c>
      <c r="BV279" s="250">
        <v>786805</v>
      </c>
      <c r="BW279" s="250">
        <v>496091</v>
      </c>
      <c r="BX279" s="1324">
        <v>0</v>
      </c>
    </row>
    <row r="280" spans="1:76">
      <c r="A280" s="1396">
        <v>45188</v>
      </c>
      <c r="B280" s="718">
        <v>1075.875</v>
      </c>
      <c r="C280" s="718">
        <v>593.70000000000005</v>
      </c>
      <c r="D280" s="1081">
        <v>6879.7</v>
      </c>
      <c r="E280" s="1311">
        <v>0</v>
      </c>
      <c r="F280" s="1014">
        <v>19874.400000000001</v>
      </c>
      <c r="G280" s="1014">
        <v>6141.4</v>
      </c>
      <c r="H280" s="1014">
        <v>25520</v>
      </c>
      <c r="I280" s="1014">
        <v>12730</v>
      </c>
      <c r="J280" s="1014">
        <v>208947.3</v>
      </c>
      <c r="K280" s="1014">
        <v>14968.1</v>
      </c>
      <c r="L280" s="1014">
        <v>7011.4</v>
      </c>
      <c r="M280" s="1014">
        <v>46196.1</v>
      </c>
      <c r="N280" s="1014">
        <v>36751.4</v>
      </c>
      <c r="O280" s="1014">
        <v>139301</v>
      </c>
      <c r="P280" s="1014">
        <v>115495</v>
      </c>
      <c r="Q280" s="1014">
        <v>141972</v>
      </c>
      <c r="R280" s="1014">
        <v>97415.7</v>
      </c>
      <c r="S280" s="1081">
        <v>14063.6</v>
      </c>
      <c r="T280" s="1081">
        <v>10680.14</v>
      </c>
      <c r="U280" s="250">
        <v>65367</v>
      </c>
      <c r="V280" s="250">
        <v>33611</v>
      </c>
      <c r="W280" s="250">
        <v>214542.4</v>
      </c>
      <c r="X280" s="683">
        <v>345.9</v>
      </c>
      <c r="Y280" s="725">
        <v>50716</v>
      </c>
      <c r="Z280" s="1014">
        <v>616217</v>
      </c>
      <c r="AA280" s="1014">
        <v>313621</v>
      </c>
      <c r="AB280" s="1014">
        <v>214575.3</v>
      </c>
      <c r="AC280" s="683">
        <v>1112.4000000000001</v>
      </c>
      <c r="AD280" s="718">
        <v>942</v>
      </c>
      <c r="AE280" s="1014">
        <v>379.9</v>
      </c>
      <c r="AF280" s="1014">
        <v>277.89999999999998</v>
      </c>
      <c r="AG280" s="1014">
        <v>83514.3</v>
      </c>
      <c r="AH280" s="1014">
        <v>64550.400000000001</v>
      </c>
      <c r="AI280" s="1014">
        <v>71013.3</v>
      </c>
      <c r="AJ280" s="1014">
        <v>58066.5</v>
      </c>
      <c r="AK280" s="1014">
        <v>60915.9</v>
      </c>
      <c r="AL280" s="1014">
        <v>23945.9</v>
      </c>
      <c r="AM280" s="250">
        <v>16.899999999999999</v>
      </c>
      <c r="AN280" s="250">
        <v>18.3</v>
      </c>
      <c r="AO280" s="1014">
        <v>515253</v>
      </c>
      <c r="AP280" s="1014">
        <v>237469</v>
      </c>
      <c r="AQ280" s="1014">
        <v>65808</v>
      </c>
      <c r="AR280" s="1014"/>
      <c r="AS280" s="1014">
        <v>480599</v>
      </c>
      <c r="AT280" s="1014">
        <v>211373</v>
      </c>
      <c r="AU280" s="1014">
        <v>82912.3</v>
      </c>
      <c r="AV280" s="1014">
        <v>4679</v>
      </c>
      <c r="AW280" s="1014">
        <v>3124</v>
      </c>
      <c r="AX280" s="250">
        <v>231.56</v>
      </c>
      <c r="AY280" s="250">
        <v>140.05000000000001</v>
      </c>
      <c r="AZ280" s="1014">
        <v>836.82600000000002</v>
      </c>
      <c r="BA280" s="1014">
        <v>354.65100000000001</v>
      </c>
      <c r="BB280" s="1397">
        <v>1844.8</v>
      </c>
      <c r="BC280" s="1014">
        <v>3320.9</v>
      </c>
      <c r="BD280" s="250">
        <v>526.1</v>
      </c>
      <c r="BE280" s="1014">
        <v>5855.22</v>
      </c>
      <c r="BF280" s="1014">
        <v>30770.485964912299</v>
      </c>
      <c r="BG280" s="1014">
        <v>12730.489108912399</v>
      </c>
      <c r="BH280" s="1014">
        <v>5609.36</v>
      </c>
      <c r="BI280" s="250">
        <v>2786400</v>
      </c>
      <c r="BJ280" s="250">
        <v>607</v>
      </c>
      <c r="BK280" s="250">
        <v>21764</v>
      </c>
      <c r="BL280" s="1014">
        <v>3702112</v>
      </c>
      <c r="BM280" s="1014">
        <v>143247</v>
      </c>
      <c r="BN280" s="1014">
        <v>22889</v>
      </c>
      <c r="BO280" s="1014">
        <v>3437800</v>
      </c>
      <c r="BP280" s="1014">
        <v>179159</v>
      </c>
      <c r="BQ280" s="1014">
        <v>20180</v>
      </c>
      <c r="BR280" s="1014">
        <v>9479.2999999999993</v>
      </c>
      <c r="BS280" s="1014">
        <v>6441.6</v>
      </c>
      <c r="BT280" s="1014">
        <v>1237857</v>
      </c>
      <c r="BU280" s="1014">
        <v>701936</v>
      </c>
      <c r="BV280" s="1014">
        <v>787871</v>
      </c>
      <c r="BW280" s="1014">
        <v>496737</v>
      </c>
      <c r="BX280" s="1324">
        <v>0</v>
      </c>
    </row>
    <row r="281" spans="1:76">
      <c r="A281" s="1396">
        <v>45189</v>
      </c>
      <c r="B281" s="718">
        <v>1076.1569999999999</v>
      </c>
      <c r="C281" s="718">
        <v>593.83699999999999</v>
      </c>
      <c r="D281" s="1081">
        <v>6880.3</v>
      </c>
      <c r="E281" s="1311">
        <v>0.6</v>
      </c>
      <c r="F281" s="1014">
        <v>19889</v>
      </c>
      <c r="G281" s="1014">
        <v>6145.7</v>
      </c>
      <c r="H281" s="1014">
        <v>25682</v>
      </c>
      <c r="I281" s="1014">
        <v>12811</v>
      </c>
      <c r="J281" s="1014">
        <v>208971.3</v>
      </c>
      <c r="K281" s="1014">
        <v>14968.1</v>
      </c>
      <c r="L281" s="1014">
        <v>7011.4</v>
      </c>
      <c r="M281" s="1014">
        <v>46196.1</v>
      </c>
      <c r="N281" s="1014">
        <v>36751.4</v>
      </c>
      <c r="O281" s="1014">
        <v>139312</v>
      </c>
      <c r="P281" s="1014">
        <v>115504</v>
      </c>
      <c r="Q281" s="1014">
        <v>141986</v>
      </c>
      <c r="R281" s="1014">
        <v>97425.7</v>
      </c>
      <c r="S281" s="1081">
        <v>14063.6</v>
      </c>
      <c r="T281" s="1081">
        <v>10680.14</v>
      </c>
      <c r="U281" s="1014">
        <v>65661</v>
      </c>
      <c r="V281" s="1014">
        <v>33763</v>
      </c>
      <c r="W281" s="1014">
        <v>214566.39999999999</v>
      </c>
      <c r="X281" s="683">
        <v>345.9</v>
      </c>
      <c r="Y281" s="725">
        <v>50716</v>
      </c>
      <c r="Z281" s="1014">
        <v>616367</v>
      </c>
      <c r="AA281" s="1014">
        <v>313694</v>
      </c>
      <c r="AB281" s="1014">
        <v>214599.3</v>
      </c>
      <c r="AC281" s="683">
        <v>1112.4000000000001</v>
      </c>
      <c r="AD281" s="718">
        <v>942</v>
      </c>
      <c r="AE281" s="1014">
        <v>383.3</v>
      </c>
      <c r="AF281" s="1014">
        <v>280.39999999999998</v>
      </c>
      <c r="AG281" s="1014">
        <v>83518.899999999994</v>
      </c>
      <c r="AH281" s="1014">
        <v>64553.8</v>
      </c>
      <c r="AI281" s="1014">
        <v>71052.5</v>
      </c>
      <c r="AJ281" s="1014">
        <v>58100.5</v>
      </c>
      <c r="AK281" s="1014">
        <v>60926.400000000001</v>
      </c>
      <c r="AL281" s="1014">
        <v>23950.1</v>
      </c>
      <c r="AM281" s="250">
        <v>16.899999999999999</v>
      </c>
      <c r="AN281" s="250">
        <v>18.3</v>
      </c>
      <c r="AO281" s="1014">
        <v>515418</v>
      </c>
      <c r="AP281" s="1014">
        <v>237544</v>
      </c>
      <c r="AQ281" s="1014">
        <v>65813</v>
      </c>
      <c r="AR281" s="1014"/>
      <c r="AS281" s="1014">
        <v>480749</v>
      </c>
      <c r="AT281" s="1014">
        <v>211438</v>
      </c>
      <c r="AU281" s="1014">
        <v>82936.3</v>
      </c>
      <c r="AV281" s="1014">
        <v>4680.7</v>
      </c>
      <c r="AW281" s="1014">
        <v>3125.1</v>
      </c>
      <c r="AX281" s="250">
        <v>231.56</v>
      </c>
      <c r="AY281" s="250">
        <v>140.05000000000001</v>
      </c>
      <c r="AZ281" s="1014">
        <v>837.274</v>
      </c>
      <c r="BA281" s="1014">
        <v>354.82299999999998</v>
      </c>
      <c r="BB281" s="1397">
        <v>1845</v>
      </c>
      <c r="BC281" s="1014">
        <v>3323.3</v>
      </c>
      <c r="BD281" s="1014">
        <v>526.20000000000005</v>
      </c>
      <c r="BE281" s="1014">
        <v>5864.28</v>
      </c>
      <c r="BF281" s="1014">
        <v>34938.535087719298</v>
      </c>
      <c r="BG281" s="1014">
        <v>8781.3130554151794</v>
      </c>
      <c r="BH281" s="1014">
        <v>6065.29</v>
      </c>
      <c r="BI281" s="1014">
        <v>2788000</v>
      </c>
      <c r="BJ281" s="1014">
        <v>608</v>
      </c>
      <c r="BK281" s="1014">
        <v>21775.8</v>
      </c>
      <c r="BL281" s="1014">
        <v>3703989</v>
      </c>
      <c r="BM281" s="1014">
        <v>143511</v>
      </c>
      <c r="BN281" s="1014">
        <v>22899.4</v>
      </c>
      <c r="BO281" s="1014">
        <v>3443164</v>
      </c>
      <c r="BP281" s="1014">
        <v>179277</v>
      </c>
      <c r="BQ281" s="1014">
        <v>20204</v>
      </c>
      <c r="BR281" s="1014">
        <v>9485.4</v>
      </c>
      <c r="BS281" s="1014">
        <v>6445.7</v>
      </c>
      <c r="BT281" s="1014">
        <v>1238221</v>
      </c>
      <c r="BU281" s="1014">
        <v>702154</v>
      </c>
      <c r="BV281" s="1014">
        <v>788932</v>
      </c>
      <c r="BW281" s="1014">
        <v>497396</v>
      </c>
      <c r="BX281" s="1324">
        <v>0.6</v>
      </c>
    </row>
    <row r="282" spans="1:76">
      <c r="A282" s="1396">
        <v>45190</v>
      </c>
      <c r="B282" s="718">
        <v>1076.1569999999999</v>
      </c>
      <c r="C282" s="718">
        <v>593.83699999999999</v>
      </c>
      <c r="D282" s="1081">
        <v>6880.3</v>
      </c>
      <c r="E282" s="1311">
        <v>0</v>
      </c>
      <c r="F282" s="250">
        <v>19901.8</v>
      </c>
      <c r="G282" s="250">
        <v>6145.7</v>
      </c>
      <c r="H282" s="250">
        <v>25842.799999999999</v>
      </c>
      <c r="I282" s="250">
        <v>12891.68</v>
      </c>
      <c r="J282" s="250">
        <v>208995.3</v>
      </c>
      <c r="K282" s="1014">
        <v>14968.2</v>
      </c>
      <c r="L282" s="1014">
        <v>7011.4</v>
      </c>
      <c r="M282" s="1014">
        <v>46196.1</v>
      </c>
      <c r="N282" s="1014">
        <v>36751.4</v>
      </c>
      <c r="O282" s="250">
        <v>139323.12</v>
      </c>
      <c r="P282" s="250">
        <v>115513.13</v>
      </c>
      <c r="Q282" s="250">
        <v>142001.60000000001</v>
      </c>
      <c r="R282" s="250">
        <v>97435.94</v>
      </c>
      <c r="S282" s="1081">
        <v>14063.6</v>
      </c>
      <c r="T282" s="1081">
        <v>10680.14</v>
      </c>
      <c r="U282" s="250">
        <v>65955.679999999993</v>
      </c>
      <c r="V282" s="250">
        <v>33908.019999999997</v>
      </c>
      <c r="W282" s="250">
        <v>214590.4</v>
      </c>
      <c r="X282" s="683">
        <v>345.9</v>
      </c>
      <c r="Y282" s="725">
        <v>50716</v>
      </c>
      <c r="Z282" s="250">
        <v>616514.92000000004</v>
      </c>
      <c r="AA282" s="250">
        <v>313770.90999999997</v>
      </c>
      <c r="AB282" s="250">
        <v>214623.3</v>
      </c>
      <c r="AC282" s="683">
        <v>1112.4000000000001</v>
      </c>
      <c r="AD282" s="718">
        <v>942</v>
      </c>
      <c r="AE282" s="250">
        <v>386.68</v>
      </c>
      <c r="AF282" s="250">
        <v>282.86</v>
      </c>
      <c r="AG282" s="250">
        <v>83526.8</v>
      </c>
      <c r="AH282" s="250">
        <v>64559.81</v>
      </c>
      <c r="AI282" s="250">
        <v>71090.570000000007</v>
      </c>
      <c r="AJ282" s="250">
        <v>58133.46</v>
      </c>
      <c r="AK282" s="250">
        <v>60937.2</v>
      </c>
      <c r="AL282" s="250">
        <v>23954.3</v>
      </c>
      <c r="AM282" s="250">
        <v>17</v>
      </c>
      <c r="AN282" s="250">
        <v>18.399999999999999</v>
      </c>
      <c r="AO282" s="250">
        <v>515582</v>
      </c>
      <c r="AP282" s="250">
        <v>237618.6</v>
      </c>
      <c r="AQ282" s="250">
        <v>65818.679000000004</v>
      </c>
      <c r="AR282" s="250"/>
      <c r="AS282" s="250">
        <v>480898.69</v>
      </c>
      <c r="AT282" s="250">
        <v>211502.43</v>
      </c>
      <c r="AU282" s="250">
        <v>82960.3</v>
      </c>
      <c r="AV282" s="250">
        <v>4682.6499999999996</v>
      </c>
      <c r="AW282" s="250">
        <v>3126.53</v>
      </c>
      <c r="AX282" s="250">
        <v>231.56</v>
      </c>
      <c r="AY282" s="250">
        <v>140.05000000000001</v>
      </c>
      <c r="AZ282" s="1014">
        <v>837.274</v>
      </c>
      <c r="BA282" s="1014">
        <v>354.82299999999998</v>
      </c>
      <c r="BB282" s="1397">
        <v>1845</v>
      </c>
      <c r="BC282" s="250">
        <v>3325.7</v>
      </c>
      <c r="BD282" s="250">
        <v>526.4</v>
      </c>
      <c r="BE282" s="250">
        <v>5680.89</v>
      </c>
      <c r="BF282" s="250">
        <v>34527.9157894737</v>
      </c>
      <c r="BG282" s="250">
        <v>6247.6284898617796</v>
      </c>
      <c r="BH282" s="250">
        <v>5612.56</v>
      </c>
      <c r="BI282" s="250">
        <v>2790350</v>
      </c>
      <c r="BJ282" s="250">
        <v>609</v>
      </c>
      <c r="BK282" s="250">
        <v>21799.78</v>
      </c>
      <c r="BL282" s="1014">
        <v>3703989</v>
      </c>
      <c r="BM282" s="1014">
        <v>143511</v>
      </c>
      <c r="BN282" s="1014">
        <v>22899.4</v>
      </c>
      <c r="BO282" s="250">
        <v>3449164</v>
      </c>
      <c r="BP282" s="250">
        <v>179366</v>
      </c>
      <c r="BQ282" s="250">
        <v>20228</v>
      </c>
      <c r="BR282" s="250">
        <v>9491.64</v>
      </c>
      <c r="BS282" s="250">
        <v>6449.77</v>
      </c>
      <c r="BT282" s="250">
        <v>1238642</v>
      </c>
      <c r="BU282" s="250">
        <v>702405</v>
      </c>
      <c r="BV282" s="250">
        <v>790006</v>
      </c>
      <c r="BW282" s="250">
        <v>498065</v>
      </c>
      <c r="BX282" s="1324">
        <v>0</v>
      </c>
    </row>
    <row r="283" spans="1:76">
      <c r="A283" s="1396">
        <v>45191</v>
      </c>
      <c r="B283" s="718">
        <v>1076.1569999999999</v>
      </c>
      <c r="C283" s="718">
        <v>593.83699999999999</v>
      </c>
      <c r="D283" s="1081">
        <v>6880.3</v>
      </c>
      <c r="E283" s="1311">
        <v>0</v>
      </c>
      <c r="F283" s="1014">
        <v>19913.8</v>
      </c>
      <c r="G283" s="1081">
        <v>6145.8</v>
      </c>
      <c r="H283" s="1081">
        <v>26006.77</v>
      </c>
      <c r="I283" s="1081">
        <v>12973.69</v>
      </c>
      <c r="J283" s="1081">
        <v>209019.3</v>
      </c>
      <c r="K283" s="1014">
        <v>14968.2</v>
      </c>
      <c r="L283" s="1014">
        <v>7011.4</v>
      </c>
      <c r="M283" s="1014">
        <v>46196.1</v>
      </c>
      <c r="N283" s="1014">
        <v>36751.4</v>
      </c>
      <c r="O283" s="1081">
        <v>139334.1</v>
      </c>
      <c r="P283" s="1081">
        <v>115522.17</v>
      </c>
      <c r="Q283" s="1081">
        <v>142016.84</v>
      </c>
      <c r="R283" s="1081">
        <v>97446.25</v>
      </c>
      <c r="S283" s="1081">
        <v>14063.6</v>
      </c>
      <c r="T283" s="1081">
        <v>10680.14</v>
      </c>
      <c r="U283" s="1081">
        <v>66247.45</v>
      </c>
      <c r="V283" s="1081">
        <v>34054.54</v>
      </c>
      <c r="W283" s="1081">
        <v>214614.39999999999</v>
      </c>
      <c r="X283" s="683">
        <v>345.9</v>
      </c>
      <c r="Y283" s="725">
        <v>50716</v>
      </c>
      <c r="Z283" s="1081">
        <v>616665.71</v>
      </c>
      <c r="AA283" s="1081">
        <v>313847.32</v>
      </c>
      <c r="AB283" s="1081">
        <v>214647.3</v>
      </c>
      <c r="AC283" s="683">
        <v>1112.4000000000001</v>
      </c>
      <c r="AD283" s="718">
        <v>942</v>
      </c>
      <c r="AE283" s="1081">
        <v>390.15</v>
      </c>
      <c r="AF283" s="1081">
        <v>285.37</v>
      </c>
      <c r="AG283" s="1081">
        <v>83533.67</v>
      </c>
      <c r="AH283" s="1081">
        <v>64565.1</v>
      </c>
      <c r="AI283" s="1081">
        <v>71130.2</v>
      </c>
      <c r="AJ283" s="1081">
        <v>58167.46</v>
      </c>
      <c r="AK283" s="1081">
        <v>60940.5</v>
      </c>
      <c r="AL283" s="1081">
        <v>23955.5</v>
      </c>
      <c r="AM283" s="250">
        <v>17</v>
      </c>
      <c r="AN283" s="250">
        <v>18.399999999999999</v>
      </c>
      <c r="AO283" s="1081">
        <v>515753.3</v>
      </c>
      <c r="AP283" s="1081">
        <v>237695.4</v>
      </c>
      <c r="AQ283" s="1081">
        <v>65823.850000000006</v>
      </c>
      <c r="AR283" s="1081"/>
      <c r="AS283" s="1081">
        <v>481050.43</v>
      </c>
      <c r="AT283" s="1081">
        <v>211567.94</v>
      </c>
      <c r="AU283" s="1081">
        <v>82984.3</v>
      </c>
      <c r="AV283" s="1081">
        <v>4684.66</v>
      </c>
      <c r="AW283" s="1081">
        <v>3127.95</v>
      </c>
      <c r="AX283" s="250">
        <v>231.56</v>
      </c>
      <c r="AY283" s="250">
        <v>140.05000000000001</v>
      </c>
      <c r="AZ283" s="1014">
        <v>837.274</v>
      </c>
      <c r="BA283" s="1014">
        <v>354.82299999999998</v>
      </c>
      <c r="BB283" s="1397">
        <v>1845</v>
      </c>
      <c r="BC283" s="1081">
        <v>3328.2</v>
      </c>
      <c r="BD283" s="250">
        <v>526.6</v>
      </c>
      <c r="BE283" s="1081">
        <v>5548.73</v>
      </c>
      <c r="BF283" s="1081">
        <v>34052.350877192999</v>
      </c>
      <c r="BG283" s="1081">
        <v>10563.0620461739</v>
      </c>
      <c r="BH283" s="1081">
        <v>6375.6</v>
      </c>
      <c r="BI283" s="1081">
        <v>2792592.6</v>
      </c>
      <c r="BJ283" s="250">
        <v>610</v>
      </c>
      <c r="BK283" s="1081">
        <v>21823</v>
      </c>
      <c r="BL283" s="1014">
        <v>3705896</v>
      </c>
      <c r="BM283" s="1014">
        <v>143827</v>
      </c>
      <c r="BN283" s="1014">
        <v>22908.06</v>
      </c>
      <c r="BO283" s="1081">
        <v>3452812</v>
      </c>
      <c r="BP283" s="1081">
        <v>179401</v>
      </c>
      <c r="BQ283" s="1081">
        <v>20242.73</v>
      </c>
      <c r="BR283" s="1081">
        <v>9497.2099999999991</v>
      </c>
      <c r="BS283" s="1081">
        <v>6453.59</v>
      </c>
      <c r="BT283" s="1081">
        <v>1239015</v>
      </c>
      <c r="BU283" s="1081">
        <v>702634</v>
      </c>
      <c r="BV283" s="1081">
        <v>791143</v>
      </c>
      <c r="BW283" s="1081">
        <v>498776</v>
      </c>
      <c r="BX283" s="1324">
        <v>0</v>
      </c>
    </row>
    <row r="284" spans="1:76" s="336" customFormat="1">
      <c r="A284" s="1396">
        <v>45192</v>
      </c>
      <c r="B284" s="718">
        <v>1076.1569999999999</v>
      </c>
      <c r="C284" s="718">
        <v>593.83699999999999</v>
      </c>
      <c r="D284" s="1081">
        <v>6880.3</v>
      </c>
      <c r="E284" s="1311">
        <v>0</v>
      </c>
      <c r="F284" s="250">
        <v>19924.099999999999</v>
      </c>
      <c r="G284" s="250">
        <v>6145.9</v>
      </c>
      <c r="H284" s="250">
        <v>26171.4</v>
      </c>
      <c r="I284" s="250">
        <v>13054.7</v>
      </c>
      <c r="J284" s="250">
        <v>209043.3</v>
      </c>
      <c r="K284" s="1014">
        <v>14968.3</v>
      </c>
      <c r="L284" s="1014">
        <v>7011.4</v>
      </c>
      <c r="M284" s="1014">
        <v>46196.1</v>
      </c>
      <c r="N284" s="1014">
        <v>36751.4</v>
      </c>
      <c r="O284" s="250">
        <v>139346.68</v>
      </c>
      <c r="P284" s="250">
        <v>115532.34</v>
      </c>
      <c r="Q284" s="250">
        <v>142031.19</v>
      </c>
      <c r="R284" s="250">
        <v>97456.21</v>
      </c>
      <c r="S284" s="1081">
        <v>14063.6</v>
      </c>
      <c r="T284" s="1081">
        <v>10680.14</v>
      </c>
      <c r="U284" s="250">
        <v>66571.19</v>
      </c>
      <c r="V284" s="250">
        <v>34216</v>
      </c>
      <c r="W284" s="250">
        <v>214638.4</v>
      </c>
      <c r="X284" s="683">
        <v>345.9</v>
      </c>
      <c r="Y284" s="725">
        <v>50716</v>
      </c>
      <c r="Z284" s="250">
        <v>616784.75</v>
      </c>
      <c r="AA284" s="250">
        <v>313909.7</v>
      </c>
      <c r="AB284" s="250">
        <v>214671.3</v>
      </c>
      <c r="AC284" s="683">
        <v>1112.4000000000001</v>
      </c>
      <c r="AD284" s="718">
        <v>942</v>
      </c>
      <c r="AE284" s="250">
        <v>393.56</v>
      </c>
      <c r="AF284" s="250">
        <v>287.83999999999997</v>
      </c>
      <c r="AG284" s="250">
        <v>83540.52</v>
      </c>
      <c r="AH284" s="250">
        <v>64570.22</v>
      </c>
      <c r="AI284" s="250">
        <v>71167.899999999994</v>
      </c>
      <c r="AJ284" s="250">
        <v>58200.06</v>
      </c>
      <c r="AK284" s="250">
        <v>60949.5</v>
      </c>
      <c r="AL284" s="250">
        <v>23958.799999999999</v>
      </c>
      <c r="AM284" s="250">
        <v>17</v>
      </c>
      <c r="AN284" s="250">
        <v>18.399999999999999</v>
      </c>
      <c r="AO284" s="250">
        <v>515919.7</v>
      </c>
      <c r="AP284" s="250">
        <v>237770.6</v>
      </c>
      <c r="AQ284" s="250">
        <v>65828.453999999998</v>
      </c>
      <c r="AR284" s="250"/>
      <c r="AS284" s="250">
        <v>481200.8</v>
      </c>
      <c r="AT284" s="250">
        <v>211632.9</v>
      </c>
      <c r="AU284" s="250">
        <v>83008.3</v>
      </c>
      <c r="AV284" s="250">
        <v>4686.67</v>
      </c>
      <c r="AW284" s="250">
        <v>3129.37</v>
      </c>
      <c r="AX284" s="250">
        <v>231.63</v>
      </c>
      <c r="AY284" s="250">
        <v>140.1</v>
      </c>
      <c r="AZ284" s="1014">
        <v>837.274</v>
      </c>
      <c r="BA284" s="1014">
        <v>354.82299999999998</v>
      </c>
      <c r="BB284" s="1397">
        <v>1845</v>
      </c>
      <c r="BC284" s="250">
        <v>3330.7</v>
      </c>
      <c r="BD284" s="250">
        <v>526.70000000000005</v>
      </c>
      <c r="BE284" s="250">
        <v>5342.37</v>
      </c>
      <c r="BF284" s="250">
        <v>35127.045614035102</v>
      </c>
      <c r="BG284" s="250">
        <v>10942.0351173114</v>
      </c>
      <c r="BH284" s="250">
        <v>6200.37</v>
      </c>
      <c r="BI284" s="250">
        <v>2794776.6</v>
      </c>
      <c r="BJ284" s="250">
        <v>611</v>
      </c>
      <c r="BK284" s="250">
        <v>21847</v>
      </c>
      <c r="BL284" s="1014">
        <v>3710968</v>
      </c>
      <c r="BM284" s="1014">
        <v>144878</v>
      </c>
      <c r="BN284" s="1014">
        <v>22932.1</v>
      </c>
      <c r="BO284" s="1081">
        <v>3452812</v>
      </c>
      <c r="BP284" s="1081">
        <v>179401</v>
      </c>
      <c r="BQ284" s="1081">
        <v>20242.73</v>
      </c>
      <c r="BR284" s="250">
        <v>9501.7000000000007</v>
      </c>
      <c r="BS284" s="250">
        <v>6456.89</v>
      </c>
      <c r="BT284" s="250">
        <v>1239400</v>
      </c>
      <c r="BU284" s="250">
        <v>702870</v>
      </c>
      <c r="BV284" s="250">
        <v>792221</v>
      </c>
      <c r="BW284" s="250">
        <v>499455</v>
      </c>
      <c r="BX284" s="1324">
        <v>0</v>
      </c>
    </row>
    <row r="285" spans="1:76">
      <c r="A285" s="1396">
        <v>45193</v>
      </c>
      <c r="B285" s="718">
        <v>1076.1569999999999</v>
      </c>
      <c r="C285" s="718">
        <v>593.83699999999999</v>
      </c>
      <c r="D285" s="1081">
        <v>6880.3</v>
      </c>
      <c r="E285" s="1311">
        <v>0</v>
      </c>
      <c r="F285" s="250">
        <v>19934.8</v>
      </c>
      <c r="G285" s="250">
        <v>6146.1</v>
      </c>
      <c r="H285" s="250">
        <v>26338.1</v>
      </c>
      <c r="I285" s="250">
        <v>13137</v>
      </c>
      <c r="J285" s="250">
        <v>209067.3</v>
      </c>
      <c r="K285" s="1014">
        <v>14968.3</v>
      </c>
      <c r="L285" s="1014">
        <v>7011.4</v>
      </c>
      <c r="M285" s="1014">
        <v>46196.1</v>
      </c>
      <c r="N285" s="1014">
        <v>36751.4</v>
      </c>
      <c r="O285" s="250">
        <v>139359.34</v>
      </c>
      <c r="P285" s="250">
        <v>115542.37</v>
      </c>
      <c r="Q285" s="250">
        <v>142045.54999999999</v>
      </c>
      <c r="R285" s="250">
        <v>97466.25</v>
      </c>
      <c r="S285" s="1081">
        <v>14063.6</v>
      </c>
      <c r="T285" s="1081">
        <v>10680.14</v>
      </c>
      <c r="U285" s="250">
        <v>66957.240000000005</v>
      </c>
      <c r="V285" s="250">
        <v>34414</v>
      </c>
      <c r="W285" s="250">
        <v>214662.39999999999</v>
      </c>
      <c r="X285" s="683">
        <v>345.9</v>
      </c>
      <c r="Y285" s="725">
        <v>50716</v>
      </c>
      <c r="Z285" s="250">
        <v>616848.5</v>
      </c>
      <c r="AA285" s="250">
        <v>313940.53000000003</v>
      </c>
      <c r="AB285" s="250">
        <v>214695.3</v>
      </c>
      <c r="AC285" s="683">
        <v>1112.4000000000001</v>
      </c>
      <c r="AD285" s="718">
        <v>942</v>
      </c>
      <c r="AE285" s="250">
        <v>396.9</v>
      </c>
      <c r="AF285" s="250">
        <v>290.3</v>
      </c>
      <c r="AG285" s="250">
        <v>83546.8</v>
      </c>
      <c r="AH285" s="250">
        <v>64575.040000000001</v>
      </c>
      <c r="AI285" s="250">
        <v>71205.539999999994</v>
      </c>
      <c r="AJ285" s="250">
        <v>58232.65</v>
      </c>
      <c r="AK285" s="250">
        <v>60960.6</v>
      </c>
      <c r="AL285" s="250">
        <v>23963.200000000001</v>
      </c>
      <c r="AM285" s="250">
        <v>17</v>
      </c>
      <c r="AN285" s="250">
        <v>18.399999999999999</v>
      </c>
      <c r="AO285" s="250">
        <v>516089.1</v>
      </c>
      <c r="AP285" s="250">
        <v>237847.5</v>
      </c>
      <c r="AQ285" s="250">
        <v>65833.043999999994</v>
      </c>
      <c r="AR285" s="250"/>
      <c r="AS285" s="250">
        <v>481351.3</v>
      </c>
      <c r="AT285" s="250">
        <v>211698</v>
      </c>
      <c r="AU285" s="250">
        <v>83032.3</v>
      </c>
      <c r="AV285" s="250">
        <v>4688.72</v>
      </c>
      <c r="AW285" s="250">
        <v>3130.82</v>
      </c>
      <c r="AX285" s="250">
        <v>231.64</v>
      </c>
      <c r="AY285" s="250">
        <v>140.11000000000001</v>
      </c>
      <c r="AZ285" s="1014">
        <v>837.274</v>
      </c>
      <c r="BA285" s="1014">
        <v>354.82299999999998</v>
      </c>
      <c r="BB285" s="1397">
        <v>1845</v>
      </c>
      <c r="BC285" s="250">
        <v>3333.2</v>
      </c>
      <c r="BD285" s="250">
        <v>526.79999999999995</v>
      </c>
      <c r="BE285" s="250">
        <v>4595.74</v>
      </c>
      <c r="BF285" s="250">
        <v>34779.289473684199</v>
      </c>
      <c r="BG285" s="250">
        <v>9806.2753935745495</v>
      </c>
      <c r="BH285" s="250">
        <v>5472.45</v>
      </c>
      <c r="BI285" s="250">
        <v>2798064.6</v>
      </c>
      <c r="BJ285" s="250">
        <v>612</v>
      </c>
      <c r="BK285" s="250">
        <v>21871</v>
      </c>
      <c r="BL285" s="1014">
        <v>3716405</v>
      </c>
      <c r="BM285" s="1014">
        <v>145717</v>
      </c>
      <c r="BN285" s="1014">
        <v>22956</v>
      </c>
      <c r="BO285" s="1081">
        <v>3452812</v>
      </c>
      <c r="BP285" s="1081">
        <v>179401</v>
      </c>
      <c r="BQ285" s="1081">
        <v>20242.73</v>
      </c>
      <c r="BR285" s="250">
        <v>9506.15</v>
      </c>
      <c r="BS285" s="250">
        <v>6460.12</v>
      </c>
      <c r="BT285" s="250">
        <v>1239776</v>
      </c>
      <c r="BU285" s="250">
        <v>703099</v>
      </c>
      <c r="BV285" s="250">
        <v>793315</v>
      </c>
      <c r="BW285" s="250">
        <v>500141</v>
      </c>
      <c r="BX285" s="1324">
        <v>0</v>
      </c>
    </row>
    <row r="286" spans="1:76">
      <c r="A286" s="1396">
        <v>45194</v>
      </c>
      <c r="B286" s="718">
        <v>1076.4570000000001</v>
      </c>
      <c r="C286" s="718">
        <v>593.98599999999999</v>
      </c>
      <c r="D286" s="1081">
        <v>6881.1</v>
      </c>
      <c r="E286" s="1311">
        <v>0.3</v>
      </c>
      <c r="F286" s="250">
        <v>19944.7</v>
      </c>
      <c r="G286" s="250">
        <v>6146.2</v>
      </c>
      <c r="H286" s="250">
        <v>26499.4</v>
      </c>
      <c r="I286" s="250">
        <v>13217.8</v>
      </c>
      <c r="J286" s="250">
        <v>209091.3</v>
      </c>
      <c r="K286" s="1014">
        <v>14968.4</v>
      </c>
      <c r="L286" s="1014">
        <v>7011.4</v>
      </c>
      <c r="M286" s="1014">
        <v>46196.1</v>
      </c>
      <c r="N286" s="1014">
        <v>36751.4</v>
      </c>
      <c r="O286" s="250">
        <v>139371.65</v>
      </c>
      <c r="P286" s="250">
        <v>115552.06</v>
      </c>
      <c r="Q286" s="250">
        <v>142060.78</v>
      </c>
      <c r="R286" s="250">
        <v>97476.5</v>
      </c>
      <c r="S286" s="1081">
        <v>14063.6</v>
      </c>
      <c r="T286" s="1081">
        <v>10680.14</v>
      </c>
      <c r="U286" s="250">
        <v>67201.56</v>
      </c>
      <c r="V286" s="250">
        <v>34543</v>
      </c>
      <c r="W286" s="250">
        <v>214686.4</v>
      </c>
      <c r="X286" s="683">
        <v>345.9</v>
      </c>
      <c r="Y286" s="725">
        <v>50716</v>
      </c>
      <c r="Z286" s="250">
        <v>617046.69999999995</v>
      </c>
      <c r="AA286" s="250">
        <v>314035.03000000003</v>
      </c>
      <c r="AB286" s="250">
        <v>214719.3</v>
      </c>
      <c r="AC286" s="683">
        <v>1112.4000000000001</v>
      </c>
      <c r="AD286" s="718">
        <v>942</v>
      </c>
      <c r="AE286" s="250">
        <v>400.18</v>
      </c>
      <c r="AF286" s="250">
        <v>292.70999999999998</v>
      </c>
      <c r="AG286" s="250">
        <v>83554.61</v>
      </c>
      <c r="AH286" s="250">
        <v>64581.09</v>
      </c>
      <c r="AI286" s="250">
        <v>71242.820000000007</v>
      </c>
      <c r="AJ286" s="250">
        <v>58264.85</v>
      </c>
      <c r="AK286" s="250">
        <v>60970.6</v>
      </c>
      <c r="AL286" s="250">
        <v>23967.1</v>
      </c>
      <c r="AM286" s="250">
        <v>17</v>
      </c>
      <c r="AN286" s="250">
        <v>18.399999999999999</v>
      </c>
      <c r="AO286" s="250">
        <v>516258</v>
      </c>
      <c r="AP286" s="250">
        <v>237923.7</v>
      </c>
      <c r="AQ286" s="250">
        <v>65838.512000000002</v>
      </c>
      <c r="AR286" s="250"/>
      <c r="AS286" s="250">
        <v>481500.19</v>
      </c>
      <c r="AT286" s="250">
        <v>211762.23</v>
      </c>
      <c r="AU286" s="250">
        <v>83056.3</v>
      </c>
      <c r="AV286" s="250">
        <v>4690.7700000000004</v>
      </c>
      <c r="AW286" s="250">
        <v>3132.26</v>
      </c>
      <c r="AX286" s="250">
        <v>231.64</v>
      </c>
      <c r="AY286" s="250">
        <v>140.11000000000001</v>
      </c>
      <c r="AZ286" s="1014">
        <v>837.60599999999999</v>
      </c>
      <c r="BA286" s="1014">
        <v>354.95</v>
      </c>
      <c r="BB286" s="1397">
        <v>1845.7</v>
      </c>
      <c r="BC286" s="250">
        <v>3335.7</v>
      </c>
      <c r="BD286" s="250">
        <v>527</v>
      </c>
      <c r="BE286" s="250">
        <v>4765.4799999999996</v>
      </c>
      <c r="BF286" s="250">
        <v>34984.589473684202</v>
      </c>
      <c r="BG286" s="250">
        <v>10632.747434044701</v>
      </c>
      <c r="BH286" s="250">
        <v>5096.93</v>
      </c>
      <c r="BI286" s="250">
        <v>2800536.6</v>
      </c>
      <c r="BJ286" s="250">
        <v>613</v>
      </c>
      <c r="BK286" s="250">
        <v>21895</v>
      </c>
      <c r="BL286" s="1014">
        <v>3721468</v>
      </c>
      <c r="BM286" s="1014">
        <v>146707</v>
      </c>
      <c r="BN286" s="1014">
        <v>22980</v>
      </c>
      <c r="BO286" s="1081">
        <v>3452812</v>
      </c>
      <c r="BP286" s="1081">
        <v>179401</v>
      </c>
      <c r="BQ286" s="1081">
        <v>20242.73</v>
      </c>
      <c r="BR286" s="250">
        <v>9510.48</v>
      </c>
      <c r="BS286" s="250">
        <v>6463.26</v>
      </c>
      <c r="BT286" s="250">
        <v>1240117</v>
      </c>
      <c r="BU286" s="250">
        <v>703310</v>
      </c>
      <c r="BV286" s="250">
        <v>794402</v>
      </c>
      <c r="BW286" s="250">
        <v>500820</v>
      </c>
      <c r="BX286" s="1324">
        <v>0.3</v>
      </c>
    </row>
    <row r="287" spans="1:76">
      <c r="A287" s="1396">
        <v>45195</v>
      </c>
      <c r="B287" s="718">
        <v>1076.4570000000001</v>
      </c>
      <c r="C287" s="718">
        <v>593.98599999999999</v>
      </c>
      <c r="D287" s="1081">
        <v>6881.1</v>
      </c>
      <c r="E287" s="1311">
        <v>0</v>
      </c>
      <c r="F287" s="250">
        <v>19955</v>
      </c>
      <c r="G287" s="250">
        <v>6146.4</v>
      </c>
      <c r="H287" s="250">
        <v>26663.119999999999</v>
      </c>
      <c r="I287" s="250">
        <v>13299.751</v>
      </c>
      <c r="J287" s="250">
        <v>209115.3</v>
      </c>
      <c r="K287" s="1014">
        <v>14968.4</v>
      </c>
      <c r="L287" s="1014">
        <v>7011.4</v>
      </c>
      <c r="M287" s="1014">
        <v>46196.1</v>
      </c>
      <c r="N287" s="1014">
        <v>36751.4</v>
      </c>
      <c r="O287" s="250">
        <v>139383.79</v>
      </c>
      <c r="P287" s="250">
        <v>115561.76</v>
      </c>
      <c r="Q287" s="250">
        <v>142076.72</v>
      </c>
      <c r="R287" s="250">
        <v>97487.26</v>
      </c>
      <c r="S287" s="1081">
        <v>14063.6</v>
      </c>
      <c r="T287" s="1081">
        <v>10680.14</v>
      </c>
      <c r="U287" s="250">
        <v>67576.804999999993</v>
      </c>
      <c r="V287" s="250">
        <v>34737.584999999999</v>
      </c>
      <c r="W287" s="250">
        <v>214710.39999999999</v>
      </c>
      <c r="X287" s="683">
        <v>345.9</v>
      </c>
      <c r="Y287" s="725">
        <v>50716</v>
      </c>
      <c r="Z287" s="250">
        <v>617116.5</v>
      </c>
      <c r="AA287" s="250">
        <v>314068.65999999997</v>
      </c>
      <c r="AB287" s="250">
        <v>214731</v>
      </c>
      <c r="AC287" s="683">
        <v>1112.4000000000001</v>
      </c>
      <c r="AD287" s="718">
        <v>942</v>
      </c>
      <c r="AE287" s="250">
        <v>403.28</v>
      </c>
      <c r="AF287" s="250">
        <v>294.92</v>
      </c>
      <c r="AG287" s="250">
        <v>83563.17</v>
      </c>
      <c r="AH287" s="250">
        <v>64587.61</v>
      </c>
      <c r="AI287" s="250">
        <v>71281.7</v>
      </c>
      <c r="AJ287" s="250">
        <v>58298.36</v>
      </c>
      <c r="AK287" s="250">
        <v>60976.7</v>
      </c>
      <c r="AL287" s="250">
        <v>23969.5</v>
      </c>
      <c r="AM287" s="250">
        <v>17</v>
      </c>
      <c r="AN287" s="250">
        <v>18.399999999999999</v>
      </c>
      <c r="AO287" s="250">
        <v>516424.7</v>
      </c>
      <c r="AP287" s="250">
        <v>237999.2</v>
      </c>
      <c r="AQ287" s="250">
        <v>65844.205000000002</v>
      </c>
      <c r="AR287" s="250"/>
      <c r="AS287" s="250">
        <v>481650.39</v>
      </c>
      <c r="AT287" s="250">
        <v>211827.16</v>
      </c>
      <c r="AU287" s="250">
        <v>83080.3</v>
      </c>
      <c r="AV287" s="250">
        <v>4692.8599999999997</v>
      </c>
      <c r="AW287" s="250">
        <v>3133.75</v>
      </c>
      <c r="AX287" s="250">
        <v>231.68</v>
      </c>
      <c r="AY287" s="250">
        <v>140.13</v>
      </c>
      <c r="AZ287" s="1014">
        <v>840.15599999999995</v>
      </c>
      <c r="BA287" s="1014">
        <v>355.92200000000003</v>
      </c>
      <c r="BB287" s="1397">
        <v>1849</v>
      </c>
      <c r="BC287" s="250">
        <v>3338.2</v>
      </c>
      <c r="BD287" s="250">
        <v>527.1</v>
      </c>
      <c r="BE287" s="250">
        <v>5020.8</v>
      </c>
      <c r="BF287" s="250">
        <v>34718.557894736798</v>
      </c>
      <c r="BG287" s="250">
        <v>10225.7200892211</v>
      </c>
      <c r="BH287" s="250">
        <v>5489.03</v>
      </c>
      <c r="BI287" s="250">
        <v>2803104.6</v>
      </c>
      <c r="BJ287" s="250">
        <v>614</v>
      </c>
      <c r="BK287" s="250">
        <v>21919</v>
      </c>
      <c r="BL287" s="1014">
        <v>3726657</v>
      </c>
      <c r="BM287" s="1014">
        <v>147639</v>
      </c>
      <c r="BN287" s="1014">
        <v>23004</v>
      </c>
      <c r="BO287" s="1081">
        <v>3452812</v>
      </c>
      <c r="BP287" s="1081">
        <v>179401</v>
      </c>
      <c r="BQ287" s="1081">
        <v>20242.73</v>
      </c>
      <c r="BR287" s="250">
        <v>9514.84</v>
      </c>
      <c r="BS287" s="250">
        <v>6466.39</v>
      </c>
      <c r="BT287" s="250">
        <v>1240558</v>
      </c>
      <c r="BU287" s="250">
        <v>703579</v>
      </c>
      <c r="BV287" s="250">
        <v>795516</v>
      </c>
      <c r="BW287" s="250">
        <v>501517</v>
      </c>
      <c r="BX287" s="1324">
        <v>2.5</v>
      </c>
    </row>
    <row r="288" spans="1:76">
      <c r="A288" s="1396">
        <v>45196</v>
      </c>
      <c r="B288" s="718">
        <v>1076.4570000000001</v>
      </c>
      <c r="C288" s="718">
        <v>593.98599999999999</v>
      </c>
      <c r="D288" s="1081">
        <v>6881.1</v>
      </c>
      <c r="E288" s="1311">
        <v>0</v>
      </c>
      <c r="F288" s="250">
        <v>19965.5</v>
      </c>
      <c r="G288" s="250">
        <v>6146.5</v>
      </c>
      <c r="H288" s="250">
        <v>26825.589</v>
      </c>
      <c r="I288" s="250">
        <v>13380.183000000001</v>
      </c>
      <c r="J288" s="250">
        <v>209139.3</v>
      </c>
      <c r="K288" s="1014">
        <v>14968.4</v>
      </c>
      <c r="L288" s="1014">
        <v>7011.4</v>
      </c>
      <c r="M288" s="1014">
        <v>46196.1</v>
      </c>
      <c r="N288" s="1014">
        <v>36751.4</v>
      </c>
      <c r="O288" s="250">
        <v>139396</v>
      </c>
      <c r="P288" s="250">
        <v>115571</v>
      </c>
      <c r="Q288" s="250">
        <v>142092</v>
      </c>
      <c r="R288" s="250">
        <v>97497.5</v>
      </c>
      <c r="S288" s="1081">
        <v>14063.6</v>
      </c>
      <c r="T288" s="1081">
        <v>10680.14</v>
      </c>
      <c r="U288" s="250">
        <v>68009.945000000007</v>
      </c>
      <c r="V288" s="250">
        <v>34964</v>
      </c>
      <c r="W288" s="250">
        <v>214734.4</v>
      </c>
      <c r="X288" s="683">
        <v>345.9</v>
      </c>
      <c r="Y288" s="725">
        <v>50716</v>
      </c>
      <c r="Z288" s="250">
        <v>617116.5</v>
      </c>
      <c r="AA288" s="250">
        <v>314068.65999999997</v>
      </c>
      <c r="AB288" s="250">
        <v>214731</v>
      </c>
      <c r="AC288" s="683">
        <v>1112.4000000000001</v>
      </c>
      <c r="AD288" s="718">
        <v>942</v>
      </c>
      <c r="AE288" s="250">
        <v>405.89</v>
      </c>
      <c r="AF288" s="250">
        <v>296.75</v>
      </c>
      <c r="AG288" s="250">
        <v>83572.899999999994</v>
      </c>
      <c r="AH288" s="250">
        <v>64595.1</v>
      </c>
      <c r="AI288" s="250">
        <v>71320.600000000006</v>
      </c>
      <c r="AJ288" s="250">
        <v>58331.6</v>
      </c>
      <c r="AK288" s="250">
        <v>60990.5</v>
      </c>
      <c r="AL288" s="250">
        <v>23975</v>
      </c>
      <c r="AM288" s="250">
        <v>17</v>
      </c>
      <c r="AN288" s="250">
        <v>18.399999999999999</v>
      </c>
      <c r="AO288" s="250">
        <v>516581</v>
      </c>
      <c r="AP288" s="250">
        <v>238070</v>
      </c>
      <c r="AQ288" s="250">
        <v>65849.899999999994</v>
      </c>
      <c r="AR288" s="250"/>
      <c r="AS288" s="250">
        <v>481796</v>
      </c>
      <c r="AT288" s="250">
        <v>211890</v>
      </c>
      <c r="AU288" s="250">
        <v>83104.3</v>
      </c>
      <c r="AV288" s="250">
        <v>4694.8999999999996</v>
      </c>
      <c r="AW288" s="250">
        <v>3135.2</v>
      </c>
      <c r="AX288" s="250">
        <v>231.68</v>
      </c>
      <c r="AY288" s="250">
        <v>140.13</v>
      </c>
      <c r="AZ288" s="1081">
        <v>849.47900000000004</v>
      </c>
      <c r="BA288" s="1081">
        <v>359.47300000000001</v>
      </c>
      <c r="BB288" s="1398">
        <v>1860.3</v>
      </c>
      <c r="BC288" s="250">
        <v>3340.6</v>
      </c>
      <c r="BD288" s="250">
        <v>527.29999999999995</v>
      </c>
      <c r="BE288" s="250">
        <v>4232.84</v>
      </c>
      <c r="BF288" s="250">
        <v>34974.731578947401</v>
      </c>
      <c r="BG288" s="250">
        <v>10571.284680663101</v>
      </c>
      <c r="BH288" s="250">
        <v>4779.6400000000003</v>
      </c>
      <c r="BI288" s="250">
        <v>2806584.6</v>
      </c>
      <c r="BJ288" s="250">
        <v>615</v>
      </c>
      <c r="BK288" s="250">
        <v>21943</v>
      </c>
      <c r="BL288" s="1014">
        <v>3731860</v>
      </c>
      <c r="BM288" s="1014">
        <v>148546</v>
      </c>
      <c r="BN288" s="1014">
        <v>23028</v>
      </c>
      <c r="BO288" s="1081">
        <v>3452812</v>
      </c>
      <c r="BP288" s="1081">
        <v>179401</v>
      </c>
      <c r="BQ288" s="1081">
        <v>20242.73</v>
      </c>
      <c r="BR288" s="250">
        <v>9519.2000000000007</v>
      </c>
      <c r="BS288" s="250">
        <v>6469.6</v>
      </c>
      <c r="BT288" s="250">
        <v>1240997</v>
      </c>
      <c r="BU288" s="250">
        <v>703842</v>
      </c>
      <c r="BV288" s="250">
        <v>796581</v>
      </c>
      <c r="BW288" s="250">
        <v>502183</v>
      </c>
      <c r="BX288" s="1324">
        <v>9.3000000000000007</v>
      </c>
    </row>
    <row r="289" spans="1:76">
      <c r="A289" s="1396">
        <v>45197</v>
      </c>
      <c r="B289" s="718">
        <v>1076.4570000000001</v>
      </c>
      <c r="C289" s="718">
        <v>593.98599999999999</v>
      </c>
      <c r="D289" s="1081">
        <v>6881.1</v>
      </c>
      <c r="E289" s="1311">
        <v>0</v>
      </c>
      <c r="F289" s="1014">
        <v>19976.099999999999</v>
      </c>
      <c r="G289" s="1014">
        <v>6146.6</v>
      </c>
      <c r="H289" s="1014">
        <v>26986</v>
      </c>
      <c r="I289" s="1014">
        <v>13462</v>
      </c>
      <c r="J289" s="1014">
        <v>209163.3</v>
      </c>
      <c r="K289" s="1014">
        <v>14968.4</v>
      </c>
      <c r="L289" s="1014">
        <v>7011.4</v>
      </c>
      <c r="M289" s="1014">
        <v>46196.1</v>
      </c>
      <c r="N289" s="1014">
        <v>36751.4</v>
      </c>
      <c r="O289" s="250">
        <v>139406</v>
      </c>
      <c r="P289" s="1014">
        <v>115579</v>
      </c>
      <c r="Q289" s="250">
        <v>142108</v>
      </c>
      <c r="R289" s="1014">
        <v>97508</v>
      </c>
      <c r="S289" s="1081">
        <v>14063.6</v>
      </c>
      <c r="T289" s="1081">
        <v>10680.14</v>
      </c>
      <c r="U289" s="1014">
        <v>68446</v>
      </c>
      <c r="V289" s="1014">
        <v>35192</v>
      </c>
      <c r="W289" s="1014">
        <v>214758.39999999999</v>
      </c>
      <c r="X289" s="683">
        <v>345.9</v>
      </c>
      <c r="Y289" s="725">
        <v>50716</v>
      </c>
      <c r="Z289" s="250">
        <v>617116.5</v>
      </c>
      <c r="AA289" s="250">
        <v>314068.65999999997</v>
      </c>
      <c r="AB289" s="250">
        <v>214731</v>
      </c>
      <c r="AC289" s="683">
        <v>1112.4000000000001</v>
      </c>
      <c r="AD289" s="718">
        <v>942</v>
      </c>
      <c r="AE289" s="1081">
        <v>408.5</v>
      </c>
      <c r="AF289" s="1081">
        <v>298.60000000000002</v>
      </c>
      <c r="AG289" s="1014">
        <v>83582</v>
      </c>
      <c r="AH289" s="1014">
        <v>64602.2</v>
      </c>
      <c r="AI289" s="1014">
        <v>71360.899999999994</v>
      </c>
      <c r="AJ289" s="1014">
        <v>58365.8</v>
      </c>
      <c r="AK289" s="1014">
        <v>60998.400000000001</v>
      </c>
      <c r="AL289" s="1014">
        <v>23977.9</v>
      </c>
      <c r="AM289" s="250">
        <v>17</v>
      </c>
      <c r="AN289" s="250">
        <v>18.399999999999999</v>
      </c>
      <c r="AO289" s="1014">
        <v>516741</v>
      </c>
      <c r="AP289" s="1014">
        <v>238143</v>
      </c>
      <c r="AQ289" s="1014">
        <v>65855</v>
      </c>
      <c r="AR289" s="1081"/>
      <c r="AS289" s="1014">
        <v>481947</v>
      </c>
      <c r="AT289" s="1014">
        <v>211955</v>
      </c>
      <c r="AU289" s="1014">
        <v>83128.3</v>
      </c>
      <c r="AV289" s="1014">
        <v>4696.8</v>
      </c>
      <c r="AW289" s="1014">
        <v>3136.6</v>
      </c>
      <c r="AX289" s="250">
        <v>231.68</v>
      </c>
      <c r="AY289" s="250">
        <v>140.13</v>
      </c>
      <c r="AZ289" s="1081">
        <v>859.65800000000002</v>
      </c>
      <c r="BA289" s="1081">
        <v>363.41199999999998</v>
      </c>
      <c r="BB289" s="1398">
        <v>1870.5</v>
      </c>
      <c r="BC289" s="1081">
        <v>3343</v>
      </c>
      <c r="BD289" s="250">
        <v>527.4</v>
      </c>
      <c r="BE289" s="1014">
        <v>4652.6899999999996</v>
      </c>
      <c r="BF289" s="1014">
        <v>34729.414035087699</v>
      </c>
      <c r="BG289" s="1014">
        <v>8536.5255575947303</v>
      </c>
      <c r="BH289" s="1014">
        <v>5108.91</v>
      </c>
      <c r="BI289" s="1014">
        <v>2809000</v>
      </c>
      <c r="BJ289" s="250">
        <v>616</v>
      </c>
      <c r="BK289" s="1014">
        <v>21967</v>
      </c>
      <c r="BL289" s="1014">
        <v>3737223</v>
      </c>
      <c r="BM289" s="1014">
        <v>149441</v>
      </c>
      <c r="BN289" s="1014">
        <v>23052</v>
      </c>
      <c r="BO289" s="1081">
        <v>3452812</v>
      </c>
      <c r="BP289" s="1081">
        <v>179401</v>
      </c>
      <c r="BQ289" s="1081">
        <v>20242.73</v>
      </c>
      <c r="BR289" s="1014">
        <v>9523.7000000000007</v>
      </c>
      <c r="BS289" s="1014">
        <v>6472.9</v>
      </c>
      <c r="BT289" s="1081">
        <v>1241402</v>
      </c>
      <c r="BU289" s="1081">
        <v>704083</v>
      </c>
      <c r="BV289" s="1014">
        <v>797669</v>
      </c>
      <c r="BW289" s="1014">
        <v>502860</v>
      </c>
      <c r="BX289" s="1324">
        <v>10</v>
      </c>
    </row>
    <row r="290" spans="1:76">
      <c r="A290" s="1396">
        <v>45198</v>
      </c>
      <c r="B290" s="718">
        <v>1076.4570000000001</v>
      </c>
      <c r="C290" s="718">
        <v>593.98599999999999</v>
      </c>
      <c r="D290" s="1081">
        <v>6881.1</v>
      </c>
      <c r="E290" s="1311">
        <v>0</v>
      </c>
      <c r="F290" s="1014">
        <v>19987.2</v>
      </c>
      <c r="G290" s="1014">
        <v>6146.8</v>
      </c>
      <c r="H290" s="1014">
        <v>27152</v>
      </c>
      <c r="I290" s="1014">
        <v>13544</v>
      </c>
      <c r="J290" s="1014">
        <v>209187.3</v>
      </c>
      <c r="K290" s="1014">
        <v>14968.4</v>
      </c>
      <c r="L290" s="1014">
        <v>7011.4</v>
      </c>
      <c r="M290" s="1014">
        <v>46196.1</v>
      </c>
      <c r="N290" s="1014">
        <v>36751.4</v>
      </c>
      <c r="O290" s="250">
        <v>139415</v>
      </c>
      <c r="P290" s="1014">
        <v>115587</v>
      </c>
      <c r="Q290" s="250">
        <v>142123</v>
      </c>
      <c r="R290" s="1014">
        <v>97518</v>
      </c>
      <c r="S290" s="1081">
        <v>14063.6</v>
      </c>
      <c r="T290" s="1081">
        <v>10680.14</v>
      </c>
      <c r="U290" s="1014">
        <v>68880</v>
      </c>
      <c r="V290" s="1014">
        <v>35418</v>
      </c>
      <c r="W290" s="1014">
        <v>214782.4</v>
      </c>
      <c r="X290" s="683">
        <v>345.9</v>
      </c>
      <c r="Y290" s="725">
        <v>50716</v>
      </c>
      <c r="Z290" s="250">
        <v>617116.5</v>
      </c>
      <c r="AA290" s="250">
        <v>314068.65999999997</v>
      </c>
      <c r="AB290" s="250">
        <v>214731</v>
      </c>
      <c r="AC290" s="683">
        <v>1112.4000000000001</v>
      </c>
      <c r="AD290" s="718">
        <v>942</v>
      </c>
      <c r="AE290" s="1081">
        <v>411.2</v>
      </c>
      <c r="AF290" s="1081">
        <v>300.39999999999998</v>
      </c>
      <c r="AG290" s="1014">
        <v>83590.5</v>
      </c>
      <c r="AH290" s="1014">
        <v>64608.7</v>
      </c>
      <c r="AI290" s="1014">
        <v>71401.7</v>
      </c>
      <c r="AJ290" s="1014">
        <v>58400.5</v>
      </c>
      <c r="AK290" s="1014">
        <v>61005</v>
      </c>
      <c r="AL290" s="1014">
        <v>23980.400000000001</v>
      </c>
      <c r="AM290" s="250">
        <v>17</v>
      </c>
      <c r="AN290" s="250">
        <v>18.399999999999999</v>
      </c>
      <c r="AO290" s="1014">
        <v>516899</v>
      </c>
      <c r="AP290" s="1014">
        <v>238215</v>
      </c>
      <c r="AQ290" s="1014">
        <v>65861</v>
      </c>
      <c r="AR290" s="1081"/>
      <c r="AS290" s="1014">
        <v>482097</v>
      </c>
      <c r="AT290" s="1014">
        <v>212020</v>
      </c>
      <c r="AU290" s="1014">
        <v>83152.3</v>
      </c>
      <c r="AV290" s="1014">
        <v>4698.6000000000004</v>
      </c>
      <c r="AW290" s="1014">
        <v>3137.8</v>
      </c>
      <c r="AX290" s="250">
        <v>231.68</v>
      </c>
      <c r="AY290" s="250">
        <v>140.13999999999999</v>
      </c>
      <c r="AZ290" s="1081">
        <v>869.65300000000002</v>
      </c>
      <c r="BA290" s="1081">
        <v>367.27699999999999</v>
      </c>
      <c r="BB290" s="1398">
        <v>1880.8</v>
      </c>
      <c r="BC290" s="1014">
        <v>3345.4</v>
      </c>
      <c r="BD290" s="1081">
        <v>527.6</v>
      </c>
      <c r="BE290" s="1014">
        <v>4390.3599999999997</v>
      </c>
      <c r="BF290" s="1014">
        <v>34435.103508771899</v>
      </c>
      <c r="BG290" s="1014">
        <v>9211.3535137259805</v>
      </c>
      <c r="BH290" s="1014">
        <v>5217.51</v>
      </c>
      <c r="BI290" s="1014">
        <v>2811000</v>
      </c>
      <c r="BJ290" s="1014">
        <v>617</v>
      </c>
      <c r="BK290" s="1014">
        <v>21991</v>
      </c>
      <c r="BL290" s="1014">
        <v>3742355</v>
      </c>
      <c r="BM290" s="1014">
        <v>150436</v>
      </c>
      <c r="BN290" s="1014">
        <v>23076</v>
      </c>
      <c r="BO290" s="1081">
        <v>3452812</v>
      </c>
      <c r="BP290" s="1081">
        <v>179401</v>
      </c>
      <c r="BQ290" s="1081">
        <v>20242.73</v>
      </c>
      <c r="BR290" s="1014">
        <v>9528.9</v>
      </c>
      <c r="BS290" s="1014">
        <v>6476.6</v>
      </c>
      <c r="BT290" s="1081">
        <v>1241828</v>
      </c>
      <c r="BU290" s="1081">
        <v>704343</v>
      </c>
      <c r="BV290" s="1014">
        <v>798827</v>
      </c>
      <c r="BW290" s="1014">
        <v>503519</v>
      </c>
      <c r="BX290" s="1324">
        <v>10</v>
      </c>
    </row>
    <row r="291" spans="1:76" s="336" customFormat="1">
      <c r="A291" s="1396">
        <v>45199</v>
      </c>
      <c r="B291" s="718">
        <v>1076.4570000000001</v>
      </c>
      <c r="C291" s="718">
        <v>593.98599999999999</v>
      </c>
      <c r="D291" s="1081">
        <v>6881.1</v>
      </c>
      <c r="E291" s="1311">
        <v>0</v>
      </c>
      <c r="F291" s="1014">
        <v>19999.099999999999</v>
      </c>
      <c r="G291" s="1014">
        <v>6147.3</v>
      </c>
      <c r="H291" s="1014">
        <v>27314</v>
      </c>
      <c r="I291" s="1014">
        <v>13624</v>
      </c>
      <c r="J291" s="1014">
        <v>209211.3</v>
      </c>
      <c r="K291" s="1014">
        <v>14968.7</v>
      </c>
      <c r="L291" s="1014">
        <v>7011.4</v>
      </c>
      <c r="M291" s="1014">
        <v>46196.1</v>
      </c>
      <c r="N291" s="1014">
        <v>36751.4</v>
      </c>
      <c r="O291" s="1014">
        <v>139425</v>
      </c>
      <c r="P291" s="1014">
        <v>115595</v>
      </c>
      <c r="Q291" s="250">
        <v>142138</v>
      </c>
      <c r="R291" s="1014">
        <v>97528</v>
      </c>
      <c r="S291" s="1081">
        <v>14063.6</v>
      </c>
      <c r="T291" s="1081">
        <v>10680.14</v>
      </c>
      <c r="U291" s="1014">
        <v>69308</v>
      </c>
      <c r="V291" s="1014">
        <v>35641</v>
      </c>
      <c r="W291" s="1014">
        <v>214806.39999999999</v>
      </c>
      <c r="X291" s="683">
        <v>345.9</v>
      </c>
      <c r="Y291" s="725">
        <v>50716</v>
      </c>
      <c r="Z291" s="250">
        <v>617116.5</v>
      </c>
      <c r="AA291" s="250">
        <v>314068.65999999997</v>
      </c>
      <c r="AB291" s="250">
        <v>214731</v>
      </c>
      <c r="AC291" s="683">
        <v>1112.4000000000001</v>
      </c>
      <c r="AD291" s="718">
        <v>942</v>
      </c>
      <c r="AE291" s="1081">
        <v>413.6</v>
      </c>
      <c r="AF291" s="1081">
        <v>302.2</v>
      </c>
      <c r="AG291" s="1014">
        <v>83599.399999999994</v>
      </c>
      <c r="AH291" s="1014">
        <v>64615.5</v>
      </c>
      <c r="AI291" s="1014">
        <v>71441.3</v>
      </c>
      <c r="AJ291" s="1014">
        <v>58434.3</v>
      </c>
      <c r="AK291" s="1014">
        <v>61015.5</v>
      </c>
      <c r="AL291" s="1014">
        <v>23984.5</v>
      </c>
      <c r="AM291" s="250">
        <v>17</v>
      </c>
      <c r="AN291" s="250">
        <v>18.399999999999999</v>
      </c>
      <c r="AO291" s="1014">
        <v>517053</v>
      </c>
      <c r="AP291" s="1014">
        <v>238284</v>
      </c>
      <c r="AQ291" s="1014">
        <v>65866</v>
      </c>
      <c r="AR291" s="1081"/>
      <c r="AS291" s="1014">
        <v>482245</v>
      </c>
      <c r="AT291" s="1014">
        <v>212084</v>
      </c>
      <c r="AU291" s="1014">
        <v>83176.3</v>
      </c>
      <c r="AV291" s="1014">
        <v>4701.1000000000004</v>
      </c>
      <c r="AW291" s="1014">
        <v>3139.7</v>
      </c>
      <c r="AX291" s="250">
        <v>231.68</v>
      </c>
      <c r="AY291" s="250">
        <v>140.13999999999999</v>
      </c>
      <c r="AZ291" s="1081">
        <v>883.28700000000003</v>
      </c>
      <c r="BA291" s="1081">
        <v>372.56200000000001</v>
      </c>
      <c r="BB291" s="1398">
        <v>1894.3</v>
      </c>
      <c r="BC291" s="1081">
        <v>3347.7</v>
      </c>
      <c r="BD291" s="1081">
        <v>527.6</v>
      </c>
      <c r="BE291" s="1014">
        <v>4942.9800000000005</v>
      </c>
      <c r="BF291" s="1014">
        <v>33962.264912280705</v>
      </c>
      <c r="BG291" s="1014">
        <v>8139.1111990318368</v>
      </c>
      <c r="BH291" s="1014">
        <v>5149.46</v>
      </c>
      <c r="BI291" s="1014">
        <v>2811100</v>
      </c>
      <c r="BJ291" s="1014">
        <v>618</v>
      </c>
      <c r="BK291" s="1014">
        <v>22015</v>
      </c>
      <c r="BL291" s="1014">
        <v>3747342</v>
      </c>
      <c r="BM291" s="1014">
        <v>151367</v>
      </c>
      <c r="BN291" s="1014">
        <v>23100</v>
      </c>
      <c r="BO291" s="1081">
        <v>3452812</v>
      </c>
      <c r="BP291" s="1081">
        <v>179401</v>
      </c>
      <c r="BQ291" s="1081">
        <v>20242.73</v>
      </c>
      <c r="BR291" s="1014">
        <v>9535.2999999999993</v>
      </c>
      <c r="BS291" s="1014">
        <v>6481.1</v>
      </c>
      <c r="BT291" s="1081">
        <v>1242280</v>
      </c>
      <c r="BU291" s="1081">
        <v>704615</v>
      </c>
      <c r="BV291" s="1014">
        <v>799803</v>
      </c>
      <c r="BW291" s="1014">
        <v>504180</v>
      </c>
      <c r="BX291" s="1324">
        <v>13</v>
      </c>
    </row>
    <row r="292" spans="1:76">
      <c r="A292" s="182"/>
      <c r="B292" s="187"/>
      <c r="C292" s="187"/>
      <c r="D292" s="187"/>
      <c r="E292" s="1402"/>
      <c r="F292" s="187"/>
      <c r="G292" s="187"/>
      <c r="H292" s="187"/>
      <c r="I292" s="187"/>
      <c r="J292" s="187"/>
      <c r="K292" s="187"/>
      <c r="L292" s="187"/>
      <c r="M292" s="187"/>
      <c r="N292" s="187"/>
      <c r="O292" s="187"/>
      <c r="P292" s="187"/>
      <c r="Q292" s="187"/>
      <c r="R292" s="187"/>
      <c r="S292" s="187"/>
      <c r="T292" s="187"/>
      <c r="U292" s="187"/>
      <c r="V292" s="187"/>
      <c r="W292" s="187"/>
      <c r="X292" s="187"/>
      <c r="Y292" s="187"/>
      <c r="Z292" s="187"/>
      <c r="AA292" s="187"/>
      <c r="AB292" s="187"/>
      <c r="AC292" s="187"/>
      <c r="AD292" s="187"/>
      <c r="AE292" s="187"/>
      <c r="AF292" s="187"/>
      <c r="AG292" s="187"/>
      <c r="AH292" s="187"/>
      <c r="AI292" s="187"/>
      <c r="AJ292" s="187"/>
      <c r="AK292" s="187"/>
      <c r="AL292" s="187"/>
      <c r="AM292" s="187"/>
      <c r="AN292" s="187"/>
      <c r="AO292" s="187"/>
      <c r="AP292" s="187"/>
      <c r="AQ292" s="187"/>
      <c r="AR292" s="187"/>
      <c r="AS292" s="187"/>
      <c r="AT292" s="187"/>
      <c r="AU292" s="187"/>
      <c r="AV292" s="187"/>
      <c r="AW292" s="187"/>
      <c r="AX292" s="187"/>
      <c r="AY292" s="187"/>
      <c r="AZ292" s="187"/>
      <c r="BA292" s="187"/>
      <c r="BB292" s="1796"/>
      <c r="BC292" s="187"/>
      <c r="BD292" s="187"/>
      <c r="BE292" s="187"/>
      <c r="BF292" s="187"/>
      <c r="BG292" s="187"/>
      <c r="BH292" s="187"/>
      <c r="BI292" s="187"/>
      <c r="BJ292" s="187"/>
      <c r="BK292" s="187"/>
      <c r="BL292" s="187"/>
      <c r="BM292" s="187"/>
      <c r="BN292" s="187"/>
      <c r="BO292" s="187"/>
      <c r="BP292" s="187"/>
      <c r="BQ292" s="187"/>
      <c r="BR292" s="187"/>
      <c r="BS292" s="187"/>
      <c r="BT292" s="187"/>
      <c r="BU292" s="187"/>
      <c r="BV292" s="187"/>
      <c r="BW292" s="187"/>
      <c r="BX292" s="1409"/>
    </row>
    <row r="293" spans="1:76">
      <c r="A293" s="160">
        <v>45199</v>
      </c>
      <c r="B293" s="718">
        <v>1076.4570000000001</v>
      </c>
      <c r="C293" s="718">
        <v>593.98599999999999</v>
      </c>
      <c r="D293" s="1081">
        <v>6881.1</v>
      </c>
      <c r="E293" s="1311">
        <v>0</v>
      </c>
      <c r="F293" s="1014">
        <v>19999.099999999999</v>
      </c>
      <c r="G293" s="1014">
        <v>6147.3</v>
      </c>
      <c r="H293" s="1014">
        <v>27314</v>
      </c>
      <c r="I293" s="1014">
        <v>13624</v>
      </c>
      <c r="J293" s="1014">
        <v>209211.3</v>
      </c>
      <c r="K293" s="1014">
        <v>14968.7</v>
      </c>
      <c r="L293" s="1014">
        <v>7011.4</v>
      </c>
      <c r="M293" s="1014">
        <v>46196.1</v>
      </c>
      <c r="N293" s="1014">
        <v>36751.4</v>
      </c>
      <c r="O293" s="1014">
        <v>139425</v>
      </c>
      <c r="P293" s="1014">
        <v>115595</v>
      </c>
      <c r="Q293" s="250">
        <v>142138</v>
      </c>
      <c r="R293" s="1014">
        <v>97528</v>
      </c>
      <c r="S293" s="1081">
        <v>14063.6</v>
      </c>
      <c r="T293" s="1081">
        <v>10680.14</v>
      </c>
      <c r="U293" s="1014">
        <v>69308</v>
      </c>
      <c r="V293" s="1014">
        <v>35641</v>
      </c>
      <c r="W293" s="1014">
        <v>214806.39999999999</v>
      </c>
      <c r="X293" s="683">
        <v>345.9</v>
      </c>
      <c r="Y293" s="725">
        <v>50716</v>
      </c>
      <c r="Z293" s="250">
        <v>617116.5</v>
      </c>
      <c r="AA293" s="250">
        <v>314068.65999999997</v>
      </c>
      <c r="AB293" s="250">
        <v>214731</v>
      </c>
      <c r="AC293" s="683">
        <v>1112.4000000000001</v>
      </c>
      <c r="AD293" s="718">
        <v>942</v>
      </c>
      <c r="AE293" s="1081">
        <v>413.6</v>
      </c>
      <c r="AF293" s="1081">
        <v>302.2</v>
      </c>
      <c r="AG293" s="1014">
        <v>83599.399999999994</v>
      </c>
      <c r="AH293" s="1014">
        <v>64615.5</v>
      </c>
      <c r="AI293" s="1014">
        <v>71441.3</v>
      </c>
      <c r="AJ293" s="1014">
        <v>58434.3</v>
      </c>
      <c r="AK293" s="1014">
        <v>61015.5</v>
      </c>
      <c r="AL293" s="1014">
        <v>23984.5</v>
      </c>
      <c r="AM293" s="250">
        <v>17</v>
      </c>
      <c r="AN293" s="250">
        <v>18.399999999999999</v>
      </c>
      <c r="AO293" s="1014">
        <v>517053</v>
      </c>
      <c r="AP293" s="1014">
        <v>238284</v>
      </c>
      <c r="AQ293" s="1014">
        <v>65866</v>
      </c>
      <c r="AR293" s="1081"/>
      <c r="AS293" s="1014">
        <v>482245</v>
      </c>
      <c r="AT293" s="1014">
        <v>212084</v>
      </c>
      <c r="AU293" s="1014">
        <v>83176.3</v>
      </c>
      <c r="AV293" s="1014">
        <v>4701.1000000000004</v>
      </c>
      <c r="AW293" s="1014">
        <v>3139.7</v>
      </c>
      <c r="AX293" s="250">
        <v>231.68</v>
      </c>
      <c r="AY293" s="250">
        <v>140.13999999999999</v>
      </c>
      <c r="AZ293" s="1081">
        <v>883.28700000000003</v>
      </c>
      <c r="BA293" s="1081">
        <v>372.56200000000001</v>
      </c>
      <c r="BB293" s="1398">
        <v>1894.3</v>
      </c>
      <c r="BC293" s="1081">
        <v>3347.7</v>
      </c>
      <c r="BD293" s="1081">
        <v>527.6</v>
      </c>
      <c r="BE293" s="1014">
        <v>4942.9800000000005</v>
      </c>
      <c r="BF293" s="1014">
        <v>33962.264912280705</v>
      </c>
      <c r="BG293" s="1014">
        <v>8139.1111990318368</v>
      </c>
      <c r="BH293" s="1014">
        <v>5149.46</v>
      </c>
      <c r="BI293" s="1014">
        <v>2811100</v>
      </c>
      <c r="BJ293" s="1014">
        <v>618</v>
      </c>
      <c r="BK293" s="1014">
        <v>22015</v>
      </c>
      <c r="BL293" s="1014">
        <v>3747342</v>
      </c>
      <c r="BM293" s="1014">
        <v>151367</v>
      </c>
      <c r="BN293" s="1014">
        <v>23100</v>
      </c>
      <c r="BO293" s="1081">
        <v>3452812</v>
      </c>
      <c r="BP293" s="1081">
        <v>179401</v>
      </c>
      <c r="BQ293" s="1081">
        <v>20242.73</v>
      </c>
      <c r="BR293" s="1014">
        <v>9535.2999999999993</v>
      </c>
      <c r="BS293" s="1014">
        <v>6481.1</v>
      </c>
      <c r="BT293" s="1081">
        <v>1242280</v>
      </c>
      <c r="BU293" s="1081">
        <v>704615</v>
      </c>
      <c r="BV293" s="1014">
        <v>799803</v>
      </c>
      <c r="BW293" s="1014">
        <v>504180</v>
      </c>
      <c r="BX293" s="1324">
        <v>13</v>
      </c>
    </row>
    <row r="294" spans="1:76">
      <c r="A294" s="160">
        <v>45200</v>
      </c>
      <c r="B294" s="718">
        <v>1076.4570000000001</v>
      </c>
      <c r="C294" s="718">
        <v>593.98599999999999</v>
      </c>
      <c r="D294" s="1081">
        <v>6881.1</v>
      </c>
      <c r="E294" s="1311">
        <v>0</v>
      </c>
      <c r="F294" s="1014">
        <v>20012.5</v>
      </c>
      <c r="G294" s="1081">
        <v>6148.3</v>
      </c>
      <c r="H294" s="1014">
        <v>27480</v>
      </c>
      <c r="I294" s="1081">
        <v>13707</v>
      </c>
      <c r="J294" s="1014">
        <v>209235.3</v>
      </c>
      <c r="K294" s="1014">
        <v>14968.7</v>
      </c>
      <c r="L294" s="1014">
        <v>7011.4</v>
      </c>
      <c r="M294" s="1014">
        <v>46196.1</v>
      </c>
      <c r="N294" s="1014">
        <v>36751.4</v>
      </c>
      <c r="O294" s="1014">
        <v>139435</v>
      </c>
      <c r="P294" s="1014">
        <v>115603</v>
      </c>
      <c r="Q294" s="1014">
        <v>142152</v>
      </c>
      <c r="R294" s="1014">
        <v>97539</v>
      </c>
      <c r="S294" s="1081">
        <v>14063.6</v>
      </c>
      <c r="T294" s="1081">
        <v>10680.14</v>
      </c>
      <c r="U294" s="1014">
        <v>69748</v>
      </c>
      <c r="V294" s="1081">
        <v>35869</v>
      </c>
      <c r="W294" s="1014">
        <v>214830.4</v>
      </c>
      <c r="X294" s="683">
        <v>345.9</v>
      </c>
      <c r="Y294" s="725">
        <v>50716</v>
      </c>
      <c r="Z294" s="250">
        <v>617116.5</v>
      </c>
      <c r="AA294" s="250">
        <v>314068.65999999997</v>
      </c>
      <c r="AB294" s="250">
        <v>214731</v>
      </c>
      <c r="AC294" s="683">
        <v>1112.4000000000001</v>
      </c>
      <c r="AD294" s="718">
        <v>942</v>
      </c>
      <c r="AE294" s="1081">
        <v>416.1</v>
      </c>
      <c r="AF294" s="1081">
        <v>304</v>
      </c>
      <c r="AG294" s="1014">
        <v>83608.2</v>
      </c>
      <c r="AH294" s="1014">
        <v>64622.1</v>
      </c>
      <c r="AI294" s="1014">
        <v>71481.100000000006</v>
      </c>
      <c r="AJ294" s="1014">
        <v>58468.3</v>
      </c>
      <c r="AK294" s="1014">
        <v>61026.7</v>
      </c>
      <c r="AL294" s="1014">
        <v>23988.9</v>
      </c>
      <c r="AM294" s="250">
        <v>17</v>
      </c>
      <c r="AN294" s="250">
        <v>18.399999999999999</v>
      </c>
      <c r="AO294" s="1014">
        <v>517207</v>
      </c>
      <c r="AP294" s="1081">
        <v>238355</v>
      </c>
      <c r="AQ294" s="1014">
        <v>65870</v>
      </c>
      <c r="AR294" s="1081"/>
      <c r="AS294" s="1014">
        <v>482395</v>
      </c>
      <c r="AT294" s="1014">
        <v>212149</v>
      </c>
      <c r="AU294" s="1014">
        <v>83200.3</v>
      </c>
      <c r="AV294" s="1014">
        <v>4703.6000000000004</v>
      </c>
      <c r="AW294" s="1014">
        <v>3141.4</v>
      </c>
      <c r="AX294" s="1081">
        <v>231.68</v>
      </c>
      <c r="AY294" s="1081">
        <v>140.13999999999999</v>
      </c>
      <c r="AZ294" s="1081">
        <v>891.84900000000005</v>
      </c>
      <c r="BA294" s="1081">
        <v>375.86900000000003</v>
      </c>
      <c r="BB294" s="1398">
        <v>1903.7</v>
      </c>
      <c r="BC294" s="1081">
        <v>3350</v>
      </c>
      <c r="BD294" s="1014">
        <v>527.6</v>
      </c>
      <c r="BE294" s="1014">
        <v>4479.54</v>
      </c>
      <c r="BF294" s="1014">
        <v>34051.556140350804</v>
      </c>
      <c r="BG294" s="1014">
        <v>9127.8883694916494</v>
      </c>
      <c r="BH294" s="1014">
        <v>4931.18</v>
      </c>
      <c r="BI294" s="1014">
        <v>2813100</v>
      </c>
      <c r="BJ294" s="1014">
        <v>619</v>
      </c>
      <c r="BK294" s="1014">
        <v>22039</v>
      </c>
      <c r="BL294" s="1014">
        <v>3752404</v>
      </c>
      <c r="BM294" s="1014">
        <v>152352</v>
      </c>
      <c r="BN294" s="1014">
        <v>23124</v>
      </c>
      <c r="BO294" s="1081">
        <v>3452812</v>
      </c>
      <c r="BP294" s="1081">
        <v>179401</v>
      </c>
      <c r="BQ294" s="1081">
        <v>20242.73</v>
      </c>
      <c r="BR294" s="1014">
        <v>9542.9</v>
      </c>
      <c r="BS294" s="1014">
        <v>6486</v>
      </c>
      <c r="BT294" s="1081">
        <v>1242671</v>
      </c>
      <c r="BU294" s="1081">
        <v>704852</v>
      </c>
      <c r="BV294" s="1014">
        <v>800364</v>
      </c>
      <c r="BW294" s="1014">
        <v>504514</v>
      </c>
      <c r="BX294" s="1324">
        <v>9</v>
      </c>
    </row>
    <row r="295" spans="1:76">
      <c r="A295" s="160">
        <v>45201</v>
      </c>
      <c r="B295" s="718">
        <v>1076.8489999999999</v>
      </c>
      <c r="C295" s="718">
        <v>594.17899999999997</v>
      </c>
      <c r="D295" s="1081">
        <v>6881.9</v>
      </c>
      <c r="E295" s="1311">
        <v>0.6</v>
      </c>
      <c r="F295" s="1014">
        <v>20026.900000000001</v>
      </c>
      <c r="G295" s="1014">
        <v>6150</v>
      </c>
      <c r="H295" s="1014">
        <v>27647</v>
      </c>
      <c r="I295" s="1014">
        <v>13789</v>
      </c>
      <c r="J295" s="1014">
        <v>209259.3</v>
      </c>
      <c r="K295" s="1014">
        <v>14968.8</v>
      </c>
      <c r="L295" s="1014">
        <v>7011.4</v>
      </c>
      <c r="M295" s="1014">
        <v>46196.1</v>
      </c>
      <c r="N295" s="1014">
        <v>36751.4</v>
      </c>
      <c r="O295" s="1014">
        <v>139445</v>
      </c>
      <c r="P295" s="1014">
        <v>115611</v>
      </c>
      <c r="Q295" s="1014">
        <v>142168</v>
      </c>
      <c r="R295" s="1014">
        <v>97549.1</v>
      </c>
      <c r="S295" s="1081">
        <v>14063.6</v>
      </c>
      <c r="T295" s="1081">
        <v>10680.14</v>
      </c>
      <c r="U295" s="1014">
        <v>70185</v>
      </c>
      <c r="V295" s="1014">
        <v>36098</v>
      </c>
      <c r="W295" s="1014">
        <v>214854.39999999999</v>
      </c>
      <c r="X295" s="683">
        <v>345.9</v>
      </c>
      <c r="Y295" s="725">
        <v>50716</v>
      </c>
      <c r="Z295" s="250">
        <v>617116.5</v>
      </c>
      <c r="AA295" s="250">
        <v>314068.65999999997</v>
      </c>
      <c r="AB295" s="250">
        <v>214731</v>
      </c>
      <c r="AC295" s="683">
        <v>1112.4000000000001</v>
      </c>
      <c r="AD295" s="718">
        <v>942</v>
      </c>
      <c r="AE295" s="1081">
        <v>418.7</v>
      </c>
      <c r="AF295" s="1081">
        <v>305.8</v>
      </c>
      <c r="AG295" s="1014">
        <v>83617.2</v>
      </c>
      <c r="AH295" s="1014">
        <v>64629.2</v>
      </c>
      <c r="AI295" s="1014">
        <v>71520.7</v>
      </c>
      <c r="AJ295" s="1014">
        <v>58502.5</v>
      </c>
      <c r="AK295" s="1014">
        <v>61038.2</v>
      </c>
      <c r="AL295" s="1014">
        <v>23993.3</v>
      </c>
      <c r="AM295" s="250">
        <v>17</v>
      </c>
      <c r="AN295" s="250">
        <v>18.399999999999999</v>
      </c>
      <c r="AO295" s="1014">
        <v>517361</v>
      </c>
      <c r="AP295" s="1014">
        <v>238425</v>
      </c>
      <c r="AQ295" s="1014">
        <v>65876</v>
      </c>
      <c r="AR295" s="1081"/>
      <c r="AS295" s="1014">
        <v>482546</v>
      </c>
      <c r="AT295" s="1014">
        <v>212214</v>
      </c>
      <c r="AU295" s="1014">
        <v>83224.3</v>
      </c>
      <c r="AV295" s="1014">
        <v>4706.1000000000004</v>
      </c>
      <c r="AW295" s="1014">
        <v>3143.3</v>
      </c>
      <c r="AX295" s="1081">
        <v>231.68</v>
      </c>
      <c r="AY295" s="1081">
        <v>140.13999999999999</v>
      </c>
      <c r="AZ295" s="1081">
        <v>905.26</v>
      </c>
      <c r="BA295" s="1081">
        <v>381.065</v>
      </c>
      <c r="BB295" s="1398">
        <v>1917</v>
      </c>
      <c r="BC295" s="1081">
        <v>3352.4</v>
      </c>
      <c r="BD295" s="1014">
        <v>527.6</v>
      </c>
      <c r="BE295" s="1014">
        <v>4910.5600000000004</v>
      </c>
      <c r="BF295" s="1014">
        <v>33995.750877193001</v>
      </c>
      <c r="BG295" s="1014">
        <v>9125.0339413184593</v>
      </c>
      <c r="BH295" s="1014">
        <v>5186.93</v>
      </c>
      <c r="BI295" s="1014">
        <v>2815500</v>
      </c>
      <c r="BJ295" s="1014">
        <v>620</v>
      </c>
      <c r="BK295" s="1014">
        <v>22063</v>
      </c>
      <c r="BL295" s="1014">
        <v>3757553</v>
      </c>
      <c r="BM295" s="1014">
        <v>153281</v>
      </c>
      <c r="BN295" s="1014">
        <v>23148</v>
      </c>
      <c r="BO295" s="1081">
        <v>3452812</v>
      </c>
      <c r="BP295" s="1081">
        <v>179401</v>
      </c>
      <c r="BQ295" s="1081">
        <v>20242.73</v>
      </c>
      <c r="BR295" s="1014">
        <v>9550.9</v>
      </c>
      <c r="BS295" s="1014">
        <v>6491</v>
      </c>
      <c r="BT295" s="1081">
        <v>1243106</v>
      </c>
      <c r="BU295" s="1081">
        <v>705117</v>
      </c>
      <c r="BV295" s="1014">
        <v>801426</v>
      </c>
      <c r="BW295" s="1014">
        <v>505180</v>
      </c>
      <c r="BX295" s="1324">
        <v>13</v>
      </c>
    </row>
    <row r="296" spans="1:76">
      <c r="A296" s="160">
        <v>45202</v>
      </c>
      <c r="B296" s="718">
        <v>1076.8489999999999</v>
      </c>
      <c r="C296" s="718">
        <v>594.17899999999997</v>
      </c>
      <c r="D296" s="1081">
        <v>6881.9</v>
      </c>
      <c r="E296" s="1311">
        <v>0</v>
      </c>
      <c r="F296" s="683">
        <v>20040.5</v>
      </c>
      <c r="G296" s="683">
        <v>6150.9</v>
      </c>
      <c r="H296" s="250">
        <v>27812</v>
      </c>
      <c r="I296" s="250">
        <v>13871</v>
      </c>
      <c r="J296" s="250">
        <v>209283.3</v>
      </c>
      <c r="K296" s="1014">
        <v>14968.9</v>
      </c>
      <c r="L296" s="1014">
        <v>7011.4</v>
      </c>
      <c r="M296" s="1014">
        <v>46196.1</v>
      </c>
      <c r="N296" s="1014">
        <v>36751.4</v>
      </c>
      <c r="O296" s="250">
        <v>139456</v>
      </c>
      <c r="P296" s="250">
        <v>115619</v>
      </c>
      <c r="Q296" s="250">
        <v>142184</v>
      </c>
      <c r="R296" s="250">
        <v>97559.6</v>
      </c>
      <c r="S296" s="1081">
        <v>14063.6</v>
      </c>
      <c r="T296" s="1081">
        <v>10680.14</v>
      </c>
      <c r="U296" s="250">
        <v>70621</v>
      </c>
      <c r="V296" s="250">
        <v>36324</v>
      </c>
      <c r="W296" s="250">
        <v>214878.4</v>
      </c>
      <c r="X296" s="683">
        <v>345.9</v>
      </c>
      <c r="Y296" s="725">
        <v>50716</v>
      </c>
      <c r="Z296" s="250">
        <v>617116.5</v>
      </c>
      <c r="AA296" s="250">
        <v>314068.65999999997</v>
      </c>
      <c r="AB296" s="250">
        <v>214731</v>
      </c>
      <c r="AC296" s="683">
        <v>1112.4000000000001</v>
      </c>
      <c r="AD296" s="718">
        <v>942</v>
      </c>
      <c r="AE296" s="1081">
        <v>421.3</v>
      </c>
      <c r="AF296" s="1081">
        <v>307.60000000000002</v>
      </c>
      <c r="AG296" s="250">
        <v>83626.2</v>
      </c>
      <c r="AH296" s="250">
        <v>64636.1</v>
      </c>
      <c r="AI296" s="250">
        <v>71559.600000000006</v>
      </c>
      <c r="AJ296" s="250">
        <v>58536.2</v>
      </c>
      <c r="AK296" s="250">
        <v>61051.4</v>
      </c>
      <c r="AL296" s="250">
        <v>23998.2</v>
      </c>
      <c r="AM296" s="250">
        <v>17</v>
      </c>
      <c r="AN296" s="250">
        <v>18.399999999999999</v>
      </c>
      <c r="AO296" s="250">
        <v>517513</v>
      </c>
      <c r="AP296" s="250">
        <v>238494</v>
      </c>
      <c r="AQ296" s="422">
        <v>65882</v>
      </c>
      <c r="AR296" s="1081"/>
      <c r="AS296" s="250">
        <v>482696</v>
      </c>
      <c r="AT296" s="250">
        <v>212280</v>
      </c>
      <c r="AU296" s="250">
        <v>83248.3</v>
      </c>
      <c r="AV296" s="683">
        <v>4708.6000000000004</v>
      </c>
      <c r="AW296" s="683">
        <v>3145.1</v>
      </c>
      <c r="AX296" s="1081">
        <v>231.69</v>
      </c>
      <c r="AY296" s="1081">
        <v>140.13999999999999</v>
      </c>
      <c r="AZ296" s="1081">
        <v>918.80700000000002</v>
      </c>
      <c r="BA296" s="1081">
        <v>386.30799999999999</v>
      </c>
      <c r="BB296" s="1398">
        <v>1931.5</v>
      </c>
      <c r="BC296" s="718">
        <v>3354.8</v>
      </c>
      <c r="BD296" s="1014">
        <v>527.6</v>
      </c>
      <c r="BE296" s="250">
        <v>4581.53</v>
      </c>
      <c r="BF296" s="250">
        <v>33763.198245614003</v>
      </c>
      <c r="BG296" s="1014">
        <v>8270.2140352510396</v>
      </c>
      <c r="BH296" s="250">
        <v>4631.62</v>
      </c>
      <c r="BI296" s="1014">
        <v>2817800</v>
      </c>
      <c r="BJ296" s="1014">
        <v>621</v>
      </c>
      <c r="BK296" s="1014">
        <v>22087</v>
      </c>
      <c r="BL296" s="1014">
        <v>3762634</v>
      </c>
      <c r="BM296" s="1014">
        <v>154229</v>
      </c>
      <c r="BN296" s="1014">
        <v>23172</v>
      </c>
      <c r="BO296" s="1081">
        <v>3452812</v>
      </c>
      <c r="BP296" s="1081">
        <v>179401</v>
      </c>
      <c r="BQ296" s="1081">
        <v>20242.73</v>
      </c>
      <c r="BR296" s="250">
        <v>9558.7000000000007</v>
      </c>
      <c r="BS296" s="250">
        <v>6496</v>
      </c>
      <c r="BT296" s="1081">
        <v>1243554</v>
      </c>
      <c r="BU296" s="1081">
        <v>705388</v>
      </c>
      <c r="BV296" s="250">
        <v>801830</v>
      </c>
      <c r="BW296" s="250">
        <v>505421</v>
      </c>
      <c r="BX296" s="1324">
        <v>13.5</v>
      </c>
    </row>
    <row r="297" spans="1:76">
      <c r="A297" s="160">
        <v>45203</v>
      </c>
      <c r="B297" s="718">
        <v>1076.8489999999999</v>
      </c>
      <c r="C297" s="718">
        <v>594.17899999999997</v>
      </c>
      <c r="D297" s="1081">
        <v>6881.9</v>
      </c>
      <c r="E297" s="1311">
        <v>0</v>
      </c>
      <c r="F297" s="1081">
        <v>20051.900000000001</v>
      </c>
      <c r="G297" s="1081">
        <v>6151.3</v>
      </c>
      <c r="H297" s="1081">
        <v>27976</v>
      </c>
      <c r="I297" s="1081">
        <v>13952</v>
      </c>
      <c r="J297" s="1081">
        <v>209307.3</v>
      </c>
      <c r="K297" s="1014">
        <v>14968.9</v>
      </c>
      <c r="L297" s="1014">
        <v>7011.4</v>
      </c>
      <c r="M297" s="1014">
        <v>46196.1</v>
      </c>
      <c r="N297" s="1014">
        <v>36751.4</v>
      </c>
      <c r="O297" s="1081">
        <v>139465</v>
      </c>
      <c r="P297" s="1081">
        <v>115626</v>
      </c>
      <c r="Q297" s="1081">
        <v>142200</v>
      </c>
      <c r="R297" s="1081">
        <v>97570</v>
      </c>
      <c r="S297" s="1081">
        <v>14063.6</v>
      </c>
      <c r="T297" s="1081">
        <v>10680.14</v>
      </c>
      <c r="U297" s="1081">
        <v>71049</v>
      </c>
      <c r="V297" s="1081">
        <v>36548</v>
      </c>
      <c r="W297" s="1081">
        <v>214902.39999999999</v>
      </c>
      <c r="X297" s="683">
        <v>345.9</v>
      </c>
      <c r="Y297" s="725">
        <v>50716</v>
      </c>
      <c r="Z297" s="250">
        <v>617116.5</v>
      </c>
      <c r="AA297" s="250">
        <v>314068.65999999997</v>
      </c>
      <c r="AB297" s="250">
        <v>214731</v>
      </c>
      <c r="AC297" s="683">
        <v>1112.4000000000001</v>
      </c>
      <c r="AD297" s="718">
        <v>942</v>
      </c>
      <c r="AE297" s="1081">
        <v>423.9</v>
      </c>
      <c r="AF297" s="1081">
        <v>309.5</v>
      </c>
      <c r="AG297" s="1081">
        <v>83635.100000000006</v>
      </c>
      <c r="AH297" s="1081">
        <v>64643</v>
      </c>
      <c r="AI297" s="1081">
        <v>71598.8</v>
      </c>
      <c r="AJ297" s="1081">
        <v>58570.1</v>
      </c>
      <c r="AK297" s="1081">
        <v>61058.9</v>
      </c>
      <c r="AL297" s="1081">
        <v>24001</v>
      </c>
      <c r="AM297" s="250">
        <v>17</v>
      </c>
      <c r="AN297" s="250">
        <v>18.399999999999999</v>
      </c>
      <c r="AO297" s="1081">
        <v>517669</v>
      </c>
      <c r="AP297" s="1081">
        <v>238565</v>
      </c>
      <c r="AQ297" s="1081">
        <v>65887</v>
      </c>
      <c r="AR297" s="1081"/>
      <c r="AS297" s="1081">
        <v>482844</v>
      </c>
      <c r="AT297" s="1081">
        <v>212344</v>
      </c>
      <c r="AU297" s="1081">
        <v>83272.3</v>
      </c>
      <c r="AV297" s="1081">
        <v>4710.7</v>
      </c>
      <c r="AW297" s="1081">
        <v>3146.6</v>
      </c>
      <c r="AX297" s="1081">
        <v>231.69</v>
      </c>
      <c r="AY297" s="1081">
        <v>140.13999999999999</v>
      </c>
      <c r="AZ297" s="1081">
        <v>928.81100000000004</v>
      </c>
      <c r="BA297" s="1081">
        <v>390.17200000000003</v>
      </c>
      <c r="BB297" s="1081">
        <v>1942.2</v>
      </c>
      <c r="BC297" s="1081">
        <v>3357</v>
      </c>
      <c r="BD297" s="1014">
        <v>527.6</v>
      </c>
      <c r="BE297" s="1081">
        <v>4909.43</v>
      </c>
      <c r="BF297" s="1081">
        <v>33978.912280701697</v>
      </c>
      <c r="BG297" s="1081">
        <v>8493.8512639897399</v>
      </c>
      <c r="BH297" s="1081">
        <v>5140.84</v>
      </c>
      <c r="BI297" s="1081">
        <v>2820600</v>
      </c>
      <c r="BJ297" s="1081">
        <v>622</v>
      </c>
      <c r="BK297" s="1081">
        <v>22111</v>
      </c>
      <c r="BL297" s="1081">
        <v>3767843</v>
      </c>
      <c r="BM297" s="1081">
        <v>155193</v>
      </c>
      <c r="BN297" s="1081">
        <v>23196</v>
      </c>
      <c r="BO297" s="1081">
        <v>3452812</v>
      </c>
      <c r="BP297" s="1081">
        <v>179401</v>
      </c>
      <c r="BQ297" s="1081">
        <v>20242.73</v>
      </c>
      <c r="BR297" s="1081">
        <v>9564.6</v>
      </c>
      <c r="BS297" s="1081">
        <v>6500.1</v>
      </c>
      <c r="BT297" s="1081">
        <v>1244016</v>
      </c>
      <c r="BU297" s="1081">
        <v>705665</v>
      </c>
      <c r="BV297" s="1081">
        <v>802185</v>
      </c>
      <c r="BW297" s="1081">
        <v>505640</v>
      </c>
      <c r="BX297" s="1324">
        <v>10</v>
      </c>
    </row>
    <row r="298" spans="1:76">
      <c r="A298" s="160">
        <v>45204</v>
      </c>
      <c r="B298" s="718">
        <v>1076.8489999999999</v>
      </c>
      <c r="C298" s="718">
        <v>594.17899999999997</v>
      </c>
      <c r="D298" s="1081">
        <v>6881.9</v>
      </c>
      <c r="E298" s="1311">
        <v>0</v>
      </c>
      <c r="F298" s="1081">
        <v>20062.400000000001</v>
      </c>
      <c r="G298" s="1081">
        <v>6151.3</v>
      </c>
      <c r="H298" s="1081">
        <v>28138</v>
      </c>
      <c r="I298" s="1081">
        <v>14033</v>
      </c>
      <c r="J298" s="1081">
        <v>209331.3</v>
      </c>
      <c r="K298" s="1014">
        <v>14969</v>
      </c>
      <c r="L298" s="1014">
        <v>7011.4</v>
      </c>
      <c r="M298" s="1014">
        <v>46196.1</v>
      </c>
      <c r="N298" s="1014">
        <v>36751.4</v>
      </c>
      <c r="O298" s="1081">
        <v>139474</v>
      </c>
      <c r="P298" s="1081">
        <v>115634</v>
      </c>
      <c r="Q298" s="1081">
        <v>142216</v>
      </c>
      <c r="R298" s="1081">
        <v>97580.5</v>
      </c>
      <c r="S298" s="1081">
        <v>14063.6</v>
      </c>
      <c r="T298" s="1081">
        <v>10680.14</v>
      </c>
      <c r="U298" s="1081">
        <v>71479</v>
      </c>
      <c r="V298" s="1081">
        <v>36772</v>
      </c>
      <c r="W298" s="1081">
        <v>214926.4</v>
      </c>
      <c r="X298" s="683">
        <v>345.9</v>
      </c>
      <c r="Y298" s="725">
        <v>50716</v>
      </c>
      <c r="Z298" s="250">
        <v>617116.5</v>
      </c>
      <c r="AA298" s="250">
        <v>314068.65999999997</v>
      </c>
      <c r="AB298" s="250">
        <v>214731</v>
      </c>
      <c r="AC298" s="683">
        <v>1112.4000000000001</v>
      </c>
      <c r="AD298" s="718">
        <v>942</v>
      </c>
      <c r="AE298" s="1081">
        <v>426.5</v>
      </c>
      <c r="AF298" s="1081">
        <v>311.3</v>
      </c>
      <c r="AG298" s="1081">
        <v>83644.3</v>
      </c>
      <c r="AH298" s="1081">
        <v>64650.2</v>
      </c>
      <c r="AI298" s="1081">
        <v>71638</v>
      </c>
      <c r="AJ298" s="1081">
        <v>58603.6</v>
      </c>
      <c r="AK298" s="1081">
        <v>61066.5</v>
      </c>
      <c r="AL298" s="1081">
        <v>24004</v>
      </c>
      <c r="AM298" s="250">
        <v>17</v>
      </c>
      <c r="AN298" s="250">
        <v>18.399999999999999</v>
      </c>
      <c r="AO298" s="1081">
        <v>517827</v>
      </c>
      <c r="AP298" s="1081">
        <v>238637</v>
      </c>
      <c r="AQ298" s="1081">
        <v>65892</v>
      </c>
      <c r="AR298" s="1081"/>
      <c r="AS298" s="1081">
        <v>482991</v>
      </c>
      <c r="AT298" s="1081">
        <v>212407</v>
      </c>
      <c r="AU298" s="1081">
        <v>83296.3</v>
      </c>
      <c r="AV298" s="1081">
        <v>4713.2</v>
      </c>
      <c r="AW298" s="1081">
        <v>3148.4</v>
      </c>
      <c r="AX298" s="1081">
        <v>231.69</v>
      </c>
      <c r="AY298" s="1081">
        <v>140.13999999999999</v>
      </c>
      <c r="AZ298" s="1081">
        <v>936.04</v>
      </c>
      <c r="BA298" s="1081">
        <v>392.96499999999997</v>
      </c>
      <c r="BB298" s="1081">
        <v>1949.9</v>
      </c>
      <c r="BC298" s="1081">
        <v>3359.4</v>
      </c>
      <c r="BD298" s="1081">
        <v>527.6</v>
      </c>
      <c r="BE298" s="1081">
        <v>4583.0600000000004</v>
      </c>
      <c r="BF298" s="1081">
        <v>34344.282456140398</v>
      </c>
      <c r="BG298" s="1081">
        <v>10593.0663941863</v>
      </c>
      <c r="BH298" s="1081">
        <v>5065.32</v>
      </c>
      <c r="BI298" s="1081">
        <v>2823000</v>
      </c>
      <c r="BJ298" s="1081">
        <v>623</v>
      </c>
      <c r="BK298" s="1081">
        <v>22135</v>
      </c>
      <c r="BL298" s="1081">
        <v>3773053</v>
      </c>
      <c r="BM298" s="1081">
        <v>156205</v>
      </c>
      <c r="BN298" s="1081">
        <v>23220</v>
      </c>
      <c r="BO298" s="1081">
        <v>3452812</v>
      </c>
      <c r="BP298" s="1081">
        <v>179401</v>
      </c>
      <c r="BQ298" s="1081">
        <v>20242.73</v>
      </c>
      <c r="BR298" s="1081">
        <v>9569.2999999999993</v>
      </c>
      <c r="BS298" s="1081">
        <v>6503.6</v>
      </c>
      <c r="BT298" s="1081">
        <v>1244474</v>
      </c>
      <c r="BU298" s="1081">
        <v>705938</v>
      </c>
      <c r="BV298" s="1081">
        <v>802999</v>
      </c>
      <c r="BW298" s="1081">
        <v>506128</v>
      </c>
      <c r="BX298" s="1324">
        <v>7</v>
      </c>
    </row>
    <row r="299" spans="1:76">
      <c r="A299" s="160">
        <v>45205</v>
      </c>
      <c r="B299" s="718">
        <v>1076.8489999999999</v>
      </c>
      <c r="C299" s="718">
        <v>594.17899999999997</v>
      </c>
      <c r="D299" s="1081">
        <v>6881.9</v>
      </c>
      <c r="E299" s="1311">
        <v>0</v>
      </c>
      <c r="F299" s="1081">
        <v>20073.8</v>
      </c>
      <c r="G299" s="1081">
        <v>6151.4</v>
      </c>
      <c r="H299" s="1081">
        <v>28304</v>
      </c>
      <c r="I299" s="1081">
        <v>14117</v>
      </c>
      <c r="J299" s="1081">
        <v>209355.3</v>
      </c>
      <c r="K299" s="1014">
        <v>14969</v>
      </c>
      <c r="L299" s="1014">
        <v>7011.4</v>
      </c>
      <c r="M299" s="1014">
        <v>46196.1</v>
      </c>
      <c r="N299" s="1014">
        <v>36751.4</v>
      </c>
      <c r="O299" s="1081">
        <v>139483</v>
      </c>
      <c r="P299" s="1081">
        <v>115641</v>
      </c>
      <c r="Q299" s="1081">
        <v>142231</v>
      </c>
      <c r="R299" s="1081">
        <v>97591.2</v>
      </c>
      <c r="S299" s="1081">
        <v>14063.6</v>
      </c>
      <c r="T299" s="1081">
        <v>10680.14</v>
      </c>
      <c r="U299" s="1081">
        <v>71917</v>
      </c>
      <c r="V299" s="1081">
        <v>37001</v>
      </c>
      <c r="W299" s="1081">
        <v>214950.39999999999</v>
      </c>
      <c r="X299" s="683">
        <v>345.9</v>
      </c>
      <c r="Y299" s="725">
        <v>50716</v>
      </c>
      <c r="Z299" s="250">
        <v>617116.5</v>
      </c>
      <c r="AA299" s="250">
        <v>314068.65999999997</v>
      </c>
      <c r="AB299" s="250">
        <v>214731</v>
      </c>
      <c r="AC299" s="683">
        <v>1112.4000000000001</v>
      </c>
      <c r="AD299" s="718">
        <v>942</v>
      </c>
      <c r="AE299" s="1081">
        <v>429.2</v>
      </c>
      <c r="AF299" s="1081">
        <v>313.10000000000002</v>
      </c>
      <c r="AG299" s="1081">
        <v>83652.800000000003</v>
      </c>
      <c r="AH299" s="1081">
        <v>64656.800000000003</v>
      </c>
      <c r="AI299" s="1081">
        <v>71676.899999999994</v>
      </c>
      <c r="AJ299" s="1081">
        <v>58637.1</v>
      </c>
      <c r="AK299" s="1081">
        <v>61076.3</v>
      </c>
      <c r="AL299" s="1081">
        <v>24007.7</v>
      </c>
      <c r="AM299" s="250">
        <v>17</v>
      </c>
      <c r="AN299" s="250">
        <v>18.399999999999999</v>
      </c>
      <c r="AO299" s="1081">
        <v>517986</v>
      </c>
      <c r="AP299" s="1081">
        <v>238710</v>
      </c>
      <c r="AQ299" s="1081">
        <v>65898</v>
      </c>
      <c r="AR299" s="1081"/>
      <c r="AS299" s="1081">
        <v>483141</v>
      </c>
      <c r="AT299" s="1081">
        <v>212472</v>
      </c>
      <c r="AU299" s="1081">
        <v>83320.3</v>
      </c>
      <c r="AV299" s="1081">
        <v>4715.6000000000004</v>
      </c>
      <c r="AW299" s="1081">
        <v>3150.1</v>
      </c>
      <c r="AX299" s="1081">
        <v>231.69</v>
      </c>
      <c r="AY299" s="1081">
        <v>140.13999999999999</v>
      </c>
      <c r="AZ299" s="1081">
        <v>946.673</v>
      </c>
      <c r="BA299" s="1081">
        <v>397.08199999999999</v>
      </c>
      <c r="BB299" s="1081">
        <v>1961.4</v>
      </c>
      <c r="BC299" s="1081">
        <v>3361.7</v>
      </c>
      <c r="BD299" s="1081">
        <v>527.70000000000005</v>
      </c>
      <c r="BE299" s="1081">
        <v>4296.8500000000004</v>
      </c>
      <c r="BF299" s="1081">
        <v>34103.778947368402</v>
      </c>
      <c r="BG299" s="1081">
        <v>8706.9000297009497</v>
      </c>
      <c r="BH299" s="1081">
        <v>5054.33</v>
      </c>
      <c r="BI299" s="1081">
        <v>2825400</v>
      </c>
      <c r="BJ299" s="1081">
        <v>624</v>
      </c>
      <c r="BK299" s="1081">
        <v>22159</v>
      </c>
      <c r="BL299" s="1081">
        <v>3778294</v>
      </c>
      <c r="BM299" s="1081">
        <v>157198</v>
      </c>
      <c r="BN299" s="1081">
        <v>23244</v>
      </c>
      <c r="BO299" s="1081">
        <v>3452812</v>
      </c>
      <c r="BP299" s="1081">
        <v>179401</v>
      </c>
      <c r="BQ299" s="1081">
        <v>20242.73</v>
      </c>
      <c r="BR299" s="1081">
        <v>9574.6</v>
      </c>
      <c r="BS299" s="1081">
        <v>6507.4</v>
      </c>
      <c r="BT299" s="1081">
        <v>1244895</v>
      </c>
      <c r="BU299" s="1081">
        <v>706195</v>
      </c>
      <c r="BV299" s="1081">
        <v>804079</v>
      </c>
      <c r="BW299" s="1081">
        <v>506793</v>
      </c>
      <c r="BX299" s="1324">
        <v>10.63</v>
      </c>
    </row>
    <row r="300" spans="1:76">
      <c r="A300" s="160">
        <v>45206</v>
      </c>
      <c r="B300" s="718">
        <v>1076.8489999999999</v>
      </c>
      <c r="C300" s="718">
        <v>594.17899999999997</v>
      </c>
      <c r="D300" s="1081">
        <v>6881.9</v>
      </c>
      <c r="E300" s="1311">
        <v>0</v>
      </c>
      <c r="F300" s="683">
        <v>20085.400000000001</v>
      </c>
      <c r="G300" s="683">
        <v>6151.4</v>
      </c>
      <c r="H300" s="250">
        <v>28466</v>
      </c>
      <c r="I300" s="250">
        <v>14197</v>
      </c>
      <c r="J300" s="250">
        <v>209379.3</v>
      </c>
      <c r="K300" s="1014">
        <v>14969.1</v>
      </c>
      <c r="L300" s="1014">
        <v>7011.4</v>
      </c>
      <c r="M300" s="1014">
        <v>46196.1</v>
      </c>
      <c r="N300" s="1014">
        <v>36751.4</v>
      </c>
      <c r="O300" s="250">
        <v>139492</v>
      </c>
      <c r="P300" s="250">
        <v>115648</v>
      </c>
      <c r="Q300" s="250">
        <v>142245</v>
      </c>
      <c r="R300" s="250">
        <v>97601</v>
      </c>
      <c r="S300" s="1081">
        <v>14063.6</v>
      </c>
      <c r="T300" s="1081">
        <v>10680.14</v>
      </c>
      <c r="U300" s="250">
        <v>72337</v>
      </c>
      <c r="V300" s="250">
        <v>37217</v>
      </c>
      <c r="W300" s="250">
        <v>214974.4</v>
      </c>
      <c r="X300" s="683">
        <v>345.9</v>
      </c>
      <c r="Y300" s="725">
        <v>50716</v>
      </c>
      <c r="Z300" s="250">
        <v>617116.5</v>
      </c>
      <c r="AA300" s="250">
        <v>314068.65999999997</v>
      </c>
      <c r="AB300" s="250">
        <v>214731</v>
      </c>
      <c r="AC300" s="683">
        <v>1112.4000000000001</v>
      </c>
      <c r="AD300" s="718">
        <v>942</v>
      </c>
      <c r="AE300" s="250">
        <v>431.6</v>
      </c>
      <c r="AF300" s="250">
        <v>314.89999999999998</v>
      </c>
      <c r="AG300" s="250">
        <v>83657.8</v>
      </c>
      <c r="AH300" s="250">
        <v>64660.6</v>
      </c>
      <c r="AI300" s="250">
        <v>71713.2</v>
      </c>
      <c r="AJ300" s="250">
        <v>58668.1</v>
      </c>
      <c r="AK300" s="250">
        <v>61086.8</v>
      </c>
      <c r="AL300" s="250">
        <v>24011.5</v>
      </c>
      <c r="AM300" s="250">
        <v>17</v>
      </c>
      <c r="AN300" s="250">
        <v>18.399999999999999</v>
      </c>
      <c r="AO300" s="1081">
        <v>518140</v>
      </c>
      <c r="AP300" s="1081">
        <v>238780</v>
      </c>
      <c r="AQ300" s="1081">
        <v>65903</v>
      </c>
      <c r="AR300" s="1081"/>
      <c r="AS300" s="1081">
        <v>483286</v>
      </c>
      <c r="AT300" s="1081">
        <v>212534</v>
      </c>
      <c r="AU300" s="1081">
        <v>83344.3</v>
      </c>
      <c r="AV300" s="1081">
        <v>4717.8</v>
      </c>
      <c r="AW300" s="1081">
        <v>3151.7</v>
      </c>
      <c r="AX300" s="1081">
        <v>231.69</v>
      </c>
      <c r="AY300" s="1081">
        <v>140.13999999999999</v>
      </c>
      <c r="AZ300" s="1081">
        <v>954.28099999999995</v>
      </c>
      <c r="BA300" s="1081">
        <v>400.029</v>
      </c>
      <c r="BB300" s="1398">
        <v>1969.6</v>
      </c>
      <c r="BC300" s="250">
        <v>3363.9</v>
      </c>
      <c r="BD300" s="1081">
        <v>527.70000000000005</v>
      </c>
      <c r="BE300" s="250">
        <v>4815.01</v>
      </c>
      <c r="BF300" s="250">
        <v>33799.482456140402</v>
      </c>
      <c r="BG300" s="250">
        <v>7911.81455450051</v>
      </c>
      <c r="BH300" s="250">
        <v>6305.57</v>
      </c>
      <c r="BI300" s="1014">
        <v>2827800</v>
      </c>
      <c r="BJ300" s="1014">
        <v>625</v>
      </c>
      <c r="BK300" s="1014">
        <v>22183</v>
      </c>
      <c r="BL300" s="1014">
        <v>3783341</v>
      </c>
      <c r="BM300" s="1014">
        <v>158126</v>
      </c>
      <c r="BN300" s="1014">
        <v>23268</v>
      </c>
      <c r="BO300" s="1081">
        <v>3452812</v>
      </c>
      <c r="BP300" s="1081">
        <v>179401</v>
      </c>
      <c r="BQ300" s="1081">
        <v>20242.73</v>
      </c>
      <c r="BR300" s="250">
        <v>9580.5</v>
      </c>
      <c r="BS300" s="250">
        <v>6511.3</v>
      </c>
      <c r="BT300" s="250">
        <v>1245272</v>
      </c>
      <c r="BU300" s="250">
        <v>706428</v>
      </c>
      <c r="BV300" s="250">
        <v>805106</v>
      </c>
      <c r="BW300" s="250">
        <v>507436</v>
      </c>
      <c r="BX300" s="1324">
        <v>7.6</v>
      </c>
    </row>
    <row r="301" spans="1:76">
      <c r="A301" s="160">
        <v>45207</v>
      </c>
      <c r="B301" s="718">
        <v>1076.8489999999999</v>
      </c>
      <c r="C301" s="718">
        <v>594.17899999999997</v>
      </c>
      <c r="D301" s="1081">
        <v>6881.9</v>
      </c>
      <c r="E301" s="1311">
        <v>0</v>
      </c>
      <c r="F301" s="683">
        <v>20097.599999999999</v>
      </c>
      <c r="G301" s="683">
        <v>6151.5</v>
      </c>
      <c r="H301" s="250">
        <v>28631</v>
      </c>
      <c r="I301" s="250">
        <v>14279</v>
      </c>
      <c r="J301" s="250">
        <v>209403.3</v>
      </c>
      <c r="K301" s="1014">
        <v>14969.1</v>
      </c>
      <c r="L301" s="1014">
        <v>7011.4</v>
      </c>
      <c r="M301" s="1014">
        <v>46196.1</v>
      </c>
      <c r="N301" s="1014">
        <v>36751.4</v>
      </c>
      <c r="O301" s="250">
        <v>139501</v>
      </c>
      <c r="P301" s="250">
        <v>115655</v>
      </c>
      <c r="Q301" s="250">
        <v>142260</v>
      </c>
      <c r="R301" s="250">
        <v>97611.4</v>
      </c>
      <c r="S301" s="1081">
        <v>14063.6</v>
      </c>
      <c r="T301" s="1081">
        <v>10680.14</v>
      </c>
      <c r="U301" s="250">
        <v>72764</v>
      </c>
      <c r="V301" s="250">
        <v>37439</v>
      </c>
      <c r="W301" s="250">
        <v>214998.39999999999</v>
      </c>
      <c r="X301" s="683">
        <v>345.9</v>
      </c>
      <c r="Y301" s="725">
        <v>50716</v>
      </c>
      <c r="Z301" s="250">
        <v>617116.5</v>
      </c>
      <c r="AA301" s="250">
        <v>314068.65999999997</v>
      </c>
      <c r="AB301" s="250">
        <v>214731</v>
      </c>
      <c r="AC301" s="683">
        <v>1112.4000000000001</v>
      </c>
      <c r="AD301" s="718">
        <v>942</v>
      </c>
      <c r="AE301" s="250">
        <v>434.1</v>
      </c>
      <c r="AF301" s="250">
        <v>316.7</v>
      </c>
      <c r="AG301" s="250">
        <v>83663.5</v>
      </c>
      <c r="AH301" s="250">
        <v>64664.9</v>
      </c>
      <c r="AI301" s="250">
        <v>71752</v>
      </c>
      <c r="AJ301" s="250">
        <v>58701.1</v>
      </c>
      <c r="AK301" s="250">
        <v>61092.800000000003</v>
      </c>
      <c r="AL301" s="250">
        <v>24013.7</v>
      </c>
      <c r="AM301" s="250">
        <v>17</v>
      </c>
      <c r="AN301" s="250">
        <v>18.399999999999999</v>
      </c>
      <c r="AO301" s="1081">
        <v>518302</v>
      </c>
      <c r="AP301" s="1081">
        <v>238854</v>
      </c>
      <c r="AQ301" s="1081">
        <v>65908</v>
      </c>
      <c r="AR301" s="1081"/>
      <c r="AS301" s="1081">
        <v>483436</v>
      </c>
      <c r="AT301" s="1081">
        <v>212600</v>
      </c>
      <c r="AU301" s="1081">
        <v>83368.3</v>
      </c>
      <c r="AV301" s="1081">
        <v>4720.3</v>
      </c>
      <c r="AW301" s="1081">
        <v>3153.5</v>
      </c>
      <c r="AX301" s="1081">
        <v>231.69</v>
      </c>
      <c r="AY301" s="1081">
        <v>140.13999999999999</v>
      </c>
      <c r="AZ301" s="1081">
        <v>960.53200000000004</v>
      </c>
      <c r="BA301" s="1081">
        <v>402.447</v>
      </c>
      <c r="BB301" s="1398">
        <v>1976.4</v>
      </c>
      <c r="BC301" s="250">
        <v>3366.3</v>
      </c>
      <c r="BD301" s="718">
        <v>527.70000000000005</v>
      </c>
      <c r="BE301" s="1014">
        <v>5015.2</v>
      </c>
      <c r="BF301" s="1412">
        <v>34034.828070175397</v>
      </c>
      <c r="BG301" s="1014">
        <v>9047.6811979679205</v>
      </c>
      <c r="BH301" s="1412">
        <v>4954.66</v>
      </c>
      <c r="BI301" s="1014">
        <v>2830200</v>
      </c>
      <c r="BJ301" s="1014">
        <v>626</v>
      </c>
      <c r="BK301" s="1014">
        <v>22207</v>
      </c>
      <c r="BL301" s="1014">
        <v>3788551</v>
      </c>
      <c r="BM301" s="1014">
        <v>159139</v>
      </c>
      <c r="BN301" s="1014">
        <v>23292</v>
      </c>
      <c r="BO301" s="1081">
        <v>3452812</v>
      </c>
      <c r="BP301" s="1081">
        <v>179401</v>
      </c>
      <c r="BQ301" s="1081">
        <v>20242.73</v>
      </c>
      <c r="BR301" s="250">
        <v>9586.4</v>
      </c>
      <c r="BS301" s="250">
        <v>6515.1</v>
      </c>
      <c r="BT301" s="250">
        <v>1245670</v>
      </c>
      <c r="BU301" s="250">
        <v>706671</v>
      </c>
      <c r="BV301" s="250">
        <v>806166</v>
      </c>
      <c r="BW301" s="250">
        <v>508097</v>
      </c>
      <c r="BX301" s="1324">
        <v>6.3</v>
      </c>
    </row>
    <row r="302" spans="1:76">
      <c r="A302" s="160">
        <v>45208</v>
      </c>
      <c r="B302" s="718">
        <v>1076.8489999999999</v>
      </c>
      <c r="C302" s="718">
        <v>594.17899999999997</v>
      </c>
      <c r="D302" s="1081">
        <v>6881.9</v>
      </c>
      <c r="E302" s="1311">
        <v>0</v>
      </c>
      <c r="F302" s="1014">
        <v>20109.5</v>
      </c>
      <c r="G302" s="1014">
        <v>6151.6</v>
      </c>
      <c r="H302" s="1014">
        <v>28794</v>
      </c>
      <c r="I302" s="1014">
        <v>14360</v>
      </c>
      <c r="J302" s="1014">
        <v>209427.3</v>
      </c>
      <c r="K302" s="1014">
        <v>14969.2</v>
      </c>
      <c r="L302" s="1014">
        <v>7011.4</v>
      </c>
      <c r="M302" s="1014">
        <v>46196.1</v>
      </c>
      <c r="N302" s="1014">
        <v>36751.4</v>
      </c>
      <c r="O302" s="1014">
        <v>139510</v>
      </c>
      <c r="P302" s="1014">
        <v>115663</v>
      </c>
      <c r="Q302" s="1014">
        <v>142275</v>
      </c>
      <c r="R302" s="1014">
        <v>97621.6</v>
      </c>
      <c r="S302" s="1081">
        <v>14063.6</v>
      </c>
      <c r="T302" s="1081">
        <v>10680.14</v>
      </c>
      <c r="U302" s="1014">
        <v>73188</v>
      </c>
      <c r="V302" s="1014">
        <v>37659</v>
      </c>
      <c r="W302" s="1014">
        <v>215022.4</v>
      </c>
      <c r="X302" s="683">
        <v>345.9</v>
      </c>
      <c r="Y302" s="725">
        <v>50716</v>
      </c>
      <c r="Z302" s="250">
        <v>617116.5</v>
      </c>
      <c r="AA302" s="250">
        <v>314068.65999999997</v>
      </c>
      <c r="AB302" s="250">
        <v>214731</v>
      </c>
      <c r="AC302" s="683">
        <v>1112.4000000000001</v>
      </c>
      <c r="AD302" s="718">
        <v>942</v>
      </c>
      <c r="AE302" s="1081">
        <v>436.9</v>
      </c>
      <c r="AF302" s="1014">
        <v>318.60000000000002</v>
      </c>
      <c r="AG302" s="1014">
        <v>83669</v>
      </c>
      <c r="AH302" s="1014">
        <v>64669</v>
      </c>
      <c r="AI302" s="1014">
        <v>71791.3</v>
      </c>
      <c r="AJ302" s="1014">
        <v>58734.1</v>
      </c>
      <c r="AK302" s="250">
        <v>61101.5</v>
      </c>
      <c r="AL302" s="250">
        <v>24016.799999999999</v>
      </c>
      <c r="AM302" s="250">
        <v>17</v>
      </c>
      <c r="AN302" s="250">
        <v>18.399999999999999</v>
      </c>
      <c r="AO302" s="1081">
        <v>518456</v>
      </c>
      <c r="AP302" s="1081">
        <v>238924</v>
      </c>
      <c r="AQ302" s="1081">
        <v>65913</v>
      </c>
      <c r="AR302" s="1081"/>
      <c r="AS302" s="1081">
        <v>483585</v>
      </c>
      <c r="AT302" s="1081">
        <v>212665</v>
      </c>
      <c r="AU302" s="1081">
        <v>83392.3</v>
      </c>
      <c r="AV302" s="1081">
        <v>4722.8</v>
      </c>
      <c r="AW302" s="1081">
        <v>3155.3</v>
      </c>
      <c r="AX302" s="1081">
        <v>231.69</v>
      </c>
      <c r="AY302" s="1081">
        <v>140.13999999999999</v>
      </c>
      <c r="AZ302" s="1081">
        <v>973.47900000000004</v>
      </c>
      <c r="BA302" s="1081">
        <v>407.46</v>
      </c>
      <c r="BB302" s="1398">
        <v>1990.5</v>
      </c>
      <c r="BC302" s="1014">
        <v>3368.7</v>
      </c>
      <c r="BD302" s="718">
        <v>527.70000000000005</v>
      </c>
      <c r="BE302" s="250">
        <v>5361.94</v>
      </c>
      <c r="BF302" s="1014">
        <v>33875.336842105302</v>
      </c>
      <c r="BG302" s="1014">
        <v>9208.0064381614393</v>
      </c>
      <c r="BH302" s="1014">
        <v>4511.6099999999997</v>
      </c>
      <c r="BI302" s="1014">
        <v>2832600</v>
      </c>
      <c r="BJ302" s="1014">
        <v>627</v>
      </c>
      <c r="BK302" s="1014">
        <v>22231</v>
      </c>
      <c r="BL302" s="1014">
        <v>3793735</v>
      </c>
      <c r="BM302" s="1014">
        <v>160086</v>
      </c>
      <c r="BN302" s="1014">
        <v>23316</v>
      </c>
      <c r="BO302" s="1081">
        <v>3452812</v>
      </c>
      <c r="BP302" s="1081">
        <v>179401</v>
      </c>
      <c r="BQ302" s="1081">
        <v>20242.73</v>
      </c>
      <c r="BR302" s="1014">
        <v>9592.2000000000007</v>
      </c>
      <c r="BS302" s="1014">
        <v>6518.9</v>
      </c>
      <c r="BT302" s="1014">
        <v>1246101</v>
      </c>
      <c r="BU302" s="1014">
        <v>706934</v>
      </c>
      <c r="BV302" s="1014">
        <v>807231</v>
      </c>
      <c r="BW302" s="1014">
        <v>508758</v>
      </c>
      <c r="BX302" s="1324">
        <v>12.9</v>
      </c>
    </row>
    <row r="303" spans="1:76">
      <c r="A303" s="160">
        <v>45209</v>
      </c>
      <c r="B303" s="718">
        <v>1076.8489999999999</v>
      </c>
      <c r="C303" s="718">
        <v>594.17899999999997</v>
      </c>
      <c r="D303" s="1081">
        <v>6881.9</v>
      </c>
      <c r="E303" s="1311">
        <v>0</v>
      </c>
      <c r="F303" s="1014">
        <v>20121.400000000001</v>
      </c>
      <c r="G303" s="1014">
        <v>6151.7</v>
      </c>
      <c r="H303" s="1014">
        <v>28958</v>
      </c>
      <c r="I303" s="1014">
        <v>14442</v>
      </c>
      <c r="J303" s="1081">
        <v>209451.3</v>
      </c>
      <c r="K303" s="1014">
        <v>14969.2</v>
      </c>
      <c r="L303" s="1014">
        <v>7011.4</v>
      </c>
      <c r="M303" s="1014">
        <v>46196.1</v>
      </c>
      <c r="N303" s="1014">
        <v>36751.4</v>
      </c>
      <c r="O303" s="1014">
        <v>139520</v>
      </c>
      <c r="P303" s="1014">
        <v>115671</v>
      </c>
      <c r="Q303" s="1014">
        <v>142292</v>
      </c>
      <c r="R303" s="1014">
        <v>97632.4</v>
      </c>
      <c r="S303" s="1081">
        <v>14063.6</v>
      </c>
      <c r="T303" s="1081">
        <v>10680.14</v>
      </c>
      <c r="U303" s="1014">
        <v>73616</v>
      </c>
      <c r="V303" s="1014">
        <v>37882</v>
      </c>
      <c r="W303" s="1014">
        <v>215046.39999999999</v>
      </c>
      <c r="X303" s="683">
        <v>345.9</v>
      </c>
      <c r="Y303" s="725">
        <v>50716</v>
      </c>
      <c r="Z303" s="250">
        <v>617116.5</v>
      </c>
      <c r="AA303" s="250">
        <v>314068.65999999997</v>
      </c>
      <c r="AB303" s="250">
        <v>214731</v>
      </c>
      <c r="AC303" s="683">
        <v>1112.4000000000001</v>
      </c>
      <c r="AD303" s="718">
        <v>942</v>
      </c>
      <c r="AE303" s="1014">
        <v>440.02</v>
      </c>
      <c r="AF303" s="1014">
        <v>320.7</v>
      </c>
      <c r="AG303" s="1014">
        <v>83674.7</v>
      </c>
      <c r="AH303" s="1014">
        <v>64673.2</v>
      </c>
      <c r="AI303" s="1014">
        <v>71829.899999999994</v>
      </c>
      <c r="AJ303" s="1014">
        <v>58766.5</v>
      </c>
      <c r="AK303" s="1014">
        <v>61113</v>
      </c>
      <c r="AL303" s="1014">
        <v>24021.4</v>
      </c>
      <c r="AM303" s="250">
        <v>17</v>
      </c>
      <c r="AN303" s="250">
        <v>18.399999999999999</v>
      </c>
      <c r="AO303" s="1081">
        <v>518610</v>
      </c>
      <c r="AP303" s="1081">
        <v>238994</v>
      </c>
      <c r="AQ303" s="1081">
        <v>65918</v>
      </c>
      <c r="AR303" s="1081"/>
      <c r="AS303" s="1081">
        <v>483735</v>
      </c>
      <c r="AT303" s="1081">
        <v>212729</v>
      </c>
      <c r="AU303" s="1081">
        <v>83416.3</v>
      </c>
      <c r="AV303" s="1081">
        <v>4725.5</v>
      </c>
      <c r="AW303" s="1081">
        <v>3157.2</v>
      </c>
      <c r="AX303" s="1081">
        <v>231.69</v>
      </c>
      <c r="AY303" s="1081">
        <v>140.13999999999999</v>
      </c>
      <c r="AZ303" s="1081">
        <v>986.79200000000003</v>
      </c>
      <c r="BA303" s="1081">
        <v>412.65600000000001</v>
      </c>
      <c r="BB303" s="1398">
        <v>2002.9</v>
      </c>
      <c r="BC303" s="1014">
        <v>3371</v>
      </c>
      <c r="BD303" s="718">
        <v>527.70000000000005</v>
      </c>
      <c r="BE303" s="1014">
        <v>5237.03</v>
      </c>
      <c r="BF303" s="1014">
        <v>33976.835087719301</v>
      </c>
      <c r="BG303" s="1014">
        <v>8236.5189007397203</v>
      </c>
      <c r="BH303" s="1014">
        <v>4960.3100000000004</v>
      </c>
      <c r="BI303" s="1014">
        <v>2835000</v>
      </c>
      <c r="BJ303" s="1014">
        <v>628</v>
      </c>
      <c r="BK303" s="1014">
        <v>22255</v>
      </c>
      <c r="BL303" s="1014">
        <v>3798904</v>
      </c>
      <c r="BM303" s="1014">
        <v>161070</v>
      </c>
      <c r="BN303" s="1014">
        <v>23340</v>
      </c>
      <c r="BO303" s="1081">
        <v>3452812</v>
      </c>
      <c r="BP303" s="1081">
        <v>179401</v>
      </c>
      <c r="BQ303" s="1081">
        <v>20242.73</v>
      </c>
      <c r="BR303" s="1014">
        <v>9597.9</v>
      </c>
      <c r="BS303" s="1014">
        <v>6522.5</v>
      </c>
      <c r="BT303" s="1014">
        <v>1246431</v>
      </c>
      <c r="BU303" s="1014">
        <v>707145</v>
      </c>
      <c r="BV303" s="1014">
        <v>808278</v>
      </c>
      <c r="BW303" s="1014">
        <v>509412</v>
      </c>
      <c r="BX303" s="1324">
        <v>13.3</v>
      </c>
    </row>
    <row r="304" spans="1:76">
      <c r="A304" s="160">
        <v>45210</v>
      </c>
      <c r="B304" s="718">
        <v>1077.098</v>
      </c>
      <c r="C304" s="718">
        <v>594.30499999999995</v>
      </c>
      <c r="D304" s="1081">
        <v>6883.2</v>
      </c>
      <c r="E304" s="1311">
        <v>0.2</v>
      </c>
      <c r="F304" s="1081">
        <v>20133.599999999999</v>
      </c>
      <c r="G304" s="1081">
        <v>6151.7</v>
      </c>
      <c r="H304" s="1081">
        <v>29124</v>
      </c>
      <c r="I304" s="1081">
        <v>14524</v>
      </c>
      <c r="J304" s="1081">
        <v>209475.3</v>
      </c>
      <c r="K304" s="1014">
        <v>14969.2</v>
      </c>
      <c r="L304" s="1014">
        <v>7011.4</v>
      </c>
      <c r="M304" s="1014">
        <v>46196.1</v>
      </c>
      <c r="N304" s="1014">
        <v>36751.4</v>
      </c>
      <c r="O304" s="1081">
        <v>139530</v>
      </c>
      <c r="P304" s="1081">
        <v>115679</v>
      </c>
      <c r="Q304" s="1081">
        <v>142306</v>
      </c>
      <c r="R304" s="1081">
        <v>97642.5</v>
      </c>
      <c r="S304" s="1081">
        <v>14063.6</v>
      </c>
      <c r="T304" s="1081">
        <v>10680.14</v>
      </c>
      <c r="U304" s="1081">
        <v>74002</v>
      </c>
      <c r="V304" s="1081">
        <v>38081</v>
      </c>
      <c r="W304" s="1081">
        <v>215070.4</v>
      </c>
      <c r="X304" s="683">
        <v>345.9</v>
      </c>
      <c r="Y304" s="725">
        <v>50716</v>
      </c>
      <c r="Z304" s="250">
        <v>617178</v>
      </c>
      <c r="AA304" s="250">
        <v>314098</v>
      </c>
      <c r="AB304" s="250">
        <v>214777</v>
      </c>
      <c r="AC304" s="683">
        <v>1113.2</v>
      </c>
      <c r="AD304" s="718">
        <v>1676</v>
      </c>
      <c r="AE304" s="1081">
        <v>443.3</v>
      </c>
      <c r="AF304" s="1081">
        <v>323</v>
      </c>
      <c r="AG304" s="1081">
        <v>83682.8</v>
      </c>
      <c r="AH304" s="1081">
        <v>64679.5</v>
      </c>
      <c r="AI304" s="1081">
        <v>71869.5</v>
      </c>
      <c r="AJ304" s="1081">
        <v>58800.1</v>
      </c>
      <c r="AK304" s="1081">
        <v>61127.199999999997</v>
      </c>
      <c r="AL304" s="1081">
        <v>24027</v>
      </c>
      <c r="AM304" s="250">
        <v>17</v>
      </c>
      <c r="AN304" s="250">
        <v>18.399999999999999</v>
      </c>
      <c r="AO304" s="1081">
        <v>518775</v>
      </c>
      <c r="AP304" s="1081">
        <v>239070</v>
      </c>
      <c r="AQ304" s="1081">
        <v>65923</v>
      </c>
      <c r="AR304" s="1081"/>
      <c r="AS304" s="1081">
        <v>483885</v>
      </c>
      <c r="AT304" s="1081">
        <v>212793</v>
      </c>
      <c r="AU304" s="1081">
        <v>83440.3</v>
      </c>
      <c r="AV304" s="1081">
        <v>4728.7</v>
      </c>
      <c r="AW304" s="1081">
        <v>3159.4</v>
      </c>
      <c r="AX304" s="1081">
        <v>231.69</v>
      </c>
      <c r="AY304" s="1081">
        <v>140.13999999999999</v>
      </c>
      <c r="AZ304" s="1081">
        <v>990.40599999999995</v>
      </c>
      <c r="BA304" s="1081">
        <v>414.06400000000002</v>
      </c>
      <c r="BB304" s="1398">
        <v>2006.4</v>
      </c>
      <c r="BC304" s="1081">
        <v>3371.8</v>
      </c>
      <c r="BD304" s="718">
        <v>527.70000000000005</v>
      </c>
      <c r="BE304" s="1081">
        <v>5625</v>
      </c>
      <c r="BF304" s="1081">
        <v>34071.743859649097</v>
      </c>
      <c r="BG304" s="1081">
        <v>8819.4757855975495</v>
      </c>
      <c r="BH304" s="1081">
        <v>4906.8100000000004</v>
      </c>
      <c r="BI304" s="1014">
        <v>2837400</v>
      </c>
      <c r="BJ304" s="1014">
        <v>629</v>
      </c>
      <c r="BK304" s="1014">
        <v>22279</v>
      </c>
      <c r="BL304" s="1081">
        <v>3804130</v>
      </c>
      <c r="BM304" s="1081">
        <v>162068</v>
      </c>
      <c r="BN304" s="1081">
        <v>23364</v>
      </c>
      <c r="BO304" s="1081">
        <v>3452812</v>
      </c>
      <c r="BP304" s="1081">
        <v>179401</v>
      </c>
      <c r="BQ304" s="1081">
        <v>20242.73</v>
      </c>
      <c r="BR304" s="1081">
        <v>9603.5</v>
      </c>
      <c r="BS304" s="1081">
        <v>6526.2</v>
      </c>
      <c r="BT304" s="1081">
        <v>1246814</v>
      </c>
      <c r="BU304" s="1081">
        <v>707381</v>
      </c>
      <c r="BV304" s="1081">
        <v>809355</v>
      </c>
      <c r="BW304" s="1081">
        <v>510082</v>
      </c>
      <c r="BX304" s="1324">
        <v>3.6</v>
      </c>
    </row>
    <row r="305" spans="1:76">
      <c r="A305" s="160">
        <v>45211</v>
      </c>
      <c r="B305" s="718">
        <v>1077.098</v>
      </c>
      <c r="C305" s="718">
        <v>594.30499999999995</v>
      </c>
      <c r="D305" s="1081">
        <v>6884.2</v>
      </c>
      <c r="E305" s="1311">
        <v>0</v>
      </c>
      <c r="F305" s="1081">
        <v>20145.599999999999</v>
      </c>
      <c r="G305" s="1081">
        <v>6151.8</v>
      </c>
      <c r="H305" s="1081">
        <v>29291.8</v>
      </c>
      <c r="I305" s="1081">
        <v>14606.5</v>
      </c>
      <c r="J305" s="1081">
        <v>209499.3</v>
      </c>
      <c r="K305" s="1014">
        <v>14969.3</v>
      </c>
      <c r="L305" s="1014">
        <v>7011.4</v>
      </c>
      <c r="M305" s="1014">
        <v>46196.1</v>
      </c>
      <c r="N305" s="1014">
        <v>36751.4</v>
      </c>
      <c r="O305" s="1081">
        <v>139538.43</v>
      </c>
      <c r="P305" s="1081">
        <v>115685.79</v>
      </c>
      <c r="Q305" s="1081">
        <v>142322.07999999999</v>
      </c>
      <c r="R305" s="1081">
        <v>97652.69</v>
      </c>
      <c r="S305" s="1081">
        <v>14063.6</v>
      </c>
      <c r="T305" s="1081">
        <v>10680.14</v>
      </c>
      <c r="U305" s="1081">
        <v>74241.87</v>
      </c>
      <c r="V305" s="1081">
        <v>38203</v>
      </c>
      <c r="W305" s="1081">
        <v>215094.39999999999</v>
      </c>
      <c r="X305" s="683">
        <v>345.9</v>
      </c>
      <c r="Y305" s="725">
        <v>50716</v>
      </c>
      <c r="Z305" s="1081">
        <v>617377.69999999995</v>
      </c>
      <c r="AA305" s="1081">
        <v>314195.53000000003</v>
      </c>
      <c r="AB305" s="1081">
        <v>214801</v>
      </c>
      <c r="AC305" s="683">
        <v>1113.2</v>
      </c>
      <c r="AD305" s="718">
        <v>1676</v>
      </c>
      <c r="AE305" s="1081">
        <v>446.7</v>
      </c>
      <c r="AF305" s="1081">
        <v>325.58999999999997</v>
      </c>
      <c r="AG305" s="1081">
        <v>83691.350000000006</v>
      </c>
      <c r="AH305" s="1081">
        <v>64686.13</v>
      </c>
      <c r="AI305" s="1081">
        <v>71908.67</v>
      </c>
      <c r="AJ305" s="1081">
        <v>58832.99</v>
      </c>
      <c r="AK305" s="1081">
        <v>61130.1</v>
      </c>
      <c r="AL305" s="1081">
        <v>24028.1</v>
      </c>
      <c r="AM305" s="250">
        <v>17</v>
      </c>
      <c r="AN305" s="250">
        <v>18.399999999999999</v>
      </c>
      <c r="AO305" s="1081">
        <v>518940.9</v>
      </c>
      <c r="AP305" s="1081">
        <v>239143.6</v>
      </c>
      <c r="AQ305" s="1081">
        <v>65929.248000000007</v>
      </c>
      <c r="AR305" s="1081"/>
      <c r="AS305" s="1081">
        <v>484036.2</v>
      </c>
      <c r="AT305" s="1081">
        <v>212859.6</v>
      </c>
      <c r="AU305" s="1081">
        <v>83464.3</v>
      </c>
      <c r="AV305" s="1081">
        <v>4732.3</v>
      </c>
      <c r="AW305" s="1081">
        <v>3161.8</v>
      </c>
      <c r="AX305" s="1081">
        <v>231.69</v>
      </c>
      <c r="AY305" s="1081">
        <v>140.13999999999999</v>
      </c>
      <c r="AZ305" s="1081">
        <v>990.40599999999995</v>
      </c>
      <c r="BA305" s="1081">
        <v>414.06400000000002</v>
      </c>
      <c r="BB305" s="1398">
        <v>2006.4</v>
      </c>
      <c r="BC305" s="1081">
        <v>3371.8</v>
      </c>
      <c r="BD305" s="718">
        <v>527.70000000000005</v>
      </c>
      <c r="BE305" s="1081">
        <v>5066.88</v>
      </c>
      <c r="BF305" s="1081">
        <v>33839.454385964898</v>
      </c>
      <c r="BG305" s="1081">
        <v>7513.2508614753597</v>
      </c>
      <c r="BH305" s="1081">
        <v>5317.11</v>
      </c>
      <c r="BI305" s="1014">
        <v>2840064</v>
      </c>
      <c r="BJ305" s="1014">
        <v>630</v>
      </c>
      <c r="BK305" s="1014">
        <v>22303</v>
      </c>
      <c r="BL305" s="1081">
        <v>3809369</v>
      </c>
      <c r="BM305" s="1081">
        <v>163079</v>
      </c>
      <c r="BN305" s="1081">
        <v>23388</v>
      </c>
      <c r="BO305" s="1081">
        <v>3452812</v>
      </c>
      <c r="BP305" s="1081">
        <v>179401</v>
      </c>
      <c r="BQ305" s="1081">
        <v>20242.73</v>
      </c>
      <c r="BR305" s="1081">
        <v>9609.2000000000007</v>
      </c>
      <c r="BS305" s="1081">
        <v>6529.9</v>
      </c>
      <c r="BT305" s="1081">
        <v>1247225</v>
      </c>
      <c r="BU305" s="1081">
        <v>707628</v>
      </c>
      <c r="BV305" s="1081">
        <v>810390</v>
      </c>
      <c r="BW305" s="1081">
        <v>510719</v>
      </c>
      <c r="BX305" s="1324">
        <v>0</v>
      </c>
    </row>
    <row r="306" spans="1:76">
      <c r="A306" s="160">
        <v>45212</v>
      </c>
      <c r="B306" s="1081">
        <v>1077.2629999999999</v>
      </c>
      <c r="C306" s="1081">
        <v>594.38499999999999</v>
      </c>
      <c r="D306" s="1081">
        <v>6884.7</v>
      </c>
      <c r="E306" s="1311">
        <v>0.2</v>
      </c>
      <c r="F306" s="1081">
        <v>20157.2</v>
      </c>
      <c r="G306" s="1081">
        <v>6151.8</v>
      </c>
      <c r="H306" s="1081">
        <v>29454.54</v>
      </c>
      <c r="I306" s="1081">
        <v>14686.5</v>
      </c>
      <c r="J306" s="1081">
        <v>209523.3</v>
      </c>
      <c r="K306" s="1014">
        <v>14969.3</v>
      </c>
      <c r="L306" s="1014">
        <v>7011.4</v>
      </c>
      <c r="M306" s="1014">
        <v>46196.1</v>
      </c>
      <c r="N306" s="1014">
        <v>36751.4</v>
      </c>
      <c r="O306" s="1081">
        <v>139547.16</v>
      </c>
      <c r="P306" s="1081">
        <v>115692.71</v>
      </c>
      <c r="Q306" s="1081">
        <v>142336.95999999999</v>
      </c>
      <c r="R306" s="1081">
        <v>97662.62</v>
      </c>
      <c r="S306" s="1081">
        <v>14063.6</v>
      </c>
      <c r="T306" s="1081">
        <v>10680.14</v>
      </c>
      <c r="U306" s="1081">
        <v>74536.86</v>
      </c>
      <c r="V306" s="1081">
        <v>38352.480000000003</v>
      </c>
      <c r="W306" s="1081">
        <v>215118.4</v>
      </c>
      <c r="X306" s="683">
        <v>345.9</v>
      </c>
      <c r="Y306" s="725">
        <v>50716</v>
      </c>
      <c r="Z306" s="1081">
        <v>617518.6</v>
      </c>
      <c r="AA306" s="1081">
        <v>314264.32000000001</v>
      </c>
      <c r="AB306" s="1081">
        <v>214825</v>
      </c>
      <c r="AC306" s="683">
        <v>1113.2</v>
      </c>
      <c r="AD306" s="718">
        <v>1676</v>
      </c>
      <c r="AE306" s="1081">
        <v>450.18</v>
      </c>
      <c r="AF306" s="1081">
        <v>328.13</v>
      </c>
      <c r="AG306" s="1081">
        <v>83699.73</v>
      </c>
      <c r="AH306" s="1081">
        <v>64692.6</v>
      </c>
      <c r="AI306" s="1081">
        <v>71946.8</v>
      </c>
      <c r="AJ306" s="1081">
        <v>58865.1</v>
      </c>
      <c r="AK306" s="1081">
        <v>61139.5</v>
      </c>
      <c r="AL306" s="1081">
        <v>24031.8</v>
      </c>
      <c r="AM306" s="250">
        <v>17</v>
      </c>
      <c r="AN306" s="250">
        <v>18.399999999999999</v>
      </c>
      <c r="AO306" s="1081">
        <v>519103.4</v>
      </c>
      <c r="AP306" s="1081">
        <v>239216.7</v>
      </c>
      <c r="AQ306" s="1081">
        <v>65934.37</v>
      </c>
      <c r="AR306" s="1081"/>
      <c r="AS306" s="1081">
        <v>484184.2</v>
      </c>
      <c r="AT306" s="1081">
        <v>212923.5</v>
      </c>
      <c r="AU306" s="1081">
        <v>83488.3</v>
      </c>
      <c r="AV306" s="1081">
        <v>4736.67</v>
      </c>
      <c r="AW306" s="1081">
        <v>3164.79</v>
      </c>
      <c r="AX306" s="1081">
        <v>231.69</v>
      </c>
      <c r="AY306" s="1081">
        <v>140.13999999999999</v>
      </c>
      <c r="AZ306" s="1081">
        <v>990.40599999999995</v>
      </c>
      <c r="BA306" s="1081">
        <v>414.06400000000002</v>
      </c>
      <c r="BB306" s="1398">
        <v>2006.4</v>
      </c>
      <c r="BC306" s="1081">
        <v>3371.8</v>
      </c>
      <c r="BD306" s="718">
        <v>527.70000000000005</v>
      </c>
      <c r="BE306" s="1081">
        <v>5005.4799999999996</v>
      </c>
      <c r="BF306" s="1081">
        <v>34207.199999999997</v>
      </c>
      <c r="BG306" s="1081">
        <v>9614.0328609256667</v>
      </c>
      <c r="BH306" s="1081">
        <v>4533.9600000000009</v>
      </c>
      <c r="BI306" s="1014">
        <v>2842704</v>
      </c>
      <c r="BJ306" s="1014">
        <v>631</v>
      </c>
      <c r="BK306" s="1014">
        <v>22327</v>
      </c>
      <c r="BL306" s="1081">
        <v>3814495</v>
      </c>
      <c r="BM306" s="1081">
        <v>164031</v>
      </c>
      <c r="BN306" s="1081">
        <v>23412</v>
      </c>
      <c r="BO306" s="1081">
        <v>3452812</v>
      </c>
      <c r="BP306" s="1081">
        <v>179401</v>
      </c>
      <c r="BQ306" s="1081">
        <v>20242.73</v>
      </c>
      <c r="BR306" s="1081">
        <v>9615</v>
      </c>
      <c r="BS306" s="1081">
        <v>6533.67</v>
      </c>
      <c r="BT306" s="1081">
        <v>1247596</v>
      </c>
      <c r="BU306" s="1081">
        <v>707851</v>
      </c>
      <c r="BV306" s="1081">
        <v>811354</v>
      </c>
      <c r="BW306" s="1081">
        <v>511308</v>
      </c>
      <c r="BX306" s="1324">
        <v>0</v>
      </c>
    </row>
    <row r="307" spans="1:76">
      <c r="A307" s="160">
        <v>45213</v>
      </c>
      <c r="B307" s="1081">
        <v>1077.2629999999999</v>
      </c>
      <c r="C307" s="1081">
        <v>594.38499999999999</v>
      </c>
      <c r="D307" s="1081">
        <v>6884.7</v>
      </c>
      <c r="E307" s="1311">
        <v>0</v>
      </c>
      <c r="F307" s="1081">
        <v>20169.3</v>
      </c>
      <c r="G307" s="1081">
        <v>6151.9</v>
      </c>
      <c r="H307" s="1081">
        <v>29624.6</v>
      </c>
      <c r="I307" s="1081">
        <v>14769.5</v>
      </c>
      <c r="J307" s="1081">
        <v>209547.3</v>
      </c>
      <c r="K307" s="1081">
        <v>14969.4</v>
      </c>
      <c r="L307" s="1081">
        <v>7011.4</v>
      </c>
      <c r="M307" s="1014">
        <v>46196.1</v>
      </c>
      <c r="N307" s="1014">
        <v>36751.4</v>
      </c>
      <c r="O307" s="1081">
        <v>139556.4</v>
      </c>
      <c r="P307" s="1081">
        <v>115700</v>
      </c>
      <c r="Q307" s="1081">
        <v>142351.4</v>
      </c>
      <c r="R307" s="1081">
        <v>97672.6</v>
      </c>
      <c r="S307" s="1081">
        <v>14063.6</v>
      </c>
      <c r="T307" s="1081">
        <v>10680.14</v>
      </c>
      <c r="U307" s="1081">
        <v>74839.100000000006</v>
      </c>
      <c r="V307" s="1081">
        <v>38507.5</v>
      </c>
      <c r="W307" s="1081">
        <v>215142.39999999999</v>
      </c>
      <c r="X307" s="683">
        <v>345.9</v>
      </c>
      <c r="Y307" s="725">
        <v>50716</v>
      </c>
      <c r="Z307" s="1081">
        <v>617667</v>
      </c>
      <c r="AA307" s="1081">
        <v>314333.7</v>
      </c>
      <c r="AB307" s="1081">
        <v>214849</v>
      </c>
      <c r="AC307" s="683">
        <v>1113.2</v>
      </c>
      <c r="AD307" s="718">
        <v>1676</v>
      </c>
      <c r="AE307" s="1081">
        <v>453.6</v>
      </c>
      <c r="AF307" s="1081">
        <v>330.6</v>
      </c>
      <c r="AG307" s="1081">
        <v>83708.5</v>
      </c>
      <c r="AH307" s="1081">
        <v>64699.3</v>
      </c>
      <c r="AI307" s="1081">
        <v>71983.399999999994</v>
      </c>
      <c r="AJ307" s="1081">
        <v>58896.1</v>
      </c>
      <c r="AK307" s="1081">
        <v>61151.6</v>
      </c>
      <c r="AL307" s="1081">
        <v>24036.6</v>
      </c>
      <c r="AM307" s="250">
        <v>17</v>
      </c>
      <c r="AN307" s="250">
        <v>18.399999999999999</v>
      </c>
      <c r="AO307" s="1081">
        <v>519271.1</v>
      </c>
      <c r="AP307" s="1081">
        <v>239292.4</v>
      </c>
      <c r="AQ307" s="1081">
        <v>65938.3</v>
      </c>
      <c r="AR307" s="1081"/>
      <c r="AS307" s="1081">
        <v>484331.3</v>
      </c>
      <c r="AT307" s="1081">
        <v>212987</v>
      </c>
      <c r="AU307" s="1081">
        <v>83512.3</v>
      </c>
      <c r="AV307" s="1081">
        <v>4740.8999999999996</v>
      </c>
      <c r="AW307" s="1081">
        <v>3167.6</v>
      </c>
      <c r="AX307" s="1081">
        <v>231.69</v>
      </c>
      <c r="AY307" s="1081">
        <v>140.13999999999999</v>
      </c>
      <c r="AZ307" s="1081">
        <v>990.40599999999995</v>
      </c>
      <c r="BA307" s="1081">
        <v>414.06400000000002</v>
      </c>
      <c r="BB307" s="1398">
        <v>2006.4</v>
      </c>
      <c r="BC307" s="1081">
        <v>3371.8</v>
      </c>
      <c r="BD307" s="1081">
        <v>527.70000000000005</v>
      </c>
      <c r="BE307" s="1081">
        <v>5052.04</v>
      </c>
      <c r="BF307" s="1081">
        <v>34068.424561403503</v>
      </c>
      <c r="BG307" s="1081">
        <v>9227.33992886548</v>
      </c>
      <c r="BH307" s="1081">
        <v>4965.74</v>
      </c>
      <c r="BI307" s="1014">
        <v>2845395</v>
      </c>
      <c r="BJ307" s="1014">
        <v>632</v>
      </c>
      <c r="BK307" s="1014">
        <v>22351</v>
      </c>
      <c r="BL307" s="1081">
        <v>3819529</v>
      </c>
      <c r="BM307" s="1081">
        <v>165051</v>
      </c>
      <c r="BN307" s="1081">
        <v>23436</v>
      </c>
      <c r="BO307" s="1081">
        <v>3452812</v>
      </c>
      <c r="BP307" s="1081">
        <v>179401</v>
      </c>
      <c r="BQ307" s="1081">
        <v>20242.73</v>
      </c>
      <c r="BR307" s="1081">
        <v>9620</v>
      </c>
      <c r="BS307" s="1081">
        <v>6537.3</v>
      </c>
      <c r="BT307" s="1081">
        <v>1247898</v>
      </c>
      <c r="BU307" s="1081">
        <v>708016</v>
      </c>
      <c r="BV307" s="1081">
        <v>812303</v>
      </c>
      <c r="BW307" s="1081">
        <v>511897</v>
      </c>
      <c r="BX307" s="1324">
        <v>0</v>
      </c>
    </row>
    <row r="308" spans="1:76">
      <c r="A308" s="160">
        <v>45214</v>
      </c>
      <c r="B308" s="1081">
        <v>1077.3209999999999</v>
      </c>
      <c r="C308" s="1081">
        <v>594.38599999999997</v>
      </c>
      <c r="D308" s="1081">
        <v>6885.2</v>
      </c>
      <c r="E308" s="1311">
        <v>0.1</v>
      </c>
      <c r="F308" s="1081">
        <v>20181.3</v>
      </c>
      <c r="G308" s="1081">
        <v>6151.9</v>
      </c>
      <c r="H308" s="1081">
        <v>29788</v>
      </c>
      <c r="I308" s="1081">
        <v>14851</v>
      </c>
      <c r="J308" s="1081">
        <v>209571.3</v>
      </c>
      <c r="K308" s="1081">
        <v>14969.4</v>
      </c>
      <c r="L308" s="1081">
        <v>7011.4</v>
      </c>
      <c r="M308" s="1014">
        <v>46196.1</v>
      </c>
      <c r="N308" s="1014">
        <v>36751.4</v>
      </c>
      <c r="O308" s="1081">
        <v>139566</v>
      </c>
      <c r="P308" s="1081">
        <v>115707</v>
      </c>
      <c r="Q308" s="1081">
        <v>142365</v>
      </c>
      <c r="R308" s="1081">
        <v>97682.5</v>
      </c>
      <c r="S308" s="1081">
        <v>14063.6</v>
      </c>
      <c r="T308" s="1081">
        <v>10680.14</v>
      </c>
      <c r="U308" s="1081">
        <v>75129</v>
      </c>
      <c r="V308" s="1081">
        <v>38657</v>
      </c>
      <c r="W308" s="1081">
        <v>215166.4</v>
      </c>
      <c r="X308" s="683">
        <v>345.9</v>
      </c>
      <c r="Y308" s="725">
        <v>50716</v>
      </c>
      <c r="Z308" s="1081">
        <v>617815</v>
      </c>
      <c r="AA308" s="1081">
        <v>314403</v>
      </c>
      <c r="AB308" s="1081">
        <v>214873</v>
      </c>
      <c r="AC308" s="683">
        <v>1113.2</v>
      </c>
      <c r="AD308" s="718">
        <v>1676</v>
      </c>
      <c r="AE308" s="1081">
        <v>457</v>
      </c>
      <c r="AF308" s="1081">
        <v>333.2</v>
      </c>
      <c r="AG308" s="1081">
        <v>83715.600000000006</v>
      </c>
      <c r="AH308" s="1081">
        <v>64704.7</v>
      </c>
      <c r="AI308" s="1081">
        <v>72019.899999999994</v>
      </c>
      <c r="AJ308" s="1081">
        <v>58927</v>
      </c>
      <c r="AK308" s="1081">
        <v>61163.199999999997</v>
      </c>
      <c r="AL308" s="1081">
        <v>24041.200000000001</v>
      </c>
      <c r="AM308" s="250">
        <v>17</v>
      </c>
      <c r="AN308" s="250">
        <v>18.399999999999999</v>
      </c>
      <c r="AO308" s="1081">
        <v>519439</v>
      </c>
      <c r="AP308" s="1081">
        <v>239368</v>
      </c>
      <c r="AQ308" s="1081">
        <v>65943</v>
      </c>
      <c r="AR308" s="1081"/>
      <c r="AS308" s="1081">
        <v>484482</v>
      </c>
      <c r="AT308" s="1081">
        <v>213052</v>
      </c>
      <c r="AU308" s="1081">
        <v>83536.3</v>
      </c>
      <c r="AV308" s="1081">
        <v>4745.2</v>
      </c>
      <c r="AW308" s="1081">
        <v>3170.5</v>
      </c>
      <c r="AX308" s="1081">
        <v>231.69</v>
      </c>
      <c r="AY308" s="1081">
        <v>140.13999999999999</v>
      </c>
      <c r="AZ308" s="1081">
        <v>990.40599999999995</v>
      </c>
      <c r="BA308" s="1081">
        <v>414.06400000000002</v>
      </c>
      <c r="BB308" s="1398">
        <v>2006.4</v>
      </c>
      <c r="BC308" s="1081">
        <v>3371.8</v>
      </c>
      <c r="BD308" s="1081">
        <v>527.70000000000005</v>
      </c>
      <c r="BE308" s="1081">
        <v>5202.16</v>
      </c>
      <c r="BF308" s="1081">
        <v>34054.638596491197</v>
      </c>
      <c r="BG308" s="1081">
        <v>8955.1335914804095</v>
      </c>
      <c r="BH308" s="1081">
        <v>4903.13</v>
      </c>
      <c r="BI308" s="1014">
        <v>2847800</v>
      </c>
      <c r="BJ308" s="1014">
        <v>633</v>
      </c>
      <c r="BK308" s="1014">
        <v>22375</v>
      </c>
      <c r="BL308" s="1081">
        <v>3824741</v>
      </c>
      <c r="BM308" s="1081">
        <v>166069</v>
      </c>
      <c r="BN308" s="1081">
        <v>23460</v>
      </c>
      <c r="BO308" s="1081">
        <v>3452812</v>
      </c>
      <c r="BP308" s="1081">
        <v>179401</v>
      </c>
      <c r="BQ308" s="1081">
        <v>20242.73</v>
      </c>
      <c r="BR308" s="1081">
        <v>9626.7999999999993</v>
      </c>
      <c r="BS308" s="1081">
        <v>6541.3</v>
      </c>
      <c r="BT308" s="1081">
        <v>1248233</v>
      </c>
      <c r="BU308" s="1081">
        <v>708249</v>
      </c>
      <c r="BV308" s="1081">
        <v>813098</v>
      </c>
      <c r="BW308" s="1081">
        <v>512384</v>
      </c>
      <c r="BX308" s="1324">
        <v>0</v>
      </c>
    </row>
    <row r="309" spans="1:76">
      <c r="A309" s="160">
        <v>45215</v>
      </c>
      <c r="B309" s="1081">
        <v>1077.3209999999999</v>
      </c>
      <c r="C309" s="1081">
        <v>594.38599999999997</v>
      </c>
      <c r="D309" s="1081">
        <v>6885.2</v>
      </c>
      <c r="E309" s="1311">
        <v>0</v>
      </c>
      <c r="F309" s="1081">
        <v>20193</v>
      </c>
      <c r="G309" s="1081">
        <v>6152</v>
      </c>
      <c r="H309" s="1081">
        <v>29953</v>
      </c>
      <c r="I309" s="1081">
        <v>14932</v>
      </c>
      <c r="J309" s="1081">
        <v>209595.3</v>
      </c>
      <c r="K309" s="1081">
        <v>14969.4</v>
      </c>
      <c r="L309" s="1081">
        <v>7011.4</v>
      </c>
      <c r="M309" s="1014">
        <v>46196.1</v>
      </c>
      <c r="N309" s="1014">
        <v>36751.4</v>
      </c>
      <c r="O309" s="1081">
        <v>139574</v>
      </c>
      <c r="P309" s="1081">
        <v>115714</v>
      </c>
      <c r="Q309" s="1081">
        <v>142379</v>
      </c>
      <c r="R309" s="1081">
        <v>97692.2</v>
      </c>
      <c r="S309" s="1081">
        <v>14063.6</v>
      </c>
      <c r="T309" s="1081">
        <v>10680.14</v>
      </c>
      <c r="U309" s="1081">
        <v>75414</v>
      </c>
      <c r="V309" s="1081">
        <v>38800</v>
      </c>
      <c r="W309" s="1081">
        <v>215190.39999999999</v>
      </c>
      <c r="X309" s="683">
        <v>345.9</v>
      </c>
      <c r="Y309" s="725">
        <v>50716</v>
      </c>
      <c r="Z309" s="1081">
        <v>617963</v>
      </c>
      <c r="AA309" s="1081">
        <v>314474</v>
      </c>
      <c r="AB309" s="1081">
        <v>214897</v>
      </c>
      <c r="AC309" s="683">
        <v>1113.2</v>
      </c>
      <c r="AD309" s="718">
        <v>1676</v>
      </c>
      <c r="AE309" s="1081">
        <v>460.2</v>
      </c>
      <c r="AF309" s="1081">
        <v>335.6</v>
      </c>
      <c r="AG309" s="1081">
        <v>83721.399999999994</v>
      </c>
      <c r="AH309" s="1081">
        <v>64708</v>
      </c>
      <c r="AI309" s="1081">
        <v>72053.899999999994</v>
      </c>
      <c r="AJ309" s="1081">
        <v>58955.6</v>
      </c>
      <c r="AK309" s="1081">
        <v>61170.1</v>
      </c>
      <c r="AL309" s="1081">
        <v>24043.9</v>
      </c>
      <c r="AM309" s="250">
        <v>17</v>
      </c>
      <c r="AN309" s="250">
        <v>18.399999999999999</v>
      </c>
      <c r="AO309" s="1081">
        <v>519604</v>
      </c>
      <c r="AP309" s="1081">
        <v>239442</v>
      </c>
      <c r="AQ309" s="1081">
        <v>65947</v>
      </c>
      <c r="AR309" s="1081"/>
      <c r="AS309" s="1081">
        <v>484632</v>
      </c>
      <c r="AT309" s="1081">
        <v>213116</v>
      </c>
      <c r="AU309" s="1081">
        <v>83560.3</v>
      </c>
      <c r="AV309" s="1081">
        <v>4749.3</v>
      </c>
      <c r="AW309" s="1081">
        <v>3173.2</v>
      </c>
      <c r="AX309" s="1081">
        <v>231.69</v>
      </c>
      <c r="AY309" s="1081">
        <v>140.13999999999999</v>
      </c>
      <c r="AZ309" s="1081">
        <v>990.97400000000005</v>
      </c>
      <c r="BA309" s="1081">
        <v>414.28100000000001</v>
      </c>
      <c r="BB309" s="1398">
        <v>2007.1</v>
      </c>
      <c r="BC309" s="1081">
        <v>3371.8</v>
      </c>
      <c r="BD309" s="1081">
        <v>527.70000000000005</v>
      </c>
      <c r="BE309" s="1081">
        <v>5564.77</v>
      </c>
      <c r="BF309" s="1081">
        <v>34027.398245614</v>
      </c>
      <c r="BG309" s="1081">
        <v>8800.1565838586394</v>
      </c>
      <c r="BH309" s="1081">
        <v>4951.21</v>
      </c>
      <c r="BI309" s="1014">
        <v>2850000</v>
      </c>
      <c r="BJ309" s="1014">
        <v>634</v>
      </c>
      <c r="BK309" s="1014">
        <v>22399</v>
      </c>
      <c r="BL309" s="1081">
        <v>3829787</v>
      </c>
      <c r="BM309" s="1081">
        <v>167129</v>
      </c>
      <c r="BN309" s="1081">
        <v>23484</v>
      </c>
      <c r="BO309" s="1081">
        <v>3452812</v>
      </c>
      <c r="BP309" s="1081">
        <v>179401</v>
      </c>
      <c r="BQ309" s="1081">
        <v>20242.73</v>
      </c>
      <c r="BR309" s="1081">
        <v>9632.6</v>
      </c>
      <c r="BS309" s="1081">
        <v>6545</v>
      </c>
      <c r="BT309" s="1081">
        <v>1248583</v>
      </c>
      <c r="BU309" s="1081">
        <v>708465</v>
      </c>
      <c r="BV309" s="1081">
        <v>813975</v>
      </c>
      <c r="BW309" s="1081">
        <v>512933</v>
      </c>
      <c r="BX309" s="1324">
        <v>0.6</v>
      </c>
    </row>
    <row r="310" spans="1:76">
      <c r="A310" s="160">
        <v>45216</v>
      </c>
      <c r="B310" s="1081">
        <v>1077.9870000000001</v>
      </c>
      <c r="C310" s="1081">
        <v>594.71500000000003</v>
      </c>
      <c r="D310" s="1081">
        <v>6886.3</v>
      </c>
      <c r="E310" s="1311">
        <v>0.7</v>
      </c>
      <c r="F310" s="1081">
        <v>20204.599999999999</v>
      </c>
      <c r="G310" s="1081">
        <v>6152.1</v>
      </c>
      <c r="H310" s="1081">
        <v>30119</v>
      </c>
      <c r="I310" s="1081">
        <v>15014</v>
      </c>
      <c r="J310" s="1081">
        <v>209619.3</v>
      </c>
      <c r="K310" s="1081">
        <v>14969.5</v>
      </c>
      <c r="L310" s="1081">
        <v>7011.4</v>
      </c>
      <c r="M310" s="1014">
        <v>46196.1</v>
      </c>
      <c r="N310" s="1014">
        <v>36751.4</v>
      </c>
      <c r="O310" s="1081">
        <v>139582</v>
      </c>
      <c r="P310" s="1081">
        <v>115720</v>
      </c>
      <c r="Q310" s="1081">
        <v>142393</v>
      </c>
      <c r="R310" s="1081">
        <v>97701.8</v>
      </c>
      <c r="S310" s="1081">
        <v>14063.6</v>
      </c>
      <c r="T310" s="1081">
        <v>10680.14</v>
      </c>
      <c r="U310" s="1081">
        <v>75614</v>
      </c>
      <c r="V310" s="1081">
        <v>38898</v>
      </c>
      <c r="W310" s="1081">
        <v>215214.4</v>
      </c>
      <c r="X310" s="683">
        <v>345.9</v>
      </c>
      <c r="Y310" s="725">
        <v>50716</v>
      </c>
      <c r="Z310" s="1081">
        <v>618195</v>
      </c>
      <c r="AA310" s="1081">
        <v>314590</v>
      </c>
      <c r="AB310" s="1081">
        <v>214921</v>
      </c>
      <c r="AC310" s="683">
        <v>1113.2</v>
      </c>
      <c r="AD310" s="718">
        <v>1676</v>
      </c>
      <c r="AE310" s="1081">
        <v>463.6</v>
      </c>
      <c r="AF310" s="1081">
        <v>338.2</v>
      </c>
      <c r="AG310" s="1081">
        <v>83729.2</v>
      </c>
      <c r="AH310" s="1081">
        <v>64715</v>
      </c>
      <c r="AI310" s="1081">
        <v>72087.600000000006</v>
      </c>
      <c r="AJ310" s="1081">
        <v>58984</v>
      </c>
      <c r="AK310" s="1081">
        <v>61177.8</v>
      </c>
      <c r="AL310" s="1081">
        <v>24046.799999999999</v>
      </c>
      <c r="AM310" s="250">
        <v>17</v>
      </c>
      <c r="AN310" s="250">
        <v>18.399999999999999</v>
      </c>
      <c r="AO310" s="1081">
        <v>519772</v>
      </c>
      <c r="AP310" s="1081">
        <v>239518</v>
      </c>
      <c r="AQ310" s="1081">
        <v>65952</v>
      </c>
      <c r="AR310" s="1081"/>
      <c r="AS310" s="1081">
        <v>484781</v>
      </c>
      <c r="AT310" s="1081">
        <v>213180</v>
      </c>
      <c r="AU310" s="1081">
        <v>83584.3</v>
      </c>
      <c r="AV310" s="1081">
        <v>4753.5</v>
      </c>
      <c r="AW310" s="1081">
        <v>3176.1</v>
      </c>
      <c r="AX310" s="1081">
        <v>231.77</v>
      </c>
      <c r="AY310" s="1081">
        <v>140.19</v>
      </c>
      <c r="AZ310" s="1081">
        <v>990.97400000000005</v>
      </c>
      <c r="BA310" s="1081">
        <v>414.28100000000001</v>
      </c>
      <c r="BB310" s="1398">
        <v>2007.1</v>
      </c>
      <c r="BC310" s="1081">
        <v>3372.4</v>
      </c>
      <c r="BD310" s="1081">
        <v>527.70000000000005</v>
      </c>
      <c r="BE310" s="1081">
        <v>5126.01</v>
      </c>
      <c r="BF310" s="1081">
        <v>34000.077192982499</v>
      </c>
      <c r="BG310" s="1081">
        <v>8321.0522818014397</v>
      </c>
      <c r="BH310" s="1081">
        <v>4737.8</v>
      </c>
      <c r="BI310" s="1014">
        <v>2852600</v>
      </c>
      <c r="BJ310" s="1014">
        <v>635</v>
      </c>
      <c r="BK310" s="1014">
        <v>22423</v>
      </c>
      <c r="BL310" s="1081">
        <v>3834814</v>
      </c>
      <c r="BM310" s="1081">
        <v>168212</v>
      </c>
      <c r="BN310" s="1081">
        <v>23508</v>
      </c>
      <c r="BO310" s="1081">
        <v>3452812</v>
      </c>
      <c r="BP310" s="1081">
        <v>179401</v>
      </c>
      <c r="BQ310" s="1081">
        <v>20242.73</v>
      </c>
      <c r="BR310" s="1081">
        <v>9638.2999999999993</v>
      </c>
      <c r="BS310" s="1081">
        <v>6548.7</v>
      </c>
      <c r="BT310" s="1081">
        <v>1249114</v>
      </c>
      <c r="BU310" s="1081">
        <v>708779</v>
      </c>
      <c r="BV310" s="1081">
        <v>814799</v>
      </c>
      <c r="BW310" s="1081">
        <v>513453</v>
      </c>
      <c r="BX310" s="1324">
        <v>0</v>
      </c>
    </row>
    <row r="311" spans="1:76">
      <c r="A311" s="160">
        <v>45217</v>
      </c>
      <c r="B311" s="1081">
        <v>1077.9870000000001</v>
      </c>
      <c r="C311" s="1081">
        <v>594.71500000000003</v>
      </c>
      <c r="D311" s="1081">
        <v>6886.3</v>
      </c>
      <c r="E311" s="1311">
        <v>0</v>
      </c>
      <c r="F311" s="1081">
        <v>20216.099999999999</v>
      </c>
      <c r="G311" s="1081">
        <v>6152.2</v>
      </c>
      <c r="H311" s="1081">
        <v>30283</v>
      </c>
      <c r="I311" s="1081">
        <v>15095</v>
      </c>
      <c r="J311" s="1081">
        <v>209643.3</v>
      </c>
      <c r="K311" s="1081">
        <v>14969.5</v>
      </c>
      <c r="L311" s="1081">
        <v>7011.4</v>
      </c>
      <c r="M311" s="1014">
        <v>46196.1</v>
      </c>
      <c r="N311" s="1014">
        <v>36751.4</v>
      </c>
      <c r="O311" s="1081">
        <v>139592</v>
      </c>
      <c r="P311" s="1081">
        <v>115728</v>
      </c>
      <c r="Q311" s="1081">
        <v>142408</v>
      </c>
      <c r="R311" s="1081">
        <v>97711.9</v>
      </c>
      <c r="S311" s="1081">
        <v>14063.6</v>
      </c>
      <c r="T311" s="1081">
        <v>10680.14</v>
      </c>
      <c r="U311" s="1081">
        <v>75764</v>
      </c>
      <c r="V311" s="1081">
        <v>38975</v>
      </c>
      <c r="W311" s="1081">
        <v>215238.39999999999</v>
      </c>
      <c r="X311" s="683">
        <v>345.9</v>
      </c>
      <c r="Y311" s="725">
        <v>50716</v>
      </c>
      <c r="Z311" s="1081">
        <v>618485</v>
      </c>
      <c r="AA311" s="1081">
        <v>314732</v>
      </c>
      <c r="AB311" s="1081">
        <v>214945</v>
      </c>
      <c r="AC311" s="683">
        <v>1113.2</v>
      </c>
      <c r="AD311" s="718">
        <v>1676</v>
      </c>
      <c r="AE311" s="1081">
        <v>467.1</v>
      </c>
      <c r="AF311" s="1081">
        <v>340.8</v>
      </c>
      <c r="AG311" s="1081">
        <v>83736.399999999994</v>
      </c>
      <c r="AH311" s="1081">
        <v>64720.5</v>
      </c>
      <c r="AI311" s="1081">
        <v>72124.5</v>
      </c>
      <c r="AJ311" s="1081">
        <v>59014.9</v>
      </c>
      <c r="AK311" s="1081">
        <v>61189.2</v>
      </c>
      <c r="AL311" s="1081">
        <v>24051.200000000001</v>
      </c>
      <c r="AM311" s="250">
        <v>17</v>
      </c>
      <c r="AN311" s="250">
        <v>18.399999999999999</v>
      </c>
      <c r="AO311" s="1081">
        <v>519940</v>
      </c>
      <c r="AP311" s="1081">
        <v>239594</v>
      </c>
      <c r="AQ311" s="1081">
        <v>65958</v>
      </c>
      <c r="AR311" s="1081"/>
      <c r="AS311" s="1081">
        <v>484931</v>
      </c>
      <c r="AT311" s="1081">
        <v>213246</v>
      </c>
      <c r="AU311" s="1081">
        <v>83608.3</v>
      </c>
      <c r="AV311" s="1081">
        <v>4757.8</v>
      </c>
      <c r="AW311" s="1081">
        <v>3178.9</v>
      </c>
      <c r="AX311" s="1081">
        <v>231.77</v>
      </c>
      <c r="AY311" s="1081">
        <v>140.19</v>
      </c>
      <c r="AZ311" s="1081">
        <v>990.97400000000005</v>
      </c>
      <c r="BA311" s="1081">
        <v>414.28100000000001</v>
      </c>
      <c r="BB311" s="1398">
        <v>2007.1</v>
      </c>
      <c r="BC311" s="1081">
        <v>3373.5</v>
      </c>
      <c r="BD311" s="1081">
        <v>527.70000000000005</v>
      </c>
      <c r="BE311" s="1081">
        <v>4857.79</v>
      </c>
      <c r="BF311" s="1081">
        <v>33197.224561403498</v>
      </c>
      <c r="BG311" s="1081">
        <v>9089.0528029996203</v>
      </c>
      <c r="BH311" s="1081">
        <v>4739.4799999999996</v>
      </c>
      <c r="BI311" s="1014">
        <v>2855000</v>
      </c>
      <c r="BJ311" s="1014">
        <v>636</v>
      </c>
      <c r="BK311" s="1014">
        <v>22447</v>
      </c>
      <c r="BL311" s="250">
        <v>3839978</v>
      </c>
      <c r="BM311" s="250">
        <v>169253</v>
      </c>
      <c r="BN311" s="250">
        <v>23532</v>
      </c>
      <c r="BO311" s="1081">
        <v>3452812</v>
      </c>
      <c r="BP311" s="1081">
        <v>179401</v>
      </c>
      <c r="BQ311" s="1081">
        <v>20242.73</v>
      </c>
      <c r="BR311" s="1081">
        <v>9644.2999999999993</v>
      </c>
      <c r="BS311" s="1081">
        <v>6552.6</v>
      </c>
      <c r="BT311" s="1081">
        <v>1250201</v>
      </c>
      <c r="BU311" s="1081">
        <v>709378</v>
      </c>
      <c r="BV311" s="1081">
        <v>814992</v>
      </c>
      <c r="BW311" s="1081">
        <v>513572</v>
      </c>
      <c r="BX311" s="1324">
        <v>0</v>
      </c>
    </row>
    <row r="312" spans="1:76">
      <c r="A312" s="160">
        <v>45218</v>
      </c>
      <c r="B312" s="1081">
        <v>1077.9870000000001</v>
      </c>
      <c r="C312" s="1081">
        <v>594.71500000000003</v>
      </c>
      <c r="D312" s="1081">
        <v>6886.3</v>
      </c>
      <c r="E312" s="1311">
        <v>0</v>
      </c>
      <c r="F312" s="250">
        <v>20227.400000000001</v>
      </c>
      <c r="G312" s="250">
        <v>6152.2</v>
      </c>
      <c r="H312" s="1081">
        <v>30447</v>
      </c>
      <c r="I312" s="250">
        <v>15176</v>
      </c>
      <c r="J312" s="250">
        <v>209667.3</v>
      </c>
      <c r="K312" s="1081">
        <v>14969.5</v>
      </c>
      <c r="L312" s="1081">
        <v>7011.4</v>
      </c>
      <c r="M312" s="1014">
        <v>46196.1</v>
      </c>
      <c r="N312" s="1014">
        <v>36751.4</v>
      </c>
      <c r="O312" s="250">
        <v>139600</v>
      </c>
      <c r="P312" s="250">
        <v>115735</v>
      </c>
      <c r="Q312" s="250">
        <v>142423</v>
      </c>
      <c r="R312" s="250">
        <v>97722</v>
      </c>
      <c r="S312" s="1081">
        <v>14063.6</v>
      </c>
      <c r="T312" s="1081">
        <v>10680.14</v>
      </c>
      <c r="U312" s="250">
        <v>76052</v>
      </c>
      <c r="V312" s="250">
        <v>39118</v>
      </c>
      <c r="W312" s="250">
        <v>215262.4</v>
      </c>
      <c r="X312" s="683">
        <v>345.9</v>
      </c>
      <c r="Y312" s="725">
        <v>50716</v>
      </c>
      <c r="Z312" s="250">
        <v>618633</v>
      </c>
      <c r="AA312" s="250">
        <v>314806</v>
      </c>
      <c r="AB312" s="250">
        <v>214969</v>
      </c>
      <c r="AC312" s="683">
        <v>1113.2</v>
      </c>
      <c r="AD312" s="718">
        <v>1676</v>
      </c>
      <c r="AE312" s="250">
        <v>470.7</v>
      </c>
      <c r="AF312" s="250">
        <v>343.5</v>
      </c>
      <c r="AG312" s="250">
        <v>83741.2</v>
      </c>
      <c r="AH312" s="250">
        <v>64724.2</v>
      </c>
      <c r="AI312" s="250">
        <v>72161</v>
      </c>
      <c r="AJ312" s="250">
        <v>59045.4</v>
      </c>
      <c r="AK312" s="250">
        <v>61198.6</v>
      </c>
      <c r="AL312" s="250">
        <v>24054.9</v>
      </c>
      <c r="AM312" s="250">
        <v>17</v>
      </c>
      <c r="AN312" s="250">
        <v>18.399999999999999</v>
      </c>
      <c r="AO312" s="250">
        <v>520105</v>
      </c>
      <c r="AP312" s="250">
        <v>239669</v>
      </c>
      <c r="AQ312" s="250">
        <v>65963</v>
      </c>
      <c r="AR312" s="1081"/>
      <c r="AS312" s="250">
        <v>485078</v>
      </c>
      <c r="AT312" s="250">
        <v>213308</v>
      </c>
      <c r="AU312" s="250">
        <v>83632.3</v>
      </c>
      <c r="AV312" s="250">
        <v>4762.1000000000004</v>
      </c>
      <c r="AW312" s="250">
        <v>3181.8</v>
      </c>
      <c r="AX312" s="1081">
        <v>231.77</v>
      </c>
      <c r="AY312" s="1081">
        <v>140.19</v>
      </c>
      <c r="AZ312" s="1081">
        <v>990.97400000000005</v>
      </c>
      <c r="BA312" s="1081">
        <v>414.28100000000001</v>
      </c>
      <c r="BB312" s="1398">
        <v>2007.1</v>
      </c>
      <c r="BC312" s="1081">
        <v>3374.5</v>
      </c>
      <c r="BD312" s="250">
        <v>527.70000000000005</v>
      </c>
      <c r="BE312" s="250">
        <v>5166.22</v>
      </c>
      <c r="BF312" s="250">
        <v>33716.494736842098</v>
      </c>
      <c r="BG312" s="250">
        <v>8728.5079113877291</v>
      </c>
      <c r="BH312" s="250">
        <v>4619.51</v>
      </c>
      <c r="BI312" s="1014">
        <v>2857800</v>
      </c>
      <c r="BJ312" s="1014">
        <v>637</v>
      </c>
      <c r="BK312" s="1014">
        <v>22471</v>
      </c>
      <c r="BL312" s="250">
        <v>3845000</v>
      </c>
      <c r="BM312" s="250">
        <v>170278</v>
      </c>
      <c r="BN312" s="250">
        <v>23556</v>
      </c>
      <c r="BO312" s="1081">
        <v>3452812</v>
      </c>
      <c r="BP312" s="1081">
        <v>179401</v>
      </c>
      <c r="BQ312" s="1081">
        <v>20242.73</v>
      </c>
      <c r="BR312" s="250">
        <v>9650.1</v>
      </c>
      <c r="BS312" s="250">
        <v>6556.5</v>
      </c>
      <c r="BT312" s="1081">
        <v>1251408</v>
      </c>
      <c r="BU312" s="1081">
        <v>710044</v>
      </c>
      <c r="BV312" s="250">
        <v>815199</v>
      </c>
      <c r="BW312" s="250">
        <v>513701</v>
      </c>
      <c r="BX312" s="1324">
        <v>0</v>
      </c>
    </row>
    <row r="313" spans="1:76">
      <c r="A313" s="160">
        <v>45219</v>
      </c>
      <c r="B313" s="1081">
        <v>1077.9870000000001</v>
      </c>
      <c r="C313" s="1081">
        <v>594.71500000000003</v>
      </c>
      <c r="D313" s="1081">
        <v>6886.3</v>
      </c>
      <c r="E313" s="1311">
        <v>0</v>
      </c>
      <c r="F313" s="250">
        <v>20239.3</v>
      </c>
      <c r="G313" s="250">
        <v>6152.3</v>
      </c>
      <c r="H313" s="1081">
        <v>30611</v>
      </c>
      <c r="I313" s="250">
        <v>15257</v>
      </c>
      <c r="J313" s="250">
        <v>209691.3</v>
      </c>
      <c r="K313" s="1081">
        <v>14969.6</v>
      </c>
      <c r="L313" s="1081">
        <v>7011.4</v>
      </c>
      <c r="M313" s="1014">
        <v>46196.1</v>
      </c>
      <c r="N313" s="1014">
        <v>36751.4</v>
      </c>
      <c r="O313" s="250">
        <v>139610</v>
      </c>
      <c r="P313" s="250">
        <v>115743</v>
      </c>
      <c r="Q313" s="250">
        <v>142437</v>
      </c>
      <c r="R313" s="250">
        <v>97732.1</v>
      </c>
      <c r="S313" s="1081">
        <v>14063.6</v>
      </c>
      <c r="T313" s="1081">
        <v>10680.14</v>
      </c>
      <c r="U313" s="250">
        <v>76349</v>
      </c>
      <c r="V313" s="250">
        <v>39268</v>
      </c>
      <c r="W313" s="250">
        <v>215286.39999999999</v>
      </c>
      <c r="X313" s="683">
        <v>345.9</v>
      </c>
      <c r="Y313" s="725">
        <v>50716</v>
      </c>
      <c r="Z313" s="250">
        <v>618776</v>
      </c>
      <c r="AA313" s="250">
        <v>314876</v>
      </c>
      <c r="AB313" s="250">
        <v>214993</v>
      </c>
      <c r="AC313" s="683">
        <v>1113.2</v>
      </c>
      <c r="AD313" s="718">
        <v>1676</v>
      </c>
      <c r="AE313" s="250">
        <v>474.3</v>
      </c>
      <c r="AF313" s="250">
        <v>346.1</v>
      </c>
      <c r="AG313" s="250">
        <v>83746.8</v>
      </c>
      <c r="AH313" s="250">
        <v>64728.5</v>
      </c>
      <c r="AI313" s="250">
        <v>72199.5</v>
      </c>
      <c r="AJ313" s="250">
        <v>59077.7</v>
      </c>
      <c r="AK313" s="250">
        <v>61208.4</v>
      </c>
      <c r="AL313" s="250">
        <v>24058.7</v>
      </c>
      <c r="AM313" s="250">
        <v>17</v>
      </c>
      <c r="AN313" s="250">
        <v>18.399999999999999</v>
      </c>
      <c r="AO313" s="250">
        <v>520273</v>
      </c>
      <c r="AP313" s="250">
        <v>239745</v>
      </c>
      <c r="AQ313" s="250">
        <v>65969</v>
      </c>
      <c r="AR313" s="1081"/>
      <c r="AS313" s="250">
        <v>485226</v>
      </c>
      <c r="AT313" s="250">
        <v>213372</v>
      </c>
      <c r="AU313" s="250">
        <v>83656.3</v>
      </c>
      <c r="AV313" s="250">
        <v>4766.2</v>
      </c>
      <c r="AW313" s="250">
        <v>3184.6</v>
      </c>
      <c r="AX313" s="1081">
        <v>231.77</v>
      </c>
      <c r="AY313" s="1081">
        <v>140.19</v>
      </c>
      <c r="AZ313" s="1081">
        <v>990.97400000000005</v>
      </c>
      <c r="BA313" s="1081">
        <v>414.28100000000001</v>
      </c>
      <c r="BB313" s="1398">
        <v>2007.1</v>
      </c>
      <c r="BC313" s="250">
        <v>3375.5</v>
      </c>
      <c r="BD313" s="250">
        <v>527.70000000000005</v>
      </c>
      <c r="BE313" s="250">
        <v>5005.4799999999996</v>
      </c>
      <c r="BF313" s="250">
        <v>33799.110526315802</v>
      </c>
      <c r="BG313" s="250">
        <v>8463.5611699219498</v>
      </c>
      <c r="BH313" s="250">
        <v>4648.63</v>
      </c>
      <c r="BI313" s="1014">
        <v>2860800</v>
      </c>
      <c r="BJ313" s="1014">
        <v>638</v>
      </c>
      <c r="BK313" s="1014">
        <v>22495</v>
      </c>
      <c r="BL313" s="250">
        <v>3850158</v>
      </c>
      <c r="BM313" s="250">
        <v>171334</v>
      </c>
      <c r="BN313" s="250">
        <v>23580</v>
      </c>
      <c r="BO313" s="1081">
        <v>3452812</v>
      </c>
      <c r="BP313" s="1081">
        <v>179401</v>
      </c>
      <c r="BQ313" s="1081">
        <v>20242.73</v>
      </c>
      <c r="BR313" s="250">
        <v>9656.5</v>
      </c>
      <c r="BS313" s="250">
        <v>6560.6</v>
      </c>
      <c r="BT313" s="250">
        <v>1252667</v>
      </c>
      <c r="BU313" s="250">
        <v>710724</v>
      </c>
      <c r="BV313" s="250">
        <v>815414</v>
      </c>
      <c r="BW313" s="250">
        <v>513831</v>
      </c>
      <c r="BX313" s="1324">
        <v>0</v>
      </c>
    </row>
    <row r="314" spans="1:76">
      <c r="A314" s="160">
        <v>45220</v>
      </c>
      <c r="B314" s="1081">
        <v>1077.9870000000001</v>
      </c>
      <c r="C314" s="1081">
        <v>594.71500000000003</v>
      </c>
      <c r="D314" s="1081">
        <v>6886.8</v>
      </c>
      <c r="E314" s="1311">
        <v>0</v>
      </c>
      <c r="F314" s="250">
        <v>20251.5</v>
      </c>
      <c r="G314" s="250">
        <v>6152.4</v>
      </c>
      <c r="H314" s="1081">
        <v>30778</v>
      </c>
      <c r="I314" s="250">
        <v>15339</v>
      </c>
      <c r="J314" s="250">
        <v>209715.3</v>
      </c>
      <c r="K314" s="1081">
        <v>14969.7</v>
      </c>
      <c r="L314" s="1081">
        <v>7011.4</v>
      </c>
      <c r="M314" s="1014">
        <v>46196.1</v>
      </c>
      <c r="N314" s="1014">
        <v>36751.4</v>
      </c>
      <c r="O314" s="250">
        <v>139619</v>
      </c>
      <c r="P314" s="250">
        <v>115750</v>
      </c>
      <c r="Q314" s="250">
        <v>142452</v>
      </c>
      <c r="R314" s="250">
        <v>97742.5</v>
      </c>
      <c r="S314" s="1081">
        <v>14063.6</v>
      </c>
      <c r="T314" s="1081">
        <v>10680.14</v>
      </c>
      <c r="U314" s="250">
        <v>76670</v>
      </c>
      <c r="V314" s="250">
        <v>39434</v>
      </c>
      <c r="W314" s="250">
        <v>215310.4</v>
      </c>
      <c r="X314" s="683">
        <v>345.9</v>
      </c>
      <c r="Y314" s="725">
        <v>50716</v>
      </c>
      <c r="Z314" s="250">
        <v>618905</v>
      </c>
      <c r="AA314" s="250">
        <v>314936</v>
      </c>
      <c r="AB314" s="250">
        <v>215017</v>
      </c>
      <c r="AC314" s="683">
        <v>1113.2</v>
      </c>
      <c r="AD314" s="718">
        <v>1676</v>
      </c>
      <c r="AE314" s="250">
        <v>477.9</v>
      </c>
      <c r="AF314" s="250">
        <v>348.8</v>
      </c>
      <c r="AG314" s="250">
        <v>83753.3</v>
      </c>
      <c r="AH314" s="250">
        <v>64733.3</v>
      </c>
      <c r="AI314" s="250">
        <v>72239.8</v>
      </c>
      <c r="AJ314" s="250">
        <v>59111.5</v>
      </c>
      <c r="AK314" s="250">
        <v>61218.9</v>
      </c>
      <c r="AL314" s="250">
        <v>24062.799999999999</v>
      </c>
      <c r="AM314" s="250">
        <v>17</v>
      </c>
      <c r="AN314" s="250">
        <v>18.399999999999999</v>
      </c>
      <c r="AO314" s="250">
        <v>520443</v>
      </c>
      <c r="AP314" s="250">
        <v>239823</v>
      </c>
      <c r="AQ314" s="250">
        <v>65974</v>
      </c>
      <c r="AR314" s="1081"/>
      <c r="AS314" s="250">
        <v>485377</v>
      </c>
      <c r="AT314" s="250">
        <v>213438</v>
      </c>
      <c r="AU314" s="250">
        <v>83680.3</v>
      </c>
      <c r="AV314" s="250">
        <v>4769.8999999999996</v>
      </c>
      <c r="AW314" s="250">
        <v>3187.3</v>
      </c>
      <c r="AX314" s="1081">
        <v>231.77</v>
      </c>
      <c r="AY314" s="1081">
        <v>140.19</v>
      </c>
      <c r="AZ314" s="1081">
        <v>990.97400000000005</v>
      </c>
      <c r="BA314" s="1081">
        <v>414.28100000000001</v>
      </c>
      <c r="BB314" s="1398">
        <v>2007.1</v>
      </c>
      <c r="BC314" s="250">
        <v>3376.5</v>
      </c>
      <c r="BD314" s="250">
        <v>527.70000000000005</v>
      </c>
      <c r="BE314" s="250">
        <v>5266.22</v>
      </c>
      <c r="BF314" s="250">
        <v>34082.1245614035</v>
      </c>
      <c r="BG314" s="250">
        <v>8476.4914125831601</v>
      </c>
      <c r="BH314" s="250">
        <v>5984.6</v>
      </c>
      <c r="BI314" s="1014">
        <v>2863400</v>
      </c>
      <c r="BJ314" s="1014">
        <v>639</v>
      </c>
      <c r="BK314" s="1014">
        <v>22519</v>
      </c>
      <c r="BL314" s="250">
        <v>3855416</v>
      </c>
      <c r="BM314" s="250">
        <v>172434</v>
      </c>
      <c r="BN314" s="250">
        <v>23604</v>
      </c>
      <c r="BO314" s="1081">
        <v>3452812</v>
      </c>
      <c r="BP314" s="1081">
        <v>179401</v>
      </c>
      <c r="BQ314" s="1081">
        <v>20242.73</v>
      </c>
      <c r="BR314" s="250">
        <v>9663.2999999999993</v>
      </c>
      <c r="BS314" s="250">
        <v>6564.9</v>
      </c>
      <c r="BT314" s="250">
        <v>1253942</v>
      </c>
      <c r="BU314" s="250">
        <v>711416</v>
      </c>
      <c r="BV314" s="250">
        <v>815627</v>
      </c>
      <c r="BW314" s="250">
        <v>513962</v>
      </c>
      <c r="BX314" s="1324">
        <v>0</v>
      </c>
    </row>
    <row r="315" spans="1:76">
      <c r="A315" s="160">
        <v>45221</v>
      </c>
      <c r="B315" s="1081">
        <v>1077.9870000000001</v>
      </c>
      <c r="C315" s="1081">
        <v>594.71500000000003</v>
      </c>
      <c r="D315" s="1081">
        <v>6886.8</v>
      </c>
      <c r="E315" s="1311">
        <v>0</v>
      </c>
      <c r="F315" s="250">
        <v>20262.8</v>
      </c>
      <c r="G315" s="250">
        <v>6153.2</v>
      </c>
      <c r="H315" s="1081">
        <v>30946</v>
      </c>
      <c r="I315" s="250">
        <v>15422</v>
      </c>
      <c r="J315" s="250">
        <v>209739.3</v>
      </c>
      <c r="K315" s="1081">
        <v>14969.7</v>
      </c>
      <c r="L315" s="1081">
        <v>7011.4</v>
      </c>
      <c r="M315" s="1014">
        <v>46196.1</v>
      </c>
      <c r="N315" s="1014">
        <v>36751.4</v>
      </c>
      <c r="O315" s="250">
        <v>139628</v>
      </c>
      <c r="P315" s="250">
        <v>115757</v>
      </c>
      <c r="Q315" s="250">
        <v>142466</v>
      </c>
      <c r="R315" s="250">
        <v>97752.6</v>
      </c>
      <c r="S315" s="1081">
        <v>14063.6</v>
      </c>
      <c r="T315" s="1081">
        <v>10680.14</v>
      </c>
      <c r="U315" s="250">
        <v>77038</v>
      </c>
      <c r="V315" s="250">
        <v>39623</v>
      </c>
      <c r="W315" s="250">
        <v>215334.39999999999</v>
      </c>
      <c r="X315" s="683">
        <v>345.9</v>
      </c>
      <c r="Y315" s="725">
        <v>50716</v>
      </c>
      <c r="Z315" s="250">
        <v>618978</v>
      </c>
      <c r="AA315" s="250">
        <v>314970</v>
      </c>
      <c r="AB315" s="250">
        <v>215041</v>
      </c>
      <c r="AC315" s="683">
        <v>1113.2</v>
      </c>
      <c r="AD315" s="718">
        <v>1676</v>
      </c>
      <c r="AE315" s="250">
        <v>481.2</v>
      </c>
      <c r="AF315" s="250">
        <v>351.2</v>
      </c>
      <c r="AG315" s="250">
        <v>83758.5</v>
      </c>
      <c r="AH315" s="250">
        <v>64737.1</v>
      </c>
      <c r="AI315" s="250">
        <v>72278.399999999994</v>
      </c>
      <c r="AJ315" s="250">
        <v>59143.8</v>
      </c>
      <c r="AK315" s="250">
        <v>61226.9</v>
      </c>
      <c r="AL315" s="250">
        <v>24066</v>
      </c>
      <c r="AM315" s="250">
        <v>17</v>
      </c>
      <c r="AN315" s="250">
        <v>18.399999999999999</v>
      </c>
      <c r="AO315" s="250">
        <v>520615</v>
      </c>
      <c r="AP315" s="250">
        <v>239902</v>
      </c>
      <c r="AQ315" s="250">
        <v>65979</v>
      </c>
      <c r="AR315" s="1081"/>
      <c r="AS315" s="250">
        <v>485530</v>
      </c>
      <c r="AT315" s="250">
        <v>213504</v>
      </c>
      <c r="AU315" s="250">
        <v>83704.3</v>
      </c>
      <c r="AV315" s="250">
        <v>4774.2</v>
      </c>
      <c r="AW315" s="250">
        <v>3190</v>
      </c>
      <c r="AX315" s="1081">
        <v>231.77</v>
      </c>
      <c r="AY315" s="1081">
        <v>140.19</v>
      </c>
      <c r="AZ315" s="1081">
        <v>991.43299999999999</v>
      </c>
      <c r="BA315" s="1081">
        <v>414.45699999999999</v>
      </c>
      <c r="BB315" s="1398">
        <v>2007.7</v>
      </c>
      <c r="BC315" s="250">
        <v>3377.7</v>
      </c>
      <c r="BD315" s="250">
        <v>527.70000000000005</v>
      </c>
      <c r="BE315" s="250">
        <v>5189.26</v>
      </c>
      <c r="BF315" s="250">
        <v>34004.842105263197</v>
      </c>
      <c r="BG315" s="250">
        <v>8639.8914142085796</v>
      </c>
      <c r="BH315" s="250">
        <v>4429.13</v>
      </c>
      <c r="BI315" s="1014">
        <v>2865800</v>
      </c>
      <c r="BJ315" s="1014">
        <v>640</v>
      </c>
      <c r="BK315" s="1014">
        <v>22543</v>
      </c>
      <c r="BL315" s="250">
        <v>3859676</v>
      </c>
      <c r="BM315" s="250">
        <v>172936</v>
      </c>
      <c r="BN315" s="250">
        <v>23628</v>
      </c>
      <c r="BO315" s="1081">
        <v>3452812</v>
      </c>
      <c r="BP315" s="1081">
        <v>179401</v>
      </c>
      <c r="BQ315" s="1081">
        <v>20242.73</v>
      </c>
      <c r="BR315" s="250">
        <v>9670</v>
      </c>
      <c r="BS315" s="250">
        <v>6569.3</v>
      </c>
      <c r="BT315" s="250">
        <v>1255200</v>
      </c>
      <c r="BU315" s="250">
        <v>712094</v>
      </c>
      <c r="BV315" s="250">
        <v>815779</v>
      </c>
      <c r="BW315" s="250">
        <v>514058</v>
      </c>
      <c r="BX315" s="1324">
        <v>0.5</v>
      </c>
    </row>
    <row r="316" spans="1:76">
      <c r="A316" s="160">
        <v>45222</v>
      </c>
      <c r="B316" s="1081">
        <v>1077.9870000000001</v>
      </c>
      <c r="C316" s="1081">
        <v>594.71500000000003</v>
      </c>
      <c r="D316" s="1081">
        <v>6886.8</v>
      </c>
      <c r="E316" s="1311">
        <v>0</v>
      </c>
      <c r="F316" s="250">
        <v>20273.599999999999</v>
      </c>
      <c r="G316" s="250">
        <v>6155</v>
      </c>
      <c r="H316" s="1081">
        <v>31109</v>
      </c>
      <c r="I316" s="250">
        <v>15503</v>
      </c>
      <c r="J316" s="250">
        <v>209763.3</v>
      </c>
      <c r="K316" s="1081">
        <v>14969.8</v>
      </c>
      <c r="L316" s="1081">
        <v>7011.4</v>
      </c>
      <c r="M316" s="1014">
        <v>46196.1</v>
      </c>
      <c r="N316" s="1014">
        <v>36751.4</v>
      </c>
      <c r="O316" s="251">
        <v>139637</v>
      </c>
      <c r="P316" s="251">
        <v>115764</v>
      </c>
      <c r="Q316" s="251">
        <v>142481</v>
      </c>
      <c r="R316" s="251">
        <v>97762.7</v>
      </c>
      <c r="S316" s="1081">
        <v>14063.6</v>
      </c>
      <c r="T316" s="1081">
        <v>10680.14</v>
      </c>
      <c r="U316" s="251">
        <v>77418</v>
      </c>
      <c r="V316" s="251">
        <v>39821</v>
      </c>
      <c r="W316" s="251">
        <v>215358.4</v>
      </c>
      <c r="X316" s="683">
        <v>345.9</v>
      </c>
      <c r="Y316" s="725">
        <v>50716</v>
      </c>
      <c r="Z316" s="250">
        <v>618978</v>
      </c>
      <c r="AA316" s="250">
        <v>314970</v>
      </c>
      <c r="AB316" s="250">
        <v>215041</v>
      </c>
      <c r="AC316" s="683">
        <v>1113.2</v>
      </c>
      <c r="AD316" s="718">
        <v>1676</v>
      </c>
      <c r="AE316" s="251">
        <v>484.1</v>
      </c>
      <c r="AF316" s="251">
        <v>353.4</v>
      </c>
      <c r="AG316" s="251">
        <v>83764.7</v>
      </c>
      <c r="AH316" s="251">
        <v>64741.8</v>
      </c>
      <c r="AI316" s="251">
        <v>72313</v>
      </c>
      <c r="AJ316" s="251">
        <v>59172.1</v>
      </c>
      <c r="AK316" s="251">
        <v>61233.1</v>
      </c>
      <c r="AL316" s="251">
        <v>24068.400000000001</v>
      </c>
      <c r="AM316" s="250">
        <v>17</v>
      </c>
      <c r="AN316" s="250">
        <v>18.399999999999999</v>
      </c>
      <c r="AO316" s="251">
        <v>520727</v>
      </c>
      <c r="AP316" s="251">
        <v>239954</v>
      </c>
      <c r="AQ316" s="725">
        <v>65984</v>
      </c>
      <c r="AR316" s="1081"/>
      <c r="AS316" s="251">
        <v>485628</v>
      </c>
      <c r="AT316" s="251">
        <v>213546</v>
      </c>
      <c r="AU316" s="251">
        <v>83720.3</v>
      </c>
      <c r="AV316" s="683">
        <v>4778.5</v>
      </c>
      <c r="AW316" s="683">
        <v>3192.8</v>
      </c>
      <c r="AX316" s="1081">
        <v>231.77</v>
      </c>
      <c r="AY316" s="1081">
        <v>140.19</v>
      </c>
      <c r="AZ316" s="1081">
        <v>991.43299999999999</v>
      </c>
      <c r="BA316" s="1081">
        <v>414.45699999999999</v>
      </c>
      <c r="BB316" s="1398">
        <v>2007.7</v>
      </c>
      <c r="BC316" s="1081">
        <v>3378.7</v>
      </c>
      <c r="BD316" s="250">
        <v>527.70000000000005</v>
      </c>
      <c r="BE316" s="251">
        <v>4836.08</v>
      </c>
      <c r="BF316" s="251">
        <v>30392.191228070202</v>
      </c>
      <c r="BG316" s="1081">
        <v>7610.5125889503297</v>
      </c>
      <c r="BH316" s="251">
        <v>4345.09</v>
      </c>
      <c r="BI316" s="1014">
        <v>2867000</v>
      </c>
      <c r="BJ316" s="1014">
        <v>641</v>
      </c>
      <c r="BK316" s="1014">
        <v>22559</v>
      </c>
      <c r="BL316" s="250">
        <v>3862795</v>
      </c>
      <c r="BM316" s="250">
        <v>173122</v>
      </c>
      <c r="BN316" s="250">
        <v>23650</v>
      </c>
      <c r="BO316" s="1081">
        <v>3454128</v>
      </c>
      <c r="BP316" s="1081">
        <v>179551</v>
      </c>
      <c r="BQ316" s="1081">
        <v>20248</v>
      </c>
      <c r="BR316" s="251">
        <v>9676.4</v>
      </c>
      <c r="BS316" s="251">
        <v>6573.4</v>
      </c>
      <c r="BT316" s="251">
        <v>1256285</v>
      </c>
      <c r="BU316" s="251">
        <v>712686</v>
      </c>
      <c r="BV316" s="251">
        <v>815996</v>
      </c>
      <c r="BW316" s="251">
        <v>514191</v>
      </c>
      <c r="BX316" s="1324">
        <v>0</v>
      </c>
    </row>
    <row r="317" spans="1:76">
      <c r="A317" s="160">
        <v>45223</v>
      </c>
      <c r="B317" s="1081">
        <v>1077.9870000000001</v>
      </c>
      <c r="C317" s="1081">
        <v>594.71500000000003</v>
      </c>
      <c r="D317" s="1081">
        <v>6887</v>
      </c>
      <c r="E317" s="1311">
        <v>0</v>
      </c>
      <c r="F317" s="250">
        <v>20289.7</v>
      </c>
      <c r="G317" s="250">
        <v>6159</v>
      </c>
      <c r="H317" s="1081">
        <v>31275</v>
      </c>
      <c r="I317" s="250">
        <v>15585</v>
      </c>
      <c r="J317" s="250">
        <v>209787.3</v>
      </c>
      <c r="K317" s="1081">
        <v>14969.8</v>
      </c>
      <c r="L317" s="1081">
        <v>7011.4</v>
      </c>
      <c r="M317" s="1014">
        <v>46196.1</v>
      </c>
      <c r="N317" s="1014">
        <v>36751.4</v>
      </c>
      <c r="O317" s="250">
        <v>139646</v>
      </c>
      <c r="P317" s="250">
        <v>115772</v>
      </c>
      <c r="Q317" s="250">
        <v>142497</v>
      </c>
      <c r="R317" s="250">
        <v>97773</v>
      </c>
      <c r="S317" s="1081">
        <v>14063.6</v>
      </c>
      <c r="T317" s="1081">
        <v>10680.14</v>
      </c>
      <c r="U317" s="250">
        <v>77648</v>
      </c>
      <c r="V317" s="250">
        <v>39942</v>
      </c>
      <c r="W317" s="250">
        <v>215382.39999999999</v>
      </c>
      <c r="X317" s="683">
        <v>345.9</v>
      </c>
      <c r="Y317" s="725">
        <v>50716</v>
      </c>
      <c r="Z317" s="250">
        <v>619150</v>
      </c>
      <c r="AA317" s="250">
        <v>315058</v>
      </c>
      <c r="AB317" s="250">
        <v>215060</v>
      </c>
      <c r="AC317" s="683">
        <v>1113.2</v>
      </c>
      <c r="AD317" s="718">
        <v>1676</v>
      </c>
      <c r="AE317" s="250">
        <v>487.5</v>
      </c>
      <c r="AF317" s="250">
        <v>355.8</v>
      </c>
      <c r="AG317" s="250">
        <v>83771.100000000006</v>
      </c>
      <c r="AH317" s="250">
        <v>64746.8</v>
      </c>
      <c r="AI317" s="250">
        <v>72353.3</v>
      </c>
      <c r="AJ317" s="250">
        <v>59205.9</v>
      </c>
      <c r="AK317" s="250">
        <v>61240.4</v>
      </c>
      <c r="AL317" s="250">
        <v>24071.3</v>
      </c>
      <c r="AM317" s="250">
        <v>17</v>
      </c>
      <c r="AN317" s="250">
        <v>18.399999999999999</v>
      </c>
      <c r="AO317" s="250">
        <v>520853</v>
      </c>
      <c r="AP317" s="250">
        <v>240013</v>
      </c>
      <c r="AQ317" s="250">
        <v>65990</v>
      </c>
      <c r="AR317" s="1081"/>
      <c r="AS317" s="250">
        <v>485738</v>
      </c>
      <c r="AT317" s="250">
        <v>213594</v>
      </c>
      <c r="AU317" s="250">
        <v>83738</v>
      </c>
      <c r="AV317" s="251">
        <v>4782.3999999999996</v>
      </c>
      <c r="AW317" s="250">
        <v>3195.5</v>
      </c>
      <c r="AX317" s="1081">
        <v>231.77</v>
      </c>
      <c r="AY317" s="1081">
        <v>140.19</v>
      </c>
      <c r="AZ317" s="1081">
        <v>991.43299999999999</v>
      </c>
      <c r="BA317" s="1081">
        <v>414.45699999999999</v>
      </c>
      <c r="BB317" s="1398">
        <v>2007.7</v>
      </c>
      <c r="BC317" s="250">
        <v>3380.2</v>
      </c>
      <c r="BD317" s="250">
        <v>527.70000000000005</v>
      </c>
      <c r="BE317" s="250">
        <v>4846.43</v>
      </c>
      <c r="BF317" s="250">
        <v>33976.096491228098</v>
      </c>
      <c r="BG317" s="250">
        <v>9090.0909794812305</v>
      </c>
      <c r="BH317" s="250">
        <v>4472.26</v>
      </c>
      <c r="BI317" s="1014">
        <v>2867000</v>
      </c>
      <c r="BJ317" s="1014">
        <v>641</v>
      </c>
      <c r="BK317" s="1014">
        <v>22559</v>
      </c>
      <c r="BL317" s="250">
        <v>3865705</v>
      </c>
      <c r="BM317" s="250">
        <v>173142</v>
      </c>
      <c r="BN317" s="250">
        <v>23674</v>
      </c>
      <c r="BO317" s="1081">
        <v>3460091</v>
      </c>
      <c r="BP317" s="1081">
        <v>179887</v>
      </c>
      <c r="BQ317" s="1081">
        <v>20272</v>
      </c>
      <c r="BR317" s="250">
        <v>9683.2000000000007</v>
      </c>
      <c r="BS317" s="250">
        <v>6577.7</v>
      </c>
      <c r="BT317" s="250">
        <v>1257522</v>
      </c>
      <c r="BU317" s="250">
        <v>713366</v>
      </c>
      <c r="BV317" s="250">
        <v>816286</v>
      </c>
      <c r="BW317" s="250">
        <v>514367</v>
      </c>
      <c r="BX317" s="1324">
        <v>0</v>
      </c>
    </row>
    <row r="318" spans="1:76">
      <c r="A318" s="160">
        <v>45224</v>
      </c>
      <c r="B318" s="1081">
        <v>1077.9870000000001</v>
      </c>
      <c r="C318" s="1081">
        <v>594.71500000000003</v>
      </c>
      <c r="D318" s="1081">
        <v>6887</v>
      </c>
      <c r="E318" s="1311">
        <v>0</v>
      </c>
      <c r="F318" s="250">
        <v>20305.7</v>
      </c>
      <c r="G318" s="250">
        <v>6164</v>
      </c>
      <c r="H318" s="1081">
        <v>31442</v>
      </c>
      <c r="I318" s="250">
        <v>15667</v>
      </c>
      <c r="J318" s="250">
        <v>209811.3</v>
      </c>
      <c r="K318" s="1081">
        <v>14969.8</v>
      </c>
      <c r="L318" s="1081">
        <v>7011.4</v>
      </c>
      <c r="M318" s="1014">
        <v>46196.1</v>
      </c>
      <c r="N318" s="1014">
        <v>36751.4</v>
      </c>
      <c r="O318" s="250">
        <v>139656</v>
      </c>
      <c r="P318" s="250">
        <v>115780</v>
      </c>
      <c r="Q318" s="250">
        <v>142512</v>
      </c>
      <c r="R318" s="250">
        <v>97783</v>
      </c>
      <c r="S318" s="1081">
        <v>14063.6</v>
      </c>
      <c r="T318" s="1081">
        <v>10680.14</v>
      </c>
      <c r="U318" s="250">
        <v>77950</v>
      </c>
      <c r="V318" s="250">
        <v>40096</v>
      </c>
      <c r="W318" s="250">
        <v>215406.4</v>
      </c>
      <c r="X318" s="683">
        <v>345.9</v>
      </c>
      <c r="Y318" s="725">
        <v>50716</v>
      </c>
      <c r="Z318" s="250">
        <v>619298</v>
      </c>
      <c r="AA318" s="250">
        <v>315134</v>
      </c>
      <c r="AB318" s="250">
        <v>215084</v>
      </c>
      <c r="AC318" s="683">
        <v>1113.2</v>
      </c>
      <c r="AD318" s="718">
        <v>1676</v>
      </c>
      <c r="AE318" s="250">
        <v>490.9</v>
      </c>
      <c r="AF318" s="250">
        <v>358.3</v>
      </c>
      <c r="AG318" s="250">
        <v>83777.5</v>
      </c>
      <c r="AH318" s="250">
        <v>64751.6</v>
      </c>
      <c r="AI318" s="250">
        <v>72392</v>
      </c>
      <c r="AJ318" s="250">
        <v>59238.6</v>
      </c>
      <c r="AK318" s="250">
        <v>61254.6</v>
      </c>
      <c r="AL318" s="250">
        <v>24076.7</v>
      </c>
      <c r="AM318" s="250">
        <v>17</v>
      </c>
      <c r="AN318" s="250">
        <v>18.399999999999999</v>
      </c>
      <c r="AO318" s="250">
        <v>521018</v>
      </c>
      <c r="AP318" s="250">
        <v>240090</v>
      </c>
      <c r="AQ318" s="250">
        <v>65995</v>
      </c>
      <c r="AR318" s="1081"/>
      <c r="AS318" s="250">
        <v>485888</v>
      </c>
      <c r="AT318" s="250">
        <v>213658</v>
      </c>
      <c r="AU318" s="250">
        <v>83762</v>
      </c>
      <c r="AV318" s="250">
        <v>4786.2</v>
      </c>
      <c r="AW318" s="250">
        <v>3198</v>
      </c>
      <c r="AX318" s="1081">
        <v>231.77</v>
      </c>
      <c r="AY318" s="1081">
        <v>140.19</v>
      </c>
      <c r="AZ318" s="1081">
        <v>991.43299999999999</v>
      </c>
      <c r="BA318" s="1081">
        <v>414.45699999999999</v>
      </c>
      <c r="BB318" s="1398">
        <v>2007.7</v>
      </c>
      <c r="BC318" s="250">
        <v>3382.6</v>
      </c>
      <c r="BD318" s="250">
        <v>527.70000000000005</v>
      </c>
      <c r="BE318" s="250">
        <v>4697.24</v>
      </c>
      <c r="BF318" s="250">
        <v>33659.6052631579</v>
      </c>
      <c r="BG318" s="250">
        <v>7189.4275621872903</v>
      </c>
      <c r="BH318" s="250">
        <v>4611.53</v>
      </c>
      <c r="BI318" s="1014">
        <v>2867000</v>
      </c>
      <c r="BJ318" s="1014">
        <v>641</v>
      </c>
      <c r="BK318" s="1014">
        <v>22559</v>
      </c>
      <c r="BL318" s="250">
        <v>3869903</v>
      </c>
      <c r="BM318" s="250">
        <v>173507</v>
      </c>
      <c r="BN318" s="250">
        <v>23698</v>
      </c>
      <c r="BO318" s="1081">
        <v>3464792</v>
      </c>
      <c r="BP318" s="1081">
        <v>180780</v>
      </c>
      <c r="BQ318" s="1081">
        <v>20296</v>
      </c>
      <c r="BR318" s="250">
        <v>9689.7999999999993</v>
      </c>
      <c r="BS318" s="250">
        <v>6581.9</v>
      </c>
      <c r="BT318" s="250">
        <v>1258736</v>
      </c>
      <c r="BU318" s="250">
        <v>714028</v>
      </c>
      <c r="BV318" s="250">
        <v>816527</v>
      </c>
      <c r="BW318" s="250">
        <v>514512</v>
      </c>
      <c r="BX318" s="1324">
        <v>0</v>
      </c>
    </row>
    <row r="319" spans="1:76">
      <c r="A319" s="160">
        <v>45225</v>
      </c>
      <c r="B319" s="1081">
        <v>1077.9870000000001</v>
      </c>
      <c r="C319" s="1081">
        <v>594.71500000000003</v>
      </c>
      <c r="D319" s="1081">
        <v>6887</v>
      </c>
      <c r="E319" s="1311">
        <v>0</v>
      </c>
      <c r="F319" s="1081">
        <v>20322.3</v>
      </c>
      <c r="G319" s="1081">
        <v>6168</v>
      </c>
      <c r="H319" s="1081">
        <v>31610</v>
      </c>
      <c r="I319" s="1081">
        <v>15749</v>
      </c>
      <c r="J319" s="1081">
        <v>209835.3</v>
      </c>
      <c r="K319" s="1081">
        <v>14969.9</v>
      </c>
      <c r="L319" s="1081">
        <v>7011.4</v>
      </c>
      <c r="M319" s="1014">
        <v>46196.1</v>
      </c>
      <c r="N319" s="1014">
        <v>36751.4</v>
      </c>
      <c r="O319" s="1081">
        <v>139665</v>
      </c>
      <c r="P319" s="1081">
        <v>115787</v>
      </c>
      <c r="Q319" s="1081">
        <v>142527</v>
      </c>
      <c r="R319" s="1081">
        <v>97794</v>
      </c>
      <c r="S319" s="1081">
        <v>14063.6</v>
      </c>
      <c r="T319" s="1081">
        <v>10680.14</v>
      </c>
      <c r="U319" s="1081">
        <v>78244</v>
      </c>
      <c r="V319" s="1081">
        <v>40247</v>
      </c>
      <c r="W319" s="1081">
        <v>215430.39999999999</v>
      </c>
      <c r="X319" s="683">
        <v>345.9</v>
      </c>
      <c r="Y319" s="725">
        <v>50716</v>
      </c>
      <c r="Z319" s="1081">
        <v>619448</v>
      </c>
      <c r="AA319" s="1081">
        <v>315208</v>
      </c>
      <c r="AB319" s="1081">
        <v>215108</v>
      </c>
      <c r="AC319" s="683">
        <v>1113.2</v>
      </c>
      <c r="AD319" s="718">
        <v>1676</v>
      </c>
      <c r="AE319" s="1081">
        <v>494.4</v>
      </c>
      <c r="AF319" s="1081">
        <v>361</v>
      </c>
      <c r="AG319" s="1081">
        <v>83783.5</v>
      </c>
      <c r="AH319" s="1081">
        <v>64756.2</v>
      </c>
      <c r="AI319" s="1081">
        <v>72429.600000000006</v>
      </c>
      <c r="AJ319" s="1081">
        <v>59270.3</v>
      </c>
      <c r="AK319" s="1081">
        <v>61260.7</v>
      </c>
      <c r="AL319" s="1081">
        <v>24079.200000000001</v>
      </c>
      <c r="AM319" s="250">
        <v>17</v>
      </c>
      <c r="AN319" s="250">
        <v>18.399999999999999</v>
      </c>
      <c r="AO319" s="1081">
        <v>521184</v>
      </c>
      <c r="AP319" s="1081">
        <v>240167</v>
      </c>
      <c r="AQ319" s="1081">
        <v>66000</v>
      </c>
      <c r="AR319" s="1081"/>
      <c r="AS319" s="1081">
        <v>486040</v>
      </c>
      <c r="AT319" s="1081">
        <v>213724</v>
      </c>
      <c r="AU319" s="1081">
        <v>83786</v>
      </c>
      <c r="AV319" s="1081">
        <v>4789.8999999999996</v>
      </c>
      <c r="AW319" s="1081">
        <v>3200.6</v>
      </c>
      <c r="AX319" s="1081">
        <v>231.77</v>
      </c>
      <c r="AY319" s="1081">
        <v>140.19</v>
      </c>
      <c r="AZ319" s="1081">
        <v>991.43299999999999</v>
      </c>
      <c r="BA319" s="1081">
        <v>414.45699999999999</v>
      </c>
      <c r="BB319" s="1398">
        <v>2007.7</v>
      </c>
      <c r="BC319" s="22">
        <v>3384.9</v>
      </c>
      <c r="BD319" s="250">
        <v>527.70000000000005</v>
      </c>
      <c r="BE319" s="1081">
        <v>4694.96</v>
      </c>
      <c r="BF319" s="1081">
        <v>34590.608771929801</v>
      </c>
      <c r="BG319" s="1081">
        <v>8696.6450918328592</v>
      </c>
      <c r="BH319" s="1081">
        <v>4535.1000000000004</v>
      </c>
      <c r="BI319" s="1014">
        <v>2867000</v>
      </c>
      <c r="BJ319" s="1014">
        <v>641</v>
      </c>
      <c r="BK319" s="1014">
        <v>22559</v>
      </c>
      <c r="BL319" s="1081">
        <v>3876257</v>
      </c>
      <c r="BM319" s="1081">
        <v>173867</v>
      </c>
      <c r="BN319" s="1081">
        <v>23722</v>
      </c>
      <c r="BO319" s="1081">
        <v>3467727</v>
      </c>
      <c r="BP319" s="1081">
        <v>180780</v>
      </c>
      <c r="BQ319" s="1081">
        <v>20320</v>
      </c>
      <c r="BR319" s="1081">
        <v>9696.6</v>
      </c>
      <c r="BS319" s="1081">
        <v>6586.2</v>
      </c>
      <c r="BT319" s="1081">
        <v>1259973</v>
      </c>
      <c r="BU319" s="1081">
        <v>714699</v>
      </c>
      <c r="BV319" s="1081">
        <v>816808</v>
      </c>
      <c r="BW319" s="1081">
        <v>514685</v>
      </c>
      <c r="BX319" s="1324">
        <v>0</v>
      </c>
    </row>
    <row r="320" spans="1:76">
      <c r="A320" s="160">
        <v>45226</v>
      </c>
      <c r="B320" s="1081">
        <v>1077.9870000000001</v>
      </c>
      <c r="C320" s="1081">
        <v>594.71500000000003</v>
      </c>
      <c r="D320" s="1081">
        <v>6887</v>
      </c>
      <c r="E320" s="1311">
        <v>0</v>
      </c>
      <c r="F320" s="250">
        <v>20338.5</v>
      </c>
      <c r="G320" s="250">
        <v>6172</v>
      </c>
      <c r="H320" s="250">
        <v>31776</v>
      </c>
      <c r="I320" s="250">
        <v>15830</v>
      </c>
      <c r="J320" s="250">
        <v>209859.3</v>
      </c>
      <c r="K320" s="1081">
        <v>14970</v>
      </c>
      <c r="L320" s="1081">
        <v>7011.4</v>
      </c>
      <c r="M320" s="1014">
        <v>46196.1</v>
      </c>
      <c r="N320" s="1014">
        <v>36751.4</v>
      </c>
      <c r="O320" s="250">
        <v>139674</v>
      </c>
      <c r="P320" s="250">
        <v>115794</v>
      </c>
      <c r="Q320" s="250">
        <v>142541</v>
      </c>
      <c r="R320" s="250">
        <v>97804</v>
      </c>
      <c r="S320" s="1081">
        <v>14063.6</v>
      </c>
      <c r="T320" s="1081">
        <v>10680.14</v>
      </c>
      <c r="U320" s="250">
        <v>78458</v>
      </c>
      <c r="V320" s="250">
        <v>40354</v>
      </c>
      <c r="W320" s="250">
        <v>215454.4</v>
      </c>
      <c r="X320" s="683">
        <v>345.9</v>
      </c>
      <c r="Y320" s="725">
        <v>50716</v>
      </c>
      <c r="Z320" s="250">
        <v>619674</v>
      </c>
      <c r="AA320" s="250">
        <v>315322</v>
      </c>
      <c r="AB320" s="250">
        <v>215132</v>
      </c>
      <c r="AC320" s="683">
        <v>1113.2</v>
      </c>
      <c r="AD320" s="718">
        <v>1676</v>
      </c>
      <c r="AE320" s="250">
        <v>497.9</v>
      </c>
      <c r="AF320" s="250">
        <v>363.6</v>
      </c>
      <c r="AG320" s="250">
        <v>83790.600000000006</v>
      </c>
      <c r="AH320" s="250">
        <v>64761.7</v>
      </c>
      <c r="AI320" s="250">
        <v>72466.600000000006</v>
      </c>
      <c r="AJ320" s="250">
        <v>59301.599999999999</v>
      </c>
      <c r="AK320" s="250">
        <v>61270.2</v>
      </c>
      <c r="AL320" s="250">
        <v>24082.799999999999</v>
      </c>
      <c r="AM320" s="250">
        <v>17</v>
      </c>
      <c r="AN320" s="250">
        <v>18.399999999999999</v>
      </c>
      <c r="AO320" s="250">
        <v>521348</v>
      </c>
      <c r="AP320" s="250">
        <v>240243</v>
      </c>
      <c r="AQ320" s="250">
        <v>66005</v>
      </c>
      <c r="AR320" s="1081"/>
      <c r="AS320" s="250">
        <v>486190</v>
      </c>
      <c r="AT320" s="250">
        <v>213790</v>
      </c>
      <c r="AU320" s="250">
        <v>83810</v>
      </c>
      <c r="AV320" s="250">
        <v>4792.3</v>
      </c>
      <c r="AW320" s="250">
        <v>3202.3</v>
      </c>
      <c r="AX320" s="1081">
        <v>231.77</v>
      </c>
      <c r="AY320" s="1081">
        <v>140.19</v>
      </c>
      <c r="AZ320" s="1081">
        <v>991.43299999999999</v>
      </c>
      <c r="BA320" s="1081">
        <v>414.45699999999999</v>
      </c>
      <c r="BB320" s="1398">
        <v>2007.7</v>
      </c>
      <c r="BC320" s="1081">
        <v>3387.3</v>
      </c>
      <c r="BD320" s="250">
        <v>527.79999999999995</v>
      </c>
      <c r="BE320" s="250">
        <v>5012.8500000000004</v>
      </c>
      <c r="BF320" s="250">
        <v>34028.663157894698</v>
      </c>
      <c r="BG320" s="250">
        <v>9204.0331095851107</v>
      </c>
      <c r="BH320" s="250">
        <v>4757.4799999999996</v>
      </c>
      <c r="BI320" s="1014">
        <v>2867000</v>
      </c>
      <c r="BJ320" s="1014">
        <v>641</v>
      </c>
      <c r="BK320" s="1014">
        <v>22559</v>
      </c>
      <c r="BL320" s="250">
        <v>3882078</v>
      </c>
      <c r="BM320" s="250">
        <v>174293</v>
      </c>
      <c r="BN320" s="250">
        <v>23746</v>
      </c>
      <c r="BO320" s="1081">
        <v>3470500</v>
      </c>
      <c r="BP320" s="1081">
        <v>180794</v>
      </c>
      <c r="BQ320" s="1081">
        <v>20344</v>
      </c>
      <c r="BR320" s="250">
        <v>9703.1</v>
      </c>
      <c r="BS320" s="250">
        <v>6590.4</v>
      </c>
      <c r="BT320" s="250">
        <v>1260725</v>
      </c>
      <c r="BU320" s="250">
        <v>715121</v>
      </c>
      <c r="BV320" s="250">
        <v>817510</v>
      </c>
      <c r="BW320" s="250">
        <v>515123</v>
      </c>
      <c r="BX320" s="1324">
        <v>0</v>
      </c>
    </row>
    <row r="321" spans="1:109">
      <c r="A321" s="160">
        <v>45227</v>
      </c>
      <c r="B321" s="1081">
        <v>1077.9870000000001</v>
      </c>
      <c r="C321" s="1081">
        <v>594.71500000000003</v>
      </c>
      <c r="D321" s="1081">
        <v>6887</v>
      </c>
      <c r="E321" s="1311">
        <v>0</v>
      </c>
      <c r="F321" s="1081">
        <v>20354.900000000001</v>
      </c>
      <c r="G321" s="1081">
        <v>6177</v>
      </c>
      <c r="H321" s="1081">
        <v>31942</v>
      </c>
      <c r="I321" s="1081">
        <v>15912</v>
      </c>
      <c r="J321" s="1081">
        <v>209883.3</v>
      </c>
      <c r="K321" s="1081">
        <v>14970</v>
      </c>
      <c r="L321" s="1081">
        <v>7011.4</v>
      </c>
      <c r="M321" s="1014">
        <v>46196.1</v>
      </c>
      <c r="N321" s="1014">
        <v>36751.4</v>
      </c>
      <c r="O321" s="1081">
        <v>139682</v>
      </c>
      <c r="P321" s="1081">
        <v>115801</v>
      </c>
      <c r="Q321" s="1081">
        <v>142556</v>
      </c>
      <c r="R321" s="1081">
        <v>97814</v>
      </c>
      <c r="S321" s="1081">
        <v>14063.6</v>
      </c>
      <c r="T321" s="1081">
        <v>10680.14</v>
      </c>
      <c r="U321" s="1081">
        <v>78608</v>
      </c>
      <c r="V321" s="1081">
        <v>40432</v>
      </c>
      <c r="W321" s="1081">
        <v>215478.39999999999</v>
      </c>
      <c r="X321" s="683">
        <v>345.9</v>
      </c>
      <c r="Y321" s="725">
        <v>50716</v>
      </c>
      <c r="Z321" s="1081">
        <v>619968</v>
      </c>
      <c r="AA321" s="1081">
        <v>315471</v>
      </c>
      <c r="AB321" s="1081">
        <v>215156</v>
      </c>
      <c r="AC321" s="683">
        <v>1113.2</v>
      </c>
      <c r="AD321" s="718">
        <v>1676</v>
      </c>
      <c r="AE321" s="1081">
        <v>501.4</v>
      </c>
      <c r="AF321" s="1081">
        <v>366.2</v>
      </c>
      <c r="AG321" s="1081">
        <v>83798.600000000006</v>
      </c>
      <c r="AH321" s="1081">
        <v>64767.9</v>
      </c>
      <c r="AI321" s="1081">
        <v>72506.8</v>
      </c>
      <c r="AJ321" s="1081">
        <v>59335.6</v>
      </c>
      <c r="AK321" s="1081">
        <v>61275.9</v>
      </c>
      <c r="AL321" s="1081">
        <v>24085</v>
      </c>
      <c r="AM321" s="250">
        <v>17</v>
      </c>
      <c r="AN321" s="250">
        <v>18.399999999999999</v>
      </c>
      <c r="AO321" s="1081">
        <v>521513</v>
      </c>
      <c r="AP321" s="1081">
        <v>240319</v>
      </c>
      <c r="AQ321" s="1081">
        <v>66010</v>
      </c>
      <c r="AR321" s="1081"/>
      <c r="AS321" s="1081">
        <v>486341</v>
      </c>
      <c r="AT321" s="1081">
        <v>213854</v>
      </c>
      <c r="AU321" s="1081">
        <v>83834</v>
      </c>
      <c r="AV321" s="1081">
        <v>4794.7</v>
      </c>
      <c r="AW321" s="1081">
        <v>3204.1</v>
      </c>
      <c r="AX321" s="1081">
        <v>231.82</v>
      </c>
      <c r="AY321" s="1081">
        <v>140.22999999999999</v>
      </c>
      <c r="AZ321" s="1081">
        <v>991.43299999999999</v>
      </c>
      <c r="BA321" s="1081">
        <v>414.45699999999999</v>
      </c>
      <c r="BB321" s="1398">
        <v>2007.7</v>
      </c>
      <c r="BC321" s="1081">
        <v>3389.7</v>
      </c>
      <c r="BD321" s="250">
        <v>527.9</v>
      </c>
      <c r="BE321" s="1081">
        <v>4709.99</v>
      </c>
      <c r="BF321" s="1081">
        <v>33813.384210526303</v>
      </c>
      <c r="BG321" s="1081">
        <v>8233.3362221572006</v>
      </c>
      <c r="BH321" s="250">
        <v>4908.76</v>
      </c>
      <c r="BI321" s="1014">
        <v>2867000</v>
      </c>
      <c r="BJ321" s="1014">
        <v>641</v>
      </c>
      <c r="BK321" s="1014">
        <v>22559</v>
      </c>
      <c r="BL321" s="1081">
        <v>3887490</v>
      </c>
      <c r="BM321" s="1081">
        <v>174746</v>
      </c>
      <c r="BN321" s="1081">
        <v>23770</v>
      </c>
      <c r="BO321" s="1081">
        <v>3473573</v>
      </c>
      <c r="BP321" s="1081">
        <v>180852</v>
      </c>
      <c r="BQ321" s="1081">
        <v>20368</v>
      </c>
      <c r="BR321" s="1081">
        <v>9709.7999999999993</v>
      </c>
      <c r="BS321" s="1081">
        <v>6594.7</v>
      </c>
      <c r="BT321" s="1081">
        <v>1261158</v>
      </c>
      <c r="BU321" s="1081">
        <v>715384</v>
      </c>
      <c r="BV321" s="1081">
        <v>818575</v>
      </c>
      <c r="BW321" s="1081">
        <v>515781</v>
      </c>
      <c r="BX321" s="1324">
        <v>0</v>
      </c>
    </row>
    <row r="322" spans="1:109" s="423" customFormat="1">
      <c r="A322" s="160">
        <v>45228</v>
      </c>
      <c r="B322" s="1081">
        <v>1077.9870000000001</v>
      </c>
      <c r="C322" s="1081">
        <v>594.71500000000003</v>
      </c>
      <c r="D322" s="1081">
        <v>6887</v>
      </c>
      <c r="E322" s="1311">
        <v>0</v>
      </c>
      <c r="F322" s="250">
        <v>20369.2</v>
      </c>
      <c r="G322" s="250">
        <v>6182</v>
      </c>
      <c r="H322" s="250">
        <v>32106</v>
      </c>
      <c r="I322" s="250">
        <v>15993</v>
      </c>
      <c r="J322" s="250">
        <v>209907.3</v>
      </c>
      <c r="K322" s="1081">
        <v>14970</v>
      </c>
      <c r="L322" s="1081">
        <v>7011.4</v>
      </c>
      <c r="M322" s="1014">
        <v>46196.1</v>
      </c>
      <c r="N322" s="1014">
        <v>36751.4</v>
      </c>
      <c r="O322" s="250">
        <v>139690</v>
      </c>
      <c r="P322" s="250">
        <v>115808</v>
      </c>
      <c r="Q322" s="250">
        <v>142570</v>
      </c>
      <c r="R322" s="250">
        <v>97824</v>
      </c>
      <c r="S322" s="1081">
        <v>14063.6</v>
      </c>
      <c r="T322" s="1081">
        <v>10680.14</v>
      </c>
      <c r="U322" s="250">
        <v>78758</v>
      </c>
      <c r="V322" s="250">
        <v>40504</v>
      </c>
      <c r="W322" s="250">
        <v>215502.4</v>
      </c>
      <c r="X322" s="683">
        <v>345.9</v>
      </c>
      <c r="Y322" s="725">
        <v>50716</v>
      </c>
      <c r="Z322" s="250">
        <v>620258</v>
      </c>
      <c r="AA322" s="250">
        <v>315624</v>
      </c>
      <c r="AB322" s="250">
        <v>215180</v>
      </c>
      <c r="AC322" s="683">
        <v>1113.2</v>
      </c>
      <c r="AD322" s="718">
        <v>1676</v>
      </c>
      <c r="AE322" s="250">
        <v>504.9</v>
      </c>
      <c r="AF322" s="250">
        <v>368.8</v>
      </c>
      <c r="AG322" s="250">
        <v>83804.800000000003</v>
      </c>
      <c r="AH322" s="250">
        <v>64772.7</v>
      </c>
      <c r="AI322" s="250">
        <v>72547</v>
      </c>
      <c r="AJ322" s="250">
        <v>59369.7</v>
      </c>
      <c r="AK322" s="250">
        <v>61285</v>
      </c>
      <c r="AL322" s="250">
        <v>24088.6</v>
      </c>
      <c r="AM322" s="250">
        <v>17</v>
      </c>
      <c r="AN322" s="250">
        <v>18.399999999999999</v>
      </c>
      <c r="AO322" s="250">
        <v>521680</v>
      </c>
      <c r="AP322" s="250">
        <v>240396</v>
      </c>
      <c r="AQ322" s="422">
        <v>66015</v>
      </c>
      <c r="AR322" s="1081"/>
      <c r="AS322" s="250">
        <v>486492</v>
      </c>
      <c r="AT322" s="250">
        <v>213919</v>
      </c>
      <c r="AU322" s="250">
        <v>83858</v>
      </c>
      <c r="AV322" s="250">
        <v>4797.1000000000004</v>
      </c>
      <c r="AW322" s="250">
        <v>3205.8</v>
      </c>
      <c r="AX322" s="1081">
        <v>231.82</v>
      </c>
      <c r="AY322" s="1081">
        <v>140.22999999999999</v>
      </c>
      <c r="AZ322" s="1081">
        <v>991.43299999999999</v>
      </c>
      <c r="BA322" s="1081">
        <v>414.45699999999999</v>
      </c>
      <c r="BB322" s="1398">
        <v>2007.7</v>
      </c>
      <c r="BC322" s="250">
        <v>3392.1</v>
      </c>
      <c r="BD322" s="250">
        <v>528</v>
      </c>
      <c r="BE322" s="1081">
        <v>4671.3100000000004</v>
      </c>
      <c r="BF322" s="1081">
        <v>33885.298245614002</v>
      </c>
      <c r="BG322" s="1081">
        <v>6135.1851678433104</v>
      </c>
      <c r="BH322" s="250">
        <v>3986.85</v>
      </c>
      <c r="BI322" s="1014">
        <v>2867000</v>
      </c>
      <c r="BJ322" s="1014">
        <v>641</v>
      </c>
      <c r="BK322" s="1014">
        <v>22559</v>
      </c>
      <c r="BL322" s="250">
        <v>3892583</v>
      </c>
      <c r="BM322" s="250">
        <v>175664</v>
      </c>
      <c r="BN322" s="250">
        <v>23794</v>
      </c>
      <c r="BO322" s="1081">
        <v>3476191</v>
      </c>
      <c r="BP322" s="1081">
        <v>180894</v>
      </c>
      <c r="BQ322" s="1081">
        <v>20392</v>
      </c>
      <c r="BR322" s="250">
        <v>9715.1</v>
      </c>
      <c r="BS322" s="250">
        <v>6598.3</v>
      </c>
      <c r="BT322" s="250">
        <v>1261537</v>
      </c>
      <c r="BU322" s="250">
        <v>715613</v>
      </c>
      <c r="BV322" s="250">
        <v>819618</v>
      </c>
      <c r="BW322" s="250">
        <v>516430</v>
      </c>
      <c r="BX322" s="1324">
        <v>0</v>
      </c>
      <c r="BY322" s="22"/>
      <c r="BZ322" s="22"/>
      <c r="CA322" s="22"/>
      <c r="CB322" s="22"/>
      <c r="CC322" s="22"/>
      <c r="CD322" s="22"/>
      <c r="CE322" s="22"/>
      <c r="CF322" s="22"/>
      <c r="CG322" s="22"/>
      <c r="CH322" s="22"/>
      <c r="CI322" s="22"/>
      <c r="CJ322" s="22"/>
      <c r="CK322" s="22"/>
      <c r="CL322" s="22"/>
      <c r="CM322" s="22"/>
      <c r="CN322" s="22"/>
      <c r="CO322" s="22"/>
      <c r="CP322" s="22"/>
      <c r="CQ322" s="22"/>
      <c r="CR322" s="22"/>
      <c r="CS322" s="22"/>
      <c r="CT322" s="22"/>
      <c r="CU322" s="22"/>
      <c r="CV322" s="22"/>
      <c r="CW322" s="22"/>
      <c r="CX322" s="22"/>
      <c r="CY322" s="22"/>
      <c r="CZ322" s="22"/>
      <c r="DA322" s="22"/>
      <c r="DB322" s="22"/>
      <c r="DC322" s="22"/>
      <c r="DD322" s="22"/>
      <c r="DE322" s="22"/>
    </row>
    <row r="323" spans="1:109">
      <c r="A323" s="160">
        <v>45229</v>
      </c>
      <c r="B323" s="1081">
        <v>1077.9870000000001</v>
      </c>
      <c r="C323" s="1081">
        <v>594.71500000000003</v>
      </c>
      <c r="D323" s="1081">
        <v>6887</v>
      </c>
      <c r="E323" s="1311">
        <v>0</v>
      </c>
      <c r="F323" s="250">
        <v>20383.400000000001</v>
      </c>
      <c r="G323" s="250">
        <v>6186</v>
      </c>
      <c r="H323" s="250">
        <v>32266</v>
      </c>
      <c r="I323" s="250">
        <v>16073</v>
      </c>
      <c r="J323" s="250">
        <v>209931.3</v>
      </c>
      <c r="K323" s="1081">
        <v>14970.1</v>
      </c>
      <c r="L323" s="1081">
        <v>7011.4</v>
      </c>
      <c r="M323" s="1014">
        <v>46196.1</v>
      </c>
      <c r="N323" s="1014">
        <v>36751.4</v>
      </c>
      <c r="O323" s="250">
        <v>139698</v>
      </c>
      <c r="P323" s="250">
        <v>115814</v>
      </c>
      <c r="Q323" s="250">
        <v>142585</v>
      </c>
      <c r="R323" s="250">
        <v>97834</v>
      </c>
      <c r="S323" s="1081">
        <v>14063.6</v>
      </c>
      <c r="T323" s="1081">
        <v>10680.14</v>
      </c>
      <c r="U323" s="250">
        <v>78906</v>
      </c>
      <c r="V323" s="250">
        <v>40577</v>
      </c>
      <c r="W323" s="250">
        <v>215526.39999999999</v>
      </c>
      <c r="X323" s="683">
        <v>345.9</v>
      </c>
      <c r="Y323" s="725">
        <v>50716</v>
      </c>
      <c r="Z323" s="250">
        <v>620544</v>
      </c>
      <c r="AA323" s="250">
        <v>315772</v>
      </c>
      <c r="AB323" s="250">
        <v>215204</v>
      </c>
      <c r="AC323" s="683">
        <v>1113.2</v>
      </c>
      <c r="AD323" s="718">
        <v>1676</v>
      </c>
      <c r="AE323" s="250">
        <v>508.5</v>
      </c>
      <c r="AF323" s="250">
        <v>371.4</v>
      </c>
      <c r="AG323" s="250">
        <v>83811.8</v>
      </c>
      <c r="AH323" s="250">
        <v>64778.2</v>
      </c>
      <c r="AI323" s="250">
        <v>72586.899999999994</v>
      </c>
      <c r="AJ323" s="250">
        <v>59403.7</v>
      </c>
      <c r="AK323" s="250">
        <v>61293.2</v>
      </c>
      <c r="AL323" s="250">
        <v>24091.8</v>
      </c>
      <c r="AM323" s="250">
        <v>17</v>
      </c>
      <c r="AN323" s="250">
        <v>18.399999999999999</v>
      </c>
      <c r="AO323" s="250">
        <v>521844</v>
      </c>
      <c r="AP323" s="250">
        <v>240473</v>
      </c>
      <c r="AQ323" s="422">
        <v>66020</v>
      </c>
      <c r="AR323" s="1081"/>
      <c r="AS323" s="250">
        <v>486642</v>
      </c>
      <c r="AT323" s="250">
        <v>213984</v>
      </c>
      <c r="AU323" s="250">
        <v>83882</v>
      </c>
      <c r="AV323" s="250">
        <v>4799.5</v>
      </c>
      <c r="AW323" s="250">
        <v>3207.6</v>
      </c>
      <c r="AX323" s="1081">
        <v>231.82</v>
      </c>
      <c r="AY323" s="1081">
        <v>140.22999999999999</v>
      </c>
      <c r="AZ323" s="1081">
        <v>991.43299999999999</v>
      </c>
      <c r="BA323" s="1081">
        <v>414.45699999999999</v>
      </c>
      <c r="BB323" s="1398">
        <v>2007.7</v>
      </c>
      <c r="BC323" s="250">
        <v>3394.6</v>
      </c>
      <c r="BD323" s="250">
        <v>528.1</v>
      </c>
      <c r="BE323" s="1081">
        <v>4815.7</v>
      </c>
      <c r="BF323" s="1081">
        <v>34177.035087719298</v>
      </c>
      <c r="BG323" s="1081">
        <v>8779.0094917443203</v>
      </c>
      <c r="BH323" s="250">
        <v>5444.8</v>
      </c>
      <c r="BI323" s="1014">
        <v>2867000</v>
      </c>
      <c r="BJ323" s="1014">
        <v>641</v>
      </c>
      <c r="BK323" s="1014">
        <v>22559</v>
      </c>
      <c r="BL323" s="250">
        <v>3897202</v>
      </c>
      <c r="BM323" s="250">
        <v>176289</v>
      </c>
      <c r="BN323" s="250">
        <v>23818</v>
      </c>
      <c r="BO323" s="1081">
        <v>3479676</v>
      </c>
      <c r="BP323" s="1081">
        <v>180976</v>
      </c>
      <c r="BQ323" s="1081">
        <v>20416</v>
      </c>
      <c r="BR323" s="250">
        <v>9720.2999999999993</v>
      </c>
      <c r="BS323" s="250">
        <v>6601.8</v>
      </c>
      <c r="BT323" s="250">
        <v>1261972</v>
      </c>
      <c r="BU323" s="250">
        <v>715875</v>
      </c>
      <c r="BV323" s="250">
        <v>820665</v>
      </c>
      <c r="BW323" s="250">
        <v>517071</v>
      </c>
      <c r="BX323" s="1324">
        <v>0</v>
      </c>
    </row>
    <row r="324" spans="1:109">
      <c r="A324" s="160">
        <v>45230</v>
      </c>
      <c r="B324" s="1081">
        <v>1077.9870000000001</v>
      </c>
      <c r="C324" s="1081">
        <v>594.71500000000003</v>
      </c>
      <c r="D324" s="1081">
        <v>6887</v>
      </c>
      <c r="E324" s="1311">
        <v>0</v>
      </c>
      <c r="F324" s="250">
        <v>20398</v>
      </c>
      <c r="G324" s="250">
        <v>6190</v>
      </c>
      <c r="H324" s="250">
        <v>32433</v>
      </c>
      <c r="I324" s="250">
        <v>16156</v>
      </c>
      <c r="J324" s="250">
        <v>209955.3</v>
      </c>
      <c r="K324" s="1081">
        <v>14970.1</v>
      </c>
      <c r="L324" s="1081">
        <v>7011.4</v>
      </c>
      <c r="M324" s="1014">
        <v>46196.1</v>
      </c>
      <c r="N324" s="1014">
        <v>36751.4</v>
      </c>
      <c r="O324" s="250">
        <v>139707</v>
      </c>
      <c r="P324" s="250">
        <v>115821</v>
      </c>
      <c r="Q324" s="250">
        <v>142600</v>
      </c>
      <c r="R324" s="250">
        <v>97844</v>
      </c>
      <c r="S324" s="1081">
        <v>14063.6</v>
      </c>
      <c r="T324" s="1081">
        <v>10680.14</v>
      </c>
      <c r="U324" s="250">
        <v>79115</v>
      </c>
      <c r="V324" s="250">
        <v>40684</v>
      </c>
      <c r="W324" s="250">
        <v>215550.4</v>
      </c>
      <c r="X324" s="683">
        <v>345.9</v>
      </c>
      <c r="Y324" s="725">
        <v>50716</v>
      </c>
      <c r="Z324" s="250">
        <v>620784</v>
      </c>
      <c r="AA324" s="250">
        <v>315895</v>
      </c>
      <c r="AB324" s="250">
        <v>215228</v>
      </c>
      <c r="AC324" s="683">
        <v>1113.2</v>
      </c>
      <c r="AD324" s="718">
        <v>1676</v>
      </c>
      <c r="AE324" s="250">
        <v>512.1</v>
      </c>
      <c r="AF324" s="250">
        <v>374.1</v>
      </c>
      <c r="AG324" s="250">
        <v>83817.8</v>
      </c>
      <c r="AH324" s="250">
        <v>64782.8</v>
      </c>
      <c r="AI324" s="250">
        <v>72628.3</v>
      </c>
      <c r="AJ324" s="250">
        <v>59439</v>
      </c>
      <c r="AK324" s="250">
        <v>61303.3</v>
      </c>
      <c r="AL324" s="250">
        <v>24095.8</v>
      </c>
      <c r="AM324" s="250">
        <v>17</v>
      </c>
      <c r="AN324" s="250">
        <v>18.399999999999999</v>
      </c>
      <c r="AO324" s="250">
        <v>522011</v>
      </c>
      <c r="AP324" s="250">
        <v>240550</v>
      </c>
      <c r="AQ324" s="422">
        <v>66025</v>
      </c>
      <c r="AR324" s="1081"/>
      <c r="AS324" s="250">
        <v>486792</v>
      </c>
      <c r="AT324" s="250">
        <v>214049</v>
      </c>
      <c r="AU324" s="250">
        <v>83906</v>
      </c>
      <c r="AV324" s="250">
        <v>4801.8999999999996</v>
      </c>
      <c r="AW324" s="250">
        <v>3209.3</v>
      </c>
      <c r="AX324" s="250">
        <v>231.83</v>
      </c>
      <c r="AY324" s="1081">
        <v>140.22999999999999</v>
      </c>
      <c r="AZ324" s="1081">
        <v>991.69</v>
      </c>
      <c r="BA324" s="1081">
        <v>414.55399999999997</v>
      </c>
      <c r="BB324" s="1398">
        <v>2008.1</v>
      </c>
      <c r="BC324" s="250">
        <v>3397</v>
      </c>
      <c r="BD324" s="22">
        <v>528.20000000000005</v>
      </c>
      <c r="BE324" s="250">
        <v>4600</v>
      </c>
      <c r="BF324" s="250">
        <v>34130.9368421053</v>
      </c>
      <c r="BG324" s="1014">
        <v>9710.88027487418</v>
      </c>
      <c r="BH324" s="250">
        <v>6117.73</v>
      </c>
      <c r="BI324" s="1014">
        <v>2867000</v>
      </c>
      <c r="BJ324" s="1014">
        <v>641</v>
      </c>
      <c r="BK324" s="1014">
        <v>22559</v>
      </c>
      <c r="BL324" s="250">
        <v>3901973</v>
      </c>
      <c r="BM324" s="250">
        <v>176888</v>
      </c>
      <c r="BN324" s="250">
        <v>23842</v>
      </c>
      <c r="BO324" s="1081">
        <v>3483405</v>
      </c>
      <c r="BP324" s="1081">
        <v>181058</v>
      </c>
      <c r="BQ324" s="1081">
        <v>20440</v>
      </c>
      <c r="BR324" s="250">
        <v>9725.6</v>
      </c>
      <c r="BS324" s="250">
        <v>6605.4</v>
      </c>
      <c r="BT324" s="250">
        <v>1262397</v>
      </c>
      <c r="BU324" s="250">
        <v>716132</v>
      </c>
      <c r="BV324" s="250">
        <v>821717</v>
      </c>
      <c r="BW324" s="250">
        <v>517714</v>
      </c>
      <c r="BX324" s="1324">
        <v>0.3</v>
      </c>
    </row>
    <row r="325" spans="1:109">
      <c r="A325" s="182"/>
      <c r="B325" s="187"/>
      <c r="C325" s="187"/>
      <c r="D325" s="187"/>
      <c r="E325" s="1402"/>
      <c r="F325" s="187"/>
      <c r="G325" s="187"/>
      <c r="H325" s="187"/>
      <c r="I325" s="187"/>
      <c r="J325" s="187"/>
      <c r="K325" s="187"/>
      <c r="L325" s="187"/>
      <c r="M325" s="187"/>
      <c r="N325" s="187"/>
      <c r="O325" s="187"/>
      <c r="P325" s="187"/>
      <c r="Q325" s="187"/>
      <c r="R325" s="187"/>
      <c r="S325" s="187"/>
      <c r="T325" s="187"/>
      <c r="U325" s="187"/>
      <c r="V325" s="187"/>
      <c r="W325" s="187"/>
      <c r="X325" s="187"/>
      <c r="Y325" s="187"/>
      <c r="Z325" s="187"/>
      <c r="AA325" s="187"/>
      <c r="AB325" s="187"/>
      <c r="AC325" s="187"/>
      <c r="AD325" s="187"/>
      <c r="AE325" s="187"/>
      <c r="AF325" s="187"/>
      <c r="AG325" s="187"/>
      <c r="AH325" s="187"/>
      <c r="AI325" s="187"/>
      <c r="AJ325" s="187"/>
      <c r="AK325" s="187"/>
      <c r="AL325" s="187"/>
      <c r="AM325" s="187"/>
      <c r="AN325" s="187"/>
      <c r="AO325" s="187"/>
      <c r="AP325" s="187"/>
      <c r="AQ325" s="187"/>
      <c r="AR325" s="187"/>
      <c r="AS325" s="187"/>
      <c r="AT325" s="187"/>
      <c r="AU325" s="187"/>
      <c r="AV325" s="187"/>
      <c r="AW325" s="187"/>
      <c r="AX325" s="187"/>
      <c r="AY325" s="187"/>
      <c r="AZ325" s="187"/>
      <c r="BA325" s="187"/>
      <c r="BB325" s="1796"/>
      <c r="BC325" s="187"/>
      <c r="BD325" s="187"/>
      <c r="BE325" s="187"/>
      <c r="BF325" s="187"/>
      <c r="BG325" s="187"/>
      <c r="BH325" s="187"/>
      <c r="BI325" s="187"/>
      <c r="BJ325" s="187"/>
      <c r="BK325" s="187"/>
      <c r="BL325" s="187"/>
      <c r="BM325" s="187"/>
      <c r="BN325" s="187"/>
      <c r="BO325" s="187"/>
      <c r="BP325" s="187"/>
      <c r="BQ325" s="187"/>
      <c r="BR325" s="187"/>
      <c r="BS325" s="187"/>
      <c r="BT325" s="187"/>
      <c r="BU325" s="187"/>
      <c r="BV325" s="187"/>
      <c r="BW325" s="187"/>
      <c r="BX325" s="187"/>
    </row>
    <row r="326" spans="1:109">
      <c r="A326" s="160">
        <v>45230</v>
      </c>
      <c r="B326" s="1081">
        <v>1077.9870000000001</v>
      </c>
      <c r="C326" s="1081">
        <v>594.71500000000003</v>
      </c>
      <c r="D326" s="1081">
        <v>6887</v>
      </c>
      <c r="E326" s="1311">
        <v>0</v>
      </c>
      <c r="F326" s="250">
        <v>20398</v>
      </c>
      <c r="G326" s="250">
        <v>6190</v>
      </c>
      <c r="H326" s="250">
        <v>32433</v>
      </c>
      <c r="I326" s="250">
        <v>16156</v>
      </c>
      <c r="J326" s="250">
        <v>209955.3</v>
      </c>
      <c r="K326" s="1081">
        <v>14970.1</v>
      </c>
      <c r="L326" s="1081">
        <v>7011.4</v>
      </c>
      <c r="M326" s="1014">
        <v>46196.1</v>
      </c>
      <c r="N326" s="1014">
        <v>36751.4</v>
      </c>
      <c r="O326" s="250">
        <v>139707</v>
      </c>
      <c r="P326" s="250">
        <v>115821</v>
      </c>
      <c r="Q326" s="250">
        <v>142600</v>
      </c>
      <c r="R326" s="250">
        <v>97844</v>
      </c>
      <c r="S326" s="1081">
        <v>14063.6</v>
      </c>
      <c r="T326" s="1081">
        <v>10680.14</v>
      </c>
      <c r="U326" s="250">
        <v>79115</v>
      </c>
      <c r="V326" s="250">
        <v>40684</v>
      </c>
      <c r="W326" s="250">
        <v>215550.4</v>
      </c>
      <c r="X326" s="683">
        <v>345.9</v>
      </c>
      <c r="Y326" s="725">
        <v>50716</v>
      </c>
      <c r="Z326" s="250">
        <v>620784</v>
      </c>
      <c r="AA326" s="250">
        <v>315895</v>
      </c>
      <c r="AB326" s="250">
        <v>215228</v>
      </c>
      <c r="AC326" s="683">
        <v>1113.2</v>
      </c>
      <c r="AD326" s="718">
        <v>1676</v>
      </c>
      <c r="AE326" s="250">
        <v>512.1</v>
      </c>
      <c r="AF326" s="250">
        <v>374.1</v>
      </c>
      <c r="AG326" s="250">
        <v>83817.8</v>
      </c>
      <c r="AH326" s="250">
        <v>64782.8</v>
      </c>
      <c r="AI326" s="250">
        <v>72628.3</v>
      </c>
      <c r="AJ326" s="250">
        <v>59439</v>
      </c>
      <c r="AK326" s="250">
        <v>61303.3</v>
      </c>
      <c r="AL326" s="250">
        <v>24095.8</v>
      </c>
      <c r="AM326" s="250">
        <v>17</v>
      </c>
      <c r="AN326" s="250">
        <v>18.399999999999999</v>
      </c>
      <c r="AO326" s="250">
        <v>522011</v>
      </c>
      <c r="AP326" s="250">
        <v>240550</v>
      </c>
      <c r="AQ326" s="422">
        <v>66025</v>
      </c>
      <c r="AR326" s="1081"/>
      <c r="AS326" s="250">
        <v>486792</v>
      </c>
      <c r="AT326" s="250">
        <v>214049</v>
      </c>
      <c r="AU326" s="250">
        <v>83906</v>
      </c>
      <c r="AV326" s="250">
        <v>4801.8999999999996</v>
      </c>
      <c r="AW326" s="250">
        <v>3209.3</v>
      </c>
      <c r="AX326" s="250">
        <v>231.83</v>
      </c>
      <c r="AY326" s="1081">
        <v>140.22999999999999</v>
      </c>
      <c r="AZ326" s="1081">
        <v>991.69</v>
      </c>
      <c r="BA326" s="1081">
        <v>414.55399999999997</v>
      </c>
      <c r="BB326" s="1398">
        <v>2008.1</v>
      </c>
      <c r="BC326" s="250">
        <v>3397</v>
      </c>
      <c r="BD326" s="22">
        <v>528.20000000000005</v>
      </c>
      <c r="BE326" s="250">
        <v>4600</v>
      </c>
      <c r="BF326" s="250">
        <v>34130.9368421053</v>
      </c>
      <c r="BG326" s="1014">
        <v>9710.88027487418</v>
      </c>
      <c r="BH326" s="250">
        <v>6117.73</v>
      </c>
      <c r="BI326" s="1014">
        <v>2867000</v>
      </c>
      <c r="BJ326" s="1014">
        <v>641</v>
      </c>
      <c r="BK326" s="1014">
        <v>22559</v>
      </c>
      <c r="BL326" s="250">
        <v>3901973</v>
      </c>
      <c r="BM326" s="250">
        <v>176888</v>
      </c>
      <c r="BN326" s="250">
        <v>23842</v>
      </c>
      <c r="BO326" s="1081">
        <v>3483405</v>
      </c>
      <c r="BP326" s="1081">
        <v>181058</v>
      </c>
      <c r="BQ326" s="1081">
        <v>20440</v>
      </c>
      <c r="BR326" s="250">
        <v>9725.6</v>
      </c>
      <c r="BS326" s="250">
        <v>6605.4</v>
      </c>
      <c r="BT326" s="250">
        <v>1262397</v>
      </c>
      <c r="BU326" s="250">
        <v>716132</v>
      </c>
      <c r="BV326" s="250">
        <v>821717</v>
      </c>
      <c r="BW326" s="250">
        <v>517714</v>
      </c>
      <c r="BX326" s="1324">
        <v>0.3</v>
      </c>
    </row>
    <row r="327" spans="1:109">
      <c r="A327" s="160">
        <v>45231</v>
      </c>
      <c r="B327" s="1081">
        <v>1077.9870000000001</v>
      </c>
      <c r="C327" s="1081">
        <v>594.71500000000003</v>
      </c>
      <c r="D327" s="1081">
        <v>6887</v>
      </c>
      <c r="E327" s="1311">
        <v>0</v>
      </c>
      <c r="F327" s="1081">
        <v>20410.099999999999</v>
      </c>
      <c r="G327" s="1081">
        <v>6194.2</v>
      </c>
      <c r="H327" s="1081">
        <v>32596.2</v>
      </c>
      <c r="I327" s="1081">
        <v>16236.7</v>
      </c>
      <c r="J327" s="1081">
        <v>209979.3</v>
      </c>
      <c r="K327" s="1081">
        <v>14970.2</v>
      </c>
      <c r="L327" s="1081">
        <v>7011.5</v>
      </c>
      <c r="M327" s="1014">
        <v>46196.1</v>
      </c>
      <c r="N327" s="1014">
        <v>36751.4</v>
      </c>
      <c r="O327" s="1081">
        <v>139716</v>
      </c>
      <c r="P327" s="1081">
        <v>115828</v>
      </c>
      <c r="Q327" s="1081">
        <v>142615</v>
      </c>
      <c r="R327" s="1081">
        <v>97854</v>
      </c>
      <c r="S327" s="1081">
        <v>14063.6</v>
      </c>
      <c r="T327" s="1081">
        <v>10680.14</v>
      </c>
      <c r="U327" s="1081">
        <v>79408</v>
      </c>
      <c r="V327" s="1081">
        <v>40836</v>
      </c>
      <c r="W327" s="1081">
        <v>215574.39999999999</v>
      </c>
      <c r="X327" s="683">
        <v>345.9</v>
      </c>
      <c r="Y327" s="725">
        <v>50716</v>
      </c>
      <c r="Z327" s="1081">
        <v>620931</v>
      </c>
      <c r="AA327" s="1081">
        <v>315965</v>
      </c>
      <c r="AB327" s="1081">
        <v>215252</v>
      </c>
      <c r="AC327" s="683">
        <v>1113.2</v>
      </c>
      <c r="AD327" s="718">
        <v>1676</v>
      </c>
      <c r="AE327" s="1081">
        <v>515.6</v>
      </c>
      <c r="AF327" s="1081">
        <v>376.8</v>
      </c>
      <c r="AG327" s="1081">
        <v>83822.8</v>
      </c>
      <c r="AH327" s="1081">
        <v>64786.7</v>
      </c>
      <c r="AI327" s="1081">
        <v>72667</v>
      </c>
      <c r="AJ327" s="1081">
        <v>59471.6</v>
      </c>
      <c r="AK327" s="1081">
        <v>61312.9</v>
      </c>
      <c r="AL327" s="1081">
        <v>24099.599999999999</v>
      </c>
      <c r="AM327" s="250">
        <v>17</v>
      </c>
      <c r="AN327" s="250">
        <v>18.399999999999999</v>
      </c>
      <c r="AO327" s="1081">
        <v>522180</v>
      </c>
      <c r="AP327" s="1081">
        <v>240625</v>
      </c>
      <c r="AQ327" s="1081">
        <v>66031</v>
      </c>
      <c r="AR327" s="1081"/>
      <c r="AS327" s="1081">
        <v>486943</v>
      </c>
      <c r="AT327" s="1081">
        <v>214114</v>
      </c>
      <c r="AU327" s="1081">
        <v>83930</v>
      </c>
      <c r="AV327" s="1081">
        <v>4804.3</v>
      </c>
      <c r="AW327" s="1081">
        <v>3211.1</v>
      </c>
      <c r="AX327" s="250">
        <v>231.84</v>
      </c>
      <c r="AY327" s="1081">
        <v>140.24</v>
      </c>
      <c r="AZ327" s="1081">
        <v>991.69</v>
      </c>
      <c r="BA327" s="1081">
        <v>414.55399999999997</v>
      </c>
      <c r="BB327" s="1398">
        <v>2008.1</v>
      </c>
      <c r="BC327" s="250">
        <v>3399.4</v>
      </c>
      <c r="BD327" s="250">
        <v>528.29999999999995</v>
      </c>
      <c r="BE327" s="250"/>
      <c r="BF327" s="250"/>
      <c r="BG327" s="250"/>
      <c r="BH327" s="250"/>
      <c r="BI327" s="250">
        <v>2869600</v>
      </c>
      <c r="BJ327" s="250">
        <v>642</v>
      </c>
      <c r="BK327" s="250">
        <v>22574.5</v>
      </c>
      <c r="BL327" s="1081">
        <v>3903545</v>
      </c>
      <c r="BM327" s="1081">
        <v>177148</v>
      </c>
      <c r="BN327" s="1081">
        <v>23850</v>
      </c>
      <c r="BO327" s="1081">
        <v>3487200</v>
      </c>
      <c r="BP327" s="1081">
        <v>181199</v>
      </c>
      <c r="BQ327" s="1081">
        <v>20464</v>
      </c>
      <c r="BR327" s="1081">
        <v>9731.2000000000007</v>
      </c>
      <c r="BS327" s="1081">
        <v>6609.1</v>
      </c>
      <c r="BT327" s="1081">
        <v>1262775</v>
      </c>
      <c r="BU327" s="1081">
        <v>716361</v>
      </c>
      <c r="BV327" s="1081">
        <v>822771</v>
      </c>
      <c r="BW327" s="1081">
        <v>518371</v>
      </c>
      <c r="BX327" s="1324">
        <v>0</v>
      </c>
    </row>
    <row r="328" spans="1:109">
      <c r="A328" s="160">
        <v>45232</v>
      </c>
      <c r="B328" s="1081"/>
      <c r="C328" s="1081"/>
      <c r="D328" s="1081"/>
      <c r="E328" s="1312"/>
      <c r="F328" s="1081"/>
      <c r="G328" s="1081"/>
      <c r="H328" s="1081"/>
      <c r="I328" s="1081"/>
      <c r="J328" s="1081"/>
      <c r="K328" s="1081"/>
      <c r="L328" s="1081"/>
      <c r="M328" s="1081"/>
      <c r="N328" s="1081"/>
      <c r="O328" s="1081"/>
      <c r="P328" s="1081"/>
      <c r="Q328" s="1081"/>
      <c r="R328" s="1081"/>
      <c r="S328" s="250"/>
      <c r="T328" s="250"/>
      <c r="U328" s="1081"/>
      <c r="V328" s="1081"/>
      <c r="W328" s="1081"/>
      <c r="X328" s="683">
        <v>345.9</v>
      </c>
      <c r="Y328" s="725">
        <v>50716</v>
      </c>
      <c r="Z328" s="1081"/>
      <c r="AA328" s="1081"/>
      <c r="AB328" s="1081"/>
      <c r="AC328" s="683">
        <v>1113.2</v>
      </c>
      <c r="AD328" s="718">
        <v>1676</v>
      </c>
      <c r="AE328" s="1081"/>
      <c r="AF328" s="1081"/>
      <c r="AG328" s="1081"/>
      <c r="AH328" s="1081"/>
      <c r="AI328" s="1081"/>
      <c r="AJ328" s="1081"/>
      <c r="AK328" s="1081"/>
      <c r="AL328" s="1081"/>
      <c r="AM328" s="250"/>
      <c r="AN328" s="250"/>
      <c r="AO328" s="1081"/>
      <c r="AP328" s="1081"/>
      <c r="AQ328" s="1081"/>
      <c r="AR328" s="1081"/>
      <c r="AS328" s="1081"/>
      <c r="AT328" s="1081"/>
      <c r="AU328" s="1081"/>
      <c r="AV328" s="1081"/>
      <c r="AW328" s="1081"/>
      <c r="AX328" s="1081"/>
      <c r="AY328" s="1081"/>
      <c r="AZ328" s="1081"/>
      <c r="BA328" s="1081"/>
      <c r="BB328" s="1398"/>
      <c r="BC328" s="1081"/>
      <c r="BD328" s="250"/>
      <c r="BE328" s="250"/>
      <c r="BF328" s="250"/>
      <c r="BG328" s="250"/>
      <c r="BH328" s="250"/>
      <c r="BI328" s="250"/>
      <c r="BJ328" s="250"/>
      <c r="BK328" s="250"/>
      <c r="BL328" s="1081"/>
      <c r="BM328" s="1081"/>
      <c r="BN328" s="1081"/>
      <c r="BO328" s="1081"/>
      <c r="BP328" s="1081"/>
      <c r="BQ328" s="1081"/>
      <c r="BR328" s="1081"/>
      <c r="BS328" s="1081"/>
      <c r="BT328" s="1081"/>
      <c r="BU328" s="1081"/>
      <c r="BV328" s="1081"/>
      <c r="BW328" s="1081"/>
      <c r="BX328" s="1324"/>
    </row>
    <row r="329" spans="1:109">
      <c r="A329" s="160">
        <v>45233</v>
      </c>
      <c r="B329" s="1081"/>
      <c r="C329" s="1081"/>
      <c r="D329" s="1081"/>
      <c r="E329" s="1312"/>
      <c r="F329" s="1081"/>
      <c r="G329" s="1081"/>
      <c r="H329" s="1081"/>
      <c r="I329" s="1081"/>
      <c r="J329" s="1081"/>
      <c r="K329" s="1081"/>
      <c r="L329" s="1081"/>
      <c r="M329" s="1081"/>
      <c r="N329" s="1081"/>
      <c r="O329" s="1081"/>
      <c r="P329" s="1081"/>
      <c r="Q329" s="1081"/>
      <c r="R329" s="1081"/>
      <c r="S329" s="250"/>
      <c r="T329" s="250"/>
      <c r="U329" s="1081"/>
      <c r="V329" s="1081"/>
      <c r="W329" s="1081"/>
      <c r="X329" s="683">
        <v>345.9</v>
      </c>
      <c r="Y329" s="725">
        <v>50716</v>
      </c>
      <c r="Z329" s="1081"/>
      <c r="AA329" s="1081"/>
      <c r="AB329" s="1081"/>
      <c r="AC329" s="683">
        <v>1113.2</v>
      </c>
      <c r="AD329" s="718">
        <v>1676</v>
      </c>
      <c r="AE329" s="1081"/>
      <c r="AF329" s="1081"/>
      <c r="AG329" s="1081"/>
      <c r="AH329" s="1081"/>
      <c r="AI329" s="1081"/>
      <c r="AJ329" s="1081"/>
      <c r="AK329" s="1081"/>
      <c r="AL329" s="1081"/>
      <c r="AM329" s="250"/>
      <c r="AN329" s="250"/>
      <c r="AO329" s="1081"/>
      <c r="AP329" s="1081"/>
      <c r="AQ329" s="1081"/>
      <c r="AR329" s="1081"/>
      <c r="AS329" s="1081"/>
      <c r="AT329" s="1081"/>
      <c r="AU329" s="1081"/>
      <c r="AV329" s="1081"/>
      <c r="AW329" s="1081"/>
      <c r="AX329" s="1081"/>
      <c r="AY329" s="1081"/>
      <c r="AZ329" s="1081"/>
      <c r="BA329" s="1081"/>
      <c r="BB329" s="1398"/>
      <c r="BC329" s="1081"/>
      <c r="BD329" s="250"/>
      <c r="BE329" s="250"/>
      <c r="BF329" s="250"/>
      <c r="BG329" s="250"/>
      <c r="BH329" s="250"/>
      <c r="BI329" s="250"/>
      <c r="BJ329" s="250"/>
      <c r="BK329" s="250"/>
      <c r="BL329" s="1081"/>
      <c r="BM329" s="1081"/>
      <c r="BN329" s="1081"/>
      <c r="BO329" s="1081"/>
      <c r="BP329" s="1081"/>
      <c r="BQ329" s="1081"/>
      <c r="BR329" s="1081"/>
      <c r="BS329" s="1081"/>
      <c r="BT329" s="1081"/>
      <c r="BU329" s="1081"/>
      <c r="BV329" s="1081"/>
      <c r="BW329" s="1081"/>
      <c r="BX329" s="1324"/>
    </row>
    <row r="330" spans="1:109">
      <c r="A330" s="160">
        <v>45234</v>
      </c>
      <c r="B330" s="1081"/>
      <c r="C330" s="1081"/>
      <c r="D330" s="1081"/>
      <c r="E330" s="1312"/>
      <c r="F330" s="1081"/>
      <c r="G330" s="1081"/>
      <c r="H330" s="1081"/>
      <c r="I330" s="1081"/>
      <c r="J330" s="1081"/>
      <c r="K330" s="1081"/>
      <c r="L330" s="1081"/>
      <c r="M330" s="1081"/>
      <c r="N330" s="1081"/>
      <c r="O330" s="1081"/>
      <c r="P330" s="1081"/>
      <c r="Q330" s="1081"/>
      <c r="R330" s="1081"/>
      <c r="S330" s="250"/>
      <c r="T330" s="250"/>
      <c r="U330" s="1081"/>
      <c r="V330" s="1081"/>
      <c r="W330" s="1081"/>
      <c r="X330" s="683">
        <v>345.9</v>
      </c>
      <c r="Y330" s="725">
        <v>50716</v>
      </c>
      <c r="Z330" s="1081"/>
      <c r="AA330" s="1081"/>
      <c r="AB330" s="1081"/>
      <c r="AC330" s="683">
        <v>1113.2</v>
      </c>
      <c r="AD330" s="718">
        <v>1676</v>
      </c>
      <c r="AE330" s="1081"/>
      <c r="AF330" s="1081"/>
      <c r="AG330" s="1081"/>
      <c r="AH330" s="1081"/>
      <c r="AI330" s="1081"/>
      <c r="AJ330" s="1081"/>
      <c r="AK330" s="1081"/>
      <c r="AL330" s="1081"/>
      <c r="AM330" s="250"/>
      <c r="AN330" s="250"/>
      <c r="AO330" s="1081"/>
      <c r="AP330" s="1081"/>
      <c r="AQ330" s="1081"/>
      <c r="AR330" s="1081"/>
      <c r="AS330" s="1081"/>
      <c r="AT330" s="1081"/>
      <c r="AU330" s="1081"/>
      <c r="AV330" s="1081"/>
      <c r="AW330" s="1081"/>
      <c r="AX330" s="1081"/>
      <c r="AY330" s="1081"/>
      <c r="AZ330" s="1081"/>
      <c r="BA330" s="1081"/>
      <c r="BB330" s="1398"/>
      <c r="BC330" s="1081"/>
      <c r="BD330" s="250"/>
      <c r="BE330" s="250"/>
      <c r="BF330" s="250"/>
      <c r="BG330" s="250"/>
      <c r="BH330" s="250"/>
      <c r="BI330" s="250"/>
      <c r="BJ330" s="250"/>
      <c r="BK330" s="250"/>
      <c r="BL330" s="1081"/>
      <c r="BM330" s="1081"/>
      <c r="BN330" s="1081"/>
      <c r="BO330" s="1081"/>
      <c r="BP330" s="1081"/>
      <c r="BQ330" s="1081"/>
      <c r="BR330" s="1081"/>
      <c r="BS330" s="1081"/>
      <c r="BT330" s="1081"/>
      <c r="BU330" s="1081"/>
      <c r="BV330" s="1081"/>
      <c r="BW330" s="1081"/>
      <c r="BX330" s="1324"/>
    </row>
    <row r="331" spans="1:109">
      <c r="A331" s="160">
        <v>45235</v>
      </c>
      <c r="B331" s="1081"/>
      <c r="C331" s="1081"/>
      <c r="D331" s="1081"/>
      <c r="E331" s="1312"/>
      <c r="F331" s="1081"/>
      <c r="G331" s="1081"/>
      <c r="H331" s="1081"/>
      <c r="I331" s="1081"/>
      <c r="J331" s="1081"/>
      <c r="K331" s="1081"/>
      <c r="L331" s="1081"/>
      <c r="M331" s="1081"/>
      <c r="N331" s="1081"/>
      <c r="O331" s="1081"/>
      <c r="P331" s="1081"/>
      <c r="Q331" s="1081"/>
      <c r="R331" s="1081"/>
      <c r="S331" s="250"/>
      <c r="T331" s="250"/>
      <c r="U331" s="1081"/>
      <c r="V331" s="1081"/>
      <c r="W331" s="1081"/>
      <c r="X331" s="683">
        <v>345.9</v>
      </c>
      <c r="Y331" s="725">
        <v>50716</v>
      </c>
      <c r="Z331" s="1081"/>
      <c r="AA331" s="1081"/>
      <c r="AB331" s="1081"/>
      <c r="AC331" s="683">
        <v>1113.2</v>
      </c>
      <c r="AD331" s="718">
        <v>1676</v>
      </c>
      <c r="AE331" s="1081"/>
      <c r="AF331" s="1081"/>
      <c r="AG331" s="1081"/>
      <c r="AH331" s="1081"/>
      <c r="AI331" s="1081"/>
      <c r="AJ331" s="1081"/>
      <c r="AK331" s="1081"/>
      <c r="AL331" s="1081"/>
      <c r="AM331" s="250"/>
      <c r="AN331" s="250"/>
      <c r="AO331" s="1081"/>
      <c r="AP331" s="1081"/>
      <c r="AQ331" s="1081"/>
      <c r="AR331" s="1081"/>
      <c r="AS331" s="1081"/>
      <c r="AT331" s="1081"/>
      <c r="AU331" s="1081"/>
      <c r="AV331" s="1081"/>
      <c r="AW331" s="1081"/>
      <c r="AX331" s="1081"/>
      <c r="AY331" s="1081"/>
      <c r="AZ331" s="1081"/>
      <c r="BA331" s="1081"/>
      <c r="BB331" s="1398"/>
      <c r="BC331" s="1081"/>
      <c r="BD331" s="1081"/>
      <c r="BE331" s="250"/>
      <c r="BF331" s="250"/>
      <c r="BG331" s="250"/>
      <c r="BH331" s="250"/>
      <c r="BI331" s="250"/>
      <c r="BJ331" s="250"/>
      <c r="BK331" s="250"/>
      <c r="BL331" s="1081"/>
      <c r="BM331" s="1081"/>
      <c r="BN331" s="1081"/>
      <c r="BO331" s="1081"/>
      <c r="BP331" s="1081"/>
      <c r="BQ331" s="1081"/>
      <c r="BR331" s="1081"/>
      <c r="BS331" s="1081"/>
      <c r="BT331" s="1081"/>
      <c r="BU331" s="1081"/>
      <c r="BV331" s="1081"/>
      <c r="BW331" s="1081"/>
      <c r="BX331" s="1324"/>
    </row>
    <row r="332" spans="1:109">
      <c r="A332" s="160">
        <v>45236</v>
      </c>
      <c r="B332" s="1081"/>
      <c r="C332" s="1081"/>
      <c r="D332" s="1081"/>
      <c r="E332" s="1312"/>
      <c r="F332" s="250"/>
      <c r="G332" s="250"/>
      <c r="H332" s="250"/>
      <c r="I332" s="250"/>
      <c r="J332" s="250"/>
      <c r="K332" s="1081"/>
      <c r="L332" s="250"/>
      <c r="M332" s="385"/>
      <c r="N332" s="385"/>
      <c r="O332" s="250"/>
      <c r="P332" s="250"/>
      <c r="Q332" s="250"/>
      <c r="R332" s="250"/>
      <c r="S332" s="250"/>
      <c r="T332" s="250"/>
      <c r="U332" s="250"/>
      <c r="V332" s="250"/>
      <c r="W332" s="250"/>
      <c r="X332" s="683">
        <v>345.9</v>
      </c>
      <c r="Y332" s="725">
        <v>50716</v>
      </c>
      <c r="Z332" s="250"/>
      <c r="AA332" s="250"/>
      <c r="AB332" s="250"/>
      <c r="AC332" s="683">
        <v>1113.2</v>
      </c>
      <c r="AD332" s="718">
        <v>1676</v>
      </c>
      <c r="AE332" s="250"/>
      <c r="AF332" s="250"/>
      <c r="AG332" s="250"/>
      <c r="AH332" s="250"/>
      <c r="AI332" s="250"/>
      <c r="AJ332" s="250"/>
      <c r="AK332" s="250"/>
      <c r="AL332" s="250"/>
      <c r="AM332" s="250"/>
      <c r="AN332" s="250"/>
      <c r="AO332" s="250"/>
      <c r="AP332" s="250"/>
      <c r="AQ332" s="422"/>
      <c r="AR332" s="1081"/>
      <c r="AS332" s="250"/>
      <c r="AT332" s="250"/>
      <c r="AU332" s="250"/>
      <c r="AV332" s="250"/>
      <c r="AW332" s="250"/>
      <c r="AX332" s="1081"/>
      <c r="AY332" s="1081"/>
      <c r="AZ332" s="1081"/>
      <c r="BA332" s="1081"/>
      <c r="BB332" s="1398"/>
      <c r="BC332" s="250"/>
      <c r="BD332" s="1081"/>
      <c r="BE332" s="250"/>
      <c r="BF332" s="250"/>
      <c r="BG332" s="385"/>
      <c r="BH332" s="250"/>
      <c r="BI332" s="250"/>
      <c r="BJ332" s="250"/>
      <c r="BK332" s="250"/>
      <c r="BL332" s="250"/>
      <c r="BM332" s="1081"/>
      <c r="BN332" s="250"/>
      <c r="BO332" s="1081"/>
      <c r="BP332" s="1081"/>
      <c r="BQ332" s="1081"/>
      <c r="BR332" s="250"/>
      <c r="BS332" s="250"/>
      <c r="BT332" s="250"/>
      <c r="BU332" s="250"/>
      <c r="BV332" s="250"/>
      <c r="BW332" s="250"/>
      <c r="BX332" s="1324"/>
    </row>
    <row r="333" spans="1:109">
      <c r="A333" s="160">
        <v>45237</v>
      </c>
      <c r="B333" s="1081"/>
      <c r="C333" s="1081"/>
      <c r="D333" s="1081"/>
      <c r="E333" s="1312"/>
      <c r="F333" s="250"/>
      <c r="G333" s="250"/>
      <c r="H333" s="250"/>
      <c r="I333" s="250"/>
      <c r="J333" s="250"/>
      <c r="K333" s="1081"/>
      <c r="L333" s="250"/>
      <c r="M333" s="385"/>
      <c r="N333" s="385"/>
      <c r="O333" s="250"/>
      <c r="P333" s="250"/>
      <c r="Q333" s="250"/>
      <c r="R333" s="250"/>
      <c r="S333" s="250"/>
      <c r="T333" s="250"/>
      <c r="U333" s="250"/>
      <c r="V333" s="250"/>
      <c r="W333" s="250"/>
      <c r="X333" s="683">
        <v>345.9</v>
      </c>
      <c r="Y333" s="725">
        <v>50716</v>
      </c>
      <c r="Z333" s="250"/>
      <c r="AA333" s="250"/>
      <c r="AB333" s="250"/>
      <c r="AC333" s="683">
        <v>1113.2</v>
      </c>
      <c r="AD333" s="718">
        <v>1676</v>
      </c>
      <c r="AE333" s="250"/>
      <c r="AF333" s="250"/>
      <c r="AG333" s="250"/>
      <c r="AH333" s="250"/>
      <c r="AI333" s="250"/>
      <c r="AJ333" s="250"/>
      <c r="AK333" s="250"/>
      <c r="AL333" s="250"/>
      <c r="AM333" s="250"/>
      <c r="AN333" s="250"/>
      <c r="AO333" s="250"/>
      <c r="AP333" s="250"/>
      <c r="AQ333" s="422"/>
      <c r="AR333" s="1081"/>
      <c r="AS333" s="250"/>
      <c r="AT333" s="250"/>
      <c r="AU333" s="250"/>
      <c r="AV333" s="250"/>
      <c r="AW333" s="250"/>
      <c r="AX333" s="1081"/>
      <c r="AY333" s="1081"/>
      <c r="AZ333" s="1081"/>
      <c r="BA333" s="1081"/>
      <c r="BB333" s="1398"/>
      <c r="BC333" s="250"/>
      <c r="BD333" s="250"/>
      <c r="BE333" s="250"/>
      <c r="BF333" s="250"/>
      <c r="BG333" s="1089"/>
      <c r="BH333" s="250"/>
      <c r="BI333" s="250"/>
      <c r="BJ333" s="250"/>
      <c r="BK333" s="250"/>
      <c r="BL333" s="250"/>
      <c r="BM333" s="250"/>
      <c r="BN333" s="250"/>
      <c r="BO333" s="1081"/>
      <c r="BP333" s="1081"/>
      <c r="BQ333" s="1081"/>
      <c r="BR333" s="250"/>
      <c r="BS333" s="250"/>
      <c r="BT333" s="250"/>
      <c r="BU333" s="250"/>
      <c r="BV333" s="250"/>
      <c r="BW333" s="250"/>
      <c r="BX333" s="1324"/>
    </row>
    <row r="334" spans="1:109">
      <c r="A334" s="160">
        <v>45238</v>
      </c>
      <c r="B334" s="1081"/>
      <c r="C334" s="1081"/>
      <c r="D334" s="1081"/>
      <c r="E334" s="1312"/>
      <c r="F334" s="250"/>
      <c r="G334" s="250"/>
      <c r="H334" s="250"/>
      <c r="I334" s="250"/>
      <c r="J334" s="250"/>
      <c r="K334" s="1081"/>
      <c r="L334" s="250"/>
      <c r="M334" s="385"/>
      <c r="N334" s="385"/>
      <c r="O334" s="250"/>
      <c r="P334" s="250"/>
      <c r="Q334" s="250"/>
      <c r="R334" s="250"/>
      <c r="S334" s="250"/>
      <c r="T334" s="250"/>
      <c r="U334" s="251"/>
      <c r="V334" s="251"/>
      <c r="W334" s="250"/>
      <c r="X334" s="683">
        <v>345.9</v>
      </c>
      <c r="Y334" s="725">
        <v>50716</v>
      </c>
      <c r="Z334" s="250"/>
      <c r="AA334" s="250"/>
      <c r="AB334" s="250"/>
      <c r="AC334" s="683">
        <v>1113.2</v>
      </c>
      <c r="AD334" s="718">
        <v>1676</v>
      </c>
      <c r="AE334" s="250"/>
      <c r="AF334" s="250"/>
      <c r="AG334" s="250"/>
      <c r="AH334" s="250"/>
      <c r="AI334" s="250"/>
      <c r="AJ334" s="250"/>
      <c r="AK334" s="250"/>
      <c r="AL334" s="250"/>
      <c r="AM334" s="250"/>
      <c r="AN334" s="250"/>
      <c r="AO334" s="250"/>
      <c r="AP334" s="250"/>
      <c r="AQ334" s="422"/>
      <c r="AR334" s="1081"/>
      <c r="AS334" s="250"/>
      <c r="AT334" s="250"/>
      <c r="AU334" s="250"/>
      <c r="AV334" s="250"/>
      <c r="AW334" s="250"/>
      <c r="AX334" s="1081"/>
      <c r="AY334" s="1081"/>
      <c r="AZ334" s="1081"/>
      <c r="BA334" s="1081"/>
      <c r="BB334" s="1398"/>
      <c r="BC334" s="250"/>
      <c r="BD334" s="250"/>
      <c r="BE334" s="250"/>
      <c r="BF334" s="250"/>
      <c r="BG334" s="1089"/>
      <c r="BH334" s="250"/>
      <c r="BI334" s="250"/>
      <c r="BJ334" s="250"/>
      <c r="BK334" s="250"/>
      <c r="BL334" s="250"/>
      <c r="BM334" s="250"/>
      <c r="BN334" s="250"/>
      <c r="BO334" s="1081"/>
      <c r="BP334" s="1081"/>
      <c r="BQ334" s="1081"/>
      <c r="BR334" s="250"/>
      <c r="BS334" s="250"/>
      <c r="BT334" s="250"/>
      <c r="BU334" s="250"/>
      <c r="BV334" s="250"/>
      <c r="BW334" s="250"/>
      <c r="BX334" s="1324"/>
    </row>
    <row r="335" spans="1:109">
      <c r="A335" s="160">
        <v>45239</v>
      </c>
      <c r="B335" s="1081"/>
      <c r="C335" s="1081"/>
      <c r="D335" s="1081"/>
      <c r="E335" s="1312"/>
      <c r="F335" s="250"/>
      <c r="G335" s="250"/>
      <c r="H335" s="250"/>
      <c r="I335" s="250"/>
      <c r="J335" s="250"/>
      <c r="K335" s="1081"/>
      <c r="L335" s="250"/>
      <c r="M335" s="385"/>
      <c r="N335" s="385"/>
      <c r="O335" s="250"/>
      <c r="P335" s="250"/>
      <c r="Q335" s="250"/>
      <c r="R335" s="250"/>
      <c r="S335" s="250"/>
      <c r="T335" s="250"/>
      <c r="U335" s="250"/>
      <c r="V335" s="335"/>
      <c r="W335" s="250"/>
      <c r="X335" s="683">
        <v>345.9</v>
      </c>
      <c r="Y335" s="725">
        <v>50716</v>
      </c>
      <c r="Z335" s="250"/>
      <c r="AA335" s="250"/>
      <c r="AB335" s="250"/>
      <c r="AC335" s="683">
        <v>1113.2</v>
      </c>
      <c r="AD335" s="718">
        <v>1676</v>
      </c>
      <c r="AE335" s="250"/>
      <c r="AF335" s="250"/>
      <c r="AG335" s="250"/>
      <c r="AH335" s="250"/>
      <c r="AI335" s="250"/>
      <c r="AJ335" s="250"/>
      <c r="AK335" s="250"/>
      <c r="AL335" s="250"/>
      <c r="AM335" s="250"/>
      <c r="AN335" s="250"/>
      <c r="AO335" s="250"/>
      <c r="AP335" s="250"/>
      <c r="AQ335" s="422"/>
      <c r="AR335" s="1081"/>
      <c r="AS335" s="250"/>
      <c r="AT335" s="250"/>
      <c r="AU335" s="250"/>
      <c r="AV335" s="250"/>
      <c r="AW335" s="250"/>
      <c r="AX335" s="1081"/>
      <c r="AY335" s="1081"/>
      <c r="AZ335" s="1081"/>
      <c r="BA335" s="1081"/>
      <c r="BB335" s="1398"/>
      <c r="BC335" s="250"/>
      <c r="BD335" s="250"/>
      <c r="BE335" s="250"/>
      <c r="BF335" s="250"/>
      <c r="BG335" s="1089"/>
      <c r="BH335" s="250"/>
      <c r="BI335" s="250"/>
      <c r="BJ335" s="250"/>
      <c r="BK335" s="250"/>
      <c r="BL335" s="250"/>
      <c r="BM335" s="250"/>
      <c r="BN335" s="250"/>
      <c r="BO335" s="1081"/>
      <c r="BP335" s="1081"/>
      <c r="BQ335" s="1081"/>
      <c r="BR335" s="250"/>
      <c r="BS335" s="250"/>
      <c r="BT335" s="250"/>
      <c r="BU335" s="250"/>
      <c r="BV335" s="250"/>
      <c r="BW335" s="250"/>
      <c r="BX335" s="1324"/>
    </row>
    <row r="336" spans="1:109">
      <c r="A336" s="160">
        <v>45240</v>
      </c>
      <c r="B336" s="1081"/>
      <c r="C336" s="1081"/>
      <c r="D336" s="1081"/>
      <c r="E336" s="1312"/>
      <c r="F336" s="250"/>
      <c r="G336" s="250"/>
      <c r="H336" s="250"/>
      <c r="I336" s="250"/>
      <c r="J336" s="250"/>
      <c r="K336" s="1081"/>
      <c r="L336" s="250"/>
      <c r="M336" s="385"/>
      <c r="N336" s="385"/>
      <c r="O336" s="250"/>
      <c r="P336" s="250"/>
      <c r="Q336" s="250"/>
      <c r="R336" s="250"/>
      <c r="S336" s="250"/>
      <c r="T336" s="250"/>
      <c r="U336" s="250"/>
      <c r="V336" s="250"/>
      <c r="W336" s="250"/>
      <c r="X336" s="683">
        <v>345.9</v>
      </c>
      <c r="Y336" s="725">
        <v>50716</v>
      </c>
      <c r="Z336" s="250"/>
      <c r="AA336" s="250"/>
      <c r="AB336" s="250"/>
      <c r="AC336" s="683">
        <v>1113.2</v>
      </c>
      <c r="AD336" s="718">
        <v>1676</v>
      </c>
      <c r="AE336" s="250"/>
      <c r="AF336" s="250"/>
      <c r="AG336" s="250"/>
      <c r="AH336" s="250"/>
      <c r="AI336" s="250"/>
      <c r="AJ336" s="250"/>
      <c r="AK336" s="250"/>
      <c r="AL336" s="250"/>
      <c r="AM336" s="250"/>
      <c r="AN336" s="250"/>
      <c r="AO336" s="250"/>
      <c r="AP336" s="250"/>
      <c r="AQ336" s="422"/>
      <c r="AR336" s="1081"/>
      <c r="AS336" s="250"/>
      <c r="AT336" s="250"/>
      <c r="AU336" s="250"/>
      <c r="AV336" s="250"/>
      <c r="AW336" s="250"/>
      <c r="AX336" s="1081"/>
      <c r="AY336" s="1081"/>
      <c r="AZ336" s="1081"/>
      <c r="BA336" s="1081"/>
      <c r="BB336" s="1398"/>
      <c r="BC336" s="250"/>
      <c r="BD336" s="250"/>
      <c r="BE336" s="250"/>
      <c r="BF336" s="250"/>
      <c r="BG336" s="1089"/>
      <c r="BH336" s="250"/>
      <c r="BI336" s="250"/>
      <c r="BJ336" s="250"/>
      <c r="BK336" s="250"/>
      <c r="BL336" s="250"/>
      <c r="BM336" s="250"/>
      <c r="BN336" s="250"/>
      <c r="BO336" s="1081"/>
      <c r="BP336" s="1081"/>
      <c r="BQ336" s="1081"/>
      <c r="BR336" s="250"/>
      <c r="BS336" s="250"/>
      <c r="BT336" s="250"/>
      <c r="BU336" s="250"/>
      <c r="BV336" s="250"/>
      <c r="BW336" s="250"/>
      <c r="BX336" s="1324"/>
    </row>
    <row r="337" spans="1:76">
      <c r="A337" s="160">
        <v>45241</v>
      </c>
      <c r="B337" s="1081"/>
      <c r="C337" s="1081"/>
      <c r="D337" s="1081"/>
      <c r="E337" s="1312"/>
      <c r="F337" s="250"/>
      <c r="G337" s="250"/>
      <c r="H337" s="250"/>
      <c r="I337" s="250"/>
      <c r="J337" s="250"/>
      <c r="K337" s="1081"/>
      <c r="L337" s="250"/>
      <c r="M337" s="385"/>
      <c r="N337" s="385"/>
      <c r="O337" s="250"/>
      <c r="P337" s="250"/>
      <c r="Q337" s="250"/>
      <c r="R337" s="250"/>
      <c r="S337" s="250"/>
      <c r="T337" s="250"/>
      <c r="U337" s="250"/>
      <c r="V337" s="250"/>
      <c r="W337" s="250"/>
      <c r="X337" s="683">
        <v>345.9</v>
      </c>
      <c r="Y337" s="725">
        <v>50716</v>
      </c>
      <c r="Z337" s="250"/>
      <c r="AA337" s="250"/>
      <c r="AB337" s="250"/>
      <c r="AC337" s="683">
        <v>1113.2</v>
      </c>
      <c r="AD337" s="718">
        <v>1676</v>
      </c>
      <c r="AE337" s="250"/>
      <c r="AF337" s="250"/>
      <c r="AG337" s="250"/>
      <c r="AH337" s="250"/>
      <c r="AI337" s="250"/>
      <c r="AJ337" s="250"/>
      <c r="AK337" s="250"/>
      <c r="AL337" s="250"/>
      <c r="AM337" s="250"/>
      <c r="AN337" s="250"/>
      <c r="AO337" s="250"/>
      <c r="AP337" s="250"/>
      <c r="AQ337" s="422"/>
      <c r="AR337" s="1081"/>
      <c r="AS337" s="250"/>
      <c r="AT337" s="250"/>
      <c r="AU337" s="250"/>
      <c r="AV337" s="250"/>
      <c r="AW337" s="250"/>
      <c r="AX337" s="1081"/>
      <c r="AY337" s="250"/>
      <c r="AZ337" s="1081"/>
      <c r="BA337" s="1081"/>
      <c r="BB337" s="1398"/>
      <c r="BC337" s="250"/>
      <c r="BD337" s="250"/>
      <c r="BE337" s="250"/>
      <c r="BF337" s="250"/>
      <c r="BG337" s="1089"/>
      <c r="BH337" s="250"/>
      <c r="BI337" s="250"/>
      <c r="BJ337" s="250"/>
      <c r="BK337" s="250"/>
      <c r="BL337" s="250"/>
      <c r="BM337" s="250"/>
      <c r="BN337" s="250"/>
      <c r="BO337" s="1081"/>
      <c r="BP337" s="1081"/>
      <c r="BQ337" s="1081"/>
      <c r="BR337" s="250"/>
      <c r="BS337" s="250"/>
      <c r="BT337" s="250"/>
      <c r="BU337" s="250"/>
      <c r="BV337" s="250"/>
      <c r="BW337" s="250"/>
      <c r="BX337" s="1324"/>
    </row>
    <row r="338" spans="1:76">
      <c r="A338" s="160">
        <v>45242</v>
      </c>
      <c r="B338" s="1081"/>
      <c r="C338" s="1081"/>
      <c r="D338" s="1081"/>
      <c r="E338" s="1312"/>
      <c r="F338" s="250"/>
      <c r="G338" s="250"/>
      <c r="H338" s="250"/>
      <c r="I338" s="250"/>
      <c r="J338" s="250"/>
      <c r="K338" s="1081"/>
      <c r="L338" s="250"/>
      <c r="M338" s="385"/>
      <c r="N338" s="385"/>
      <c r="O338" s="250"/>
      <c r="P338" s="250"/>
      <c r="Q338" s="250"/>
      <c r="R338" s="250"/>
      <c r="S338" s="250"/>
      <c r="T338" s="250"/>
      <c r="U338" s="250"/>
      <c r="V338" s="250"/>
      <c r="W338" s="250"/>
      <c r="X338" s="683">
        <v>345.9</v>
      </c>
      <c r="Y338" s="725">
        <v>50716</v>
      </c>
      <c r="Z338" s="250"/>
      <c r="AA338" s="250"/>
      <c r="AB338" s="250"/>
      <c r="AC338" s="683">
        <v>1113.2</v>
      </c>
      <c r="AD338" s="718">
        <v>1676</v>
      </c>
      <c r="AE338" s="250"/>
      <c r="AF338" s="250"/>
      <c r="AG338" s="250"/>
      <c r="AH338" s="250"/>
      <c r="AI338" s="250"/>
      <c r="AJ338" s="250"/>
      <c r="AK338" s="250"/>
      <c r="AL338" s="250"/>
      <c r="AM338" s="250"/>
      <c r="AN338" s="250"/>
      <c r="AO338" s="250"/>
      <c r="AP338" s="250"/>
      <c r="AQ338" s="422"/>
      <c r="AR338" s="1081"/>
      <c r="AS338" s="250"/>
      <c r="AT338" s="250"/>
      <c r="AU338" s="250"/>
      <c r="AV338" s="250"/>
      <c r="AW338" s="250"/>
      <c r="AX338" s="1081"/>
      <c r="AY338" s="250"/>
      <c r="AZ338" s="1081"/>
      <c r="BA338" s="1081"/>
      <c r="BB338" s="1398"/>
      <c r="BC338" s="250"/>
      <c r="BD338" s="250"/>
      <c r="BE338" s="250"/>
      <c r="BF338" s="250"/>
      <c r="BG338" s="1089"/>
      <c r="BH338" s="250"/>
      <c r="BI338" s="250"/>
      <c r="BJ338" s="250"/>
      <c r="BK338" s="250"/>
      <c r="BL338" s="250"/>
      <c r="BM338" s="250"/>
      <c r="BN338" s="250"/>
      <c r="BO338" s="1081"/>
      <c r="BP338" s="1081"/>
      <c r="BQ338" s="1081"/>
      <c r="BR338" s="250"/>
      <c r="BS338" s="250"/>
      <c r="BT338" s="250"/>
      <c r="BU338" s="250"/>
      <c r="BV338" s="250"/>
      <c r="BW338" s="250"/>
      <c r="BX338" s="1324"/>
    </row>
    <row r="339" spans="1:76">
      <c r="A339" s="160">
        <v>45243</v>
      </c>
      <c r="B339" s="1081"/>
      <c r="C339" s="1081"/>
      <c r="D339" s="1081"/>
      <c r="E339" s="1312"/>
      <c r="F339" s="250"/>
      <c r="G339" s="250"/>
      <c r="H339" s="250"/>
      <c r="I339" s="250"/>
      <c r="J339" s="250"/>
      <c r="K339" s="1081"/>
      <c r="L339" s="250"/>
      <c r="M339" s="250"/>
      <c r="N339" s="250"/>
      <c r="O339" s="250"/>
      <c r="P339" s="250"/>
      <c r="Q339" s="250"/>
      <c r="R339" s="250"/>
      <c r="S339" s="250"/>
      <c r="T339" s="250"/>
      <c r="U339" s="250"/>
      <c r="V339" s="250"/>
      <c r="W339" s="250"/>
      <c r="X339" s="683">
        <v>345.9</v>
      </c>
      <c r="Y339" s="725">
        <v>50716</v>
      </c>
      <c r="Z339" s="250"/>
      <c r="AA339" s="250"/>
      <c r="AB339" s="250"/>
      <c r="AC339" s="683">
        <v>1113.2</v>
      </c>
      <c r="AD339" s="718">
        <v>1676</v>
      </c>
      <c r="AE339" s="250"/>
      <c r="AF339" s="250"/>
      <c r="AG339" s="250"/>
      <c r="AH339" s="250"/>
      <c r="AI339" s="250"/>
      <c r="AJ339" s="250"/>
      <c r="AK339" s="250"/>
      <c r="AL339" s="250"/>
      <c r="AM339" s="250"/>
      <c r="AN339" s="250"/>
      <c r="AO339" s="250"/>
      <c r="AP339" s="250"/>
      <c r="AQ339" s="250"/>
      <c r="AR339" s="250"/>
      <c r="AS339" s="250"/>
      <c r="AT339" s="250"/>
      <c r="AU339" s="250"/>
      <c r="AV339" s="250"/>
      <c r="AW339" s="250"/>
      <c r="AX339" s="1081"/>
      <c r="AY339" s="250"/>
      <c r="AZ339" s="1081"/>
      <c r="BA339" s="1081"/>
      <c r="BB339" s="1398"/>
      <c r="BC339" s="250"/>
      <c r="BD339" s="250"/>
      <c r="BE339" s="250"/>
      <c r="BF339" s="250"/>
      <c r="BG339" s="385"/>
      <c r="BH339" s="250"/>
      <c r="BI339" s="250"/>
      <c r="BJ339" s="250"/>
      <c r="BK339" s="250"/>
      <c r="BL339" s="250"/>
      <c r="BM339" s="250"/>
      <c r="BN339" s="250"/>
      <c r="BO339" s="250"/>
      <c r="BP339" s="250"/>
      <c r="BQ339" s="250"/>
      <c r="BR339" s="250"/>
      <c r="BS339" s="250"/>
      <c r="BT339" s="250"/>
      <c r="BU339" s="250"/>
      <c r="BV339" s="250"/>
      <c r="BW339" s="250"/>
      <c r="BX339" s="1324"/>
    </row>
    <row r="340" spans="1:76">
      <c r="A340" s="160">
        <v>45244</v>
      </c>
      <c r="B340" s="250"/>
      <c r="C340" s="250"/>
      <c r="D340" s="250"/>
      <c r="E340" s="1312"/>
      <c r="F340" s="250"/>
      <c r="G340" s="250"/>
      <c r="H340" s="250"/>
      <c r="I340" s="250"/>
      <c r="J340" s="250"/>
      <c r="K340" s="250"/>
      <c r="L340" s="250"/>
      <c r="M340" s="250"/>
      <c r="N340" s="250"/>
      <c r="O340" s="250"/>
      <c r="P340" s="250"/>
      <c r="Q340" s="250"/>
      <c r="R340" s="250"/>
      <c r="S340" s="250"/>
      <c r="T340" s="250"/>
      <c r="U340" s="250"/>
      <c r="V340" s="250"/>
      <c r="W340" s="250"/>
      <c r="X340" s="683">
        <v>345.9</v>
      </c>
      <c r="Y340" s="725">
        <v>50716</v>
      </c>
      <c r="Z340" s="250"/>
      <c r="AA340" s="250"/>
      <c r="AB340" s="250"/>
      <c r="AC340" s="683">
        <v>1113.2</v>
      </c>
      <c r="AD340" s="718">
        <v>1676</v>
      </c>
      <c r="AE340" s="250"/>
      <c r="AF340" s="250"/>
      <c r="AG340" s="250"/>
      <c r="AH340" s="250"/>
      <c r="AI340" s="250"/>
      <c r="AJ340" s="250"/>
      <c r="AK340" s="250"/>
      <c r="AL340" s="250"/>
      <c r="AM340" s="250"/>
      <c r="AN340" s="250"/>
      <c r="AO340" s="250"/>
      <c r="AP340" s="250"/>
      <c r="AQ340" s="250"/>
      <c r="AR340" s="250"/>
      <c r="AS340" s="250"/>
      <c r="AT340" s="250"/>
      <c r="AU340" s="250"/>
      <c r="AV340" s="250"/>
      <c r="AW340" s="250"/>
      <c r="AX340" s="1081"/>
      <c r="AY340" s="250"/>
      <c r="AZ340" s="250"/>
      <c r="BA340" s="250"/>
      <c r="BB340" s="385"/>
      <c r="BC340" s="250"/>
      <c r="BD340" s="250"/>
      <c r="BE340" s="250"/>
      <c r="BF340" s="250"/>
      <c r="BG340" s="385"/>
      <c r="BH340" s="250"/>
      <c r="BI340" s="250"/>
      <c r="BJ340" s="250"/>
      <c r="BK340" s="250"/>
      <c r="BL340" s="250"/>
      <c r="BM340" s="250"/>
      <c r="BN340" s="250"/>
      <c r="BO340" s="250"/>
      <c r="BP340" s="250"/>
      <c r="BQ340" s="250"/>
      <c r="BR340" s="250"/>
      <c r="BS340" s="250"/>
      <c r="BT340" s="250"/>
      <c r="BU340" s="250"/>
      <c r="BV340" s="250"/>
      <c r="BW340" s="250"/>
      <c r="BX340" s="1324"/>
    </row>
    <row r="341" spans="1:76">
      <c r="A341" s="160">
        <v>45245</v>
      </c>
      <c r="B341" s="250"/>
      <c r="C341" s="250"/>
      <c r="D341" s="250"/>
      <c r="E341" s="1312"/>
      <c r="F341" s="250"/>
      <c r="G341" s="250"/>
      <c r="H341" s="250"/>
      <c r="I341" s="250"/>
      <c r="J341" s="250"/>
      <c r="K341" s="250"/>
      <c r="L341" s="250"/>
      <c r="M341" s="250"/>
      <c r="N341" s="250"/>
      <c r="O341" s="250"/>
      <c r="P341" s="250"/>
      <c r="Q341" s="250"/>
      <c r="R341" s="250"/>
      <c r="S341" s="250"/>
      <c r="T341" s="250"/>
      <c r="U341" s="250"/>
      <c r="V341" s="250"/>
      <c r="W341" s="250"/>
      <c r="X341" s="683">
        <v>345.9</v>
      </c>
      <c r="Y341" s="725">
        <v>50716</v>
      </c>
      <c r="Z341" s="250"/>
      <c r="AA341" s="250"/>
      <c r="AB341" s="250"/>
      <c r="AC341" s="683">
        <v>1113.2</v>
      </c>
      <c r="AD341" s="718">
        <v>1676</v>
      </c>
      <c r="AE341" s="250"/>
      <c r="AF341" s="250"/>
      <c r="AG341" s="250"/>
      <c r="AH341" s="250"/>
      <c r="AI341" s="250"/>
      <c r="AJ341" s="250"/>
      <c r="AK341" s="250"/>
      <c r="AL341" s="250"/>
      <c r="AM341" s="250"/>
      <c r="AN341" s="250"/>
      <c r="AO341" s="250"/>
      <c r="AP341" s="250"/>
      <c r="AQ341" s="422"/>
      <c r="AR341" s="1081"/>
      <c r="AS341" s="250"/>
      <c r="AT341" s="250"/>
      <c r="AU341" s="250"/>
      <c r="AV341" s="250"/>
      <c r="AW341" s="250"/>
      <c r="AX341" s="1081"/>
      <c r="AY341" s="250"/>
      <c r="AZ341" s="250"/>
      <c r="BA341" s="250"/>
      <c r="BB341" s="385"/>
      <c r="BC341" s="250"/>
      <c r="BD341" s="250"/>
      <c r="BE341" s="250"/>
      <c r="BF341" s="250"/>
      <c r="BG341" s="1089"/>
      <c r="BH341" s="250"/>
      <c r="BI341" s="250"/>
      <c r="BJ341" s="250"/>
      <c r="BK341" s="250"/>
      <c r="BL341" s="250"/>
      <c r="BM341" s="250"/>
      <c r="BN341" s="250"/>
      <c r="BO341" s="1081"/>
      <c r="BP341" s="1081"/>
      <c r="BQ341" s="1081"/>
      <c r="BR341" s="250"/>
      <c r="BS341" s="250"/>
      <c r="BT341" s="250"/>
      <c r="BU341" s="250"/>
      <c r="BV341" s="250"/>
      <c r="BW341" s="250"/>
      <c r="BX341" s="1324"/>
    </row>
    <row r="342" spans="1:76">
      <c r="A342" s="160">
        <v>45246</v>
      </c>
      <c r="B342" s="250"/>
      <c r="C342" s="250"/>
      <c r="D342" s="250"/>
      <c r="E342" s="1312"/>
      <c r="F342" s="250"/>
      <c r="G342" s="250"/>
      <c r="H342" s="250"/>
      <c r="I342" s="250"/>
      <c r="J342" s="250"/>
      <c r="K342" s="250"/>
      <c r="L342" s="250"/>
      <c r="M342" s="250"/>
      <c r="N342" s="250"/>
      <c r="O342" s="250"/>
      <c r="Q342" s="250"/>
      <c r="R342" s="250"/>
      <c r="S342" s="250"/>
      <c r="T342" s="250"/>
      <c r="U342" s="250"/>
      <c r="V342" s="250"/>
      <c r="W342" s="250"/>
      <c r="X342" s="683">
        <v>345.9</v>
      </c>
      <c r="Y342" s="725">
        <v>50716</v>
      </c>
      <c r="Z342" s="250"/>
      <c r="AA342" s="250"/>
      <c r="AB342" s="250"/>
      <c r="AC342" s="683">
        <v>1113.2</v>
      </c>
      <c r="AD342" s="718">
        <v>1676</v>
      </c>
      <c r="AE342" s="250"/>
      <c r="AF342" s="250"/>
      <c r="AG342" s="250"/>
      <c r="AH342" s="250"/>
      <c r="AI342" s="250"/>
      <c r="AJ342" s="250"/>
      <c r="AK342" s="250"/>
      <c r="AL342" s="250"/>
      <c r="AM342" s="250"/>
      <c r="AN342" s="250"/>
      <c r="AO342" s="250"/>
      <c r="AP342" s="250"/>
      <c r="AQ342" s="422"/>
      <c r="AR342" s="1081"/>
      <c r="AS342" s="250"/>
      <c r="AT342" s="250"/>
      <c r="AU342" s="250"/>
      <c r="AV342" s="250"/>
      <c r="AW342" s="250"/>
      <c r="AX342" s="1081"/>
      <c r="AY342" s="250"/>
      <c r="AZ342" s="250"/>
      <c r="BA342" s="250"/>
      <c r="BB342" s="385"/>
      <c r="BC342" s="250"/>
      <c r="BD342" s="250"/>
      <c r="BE342" s="250"/>
      <c r="BF342" s="1014"/>
      <c r="BG342" s="1089"/>
      <c r="BH342" s="250"/>
      <c r="BI342" s="250"/>
      <c r="BJ342" s="250"/>
      <c r="BK342" s="250"/>
      <c r="BL342" s="250"/>
      <c r="BM342" s="250"/>
      <c r="BN342" s="250"/>
      <c r="BO342" s="250"/>
      <c r="BP342" s="1081"/>
      <c r="BQ342" s="250"/>
      <c r="BR342" s="250"/>
      <c r="BS342" s="250"/>
      <c r="BT342" s="250"/>
      <c r="BU342" s="250"/>
      <c r="BV342" s="250"/>
      <c r="BW342" s="250"/>
      <c r="BX342" s="1324"/>
    </row>
    <row r="343" spans="1:76">
      <c r="A343" s="160">
        <v>45247</v>
      </c>
      <c r="B343" s="250"/>
      <c r="C343" s="250"/>
      <c r="D343" s="250"/>
      <c r="E343" s="1312"/>
      <c r="F343" s="250"/>
      <c r="G343" s="250"/>
      <c r="H343" s="250"/>
      <c r="I343" s="250"/>
      <c r="J343" s="250"/>
      <c r="K343" s="250"/>
      <c r="L343" s="250"/>
      <c r="M343" s="250"/>
      <c r="N343" s="250"/>
      <c r="O343" s="250"/>
      <c r="P343" s="250"/>
      <c r="Q343" s="250"/>
      <c r="R343" s="250"/>
      <c r="S343" s="250"/>
      <c r="T343" s="250"/>
      <c r="U343" s="250"/>
      <c r="V343" s="250"/>
      <c r="W343" s="250"/>
      <c r="X343" s="683">
        <v>345.9</v>
      </c>
      <c r="Y343" s="725">
        <v>50716</v>
      </c>
      <c r="Z343" s="250"/>
      <c r="AA343" s="250"/>
      <c r="AB343" s="250"/>
      <c r="AC343" s="683">
        <v>1113.2</v>
      </c>
      <c r="AD343" s="718">
        <v>1676</v>
      </c>
      <c r="AE343" s="250"/>
      <c r="AF343" s="250"/>
      <c r="AG343" s="250"/>
      <c r="AH343" s="250"/>
      <c r="AI343" s="250"/>
      <c r="AJ343" s="250"/>
      <c r="AK343" s="250"/>
      <c r="AL343" s="250"/>
      <c r="AM343" s="250"/>
      <c r="AN343" s="250"/>
      <c r="AO343" s="250"/>
      <c r="AP343" s="250"/>
      <c r="AQ343" s="422"/>
      <c r="AR343" s="1081"/>
      <c r="AS343" s="250"/>
      <c r="AT343" s="250"/>
      <c r="AU343" s="250"/>
      <c r="AV343" s="250"/>
      <c r="AW343" s="250"/>
      <c r="AX343" s="1081"/>
      <c r="AY343" s="250"/>
      <c r="AZ343" s="250"/>
      <c r="BA343" s="250"/>
      <c r="BB343" s="385"/>
      <c r="BC343" s="250"/>
      <c r="BD343" s="250"/>
      <c r="BE343" s="250"/>
      <c r="BF343" s="250"/>
      <c r="BG343" s="1089"/>
      <c r="BH343" s="250"/>
      <c r="BI343" s="250"/>
      <c r="BJ343" s="250"/>
      <c r="BK343" s="250"/>
      <c r="BL343" s="250"/>
      <c r="BM343" s="250"/>
      <c r="BN343" s="250"/>
      <c r="BO343" s="250"/>
      <c r="BP343" s="250"/>
      <c r="BQ343" s="250"/>
      <c r="BR343" s="250"/>
      <c r="BS343" s="250"/>
      <c r="BT343" s="250"/>
      <c r="BU343" s="250"/>
      <c r="BV343" s="250"/>
      <c r="BW343" s="250"/>
      <c r="BX343" s="1324"/>
    </row>
    <row r="344" spans="1:76">
      <c r="A344" s="160">
        <v>45248</v>
      </c>
      <c r="B344" s="250"/>
      <c r="C344" s="250"/>
      <c r="D344" s="250"/>
      <c r="E344" s="1312"/>
      <c r="F344" s="250"/>
      <c r="G344" s="250"/>
      <c r="H344" s="250"/>
      <c r="I344" s="250"/>
      <c r="J344" s="250"/>
      <c r="K344" s="250"/>
      <c r="L344" s="250"/>
      <c r="M344" s="250"/>
      <c r="N344" s="250"/>
      <c r="O344" s="250"/>
      <c r="P344" s="250"/>
      <c r="Q344" s="250"/>
      <c r="R344" s="250"/>
      <c r="S344" s="250"/>
      <c r="T344" s="250"/>
      <c r="U344" s="250"/>
      <c r="V344" s="250"/>
      <c r="W344" s="250"/>
      <c r="X344" s="683">
        <v>345.9</v>
      </c>
      <c r="Y344" s="725">
        <v>50716</v>
      </c>
      <c r="Z344" s="250"/>
      <c r="AA344" s="250"/>
      <c r="AB344" s="250"/>
      <c r="AC344" s="683">
        <v>1113.2</v>
      </c>
      <c r="AD344" s="718">
        <v>1676</v>
      </c>
      <c r="AE344" s="250"/>
      <c r="AF344" s="250"/>
      <c r="AG344" s="250"/>
      <c r="AH344" s="250"/>
      <c r="AI344" s="250"/>
      <c r="AJ344" s="250"/>
      <c r="AK344" s="250"/>
      <c r="AL344" s="250"/>
      <c r="AM344" s="250"/>
      <c r="AN344" s="250"/>
      <c r="AO344" s="250"/>
      <c r="AP344" s="250"/>
      <c r="AQ344" s="422"/>
      <c r="AR344" s="1081"/>
      <c r="AS344" s="250"/>
      <c r="AT344" s="250"/>
      <c r="AU344" s="250"/>
      <c r="AV344" s="250"/>
      <c r="AW344" s="250"/>
      <c r="AX344" s="1081"/>
      <c r="AY344" s="250"/>
      <c r="AZ344" s="250"/>
      <c r="BA344" s="718"/>
      <c r="BB344" s="385"/>
      <c r="BC344" s="250"/>
      <c r="BD344" s="250"/>
      <c r="BE344" s="250"/>
      <c r="BF344" s="250"/>
      <c r="BG344" s="385"/>
      <c r="BH344" s="250"/>
      <c r="BI344" s="250"/>
      <c r="BJ344" s="250"/>
      <c r="BK344" s="250"/>
      <c r="BL344" s="250"/>
      <c r="BM344" s="250"/>
      <c r="BN344" s="250"/>
      <c r="BO344" s="250"/>
      <c r="BP344" s="250"/>
      <c r="BQ344" s="250"/>
      <c r="BR344" s="250"/>
      <c r="BS344" s="250"/>
      <c r="BT344" s="250"/>
      <c r="BU344" s="250"/>
      <c r="BV344" s="250"/>
      <c r="BW344" s="250"/>
      <c r="BX344" s="1324"/>
    </row>
    <row r="345" spans="1:76">
      <c r="A345" s="160">
        <v>45249</v>
      </c>
      <c r="B345" s="250"/>
      <c r="C345" s="250"/>
      <c r="D345" s="250"/>
      <c r="E345" s="1312"/>
      <c r="F345" s="250"/>
      <c r="G345" s="250"/>
      <c r="H345" s="250"/>
      <c r="I345" s="250"/>
      <c r="J345" s="250"/>
      <c r="K345" s="250"/>
      <c r="L345" s="250"/>
      <c r="M345" s="250"/>
      <c r="N345" s="250"/>
      <c r="O345" s="250"/>
      <c r="P345" s="250"/>
      <c r="Q345" s="250"/>
      <c r="R345" s="250"/>
      <c r="S345" s="250"/>
      <c r="T345" s="250"/>
      <c r="U345" s="250"/>
      <c r="V345" s="250"/>
      <c r="W345" s="250"/>
      <c r="X345" s="683">
        <v>345.9</v>
      </c>
      <c r="Y345" s="725">
        <v>50716</v>
      </c>
      <c r="Z345" s="250"/>
      <c r="AA345" s="250"/>
      <c r="AB345" s="250"/>
      <c r="AC345" s="683">
        <v>1113.2</v>
      </c>
      <c r="AD345" s="718">
        <v>1676</v>
      </c>
      <c r="AE345" s="250"/>
      <c r="AF345" s="250"/>
      <c r="AG345" s="250"/>
      <c r="AH345" s="250"/>
      <c r="AI345" s="250"/>
      <c r="AJ345" s="250"/>
      <c r="AK345" s="250"/>
      <c r="AL345" s="250"/>
      <c r="AM345" s="250"/>
      <c r="AN345" s="250"/>
      <c r="AO345" s="250"/>
      <c r="AP345" s="250"/>
      <c r="AQ345" s="422"/>
      <c r="AR345" s="1081"/>
      <c r="AS345" s="250"/>
      <c r="AT345" s="250"/>
      <c r="AU345" s="250"/>
      <c r="AV345" s="250"/>
      <c r="AW345" s="250"/>
      <c r="AX345" s="683"/>
      <c r="AY345" s="683"/>
      <c r="AZ345" s="250"/>
      <c r="BA345" s="718"/>
      <c r="BB345" s="385"/>
      <c r="BC345" s="250"/>
      <c r="BD345" s="250"/>
      <c r="BE345" s="250"/>
      <c r="BF345" s="250"/>
      <c r="BG345" s="1014"/>
      <c r="BH345" s="250"/>
      <c r="BI345" s="250"/>
      <c r="BJ345" s="250"/>
      <c r="BK345" s="250"/>
      <c r="BL345" s="250"/>
      <c r="BM345" s="250"/>
      <c r="BN345" s="250"/>
      <c r="BO345" s="250"/>
      <c r="BP345" s="250"/>
      <c r="BQ345" s="250"/>
      <c r="BR345" s="250"/>
      <c r="BS345" s="250"/>
      <c r="BT345" s="250"/>
      <c r="BU345" s="250"/>
      <c r="BV345" s="250"/>
      <c r="BW345" s="250"/>
      <c r="BX345" s="1324"/>
    </row>
    <row r="346" spans="1:76">
      <c r="A346" s="160">
        <v>45250</v>
      </c>
      <c r="B346" s="250"/>
      <c r="C346" s="250"/>
      <c r="D346" s="250"/>
      <c r="E346" s="1312"/>
      <c r="F346" s="250"/>
      <c r="G346" s="250"/>
      <c r="H346" s="250"/>
      <c r="I346" s="250"/>
      <c r="J346" s="250"/>
      <c r="K346" s="250"/>
      <c r="L346" s="250"/>
      <c r="M346" s="250"/>
      <c r="N346" s="250"/>
      <c r="O346" s="250"/>
      <c r="P346" s="250"/>
      <c r="Q346" s="250"/>
      <c r="R346" s="250"/>
      <c r="S346" s="250"/>
      <c r="T346" s="250"/>
      <c r="U346" s="250"/>
      <c r="V346" s="250"/>
      <c r="W346" s="250"/>
      <c r="X346" s="683">
        <v>345.9</v>
      </c>
      <c r="Y346" s="725">
        <v>50716</v>
      </c>
      <c r="Z346" s="250"/>
      <c r="AA346" s="250"/>
      <c r="AB346" s="250"/>
      <c r="AC346" s="683">
        <v>1113.2</v>
      </c>
      <c r="AD346" s="718">
        <v>1676</v>
      </c>
      <c r="AE346" s="250"/>
      <c r="AF346" s="250"/>
      <c r="AG346" s="250"/>
      <c r="AH346" s="250"/>
      <c r="AI346" s="250"/>
      <c r="AJ346" s="250"/>
      <c r="AK346" s="250"/>
      <c r="AL346" s="250"/>
      <c r="AM346" s="250"/>
      <c r="AN346" s="250"/>
      <c r="AO346" s="250"/>
      <c r="AP346" s="250"/>
      <c r="AQ346" s="250"/>
      <c r="AR346" s="1081"/>
      <c r="AS346" s="250"/>
      <c r="AT346" s="250"/>
      <c r="AU346" s="250"/>
      <c r="AV346" s="250"/>
      <c r="AW346" s="250"/>
      <c r="AX346" s="683"/>
      <c r="AY346" s="683"/>
      <c r="AZ346" s="250"/>
      <c r="BA346" s="718"/>
      <c r="BB346" s="385"/>
      <c r="BC346" s="250"/>
      <c r="BD346" s="250"/>
      <c r="BE346" s="250"/>
      <c r="BF346" s="250"/>
      <c r="BG346" s="250"/>
      <c r="BH346" s="250"/>
      <c r="BI346" s="250"/>
      <c r="BJ346" s="250"/>
      <c r="BK346" s="250"/>
      <c r="BL346" s="250"/>
      <c r="BM346" s="250"/>
      <c r="BN346" s="250"/>
      <c r="BO346" s="250"/>
      <c r="BP346" s="250"/>
      <c r="BQ346" s="250"/>
      <c r="BR346" s="250"/>
      <c r="BS346" s="250"/>
      <c r="BT346" s="250"/>
      <c r="BU346" s="250"/>
      <c r="BV346" s="250"/>
      <c r="BW346" s="250"/>
      <c r="BX346" s="1324"/>
    </row>
    <row r="347" spans="1:76">
      <c r="A347" s="160">
        <v>45251</v>
      </c>
      <c r="B347" s="250"/>
      <c r="C347" s="250"/>
      <c r="D347" s="250"/>
      <c r="E347" s="1312"/>
      <c r="F347" s="250"/>
      <c r="G347" s="250"/>
      <c r="H347" s="250"/>
      <c r="I347" s="250"/>
      <c r="J347" s="250"/>
      <c r="K347" s="250"/>
      <c r="L347" s="250"/>
      <c r="M347" s="250"/>
      <c r="N347" s="250"/>
      <c r="O347" s="250"/>
      <c r="P347" s="250"/>
      <c r="Q347" s="250"/>
      <c r="R347" s="250"/>
      <c r="S347" s="250"/>
      <c r="T347" s="250"/>
      <c r="U347" s="250"/>
      <c r="V347" s="250"/>
      <c r="W347" s="250"/>
      <c r="X347" s="683">
        <v>345.9</v>
      </c>
      <c r="Y347" s="725">
        <v>50716</v>
      </c>
      <c r="Z347" s="250"/>
      <c r="AA347" s="250"/>
      <c r="AB347" s="250"/>
      <c r="AC347" s="683">
        <v>1113.2</v>
      </c>
      <c r="AD347" s="718">
        <v>1676</v>
      </c>
      <c r="AE347" s="250"/>
      <c r="AF347" s="250"/>
      <c r="AG347" s="250"/>
      <c r="AH347" s="250"/>
      <c r="AI347" s="250"/>
      <c r="AJ347" s="250"/>
      <c r="AK347" s="250"/>
      <c r="AL347" s="250"/>
      <c r="AM347" s="250"/>
      <c r="AN347" s="250"/>
      <c r="AO347" s="250"/>
      <c r="AP347" s="250"/>
      <c r="AQ347" s="250"/>
      <c r="AR347" s="250"/>
      <c r="AS347" s="250"/>
      <c r="AT347" s="250"/>
      <c r="AU347" s="250"/>
      <c r="AV347" s="250"/>
      <c r="AW347" s="250"/>
      <c r="AX347" s="683"/>
      <c r="AY347" s="683"/>
      <c r="AZ347" s="250"/>
      <c r="BA347" s="250"/>
      <c r="BB347" s="385"/>
      <c r="BC347" s="250"/>
      <c r="BD347" s="250"/>
      <c r="BE347" s="250"/>
      <c r="BF347" s="250"/>
      <c r="BG347" s="250"/>
      <c r="BH347" s="250"/>
      <c r="BI347" s="250"/>
      <c r="BJ347" s="250"/>
      <c r="BK347" s="250"/>
      <c r="BL347" s="250"/>
      <c r="BM347" s="250"/>
      <c r="BN347" s="250"/>
      <c r="BO347" s="250"/>
      <c r="BP347" s="250"/>
      <c r="BQ347" s="250"/>
      <c r="BR347" s="250"/>
      <c r="BS347" s="250"/>
      <c r="BT347" s="250"/>
      <c r="BU347" s="250"/>
      <c r="BV347" s="250"/>
      <c r="BW347" s="250"/>
      <c r="BX347" s="1324"/>
    </row>
    <row r="348" spans="1:76">
      <c r="A348" s="160">
        <v>45252</v>
      </c>
      <c r="B348" s="250"/>
      <c r="C348" s="250"/>
      <c r="D348" s="250"/>
      <c r="E348" s="1312"/>
      <c r="F348" s="250"/>
      <c r="G348" s="250"/>
      <c r="H348" s="250"/>
      <c r="I348" s="250"/>
      <c r="J348" s="250"/>
      <c r="K348" s="250"/>
      <c r="L348" s="250"/>
      <c r="M348" s="250"/>
      <c r="N348" s="250"/>
      <c r="O348" s="250"/>
      <c r="P348" s="250"/>
      <c r="Q348" s="250"/>
      <c r="R348" s="250"/>
      <c r="S348" s="250"/>
      <c r="T348" s="250"/>
      <c r="U348" s="250"/>
      <c r="V348" s="250"/>
      <c r="W348" s="250"/>
      <c r="X348" s="683">
        <v>345.9</v>
      </c>
      <c r="Y348" s="725">
        <v>50716</v>
      </c>
      <c r="Z348" s="250"/>
      <c r="AA348" s="250"/>
      <c r="AB348" s="250"/>
      <c r="AC348" s="683">
        <v>1113.2</v>
      </c>
      <c r="AD348" s="718">
        <v>1676</v>
      </c>
      <c r="AE348" s="250"/>
      <c r="AF348" s="250"/>
      <c r="AG348" s="250"/>
      <c r="AH348" s="250"/>
      <c r="AI348" s="250"/>
      <c r="AJ348" s="250"/>
      <c r="AK348" s="250"/>
      <c r="AL348" s="250"/>
      <c r="AM348" s="250"/>
      <c r="AN348" s="250"/>
      <c r="AO348" s="250"/>
      <c r="AP348" s="250"/>
      <c r="AQ348" s="250"/>
      <c r="AR348" s="250"/>
      <c r="AS348" s="250"/>
      <c r="AT348" s="250"/>
      <c r="AU348" s="250"/>
      <c r="AV348" s="250"/>
      <c r="AW348" s="250"/>
      <c r="AX348" s="250"/>
      <c r="AY348" s="250"/>
      <c r="AZ348" s="250"/>
      <c r="BA348" s="250"/>
      <c r="BB348" s="385"/>
      <c r="BC348" s="250"/>
      <c r="BD348" s="250"/>
      <c r="BE348" s="250"/>
      <c r="BF348" s="250"/>
      <c r="BG348" s="250"/>
      <c r="BH348" s="250"/>
      <c r="BI348" s="250"/>
      <c r="BJ348" s="250"/>
      <c r="BK348" s="250"/>
      <c r="BL348" s="250"/>
      <c r="BM348" s="250"/>
      <c r="BN348" s="250"/>
      <c r="BO348" s="250"/>
      <c r="BP348" s="250"/>
      <c r="BQ348" s="250"/>
      <c r="BR348" s="250"/>
      <c r="BS348" s="250"/>
      <c r="BT348" s="250"/>
      <c r="BU348" s="250"/>
      <c r="BV348" s="250"/>
      <c r="BW348" s="250"/>
      <c r="BX348" s="1324"/>
    </row>
    <row r="349" spans="1:76">
      <c r="A349" s="160">
        <v>45253</v>
      </c>
      <c r="B349" s="250"/>
      <c r="C349" s="250"/>
      <c r="D349" s="250"/>
      <c r="E349" s="1312"/>
      <c r="F349" s="250"/>
      <c r="G349" s="250"/>
      <c r="H349" s="250"/>
      <c r="I349" s="250"/>
      <c r="J349" s="250"/>
      <c r="K349" s="250"/>
      <c r="L349" s="250"/>
      <c r="M349" s="250"/>
      <c r="N349" s="250"/>
      <c r="O349" s="250"/>
      <c r="P349" s="250"/>
      <c r="Q349" s="250"/>
      <c r="R349" s="250"/>
      <c r="S349" s="250"/>
      <c r="T349" s="250"/>
      <c r="U349" s="250"/>
      <c r="V349" s="250"/>
      <c r="W349" s="250"/>
      <c r="X349" s="683">
        <v>345.9</v>
      </c>
      <c r="Y349" s="725">
        <v>50716</v>
      </c>
      <c r="Z349" s="250"/>
      <c r="AA349" s="250"/>
      <c r="AB349" s="250"/>
      <c r="AC349" s="683">
        <v>1113.2</v>
      </c>
      <c r="AD349" s="718">
        <v>1676</v>
      </c>
      <c r="AE349" s="250"/>
      <c r="AF349" s="250"/>
      <c r="AG349" s="250"/>
      <c r="AH349" s="250"/>
      <c r="AI349" s="250"/>
      <c r="AJ349" s="250"/>
      <c r="AK349" s="250"/>
      <c r="AL349" s="250"/>
      <c r="AM349" s="250"/>
      <c r="AN349" s="250"/>
      <c r="AO349" s="250"/>
      <c r="AP349" s="250"/>
      <c r="AQ349" s="250"/>
      <c r="AR349" s="250"/>
      <c r="AS349" s="250"/>
      <c r="AT349" s="250"/>
      <c r="AU349" s="250"/>
      <c r="AV349" s="250"/>
      <c r="AW349" s="250"/>
      <c r="AX349" s="250"/>
      <c r="AY349" s="250"/>
      <c r="AZ349" s="250"/>
      <c r="BA349" s="250"/>
      <c r="BB349" s="385"/>
      <c r="BC349" s="250"/>
      <c r="BD349" s="250"/>
      <c r="BE349" s="250"/>
      <c r="BF349" s="250"/>
      <c r="BG349" s="250"/>
      <c r="BH349" s="250"/>
      <c r="BI349" s="250"/>
      <c r="BJ349" s="250"/>
      <c r="BK349" s="250"/>
      <c r="BL349" s="250"/>
      <c r="BM349" s="250"/>
      <c r="BN349" s="250"/>
      <c r="BO349" s="250"/>
      <c r="BP349" s="250"/>
      <c r="BQ349" s="250"/>
      <c r="BR349" s="250"/>
      <c r="BS349" s="250"/>
      <c r="BT349" s="250"/>
      <c r="BU349" s="250"/>
      <c r="BV349" s="250"/>
      <c r="BW349" s="250"/>
      <c r="BX349" s="1324"/>
    </row>
    <row r="350" spans="1:76">
      <c r="A350" s="160">
        <v>45254</v>
      </c>
      <c r="B350" s="250"/>
      <c r="C350" s="250"/>
      <c r="D350" s="250"/>
      <c r="E350" s="1312"/>
      <c r="F350" s="250"/>
      <c r="G350" s="250"/>
      <c r="H350" s="250"/>
      <c r="I350" s="250"/>
      <c r="J350" s="250"/>
      <c r="K350" s="250"/>
      <c r="L350" s="250"/>
      <c r="M350" s="250"/>
      <c r="N350" s="250"/>
      <c r="O350" s="250"/>
      <c r="P350" s="250"/>
      <c r="Q350" s="250"/>
      <c r="R350" s="250"/>
      <c r="S350" s="250"/>
      <c r="T350" s="250"/>
      <c r="U350" s="250"/>
      <c r="V350" s="250"/>
      <c r="W350" s="250"/>
      <c r="X350" s="683">
        <v>345.9</v>
      </c>
      <c r="Y350" s="725">
        <v>50716</v>
      </c>
      <c r="Z350" s="250"/>
      <c r="AA350" s="250"/>
      <c r="AB350" s="250"/>
      <c r="AC350" s="683">
        <v>1113.2</v>
      </c>
      <c r="AD350" s="718">
        <v>1676</v>
      </c>
      <c r="AE350" s="250"/>
      <c r="AF350" s="250"/>
      <c r="AG350" s="250"/>
      <c r="AH350" s="250"/>
      <c r="AI350" s="250"/>
      <c r="AJ350" s="250"/>
      <c r="AK350" s="250"/>
      <c r="AL350" s="250"/>
      <c r="AM350" s="250"/>
      <c r="AN350" s="250"/>
      <c r="AO350" s="250"/>
      <c r="AP350" s="250"/>
      <c r="AQ350" s="250"/>
      <c r="AR350" s="250"/>
      <c r="AS350" s="250"/>
      <c r="AT350" s="250"/>
      <c r="AU350" s="250"/>
      <c r="AV350" s="250"/>
      <c r="AW350" s="250"/>
      <c r="AX350" s="250"/>
      <c r="AY350" s="250"/>
      <c r="AZ350" s="250"/>
      <c r="BA350" s="250"/>
      <c r="BB350" s="385"/>
      <c r="BC350" s="250"/>
      <c r="BD350" s="250"/>
      <c r="BE350" s="250"/>
      <c r="BF350" s="250"/>
      <c r="BG350" s="250"/>
      <c r="BH350" s="250"/>
      <c r="BI350" s="250"/>
      <c r="BJ350" s="250"/>
      <c r="BK350" s="250"/>
      <c r="BL350" s="250"/>
      <c r="BM350" s="250"/>
      <c r="BN350" s="250"/>
      <c r="BO350" s="250"/>
      <c r="BP350" s="250"/>
      <c r="BQ350" s="250"/>
      <c r="BR350" s="250"/>
      <c r="BS350" s="250"/>
      <c r="BT350" s="250"/>
      <c r="BU350" s="250"/>
      <c r="BV350" s="250"/>
      <c r="BW350" s="250"/>
      <c r="BX350" s="1324"/>
    </row>
    <row r="351" spans="1:76">
      <c r="A351" s="160">
        <v>45255</v>
      </c>
      <c r="B351" s="250"/>
      <c r="C351" s="250"/>
      <c r="D351" s="250"/>
      <c r="E351" s="1312"/>
      <c r="F351" s="250"/>
      <c r="G351" s="250"/>
      <c r="H351" s="250"/>
      <c r="I351" s="250"/>
      <c r="J351" s="250"/>
      <c r="K351" s="250"/>
      <c r="L351" s="250"/>
      <c r="M351" s="250"/>
      <c r="N351" s="250"/>
      <c r="O351" s="250"/>
      <c r="P351" s="250"/>
      <c r="Q351" s="250"/>
      <c r="R351" s="250"/>
      <c r="S351" s="250"/>
      <c r="T351" s="250"/>
      <c r="U351" s="250"/>
      <c r="V351" s="250"/>
      <c r="W351" s="250"/>
      <c r="X351" s="683">
        <v>345.9</v>
      </c>
      <c r="Y351" s="725">
        <v>50716</v>
      </c>
      <c r="Z351" s="250"/>
      <c r="AA351" s="250"/>
      <c r="AB351" s="250"/>
      <c r="AC351" s="683">
        <v>1113.2</v>
      </c>
      <c r="AD351" s="718">
        <v>1676</v>
      </c>
      <c r="AE351" s="250"/>
      <c r="AF351" s="250"/>
      <c r="AG351" s="250"/>
      <c r="AH351" s="250"/>
      <c r="AI351" s="250"/>
      <c r="AJ351" s="250"/>
      <c r="AK351" s="250"/>
      <c r="AL351" s="250"/>
      <c r="AM351" s="250"/>
      <c r="AN351" s="250"/>
      <c r="AO351" s="250"/>
      <c r="AP351" s="250"/>
      <c r="AQ351" s="250"/>
      <c r="AR351" s="250"/>
      <c r="AS351" s="250"/>
      <c r="AT351" s="250"/>
      <c r="AU351" s="250"/>
      <c r="AV351" s="250"/>
      <c r="AW351" s="250"/>
      <c r="AX351" s="250"/>
      <c r="AY351" s="250"/>
      <c r="AZ351" s="250"/>
      <c r="BA351" s="250"/>
      <c r="BB351" s="385"/>
      <c r="BC351" s="250"/>
      <c r="BD351" s="250"/>
      <c r="BE351" s="250"/>
      <c r="BF351" s="250"/>
      <c r="BG351" s="250"/>
      <c r="BH351" s="250"/>
      <c r="BI351" s="250"/>
      <c r="BJ351" s="250"/>
      <c r="BK351" s="250"/>
      <c r="BL351" s="250"/>
      <c r="BM351" s="250"/>
      <c r="BN351" s="250"/>
      <c r="BO351" s="250"/>
      <c r="BP351" s="250"/>
      <c r="BQ351" s="250"/>
      <c r="BR351" s="250"/>
      <c r="BS351" s="250"/>
      <c r="BT351" s="250"/>
      <c r="BU351" s="250"/>
      <c r="BV351" s="250"/>
      <c r="BW351" s="250"/>
      <c r="BX351" s="1324"/>
    </row>
    <row r="352" spans="1:76">
      <c r="A352" s="160">
        <v>45256</v>
      </c>
      <c r="B352" s="250"/>
      <c r="C352" s="250"/>
      <c r="D352" s="250"/>
      <c r="E352" s="1312"/>
      <c r="F352" s="250"/>
      <c r="G352" s="250"/>
      <c r="H352" s="250"/>
      <c r="I352" s="250"/>
      <c r="J352" s="250"/>
      <c r="K352" s="250"/>
      <c r="L352" s="250"/>
      <c r="M352" s="250"/>
      <c r="N352" s="250"/>
      <c r="O352" s="250"/>
      <c r="P352" s="250"/>
      <c r="Q352" s="250"/>
      <c r="R352" s="250"/>
      <c r="S352" s="250"/>
      <c r="T352" s="250"/>
      <c r="U352" s="250"/>
      <c r="V352" s="250"/>
      <c r="W352" s="250"/>
      <c r="X352" s="683">
        <v>345.9</v>
      </c>
      <c r="Y352" s="725">
        <v>50716</v>
      </c>
      <c r="Z352" s="250"/>
      <c r="AA352" s="250"/>
      <c r="AB352" s="250"/>
      <c r="AC352" s="683">
        <v>1113.2</v>
      </c>
      <c r="AD352" s="718">
        <v>1676</v>
      </c>
      <c r="AE352" s="250"/>
      <c r="AF352" s="250"/>
      <c r="AG352" s="250"/>
      <c r="AH352" s="250"/>
      <c r="AI352" s="250"/>
      <c r="AJ352" s="250"/>
      <c r="AK352" s="250"/>
      <c r="AL352" s="250"/>
      <c r="AM352" s="250"/>
      <c r="AN352" s="250"/>
      <c r="AO352" s="250"/>
      <c r="AP352" s="250"/>
      <c r="AQ352" s="250"/>
      <c r="AR352" s="250"/>
      <c r="AS352" s="250"/>
      <c r="AT352" s="250"/>
      <c r="AU352" s="250"/>
      <c r="AV352" s="250"/>
      <c r="AW352" s="250"/>
      <c r="AX352" s="250"/>
      <c r="AY352" s="250"/>
      <c r="AZ352" s="250"/>
      <c r="BA352" s="250"/>
      <c r="BB352" s="385"/>
      <c r="BC352" s="250"/>
      <c r="BD352" s="250"/>
      <c r="BE352" s="250"/>
      <c r="BF352" s="250"/>
      <c r="BG352" s="250"/>
      <c r="BH352" s="250"/>
      <c r="BI352" s="250"/>
      <c r="BJ352" s="250"/>
      <c r="BK352" s="250"/>
      <c r="BL352" s="250"/>
      <c r="BM352" s="250"/>
      <c r="BN352" s="250"/>
      <c r="BO352" s="250"/>
      <c r="BP352" s="250"/>
      <c r="BQ352" s="250"/>
      <c r="BR352" s="250"/>
      <c r="BS352" s="250"/>
      <c r="BT352" s="250"/>
      <c r="BU352" s="250"/>
      <c r="BV352" s="250"/>
      <c r="BW352" s="250"/>
      <c r="BX352" s="1324"/>
    </row>
    <row r="353" spans="1:76">
      <c r="A353" s="160">
        <v>45257</v>
      </c>
      <c r="B353" s="250"/>
      <c r="C353" s="250"/>
      <c r="D353" s="250"/>
      <c r="E353" s="1312"/>
      <c r="F353" s="250"/>
      <c r="G353" s="250"/>
      <c r="H353" s="250"/>
      <c r="I353" s="250"/>
      <c r="J353" s="250"/>
      <c r="K353" s="250"/>
      <c r="L353" s="250"/>
      <c r="M353" s="250"/>
      <c r="N353" s="250"/>
      <c r="O353" s="250"/>
      <c r="P353" s="250"/>
      <c r="Q353" s="250"/>
      <c r="R353" s="250"/>
      <c r="S353" s="250"/>
      <c r="T353" s="250"/>
      <c r="U353" s="250"/>
      <c r="V353" s="250"/>
      <c r="W353" s="250"/>
      <c r="X353" s="683">
        <v>345.9</v>
      </c>
      <c r="Y353" s="725">
        <v>50716</v>
      </c>
      <c r="Z353" s="250"/>
      <c r="AA353" s="250"/>
      <c r="AB353" s="250"/>
      <c r="AC353" s="683">
        <v>1113.2</v>
      </c>
      <c r="AD353" s="718">
        <v>1676</v>
      </c>
      <c r="AE353" s="250"/>
      <c r="AF353" s="250"/>
      <c r="AG353" s="250"/>
      <c r="AH353" s="250"/>
      <c r="AI353" s="250"/>
      <c r="AJ353" s="250"/>
      <c r="AK353" s="250"/>
      <c r="AL353" s="250"/>
      <c r="AM353" s="250"/>
      <c r="AN353" s="250"/>
      <c r="AO353" s="250"/>
      <c r="AP353" s="250"/>
      <c r="AQ353" s="250"/>
      <c r="AR353" s="250"/>
      <c r="AS353" s="250"/>
      <c r="AT353" s="250"/>
      <c r="AU353" s="250"/>
      <c r="AV353" s="250"/>
      <c r="AW353" s="250"/>
      <c r="AX353" s="250"/>
      <c r="AY353" s="250"/>
      <c r="AZ353" s="250"/>
      <c r="BA353" s="250"/>
      <c r="BB353" s="385"/>
      <c r="BC353" s="250"/>
      <c r="BD353" s="250"/>
      <c r="BE353" s="250"/>
      <c r="BF353" s="250"/>
      <c r="BG353" s="250"/>
      <c r="BH353" s="250"/>
      <c r="BI353" s="250"/>
      <c r="BJ353" s="250"/>
      <c r="BK353" s="250"/>
      <c r="BL353" s="250"/>
      <c r="BM353" s="250"/>
      <c r="BN353" s="250"/>
      <c r="BO353" s="250"/>
      <c r="BP353" s="250"/>
      <c r="BQ353" s="250"/>
      <c r="BR353" s="250"/>
      <c r="BS353" s="250"/>
      <c r="BT353" s="250"/>
      <c r="BU353" s="250"/>
      <c r="BV353" s="250"/>
      <c r="BW353" s="250"/>
      <c r="BX353" s="1324"/>
    </row>
    <row r="354" spans="1:76">
      <c r="A354" s="160">
        <v>45258</v>
      </c>
      <c r="B354" s="250"/>
      <c r="C354" s="250"/>
      <c r="D354" s="250"/>
      <c r="E354" s="1312"/>
      <c r="F354" s="250"/>
      <c r="G354" s="250"/>
      <c r="H354" s="250"/>
      <c r="I354" s="250"/>
      <c r="J354" s="250"/>
      <c r="K354" s="250"/>
      <c r="L354" s="250"/>
      <c r="M354" s="250"/>
      <c r="N354" s="250"/>
      <c r="O354" s="250"/>
      <c r="P354" s="250"/>
      <c r="Q354" s="250"/>
      <c r="R354" s="250"/>
      <c r="S354" s="250"/>
      <c r="T354" s="250"/>
      <c r="U354" s="250"/>
      <c r="V354" s="250"/>
      <c r="W354" s="250"/>
      <c r="X354" s="683">
        <v>345.9</v>
      </c>
      <c r="Y354" s="725">
        <v>50716</v>
      </c>
      <c r="Z354" s="250"/>
      <c r="AA354" s="250"/>
      <c r="AB354" s="250"/>
      <c r="AC354" s="683">
        <v>1113.2</v>
      </c>
      <c r="AD354" s="718">
        <v>1676</v>
      </c>
      <c r="AE354" s="1014"/>
      <c r="AF354" s="1014"/>
      <c r="AG354" s="250"/>
      <c r="AH354" s="250"/>
      <c r="AI354" s="250"/>
      <c r="AJ354" s="250"/>
      <c r="AK354" s="250"/>
      <c r="AL354" s="250"/>
      <c r="AM354" s="250"/>
      <c r="AN354" s="250"/>
      <c r="AO354" s="250"/>
      <c r="AP354" s="250"/>
      <c r="AQ354" s="1014"/>
      <c r="AR354" s="683"/>
      <c r="AS354" s="250"/>
      <c r="AT354" s="250"/>
      <c r="AU354" s="250"/>
      <c r="AV354" s="250"/>
      <c r="AW354" s="250"/>
      <c r="AX354" s="250"/>
      <c r="AY354" s="250"/>
      <c r="AZ354" s="250"/>
      <c r="BA354" s="250"/>
      <c r="BB354" s="385"/>
      <c r="BC354" s="250"/>
      <c r="BD354" s="250"/>
      <c r="BE354" s="250"/>
      <c r="BF354" s="250"/>
      <c r="BG354" s="681"/>
      <c r="BH354" s="250"/>
      <c r="BI354" s="1014"/>
      <c r="BJ354" s="1014"/>
      <c r="BK354" s="1014"/>
      <c r="BL354" s="250"/>
      <c r="BM354" s="250"/>
      <c r="BN354" s="250"/>
      <c r="BO354" s="1014"/>
      <c r="BP354" s="1014"/>
      <c r="BQ354" s="1014"/>
      <c r="BR354" s="250"/>
      <c r="BS354" s="250"/>
      <c r="BT354" s="250"/>
      <c r="BU354" s="250"/>
      <c r="BV354" s="250"/>
      <c r="BW354" s="250"/>
      <c r="BX354" s="1324"/>
    </row>
    <row r="355" spans="1:76">
      <c r="A355" s="160">
        <v>45259</v>
      </c>
      <c r="B355" s="250"/>
      <c r="C355" s="250"/>
      <c r="D355" s="250"/>
      <c r="E355" s="1312"/>
      <c r="F355" s="250"/>
      <c r="G355" s="250"/>
      <c r="H355" s="250"/>
      <c r="I355" s="250"/>
      <c r="J355" s="250"/>
      <c r="K355" s="250"/>
      <c r="L355" s="250"/>
      <c r="M355" s="250"/>
      <c r="N355" s="250"/>
      <c r="O355" s="250"/>
      <c r="P355" s="250"/>
      <c r="Q355" s="250"/>
      <c r="R355" s="250"/>
      <c r="S355" s="250"/>
      <c r="T355" s="250"/>
      <c r="U355" s="250"/>
      <c r="V355" s="250"/>
      <c r="W355" s="250"/>
      <c r="X355" s="683">
        <v>345.9</v>
      </c>
      <c r="Y355" s="725">
        <v>50716</v>
      </c>
      <c r="Z355" s="250"/>
      <c r="AA355" s="250"/>
      <c r="AB355" s="250"/>
      <c r="AC355" s="683">
        <v>1113.2</v>
      </c>
      <c r="AD355" s="718">
        <v>1676</v>
      </c>
      <c r="AE355" s="1014"/>
      <c r="AF355" s="1014"/>
      <c r="AG355" s="250"/>
      <c r="AH355" s="250"/>
      <c r="AI355" s="250"/>
      <c r="AJ355" s="250"/>
      <c r="AK355" s="250"/>
      <c r="AL355" s="250"/>
      <c r="AM355" s="250"/>
      <c r="AN355" s="250"/>
      <c r="AO355" s="250"/>
      <c r="AP355" s="250"/>
      <c r="AQ355" s="422"/>
      <c r="AR355" s="683"/>
      <c r="AS355" s="250"/>
      <c r="AT355" s="250"/>
      <c r="AU355" s="250"/>
      <c r="AV355" s="250"/>
      <c r="AW355" s="250"/>
      <c r="AX355" s="250"/>
      <c r="AY355" s="250"/>
      <c r="AZ355" s="250"/>
      <c r="BA355" s="250"/>
      <c r="BB355" s="385"/>
      <c r="BC355" s="250"/>
      <c r="BD355" s="250"/>
      <c r="BE355" s="250"/>
      <c r="BF355" s="250"/>
      <c r="BG355" s="1014"/>
      <c r="BH355" s="250"/>
      <c r="BI355" s="1014"/>
      <c r="BJ355" s="1014"/>
      <c r="BK355" s="1014"/>
      <c r="BL355" s="250"/>
      <c r="BM355" s="250"/>
      <c r="BN355" s="250"/>
      <c r="BO355" s="250"/>
      <c r="BP355" s="250"/>
      <c r="BQ355" s="250"/>
      <c r="BR355" s="250"/>
      <c r="BS355" s="250"/>
      <c r="BT355" s="250"/>
      <c r="BU355" s="250"/>
      <c r="BV355" s="250"/>
      <c r="BW355" s="250"/>
      <c r="BX355" s="1324"/>
    </row>
    <row r="356" spans="1:76">
      <c r="A356" s="160">
        <v>45260</v>
      </c>
      <c r="B356" s="250"/>
      <c r="C356" s="250"/>
      <c r="D356" s="250"/>
      <c r="E356" s="1312"/>
      <c r="F356" s="250"/>
      <c r="G356" s="250"/>
      <c r="H356" s="250"/>
      <c r="I356" s="250"/>
      <c r="J356" s="250"/>
      <c r="K356" s="250"/>
      <c r="L356" s="250"/>
      <c r="M356" s="250"/>
      <c r="N356" s="250"/>
      <c r="O356" s="250"/>
      <c r="P356" s="250"/>
      <c r="Q356" s="250"/>
      <c r="R356" s="250"/>
      <c r="S356" s="250"/>
      <c r="T356" s="250"/>
      <c r="U356" s="250"/>
      <c r="V356" s="250"/>
      <c r="W356" s="250"/>
      <c r="X356" s="683">
        <v>345.9</v>
      </c>
      <c r="Y356" s="725">
        <v>50716</v>
      </c>
      <c r="Z356" s="250"/>
      <c r="AA356" s="250"/>
      <c r="AB356" s="250"/>
      <c r="AC356" s="683">
        <v>1113.2</v>
      </c>
      <c r="AD356" s="718">
        <v>1676</v>
      </c>
      <c r="AE356" s="250"/>
      <c r="AF356" s="250"/>
      <c r="AG356" s="250"/>
      <c r="AH356" s="250"/>
      <c r="AI356" s="250"/>
      <c r="AJ356" s="250"/>
      <c r="AK356" s="250"/>
      <c r="AL356" s="250"/>
      <c r="AM356" s="250"/>
      <c r="AN356" s="250"/>
      <c r="AO356" s="250"/>
      <c r="AP356" s="250"/>
      <c r="AQ356" s="250"/>
      <c r="AR356" s="250"/>
      <c r="AS356" s="250"/>
      <c r="AT356" s="250"/>
      <c r="AU356" s="250"/>
      <c r="AV356" s="250"/>
      <c r="AW356" s="250"/>
      <c r="AX356" s="250"/>
      <c r="AY356" s="250"/>
      <c r="AZ356" s="250"/>
      <c r="BA356" s="250"/>
      <c r="BB356" s="684"/>
      <c r="BC356" s="250"/>
      <c r="BD356" s="250"/>
      <c r="BE356" s="1014"/>
      <c r="BF356" s="1412"/>
      <c r="BG356" s="250"/>
      <c r="BH356" s="250"/>
      <c r="BI356" s="1014"/>
      <c r="BJ356" s="1014"/>
      <c r="BK356" s="1014"/>
      <c r="BL356" s="250"/>
      <c r="BM356" s="250"/>
      <c r="BN356" s="250"/>
      <c r="BO356" s="250"/>
      <c r="BP356" s="250"/>
      <c r="BQ356" s="250"/>
      <c r="BR356" s="250"/>
      <c r="BS356" s="250"/>
      <c r="BT356" s="250"/>
      <c r="BU356" s="250"/>
      <c r="BV356" s="250"/>
      <c r="BW356" s="250"/>
      <c r="BX356" s="1324"/>
    </row>
    <row r="357" spans="1:76">
      <c r="A357" s="182"/>
      <c r="B357" s="1016"/>
      <c r="C357" s="1016"/>
      <c r="D357" s="1016"/>
      <c r="E357" s="1415"/>
      <c r="F357" s="1016"/>
      <c r="G357" s="1016"/>
      <c r="H357" s="1016"/>
      <c r="I357" s="1016"/>
      <c r="J357" s="1016"/>
      <c r="K357" s="1016"/>
      <c r="L357" s="1016"/>
      <c r="M357" s="1016"/>
      <c r="N357" s="1016"/>
      <c r="O357" s="1016"/>
      <c r="P357" s="1016"/>
      <c r="Q357" s="1016"/>
      <c r="R357" s="1016"/>
      <c r="S357" s="1016"/>
      <c r="T357" s="1016"/>
      <c r="U357" s="1016"/>
      <c r="V357" s="1016"/>
      <c r="W357" s="1016"/>
      <c r="X357" s="1016"/>
      <c r="Y357" s="1016"/>
      <c r="Z357" s="1016"/>
      <c r="AA357" s="1016"/>
      <c r="AB357" s="1016"/>
      <c r="AC357" s="1016"/>
      <c r="AD357" s="1016"/>
      <c r="AE357" s="1016"/>
      <c r="AF357" s="1016"/>
      <c r="AG357" s="1016"/>
      <c r="AH357" s="1016"/>
      <c r="AI357" s="1016"/>
      <c r="AJ357" s="1016"/>
      <c r="AK357" s="1016"/>
      <c r="AL357" s="1016"/>
      <c r="AM357" s="1016"/>
      <c r="AN357" s="1016"/>
      <c r="AO357" s="1016"/>
      <c r="AP357" s="1016"/>
      <c r="AQ357" s="1016"/>
      <c r="AR357" s="1016"/>
      <c r="AS357" s="1016"/>
      <c r="AT357" s="1016"/>
      <c r="AU357" s="1016"/>
      <c r="AV357" s="1016"/>
      <c r="AW357" s="1016"/>
      <c r="AX357" s="1016"/>
      <c r="AY357" s="1016"/>
      <c r="AZ357" s="1016"/>
      <c r="BA357" s="1016"/>
      <c r="BB357" s="1777"/>
      <c r="BC357" s="1016"/>
      <c r="BD357" s="1016"/>
      <c r="BE357" s="1016"/>
      <c r="BF357" s="1016"/>
      <c r="BG357" s="1016"/>
      <c r="BH357" s="1016"/>
      <c r="BI357" s="1016"/>
      <c r="BJ357" s="1016"/>
      <c r="BK357" s="1016"/>
      <c r="BL357" s="1016"/>
      <c r="BM357" s="1016"/>
      <c r="BN357" s="1016"/>
      <c r="BO357" s="1016"/>
      <c r="BP357" s="1016"/>
      <c r="BQ357" s="1016"/>
      <c r="BR357" s="1016"/>
      <c r="BS357" s="1016"/>
      <c r="BT357" s="1016"/>
      <c r="BU357" s="1016"/>
      <c r="BV357" s="1016"/>
      <c r="BW357" s="1016"/>
      <c r="BX357" s="1409"/>
    </row>
    <row r="358" spans="1:76">
      <c r="A358" s="160">
        <v>45260</v>
      </c>
      <c r="B358" s="250"/>
      <c r="C358" s="250"/>
      <c r="D358" s="250"/>
      <c r="E358" s="1312"/>
      <c r="F358" s="250"/>
      <c r="G358" s="250"/>
      <c r="H358" s="250"/>
      <c r="I358" s="250"/>
      <c r="J358" s="250"/>
      <c r="K358" s="250"/>
      <c r="L358" s="250"/>
      <c r="M358" s="250"/>
      <c r="N358" s="250"/>
      <c r="O358" s="250"/>
      <c r="P358" s="250"/>
      <c r="Q358" s="250"/>
      <c r="R358" s="250"/>
      <c r="S358" s="250"/>
      <c r="T358" s="250"/>
      <c r="U358" s="250"/>
      <c r="V358" s="250"/>
      <c r="W358" s="250"/>
      <c r="X358" s="1081"/>
      <c r="Y358" s="1081"/>
      <c r="Z358" s="250"/>
      <c r="AA358" s="250"/>
      <c r="AB358" s="250"/>
      <c r="AC358" s="1081"/>
      <c r="AD358" s="1081"/>
      <c r="AE358" s="250"/>
      <c r="AF358" s="250"/>
      <c r="AG358" s="250"/>
      <c r="AH358" s="250"/>
      <c r="AI358" s="250"/>
      <c r="AJ358" s="250"/>
      <c r="AK358" s="250"/>
      <c r="AL358" s="250"/>
      <c r="AM358" s="250"/>
      <c r="AN358" s="250"/>
      <c r="AO358" s="250"/>
      <c r="AP358" s="250"/>
      <c r="AQ358" s="250"/>
      <c r="AR358" s="250"/>
      <c r="AS358" s="250"/>
      <c r="AT358" s="250"/>
      <c r="AU358" s="250"/>
      <c r="AV358" s="250"/>
      <c r="AW358" s="250"/>
      <c r="AX358" s="250"/>
      <c r="AY358" s="250"/>
      <c r="AZ358" s="250"/>
      <c r="BA358" s="250"/>
      <c r="BB358" s="684"/>
      <c r="BC358" s="250"/>
      <c r="BD358" s="250"/>
      <c r="BE358" s="1014"/>
      <c r="BF358" s="1412"/>
      <c r="BG358" s="250"/>
      <c r="BH358" s="250"/>
      <c r="BI358" s="1014"/>
      <c r="BJ358" s="1014"/>
      <c r="BK358" s="1014"/>
      <c r="BL358" s="250"/>
      <c r="BM358" s="250"/>
      <c r="BN358" s="250"/>
      <c r="BO358" s="250"/>
      <c r="BP358" s="250"/>
      <c r="BQ358" s="250"/>
      <c r="BR358" s="250"/>
      <c r="BS358" s="250"/>
      <c r="BT358" s="250"/>
      <c r="BU358" s="250"/>
      <c r="BV358" s="250"/>
      <c r="BW358" s="250"/>
      <c r="BX358" s="1324"/>
    </row>
    <row r="359" spans="1:76">
      <c r="A359" s="160">
        <v>45261</v>
      </c>
      <c r="B359" s="250"/>
      <c r="C359" s="250"/>
      <c r="D359" s="250"/>
      <c r="E359" s="1312"/>
      <c r="F359" s="250"/>
      <c r="G359" s="250"/>
      <c r="H359" s="250"/>
      <c r="I359" s="250"/>
      <c r="J359" s="250"/>
      <c r="K359" s="250"/>
      <c r="L359" s="250"/>
      <c r="M359" s="250"/>
      <c r="N359" s="250"/>
      <c r="O359" s="250"/>
      <c r="P359" s="250"/>
      <c r="Q359" s="250"/>
      <c r="R359" s="250"/>
      <c r="S359" s="250"/>
      <c r="T359" s="250"/>
      <c r="U359" s="250"/>
      <c r="V359" s="250"/>
      <c r="W359" s="250"/>
      <c r="X359" s="1081"/>
      <c r="Y359" s="1081"/>
      <c r="Z359" s="250"/>
      <c r="AA359" s="250"/>
      <c r="AB359" s="250"/>
      <c r="AC359" s="1081"/>
      <c r="AD359" s="1081"/>
      <c r="AE359" s="250"/>
      <c r="AF359" s="250"/>
      <c r="AG359" s="250"/>
      <c r="AH359" s="250"/>
      <c r="AI359" s="250"/>
      <c r="AJ359" s="250"/>
      <c r="AK359" s="250"/>
      <c r="AL359" s="250"/>
      <c r="AM359" s="250"/>
      <c r="AN359" s="250"/>
      <c r="AO359" s="250"/>
      <c r="AP359" s="250"/>
      <c r="AQ359" s="250"/>
      <c r="AR359" s="250"/>
      <c r="AS359" s="250"/>
      <c r="AT359" s="250"/>
      <c r="AU359" s="250"/>
      <c r="AV359" s="250"/>
      <c r="AW359" s="250"/>
      <c r="AX359" s="250"/>
      <c r="AY359" s="250"/>
      <c r="AZ359" s="250"/>
      <c r="BA359" s="250"/>
      <c r="BB359" s="684"/>
      <c r="BC359" s="250"/>
      <c r="BD359" s="250"/>
      <c r="BE359" s="250"/>
      <c r="BF359" s="250"/>
      <c r="BG359" s="250"/>
      <c r="BH359" s="250"/>
      <c r="BI359" s="1014"/>
      <c r="BJ359" s="1014"/>
      <c r="BK359" s="250"/>
      <c r="BL359" s="250"/>
      <c r="BM359" s="250"/>
      <c r="BN359" s="250"/>
      <c r="BO359" s="250"/>
      <c r="BP359" s="250"/>
      <c r="BQ359" s="250"/>
      <c r="BR359" s="250"/>
      <c r="BS359" s="250"/>
      <c r="BT359" s="250"/>
      <c r="BU359" s="250"/>
      <c r="BV359" s="250"/>
      <c r="BW359" s="250"/>
      <c r="BX359" s="1324"/>
    </row>
    <row r="360" spans="1:76">
      <c r="A360" s="160">
        <v>45262</v>
      </c>
      <c r="B360" s="250"/>
      <c r="C360" s="250"/>
      <c r="D360" s="250"/>
      <c r="E360" s="1312"/>
      <c r="F360" s="250"/>
      <c r="G360" s="250"/>
      <c r="H360" s="250"/>
      <c r="I360" s="250"/>
      <c r="J360" s="250"/>
      <c r="K360" s="250"/>
      <c r="L360" s="250"/>
      <c r="M360" s="250"/>
      <c r="N360" s="250"/>
      <c r="O360" s="250"/>
      <c r="P360" s="250"/>
      <c r="Q360" s="250"/>
      <c r="R360" s="250"/>
      <c r="S360" s="250"/>
      <c r="T360" s="250"/>
      <c r="U360" s="250"/>
      <c r="V360" s="250"/>
      <c r="W360" s="250"/>
      <c r="X360" s="1081"/>
      <c r="Y360" s="1081"/>
      <c r="Z360" s="250"/>
      <c r="AA360" s="250"/>
      <c r="AB360" s="250"/>
      <c r="AC360" s="1081"/>
      <c r="AD360" s="1081"/>
      <c r="AE360" s="250"/>
      <c r="AF360" s="250"/>
      <c r="AG360" s="250"/>
      <c r="AH360" s="250"/>
      <c r="AI360" s="250"/>
      <c r="AJ360" s="250"/>
      <c r="AK360" s="250"/>
      <c r="AL360" s="250"/>
      <c r="AM360" s="250"/>
      <c r="AN360" s="250"/>
      <c r="AO360" s="250"/>
      <c r="AP360" s="250"/>
      <c r="AQ360" s="250"/>
      <c r="AR360" s="250"/>
      <c r="AS360" s="250"/>
      <c r="AT360" s="250"/>
      <c r="AU360" s="250"/>
      <c r="AV360" s="250"/>
      <c r="AW360" s="250"/>
      <c r="AX360" s="250"/>
      <c r="AY360" s="250"/>
      <c r="AZ360" s="250"/>
      <c r="BA360" s="250"/>
      <c r="BB360" s="684"/>
      <c r="BC360" s="250"/>
      <c r="BD360" s="250"/>
      <c r="BE360" s="250"/>
      <c r="BF360" s="250"/>
      <c r="BG360" s="250"/>
      <c r="BH360" s="250"/>
      <c r="BI360" s="1014"/>
      <c r="BJ360" s="1014"/>
      <c r="BK360" s="250"/>
      <c r="BL360" s="250"/>
      <c r="BM360" s="250"/>
      <c r="BN360" s="250"/>
      <c r="BO360" s="250"/>
      <c r="BP360" s="250"/>
      <c r="BQ360" s="250"/>
      <c r="BR360" s="250"/>
      <c r="BS360" s="250"/>
      <c r="BT360" s="250"/>
      <c r="BU360" s="250"/>
      <c r="BV360" s="250"/>
      <c r="BW360" s="250"/>
      <c r="BX360" s="1324"/>
    </row>
    <row r="361" spans="1:76">
      <c r="A361" s="160">
        <v>45263</v>
      </c>
      <c r="B361" s="250"/>
      <c r="C361" s="250"/>
      <c r="D361" s="250"/>
      <c r="E361" s="1312"/>
      <c r="F361" s="250"/>
      <c r="G361" s="250"/>
      <c r="H361" s="250"/>
      <c r="I361" s="250"/>
      <c r="J361" s="250"/>
      <c r="K361" s="250"/>
      <c r="L361" s="250"/>
      <c r="M361" s="250"/>
      <c r="N361" s="250"/>
      <c r="O361" s="250"/>
      <c r="P361" s="250"/>
      <c r="Q361" s="250"/>
      <c r="R361" s="250"/>
      <c r="S361" s="250"/>
      <c r="T361" s="250"/>
      <c r="U361" s="250"/>
      <c r="V361" s="250"/>
      <c r="W361" s="250"/>
      <c r="X361" s="1081"/>
      <c r="Y361" s="1081"/>
      <c r="Z361" s="250"/>
      <c r="AA361" s="250"/>
      <c r="AB361" s="250"/>
      <c r="AC361" s="1081"/>
      <c r="AD361" s="1081"/>
      <c r="AE361" s="250"/>
      <c r="AF361" s="250"/>
      <c r="AG361" s="250"/>
      <c r="AH361" s="250"/>
      <c r="AI361" s="250"/>
      <c r="AJ361" s="250"/>
      <c r="AK361" s="250"/>
      <c r="AL361" s="250"/>
      <c r="AM361" s="250"/>
      <c r="AN361" s="250"/>
      <c r="AO361" s="250"/>
      <c r="AP361" s="250"/>
      <c r="AQ361" s="250"/>
      <c r="AR361" s="250"/>
      <c r="AS361" s="250"/>
      <c r="AT361" s="250"/>
      <c r="AU361" s="250"/>
      <c r="AV361" s="250"/>
      <c r="AW361" s="250"/>
      <c r="AX361" s="250"/>
      <c r="AY361" s="250"/>
      <c r="AZ361" s="250"/>
      <c r="BA361" s="250"/>
      <c r="BB361" s="684"/>
      <c r="BC361" s="250"/>
      <c r="BD361" s="250"/>
      <c r="BE361" s="250"/>
      <c r="BF361" s="250"/>
      <c r="BG361" s="250"/>
      <c r="BH361" s="250"/>
      <c r="BI361" s="1014"/>
      <c r="BJ361" s="1014"/>
      <c r="BK361" s="250"/>
      <c r="BL361" s="250"/>
      <c r="BM361" s="250"/>
      <c r="BN361" s="250"/>
      <c r="BO361" s="250"/>
      <c r="BP361" s="250"/>
      <c r="BQ361" s="250"/>
      <c r="BR361" s="250"/>
      <c r="BS361" s="250"/>
      <c r="BT361" s="250"/>
      <c r="BU361" s="250"/>
      <c r="BV361" s="250"/>
      <c r="BW361" s="250"/>
      <c r="BX361" s="1324"/>
    </row>
    <row r="362" spans="1:76">
      <c r="A362" s="160">
        <v>45264</v>
      </c>
      <c r="B362" s="250"/>
      <c r="C362" s="250"/>
      <c r="D362" s="250"/>
      <c r="E362" s="1312"/>
      <c r="F362" s="250"/>
      <c r="G362" s="250"/>
      <c r="H362" s="250"/>
      <c r="I362" s="250"/>
      <c r="J362" s="250"/>
      <c r="K362" s="250"/>
      <c r="L362" s="250"/>
      <c r="M362" s="250"/>
      <c r="N362" s="250"/>
      <c r="O362" s="250"/>
      <c r="P362" s="250"/>
      <c r="Q362" s="250"/>
      <c r="R362" s="250"/>
      <c r="S362" s="250"/>
      <c r="T362" s="250"/>
      <c r="U362" s="250"/>
      <c r="V362" s="250"/>
      <c r="W362" s="250"/>
      <c r="X362" s="1081"/>
      <c r="Y362" s="1081"/>
      <c r="Z362" s="250"/>
      <c r="AA362" s="250"/>
      <c r="AB362" s="250"/>
      <c r="AC362" s="1081"/>
      <c r="AD362" s="1081"/>
      <c r="AE362" s="250"/>
      <c r="AF362" s="250"/>
      <c r="AG362" s="250"/>
      <c r="AH362" s="250"/>
      <c r="AI362" s="250"/>
      <c r="AJ362" s="250"/>
      <c r="AK362" s="250"/>
      <c r="AL362" s="250"/>
      <c r="AM362" s="250"/>
      <c r="AN362" s="250"/>
      <c r="AO362" s="250"/>
      <c r="AP362" s="250"/>
      <c r="AQ362" s="250"/>
      <c r="AR362" s="250"/>
      <c r="AS362" s="250"/>
      <c r="AT362" s="250"/>
      <c r="AU362" s="250"/>
      <c r="AV362" s="250"/>
      <c r="AW362" s="250"/>
      <c r="AX362" s="250"/>
      <c r="AY362" s="250"/>
      <c r="AZ362" s="250"/>
      <c r="BA362" s="250"/>
      <c r="BB362" s="684"/>
      <c r="BC362" s="250"/>
      <c r="BD362" s="250"/>
      <c r="BE362" s="250"/>
      <c r="BF362" s="250"/>
      <c r="BG362" s="250"/>
      <c r="BH362" s="250"/>
      <c r="BI362" s="1014"/>
      <c r="BJ362" s="1014"/>
      <c r="BK362" s="250"/>
      <c r="BL362" s="250"/>
      <c r="BM362" s="250"/>
      <c r="BN362" s="250"/>
      <c r="BO362" s="250"/>
      <c r="BP362" s="250"/>
      <c r="BQ362" s="250"/>
      <c r="BR362" s="250"/>
      <c r="BS362" s="250"/>
      <c r="BT362" s="250"/>
      <c r="BU362" s="250"/>
      <c r="BV362" s="250"/>
      <c r="BW362" s="250"/>
      <c r="BX362" s="1324"/>
    </row>
    <row r="363" spans="1:76">
      <c r="A363" s="160">
        <v>45265</v>
      </c>
      <c r="B363" s="250"/>
      <c r="C363" s="250"/>
      <c r="D363" s="250"/>
      <c r="E363" s="1312"/>
      <c r="F363" s="250"/>
      <c r="G363" s="250"/>
      <c r="H363" s="250"/>
      <c r="I363" s="250"/>
      <c r="J363" s="250"/>
      <c r="K363" s="250"/>
      <c r="L363" s="250"/>
      <c r="M363" s="250"/>
      <c r="N363" s="250"/>
      <c r="O363" s="250"/>
      <c r="P363" s="250"/>
      <c r="Q363" s="250"/>
      <c r="R363" s="250"/>
      <c r="S363" s="250"/>
      <c r="T363" s="250"/>
      <c r="U363" s="250"/>
      <c r="V363" s="250"/>
      <c r="W363" s="250"/>
      <c r="X363" s="1081"/>
      <c r="Y363" s="1081"/>
      <c r="Z363" s="250"/>
      <c r="AA363" s="250"/>
      <c r="AB363" s="250"/>
      <c r="AC363" s="1081"/>
      <c r="AD363" s="1081"/>
      <c r="AE363" s="250"/>
      <c r="AF363" s="250"/>
      <c r="AG363" s="250"/>
      <c r="AH363" s="250"/>
      <c r="AI363" s="250"/>
      <c r="AJ363" s="250"/>
      <c r="AK363" s="250"/>
      <c r="AL363" s="250"/>
      <c r="AM363" s="250"/>
      <c r="AN363" s="250"/>
      <c r="AO363" s="250"/>
      <c r="AP363" s="250"/>
      <c r="AQ363" s="250"/>
      <c r="AR363" s="250"/>
      <c r="AS363" s="250"/>
      <c r="AT363" s="250"/>
      <c r="AU363" s="250"/>
      <c r="AV363" s="250"/>
      <c r="AW363" s="250"/>
      <c r="AX363" s="250"/>
      <c r="AY363" s="250"/>
      <c r="AZ363" s="250"/>
      <c r="BA363" s="250"/>
      <c r="BB363" s="684"/>
      <c r="BC363" s="250"/>
      <c r="BD363" s="250"/>
      <c r="BE363" s="250"/>
      <c r="BF363" s="250"/>
      <c r="BG363" s="250"/>
      <c r="BH363" s="250"/>
      <c r="BI363" s="1014"/>
      <c r="BJ363" s="1014"/>
      <c r="BK363" s="250"/>
      <c r="BL363" s="250"/>
      <c r="BM363" s="250"/>
      <c r="BN363" s="250"/>
      <c r="BO363" s="250"/>
      <c r="BP363" s="250"/>
      <c r="BQ363" s="250"/>
      <c r="BR363" s="250"/>
      <c r="BS363" s="250"/>
      <c r="BT363" s="250"/>
      <c r="BU363" s="250"/>
      <c r="BV363" s="250"/>
      <c r="BW363" s="250"/>
      <c r="BX363" s="1324"/>
    </row>
    <row r="364" spans="1:76">
      <c r="A364" s="160">
        <v>45266</v>
      </c>
      <c r="B364" s="250"/>
      <c r="C364" s="250"/>
      <c r="D364" s="250"/>
      <c r="E364" s="1312"/>
      <c r="F364" s="250"/>
      <c r="G364" s="250"/>
      <c r="H364" s="250"/>
      <c r="I364" s="250"/>
      <c r="J364" s="250"/>
      <c r="K364" s="250"/>
      <c r="L364" s="250"/>
      <c r="M364" s="250"/>
      <c r="N364" s="250"/>
      <c r="O364" s="250"/>
      <c r="P364" s="250"/>
      <c r="Q364" s="250"/>
      <c r="R364" s="250"/>
      <c r="S364" s="250"/>
      <c r="T364" s="250"/>
      <c r="U364" s="250"/>
      <c r="V364" s="250"/>
      <c r="W364" s="250"/>
      <c r="X364" s="1081"/>
      <c r="Y364" s="1081"/>
      <c r="Z364" s="250"/>
      <c r="AA364" s="250"/>
      <c r="AB364" s="250"/>
      <c r="AC364" s="1081"/>
      <c r="AD364" s="1081"/>
      <c r="AE364" s="250"/>
      <c r="AF364" s="250"/>
      <c r="AG364" s="250"/>
      <c r="AH364" s="250"/>
      <c r="AI364" s="250"/>
      <c r="AJ364" s="250"/>
      <c r="AK364" s="250"/>
      <c r="AL364" s="250"/>
      <c r="AM364" s="250"/>
      <c r="AN364" s="250"/>
      <c r="AO364" s="250"/>
      <c r="AP364" s="250"/>
      <c r="AQ364" s="250"/>
      <c r="AR364" s="250"/>
      <c r="AS364" s="250"/>
      <c r="AT364" s="250"/>
      <c r="AU364" s="250"/>
      <c r="AV364" s="250"/>
      <c r="AW364" s="250"/>
      <c r="AX364" s="250"/>
      <c r="AY364" s="250"/>
      <c r="AZ364" s="250"/>
      <c r="BA364" s="250"/>
      <c r="BB364" s="684"/>
      <c r="BC364" s="250"/>
      <c r="BD364" s="250"/>
      <c r="BE364" s="250"/>
      <c r="BF364" s="250"/>
      <c r="BG364" s="250"/>
      <c r="BH364" s="250"/>
      <c r="BI364" s="1014"/>
      <c r="BJ364" s="1014"/>
      <c r="BK364" s="250"/>
      <c r="BL364" s="250"/>
      <c r="BM364" s="250"/>
      <c r="BN364" s="250"/>
      <c r="BO364" s="250"/>
      <c r="BP364" s="250"/>
      <c r="BQ364" s="250"/>
      <c r="BR364" s="250"/>
      <c r="BS364" s="250"/>
      <c r="BT364" s="250"/>
      <c r="BU364" s="250"/>
      <c r="BV364" s="250"/>
      <c r="BW364" s="250"/>
      <c r="BX364" s="1324"/>
    </row>
    <row r="365" spans="1:76">
      <c r="A365" s="160">
        <v>45267</v>
      </c>
      <c r="B365" s="250"/>
      <c r="C365" s="250"/>
      <c r="D365" s="250"/>
      <c r="E365" s="1312"/>
      <c r="F365" s="250"/>
      <c r="G365" s="250"/>
      <c r="H365" s="250"/>
      <c r="I365" s="250"/>
      <c r="J365" s="250"/>
      <c r="K365" s="250"/>
      <c r="L365" s="250"/>
      <c r="M365" s="250"/>
      <c r="N365" s="250"/>
      <c r="O365" s="250"/>
      <c r="P365" s="250"/>
      <c r="Q365" s="250"/>
      <c r="R365" s="250"/>
      <c r="S365" s="250"/>
      <c r="T365" s="250"/>
      <c r="U365" s="250"/>
      <c r="V365" s="250"/>
      <c r="W365" s="250"/>
      <c r="X365" s="1081"/>
      <c r="Y365" s="1081"/>
      <c r="Z365" s="250"/>
      <c r="AA365" s="250"/>
      <c r="AB365" s="250"/>
      <c r="AC365" s="1081"/>
      <c r="AD365" s="1081"/>
      <c r="AE365" s="250"/>
      <c r="AF365" s="250"/>
      <c r="AG365" s="250"/>
      <c r="AH365" s="250"/>
      <c r="AI365" s="250"/>
      <c r="AJ365" s="250"/>
      <c r="AK365" s="250"/>
      <c r="AL365" s="250"/>
      <c r="AM365" s="250"/>
      <c r="AN365" s="250"/>
      <c r="AO365" s="250"/>
      <c r="AP365" s="250"/>
      <c r="AQ365" s="250"/>
      <c r="AR365" s="250"/>
      <c r="AS365" s="250"/>
      <c r="AT365" s="250"/>
      <c r="AU365" s="250"/>
      <c r="AV365" s="250"/>
      <c r="AW365" s="250"/>
      <c r="AX365" s="250"/>
      <c r="AY365" s="250"/>
      <c r="AZ365" s="250"/>
      <c r="BA365" s="250"/>
      <c r="BB365" s="684"/>
      <c r="BC365" s="250"/>
      <c r="BD365" s="250"/>
      <c r="BE365" s="250"/>
      <c r="BF365" s="250"/>
      <c r="BG365" s="250"/>
      <c r="BH365" s="250"/>
      <c r="BI365" s="250"/>
      <c r="BJ365" s="250"/>
      <c r="BK365" s="250"/>
      <c r="BL365" s="250"/>
      <c r="BM365" s="250"/>
      <c r="BN365" s="250"/>
      <c r="BO365" s="250"/>
      <c r="BP365" s="250"/>
      <c r="BQ365" s="250"/>
      <c r="BR365" s="250"/>
      <c r="BS365" s="250"/>
      <c r="BT365" s="250"/>
      <c r="BU365" s="250"/>
      <c r="BV365" s="250"/>
      <c r="BW365" s="250"/>
      <c r="BX365" s="1324"/>
    </row>
    <row r="366" spans="1:76">
      <c r="A366" s="160">
        <v>45268</v>
      </c>
      <c r="B366" s="250"/>
      <c r="C366" s="250"/>
      <c r="D366" s="250"/>
      <c r="E366" s="1312"/>
      <c r="F366" s="250"/>
      <c r="G366" s="250"/>
      <c r="H366" s="250"/>
      <c r="I366" s="250"/>
      <c r="J366" s="250"/>
      <c r="K366" s="250"/>
      <c r="L366" s="250"/>
      <c r="M366" s="250"/>
      <c r="N366" s="250"/>
      <c r="O366" s="250"/>
      <c r="P366" s="250"/>
      <c r="Q366" s="250"/>
      <c r="R366" s="250"/>
      <c r="S366" s="250"/>
      <c r="T366" s="250"/>
      <c r="U366" s="250"/>
      <c r="V366" s="250"/>
      <c r="W366" s="250"/>
      <c r="X366" s="1081"/>
      <c r="Y366" s="1081"/>
      <c r="Z366" s="250"/>
      <c r="AA366" s="250"/>
      <c r="AB366" s="250"/>
      <c r="AC366" s="1081"/>
      <c r="AD366" s="1081"/>
      <c r="AE366" s="250"/>
      <c r="AF366" s="250"/>
      <c r="AG366" s="250"/>
      <c r="AH366" s="250"/>
      <c r="AI366" s="250"/>
      <c r="AJ366" s="250"/>
      <c r="AK366" s="250"/>
      <c r="AL366" s="250"/>
      <c r="AM366" s="250"/>
      <c r="AN366" s="250"/>
      <c r="AO366" s="250"/>
      <c r="AP366" s="250"/>
      <c r="AQ366" s="250"/>
      <c r="AR366" s="250"/>
      <c r="AS366" s="250"/>
      <c r="AT366" s="250"/>
      <c r="AU366" s="250"/>
      <c r="AV366" s="250"/>
      <c r="AW366" s="250"/>
      <c r="AX366" s="250"/>
      <c r="AY366" s="250"/>
      <c r="AZ366" s="250"/>
      <c r="BA366" s="250"/>
      <c r="BB366" s="684"/>
      <c r="BC366" s="250"/>
      <c r="BD366" s="250"/>
      <c r="BE366" s="250"/>
      <c r="BF366" s="250"/>
      <c r="BG366" s="250"/>
      <c r="BH366" s="250"/>
      <c r="BI366" s="250"/>
      <c r="BJ366" s="250"/>
      <c r="BK366" s="250"/>
      <c r="BL366" s="250"/>
      <c r="BM366" s="250"/>
      <c r="BN366" s="250"/>
      <c r="BO366" s="250"/>
      <c r="BP366" s="250"/>
      <c r="BQ366" s="250"/>
      <c r="BR366" s="250"/>
      <c r="BS366" s="250"/>
      <c r="BT366" s="250"/>
      <c r="BU366" s="250"/>
      <c r="BV366" s="250"/>
      <c r="BW366" s="250"/>
      <c r="BX366" s="1324"/>
    </row>
    <row r="367" spans="1:76">
      <c r="A367" s="160">
        <v>45269</v>
      </c>
      <c r="B367" s="250"/>
      <c r="C367" s="250"/>
      <c r="D367" s="250"/>
      <c r="E367" s="1312"/>
      <c r="F367" s="250"/>
      <c r="G367" s="250"/>
      <c r="H367" s="250"/>
      <c r="I367" s="250"/>
      <c r="J367" s="250"/>
      <c r="K367" s="250"/>
      <c r="L367" s="250"/>
      <c r="M367" s="250"/>
      <c r="N367" s="250"/>
      <c r="O367" s="250"/>
      <c r="P367" s="250"/>
      <c r="Q367" s="250"/>
      <c r="R367" s="250"/>
      <c r="S367" s="250"/>
      <c r="T367" s="250"/>
      <c r="U367" s="250"/>
      <c r="V367" s="250"/>
      <c r="W367" s="250"/>
      <c r="X367" s="1081"/>
      <c r="Y367" s="1081"/>
      <c r="Z367" s="250"/>
      <c r="AA367" s="250"/>
      <c r="AB367" s="250"/>
      <c r="AC367" s="1081"/>
      <c r="AD367" s="1081"/>
      <c r="AE367" s="250"/>
      <c r="AF367" s="250"/>
      <c r="AG367" s="250"/>
      <c r="AH367" s="250"/>
      <c r="AI367" s="250"/>
      <c r="AJ367" s="250"/>
      <c r="AK367" s="250"/>
      <c r="AL367" s="250"/>
      <c r="AM367" s="250"/>
      <c r="AN367" s="250"/>
      <c r="AO367" s="250"/>
      <c r="AP367" s="250"/>
      <c r="AQ367" s="250"/>
      <c r="AR367" s="250"/>
      <c r="AS367" s="250"/>
      <c r="AT367" s="250"/>
      <c r="AU367" s="250"/>
      <c r="AV367" s="250"/>
      <c r="AW367" s="250"/>
      <c r="AX367" s="250"/>
      <c r="AY367" s="250"/>
      <c r="AZ367" s="250"/>
      <c r="BA367" s="250"/>
      <c r="BB367" s="684"/>
      <c r="BC367" s="250"/>
      <c r="BD367" s="250"/>
      <c r="BE367" s="250"/>
      <c r="BF367" s="250"/>
      <c r="BG367" s="250"/>
      <c r="BH367" s="250"/>
      <c r="BI367" s="250"/>
      <c r="BJ367" s="250"/>
      <c r="BK367" s="250"/>
      <c r="BL367" s="250"/>
      <c r="BM367" s="250"/>
      <c r="BN367" s="250"/>
      <c r="BO367" s="250"/>
      <c r="BP367" s="250"/>
      <c r="BQ367" s="250"/>
      <c r="BR367" s="250"/>
      <c r="BS367" s="250"/>
      <c r="BT367" s="250"/>
      <c r="BU367" s="250"/>
      <c r="BV367" s="250"/>
      <c r="BW367" s="250"/>
      <c r="BX367" s="1324"/>
    </row>
    <row r="368" spans="1:76">
      <c r="A368" s="160">
        <v>45270</v>
      </c>
      <c r="B368" s="250"/>
      <c r="C368" s="250"/>
      <c r="D368" s="250"/>
      <c r="E368" s="1312"/>
      <c r="F368" s="250"/>
      <c r="G368" s="250"/>
      <c r="H368" s="250"/>
      <c r="I368" s="250"/>
      <c r="J368" s="250"/>
      <c r="K368" s="250"/>
      <c r="L368" s="250"/>
      <c r="M368" s="250"/>
      <c r="N368" s="250"/>
      <c r="O368" s="250"/>
      <c r="P368" s="250"/>
      <c r="Q368" s="250"/>
      <c r="R368" s="250"/>
      <c r="S368" s="250"/>
      <c r="T368" s="250"/>
      <c r="U368" s="250"/>
      <c r="V368" s="250"/>
      <c r="W368" s="250"/>
      <c r="X368" s="1081"/>
      <c r="Y368" s="1081"/>
      <c r="Z368" s="250"/>
      <c r="AA368" s="250"/>
      <c r="AB368" s="250"/>
      <c r="AC368" s="1081"/>
      <c r="AD368" s="1081"/>
      <c r="AE368" s="250"/>
      <c r="AF368" s="250"/>
      <c r="AG368" s="250"/>
      <c r="AH368" s="250"/>
      <c r="AI368" s="250"/>
      <c r="AJ368" s="250"/>
      <c r="AK368" s="250"/>
      <c r="AL368" s="250"/>
      <c r="AM368" s="250"/>
      <c r="AN368" s="250"/>
      <c r="AO368" s="250"/>
      <c r="AP368" s="250"/>
      <c r="AQ368" s="250"/>
      <c r="AR368" s="250"/>
      <c r="AS368" s="250"/>
      <c r="AT368" s="250"/>
      <c r="AU368" s="250"/>
      <c r="AV368" s="250"/>
      <c r="AW368" s="250"/>
      <c r="AX368" s="250"/>
      <c r="AY368" s="250"/>
      <c r="AZ368" s="250"/>
      <c r="BA368" s="250"/>
      <c r="BB368" s="684"/>
      <c r="BC368" s="250"/>
      <c r="BD368" s="250"/>
      <c r="BE368" s="250"/>
      <c r="BF368" s="250"/>
      <c r="BG368" s="250"/>
      <c r="BH368" s="250"/>
      <c r="BI368" s="250"/>
      <c r="BJ368" s="250"/>
      <c r="BK368" s="250"/>
      <c r="BL368" s="250"/>
      <c r="BM368" s="250"/>
      <c r="BN368" s="250"/>
      <c r="BO368" s="250"/>
      <c r="BP368" s="250"/>
      <c r="BQ368" s="250"/>
      <c r="BR368" s="250"/>
      <c r="BS368" s="250"/>
      <c r="BT368" s="250"/>
      <c r="BU368" s="250"/>
      <c r="BV368" s="250"/>
      <c r="BW368" s="250"/>
      <c r="BX368" s="1324"/>
    </row>
    <row r="369" spans="1:76">
      <c r="A369" s="160">
        <v>45271</v>
      </c>
      <c r="B369" s="250"/>
      <c r="C369" s="250"/>
      <c r="D369" s="250"/>
      <c r="E369" s="1312"/>
      <c r="F369" s="250"/>
      <c r="G369" s="250"/>
      <c r="H369" s="250"/>
      <c r="I369" s="250"/>
      <c r="J369" s="250"/>
      <c r="K369" s="250"/>
      <c r="L369" s="250"/>
      <c r="M369" s="250"/>
      <c r="N369" s="250"/>
      <c r="O369" s="250"/>
      <c r="P369" s="250"/>
      <c r="Q369" s="250"/>
      <c r="R369" s="250"/>
      <c r="S369" s="250"/>
      <c r="T369" s="250"/>
      <c r="U369" s="250"/>
      <c r="V369" s="250"/>
      <c r="W369" s="250"/>
      <c r="X369" s="1081"/>
      <c r="Y369" s="1081"/>
      <c r="Z369" s="250"/>
      <c r="AA369" s="250"/>
      <c r="AB369" s="250"/>
      <c r="AC369" s="1081"/>
      <c r="AD369" s="1081"/>
      <c r="AE369" s="250"/>
      <c r="AF369" s="250"/>
      <c r="AG369" s="250"/>
      <c r="AH369" s="250"/>
      <c r="AI369" s="250"/>
      <c r="AJ369" s="250"/>
      <c r="AK369" s="250"/>
      <c r="AL369" s="250"/>
      <c r="AM369" s="250"/>
      <c r="AN369" s="250"/>
      <c r="AO369" s="250"/>
      <c r="AP369" s="250"/>
      <c r="AQ369" s="250"/>
      <c r="AR369" s="250"/>
      <c r="AS369" s="250"/>
      <c r="AT369" s="250"/>
      <c r="AU369" s="250"/>
      <c r="AV369" s="250"/>
      <c r="AW369" s="250"/>
      <c r="AX369" s="250"/>
      <c r="AY369" s="250"/>
      <c r="AZ369" s="250"/>
      <c r="BA369" s="250"/>
      <c r="BB369" s="684"/>
      <c r="BC369" s="250"/>
      <c r="BD369" s="250"/>
      <c r="BE369" s="250"/>
      <c r="BF369" s="250"/>
      <c r="BG369" s="250"/>
      <c r="BH369" s="250"/>
      <c r="BI369" s="250"/>
      <c r="BJ369" s="250"/>
      <c r="BK369" s="250"/>
      <c r="BL369" s="250"/>
      <c r="BM369" s="250"/>
      <c r="BN369" s="250"/>
      <c r="BO369" s="250"/>
      <c r="BP369" s="250"/>
      <c r="BQ369" s="250"/>
      <c r="BR369" s="250"/>
      <c r="BS369" s="250"/>
      <c r="BT369" s="250"/>
      <c r="BU369" s="250"/>
      <c r="BV369" s="250"/>
      <c r="BW369" s="250"/>
      <c r="BX369" s="1324"/>
    </row>
    <row r="370" spans="1:76">
      <c r="A370" s="160">
        <v>45272</v>
      </c>
      <c r="B370" s="385"/>
      <c r="C370" s="250"/>
      <c r="D370" s="250"/>
      <c r="E370" s="1312"/>
      <c r="F370" s="250"/>
      <c r="G370" s="250"/>
      <c r="H370" s="250"/>
      <c r="I370" s="250"/>
      <c r="J370" s="250"/>
      <c r="K370" s="250"/>
      <c r="L370" s="250"/>
      <c r="M370" s="250"/>
      <c r="N370" s="250"/>
      <c r="O370" s="250"/>
      <c r="P370" s="250"/>
      <c r="Q370" s="250"/>
      <c r="R370" s="250"/>
      <c r="S370" s="250"/>
      <c r="T370" s="250"/>
      <c r="U370" s="250"/>
      <c r="V370" s="250"/>
      <c r="W370" s="250"/>
      <c r="X370" s="1081"/>
      <c r="Y370" s="1081"/>
      <c r="Z370" s="250"/>
      <c r="AA370" s="250"/>
      <c r="AB370" s="250"/>
      <c r="AC370" s="1081"/>
      <c r="AD370" s="1081"/>
      <c r="AE370" s="250"/>
      <c r="AF370" s="250"/>
      <c r="AG370" s="250"/>
      <c r="AH370" s="250"/>
      <c r="AI370" s="250"/>
      <c r="AJ370" s="250"/>
      <c r="AK370" s="250"/>
      <c r="AL370" s="250"/>
      <c r="AM370" s="250"/>
      <c r="AN370" s="250"/>
      <c r="AO370" s="250"/>
      <c r="AP370" s="250"/>
      <c r="AQ370" s="250"/>
      <c r="AR370" s="250"/>
      <c r="AS370" s="250"/>
      <c r="AT370" s="250"/>
      <c r="AU370" s="250"/>
      <c r="AV370" s="250"/>
      <c r="AW370" s="250"/>
      <c r="AX370" s="250"/>
      <c r="AY370" s="250"/>
      <c r="AZ370" s="250"/>
      <c r="BA370" s="250"/>
      <c r="BB370" s="684"/>
      <c r="BC370" s="250"/>
      <c r="BD370" s="250"/>
      <c r="BE370" s="250"/>
      <c r="BF370" s="250"/>
      <c r="BG370" s="250"/>
      <c r="BH370" s="250"/>
      <c r="BI370" s="250"/>
      <c r="BJ370" s="250"/>
      <c r="BK370" s="250"/>
      <c r="BL370" s="250"/>
      <c r="BM370" s="250"/>
      <c r="BN370" s="250"/>
      <c r="BO370" s="250"/>
      <c r="BP370" s="250"/>
      <c r="BQ370" s="250"/>
      <c r="BR370" s="250"/>
      <c r="BS370" s="250"/>
      <c r="BT370" s="250"/>
      <c r="BU370" s="250"/>
      <c r="BV370" s="250"/>
      <c r="BW370" s="250"/>
      <c r="BX370" s="1324"/>
    </row>
    <row r="371" spans="1:76">
      <c r="A371" s="160">
        <v>45273</v>
      </c>
      <c r="B371" s="385"/>
      <c r="C371" s="250"/>
      <c r="D371" s="250"/>
      <c r="E371" s="1312"/>
      <c r="F371" s="250"/>
      <c r="G371" s="250"/>
      <c r="H371" s="250"/>
      <c r="I371" s="250"/>
      <c r="J371" s="250"/>
      <c r="K371" s="250"/>
      <c r="L371" s="250"/>
      <c r="M371" s="250"/>
      <c r="N371" s="250"/>
      <c r="O371" s="250"/>
      <c r="P371" s="250"/>
      <c r="Q371" s="250"/>
      <c r="R371" s="250"/>
      <c r="S371" s="250"/>
      <c r="T371" s="250"/>
      <c r="U371" s="250"/>
      <c r="V371" s="250"/>
      <c r="W371" s="250"/>
      <c r="X371" s="1081"/>
      <c r="Y371" s="1081"/>
      <c r="Z371" s="250"/>
      <c r="AA371" s="250"/>
      <c r="AB371" s="250"/>
      <c r="AC371" s="1081"/>
      <c r="AD371" s="1081"/>
      <c r="AE371" s="250"/>
      <c r="AF371" s="250"/>
      <c r="AG371" s="250"/>
      <c r="AH371" s="250"/>
      <c r="AI371" s="250"/>
      <c r="AJ371" s="250"/>
      <c r="AK371" s="250"/>
      <c r="AL371" s="250"/>
      <c r="AM371" s="250"/>
      <c r="AN371" s="250"/>
      <c r="AO371" s="250"/>
      <c r="AP371" s="250"/>
      <c r="AQ371" s="250"/>
      <c r="AR371" s="250"/>
      <c r="AS371" s="250"/>
      <c r="AT371" s="250"/>
      <c r="AU371" s="250"/>
      <c r="AV371" s="250"/>
      <c r="AW371" s="250"/>
      <c r="AX371" s="250"/>
      <c r="AY371" s="250"/>
      <c r="AZ371" s="250"/>
      <c r="BA371" s="250"/>
      <c r="BB371" s="684"/>
      <c r="BC371" s="250"/>
      <c r="BD371" s="250"/>
      <c r="BE371" s="250"/>
      <c r="BF371" s="250"/>
      <c r="BG371" s="250"/>
      <c r="BH371" s="250"/>
      <c r="BI371" s="250"/>
      <c r="BJ371" s="250"/>
      <c r="BK371" s="250"/>
      <c r="BL371" s="250"/>
      <c r="BM371" s="250"/>
      <c r="BN371" s="250"/>
      <c r="BO371" s="250"/>
      <c r="BP371" s="250"/>
      <c r="BQ371" s="250"/>
      <c r="BR371" s="250"/>
      <c r="BS371" s="250"/>
      <c r="BT371" s="250"/>
      <c r="BU371" s="250"/>
      <c r="BV371" s="250"/>
      <c r="BW371" s="250"/>
      <c r="BX371" s="1324"/>
    </row>
    <row r="372" spans="1:76">
      <c r="A372" s="160">
        <v>45274</v>
      </c>
      <c r="B372" s="385"/>
      <c r="C372" s="250"/>
      <c r="D372" s="250"/>
      <c r="E372" s="1312"/>
      <c r="F372" s="250"/>
      <c r="G372" s="250"/>
      <c r="H372" s="250"/>
      <c r="I372" s="250"/>
      <c r="J372" s="250"/>
      <c r="K372" s="250"/>
      <c r="L372" s="250"/>
      <c r="M372" s="250"/>
      <c r="N372" s="250"/>
      <c r="O372" s="250"/>
      <c r="P372" s="250"/>
      <c r="Q372" s="250"/>
      <c r="R372" s="250"/>
      <c r="S372" s="250"/>
      <c r="T372" s="250"/>
      <c r="U372" s="250"/>
      <c r="V372" s="250"/>
      <c r="W372" s="250"/>
      <c r="X372" s="1081"/>
      <c r="Y372" s="1081"/>
      <c r="Z372" s="250"/>
      <c r="AA372" s="250"/>
      <c r="AB372" s="250"/>
      <c r="AC372" s="1081"/>
      <c r="AD372" s="1081"/>
      <c r="AE372" s="250"/>
      <c r="AF372" s="250"/>
      <c r="AG372" s="250"/>
      <c r="AH372" s="250"/>
      <c r="AI372" s="250"/>
      <c r="AJ372" s="250"/>
      <c r="AK372" s="250"/>
      <c r="AL372" s="250"/>
      <c r="AM372" s="250"/>
      <c r="AN372" s="250"/>
      <c r="AO372" s="250"/>
      <c r="AP372" s="250"/>
      <c r="AQ372" s="250"/>
      <c r="AR372" s="250"/>
      <c r="AS372" s="250"/>
      <c r="AT372" s="250"/>
      <c r="AU372" s="250"/>
      <c r="AV372" s="250"/>
      <c r="AW372" s="250"/>
      <c r="AX372" s="250"/>
      <c r="AY372" s="250"/>
      <c r="AZ372" s="250"/>
      <c r="BA372" s="250"/>
      <c r="BB372" s="684"/>
      <c r="BC372" s="250"/>
      <c r="BD372" s="250"/>
      <c r="BE372" s="250"/>
      <c r="BF372" s="250"/>
      <c r="BG372" s="250"/>
      <c r="BH372" s="250"/>
      <c r="BI372" s="250"/>
      <c r="BJ372" s="250"/>
      <c r="BK372" s="250"/>
      <c r="BL372" s="250"/>
      <c r="BM372" s="250"/>
      <c r="BN372" s="250"/>
      <c r="BO372" s="250"/>
      <c r="BP372" s="250"/>
      <c r="BQ372" s="250"/>
      <c r="BR372" s="250"/>
      <c r="BS372" s="250"/>
      <c r="BT372" s="250"/>
      <c r="BU372" s="250"/>
      <c r="BV372" s="250"/>
      <c r="BW372" s="250"/>
      <c r="BX372" s="1324"/>
    </row>
    <row r="373" spans="1:76">
      <c r="A373" s="160">
        <v>45275</v>
      </c>
      <c r="B373" s="385"/>
      <c r="C373" s="250"/>
      <c r="D373" s="250"/>
      <c r="E373" s="1312"/>
      <c r="F373" s="1014"/>
      <c r="G373" s="250"/>
      <c r="H373" s="250"/>
      <c r="I373" s="1014"/>
      <c r="J373" s="1014"/>
      <c r="K373" s="250"/>
      <c r="L373" s="250"/>
      <c r="M373" s="1014"/>
      <c r="N373" s="1014"/>
      <c r="O373" s="1014"/>
      <c r="P373" s="1014"/>
      <c r="Q373" s="1014"/>
      <c r="R373" s="1014"/>
      <c r="S373" s="250"/>
      <c r="T373" s="250"/>
      <c r="U373" s="1014"/>
      <c r="V373" s="1014"/>
      <c r="W373" s="1014"/>
      <c r="X373" s="1081"/>
      <c r="Y373" s="1081"/>
      <c r="Z373" s="1014"/>
      <c r="AA373" s="1014"/>
      <c r="AB373" s="1014"/>
      <c r="AC373" s="1081"/>
      <c r="AD373" s="1081"/>
      <c r="AE373" s="1014"/>
      <c r="AF373" s="1014"/>
      <c r="AG373" s="1014"/>
      <c r="AH373" s="1014"/>
      <c r="AI373" s="1014"/>
      <c r="AJ373" s="1014"/>
      <c r="AK373" s="1014"/>
      <c r="AL373" s="1014"/>
      <c r="AM373" s="250"/>
      <c r="AN373" s="250"/>
      <c r="AO373" s="1014"/>
      <c r="AP373" s="1014"/>
      <c r="AQ373" s="1014"/>
      <c r="AR373" s="1014"/>
      <c r="AS373" s="1014"/>
      <c r="AT373" s="1014"/>
      <c r="AU373" s="1014"/>
      <c r="AV373" s="1014"/>
      <c r="AW373" s="1014"/>
      <c r="AX373" s="250"/>
      <c r="AY373" s="250"/>
      <c r="AZ373" s="250"/>
      <c r="BA373" s="250"/>
      <c r="BB373" s="684"/>
      <c r="BC373" s="1014"/>
      <c r="BD373" s="1014"/>
      <c r="BE373" s="1014"/>
      <c r="BF373" s="1014"/>
      <c r="BG373" s="1014"/>
      <c r="BH373" s="1014"/>
      <c r="BI373" s="250"/>
      <c r="BJ373" s="250"/>
      <c r="BK373" s="250"/>
      <c r="BL373" s="250"/>
      <c r="BM373" s="250"/>
      <c r="BN373" s="250"/>
      <c r="BO373" s="1014"/>
      <c r="BP373" s="1014"/>
      <c r="BQ373" s="1014"/>
      <c r="BR373" s="1014"/>
      <c r="BS373" s="1014"/>
      <c r="BT373" s="1014"/>
      <c r="BU373" s="1014"/>
      <c r="BV373" s="1014"/>
      <c r="BW373" s="1014"/>
      <c r="BX373" s="1324"/>
    </row>
    <row r="374" spans="1:76">
      <c r="A374" s="160">
        <v>45276</v>
      </c>
      <c r="B374" s="385"/>
      <c r="C374" s="250"/>
      <c r="D374" s="250"/>
      <c r="E374" s="1312"/>
      <c r="F374" s="1014"/>
      <c r="G374" s="250"/>
      <c r="H374" s="250"/>
      <c r="I374" s="1014"/>
      <c r="J374" s="1014"/>
      <c r="K374" s="250"/>
      <c r="L374" s="250"/>
      <c r="M374" s="1014"/>
      <c r="N374" s="1014"/>
      <c r="O374" s="1014"/>
      <c r="P374" s="1014"/>
      <c r="Q374" s="1014"/>
      <c r="R374" s="1014"/>
      <c r="S374" s="250"/>
      <c r="T374" s="250"/>
      <c r="U374" s="1014"/>
      <c r="V374" s="1014"/>
      <c r="W374" s="1014"/>
      <c r="X374" s="1081"/>
      <c r="Y374" s="1081"/>
      <c r="Z374" s="1014"/>
      <c r="AA374" s="1014"/>
      <c r="AB374" s="1014"/>
      <c r="AC374" s="1081"/>
      <c r="AD374" s="1081"/>
      <c r="AE374" s="250"/>
      <c r="AF374" s="250"/>
      <c r="AG374" s="1014"/>
      <c r="AH374" s="1014"/>
      <c r="AI374" s="1014"/>
      <c r="AJ374" s="1014"/>
      <c r="AK374" s="1014"/>
      <c r="AL374" s="1014"/>
      <c r="AM374" s="250"/>
      <c r="AN374" s="250"/>
      <c r="AO374" s="1014"/>
      <c r="AP374" s="1014"/>
      <c r="AQ374" s="1014"/>
      <c r="AR374" s="250"/>
      <c r="AS374" s="1014"/>
      <c r="AT374" s="1014"/>
      <c r="AU374" s="1014"/>
      <c r="AV374" s="1014"/>
      <c r="AW374" s="1014"/>
      <c r="AX374" s="250"/>
      <c r="AY374" s="250"/>
      <c r="AZ374" s="250"/>
      <c r="BA374" s="250"/>
      <c r="BB374" s="684"/>
      <c r="BC374" s="1014"/>
      <c r="BD374" s="1014"/>
      <c r="BE374" s="1014"/>
      <c r="BF374" s="1014"/>
      <c r="BG374" s="1014"/>
      <c r="BH374" s="1014"/>
      <c r="BI374" s="250"/>
      <c r="BJ374" s="250"/>
      <c r="BK374" s="250"/>
      <c r="BL374" s="250"/>
      <c r="BM374" s="250"/>
      <c r="BN374" s="250"/>
      <c r="BO374" s="1014"/>
      <c r="BP374" s="1014"/>
      <c r="BQ374" s="1014"/>
      <c r="BR374" s="1014"/>
      <c r="BS374" s="1014"/>
      <c r="BT374" s="1014"/>
      <c r="BU374" s="1014"/>
      <c r="BV374" s="1014"/>
      <c r="BW374" s="1014"/>
      <c r="BX374" s="1324"/>
    </row>
    <row r="375" spans="1:76">
      <c r="A375" s="160">
        <v>45277</v>
      </c>
      <c r="B375" s="385"/>
      <c r="C375" s="250"/>
      <c r="D375" s="250"/>
      <c r="E375" s="1312"/>
      <c r="F375" s="250"/>
      <c r="G375" s="250"/>
      <c r="H375" s="250"/>
      <c r="I375" s="250"/>
      <c r="J375" s="250"/>
      <c r="K375" s="250"/>
      <c r="L375" s="250"/>
      <c r="M375" s="250"/>
      <c r="N375" s="250"/>
      <c r="O375" s="250"/>
      <c r="P375" s="250"/>
      <c r="Q375" s="250"/>
      <c r="R375" s="250"/>
      <c r="S375" s="250"/>
      <c r="T375" s="250"/>
      <c r="U375" s="250"/>
      <c r="V375" s="250"/>
      <c r="W375" s="250"/>
      <c r="X375" s="1081"/>
      <c r="Y375" s="1081"/>
      <c r="Z375" s="250"/>
      <c r="AA375" s="250"/>
      <c r="AB375" s="250"/>
      <c r="AC375" s="1081"/>
      <c r="AD375" s="1081"/>
      <c r="AE375" s="250"/>
      <c r="AF375" s="250"/>
      <c r="AG375" s="250"/>
      <c r="AH375" s="250"/>
      <c r="AI375" s="250"/>
      <c r="AJ375" s="250"/>
      <c r="AK375" s="250"/>
      <c r="AL375" s="250"/>
      <c r="AM375" s="250"/>
      <c r="AN375" s="250"/>
      <c r="AO375" s="250"/>
      <c r="AP375" s="250"/>
      <c r="AQ375" s="250"/>
      <c r="AR375" s="250"/>
      <c r="AS375" s="250"/>
      <c r="AT375" s="250"/>
      <c r="AU375" s="250"/>
      <c r="AV375" s="250"/>
      <c r="AW375" s="250"/>
      <c r="AX375" s="250"/>
      <c r="AY375" s="250"/>
      <c r="AZ375" s="250"/>
      <c r="BA375" s="250"/>
      <c r="BB375" s="684"/>
      <c r="BC375" s="250"/>
      <c r="BD375" s="250"/>
      <c r="BE375" s="250"/>
      <c r="BF375" s="250"/>
      <c r="BG375" s="250"/>
      <c r="BH375" s="250"/>
      <c r="BI375" s="250"/>
      <c r="BJ375" s="250"/>
      <c r="BK375" s="250"/>
      <c r="BL375" s="250"/>
      <c r="BM375" s="250"/>
      <c r="BN375" s="250"/>
      <c r="BO375" s="250"/>
      <c r="BP375" s="250"/>
      <c r="BQ375" s="250"/>
      <c r="BR375" s="250"/>
      <c r="BS375" s="250"/>
      <c r="BT375" s="250"/>
      <c r="BU375" s="250"/>
      <c r="BV375" s="1014"/>
      <c r="BW375" s="1014"/>
      <c r="BX375" s="1324"/>
    </row>
    <row r="376" spans="1:76">
      <c r="A376" s="160">
        <v>45278</v>
      </c>
      <c r="B376" s="385"/>
      <c r="C376" s="250"/>
      <c r="D376" s="250"/>
      <c r="E376" s="1312"/>
      <c r="F376" s="250"/>
      <c r="G376" s="250"/>
      <c r="H376" s="250"/>
      <c r="I376" s="250"/>
      <c r="J376" s="250"/>
      <c r="K376" s="250"/>
      <c r="L376" s="250"/>
      <c r="M376" s="250"/>
      <c r="N376" s="250"/>
      <c r="O376" s="250"/>
      <c r="P376" s="250"/>
      <c r="Q376" s="250"/>
      <c r="R376" s="250"/>
      <c r="S376" s="250"/>
      <c r="T376" s="250"/>
      <c r="U376" s="250"/>
      <c r="V376" s="250"/>
      <c r="W376" s="250"/>
      <c r="X376" s="1081"/>
      <c r="Y376" s="1081"/>
      <c r="Z376" s="250"/>
      <c r="AA376" s="250"/>
      <c r="AB376" s="250"/>
      <c r="AC376" s="1081"/>
      <c r="AD376" s="1081"/>
      <c r="AE376" s="250"/>
      <c r="AF376" s="250"/>
      <c r="AG376" s="250"/>
      <c r="AH376" s="250"/>
      <c r="AI376" s="250"/>
      <c r="AJ376" s="250"/>
      <c r="AK376" s="250"/>
      <c r="AL376" s="250"/>
      <c r="AM376" s="250"/>
      <c r="AN376" s="250"/>
      <c r="AO376" s="250"/>
      <c r="AP376" s="250"/>
      <c r="AQ376" s="250"/>
      <c r="AR376" s="250"/>
      <c r="AS376" s="250"/>
      <c r="AT376" s="250"/>
      <c r="AU376" s="250"/>
      <c r="AV376" s="250"/>
      <c r="AW376" s="250"/>
      <c r="AX376" s="250"/>
      <c r="AY376" s="250"/>
      <c r="AZ376" s="250"/>
      <c r="BA376" s="250"/>
      <c r="BB376" s="684"/>
      <c r="BC376" s="250"/>
      <c r="BD376" s="250"/>
      <c r="BE376" s="250"/>
      <c r="BF376" s="250"/>
      <c r="BG376" s="250"/>
      <c r="BH376" s="250"/>
      <c r="BI376" s="250"/>
      <c r="BJ376" s="250"/>
      <c r="BK376" s="250"/>
      <c r="BL376" s="250"/>
      <c r="BM376" s="250"/>
      <c r="BN376" s="250"/>
      <c r="BO376" s="250"/>
      <c r="BP376" s="250"/>
      <c r="BQ376" s="250"/>
      <c r="BR376" s="250"/>
      <c r="BS376" s="250"/>
      <c r="BT376" s="250"/>
      <c r="BU376" s="250"/>
      <c r="BV376" s="250"/>
      <c r="BW376" s="250"/>
      <c r="BX376" s="1324"/>
    </row>
    <row r="377" spans="1:76">
      <c r="A377" s="160">
        <v>45279</v>
      </c>
      <c r="B377" s="385"/>
      <c r="C377" s="250"/>
      <c r="D377" s="250"/>
      <c r="E377" s="1312"/>
      <c r="F377" s="250"/>
      <c r="G377" s="250"/>
      <c r="H377" s="250"/>
      <c r="I377" s="250"/>
      <c r="J377" s="250"/>
      <c r="K377" s="250"/>
      <c r="L377" s="250"/>
      <c r="M377" s="250"/>
      <c r="N377" s="250"/>
      <c r="O377" s="250"/>
      <c r="P377" s="250"/>
      <c r="Q377" s="250"/>
      <c r="R377" s="250"/>
      <c r="S377" s="250"/>
      <c r="T377" s="250"/>
      <c r="U377" s="250"/>
      <c r="V377" s="250"/>
      <c r="W377" s="250"/>
      <c r="X377" s="1081"/>
      <c r="Y377" s="1081"/>
      <c r="Z377" s="250"/>
      <c r="AA377" s="250"/>
      <c r="AB377" s="250"/>
      <c r="AC377" s="1081"/>
      <c r="AD377" s="1081"/>
      <c r="AE377" s="250"/>
      <c r="AF377" s="250"/>
      <c r="AG377" s="250"/>
      <c r="AH377" s="250"/>
      <c r="AI377" s="250"/>
      <c r="AJ377" s="250"/>
      <c r="AK377" s="250"/>
      <c r="AL377" s="250"/>
      <c r="AM377" s="250"/>
      <c r="AN377" s="250"/>
      <c r="AO377" s="250"/>
      <c r="AP377" s="250"/>
      <c r="AQ377" s="250"/>
      <c r="AR377" s="250"/>
      <c r="AS377" s="250"/>
      <c r="AT377" s="250"/>
      <c r="AU377" s="250"/>
      <c r="AV377" s="250"/>
      <c r="AW377" s="250"/>
      <c r="AX377" s="250"/>
      <c r="AY377" s="250"/>
      <c r="AZ377" s="250"/>
      <c r="BA377" s="250"/>
      <c r="BB377" s="684"/>
      <c r="BC377" s="250"/>
      <c r="BD377" s="250"/>
      <c r="BE377" s="250"/>
      <c r="BF377" s="250"/>
      <c r="BG377" s="250"/>
      <c r="BH377" s="250"/>
      <c r="BI377" s="250"/>
      <c r="BJ377" s="250"/>
      <c r="BK377" s="250"/>
      <c r="BL377" s="250"/>
      <c r="BM377" s="250"/>
      <c r="BN377" s="250"/>
      <c r="BO377" s="250"/>
      <c r="BP377" s="250"/>
      <c r="BQ377" s="250"/>
      <c r="BR377" s="250"/>
      <c r="BS377" s="250"/>
      <c r="BT377" s="250"/>
      <c r="BU377" s="250"/>
      <c r="BV377" s="250"/>
      <c r="BW377" s="250"/>
      <c r="BX377" s="1324"/>
    </row>
    <row r="378" spans="1:76">
      <c r="A378" s="160">
        <v>45280</v>
      </c>
      <c r="B378" s="385"/>
      <c r="C378" s="250"/>
      <c r="D378" s="250"/>
      <c r="E378" s="1311"/>
      <c r="F378" s="250"/>
      <c r="G378" s="250"/>
      <c r="H378" s="250"/>
      <c r="I378" s="250"/>
      <c r="J378" s="250"/>
      <c r="K378" s="250"/>
      <c r="L378" s="250"/>
      <c r="M378" s="250"/>
      <c r="N378" s="250"/>
      <c r="O378" s="250"/>
      <c r="P378" s="250"/>
      <c r="Q378" s="250"/>
      <c r="R378" s="250"/>
      <c r="S378" s="250"/>
      <c r="T378" s="250"/>
      <c r="U378" s="250"/>
      <c r="V378" s="250"/>
      <c r="W378" s="250"/>
      <c r="X378" s="1081"/>
      <c r="Y378" s="1081"/>
      <c r="Z378" s="250"/>
      <c r="AA378" s="250"/>
      <c r="AB378" s="250"/>
      <c r="AC378" s="1081"/>
      <c r="AD378" s="1081"/>
      <c r="AE378" s="250"/>
      <c r="AF378" s="250"/>
      <c r="AG378" s="250"/>
      <c r="AH378" s="250"/>
      <c r="AI378" s="250"/>
      <c r="AJ378" s="250"/>
      <c r="AK378" s="250"/>
      <c r="AL378" s="250"/>
      <c r="AM378" s="250"/>
      <c r="AN378" s="250"/>
      <c r="AO378" s="250"/>
      <c r="AP378" s="250"/>
      <c r="AQ378" s="250"/>
      <c r="AR378" s="250"/>
      <c r="AS378" s="250"/>
      <c r="AT378" s="250"/>
      <c r="AU378" s="250"/>
      <c r="AV378" s="250"/>
      <c r="AW378" s="250"/>
      <c r="AX378" s="250"/>
      <c r="AY378" s="250"/>
      <c r="AZ378" s="250"/>
      <c r="BA378" s="250"/>
      <c r="BB378" s="684"/>
      <c r="BC378" s="250"/>
      <c r="BD378" s="250"/>
      <c r="BE378" s="250"/>
      <c r="BF378" s="250"/>
      <c r="BG378" s="250"/>
      <c r="BH378" s="250"/>
      <c r="BI378" s="250"/>
      <c r="BJ378" s="250"/>
      <c r="BK378" s="250"/>
      <c r="BL378" s="250"/>
      <c r="BM378" s="250"/>
      <c r="BN378" s="250"/>
      <c r="BO378" s="250"/>
      <c r="BP378" s="250"/>
      <c r="BQ378" s="250"/>
      <c r="BR378" s="250"/>
      <c r="BS378" s="250"/>
      <c r="BT378" s="250"/>
      <c r="BU378" s="250"/>
      <c r="BV378" s="250"/>
      <c r="BW378" s="250"/>
      <c r="BX378" s="1324"/>
    </row>
    <row r="379" spans="1:76">
      <c r="A379" s="160">
        <v>45281</v>
      </c>
      <c r="B379" s="385"/>
      <c r="C379" s="250"/>
      <c r="D379" s="250"/>
      <c r="E379" s="1311"/>
      <c r="F379" s="250"/>
      <c r="G379" s="250"/>
      <c r="H379" s="250"/>
      <c r="I379" s="250"/>
      <c r="J379" s="250"/>
      <c r="K379" s="250"/>
      <c r="L379" s="250"/>
      <c r="M379" s="250"/>
      <c r="N379" s="250"/>
      <c r="O379" s="250"/>
      <c r="P379" s="250"/>
      <c r="Q379" s="250"/>
      <c r="R379" s="250"/>
      <c r="S379" s="250"/>
      <c r="T379" s="250"/>
      <c r="U379" s="250"/>
      <c r="V379" s="250"/>
      <c r="W379" s="250"/>
      <c r="X379" s="1081"/>
      <c r="Y379" s="1081"/>
      <c r="Z379" s="250"/>
      <c r="AA379" s="250"/>
      <c r="AB379" s="250"/>
      <c r="AC379" s="1081"/>
      <c r="AD379" s="1081"/>
      <c r="AE379" s="250"/>
      <c r="AF379" s="250"/>
      <c r="AG379" s="250"/>
      <c r="AH379" s="250"/>
      <c r="AI379" s="250"/>
      <c r="AJ379" s="250"/>
      <c r="AK379" s="250"/>
      <c r="AL379" s="250"/>
      <c r="AM379" s="250"/>
      <c r="AN379" s="250"/>
      <c r="AO379" s="250"/>
      <c r="AP379" s="250"/>
      <c r="AQ379" s="250"/>
      <c r="AR379" s="250"/>
      <c r="AS379" s="250"/>
      <c r="AT379" s="250"/>
      <c r="AU379" s="250"/>
      <c r="AV379" s="250"/>
      <c r="AW379" s="250"/>
      <c r="AX379" s="250"/>
      <c r="AY379" s="250"/>
      <c r="AZ379" s="250"/>
      <c r="BA379" s="250"/>
      <c r="BB379" s="684"/>
      <c r="BC379" s="250"/>
      <c r="BD379" s="250"/>
      <c r="BE379" s="250"/>
      <c r="BF379" s="250"/>
      <c r="BG379" s="250"/>
      <c r="BH379" s="250"/>
      <c r="BI379" s="250"/>
      <c r="BJ379" s="250"/>
      <c r="BK379" s="250"/>
      <c r="BL379" s="250"/>
      <c r="BM379" s="250"/>
      <c r="BN379" s="250"/>
      <c r="BO379" s="250"/>
      <c r="BP379" s="250"/>
      <c r="BQ379" s="250"/>
      <c r="BR379" s="250"/>
      <c r="BS379" s="250"/>
      <c r="BT379" s="250"/>
      <c r="BU379" s="250"/>
      <c r="BV379" s="250"/>
      <c r="BW379" s="250"/>
      <c r="BX379" s="1324"/>
    </row>
    <row r="380" spans="1:76">
      <c r="A380" s="160">
        <v>45282</v>
      </c>
      <c r="B380" s="385"/>
      <c r="C380" s="250"/>
      <c r="D380" s="250"/>
      <c r="E380" s="1311"/>
      <c r="F380" s="250"/>
      <c r="G380" s="250"/>
      <c r="H380" s="250"/>
      <c r="I380" s="250"/>
      <c r="J380" s="250"/>
      <c r="K380" s="250"/>
      <c r="L380" s="250"/>
      <c r="M380" s="250"/>
      <c r="N380" s="250"/>
      <c r="O380" s="250"/>
      <c r="P380" s="250"/>
      <c r="Q380" s="250"/>
      <c r="R380" s="250"/>
      <c r="S380" s="250"/>
      <c r="T380" s="250"/>
      <c r="U380" s="250"/>
      <c r="V380" s="250"/>
      <c r="W380" s="250"/>
      <c r="X380" s="1081"/>
      <c r="Y380" s="1081"/>
      <c r="Z380" s="250"/>
      <c r="AA380" s="250"/>
      <c r="AB380" s="250"/>
      <c r="AC380" s="1081"/>
      <c r="AD380" s="1081"/>
      <c r="AE380" s="250"/>
      <c r="AF380" s="250"/>
      <c r="AG380" s="250"/>
      <c r="AH380" s="250"/>
      <c r="AI380" s="250"/>
      <c r="AJ380" s="250"/>
      <c r="AK380" s="250"/>
      <c r="AL380" s="250"/>
      <c r="AM380" s="250"/>
      <c r="AN380" s="250"/>
      <c r="AO380" s="250"/>
      <c r="AP380" s="250"/>
      <c r="AQ380" s="250"/>
      <c r="AR380" s="250"/>
      <c r="AS380" s="250"/>
      <c r="AT380" s="250"/>
      <c r="AU380" s="250"/>
      <c r="AV380" s="250"/>
      <c r="AW380" s="250"/>
      <c r="AX380" s="250"/>
      <c r="AY380" s="250"/>
      <c r="AZ380" s="250"/>
      <c r="BA380" s="250"/>
      <c r="BB380" s="684"/>
      <c r="BC380" s="250"/>
      <c r="BD380" s="250"/>
      <c r="BE380" s="250"/>
      <c r="BF380" s="250"/>
      <c r="BG380" s="250"/>
      <c r="BH380" s="250"/>
      <c r="BI380" s="250"/>
      <c r="BJ380" s="250"/>
      <c r="BK380" s="250"/>
      <c r="BL380" s="250"/>
      <c r="BM380" s="250"/>
      <c r="BN380" s="250"/>
      <c r="BO380" s="250"/>
      <c r="BP380" s="250"/>
      <c r="BQ380" s="250"/>
      <c r="BR380" s="250"/>
      <c r="BS380" s="250"/>
      <c r="BT380" s="250"/>
      <c r="BU380" s="250"/>
      <c r="BV380" s="250"/>
      <c r="BW380" s="250"/>
      <c r="BX380" s="1324"/>
    </row>
    <row r="381" spans="1:76">
      <c r="A381" s="160">
        <v>45283</v>
      </c>
      <c r="B381" s="385"/>
      <c r="C381" s="250"/>
      <c r="D381" s="250"/>
      <c r="E381" s="1311"/>
      <c r="F381" s="250"/>
      <c r="G381" s="250"/>
      <c r="H381" s="250"/>
      <c r="I381" s="250"/>
      <c r="J381" s="250"/>
      <c r="K381" s="250"/>
      <c r="L381" s="250"/>
      <c r="M381" s="250"/>
      <c r="N381" s="250"/>
      <c r="O381" s="250"/>
      <c r="P381" s="250"/>
      <c r="Q381" s="250"/>
      <c r="R381" s="250"/>
      <c r="S381" s="250"/>
      <c r="T381" s="250"/>
      <c r="U381" s="250"/>
      <c r="V381" s="250"/>
      <c r="W381" s="250"/>
      <c r="X381" s="1081"/>
      <c r="Y381" s="1081"/>
      <c r="Z381" s="250"/>
      <c r="AA381" s="250"/>
      <c r="AB381" s="250"/>
      <c r="AC381" s="1081"/>
      <c r="AD381" s="1081"/>
      <c r="AE381" s="250"/>
      <c r="AF381" s="250"/>
      <c r="AG381" s="250"/>
      <c r="AH381" s="250"/>
      <c r="AI381" s="250"/>
      <c r="AJ381" s="250"/>
      <c r="AK381" s="250"/>
      <c r="AL381" s="250"/>
      <c r="AM381" s="250"/>
      <c r="AN381" s="250"/>
      <c r="AO381" s="250"/>
      <c r="AP381" s="250"/>
      <c r="AQ381" s="250"/>
      <c r="AR381" s="250"/>
      <c r="AS381" s="250"/>
      <c r="AT381" s="250"/>
      <c r="AU381" s="250"/>
      <c r="AV381" s="250"/>
      <c r="AW381" s="250"/>
      <c r="AX381" s="250"/>
      <c r="AY381" s="250"/>
      <c r="AZ381" s="250"/>
      <c r="BA381" s="250"/>
      <c r="BB381" s="684"/>
      <c r="BC381" s="250"/>
      <c r="BD381" s="250"/>
      <c r="BE381" s="250"/>
      <c r="BF381" s="250"/>
      <c r="BG381" s="250"/>
      <c r="BH381" s="250"/>
      <c r="BI381" s="250"/>
      <c r="BJ381" s="250"/>
      <c r="BK381" s="250"/>
      <c r="BL381" s="250"/>
      <c r="BM381" s="250"/>
      <c r="BN381" s="250"/>
      <c r="BO381" s="250"/>
      <c r="BP381" s="250"/>
      <c r="BQ381" s="250"/>
      <c r="BR381" s="250"/>
      <c r="BS381" s="250"/>
      <c r="BT381" s="250"/>
      <c r="BU381" s="250"/>
      <c r="BV381" s="250"/>
      <c r="BW381" s="250"/>
      <c r="BX381" s="1324"/>
    </row>
    <row r="382" spans="1:76">
      <c r="A382" s="160">
        <v>45284</v>
      </c>
      <c r="B382" s="385"/>
      <c r="C382" s="250"/>
      <c r="D382" s="250"/>
      <c r="E382" s="1311"/>
      <c r="F382" s="250"/>
      <c r="G382" s="250"/>
      <c r="H382" s="250"/>
      <c r="I382" s="250"/>
      <c r="J382" s="250"/>
      <c r="K382" s="250"/>
      <c r="L382" s="250"/>
      <c r="M382" s="250"/>
      <c r="N382" s="250"/>
      <c r="O382" s="250"/>
      <c r="P382" s="250"/>
      <c r="Q382" s="250"/>
      <c r="R382" s="250"/>
      <c r="S382" s="250"/>
      <c r="T382" s="250"/>
      <c r="U382" s="250"/>
      <c r="V382" s="250"/>
      <c r="W382" s="250"/>
      <c r="X382" s="1081"/>
      <c r="Y382" s="1081"/>
      <c r="Z382" s="250"/>
      <c r="AA382" s="250"/>
      <c r="AB382" s="250"/>
      <c r="AC382" s="1081"/>
      <c r="AD382" s="1081"/>
      <c r="AE382" s="250"/>
      <c r="AF382" s="250"/>
      <c r="AG382" s="250"/>
      <c r="AH382" s="250"/>
      <c r="AI382" s="250"/>
      <c r="AJ382" s="250"/>
      <c r="AK382" s="250"/>
      <c r="AL382" s="250"/>
      <c r="AM382" s="250"/>
      <c r="AN382" s="250"/>
      <c r="AO382" s="250"/>
      <c r="AP382" s="250"/>
      <c r="AQ382" s="250"/>
      <c r="AR382" s="250"/>
      <c r="AS382" s="250"/>
      <c r="AT382" s="250"/>
      <c r="AU382" s="250"/>
      <c r="AV382" s="250"/>
      <c r="AW382" s="250"/>
      <c r="AX382" s="250"/>
      <c r="AY382" s="250"/>
      <c r="AZ382" s="250"/>
      <c r="BA382" s="250"/>
      <c r="BB382" s="684"/>
      <c r="BC382" s="250"/>
      <c r="BD382" s="250"/>
      <c r="BE382" s="250"/>
      <c r="BF382" s="250"/>
      <c r="BG382" s="250"/>
      <c r="BH382" s="250"/>
      <c r="BI382" s="250"/>
      <c r="BJ382" s="250"/>
      <c r="BK382" s="250"/>
      <c r="BL382" s="250"/>
      <c r="BM382" s="250"/>
      <c r="BN382" s="250"/>
      <c r="BO382" s="250"/>
      <c r="BP382" s="250"/>
      <c r="BQ382" s="250"/>
      <c r="BR382" s="250"/>
      <c r="BS382" s="250"/>
      <c r="BT382" s="250"/>
      <c r="BU382" s="250"/>
      <c r="BV382" s="250"/>
      <c r="BW382" s="250"/>
      <c r="BX382" s="1324"/>
    </row>
    <row r="383" spans="1:76">
      <c r="A383" s="160">
        <v>45285</v>
      </c>
      <c r="B383" s="385"/>
      <c r="C383" s="250"/>
      <c r="D383" s="250"/>
      <c r="E383" s="1311"/>
      <c r="F383" s="1014"/>
      <c r="G383" s="1014"/>
      <c r="H383" s="250"/>
      <c r="I383" s="1014"/>
      <c r="J383" s="1014"/>
      <c r="K383" s="250"/>
      <c r="L383" s="250"/>
      <c r="M383" s="1014"/>
      <c r="N383" s="1014"/>
      <c r="O383" s="1014"/>
      <c r="P383" s="1014"/>
      <c r="Q383" s="1014"/>
      <c r="R383" s="1014"/>
      <c r="S383" s="250"/>
      <c r="T383" s="250"/>
      <c r="U383" s="1014"/>
      <c r="V383" s="1014"/>
      <c r="W383" s="1014"/>
      <c r="X383" s="1081"/>
      <c r="Y383" s="1081"/>
      <c r="Z383" s="1014"/>
      <c r="AA383" s="1014"/>
      <c r="AB383" s="1014"/>
      <c r="AC383" s="1081"/>
      <c r="AD383" s="1081"/>
      <c r="AE383" s="250"/>
      <c r="AF383" s="250"/>
      <c r="AG383" s="1014"/>
      <c r="AH383" s="1014"/>
      <c r="AI383" s="1014"/>
      <c r="AJ383" s="1014"/>
      <c r="AK383" s="1014"/>
      <c r="AL383" s="1014"/>
      <c r="AM383" s="250"/>
      <c r="AN383" s="250"/>
      <c r="AO383" s="1014"/>
      <c r="AP383" s="1014"/>
      <c r="AQ383" s="1014"/>
      <c r="AR383" s="250"/>
      <c r="AS383" s="1014"/>
      <c r="AT383" s="1014"/>
      <c r="AU383" s="1014"/>
      <c r="AV383" s="1014"/>
      <c r="AW383" s="1014"/>
      <c r="AX383" s="250"/>
      <c r="AY383" s="250"/>
      <c r="AZ383" s="250"/>
      <c r="BA383" s="250"/>
      <c r="BB383" s="684"/>
      <c r="BC383" s="1014"/>
      <c r="BD383" s="250"/>
      <c r="BE383" s="1014"/>
      <c r="BF383" s="1014"/>
      <c r="BG383" s="1014"/>
      <c r="BH383" s="1014"/>
      <c r="BI383" s="250"/>
      <c r="BJ383" s="250"/>
      <c r="BK383" s="250"/>
      <c r="BL383" s="250"/>
      <c r="BM383" s="250"/>
      <c r="BN383" s="250"/>
      <c r="BO383" s="1014"/>
      <c r="BP383" s="1014"/>
      <c r="BQ383" s="1014"/>
      <c r="BR383" s="1014"/>
      <c r="BS383" s="1014"/>
      <c r="BT383" s="1014"/>
      <c r="BU383" s="1014"/>
      <c r="BV383" s="1014"/>
      <c r="BW383" s="1014"/>
      <c r="BX383" s="1324"/>
    </row>
    <row r="384" spans="1:76">
      <c r="A384" s="160">
        <v>45286</v>
      </c>
      <c r="B384" s="385"/>
      <c r="C384" s="250"/>
      <c r="D384" s="250"/>
      <c r="E384" s="1311"/>
      <c r="F384" s="1014"/>
      <c r="G384" s="1014"/>
      <c r="H384" s="250"/>
      <c r="I384" s="1014"/>
      <c r="J384" s="1014"/>
      <c r="K384" s="250"/>
      <c r="L384" s="250"/>
      <c r="M384" s="1014"/>
      <c r="N384" s="1014"/>
      <c r="O384" s="1014"/>
      <c r="P384" s="1014"/>
      <c r="Q384" s="1014"/>
      <c r="R384" s="1014"/>
      <c r="S384" s="250"/>
      <c r="T384" s="250"/>
      <c r="U384" s="1014"/>
      <c r="V384" s="1014"/>
      <c r="W384" s="1014"/>
      <c r="X384" s="1081"/>
      <c r="Y384" s="1081"/>
      <c r="Z384" s="1014"/>
      <c r="AA384" s="1014"/>
      <c r="AB384" s="1014"/>
      <c r="AC384" s="1081"/>
      <c r="AD384" s="1081"/>
      <c r="AE384" s="250"/>
      <c r="AF384" s="250"/>
      <c r="AG384" s="1014"/>
      <c r="AH384" s="1014"/>
      <c r="AI384" s="1014"/>
      <c r="AJ384" s="1014"/>
      <c r="AK384" s="1014"/>
      <c r="AL384" s="1014"/>
      <c r="AM384" s="250"/>
      <c r="AN384" s="250"/>
      <c r="AO384" s="1014"/>
      <c r="AP384" s="1014"/>
      <c r="AQ384" s="1014"/>
      <c r="AR384" s="250"/>
      <c r="AS384" s="1014"/>
      <c r="AT384" s="1014"/>
      <c r="AU384" s="1014"/>
      <c r="AV384" s="1014"/>
      <c r="AW384" s="1014"/>
      <c r="AX384" s="250"/>
      <c r="AY384" s="250"/>
      <c r="AZ384" s="250"/>
      <c r="BA384" s="250"/>
      <c r="BB384" s="684"/>
      <c r="BC384" s="1014"/>
      <c r="BD384" s="1014"/>
      <c r="BE384" s="1014"/>
      <c r="BF384" s="1014"/>
      <c r="BG384" s="1014"/>
      <c r="BH384" s="1014"/>
      <c r="BI384" s="250"/>
      <c r="BJ384" s="250"/>
      <c r="BK384" s="250"/>
      <c r="BL384" s="250"/>
      <c r="BM384" s="250"/>
      <c r="BN384" s="250"/>
      <c r="BO384" s="1014"/>
      <c r="BP384" s="1014"/>
      <c r="BQ384" s="1014"/>
      <c r="BR384" s="1014"/>
      <c r="BS384" s="1014"/>
      <c r="BT384" s="1014"/>
      <c r="BU384" s="1014"/>
      <c r="BV384" s="1014"/>
      <c r="BW384" s="1014"/>
      <c r="BX384" s="1324"/>
    </row>
    <row r="385" spans="1:76">
      <c r="A385" s="160">
        <v>45287</v>
      </c>
      <c r="B385" s="385"/>
      <c r="C385" s="250"/>
      <c r="D385" s="250"/>
      <c r="E385" s="1311"/>
      <c r="F385" s="1014"/>
      <c r="G385" s="1014"/>
      <c r="H385" s="250"/>
      <c r="I385" s="1014"/>
      <c r="J385" s="1014"/>
      <c r="K385" s="250"/>
      <c r="L385" s="250"/>
      <c r="M385" s="1014"/>
      <c r="N385" s="1014"/>
      <c r="O385" s="1014"/>
      <c r="P385" s="1014"/>
      <c r="Q385" s="1014"/>
      <c r="R385" s="1014"/>
      <c r="S385" s="250"/>
      <c r="T385" s="250"/>
      <c r="U385" s="1014"/>
      <c r="V385" s="1014"/>
      <c r="W385" s="1014"/>
      <c r="X385" s="1081"/>
      <c r="Y385" s="1081"/>
      <c r="Z385" s="1014"/>
      <c r="AA385" s="1014"/>
      <c r="AB385" s="1014"/>
      <c r="AC385" s="1081"/>
      <c r="AD385" s="1081"/>
      <c r="AE385" s="250"/>
      <c r="AF385" s="250"/>
      <c r="AG385" s="1014"/>
      <c r="AH385" s="1014"/>
      <c r="AI385" s="1014"/>
      <c r="AJ385" s="1014"/>
      <c r="AK385" s="1014"/>
      <c r="AL385" s="1014"/>
      <c r="AM385" s="250"/>
      <c r="AN385" s="250"/>
      <c r="AO385" s="1014"/>
      <c r="AP385" s="1014"/>
      <c r="AQ385" s="1014"/>
      <c r="AR385" s="250"/>
      <c r="AS385" s="1014"/>
      <c r="AT385" s="1014"/>
      <c r="AU385" s="1014"/>
      <c r="AV385" s="1014"/>
      <c r="AW385" s="1014"/>
      <c r="AX385" s="250"/>
      <c r="AY385" s="250"/>
      <c r="AZ385" s="250"/>
      <c r="BA385" s="250"/>
      <c r="BB385" s="684"/>
      <c r="BC385" s="1014"/>
      <c r="BD385" s="1014"/>
      <c r="BE385" s="1014"/>
      <c r="BF385" s="1014"/>
      <c r="BG385" s="1014"/>
      <c r="BH385" s="1014"/>
      <c r="BI385" s="250"/>
      <c r="BJ385" s="250"/>
      <c r="BK385" s="250"/>
      <c r="BL385" s="250"/>
      <c r="BM385" s="250"/>
      <c r="BN385" s="250"/>
      <c r="BO385" s="1014"/>
      <c r="BP385" s="1014"/>
      <c r="BQ385" s="1014"/>
      <c r="BR385" s="1014"/>
      <c r="BS385" s="1014"/>
      <c r="BT385" s="1014"/>
      <c r="BU385" s="1014"/>
      <c r="BV385" s="1014"/>
      <c r="BW385" s="1014"/>
      <c r="BX385" s="1324"/>
    </row>
    <row r="386" spans="1:76">
      <c r="A386" s="160">
        <v>45288</v>
      </c>
      <c r="B386" s="385"/>
      <c r="C386" s="250"/>
      <c r="D386" s="250"/>
      <c r="E386" s="1311"/>
      <c r="F386" s="1014"/>
      <c r="G386" s="1014"/>
      <c r="H386" s="250"/>
      <c r="I386" s="1014"/>
      <c r="J386" s="1014"/>
      <c r="K386" s="250"/>
      <c r="L386" s="250"/>
      <c r="M386" s="1014"/>
      <c r="N386" s="1014"/>
      <c r="O386" s="1014"/>
      <c r="P386" s="1014"/>
      <c r="Q386" s="1014"/>
      <c r="R386" s="1014"/>
      <c r="S386" s="250"/>
      <c r="T386" s="250"/>
      <c r="U386" s="1014"/>
      <c r="V386" s="1014"/>
      <c r="W386" s="1014"/>
      <c r="X386" s="1081"/>
      <c r="Y386" s="1081"/>
      <c r="Z386" s="1014"/>
      <c r="AA386" s="1014"/>
      <c r="AB386" s="1014"/>
      <c r="AC386" s="1081"/>
      <c r="AD386" s="1081"/>
      <c r="AE386" s="250"/>
      <c r="AF386" s="250"/>
      <c r="AG386" s="1014"/>
      <c r="AH386" s="1014"/>
      <c r="AI386" s="1014"/>
      <c r="AJ386" s="1014"/>
      <c r="AK386" s="1014"/>
      <c r="AL386" s="1014"/>
      <c r="AM386" s="250"/>
      <c r="AN386" s="250"/>
      <c r="AO386" s="1014"/>
      <c r="AP386" s="1014"/>
      <c r="AQ386" s="1014"/>
      <c r="AR386" s="250"/>
      <c r="AS386" s="1014"/>
      <c r="AT386" s="1014"/>
      <c r="AU386" s="1014"/>
      <c r="AV386" s="1014"/>
      <c r="AW386" s="1014"/>
      <c r="AX386" s="250"/>
      <c r="AY386" s="250"/>
      <c r="AZ386" s="250"/>
      <c r="BA386" s="250"/>
      <c r="BB386" s="684"/>
      <c r="BC386" s="1014"/>
      <c r="BD386" s="1014"/>
      <c r="BE386" s="1014"/>
      <c r="BF386" s="1014"/>
      <c r="BG386" s="1014"/>
      <c r="BH386" s="1014"/>
      <c r="BI386" s="250"/>
      <c r="BJ386" s="250"/>
      <c r="BK386" s="250"/>
      <c r="BL386" s="250"/>
      <c r="BM386" s="250"/>
      <c r="BN386" s="250"/>
      <c r="BO386" s="1014"/>
      <c r="BP386" s="1014"/>
      <c r="BQ386" s="1014"/>
      <c r="BR386" s="1014"/>
      <c r="BS386" s="1014"/>
      <c r="BT386" s="1014"/>
      <c r="BU386" s="1014"/>
      <c r="BV386" s="1014"/>
      <c r="BW386" s="1014"/>
      <c r="BX386" s="1324"/>
    </row>
    <row r="387" spans="1:76">
      <c r="A387" s="160">
        <v>45289</v>
      </c>
      <c r="B387" s="385"/>
      <c r="C387" s="250"/>
      <c r="D387" s="250"/>
      <c r="E387" s="1311"/>
      <c r="F387" s="1014"/>
      <c r="G387" s="1014"/>
      <c r="H387" s="250"/>
      <c r="I387" s="1014"/>
      <c r="J387" s="1014"/>
      <c r="K387" s="250"/>
      <c r="L387" s="250"/>
      <c r="M387" s="1014"/>
      <c r="N387" s="1014"/>
      <c r="O387" s="1014"/>
      <c r="P387" s="1014"/>
      <c r="Q387" s="1014"/>
      <c r="R387" s="1014"/>
      <c r="S387" s="250"/>
      <c r="T387" s="250"/>
      <c r="U387" s="1014"/>
      <c r="V387" s="1014"/>
      <c r="W387" s="1014"/>
      <c r="X387" s="1081"/>
      <c r="Y387" s="1081"/>
      <c r="Z387" s="1014"/>
      <c r="AA387" s="1014"/>
      <c r="AB387" s="1014"/>
      <c r="AC387" s="1081"/>
      <c r="AD387" s="1081"/>
      <c r="AE387" s="250"/>
      <c r="AF387" s="250"/>
      <c r="AG387" s="1014"/>
      <c r="AH387" s="1014"/>
      <c r="AI387" s="1014"/>
      <c r="AJ387" s="1014"/>
      <c r="AK387" s="1014"/>
      <c r="AL387" s="1014"/>
      <c r="AM387" s="250"/>
      <c r="AN387" s="250"/>
      <c r="AO387" s="1014"/>
      <c r="AP387" s="1014"/>
      <c r="AQ387" s="1014"/>
      <c r="AR387" s="250"/>
      <c r="AS387" s="1014"/>
      <c r="AT387" s="1014"/>
      <c r="AU387" s="1014"/>
      <c r="AV387" s="1014"/>
      <c r="AW387" s="1014"/>
      <c r="AX387" s="250"/>
      <c r="AY387" s="250"/>
      <c r="AZ387" s="250"/>
      <c r="BA387" s="250"/>
      <c r="BB387" s="684"/>
      <c r="BC387" s="1014"/>
      <c r="BD387" s="1014"/>
      <c r="BE387" s="1014"/>
      <c r="BF387" s="1014"/>
      <c r="BG387" s="1014"/>
      <c r="BH387" s="1014"/>
      <c r="BI387" s="250"/>
      <c r="BJ387" s="250"/>
      <c r="BK387" s="250"/>
      <c r="BL387" s="250"/>
      <c r="BM387" s="250"/>
      <c r="BN387" s="250"/>
      <c r="BO387" s="1014"/>
      <c r="BP387" s="1014"/>
      <c r="BQ387" s="1014"/>
      <c r="BR387" s="1014"/>
      <c r="BS387" s="1014"/>
      <c r="BT387" s="1014"/>
      <c r="BU387" s="1014"/>
      <c r="BV387" s="1014"/>
      <c r="BW387" s="1014"/>
      <c r="BX387" s="1324"/>
    </row>
    <row r="388" spans="1:76">
      <c r="A388" s="160">
        <v>45290</v>
      </c>
      <c r="B388" s="385"/>
      <c r="C388" s="250"/>
      <c r="D388" s="250"/>
      <c r="E388" s="1311"/>
      <c r="F388" s="1014"/>
      <c r="G388" s="1014"/>
      <c r="H388" s="250"/>
      <c r="I388" s="1014"/>
      <c r="J388" s="1014"/>
      <c r="K388" s="250"/>
      <c r="L388" s="250"/>
      <c r="M388" s="1014"/>
      <c r="N388" s="1014"/>
      <c r="O388" s="1014"/>
      <c r="P388" s="1014"/>
      <c r="Q388" s="1014"/>
      <c r="R388" s="1014"/>
      <c r="S388" s="250"/>
      <c r="T388" s="250"/>
      <c r="U388" s="1014"/>
      <c r="V388" s="1014"/>
      <c r="W388" s="1014"/>
      <c r="X388" s="1081"/>
      <c r="Y388" s="1081"/>
      <c r="Z388" s="1014"/>
      <c r="AA388" s="1014"/>
      <c r="AB388" s="1014"/>
      <c r="AC388" s="1081"/>
      <c r="AD388" s="1081"/>
      <c r="AE388" s="1014"/>
      <c r="AF388" s="1014"/>
      <c r="AG388" s="1014"/>
      <c r="AH388" s="1014"/>
      <c r="AI388" s="1014"/>
      <c r="AJ388" s="1014"/>
      <c r="AK388" s="1014"/>
      <c r="AL388" s="1014"/>
      <c r="AM388" s="250"/>
      <c r="AN388" s="250"/>
      <c r="AO388" s="1014"/>
      <c r="AP388" s="1014"/>
      <c r="AQ388" s="1014"/>
      <c r="AR388" s="1014"/>
      <c r="AS388" s="1014"/>
      <c r="AT388" s="1014"/>
      <c r="AU388" s="1014"/>
      <c r="AV388" s="1014"/>
      <c r="AW388" s="1014"/>
      <c r="AX388" s="250"/>
      <c r="AY388" s="250"/>
      <c r="AZ388" s="250"/>
      <c r="BA388" s="250"/>
      <c r="BB388" s="684"/>
      <c r="BC388" s="1014"/>
      <c r="BD388" s="1014"/>
      <c r="BE388" s="1014"/>
      <c r="BF388" s="1014"/>
      <c r="BG388" s="1014"/>
      <c r="BH388" s="1014"/>
      <c r="BI388" s="250"/>
      <c r="BJ388" s="250"/>
      <c r="BK388" s="250"/>
      <c r="BL388" s="1014"/>
      <c r="BM388" s="1014"/>
      <c r="BN388" s="1014"/>
      <c r="BO388" s="1014"/>
      <c r="BP388" s="1014"/>
      <c r="BQ388" s="1014"/>
      <c r="BR388" s="1014"/>
      <c r="BS388" s="1014"/>
      <c r="BT388" s="1014"/>
      <c r="BU388" s="1014"/>
      <c r="BV388" s="1014"/>
      <c r="BW388" s="1014"/>
      <c r="BX388" s="1324"/>
    </row>
    <row r="389" spans="1:76">
      <c r="A389" s="160">
        <v>45291</v>
      </c>
      <c r="B389" s="385"/>
      <c r="C389" s="250"/>
      <c r="D389" s="250"/>
      <c r="E389" s="1311"/>
      <c r="F389" s="1014"/>
      <c r="G389" s="1014"/>
      <c r="H389" s="250"/>
      <c r="I389" s="1014"/>
      <c r="J389" s="1014"/>
      <c r="K389" s="250"/>
      <c r="L389" s="250"/>
      <c r="M389" s="1014"/>
      <c r="N389" s="1014"/>
      <c r="O389" s="1014"/>
      <c r="P389" s="1014"/>
      <c r="Q389" s="1014"/>
      <c r="R389" s="1014"/>
      <c r="S389" s="1014"/>
      <c r="T389" s="1014"/>
      <c r="U389" s="1014"/>
      <c r="V389" s="1014"/>
      <c r="W389" s="1014"/>
      <c r="X389" s="1081"/>
      <c r="Y389" s="1081"/>
      <c r="Z389" s="1014"/>
      <c r="AA389" s="1014"/>
      <c r="AB389" s="1014"/>
      <c r="AC389" s="1081"/>
      <c r="AD389" s="1081"/>
      <c r="AE389" s="250"/>
      <c r="AF389" s="250"/>
      <c r="AG389" s="1014"/>
      <c r="AH389" s="1014"/>
      <c r="AI389" s="1014"/>
      <c r="AJ389" s="1014"/>
      <c r="AK389" s="1014"/>
      <c r="AL389" s="1014"/>
      <c r="AM389" s="1014"/>
      <c r="AN389" s="1014"/>
      <c r="AO389" s="1014"/>
      <c r="AP389" s="1014"/>
      <c r="AQ389" s="1014"/>
      <c r="AR389" s="250"/>
      <c r="AS389" s="1014"/>
      <c r="AT389" s="1014"/>
      <c r="AU389" s="1014"/>
      <c r="AV389" s="1014"/>
      <c r="AW389" s="1014"/>
      <c r="AX389" s="250"/>
      <c r="AY389" s="250"/>
      <c r="AZ389" s="250"/>
      <c r="BA389" s="250"/>
      <c r="BB389" s="684"/>
      <c r="BC389" s="1014"/>
      <c r="BD389" s="1014"/>
      <c r="BE389" s="1014"/>
      <c r="BF389" s="1014"/>
      <c r="BG389" s="1014"/>
      <c r="BH389" s="1014"/>
      <c r="BI389" s="250"/>
      <c r="BJ389" s="250"/>
      <c r="BK389" s="250"/>
      <c r="BL389" s="250"/>
      <c r="BM389" s="250"/>
      <c r="BN389" s="250"/>
      <c r="BO389" s="1014"/>
      <c r="BP389" s="1014"/>
      <c r="BQ389" s="1014"/>
      <c r="BR389" s="1014"/>
      <c r="BS389" s="1014"/>
      <c r="BT389" s="1014"/>
      <c r="BU389" s="1014"/>
      <c r="BV389" s="1014"/>
      <c r="BW389" s="1014"/>
      <c r="BX389" s="1324"/>
    </row>
    <row r="390" spans="1:76" ht="13" hidden="1">
      <c r="A390" s="182"/>
      <c r="B390" s="187"/>
      <c r="C390" s="187"/>
      <c r="D390" s="187"/>
      <c r="E390" s="1313"/>
      <c r="F390" s="187"/>
      <c r="G390" s="187"/>
      <c r="H390" s="183"/>
      <c r="I390" s="183"/>
      <c r="J390" s="184"/>
      <c r="K390" s="188"/>
      <c r="L390" s="187"/>
      <c r="M390" s="187"/>
      <c r="N390" s="187"/>
      <c r="O390" s="187"/>
      <c r="P390" s="189"/>
      <c r="Q390" s="187"/>
      <c r="R390" s="187"/>
      <c r="S390" s="187"/>
      <c r="T390" s="187"/>
      <c r="U390" s="187"/>
      <c r="V390" s="187"/>
      <c r="W390" s="188"/>
      <c r="X390" s="187"/>
      <c r="Y390" s="187"/>
      <c r="Z390" s="185"/>
      <c r="AA390" s="186"/>
      <c r="AB390" s="187"/>
      <c r="AC390" s="187"/>
      <c r="AD390" s="187"/>
      <c r="AE390" s="187"/>
      <c r="AF390" s="187"/>
      <c r="AG390" s="187"/>
      <c r="AH390" s="187"/>
      <c r="AI390" s="187"/>
      <c r="AJ390" s="187"/>
      <c r="AK390" s="188"/>
      <c r="AL390" s="188"/>
      <c r="AM390" s="187"/>
      <c r="AN390" s="187"/>
      <c r="AO390" s="187"/>
      <c r="AP390" s="187"/>
      <c r="AQ390" s="658"/>
      <c r="AR390" s="680"/>
      <c r="AS390" s="187"/>
      <c r="AT390" s="187"/>
      <c r="AU390" s="187"/>
      <c r="AV390" s="187"/>
      <c r="AW390" s="187"/>
      <c r="AX390" s="187"/>
      <c r="AY390" s="187"/>
      <c r="AZ390" s="187"/>
      <c r="BA390" s="187"/>
      <c r="BB390" s="1796"/>
      <c r="BC390" s="187"/>
      <c r="BD390" s="187"/>
      <c r="BE390" s="187"/>
      <c r="BF390" s="187"/>
      <c r="BG390" s="1016"/>
      <c r="BH390" s="187"/>
      <c r="BI390" s="187"/>
      <c r="BJ390" s="187"/>
      <c r="BK390" s="187"/>
      <c r="BL390" s="187"/>
      <c r="BM390" s="187"/>
      <c r="BN390" s="187"/>
      <c r="BO390" s="187"/>
      <c r="BP390" s="187"/>
      <c r="BQ390" s="187"/>
      <c r="BR390" s="187"/>
      <c r="BS390" s="187"/>
      <c r="BT390" s="187"/>
      <c r="BU390" s="187"/>
      <c r="BV390" s="187"/>
      <c r="BW390" s="1016"/>
      <c r="BX390" s="1409"/>
    </row>
    <row r="391" spans="1:76" hidden="1">
      <c r="A391" s="24" t="s">
        <v>175</v>
      </c>
      <c r="B391" s="22">
        <f>SUMIF(B2:B27,"&gt;0")</f>
        <v>27522.097999999998</v>
      </c>
      <c r="C391" s="22">
        <f t="shared" ref="C391:AA391" si="0">SUMIF(C2:C27,"&gt;0")</f>
        <v>15216.066999999999</v>
      </c>
      <c r="D391" s="22">
        <f t="shared" si="0"/>
        <v>177878.5</v>
      </c>
      <c r="E391" s="1319">
        <f t="shared" si="0"/>
        <v>4.5</v>
      </c>
      <c r="F391" s="22">
        <f t="shared" si="0"/>
        <v>408701.69999999995</v>
      </c>
      <c r="G391" s="22">
        <f t="shared" si="0"/>
        <v>126751.40000000001</v>
      </c>
      <c r="H391" s="22">
        <f t="shared" si="0"/>
        <v>14683981.6</v>
      </c>
      <c r="I391" s="22">
        <f t="shared" si="0"/>
        <v>6775978.2000000002</v>
      </c>
      <c r="J391" s="22">
        <f t="shared" si="0"/>
        <v>5280557.3000000007</v>
      </c>
      <c r="K391" s="22">
        <f t="shared" si="0"/>
        <v>388650.59999999986</v>
      </c>
      <c r="L391" s="22">
        <f t="shared" si="0"/>
        <v>182267.79999999996</v>
      </c>
      <c r="M391" s="22">
        <f t="shared" si="0"/>
        <v>1122843.4099999997</v>
      </c>
      <c r="N391" s="22">
        <f t="shared" si="0"/>
        <v>893205.69</v>
      </c>
      <c r="O391" s="22">
        <f t="shared" si="0"/>
        <v>3538898.0300000003</v>
      </c>
      <c r="P391" s="22">
        <f t="shared" si="0"/>
        <v>2935864.26</v>
      </c>
      <c r="Q391" s="22">
        <f t="shared" si="0"/>
        <v>3593167.1100000008</v>
      </c>
      <c r="R391" s="22">
        <f t="shared" si="0"/>
        <v>2464555.23</v>
      </c>
      <c r="S391" s="22">
        <f t="shared" si="0"/>
        <v>365342.38000000006</v>
      </c>
      <c r="T391" s="22">
        <f t="shared" si="0"/>
        <v>277462.64000000019</v>
      </c>
      <c r="U391" s="22">
        <f t="shared" si="0"/>
        <v>455741.05</v>
      </c>
      <c r="V391" s="22">
        <f t="shared" si="0"/>
        <v>236996.32</v>
      </c>
      <c r="W391" s="22">
        <f t="shared" si="0"/>
        <v>5425126.200000002</v>
      </c>
      <c r="X391" s="22">
        <f t="shared" si="0"/>
        <v>8993.399999999996</v>
      </c>
      <c r="Y391" s="22">
        <f t="shared" si="0"/>
        <v>1318616</v>
      </c>
      <c r="Z391" s="22">
        <f t="shared" si="0"/>
        <v>14422490.76</v>
      </c>
      <c r="AA391" s="22">
        <f t="shared" si="0"/>
        <v>7352192.4700000007</v>
      </c>
      <c r="AB391" s="22">
        <f>SUMIF(AB2:AB27,"&gt;0")</f>
        <v>5423810.5999999996</v>
      </c>
      <c r="AC391" s="22">
        <f t="shared" ref="AC391:BB391" si="1">SUMIF(AC2:AC27,"&gt;0")</f>
        <v>28922.400000000012</v>
      </c>
      <c r="AD391" s="423">
        <f t="shared" si="1"/>
        <v>24492</v>
      </c>
      <c r="AE391" s="22">
        <f t="shared" si="1"/>
        <v>917606.03999999992</v>
      </c>
      <c r="AF391" s="22">
        <f t="shared" si="1"/>
        <v>654165.86</v>
      </c>
      <c r="AG391" s="22">
        <f t="shared" si="1"/>
        <v>2121920.0699999998</v>
      </c>
      <c r="AH391" s="22">
        <f t="shared" si="1"/>
        <v>1640456.3999999997</v>
      </c>
      <c r="AI391" s="22">
        <f t="shared" si="1"/>
        <v>1679048.4599999997</v>
      </c>
      <c r="AJ391" s="22">
        <f t="shared" si="1"/>
        <v>1367440.85</v>
      </c>
      <c r="AK391" s="22">
        <f t="shared" si="1"/>
        <v>1518050.6999999997</v>
      </c>
      <c r="AL391" s="22">
        <f t="shared" si="1"/>
        <v>597036.20000000007</v>
      </c>
      <c r="AM391" s="22">
        <f t="shared" si="1"/>
        <v>423.80000000000018</v>
      </c>
      <c r="AN391" s="22">
        <f t="shared" si="1"/>
        <v>449.80000000000018</v>
      </c>
      <c r="AO391" s="22">
        <f t="shared" si="1"/>
        <v>12370618.800000001</v>
      </c>
      <c r="AP391" s="22">
        <f t="shared" si="1"/>
        <v>5713270.0999999996</v>
      </c>
      <c r="AQ391" s="22">
        <f t="shared" si="1"/>
        <v>1679414</v>
      </c>
      <c r="AR391" s="22">
        <f t="shared" si="1"/>
        <v>0</v>
      </c>
      <c r="AS391" s="22">
        <f t="shared" si="1"/>
        <v>11545309.9</v>
      </c>
      <c r="AT391" s="22">
        <f t="shared" si="1"/>
        <v>5083756.5999999996</v>
      </c>
      <c r="AU391" s="22">
        <f t="shared" si="1"/>
        <v>2001619.6600000006</v>
      </c>
      <c r="AV391" s="22">
        <f t="shared" si="1"/>
        <v>108172.46000000002</v>
      </c>
      <c r="AW391" s="22">
        <f t="shared" si="1"/>
        <v>71946.64</v>
      </c>
      <c r="AX391" s="22">
        <f t="shared" si="1"/>
        <v>5709.7899999999981</v>
      </c>
      <c r="AY391" s="22">
        <f t="shared" si="1"/>
        <v>3456.1100000000006</v>
      </c>
      <c r="AZ391" s="22">
        <f t="shared" si="1"/>
        <v>20486.634000000002</v>
      </c>
      <c r="BA391" s="22">
        <f t="shared" si="1"/>
        <v>8732.2299999999977</v>
      </c>
      <c r="BB391" s="1800">
        <f t="shared" si="1"/>
        <v>46368.269999999982</v>
      </c>
      <c r="BC391" s="22">
        <f>SUMIF(BC2:BC33,"&gt;0")</f>
        <v>99741.6</v>
      </c>
      <c r="BD391" s="22">
        <f>SUMIF(BD2:BD27,"&gt;0")</f>
        <v>12759.199999999999</v>
      </c>
      <c r="BE391" s="22">
        <f>SUMIF(BE2:BE27,"&gt;0")</f>
        <v>175417.82</v>
      </c>
      <c r="BF391" s="22">
        <f>SUMIF(BF2:BF33,"&gt;0")</f>
        <v>998748.83859649091</v>
      </c>
      <c r="BG391" s="22">
        <f>SUMIF(BG2:BG33,"&gt;0")</f>
        <v>320724.38934439846</v>
      </c>
      <c r="BH391" s="22">
        <f t="shared" ref="BH391:BW391" si="2">SUMIF(BH2:BH27,"&gt;0")</f>
        <v>161459.93000000002</v>
      </c>
      <c r="BI391" s="22">
        <f t="shared" si="2"/>
        <v>63343112.5</v>
      </c>
      <c r="BJ391" s="22">
        <f t="shared" si="2"/>
        <v>12275</v>
      </c>
      <c r="BK391" s="22">
        <f t="shared" si="2"/>
        <v>487342.60000000003</v>
      </c>
      <c r="BL391" s="22">
        <f t="shared" si="2"/>
        <v>75875077</v>
      </c>
      <c r="BM391" s="22">
        <f t="shared" si="2"/>
        <v>2029391</v>
      </c>
      <c r="BN391" s="22">
        <f t="shared" si="2"/>
        <v>479928.71000000008</v>
      </c>
      <c r="BO391" s="22">
        <f t="shared" si="2"/>
        <v>68946096</v>
      </c>
      <c r="BP391" s="22">
        <f t="shared" si="2"/>
        <v>3242956</v>
      </c>
      <c r="BQ391" s="22">
        <f t="shared" si="2"/>
        <v>407499.80000000016</v>
      </c>
      <c r="BR391" s="22">
        <f t="shared" si="2"/>
        <v>204171.25000000003</v>
      </c>
      <c r="BS391" s="22">
        <f t="shared" si="2"/>
        <v>139180.72</v>
      </c>
      <c r="BT391" s="22">
        <f t="shared" si="2"/>
        <v>25921178</v>
      </c>
      <c r="BU391" s="22">
        <f t="shared" si="2"/>
        <v>14746863</v>
      </c>
      <c r="BV391" s="22">
        <f t="shared" si="2"/>
        <v>17455686</v>
      </c>
      <c r="BW391" s="22">
        <f t="shared" si="2"/>
        <v>11050412</v>
      </c>
      <c r="BX391" s="22">
        <f>SUMIF(BX2:BX33,"&gt;0")</f>
        <v>4.4000000000000004</v>
      </c>
    </row>
    <row r="392" spans="1:76" hidden="1">
      <c r="A392" s="24" t="s">
        <v>176</v>
      </c>
      <c r="B392" s="22">
        <f t="shared" ref="B392:AA392" si="3">SUMIF(B27:B60,"&gt;0")</f>
        <v>34974.625000000015</v>
      </c>
      <c r="C392" s="22">
        <f t="shared" si="3"/>
        <v>19328.241000000009</v>
      </c>
      <c r="D392" s="22">
        <f t="shared" si="3"/>
        <v>225879.09999999998</v>
      </c>
      <c r="E392" s="1319">
        <f t="shared" si="3"/>
        <v>3.3</v>
      </c>
      <c r="F392" s="22">
        <f t="shared" si="3"/>
        <v>538383.79999999993</v>
      </c>
      <c r="G392" s="22">
        <f t="shared" si="3"/>
        <v>167664.40000000002</v>
      </c>
      <c r="H392" s="22">
        <f t="shared" si="3"/>
        <v>18785805.279999997</v>
      </c>
      <c r="I392" s="22">
        <f t="shared" si="3"/>
        <v>8675620.4000000004</v>
      </c>
      <c r="J392" s="22">
        <f t="shared" si="3"/>
        <v>6723666.549999998</v>
      </c>
      <c r="K392" s="22">
        <f t="shared" si="3"/>
        <v>493289.0999999998</v>
      </c>
      <c r="L392" s="22">
        <f t="shared" si="3"/>
        <v>231339.99999999988</v>
      </c>
      <c r="M392" s="22">
        <f t="shared" si="3"/>
        <v>1448798.0299999998</v>
      </c>
      <c r="N392" s="22">
        <f t="shared" si="3"/>
        <v>1152165.47</v>
      </c>
      <c r="O392" s="22">
        <f t="shared" si="3"/>
        <v>4505112.3400000017</v>
      </c>
      <c r="P392" s="22">
        <f t="shared" si="3"/>
        <v>3737400.9100000006</v>
      </c>
      <c r="Q392" s="22">
        <f t="shared" si="3"/>
        <v>4576266.5899999989</v>
      </c>
      <c r="R392" s="22">
        <f t="shared" si="3"/>
        <v>3139080.8800000004</v>
      </c>
      <c r="S392" s="22">
        <f t="shared" si="3"/>
        <v>463703.7900000001</v>
      </c>
      <c r="T392" s="22">
        <f t="shared" si="3"/>
        <v>352164.12000000029</v>
      </c>
      <c r="U392" s="22">
        <f t="shared" si="3"/>
        <v>766341.83</v>
      </c>
      <c r="V392" s="22">
        <f t="shared" si="3"/>
        <v>398689.58699999988</v>
      </c>
      <c r="W392" s="22">
        <f t="shared" si="3"/>
        <v>6907627.5</v>
      </c>
      <c r="X392" s="22">
        <f t="shared" si="3"/>
        <v>11414.699999999993</v>
      </c>
      <c r="Y392" s="22">
        <f t="shared" si="3"/>
        <v>1673628</v>
      </c>
      <c r="Z392" s="22">
        <f t="shared" si="3"/>
        <v>18519603.789999999</v>
      </c>
      <c r="AA392" s="22">
        <f t="shared" si="3"/>
        <v>9438022.0300000012</v>
      </c>
      <c r="AB392" s="22">
        <f t="shared" ref="AB392:BB392" si="4">SUMIF(AB27:AB60,"&gt;0")</f>
        <v>6906015.299999997</v>
      </c>
      <c r="AC392" s="22">
        <f t="shared" si="4"/>
        <v>36709.200000000019</v>
      </c>
      <c r="AD392" s="423">
        <f t="shared" si="4"/>
        <v>31086</v>
      </c>
      <c r="AE392" s="22">
        <f t="shared" si="4"/>
        <v>1166632.3000000003</v>
      </c>
      <c r="AF392" s="22">
        <f t="shared" si="4"/>
        <v>831716.36999999988</v>
      </c>
      <c r="AG392" s="22">
        <f t="shared" si="4"/>
        <v>2700878.96</v>
      </c>
      <c r="AH392" s="22">
        <f t="shared" si="4"/>
        <v>2088151.2400000005</v>
      </c>
      <c r="AI392" s="22">
        <f t="shared" si="4"/>
        <v>2144807.4199999995</v>
      </c>
      <c r="AJ392" s="22">
        <f t="shared" si="4"/>
        <v>1746559.3000000003</v>
      </c>
      <c r="AK392" s="22">
        <f t="shared" si="4"/>
        <v>1936353.9999999998</v>
      </c>
      <c r="AL392" s="22">
        <f t="shared" si="4"/>
        <v>761512.70000000007</v>
      </c>
      <c r="AM392" s="22">
        <f t="shared" si="4"/>
        <v>539.6999999999997</v>
      </c>
      <c r="AN392" s="22">
        <f t="shared" si="4"/>
        <v>572.6999999999997</v>
      </c>
      <c r="AO392" s="22">
        <f t="shared" si="4"/>
        <v>15836966.4</v>
      </c>
      <c r="AP392" s="22">
        <f t="shared" si="4"/>
        <v>7311723.7999999998</v>
      </c>
      <c r="AQ392" s="22">
        <f t="shared" si="4"/>
        <v>2136115.4859999996</v>
      </c>
      <c r="AR392" s="22">
        <f t="shared" si="4"/>
        <v>0</v>
      </c>
      <c r="AS392" s="22">
        <f t="shared" si="4"/>
        <v>14783845.800000001</v>
      </c>
      <c r="AT392" s="22">
        <f t="shared" si="4"/>
        <v>6509018.3440000005</v>
      </c>
      <c r="AU392" s="22">
        <f t="shared" si="4"/>
        <v>2562304</v>
      </c>
      <c r="AV392" s="22">
        <f t="shared" si="4"/>
        <v>138839.26999999996</v>
      </c>
      <c r="AW392" s="22">
        <f t="shared" si="4"/>
        <v>92425.44</v>
      </c>
      <c r="AX392" s="22">
        <f t="shared" si="4"/>
        <v>7260.48</v>
      </c>
      <c r="AY392" s="22">
        <f t="shared" si="4"/>
        <v>4394.5099999999993</v>
      </c>
      <c r="AZ392" s="22">
        <f t="shared" si="4"/>
        <v>26088.601999999995</v>
      </c>
      <c r="BA392" s="22">
        <f t="shared" si="4"/>
        <v>11117.246999999994</v>
      </c>
      <c r="BB392" s="1800">
        <f t="shared" si="4"/>
        <v>59000.999999999978</v>
      </c>
      <c r="BC392" s="22">
        <f>SUMIF(BC36:BC63,"&gt;0")</f>
        <v>89266.499999999985</v>
      </c>
      <c r="BD392" s="22">
        <f>SUMIF(BD27:BD60,"&gt;0")</f>
        <v>16623.700000000004</v>
      </c>
      <c r="BE392" s="22">
        <f>SUMIF(BE27:BE60,"&gt;0")</f>
        <v>228993.98044302539</v>
      </c>
      <c r="BF392" s="22">
        <f>SUMIF(BF35:BF63,"&gt;0")</f>
        <v>948466.35760440596</v>
      </c>
      <c r="BG392" s="22">
        <f>SUMIF(BG35:BG63,"&gt;0")</f>
        <v>274423.8789986695</v>
      </c>
      <c r="BH392" s="22">
        <f t="shared" ref="BH392:BX392" si="5">SUMIF(BH27:BH60,"&gt;0")</f>
        <v>285078.82133252197</v>
      </c>
      <c r="BI392" s="22">
        <f t="shared" si="5"/>
        <v>81112230.5</v>
      </c>
      <c r="BJ392" s="22">
        <f t="shared" si="5"/>
        <v>15818</v>
      </c>
      <c r="BK392" s="22">
        <f t="shared" si="5"/>
        <v>624164.41999999993</v>
      </c>
      <c r="BL392" s="22">
        <f t="shared" si="5"/>
        <v>99668095</v>
      </c>
      <c r="BM392" s="22">
        <f t="shared" si="5"/>
        <v>3041306</v>
      </c>
      <c r="BN392" s="22">
        <f t="shared" si="5"/>
        <v>626700.56999999995</v>
      </c>
      <c r="BO392" s="22">
        <f t="shared" si="5"/>
        <v>90394961</v>
      </c>
      <c r="BP392" s="22">
        <f t="shared" si="5"/>
        <v>4161637</v>
      </c>
      <c r="BQ392" s="22">
        <f t="shared" si="5"/>
        <v>536745.58000000007</v>
      </c>
      <c r="BR392" s="22">
        <f t="shared" si="5"/>
        <v>265091.52999999997</v>
      </c>
      <c r="BS392" s="22">
        <f t="shared" si="5"/>
        <v>180726.50999999998</v>
      </c>
      <c r="BT392" s="22">
        <f t="shared" si="5"/>
        <v>33481956</v>
      </c>
      <c r="BU392" s="22">
        <f t="shared" si="5"/>
        <v>19057409</v>
      </c>
      <c r="BV392" s="22">
        <f t="shared" si="5"/>
        <v>22820175</v>
      </c>
      <c r="BW392" s="22">
        <f t="shared" si="5"/>
        <v>14439531</v>
      </c>
      <c r="BX392" s="22">
        <f t="shared" si="5"/>
        <v>3.6999999999999997</v>
      </c>
    </row>
    <row r="393" spans="1:76" hidden="1">
      <c r="A393" s="24" t="s">
        <v>177</v>
      </c>
      <c r="B393" s="22">
        <f t="shared" ref="B393:AA393" si="6">SUMIF(B60:B90,"&gt;0")</f>
        <v>31822.758000000013</v>
      </c>
      <c r="C393" s="22">
        <f t="shared" si="6"/>
        <v>17580.171000000006</v>
      </c>
      <c r="D393" s="22">
        <f t="shared" si="6"/>
        <v>205451.90000000002</v>
      </c>
      <c r="E393" s="1319">
        <f t="shared" si="6"/>
        <v>1.2</v>
      </c>
      <c r="F393" s="22">
        <f t="shared" si="6"/>
        <v>515089.69999999995</v>
      </c>
      <c r="G393" s="22">
        <f t="shared" si="6"/>
        <v>162272.80000000002</v>
      </c>
      <c r="H393" s="22">
        <f t="shared" si="6"/>
        <v>17220641.899999999</v>
      </c>
      <c r="I393" s="22">
        <f t="shared" si="6"/>
        <v>7960020.3999999994</v>
      </c>
      <c r="J393" s="22">
        <f t="shared" si="6"/>
        <v>6133423.200000002</v>
      </c>
      <c r="K393" s="22">
        <f t="shared" si="6"/>
        <v>448672.90000000037</v>
      </c>
      <c r="L393" s="22">
        <f t="shared" si="6"/>
        <v>210324.29999999996</v>
      </c>
      <c r="M393" s="22">
        <f t="shared" si="6"/>
        <v>1339922.6900000004</v>
      </c>
      <c r="N393" s="22">
        <f t="shared" si="6"/>
        <v>1065303.4900000002</v>
      </c>
      <c r="O393" s="22">
        <f t="shared" si="6"/>
        <v>4108996.19</v>
      </c>
      <c r="P393" s="22">
        <f t="shared" si="6"/>
        <v>3408806.94</v>
      </c>
      <c r="Q393" s="22">
        <f t="shared" si="6"/>
        <v>4175206.4099999997</v>
      </c>
      <c r="R393" s="22">
        <f t="shared" si="6"/>
        <v>2864154.0200000005</v>
      </c>
      <c r="S393" s="22">
        <f t="shared" si="6"/>
        <v>421548.90000000008</v>
      </c>
      <c r="T393" s="22">
        <f t="shared" si="6"/>
        <v>320149.20000000024</v>
      </c>
      <c r="U393" s="22">
        <f t="shared" si="6"/>
        <v>828534.34000000008</v>
      </c>
      <c r="V393" s="22">
        <f t="shared" si="6"/>
        <v>430491.91</v>
      </c>
      <c r="W393" s="22">
        <f t="shared" si="6"/>
        <v>6300801</v>
      </c>
      <c r="X393" s="22">
        <f t="shared" si="6"/>
        <v>10376.999999999995</v>
      </c>
      <c r="Y393" s="22">
        <f t="shared" si="6"/>
        <v>1521480</v>
      </c>
      <c r="Z393" s="22">
        <f t="shared" si="6"/>
        <v>17090565.5</v>
      </c>
      <c r="AA393" s="22">
        <f t="shared" si="6"/>
        <v>8708966.6999999993</v>
      </c>
      <c r="AB393" s="22">
        <f t="shared" ref="AB393:BE393" si="7">SUMIF(AB60:AB90,"&gt;0")</f>
        <v>6299378.9999999972</v>
      </c>
      <c r="AC393" s="22">
        <f t="shared" si="7"/>
        <v>33372.000000000015</v>
      </c>
      <c r="AD393" s="423">
        <f t="shared" si="7"/>
        <v>28260</v>
      </c>
      <c r="AE393" s="22">
        <f t="shared" si="7"/>
        <v>1062512.5199999998</v>
      </c>
      <c r="AF393" s="22">
        <f t="shared" si="7"/>
        <v>757507.34999999986</v>
      </c>
      <c r="AG393" s="22">
        <f t="shared" si="7"/>
        <v>2462688.4500000002</v>
      </c>
      <c r="AH393" s="22">
        <f t="shared" si="7"/>
        <v>1904020.71</v>
      </c>
      <c r="AI393" s="22">
        <f t="shared" si="7"/>
        <v>1960698.97</v>
      </c>
      <c r="AJ393" s="22">
        <f t="shared" si="7"/>
        <v>1596695.8100000003</v>
      </c>
      <c r="AK393" s="22">
        <f t="shared" si="7"/>
        <v>1768852.0000000002</v>
      </c>
      <c r="AL393" s="22">
        <f t="shared" si="7"/>
        <v>695595.40000000014</v>
      </c>
      <c r="AM393" s="22">
        <f t="shared" si="7"/>
        <v>492.89999999999992</v>
      </c>
      <c r="AN393" s="22">
        <f t="shared" si="7"/>
        <v>523.80000000000007</v>
      </c>
      <c r="AO393" s="22">
        <f t="shared" si="7"/>
        <v>14522505.700000001</v>
      </c>
      <c r="AP393" s="22">
        <f t="shared" si="7"/>
        <v>6702513</v>
      </c>
      <c r="AQ393" s="22">
        <f t="shared" si="7"/>
        <v>1946234.9160000002</v>
      </c>
      <c r="AR393" s="22">
        <f t="shared" si="7"/>
        <v>0</v>
      </c>
      <c r="AS393" s="22">
        <f t="shared" si="7"/>
        <v>13565654.68</v>
      </c>
      <c r="AT393" s="22">
        <f t="shared" si="7"/>
        <v>5972047.8799999999</v>
      </c>
      <c r="AU393" s="22">
        <f t="shared" si="7"/>
        <v>2350399</v>
      </c>
      <c r="AV393" s="22">
        <f t="shared" si="7"/>
        <v>128038.1</v>
      </c>
      <c r="AW393" s="22">
        <f t="shared" si="7"/>
        <v>85283.36</v>
      </c>
      <c r="AX393" s="22">
        <f t="shared" si="7"/>
        <v>6613.2900000000027</v>
      </c>
      <c r="AY393" s="22">
        <f t="shared" si="7"/>
        <v>4001.9500000000003</v>
      </c>
      <c r="AZ393" s="22">
        <f t="shared" si="7"/>
        <v>23780.696000000004</v>
      </c>
      <c r="BA393" s="22">
        <f t="shared" si="7"/>
        <v>10131.119999999997</v>
      </c>
      <c r="BB393" s="1800">
        <f t="shared" si="7"/>
        <v>53726.420000000027</v>
      </c>
      <c r="BC393" s="22">
        <f t="shared" si="7"/>
        <v>88914.200000000012</v>
      </c>
      <c r="BD393" s="22">
        <f t="shared" si="7"/>
        <v>13934.1</v>
      </c>
      <c r="BE393" s="22">
        <f t="shared" si="7"/>
        <v>189340.98</v>
      </c>
      <c r="BF393" s="22">
        <f t="shared" ref="BF393:BS393" si="8">SUMIF(BF60:BF90,"&gt;0")</f>
        <v>1025075.3263157897</v>
      </c>
      <c r="BG393" s="22">
        <f>SUMIF(BG60:BG90,"&gt;0")</f>
        <v>301229.71885133535</v>
      </c>
      <c r="BH393" s="22">
        <f t="shared" si="8"/>
        <v>166203.43000000002</v>
      </c>
      <c r="BI393" s="22">
        <f t="shared" si="8"/>
        <v>74107522</v>
      </c>
      <c r="BJ393" s="22">
        <f t="shared" si="8"/>
        <v>14535</v>
      </c>
      <c r="BK393" s="22">
        <f t="shared" si="8"/>
        <v>571621.01</v>
      </c>
      <c r="BL393" s="22">
        <f t="shared" si="8"/>
        <v>94427008</v>
      </c>
      <c r="BM393" s="22">
        <f t="shared" si="8"/>
        <v>3007637</v>
      </c>
      <c r="BN393" s="22">
        <f t="shared" si="8"/>
        <v>590668.19999999995</v>
      </c>
      <c r="BO393" s="22">
        <f t="shared" si="8"/>
        <v>85051131</v>
      </c>
      <c r="BP393" s="22">
        <f t="shared" si="8"/>
        <v>3803557</v>
      </c>
      <c r="BQ393" s="22">
        <f t="shared" si="8"/>
        <v>503822.00000000023</v>
      </c>
      <c r="BR393" s="22">
        <f t="shared" si="8"/>
        <v>246894.72</v>
      </c>
      <c r="BS393" s="22">
        <f t="shared" si="8"/>
        <v>168295.13</v>
      </c>
      <c r="BT393" s="22">
        <f>SUMIF(BT60:BT90,"&gt;0")</f>
        <v>31248534</v>
      </c>
      <c r="BU393" s="22">
        <f>SUMIF(BU60:BU90,"&gt;0")</f>
        <v>17781279</v>
      </c>
      <c r="BV393" s="22">
        <f>SUMIF(BV60:BV90,"&gt;0")</f>
        <v>21149038</v>
      </c>
      <c r="BW393" s="22">
        <f>SUMIF(BW60:BW90,"&gt;0")</f>
        <v>13375405</v>
      </c>
      <c r="BX393" s="22">
        <f>SUMIF(BX60:BX90,"&gt;0")</f>
        <v>2.5</v>
      </c>
    </row>
    <row r="394" spans="1:76" hidden="1">
      <c r="A394" s="24" t="s">
        <v>178</v>
      </c>
      <c r="B394" s="22">
        <f>SUMIF(B90:B123,"&gt;0")</f>
        <v>35064.829000000012</v>
      </c>
      <c r="C394" s="22">
        <f>SUMIF(C90:C123,"&gt;0")</f>
        <v>19365.912999999997</v>
      </c>
      <c r="D394" s="22">
        <f>SUMIF(D90:D123,"&gt;0")</f>
        <v>226142.3</v>
      </c>
      <c r="E394" s="1319">
        <f>SUMIF(E90:E123,"&gt;0")</f>
        <v>5.6</v>
      </c>
      <c r="F394" s="22">
        <f t="shared" ref="F394:AG394" si="9">SUMIF(F90:F123,"&gt;0")</f>
        <v>586072.70000000007</v>
      </c>
      <c r="G394" s="22">
        <f t="shared" si="9"/>
        <v>185996.00000000003</v>
      </c>
      <c r="H394" s="22">
        <f t="shared" si="9"/>
        <v>19103290.069000006</v>
      </c>
      <c r="I394" s="22">
        <f t="shared" si="9"/>
        <v>8837636.2040000018</v>
      </c>
      <c r="J394" s="22">
        <f t="shared" si="9"/>
        <v>6770108.0999999987</v>
      </c>
      <c r="K394" s="22">
        <f t="shared" si="9"/>
        <v>493645.6</v>
      </c>
      <c r="L394" s="22">
        <f t="shared" si="9"/>
        <v>231363</v>
      </c>
      <c r="M394" s="22">
        <f t="shared" si="9"/>
        <v>1509294.8</v>
      </c>
      <c r="N394" s="22">
        <f t="shared" si="9"/>
        <v>1200445.4000000004</v>
      </c>
      <c r="O394" s="22">
        <f t="shared" si="9"/>
        <v>4534378.3999999994</v>
      </c>
      <c r="P394" s="22">
        <f t="shared" si="9"/>
        <v>3761591.8000000003</v>
      </c>
      <c r="Q394" s="22">
        <f t="shared" si="9"/>
        <v>4608187.1999999993</v>
      </c>
      <c r="R394" s="22">
        <f t="shared" si="9"/>
        <v>3161371.3999999985</v>
      </c>
      <c r="S394" s="22">
        <f t="shared" si="9"/>
        <v>463703.7900000001</v>
      </c>
      <c r="T394" s="22">
        <f t="shared" si="9"/>
        <v>352164.12000000029</v>
      </c>
      <c r="U394" s="22">
        <f t="shared" si="9"/>
        <v>1052265</v>
      </c>
      <c r="V394" s="22">
        <f t="shared" si="9"/>
        <v>545886.80000000005</v>
      </c>
      <c r="W394" s="22">
        <f t="shared" si="9"/>
        <v>6953616.3000000017</v>
      </c>
      <c r="X394" s="22">
        <f t="shared" si="9"/>
        <v>11414.699999999993</v>
      </c>
      <c r="Y394" s="22">
        <f t="shared" si="9"/>
        <v>1673628</v>
      </c>
      <c r="Z394" s="22">
        <f t="shared" si="9"/>
        <v>19092922.199999999</v>
      </c>
      <c r="AA394" s="22">
        <f t="shared" si="9"/>
        <v>9729661.6999999993</v>
      </c>
      <c r="AB394" s="22">
        <f t="shared" si="9"/>
        <v>6952733.2999999961</v>
      </c>
      <c r="AC394" s="22">
        <f t="shared" si="9"/>
        <v>36709.200000000019</v>
      </c>
      <c r="AD394" s="22">
        <f t="shared" si="9"/>
        <v>31086</v>
      </c>
      <c r="AE394" s="22">
        <f t="shared" si="9"/>
        <v>1171037.6000000006</v>
      </c>
      <c r="AF394" s="22">
        <f t="shared" si="9"/>
        <v>834884.10000000009</v>
      </c>
      <c r="AG394" s="22">
        <f t="shared" si="9"/>
        <v>2716508.4</v>
      </c>
      <c r="AH394" s="22">
        <f t="shared" ref="AH394:BH394" si="10">SUMIF(AH90:AH123,"&gt;0")</f>
        <v>2100230.8999999994</v>
      </c>
      <c r="AI394" s="22">
        <f t="shared" si="10"/>
        <v>2159942</v>
      </c>
      <c r="AJ394" s="22">
        <f t="shared" si="10"/>
        <v>1758982.6000000006</v>
      </c>
      <c r="AK394" s="22">
        <f t="shared" si="10"/>
        <v>1955342.4999999998</v>
      </c>
      <c r="AL394" s="22">
        <f t="shared" si="10"/>
        <v>768869.59999999986</v>
      </c>
      <c r="AM394" s="22">
        <f t="shared" si="10"/>
        <v>545.00000000000011</v>
      </c>
      <c r="AN394" s="22">
        <f t="shared" si="10"/>
        <v>584.49999999999955</v>
      </c>
      <c r="AO394" s="22">
        <f t="shared" si="10"/>
        <v>16125037.000000002</v>
      </c>
      <c r="AP394" s="22">
        <f t="shared" si="10"/>
        <v>7441066.3000000007</v>
      </c>
      <c r="AQ394" s="22">
        <f t="shared" si="10"/>
        <v>2145479.6</v>
      </c>
      <c r="AR394" s="22">
        <f t="shared" si="10"/>
        <v>0</v>
      </c>
      <c r="AS394" s="22">
        <f t="shared" si="10"/>
        <v>15063885.5</v>
      </c>
      <c r="AT394" s="22">
        <f t="shared" si="10"/>
        <v>6630845.5</v>
      </c>
      <c r="AU394" s="22">
        <f t="shared" si="10"/>
        <v>2608613.7999999989</v>
      </c>
      <c r="AV394" s="22">
        <f t="shared" si="10"/>
        <v>142660.4</v>
      </c>
      <c r="AW394" s="22">
        <f t="shared" si="10"/>
        <v>95054.599999999977</v>
      </c>
      <c r="AX394" s="22">
        <f t="shared" si="10"/>
        <v>7293.8899999999976</v>
      </c>
      <c r="AY394" s="22">
        <f t="shared" si="10"/>
        <v>4414.170000000001</v>
      </c>
      <c r="AZ394" s="22">
        <f t="shared" si="10"/>
        <v>26413.113000000005</v>
      </c>
      <c r="BA394" s="22">
        <f t="shared" si="10"/>
        <v>11242.017</v>
      </c>
      <c r="BB394" s="1800">
        <f t="shared" si="10"/>
        <v>59396.599999999969</v>
      </c>
      <c r="BC394" s="22">
        <f t="shared" si="10"/>
        <v>97559</v>
      </c>
      <c r="BD394" s="22">
        <f t="shared" si="10"/>
        <v>15166.4</v>
      </c>
      <c r="BE394" s="22">
        <f t="shared" si="10"/>
        <v>196999.08000000007</v>
      </c>
      <c r="BF394" s="22">
        <f t="shared" si="10"/>
        <v>1047405.9805319752</v>
      </c>
      <c r="BG394" s="22">
        <f>SUMIF(BG90:BG123,"&gt;0")</f>
        <v>306455.59603621508</v>
      </c>
      <c r="BH394" s="22">
        <f t="shared" si="10"/>
        <v>178518.19000000003</v>
      </c>
      <c r="BI394" s="22">
        <f t="shared" ref="BI394:BW394" si="11">SUMIF(BI90:BI123,"&gt;0")</f>
        <v>83324718</v>
      </c>
      <c r="BJ394" s="22">
        <f t="shared" si="11"/>
        <v>16837</v>
      </c>
      <c r="BK394" s="22">
        <f t="shared" si="11"/>
        <v>647401.19999999995</v>
      </c>
      <c r="BL394" s="22">
        <f t="shared" si="11"/>
        <v>106762406</v>
      </c>
      <c r="BM394" s="22">
        <f t="shared" si="11"/>
        <v>3365934</v>
      </c>
      <c r="BN394" s="22">
        <f t="shared" si="11"/>
        <v>663210.39999999991</v>
      </c>
      <c r="BO394" s="22">
        <f t="shared" si="11"/>
        <v>96622583</v>
      </c>
      <c r="BP394" s="22">
        <f t="shared" si="11"/>
        <v>4483890</v>
      </c>
      <c r="BQ394" s="22">
        <f t="shared" si="11"/>
        <v>568977.9700000002</v>
      </c>
      <c r="BR394" s="22">
        <f t="shared" si="11"/>
        <v>278172.3</v>
      </c>
      <c r="BS394" s="22">
        <f t="shared" si="11"/>
        <v>189518.60000000003</v>
      </c>
      <c r="BT394" s="22">
        <f t="shared" si="11"/>
        <v>35616391</v>
      </c>
      <c r="BU394" s="22">
        <f t="shared" si="11"/>
        <v>20242566</v>
      </c>
      <c r="BV394" s="22">
        <f t="shared" si="11"/>
        <v>23407230</v>
      </c>
      <c r="BW394" s="22">
        <f t="shared" si="11"/>
        <v>14801246</v>
      </c>
      <c r="BX394" s="22">
        <f>SUMIF(BX90:BX117,"&gt;0")</f>
        <v>4.3</v>
      </c>
    </row>
    <row r="395" spans="1:76" hidden="1">
      <c r="A395" s="24" t="s">
        <v>179</v>
      </c>
      <c r="B395" s="22">
        <f t="shared" ref="B395:I395" si="12">SUMIF(B123:B155,"&gt;0")</f>
        <v>34147.379999999997</v>
      </c>
      <c r="C395" s="22">
        <f t="shared" si="12"/>
        <v>18858.510000000002</v>
      </c>
      <c r="D395" s="22">
        <f t="shared" si="12"/>
        <v>219504.60000000009</v>
      </c>
      <c r="E395" s="1319">
        <f t="shared" si="12"/>
        <v>3.3</v>
      </c>
      <c r="F395" s="22">
        <f t="shared" si="12"/>
        <v>580942.30000000005</v>
      </c>
      <c r="G395" s="22">
        <f t="shared" si="12"/>
        <v>184424.10000000003</v>
      </c>
      <c r="H395" s="22">
        <f t="shared" si="12"/>
        <v>3617926.102</v>
      </c>
      <c r="I395" s="22">
        <f t="shared" si="12"/>
        <v>1679561.3390000002</v>
      </c>
      <c r="J395" s="22">
        <f>SUMIF(J123:J155,"&gt;0")</f>
        <v>6587996.7999999989</v>
      </c>
      <c r="K395" s="22">
        <f t="shared" ref="K395:V395" si="13">SUMIF(K123:K155,"&gt;0")</f>
        <v>478691.50000000012</v>
      </c>
      <c r="L395" s="22">
        <f t="shared" si="13"/>
        <v>224352</v>
      </c>
      <c r="M395" s="22">
        <f t="shared" si="13"/>
        <v>1478272</v>
      </c>
      <c r="N395" s="22">
        <f t="shared" si="13"/>
        <v>1176041.6000000006</v>
      </c>
      <c r="O395" s="22">
        <f t="shared" si="13"/>
        <v>4409878.6400000006</v>
      </c>
      <c r="P395" s="22">
        <f t="shared" si="13"/>
        <v>3657911.3960000006</v>
      </c>
      <c r="Q395" s="22">
        <f t="shared" si="13"/>
        <v>4482800.709999999</v>
      </c>
      <c r="R395" s="22">
        <f t="shared" si="13"/>
        <v>3074656.6300000004</v>
      </c>
      <c r="S395" s="22">
        <f t="shared" si="13"/>
        <v>449652.16000000009</v>
      </c>
      <c r="T395" s="22">
        <f t="shared" si="13"/>
        <v>341492.48000000027</v>
      </c>
      <c r="U395" s="22">
        <f t="shared" si="13"/>
        <v>1175288.2579999999</v>
      </c>
      <c r="V395" s="22">
        <f t="shared" si="13"/>
        <v>607854.321</v>
      </c>
      <c r="W395" s="22">
        <f t="shared" ref="W395:AQ395" si="14">SUMIF(W123:W155,"&gt;0")</f>
        <v>6764156.8000000035</v>
      </c>
      <c r="X395" s="22">
        <f t="shared" si="14"/>
        <v>11068.799999999994</v>
      </c>
      <c r="Y395" s="22">
        <f t="shared" si="14"/>
        <v>1622912</v>
      </c>
      <c r="Z395" s="22">
        <f t="shared" si="14"/>
        <v>18785861.625000004</v>
      </c>
      <c r="AA395" s="22">
        <f t="shared" si="14"/>
        <v>9573338.1569999997</v>
      </c>
      <c r="AB395" s="22">
        <f t="shared" si="14"/>
        <v>6765169.5999999987</v>
      </c>
      <c r="AC395" s="22">
        <f t="shared" si="14"/>
        <v>35596.800000000017</v>
      </c>
      <c r="AD395" s="22">
        <f t="shared" si="14"/>
        <v>30144</v>
      </c>
      <c r="AE395" s="22">
        <f t="shared" si="14"/>
        <v>1137897.5699999996</v>
      </c>
      <c r="AF395" s="22">
        <f t="shared" si="14"/>
        <v>811206.36999999988</v>
      </c>
      <c r="AG395" s="22">
        <f t="shared" si="14"/>
        <v>2640676.0299999993</v>
      </c>
      <c r="AH395" s="22">
        <f t="shared" si="14"/>
        <v>2041498.39</v>
      </c>
      <c r="AI395" s="22">
        <f t="shared" si="14"/>
        <v>2117037.79</v>
      </c>
      <c r="AJ395" s="22">
        <f t="shared" si="14"/>
        <v>1724739.3199999998</v>
      </c>
      <c r="AK395" s="22">
        <f t="shared" si="14"/>
        <v>1906384.4</v>
      </c>
      <c r="AL395" s="22">
        <f t="shared" si="14"/>
        <v>749580.20000000007</v>
      </c>
      <c r="AM395" s="22">
        <f t="shared" si="14"/>
        <v>533.70000000000005</v>
      </c>
      <c r="AN395" s="22">
        <f t="shared" si="14"/>
        <v>572.10000000000014</v>
      </c>
      <c r="AO395" s="22">
        <f t="shared" si="14"/>
        <v>15791568.600000001</v>
      </c>
      <c r="AP395" s="22">
        <f t="shared" si="14"/>
        <v>7286357.8999999985</v>
      </c>
      <c r="AQ395" s="22">
        <f t="shared" si="14"/>
        <v>2085210.4359999998</v>
      </c>
      <c r="AR395" s="22">
        <f>SUMIF(AR117:AR149,"&gt;0")</f>
        <v>0</v>
      </c>
      <c r="AS395" s="22">
        <f>SUMIF(AS123:AS155,"&gt;0")</f>
        <v>14748291.388999999</v>
      </c>
      <c r="AT395" s="22">
        <f t="shared" ref="AT395:BH395" si="15">SUMIF(AT117:AT149,"&gt;0")</f>
        <v>6478931.1490000021</v>
      </c>
      <c r="AU395" s="22">
        <f t="shared" si="15"/>
        <v>2547512.9999999986</v>
      </c>
      <c r="AV395" s="22">
        <f t="shared" si="15"/>
        <v>140333.32000000004</v>
      </c>
      <c r="AW395" s="22">
        <f t="shared" si="15"/>
        <v>93595.049999999988</v>
      </c>
      <c r="AX395" s="22">
        <f t="shared" si="15"/>
        <v>7160.4799999999968</v>
      </c>
      <c r="AY395" s="22">
        <f t="shared" si="15"/>
        <v>4340.0400000000027</v>
      </c>
      <c r="AZ395" s="22">
        <f t="shared" si="15"/>
        <v>26257.081999999991</v>
      </c>
      <c r="BA395" s="22">
        <f t="shared" si="15"/>
        <v>11150.146000000004</v>
      </c>
      <c r="BB395" s="1800">
        <f t="shared" si="15"/>
        <v>58334.200000000026</v>
      </c>
      <c r="BC395" s="22">
        <f t="shared" si="15"/>
        <v>95881.4</v>
      </c>
      <c r="BD395" s="22">
        <f t="shared" si="15"/>
        <v>14581.400000000009</v>
      </c>
      <c r="BE395" s="22">
        <f t="shared" si="15"/>
        <v>190770.34</v>
      </c>
      <c r="BF395" s="22">
        <f t="shared" si="15"/>
        <v>984362.91578947357</v>
      </c>
      <c r="BG395" s="22">
        <f>SUMIF(BG123:BG155,"&gt;0")</f>
        <v>261240.73788023868</v>
      </c>
      <c r="BH395" s="22">
        <f t="shared" si="15"/>
        <v>194142.52</v>
      </c>
      <c r="BI395" s="22">
        <f t="shared" ref="BI395:BX395" si="16">SUMIF(BI117:BI149,"&gt;0")</f>
        <v>82605858.199999988</v>
      </c>
      <c r="BJ395" s="22">
        <f t="shared" si="16"/>
        <v>17074</v>
      </c>
      <c r="BK395" s="22">
        <f t="shared" si="16"/>
        <v>644604.49</v>
      </c>
      <c r="BL395" s="22">
        <f t="shared" si="16"/>
        <v>103937265</v>
      </c>
      <c r="BM395" s="22">
        <f t="shared" si="16"/>
        <v>3283880</v>
      </c>
      <c r="BN395" s="22">
        <f t="shared" si="16"/>
        <v>645047.46</v>
      </c>
      <c r="BO395" s="22">
        <f t="shared" si="16"/>
        <v>97393261</v>
      </c>
      <c r="BP395" s="22">
        <f t="shared" si="16"/>
        <v>4877285</v>
      </c>
      <c r="BQ395" s="22">
        <f t="shared" si="16"/>
        <v>570429.66</v>
      </c>
      <c r="BR395" s="22">
        <f t="shared" si="16"/>
        <v>275314.22000000003</v>
      </c>
      <c r="BS395" s="22">
        <f t="shared" si="16"/>
        <v>187392.91999999998</v>
      </c>
      <c r="BT395" s="22">
        <f t="shared" si="16"/>
        <v>35356365</v>
      </c>
      <c r="BU395" s="22">
        <f t="shared" si="16"/>
        <v>20087045</v>
      </c>
      <c r="BV395" s="22">
        <f t="shared" si="16"/>
        <v>23010298</v>
      </c>
      <c r="BW395" s="22">
        <f t="shared" si="16"/>
        <v>14542091</v>
      </c>
      <c r="BX395" s="22">
        <f t="shared" si="16"/>
        <v>4.7799999999999994</v>
      </c>
    </row>
    <row r="396" spans="1:76" hidden="1">
      <c r="A396" s="24" t="s">
        <v>181</v>
      </c>
      <c r="B396" s="22">
        <f>SUMIF(B155:B188,"&gt;0")</f>
        <v>35254.038999999997</v>
      </c>
      <c r="C396" s="22">
        <f>SUMIF(C155:C188,"&gt;0")</f>
        <v>19467.724000000013</v>
      </c>
      <c r="D396" s="22">
        <f t="shared" ref="D396:J396" si="17">SUMIF(D149:D182,"&gt;0")</f>
        <v>226428.6</v>
      </c>
      <c r="E396" s="1319">
        <f t="shared" si="17"/>
        <v>1.5</v>
      </c>
      <c r="F396" s="22">
        <f t="shared" si="17"/>
        <v>609767.69999999984</v>
      </c>
      <c r="G396" s="22">
        <f t="shared" si="17"/>
        <v>192056.40000000002</v>
      </c>
      <c r="H396" s="22">
        <f t="shared" si="17"/>
        <v>263303.69899999991</v>
      </c>
      <c r="I396" s="22">
        <f t="shared" si="17"/>
        <v>131848.58800000002</v>
      </c>
      <c r="J396" s="22">
        <f t="shared" si="17"/>
        <v>6810790.8000000045</v>
      </c>
      <c r="K396" s="22">
        <f>SUMIF(K155:K188,"&gt;0")</f>
        <v>493776.19999999978</v>
      </c>
      <c r="L396" s="22">
        <f t="shared" ref="L396:AN396" si="18">SUMIF(L149:L182,"&gt;0")</f>
        <v>231365.60000000012</v>
      </c>
      <c r="M396" s="22">
        <f t="shared" si="18"/>
        <v>1524470.0000000007</v>
      </c>
      <c r="N396" s="22">
        <f t="shared" si="18"/>
        <v>1212794.8999999999</v>
      </c>
      <c r="O396" s="22">
        <f t="shared" si="18"/>
        <v>4557948.83</v>
      </c>
      <c r="P396" s="22">
        <f t="shared" si="18"/>
        <v>3780310.89</v>
      </c>
      <c r="Q396" s="22">
        <f t="shared" si="18"/>
        <v>4634741.67</v>
      </c>
      <c r="R396" s="22">
        <f t="shared" si="18"/>
        <v>3179938.56</v>
      </c>
      <c r="S396" s="22">
        <f t="shared" si="18"/>
        <v>463961.19999999972</v>
      </c>
      <c r="T396" s="22">
        <f t="shared" si="18"/>
        <v>352347.06000000029</v>
      </c>
      <c r="U396" s="22">
        <f t="shared" si="18"/>
        <v>1364399.2720000003</v>
      </c>
      <c r="V396" s="22">
        <f t="shared" si="18"/>
        <v>704213.67600000009</v>
      </c>
      <c r="W396" s="22">
        <f t="shared" si="18"/>
        <v>6995104.2000000039</v>
      </c>
      <c r="X396" s="22">
        <f t="shared" si="18"/>
        <v>11414.699999999993</v>
      </c>
      <c r="Y396" s="22">
        <f t="shared" si="18"/>
        <v>1673628</v>
      </c>
      <c r="Z396" s="22">
        <f t="shared" si="18"/>
        <v>19564212.309</v>
      </c>
      <c r="AA396" s="22">
        <f t="shared" si="18"/>
        <v>9967036.5379999988</v>
      </c>
      <c r="AB396" s="22">
        <f t="shared" si="18"/>
        <v>6995760.8999999957</v>
      </c>
      <c r="AC396" s="22">
        <f t="shared" si="18"/>
        <v>36709.200000000019</v>
      </c>
      <c r="AD396" s="423">
        <f t="shared" si="18"/>
        <v>31086</v>
      </c>
      <c r="AE396" s="22">
        <f t="shared" si="18"/>
        <v>463333.84000000014</v>
      </c>
      <c r="AF396" s="22">
        <f t="shared" si="18"/>
        <v>330305.84999999998</v>
      </c>
      <c r="AG396" s="22">
        <f t="shared" si="18"/>
        <v>2728546.7500000005</v>
      </c>
      <c r="AH396" s="22">
        <f t="shared" si="18"/>
        <v>2109330.3299999996</v>
      </c>
      <c r="AI396" s="22">
        <f t="shared" si="18"/>
        <v>2212704.62</v>
      </c>
      <c r="AJ396" s="22">
        <f t="shared" si="18"/>
        <v>1803672.6700000002</v>
      </c>
      <c r="AK396" s="22">
        <f t="shared" si="18"/>
        <v>1974527.4100000001</v>
      </c>
      <c r="AL396" s="22">
        <f t="shared" si="18"/>
        <v>776330.2</v>
      </c>
      <c r="AM396" s="22">
        <f t="shared" si="18"/>
        <v>555.59999999999991</v>
      </c>
      <c r="AN396" s="22">
        <f t="shared" si="18"/>
        <v>597.70000000000027</v>
      </c>
      <c r="AO396" s="22">
        <f t="shared" ref="AO396:BE396" si="19">SUMIF(AO149:AO182,"&gt;0")</f>
        <v>16418896.100000003</v>
      </c>
      <c r="AP396" s="22">
        <f t="shared" si="19"/>
        <v>7574559.1000000006</v>
      </c>
      <c r="AQ396" s="22">
        <f t="shared" si="19"/>
        <v>2154536.827</v>
      </c>
      <c r="AR396" s="22">
        <f t="shared" si="19"/>
        <v>0</v>
      </c>
      <c r="AS396" s="22">
        <f t="shared" si="19"/>
        <v>15330521.469000001</v>
      </c>
      <c r="AT396" s="22">
        <f t="shared" si="19"/>
        <v>6746446.3990000002</v>
      </c>
      <c r="AU396" s="22">
        <f t="shared" si="19"/>
        <v>2651248.1999999983</v>
      </c>
      <c r="AV396" s="22">
        <f t="shared" si="19"/>
        <v>147791.76</v>
      </c>
      <c r="AW396" s="22">
        <f t="shared" si="19"/>
        <v>98686.78</v>
      </c>
      <c r="AX396" s="22">
        <f t="shared" si="19"/>
        <v>7455.2399999999971</v>
      </c>
      <c r="AY396" s="22">
        <f t="shared" si="19"/>
        <v>4517.2999999999993</v>
      </c>
      <c r="AZ396" s="22">
        <f t="shared" si="19"/>
        <v>27163.051000000007</v>
      </c>
      <c r="BA396" s="22">
        <f t="shared" si="19"/>
        <v>11531.414999999997</v>
      </c>
      <c r="BB396" s="1800">
        <f t="shared" si="19"/>
        <v>60263.140000000036</v>
      </c>
      <c r="BC396" s="22">
        <f t="shared" si="19"/>
        <v>100442.09999999999</v>
      </c>
      <c r="BD396" s="22">
        <f t="shared" si="19"/>
        <v>15038.100000000009</v>
      </c>
      <c r="BE396" s="22">
        <f t="shared" si="19"/>
        <v>195635.81968033643</v>
      </c>
      <c r="BF396" s="22">
        <f>SUMIF(BF155:BF188,"&gt;0")</f>
        <v>943048.20701754384</v>
      </c>
      <c r="BG396" s="22">
        <f>SUMIF(BG155:BG188,"&gt;0")</f>
        <v>278828.31296283123</v>
      </c>
      <c r="BH396" s="22">
        <f t="shared" ref="BH396:BX396" si="20">SUMIF(BH149:BH182,"&gt;0")</f>
        <v>202391.16</v>
      </c>
      <c r="BI396" s="22">
        <f t="shared" si="20"/>
        <v>86855256.099999964</v>
      </c>
      <c r="BJ396" s="22">
        <f t="shared" si="20"/>
        <v>18338</v>
      </c>
      <c r="BK396" s="22">
        <f t="shared" si="20"/>
        <v>681206.55999999982</v>
      </c>
      <c r="BL396" s="22">
        <f t="shared" si="20"/>
        <v>110237357</v>
      </c>
      <c r="BM396" s="22">
        <f t="shared" si="20"/>
        <v>3695942</v>
      </c>
      <c r="BN396" s="22">
        <f t="shared" si="20"/>
        <v>682204.01000000024</v>
      </c>
      <c r="BO396" s="22">
        <f t="shared" si="20"/>
        <v>103188617</v>
      </c>
      <c r="BP396" s="22">
        <f t="shared" si="20"/>
        <v>5297897</v>
      </c>
      <c r="BQ396" s="22">
        <f t="shared" si="20"/>
        <v>602985.63</v>
      </c>
      <c r="BR396" s="22">
        <f t="shared" si="20"/>
        <v>290840.95999999996</v>
      </c>
      <c r="BS396" s="22">
        <f t="shared" si="20"/>
        <v>197919.9</v>
      </c>
      <c r="BT396" s="22">
        <f t="shared" si="20"/>
        <v>37267137</v>
      </c>
      <c r="BU396" s="22">
        <f t="shared" si="20"/>
        <v>21168989</v>
      </c>
      <c r="BV396" s="22">
        <f t="shared" si="20"/>
        <v>24359878</v>
      </c>
      <c r="BW396" s="22">
        <f t="shared" si="20"/>
        <v>15381294</v>
      </c>
      <c r="BX396" s="22">
        <f t="shared" si="20"/>
        <v>1.7</v>
      </c>
    </row>
    <row r="397" spans="1:76" hidden="1">
      <c r="A397" s="24" t="s">
        <v>182</v>
      </c>
      <c r="B397" s="22">
        <f>SUMIF(B188:B220,"&gt;0")</f>
        <v>34214.439999999995</v>
      </c>
      <c r="C397" s="22">
        <f>SUMIF(C188:C220,"&gt;0")</f>
        <v>18892.050999999996</v>
      </c>
      <c r="D397" s="22">
        <f t="shared" ref="D397:AC397" si="21">SUMIF(D182:D214,"&gt;0")</f>
        <v>219663.80000000008</v>
      </c>
      <c r="E397" s="1319">
        <f t="shared" si="21"/>
        <v>2.2000000000000002</v>
      </c>
      <c r="F397" s="22">
        <f t="shared" si="21"/>
        <v>603967.50000000012</v>
      </c>
      <c r="G397" s="22">
        <f t="shared" si="21"/>
        <v>189030.49999999997</v>
      </c>
      <c r="H397" s="22">
        <f t="shared" si="21"/>
        <v>410325.99499999994</v>
      </c>
      <c r="I397" s="22">
        <f t="shared" si="21"/>
        <v>205611.21500000003</v>
      </c>
      <c r="J397" s="22">
        <f t="shared" si="21"/>
        <v>6627175.9999999963</v>
      </c>
      <c r="K397" s="22">
        <f t="shared" si="21"/>
        <v>478829.60000000003</v>
      </c>
      <c r="L397" s="22">
        <f t="shared" si="21"/>
        <v>224355.20000000013</v>
      </c>
      <c r="M397" s="22">
        <f t="shared" si="21"/>
        <v>1478275.2000000004</v>
      </c>
      <c r="N397" s="22">
        <f t="shared" si="21"/>
        <v>1176044.8</v>
      </c>
      <c r="O397" s="22">
        <f t="shared" si="21"/>
        <v>4430703.74</v>
      </c>
      <c r="P397" s="22">
        <f t="shared" si="21"/>
        <v>3674438.74</v>
      </c>
      <c r="Q397" s="22">
        <f t="shared" si="21"/>
        <v>4508314.0300000012</v>
      </c>
      <c r="R397" s="22">
        <f t="shared" si="21"/>
        <v>3093331.6900000009</v>
      </c>
      <c r="S397" s="22">
        <f t="shared" si="21"/>
        <v>450035.19999999978</v>
      </c>
      <c r="T397" s="22">
        <f t="shared" si="21"/>
        <v>341764.48000000027</v>
      </c>
      <c r="U397" s="22">
        <f t="shared" si="21"/>
        <v>1498676.3959999999</v>
      </c>
      <c r="V397" s="22">
        <f t="shared" si="21"/>
        <v>772699.97600000002</v>
      </c>
      <c r="W397" s="22">
        <f t="shared" si="21"/>
        <v>6806540.8000000035</v>
      </c>
      <c r="X397" s="22">
        <f t="shared" si="21"/>
        <v>11068.799999999994</v>
      </c>
      <c r="Y397" s="22">
        <f t="shared" si="21"/>
        <v>1622912</v>
      </c>
      <c r="Z397" s="22">
        <f t="shared" si="21"/>
        <v>19219360.372000001</v>
      </c>
      <c r="AA397" s="22">
        <f t="shared" si="21"/>
        <v>9787592.8100000005</v>
      </c>
      <c r="AB397" s="22">
        <f t="shared" si="21"/>
        <v>6807177.5999999959</v>
      </c>
      <c r="AC397" s="22">
        <f t="shared" si="21"/>
        <v>35596.800000000017</v>
      </c>
      <c r="AD397" s="423">
        <f t="shared" ref="AD397:BF397" si="22">SUMIF(AD182:AD214,"&gt;0")</f>
        <v>30144</v>
      </c>
      <c r="AE397" s="22">
        <f t="shared" si="22"/>
        <v>3467.3500000000004</v>
      </c>
      <c r="AF397" s="22">
        <f t="shared" si="22"/>
        <v>2537.9000000000005</v>
      </c>
      <c r="AG397" s="22">
        <f t="shared" si="22"/>
        <v>2652166.6600000006</v>
      </c>
      <c r="AH397" s="22">
        <f t="shared" si="22"/>
        <v>2050147.2599999998</v>
      </c>
      <c r="AI397" s="22">
        <f t="shared" si="22"/>
        <v>2180913.89</v>
      </c>
      <c r="AJ397" s="22">
        <f t="shared" si="22"/>
        <v>1779171.8100000003</v>
      </c>
      <c r="AK397" s="22">
        <f t="shared" si="22"/>
        <v>1924177.9000000004</v>
      </c>
      <c r="AL397" s="22">
        <f t="shared" si="22"/>
        <v>756507.6</v>
      </c>
      <c r="AM397" s="22">
        <f t="shared" si="22"/>
        <v>540.79999999999973</v>
      </c>
      <c r="AN397" s="22">
        <f t="shared" si="22"/>
        <v>583.09999999999968</v>
      </c>
      <c r="AO397" s="22">
        <f t="shared" si="22"/>
        <v>16082435.899999999</v>
      </c>
      <c r="AP397" s="22">
        <f t="shared" si="22"/>
        <v>7417207.8000000007</v>
      </c>
      <c r="AQ397" s="22">
        <f t="shared" si="22"/>
        <v>2093950.105</v>
      </c>
      <c r="AR397" s="22">
        <f t="shared" si="22"/>
        <v>0</v>
      </c>
      <c r="AS397" s="22">
        <f t="shared" si="22"/>
        <v>15012136.790000001</v>
      </c>
      <c r="AT397" s="22">
        <f t="shared" si="22"/>
        <v>6605227.6500000004</v>
      </c>
      <c r="AU397" s="22">
        <f t="shared" si="22"/>
        <v>2594307.9999999986</v>
      </c>
      <c r="AV397" s="22">
        <f t="shared" si="22"/>
        <v>145805.64000000004</v>
      </c>
      <c r="AW397" s="22">
        <f t="shared" si="22"/>
        <v>97392.17</v>
      </c>
      <c r="AX397" s="22">
        <f t="shared" si="22"/>
        <v>7280.7300000000005</v>
      </c>
      <c r="AY397" s="22">
        <f t="shared" si="22"/>
        <v>4409.96</v>
      </c>
      <c r="AZ397" s="22">
        <f t="shared" si="22"/>
        <v>26378.989999999998</v>
      </c>
      <c r="BA397" s="22">
        <f t="shared" si="22"/>
        <v>11196.859999999999</v>
      </c>
      <c r="BB397" s="1800">
        <f t="shared" si="22"/>
        <v>58488.239999999976</v>
      </c>
      <c r="BC397" s="22">
        <f t="shared" si="22"/>
        <v>99475.299999999974</v>
      </c>
      <c r="BD397" s="22">
        <f t="shared" si="22"/>
        <v>15150.7</v>
      </c>
      <c r="BE397" s="22">
        <f t="shared" si="22"/>
        <v>180272.66</v>
      </c>
      <c r="BF397" s="22">
        <f t="shared" si="22"/>
        <v>1043560.270175439</v>
      </c>
      <c r="BH397" s="22">
        <f t="shared" ref="BH397:BW397" si="23">SUMIF(BH182:BH214,"&gt;0")</f>
        <v>182904.47</v>
      </c>
      <c r="BI397" s="22">
        <f t="shared" si="23"/>
        <v>85287487.799999982</v>
      </c>
      <c r="BJ397" s="22">
        <f t="shared" si="23"/>
        <v>18227</v>
      </c>
      <c r="BK397" s="22">
        <f t="shared" si="23"/>
        <v>670330.35999999975</v>
      </c>
      <c r="BL397" s="22">
        <f t="shared" si="23"/>
        <v>110299898</v>
      </c>
      <c r="BM397" s="22">
        <f t="shared" si="23"/>
        <v>3866705</v>
      </c>
      <c r="BN397" s="22">
        <f t="shared" si="23"/>
        <v>683817.94000000006</v>
      </c>
      <c r="BO397" s="22">
        <f t="shared" si="23"/>
        <v>102601653</v>
      </c>
      <c r="BP397" s="22">
        <f t="shared" si="23"/>
        <v>5324905</v>
      </c>
      <c r="BQ397" s="22">
        <f t="shared" si="23"/>
        <v>599195.58999999973</v>
      </c>
      <c r="BR397" s="22">
        <f t="shared" si="23"/>
        <v>288305.72000000003</v>
      </c>
      <c r="BS397" s="22">
        <f t="shared" si="23"/>
        <v>196195.39</v>
      </c>
      <c r="BT397" s="22">
        <f t="shared" si="23"/>
        <v>37270484</v>
      </c>
      <c r="BU397" s="22">
        <f t="shared" si="23"/>
        <v>21150503</v>
      </c>
      <c r="BV397" s="22">
        <f t="shared" si="23"/>
        <v>23889763</v>
      </c>
      <c r="BW397" s="22">
        <f t="shared" si="23"/>
        <v>15076000</v>
      </c>
      <c r="BX397" s="22">
        <f t="shared" ref="BX397:BX402" si="24">SUMIF(BX150:BX183,"&gt;0")</f>
        <v>1.7</v>
      </c>
    </row>
    <row r="398" spans="1:76" hidden="1">
      <c r="A398" s="24" t="s">
        <v>183</v>
      </c>
      <c r="B398" s="22">
        <f>SUMIF(B220:B253,"&gt;0")</f>
        <v>35395.06500000001</v>
      </c>
      <c r="C398" s="22">
        <f>SUMIF(C220:C253,"&gt;0")</f>
        <v>19538.187000000009</v>
      </c>
      <c r="D398" s="22">
        <f t="shared" ref="D398:AC398" si="25">SUMIF(D214:D247,"&gt;0")</f>
        <v>226710.89999999997</v>
      </c>
      <c r="E398" s="1319">
        <f t="shared" si="25"/>
        <v>7</v>
      </c>
      <c r="F398" s="22">
        <f t="shared" si="25"/>
        <v>635450.6</v>
      </c>
      <c r="G398" s="22">
        <f t="shared" si="25"/>
        <v>197577.09999999995</v>
      </c>
      <c r="H398" s="22">
        <f t="shared" si="25"/>
        <v>588257.31499999994</v>
      </c>
      <c r="I398" s="22">
        <f t="shared" si="25"/>
        <v>294348.39900000003</v>
      </c>
      <c r="J398" s="22">
        <f t="shared" si="25"/>
        <v>6858414.8999999966</v>
      </c>
      <c r="K398" s="22">
        <f t="shared" si="25"/>
        <v>493859</v>
      </c>
      <c r="L398" s="22">
        <f t="shared" si="25"/>
        <v>231369.99999999983</v>
      </c>
      <c r="M398" s="22">
        <f t="shared" si="25"/>
        <v>1524471.3000000005</v>
      </c>
      <c r="N398" s="22">
        <f t="shared" si="25"/>
        <v>1212796.2</v>
      </c>
      <c r="O398" s="22">
        <f t="shared" si="25"/>
        <v>4579017.07</v>
      </c>
      <c r="P398" s="22">
        <f t="shared" si="25"/>
        <v>3797102.86</v>
      </c>
      <c r="Q398" s="22">
        <f t="shared" si="25"/>
        <v>4663761.8</v>
      </c>
      <c r="R398" s="22">
        <f t="shared" si="25"/>
        <v>3200013.9</v>
      </c>
      <c r="S398" s="22">
        <f t="shared" si="25"/>
        <v>464098.79999999976</v>
      </c>
      <c r="T398" s="22">
        <f t="shared" si="25"/>
        <v>352444.62000000029</v>
      </c>
      <c r="U398" s="22">
        <f t="shared" si="25"/>
        <v>1749897.2859999998</v>
      </c>
      <c r="V398" s="22">
        <f t="shared" si="25"/>
        <v>901070.86</v>
      </c>
      <c r="W398" s="22">
        <f t="shared" si="25"/>
        <v>7043416.2000000039</v>
      </c>
      <c r="X398" s="22">
        <f t="shared" si="25"/>
        <v>11414.699999999993</v>
      </c>
      <c r="Y398" s="22">
        <f t="shared" si="25"/>
        <v>1673628</v>
      </c>
      <c r="Z398" s="22">
        <f t="shared" si="25"/>
        <v>20056359.800000001</v>
      </c>
      <c r="AA398" s="22">
        <f t="shared" si="25"/>
        <v>10210916.459999999</v>
      </c>
      <c r="AB398" s="22">
        <f t="shared" si="25"/>
        <v>7044072.8999999957</v>
      </c>
      <c r="AC398" s="22">
        <f t="shared" si="25"/>
        <v>36709.200000000019</v>
      </c>
      <c r="AD398" s="423">
        <f t="shared" ref="AD398:BF398" si="26">SUMIF(AD214:AD247,"&gt;0")</f>
        <v>31086</v>
      </c>
      <c r="AE398" s="22">
        <f t="shared" si="26"/>
        <v>6827.2300000000005</v>
      </c>
      <c r="AF398" s="22">
        <f t="shared" si="26"/>
        <v>5049.0200000000004</v>
      </c>
      <c r="AG398" s="22">
        <f t="shared" si="26"/>
        <v>2742262.14</v>
      </c>
      <c r="AH398" s="22">
        <f t="shared" si="26"/>
        <v>2119654.1300000004</v>
      </c>
      <c r="AI398" s="22">
        <f t="shared" si="26"/>
        <v>2286278.9700000002</v>
      </c>
      <c r="AJ398" s="22">
        <f t="shared" si="26"/>
        <v>1866885.3399999996</v>
      </c>
      <c r="AK398" s="22">
        <f t="shared" si="26"/>
        <v>1994536.2000000002</v>
      </c>
      <c r="AL398" s="22">
        <f t="shared" si="26"/>
        <v>784144.3</v>
      </c>
      <c r="AM398" s="22">
        <f t="shared" si="26"/>
        <v>557.6999999999997</v>
      </c>
      <c r="AN398" s="22">
        <f t="shared" si="26"/>
        <v>603.9</v>
      </c>
      <c r="AO398" s="22">
        <f t="shared" si="26"/>
        <v>16750056.299999999</v>
      </c>
      <c r="AP398" s="22">
        <f t="shared" si="26"/>
        <v>7723710.6000000006</v>
      </c>
      <c r="AQ398" s="22">
        <f t="shared" si="26"/>
        <v>2164109.0300000003</v>
      </c>
      <c r="AR398" s="22">
        <f t="shared" si="26"/>
        <v>0</v>
      </c>
      <c r="AS398" s="22">
        <f t="shared" si="26"/>
        <v>15630581.17</v>
      </c>
      <c r="AT398" s="22">
        <f t="shared" si="26"/>
        <v>6876193.2699999986</v>
      </c>
      <c r="AU398" s="22">
        <f t="shared" si="26"/>
        <v>2699350.1999999993</v>
      </c>
      <c r="AV398" s="22">
        <f t="shared" si="26"/>
        <v>152237.24000000002</v>
      </c>
      <c r="AW398" s="22">
        <f t="shared" si="26"/>
        <v>101662.54000000002</v>
      </c>
      <c r="AX398" s="22">
        <f t="shared" si="26"/>
        <v>7578.5799999999963</v>
      </c>
      <c r="AY398" s="22">
        <f t="shared" si="26"/>
        <v>4586.0600000000004</v>
      </c>
      <c r="AZ398" s="22">
        <f t="shared" si="26"/>
        <v>27255.059999999998</v>
      </c>
      <c r="BA398" s="22">
        <f t="shared" si="26"/>
        <v>11566.59</v>
      </c>
      <c r="BB398" s="1800">
        <f t="shared" si="26"/>
        <v>60391.799999999996</v>
      </c>
      <c r="BC398" s="22">
        <f t="shared" si="26"/>
        <v>105228.1</v>
      </c>
      <c r="BD398" s="22">
        <f t="shared" si="26"/>
        <v>16237.900000000001</v>
      </c>
      <c r="BE398" s="22">
        <f t="shared" si="26"/>
        <v>184530.38000000003</v>
      </c>
      <c r="BF398" s="22">
        <f t="shared" si="26"/>
        <v>1087065.6298245518</v>
      </c>
      <c r="BH398" s="22">
        <f t="shared" ref="BH398:BW398" si="27">SUMIF(BH214:BH247,"&gt;0")</f>
        <v>195067.41999999995</v>
      </c>
      <c r="BI398" s="22">
        <f t="shared" si="27"/>
        <v>90247174</v>
      </c>
      <c r="BJ398" s="22">
        <f t="shared" si="27"/>
        <v>19489</v>
      </c>
      <c r="BK398" s="22">
        <f t="shared" si="27"/>
        <v>706854.39999999991</v>
      </c>
      <c r="BL398" s="22">
        <f t="shared" si="27"/>
        <v>116679464</v>
      </c>
      <c r="BM398" s="22">
        <f t="shared" si="27"/>
        <v>4223749</v>
      </c>
      <c r="BN398" s="22">
        <f t="shared" si="27"/>
        <v>723277.40000000026</v>
      </c>
      <c r="BO398" s="22">
        <f t="shared" si="27"/>
        <v>107800350</v>
      </c>
      <c r="BP398" s="22">
        <f t="shared" si="27"/>
        <v>5526990</v>
      </c>
      <c r="BQ398" s="22">
        <f t="shared" si="27"/>
        <v>632730.30000000016</v>
      </c>
      <c r="BR398" s="22">
        <f t="shared" si="27"/>
        <v>304447.28000000003</v>
      </c>
      <c r="BS398" s="22">
        <f t="shared" si="27"/>
        <v>206901.71999999997</v>
      </c>
      <c r="BT398" s="22">
        <f t="shared" si="27"/>
        <v>39486332</v>
      </c>
      <c r="BU398" s="22">
        <f t="shared" si="27"/>
        <v>22401335</v>
      </c>
      <c r="BV398" s="22">
        <f t="shared" si="27"/>
        <v>25115401</v>
      </c>
      <c r="BW398" s="22">
        <f t="shared" si="27"/>
        <v>15842521</v>
      </c>
      <c r="BX398" s="22">
        <f t="shared" si="24"/>
        <v>1.7</v>
      </c>
    </row>
    <row r="399" spans="1:76" hidden="1">
      <c r="A399" s="24" t="s">
        <v>184</v>
      </c>
      <c r="B399" s="22">
        <f>SUMIF(B253:B286,"&gt;0")</f>
        <v>35484.576999999997</v>
      </c>
      <c r="C399" s="22">
        <f>SUMIF(C253:C286,"&gt;0")</f>
        <v>19582.675000000003</v>
      </c>
      <c r="D399" s="22">
        <f t="shared" ref="D399:AC399" si="28">SUMIF(D247:D280,"&gt;0")</f>
        <v>226901.00000000006</v>
      </c>
      <c r="E399" s="1319">
        <f t="shared" si="28"/>
        <v>2.9</v>
      </c>
      <c r="F399" s="22">
        <f t="shared" si="28"/>
        <v>648849</v>
      </c>
      <c r="G399" s="22">
        <f t="shared" si="28"/>
        <v>200900.4</v>
      </c>
      <c r="H399" s="22">
        <f t="shared" si="28"/>
        <v>757456.11700000009</v>
      </c>
      <c r="I399" s="22">
        <f t="shared" si="28"/>
        <v>378033.71199999994</v>
      </c>
      <c r="J399" s="22">
        <f t="shared" si="28"/>
        <v>6882914.8999999966</v>
      </c>
      <c r="K399" s="22">
        <f t="shared" si="28"/>
        <v>493934.30000000005</v>
      </c>
      <c r="L399" s="22">
        <f t="shared" si="28"/>
        <v>231375.89999999988</v>
      </c>
      <c r="M399" s="22">
        <f t="shared" si="28"/>
        <v>1524471.3000000005</v>
      </c>
      <c r="N399" s="22">
        <f t="shared" si="28"/>
        <v>1212796.2</v>
      </c>
      <c r="O399" s="22">
        <f t="shared" si="28"/>
        <v>4590809.68</v>
      </c>
      <c r="P399" s="22">
        <f t="shared" si="28"/>
        <v>3806489.0999999996</v>
      </c>
      <c r="Q399" s="22">
        <f t="shared" si="28"/>
        <v>4677446.3499999996</v>
      </c>
      <c r="R399" s="22">
        <f t="shared" si="28"/>
        <v>3209469.88</v>
      </c>
      <c r="S399" s="22">
        <f t="shared" si="28"/>
        <v>464098.79999999976</v>
      </c>
      <c r="T399" s="22">
        <f t="shared" si="28"/>
        <v>352444.62000000029</v>
      </c>
      <c r="U399" s="22">
        <f t="shared" si="28"/>
        <v>2005753.01</v>
      </c>
      <c r="V399" s="22">
        <f t="shared" si="28"/>
        <v>1031158.17</v>
      </c>
      <c r="W399" s="22">
        <f t="shared" si="28"/>
        <v>7067630.2000000039</v>
      </c>
      <c r="X399" s="22">
        <f t="shared" si="28"/>
        <v>11414.699999999993</v>
      </c>
      <c r="Y399" s="22">
        <f t="shared" si="28"/>
        <v>1673628</v>
      </c>
      <c r="Z399" s="22">
        <f t="shared" si="28"/>
        <v>20256464.770000003</v>
      </c>
      <c r="AA399" s="22">
        <f t="shared" si="28"/>
        <v>10310996.620000001</v>
      </c>
      <c r="AB399" s="22">
        <f t="shared" si="28"/>
        <v>7068624.8999999957</v>
      </c>
      <c r="AC399" s="22">
        <f t="shared" si="28"/>
        <v>36709.200000000019</v>
      </c>
      <c r="AD399" s="423">
        <f t="shared" ref="AD399:BF399" si="29">SUMIF(AD247:AD280,"&gt;0")</f>
        <v>31086</v>
      </c>
      <c r="AE399" s="22">
        <f t="shared" si="29"/>
        <v>10789.53</v>
      </c>
      <c r="AF399" s="22">
        <f t="shared" si="29"/>
        <v>7880.5300000000007</v>
      </c>
      <c r="AG399" s="22">
        <f t="shared" si="29"/>
        <v>2751187.37</v>
      </c>
      <c r="AH399" s="22">
        <f t="shared" si="29"/>
        <v>2126489.12</v>
      </c>
      <c r="AI399" s="22">
        <f t="shared" si="29"/>
        <v>2323835.19</v>
      </c>
      <c r="AJ399" s="22">
        <f t="shared" si="29"/>
        <v>1899312.9100000001</v>
      </c>
      <c r="AK399" s="22">
        <f t="shared" si="29"/>
        <v>2005025.9000000001</v>
      </c>
      <c r="AL399" s="22">
        <f t="shared" si="29"/>
        <v>788191.79999999993</v>
      </c>
      <c r="AM399" s="22">
        <f t="shared" si="29"/>
        <v>557.6999999999997</v>
      </c>
      <c r="AN399" s="22">
        <f t="shared" si="29"/>
        <v>603.9</v>
      </c>
      <c r="AO399" s="22">
        <f t="shared" si="29"/>
        <v>16918950.899999999</v>
      </c>
      <c r="AP399" s="22">
        <f t="shared" si="29"/>
        <v>7799154.5</v>
      </c>
      <c r="AQ399" s="22">
        <f t="shared" si="29"/>
        <v>2169062.8160000001</v>
      </c>
      <c r="AR399" s="22">
        <f t="shared" si="29"/>
        <v>0</v>
      </c>
      <c r="AS399" s="22">
        <f t="shared" si="29"/>
        <v>15783205.699999999</v>
      </c>
      <c r="AT399" s="22">
        <f t="shared" si="29"/>
        <v>6942231.5099999998</v>
      </c>
      <c r="AU399" s="22">
        <f t="shared" si="29"/>
        <v>2723873.8999999994</v>
      </c>
      <c r="AV399" s="22">
        <f t="shared" si="29"/>
        <v>154090.45999999996</v>
      </c>
      <c r="AW399" s="22">
        <f t="shared" si="29"/>
        <v>102881.05000000003</v>
      </c>
      <c r="AX399" s="22">
        <f t="shared" si="29"/>
        <v>7623.0800000000036</v>
      </c>
      <c r="AY399" s="22">
        <f t="shared" si="29"/>
        <v>4610.6600000000008</v>
      </c>
      <c r="AZ399" s="22">
        <f t="shared" si="29"/>
        <v>27530.520000000004</v>
      </c>
      <c r="BA399" s="22">
        <f t="shared" si="29"/>
        <v>11671.253999999997</v>
      </c>
      <c r="BB399" s="1800">
        <f t="shared" si="29"/>
        <v>60765.000000000015</v>
      </c>
      <c r="BC399" s="22">
        <f t="shared" si="29"/>
        <v>107876.19999999998</v>
      </c>
      <c r="BD399" s="22">
        <f t="shared" si="29"/>
        <v>16671</v>
      </c>
      <c r="BE399" s="22">
        <f t="shared" si="29"/>
        <v>191325.69999999998</v>
      </c>
      <c r="BF399" s="22">
        <f t="shared" si="29"/>
        <v>1109089.6271052628</v>
      </c>
      <c r="BH399" s="22">
        <f t="shared" ref="BH399:BW399" si="30">SUMIF(BH247:BH280,"&gt;0")</f>
        <v>191465.87000000002</v>
      </c>
      <c r="BI399" s="22">
        <f t="shared" si="30"/>
        <v>91421728</v>
      </c>
      <c r="BJ399" s="22">
        <f t="shared" si="30"/>
        <v>19861</v>
      </c>
      <c r="BK399" s="22">
        <f t="shared" si="30"/>
        <v>715087</v>
      </c>
      <c r="BL399" s="22">
        <f t="shared" si="30"/>
        <v>120455522</v>
      </c>
      <c r="BM399" s="22">
        <f t="shared" si="30"/>
        <v>4533038</v>
      </c>
      <c r="BN399" s="22">
        <f t="shared" si="30"/>
        <v>745782.19999999972</v>
      </c>
      <c r="BO399" s="22">
        <f t="shared" si="30"/>
        <v>111357008</v>
      </c>
      <c r="BP399" s="22">
        <f t="shared" si="30"/>
        <v>5761797</v>
      </c>
      <c r="BQ399" s="22">
        <f t="shared" si="30"/>
        <v>653696.4</v>
      </c>
      <c r="BR399" s="22">
        <f t="shared" si="30"/>
        <v>310006.28000000003</v>
      </c>
      <c r="BS399" s="22">
        <f t="shared" si="30"/>
        <v>210662.65000000005</v>
      </c>
      <c r="BT399" s="22">
        <f t="shared" si="30"/>
        <v>40572547</v>
      </c>
      <c r="BU399" s="22">
        <f t="shared" si="30"/>
        <v>23002943</v>
      </c>
      <c r="BV399" s="22">
        <f t="shared" si="30"/>
        <v>25524177</v>
      </c>
      <c r="BW399" s="22">
        <f t="shared" si="30"/>
        <v>16097799</v>
      </c>
      <c r="BX399" s="22">
        <f t="shared" si="24"/>
        <v>1.7</v>
      </c>
    </row>
    <row r="400" spans="1:76" hidden="1">
      <c r="A400" s="24" t="s">
        <v>185</v>
      </c>
      <c r="B400" s="22">
        <f>SUMIF(B286:B318,"&gt;0")</f>
        <v>34468.544000000002</v>
      </c>
      <c r="C400" s="22">
        <f>SUMIF(C286:C318,"&gt;0")</f>
        <v>19018.086000000003</v>
      </c>
      <c r="D400" s="22">
        <f t="shared" ref="D400:Y400" si="31">SUMIF(D280:D312,"&gt;0")</f>
        <v>220233.2</v>
      </c>
      <c r="E400" s="1319">
        <f t="shared" si="31"/>
        <v>2.7</v>
      </c>
      <c r="F400" s="22">
        <f t="shared" si="31"/>
        <v>641574.60000000009</v>
      </c>
      <c r="G400" s="22">
        <f t="shared" si="31"/>
        <v>196774.7</v>
      </c>
      <c r="H400" s="22">
        <f t="shared" si="31"/>
        <v>894606.11900000006</v>
      </c>
      <c r="I400" s="22">
        <f t="shared" si="31"/>
        <v>446151.304</v>
      </c>
      <c r="J400" s="22">
        <f t="shared" si="31"/>
        <v>6697737.5999999968</v>
      </c>
      <c r="K400" s="22">
        <f t="shared" si="31"/>
        <v>479003.00000000006</v>
      </c>
      <c r="L400" s="22">
        <f t="shared" si="31"/>
        <v>224364.79999999987</v>
      </c>
      <c r="M400" s="22">
        <f t="shared" si="31"/>
        <v>1478275.2000000004</v>
      </c>
      <c r="N400" s="22">
        <f t="shared" si="31"/>
        <v>1176044.8</v>
      </c>
      <c r="O400" s="22">
        <f t="shared" si="31"/>
        <v>4462665.67</v>
      </c>
      <c r="P400" s="22">
        <f t="shared" si="31"/>
        <v>3699882.33</v>
      </c>
      <c r="Q400" s="22">
        <f t="shared" si="31"/>
        <v>4550297.1199999992</v>
      </c>
      <c r="R400" s="22">
        <f t="shared" si="31"/>
        <v>3122185.92</v>
      </c>
      <c r="S400" s="22">
        <f t="shared" si="31"/>
        <v>450035.19999999978</v>
      </c>
      <c r="T400" s="22">
        <f t="shared" si="31"/>
        <v>341764.48000000027</v>
      </c>
      <c r="U400" s="22">
        <f t="shared" si="31"/>
        <v>2267986.7000000002</v>
      </c>
      <c r="V400" s="22">
        <f t="shared" si="31"/>
        <v>1166504.125</v>
      </c>
      <c r="W400" s="22">
        <f t="shared" si="31"/>
        <v>6876780.8000000035</v>
      </c>
      <c r="X400" s="22">
        <f t="shared" si="31"/>
        <v>11068.799999999994</v>
      </c>
      <c r="Y400" s="22">
        <f t="shared" si="31"/>
        <v>1622912</v>
      </c>
      <c r="Z400" s="22">
        <f>SUMIF(Z293:Z324,"&gt;0")</f>
        <v>19783874.800000001</v>
      </c>
      <c r="AA400" s="22">
        <f t="shared" ref="AA400:BF400" si="32">SUMIF(AA280:AA312,"&gt;0")</f>
        <v>10051813.600000003</v>
      </c>
      <c r="AB400" s="22">
        <f t="shared" si="32"/>
        <v>6872084.0999999996</v>
      </c>
      <c r="AC400" s="22">
        <f t="shared" si="32"/>
        <v>35604.000000000007</v>
      </c>
      <c r="AD400" s="423">
        <f t="shared" si="32"/>
        <v>36750</v>
      </c>
      <c r="AE400" s="22">
        <f t="shared" si="32"/>
        <v>13577.440000000004</v>
      </c>
      <c r="AF400" s="22">
        <f t="shared" si="32"/>
        <v>9913.27</v>
      </c>
      <c r="AG400" s="22">
        <f t="shared" si="32"/>
        <v>2676117.9500000007</v>
      </c>
      <c r="AH400" s="22">
        <f t="shared" si="32"/>
        <v>2068415.0999999996</v>
      </c>
      <c r="AI400" s="22">
        <f t="shared" si="32"/>
        <v>2290867.0999999996</v>
      </c>
      <c r="AJ400" s="22">
        <f t="shared" si="32"/>
        <v>1873939.1300000006</v>
      </c>
      <c r="AK400" s="22">
        <f t="shared" si="32"/>
        <v>1953761.7000000004</v>
      </c>
      <c r="AL400" s="22">
        <f t="shared" si="32"/>
        <v>767984.70000000007</v>
      </c>
      <c r="AM400" s="22">
        <f t="shared" si="32"/>
        <v>543.79999999999995</v>
      </c>
      <c r="AN400" s="22">
        <f t="shared" si="32"/>
        <v>588.59999999999968</v>
      </c>
      <c r="AO400" s="22">
        <f t="shared" si="32"/>
        <v>16565046.200000001</v>
      </c>
      <c r="AP400" s="22">
        <f t="shared" si="32"/>
        <v>7633915.7000000002</v>
      </c>
      <c r="AQ400" s="22">
        <f t="shared" si="32"/>
        <v>2108340.5619999999</v>
      </c>
      <c r="AR400" s="22">
        <f t="shared" si="32"/>
        <v>0</v>
      </c>
      <c r="AS400" s="22">
        <f t="shared" si="32"/>
        <v>15450325.5</v>
      </c>
      <c r="AT400" s="22">
        <f t="shared" si="32"/>
        <v>6794693.7599999998</v>
      </c>
      <c r="AU400" s="22">
        <f t="shared" si="32"/>
        <v>2664617.5999999996</v>
      </c>
      <c r="AV400" s="22">
        <f t="shared" si="32"/>
        <v>150829.20000000001</v>
      </c>
      <c r="AW400" s="22">
        <f t="shared" si="32"/>
        <v>100745.46999999999</v>
      </c>
      <c r="AX400" s="22">
        <f t="shared" si="32"/>
        <v>7413.5599999999959</v>
      </c>
      <c r="AY400" s="22">
        <f t="shared" si="32"/>
        <v>4484.1399999999967</v>
      </c>
      <c r="AZ400" s="22">
        <f t="shared" si="32"/>
        <v>29364.771999999986</v>
      </c>
      <c r="BA400" s="22">
        <f t="shared" si="32"/>
        <v>12348.421000000004</v>
      </c>
      <c r="BB400" s="1800">
        <f t="shared" si="32"/>
        <v>61770.200000000004</v>
      </c>
      <c r="BC400" s="22">
        <f t="shared" si="32"/>
        <v>107316.70000000001</v>
      </c>
      <c r="BD400" s="22">
        <f t="shared" si="32"/>
        <v>16876.200000000012</v>
      </c>
      <c r="BE400" s="22">
        <f t="shared" si="32"/>
        <v>160691.85999999999</v>
      </c>
      <c r="BF400" s="22">
        <f t="shared" si="32"/>
        <v>1091069.1666666663</v>
      </c>
      <c r="BH400" s="22">
        <f t="shared" ref="BH400:BW400" si="33">SUMIF(BH280:BH312,"&gt;0")</f>
        <v>165743.68999999997</v>
      </c>
      <c r="BI400" s="22">
        <f t="shared" si="33"/>
        <v>90272372.599999994</v>
      </c>
      <c r="BJ400" s="22">
        <f t="shared" si="33"/>
        <v>19900</v>
      </c>
      <c r="BK400" s="22">
        <f t="shared" si="33"/>
        <v>707470.58000000007</v>
      </c>
      <c r="BL400" s="22">
        <f t="shared" si="33"/>
        <v>120575761</v>
      </c>
      <c r="BM400" s="22">
        <f t="shared" si="33"/>
        <v>4972243</v>
      </c>
      <c r="BN400" s="22">
        <f t="shared" si="33"/>
        <v>742283.96</v>
      </c>
      <c r="BO400" s="22">
        <f t="shared" si="33"/>
        <v>110461676</v>
      </c>
      <c r="BP400" s="22">
        <f t="shared" si="33"/>
        <v>5740431</v>
      </c>
      <c r="BQ400" s="22">
        <f t="shared" si="33"/>
        <v>647651.16999999969</v>
      </c>
      <c r="BR400" s="22">
        <f t="shared" si="33"/>
        <v>305986.91999999993</v>
      </c>
      <c r="BS400" s="22">
        <f t="shared" si="33"/>
        <v>207941.69000000003</v>
      </c>
      <c r="BT400" s="22">
        <f t="shared" si="33"/>
        <v>39805635</v>
      </c>
      <c r="BU400" s="22">
        <f t="shared" si="33"/>
        <v>22579609</v>
      </c>
      <c r="BV400" s="22">
        <f t="shared" si="33"/>
        <v>25681218</v>
      </c>
      <c r="BW400" s="22">
        <f t="shared" si="33"/>
        <v>16187257</v>
      </c>
      <c r="BX400" s="22">
        <f t="shared" si="24"/>
        <v>1.3</v>
      </c>
    </row>
    <row r="401" spans="1:76" hidden="1">
      <c r="A401" s="24" t="s">
        <v>186</v>
      </c>
      <c r="B401" s="22">
        <f>SUMIF(B318:B351,"&gt;0")</f>
        <v>9701.8830000000016</v>
      </c>
      <c r="C401" s="22">
        <f>SUMIF(C318:C351,"&gt;0")</f>
        <v>5352.4350000000004</v>
      </c>
      <c r="D401" s="22">
        <f t="shared" ref="D401:AC401" si="34">SUMIF(D312:D345,"&gt;0")</f>
        <v>103303</v>
      </c>
      <c r="E401" s="1319">
        <f t="shared" si="34"/>
        <v>0</v>
      </c>
      <c r="F401" s="22">
        <f t="shared" si="34"/>
        <v>304824.39999999997</v>
      </c>
      <c r="G401" s="22">
        <f t="shared" si="34"/>
        <v>92547.3</v>
      </c>
      <c r="H401" s="22">
        <f t="shared" si="34"/>
        <v>473770.2</v>
      </c>
      <c r="I401" s="22">
        <f t="shared" si="34"/>
        <v>236054.7</v>
      </c>
      <c r="J401" s="22">
        <f t="shared" si="34"/>
        <v>3147481.4999999991</v>
      </c>
      <c r="K401" s="22">
        <f t="shared" si="34"/>
        <v>224548.30000000002</v>
      </c>
      <c r="L401" s="22">
        <f t="shared" si="34"/>
        <v>105171.09999999998</v>
      </c>
      <c r="M401" s="22">
        <f t="shared" si="34"/>
        <v>692941.49999999977</v>
      </c>
      <c r="N401" s="22">
        <f t="shared" si="34"/>
        <v>551271.00000000012</v>
      </c>
      <c r="O401" s="22">
        <f t="shared" si="34"/>
        <v>2094935</v>
      </c>
      <c r="P401" s="22">
        <f t="shared" si="34"/>
        <v>1736775</v>
      </c>
      <c r="Q401" s="22">
        <f t="shared" si="34"/>
        <v>2137862</v>
      </c>
      <c r="R401" s="22">
        <f t="shared" si="34"/>
        <v>1466879.9</v>
      </c>
      <c r="S401" s="22">
        <f t="shared" si="34"/>
        <v>210954.00000000006</v>
      </c>
      <c r="T401" s="22">
        <f t="shared" si="34"/>
        <v>160202.10000000003</v>
      </c>
      <c r="U401" s="22">
        <f t="shared" si="34"/>
        <v>1169737</v>
      </c>
      <c r="V401" s="22">
        <f t="shared" si="34"/>
        <v>601620</v>
      </c>
      <c r="W401" s="22">
        <f t="shared" si="34"/>
        <v>3231407.9999999991</v>
      </c>
      <c r="X401" s="22">
        <f t="shared" si="34"/>
        <v>11414.699999999993</v>
      </c>
      <c r="Y401" s="22">
        <f t="shared" si="34"/>
        <v>1673628</v>
      </c>
      <c r="Z401" s="22">
        <f t="shared" si="34"/>
        <v>9295109</v>
      </c>
      <c r="AA401" s="22">
        <f t="shared" si="34"/>
        <v>4729902</v>
      </c>
      <c r="AB401" s="22">
        <f t="shared" si="34"/>
        <v>3226693</v>
      </c>
      <c r="AC401" s="22">
        <f t="shared" si="34"/>
        <v>36735.600000000006</v>
      </c>
      <c r="AD401" s="423">
        <f t="shared" ref="AD401:BF401" si="35">SUMIF(AD312:AD345,"&gt;0")</f>
        <v>55308</v>
      </c>
      <c r="AE401" s="22">
        <f t="shared" si="35"/>
        <v>7413.5000000000009</v>
      </c>
      <c r="AF401" s="22">
        <f t="shared" si="35"/>
        <v>5413.1000000000013</v>
      </c>
      <c r="AG401" s="22">
        <f t="shared" si="35"/>
        <v>1256760.8</v>
      </c>
      <c r="AH401" s="22">
        <f t="shared" si="35"/>
        <v>971352.29999999993</v>
      </c>
      <c r="AI401" s="22">
        <f t="shared" si="35"/>
        <v>1086397.5</v>
      </c>
      <c r="AJ401" s="22">
        <f t="shared" si="35"/>
        <v>889025.49999999988</v>
      </c>
      <c r="AK401" s="22">
        <f t="shared" si="35"/>
        <v>918885.4</v>
      </c>
      <c r="AL401" s="22">
        <f t="shared" si="35"/>
        <v>361177.39999999997</v>
      </c>
      <c r="AM401" s="22">
        <f t="shared" si="35"/>
        <v>255</v>
      </c>
      <c r="AN401" s="22">
        <f t="shared" si="35"/>
        <v>276</v>
      </c>
      <c r="AO401" s="22">
        <f t="shared" si="35"/>
        <v>7817805</v>
      </c>
      <c r="AP401" s="22">
        <f t="shared" si="35"/>
        <v>3602519</v>
      </c>
      <c r="AQ401" s="22">
        <f t="shared" si="35"/>
        <v>989985</v>
      </c>
      <c r="AR401" s="22">
        <f t="shared" si="35"/>
        <v>0</v>
      </c>
      <c r="AS401" s="22">
        <f t="shared" si="35"/>
        <v>7290697</v>
      </c>
      <c r="AT401" s="22">
        <f t="shared" si="35"/>
        <v>3205903</v>
      </c>
      <c r="AU401" s="22">
        <f t="shared" si="35"/>
        <v>1256805.5</v>
      </c>
      <c r="AV401" s="22">
        <f t="shared" si="35"/>
        <v>71801.099999999991</v>
      </c>
      <c r="AW401" s="22">
        <f t="shared" si="35"/>
        <v>47980.1</v>
      </c>
      <c r="AX401" s="22">
        <f t="shared" si="35"/>
        <v>3476.8900000000008</v>
      </c>
      <c r="AY401" s="22">
        <f t="shared" si="35"/>
        <v>2103.1000000000004</v>
      </c>
      <c r="AZ401" s="22">
        <f t="shared" si="35"/>
        <v>14870.889000000005</v>
      </c>
      <c r="BA401" s="22">
        <f t="shared" si="35"/>
        <v>6216.6180000000004</v>
      </c>
      <c r="BB401" s="1800">
        <f t="shared" si="35"/>
        <v>30114.899999999998</v>
      </c>
      <c r="BC401" s="22">
        <f t="shared" si="35"/>
        <v>50787.7</v>
      </c>
      <c r="BD401" s="22">
        <f t="shared" si="35"/>
        <v>7918.0999999999995</v>
      </c>
      <c r="BE401" s="22">
        <f t="shared" si="35"/>
        <v>68111.739999999991</v>
      </c>
      <c r="BF401" s="22">
        <f t="shared" si="35"/>
        <v>472387.32807017548</v>
      </c>
      <c r="BH401" s="22">
        <f t="shared" ref="BH401:BW401" si="36">SUMIF(BH312:BH345,"&gt;0")</f>
        <v>68979.199999999997</v>
      </c>
      <c r="BI401" s="22">
        <f t="shared" si="36"/>
        <v>42987400</v>
      </c>
      <c r="BJ401" s="22">
        <f t="shared" si="36"/>
        <v>9606</v>
      </c>
      <c r="BK401" s="22">
        <f t="shared" si="36"/>
        <v>338192.5</v>
      </c>
      <c r="BL401" s="22">
        <f t="shared" si="36"/>
        <v>58151754</v>
      </c>
      <c r="BM401" s="22">
        <f t="shared" si="36"/>
        <v>2612536</v>
      </c>
      <c r="BN401" s="22">
        <f t="shared" si="36"/>
        <v>355774</v>
      </c>
      <c r="BO401" s="22">
        <f t="shared" si="36"/>
        <v>52011936</v>
      </c>
      <c r="BP401" s="22">
        <f t="shared" si="36"/>
        <v>2705433</v>
      </c>
      <c r="BQ401" s="22">
        <f t="shared" si="36"/>
        <v>304970.92</v>
      </c>
      <c r="BR401" s="22">
        <f t="shared" si="36"/>
        <v>145416.60000000003</v>
      </c>
      <c r="BS401" s="22">
        <f t="shared" si="36"/>
        <v>98775.599999999991</v>
      </c>
      <c r="BT401" s="22">
        <f t="shared" si="36"/>
        <v>18878694</v>
      </c>
      <c r="BU401" s="22">
        <f t="shared" si="36"/>
        <v>10709675</v>
      </c>
      <c r="BV401" s="22">
        <f t="shared" si="36"/>
        <v>12270209</v>
      </c>
      <c r="BW401" s="22">
        <f t="shared" si="36"/>
        <v>7731511</v>
      </c>
      <c r="BX401" s="22">
        <f t="shared" si="24"/>
        <v>1.3</v>
      </c>
    </row>
    <row r="402" spans="1:76" hidden="1">
      <c r="A402" s="24" t="s">
        <v>187</v>
      </c>
      <c r="B402" s="22">
        <f>SUMIF(B351:B383,"&gt;0")</f>
        <v>0</v>
      </c>
      <c r="C402" s="22">
        <f>SUMIF(C351:C383,"&gt;0")</f>
        <v>0</v>
      </c>
      <c r="D402" s="22">
        <f t="shared" ref="D402:AC402" si="37">SUMIF(D345:D377,"&gt;0")</f>
        <v>0</v>
      </c>
      <c r="E402" s="1319">
        <f t="shared" si="37"/>
        <v>0</v>
      </c>
      <c r="F402" s="22">
        <f t="shared" si="37"/>
        <v>0</v>
      </c>
      <c r="G402" s="22">
        <f t="shared" si="37"/>
        <v>0</v>
      </c>
      <c r="H402" s="22">
        <f t="shared" si="37"/>
        <v>0</v>
      </c>
      <c r="I402" s="22">
        <f t="shared" si="37"/>
        <v>0</v>
      </c>
      <c r="J402" s="22">
        <f t="shared" si="37"/>
        <v>0</v>
      </c>
      <c r="K402" s="22">
        <f t="shared" si="37"/>
        <v>0</v>
      </c>
      <c r="L402" s="22">
        <f t="shared" si="37"/>
        <v>0</v>
      </c>
      <c r="M402" s="22">
        <f t="shared" si="37"/>
        <v>0</v>
      </c>
      <c r="N402" s="22">
        <f t="shared" si="37"/>
        <v>0</v>
      </c>
      <c r="O402" s="22">
        <f t="shared" si="37"/>
        <v>0</v>
      </c>
      <c r="P402" s="22">
        <f t="shared" si="37"/>
        <v>0</v>
      </c>
      <c r="Q402" s="22">
        <f t="shared" si="37"/>
        <v>0</v>
      </c>
      <c r="R402" s="22">
        <f t="shared" si="37"/>
        <v>0</v>
      </c>
      <c r="S402" s="22">
        <f t="shared" si="37"/>
        <v>0</v>
      </c>
      <c r="T402" s="22">
        <f t="shared" si="37"/>
        <v>0</v>
      </c>
      <c r="U402" s="22">
        <f t="shared" si="37"/>
        <v>0</v>
      </c>
      <c r="V402" s="22">
        <f t="shared" si="37"/>
        <v>0</v>
      </c>
      <c r="W402" s="22">
        <f t="shared" si="37"/>
        <v>0</v>
      </c>
      <c r="X402" s="22">
        <f t="shared" si="37"/>
        <v>4150.8</v>
      </c>
      <c r="Y402" s="22">
        <f t="shared" si="37"/>
        <v>608592</v>
      </c>
      <c r="Z402" s="22">
        <f t="shared" si="37"/>
        <v>0</v>
      </c>
      <c r="AA402" s="22">
        <f t="shared" si="37"/>
        <v>0</v>
      </c>
      <c r="AB402" s="22">
        <f t="shared" si="37"/>
        <v>0</v>
      </c>
      <c r="AC402" s="22">
        <f t="shared" si="37"/>
        <v>13358.400000000003</v>
      </c>
      <c r="AD402" s="423">
        <f t="shared" ref="AD402:BF402" si="38">SUMIF(AD345:AD377,"&gt;0")</f>
        <v>20112</v>
      </c>
      <c r="AE402" s="22">
        <f t="shared" si="38"/>
        <v>0</v>
      </c>
      <c r="AF402" s="22">
        <f t="shared" si="38"/>
        <v>0</v>
      </c>
      <c r="AG402" s="22">
        <f t="shared" si="38"/>
        <v>0</v>
      </c>
      <c r="AH402" s="22">
        <f t="shared" si="38"/>
        <v>0</v>
      </c>
      <c r="AI402" s="22">
        <f t="shared" si="38"/>
        <v>0</v>
      </c>
      <c r="AJ402" s="22">
        <f t="shared" si="38"/>
        <v>0</v>
      </c>
      <c r="AK402" s="22">
        <f t="shared" si="38"/>
        <v>0</v>
      </c>
      <c r="AL402" s="22">
        <f t="shared" si="38"/>
        <v>0</v>
      </c>
      <c r="AM402" s="22">
        <f t="shared" si="38"/>
        <v>0</v>
      </c>
      <c r="AN402" s="22">
        <f t="shared" si="38"/>
        <v>0</v>
      </c>
      <c r="AO402" s="22">
        <f t="shared" si="38"/>
        <v>0</v>
      </c>
      <c r="AP402" s="22">
        <f t="shared" si="38"/>
        <v>0</v>
      </c>
      <c r="AQ402" s="22">
        <f t="shared" si="38"/>
        <v>0</v>
      </c>
      <c r="AR402" s="22">
        <f t="shared" si="38"/>
        <v>0</v>
      </c>
      <c r="AS402" s="22">
        <f t="shared" si="38"/>
        <v>0</v>
      </c>
      <c r="AT402" s="22">
        <f t="shared" si="38"/>
        <v>0</v>
      </c>
      <c r="AU402" s="22">
        <f t="shared" si="38"/>
        <v>0</v>
      </c>
      <c r="AV402" s="22">
        <f t="shared" si="38"/>
        <v>0</v>
      </c>
      <c r="AW402" s="22">
        <f t="shared" si="38"/>
        <v>0</v>
      </c>
      <c r="AX402" s="22">
        <f t="shared" si="38"/>
        <v>0</v>
      </c>
      <c r="AY402" s="22">
        <f t="shared" si="38"/>
        <v>0</v>
      </c>
      <c r="AZ402" s="22">
        <f t="shared" si="38"/>
        <v>0</v>
      </c>
      <c r="BA402" s="22">
        <f t="shared" si="38"/>
        <v>0</v>
      </c>
      <c r="BB402" s="1800">
        <f t="shared" si="38"/>
        <v>0</v>
      </c>
      <c r="BC402" s="22">
        <f t="shared" si="38"/>
        <v>0</v>
      </c>
      <c r="BD402" s="22">
        <f t="shared" si="38"/>
        <v>0</v>
      </c>
      <c r="BE402" s="22">
        <f t="shared" si="38"/>
        <v>0</v>
      </c>
      <c r="BF402" s="22">
        <f t="shared" si="38"/>
        <v>0</v>
      </c>
      <c r="BH402" s="22">
        <f t="shared" ref="BH402:BW402" si="39">SUMIF(BH345:BH377,"&gt;0")</f>
        <v>0</v>
      </c>
      <c r="BI402" s="22">
        <f t="shared" si="39"/>
        <v>0</v>
      </c>
      <c r="BJ402" s="22">
        <f t="shared" si="39"/>
        <v>0</v>
      </c>
      <c r="BK402" s="22">
        <f t="shared" si="39"/>
        <v>0</v>
      </c>
      <c r="BL402" s="22">
        <f t="shared" si="39"/>
        <v>0</v>
      </c>
      <c r="BM402" s="22">
        <f t="shared" si="39"/>
        <v>0</v>
      </c>
      <c r="BN402" s="22">
        <f t="shared" si="39"/>
        <v>0</v>
      </c>
      <c r="BO402" s="22">
        <f t="shared" si="39"/>
        <v>0</v>
      </c>
      <c r="BP402" s="22">
        <f t="shared" si="39"/>
        <v>0</v>
      </c>
      <c r="BQ402" s="22">
        <f t="shared" si="39"/>
        <v>0</v>
      </c>
      <c r="BR402" s="22">
        <f t="shared" si="39"/>
        <v>0</v>
      </c>
      <c r="BS402" s="22">
        <f t="shared" si="39"/>
        <v>0</v>
      </c>
      <c r="BT402" s="22">
        <f t="shared" si="39"/>
        <v>0</v>
      </c>
      <c r="BU402" s="22">
        <f t="shared" si="39"/>
        <v>0</v>
      </c>
      <c r="BV402" s="22">
        <f t="shared" si="39"/>
        <v>0</v>
      </c>
      <c r="BW402" s="22">
        <f t="shared" si="39"/>
        <v>0</v>
      </c>
      <c r="BX402" s="22">
        <f t="shared" si="24"/>
        <v>1.3</v>
      </c>
    </row>
    <row r="403" spans="1:76" hidden="1">
      <c r="A403" s="24" t="s">
        <v>229</v>
      </c>
      <c r="B403" s="1272">
        <f>SUM(B391:B402)</f>
        <v>348050.23800000001</v>
      </c>
      <c r="C403" s="1272">
        <f>SUM(C391:C402)</f>
        <v>192200.06000000006</v>
      </c>
      <c r="D403" s="1272">
        <f t="shared" ref="D403:AH403" si="40">SUM(D391:D402)</f>
        <v>2278096.9000000004</v>
      </c>
      <c r="E403" s="1320">
        <f t="shared" si="40"/>
        <v>34.199999999999996</v>
      </c>
      <c r="F403" s="1272">
        <f t="shared" si="40"/>
        <v>6073624</v>
      </c>
      <c r="G403" s="1272">
        <f t="shared" si="40"/>
        <v>1895995.0999999999</v>
      </c>
      <c r="H403" s="1273">
        <f t="shared" si="40"/>
        <v>76799364.396000013</v>
      </c>
      <c r="I403" s="1272">
        <f t="shared" si="40"/>
        <v>35620864.461000003</v>
      </c>
      <c r="J403" s="1272">
        <f t="shared" si="40"/>
        <v>68520267.649999991</v>
      </c>
      <c r="K403" s="1272">
        <f t="shared" si="40"/>
        <v>4966900.0999999996</v>
      </c>
      <c r="L403" s="1272">
        <f t="shared" si="40"/>
        <v>2327649.6999999997</v>
      </c>
      <c r="M403" s="1272">
        <f t="shared" si="40"/>
        <v>15122035.430000003</v>
      </c>
      <c r="N403" s="1272">
        <f t="shared" si="40"/>
        <v>12028909.550000001</v>
      </c>
      <c r="O403" s="1272">
        <f t="shared" si="40"/>
        <v>45813343.590000004</v>
      </c>
      <c r="P403" s="1272">
        <f t="shared" si="40"/>
        <v>37996574.226000004</v>
      </c>
      <c r="Q403" s="1272">
        <f t="shared" si="40"/>
        <v>46608050.989999995</v>
      </c>
      <c r="R403" s="1272">
        <f t="shared" si="40"/>
        <v>31975638.009999998</v>
      </c>
      <c r="S403" s="1272">
        <f t="shared" si="40"/>
        <v>4667134.22</v>
      </c>
      <c r="T403" s="1272">
        <f t="shared" si="40"/>
        <v>3544399.9200000027</v>
      </c>
      <c r="U403" s="1272">
        <f t="shared" si="40"/>
        <v>14334620.142000001</v>
      </c>
      <c r="V403" s="1272">
        <f t="shared" si="40"/>
        <v>7397185.7450000001</v>
      </c>
      <c r="W403" s="1272">
        <f t="shared" si="40"/>
        <v>70372208.00000003</v>
      </c>
      <c r="X403" s="1272">
        <f t="shared" si="40"/>
        <v>125215.79999999993</v>
      </c>
      <c r="Y403" s="1272">
        <f t="shared" si="40"/>
        <v>18359192</v>
      </c>
      <c r="Z403" s="1272">
        <f t="shared" si="40"/>
        <v>196086824.92600003</v>
      </c>
      <c r="AA403" s="1272">
        <f t="shared" si="40"/>
        <v>99860439.085000008</v>
      </c>
      <c r="AB403" s="1272">
        <f t="shared" si="40"/>
        <v>70361521.199999973</v>
      </c>
      <c r="AC403" s="1272">
        <f t="shared" si="40"/>
        <v>402732.00000000023</v>
      </c>
      <c r="AD403" s="1274">
        <f t="shared" si="40"/>
        <v>380640</v>
      </c>
      <c r="AE403" s="1272">
        <f t="shared" si="40"/>
        <v>5961094.9200000009</v>
      </c>
      <c r="AF403" s="1272">
        <f t="shared" si="40"/>
        <v>4250579.7199999988</v>
      </c>
      <c r="AG403" s="1272">
        <f t="shared" si="40"/>
        <v>27449713.580000002</v>
      </c>
      <c r="AH403" s="1272">
        <f t="shared" si="40"/>
        <v>21219745.879999999</v>
      </c>
      <c r="AI403" s="1272">
        <f t="shared" ref="AI403:BW403" si="41">SUM(AI391:AI402)</f>
        <v>22442531.909999996</v>
      </c>
      <c r="AJ403" s="1272">
        <f t="shared" si="41"/>
        <v>18306425.240000002</v>
      </c>
      <c r="AK403" s="1272">
        <f t="shared" si="41"/>
        <v>19855898.109999996</v>
      </c>
      <c r="AL403" s="1272">
        <f t="shared" si="41"/>
        <v>7806930.1000000006</v>
      </c>
      <c r="AM403" s="1272">
        <f t="shared" si="41"/>
        <v>5545.7</v>
      </c>
      <c r="AN403" s="1272">
        <f t="shared" si="41"/>
        <v>5956.0999999999985</v>
      </c>
      <c r="AO403" s="1272">
        <f t="shared" si="41"/>
        <v>165199886.89999998</v>
      </c>
      <c r="AP403" s="1272">
        <f t="shared" si="41"/>
        <v>76205997.799999997</v>
      </c>
      <c r="AQ403" s="1272">
        <f t="shared" si="41"/>
        <v>21672438.778000001</v>
      </c>
      <c r="AR403" s="1272">
        <f t="shared" si="41"/>
        <v>0</v>
      </c>
      <c r="AS403" s="1272">
        <f>SUM(AS391:AS402)</f>
        <v>154204454.898</v>
      </c>
      <c r="AT403" s="1272">
        <f t="shared" si="41"/>
        <v>67845295.062000006</v>
      </c>
      <c r="AU403" s="1272">
        <f t="shared" si="41"/>
        <v>26660652.859999992</v>
      </c>
      <c r="AV403" s="1272">
        <f t="shared" si="41"/>
        <v>1480598.9500000002</v>
      </c>
      <c r="AW403" s="1272">
        <f t="shared" si="41"/>
        <v>987653.20000000007</v>
      </c>
      <c r="AX403" s="1272">
        <f t="shared" si="41"/>
        <v>74866.00999999998</v>
      </c>
      <c r="AY403" s="1272">
        <f t="shared" si="41"/>
        <v>45318.000000000007</v>
      </c>
      <c r="AZ403" s="1272">
        <f t="shared" si="41"/>
        <v>275589.40900000004</v>
      </c>
      <c r="BA403" s="1272">
        <f t="shared" si="41"/>
        <v>116903.91799999999</v>
      </c>
      <c r="BB403" s="1801">
        <f t="shared" si="41"/>
        <v>608619.77</v>
      </c>
      <c r="BC403" s="1272">
        <f t="shared" si="41"/>
        <v>1042488.7999999998</v>
      </c>
      <c r="BD403" s="1272">
        <f t="shared" si="41"/>
        <v>160956.80000000005</v>
      </c>
      <c r="BE403" s="1272">
        <f t="shared" si="41"/>
        <v>1962090.3601233617</v>
      </c>
      <c r="BF403" s="1272">
        <f t="shared" si="41"/>
        <v>10750279.647697773</v>
      </c>
      <c r="BG403" s="1272">
        <f t="shared" si="41"/>
        <v>1742902.6340736884</v>
      </c>
      <c r="BH403" s="1272">
        <f t="shared" si="41"/>
        <v>1991954.7013325221</v>
      </c>
      <c r="BI403" s="1272">
        <f t="shared" si="41"/>
        <v>871564859.69999993</v>
      </c>
      <c r="BJ403" s="1272">
        <f t="shared" si="41"/>
        <v>181960</v>
      </c>
      <c r="BK403" s="1272">
        <f t="shared" si="41"/>
        <v>6794275.1199999992</v>
      </c>
      <c r="BL403" s="1272">
        <f t="shared" si="41"/>
        <v>1117069607</v>
      </c>
      <c r="BM403" s="1272">
        <f t="shared" si="41"/>
        <v>38632361</v>
      </c>
      <c r="BN403" s="1272">
        <f t="shared" si="41"/>
        <v>6938694.8500000006</v>
      </c>
      <c r="BO403" s="1272">
        <f t="shared" si="41"/>
        <v>1025829272</v>
      </c>
      <c r="BP403" s="1272">
        <f t="shared" si="41"/>
        <v>50926778</v>
      </c>
      <c r="BQ403" s="1272">
        <f t="shared" si="41"/>
        <v>6028705.0200000005</v>
      </c>
      <c r="BR403" s="1272">
        <f t="shared" si="41"/>
        <v>2914647.78</v>
      </c>
      <c r="BS403" s="1272">
        <f t="shared" si="41"/>
        <v>1983510.83</v>
      </c>
      <c r="BT403" s="1272">
        <f t="shared" si="41"/>
        <v>374905253</v>
      </c>
      <c r="BU403" s="1272">
        <f t="shared" si="41"/>
        <v>212928216</v>
      </c>
      <c r="BV403" s="1272">
        <f t="shared" si="41"/>
        <v>244683073</v>
      </c>
      <c r="BW403" s="1272">
        <f t="shared" si="41"/>
        <v>154525067</v>
      </c>
    </row>
    <row r="404" spans="1:76" hidden="1"/>
    <row r="406" spans="1:76">
      <c r="AD406" s="22"/>
      <c r="AQ406" s="637"/>
      <c r="BQ406" s="637"/>
    </row>
    <row r="407" spans="1:76">
      <c r="U407" s="637"/>
      <c r="V407" s="637"/>
      <c r="AD407" s="22"/>
      <c r="AO407" s="637"/>
      <c r="AP407" s="637"/>
      <c r="BL407" s="637"/>
      <c r="BM407" s="637"/>
      <c r="BN407" s="637"/>
      <c r="BQ407" s="637"/>
      <c r="BT407" s="637"/>
      <c r="BU407" s="637"/>
      <c r="BV407" s="637"/>
      <c r="BW407" s="637"/>
    </row>
    <row r="408" spans="1:76">
      <c r="F408" s="637"/>
      <c r="G408" s="637"/>
      <c r="H408" s="637"/>
      <c r="I408" s="637"/>
      <c r="J408" s="637"/>
      <c r="K408" s="637"/>
      <c r="L408" s="637"/>
      <c r="M408" s="637"/>
      <c r="N408" s="637"/>
      <c r="O408" s="637"/>
      <c r="P408" s="637"/>
      <c r="Q408" s="637"/>
      <c r="R408" s="637"/>
      <c r="S408" s="637"/>
      <c r="T408" s="637"/>
      <c r="U408" s="637"/>
      <c r="V408" s="637"/>
      <c r="W408" s="637"/>
      <c r="X408" s="637"/>
      <c r="Y408" s="637"/>
      <c r="Z408" s="637"/>
      <c r="AA408" s="637"/>
      <c r="AD408" s="22"/>
      <c r="AG408" s="637"/>
      <c r="AH408" s="637"/>
      <c r="AI408" s="637"/>
      <c r="AJ408" s="637"/>
      <c r="AK408" s="637"/>
      <c r="AL408" s="637"/>
      <c r="AM408" s="637"/>
      <c r="AN408" s="637"/>
      <c r="AO408" s="637"/>
      <c r="AP408" s="637"/>
      <c r="AQ408" s="637"/>
      <c r="AR408" s="637"/>
      <c r="AS408" s="637"/>
      <c r="AT408" s="637"/>
      <c r="AU408" s="637"/>
      <c r="AV408" s="637"/>
      <c r="AW408" s="637"/>
      <c r="AX408" s="637"/>
      <c r="AY408" s="637"/>
      <c r="AZ408" s="637"/>
      <c r="BA408" s="637"/>
      <c r="BB408" s="1802"/>
      <c r="BC408" s="637"/>
      <c r="BD408" s="637"/>
      <c r="BE408" s="637"/>
      <c r="BF408" s="637"/>
      <c r="BG408" s="637"/>
      <c r="BH408" s="637"/>
      <c r="BI408" s="637"/>
      <c r="BJ408" s="637"/>
      <c r="BK408" s="637"/>
      <c r="BL408" s="637"/>
      <c r="BM408" s="637"/>
      <c r="BN408" s="637"/>
      <c r="BO408" s="637"/>
      <c r="BP408" s="637"/>
      <c r="BQ408" s="637"/>
      <c r="BR408" s="637"/>
      <c r="BS408" s="637"/>
      <c r="BT408" s="637"/>
      <c r="BU408" s="637"/>
      <c r="BV408" s="637"/>
      <c r="BW408" s="637"/>
    </row>
    <row r="409" spans="1:76">
      <c r="B409" s="637"/>
      <c r="C409" s="637"/>
      <c r="D409" s="637"/>
      <c r="E409" s="637"/>
      <c r="F409" s="637"/>
      <c r="G409" s="637"/>
      <c r="H409" s="637"/>
      <c r="I409" s="637"/>
      <c r="J409" s="637"/>
      <c r="K409" s="637"/>
      <c r="L409" s="637"/>
      <c r="M409" s="637"/>
      <c r="N409" s="637"/>
      <c r="O409" s="637"/>
      <c r="P409" s="637"/>
      <c r="Q409" s="637"/>
      <c r="R409" s="637"/>
      <c r="S409" s="637"/>
      <c r="T409" s="637"/>
      <c r="U409" s="637"/>
      <c r="V409" s="637"/>
      <c r="W409" s="637"/>
      <c r="X409" s="637"/>
      <c r="Y409" s="637"/>
      <c r="Z409" s="637"/>
      <c r="AA409" s="637"/>
      <c r="AB409" s="637"/>
      <c r="AC409" s="637"/>
      <c r="AD409" s="637"/>
      <c r="AE409" s="637"/>
      <c r="AF409" s="637"/>
      <c r="AG409" s="637"/>
      <c r="AH409" s="637"/>
      <c r="AI409" s="637"/>
      <c r="AJ409" s="637"/>
      <c r="AK409" s="637"/>
      <c r="AL409" s="637"/>
      <c r="AM409" s="637"/>
      <c r="AN409" s="637"/>
      <c r="AO409" s="637"/>
      <c r="AP409" s="637"/>
      <c r="AQ409" s="637"/>
      <c r="AR409" s="637"/>
      <c r="AS409" s="637"/>
      <c r="AT409" s="637"/>
      <c r="AU409" s="637"/>
      <c r="AV409" s="637"/>
      <c r="AW409" s="637"/>
      <c r="AX409" s="637"/>
      <c r="AY409" s="637"/>
      <c r="AZ409" s="637"/>
      <c r="BA409" s="637"/>
      <c r="BB409" s="1802"/>
      <c r="BC409" s="637"/>
      <c r="BD409" s="637"/>
      <c r="BE409" s="637"/>
      <c r="BF409" s="637"/>
      <c r="BG409" s="637"/>
      <c r="BH409" s="637"/>
      <c r="BI409" s="637"/>
      <c r="BJ409" s="637"/>
      <c r="BK409" s="637"/>
      <c r="BL409" s="637"/>
      <c r="BM409" s="637"/>
      <c r="BN409" s="637"/>
      <c r="BO409" s="637"/>
      <c r="BP409" s="637"/>
      <c r="BQ409" s="637"/>
      <c r="BR409" s="637"/>
      <c r="BS409" s="637"/>
      <c r="BT409" s="637"/>
      <c r="BU409" s="637"/>
      <c r="BV409" s="637"/>
      <c r="BW409" s="637"/>
      <c r="BX409" s="637"/>
    </row>
    <row r="410" spans="1:76">
      <c r="B410" s="637"/>
      <c r="C410" s="637"/>
      <c r="D410" s="637"/>
      <c r="E410" s="637"/>
      <c r="F410" s="637"/>
      <c r="G410" s="637"/>
      <c r="H410" s="637"/>
      <c r="I410" s="637"/>
      <c r="J410" s="637"/>
      <c r="K410" s="637"/>
      <c r="L410" s="637"/>
      <c r="M410" s="637"/>
      <c r="N410" s="637"/>
      <c r="O410" s="637"/>
      <c r="P410" s="637"/>
      <c r="Q410" s="637"/>
      <c r="R410" s="637"/>
      <c r="S410" s="637"/>
      <c r="T410" s="637"/>
      <c r="U410" s="637"/>
      <c r="V410" s="637"/>
      <c r="W410" s="637"/>
      <c r="X410" s="637"/>
      <c r="Y410" s="637"/>
      <c r="Z410" s="637"/>
      <c r="AA410" s="637"/>
      <c r="AB410" s="637"/>
      <c r="AC410" s="637"/>
      <c r="AD410" s="637"/>
      <c r="AE410" s="637"/>
      <c r="AF410" s="637"/>
      <c r="AG410" s="637"/>
      <c r="AH410" s="637"/>
      <c r="AI410" s="637"/>
      <c r="AJ410" s="637"/>
      <c r="AK410" s="637"/>
      <c r="AL410" s="637"/>
      <c r="AM410" s="637"/>
      <c r="AN410" s="637"/>
      <c r="AO410" s="637"/>
      <c r="AP410" s="637"/>
      <c r="AQ410" s="637"/>
      <c r="AR410" s="637"/>
      <c r="AS410" s="637"/>
      <c r="AT410" s="637"/>
      <c r="AU410" s="637"/>
      <c r="AV410" s="637"/>
      <c r="AW410" s="637"/>
      <c r="AX410" s="637"/>
      <c r="AY410" s="637"/>
      <c r="AZ410" s="637"/>
      <c r="BA410" s="637"/>
      <c r="BB410" s="1802"/>
      <c r="BC410" s="637"/>
      <c r="BD410" s="637"/>
      <c r="BE410" s="637"/>
      <c r="BF410" s="637"/>
      <c r="BG410" s="637"/>
      <c r="BH410" s="637"/>
      <c r="BI410" s="637"/>
      <c r="BJ410" s="637"/>
      <c r="BK410" s="637"/>
      <c r="BL410" s="637"/>
      <c r="BM410" s="637"/>
      <c r="BN410" s="637"/>
      <c r="BO410" s="637"/>
      <c r="BP410" s="637"/>
      <c r="BQ410" s="637"/>
      <c r="BR410" s="637"/>
      <c r="BS410" s="637"/>
      <c r="BT410" s="637"/>
      <c r="BU410" s="637"/>
      <c r="BV410" s="637"/>
      <c r="BW410" s="637"/>
      <c r="BX410" s="637"/>
    </row>
    <row r="411" spans="1:76">
      <c r="B411" s="637"/>
      <c r="C411" s="637"/>
      <c r="D411" s="637"/>
      <c r="E411" s="637"/>
      <c r="F411" s="637"/>
      <c r="G411" s="637"/>
      <c r="H411" s="637"/>
      <c r="I411" s="637"/>
      <c r="J411" s="637"/>
      <c r="K411" s="637"/>
      <c r="L411" s="637"/>
      <c r="M411" s="637"/>
      <c r="N411" s="637"/>
      <c r="O411" s="637"/>
      <c r="P411" s="637"/>
      <c r="Q411" s="637"/>
      <c r="R411" s="637"/>
      <c r="S411" s="637"/>
      <c r="T411" s="637"/>
      <c r="U411" s="637"/>
      <c r="V411" s="637"/>
      <c r="W411" s="637"/>
      <c r="X411" s="637"/>
      <c r="Y411" s="637"/>
      <c r="Z411" s="637"/>
      <c r="AA411" s="637"/>
      <c r="AB411" s="637"/>
      <c r="AC411" s="637"/>
      <c r="AD411" s="637"/>
      <c r="AE411" s="637"/>
      <c r="AF411" s="637"/>
      <c r="AG411" s="637"/>
      <c r="AH411" s="637"/>
      <c r="AI411" s="637"/>
      <c r="AJ411" s="637"/>
      <c r="AK411" s="637"/>
      <c r="AL411" s="637"/>
      <c r="AM411" s="637"/>
      <c r="AN411" s="637"/>
      <c r="AO411" s="637"/>
      <c r="AP411" s="637"/>
      <c r="AQ411" s="637"/>
      <c r="AR411" s="637"/>
      <c r="AS411" s="637"/>
      <c r="AT411" s="637"/>
      <c r="AU411" s="637"/>
      <c r="AV411" s="637"/>
      <c r="AW411" s="637"/>
      <c r="AX411" s="637"/>
      <c r="AY411" s="637"/>
      <c r="AZ411" s="637"/>
      <c r="BA411" s="637"/>
      <c r="BB411" s="1802"/>
      <c r="BC411" s="637"/>
      <c r="BD411" s="637"/>
      <c r="BE411" s="637"/>
      <c r="BF411" s="637"/>
      <c r="BG411" s="637"/>
      <c r="BH411" s="637"/>
      <c r="BI411" s="637"/>
      <c r="BJ411" s="637"/>
      <c r="BK411" s="637"/>
      <c r="BL411" s="637"/>
      <c r="BM411" s="637"/>
      <c r="BN411" s="637"/>
      <c r="BO411" s="637"/>
      <c r="BP411" s="637"/>
      <c r="BQ411" s="637"/>
      <c r="BR411" s="637"/>
      <c r="BS411" s="637"/>
      <c r="BT411" s="637"/>
      <c r="BU411" s="637"/>
      <c r="BV411" s="637"/>
      <c r="BW411" s="637"/>
      <c r="BX411" s="637"/>
    </row>
    <row r="412" spans="1:76">
      <c r="B412" s="637"/>
      <c r="W412" s="637"/>
      <c r="AD412" s="22"/>
      <c r="BL412" s="637"/>
      <c r="BM412" s="637"/>
      <c r="BO412" s="637"/>
      <c r="BP412" s="637"/>
    </row>
    <row r="413" spans="1:76">
      <c r="AD413" s="22"/>
    </row>
    <row r="414" spans="1:76">
      <c r="Z414" s="637"/>
      <c r="AD414" s="22"/>
      <c r="BV414" s="637"/>
    </row>
    <row r="415" spans="1:76">
      <c r="AD415" s="22"/>
      <c r="BR415" s="637"/>
      <c r="BV415" s="637"/>
    </row>
    <row r="416" spans="1:76">
      <c r="AD416" s="22"/>
      <c r="BT416" s="637">
        <f>+BT379-BT378</f>
        <v>0</v>
      </c>
      <c r="BV416" s="637">
        <f>+BV360-BV359</f>
        <v>0</v>
      </c>
    </row>
    <row r="417" spans="21:74">
      <c r="U417" s="637"/>
      <c r="V417" s="637"/>
      <c r="BT417" s="637">
        <f t="shared" ref="BT417:BT430" si="42">+BT380-BT379</f>
        <v>0</v>
      </c>
      <c r="BV417" s="637">
        <f t="shared" ref="BV417:BV480" si="43">+BV361-BV360</f>
        <v>0</v>
      </c>
    </row>
    <row r="418" spans="21:74">
      <c r="BT418" s="637">
        <f t="shared" si="42"/>
        <v>0</v>
      </c>
      <c r="BV418" s="637">
        <f t="shared" si="43"/>
        <v>0</v>
      </c>
    </row>
    <row r="419" spans="21:74">
      <c r="BT419" s="637">
        <f t="shared" si="42"/>
        <v>0</v>
      </c>
      <c r="BV419" s="637">
        <f t="shared" si="43"/>
        <v>0</v>
      </c>
    </row>
    <row r="420" spans="21:74">
      <c r="BT420" s="637">
        <f t="shared" si="42"/>
        <v>0</v>
      </c>
      <c r="BV420" s="637">
        <f t="shared" si="43"/>
        <v>0</v>
      </c>
    </row>
    <row r="421" spans="21:74">
      <c r="BT421" s="637">
        <f t="shared" si="42"/>
        <v>0</v>
      </c>
      <c r="BV421" s="637">
        <f t="shared" si="43"/>
        <v>0</v>
      </c>
    </row>
    <row r="422" spans="21:74">
      <c r="BT422" s="637">
        <f t="shared" si="42"/>
        <v>0</v>
      </c>
      <c r="BV422" s="637">
        <f t="shared" si="43"/>
        <v>0</v>
      </c>
    </row>
    <row r="423" spans="21:74">
      <c r="BT423" s="637">
        <f t="shared" si="42"/>
        <v>0</v>
      </c>
      <c r="BV423" s="637">
        <f t="shared" si="43"/>
        <v>0</v>
      </c>
    </row>
    <row r="424" spans="21:74">
      <c r="BT424" s="637">
        <f t="shared" si="42"/>
        <v>0</v>
      </c>
      <c r="BV424" s="637">
        <f t="shared" si="43"/>
        <v>0</v>
      </c>
    </row>
    <row r="425" spans="21:74">
      <c r="BT425" s="637">
        <f t="shared" si="42"/>
        <v>0</v>
      </c>
      <c r="BV425" s="637">
        <f t="shared" si="43"/>
        <v>0</v>
      </c>
    </row>
    <row r="426" spans="21:74">
      <c r="BT426" s="637">
        <f t="shared" si="42"/>
        <v>0</v>
      </c>
      <c r="BV426" s="637">
        <f t="shared" si="43"/>
        <v>0</v>
      </c>
    </row>
    <row r="427" spans="21:74">
      <c r="BT427" s="637">
        <f t="shared" si="42"/>
        <v>0</v>
      </c>
      <c r="BV427" s="637">
        <f t="shared" si="43"/>
        <v>0</v>
      </c>
    </row>
    <row r="428" spans="21:74">
      <c r="BT428" s="637">
        <f t="shared" si="42"/>
        <v>25921178</v>
      </c>
      <c r="BV428" s="637">
        <f t="shared" si="43"/>
        <v>0</v>
      </c>
    </row>
    <row r="429" spans="21:74">
      <c r="BT429" s="637">
        <f t="shared" si="42"/>
        <v>7560778</v>
      </c>
      <c r="BV429" s="637">
        <f t="shared" si="43"/>
        <v>0</v>
      </c>
    </row>
    <row r="430" spans="21:74">
      <c r="BT430" s="637">
        <f t="shared" si="42"/>
        <v>-2233422</v>
      </c>
      <c r="BV430" s="637">
        <f t="shared" si="43"/>
        <v>0</v>
      </c>
    </row>
    <row r="431" spans="21:74">
      <c r="BV431" s="637">
        <f t="shared" si="43"/>
        <v>0</v>
      </c>
    </row>
    <row r="432" spans="21:74">
      <c r="BV432" s="637">
        <f t="shared" si="43"/>
        <v>0</v>
      </c>
    </row>
    <row r="433" spans="74:74">
      <c r="BV433" s="637">
        <f t="shared" si="43"/>
        <v>0</v>
      </c>
    </row>
    <row r="434" spans="74:74">
      <c r="BV434" s="637">
        <f t="shared" si="43"/>
        <v>0</v>
      </c>
    </row>
    <row r="435" spans="74:74">
      <c r="BV435" s="637">
        <f t="shared" si="43"/>
        <v>0</v>
      </c>
    </row>
    <row r="436" spans="74:74">
      <c r="BV436" s="637">
        <f t="shared" si="43"/>
        <v>0</v>
      </c>
    </row>
    <row r="437" spans="74:74">
      <c r="BV437" s="637">
        <f t="shared" si="43"/>
        <v>0</v>
      </c>
    </row>
    <row r="438" spans="74:74">
      <c r="BV438" s="637">
        <f t="shared" si="43"/>
        <v>0</v>
      </c>
    </row>
    <row r="439" spans="74:74">
      <c r="BV439" s="637">
        <f t="shared" si="43"/>
        <v>0</v>
      </c>
    </row>
    <row r="440" spans="74:74">
      <c r="BV440" s="637">
        <f t="shared" si="43"/>
        <v>0</v>
      </c>
    </row>
    <row r="441" spans="74:74">
      <c r="BV441" s="637">
        <f t="shared" si="43"/>
        <v>0</v>
      </c>
    </row>
    <row r="442" spans="74:74">
      <c r="BV442" s="637">
        <f t="shared" si="43"/>
        <v>0</v>
      </c>
    </row>
    <row r="443" spans="74:74">
      <c r="BV443" s="637">
        <f t="shared" si="43"/>
        <v>0</v>
      </c>
    </row>
    <row r="444" spans="74:74">
      <c r="BV444" s="637">
        <f t="shared" si="43"/>
        <v>0</v>
      </c>
    </row>
    <row r="445" spans="74:74">
      <c r="BV445" s="637">
        <f t="shared" si="43"/>
        <v>0</v>
      </c>
    </row>
    <row r="446" spans="74:74">
      <c r="BV446" s="637">
        <f t="shared" si="43"/>
        <v>0</v>
      </c>
    </row>
    <row r="447" spans="74:74">
      <c r="BV447" s="637">
        <f t="shared" si="43"/>
        <v>17455686</v>
      </c>
    </row>
    <row r="448" spans="74:74">
      <c r="BV448" s="637">
        <f t="shared" si="43"/>
        <v>5364489</v>
      </c>
    </row>
    <row r="449" spans="74:74">
      <c r="BV449" s="637">
        <f t="shared" si="43"/>
        <v>-1671137</v>
      </c>
    </row>
    <row r="450" spans="74:74">
      <c r="BV450" s="637">
        <f t="shared" si="43"/>
        <v>2258192</v>
      </c>
    </row>
    <row r="451" spans="74:74">
      <c r="BV451" s="637">
        <f t="shared" si="43"/>
        <v>-396932</v>
      </c>
    </row>
    <row r="452" spans="74:74">
      <c r="BV452" s="637">
        <f t="shared" si="43"/>
        <v>1349580</v>
      </c>
    </row>
    <row r="453" spans="74:74">
      <c r="BV453" s="637">
        <f t="shared" si="43"/>
        <v>-470115</v>
      </c>
    </row>
    <row r="454" spans="74:74">
      <c r="BV454" s="637">
        <f t="shared" si="43"/>
        <v>1225638</v>
      </c>
    </row>
    <row r="455" spans="74:74">
      <c r="BV455" s="637">
        <f t="shared" si="43"/>
        <v>408776</v>
      </c>
    </row>
    <row r="456" spans="74:74">
      <c r="BV456" s="637">
        <f t="shared" si="43"/>
        <v>157041</v>
      </c>
    </row>
    <row r="457" spans="74:74">
      <c r="BV457" s="637">
        <f t="shared" si="43"/>
        <v>-13411009</v>
      </c>
    </row>
    <row r="458" spans="74:74">
      <c r="BV458" s="637">
        <f t="shared" si="43"/>
        <v>-12270209</v>
      </c>
    </row>
    <row r="459" spans="74:74">
      <c r="BV459" s="637">
        <f t="shared" si="43"/>
        <v>244683073</v>
      </c>
    </row>
    <row r="460" spans="74:74">
      <c r="BV460" s="637">
        <f t="shared" si="43"/>
        <v>-244683073</v>
      </c>
    </row>
    <row r="461" spans="74:74">
      <c r="BV461" s="637">
        <f t="shared" si="43"/>
        <v>0</v>
      </c>
    </row>
    <row r="462" spans="74:74">
      <c r="BV462" s="637">
        <f t="shared" si="43"/>
        <v>0</v>
      </c>
    </row>
    <row r="463" spans="74:74">
      <c r="BV463" s="637">
        <f t="shared" si="43"/>
        <v>0</v>
      </c>
    </row>
    <row r="464" spans="74:74">
      <c r="BV464" s="637">
        <f t="shared" si="43"/>
        <v>0</v>
      </c>
    </row>
    <row r="465" spans="74:74">
      <c r="BV465" s="637">
        <f t="shared" si="43"/>
        <v>0</v>
      </c>
    </row>
    <row r="466" spans="74:74">
      <c r="BV466" s="637">
        <f t="shared" si="43"/>
        <v>0</v>
      </c>
    </row>
    <row r="467" spans="74:74">
      <c r="BV467" s="637">
        <f t="shared" si="43"/>
        <v>0</v>
      </c>
    </row>
    <row r="468" spans="74:74">
      <c r="BV468" s="637">
        <f t="shared" si="43"/>
        <v>0</v>
      </c>
    </row>
    <row r="469" spans="74:74">
      <c r="BV469" s="637">
        <f t="shared" si="43"/>
        <v>0</v>
      </c>
    </row>
    <row r="470" spans="74:74">
      <c r="BV470" s="637">
        <f t="shared" si="43"/>
        <v>0</v>
      </c>
    </row>
    <row r="471" spans="74:74">
      <c r="BV471" s="637">
        <f t="shared" si="43"/>
        <v>0</v>
      </c>
    </row>
    <row r="472" spans="74:74">
      <c r="BV472" s="637">
        <f t="shared" si="43"/>
        <v>0</v>
      </c>
    </row>
    <row r="473" spans="74:74">
      <c r="BV473" s="637">
        <f t="shared" si="43"/>
        <v>0</v>
      </c>
    </row>
    <row r="474" spans="74:74">
      <c r="BV474" s="637">
        <f t="shared" si="43"/>
        <v>0</v>
      </c>
    </row>
    <row r="475" spans="74:74">
      <c r="BV475" s="637">
        <f t="shared" si="43"/>
        <v>0</v>
      </c>
    </row>
    <row r="476" spans="74:74">
      <c r="BV476" s="637">
        <f t="shared" si="43"/>
        <v>0</v>
      </c>
    </row>
    <row r="477" spans="74:74">
      <c r="BV477" s="637">
        <f t="shared" si="43"/>
        <v>0</v>
      </c>
    </row>
    <row r="478" spans="74:74">
      <c r="BV478" s="637">
        <f t="shared" si="43"/>
        <v>0</v>
      </c>
    </row>
    <row r="479" spans="74:74">
      <c r="BV479" s="637">
        <f t="shared" si="43"/>
        <v>0</v>
      </c>
    </row>
    <row r="480" spans="74:74">
      <c r="BV480" s="637">
        <f t="shared" si="43"/>
        <v>0</v>
      </c>
    </row>
    <row r="481" spans="74:74">
      <c r="BV481" s="637">
        <f t="shared" ref="BV481:BV490" si="44">+BV425-BV424</f>
        <v>0</v>
      </c>
    </row>
    <row r="482" spans="74:74">
      <c r="BV482" s="637">
        <f t="shared" si="44"/>
        <v>0</v>
      </c>
    </row>
    <row r="483" spans="74:74">
      <c r="BV483" s="637">
        <f t="shared" si="44"/>
        <v>0</v>
      </c>
    </row>
    <row r="484" spans="74:74">
      <c r="BV484" s="637">
        <f t="shared" si="44"/>
        <v>0</v>
      </c>
    </row>
    <row r="485" spans="74:74">
      <c r="BV485" s="637">
        <f t="shared" si="44"/>
        <v>0</v>
      </c>
    </row>
    <row r="486" spans="74:74">
      <c r="BV486" s="637">
        <f t="shared" si="44"/>
        <v>0</v>
      </c>
    </row>
    <row r="487" spans="74:74">
      <c r="BV487" s="637">
        <f t="shared" si="44"/>
        <v>0</v>
      </c>
    </row>
    <row r="488" spans="74:74">
      <c r="BV488" s="637">
        <f t="shared" si="44"/>
        <v>0</v>
      </c>
    </row>
    <row r="489" spans="74:74">
      <c r="BV489" s="637">
        <f t="shared" si="44"/>
        <v>0</v>
      </c>
    </row>
    <row r="490" spans="74:74">
      <c r="BV490" s="637">
        <f t="shared" si="44"/>
        <v>0</v>
      </c>
    </row>
  </sheetData>
  <phoneticPr fontId="244" type="noConversion"/>
  <pageMargins left="0.7" right="0.7" top="0.75" bottom="0.75" header="0.3" footer="0.3"/>
  <pageSetup orientation="portrait" r:id="rId1"/>
  <ignoredErrors>
    <ignoredError sqref="F394:F395 AS395 Z400 K396 BC391:BC392 BG395" 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7"/>
  </sheetPr>
  <dimension ref="A1:DF403"/>
  <sheetViews>
    <sheetView showGridLines="0" zoomScale="80" zoomScaleNormal="80" workbookViewId="0">
      <pane xSplit="2" ySplit="10" topLeftCell="C312" activePane="bottomRight" state="frozen"/>
      <selection activeCell="F375" sqref="F375"/>
      <selection pane="topRight" activeCell="F375" sqref="F375"/>
      <selection pane="bottomLeft" activeCell="F375" sqref="F375"/>
      <selection pane="bottomRight" activeCell="A315" sqref="A315:XFD315"/>
    </sheetView>
  </sheetViews>
  <sheetFormatPr baseColWidth="10" defaultColWidth="9.1796875" defaultRowHeight="14.5"/>
  <cols>
    <col min="1" max="1" width="3.08984375" style="1" customWidth="1"/>
    <col min="2" max="2" width="9.90625" style="1" bestFit="1" customWidth="1"/>
    <col min="3" max="8" width="12.453125" style="1" customWidth="1"/>
    <col min="9" max="9" width="14.1796875" style="1" customWidth="1"/>
    <col min="10" max="15" width="12.453125" style="1" customWidth="1"/>
    <col min="16" max="16" width="14.453125" style="1" customWidth="1"/>
    <col min="17" max="21" width="12.453125" style="1" customWidth="1"/>
    <col min="22" max="22" width="15.453125" style="1" customWidth="1"/>
    <col min="23" max="29" width="12.453125" style="1" customWidth="1"/>
    <col min="30" max="30" width="8.90625" style="1" bestFit="1" customWidth="1"/>
    <col min="31" max="31" width="12.453125" style="1" customWidth="1"/>
    <col min="32" max="32" width="12.453125" style="1110" customWidth="1"/>
    <col min="33" max="34" width="12.453125" style="1" customWidth="1"/>
    <col min="35" max="35" width="13.453125" style="1" customWidth="1"/>
    <col min="36" max="40" width="12.453125" style="1" customWidth="1"/>
    <col min="41" max="44" width="14" style="1" customWidth="1"/>
    <col min="45" max="45" width="10" style="1" customWidth="1"/>
    <col min="46" max="46" width="11.453125" style="1" customWidth="1"/>
    <col min="47" max="56" width="13" style="1" customWidth="1"/>
    <col min="57" max="57" width="13.1796875" style="1" customWidth="1"/>
    <col min="58" max="58" width="13" style="1" customWidth="1"/>
    <col min="59" max="59" width="10.6328125" style="1" customWidth="1"/>
    <col min="60" max="60" width="13.36328125" style="1" customWidth="1"/>
    <col min="61" max="61" width="10.90625" style="1" bestFit="1" customWidth="1"/>
    <col min="62" max="62" width="8.1796875" style="1110" customWidth="1"/>
    <col min="63" max="64" width="10.453125" style="1" customWidth="1"/>
    <col min="65" max="65" width="9.54296875" style="1110" customWidth="1"/>
    <col min="66" max="67" width="9.54296875" style="1" customWidth="1"/>
    <col min="68" max="68" width="9.81640625" style="1110" customWidth="1"/>
    <col min="69" max="69" width="10.453125" style="1" customWidth="1"/>
    <col min="70" max="70" width="11.26953125" style="1" customWidth="1"/>
    <col min="71" max="71" width="9.1796875" style="1110"/>
    <col min="72" max="72" width="9.1796875" style="1"/>
    <col min="73" max="73" width="9.1796875" style="1110"/>
    <col min="74" max="74" width="9.1796875" style="1"/>
    <col min="75" max="75" width="11.26953125" style="1" bestFit="1" customWidth="1"/>
    <col min="76" max="76" width="9.1796875" style="165" customWidth="1"/>
    <col min="77" max="77" width="12" style="1" customWidth="1"/>
    <col min="78" max="78" width="10.453125" style="1" customWidth="1"/>
    <col min="79" max="79" width="13.1796875" style="1" customWidth="1"/>
    <col min="80" max="80" width="13.81640625" style="1" customWidth="1"/>
    <col min="81" max="81" width="19.81640625" style="1" customWidth="1"/>
    <col min="82" max="82" width="12.81640625" style="1" customWidth="1"/>
    <col min="83" max="83" width="17.54296875" style="1" customWidth="1"/>
    <col min="84" max="84" width="19" style="1" customWidth="1"/>
    <col min="85" max="85" width="9.1796875" style="1"/>
    <col min="86" max="86" width="15" style="1" customWidth="1"/>
    <col min="87" max="87" width="18.7265625" style="1" customWidth="1"/>
    <col min="88" max="88" width="12.81640625" style="1" customWidth="1"/>
    <col min="89" max="89" width="9.1796875" style="1"/>
    <col min="90" max="90" width="10.26953125" style="1" customWidth="1"/>
    <col min="91" max="214" width="9.1796875" style="1"/>
    <col min="215" max="215" width="0.81640625" style="1" customWidth="1"/>
    <col min="216" max="216" width="11.453125" style="1" bestFit="1" customWidth="1"/>
    <col min="217" max="217" width="13.453125" style="1" customWidth="1"/>
    <col min="218" max="220" width="13.1796875" style="1" customWidth="1"/>
    <col min="221" max="234" width="13.453125" style="1" customWidth="1"/>
    <col min="235" max="235" width="14" style="1" customWidth="1"/>
    <col min="236" max="236" width="13.54296875" style="1" customWidth="1"/>
    <col min="237" max="237" width="48.453125" style="1" customWidth="1"/>
    <col min="238" max="470" width="9.1796875" style="1"/>
    <col min="471" max="471" width="0.81640625" style="1" customWidth="1"/>
    <col min="472" max="472" width="11.453125" style="1" bestFit="1" customWidth="1"/>
    <col min="473" max="473" width="13.453125" style="1" customWidth="1"/>
    <col min="474" max="476" width="13.1796875" style="1" customWidth="1"/>
    <col min="477" max="490" width="13.453125" style="1" customWidth="1"/>
    <col min="491" max="491" width="14" style="1" customWidth="1"/>
    <col min="492" max="492" width="13.54296875" style="1" customWidth="1"/>
    <col min="493" max="493" width="48.453125" style="1" customWidth="1"/>
    <col min="494" max="726" width="9.1796875" style="1"/>
    <col min="727" max="727" width="0.81640625" style="1" customWidth="1"/>
    <col min="728" max="728" width="11.453125" style="1" bestFit="1" customWidth="1"/>
    <col min="729" max="729" width="13.453125" style="1" customWidth="1"/>
    <col min="730" max="732" width="13.1796875" style="1" customWidth="1"/>
    <col min="733" max="746" width="13.453125" style="1" customWidth="1"/>
    <col min="747" max="747" width="14" style="1" customWidth="1"/>
    <col min="748" max="748" width="13.54296875" style="1" customWidth="1"/>
    <col min="749" max="749" width="48.453125" style="1" customWidth="1"/>
    <col min="750" max="982" width="9.1796875" style="1"/>
    <col min="983" max="983" width="0.81640625" style="1" customWidth="1"/>
    <col min="984" max="984" width="11.453125" style="1" bestFit="1" customWidth="1"/>
    <col min="985" max="985" width="13.453125" style="1" customWidth="1"/>
    <col min="986" max="988" width="13.1796875" style="1" customWidth="1"/>
    <col min="989" max="1002" width="13.453125" style="1" customWidth="1"/>
    <col min="1003" max="1003" width="14" style="1" customWidth="1"/>
    <col min="1004" max="1004" width="13.54296875" style="1" customWidth="1"/>
    <col min="1005" max="1005" width="48.453125" style="1" customWidth="1"/>
    <col min="1006" max="1238" width="9.1796875" style="1"/>
    <col min="1239" max="1239" width="0.81640625" style="1" customWidth="1"/>
    <col min="1240" max="1240" width="11.453125" style="1" bestFit="1" customWidth="1"/>
    <col min="1241" max="1241" width="13.453125" style="1" customWidth="1"/>
    <col min="1242" max="1244" width="13.1796875" style="1" customWidth="1"/>
    <col min="1245" max="1258" width="13.453125" style="1" customWidth="1"/>
    <col min="1259" max="1259" width="14" style="1" customWidth="1"/>
    <col min="1260" max="1260" width="13.54296875" style="1" customWidth="1"/>
    <col min="1261" max="1261" width="48.453125" style="1" customWidth="1"/>
    <col min="1262" max="1494" width="9.1796875" style="1"/>
    <col min="1495" max="1495" width="0.81640625" style="1" customWidth="1"/>
    <col min="1496" max="1496" width="11.453125" style="1" bestFit="1" customWidth="1"/>
    <col min="1497" max="1497" width="13.453125" style="1" customWidth="1"/>
    <col min="1498" max="1500" width="13.1796875" style="1" customWidth="1"/>
    <col min="1501" max="1514" width="13.453125" style="1" customWidth="1"/>
    <col min="1515" max="1515" width="14" style="1" customWidth="1"/>
    <col min="1516" max="1516" width="13.54296875" style="1" customWidth="1"/>
    <col min="1517" max="1517" width="48.453125" style="1" customWidth="1"/>
    <col min="1518" max="1750" width="9.1796875" style="1"/>
    <col min="1751" max="1751" width="0.81640625" style="1" customWidth="1"/>
    <col min="1752" max="1752" width="11.453125" style="1" bestFit="1" customWidth="1"/>
    <col min="1753" max="1753" width="13.453125" style="1" customWidth="1"/>
    <col min="1754" max="1756" width="13.1796875" style="1" customWidth="1"/>
    <col min="1757" max="1770" width="13.453125" style="1" customWidth="1"/>
    <col min="1771" max="1771" width="14" style="1" customWidth="1"/>
    <col min="1772" max="1772" width="13.54296875" style="1" customWidth="1"/>
    <col min="1773" max="1773" width="48.453125" style="1" customWidth="1"/>
    <col min="1774" max="2006" width="9.1796875" style="1"/>
    <col min="2007" max="2007" width="0.81640625" style="1" customWidth="1"/>
    <col min="2008" max="2008" width="11.453125" style="1" bestFit="1" customWidth="1"/>
    <col min="2009" max="2009" width="13.453125" style="1" customWidth="1"/>
    <col min="2010" max="2012" width="13.1796875" style="1" customWidth="1"/>
    <col min="2013" max="2026" width="13.453125" style="1" customWidth="1"/>
    <col min="2027" max="2027" width="14" style="1" customWidth="1"/>
    <col min="2028" max="2028" width="13.54296875" style="1" customWidth="1"/>
    <col min="2029" max="2029" width="48.453125" style="1" customWidth="1"/>
    <col min="2030" max="2262" width="9.1796875" style="1"/>
    <col min="2263" max="2263" width="0.81640625" style="1" customWidth="1"/>
    <col min="2264" max="2264" width="11.453125" style="1" bestFit="1" customWidth="1"/>
    <col min="2265" max="2265" width="13.453125" style="1" customWidth="1"/>
    <col min="2266" max="2268" width="13.1796875" style="1" customWidth="1"/>
    <col min="2269" max="2282" width="13.453125" style="1" customWidth="1"/>
    <col min="2283" max="2283" width="14" style="1" customWidth="1"/>
    <col min="2284" max="2284" width="13.54296875" style="1" customWidth="1"/>
    <col min="2285" max="2285" width="48.453125" style="1" customWidth="1"/>
    <col min="2286" max="2518" width="9.1796875" style="1"/>
    <col min="2519" max="2519" width="0.81640625" style="1" customWidth="1"/>
    <col min="2520" max="2520" width="11.453125" style="1" bestFit="1" customWidth="1"/>
    <col min="2521" max="2521" width="13.453125" style="1" customWidth="1"/>
    <col min="2522" max="2524" width="13.1796875" style="1" customWidth="1"/>
    <col min="2525" max="2538" width="13.453125" style="1" customWidth="1"/>
    <col min="2539" max="2539" width="14" style="1" customWidth="1"/>
    <col min="2540" max="2540" width="13.54296875" style="1" customWidth="1"/>
    <col min="2541" max="2541" width="48.453125" style="1" customWidth="1"/>
    <col min="2542" max="2774" width="9.1796875" style="1"/>
    <col min="2775" max="2775" width="0.81640625" style="1" customWidth="1"/>
    <col min="2776" max="2776" width="11.453125" style="1" bestFit="1" customWidth="1"/>
    <col min="2777" max="2777" width="13.453125" style="1" customWidth="1"/>
    <col min="2778" max="2780" width="13.1796875" style="1" customWidth="1"/>
    <col min="2781" max="2794" width="13.453125" style="1" customWidth="1"/>
    <col min="2795" max="2795" width="14" style="1" customWidth="1"/>
    <col min="2796" max="2796" width="13.54296875" style="1" customWidth="1"/>
    <col min="2797" max="2797" width="48.453125" style="1" customWidth="1"/>
    <col min="2798" max="3030" width="9.1796875" style="1"/>
    <col min="3031" max="3031" width="0.81640625" style="1" customWidth="1"/>
    <col min="3032" max="3032" width="11.453125" style="1" bestFit="1" customWidth="1"/>
    <col min="3033" max="3033" width="13.453125" style="1" customWidth="1"/>
    <col min="3034" max="3036" width="13.1796875" style="1" customWidth="1"/>
    <col min="3037" max="3050" width="13.453125" style="1" customWidth="1"/>
    <col min="3051" max="3051" width="14" style="1" customWidth="1"/>
    <col min="3052" max="3052" width="13.54296875" style="1" customWidth="1"/>
    <col min="3053" max="3053" width="48.453125" style="1" customWidth="1"/>
    <col min="3054" max="3286" width="9.1796875" style="1"/>
    <col min="3287" max="3287" width="0.81640625" style="1" customWidth="1"/>
    <col min="3288" max="3288" width="11.453125" style="1" bestFit="1" customWidth="1"/>
    <col min="3289" max="3289" width="13.453125" style="1" customWidth="1"/>
    <col min="3290" max="3292" width="13.1796875" style="1" customWidth="1"/>
    <col min="3293" max="3306" width="13.453125" style="1" customWidth="1"/>
    <col min="3307" max="3307" width="14" style="1" customWidth="1"/>
    <col min="3308" max="3308" width="13.54296875" style="1" customWidth="1"/>
    <col min="3309" max="3309" width="48.453125" style="1" customWidth="1"/>
    <col min="3310" max="3542" width="9.1796875" style="1"/>
    <col min="3543" max="3543" width="0.81640625" style="1" customWidth="1"/>
    <col min="3544" max="3544" width="11.453125" style="1" bestFit="1" customWidth="1"/>
    <col min="3545" max="3545" width="13.453125" style="1" customWidth="1"/>
    <col min="3546" max="3548" width="13.1796875" style="1" customWidth="1"/>
    <col min="3549" max="3562" width="13.453125" style="1" customWidth="1"/>
    <col min="3563" max="3563" width="14" style="1" customWidth="1"/>
    <col min="3564" max="3564" width="13.54296875" style="1" customWidth="1"/>
    <col min="3565" max="3565" width="48.453125" style="1" customWidth="1"/>
    <col min="3566" max="3798" width="9.1796875" style="1"/>
    <col min="3799" max="3799" width="0.81640625" style="1" customWidth="1"/>
    <col min="3800" max="3800" width="11.453125" style="1" bestFit="1" customWidth="1"/>
    <col min="3801" max="3801" width="13.453125" style="1" customWidth="1"/>
    <col min="3802" max="3804" width="13.1796875" style="1" customWidth="1"/>
    <col min="3805" max="3818" width="13.453125" style="1" customWidth="1"/>
    <col min="3819" max="3819" width="14" style="1" customWidth="1"/>
    <col min="3820" max="3820" width="13.54296875" style="1" customWidth="1"/>
    <col min="3821" max="3821" width="48.453125" style="1" customWidth="1"/>
    <col min="3822" max="4054" width="9.1796875" style="1"/>
    <col min="4055" max="4055" width="0.81640625" style="1" customWidth="1"/>
    <col min="4056" max="4056" width="11.453125" style="1" bestFit="1" customWidth="1"/>
    <col min="4057" max="4057" width="13.453125" style="1" customWidth="1"/>
    <col min="4058" max="4060" width="13.1796875" style="1" customWidth="1"/>
    <col min="4061" max="4074" width="13.453125" style="1" customWidth="1"/>
    <col min="4075" max="4075" width="14" style="1" customWidth="1"/>
    <col min="4076" max="4076" width="13.54296875" style="1" customWidth="1"/>
    <col min="4077" max="4077" width="48.453125" style="1" customWidth="1"/>
    <col min="4078" max="4310" width="9.1796875" style="1"/>
    <col min="4311" max="4311" width="0.81640625" style="1" customWidth="1"/>
    <col min="4312" max="4312" width="11.453125" style="1" bestFit="1" customWidth="1"/>
    <col min="4313" max="4313" width="13.453125" style="1" customWidth="1"/>
    <col min="4314" max="4316" width="13.1796875" style="1" customWidth="1"/>
    <col min="4317" max="4330" width="13.453125" style="1" customWidth="1"/>
    <col min="4331" max="4331" width="14" style="1" customWidth="1"/>
    <col min="4332" max="4332" width="13.54296875" style="1" customWidth="1"/>
    <col min="4333" max="4333" width="48.453125" style="1" customWidth="1"/>
    <col min="4334" max="4566" width="9.1796875" style="1"/>
    <col min="4567" max="4567" width="0.81640625" style="1" customWidth="1"/>
    <col min="4568" max="4568" width="11.453125" style="1" bestFit="1" customWidth="1"/>
    <col min="4569" max="4569" width="13.453125" style="1" customWidth="1"/>
    <col min="4570" max="4572" width="13.1796875" style="1" customWidth="1"/>
    <col min="4573" max="4586" width="13.453125" style="1" customWidth="1"/>
    <col min="4587" max="4587" width="14" style="1" customWidth="1"/>
    <col min="4588" max="4588" width="13.54296875" style="1" customWidth="1"/>
    <col min="4589" max="4589" width="48.453125" style="1" customWidth="1"/>
    <col min="4590" max="4822" width="9.1796875" style="1"/>
    <col min="4823" max="4823" width="0.81640625" style="1" customWidth="1"/>
    <col min="4824" max="4824" width="11.453125" style="1" bestFit="1" customWidth="1"/>
    <col min="4825" max="4825" width="13.453125" style="1" customWidth="1"/>
    <col min="4826" max="4828" width="13.1796875" style="1" customWidth="1"/>
    <col min="4829" max="4842" width="13.453125" style="1" customWidth="1"/>
    <col min="4843" max="4843" width="14" style="1" customWidth="1"/>
    <col min="4844" max="4844" width="13.54296875" style="1" customWidth="1"/>
    <col min="4845" max="4845" width="48.453125" style="1" customWidth="1"/>
    <col min="4846" max="5078" width="9.1796875" style="1"/>
    <col min="5079" max="5079" width="0.81640625" style="1" customWidth="1"/>
    <col min="5080" max="5080" width="11.453125" style="1" bestFit="1" customWidth="1"/>
    <col min="5081" max="5081" width="13.453125" style="1" customWidth="1"/>
    <col min="5082" max="5084" width="13.1796875" style="1" customWidth="1"/>
    <col min="5085" max="5098" width="13.453125" style="1" customWidth="1"/>
    <col min="5099" max="5099" width="14" style="1" customWidth="1"/>
    <col min="5100" max="5100" width="13.54296875" style="1" customWidth="1"/>
    <col min="5101" max="5101" width="48.453125" style="1" customWidth="1"/>
    <col min="5102" max="5334" width="9.1796875" style="1"/>
    <col min="5335" max="5335" width="0.81640625" style="1" customWidth="1"/>
    <col min="5336" max="5336" width="11.453125" style="1" bestFit="1" customWidth="1"/>
    <col min="5337" max="5337" width="13.453125" style="1" customWidth="1"/>
    <col min="5338" max="5340" width="13.1796875" style="1" customWidth="1"/>
    <col min="5341" max="5354" width="13.453125" style="1" customWidth="1"/>
    <col min="5355" max="5355" width="14" style="1" customWidth="1"/>
    <col min="5356" max="5356" width="13.54296875" style="1" customWidth="1"/>
    <col min="5357" max="5357" width="48.453125" style="1" customWidth="1"/>
    <col min="5358" max="5590" width="9.1796875" style="1"/>
    <col min="5591" max="5591" width="0.81640625" style="1" customWidth="1"/>
    <col min="5592" max="5592" width="11.453125" style="1" bestFit="1" customWidth="1"/>
    <col min="5593" max="5593" width="13.453125" style="1" customWidth="1"/>
    <col min="5594" max="5596" width="13.1796875" style="1" customWidth="1"/>
    <col min="5597" max="5610" width="13.453125" style="1" customWidth="1"/>
    <col min="5611" max="5611" width="14" style="1" customWidth="1"/>
    <col min="5612" max="5612" width="13.54296875" style="1" customWidth="1"/>
    <col min="5613" max="5613" width="48.453125" style="1" customWidth="1"/>
    <col min="5614" max="5846" width="9.1796875" style="1"/>
    <col min="5847" max="5847" width="0.81640625" style="1" customWidth="1"/>
    <col min="5848" max="5848" width="11.453125" style="1" bestFit="1" customWidth="1"/>
    <col min="5849" max="5849" width="13.453125" style="1" customWidth="1"/>
    <col min="5850" max="5852" width="13.1796875" style="1" customWidth="1"/>
    <col min="5853" max="5866" width="13.453125" style="1" customWidth="1"/>
    <col min="5867" max="5867" width="14" style="1" customWidth="1"/>
    <col min="5868" max="5868" width="13.54296875" style="1" customWidth="1"/>
    <col min="5869" max="5869" width="48.453125" style="1" customWidth="1"/>
    <col min="5870" max="6102" width="9.1796875" style="1"/>
    <col min="6103" max="6103" width="0.81640625" style="1" customWidth="1"/>
    <col min="6104" max="6104" width="11.453125" style="1" bestFit="1" customWidth="1"/>
    <col min="6105" max="6105" width="13.453125" style="1" customWidth="1"/>
    <col min="6106" max="6108" width="13.1796875" style="1" customWidth="1"/>
    <col min="6109" max="6122" width="13.453125" style="1" customWidth="1"/>
    <col min="6123" max="6123" width="14" style="1" customWidth="1"/>
    <col min="6124" max="6124" width="13.54296875" style="1" customWidth="1"/>
    <col min="6125" max="6125" width="48.453125" style="1" customWidth="1"/>
    <col min="6126" max="6358" width="9.1796875" style="1"/>
    <col min="6359" max="6359" width="0.81640625" style="1" customWidth="1"/>
    <col min="6360" max="6360" width="11.453125" style="1" bestFit="1" customWidth="1"/>
    <col min="6361" max="6361" width="13.453125" style="1" customWidth="1"/>
    <col min="6362" max="6364" width="13.1796875" style="1" customWidth="1"/>
    <col min="6365" max="6378" width="13.453125" style="1" customWidth="1"/>
    <col min="6379" max="6379" width="14" style="1" customWidth="1"/>
    <col min="6380" max="6380" width="13.54296875" style="1" customWidth="1"/>
    <col min="6381" max="6381" width="48.453125" style="1" customWidth="1"/>
    <col min="6382" max="6614" width="9.1796875" style="1"/>
    <col min="6615" max="6615" width="0.81640625" style="1" customWidth="1"/>
    <col min="6616" max="6616" width="11.453125" style="1" bestFit="1" customWidth="1"/>
    <col min="6617" max="6617" width="13.453125" style="1" customWidth="1"/>
    <col min="6618" max="6620" width="13.1796875" style="1" customWidth="1"/>
    <col min="6621" max="6634" width="13.453125" style="1" customWidth="1"/>
    <col min="6635" max="6635" width="14" style="1" customWidth="1"/>
    <col min="6636" max="6636" width="13.54296875" style="1" customWidth="1"/>
    <col min="6637" max="6637" width="48.453125" style="1" customWidth="1"/>
    <col min="6638" max="6870" width="9.1796875" style="1"/>
    <col min="6871" max="6871" width="0.81640625" style="1" customWidth="1"/>
    <col min="6872" max="6872" width="11.453125" style="1" bestFit="1" customWidth="1"/>
    <col min="6873" max="6873" width="13.453125" style="1" customWidth="1"/>
    <col min="6874" max="6876" width="13.1796875" style="1" customWidth="1"/>
    <col min="6877" max="6890" width="13.453125" style="1" customWidth="1"/>
    <col min="6891" max="6891" width="14" style="1" customWidth="1"/>
    <col min="6892" max="6892" width="13.54296875" style="1" customWidth="1"/>
    <col min="6893" max="6893" width="48.453125" style="1" customWidth="1"/>
    <col min="6894" max="7126" width="9.1796875" style="1"/>
    <col min="7127" max="7127" width="0.81640625" style="1" customWidth="1"/>
    <col min="7128" max="7128" width="11.453125" style="1" bestFit="1" customWidth="1"/>
    <col min="7129" max="7129" width="13.453125" style="1" customWidth="1"/>
    <col min="7130" max="7132" width="13.1796875" style="1" customWidth="1"/>
    <col min="7133" max="7146" width="13.453125" style="1" customWidth="1"/>
    <col min="7147" max="7147" width="14" style="1" customWidth="1"/>
    <col min="7148" max="7148" width="13.54296875" style="1" customWidth="1"/>
    <col min="7149" max="7149" width="48.453125" style="1" customWidth="1"/>
    <col min="7150" max="7382" width="9.1796875" style="1"/>
    <col min="7383" max="7383" width="0.81640625" style="1" customWidth="1"/>
    <col min="7384" max="7384" width="11.453125" style="1" bestFit="1" customWidth="1"/>
    <col min="7385" max="7385" width="13.453125" style="1" customWidth="1"/>
    <col min="7386" max="7388" width="13.1796875" style="1" customWidth="1"/>
    <col min="7389" max="7402" width="13.453125" style="1" customWidth="1"/>
    <col min="7403" max="7403" width="14" style="1" customWidth="1"/>
    <col min="7404" max="7404" width="13.54296875" style="1" customWidth="1"/>
    <col min="7405" max="7405" width="48.453125" style="1" customWidth="1"/>
    <col min="7406" max="7638" width="9.1796875" style="1"/>
    <col min="7639" max="7639" width="0.81640625" style="1" customWidth="1"/>
    <col min="7640" max="7640" width="11.453125" style="1" bestFit="1" customWidth="1"/>
    <col min="7641" max="7641" width="13.453125" style="1" customWidth="1"/>
    <col min="7642" max="7644" width="13.1796875" style="1" customWidth="1"/>
    <col min="7645" max="7658" width="13.453125" style="1" customWidth="1"/>
    <col min="7659" max="7659" width="14" style="1" customWidth="1"/>
    <col min="7660" max="7660" width="13.54296875" style="1" customWidth="1"/>
    <col min="7661" max="7661" width="48.453125" style="1" customWidth="1"/>
    <col min="7662" max="7894" width="9.1796875" style="1"/>
    <col min="7895" max="7895" width="0.81640625" style="1" customWidth="1"/>
    <col min="7896" max="7896" width="11.453125" style="1" bestFit="1" customWidth="1"/>
    <col min="7897" max="7897" width="13.453125" style="1" customWidth="1"/>
    <col min="7898" max="7900" width="13.1796875" style="1" customWidth="1"/>
    <col min="7901" max="7914" width="13.453125" style="1" customWidth="1"/>
    <col min="7915" max="7915" width="14" style="1" customWidth="1"/>
    <col min="7916" max="7916" width="13.54296875" style="1" customWidth="1"/>
    <col min="7917" max="7917" width="48.453125" style="1" customWidth="1"/>
    <col min="7918" max="8150" width="9.1796875" style="1"/>
    <col min="8151" max="8151" width="0.81640625" style="1" customWidth="1"/>
    <col min="8152" max="8152" width="11.453125" style="1" bestFit="1" customWidth="1"/>
    <col min="8153" max="8153" width="13.453125" style="1" customWidth="1"/>
    <col min="8154" max="8156" width="13.1796875" style="1" customWidth="1"/>
    <col min="8157" max="8170" width="13.453125" style="1" customWidth="1"/>
    <col min="8171" max="8171" width="14" style="1" customWidth="1"/>
    <col min="8172" max="8172" width="13.54296875" style="1" customWidth="1"/>
    <col min="8173" max="8173" width="48.453125" style="1" customWidth="1"/>
    <col min="8174" max="8406" width="9.1796875" style="1"/>
    <col min="8407" max="8407" width="0.81640625" style="1" customWidth="1"/>
    <col min="8408" max="8408" width="11.453125" style="1" bestFit="1" customWidth="1"/>
    <col min="8409" max="8409" width="13.453125" style="1" customWidth="1"/>
    <col min="8410" max="8412" width="13.1796875" style="1" customWidth="1"/>
    <col min="8413" max="8426" width="13.453125" style="1" customWidth="1"/>
    <col min="8427" max="8427" width="14" style="1" customWidth="1"/>
    <col min="8428" max="8428" width="13.54296875" style="1" customWidth="1"/>
    <col min="8429" max="8429" width="48.453125" style="1" customWidth="1"/>
    <col min="8430" max="8662" width="9.1796875" style="1"/>
    <col min="8663" max="8663" width="0.81640625" style="1" customWidth="1"/>
    <col min="8664" max="8664" width="11.453125" style="1" bestFit="1" customWidth="1"/>
    <col min="8665" max="8665" width="13.453125" style="1" customWidth="1"/>
    <col min="8666" max="8668" width="13.1796875" style="1" customWidth="1"/>
    <col min="8669" max="8682" width="13.453125" style="1" customWidth="1"/>
    <col min="8683" max="8683" width="14" style="1" customWidth="1"/>
    <col min="8684" max="8684" width="13.54296875" style="1" customWidth="1"/>
    <col min="8685" max="8685" width="48.453125" style="1" customWidth="1"/>
    <col min="8686" max="8918" width="9.1796875" style="1"/>
    <col min="8919" max="8919" width="0.81640625" style="1" customWidth="1"/>
    <col min="8920" max="8920" width="11.453125" style="1" bestFit="1" customWidth="1"/>
    <col min="8921" max="8921" width="13.453125" style="1" customWidth="1"/>
    <col min="8922" max="8924" width="13.1796875" style="1" customWidth="1"/>
    <col min="8925" max="8938" width="13.453125" style="1" customWidth="1"/>
    <col min="8939" max="8939" width="14" style="1" customWidth="1"/>
    <col min="8940" max="8940" width="13.54296875" style="1" customWidth="1"/>
    <col min="8941" max="8941" width="48.453125" style="1" customWidth="1"/>
    <col min="8942" max="9174" width="9.1796875" style="1"/>
    <col min="9175" max="9175" width="0.81640625" style="1" customWidth="1"/>
    <col min="9176" max="9176" width="11.453125" style="1" bestFit="1" customWidth="1"/>
    <col min="9177" max="9177" width="13.453125" style="1" customWidth="1"/>
    <col min="9178" max="9180" width="13.1796875" style="1" customWidth="1"/>
    <col min="9181" max="9194" width="13.453125" style="1" customWidth="1"/>
    <col min="9195" max="9195" width="14" style="1" customWidth="1"/>
    <col min="9196" max="9196" width="13.54296875" style="1" customWidth="1"/>
    <col min="9197" max="9197" width="48.453125" style="1" customWidth="1"/>
    <col min="9198" max="9430" width="9.1796875" style="1"/>
    <col min="9431" max="9431" width="0.81640625" style="1" customWidth="1"/>
    <col min="9432" max="9432" width="11.453125" style="1" bestFit="1" customWidth="1"/>
    <col min="9433" max="9433" width="13.453125" style="1" customWidth="1"/>
    <col min="9434" max="9436" width="13.1796875" style="1" customWidth="1"/>
    <col min="9437" max="9450" width="13.453125" style="1" customWidth="1"/>
    <col min="9451" max="9451" width="14" style="1" customWidth="1"/>
    <col min="9452" max="9452" width="13.54296875" style="1" customWidth="1"/>
    <col min="9453" max="9453" width="48.453125" style="1" customWidth="1"/>
    <col min="9454" max="9686" width="9.1796875" style="1"/>
    <col min="9687" max="9687" width="0.81640625" style="1" customWidth="1"/>
    <col min="9688" max="9688" width="11.453125" style="1" bestFit="1" customWidth="1"/>
    <col min="9689" max="9689" width="13.453125" style="1" customWidth="1"/>
    <col min="9690" max="9692" width="13.1796875" style="1" customWidth="1"/>
    <col min="9693" max="9706" width="13.453125" style="1" customWidth="1"/>
    <col min="9707" max="9707" width="14" style="1" customWidth="1"/>
    <col min="9708" max="9708" width="13.54296875" style="1" customWidth="1"/>
    <col min="9709" max="9709" width="48.453125" style="1" customWidth="1"/>
    <col min="9710" max="9942" width="9.1796875" style="1"/>
    <col min="9943" max="9943" width="0.81640625" style="1" customWidth="1"/>
    <col min="9944" max="9944" width="11.453125" style="1" bestFit="1" customWidth="1"/>
    <col min="9945" max="9945" width="13.453125" style="1" customWidth="1"/>
    <col min="9946" max="9948" width="13.1796875" style="1" customWidth="1"/>
    <col min="9949" max="9962" width="13.453125" style="1" customWidth="1"/>
    <col min="9963" max="9963" width="14" style="1" customWidth="1"/>
    <col min="9964" max="9964" width="13.54296875" style="1" customWidth="1"/>
    <col min="9965" max="9965" width="48.453125" style="1" customWidth="1"/>
    <col min="9966" max="10198" width="9.1796875" style="1"/>
    <col min="10199" max="10199" width="0.81640625" style="1" customWidth="1"/>
    <col min="10200" max="10200" width="11.453125" style="1" bestFit="1" customWidth="1"/>
    <col min="10201" max="10201" width="13.453125" style="1" customWidth="1"/>
    <col min="10202" max="10204" width="13.1796875" style="1" customWidth="1"/>
    <col min="10205" max="10218" width="13.453125" style="1" customWidth="1"/>
    <col min="10219" max="10219" width="14" style="1" customWidth="1"/>
    <col min="10220" max="10220" width="13.54296875" style="1" customWidth="1"/>
    <col min="10221" max="10221" width="48.453125" style="1" customWidth="1"/>
    <col min="10222" max="10454" width="9.1796875" style="1"/>
    <col min="10455" max="10455" width="0.81640625" style="1" customWidth="1"/>
    <col min="10456" max="10456" width="11.453125" style="1" bestFit="1" customWidth="1"/>
    <col min="10457" max="10457" width="13.453125" style="1" customWidth="1"/>
    <col min="10458" max="10460" width="13.1796875" style="1" customWidth="1"/>
    <col min="10461" max="10474" width="13.453125" style="1" customWidth="1"/>
    <col min="10475" max="10475" width="14" style="1" customWidth="1"/>
    <col min="10476" max="10476" width="13.54296875" style="1" customWidth="1"/>
    <col min="10477" max="10477" width="48.453125" style="1" customWidth="1"/>
    <col min="10478" max="10710" width="9.1796875" style="1"/>
    <col min="10711" max="10711" width="0.81640625" style="1" customWidth="1"/>
    <col min="10712" max="10712" width="11.453125" style="1" bestFit="1" customWidth="1"/>
    <col min="10713" max="10713" width="13.453125" style="1" customWidth="1"/>
    <col min="10714" max="10716" width="13.1796875" style="1" customWidth="1"/>
    <col min="10717" max="10730" width="13.453125" style="1" customWidth="1"/>
    <col min="10731" max="10731" width="14" style="1" customWidth="1"/>
    <col min="10732" max="10732" width="13.54296875" style="1" customWidth="1"/>
    <col min="10733" max="10733" width="48.453125" style="1" customWidth="1"/>
    <col min="10734" max="10966" width="9.1796875" style="1"/>
    <col min="10967" max="10967" width="0.81640625" style="1" customWidth="1"/>
    <col min="10968" max="10968" width="11.453125" style="1" bestFit="1" customWidth="1"/>
    <col min="10969" max="10969" width="13.453125" style="1" customWidth="1"/>
    <col min="10970" max="10972" width="13.1796875" style="1" customWidth="1"/>
    <col min="10973" max="10986" width="13.453125" style="1" customWidth="1"/>
    <col min="10987" max="10987" width="14" style="1" customWidth="1"/>
    <col min="10988" max="10988" width="13.54296875" style="1" customWidth="1"/>
    <col min="10989" max="10989" width="48.453125" style="1" customWidth="1"/>
    <col min="10990" max="11222" width="9.1796875" style="1"/>
    <col min="11223" max="11223" width="0.81640625" style="1" customWidth="1"/>
    <col min="11224" max="11224" width="11.453125" style="1" bestFit="1" customWidth="1"/>
    <col min="11225" max="11225" width="13.453125" style="1" customWidth="1"/>
    <col min="11226" max="11228" width="13.1796875" style="1" customWidth="1"/>
    <col min="11229" max="11242" width="13.453125" style="1" customWidth="1"/>
    <col min="11243" max="11243" width="14" style="1" customWidth="1"/>
    <col min="11244" max="11244" width="13.54296875" style="1" customWidth="1"/>
    <col min="11245" max="11245" width="48.453125" style="1" customWidth="1"/>
    <col min="11246" max="11478" width="9.1796875" style="1"/>
    <col min="11479" max="11479" width="0.81640625" style="1" customWidth="1"/>
    <col min="11480" max="11480" width="11.453125" style="1" bestFit="1" customWidth="1"/>
    <col min="11481" max="11481" width="13.453125" style="1" customWidth="1"/>
    <col min="11482" max="11484" width="13.1796875" style="1" customWidth="1"/>
    <col min="11485" max="11498" width="13.453125" style="1" customWidth="1"/>
    <col min="11499" max="11499" width="14" style="1" customWidth="1"/>
    <col min="11500" max="11500" width="13.54296875" style="1" customWidth="1"/>
    <col min="11501" max="11501" width="48.453125" style="1" customWidth="1"/>
    <col min="11502" max="11734" width="9.1796875" style="1"/>
    <col min="11735" max="11735" width="0.81640625" style="1" customWidth="1"/>
    <col min="11736" max="11736" width="11.453125" style="1" bestFit="1" customWidth="1"/>
    <col min="11737" max="11737" width="13.453125" style="1" customWidth="1"/>
    <col min="11738" max="11740" width="13.1796875" style="1" customWidth="1"/>
    <col min="11741" max="11754" width="13.453125" style="1" customWidth="1"/>
    <col min="11755" max="11755" width="14" style="1" customWidth="1"/>
    <col min="11756" max="11756" width="13.54296875" style="1" customWidth="1"/>
    <col min="11757" max="11757" width="48.453125" style="1" customWidth="1"/>
    <col min="11758" max="11990" width="9.1796875" style="1"/>
    <col min="11991" max="11991" width="0.81640625" style="1" customWidth="1"/>
    <col min="11992" max="11992" width="11.453125" style="1" bestFit="1" customWidth="1"/>
    <col min="11993" max="11993" width="13.453125" style="1" customWidth="1"/>
    <col min="11994" max="11996" width="13.1796875" style="1" customWidth="1"/>
    <col min="11997" max="12010" width="13.453125" style="1" customWidth="1"/>
    <col min="12011" max="12011" width="14" style="1" customWidth="1"/>
    <col min="12012" max="12012" width="13.54296875" style="1" customWidth="1"/>
    <col min="12013" max="12013" width="48.453125" style="1" customWidth="1"/>
    <col min="12014" max="12246" width="9.1796875" style="1"/>
    <col min="12247" max="12247" width="0.81640625" style="1" customWidth="1"/>
    <col min="12248" max="12248" width="11.453125" style="1" bestFit="1" customWidth="1"/>
    <col min="12249" max="12249" width="13.453125" style="1" customWidth="1"/>
    <col min="12250" max="12252" width="13.1796875" style="1" customWidth="1"/>
    <col min="12253" max="12266" width="13.453125" style="1" customWidth="1"/>
    <col min="12267" max="12267" width="14" style="1" customWidth="1"/>
    <col min="12268" max="12268" width="13.54296875" style="1" customWidth="1"/>
    <col min="12269" max="12269" width="48.453125" style="1" customWidth="1"/>
    <col min="12270" max="12502" width="9.1796875" style="1"/>
    <col min="12503" max="12503" width="0.81640625" style="1" customWidth="1"/>
    <col min="12504" max="12504" width="11.453125" style="1" bestFit="1" customWidth="1"/>
    <col min="12505" max="12505" width="13.453125" style="1" customWidth="1"/>
    <col min="12506" max="12508" width="13.1796875" style="1" customWidth="1"/>
    <col min="12509" max="12522" width="13.453125" style="1" customWidth="1"/>
    <col min="12523" max="12523" width="14" style="1" customWidth="1"/>
    <col min="12524" max="12524" width="13.54296875" style="1" customWidth="1"/>
    <col min="12525" max="12525" width="48.453125" style="1" customWidth="1"/>
    <col min="12526" max="12758" width="9.1796875" style="1"/>
    <col min="12759" max="12759" width="0.81640625" style="1" customWidth="1"/>
    <col min="12760" max="12760" width="11.453125" style="1" bestFit="1" customWidth="1"/>
    <col min="12761" max="12761" width="13.453125" style="1" customWidth="1"/>
    <col min="12762" max="12764" width="13.1796875" style="1" customWidth="1"/>
    <col min="12765" max="12778" width="13.453125" style="1" customWidth="1"/>
    <col min="12779" max="12779" width="14" style="1" customWidth="1"/>
    <col min="12780" max="12780" width="13.54296875" style="1" customWidth="1"/>
    <col min="12781" max="12781" width="48.453125" style="1" customWidth="1"/>
    <col min="12782" max="13014" width="9.1796875" style="1"/>
    <col min="13015" max="13015" width="0.81640625" style="1" customWidth="1"/>
    <col min="13016" max="13016" width="11.453125" style="1" bestFit="1" customWidth="1"/>
    <col min="13017" max="13017" width="13.453125" style="1" customWidth="1"/>
    <col min="13018" max="13020" width="13.1796875" style="1" customWidth="1"/>
    <col min="13021" max="13034" width="13.453125" style="1" customWidth="1"/>
    <col min="13035" max="13035" width="14" style="1" customWidth="1"/>
    <col min="13036" max="13036" width="13.54296875" style="1" customWidth="1"/>
    <col min="13037" max="13037" width="48.453125" style="1" customWidth="1"/>
    <col min="13038" max="13270" width="9.1796875" style="1"/>
    <col min="13271" max="13271" width="0.81640625" style="1" customWidth="1"/>
    <col min="13272" max="13272" width="11.453125" style="1" bestFit="1" customWidth="1"/>
    <col min="13273" max="13273" width="13.453125" style="1" customWidth="1"/>
    <col min="13274" max="13276" width="13.1796875" style="1" customWidth="1"/>
    <col min="13277" max="13290" width="13.453125" style="1" customWidth="1"/>
    <col min="13291" max="13291" width="14" style="1" customWidth="1"/>
    <col min="13292" max="13292" width="13.54296875" style="1" customWidth="1"/>
    <col min="13293" max="13293" width="48.453125" style="1" customWidth="1"/>
    <col min="13294" max="13526" width="9.1796875" style="1"/>
    <col min="13527" max="13527" width="0.81640625" style="1" customWidth="1"/>
    <col min="13528" max="13528" width="11.453125" style="1" bestFit="1" customWidth="1"/>
    <col min="13529" max="13529" width="13.453125" style="1" customWidth="1"/>
    <col min="13530" max="13532" width="13.1796875" style="1" customWidth="1"/>
    <col min="13533" max="13546" width="13.453125" style="1" customWidth="1"/>
    <col min="13547" max="13547" width="14" style="1" customWidth="1"/>
    <col min="13548" max="13548" width="13.54296875" style="1" customWidth="1"/>
    <col min="13549" max="13549" width="48.453125" style="1" customWidth="1"/>
    <col min="13550" max="13782" width="9.1796875" style="1"/>
    <col min="13783" max="13783" width="0.81640625" style="1" customWidth="1"/>
    <col min="13784" max="13784" width="11.453125" style="1" bestFit="1" customWidth="1"/>
    <col min="13785" max="13785" width="13.453125" style="1" customWidth="1"/>
    <col min="13786" max="13788" width="13.1796875" style="1" customWidth="1"/>
    <col min="13789" max="13802" width="13.453125" style="1" customWidth="1"/>
    <col min="13803" max="13803" width="14" style="1" customWidth="1"/>
    <col min="13804" max="13804" width="13.54296875" style="1" customWidth="1"/>
    <col min="13805" max="13805" width="48.453125" style="1" customWidth="1"/>
    <col min="13806" max="14038" width="9.1796875" style="1"/>
    <col min="14039" max="14039" width="0.81640625" style="1" customWidth="1"/>
    <col min="14040" max="14040" width="11.453125" style="1" bestFit="1" customWidth="1"/>
    <col min="14041" max="14041" width="13.453125" style="1" customWidth="1"/>
    <col min="14042" max="14044" width="13.1796875" style="1" customWidth="1"/>
    <col min="14045" max="14058" width="13.453125" style="1" customWidth="1"/>
    <col min="14059" max="14059" width="14" style="1" customWidth="1"/>
    <col min="14060" max="14060" width="13.54296875" style="1" customWidth="1"/>
    <col min="14061" max="14061" width="48.453125" style="1" customWidth="1"/>
    <col min="14062" max="14294" width="9.1796875" style="1"/>
    <col min="14295" max="14295" width="0.81640625" style="1" customWidth="1"/>
    <col min="14296" max="14296" width="11.453125" style="1" bestFit="1" customWidth="1"/>
    <col min="14297" max="14297" width="13.453125" style="1" customWidth="1"/>
    <col min="14298" max="14300" width="13.1796875" style="1" customWidth="1"/>
    <col min="14301" max="14314" width="13.453125" style="1" customWidth="1"/>
    <col min="14315" max="14315" width="14" style="1" customWidth="1"/>
    <col min="14316" max="14316" width="13.54296875" style="1" customWidth="1"/>
    <col min="14317" max="14317" width="48.453125" style="1" customWidth="1"/>
    <col min="14318" max="14550" width="9.1796875" style="1"/>
    <col min="14551" max="14551" width="0.81640625" style="1" customWidth="1"/>
    <col min="14552" max="14552" width="11.453125" style="1" bestFit="1" customWidth="1"/>
    <col min="14553" max="14553" width="13.453125" style="1" customWidth="1"/>
    <col min="14554" max="14556" width="13.1796875" style="1" customWidth="1"/>
    <col min="14557" max="14570" width="13.453125" style="1" customWidth="1"/>
    <col min="14571" max="14571" width="14" style="1" customWidth="1"/>
    <col min="14572" max="14572" width="13.54296875" style="1" customWidth="1"/>
    <col min="14573" max="14573" width="48.453125" style="1" customWidth="1"/>
    <col min="14574" max="14806" width="9.1796875" style="1"/>
    <col min="14807" max="14807" width="0.81640625" style="1" customWidth="1"/>
    <col min="14808" max="14808" width="11.453125" style="1" bestFit="1" customWidth="1"/>
    <col min="14809" max="14809" width="13.453125" style="1" customWidth="1"/>
    <col min="14810" max="14812" width="13.1796875" style="1" customWidth="1"/>
    <col min="14813" max="14826" width="13.453125" style="1" customWidth="1"/>
    <col min="14827" max="14827" width="14" style="1" customWidth="1"/>
    <col min="14828" max="14828" width="13.54296875" style="1" customWidth="1"/>
    <col min="14829" max="14829" width="48.453125" style="1" customWidth="1"/>
    <col min="14830" max="15062" width="9.1796875" style="1"/>
    <col min="15063" max="15063" width="0.81640625" style="1" customWidth="1"/>
    <col min="15064" max="15064" width="11.453125" style="1" bestFit="1" customWidth="1"/>
    <col min="15065" max="15065" width="13.453125" style="1" customWidth="1"/>
    <col min="15066" max="15068" width="13.1796875" style="1" customWidth="1"/>
    <col min="15069" max="15082" width="13.453125" style="1" customWidth="1"/>
    <col min="15083" max="15083" width="14" style="1" customWidth="1"/>
    <col min="15084" max="15084" width="13.54296875" style="1" customWidth="1"/>
    <col min="15085" max="15085" width="48.453125" style="1" customWidth="1"/>
    <col min="15086" max="15318" width="9.1796875" style="1"/>
    <col min="15319" max="15319" width="0.81640625" style="1" customWidth="1"/>
    <col min="15320" max="15320" width="11.453125" style="1" bestFit="1" customWidth="1"/>
    <col min="15321" max="15321" width="13.453125" style="1" customWidth="1"/>
    <col min="15322" max="15324" width="13.1796875" style="1" customWidth="1"/>
    <col min="15325" max="15338" width="13.453125" style="1" customWidth="1"/>
    <col min="15339" max="15339" width="14" style="1" customWidth="1"/>
    <col min="15340" max="15340" width="13.54296875" style="1" customWidth="1"/>
    <col min="15341" max="15341" width="48.453125" style="1" customWidth="1"/>
    <col min="15342" max="15574" width="9.1796875" style="1"/>
    <col min="15575" max="15575" width="0.81640625" style="1" customWidth="1"/>
    <col min="15576" max="15576" width="11.453125" style="1" bestFit="1" customWidth="1"/>
    <col min="15577" max="15577" width="13.453125" style="1" customWidth="1"/>
    <col min="15578" max="15580" width="13.1796875" style="1" customWidth="1"/>
    <col min="15581" max="15594" width="13.453125" style="1" customWidth="1"/>
    <col min="15595" max="15595" width="14" style="1" customWidth="1"/>
    <col min="15596" max="15596" width="13.54296875" style="1" customWidth="1"/>
    <col min="15597" max="15597" width="48.453125" style="1" customWidth="1"/>
    <col min="15598" max="15830" width="9.1796875" style="1"/>
    <col min="15831" max="15831" width="0.81640625" style="1" customWidth="1"/>
    <col min="15832" max="15832" width="11.453125" style="1" bestFit="1" customWidth="1"/>
    <col min="15833" max="15833" width="13.453125" style="1" customWidth="1"/>
    <col min="15834" max="15836" width="13.1796875" style="1" customWidth="1"/>
    <col min="15837" max="15850" width="13.453125" style="1" customWidth="1"/>
    <col min="15851" max="15851" width="14" style="1" customWidth="1"/>
    <col min="15852" max="15852" width="13.54296875" style="1" customWidth="1"/>
    <col min="15853" max="15853" width="48.453125" style="1" customWidth="1"/>
    <col min="15854" max="16086" width="9.1796875" style="1"/>
    <col min="16087" max="16087" width="0.81640625" style="1" customWidth="1"/>
    <col min="16088" max="16088" width="11.453125" style="1" bestFit="1" customWidth="1"/>
    <col min="16089" max="16089" width="13.453125" style="1" customWidth="1"/>
    <col min="16090" max="16092" width="13.1796875" style="1" customWidth="1"/>
    <col min="16093" max="16106" width="13.453125" style="1" customWidth="1"/>
    <col min="16107" max="16107" width="14" style="1" customWidth="1"/>
    <col min="16108" max="16108" width="13.54296875" style="1" customWidth="1"/>
    <col min="16109" max="16109" width="48.453125" style="1" customWidth="1"/>
    <col min="16110" max="16384" width="9.1796875" style="1"/>
  </cols>
  <sheetData>
    <row r="1" spans="2:90" s="1784" customFormat="1" ht="10.5">
      <c r="H1" s="1785" t="s">
        <v>274</v>
      </c>
      <c r="I1" s="1785"/>
      <c r="AF1" s="1786"/>
      <c r="BJ1" s="1786"/>
      <c r="BM1" s="1786"/>
      <c r="BP1" s="1786"/>
      <c r="BS1" s="1786"/>
      <c r="BU1" s="1786"/>
      <c r="BX1" s="1787"/>
    </row>
    <row r="2" spans="2:90" s="1784" customFormat="1" ht="10.5">
      <c r="H2" s="1785" t="s">
        <v>0</v>
      </c>
      <c r="I2" s="1785"/>
      <c r="K2" s="1788"/>
      <c r="L2" s="1788"/>
      <c r="M2" s="1788"/>
      <c r="N2" s="1788"/>
      <c r="O2" s="1788"/>
      <c r="P2" s="1788"/>
      <c r="Q2" s="1788"/>
      <c r="R2" s="1788"/>
      <c r="S2" s="1788"/>
      <c r="T2" s="1788"/>
      <c r="U2" s="1788"/>
      <c r="V2" s="1788"/>
      <c r="W2" s="1788"/>
      <c r="X2" s="1788"/>
      <c r="Y2" s="1788"/>
      <c r="Z2" s="1788"/>
      <c r="AA2" s="1788"/>
      <c r="AB2" s="1788"/>
      <c r="AC2" s="1788"/>
      <c r="AF2" s="1786"/>
      <c r="BJ2" s="1786"/>
      <c r="BM2" s="1786"/>
      <c r="BP2" s="1786"/>
      <c r="BS2" s="1786"/>
      <c r="BU2" s="1786"/>
      <c r="BX2" s="1787"/>
    </row>
    <row r="3" spans="2:90">
      <c r="H3" s="4" t="s">
        <v>1</v>
      </c>
      <c r="I3" s="4"/>
      <c r="J3" s="5">
        <v>44927</v>
      </c>
      <c r="K3" s="3"/>
      <c r="L3" s="3"/>
      <c r="M3" s="3"/>
      <c r="N3" s="3"/>
      <c r="O3" s="3"/>
      <c r="P3" s="3"/>
      <c r="Q3" s="3"/>
      <c r="R3" s="3"/>
      <c r="S3" s="3"/>
      <c r="T3" s="169"/>
      <c r="U3" s="3"/>
      <c r="V3" s="3"/>
      <c r="W3" s="3"/>
      <c r="X3" s="1422"/>
      <c r="Y3" s="3"/>
      <c r="Z3" s="1423"/>
      <c r="AA3" s="3"/>
      <c r="AB3" s="3"/>
      <c r="AC3" s="169"/>
    </row>
    <row r="4" spans="2:90">
      <c r="H4" s="4" t="s">
        <v>2</v>
      </c>
      <c r="I4" s="4"/>
      <c r="J4" s="5">
        <v>45291</v>
      </c>
      <c r="K4" s="6"/>
      <c r="L4" s="6"/>
      <c r="M4" s="6"/>
      <c r="N4" s="6"/>
      <c r="O4" s="6"/>
      <c r="P4" s="6"/>
      <c r="Q4" s="6"/>
      <c r="R4" s="6"/>
      <c r="S4" s="6"/>
      <c r="T4" s="6"/>
      <c r="U4" s="6"/>
      <c r="V4" s="6"/>
      <c r="W4" s="6"/>
      <c r="X4" s="1424"/>
      <c r="Y4" s="6"/>
      <c r="Z4" s="6"/>
      <c r="AA4" s="6"/>
      <c r="AB4" s="6"/>
      <c r="AC4" s="6"/>
      <c r="AF4" s="1425"/>
      <c r="AH4" s="1422"/>
    </row>
    <row r="5" spans="2:90">
      <c r="H5" s="4" t="s">
        <v>3</v>
      </c>
      <c r="I5" s="4"/>
      <c r="J5" s="7">
        <f ca="1">TODAY()</f>
        <v>45232</v>
      </c>
      <c r="K5" s="7"/>
    </row>
    <row r="6" spans="2:90" ht="15" thickBot="1">
      <c r="B6" s="165">
        <v>1</v>
      </c>
      <c r="C6" s="165">
        <v>2</v>
      </c>
      <c r="D6" s="166">
        <v>3</v>
      </c>
      <c r="E6" s="166">
        <v>4</v>
      </c>
      <c r="F6" s="166">
        <v>5</v>
      </c>
      <c r="G6" s="166">
        <v>6</v>
      </c>
      <c r="H6" s="166">
        <v>7</v>
      </c>
      <c r="I6" s="166">
        <v>8</v>
      </c>
      <c r="J6" s="166">
        <v>9</v>
      </c>
      <c r="K6" s="166">
        <v>10</v>
      </c>
      <c r="L6" s="166">
        <v>11</v>
      </c>
      <c r="M6" s="166">
        <v>12</v>
      </c>
      <c r="N6" s="166">
        <v>13</v>
      </c>
      <c r="O6" s="166">
        <v>14</v>
      </c>
      <c r="P6" s="166">
        <v>15</v>
      </c>
      <c r="Q6" s="166">
        <v>16</v>
      </c>
      <c r="R6" s="166">
        <v>17</v>
      </c>
      <c r="S6" s="166">
        <v>18</v>
      </c>
      <c r="T6" s="166">
        <v>19</v>
      </c>
      <c r="U6" s="166">
        <v>20</v>
      </c>
      <c r="V6" s="166">
        <v>21</v>
      </c>
      <c r="W6" s="166">
        <v>22</v>
      </c>
      <c r="X6" s="166">
        <v>23</v>
      </c>
      <c r="Y6" s="166">
        <v>24</v>
      </c>
      <c r="Z6" s="166">
        <v>25</v>
      </c>
      <c r="AA6" s="166">
        <v>26</v>
      </c>
      <c r="AB6" s="166">
        <v>27</v>
      </c>
      <c r="AC6" s="166">
        <v>28</v>
      </c>
      <c r="AD6" s="166">
        <v>29</v>
      </c>
      <c r="AE6" s="166">
        <v>30</v>
      </c>
      <c r="AF6" s="1255">
        <v>31</v>
      </c>
      <c r="AG6" s="166">
        <v>32</v>
      </c>
      <c r="AH6" s="166">
        <v>33</v>
      </c>
      <c r="AI6" s="166">
        <v>34</v>
      </c>
      <c r="AJ6" s="166">
        <v>35</v>
      </c>
      <c r="AK6" s="166">
        <v>36</v>
      </c>
      <c r="AL6" s="166">
        <v>37</v>
      </c>
      <c r="AM6" s="166">
        <v>38</v>
      </c>
      <c r="AN6" s="166">
        <v>39</v>
      </c>
    </row>
    <row r="7" spans="2:90" ht="21.5" customHeight="1" thickBot="1">
      <c r="B7" s="1937" t="s">
        <v>1458</v>
      </c>
      <c r="C7" s="1938"/>
      <c r="D7" s="1938"/>
      <c r="E7" s="1938"/>
      <c r="F7" s="1938"/>
      <c r="G7" s="1938"/>
      <c r="H7" s="1938"/>
      <c r="I7" s="1938"/>
      <c r="J7" s="1938"/>
      <c r="K7" s="1938"/>
      <c r="L7" s="1938"/>
      <c r="M7" s="1938"/>
      <c r="N7" s="1938"/>
      <c r="O7" s="1938"/>
      <c r="P7" s="1938"/>
      <c r="Q7" s="1938"/>
      <c r="R7" s="1938"/>
      <c r="S7" s="1938"/>
      <c r="T7" s="1938"/>
      <c r="U7" s="1938"/>
      <c r="V7" s="1938"/>
      <c r="W7" s="1938"/>
      <c r="X7" s="1938"/>
      <c r="Y7" s="1938"/>
      <c r="Z7" s="1938"/>
      <c r="AA7" s="1938"/>
      <c r="AB7" s="1938"/>
      <c r="AC7" s="1938"/>
      <c r="AD7" s="1938"/>
      <c r="AE7" s="1938"/>
      <c r="AF7" s="1938"/>
      <c r="AG7" s="1938"/>
      <c r="AH7" s="1938"/>
      <c r="AI7" s="1938"/>
      <c r="AJ7" s="1938"/>
      <c r="AK7" s="1938"/>
      <c r="AL7" s="1938"/>
      <c r="AM7" s="1938"/>
      <c r="AN7" s="1939"/>
      <c r="AS7" s="425">
        <v>2</v>
      </c>
      <c r="AT7" s="425">
        <v>3</v>
      </c>
      <c r="AU7" s="425">
        <v>4</v>
      </c>
      <c r="AV7" s="425">
        <v>5</v>
      </c>
      <c r="AW7" s="425">
        <v>6</v>
      </c>
      <c r="AX7" s="425">
        <v>7</v>
      </c>
      <c r="AY7" s="425">
        <v>8</v>
      </c>
      <c r="AZ7" s="425">
        <v>9</v>
      </c>
      <c r="BA7" s="425">
        <v>10</v>
      </c>
      <c r="BB7" s="425">
        <v>11</v>
      </c>
      <c r="BC7" s="425">
        <v>12</v>
      </c>
      <c r="BD7" s="425">
        <v>13</v>
      </c>
      <c r="BE7" s="425">
        <v>14</v>
      </c>
      <c r="BF7" s="425">
        <v>15</v>
      </c>
      <c r="BG7" s="425">
        <v>16</v>
      </c>
      <c r="BH7" s="425">
        <v>17</v>
      </c>
      <c r="BI7" s="425">
        <v>18</v>
      </c>
      <c r="BJ7" s="1110">
        <v>19</v>
      </c>
      <c r="BK7" s="1">
        <v>20</v>
      </c>
      <c r="BL7" s="1">
        <v>21</v>
      </c>
      <c r="BM7" s="1110">
        <v>22</v>
      </c>
      <c r="BN7" s="1">
        <v>23</v>
      </c>
      <c r="BO7" s="1">
        <v>24</v>
      </c>
      <c r="BP7" s="1110">
        <v>25</v>
      </c>
      <c r="BQ7" s="1">
        <v>26</v>
      </c>
      <c r="BR7" s="1">
        <v>27</v>
      </c>
      <c r="BS7" s="1110">
        <v>28</v>
      </c>
      <c r="BT7" s="1">
        <v>29</v>
      </c>
      <c r="BU7" s="1110">
        <v>30</v>
      </c>
      <c r="BV7" s="1">
        <v>31</v>
      </c>
      <c r="BW7" s="1">
        <v>32</v>
      </c>
      <c r="BX7" s="1832">
        <v>33</v>
      </c>
      <c r="BY7" s="1">
        <v>34</v>
      </c>
      <c r="BZ7" s="1">
        <v>35</v>
      </c>
      <c r="CA7" s="1">
        <v>36</v>
      </c>
      <c r="CB7" s="1">
        <v>37</v>
      </c>
      <c r="CC7" s="1">
        <v>38</v>
      </c>
      <c r="CD7" s="1">
        <v>39</v>
      </c>
      <c r="CE7" s="1">
        <v>40</v>
      </c>
      <c r="CF7" s="1">
        <v>41</v>
      </c>
      <c r="CG7" s="1">
        <v>42</v>
      </c>
      <c r="CH7" s="1">
        <v>43</v>
      </c>
      <c r="CI7" s="1">
        <v>44</v>
      </c>
      <c r="CJ7" s="1">
        <v>45</v>
      </c>
      <c r="CK7" s="1">
        <v>46</v>
      </c>
      <c r="CL7" s="1">
        <v>47</v>
      </c>
    </row>
    <row r="8" spans="2:90" ht="25.5" customHeight="1" thickBot="1">
      <c r="B8" s="1940" t="s">
        <v>4</v>
      </c>
      <c r="C8" s="1941" t="s">
        <v>5</v>
      </c>
      <c r="D8" s="1942"/>
      <c r="E8" s="1942"/>
      <c r="F8" s="1942"/>
      <c r="G8" s="1942"/>
      <c r="H8" s="1942"/>
      <c r="I8" s="1943"/>
      <c r="J8" s="1941" t="s">
        <v>6</v>
      </c>
      <c r="K8" s="1942"/>
      <c r="L8" s="1942"/>
      <c r="M8" s="1942"/>
      <c r="N8" s="1942"/>
      <c r="O8" s="1942"/>
      <c r="P8" s="1943"/>
      <c r="Q8" s="1941" t="s">
        <v>1375</v>
      </c>
      <c r="R8" s="1942"/>
      <c r="S8" s="1942"/>
      <c r="T8" s="1941" t="s">
        <v>1376</v>
      </c>
      <c r="U8" s="1942"/>
      <c r="V8" s="1942"/>
      <c r="W8" s="1944" t="s">
        <v>7</v>
      </c>
      <c r="X8" s="1945"/>
      <c r="Y8" s="1945"/>
      <c r="Z8" s="1945"/>
      <c r="AA8" s="1945"/>
      <c r="AB8" s="1945"/>
      <c r="AC8" s="1946"/>
      <c r="AD8" s="1947" t="s">
        <v>1377</v>
      </c>
      <c r="AE8" s="1948"/>
      <c r="AF8" s="1948"/>
      <c r="AG8" s="1948"/>
      <c r="AH8" s="1948"/>
      <c r="AI8" s="1948"/>
      <c r="AJ8" s="1948"/>
      <c r="AK8" s="1948"/>
      <c r="AL8" s="1948"/>
      <c r="AM8" s="1948"/>
      <c r="AN8" s="1949"/>
      <c r="AO8" s="165">
        <v>40</v>
      </c>
      <c r="AP8" s="165">
        <v>41</v>
      </c>
      <c r="AQ8" s="165">
        <v>42</v>
      </c>
      <c r="AR8" s="165">
        <v>43</v>
      </c>
      <c r="AS8" s="165">
        <v>44</v>
      </c>
      <c r="AT8" s="165">
        <v>45</v>
      </c>
      <c r="AU8" s="165">
        <v>46</v>
      </c>
      <c r="AV8" s="165">
        <v>47</v>
      </c>
      <c r="AW8" s="165">
        <v>48</v>
      </c>
      <c r="AX8" s="165">
        <v>49</v>
      </c>
      <c r="AY8" s="165">
        <v>50</v>
      </c>
      <c r="AZ8" s="165">
        <v>51</v>
      </c>
      <c r="BA8" s="165">
        <v>52</v>
      </c>
      <c r="BB8" s="165">
        <v>53</v>
      </c>
      <c r="BC8" s="165">
        <v>54</v>
      </c>
      <c r="BD8" s="165">
        <v>55</v>
      </c>
      <c r="BE8" s="165">
        <v>56</v>
      </c>
      <c r="BF8" s="165">
        <v>57</v>
      </c>
      <c r="BG8" s="165">
        <v>58</v>
      </c>
      <c r="BH8" s="165">
        <v>59</v>
      </c>
      <c r="BI8" s="165">
        <v>60</v>
      </c>
      <c r="BJ8" s="1426">
        <v>61</v>
      </c>
      <c r="BK8" s="165">
        <v>62</v>
      </c>
      <c r="BL8" s="165">
        <v>63</v>
      </c>
      <c r="BM8" s="1426">
        <v>64</v>
      </c>
      <c r="BN8" s="165">
        <v>65</v>
      </c>
      <c r="BO8" s="165">
        <v>66</v>
      </c>
      <c r="BP8" s="1426">
        <v>67</v>
      </c>
      <c r="BQ8" s="165">
        <v>68</v>
      </c>
      <c r="BR8" s="165">
        <v>69</v>
      </c>
      <c r="BS8" s="1426">
        <v>70</v>
      </c>
      <c r="BT8" s="165">
        <v>71</v>
      </c>
      <c r="BU8" s="1110">
        <v>72</v>
      </c>
      <c r="BV8" s="1">
        <v>73</v>
      </c>
      <c r="BW8" s="1">
        <v>74</v>
      </c>
      <c r="BX8" s="1832">
        <v>75</v>
      </c>
      <c r="BY8" s="1">
        <v>76</v>
      </c>
      <c r="BZ8" s="1">
        <v>77</v>
      </c>
      <c r="CA8" s="1">
        <v>78</v>
      </c>
      <c r="CB8" s="1">
        <v>79</v>
      </c>
      <c r="CC8" s="1">
        <v>80</v>
      </c>
      <c r="CD8" s="1">
        <v>81</v>
      </c>
      <c r="CE8" s="1">
        <v>82</v>
      </c>
      <c r="CF8" s="1">
        <v>83</v>
      </c>
      <c r="CG8" s="1">
        <v>84</v>
      </c>
      <c r="CH8" s="1">
        <v>85</v>
      </c>
      <c r="CI8" s="1">
        <v>86</v>
      </c>
      <c r="CJ8" s="1">
        <v>87</v>
      </c>
      <c r="CK8" s="1">
        <v>88</v>
      </c>
      <c r="CL8" s="1">
        <v>89</v>
      </c>
    </row>
    <row r="9" spans="2:90" ht="49" customHeight="1" thickBot="1">
      <c r="B9" s="1940"/>
      <c r="C9" s="1950" t="s">
        <v>8</v>
      </c>
      <c r="D9" s="1950"/>
      <c r="E9" s="1951"/>
      <c r="F9" s="1950" t="s">
        <v>1378</v>
      </c>
      <c r="G9" s="1950"/>
      <c r="H9" s="1951"/>
      <c r="I9" s="1427" t="s">
        <v>1379</v>
      </c>
      <c r="J9" s="1951" t="s">
        <v>8</v>
      </c>
      <c r="K9" s="1935"/>
      <c r="L9" s="1935"/>
      <c r="M9" s="1935" t="s">
        <v>1378</v>
      </c>
      <c r="N9" s="1935"/>
      <c r="O9" s="1936"/>
      <c r="P9" s="1427" t="s">
        <v>1380</v>
      </c>
      <c r="Q9" s="1935" t="s">
        <v>1381</v>
      </c>
      <c r="R9" s="1935"/>
      <c r="S9" s="1936"/>
      <c r="T9" s="1935" t="s">
        <v>1382</v>
      </c>
      <c r="U9" s="1935"/>
      <c r="V9" s="1936"/>
      <c r="W9" s="1935" t="s">
        <v>1383</v>
      </c>
      <c r="X9" s="1935"/>
      <c r="Y9" s="1936"/>
      <c r="Z9" s="1428" t="s">
        <v>1384</v>
      </c>
      <c r="AA9" s="1428" t="s">
        <v>1385</v>
      </c>
      <c r="AB9" s="1428" t="s">
        <v>1386</v>
      </c>
      <c r="AC9" s="1428" t="s">
        <v>1387</v>
      </c>
      <c r="AD9" s="1931" t="s">
        <v>201</v>
      </c>
      <c r="AE9" s="1932"/>
      <c r="AF9" s="1933" t="s">
        <v>195</v>
      </c>
      <c r="AG9" s="1934"/>
      <c r="AH9" s="1428" t="s">
        <v>1444</v>
      </c>
      <c r="AI9" s="1428" t="s">
        <v>1445</v>
      </c>
      <c r="AJ9" s="1428" t="s">
        <v>1450</v>
      </c>
      <c r="AK9" s="1428" t="s">
        <v>1446</v>
      </c>
      <c r="AL9" s="1429" t="s">
        <v>1447</v>
      </c>
      <c r="AM9" s="1429" t="s">
        <v>1448</v>
      </c>
      <c r="AN9" s="1429" t="s">
        <v>1449</v>
      </c>
      <c r="AO9" s="1420" t="s">
        <v>1388</v>
      </c>
      <c r="AP9" s="1420" t="s">
        <v>1389</v>
      </c>
      <c r="AQ9" s="1420" t="s">
        <v>1390</v>
      </c>
      <c r="AR9" s="1420" t="s">
        <v>1391</v>
      </c>
      <c r="AS9" s="1420" t="s">
        <v>272</v>
      </c>
      <c r="AT9" s="1420" t="s">
        <v>273</v>
      </c>
      <c r="AU9" s="1420" t="s">
        <v>1392</v>
      </c>
      <c r="AV9" s="1420" t="s">
        <v>1393</v>
      </c>
      <c r="AW9" s="1419" t="s">
        <v>163</v>
      </c>
      <c r="AX9" s="1430" t="s">
        <v>196</v>
      </c>
      <c r="AY9" s="174" t="s">
        <v>160</v>
      </c>
      <c r="AZ9" s="174" t="s">
        <v>161</v>
      </c>
      <c r="BA9" s="1431" t="s">
        <v>162</v>
      </c>
      <c r="BB9" s="1792" t="s">
        <v>198</v>
      </c>
      <c r="BC9" s="1431" t="s">
        <v>199</v>
      </c>
      <c r="BD9" s="174" t="s">
        <v>1394</v>
      </c>
      <c r="BE9" s="1420" t="s">
        <v>1395</v>
      </c>
      <c r="BF9" s="1420" t="s">
        <v>1396</v>
      </c>
      <c r="BG9" s="1420" t="s">
        <v>1397</v>
      </c>
      <c r="BH9" s="1534" t="s">
        <v>1078</v>
      </c>
      <c r="BI9" s="1420" t="s">
        <v>1398</v>
      </c>
      <c r="BJ9" s="1928" t="s">
        <v>1210</v>
      </c>
      <c r="BK9" s="1929"/>
      <c r="BL9" s="1930"/>
      <c r="BM9" s="1928" t="s">
        <v>1211</v>
      </c>
      <c r="BN9" s="1929"/>
      <c r="BO9" s="1930"/>
      <c r="BP9" s="1928" t="s">
        <v>1212</v>
      </c>
      <c r="BQ9" s="1929"/>
      <c r="BR9" s="1930"/>
      <c r="BS9" s="1928" t="s">
        <v>1399</v>
      </c>
      <c r="BT9" s="1929"/>
      <c r="BU9" s="1928" t="s">
        <v>1400</v>
      </c>
      <c r="BV9" s="1929"/>
      <c r="BW9" s="1928" t="s">
        <v>1401</v>
      </c>
      <c r="BX9" s="1930"/>
      <c r="BY9" s="1432" t="s">
        <v>1402</v>
      </c>
      <c r="BZ9" s="1432" t="s">
        <v>217</v>
      </c>
      <c r="CA9" s="1432" t="s">
        <v>1403</v>
      </c>
      <c r="CB9" s="1432" t="s">
        <v>1404</v>
      </c>
      <c r="CC9" s="1432" t="s">
        <v>1405</v>
      </c>
      <c r="CD9" s="1432" t="s">
        <v>1406</v>
      </c>
      <c r="CE9" s="1419" t="s">
        <v>1474</v>
      </c>
      <c r="CF9" s="1432" t="s">
        <v>1407</v>
      </c>
      <c r="CG9" s="1432" t="s">
        <v>217</v>
      </c>
      <c r="CH9" s="1432" t="s">
        <v>1404</v>
      </c>
      <c r="CI9" s="1432" t="s">
        <v>1405</v>
      </c>
      <c r="CJ9" s="1433" t="s">
        <v>1408</v>
      </c>
      <c r="CK9" s="174" t="s">
        <v>73</v>
      </c>
      <c r="CL9" s="174" t="s">
        <v>165</v>
      </c>
    </row>
    <row r="10" spans="2:90" ht="26.5" thickBot="1">
      <c r="B10" s="1940"/>
      <c r="C10" s="16" t="s">
        <v>1409</v>
      </c>
      <c r="D10" s="14" t="s">
        <v>1410</v>
      </c>
      <c r="E10" s="14" t="s">
        <v>12</v>
      </c>
      <c r="F10" s="15" t="s">
        <v>1409</v>
      </c>
      <c r="G10" s="1434" t="s">
        <v>10</v>
      </c>
      <c r="H10" s="1435" t="s">
        <v>12</v>
      </c>
      <c r="I10" s="17" t="s">
        <v>1409</v>
      </c>
      <c r="J10" s="16" t="s">
        <v>1409</v>
      </c>
      <c r="K10" s="14" t="s">
        <v>1410</v>
      </c>
      <c r="L10" s="16" t="s">
        <v>12</v>
      </c>
      <c r="M10" s="14" t="s">
        <v>1409</v>
      </c>
      <c r="N10" s="14" t="s">
        <v>10</v>
      </c>
      <c r="O10" s="17" t="s">
        <v>12</v>
      </c>
      <c r="P10" s="13" t="s">
        <v>1409</v>
      </c>
      <c r="Q10" s="13" t="s">
        <v>1409</v>
      </c>
      <c r="R10" s="14" t="s">
        <v>1411</v>
      </c>
      <c r="S10" s="17" t="s">
        <v>12</v>
      </c>
      <c r="T10" s="13" t="s">
        <v>1409</v>
      </c>
      <c r="U10" s="14" t="s">
        <v>1411</v>
      </c>
      <c r="V10" s="17" t="s">
        <v>12</v>
      </c>
      <c r="W10" s="13" t="s">
        <v>1412</v>
      </c>
      <c r="X10" s="13" t="s">
        <v>1413</v>
      </c>
      <c r="Y10" s="18" t="s">
        <v>1414</v>
      </c>
      <c r="Z10" s="18" t="s">
        <v>1415</v>
      </c>
      <c r="AA10" s="18" t="s">
        <v>1416</v>
      </c>
      <c r="AB10" s="18" t="s">
        <v>1417</v>
      </c>
      <c r="AC10" s="18" t="s">
        <v>1417</v>
      </c>
      <c r="AD10" s="18" t="s">
        <v>1409</v>
      </c>
      <c r="AE10" s="18" t="s">
        <v>1418</v>
      </c>
      <c r="AF10" s="18" t="s">
        <v>1409</v>
      </c>
      <c r="AG10" s="18" t="s">
        <v>1418</v>
      </c>
      <c r="AH10" s="18" t="s">
        <v>1409</v>
      </c>
      <c r="AI10" s="19" t="s">
        <v>1409</v>
      </c>
      <c r="AJ10" s="19" t="s">
        <v>1409</v>
      </c>
      <c r="AK10" s="19" t="s">
        <v>1409</v>
      </c>
      <c r="AL10" s="19" t="s">
        <v>1409</v>
      </c>
      <c r="AM10" s="18" t="s">
        <v>1409</v>
      </c>
      <c r="AN10" s="18" t="s">
        <v>1409</v>
      </c>
      <c r="AO10" s="19" t="s">
        <v>164</v>
      </c>
      <c r="AP10" s="19" t="s">
        <v>164</v>
      </c>
      <c r="AQ10" s="19" t="s">
        <v>164</v>
      </c>
      <c r="AR10" s="19" t="s">
        <v>164</v>
      </c>
      <c r="AS10" s="18" t="s">
        <v>11</v>
      </c>
      <c r="AT10" s="18" t="s">
        <v>11</v>
      </c>
      <c r="AU10" s="19" t="s">
        <v>164</v>
      </c>
      <c r="AV10" s="19" t="s">
        <v>164</v>
      </c>
      <c r="AW10" s="19" t="s">
        <v>164</v>
      </c>
      <c r="AX10" s="19" t="s">
        <v>164</v>
      </c>
      <c r="AY10" s="19" t="s">
        <v>164</v>
      </c>
      <c r="AZ10" s="19" t="s">
        <v>164</v>
      </c>
      <c r="BA10" s="19" t="s">
        <v>164</v>
      </c>
      <c r="BB10" s="19" t="s">
        <v>164</v>
      </c>
      <c r="BC10" s="19" t="s">
        <v>164</v>
      </c>
      <c r="BD10" s="19" t="s">
        <v>164</v>
      </c>
      <c r="BE10" s="18" t="s">
        <v>1419</v>
      </c>
      <c r="BF10" s="18" t="s">
        <v>1419</v>
      </c>
      <c r="BG10" s="18" t="s">
        <v>1419</v>
      </c>
      <c r="BH10" s="18" t="s">
        <v>11</v>
      </c>
      <c r="BI10" s="18" t="s">
        <v>11</v>
      </c>
      <c r="BJ10" s="19" t="s">
        <v>11</v>
      </c>
      <c r="BK10" s="19" t="s">
        <v>164</v>
      </c>
      <c r="BL10" s="1421" t="s">
        <v>535</v>
      </c>
      <c r="BM10" s="19" t="s">
        <v>11</v>
      </c>
      <c r="BN10" s="19" t="s">
        <v>164</v>
      </c>
      <c r="BO10" s="1421" t="s">
        <v>535</v>
      </c>
      <c r="BP10" s="19" t="s">
        <v>11</v>
      </c>
      <c r="BQ10" s="19" t="s">
        <v>164</v>
      </c>
      <c r="BR10" s="19" t="s">
        <v>535</v>
      </c>
      <c r="BS10" s="19" t="s">
        <v>11</v>
      </c>
      <c r="BT10" s="19" t="s">
        <v>164</v>
      </c>
      <c r="BU10" s="19" t="s">
        <v>11</v>
      </c>
      <c r="BV10" s="19" t="s">
        <v>164</v>
      </c>
      <c r="BW10" s="18" t="s">
        <v>11</v>
      </c>
      <c r="BX10" s="19" t="s">
        <v>164</v>
      </c>
      <c r="BY10" s="18" t="s">
        <v>11</v>
      </c>
      <c r="BZ10" s="18" t="s">
        <v>11</v>
      </c>
      <c r="CA10" s="18" t="s">
        <v>11</v>
      </c>
      <c r="CB10" s="18" t="s">
        <v>11</v>
      </c>
      <c r="CC10" s="18" t="s">
        <v>11</v>
      </c>
      <c r="CD10" s="19" t="s">
        <v>164</v>
      </c>
      <c r="CE10" s="19" t="s">
        <v>164</v>
      </c>
      <c r="CF10" s="19" t="s">
        <v>164</v>
      </c>
      <c r="CG10" s="19" t="s">
        <v>164</v>
      </c>
      <c r="CH10" s="19" t="s">
        <v>164</v>
      </c>
      <c r="CI10" s="19" t="s">
        <v>164</v>
      </c>
      <c r="CJ10" s="19" t="s">
        <v>1419</v>
      </c>
      <c r="CK10" s="19" t="s">
        <v>580</v>
      </c>
      <c r="CL10" s="19" t="s">
        <v>580</v>
      </c>
    </row>
    <row r="11" spans="2:90">
      <c r="B11" s="1436">
        <v>44927</v>
      </c>
      <c r="C11" s="204">
        <f t="shared" ref="C11:C74" ca="1" si="0">I11-F11</f>
        <v>143.53999999992084</v>
      </c>
      <c r="D11" s="202">
        <f ca="1">'CALCULO DE GAS'!D4</f>
        <v>3.3164106404488516</v>
      </c>
      <c r="E11" s="202">
        <f ca="1">IF(B11&gt;=$J$5,0,(CONTADORES!$AB3-CONTADORES!$AB2)-$H11)</f>
        <v>24</v>
      </c>
      <c r="F11" s="204">
        <f t="shared" ref="F11:F19" ca="1" si="1">IF(H11=0,0,"ERROR")</f>
        <v>0</v>
      </c>
      <c r="G11" s="202">
        <f ca="1">IF(B11&gt;=$J$5,0,CONTADORES!$AD3-CONTADORES!$AD2)</f>
        <v>0</v>
      </c>
      <c r="H11" s="1437">
        <f ca="1">IF(G11&gt;0,CONTADORES!$AC3-CONTADORES!$AC2,0)</f>
        <v>0</v>
      </c>
      <c r="I11" s="205">
        <f ca="1">IF(B11&gt;=$J$5,0,CONTADORES!$Z3-CONTADORES!$Z2)</f>
        <v>143.53999999992084</v>
      </c>
      <c r="J11" s="204">
        <f t="shared" ref="J11:J74" ca="1" si="2">P11-M11</f>
        <v>281.23999999999978</v>
      </c>
      <c r="K11" s="202">
        <f ca="1">'CALCULO DE GAS'!E4</f>
        <v>4.3375567078651684</v>
      </c>
      <c r="L11" s="1437">
        <f ca="1">IF(B11&gt;=$J$5,0,(CONTADORES!$W3-CONTADORES!$W2)-$O11)</f>
        <v>24</v>
      </c>
      <c r="M11" s="1437">
        <f t="shared" ref="M11:M45" ca="1" si="3">IF(O11=0,0,"ERROR")</f>
        <v>0</v>
      </c>
      <c r="N11" s="1437">
        <f ca="1">IF(B11&gt;=$J$5,0,CONTADORES!$Y3-CONTADORES!$Y2)</f>
        <v>0</v>
      </c>
      <c r="O11" s="1437">
        <f ca="1">IF(N11&gt;0,CONTADORES!$X3-CONTADORES!$X2,0)</f>
        <v>0</v>
      </c>
      <c r="P11" s="208">
        <f ca="1">IF(B11&gt;=$J$5,0,CONTADORES!$U3-CONTADORES!$U2)</f>
        <v>281.23999999999978</v>
      </c>
      <c r="Q11" s="208">
        <f ca="1">IF(B11&gt;=$J$5,0,CONTADORES!$B3-CONTADORES!$B2)</f>
        <v>0</v>
      </c>
      <c r="R11" s="202">
        <f t="shared" ref="R11:R74" ca="1" si="4">$Q11*120</f>
        <v>0</v>
      </c>
      <c r="S11" s="11">
        <f ca="1">IF(B11&gt;=$J$5,0,CONTADORES!$D3-CONTADORES!$D2)</f>
        <v>0</v>
      </c>
      <c r="T11" s="217">
        <f ca="1">IF(B11&gt;=$J$5,0,CONTADORES!$AZ3-CONTADORES!$AZ2)</f>
        <v>0</v>
      </c>
      <c r="U11" s="210">
        <f t="shared" ref="U11:U42" ca="1" si="5">$T11*120</f>
        <v>0</v>
      </c>
      <c r="V11" s="218">
        <f ca="1">IF(B11&gt;=$J$5,0,CONTADORES!$BB3-CONTADORES!$BB2)</f>
        <v>0</v>
      </c>
      <c r="W11" s="1438">
        <f t="shared" ref="W11:W74" ca="1" si="6">C11+J11</f>
        <v>424.77999999992062</v>
      </c>
      <c r="X11" s="1438">
        <f t="shared" ref="X11:X74" ca="1" si="7">F11+M11+Q11+T11</f>
        <v>0</v>
      </c>
      <c r="Y11" s="1439">
        <f t="shared" ref="Y11:Y74" ca="1" si="8">W11+X11</f>
        <v>424.77999999992062</v>
      </c>
      <c r="Z11" s="1439">
        <f t="shared" ref="Z11:Z74" ca="1" si="9">D11+K11</f>
        <v>7.65396734831402</v>
      </c>
      <c r="AA11" s="1439">
        <f t="shared" ref="AA11:AA74" ca="1" si="10">G11+N11+R11+U11</f>
        <v>0</v>
      </c>
      <c r="AB11" s="1439">
        <f t="shared" ref="AB11:AB74" ca="1" si="11">E11+L11</f>
        <v>48</v>
      </c>
      <c r="AC11" s="1438">
        <f t="shared" ref="AC11:AC74" ca="1" si="12">H11+O11+S11+V11</f>
        <v>0</v>
      </c>
      <c r="AD11" s="1438">
        <f ca="1">IF(B11&gt;=$J$5,0,CONTADORES!H3-CONTADORES!H2)</f>
        <v>157.19999999995343</v>
      </c>
      <c r="AE11" s="1438">
        <f ca="1">IF(B11&gt;=$J$5,0,CONTADORES!J3-CONTADORES!J2)</f>
        <v>24</v>
      </c>
      <c r="AF11" s="1438">
        <f ca="1">IF(B11&gt;=$J$5,0,CONTADORES!AS3-CONTADORES!AS2)</f>
        <v>134.70000000001164</v>
      </c>
      <c r="AG11" s="1438">
        <f ca="1">IF(B11&gt;=$J$5,0,CONTADORES!AU3-CONTADORES!AU2)</f>
        <v>24</v>
      </c>
      <c r="AH11" s="1438">
        <f ca="1">IF(B11&gt;=$J$5,0,(CONTADORES!AK3-CONTADORES!AK2)+(CONTADORES!K3-CONTADORES!K2))</f>
        <v>8.0999999999985448</v>
      </c>
      <c r="AI11" s="1438">
        <f ca="1">IF(B11&gt;=$J$5,0,(CONTADORES!AI3-CONTADORES!AI2)+(CONTADORES!M3-CONTADORES!M2))</f>
        <v>41.92000000000553</v>
      </c>
      <c r="AJ11" s="1438">
        <f ca="1">IF(B11&gt;=$J$5,0,(CONTADORES!AG3-CONTADORES!AG2))</f>
        <v>7.2299999999959255</v>
      </c>
      <c r="AK11" s="1438">
        <f ca="1">IF(B11&gt;=$J$5,0,(CONTADORES!O3-CONTADORES!O2))</f>
        <v>14.880000000004657</v>
      </c>
      <c r="AL11" s="1438">
        <f t="shared" ref="AL11:AL74" ca="1" si="13">Y11-(AD11+AF11+AH11+AI11+AJ11+AK11+CA11+CB11+BJ11+BM11+BP11+BW11+CC11)</f>
        <v>31.64999999997417</v>
      </c>
      <c r="AM11" s="1438">
        <f ca="1">IF(B11&gt;=$J$5,0,(((CONTADORES!F3-CONTADORES!F2)+(CONTADORES!AO3-CONTADORES!AO2))))-BJ11-AF11-AN11-BM11-BP11-BU11-BS11</f>
        <v>10.697999999976988</v>
      </c>
      <c r="AN11" s="1438">
        <f ca="1">IF(B11&gt;=$J$5,0,(CONTADORES!AV3-CONTADORES!AV2)+(CONTADORES!AX3-CONTADORES!AX2)+(CONTADORES!BC3-CONTADORES!BC2))-BS11</f>
        <v>3.0980000000000185</v>
      </c>
      <c r="AO11" s="1440">
        <f>CONTADORES!AA3-CONTADORES!AA2</f>
        <v>70.029999999969732</v>
      </c>
      <c r="AP11" s="1440">
        <f>CONTADORES!V3-CONTADORES!V2</f>
        <v>149.65000000000055</v>
      </c>
      <c r="AQ11" s="1445">
        <f ca="1">IF(B11&gt;=$J$5,0,(CONTADORES!C3-CONTADORES!C2))</f>
        <v>0</v>
      </c>
      <c r="AR11" s="1440">
        <f>(CONTADORES!BA3-CONTADORES!BA2)</f>
        <v>0</v>
      </c>
      <c r="AS11" s="1438">
        <f ca="1">IF(B11&gt;=$J$5,0,CONTADORES!Q3-CONTADORES!Q2)</f>
        <v>17.019999999989523</v>
      </c>
      <c r="AT11" s="1438">
        <f ca="1">IF(B11&gt;=$J$5,0,(CONTADORES!S3-CONTADORES!S2)+(CONTADORES!AE3-CONTADORES!AE2))</f>
        <v>2.0299999999988358</v>
      </c>
      <c r="AU11" s="1438">
        <f>CONTADORES!I3-CONTADORES!I2</f>
        <v>80.700000000011642</v>
      </c>
      <c r="AV11" s="1438">
        <f>CONTADORES!AT3-CONTADORES!AT2</f>
        <v>59</v>
      </c>
      <c r="AW11" s="1438">
        <f ca="1">IF(B11&gt;=$J$5,0,(CONTADORES!L3-CONTADORES!L2)+(CONTADORES!AL3-CONTADORES!AL2))</f>
        <v>3.2000000000007276</v>
      </c>
      <c r="AX11" s="1438">
        <f ca="1">IF(B11&gt;=$J$5,0,(CONTADORES!N3-CONTADORES!N2)+(CONTADORES!AJ3-CONTADORES!AJ2))</f>
        <v>33.189999999995052</v>
      </c>
      <c r="AY11" s="1438">
        <f ca="1">IF(B11&gt;=$J$5,0,(CONTADORES!AH3-CONTADORES!AH2))</f>
        <v>5.7699999999967986</v>
      </c>
      <c r="AZ11" s="1438">
        <f ca="1">IF(B11&gt;=$J$5,0,(CONTADORES!P3-CONTADORES!P2))</f>
        <v>12.789999999993597</v>
      </c>
      <c r="BA11" s="1441">
        <f t="shared" ref="BA11:BA74" ca="1" si="14">BD11-(AU11+AV11+AW11+AX11+AY11+AZ11+BK11+BN11+BQ11+BX11+CF11+CH11+CI11)</f>
        <v>14.287999999983697</v>
      </c>
      <c r="BB11" s="1442">
        <f ca="1">IF(B11&gt;=$J$5,0,(((CONTADORES!G3-CONTADORES!G2)+(CONTADORES!AP3-CONTADORES!AP2))))-AV11-BC11-BK11-BN11-BQ11-BV11</f>
        <v>3.201999999988832</v>
      </c>
      <c r="BC11" s="1440">
        <f ca="1">IF(B11&gt;=$J$5,0,(CONTADORES!AW3-CONTADORES!AW2)+(CONTADORES!AY3-CONTADORES!AY2)+(CONTADORES!BD3-CONTADORES!BD2))-BT11</f>
        <v>1.8780000000002546</v>
      </c>
      <c r="BD11" s="1438">
        <f t="shared" ref="BD11:BD74" ca="1" si="15">SUM(AO11:AR11)</f>
        <v>219.67999999997028</v>
      </c>
      <c r="BE11" s="1438">
        <f ca="1">IF($B11&gt;=$J$5,0,CONTADORES!$BE3)</f>
        <v>6488</v>
      </c>
      <c r="BF11" s="1438">
        <f ca="1">IF($B11&gt;=$J$5,0,CONTADORES!$BF3)</f>
        <v>20926.280701754298</v>
      </c>
      <c r="BG11" s="1438">
        <f ca="1">IF($B11&gt;=$J$5,0,CONTADORES!$BH3)</f>
        <v>6132.38</v>
      </c>
      <c r="BH11" s="1438">
        <f ca="1">IF(B11&gt;=$J$5,0,(CONTADORES!AQ3-CONTADORES!AQ2))</f>
        <v>5.8000000000029104</v>
      </c>
      <c r="BI11" s="1438">
        <f ca="1">IF(C11&gt;=$J$5,0,(CONTADORES!AR3-CONTADORES!AR2))</f>
        <v>0</v>
      </c>
      <c r="BJ11" s="1438">
        <f ca="1">IF(B11&gt;=$J$5,0,CONTADORES!BI3-CONTADORES!BI2)/1000</f>
        <v>0</v>
      </c>
      <c r="BK11" s="1438">
        <f ca="1">IF(B11&gt;=$J$5,0,CONTADORES!BJ3-CONTADORES!BJ2)</f>
        <v>0</v>
      </c>
      <c r="BL11" s="1438">
        <f ca="1">IF(B11&gt;=$J$5,0,CONTADORES!BK3-CONTADORES!BK2)</f>
        <v>0</v>
      </c>
      <c r="BM11" s="1438">
        <f ca="1">IF(B11&gt;=$J$5,0,CONTADORES!BL3-CONTADORES!BL2)/1000</f>
        <v>3.738</v>
      </c>
      <c r="BN11" s="1438">
        <f ca="1">IF(B11&gt;=$J$5,0,CONTADORES!BM3-CONTADORES!BM2)/1000</f>
        <v>0.14399999999999999</v>
      </c>
      <c r="BO11" s="1438">
        <f ca="1">IF(B11&gt;=$J$5,0,CONTADORES!BN3-CONTADORES!BN2)</f>
        <v>24</v>
      </c>
      <c r="BP11" s="1438">
        <f ca="1">IF(B11&gt;=$J$5,0,CONTADORES!BO3-CONTADORES!BO2)/1000</f>
        <v>3.1139999999999999</v>
      </c>
      <c r="BQ11" s="1438">
        <f ca="1">IF(B11&gt;=$J$5,0,CONTADORES!BP3-CONTADORES!BP2)/1000</f>
        <v>2.5999999999999999E-2</v>
      </c>
      <c r="BR11" s="1438">
        <f ca="1">IF(B11&gt;=$J$5,0,CONTADORES!BQ3-CONTADORES!BQ2)</f>
        <v>24</v>
      </c>
      <c r="BS11" s="1438">
        <f ca="1">IF(B11&gt;=$J$5,0,(CONTADORES!BT3-CONTADORES!BT2)+(CONTADORES!BV3-CONTADORES!BV2))/1000</f>
        <v>1.3819999999999999</v>
      </c>
      <c r="BT11" s="1438">
        <f ca="1">IF(B11&gt;=$J$5,0,(CONTADORES!BU3-CONTADORES!BU2)+(CONTADORES!BW3-CONTADORES!BW2))/1000</f>
        <v>0.84199999999999997</v>
      </c>
      <c r="BU11" s="1438">
        <f ca="1">IF(B11&gt;=$J$5,0,CONTADORES!BR3-CONTADORES!BR2)</f>
        <v>7.069999999999709</v>
      </c>
      <c r="BV11" s="1438">
        <f ca="1">IF(B11&gt;=$J$5,0,CONTADORES!BS3-CONTADORES!BS2)</f>
        <v>4.6499999999996362</v>
      </c>
      <c r="BW11" s="1438">
        <f t="shared" ref="BW11:BW74" ca="1" si="16">BU11+BY11</f>
        <v>12.418999999988202</v>
      </c>
      <c r="BX11" s="1438">
        <f t="shared" ref="BX11:BX74" ca="1" si="17">CE11+CD11</f>
        <v>6.2509999999940522</v>
      </c>
      <c r="BY11" s="1438">
        <f t="shared" ref="BY11:BY74" ca="1" si="18">(AM11*0.5)</f>
        <v>5.3489999999884938</v>
      </c>
      <c r="BZ11" s="1438">
        <f t="shared" ref="BZ11:BZ74" ca="1" si="19">(AN11*0.4)</f>
        <v>1.2392000000000074</v>
      </c>
      <c r="CA11" s="1438">
        <f t="shared" ref="CA11:CA74" ca="1" si="20">AM11-BY11</f>
        <v>5.3489999999884938</v>
      </c>
      <c r="CB11" s="1438">
        <f t="shared" ref="CB11:CB74" ca="1" si="21">AN11-BZ11</f>
        <v>1.8588000000000111</v>
      </c>
      <c r="CC11" s="1438">
        <f t="shared" ref="CC11:CC74" ca="1" si="22">BS11+BZ11</f>
        <v>2.6212000000000071</v>
      </c>
      <c r="CD11" s="1438">
        <f t="shared" ref="CD11:CD74" ca="1" si="23">(BB11*0.5)</f>
        <v>1.600999999994416</v>
      </c>
      <c r="CE11" s="1443">
        <f ca="1">IF(B11&gt;=$J$5,0,CONTADORES!BS3-CONTADORES!BS2)</f>
        <v>4.6499999999996362</v>
      </c>
      <c r="CF11" s="1438">
        <f t="shared" ref="CF11:CF74" ca="1" si="24">BB11-CD11</f>
        <v>1.600999999994416</v>
      </c>
      <c r="CG11" s="1438">
        <f t="shared" ref="CG11:CG74" ca="1" si="25">BC11*0.5</f>
        <v>0.93900000000012729</v>
      </c>
      <c r="CH11" s="1438">
        <f t="shared" ref="CH11:CH74" ca="1" si="26">BC11-CG11</f>
        <v>0.93900000000012729</v>
      </c>
      <c r="CI11" s="1438">
        <f t="shared" ref="CI11:CI74" ca="1" si="27">BT11+CG11</f>
        <v>1.7810000000001271</v>
      </c>
      <c r="CJ11" s="1444">
        <f ca="1">IF($B11&gt;=$J$5,0,CONTADORES!$BG3)</f>
        <v>3242.204220151817</v>
      </c>
      <c r="CK11" s="1383">
        <f>CONTADORES!E3</f>
        <v>0</v>
      </c>
      <c r="CL11" s="1383">
        <f>CONTADORES!BX3</f>
        <v>0</v>
      </c>
    </row>
    <row r="12" spans="2:90">
      <c r="B12" s="220">
        <v>44928</v>
      </c>
      <c r="C12" s="204">
        <f t="shared" ca="1" si="0"/>
        <v>148.60000000009313</v>
      </c>
      <c r="D12" s="202">
        <f ca="1">'CALCULO DE GAS'!D5</f>
        <v>3.3539342359557471</v>
      </c>
      <c r="E12" s="202">
        <f ca="1">IF(B12&gt;=$J$5,0,(CONTADORES!$AB4-CONTADORES!$AB3)-$H12)</f>
        <v>24</v>
      </c>
      <c r="F12" s="204">
        <f t="shared" ca="1" si="1"/>
        <v>0</v>
      </c>
      <c r="G12" s="202">
        <f ca="1">IF(B12&gt;=$J$5,0,CONTADORES!$AD4-CONTADORES!$AD3)</f>
        <v>0</v>
      </c>
      <c r="H12" s="1437">
        <f ca="1">IF(G12&gt;0,CONTADORES!$AC4-CONTADORES!$AC3,0)</f>
        <v>0</v>
      </c>
      <c r="I12" s="205">
        <f ca="1">IF(B12&gt;=$J$5,0,CONTADORES!$Z4-CONTADORES!$Z3)</f>
        <v>148.60000000009313</v>
      </c>
      <c r="J12" s="204">
        <f t="shared" ca="1" si="2"/>
        <v>294.14999999999964</v>
      </c>
      <c r="K12" s="202">
        <f ca="1">'CALCULO DE GAS'!E5</f>
        <v>4.4332937865168525</v>
      </c>
      <c r="L12" s="1437">
        <f ca="1">IF(B12&gt;=$J$5,0,(CONTADORES!$W4-CONTADORES!$W3)-$O12)</f>
        <v>24</v>
      </c>
      <c r="M12" s="1437">
        <f t="shared" ca="1" si="3"/>
        <v>0</v>
      </c>
      <c r="N12" s="1437">
        <f ca="1">IF(B12&gt;=$J$5,0,CONTADORES!$Y4-CONTADORES!$Y3)</f>
        <v>0</v>
      </c>
      <c r="O12" s="1437">
        <f ca="1">IF(N12&gt;0,CONTADORES!$X4-CONTADORES!$X3,0)</f>
        <v>0</v>
      </c>
      <c r="P12" s="208">
        <f ca="1">IF(B12&gt;=$J$5,0,CONTADORES!$U4-CONTADORES!$U3)</f>
        <v>294.14999999999964</v>
      </c>
      <c r="Q12" s="208">
        <f ca="1">IF(B12&gt;=$J$5,0,CONTADORES!$B4-CONTADORES!$B3)</f>
        <v>0</v>
      </c>
      <c r="R12" s="202">
        <f t="shared" ca="1" si="4"/>
        <v>0</v>
      </c>
      <c r="S12" s="11">
        <f ca="1">IF(B12&gt;=$J$5,0,CONTADORES!$D4-CONTADORES!$D3)</f>
        <v>0</v>
      </c>
      <c r="T12" s="215">
        <f ca="1">IF(B12&gt;=$J$5,0,CONTADORES!$AZ4-CONTADORES!$AZ3)</f>
        <v>0</v>
      </c>
      <c r="U12" s="212">
        <f t="shared" ca="1" si="5"/>
        <v>0</v>
      </c>
      <c r="V12" s="214">
        <f ca="1">IF(B12&gt;=$J$5,0,CONTADORES!$BB4-CONTADORES!$BB3)</f>
        <v>0</v>
      </c>
      <c r="W12" s="1438">
        <f t="shared" ca="1" si="6"/>
        <v>442.75000000009277</v>
      </c>
      <c r="X12" s="1438">
        <f t="shared" ca="1" si="7"/>
        <v>0</v>
      </c>
      <c r="Y12" s="1439">
        <f t="shared" ca="1" si="8"/>
        <v>442.75000000009277</v>
      </c>
      <c r="Z12" s="1439">
        <f t="shared" ca="1" si="9"/>
        <v>7.7872280224725996</v>
      </c>
      <c r="AA12" s="1439">
        <f t="shared" ca="1" si="10"/>
        <v>0</v>
      </c>
      <c r="AB12" s="1439">
        <f t="shared" ca="1" si="11"/>
        <v>48</v>
      </c>
      <c r="AC12" s="1438">
        <f t="shared" ca="1" si="12"/>
        <v>0</v>
      </c>
      <c r="AD12" s="1438">
        <f ca="1">IF(B12&gt;=$J$5,0,CONTADORES!H4-CONTADORES!H3)</f>
        <v>162.30000000004657</v>
      </c>
      <c r="AE12" s="1438">
        <f ca="1">IF(B12&gt;=$J$5,0,CONTADORES!J4-CONTADORES!J3)</f>
        <v>24</v>
      </c>
      <c r="AF12" s="1438">
        <f ca="1">IF(B12&gt;=$J$5,0,CONTADORES!AS4-CONTADORES!AS3)</f>
        <v>142.09999999997672</v>
      </c>
      <c r="AG12" s="1438">
        <f ca="1">IF(B12&gt;=$J$5,0,CONTADORES!AU4-CONTADORES!AU3)</f>
        <v>24</v>
      </c>
      <c r="AH12" s="1438">
        <f ca="1">IF(B12&gt;=$J$5,0,(CONTADORES!AK4-CONTADORES!AK3)+(CONTADORES!K4-CONTADORES!K3))</f>
        <v>11.19999999999709</v>
      </c>
      <c r="AI12" s="1438">
        <f ca="1">IF(B12&gt;=$J$5,0,(CONTADORES!AI4-CONTADORES!AI3)+(CONTADORES!M4-CONTADORES!M3))</f>
        <v>43.020000000004075</v>
      </c>
      <c r="AJ12" s="1438">
        <f ca="1">IF(B12&gt;=$J$5,0,(CONTADORES!AG4-CONTADORES!AG3))</f>
        <v>7.3600000000005821</v>
      </c>
      <c r="AK12" s="1438">
        <f ca="1">IF(B12&gt;=$J$5,0,(CONTADORES!O4-CONTADORES!O3))</f>
        <v>16.100000000005821</v>
      </c>
      <c r="AL12" s="1438">
        <f t="shared" ca="1" si="13"/>
        <v>33.070000000027051</v>
      </c>
      <c r="AM12" s="1438">
        <f ca="1">IF(B12&gt;=$J$5,0,(((CONTADORES!F4-CONTADORES!F3)+(CONTADORES!AO4-CONTADORES!AO3))))-BJ12-AF12-AN12-BM12-BP12-BU12-BS12</f>
        <v>7.6860000000346362</v>
      </c>
      <c r="AN12" s="1438">
        <f ca="1">IF(B12&gt;=$J$5,0,(CONTADORES!AV4-CONTADORES!AV3)+(CONTADORES!AX4-CONTADORES!AX3)+(CONTADORES!BC4-CONTADORES!BC3))-BS12</f>
        <v>4.6330000000002913</v>
      </c>
      <c r="AO12" s="1440">
        <f ca="1">IF(B12&gt;=$J$5,0,(CONTADORES!AA4-CONTADORES!AA3))</f>
        <v>79</v>
      </c>
      <c r="AP12" s="1440">
        <f ca="1">IF(B12&gt;=$J$5,0,(CONTADORES!V4-CONTADORES!V3))</f>
        <v>148</v>
      </c>
      <c r="AQ12" s="1445">
        <f ca="1">IF(B12&gt;=$J$5,0,(CONTADORES!C4-CONTADORES!C3))</f>
        <v>0</v>
      </c>
      <c r="AR12" s="1445">
        <f ca="1">IF(B12&gt;=$J$5,0,(CONTADORES!BA4-CONTADORES!BA3))</f>
        <v>0</v>
      </c>
      <c r="AS12" s="1438">
        <f ca="1">IF(B12&gt;=$J$5,0,CONTADORES!Q4-CONTADORES!Q3)</f>
        <v>17.320000000006985</v>
      </c>
      <c r="AT12" s="1438">
        <f ca="1">IF(B12&gt;=$J$5,0,(CONTADORES!S4-CONTADORES!S3)+(CONTADORES!AE4-CONTADORES!AE3))</f>
        <v>2.0800000000017462</v>
      </c>
      <c r="AU12" s="1438">
        <f>CONTADORES!I4-CONTADORES!I3</f>
        <v>83.299999999988358</v>
      </c>
      <c r="AV12" s="1438">
        <f>CONTADORES!AT4-CONTADORES!AT3</f>
        <v>62.200000000011642</v>
      </c>
      <c r="AW12" s="1438">
        <f ca="1">IF(B12&gt;=$J$5,0,(CONTADORES!L4-CONTADORES!L3)+(CONTADORES!AL4-CONTADORES!AL3))</f>
        <v>4.3999999999978172</v>
      </c>
      <c r="AX12" s="1438">
        <f ca="1">IF(B12&gt;=$J$5,0,(CONTADORES!N4-CONTADORES!N3)+(CONTADORES!AJ4-CONTADORES!AJ3))</f>
        <v>33.540000000000873</v>
      </c>
      <c r="AY12" s="1438">
        <f ca="1">IF(B12&gt;=$J$5,0,(CONTADORES!AH4-CONTADORES!AH3))</f>
        <v>5.8400000000037835</v>
      </c>
      <c r="AZ12" s="1438">
        <f ca="1">IF(B12&gt;=$J$5,0,(CONTADORES!P4-CONTADORES!P3))</f>
        <v>13.680000000007567</v>
      </c>
      <c r="BA12" s="1446">
        <f t="shared" ca="1" si="14"/>
        <v>13.596999999996143</v>
      </c>
      <c r="BB12" s="1447">
        <f ca="1">IF(B12&gt;=$J$5,0,(((CONTADORES!G4-CONTADORES!G3)+(CONTADORES!AP4-CONTADORES!AP3))))-AV12-BC12-BK12-BN12-BQ12-BV12</f>
        <v>2.7429999999939616</v>
      </c>
      <c r="BC12" s="1440">
        <f ca="1">IF(B12&gt;=$J$5,0,(CONTADORES!AW4-CONTADORES!AW3)+(CONTADORES!AY4-CONTADORES!AY3)+(CONTADORES!BD4-CONTADORES!BD3))-BT12</f>
        <v>1.9769999999998908</v>
      </c>
      <c r="BD12" s="1438">
        <f t="shared" ca="1" si="15"/>
        <v>227</v>
      </c>
      <c r="BE12" s="1438">
        <f ca="1">IF($B12&gt;=$J$5,0,CONTADORES!$BE4)</f>
        <v>6616.55</v>
      </c>
      <c r="BF12" s="1438">
        <f ca="1">IF($B12&gt;=$J$5,0,CONTADORES!$BF4)</f>
        <v>22869.699999999997</v>
      </c>
      <c r="BG12" s="1438">
        <f ca="1">IF($B12&gt;=$J$5,0,CONTADORES!$BH4)</f>
        <v>6207.62</v>
      </c>
      <c r="BH12" s="1438">
        <f ca="1">IF(B12&gt;=$J$5,0,(CONTADORES!AQ4-CONTADORES!AQ3))</f>
        <v>5</v>
      </c>
      <c r="BI12" s="1438">
        <f ca="1">IF(C12&gt;=$J$5,0,(CONTADORES!AR4-CONTADORES!AR3))</f>
        <v>0</v>
      </c>
      <c r="BJ12" s="1438">
        <f ca="1">IF(B12&gt;=$J$5,0,CONTADORES!BI4-CONTADORES!BI3)/1000</f>
        <v>0</v>
      </c>
      <c r="BK12" s="1438">
        <f ca="1">IF(B12&gt;=$J$5,0,CONTADORES!BJ4-CONTADORES!BJ3)</f>
        <v>0</v>
      </c>
      <c r="BL12" s="1438">
        <f ca="1">IF(B12&gt;=$J$5,0,CONTADORES!BK4-CONTADORES!BK3)</f>
        <v>0</v>
      </c>
      <c r="BM12" s="1438">
        <f ca="1">IF(B12&gt;=$J$5,0,CONTADORES!BL4-CONTADORES!BL3)/1000</f>
        <v>4.0359999999999996</v>
      </c>
      <c r="BN12" s="1438">
        <f ca="1">IF(B12&gt;=$J$5,0,CONTADORES!BM4-CONTADORES!BM3)/1000</f>
        <v>0.26200000000000001</v>
      </c>
      <c r="BO12" s="1438">
        <f ca="1">IF(B12&gt;=$J$5,0,CONTADORES!BN4-CONTADORES!BN3)</f>
        <v>23.729999999999563</v>
      </c>
      <c r="BP12" s="1438">
        <f ca="1">IF(B12&gt;=$J$5,0,CONTADORES!BO4-CONTADORES!BO3)/1000</f>
        <v>2.948</v>
      </c>
      <c r="BQ12" s="1438">
        <f ca="1">IF(B12&gt;=$J$5,0,CONTADORES!BP4-CONTADORES!BP3)/1000</f>
        <v>2.8000000000000001E-2</v>
      </c>
      <c r="BR12" s="1438">
        <f ca="1">IF(B12&gt;=$J$5,0,CONTADORES!BQ4-CONTADORES!BQ3)</f>
        <v>21.199999999998909</v>
      </c>
      <c r="BS12" s="1438">
        <f ca="1">IF(B12&gt;=$J$5,0,(CONTADORES!BT4-CONTADORES!BT3)+(CONTADORES!BV4-CONTADORES!BV3))/1000</f>
        <v>1.0469999999999999</v>
      </c>
      <c r="BT12" s="1438">
        <f ca="1">IF(B12&gt;=$J$5,0,(CONTADORES!BU4-CONTADORES!BU3)+(CONTADORES!BW4-CONTADORES!BW3))/1000</f>
        <v>0.64300000000000002</v>
      </c>
      <c r="BU12" s="1438">
        <f ca="1">IF(B12&gt;=$J$5,0,CONTADORES!BR4-CONTADORES!BR3)</f>
        <v>7.25</v>
      </c>
      <c r="BV12" s="1438">
        <f ca="1">IF(B12&gt;=$J$5,0,CONTADORES!BS4-CONTADORES!BS3)</f>
        <v>4.7899999999999636</v>
      </c>
      <c r="BW12" s="1438">
        <f t="shared" ca="1" si="16"/>
        <v>11.093000000017318</v>
      </c>
      <c r="BX12" s="1438">
        <f t="shared" ca="1" si="17"/>
        <v>6.1614999999969449</v>
      </c>
      <c r="BY12" s="1438">
        <f t="shared" ca="1" si="18"/>
        <v>3.8430000000173181</v>
      </c>
      <c r="BZ12" s="1438">
        <f t="shared" ca="1" si="19"/>
        <v>1.8532000000001165</v>
      </c>
      <c r="CA12" s="1438">
        <f t="shared" ca="1" si="20"/>
        <v>3.8430000000173181</v>
      </c>
      <c r="CB12" s="1438">
        <f t="shared" ca="1" si="21"/>
        <v>2.7798000000001748</v>
      </c>
      <c r="CC12" s="1438">
        <f t="shared" ca="1" si="22"/>
        <v>2.9002000000001162</v>
      </c>
      <c r="CD12" s="1438">
        <f t="shared" ca="1" si="23"/>
        <v>1.3714999999969808</v>
      </c>
      <c r="CE12" s="1438">
        <f ca="1">IF(B12&gt;=$J$5,0,CONTADORES!BS4-CONTADORES!BS3)</f>
        <v>4.7899999999999636</v>
      </c>
      <c r="CF12" s="1438">
        <f t="shared" ca="1" si="24"/>
        <v>1.3714999999969808</v>
      </c>
      <c r="CG12" s="1438">
        <f t="shared" ca="1" si="25"/>
        <v>0.98849999999994542</v>
      </c>
      <c r="CH12" s="1438">
        <f t="shared" ca="1" si="26"/>
        <v>0.98849999999994542</v>
      </c>
      <c r="CI12" s="1438">
        <f t="shared" ca="1" si="27"/>
        <v>1.6314999999999453</v>
      </c>
      <c r="CJ12" s="1444">
        <f ca="1">IF($B12&gt;=$J$5,0,CONTADORES!$BG4)</f>
        <v>7986.8652899315266</v>
      </c>
      <c r="CK12" s="1384">
        <f>CONTADORES!E4</f>
        <v>0</v>
      </c>
      <c r="CL12" s="1384">
        <f>CONTADORES!BX4</f>
        <v>0</v>
      </c>
    </row>
    <row r="13" spans="2:90">
      <c r="B13" s="220">
        <v>44929</v>
      </c>
      <c r="C13" s="204">
        <f t="shared" ca="1" si="0"/>
        <v>148.29999999993015</v>
      </c>
      <c r="D13" s="202">
        <f ca="1">'CALCULO DE GAS'!D6</f>
        <v>3.3517095168534152</v>
      </c>
      <c r="E13" s="202">
        <f ca="1">IF(B13&gt;=$J$5,0,(CONTADORES!$AB5-CONTADORES!$AB4)-$H13)</f>
        <v>24</v>
      </c>
      <c r="F13" s="204">
        <f t="shared" ca="1" si="1"/>
        <v>0</v>
      </c>
      <c r="G13" s="202">
        <f ca="1">IF(B13&gt;=$J$5,0,CONTADORES!$AD5-CONTADORES!$AD4)</f>
        <v>0</v>
      </c>
      <c r="H13" s="1437">
        <f ca="1">IF(G13&gt;0,CONTADORES!$AC5-CONTADORES!$AC4,0)</f>
        <v>0</v>
      </c>
      <c r="I13" s="205">
        <f ca="1">IF(B13&gt;=$J$5,0,CONTADORES!$Z5-CONTADORES!$Z4)</f>
        <v>148.29999999993015</v>
      </c>
      <c r="J13" s="204">
        <f t="shared" ca="1" si="2"/>
        <v>298.82999999999993</v>
      </c>
      <c r="K13" s="202">
        <f ca="1">'CALCULO DE GAS'!E6</f>
        <v>4.4679994044943827</v>
      </c>
      <c r="L13" s="1437">
        <f ca="1">IF(B13&gt;=$J$5,0,(CONTADORES!$W5-CONTADORES!$W4)-$O13)</f>
        <v>24</v>
      </c>
      <c r="M13" s="1437">
        <f t="shared" ca="1" si="3"/>
        <v>0</v>
      </c>
      <c r="N13" s="1437">
        <f ca="1">IF(B13&gt;=$J$5,0,CONTADORES!$Y5-CONTADORES!$Y4)</f>
        <v>0</v>
      </c>
      <c r="O13" s="1437">
        <f ca="1">IF(N13&gt;0,CONTADORES!$X5-CONTADORES!$X4,0)</f>
        <v>0</v>
      </c>
      <c r="P13" s="208">
        <f ca="1">IF(B13&gt;=$J$5,0,CONTADORES!$U5-CONTADORES!$U4)</f>
        <v>298.82999999999993</v>
      </c>
      <c r="Q13" s="208">
        <f ca="1">IF(B13&gt;=$J$5,0,CONTADORES!$B5-CONTADORES!$B4)</f>
        <v>0.21199999999998909</v>
      </c>
      <c r="R13" s="202">
        <f t="shared" ca="1" si="4"/>
        <v>25.43999999999869</v>
      </c>
      <c r="S13" s="11">
        <f ca="1">IF(B13&gt;=$J$5,0,CONTADORES!$D5-CONTADORES!$D4)</f>
        <v>0.3000000000001819</v>
      </c>
      <c r="T13" s="215">
        <f ca="1">IF(B13&gt;=$J$5,0,CONTADORES!$AZ5-CONTADORES!$AZ4)</f>
        <v>0.2239999999999327</v>
      </c>
      <c r="U13" s="202">
        <f t="shared" ca="1" si="5"/>
        <v>26.879999999991924</v>
      </c>
      <c r="V13" s="205">
        <f ca="1">IF(B13&gt;=$J$5,0,CONTADORES!$BB5-CONTADORES!$BB4)</f>
        <v>0.23000000000001819</v>
      </c>
      <c r="W13" s="1438">
        <f t="shared" ca="1" si="6"/>
        <v>447.12999999993008</v>
      </c>
      <c r="X13" s="1438">
        <f t="shared" ca="1" si="7"/>
        <v>0.43599999999992178</v>
      </c>
      <c r="Y13" s="1448">
        <f t="shared" ca="1" si="8"/>
        <v>447.56599999993</v>
      </c>
      <c r="Z13" s="1439">
        <f t="shared" ca="1" si="9"/>
        <v>7.8197089213477984</v>
      </c>
      <c r="AA13" s="1439">
        <f t="shared" ca="1" si="10"/>
        <v>52.319999999990614</v>
      </c>
      <c r="AB13" s="1439">
        <f t="shared" ca="1" si="11"/>
        <v>48</v>
      </c>
      <c r="AC13" s="1438">
        <f t="shared" ca="1" si="12"/>
        <v>0.53000000000020009</v>
      </c>
      <c r="AD13" s="1443">
        <f ca="1">IF(B13&gt;=$J$5,0,CONTADORES!H5-CONTADORES!H4)</f>
        <v>162</v>
      </c>
      <c r="AE13" s="1438">
        <f ca="1">IF(B13&gt;=$J$5,0,CONTADORES!J5-CONTADORES!J4)</f>
        <v>24</v>
      </c>
      <c r="AF13" s="1438">
        <f ca="1">IF(B13&gt;=$J$5,0,CONTADORES!AS5-CONTADORES!AS4)</f>
        <v>148.90000000002328</v>
      </c>
      <c r="AG13" s="1438">
        <f ca="1">IF(B13&gt;=$J$5,0,CONTADORES!AU5-CONTADORES!AU4)</f>
        <v>24</v>
      </c>
      <c r="AH13" s="1443">
        <f ca="1">IF(B13&gt;=$J$5,0,(CONTADORES!AK5-CONTADORES!AK4)+(CONTADORES!K5-CONTADORES!K4))</f>
        <v>8.7000000000043656</v>
      </c>
      <c r="AI13" s="1443">
        <f ca="1">IF(B13&gt;=$J$5,0,(CONTADORES!AI5-CONTADORES!AI4)+(CONTADORES!M5-CONTADORES!M4))</f>
        <v>43.669999999998254</v>
      </c>
      <c r="AJ13" s="1443">
        <f ca="1">IF(B13&gt;=$J$5,0,(CONTADORES!AG5-CONTADORES!AG4))</f>
        <v>6.680000000007567</v>
      </c>
      <c r="AK13" s="1443">
        <f ca="1">IF(B13&gt;=$J$5,0,(CONTADORES!O5-CONTADORES!O4))</f>
        <v>15.649999999994179</v>
      </c>
      <c r="AL13" s="1443">
        <f t="shared" ca="1" si="13"/>
        <v>33.465999999889561</v>
      </c>
      <c r="AM13" s="1438">
        <f ca="1">IF(B13&gt;=$J$5,0,(((CONTADORES!F5-CONTADORES!F4)+(CONTADORES!AO5-CONTADORES!AO4))))-BJ13-AF13-AN13-BM13-BP13-BU13-BS13</f>
        <v>8.1400000000128117</v>
      </c>
      <c r="AN13" s="1438">
        <f ca="1">IF(B13&gt;=$J$5,0,(CONTADORES!AV5-CONTADORES!AV4)+(CONTADORES!AX5-CONTADORES!AX4)+(CONTADORES!BC5-CONTADORES!BC4))-BS13</f>
        <v>3.9779999999996294</v>
      </c>
      <c r="AO13" s="1440">
        <f ca="1">IF(B13&gt;=$J$5,0,(CONTADORES!AA5-CONTADORES!AA4))</f>
        <v>79.600000000034925</v>
      </c>
      <c r="AP13" s="1440">
        <f ca="1">IF(B13&gt;=$J$5,0,(CONTADORES!V5-CONTADORES!V4))</f>
        <v>148.71000000000004</v>
      </c>
      <c r="AQ13" s="1445">
        <f ca="1">IF(B13&gt;=$J$5,0,(CONTADORES!C5-CONTADORES!C4))</f>
        <v>0.10500000000001819</v>
      </c>
      <c r="AR13" s="1445">
        <f ca="1">IF(B13&gt;=$J$5,0,(CONTADORES!BA5-CONTADORES!BA4))</f>
        <v>7.6999999999998181E-2</v>
      </c>
      <c r="AS13" s="1438">
        <f ca="1">IF(B13&gt;=$J$5,0,CONTADORES!Q5-CONTADORES!Q4)</f>
        <v>17.029999999998836</v>
      </c>
      <c r="AT13" s="1438">
        <f ca="1">IF(B13&gt;=$J$5,0,(CONTADORES!S5-CONTADORES!S4)+(CONTADORES!AE5-CONTADORES!AE4))</f>
        <v>2.1100000000005821</v>
      </c>
      <c r="AU13" s="1438">
        <f>CONTADORES!I5-CONTADORES!I4</f>
        <v>83</v>
      </c>
      <c r="AV13" s="1438">
        <f>CONTADORES!AT5-CONTADORES!AT4</f>
        <v>64.5</v>
      </c>
      <c r="AW13" s="1438">
        <f ca="1">IF(B13&gt;=$J$5,0,(CONTADORES!L5-CONTADORES!L4)+(CONTADORES!AL5-CONTADORES!AL4))</f>
        <v>3.2999999999992724</v>
      </c>
      <c r="AX13" s="1438">
        <f ca="1">IF(B13&gt;=$J$5,0,(CONTADORES!N5-CONTADORES!N4)+(CONTADORES!AJ5-CONTADORES!AJ4))</f>
        <v>34.160000000003492</v>
      </c>
      <c r="AY13" s="1438">
        <f ca="1">IF(B13&gt;=$J$5,0,(CONTADORES!AH5-CONTADORES!AH4))</f>
        <v>5.3099999999976717</v>
      </c>
      <c r="AZ13" s="1438">
        <f ca="1">IF(B13&gt;=$J$5,0,(CONTADORES!P5-CONTADORES!P4))</f>
        <v>13.5</v>
      </c>
      <c r="BA13" s="1446">
        <f t="shared" ca="1" si="14"/>
        <v>12.98600000003438</v>
      </c>
      <c r="BB13" s="1447">
        <f ca="1">IF(B13&gt;=$J$5,0,(((CONTADORES!G5-CONTADORES!G4)+(CONTADORES!AP5-CONTADORES!AP4))))-AV13-BC13-BK13-BN13-BQ13-BV13</f>
        <v>3.992999999999908</v>
      </c>
      <c r="BC13" s="1440">
        <f ca="1">IF(B13&gt;=$J$5,0,(CONTADORES!AW5-CONTADORES!AW4)+(CONTADORES!AY5-CONTADORES!AY4)+(CONTADORES!BD5-CONTADORES!BD4))-BT13</f>
        <v>1.5639999999998011</v>
      </c>
      <c r="BD13" s="1438">
        <f t="shared" ca="1" si="15"/>
        <v>228.49200000003498</v>
      </c>
      <c r="BE13" s="1438">
        <f ca="1">IF($B13&gt;=$J$5,0,CONTADORES!$BE5)</f>
        <v>6501.32</v>
      </c>
      <c r="BF13" s="1438">
        <f ca="1">IF($B13&gt;=$J$5,0,CONTADORES!$BF5)</f>
        <v>26209.403508771924</v>
      </c>
      <c r="BG13" s="1438">
        <f ca="1">IF($B13&gt;=$J$5,0,CONTADORES!$BH5)</f>
        <v>6197.77</v>
      </c>
      <c r="BH13" s="1438">
        <f ca="1">IF(B13&gt;=$J$5,0,(CONTADORES!AQ5-CONTADORES!AQ4))</f>
        <v>5</v>
      </c>
      <c r="BI13" s="1438">
        <f ca="1">IF(C13&gt;=$J$5,0,(CONTADORES!AR5-CONTADORES!AR4))</f>
        <v>0</v>
      </c>
      <c r="BJ13" s="1438">
        <f ca="1">IF(B13&gt;=$J$5,0,CONTADORES!BI5-CONTADORES!BI4)/1000</f>
        <v>0</v>
      </c>
      <c r="BK13" s="1438">
        <f ca="1">IF(B13&gt;=$J$5,0,CONTADORES!BJ5-CONTADORES!BJ4)</f>
        <v>0</v>
      </c>
      <c r="BL13" s="1438">
        <f ca="1">IF(B13&gt;=$J$5,0,CONTADORES!BK5-CONTADORES!BK4)</f>
        <v>0</v>
      </c>
      <c r="BM13" s="1438">
        <f ca="1">IF(B13&gt;=$J$5,0,CONTADORES!BL5-CONTADORES!BL4)/1000</f>
        <v>4.218</v>
      </c>
      <c r="BN13" s="1438">
        <f ca="1">IF(B13&gt;=$J$5,0,CONTADORES!BM5-CONTADORES!BM4)/1000</f>
        <v>0.44</v>
      </c>
      <c r="BO13" s="1438">
        <f ca="1">IF(B13&gt;=$J$5,0,CONTADORES!BN5-CONTADORES!BN4)</f>
        <v>24.029999999998836</v>
      </c>
      <c r="BP13" s="1438">
        <f ca="1">IF(B13&gt;=$J$5,0,CONTADORES!BO5-CONTADORES!BO4)/1000</f>
        <v>3.492</v>
      </c>
      <c r="BQ13" s="1438">
        <f ca="1">IF(B13&gt;=$J$5,0,CONTADORES!BP5-CONTADORES!BP4)/1000</f>
        <v>7.2999999999999995E-2</v>
      </c>
      <c r="BR13" s="1438">
        <f ca="1">IF(B13&gt;=$J$5,0,CONTADORES!BQ5-CONTADORES!BQ4)</f>
        <v>24</v>
      </c>
      <c r="BS13" s="1438">
        <f ca="1">IF(B13&gt;=$J$5,0,(CONTADORES!BT5-CONTADORES!BT4)+(CONTADORES!BV5-CONTADORES!BV4))/1000</f>
        <v>1.492</v>
      </c>
      <c r="BT13" s="1438">
        <f ca="1">IF(B13&gt;=$J$5,0,(CONTADORES!BU5-CONTADORES!BU4)+(CONTADORES!BW5-CONTADORES!BW4))/1000</f>
        <v>0.93600000000000005</v>
      </c>
      <c r="BU13" s="1438">
        <f ca="1">IF(B13&gt;=$J$5,0,CONTADORES!BR5-CONTADORES!BR4)</f>
        <v>7.180000000000291</v>
      </c>
      <c r="BV13" s="1438">
        <f ca="1">IF(B13&gt;=$J$5,0,CONTADORES!BS5-CONTADORES!BS4)</f>
        <v>4.7300000000004729</v>
      </c>
      <c r="BW13" s="1438">
        <f t="shared" ca="1" si="16"/>
        <v>11.250000000006697</v>
      </c>
      <c r="BX13" s="1438">
        <f t="shared" ca="1" si="17"/>
        <v>6.7265000000004269</v>
      </c>
      <c r="BY13" s="1438">
        <f t="shared" ca="1" si="18"/>
        <v>4.0700000000064058</v>
      </c>
      <c r="BZ13" s="1438">
        <f t="shared" ca="1" si="19"/>
        <v>1.5911999999998518</v>
      </c>
      <c r="CA13" s="1438">
        <f t="shared" ca="1" si="20"/>
        <v>4.0700000000064058</v>
      </c>
      <c r="CB13" s="1438">
        <f t="shared" ca="1" si="21"/>
        <v>2.3867999999997775</v>
      </c>
      <c r="CC13" s="1438">
        <f t="shared" ca="1" si="22"/>
        <v>3.0831999999998518</v>
      </c>
      <c r="CD13" s="1438">
        <f t="shared" ca="1" si="23"/>
        <v>1.996499999999954</v>
      </c>
      <c r="CE13" s="1438">
        <f ca="1">IF(B13&gt;=$J$5,0,CONTADORES!BS5-CONTADORES!BS4)</f>
        <v>4.7300000000004729</v>
      </c>
      <c r="CF13" s="1438">
        <f t="shared" ca="1" si="24"/>
        <v>1.996499999999954</v>
      </c>
      <c r="CG13" s="1443">
        <f t="shared" ca="1" si="25"/>
        <v>0.78199999999990055</v>
      </c>
      <c r="CH13" s="1443">
        <f t="shared" ca="1" si="26"/>
        <v>0.78199999999990055</v>
      </c>
      <c r="CI13" s="1443">
        <f t="shared" ca="1" si="27"/>
        <v>1.7179999999999005</v>
      </c>
      <c r="CJ13" s="1444">
        <f ca="1">IF($B13&gt;=$J$5,0,CONTADORES!$BG5)</f>
        <v>12469.710258117209</v>
      </c>
      <c r="CK13" s="1384">
        <f>CONTADORES!E5</f>
        <v>1</v>
      </c>
      <c r="CL13" s="1384">
        <f>CONTADORES!BX5</f>
        <v>1</v>
      </c>
    </row>
    <row r="14" spans="2:90">
      <c r="B14" s="220">
        <v>44930</v>
      </c>
      <c r="C14" s="204">
        <f t="shared" ca="1" si="0"/>
        <v>147.90000000002328</v>
      </c>
      <c r="D14" s="202">
        <f ca="1">'CALCULO DE GAS'!D7</f>
        <v>3.3487432247192741</v>
      </c>
      <c r="E14" s="202">
        <f ca="1">IF(B14&gt;=$J$5,0,(CONTADORES!$AB6-CONTADORES!$AB5)-$H14)</f>
        <v>24</v>
      </c>
      <c r="F14" s="204">
        <f t="shared" ca="1" si="1"/>
        <v>0</v>
      </c>
      <c r="G14" s="202">
        <f ca="1">IF(B14&gt;=$J$5,0,CONTADORES!$AD6-CONTADORES!$AD5)</f>
        <v>0</v>
      </c>
      <c r="H14" s="1437">
        <f ca="1">IF(G14&gt;0,CONTADORES!$AC6-CONTADORES!$AC5,0)</f>
        <v>0</v>
      </c>
      <c r="I14" s="205">
        <f ca="1">IF(B14&gt;=$J$5,0,CONTADORES!$Z6-CONTADORES!$Z5)</f>
        <v>147.90000000002328</v>
      </c>
      <c r="J14" s="204">
        <f t="shared" ca="1" si="2"/>
        <v>300.38000000000102</v>
      </c>
      <c r="K14" s="202">
        <f ca="1">'CALCULO DE GAS'!E7</f>
        <v>4.4794937865168638</v>
      </c>
      <c r="L14" s="1437">
        <f ca="1">IF(B14&gt;=$J$5,0,(CONTADORES!$W6-CONTADORES!$W5)-$O14)</f>
        <v>24</v>
      </c>
      <c r="M14" s="1437">
        <f t="shared" ca="1" si="3"/>
        <v>0</v>
      </c>
      <c r="N14" s="1437">
        <f ca="1">IF(B14&gt;=$J$5,0,CONTADORES!$Y6-CONTADORES!$Y5)</f>
        <v>0</v>
      </c>
      <c r="O14" s="1437">
        <f ca="1">IF(N14&gt;0,CONTADORES!$X6-CONTADORES!$X5,0)</f>
        <v>0</v>
      </c>
      <c r="P14" s="208">
        <f ca="1">IF(B14&gt;=$J$5,0,CONTADORES!$U6-CONTADORES!$U5)</f>
        <v>300.38000000000102</v>
      </c>
      <c r="Q14" s="208">
        <f ca="1">IF(B14&gt;=$J$5,0,CONTADORES!$B6-CONTADORES!$B5)</f>
        <v>0</v>
      </c>
      <c r="R14" s="202">
        <f t="shared" ca="1" si="4"/>
        <v>0</v>
      </c>
      <c r="S14" s="11">
        <f ca="1">IF(B14&gt;=$J$5,0,CONTADORES!$D6-CONTADORES!$D5)</f>
        <v>0</v>
      </c>
      <c r="T14" s="215">
        <f ca="1">IF(B14&gt;=$J$5,0,CONTADORES!$AZ6-CONTADORES!$AZ5)</f>
        <v>0</v>
      </c>
      <c r="U14" s="202">
        <f t="shared" ca="1" si="5"/>
        <v>0</v>
      </c>
      <c r="V14" s="205">
        <f ca="1">IF(B14&gt;=$J$5,0,CONTADORES!$BB6-CONTADORES!$BB5)</f>
        <v>0</v>
      </c>
      <c r="W14" s="1438">
        <f t="shared" ca="1" si="6"/>
        <v>448.2800000000243</v>
      </c>
      <c r="X14" s="1438">
        <f t="shared" ca="1" si="7"/>
        <v>0</v>
      </c>
      <c r="Y14" s="1439">
        <f t="shared" ca="1" si="8"/>
        <v>448.2800000000243</v>
      </c>
      <c r="Z14" s="1439">
        <f t="shared" ca="1" si="9"/>
        <v>7.8282370112361379</v>
      </c>
      <c r="AA14" s="1439">
        <f t="shared" ca="1" si="10"/>
        <v>0</v>
      </c>
      <c r="AB14" s="1439">
        <f t="shared" ca="1" si="11"/>
        <v>48</v>
      </c>
      <c r="AC14" s="1438">
        <f t="shared" ca="1" si="12"/>
        <v>0</v>
      </c>
      <c r="AD14" s="1438">
        <f ca="1">IF(B14&gt;=$J$5,0,CONTADORES!H6-CONTADORES!H5)</f>
        <v>162</v>
      </c>
      <c r="AE14" s="1438">
        <f ca="1">IF(B14&gt;=$J$5,0,CONTADORES!J6-CONTADORES!J5)</f>
        <v>24</v>
      </c>
      <c r="AF14" s="1438">
        <f ca="1">IF(B14&gt;=$J$5,0,CONTADORES!AS6-CONTADORES!AS5)</f>
        <v>142.59999999997672</v>
      </c>
      <c r="AG14" s="1438">
        <f ca="1">IF(B14&gt;=$J$5,0,CONTADORES!AU6-CONTADORES!AU5)</f>
        <v>24</v>
      </c>
      <c r="AH14" s="1438">
        <f ca="1">IF(B14&gt;=$J$5,0,(CONTADORES!AK6-CONTADORES!AK5)+(CONTADORES!K6-CONTADORES!K5))</f>
        <v>13.19999999999709</v>
      </c>
      <c r="AI14" s="1438">
        <f ca="1">IF(B14&gt;=$J$5,0,(CONTADORES!AI6-CONTADORES!AI5)+(CONTADORES!M6-CONTADORES!M5))</f>
        <v>45.089999999996508</v>
      </c>
      <c r="AJ14" s="1438">
        <f ca="1">IF(B14&gt;=$J$5,0,(CONTADORES!AG6-CONTADORES!AG5))</f>
        <v>8.9099999999889405</v>
      </c>
      <c r="AK14" s="1438">
        <f ca="1">IF(B14&gt;=$J$5,0,(CONTADORES!O6-CONTADORES!O5))</f>
        <v>16.309999999997672</v>
      </c>
      <c r="AL14" s="1443">
        <f t="shared" ca="1" si="13"/>
        <v>33.270000000080472</v>
      </c>
      <c r="AM14" s="1438">
        <f ca="1">IF(B14&gt;=$J$5,0,(((CONTADORES!F6-CONTADORES!F5)+(CONTADORES!AO6-CONTADORES!AO5))))-BJ14-AF14-AN14-BM14-BP14-BU14-BS14</f>
        <v>7.3659999999864674</v>
      </c>
      <c r="AN14" s="1438">
        <f ca="1">IF(B14&gt;=$J$5,0,(CONTADORES!AV6-CONTADORES!AV5)+(CONTADORES!AX6-CONTADORES!AX5)+(CONTADORES!BC6-CONTADORES!BC5))-BS14</f>
        <v>3.889000000000582</v>
      </c>
      <c r="AO14" s="1440">
        <f ca="1">IF(B14&gt;=$J$5,0,(CONTADORES!AA6-CONTADORES!AA5))</f>
        <v>80.199999999953434</v>
      </c>
      <c r="AP14" s="1440">
        <f ca="1">IF(B14&gt;=$J$5,0,(CONTADORES!V6-CONTADORES!V5))</f>
        <v>150.09999999999945</v>
      </c>
      <c r="AQ14" s="1445">
        <f ca="1">IF(B14&gt;=$J$5,0,(CONTADORES!C6-CONTADORES!C5))</f>
        <v>0</v>
      </c>
      <c r="AR14" s="1445">
        <f ca="1">IF(B14&gt;=$J$5,0,(CONTADORES!BA6-CONTADORES!BA5))</f>
        <v>0</v>
      </c>
      <c r="AS14" s="1438">
        <f ca="1">IF(B14&gt;=$J$5,0,CONTADORES!Q6-CONTADORES!Q5)</f>
        <v>17.260000000009313</v>
      </c>
      <c r="AT14" s="1438">
        <f ca="1">IF(B14&gt;=$J$5,0,(CONTADORES!S6-CONTADORES!S5)+(CONTADORES!AE6-CONTADORES!AE5))</f>
        <v>2.1100000000005821</v>
      </c>
      <c r="AU14" s="1438">
        <f>CONTADORES!I6-CONTADORES!I5</f>
        <v>82.800000000017462</v>
      </c>
      <c r="AV14" s="1438">
        <f>CONTADORES!AT6-CONTADORES!AT5</f>
        <v>62.199999999982538</v>
      </c>
      <c r="AW14" s="1438">
        <f ca="1">IF(B14&gt;=$J$5,0,(CONTADORES!L6-CONTADORES!L5)+(CONTADORES!AL6-CONTADORES!AL5))</f>
        <v>5.3000000000029104</v>
      </c>
      <c r="AX14" s="1438">
        <f ca="1">IF(B14&gt;=$J$5,0,(CONTADORES!N6-CONTADORES!N5)+(CONTADORES!AJ6-CONTADORES!AJ5))</f>
        <v>35.489999999997963</v>
      </c>
      <c r="AY14" s="1438">
        <f ca="1">IF(B14&gt;=$J$5,0,(CONTADORES!AH6-CONTADORES!AH5))</f>
        <v>7.0299999999988358</v>
      </c>
      <c r="AZ14" s="1438">
        <f ca="1">IF(B14&gt;=$J$5,0,(CONTADORES!P6-CONTADORES!P5))</f>
        <v>13.559999999997672</v>
      </c>
      <c r="BA14" s="1446">
        <f t="shared" ca="1" si="14"/>
        <v>12.806999999932032</v>
      </c>
      <c r="BB14" s="1447">
        <f ca="1">IF(B14&gt;=$J$5,0,(((CONTADORES!G6-CONTADORES!G5)+(CONTADORES!AP6-CONTADORES!AP5))))-AV14-BC14-BK14-BN14-BQ14-BV14</f>
        <v>3.2630000000240109</v>
      </c>
      <c r="BC14" s="1440">
        <f ca="1">IF(B14&gt;=$J$5,0,(CONTADORES!AW6-CONTADORES!AW5)+(CONTADORES!AY6-CONTADORES!AY5)+(CONTADORES!BD6-CONTADORES!BD5))-BT14</f>
        <v>1.5970000000002182</v>
      </c>
      <c r="BD14" s="1438">
        <f t="shared" ca="1" si="15"/>
        <v>230.29999999995289</v>
      </c>
      <c r="BE14" s="1438">
        <f ca="1">IF($B14&gt;=$J$5,0,CONTADORES!$BE6)</f>
        <v>6859.6699999999992</v>
      </c>
      <c r="BF14" s="1438">
        <f ca="1">IF($B14&gt;=$J$5,0,CONTADORES!$BF6)</f>
        <v>16406.077192982455</v>
      </c>
      <c r="BG14" s="1438">
        <f ca="1">IF($B14&gt;=$J$5,0,CONTADORES!$BH6)</f>
        <v>6126.3400000000011</v>
      </c>
      <c r="BH14" s="1438">
        <f ca="1">IF(B14&gt;=$J$5,0,(CONTADORES!AQ6-CONTADORES!AQ5))</f>
        <v>4.5999999999985448</v>
      </c>
      <c r="BI14" s="1438">
        <f ca="1">IF(C14&gt;=$J$5,0,(CONTADORES!AR6-CONTADORES!AR5))</f>
        <v>0</v>
      </c>
      <c r="BJ14" s="1438">
        <f ca="1">IF(B14&gt;=$J$5,0,CONTADORES!BI6-CONTADORES!BI5)/1000</f>
        <v>0</v>
      </c>
      <c r="BK14" s="1438">
        <f ca="1">IF(B14&gt;=$J$5,0,CONTADORES!BJ6-CONTADORES!BJ5)</f>
        <v>0</v>
      </c>
      <c r="BL14" s="1438">
        <f ca="1">IF(B14&gt;=$J$5,0,CONTADORES!BK6-CONTADORES!BK5)</f>
        <v>0</v>
      </c>
      <c r="BM14" s="1438">
        <f ca="1">IF(B14&gt;=$J$5,0,CONTADORES!BL6-CONTADORES!BL5)/1000</f>
        <v>3.3420000000000001</v>
      </c>
      <c r="BN14" s="1438">
        <f ca="1">IF(B14&gt;=$J$5,0,CONTADORES!BM6-CONTADORES!BM5)/1000</f>
        <v>0.23</v>
      </c>
      <c r="BO14" s="1438">
        <f ca="1">IF(B14&gt;=$J$5,0,CONTADORES!BN6-CONTADORES!BN5)</f>
        <v>23.979999999999563</v>
      </c>
      <c r="BP14" s="1438">
        <f ca="1">IF(B14&gt;=$J$5,0,CONTADORES!BO6-CONTADORES!BO5)/1000</f>
        <v>2.9220000000000002</v>
      </c>
      <c r="BQ14" s="1438">
        <f ca="1">IF(B14&gt;=$J$5,0,CONTADORES!BP6-CONTADORES!BP5)/1000</f>
        <v>0.02</v>
      </c>
      <c r="BR14" s="1438">
        <f ca="1">IF(B14&gt;=$J$5,0,CONTADORES!BQ6-CONTADORES!BQ5)</f>
        <v>24</v>
      </c>
      <c r="BS14" s="1438">
        <f ca="1">IF(B14&gt;=$J$5,0,(CONTADORES!BT6-CONTADORES!BT5)+(CONTADORES!BV6-CONTADORES!BV5))/1000</f>
        <v>1.4710000000000001</v>
      </c>
      <c r="BT14" s="1438">
        <f ca="1">IF(B14&gt;=$J$5,0,(CONTADORES!BU6-CONTADORES!BU5)+(CONTADORES!BW6-CONTADORES!BW5))/1000</f>
        <v>0.91300000000000003</v>
      </c>
      <c r="BU14" s="1438">
        <f ca="1">IF(B14&gt;=$J$5,0,CONTADORES!BR6-CONTADORES!BR5)</f>
        <v>7.9099999999998545</v>
      </c>
      <c r="BV14" s="1438">
        <f ca="1">IF(B14&gt;=$J$5,0,CONTADORES!BS6-CONTADORES!BS5)</f>
        <v>5.089999999999236</v>
      </c>
      <c r="BW14" s="1438">
        <f t="shared" ca="1" si="16"/>
        <v>11.592999999993088</v>
      </c>
      <c r="BX14" s="1438">
        <f t="shared" ca="1" si="17"/>
        <v>6.7215000000112415</v>
      </c>
      <c r="BY14" s="1438">
        <f t="shared" ca="1" si="18"/>
        <v>3.6829999999932337</v>
      </c>
      <c r="BZ14" s="1438">
        <f t="shared" ca="1" si="19"/>
        <v>1.5556000000002328</v>
      </c>
      <c r="CA14" s="1438">
        <f t="shared" ca="1" si="20"/>
        <v>3.6829999999932337</v>
      </c>
      <c r="CB14" s="1438">
        <f t="shared" ca="1" si="21"/>
        <v>2.3334000000003492</v>
      </c>
      <c r="CC14" s="1438">
        <f t="shared" ca="1" si="22"/>
        <v>3.0266000000002329</v>
      </c>
      <c r="CD14" s="1438">
        <f t="shared" ca="1" si="23"/>
        <v>1.6315000000120055</v>
      </c>
      <c r="CE14" s="1438">
        <f ca="1">IF(B14&gt;=$J$5,0,CONTADORES!BS6-CONTADORES!BS5)</f>
        <v>5.089999999999236</v>
      </c>
      <c r="CF14" s="1438">
        <f t="shared" ca="1" si="24"/>
        <v>1.6315000000120055</v>
      </c>
      <c r="CG14" s="1443">
        <f t="shared" ca="1" si="25"/>
        <v>0.79850000000010912</v>
      </c>
      <c r="CH14" s="1438">
        <f t="shared" ca="1" si="26"/>
        <v>0.79850000000010912</v>
      </c>
      <c r="CI14" s="1438">
        <f t="shared" ca="1" si="27"/>
        <v>1.7115000000001093</v>
      </c>
      <c r="CJ14" s="1444">
        <f ca="1">IF($B14&gt;=$J$5,0,CONTADORES!$BG6)</f>
        <v>11155.524980049529</v>
      </c>
      <c r="CK14" s="1384">
        <f>CONTADORES!E6</f>
        <v>0</v>
      </c>
      <c r="CL14" s="1384">
        <f>CONTADORES!BX6</f>
        <v>0</v>
      </c>
    </row>
    <row r="15" spans="2:90">
      <c r="B15" s="220">
        <v>44931</v>
      </c>
      <c r="C15" s="204">
        <f t="shared" ca="1" si="0"/>
        <v>146.5</v>
      </c>
      <c r="D15" s="202">
        <f ca="1">'CALCULO DE GAS'!D8</f>
        <v>3.3383612022471914</v>
      </c>
      <c r="E15" s="202">
        <f ca="1">IF(B15&gt;=$J$5,0,(CONTADORES!$AB7-CONTADORES!$AB6)-$H15)</f>
        <v>24</v>
      </c>
      <c r="F15" s="204">
        <f t="shared" ca="1" si="1"/>
        <v>0</v>
      </c>
      <c r="G15" s="202">
        <f ca="1">IF(B15&gt;=$J$5,0,CONTADORES!$AD7-CONTADORES!$AD6)</f>
        <v>0</v>
      </c>
      <c r="H15" s="1437">
        <f ca="1">IF(G15&gt;0,CONTADORES!$AC7-CONTADORES!$AC6,0)</f>
        <v>0</v>
      </c>
      <c r="I15" s="205">
        <f ca="1">IF(B15&gt;=$J$5,0,CONTADORES!$Z7-CONTADORES!$Z6)</f>
        <v>146.5</v>
      </c>
      <c r="J15" s="204">
        <f t="shared" ca="1" si="2"/>
        <v>301.10000000000036</v>
      </c>
      <c r="K15" s="202">
        <f ca="1">'CALCULO DE GAS'!E8</f>
        <v>4.4848331123595546</v>
      </c>
      <c r="L15" s="1437">
        <f ca="1">IF(B15&gt;=$J$5,0,(CONTADORES!$W7-CONTADORES!$W6)-$O15)</f>
        <v>24</v>
      </c>
      <c r="M15" s="1437">
        <f t="shared" ca="1" si="3"/>
        <v>0</v>
      </c>
      <c r="N15" s="1437">
        <f ca="1">IF(B15&gt;=$J$5,0,CONTADORES!$Y7-CONTADORES!$Y6)</f>
        <v>0</v>
      </c>
      <c r="O15" s="1437">
        <f ca="1">IF(N15&gt;0,CONTADORES!$X7-CONTADORES!$X6,0)</f>
        <v>0</v>
      </c>
      <c r="P15" s="208">
        <f ca="1">IF(B15&gt;=$J$5,0,CONTADORES!$U7-CONTADORES!$U6)</f>
        <v>301.10000000000036</v>
      </c>
      <c r="Q15" s="208">
        <f ca="1">IF(B15&gt;=$J$5,0,CONTADORES!$B7-CONTADORES!$B6)</f>
        <v>0.39999999999986358</v>
      </c>
      <c r="R15" s="202">
        <f t="shared" ca="1" si="4"/>
        <v>47.999999999983629</v>
      </c>
      <c r="S15" s="11">
        <f ca="1">IF(B15&gt;=$J$5,0,CONTADORES!$D7-CONTADORES!$D6)</f>
        <v>0.6999999999998181</v>
      </c>
      <c r="T15" s="215">
        <f ca="1">IF(B15&gt;=$J$5,0,CONTADORES!$AZ7-CONTADORES!$AZ6)</f>
        <v>0</v>
      </c>
      <c r="U15" s="202">
        <f t="shared" ca="1" si="5"/>
        <v>0</v>
      </c>
      <c r="V15" s="205">
        <f ca="1">IF(B15&gt;=$J$5,0,CONTADORES!$BB7-CONTADORES!$BB6)</f>
        <v>0</v>
      </c>
      <c r="W15" s="1438">
        <f t="shared" ca="1" si="6"/>
        <v>447.60000000000036</v>
      </c>
      <c r="X15" s="1438">
        <f t="shared" ca="1" si="7"/>
        <v>0.39999999999986358</v>
      </c>
      <c r="Y15" s="1439">
        <f t="shared" ca="1" si="8"/>
        <v>448.00000000000023</v>
      </c>
      <c r="Z15" s="1439">
        <f t="shared" ca="1" si="9"/>
        <v>7.823194314606746</v>
      </c>
      <c r="AA15" s="1439">
        <f t="shared" ca="1" si="10"/>
        <v>47.999999999983629</v>
      </c>
      <c r="AB15" s="1439">
        <f t="shared" ca="1" si="11"/>
        <v>48</v>
      </c>
      <c r="AC15" s="1438">
        <f t="shared" ca="1" si="12"/>
        <v>0.6999999999998181</v>
      </c>
      <c r="AD15" s="1438">
        <f ca="1">IF(B15&gt;=$J$5,0,CONTADORES!H7-CONTADORES!H6)</f>
        <v>161.90000000002328</v>
      </c>
      <c r="AE15" s="1438">
        <f ca="1">IF(B15&gt;=$J$5,0,CONTADORES!J7-CONTADORES!J6)</f>
        <v>24</v>
      </c>
      <c r="AF15" s="1438">
        <f ca="1">IF(B15&gt;=$J$5,0,CONTADORES!AS7-CONTADORES!AS6)</f>
        <v>149.70000000001164</v>
      </c>
      <c r="AG15" s="1438">
        <f ca="1">IF(B15&gt;=$J$5,0,CONTADORES!AU7-CONTADORES!AU6)</f>
        <v>24</v>
      </c>
      <c r="AH15" s="1438">
        <f ca="1">IF(B15&gt;=$J$5,0,(CONTADORES!AK7-CONTADORES!AK6)+(CONTADORES!K7-CONTADORES!K6))</f>
        <v>4.4000000000014552</v>
      </c>
      <c r="AI15" s="1438">
        <f ca="1">IF(B15&gt;=$J$5,0,(CONTADORES!AI7-CONTADORES!AI6)+(CONTADORES!M7-CONTADORES!M6))</f>
        <v>46.279999999998836</v>
      </c>
      <c r="AJ15" s="1438">
        <f ca="1">IF(B15&gt;=$J$5,0,(CONTADORES!AG7-CONTADORES!AG6))</f>
        <v>10.660000000003492</v>
      </c>
      <c r="AK15" s="1438">
        <f ca="1">IF(B15&gt;=$J$5,0,(CONTADORES!O7-CONTADORES!O6))</f>
        <v>14.799999999988358</v>
      </c>
      <c r="AL15" s="1443">
        <f t="shared" ca="1" si="13"/>
        <v>35.15999999994915</v>
      </c>
      <c r="AM15" s="1438">
        <f ca="1">IF(B15&gt;=$J$5,0,(((CONTADORES!F7-CONTADORES!F6)+(CONTADORES!AO7-CONTADORES!AO6))))-BJ15-AF15-AN15-BM15-BP15-BU15-BS15</f>
        <v>3.8860000000243557</v>
      </c>
      <c r="AN15" s="1438">
        <f ca="1">IF(B15&gt;=$J$5,0,(CONTADORES!AV7-CONTADORES!AV6)+(CONTADORES!AX7-CONTADORES!AX6)+(CONTADORES!BC7-CONTADORES!BC6))-BS15</f>
        <v>3.6429999999998364</v>
      </c>
      <c r="AO15" s="1440">
        <f ca="1">IF(B15&gt;=$J$5,0,(CONTADORES!AA7-CONTADORES!AA6))</f>
        <v>78.200000000011642</v>
      </c>
      <c r="AP15" s="1440">
        <f ca="1">IF(B15&gt;=$J$5,0,(CONTADORES!V7-CONTADORES!V6))</f>
        <v>152.14000000000033</v>
      </c>
      <c r="AQ15" s="1445">
        <f ca="1">IF(B15&gt;=$J$5,0,(CONTADORES!C7-CONTADORES!C6))</f>
        <v>0.22699999999997544</v>
      </c>
      <c r="AR15" s="1445">
        <f ca="1">IF(B15&gt;=$J$5,0,(CONTADORES!BA7-CONTADORES!BA6))</f>
        <v>0</v>
      </c>
      <c r="AS15" s="1438">
        <f ca="1">IF(B15&gt;=$J$5,0,CONTADORES!Q7-CONTADORES!Q6)</f>
        <v>17.299999999988358</v>
      </c>
      <c r="AT15" s="1438">
        <f ca="1">IF(B15&gt;=$J$5,0,(CONTADORES!S7-CONTADORES!S6)+(CONTADORES!AE7-CONTADORES!AE6))</f>
        <v>2.0599999999976717</v>
      </c>
      <c r="AU15" s="1438">
        <f>CONTADORES!I7-CONTADORES!I6</f>
        <v>82.199999999982538</v>
      </c>
      <c r="AV15" s="1438">
        <f>CONTADORES!AT7-CONTADORES!AT6</f>
        <v>65</v>
      </c>
      <c r="AW15" s="1438">
        <f ca="1">IF(B15&gt;=$J$5,0,(CONTADORES!L7-CONTADORES!L6)+(CONTADORES!AL7-CONTADORES!AL6))</f>
        <v>1.7999999999992724</v>
      </c>
      <c r="AX15" s="1438">
        <f ca="1">IF(B15&gt;=$J$5,0,(CONTADORES!N7-CONTADORES!N6)+(CONTADORES!AJ7-CONTADORES!AJ6))</f>
        <v>36.650000000001455</v>
      </c>
      <c r="AY15" s="1438">
        <f ca="1">IF(B15&gt;=$J$5,0,(CONTADORES!AH7-CONTADORES!AH6))</f>
        <v>8.3800000000046566</v>
      </c>
      <c r="AZ15" s="1438">
        <f ca="1">IF(B15&gt;=$J$5,0,(CONTADORES!P7-CONTADORES!P6))</f>
        <v>12.75</v>
      </c>
      <c r="BA15" s="1446">
        <f t="shared" ca="1" si="14"/>
        <v>13.93600000002985</v>
      </c>
      <c r="BB15" s="1447">
        <f ca="1">IF(B15&gt;=$J$5,0,(((CONTADORES!G7-CONTADORES!G6)+(CONTADORES!AP7-CONTADORES!AP6))))-AV15-BC15-BK15-BN15-BQ15-BV15</f>
        <v>1.3789999999943978</v>
      </c>
      <c r="BC15" s="1440">
        <f ca="1">IF(B15&gt;=$J$5,0,(CONTADORES!AW7-CONTADORES!AW6)+(CONTADORES!AY7-CONTADORES!AY6)+(CONTADORES!BD7-CONTADORES!BD6))-BT15</f>
        <v>1.6189999999997089</v>
      </c>
      <c r="BD15" s="1438">
        <f t="shared" ca="1" si="15"/>
        <v>230.56700000001194</v>
      </c>
      <c r="BE15" s="1438">
        <f ca="1">IF($B15&gt;=$J$5,0,CONTADORES!$BE7)</f>
        <v>7112.5199999999995</v>
      </c>
      <c r="BF15" s="1438">
        <f ca="1">IF($B15&gt;=$J$5,0,CONTADORES!$BF7)</f>
        <v>28167.83157894736</v>
      </c>
      <c r="BG15" s="1438">
        <f ca="1">IF($B15&gt;=$J$5,0,CONTADORES!$BH7)</f>
        <v>5602.380000000001</v>
      </c>
      <c r="BH15" s="1438">
        <f ca="1">IF(B15&gt;=$J$5,0,(CONTADORES!AQ7-CONTADORES!AQ6))</f>
        <v>5.4000000000014552</v>
      </c>
      <c r="BI15" s="1438">
        <f ca="1">IF(C15&gt;=$J$5,0,(CONTADORES!AR7-CONTADORES!AR6))</f>
        <v>0</v>
      </c>
      <c r="BJ15" s="1438">
        <f ca="1">IF(B15&gt;=$J$5,0,CONTADORES!BI7-CONTADORES!BI6)/1000</f>
        <v>0</v>
      </c>
      <c r="BK15" s="1438">
        <f ca="1">IF(B15&gt;=$J$5,0,CONTADORES!BJ7-CONTADORES!BJ6)</f>
        <v>0</v>
      </c>
      <c r="BL15" s="1438">
        <f ca="1">IF(B15&gt;=$J$5,0,CONTADORES!BK7-CONTADORES!BK6)</f>
        <v>0</v>
      </c>
      <c r="BM15" s="1438">
        <f ca="1">IF(B15&gt;=$J$5,0,CONTADORES!BL7-CONTADORES!BL6)/1000</f>
        <v>4.1310000000000002</v>
      </c>
      <c r="BN15" s="1438">
        <f ca="1">IF(B15&gt;=$J$5,0,CONTADORES!BM7-CONTADORES!BM6)/1000</f>
        <v>0.46600000000000003</v>
      </c>
      <c r="BO15" s="1438">
        <f ca="1">IF(B15&gt;=$J$5,0,CONTADORES!BN7-CONTADORES!BN6)</f>
        <v>23.959999999999127</v>
      </c>
      <c r="BP15" s="1438">
        <f ca="1">IF(B15&gt;=$J$5,0,CONTADORES!BO7-CONTADORES!BO6)/1000</f>
        <v>3.2029999999999998</v>
      </c>
      <c r="BQ15" s="1438">
        <f ca="1">IF(B15&gt;=$J$5,0,CONTADORES!BP7-CONTADORES!BP6)/1000</f>
        <v>1.6E-2</v>
      </c>
      <c r="BR15" s="1438">
        <f ca="1">IF(B15&gt;=$J$5,0,CONTADORES!BQ7-CONTADORES!BQ6)</f>
        <v>24</v>
      </c>
      <c r="BS15" s="1438">
        <f ca="1">IF(B15&gt;=$J$5,0,(CONTADORES!BT7-CONTADORES!BT6)+(CONTADORES!BV7-CONTADORES!BV6))/1000</f>
        <v>1.5369999999999999</v>
      </c>
      <c r="BT15" s="1438">
        <f ca="1">IF(B15&gt;=$J$5,0,(CONTADORES!BU7-CONTADORES!BU6)+(CONTADORES!BW7-CONTADORES!BW6))/1000</f>
        <v>0.95099999999999996</v>
      </c>
      <c r="BU15" s="1438">
        <f ca="1">IF(B15&gt;=$J$5,0,CONTADORES!BR7-CONTADORES!BR6)</f>
        <v>8.6999999999998181</v>
      </c>
      <c r="BV15" s="1438">
        <f ca="1">IF(B15&gt;=$J$5,0,CONTADORES!BS7-CONTADORES!BS6)</f>
        <v>5.4200000000000728</v>
      </c>
      <c r="BW15" s="1438">
        <f t="shared" ca="1" si="16"/>
        <v>10.643000000011996</v>
      </c>
      <c r="BX15" s="1438">
        <f t="shared" ca="1" si="17"/>
        <v>6.1094999999972721</v>
      </c>
      <c r="BY15" s="1438">
        <f t="shared" ca="1" si="18"/>
        <v>1.9430000000121779</v>
      </c>
      <c r="BZ15" s="1438">
        <f t="shared" ca="1" si="19"/>
        <v>1.4571999999999345</v>
      </c>
      <c r="CA15" s="1438">
        <f t="shared" ca="1" si="20"/>
        <v>1.9430000000121779</v>
      </c>
      <c r="CB15" s="1438">
        <f t="shared" ca="1" si="21"/>
        <v>2.1857999999999018</v>
      </c>
      <c r="CC15" s="1438">
        <f t="shared" ca="1" si="22"/>
        <v>2.9941999999999345</v>
      </c>
      <c r="CD15" s="1438">
        <f t="shared" ca="1" si="23"/>
        <v>0.68949999999719891</v>
      </c>
      <c r="CE15" s="1438">
        <f ca="1">IF(B15&gt;=$J$5,0,CONTADORES!BS7-CONTADORES!BS6)</f>
        <v>5.4200000000000728</v>
      </c>
      <c r="CF15" s="1438">
        <f t="shared" ca="1" si="24"/>
        <v>0.68949999999719891</v>
      </c>
      <c r="CG15" s="1443">
        <f t="shared" ca="1" si="25"/>
        <v>0.80949999999985445</v>
      </c>
      <c r="CH15" s="1438">
        <f t="shared" ca="1" si="26"/>
        <v>0.80949999999985445</v>
      </c>
      <c r="CI15" s="1438">
        <f t="shared" ca="1" si="27"/>
        <v>1.7604999999998543</v>
      </c>
      <c r="CJ15" s="1444">
        <f ca="1">IF($B15&gt;=$J$5,0,CONTADORES!$BG7)</f>
        <v>10208.582955071874</v>
      </c>
      <c r="CK15" s="1384">
        <f>CONTADORES!E7</f>
        <v>1</v>
      </c>
      <c r="CL15" s="1384">
        <f>CONTADORES!BX7</f>
        <v>0</v>
      </c>
    </row>
    <row r="16" spans="2:90">
      <c r="B16" s="220">
        <v>44932</v>
      </c>
      <c r="C16" s="204">
        <f t="shared" ca="1" si="0"/>
        <v>108.80000000004657</v>
      </c>
      <c r="D16" s="202">
        <f ca="1">'CALCULO DE GAS'!D9</f>
        <v>3.0587881685396714</v>
      </c>
      <c r="E16" s="202">
        <f ca="1">IF(B16&gt;=$J$5,0,(CONTADORES!$AB8-CONTADORES!$AB7)-$H16)</f>
        <v>24</v>
      </c>
      <c r="F16" s="204">
        <f t="shared" ca="1" si="1"/>
        <v>0</v>
      </c>
      <c r="G16" s="202">
        <f ca="1">IF(B16&gt;=$J$5,0,CONTADORES!$AD8-CONTADORES!$AD7)</f>
        <v>0</v>
      </c>
      <c r="H16" s="1437">
        <f ca="1">IF(G16&gt;0,CONTADORES!$AC8-CONTADORES!$AC7,0)</f>
        <v>0</v>
      </c>
      <c r="I16" s="205">
        <f ca="1">IF(B16&gt;=$J$5,0,CONTADORES!$Z8-CONTADORES!$Z7)</f>
        <v>108.80000000004657</v>
      </c>
      <c r="J16" s="204">
        <f t="shared" ca="1" si="2"/>
        <v>212.69999999999891</v>
      </c>
      <c r="K16" s="202">
        <f ca="1">'CALCULO DE GAS'!E9</f>
        <v>3.8292825505617909</v>
      </c>
      <c r="L16" s="1437">
        <f ca="1">IF(B16&gt;=$J$5,0,(CONTADORES!$W8-CONTADORES!$W7)-$O16)</f>
        <v>24</v>
      </c>
      <c r="M16" s="1437">
        <f t="shared" ca="1" si="3"/>
        <v>0</v>
      </c>
      <c r="N16" s="1437">
        <f ca="1">IF(B16&gt;=$J$5,0,CONTADORES!$Y8-CONTADORES!$Y7)</f>
        <v>0</v>
      </c>
      <c r="O16" s="1437">
        <f ca="1">IF(N16&gt;0,CONTADORES!$X8-CONTADORES!$X7,0)</f>
        <v>0</v>
      </c>
      <c r="P16" s="208">
        <f ca="1">IF(B16&gt;=$J$5,0,CONTADORES!$U8-CONTADORES!$U7)</f>
        <v>212.69999999999891</v>
      </c>
      <c r="Q16" s="208">
        <f ca="1">IF(B16&gt;=$J$5,0,CONTADORES!$B8-CONTADORES!$B7)</f>
        <v>0</v>
      </c>
      <c r="R16" s="202">
        <f t="shared" ca="1" si="4"/>
        <v>0</v>
      </c>
      <c r="S16" s="11">
        <f ca="1">IF(B16&gt;=$J$5,0,CONTADORES!$D8-CONTADORES!$D7)</f>
        <v>0</v>
      </c>
      <c r="T16" s="215">
        <f ca="1">IF(B16&gt;=$J$5,0,CONTADORES!$AZ8-CONTADORES!$AZ7)</f>
        <v>0</v>
      </c>
      <c r="U16" s="202">
        <f t="shared" ca="1" si="5"/>
        <v>0</v>
      </c>
      <c r="V16" s="205">
        <f ca="1">IF(B16&gt;=$J$5,0,CONTADORES!$BB8-CONTADORES!$BB7)</f>
        <v>0</v>
      </c>
      <c r="W16" s="1438">
        <f t="shared" ca="1" si="6"/>
        <v>321.50000000004547</v>
      </c>
      <c r="X16" s="1438">
        <f t="shared" ca="1" si="7"/>
        <v>0</v>
      </c>
      <c r="Y16" s="1439">
        <f t="shared" ca="1" si="8"/>
        <v>321.50000000004547</v>
      </c>
      <c r="Z16" s="1439">
        <f t="shared" ca="1" si="9"/>
        <v>6.8880707191014618</v>
      </c>
      <c r="AA16" s="1439">
        <f t="shared" ca="1" si="10"/>
        <v>0</v>
      </c>
      <c r="AB16" s="1439">
        <f t="shared" ca="1" si="11"/>
        <v>48</v>
      </c>
      <c r="AC16" s="1438">
        <f t="shared" ca="1" si="12"/>
        <v>0</v>
      </c>
      <c r="AD16" s="1438">
        <f ca="1">IF(B16&gt;=$J$5,0,CONTADORES!H8-CONTADORES!H7)</f>
        <v>165.29999999993015</v>
      </c>
      <c r="AE16" s="1438">
        <f ca="1">IF(B16&gt;=$J$5,0,CONTADORES!J8-CONTADORES!J7)</f>
        <v>24</v>
      </c>
      <c r="AF16" s="1438">
        <f ca="1">IF(B16&gt;=$J$5,0,CONTADORES!AS8-CONTADORES!AS7)</f>
        <v>25.5</v>
      </c>
      <c r="AG16" s="1438">
        <f ca="1">IF(B16&gt;=$J$5,0,CONTADORES!AU8-CONTADORES!AU7)</f>
        <v>19.660000000003492</v>
      </c>
      <c r="AH16" s="1438">
        <f ca="1">IF(B16&gt;=$J$5,0,(CONTADORES!AK8-CONTADORES!AK7)+(CONTADORES!K8-CONTADORES!K7))</f>
        <v>10.599999999998545</v>
      </c>
      <c r="AI16" s="1438">
        <f ca="1">IF(B16&gt;=$J$5,0,(CONTADORES!AI8-CONTADORES!AI7)+(CONTADORES!M8-CONTADORES!M7))</f>
        <v>38.200000000004366</v>
      </c>
      <c r="AJ16" s="1438">
        <f ca="1">IF(B16&gt;=$J$5,0,(CONTADORES!AG8-CONTADORES!AG7))</f>
        <v>10.5</v>
      </c>
      <c r="AK16" s="1438">
        <f ca="1">IF(B16&gt;=$J$5,0,(CONTADORES!O8-CONTADORES!O7))</f>
        <v>15</v>
      </c>
      <c r="AL16" s="1443">
        <f t="shared" ca="1" si="13"/>
        <v>33.200000000135333</v>
      </c>
      <c r="AM16" s="1438">
        <f ca="1">IF(B16&gt;=$J$5,0,(((CONTADORES!F8-CONTADORES!F7)+(CONTADORES!AO8-CONTADORES!AO7))))-BJ16-AF16-AN16-BM16-BP16-BU16-BS16</f>
        <v>6.1849999999770802</v>
      </c>
      <c r="AN16" s="1438">
        <f ca="1">IF(B16&gt;=$J$5,0,(CONTADORES!AV8-CONTADORES!AV7)+(CONTADORES!AX8-CONTADORES!AX7)+(CONTADORES!BC8-CONTADORES!BC7))-BS16</f>
        <v>2.7639999999998182</v>
      </c>
      <c r="AO16" s="1440">
        <f ca="1">IF(B16&gt;=$J$5,0,(CONTADORES!AA8-CONTADORES!AA7))</f>
        <v>55.100000000034925</v>
      </c>
      <c r="AP16" s="1440">
        <f ca="1">IF(B16&gt;=$J$5,0,(CONTADORES!V8-CONTADORES!V7))</f>
        <v>119.89999999999964</v>
      </c>
      <c r="AQ16" s="1445">
        <f ca="1">IF(B16&gt;=$J$5,0,(CONTADORES!C8-CONTADORES!C7))</f>
        <v>0</v>
      </c>
      <c r="AR16" s="1445">
        <f ca="1">IF(B16&gt;=$J$5,0,(CONTADORES!BA8-CONTADORES!BA7))</f>
        <v>0</v>
      </c>
      <c r="AS16" s="1438">
        <f ca="1">IF(B16&gt;=$J$5,0,CONTADORES!Q8-CONTADORES!Q7)</f>
        <v>18.300000000017462</v>
      </c>
      <c r="AT16" s="1438">
        <f ca="1">IF(B16&gt;=$J$5,0,(CONTADORES!S8-CONTADORES!S7)+(CONTADORES!AE8-CONTADORES!AE7))</f>
        <v>2.2000000000043656</v>
      </c>
      <c r="AU16" s="1438">
        <f>CONTADORES!I8-CONTADORES!I7</f>
        <v>85.100000000005821</v>
      </c>
      <c r="AV16" s="1438">
        <f>CONTADORES!AT8-CONTADORES!AT7</f>
        <v>11.100000000005821</v>
      </c>
      <c r="AW16" s="1438">
        <f ca="1">IF(B16&gt;=$J$5,0,(CONTADORES!L8-CONTADORES!L7)+(CONTADORES!AL8-CONTADORES!AL7))</f>
        <v>4.2000000000007276</v>
      </c>
      <c r="AX16" s="1438">
        <f ca="1">IF(B16&gt;=$J$5,0,(CONTADORES!N8-CONTADORES!N7)+(CONTADORES!AJ8-CONTADORES!AJ7))</f>
        <v>29.5</v>
      </c>
      <c r="AY16" s="1438">
        <f ca="1">IF(B16&gt;=$J$5,0,(CONTADORES!AH8-CONTADORES!AH7))</f>
        <v>8.4000000000014552</v>
      </c>
      <c r="AZ16" s="1438">
        <f ca="1">IF(B16&gt;=$J$5,0,(CONTADORES!P8-CONTADORES!P7))</f>
        <v>12.5</v>
      </c>
      <c r="BA16" s="1446">
        <f t="shared" ca="1" si="14"/>
        <v>15.275000000038034</v>
      </c>
      <c r="BB16" s="1447">
        <f ca="1">IF(B16&gt;=$J$5,0,(((CONTADORES!G8-CONTADORES!G7)+(CONTADORES!AP8-CONTADORES!AP7))))-AV16-BC16-BK16-BN16-BQ16-BV16</f>
        <v>1.6679999999819914</v>
      </c>
      <c r="BC16" s="1440">
        <f ca="1">IF(B16&gt;=$J$5,0,(CONTADORES!AW8-CONTADORES!AW7)+(CONTADORES!AY8-CONTADORES!AY7)+(CONTADORES!BD8-CONTADORES!BD7))-BT16</f>
        <v>1.575</v>
      </c>
      <c r="BD16" s="1438">
        <f t="shared" ca="1" si="15"/>
        <v>175.00000000003456</v>
      </c>
      <c r="BE16" s="1438">
        <f ca="1">IF($B16&gt;=$J$5,0,CONTADORES!$BE8)</f>
        <v>6356.6099999999979</v>
      </c>
      <c r="BF16" s="1438">
        <f ca="1">IF($B16&gt;=$J$5,0,CONTADORES!$BF8)</f>
        <v>22872.242105263158</v>
      </c>
      <c r="BG16" s="1438">
        <f ca="1">IF($B16&gt;=$J$5,0,CONTADORES!$BH8)</f>
        <v>6049.03</v>
      </c>
      <c r="BH16" s="1438">
        <f ca="1">IF(B16&gt;=$J$5,0,(CONTADORES!AQ8-CONTADORES!AQ7))</f>
        <v>5.6999999999970896</v>
      </c>
      <c r="BI16" s="1438">
        <f ca="1">IF(C16&gt;=$J$5,0,(CONTADORES!AR8-CONTADORES!AR7))</f>
        <v>0</v>
      </c>
      <c r="BJ16" s="1438">
        <f ca="1">IF(B16&gt;=$J$5,0,CONTADORES!BI8-CONTADORES!BI7)/1000</f>
        <v>0</v>
      </c>
      <c r="BK16" s="1438">
        <f ca="1">IF(B16&gt;=$J$5,0,CONTADORES!BJ8-CONTADORES!BJ7)</f>
        <v>0</v>
      </c>
      <c r="BL16" s="1438">
        <f ca="1">IF(B16&gt;=$J$5,0,CONTADORES!BK8-CONTADORES!BK7)</f>
        <v>0</v>
      </c>
      <c r="BM16" s="1438">
        <f ca="1">IF(B16&gt;=$J$5,0,CONTADORES!BL8-CONTADORES!BL7)/1000</f>
        <v>3.387</v>
      </c>
      <c r="BN16" s="1438">
        <f ca="1">IF(B16&gt;=$J$5,0,CONTADORES!BM8-CONTADORES!BM7)/1000</f>
        <v>0.52200000000000002</v>
      </c>
      <c r="BO16" s="1438">
        <f ca="1">IF(B16&gt;=$J$5,0,CONTADORES!BN8-CONTADORES!BN7)</f>
        <v>18</v>
      </c>
      <c r="BP16" s="1438">
        <f ca="1">IF(B16&gt;=$J$5,0,CONTADORES!BO8-CONTADORES!BO7)/1000</f>
        <v>2.6280000000000001</v>
      </c>
      <c r="BQ16" s="1438">
        <f ca="1">IF(B16&gt;=$J$5,0,CONTADORES!BP8-CONTADORES!BP7)/1000</f>
        <v>3.5000000000000003E-2</v>
      </c>
      <c r="BR16" s="1438">
        <f ca="1">IF(B16&gt;=$J$5,0,CONTADORES!BQ8-CONTADORES!BQ7)</f>
        <v>18</v>
      </c>
      <c r="BS16" s="1438">
        <f ca="1">IF(B16&gt;=$J$5,0,(CONTADORES!BT8-CONTADORES!BT7)+(CONTADORES!BV8-CONTADORES!BV7))/1000</f>
        <v>1.4359999999999999</v>
      </c>
      <c r="BT16" s="1438">
        <f ca="1">IF(B16&gt;=$J$5,0,(CONTADORES!BU8-CONTADORES!BU7)+(CONTADORES!BW8-CONTADORES!BW7))/1000</f>
        <v>0.92500000000000004</v>
      </c>
      <c r="BU16" s="1438">
        <f ca="1">IF(B16&gt;=$J$5,0,CONTADORES!BR8-CONTADORES!BR7)</f>
        <v>6.8000000000001819</v>
      </c>
      <c r="BV16" s="1438">
        <f ca="1">IF(B16&gt;=$J$5,0,CONTADORES!BS8-CONTADORES!BS7)</f>
        <v>4.2000000000007276</v>
      </c>
      <c r="BW16" s="1438">
        <f t="shared" ca="1" si="16"/>
        <v>9.892499999988722</v>
      </c>
      <c r="BX16" s="1438">
        <f t="shared" ca="1" si="17"/>
        <v>5.0339999999917229</v>
      </c>
      <c r="BY16" s="1438">
        <f t="shared" ca="1" si="18"/>
        <v>3.0924999999885401</v>
      </c>
      <c r="BZ16" s="1438">
        <f t="shared" ca="1" si="19"/>
        <v>1.1055999999999273</v>
      </c>
      <c r="CA16" s="1438">
        <f t="shared" ca="1" si="20"/>
        <v>3.0924999999885401</v>
      </c>
      <c r="CB16" s="1438">
        <f t="shared" ca="1" si="21"/>
        <v>1.6583999999998909</v>
      </c>
      <c r="CC16" s="1438">
        <f t="shared" ca="1" si="22"/>
        <v>2.541599999999927</v>
      </c>
      <c r="CD16" s="1438">
        <f t="shared" ca="1" si="23"/>
        <v>0.83399999999099572</v>
      </c>
      <c r="CE16" s="1438">
        <f ca="1">IF(B16&gt;=$J$5,0,CONTADORES!BS8-CONTADORES!BS7)</f>
        <v>4.2000000000007276</v>
      </c>
      <c r="CF16" s="1438">
        <f t="shared" ca="1" si="24"/>
        <v>0.83399999999099572</v>
      </c>
      <c r="CG16" s="1443">
        <f t="shared" ca="1" si="25"/>
        <v>0.78749999999999998</v>
      </c>
      <c r="CH16" s="1438">
        <f t="shared" ca="1" si="26"/>
        <v>0.78749999999999998</v>
      </c>
      <c r="CI16" s="1438">
        <f t="shared" ca="1" si="27"/>
        <v>1.7124999999999999</v>
      </c>
      <c r="CJ16" s="1444">
        <f ca="1">IF($B16&gt;=$J$5,0,CONTADORES!$BG8)</f>
        <v>9248.1363284522613</v>
      </c>
      <c r="CK16" s="1384">
        <f>CONTADORES!E8</f>
        <v>0</v>
      </c>
      <c r="CL16" s="1384">
        <f>CONTADORES!BX8</f>
        <v>0</v>
      </c>
    </row>
    <row r="17" spans="1:110">
      <c r="B17" s="220">
        <v>44933</v>
      </c>
      <c r="C17" s="204">
        <f t="shared" ca="1" si="0"/>
        <v>124.89999999990687</v>
      </c>
      <c r="D17" s="202">
        <f ca="1">'CALCULO DE GAS'!D10</f>
        <v>3.1781814269656019</v>
      </c>
      <c r="E17" s="202">
        <f ca="1">IF(B17&gt;=$J$5,0,(CONTADORES!$AB9-CONTADORES!$AB8)-$H17)</f>
        <v>24</v>
      </c>
      <c r="F17" s="204">
        <f t="shared" ca="1" si="1"/>
        <v>0</v>
      </c>
      <c r="G17" s="202">
        <f ca="1">IF(B17&gt;=$J$5,0,CONTADORES!$AD9-CONTADORES!$AD8)</f>
        <v>0</v>
      </c>
      <c r="H17" s="1437">
        <f ca="1">IF(G17&gt;0,CONTADORES!$AC9-CONTADORES!$AC8,0)</f>
        <v>0</v>
      </c>
      <c r="I17" s="205">
        <f ca="1">IF(B17&gt;=$J$5,0,CONTADORES!$Z9-CONTADORES!$Z8)</f>
        <v>124.89999999990687</v>
      </c>
      <c r="J17" s="204">
        <f t="shared" ca="1" si="2"/>
        <v>246.20000000000073</v>
      </c>
      <c r="K17" s="202">
        <f ca="1">'CALCULO DE GAS'!E10</f>
        <v>4.0777095168539388</v>
      </c>
      <c r="L17" s="1437">
        <f ca="1">IF(B17&gt;=$J$5,0,(CONTADORES!$W9-CONTADORES!$W8)-$O17)</f>
        <v>24</v>
      </c>
      <c r="M17" s="1437">
        <f t="shared" ca="1" si="3"/>
        <v>0</v>
      </c>
      <c r="N17" s="1437">
        <f ca="1">IF(B17&gt;=$J$5,0,CONTADORES!$Y9-CONTADORES!$Y8)</f>
        <v>0</v>
      </c>
      <c r="O17" s="1437">
        <f ca="1">IF(N17&gt;0,CONTADORES!$X9-CONTADORES!$X8,0)</f>
        <v>0</v>
      </c>
      <c r="P17" s="208">
        <f ca="1">IF(B17&gt;=$J$5,0,CONTADORES!$U9-CONTADORES!$U8)</f>
        <v>246.20000000000073</v>
      </c>
      <c r="Q17" s="208">
        <f ca="1">IF(B17&gt;=$J$5,0,CONTADORES!$B9-CONTADORES!$B8)</f>
        <v>0</v>
      </c>
      <c r="R17" s="202">
        <f t="shared" ca="1" si="4"/>
        <v>0</v>
      </c>
      <c r="S17" s="11">
        <f ca="1">IF(B17&gt;=$J$5,0,CONTADORES!$D9-CONTADORES!$D8)</f>
        <v>0</v>
      </c>
      <c r="T17" s="215">
        <f ca="1">IF(B17&gt;=$J$5,0,CONTADORES!$AZ9-CONTADORES!$AZ8)</f>
        <v>1.0180000000000291</v>
      </c>
      <c r="U17" s="202">
        <f t="shared" ca="1" si="5"/>
        <v>122.16000000000349</v>
      </c>
      <c r="V17" s="205">
        <f ca="1">IF(B17&gt;=$J$5,0,CONTADORES!$BB9-CONTADORES!$BB8)</f>
        <v>6.2699999999999818</v>
      </c>
      <c r="W17" s="1438">
        <f t="shared" ca="1" si="6"/>
        <v>371.0999999999076</v>
      </c>
      <c r="X17" s="1438">
        <f t="shared" ca="1" si="7"/>
        <v>1.0180000000000291</v>
      </c>
      <c r="Y17" s="1439">
        <f t="shared" ca="1" si="8"/>
        <v>372.11799999990762</v>
      </c>
      <c r="Z17" s="1439">
        <f t="shared" ca="1" si="9"/>
        <v>7.2558909438195407</v>
      </c>
      <c r="AA17" s="1439">
        <f t="shared" ca="1" si="10"/>
        <v>122.16000000000349</v>
      </c>
      <c r="AB17" s="1439">
        <f t="shared" ca="1" si="11"/>
        <v>48</v>
      </c>
      <c r="AC17" s="1438">
        <f t="shared" ca="1" si="12"/>
        <v>6.2699999999999818</v>
      </c>
      <c r="AD17" s="1438">
        <f ca="1">IF(B17&gt;=$J$5,0,CONTADORES!H9-CONTADORES!H8)</f>
        <v>166.90000000002328</v>
      </c>
      <c r="AE17" s="1438">
        <f ca="1">IF(B17&gt;=$J$5,0,CONTADORES!J9-CONTADORES!J8)</f>
        <v>24</v>
      </c>
      <c r="AF17" s="1438">
        <f ca="1">IF(B17&gt;=$J$5,0,CONTADORES!AS9-CONTADORES!AS8)</f>
        <v>95.200000000011642</v>
      </c>
      <c r="AG17" s="1438">
        <f ca="1">IF(B17&gt;=$J$5,0,CONTADORES!AU9-CONTADORES!AU8)</f>
        <v>15.399999999994179</v>
      </c>
      <c r="AH17" s="1438">
        <f ca="1">IF(B17&gt;=$J$5,0,(CONTADORES!AK9-CONTADORES!AK8)+(CONTADORES!K9-CONTADORES!K8))</f>
        <v>5.5</v>
      </c>
      <c r="AI17" s="1438">
        <f ca="1">IF(B17&gt;=$J$5,0,(CONTADORES!AI9-CONTADORES!AI8)+(CONTADORES!M9-CONTADORES!M8))</f>
        <v>29.80000000000291</v>
      </c>
      <c r="AJ17" s="1438">
        <f ca="1">IF(B17&gt;=$J$5,0,(CONTADORES!AG9-CONTADORES!AG8))</f>
        <v>11</v>
      </c>
      <c r="AK17" s="1438">
        <f ca="1">IF(B17&gt;=$J$5,0,(CONTADORES!O9-CONTADORES!O8))</f>
        <v>14.899999999994179</v>
      </c>
      <c r="AL17" s="1443">
        <f t="shared" ca="1" si="13"/>
        <v>32.217999999911626</v>
      </c>
      <c r="AM17" s="1438">
        <f ca="1">IF(B17&gt;=$J$5,0,(((CONTADORES!F9-CONTADORES!F8)+(CONTADORES!AO9-CONTADORES!AO8))))-BJ17-AF17-AN17-BM17-BP17-BU17-BS17</f>
        <v>4.4939999999637905</v>
      </c>
      <c r="AN17" s="1438">
        <f ca="1">IF(B17&gt;=$J$5,0,(CONTADORES!AV9-CONTADORES!AV8)+(CONTADORES!AX9-CONTADORES!AX8)+(CONTADORES!BC9-CONTADORES!BC8))-BS17</f>
        <v>2.6330000000000102</v>
      </c>
      <c r="AO17" s="1440">
        <f ca="1">IF(B17&gt;=$J$5,0,(CONTADORES!AA9-CONTADORES!AA8))</f>
        <v>66</v>
      </c>
      <c r="AP17" s="1440">
        <f ca="1">IF(B17&gt;=$J$5,0,(CONTADORES!V9-CONTADORES!V8))</f>
        <v>130.19999999999982</v>
      </c>
      <c r="AQ17" s="1445">
        <f ca="1">IF(B17&gt;=$J$5,0,(CONTADORES!C9-CONTADORES!C8))</f>
        <v>0</v>
      </c>
      <c r="AR17" s="1445">
        <f ca="1">IF(B17&gt;=$J$5,0,(CONTADORES!BA9-CONTADORES!BA8))</f>
        <v>0.47300000000001319</v>
      </c>
      <c r="AS17" s="1438">
        <f ca="1">IF(B17&gt;=$J$5,0,CONTADORES!Q9-CONTADORES!Q8)</f>
        <v>17.299999999988358</v>
      </c>
      <c r="AT17" s="1438">
        <f ca="1">IF(B17&gt;=$J$5,0,(CONTADORES!S9-CONTADORES!S8)+(CONTADORES!AE9-CONTADORES!AE8))</f>
        <v>2.0999999999985448</v>
      </c>
      <c r="AU17" s="1438">
        <f>CONTADORES!I9-CONTADORES!I8</f>
        <v>83.600000000005821</v>
      </c>
      <c r="AV17" s="1438">
        <f>CONTADORES!AT9-CONTADORES!AT8</f>
        <v>41.600000000005821</v>
      </c>
      <c r="AW17" s="1438">
        <f ca="1">IF(B17&gt;=$J$5,0,(CONTADORES!L9-CONTADORES!L8)+(CONTADORES!AL9-CONTADORES!AL8))</f>
        <v>2.1999999999970896</v>
      </c>
      <c r="AX17" s="1438">
        <f ca="1">IF(B17&gt;=$J$5,0,(CONTADORES!N9-CONTADORES!N8)+(CONTADORES!AJ9-CONTADORES!AJ8))</f>
        <v>23.5</v>
      </c>
      <c r="AY17" s="1438">
        <f ca="1">IF(B17&gt;=$J$5,0,(CONTADORES!AH9-CONTADORES!AH8))</f>
        <v>8.5999999999985448</v>
      </c>
      <c r="AZ17" s="1438">
        <f ca="1">IF(B17&gt;=$J$5,0,(CONTADORES!P9-CONTADORES!P8))</f>
        <v>12.80000000000291</v>
      </c>
      <c r="BA17" s="1446">
        <f t="shared" ca="1" si="14"/>
        <v>13.597999999972728</v>
      </c>
      <c r="BB17" s="1447">
        <f ca="1">IF(B17&gt;=$J$5,0,(((CONTADORES!G9-CONTADORES!G8)+(CONTADORES!AP9-CONTADORES!AP8))))-AV17-BC17-BK17-BN17-BQ17-BV17</f>
        <v>5.6730000000176428</v>
      </c>
      <c r="BC17" s="1440">
        <f ca="1">IF(B17&gt;=$J$5,0,(CONTADORES!AW9-CONTADORES!AW8)+(CONTADORES!AY9-CONTADORES!AY8)+(CONTADORES!BD9-CONTADORES!BD8))-BT17</f>
        <v>1.125</v>
      </c>
      <c r="BD17" s="1438">
        <f t="shared" ca="1" si="15"/>
        <v>196.67299999999983</v>
      </c>
      <c r="BE17" s="1438">
        <f ca="1">IF($B17&gt;=$J$5,0,CONTADORES!$BE9)</f>
        <v>6779.78</v>
      </c>
      <c r="BF17" s="1438">
        <f ca="1">IF($B17&gt;=$J$5,0,CONTADORES!$BF9)</f>
        <v>14289.931578947368</v>
      </c>
      <c r="BG17" s="1438">
        <f ca="1">IF($B17&gt;=$J$5,0,CONTADORES!$BH9)</f>
        <v>5304.3499999999995</v>
      </c>
      <c r="BH17" s="1438">
        <f ca="1">IF(B17&gt;=$J$5,0,(CONTADORES!AQ9-CONTADORES!AQ8))</f>
        <v>5.2000000000043656</v>
      </c>
      <c r="BI17" s="1438">
        <f ca="1">IF(C17&gt;=$J$5,0,(CONTADORES!AR9-CONTADORES!AR8))</f>
        <v>0</v>
      </c>
      <c r="BJ17" s="1438">
        <f ca="1">IF(B17&gt;=$J$5,0,CONTADORES!BI9-CONTADORES!BI8)/1000</f>
        <v>0</v>
      </c>
      <c r="BK17" s="1438">
        <f ca="1">IF(B17&gt;=$J$5,0,CONTADORES!BJ9-CONTADORES!BJ8)</f>
        <v>0</v>
      </c>
      <c r="BL17" s="1438">
        <f ca="1">IF(B17&gt;=$J$5,0,CONTADORES!BK9-CONTADORES!BK8)</f>
        <v>0</v>
      </c>
      <c r="BM17" s="1438">
        <f ca="1">IF(B17&gt;=$J$5,0,CONTADORES!BL9-CONTADORES!BL8)/1000</f>
        <v>2.3380000000000001</v>
      </c>
      <c r="BN17" s="1438">
        <f ca="1">IF(B17&gt;=$J$5,0,CONTADORES!BM9-CONTADORES!BM8)/1000</f>
        <v>0.3</v>
      </c>
      <c r="BO17" s="1438">
        <f ca="1">IF(B17&gt;=$J$5,0,CONTADORES!BN9-CONTADORES!BN8)</f>
        <v>12.600000000002183</v>
      </c>
      <c r="BP17" s="1438">
        <f ca="1">IF(B17&gt;=$J$5,0,CONTADORES!BO9-CONTADORES!BO8)/1000</f>
        <v>1.448</v>
      </c>
      <c r="BQ17" s="1438">
        <f ca="1">IF(B17&gt;=$J$5,0,CONTADORES!BP9-CONTADORES!BP8)/1000</f>
        <v>2E-3</v>
      </c>
      <c r="BR17" s="1438">
        <f ca="1">IF(B17&gt;=$J$5,0,CONTADORES!BQ9-CONTADORES!BQ8)</f>
        <v>12.600000000000364</v>
      </c>
      <c r="BS17" s="1438">
        <f ca="1">IF(B17&gt;=$J$5,0,(CONTADORES!BT9-CONTADORES!BT8)+(CONTADORES!BV9-CONTADORES!BV8))/1000</f>
        <v>1.387</v>
      </c>
      <c r="BT17" s="1438">
        <f ca="1">IF(B17&gt;=$J$5,0,(CONTADORES!BU9-CONTADORES!BU8)+(CONTADORES!BW9-CONTADORES!BW8))/1000</f>
        <v>0.875</v>
      </c>
      <c r="BU17" s="1438">
        <f ca="1">IF(B17&gt;=$J$5,0,CONTADORES!BR9-CONTADORES!BR8)</f>
        <v>4.3000000000001819</v>
      </c>
      <c r="BV17" s="1438">
        <f ca="1">IF(B17&gt;=$J$5,0,CONTADORES!BS9-CONTADORES!BS8)</f>
        <v>2.7999999999992724</v>
      </c>
      <c r="BW17" s="1438">
        <f t="shared" ca="1" si="16"/>
        <v>6.5469999999820772</v>
      </c>
      <c r="BX17" s="1438">
        <f t="shared" ca="1" si="17"/>
        <v>5.6365000000080938</v>
      </c>
      <c r="BY17" s="1438">
        <f t="shared" ca="1" si="18"/>
        <v>2.2469999999818953</v>
      </c>
      <c r="BZ17" s="1438">
        <f t="shared" ca="1" si="19"/>
        <v>1.0532000000000041</v>
      </c>
      <c r="CA17" s="1438">
        <f t="shared" ca="1" si="20"/>
        <v>2.2469999999818953</v>
      </c>
      <c r="CB17" s="1438">
        <f t="shared" ca="1" si="21"/>
        <v>1.5798000000000061</v>
      </c>
      <c r="CC17" s="1438">
        <f t="shared" ca="1" si="22"/>
        <v>2.4402000000000044</v>
      </c>
      <c r="CD17" s="1438">
        <f t="shared" ca="1" si="23"/>
        <v>2.8365000000088214</v>
      </c>
      <c r="CE17" s="1438">
        <f ca="1">IF(B17&gt;=$J$5,0,CONTADORES!BS9-CONTADORES!BS8)</f>
        <v>2.7999999999992724</v>
      </c>
      <c r="CF17" s="1438">
        <f t="shared" ca="1" si="24"/>
        <v>2.8365000000088214</v>
      </c>
      <c r="CG17" s="1443">
        <f t="shared" ca="1" si="25"/>
        <v>0.5625</v>
      </c>
      <c r="CH17" s="1438">
        <f t="shared" ca="1" si="26"/>
        <v>0.5625</v>
      </c>
      <c r="CI17" s="1438">
        <f t="shared" ca="1" si="27"/>
        <v>1.4375</v>
      </c>
      <c r="CJ17" s="1444">
        <f ca="1">IF($B17&gt;=$J$5,0,CONTADORES!$BG9)</f>
        <v>4712.9045301954875</v>
      </c>
      <c r="CK17" s="1384">
        <f>CONTADORES!E9</f>
        <v>0</v>
      </c>
      <c r="CL17" s="1384">
        <f>CONTADORES!BX9</f>
        <v>1</v>
      </c>
    </row>
    <row r="18" spans="1:110">
      <c r="B18" s="220">
        <v>44934</v>
      </c>
      <c r="C18" s="204">
        <f t="shared" ca="1" si="0"/>
        <v>149.40000000002328</v>
      </c>
      <c r="D18" s="202">
        <f ca="1">'CALCULO DE GAS'!D11</f>
        <v>3.3598668202248922</v>
      </c>
      <c r="E18" s="202">
        <f ca="1">IF(B18&gt;=$J$5,0,(CONTADORES!$AB10-CONTADORES!$AB9)-$H18)</f>
        <v>24</v>
      </c>
      <c r="F18" s="204">
        <f t="shared" ca="1" si="1"/>
        <v>0</v>
      </c>
      <c r="G18" s="202">
        <f ca="1">IF(B18&gt;=$J$5,0,CONTADORES!$AD10-CONTADORES!$AD9)</f>
        <v>0</v>
      </c>
      <c r="H18" s="1437">
        <f ca="1">IF(G18&gt;0,CONTADORES!$AC10-CONTADORES!$AC9,0)</f>
        <v>0</v>
      </c>
      <c r="I18" s="205">
        <f ca="1">IF(B18&gt;=$J$5,0,CONTADORES!$Z10-CONTADORES!$Z9)</f>
        <v>149.40000000002328</v>
      </c>
      <c r="J18" s="204">
        <f t="shared" ca="1" si="2"/>
        <v>291.39999999999964</v>
      </c>
      <c r="K18" s="202">
        <f ca="1">'CALCULO DE GAS'!E11</f>
        <v>4.412900528089887</v>
      </c>
      <c r="L18" s="1437">
        <f ca="1">IF(B18&gt;=$J$5,0,(CONTADORES!$W10-CONTADORES!$W9)-$O18)</f>
        <v>24</v>
      </c>
      <c r="M18" s="1437">
        <f t="shared" ca="1" si="3"/>
        <v>0</v>
      </c>
      <c r="N18" s="1437">
        <f ca="1">IF(B18&gt;=$J$5,0,CONTADORES!$Y10-CONTADORES!$Y9)</f>
        <v>0</v>
      </c>
      <c r="O18" s="1437">
        <f ca="1">IF(N18&gt;0,CONTADORES!$X10-CONTADORES!$X9,0)</f>
        <v>0</v>
      </c>
      <c r="P18" s="208">
        <f ca="1">IF(B18&gt;=$J$5,0,CONTADORES!$U10-CONTADORES!$U9)</f>
        <v>291.39999999999964</v>
      </c>
      <c r="Q18" s="208">
        <f ca="1">IF(B18&gt;=$J$5,0,CONTADORES!$B10-CONTADORES!$B9)</f>
        <v>0</v>
      </c>
      <c r="R18" s="202">
        <f t="shared" ca="1" si="4"/>
        <v>0</v>
      </c>
      <c r="S18" s="11">
        <f ca="1">IF(B18&gt;=$J$5,0,CONTADORES!$D10-CONTADORES!$D9)</f>
        <v>0</v>
      </c>
      <c r="T18" s="215">
        <f ca="1">IF(B18&gt;=$J$5,0,CONTADORES!$AZ10-CONTADORES!$AZ9)</f>
        <v>0</v>
      </c>
      <c r="U18" s="202">
        <f t="shared" ca="1" si="5"/>
        <v>0</v>
      </c>
      <c r="V18" s="205">
        <f ca="1">IF(B18&gt;=$J$5,0,CONTADORES!$BB10-CONTADORES!$BB9)</f>
        <v>0</v>
      </c>
      <c r="W18" s="1438">
        <f t="shared" ca="1" si="6"/>
        <v>440.80000000002292</v>
      </c>
      <c r="X18" s="1438">
        <f t="shared" ca="1" si="7"/>
        <v>0</v>
      </c>
      <c r="Y18" s="1439">
        <f t="shared" ca="1" si="8"/>
        <v>440.80000000002292</v>
      </c>
      <c r="Z18" s="1439">
        <f t="shared" ca="1" si="9"/>
        <v>7.7727673483147797</v>
      </c>
      <c r="AA18" s="1439">
        <f t="shared" ca="1" si="10"/>
        <v>0</v>
      </c>
      <c r="AB18" s="1439">
        <f t="shared" ca="1" si="11"/>
        <v>48</v>
      </c>
      <c r="AC18" s="1438">
        <f t="shared" ca="1" si="12"/>
        <v>0</v>
      </c>
      <c r="AD18" s="1438">
        <f ca="1">IF(B18&gt;=$J$5,0,CONTADORES!H10-CONTADORES!H9)</f>
        <v>165.90000000002328</v>
      </c>
      <c r="AE18" s="1438">
        <f ca="1">IF(B18&gt;=$J$5,0,CONTADORES!J10-CONTADORES!J9)</f>
        <v>24</v>
      </c>
      <c r="AF18" s="1438">
        <f ca="1">IF(B18&gt;=$J$5,0,CONTADORES!AS10-CONTADORES!AS9)</f>
        <v>146.09999999997672</v>
      </c>
      <c r="AG18" s="1438">
        <f ca="1">IF(B18&gt;=$J$5,0,CONTADORES!AU10-CONTADORES!AU9)</f>
        <v>24</v>
      </c>
      <c r="AH18" s="1438">
        <f ca="1">IF(B18&gt;=$J$5,0,(CONTADORES!AK10-CONTADORES!AK9)+(CONTADORES!K10-CONTADORES!K9))</f>
        <v>14.30000000000291</v>
      </c>
      <c r="AI18" s="1438">
        <f ca="1">IF(B18&gt;=$J$5,0,(CONTADORES!AI10-CONTADORES!AI9)+(CONTADORES!M10-CONTADORES!M9))</f>
        <v>31.19999999999709</v>
      </c>
      <c r="AJ18" s="1438">
        <f ca="1">IF(B18&gt;=$J$5,0,(CONTADORES!AG10-CONTADORES!AG9))</f>
        <v>7.9000000000087311</v>
      </c>
      <c r="AK18" s="1438">
        <f ca="1">IF(B18&gt;=$J$5,0,(CONTADORES!O10-CONTADORES!O9))</f>
        <v>15.5</v>
      </c>
      <c r="AL18" s="1443">
        <f t="shared" ca="1" si="13"/>
        <v>32.099999999954946</v>
      </c>
      <c r="AM18" s="1438">
        <f ca="1">IF(B18&gt;=$J$5,0,(((CONTADORES!F10-CONTADORES!F9)+(CONTADORES!AO10-CONTADORES!AO9))))-BJ18-AF18-AN18-BM18-BP18-BU18-BS18</f>
        <v>8.4870000000600267</v>
      </c>
      <c r="AN18" s="1438">
        <f ca="1">IF(B18&gt;=$J$5,0,(CONTADORES!AV10-CONTADORES!AV9)+(CONTADORES!AX10-CONTADORES!AX9)+(CONTADORES!BC10-CONTADORES!BC9))-BS18</f>
        <v>3.4329999999996361</v>
      </c>
      <c r="AO18" s="1440">
        <f ca="1">IF(B18&gt;=$J$5,0,(CONTADORES!AA10-CONTADORES!AA9))</f>
        <v>71.299999999988358</v>
      </c>
      <c r="AP18" s="1440">
        <f ca="1">IF(B18&gt;=$J$5,0,(CONTADORES!V10-CONTADORES!V9))</f>
        <v>152.60000000000036</v>
      </c>
      <c r="AQ18" s="1445">
        <f ca="1">IF(B18&gt;=$J$5,0,(CONTADORES!C10-CONTADORES!C9))</f>
        <v>0</v>
      </c>
      <c r="AR18" s="1445">
        <f ca="1">IF(B18&gt;=$J$5,0,(CONTADORES!BA10-CONTADORES!BA9))</f>
        <v>0</v>
      </c>
      <c r="AS18" s="1438">
        <f ca="1">IF(B18&gt;=$J$5,0,CONTADORES!Q10-CONTADORES!Q9)</f>
        <v>16.899999999994179</v>
      </c>
      <c r="AT18" s="1438">
        <f ca="1">IF(B18&gt;=$J$5,0,(CONTADORES!S10-CONTADORES!S9)+(CONTADORES!AE10-CONTADORES!AE9))</f>
        <v>2</v>
      </c>
      <c r="AU18" s="1438">
        <f>CONTADORES!I10-CONTADORES!I9</f>
        <v>84.200000000011642</v>
      </c>
      <c r="AV18" s="1438">
        <f>CONTADORES!AT10-CONTADORES!AT9</f>
        <v>63.399999999994179</v>
      </c>
      <c r="AW18" s="1438">
        <f ca="1">IF(B18&gt;=$J$5,0,(CONTADORES!L10-CONTADORES!L9)+(CONTADORES!AL10-CONTADORES!AL9))</f>
        <v>5.7000000000007276</v>
      </c>
      <c r="AX18" s="1438">
        <f ca="1">IF(B18&gt;=$J$5,0,(CONTADORES!N10-CONTADORES!N9)+(CONTADORES!AJ10-CONTADORES!AJ9))</f>
        <v>24.099999999998545</v>
      </c>
      <c r="AY18" s="1438">
        <f ca="1">IF(B18&gt;=$J$5,0,(CONTADORES!AH10-CONTADORES!AH9))</f>
        <v>6.2999999999956344</v>
      </c>
      <c r="AZ18" s="1438">
        <f ca="1">IF(B18&gt;=$J$5,0,(CONTADORES!P10-CONTADORES!P9))</f>
        <v>12.599999999991269</v>
      </c>
      <c r="BA18" s="1446">
        <f t="shared" ca="1" si="14"/>
        <v>11.590000000001794</v>
      </c>
      <c r="BB18" s="1447">
        <f ca="1">IF(B18&gt;=$J$5,0,(((CONTADORES!G10-CONTADORES!G9)+(CONTADORES!AP10-CONTADORES!AP9))))-AV18-BC18-BK18-BN18-BQ18-BV18</f>
        <v>8.4919999999945421</v>
      </c>
      <c r="BC18" s="1440">
        <f ca="1">IF(B18&gt;=$J$5,0,(CONTADORES!AW10-CONTADORES!AW9)+(CONTADORES!AY10-CONTADORES!AY9)+(CONTADORES!BD10-CONTADORES!BD9))-BT18</f>
        <v>1.1900000000003637</v>
      </c>
      <c r="BD18" s="1438">
        <f t="shared" ca="1" si="15"/>
        <v>223.89999999998872</v>
      </c>
      <c r="BE18" s="1438">
        <f ca="1">IF($B18&gt;=$J$5,0,CONTADORES!$BE10)</f>
        <v>6812.62</v>
      </c>
      <c r="BF18" s="1438">
        <f ca="1">IF($B18&gt;=$J$5,0,CONTADORES!$BF10)</f>
        <v>31890.489473684218</v>
      </c>
      <c r="BG18" s="1438">
        <f ca="1">IF($B18&gt;=$J$5,0,CONTADORES!$BH10)</f>
        <v>6858.9599999999982</v>
      </c>
      <c r="BH18" s="1438">
        <f ca="1">IF(B18&gt;=$J$5,0,(CONTADORES!AQ10-CONTADORES!AQ9))</f>
        <v>4.5</v>
      </c>
      <c r="BI18" s="1438">
        <f ca="1">IF(C18&gt;=$J$5,0,(CONTADORES!AR10-CONTADORES!AR9))</f>
        <v>0</v>
      </c>
      <c r="BJ18" s="1438">
        <f ca="1">IF(B18&gt;=$J$5,0,CONTADORES!BI10-CONTADORES!BI9)/1000</f>
        <v>0</v>
      </c>
      <c r="BK18" s="1438">
        <f ca="1">IF(B18&gt;=$J$5,0,CONTADORES!BJ10-CONTADORES!BJ9)</f>
        <v>0</v>
      </c>
      <c r="BL18" s="1438">
        <f ca="1">IF(B18&gt;=$J$5,0,CONTADORES!BK10-CONTADORES!BK9)</f>
        <v>0</v>
      </c>
      <c r="BM18" s="1438">
        <f ca="1">IF(B18&gt;=$J$5,0,CONTADORES!BL10-CONTADORES!BL9)/1000</f>
        <v>4.5460000000000003</v>
      </c>
      <c r="BN18" s="1438">
        <f ca="1">IF(B18&gt;=$J$5,0,CONTADORES!BM10-CONTADORES!BM9)/1000</f>
        <v>0.91600000000000004</v>
      </c>
      <c r="BO18" s="1438">
        <f ca="1">IF(B18&gt;=$J$5,0,CONTADORES!BN10-CONTADORES!BN9)</f>
        <v>23.899999999997817</v>
      </c>
      <c r="BP18" s="1438">
        <f ca="1">IF(B18&gt;=$J$5,0,CONTADORES!BO10-CONTADORES!BO9)/1000</f>
        <v>2.9670000000000001</v>
      </c>
      <c r="BQ18" s="1438">
        <f ca="1">IF(B18&gt;=$J$5,0,CONTADORES!BP10-CONTADORES!BP9)/1000</f>
        <v>2E-3</v>
      </c>
      <c r="BR18" s="1438">
        <f ca="1">IF(B18&gt;=$J$5,0,CONTADORES!BQ10-CONTADORES!BQ9)</f>
        <v>24</v>
      </c>
      <c r="BS18" s="1438">
        <f ca="1">IF(B18&gt;=$J$5,0,(CONTADORES!BT10-CONTADORES!BT9)+(CONTADORES!BV10-CONTADORES!BV9))/1000</f>
        <v>1.4670000000000001</v>
      </c>
      <c r="BT18" s="1438">
        <f ca="1">IF(B18&gt;=$J$5,0,(CONTADORES!BU10-CONTADORES!BU9)+(CONTADORES!BW10-CONTADORES!BW9))/1000</f>
        <v>0.91</v>
      </c>
      <c r="BU18" s="1438">
        <f ca="1">IF(B18&gt;=$J$5,0,CONTADORES!BR10-CONTADORES!BR9)</f>
        <v>6.8999999999996362</v>
      </c>
      <c r="BV18" s="1438">
        <f ca="1">IF(B18&gt;=$J$5,0,CONTADORES!BS10-CONTADORES!BS9)</f>
        <v>4.5</v>
      </c>
      <c r="BW18" s="1438">
        <f t="shared" ca="1" si="16"/>
        <v>11.14350000002965</v>
      </c>
      <c r="BX18" s="1438">
        <f t="shared" ca="1" si="17"/>
        <v>8.7459999999972702</v>
      </c>
      <c r="BY18" s="1438">
        <f t="shared" ca="1" si="18"/>
        <v>4.2435000000300134</v>
      </c>
      <c r="BZ18" s="1438">
        <f t="shared" ca="1" si="19"/>
        <v>1.3731999999998545</v>
      </c>
      <c r="CA18" s="1438">
        <f t="shared" ca="1" si="20"/>
        <v>4.2435000000300134</v>
      </c>
      <c r="CB18" s="1438">
        <f t="shared" ca="1" si="21"/>
        <v>2.0597999999997816</v>
      </c>
      <c r="CC18" s="1438">
        <f t="shared" ca="1" si="22"/>
        <v>2.8401999999998546</v>
      </c>
      <c r="CD18" s="1438">
        <f t="shared" ca="1" si="23"/>
        <v>4.2459999999972711</v>
      </c>
      <c r="CE18" s="1438">
        <f ca="1">IF(B18&gt;=$J$5,0,CONTADORES!BS10-CONTADORES!BS9)</f>
        <v>4.5</v>
      </c>
      <c r="CF18" s="1438">
        <f t="shared" ca="1" si="24"/>
        <v>4.2459999999972711</v>
      </c>
      <c r="CG18" s="1438">
        <f t="shared" ca="1" si="25"/>
        <v>0.59500000000018183</v>
      </c>
      <c r="CH18" s="1438">
        <f t="shared" ca="1" si="26"/>
        <v>0.59500000000018183</v>
      </c>
      <c r="CI18" s="1438">
        <f t="shared" ca="1" si="27"/>
        <v>1.505000000000182</v>
      </c>
      <c r="CJ18" s="1444">
        <f ca="1">IF($B18&gt;=$J$5,0,CONTADORES!$BG10)</f>
        <v>8957.2669552346397</v>
      </c>
      <c r="CK18" s="1384">
        <f>CONTADORES!E10</f>
        <v>0</v>
      </c>
      <c r="CL18" s="1384">
        <f>CONTADORES!BX10</f>
        <v>0</v>
      </c>
    </row>
    <row r="19" spans="1:110">
      <c r="B19" s="220">
        <v>44935</v>
      </c>
      <c r="C19" s="204">
        <f t="shared" ca="1" si="0"/>
        <v>148.30000000004657</v>
      </c>
      <c r="D19" s="202">
        <f ca="1">'CALCULO DE GAS'!D12</f>
        <v>3.3517095168542781</v>
      </c>
      <c r="E19" s="202">
        <f ca="1">IF(B19&gt;=$J$5,0,(CONTADORES!$AB11-CONTADORES!$AB10)-$H19)</f>
        <v>24</v>
      </c>
      <c r="F19" s="204">
        <f t="shared" ca="1" si="1"/>
        <v>0</v>
      </c>
      <c r="G19" s="202">
        <f ca="1">IF(B19&gt;=$J$5,0,CONTADORES!$AD11-CONTADORES!$AD10)</f>
        <v>0</v>
      </c>
      <c r="H19" s="1437">
        <f ca="1">IF(G19&gt;0,CONTADORES!$AC11-CONTADORES!$AC10,0)</f>
        <v>0</v>
      </c>
      <c r="I19" s="205">
        <f ca="1">IF(B19&gt;=$J$5,0,CONTADORES!$Z11-CONTADORES!$Z10)</f>
        <v>148.30000000004657</v>
      </c>
      <c r="J19" s="204">
        <f t="shared" ca="1" si="2"/>
        <v>287.09999999999854</v>
      </c>
      <c r="K19" s="202">
        <f ca="1">'CALCULO DE GAS'!E12</f>
        <v>4.3810128876404395</v>
      </c>
      <c r="L19" s="1437">
        <f ca="1">IF(B19&gt;=$J$5,0,(CONTADORES!$W11-CONTADORES!$W10)-$O19)</f>
        <v>24</v>
      </c>
      <c r="M19" s="1437">
        <f t="shared" ca="1" si="3"/>
        <v>0</v>
      </c>
      <c r="N19" s="1437">
        <f ca="1">IF(B19&gt;=$J$5,0,CONTADORES!$Y11-CONTADORES!$Y10)</f>
        <v>0</v>
      </c>
      <c r="O19" s="1437">
        <f ca="1">IF(N19&gt;0,CONTADORES!$X11-CONTADORES!$X10,0)</f>
        <v>0</v>
      </c>
      <c r="P19" s="208">
        <f ca="1">IF(B19&gt;=$J$5,0,CONTADORES!$U11-CONTADORES!$U10)</f>
        <v>287.09999999999854</v>
      </c>
      <c r="Q19" s="208">
        <f ca="1">IF(B19&gt;=$J$5,0,CONTADORES!$B11-CONTADORES!$B10)</f>
        <v>0.18200000000001637</v>
      </c>
      <c r="R19" s="202">
        <f t="shared" ca="1" si="4"/>
        <v>21.840000000001965</v>
      </c>
      <c r="S19" s="11">
        <f ca="1">IF(B19&gt;=$J$5,0,CONTADORES!$D11-CONTADORES!$D10)</f>
        <v>0.5</v>
      </c>
      <c r="T19" s="215">
        <f ca="1">IF(B19&gt;=$J$5,0,CONTADORES!$AZ11-CONTADORES!$AZ10)</f>
        <v>0.42399999999997817</v>
      </c>
      <c r="U19" s="202">
        <f t="shared" ca="1" si="5"/>
        <v>50.879999999997381</v>
      </c>
      <c r="V19" s="205">
        <f ca="1">IF(B19&gt;=$J$5,0,CONTADORES!$BB11-CONTADORES!$BB10)</f>
        <v>0.56999999999993634</v>
      </c>
      <c r="W19" s="1438">
        <f t="shared" ca="1" si="6"/>
        <v>435.40000000004511</v>
      </c>
      <c r="X19" s="1438">
        <f t="shared" ca="1" si="7"/>
        <v>0.60599999999999454</v>
      </c>
      <c r="Y19" s="1439">
        <f t="shared" ca="1" si="8"/>
        <v>436.00600000004511</v>
      </c>
      <c r="Z19" s="1439">
        <f t="shared" ca="1" si="9"/>
        <v>7.7327224044947176</v>
      </c>
      <c r="AA19" s="1439">
        <f t="shared" ca="1" si="10"/>
        <v>72.719999999999345</v>
      </c>
      <c r="AB19" s="1439">
        <f t="shared" ca="1" si="11"/>
        <v>48</v>
      </c>
      <c r="AC19" s="1438">
        <f t="shared" ca="1" si="12"/>
        <v>1.0699999999999363</v>
      </c>
      <c r="AD19" s="1438">
        <f ca="1">IF(B19&gt;=$J$5,0,CONTADORES!H11-CONTADORES!H10)</f>
        <v>159.59999999997672</v>
      </c>
      <c r="AE19" s="1438">
        <f ca="1">IF(B19&gt;=$J$5,0,CONTADORES!J11-CONTADORES!J10)</f>
        <v>24</v>
      </c>
      <c r="AF19" s="1438">
        <f ca="1">IF(B19&gt;=$J$5,0,CONTADORES!AS11-CONTADORES!AS10)</f>
        <v>139.60000000003492</v>
      </c>
      <c r="AG19" s="1438">
        <f ca="1">IF(B19&gt;=$J$5,0,CONTADORES!AU11-CONTADORES!AU10)</f>
        <v>24</v>
      </c>
      <c r="AH19" s="1438">
        <f ca="1">IF(B19&gt;=$J$5,0,(CONTADORES!AK11-CONTADORES!AK10)+(CONTADORES!K11-CONTADORES!K10))</f>
        <v>15.399999999994179</v>
      </c>
      <c r="AI19" s="1438">
        <f ca="1">IF(B19&gt;=$J$5,0,(CONTADORES!AI11-CONTADORES!AI10)+(CONTADORES!M11-CONTADORES!M10))</f>
        <v>31.999999999992724</v>
      </c>
      <c r="AJ19" s="1438">
        <f ca="1">IF(B19&gt;=$J$5,0,(CONTADORES!AG11-CONTADORES!AG10))</f>
        <v>7.7999999999883585</v>
      </c>
      <c r="AK19" s="1438">
        <f ca="1">IF(B19&gt;=$J$5,0,(CONTADORES!O11-CONTADORES!O10))</f>
        <v>15.800000000017462</v>
      </c>
      <c r="AL19" s="1443">
        <f t="shared" ca="1" si="13"/>
        <v>37.406000000075608</v>
      </c>
      <c r="AM19" s="1438">
        <f ca="1">IF(B19&gt;=$J$5,0,(((CONTADORES!F11-CONTADORES!F10)+(CONTADORES!AO11-CONTADORES!AO10))))-BJ19-AF19-AN19-BM19-BP19-BU19-BS19</f>
        <v>8.0049999999646193</v>
      </c>
      <c r="AN19" s="1438">
        <f ca="1">IF(B19&gt;=$J$5,0,(CONTADORES!AV11-CONTADORES!AV10)+(CONTADORES!AX11-CONTADORES!AX10)+(CONTADORES!BC11-CONTADORES!BC10))-BS19</f>
        <v>3.4690000000004551</v>
      </c>
      <c r="AO19" s="1440">
        <f ca="1">IF(B19&gt;=$J$5,0,(CONTADORES!AA11-CONTADORES!AA10))</f>
        <v>76.299999999988358</v>
      </c>
      <c r="AP19" s="1440">
        <f ca="1">IF(B19&gt;=$J$5,0,(CONTADORES!V11-CONTADORES!V10))</f>
        <v>144.5</v>
      </c>
      <c r="AQ19" s="1445">
        <f ca="1">IF(B19&gt;=$J$5,0,(CONTADORES!C11-CONTADORES!C10))</f>
        <v>4.100000000005366E-2</v>
      </c>
      <c r="AR19" s="1445">
        <f ca="1">IF(B19&gt;=$J$5,0,(CONTADORES!BA11-CONTADORES!BA10))</f>
        <v>0.16399999999998727</v>
      </c>
      <c r="AS19" s="1438">
        <f ca="1">IF(B19&gt;=$J$5,0,CONTADORES!Q11-CONTADORES!Q10)</f>
        <v>17.200000000011642</v>
      </c>
      <c r="AT19" s="1438">
        <f ca="1">IF(B19&gt;=$J$5,0,(CONTADORES!S11-CONTADORES!S10)+(CONTADORES!AE11-CONTADORES!AE10))</f>
        <v>2.0999999999985448</v>
      </c>
      <c r="AU19" s="1438">
        <f>CONTADORES!I11-CONTADORES!I10</f>
        <v>81.5</v>
      </c>
      <c r="AV19" s="1438">
        <f>CONTADORES!AT11-CONTADORES!AT10</f>
        <v>61</v>
      </c>
      <c r="AW19" s="1438">
        <f ca="1">IF(B19&gt;=$J$5,0,(CONTADORES!L11-CONTADORES!L10)+(CONTADORES!AL11-CONTADORES!AL10))</f>
        <v>5.9000000000014552</v>
      </c>
      <c r="AX19" s="1438">
        <f ca="1">IF(B19&gt;=$J$5,0,(CONTADORES!N11-CONTADORES!N10)+(CONTADORES!AJ11-CONTADORES!AJ10))</f>
        <v>24.80000000000291</v>
      </c>
      <c r="AY19" s="1438">
        <f ca="1">IF(B19&gt;=$J$5,0,(CONTADORES!AH11-CONTADORES!AH10))</f>
        <v>6.2000000000043656</v>
      </c>
      <c r="AZ19" s="1438">
        <f ca="1">IF(B19&gt;=$J$5,0,(CONTADORES!P11-CONTADORES!P10))</f>
        <v>12.80000000000291</v>
      </c>
      <c r="BA19" s="1449">
        <f t="shared" ca="1" si="14"/>
        <v>15.059999999982892</v>
      </c>
      <c r="BB19" s="1447">
        <f ca="1">IF(B19&gt;=$J$5,0,(((CONTADORES!G11-CONTADORES!G10)+(CONTADORES!AP11-CONTADORES!AP10))))-AV19-BC19-BK19-BN19-BQ19-BV19</f>
        <v>5.9819999999936346</v>
      </c>
      <c r="BC19" s="1440">
        <f ca="1">IF(B19&gt;=$J$5,0,(CONTADORES!AW11-CONTADORES!AW10)+(CONTADORES!AY11-CONTADORES!AY10)+(CONTADORES!BD11-CONTADORES!BD10))-BT19</f>
        <v>1.2549999999998183</v>
      </c>
      <c r="BD19" s="1438">
        <f t="shared" ca="1" si="15"/>
        <v>221.0049999999884</v>
      </c>
      <c r="BE19" s="1438">
        <f ca="1">IF($B19&gt;=$J$5,0,CONTADORES!$BE11)</f>
        <v>6692.2899999999991</v>
      </c>
      <c r="BF19" s="1438">
        <f ca="1">IF($B19&gt;=$J$5,0,CONTADORES!$BF11)</f>
        <v>29326.224561403502</v>
      </c>
      <c r="BG19" s="1438">
        <f ca="1">IF($B19&gt;=$J$5,0,CONTADORES!$BH11)</f>
        <v>6231.55</v>
      </c>
      <c r="BH19" s="1438">
        <f ca="1">IF(B19&gt;=$J$5,0,(CONTADORES!AQ11-CONTADORES!AQ10))</f>
        <v>4.9000000000014552</v>
      </c>
      <c r="BI19" s="1438">
        <f ca="1">IF(C19&gt;=$J$5,0,(CONTADORES!AR11-CONTADORES!AR10))</f>
        <v>0</v>
      </c>
      <c r="BJ19" s="1438">
        <f ca="1">IF(B19&gt;=$J$5,0,CONTADORES!BI11-CONTADORES!BI10)/1000</f>
        <v>0</v>
      </c>
      <c r="BK19" s="1438">
        <f ca="1">IF(B19&gt;=$J$5,0,CONTADORES!BJ11-CONTADORES!BJ10)</f>
        <v>0</v>
      </c>
      <c r="BL19" s="1438">
        <f ca="1">IF(B19&gt;=$J$5,0,CONTADORES!BK11-CONTADORES!BK10)</f>
        <v>0</v>
      </c>
      <c r="BM19" s="1438">
        <f ca="1">IF(B19&gt;=$J$5,0,CONTADORES!BL11-CONTADORES!BL10)/1000</f>
        <v>4.9219999999999997</v>
      </c>
      <c r="BN19" s="1438">
        <f ca="1">IF(B19&gt;=$J$5,0,CONTADORES!BM11-CONTADORES!BM10)/1000</f>
        <v>0.86</v>
      </c>
      <c r="BO19" s="1438">
        <f ca="1">IF(B19&gt;=$J$5,0,CONTADORES!BN11-CONTADORES!BN10)</f>
        <v>24</v>
      </c>
      <c r="BP19" s="1438">
        <f ca="1">IF(B19&gt;=$J$5,0,CONTADORES!BO11-CONTADORES!BO10)/1000</f>
        <v>3.4729999999999999</v>
      </c>
      <c r="BQ19" s="1438">
        <f ca="1">IF(B19&gt;=$J$5,0,CONTADORES!BP11-CONTADORES!BP10)/1000</f>
        <v>0.10299999999999999</v>
      </c>
      <c r="BR19" s="1438">
        <f ca="1">IF(B19&gt;=$J$5,0,CONTADORES!BQ11-CONTADORES!BQ10)</f>
        <v>24</v>
      </c>
      <c r="BS19" s="1438">
        <f ca="1">IF(B19&gt;=$J$5,0,(CONTADORES!BT11-CONTADORES!BT10)+(CONTADORES!BV11-CONTADORES!BV10))/1000</f>
        <v>1.5309999999999999</v>
      </c>
      <c r="BT19" s="1438">
        <f ca="1">IF(B19&gt;=$J$5,0,(CONTADORES!BU11-CONTADORES!BU10)+(CONTADORES!BW11-CONTADORES!BW10))/1000</f>
        <v>0.94499999999999995</v>
      </c>
      <c r="BU19" s="1438">
        <f ca="1">IF(B19&gt;=$J$5,0,CONTADORES!BR11-CONTADORES!BR10)</f>
        <v>7</v>
      </c>
      <c r="BV19" s="1438">
        <f ca="1">IF(B19&gt;=$J$5,0,CONTADORES!BS11-CONTADORES!BS10)</f>
        <v>4.6000000000003638</v>
      </c>
      <c r="BW19" s="1438">
        <f t="shared" ca="1" si="16"/>
        <v>11.002499999982309</v>
      </c>
      <c r="BX19" s="1438">
        <f t="shared" ca="1" si="17"/>
        <v>7.5909999999971811</v>
      </c>
      <c r="BY19" s="1438">
        <f t="shared" ca="1" si="18"/>
        <v>4.0024999999823097</v>
      </c>
      <c r="BZ19" s="1438">
        <f t="shared" ca="1" si="19"/>
        <v>1.387600000000182</v>
      </c>
      <c r="CA19" s="1438">
        <f t="shared" ca="1" si="20"/>
        <v>4.0024999999823097</v>
      </c>
      <c r="CB19" s="1438">
        <f t="shared" ca="1" si="21"/>
        <v>2.081400000000273</v>
      </c>
      <c r="CC19" s="1438">
        <f t="shared" ca="1" si="22"/>
        <v>2.9186000000001817</v>
      </c>
      <c r="CD19" s="1438">
        <f t="shared" ca="1" si="23"/>
        <v>2.9909999999968173</v>
      </c>
      <c r="CE19" s="1438">
        <f ca="1">IF(B19&gt;=$J$5,0,CONTADORES!BS11-CONTADORES!BS10)</f>
        <v>4.6000000000003638</v>
      </c>
      <c r="CF19" s="1438">
        <f t="shared" ca="1" si="24"/>
        <v>2.9909999999968173</v>
      </c>
      <c r="CG19" s="1438">
        <f t="shared" ca="1" si="25"/>
        <v>0.62749999999990913</v>
      </c>
      <c r="CH19" s="1438">
        <f t="shared" ca="1" si="26"/>
        <v>0.62749999999990913</v>
      </c>
      <c r="CI19" s="1438">
        <f t="shared" ca="1" si="27"/>
        <v>1.5724999999999092</v>
      </c>
      <c r="CJ19" s="1444">
        <f ca="1">IF($B19&gt;=$J$5,0,CONTADORES!$BG11)</f>
        <v>10339.594618956004</v>
      </c>
      <c r="CK19" s="1384">
        <f>CONTADORES!E11</f>
        <v>1</v>
      </c>
      <c r="CL19" s="1384">
        <f>CONTADORES!BX11</f>
        <v>1</v>
      </c>
    </row>
    <row r="20" spans="1:110">
      <c r="B20" s="220">
        <v>44936</v>
      </c>
      <c r="C20" s="204">
        <f t="shared" ca="1" si="0"/>
        <v>146.59999999997672</v>
      </c>
      <c r="D20" s="202">
        <f ca="1">'CALCULO DE GAS'!D13</f>
        <v>3.3391027752807272</v>
      </c>
      <c r="E20" s="202">
        <f ca="1">IF(B20&gt;=$J$5,0,(CONTADORES!$AB12-CONTADORES!$AB11)-$H20)</f>
        <v>24</v>
      </c>
      <c r="F20" s="204">
        <v>0</v>
      </c>
      <c r="G20" s="202">
        <f ca="1">IF(B20&gt;=$J$5,0,CONTADORES!$AD12-CONTADORES!$AD11)</f>
        <v>0</v>
      </c>
      <c r="H20" s="1437">
        <f ca="1">IF(G20&gt;0,CONTADORES!$AC12-CONTADORES!$AC11,0)</f>
        <v>0</v>
      </c>
      <c r="I20" s="205">
        <f ca="1">IF(B20&gt;=$J$5,0,CONTADORES!$Z12-CONTADORES!$Z11)</f>
        <v>146.59999999997672</v>
      </c>
      <c r="J20" s="204">
        <f t="shared" ca="1" si="2"/>
        <v>283.30000000000291</v>
      </c>
      <c r="K20" s="202">
        <f ca="1">'CALCULO DE GAS'!E13</f>
        <v>4.3528331123595736</v>
      </c>
      <c r="L20" s="1437">
        <f ca="1">IF(B20&gt;=$J$5,0,(CONTADORES!$W12-CONTADORES!$W11)-$O20)</f>
        <v>24</v>
      </c>
      <c r="M20" s="1437">
        <f t="shared" ca="1" si="3"/>
        <v>0</v>
      </c>
      <c r="N20" s="1437">
        <f ca="1">IF(B20&gt;=$J$5,0,CONTADORES!$Y12-CONTADORES!$Y11)</f>
        <v>0</v>
      </c>
      <c r="O20" s="1437">
        <f ca="1">IF(N20&gt;0,CONTADORES!$X12-CONTADORES!$X11,0)</f>
        <v>0</v>
      </c>
      <c r="P20" s="208">
        <f ca="1">IF(B20&gt;=$J$5,0,CONTADORES!$U12-CONTADORES!$U11)</f>
        <v>283.30000000000291</v>
      </c>
      <c r="Q20" s="208">
        <f ca="1">IF(B20&gt;=$J$5,0,CONTADORES!$B12-CONTADORES!$B11)</f>
        <v>0</v>
      </c>
      <c r="R20" s="202">
        <f t="shared" ca="1" si="4"/>
        <v>0</v>
      </c>
      <c r="S20" s="11">
        <f ca="1">IF(B20&gt;=$J$5,0,CONTADORES!$D12-CONTADORES!$D11)</f>
        <v>0</v>
      </c>
      <c r="T20" s="215">
        <f ca="1">IF(B20&gt;=$J$5,0,CONTADORES!$AZ12-CONTADORES!$AZ11)</f>
        <v>0</v>
      </c>
      <c r="U20" s="202">
        <f t="shared" ca="1" si="5"/>
        <v>0</v>
      </c>
      <c r="V20" s="205">
        <f ca="1">IF(B20&gt;=$J$5,0,CONTADORES!$BB12-CONTADORES!$BB11)</f>
        <v>0</v>
      </c>
      <c r="W20" s="1438">
        <f t="shared" ca="1" si="6"/>
        <v>429.89999999997963</v>
      </c>
      <c r="X20" s="1438">
        <f t="shared" ca="1" si="7"/>
        <v>0</v>
      </c>
      <c r="Y20" s="1439">
        <f t="shared" ca="1" si="8"/>
        <v>429.89999999997963</v>
      </c>
      <c r="Z20" s="1439">
        <f t="shared" ca="1" si="9"/>
        <v>7.6919358876403008</v>
      </c>
      <c r="AA20" s="1439">
        <f t="shared" ca="1" si="10"/>
        <v>0</v>
      </c>
      <c r="AB20" s="1439">
        <f t="shared" ca="1" si="11"/>
        <v>48</v>
      </c>
      <c r="AC20" s="1438">
        <f t="shared" ca="1" si="12"/>
        <v>0</v>
      </c>
      <c r="AD20" s="1438">
        <f ca="1">IF(B20&gt;=$J$5,0,CONTADORES!H12-CONTADORES!H11)</f>
        <v>161.30000000004657</v>
      </c>
      <c r="AE20" s="1438">
        <f ca="1">IF(B20&gt;=$J$5,0,CONTADORES!J12-CONTADORES!J11)</f>
        <v>24</v>
      </c>
      <c r="AF20" s="1438">
        <f ca="1">IF(B20&gt;=$J$5,0,CONTADORES!AS12-CONTADORES!AS11)</f>
        <v>138.19999999995343</v>
      </c>
      <c r="AG20" s="1438">
        <f ca="1">IF(B20&gt;=$J$5,0,CONTADORES!AU12-CONTADORES!AU11)</f>
        <v>24</v>
      </c>
      <c r="AH20" s="1438">
        <f ca="1">IF(B20&gt;=$J$5,0,(CONTADORES!AK12-CONTADORES!AK11)+(CONTADORES!K12-CONTADORES!K11))</f>
        <v>8.9000000000014552</v>
      </c>
      <c r="AI20" s="1438">
        <f ca="1">IF(B20&gt;=$J$5,0,(CONTADORES!AI12-CONTADORES!AI11)+(CONTADORES!M12-CONTADORES!M11))</f>
        <v>39.300000000010186</v>
      </c>
      <c r="AJ20" s="1438">
        <f ca="1">IF(B20&gt;=$J$5,0,(CONTADORES!AG12-CONTADORES!AG11))</f>
        <v>7.4000000000087311</v>
      </c>
      <c r="AK20" s="1438">
        <f ca="1">IF(B20&gt;=$J$5,0,(CONTADORES!O12-CONTADORES!O11))</f>
        <v>14.399999999994179</v>
      </c>
      <c r="AL20" s="1443">
        <f t="shared" ca="1" si="13"/>
        <v>32.399999999954218</v>
      </c>
      <c r="AM20" s="1438">
        <f ca="1">IF(B20&gt;=$J$5,0,(((CONTADORES!F12-CONTADORES!F11)+(CONTADORES!AO12-CONTADORES!AO11))))-BJ20-AF20-AN20-BM20-BP20-BU20-BS20</f>
        <v>8.0620000000107304</v>
      </c>
      <c r="AN20" s="1438">
        <f ca="1">IF(B20&gt;=$J$5,0,(CONTADORES!AV12-CONTADORES!AV11)+(CONTADORES!AX12-CONTADORES!AX11)+(CONTADORES!BC12-CONTADORES!BC11))-BS20</f>
        <v>3.1499999999998183</v>
      </c>
      <c r="AO20" s="1440">
        <f ca="1">IF(B20&gt;=$J$5,0,(CONTADORES!AA12-CONTADORES!AA11))</f>
        <v>77.099999999976717</v>
      </c>
      <c r="AP20" s="1440">
        <f ca="1">IF(B20&gt;=$J$5,0,(CONTADORES!V12-CONTADORES!V11))</f>
        <v>141.10000000000036</v>
      </c>
      <c r="AQ20" s="1445">
        <f ca="1">IF(B20&gt;=$J$5,0,(CONTADORES!C12-CONTADORES!C11))</f>
        <v>0</v>
      </c>
      <c r="AR20" s="1445">
        <f ca="1">IF(B20&gt;=$J$5,0,(CONTADORES!BA12-CONTADORES!BA11))</f>
        <v>0</v>
      </c>
      <c r="AS20" s="1438">
        <f ca="1">IF(B20&gt;=$J$5,0,CONTADORES!Q12-CONTADORES!Q11)</f>
        <v>17.699999999982538</v>
      </c>
      <c r="AT20" s="1438">
        <f ca="1">IF(B20&gt;=$J$5,0,(CONTADORES!S12-CONTADORES!S11)+(CONTADORES!AE12-CONTADORES!AE11))</f>
        <v>2.0999999999985448</v>
      </c>
      <c r="AU20" s="1438">
        <f>CONTADORES!I12-CONTADORES!I11</f>
        <v>82.5</v>
      </c>
      <c r="AV20" s="1438">
        <f>CONTADORES!AT12-CONTADORES!AT11</f>
        <v>60.399999999994179</v>
      </c>
      <c r="AW20" s="1438">
        <f ca="1">IF(B20&gt;=$J$5,0,(CONTADORES!L12-CONTADORES!L11)+(CONTADORES!AL12-CONTADORES!AL11))</f>
        <v>3.5999999999985448</v>
      </c>
      <c r="AX20" s="1438">
        <f ca="1">IF(B20&gt;=$J$5,0,(CONTADORES!N12-CONTADORES!N11)+(CONTADORES!AJ12-CONTADORES!AJ11))</f>
        <v>30.900000000001455</v>
      </c>
      <c r="AY20" s="1438">
        <f ca="1">IF(B20&gt;=$J$5,0,(CONTADORES!AH12-CONTADORES!AH11))</f>
        <v>5.9000000000014552</v>
      </c>
      <c r="AZ20" s="1438">
        <f ca="1">IF(B20&gt;=$J$5,0,(CONTADORES!P12-CONTADORES!P11))</f>
        <v>11.900000000008731</v>
      </c>
      <c r="BA20" s="1449">
        <f t="shared" ca="1" si="14"/>
        <v>11.940999999961463</v>
      </c>
      <c r="BB20" s="1447">
        <f ca="1">IF(B20&gt;=$J$5,0,(((CONTADORES!G12-CONTADORES!G11)+(CONTADORES!AP12-CONTADORES!AP11))))-AV20-BC20-BK20-BN20-BQ20-BV20</f>
        <v>3.4180000000114594</v>
      </c>
      <c r="BC20" s="1440">
        <f ca="1">IF(B20&gt;=$J$5,0,(CONTADORES!AW12-CONTADORES!AW11)+(CONTADORES!AY12-CONTADORES!AY11)+(CONTADORES!BD12-CONTADORES!BD11))-BT20</f>
        <v>1.240999999999818</v>
      </c>
      <c r="BD20" s="1438">
        <f t="shared" ca="1" si="15"/>
        <v>218.19999999997708</v>
      </c>
      <c r="BE20" s="1438">
        <f ca="1">IF($B20&gt;=$J$5,0,CONTADORES!$BE12)</f>
        <v>6040.9599999999991</v>
      </c>
      <c r="BF20" s="1438">
        <f ca="1">IF($B20&gt;=$J$5,0,CONTADORES!$BF12)</f>
        <v>29963.212280701759</v>
      </c>
      <c r="BG20" s="1438">
        <f ca="1">IF($B20&gt;=$J$5,0,CONTADORES!$BH12)</f>
        <v>5523.52</v>
      </c>
      <c r="BH20" s="1438">
        <f ca="1">IF(B20&gt;=$J$5,0,(CONTADORES!AQ12-CONTADORES!AQ11))</f>
        <v>5.3999999999941792</v>
      </c>
      <c r="BI20" s="1438">
        <f ca="1">IF(C20&gt;=$J$5,0,(CONTADORES!AR12-CONTADORES!AR11))</f>
        <v>0</v>
      </c>
      <c r="BJ20" s="1438">
        <f ca="1">IF(B20&gt;=$J$5,0,CONTADORES!BI12-CONTADORES!BI11)/1000</f>
        <v>0</v>
      </c>
      <c r="BK20" s="1438">
        <f ca="1">IF(B20&gt;=$J$5,0,CONTADORES!BJ12-CONTADORES!BJ11)</f>
        <v>0</v>
      </c>
      <c r="BL20" s="1438">
        <f ca="1">IF(B20&gt;=$J$5,0,CONTADORES!BK12-CONTADORES!BK11)</f>
        <v>0</v>
      </c>
      <c r="BM20" s="1438">
        <f ca="1">IF(B20&gt;=$J$5,0,CONTADORES!BL12-CONTADORES!BL11)/1000</f>
        <v>4.8390000000000004</v>
      </c>
      <c r="BN20" s="1438">
        <f ca="1">IF(B20&gt;=$J$5,0,CONTADORES!BM12-CONTADORES!BM11)/1000</f>
        <v>0.91800000000000004</v>
      </c>
      <c r="BO20" s="1438">
        <f ca="1">IF(B20&gt;=$J$5,0,CONTADORES!BN12-CONTADORES!BN11)</f>
        <v>24</v>
      </c>
      <c r="BP20" s="1438">
        <f ca="1">IF(B20&gt;=$J$5,0,CONTADORES!BO12-CONTADORES!BO11)/1000</f>
        <v>3.2989999999999999</v>
      </c>
      <c r="BQ20" s="1438">
        <f ca="1">IF(B20&gt;=$J$5,0,CONTADORES!BP12-CONTADORES!BP11)/1000</f>
        <v>2.3E-2</v>
      </c>
      <c r="BR20" s="1438">
        <f ca="1">IF(B20&gt;=$J$5,0,CONTADORES!BQ12-CONTADORES!BQ11)</f>
        <v>24</v>
      </c>
      <c r="BS20" s="1438">
        <f ca="1">IF(B20&gt;=$J$5,0,(CONTADORES!BT12-CONTADORES!BT11)+(CONTADORES!BV12-CONTADORES!BV11))/1000</f>
        <v>1.55</v>
      </c>
      <c r="BT20" s="1438">
        <f ca="1">IF(B20&gt;=$J$5,0,(CONTADORES!BU12-CONTADORES!BU11)+(CONTADORES!BW12-CONTADORES!BW11))/1000</f>
        <v>0.95899999999999996</v>
      </c>
      <c r="BU20" s="1438">
        <f ca="1">IF(B20&gt;=$J$5,0,CONTADORES!BR12-CONTADORES!BR11)</f>
        <v>7.1000000000003638</v>
      </c>
      <c r="BV20" s="1438">
        <f ca="1">IF(B20&gt;=$J$5,0,CONTADORES!BS12-CONTADORES!BS11)</f>
        <v>4.5</v>
      </c>
      <c r="BW20" s="1438">
        <f t="shared" ca="1" si="16"/>
        <v>11.131000000005729</v>
      </c>
      <c r="BX20" s="1438">
        <f t="shared" ca="1" si="17"/>
        <v>6.2090000000057302</v>
      </c>
      <c r="BY20" s="1438">
        <f t="shared" ca="1" si="18"/>
        <v>4.0310000000053652</v>
      </c>
      <c r="BZ20" s="1438">
        <f t="shared" ca="1" si="19"/>
        <v>1.2599999999999274</v>
      </c>
      <c r="CA20" s="1438">
        <f t="shared" ca="1" si="20"/>
        <v>4.0310000000053652</v>
      </c>
      <c r="CB20" s="1438">
        <f t="shared" ca="1" si="21"/>
        <v>1.8899999999998909</v>
      </c>
      <c r="CC20" s="1438">
        <f t="shared" ca="1" si="22"/>
        <v>2.8099999999999277</v>
      </c>
      <c r="CD20" s="1438">
        <f t="shared" ca="1" si="23"/>
        <v>1.7090000000057297</v>
      </c>
      <c r="CE20" s="1438">
        <f ca="1">IF(B20&gt;=$J$5,0,CONTADORES!BS12-CONTADORES!BS11)</f>
        <v>4.5</v>
      </c>
      <c r="CF20" s="1438">
        <f t="shared" ca="1" si="24"/>
        <v>1.7090000000057297</v>
      </c>
      <c r="CG20" s="1438">
        <f t="shared" ca="1" si="25"/>
        <v>0.62049999999990901</v>
      </c>
      <c r="CH20" s="1438">
        <f t="shared" ca="1" si="26"/>
        <v>0.62049999999990901</v>
      </c>
      <c r="CI20" s="1438">
        <f t="shared" ca="1" si="27"/>
        <v>1.5794999999999089</v>
      </c>
      <c r="CJ20" s="1444">
        <f ca="1">IF($B20&gt;=$J$5,0,CONTADORES!$BG12)</f>
        <v>11117.787337389285</v>
      </c>
      <c r="CK20" s="1384">
        <f>CONTADORES!E12</f>
        <v>0</v>
      </c>
      <c r="CL20" s="1384">
        <f>CONTADORES!BX12</f>
        <v>0</v>
      </c>
    </row>
    <row r="21" spans="1:110">
      <c r="B21" s="220">
        <v>44937</v>
      </c>
      <c r="C21" s="204">
        <f t="shared" ca="1" si="0"/>
        <v>148.5</v>
      </c>
      <c r="D21" s="202">
        <f ca="1">'CALCULO DE GAS'!D14</f>
        <v>3.3531926629213489</v>
      </c>
      <c r="E21" s="202">
        <f ca="1">IF(B21&gt;=$J$5,0,(CONTADORES!$AB13-CONTADORES!$AB12)-$H21)</f>
        <v>24</v>
      </c>
      <c r="F21" s="204">
        <f t="shared" ref="F21:F41" ca="1" si="28">IF(H21=0,0,"ERROR")</f>
        <v>0</v>
      </c>
      <c r="G21" s="202">
        <f ca="1">IF(B21&gt;=$J$5,0,CONTADORES!$AD13-CONTADORES!$AD12)</f>
        <v>0</v>
      </c>
      <c r="H21" s="1437">
        <f ca="1">IF(G21&gt;0,CONTADORES!$AC13-CONTADORES!$AC12,0)</f>
        <v>0</v>
      </c>
      <c r="I21" s="205">
        <f ca="1">IF(B21&gt;=$J$5,0,CONTADORES!$Z13-CONTADORES!$Z12)</f>
        <v>148.5</v>
      </c>
      <c r="J21" s="204">
        <f t="shared" ca="1" si="2"/>
        <v>283.69999999999709</v>
      </c>
      <c r="K21" s="202">
        <f ca="1">'CALCULO DE GAS'!E14</f>
        <v>4.3557994044943618</v>
      </c>
      <c r="L21" s="1437">
        <f ca="1">IF(B21&gt;=$J$5,0,(CONTADORES!$W13-CONTADORES!$W12)-$O21)</f>
        <v>24</v>
      </c>
      <c r="M21" s="1437">
        <f t="shared" ca="1" si="3"/>
        <v>0</v>
      </c>
      <c r="N21" s="1437">
        <f ca="1">IF(B21&gt;=$J$5,0,CONTADORES!$Y13-CONTADORES!$Y12)</f>
        <v>0</v>
      </c>
      <c r="O21" s="1437">
        <f ca="1">IF(N21&gt;0,CONTADORES!$X13-CONTADORES!$X12,0)</f>
        <v>0</v>
      </c>
      <c r="P21" s="208">
        <f ca="1">IF(B21&gt;=$J$5,0,CONTADORES!$U13-CONTADORES!$U12)</f>
        <v>283.69999999999709</v>
      </c>
      <c r="Q21" s="208">
        <f ca="1">IF(B21&gt;=$J$5,0,CONTADORES!$B13-CONTADORES!$B12)</f>
        <v>0</v>
      </c>
      <c r="R21" s="202">
        <f t="shared" ca="1" si="4"/>
        <v>0</v>
      </c>
      <c r="S21" s="11">
        <f ca="1">IF(B21&gt;=$J$5,0,CONTADORES!$D13-CONTADORES!$D12)</f>
        <v>0</v>
      </c>
      <c r="T21" s="215">
        <f ca="1">IF(B21&gt;=$J$5,0,CONTADORES!$AZ13-CONTADORES!$AZ12)</f>
        <v>0</v>
      </c>
      <c r="U21" s="202">
        <f t="shared" ca="1" si="5"/>
        <v>0</v>
      </c>
      <c r="V21" s="205">
        <f ca="1">IF(B21&gt;=$J$5,0,CONTADORES!$BB13-CONTADORES!$BB12)</f>
        <v>0</v>
      </c>
      <c r="W21" s="1438">
        <f t="shared" ca="1" si="6"/>
        <v>432.19999999999709</v>
      </c>
      <c r="X21" s="1438">
        <f t="shared" ca="1" si="7"/>
        <v>0</v>
      </c>
      <c r="Y21" s="1439">
        <f t="shared" ca="1" si="8"/>
        <v>432.19999999999709</v>
      </c>
      <c r="Z21" s="1439">
        <f t="shared" ca="1" si="9"/>
        <v>7.7089920674157106</v>
      </c>
      <c r="AA21" s="1439">
        <f t="shared" ca="1" si="10"/>
        <v>0</v>
      </c>
      <c r="AB21" s="1439">
        <f t="shared" ca="1" si="11"/>
        <v>48</v>
      </c>
      <c r="AC21" s="1438">
        <f t="shared" ca="1" si="12"/>
        <v>0</v>
      </c>
      <c r="AD21" s="1450">
        <f ca="1">IF(B21&gt;=$J$5,0,CONTADORES!H13-CONTADORES!H12)</f>
        <v>162.59999999997672</v>
      </c>
      <c r="AE21" s="1438">
        <f ca="1">IF(B21&gt;=$J$5,0,CONTADORES!J13-CONTADORES!J12)</f>
        <v>24</v>
      </c>
      <c r="AF21" s="1438">
        <f ca="1">IF(B21&gt;=$J$5,0,CONTADORES!AS13-CONTADORES!AS12)</f>
        <v>138.80000000004657</v>
      </c>
      <c r="AG21" s="1438">
        <f ca="1">IF(B21&gt;=$J$5,0,CONTADORES!AU13-CONTADORES!AU12)</f>
        <v>24</v>
      </c>
      <c r="AH21" s="1438">
        <f ca="1">IF(B21&gt;=$J$5,0,(CONTADORES!AK13-CONTADORES!AK12)+(CONTADORES!K13-CONTADORES!K12))</f>
        <v>5.4000000000014552</v>
      </c>
      <c r="AI21" s="1438">
        <f ca="1">IF(B21&gt;=$J$5,0,(CONTADORES!AI13-CONTADORES!AI12)+(CONTADORES!M13-CONTADORES!M12))</f>
        <v>43.799999999995634</v>
      </c>
      <c r="AJ21" s="1438">
        <f ca="1">IF(B21&gt;=$J$5,0,(CONTADORES!AG13-CONTADORES!AG12))</f>
        <v>7.8999999999941792</v>
      </c>
      <c r="AK21" s="1438">
        <f ca="1">IF(B21&gt;=$J$5,0,(CONTADORES!O13-CONTADORES!O12))</f>
        <v>13.899999999994179</v>
      </c>
      <c r="AL21" s="1443">
        <f t="shared" ca="1" si="13"/>
        <v>30.699999999988052</v>
      </c>
      <c r="AM21" s="1438">
        <f ca="1">IF(B21&gt;=$J$5,0,(((CONTADORES!F13-CONTADORES!F12)+(CONTADORES!AO13-CONTADORES!AO12))))-BJ21-AF21-AN21-BM21-BP21-BU21-BS21</f>
        <v>9.8550000000001834</v>
      </c>
      <c r="AN21" s="1438">
        <f ca="1">IF(B21&gt;=$J$5,0,(CONTADORES!AV13-CONTADORES!AV12)+(CONTADORES!AX13-CONTADORES!AX12)+(CONTADORES!BC13-CONTADORES!BC12))-BS21</f>
        <v>2.2640000000001819</v>
      </c>
      <c r="AO21" s="1440">
        <f ca="1">IF(B21&gt;=$J$5,0,(CONTADORES!AA13-CONTADORES!AA12))</f>
        <v>74.600000000034925</v>
      </c>
      <c r="AP21" s="1440">
        <f ca="1">IF(B21&gt;=$J$5,0,(CONTADORES!V13-CONTADORES!V12))</f>
        <v>148.10000000000036</v>
      </c>
      <c r="AQ21" s="1445">
        <f ca="1">IF(B21&gt;=$J$5,0,(CONTADORES!C13-CONTADORES!C12))</f>
        <v>0</v>
      </c>
      <c r="AR21" s="1445">
        <f ca="1">IF(B21&gt;=$J$5,0,(CONTADORES!BA13-CONTADORES!BA12))</f>
        <v>0</v>
      </c>
      <c r="AS21" s="1438">
        <f ca="1">IF(B21&gt;=$J$5,0,CONTADORES!Q13-CONTADORES!Q12)</f>
        <v>18</v>
      </c>
      <c r="AT21" s="1438">
        <f ca="1">IF(B21&gt;=$J$5,0,(CONTADORES!S13-CONTADORES!S12)+(CONTADORES!AE13-CONTADORES!AE12))</f>
        <v>2.1000000000058208</v>
      </c>
      <c r="AU21" s="1438">
        <f>CONTADORES!I13-CONTADORES!I12</f>
        <v>83.199999999982538</v>
      </c>
      <c r="AV21" s="1438">
        <f>CONTADORES!AT13-CONTADORES!AT12</f>
        <v>60.700000000011642</v>
      </c>
      <c r="AW21" s="1438">
        <f ca="1">IF(B21&gt;=$J$5,0,(CONTADORES!L13-CONTADORES!L12)+(CONTADORES!AL13-CONTADORES!AL12))</f>
        <v>2</v>
      </c>
      <c r="AX21" s="1438">
        <f ca="1">IF(B21&gt;=$J$5,0,(CONTADORES!N13-CONTADORES!N12)+(CONTADORES!AJ13-CONTADORES!AJ12))</f>
        <v>34.099999999998545</v>
      </c>
      <c r="AY21" s="1438">
        <f ca="1">IF(B21&gt;=$J$5,0,(CONTADORES!AH13-CONTADORES!AH12))</f>
        <v>6.2999999999956344</v>
      </c>
      <c r="AZ21" s="1438">
        <f ca="1">IF(B21&gt;=$J$5,0,(CONTADORES!P13-CONTADORES!P12))</f>
        <v>11.899999999994179</v>
      </c>
      <c r="BA21" s="1449">
        <f t="shared" ca="1" si="14"/>
        <v>13.047000000058205</v>
      </c>
      <c r="BB21" s="1447">
        <f ca="1">IF(B21&gt;=$J$5,0,(((CONTADORES!G13-CONTADORES!G12)+(CONTADORES!AP13-CONTADORES!AP12))))-AV21-BC21-BK21-BN21-BQ21-BV21</f>
        <v>3.9989999999938153</v>
      </c>
      <c r="BC21" s="1440">
        <f ca="1">IF(B21&gt;=$J$5,0,(CONTADORES!AW13-CONTADORES!AW12)+(CONTADORES!AY13-CONTADORES!AY12)+(CONTADORES!BD13-CONTADORES!BD12))-BT21</f>
        <v>1.147000000000364</v>
      </c>
      <c r="BD21" s="1438">
        <f t="shared" ca="1" si="15"/>
        <v>222.70000000003529</v>
      </c>
      <c r="BE21" s="1438">
        <f ca="1">IF($B21&gt;=$J$5,0,CONTADORES!$BE13)</f>
        <v>7449.99</v>
      </c>
      <c r="BF21" s="1438">
        <f ca="1">IF($B21&gt;=$J$5,0,CONTADORES!$BF13)</f>
        <v>31007.564912280701</v>
      </c>
      <c r="BG21" s="1438">
        <f ca="1">IF($B21&gt;=$J$5,0,CONTADORES!$BH13)</f>
        <v>6289.67</v>
      </c>
      <c r="BH21" s="1438">
        <f ca="1">IF(B21&gt;=$J$5,0,(CONTADORES!AQ13-CONTADORES!AQ12))</f>
        <v>5.5</v>
      </c>
      <c r="BI21" s="1438">
        <f ca="1">IF(C21&gt;=$J$5,0,(CONTADORES!AR13-CONTADORES!AR12))</f>
        <v>0</v>
      </c>
      <c r="BJ21" s="1438">
        <f ca="1">IF(B21&gt;=$J$5,0,CONTADORES!BI13-CONTADORES!BI12)/1000</f>
        <v>0</v>
      </c>
      <c r="BK21" s="1438">
        <f ca="1">IF(B21&gt;=$J$5,0,CONTADORES!BJ13-CONTADORES!BJ12)</f>
        <v>0</v>
      </c>
      <c r="BL21" s="1438">
        <f ca="1">IF(B21&gt;=$J$5,0,CONTADORES!BK13-CONTADORES!BK12)</f>
        <v>0</v>
      </c>
      <c r="BM21" s="1438">
        <f ca="1">IF(B21&gt;=$J$5,0,CONTADORES!BL13-CONTADORES!BL12)/1000</f>
        <v>4.9009999999999998</v>
      </c>
      <c r="BN21" s="1438">
        <f ca="1">IF(B21&gt;=$J$5,0,CONTADORES!BM13-CONTADORES!BM12)/1000</f>
        <v>0.71399999999999997</v>
      </c>
      <c r="BO21" s="1438">
        <f ca="1">IF(B21&gt;=$J$5,0,CONTADORES!BN13-CONTADORES!BN12)</f>
        <v>24</v>
      </c>
      <c r="BP21" s="1438">
        <f ca="1">IF(B21&gt;=$J$5,0,CONTADORES!BO13-CONTADORES!BO12)/1000</f>
        <v>3.544</v>
      </c>
      <c r="BQ21" s="1438">
        <f ca="1">IF(B21&gt;=$J$5,0,CONTADORES!BP13-CONTADORES!BP12)/1000</f>
        <v>0.04</v>
      </c>
      <c r="BR21" s="1438">
        <f ca="1">IF(B21&gt;=$J$5,0,CONTADORES!BQ13-CONTADORES!BQ12)</f>
        <v>24</v>
      </c>
      <c r="BS21" s="1438">
        <f ca="1">IF(B21&gt;=$J$5,0,(CONTADORES!BT13-CONTADORES!BT12)+(CONTADORES!BV13-CONTADORES!BV12))/1000</f>
        <v>1.536</v>
      </c>
      <c r="BT21" s="1438">
        <f ca="1">IF(B21&gt;=$J$5,0,(CONTADORES!BU13-CONTADORES!BU12)+(CONTADORES!BW13-CONTADORES!BW12))/1000</f>
        <v>0.95299999999999996</v>
      </c>
      <c r="BU21" s="1438">
        <f ca="1">IF(B21&gt;=$J$5,0,CONTADORES!BR13-CONTADORES!BR12)</f>
        <v>7</v>
      </c>
      <c r="BV21" s="1438">
        <f ca="1">IF(B21&gt;=$J$5,0,CONTADORES!BS13-CONTADORES!BS12)</f>
        <v>4.6000000000003638</v>
      </c>
      <c r="BW21" s="1438">
        <f t="shared" ca="1" si="16"/>
        <v>11.927500000000091</v>
      </c>
      <c r="BX21" s="1438">
        <f t="shared" ca="1" si="17"/>
        <v>6.5994999999972714</v>
      </c>
      <c r="BY21" s="1438">
        <f t="shared" ca="1" si="18"/>
        <v>4.9275000000000917</v>
      </c>
      <c r="BZ21" s="1438">
        <f t="shared" ca="1" si="19"/>
        <v>0.90560000000007279</v>
      </c>
      <c r="CA21" s="1438">
        <f t="shared" ca="1" si="20"/>
        <v>4.9275000000000917</v>
      </c>
      <c r="CB21" s="1438">
        <f t="shared" ca="1" si="21"/>
        <v>1.3584000000001091</v>
      </c>
      <c r="CC21" s="1438">
        <f t="shared" ca="1" si="22"/>
        <v>2.441600000000073</v>
      </c>
      <c r="CD21" s="1438">
        <f t="shared" ca="1" si="23"/>
        <v>1.9994999999969076</v>
      </c>
      <c r="CE21" s="1438">
        <f ca="1">IF(B21&gt;=$J$5,0,CONTADORES!BS13-CONTADORES!BS12)</f>
        <v>4.6000000000003638</v>
      </c>
      <c r="CF21" s="1438">
        <f t="shared" ca="1" si="24"/>
        <v>1.9994999999969076</v>
      </c>
      <c r="CG21" s="1438">
        <f t="shared" ca="1" si="25"/>
        <v>0.57350000000018198</v>
      </c>
      <c r="CH21" s="1438">
        <f t="shared" ca="1" si="26"/>
        <v>0.57350000000018198</v>
      </c>
      <c r="CI21" s="1438">
        <f t="shared" ca="1" si="27"/>
        <v>1.526500000000182</v>
      </c>
      <c r="CJ21" s="1444">
        <f ca="1">IF($B21&gt;=$J$5,0,CONTADORES!$BG13)</f>
        <v>10535.6918165068</v>
      </c>
      <c r="CK21" s="1384">
        <f>CONTADORES!E13</f>
        <v>0</v>
      </c>
      <c r="CL21" s="1384">
        <f>CONTADORES!BX13</f>
        <v>0</v>
      </c>
    </row>
    <row r="22" spans="1:110">
      <c r="B22" s="220">
        <v>44938</v>
      </c>
      <c r="C22" s="204">
        <f t="shared" ca="1" si="0"/>
        <v>151.5</v>
      </c>
      <c r="D22" s="202">
        <f ca="1">'CALCULO DE GAS'!D15</f>
        <v>3.3754398539325852</v>
      </c>
      <c r="E22" s="202">
        <f ca="1">IF(B22&gt;=$J$5,0,(CONTADORES!$AB14-CONTADORES!$AB13)-$H22)</f>
        <v>24</v>
      </c>
      <c r="F22" s="204">
        <f t="shared" ca="1" si="28"/>
        <v>0</v>
      </c>
      <c r="G22" s="202">
        <f ca="1">IF(B22&gt;=$J$5,0,CONTADORES!$AD14-CONTADORES!$AD13)</f>
        <v>0</v>
      </c>
      <c r="H22" s="1437">
        <f ca="1">IF(G22&gt;0,CONTADORES!$AC14-CONTADORES!$AC13,0)</f>
        <v>0</v>
      </c>
      <c r="I22" s="205">
        <f ca="1">IF(B22&gt;=$J$5,0,CONTADORES!$Z14-CONTADORES!$Z13)</f>
        <v>151.5</v>
      </c>
      <c r="J22" s="204">
        <f t="shared" ca="1" si="2"/>
        <v>300.90000000000146</v>
      </c>
      <c r="K22" s="202">
        <f ca="1">'CALCULO DE GAS'!E15</f>
        <v>4.4833499662921472</v>
      </c>
      <c r="L22" s="1437">
        <f ca="1">IF(B22&gt;=$J$5,0,(CONTADORES!$W14-CONTADORES!$W13)-$O22)</f>
        <v>24</v>
      </c>
      <c r="M22" s="1437">
        <f t="shared" ca="1" si="3"/>
        <v>0</v>
      </c>
      <c r="N22" s="1437">
        <f ca="1">IF(B22&gt;=$J$5,0,CONTADORES!$Y14-CONTADORES!$Y13)</f>
        <v>0</v>
      </c>
      <c r="O22" s="1437">
        <f ca="1">IF(N22&gt;0,CONTADORES!$X14-CONTADORES!$X13,0)</f>
        <v>0</v>
      </c>
      <c r="P22" s="208">
        <f ca="1">IF(B22&gt;=$J$5,0,CONTADORES!$U14-CONTADORES!$U13)</f>
        <v>300.90000000000146</v>
      </c>
      <c r="Q22" s="208">
        <f ca="1">IF(B22&gt;=$J$5,0,CONTADORES!$B14-CONTADORES!$B13)</f>
        <v>0</v>
      </c>
      <c r="R22" s="202">
        <f t="shared" ca="1" si="4"/>
        <v>0</v>
      </c>
      <c r="S22" s="11">
        <f ca="1">IF(B22&gt;=$J$5,0,CONTADORES!$D14-CONTADORES!$D13)</f>
        <v>0</v>
      </c>
      <c r="T22" s="215">
        <f ca="1">IF(B22&gt;=$J$5,0,CONTADORES!$AZ14-CONTADORES!$AZ13)</f>
        <v>0</v>
      </c>
      <c r="U22" s="202">
        <f t="shared" ca="1" si="5"/>
        <v>0</v>
      </c>
      <c r="V22" s="205">
        <f ca="1">IF(B22&gt;=$J$5,0,CONTADORES!$BB14-CONTADORES!$BB13)</f>
        <v>0</v>
      </c>
      <c r="W22" s="1438">
        <f t="shared" ca="1" si="6"/>
        <v>452.40000000000146</v>
      </c>
      <c r="X22" s="1438">
        <f t="shared" ca="1" si="7"/>
        <v>0</v>
      </c>
      <c r="Y22" s="1439">
        <f t="shared" ca="1" si="8"/>
        <v>452.40000000000146</v>
      </c>
      <c r="Z22" s="1439">
        <f t="shared" ca="1" si="9"/>
        <v>7.8587898202247324</v>
      </c>
      <c r="AA22" s="1439">
        <f t="shared" ca="1" si="10"/>
        <v>0</v>
      </c>
      <c r="AB22" s="1439">
        <f t="shared" ca="1" si="11"/>
        <v>48</v>
      </c>
      <c r="AC22" s="1438">
        <f t="shared" ca="1" si="12"/>
        <v>0</v>
      </c>
      <c r="AD22" s="1438">
        <f ca="1">IF(B22&gt;=$J$5,0,CONTADORES!H14-CONTADORES!H13)</f>
        <v>169.59999999997672</v>
      </c>
      <c r="AE22" s="1438">
        <f ca="1">IF(B22&gt;=$J$5,0,CONTADORES!J14-CONTADORES!J13)</f>
        <v>24</v>
      </c>
      <c r="AF22" s="1438">
        <f ca="1">IF(B22&gt;=$J$5,0,CONTADORES!AS14-CONTADORES!AS13)</f>
        <v>137.59999999997672</v>
      </c>
      <c r="AG22" s="1438">
        <f ca="1">IF(B22&gt;=$J$5,0,CONTADORES!AU14-CONTADORES!AU13)</f>
        <v>24.040000000008149</v>
      </c>
      <c r="AH22" s="1438">
        <f ca="1">IF(B22&gt;=$J$5,0,(CONTADORES!AK14-CONTADORES!AK13)+(CONTADORES!K14-CONTADORES!K13))</f>
        <v>9.1999999999970896</v>
      </c>
      <c r="AI22" s="1438">
        <f ca="1">IF(B22&gt;=$J$5,0,(CONTADORES!AI14-CONTADORES!AI13)+(CONTADORES!M14-CONTADORES!M13))</f>
        <v>42.69999999999709</v>
      </c>
      <c r="AJ22" s="1438">
        <f ca="1">IF(B22&gt;=$J$5,0,(CONTADORES!AG14-CONTADORES!AG13))</f>
        <v>7.8000000000029104</v>
      </c>
      <c r="AK22" s="1438">
        <f ca="1">IF(B22&gt;=$J$5,0,(CONTADORES!O14-CONTADORES!O13))</f>
        <v>15.100000000005821</v>
      </c>
      <c r="AL22" s="1443">
        <f t="shared" ca="1" si="13"/>
        <v>39.800000000044747</v>
      </c>
      <c r="AM22" s="1438">
        <f ca="1">IF(B22&gt;=$J$5,0,(((CONTADORES!F14-CONTADORES!F13)+(CONTADORES!AO14-CONTADORES!AO13))))-BJ22-AF22-AN22-BM22-BP22-BU22-BS22</f>
        <v>10.730000000000921</v>
      </c>
      <c r="AN22" s="1438">
        <f ca="1">IF(B22&gt;=$J$5,0,(CONTADORES!AV14-CONTADORES!AV13)+(CONTADORES!AX14-CONTADORES!AX13)+(CONTADORES!BC14-CONTADORES!BC13))-BS22</f>
        <v>2.4789999999999921</v>
      </c>
      <c r="AO22" s="1440">
        <f ca="1">IF(B22&gt;=$J$5,0,(CONTADORES!AA14-CONTADORES!AA13))</f>
        <v>75.799999999988358</v>
      </c>
      <c r="AP22" s="1440">
        <f ca="1">IF(B22&gt;=$J$5,0,(CONTADORES!V14-CONTADORES!V13))</f>
        <v>153.79999999999927</v>
      </c>
      <c r="AQ22" s="1445">
        <f ca="1">IF(B22&gt;=$J$5,0,(CONTADORES!C14-CONTADORES!C13))</f>
        <v>0</v>
      </c>
      <c r="AR22" s="1445">
        <f ca="1">IF(B22&gt;=$J$5,0,(CONTADORES!BA14-CONTADORES!BA13))</f>
        <v>0</v>
      </c>
      <c r="AS22" s="1438">
        <f ca="1">IF(B22&gt;=$J$5,0,CONTADORES!Q14-CONTADORES!Q13)</f>
        <v>18.700000000011642</v>
      </c>
      <c r="AT22" s="1438">
        <f ca="1">IF(B22&gt;=$J$5,0,(CONTADORES!S14-CONTADORES!S13)+(CONTADORES!AE14-CONTADORES!AE13))</f>
        <v>2.1999999999970896</v>
      </c>
      <c r="AU22" s="1438">
        <f>CONTADORES!I14-CONTADORES!I13</f>
        <v>84.600000000005821</v>
      </c>
      <c r="AV22" s="1438">
        <f>CONTADORES!AT14-CONTADORES!AT13</f>
        <v>60</v>
      </c>
      <c r="AW22" s="1438">
        <f ca="1">IF(B22&gt;=$J$5,0,(CONTADORES!L14-CONTADORES!L13)+(CONTADORES!AL14-CONTADORES!AL13))</f>
        <v>3.6000000000021828</v>
      </c>
      <c r="AX22" s="1438">
        <f ca="1">IF(B22&gt;=$J$5,0,(CONTADORES!N14-CONTADORES!N13)+(CONTADORES!AJ14-CONTADORES!AJ13))</f>
        <v>33.799999999995634</v>
      </c>
      <c r="AY22" s="1438">
        <f ca="1">IF(B22&gt;=$J$5,0,(CONTADORES!AH14-CONTADORES!AH13))</f>
        <v>6.2000000000043656</v>
      </c>
      <c r="AZ22" s="1438">
        <f ca="1">IF(B22&gt;=$J$5,0,(CONTADORES!P14-CONTADORES!P13))</f>
        <v>12.80000000000291</v>
      </c>
      <c r="BA22" s="1449">
        <f t="shared" ca="1" si="14"/>
        <v>16.033999999982711</v>
      </c>
      <c r="BB22" s="1447">
        <f ca="1">IF(B22&gt;=$J$5,0,(((CONTADORES!G14-CONTADORES!G13)+(CONTADORES!AP14-CONTADORES!AP13))))-AV22-BC22-BK22-BN22-BQ22-BV22</f>
        <v>5.6769999999945497</v>
      </c>
      <c r="BC22" s="1440">
        <f ca="1">IF(B22&gt;=$J$5,0,(CONTADORES!AW14-CONTADORES!AW13)+(CONTADORES!AY14-CONTADORES!AY13)+(CONTADORES!BD14-CONTADORES!BD13))-BT22</f>
        <v>0.57399999999999207</v>
      </c>
      <c r="BD22" s="1438">
        <f t="shared" ca="1" si="15"/>
        <v>229.59999999998763</v>
      </c>
      <c r="BE22" s="1438">
        <f ca="1">IF($B22&gt;=$J$5,0,CONTADORES!$BE14)</f>
        <v>6311.64</v>
      </c>
      <c r="BF22" s="1438">
        <f ca="1">IF($B22&gt;=$J$5,0,CONTADORES!$BF14)</f>
        <v>29192.987719298198</v>
      </c>
      <c r="BG22" s="1438">
        <f ca="1">IF($B22&gt;=$J$5,0,CONTADORES!$BH14)</f>
        <v>6865.93</v>
      </c>
      <c r="BH22" s="1438">
        <f ca="1">IF(B22&gt;=$J$5,0,(CONTADORES!AQ14-CONTADORES!AQ13))</f>
        <v>5.8000000000029104</v>
      </c>
      <c r="BI22" s="1438">
        <f ca="1">IF(C22&gt;=$J$5,0,(CONTADORES!AR14-CONTADORES!AR13))</f>
        <v>0</v>
      </c>
      <c r="BJ22" s="1438">
        <f ca="1">IF(B22&gt;=$J$5,0,CONTADORES!BI14-CONTADORES!BI13)/1000</f>
        <v>0</v>
      </c>
      <c r="BK22" s="1438">
        <f ca="1">IF(B22&gt;=$J$5,0,CONTADORES!BJ14-CONTADORES!BJ13)</f>
        <v>0</v>
      </c>
      <c r="BL22" s="1438">
        <f ca="1">IF(B22&gt;=$J$5,0,CONTADORES!BK14-CONTADORES!BK13)</f>
        <v>0</v>
      </c>
      <c r="BM22" s="1438">
        <f ca="1">IF(B22&gt;=$J$5,0,CONTADORES!BL14-CONTADORES!BL13)/1000</f>
        <v>5.0739999999999998</v>
      </c>
      <c r="BN22" s="1438">
        <f ca="1">IF(B22&gt;=$J$5,0,CONTADORES!BM14-CONTADORES!BM13)/1000</f>
        <v>0.70799999999999996</v>
      </c>
      <c r="BO22" s="1438">
        <f ca="1">IF(B22&gt;=$J$5,0,CONTADORES!BN14-CONTADORES!BN13)</f>
        <v>24</v>
      </c>
      <c r="BP22" s="1438">
        <f ca="1">IF(B22&gt;=$J$5,0,CONTADORES!BO14-CONTADORES!BO13)/1000</f>
        <v>3.6560000000000001</v>
      </c>
      <c r="BQ22" s="1438">
        <f ca="1">IF(B22&gt;=$J$5,0,CONTADORES!BP14-CONTADORES!BP13)/1000</f>
        <v>4.1000000000000002E-2</v>
      </c>
      <c r="BR22" s="1438">
        <f ca="1">IF(B22&gt;=$J$5,0,CONTADORES!BQ14-CONTADORES!BQ13)</f>
        <v>24</v>
      </c>
      <c r="BS22" s="1438">
        <f ca="1">IF(B22&gt;=$J$5,0,(CONTADORES!BT14-CONTADORES!BT13)+(CONTADORES!BV14-CONTADORES!BV13))/1000</f>
        <v>1.5609999999999999</v>
      </c>
      <c r="BT22" s="1438">
        <f ca="1">IF(B22&gt;=$J$5,0,(CONTADORES!BU14-CONTADORES!BU13)+(CONTADORES!BW14-CONTADORES!BW13))/1000</f>
        <v>0.96599999999999997</v>
      </c>
      <c r="BU22" s="1438">
        <f ca="1">IF(B22&gt;=$J$5,0,CONTADORES!BR14-CONTADORES!BR13)</f>
        <v>7.0999999999994543</v>
      </c>
      <c r="BV22" s="1438">
        <f ca="1">IF(B22&gt;=$J$5,0,CONTADORES!BS14-CONTADORES!BS13)</f>
        <v>4.5999999999994543</v>
      </c>
      <c r="BW22" s="1438">
        <f t="shared" ca="1" si="16"/>
        <v>12.464999999999915</v>
      </c>
      <c r="BX22" s="1438">
        <f t="shared" ca="1" si="17"/>
        <v>7.4384999999967292</v>
      </c>
      <c r="BY22" s="1438">
        <f t="shared" ca="1" si="18"/>
        <v>5.3650000000004603</v>
      </c>
      <c r="BZ22" s="1438">
        <f t="shared" ca="1" si="19"/>
        <v>0.99159999999999693</v>
      </c>
      <c r="CA22" s="1438">
        <f t="shared" ca="1" si="20"/>
        <v>5.3650000000004603</v>
      </c>
      <c r="CB22" s="1438">
        <f t="shared" ca="1" si="21"/>
        <v>1.4873999999999952</v>
      </c>
      <c r="CC22" s="1438">
        <f t="shared" ca="1" si="22"/>
        <v>2.5525999999999969</v>
      </c>
      <c r="CD22" s="1438">
        <f t="shared" ca="1" si="23"/>
        <v>2.8384999999972749</v>
      </c>
      <c r="CE22" s="1438">
        <f ca="1">IF(B22&gt;=$J$5,0,CONTADORES!BS14-CONTADORES!BS13)</f>
        <v>4.5999999999994543</v>
      </c>
      <c r="CF22" s="1438">
        <f t="shared" ca="1" si="24"/>
        <v>2.8384999999972749</v>
      </c>
      <c r="CG22" s="1438">
        <f t="shared" ca="1" si="25"/>
        <v>0.28699999999999604</v>
      </c>
      <c r="CH22" s="1438">
        <f t="shared" ca="1" si="26"/>
        <v>0.28699999999999604</v>
      </c>
      <c r="CI22" s="1438">
        <f t="shared" ca="1" si="27"/>
        <v>1.2529999999999961</v>
      </c>
      <c r="CJ22" s="1444">
        <f ca="1">IF($B22&gt;=$J$5,0,CONTADORES!$BG14)</f>
        <v>10103.853787092899</v>
      </c>
      <c r="CK22" s="1384">
        <f>CONTADORES!E14</f>
        <v>0</v>
      </c>
      <c r="CL22" s="1384">
        <f>CONTADORES!BX14</f>
        <v>0</v>
      </c>
    </row>
    <row r="23" spans="1:110">
      <c r="B23" s="220">
        <v>44939</v>
      </c>
      <c r="C23" s="204">
        <f t="shared" ca="1" si="0"/>
        <v>146</v>
      </c>
      <c r="D23" s="202">
        <f ca="1">'CALCULO DE GAS'!D16</f>
        <v>3.3346533370786524</v>
      </c>
      <c r="E23" s="202">
        <f ca="1">IF(B23&gt;=$J$5,0,(CONTADORES!$AB15-CONTADORES!$AB14)-$H23)</f>
        <v>24</v>
      </c>
      <c r="F23" s="204">
        <f t="shared" ca="1" si="28"/>
        <v>0</v>
      </c>
      <c r="G23" s="202">
        <f ca="1">IF(B23&gt;=$J$5,0,CONTADORES!$AD15-CONTADORES!$AD14)</f>
        <v>0</v>
      </c>
      <c r="H23" s="1437">
        <f ca="1">IF(G23&gt;0,CONTADORES!$AC15-CONTADORES!$AC14,0)</f>
        <v>0</v>
      </c>
      <c r="I23" s="205">
        <f ca="1">IF(B23&gt;=$J$5,0,CONTADORES!$Z15-CONTADORES!$Z14)</f>
        <v>146</v>
      </c>
      <c r="J23" s="204">
        <f t="shared" ca="1" si="2"/>
        <v>308</v>
      </c>
      <c r="K23" s="202">
        <f ca="1">'CALCULO DE GAS'!E16</f>
        <v>4.5360016516853952</v>
      </c>
      <c r="L23" s="1437">
        <f ca="1">IF(B23&gt;=$J$5,0,(CONTADORES!$W15-CONTADORES!$W14)-$O23)</f>
        <v>24</v>
      </c>
      <c r="M23" s="1437">
        <f t="shared" ca="1" si="3"/>
        <v>0</v>
      </c>
      <c r="N23" s="1437">
        <f ca="1">IF(B23&gt;=$J$5,0,CONTADORES!$Y15-CONTADORES!$Y14)</f>
        <v>0</v>
      </c>
      <c r="O23" s="1437">
        <f ca="1">IF(N23&gt;0,CONTADORES!$X15-CONTADORES!$X14,0)</f>
        <v>0</v>
      </c>
      <c r="P23" s="208">
        <f ca="1">IF(B23&gt;=$J$5,0,CONTADORES!$U15-CONTADORES!$U14)</f>
        <v>308</v>
      </c>
      <c r="Q23" s="208">
        <f ca="1">IF(B23&gt;=$J$5,0,CONTADORES!$B15-CONTADORES!$B14)</f>
        <v>0</v>
      </c>
      <c r="R23" s="202">
        <f t="shared" ca="1" si="4"/>
        <v>0</v>
      </c>
      <c r="S23" s="11">
        <f ca="1">IF(B23&gt;=$J$5,0,CONTADORES!$D15-CONTADORES!$D14)</f>
        <v>0</v>
      </c>
      <c r="T23" s="215">
        <f ca="1">IF(B23&gt;=$J$5,0,CONTADORES!$AZ15-CONTADORES!$AZ14)</f>
        <v>0</v>
      </c>
      <c r="U23" s="202">
        <f t="shared" ca="1" si="5"/>
        <v>0</v>
      </c>
      <c r="V23" s="205">
        <f ca="1">IF(B23&gt;=$J$5,0,CONTADORES!$BB15-CONTADORES!$BB14)</f>
        <v>0</v>
      </c>
      <c r="W23" s="1438">
        <f t="shared" ca="1" si="6"/>
        <v>454</v>
      </c>
      <c r="X23" s="1438">
        <f t="shared" ca="1" si="7"/>
        <v>0</v>
      </c>
      <c r="Y23" s="1439">
        <f t="shared" ca="1" si="8"/>
        <v>454</v>
      </c>
      <c r="Z23" s="1439">
        <f t="shared" ca="1" si="9"/>
        <v>7.8706549887640476</v>
      </c>
      <c r="AA23" s="1439">
        <f t="shared" ca="1" si="10"/>
        <v>0</v>
      </c>
      <c r="AB23" s="1439">
        <f t="shared" ca="1" si="11"/>
        <v>48</v>
      </c>
      <c r="AC23" s="1438">
        <f t="shared" ca="1" si="12"/>
        <v>0</v>
      </c>
      <c r="AD23" s="1438">
        <f ca="1">IF(B23&gt;=$J$5,0,CONTADORES!H15-CONTADORES!H14)</f>
        <v>167</v>
      </c>
      <c r="AE23" s="1438">
        <f ca="1">IF(B23&gt;=$J$5,0,CONTADORES!J15-CONTADORES!J14)</f>
        <v>24</v>
      </c>
      <c r="AF23" s="1438">
        <f ca="1">IF(B23&gt;=$J$5,0,CONTADORES!AS15-CONTADORES!AS14)</f>
        <v>143</v>
      </c>
      <c r="AG23" s="1438">
        <f ca="1">IF(B23&gt;=$J$5,0,CONTADORES!AU15-CONTADORES!AU14)</f>
        <v>24</v>
      </c>
      <c r="AH23" s="1438">
        <f ca="1">IF(B23&gt;=$J$5,0,(CONTADORES!AK15-CONTADORES!AK14)+(CONTADORES!K15-CONTADORES!K14))</f>
        <v>16.5</v>
      </c>
      <c r="AI23" s="1438">
        <f ca="1">IF(B23&gt;=$J$5,0,(CONTADORES!AI15-CONTADORES!AI14)+(CONTADORES!M15-CONTADORES!M14))</f>
        <v>41.700000000004366</v>
      </c>
      <c r="AJ23" s="1438">
        <f ca="1">IF(B23&gt;=$J$5,0,(CONTADORES!AG15-CONTADORES!AG14))</f>
        <v>8.5</v>
      </c>
      <c r="AK23" s="1438">
        <f ca="1">IF(B23&gt;=$J$5,0,(CONTADORES!O15-CONTADORES!O14))</f>
        <v>16.5</v>
      </c>
      <c r="AL23" s="1443">
        <f t="shared" ca="1" si="13"/>
        <v>31.399999999995998</v>
      </c>
      <c r="AM23" s="1438">
        <f ca="1">IF(B23&gt;=$J$5,0,(((CONTADORES!F15-CONTADORES!F14)+(CONTADORES!AO15-CONTADORES!AO14))))-BJ23-AF23-AN23-BM23-BP23-BU23-BS23</f>
        <v>9.9509999999993521</v>
      </c>
      <c r="AN23" s="1438">
        <f ca="1">IF(B23&gt;=$J$5,0,(CONTADORES!AV15-CONTADORES!AV14)+(CONTADORES!AX15-CONTADORES!AX14)+(CONTADORES!BC15-CONTADORES!BC14))-BS23</f>
        <v>2.6380000000002726</v>
      </c>
      <c r="AO23" s="1440">
        <f ca="1">IF(B23&gt;=$J$5,0,(CONTADORES!AA15-CONTADORES!AA14))</f>
        <v>71</v>
      </c>
      <c r="AP23" s="1440">
        <f ca="1">IF(B23&gt;=$J$5,0,(CONTADORES!V15-CONTADORES!V14))</f>
        <v>158</v>
      </c>
      <c r="AQ23" s="1445">
        <f ca="1">IF(B23&gt;=$J$5,0,(CONTADORES!C15-CONTADORES!C14))</f>
        <v>0</v>
      </c>
      <c r="AR23" s="1445">
        <f ca="1">IF(B23&gt;=$J$5,0,(CONTADORES!BA15-CONTADORES!BA14))</f>
        <v>0</v>
      </c>
      <c r="AS23" s="1438">
        <f ca="1">IF(B23&gt;=$J$5,0,CONTADORES!Q15-CONTADORES!Q14)</f>
        <v>18.200000000011642</v>
      </c>
      <c r="AT23" s="1438">
        <f ca="1">IF(B23&gt;=$J$5,0,(CONTADORES!S15-CONTADORES!S14)+(CONTADORES!AE15-CONTADORES!AE14))</f>
        <v>2.0999999999985448</v>
      </c>
      <c r="AU23" s="1438">
        <f>CONTADORES!I15-CONTADORES!I14</f>
        <v>84</v>
      </c>
      <c r="AV23" s="1438">
        <f>CONTADORES!AT15-CONTADORES!AT14</f>
        <v>62</v>
      </c>
      <c r="AW23" s="1438">
        <f ca="1">IF(B23&gt;=$J$5,0,(CONTADORES!L15-CONTADORES!L14)+(CONTADORES!AL15-CONTADORES!AL14))</f>
        <v>6.2999999999992724</v>
      </c>
      <c r="AX23" s="1438">
        <f ca="1">IF(B23&gt;=$J$5,0,(CONTADORES!N15-CONTADORES!N14)+(CONTADORES!AJ15-CONTADORES!AJ14))</f>
        <v>33.000000000007276</v>
      </c>
      <c r="AY23" s="1438">
        <f ca="1">IF(B23&gt;=$J$5,0,(CONTADORES!AH15-CONTADORES!AH14))</f>
        <v>6.7999999999956344</v>
      </c>
      <c r="AZ23" s="1438">
        <f ca="1">IF(B23&gt;=$J$5,0,(CONTADORES!P15-CONTADORES!P14))</f>
        <v>13.399999999994179</v>
      </c>
      <c r="BA23" s="1449">
        <f t="shared" ca="1" si="14"/>
        <v>11.438000000003257</v>
      </c>
      <c r="BB23" s="1447">
        <f ca="1">IF(B23&gt;=$J$5,0,(((CONTADORES!G15-CONTADORES!G14)+(CONTADORES!AP15-CONTADORES!AP14))))-AV23-BC23-BK23-BN23-BQ23-BV23</f>
        <v>4.5040000000003975</v>
      </c>
      <c r="BC23" s="1440">
        <f ca="1">IF(B23&gt;=$J$5,0,(CONTADORES!AW15-CONTADORES!AW14)+(CONTADORES!AY15-CONTADORES!AY14)+(CONTADORES!BD15-CONTADORES!BD14))-BT23</f>
        <v>0.53799999999960213</v>
      </c>
      <c r="BD23" s="1438">
        <f t="shared" ca="1" si="15"/>
        <v>229</v>
      </c>
      <c r="BE23" s="1438">
        <f ca="1">IF($B23&gt;=$J$5,0,CONTADORES!$BE15)</f>
        <v>7138.84</v>
      </c>
      <c r="BF23" s="1438">
        <f ca="1">IF($B23&gt;=$J$5,0,CONTADORES!$BF15)</f>
        <v>30705.757894736798</v>
      </c>
      <c r="BG23" s="1438">
        <f ca="1">IF($B23&gt;=$J$5,0,CONTADORES!$BH15)</f>
        <v>6675.24</v>
      </c>
      <c r="BH23" s="1438">
        <f ca="1">IF(B23&gt;=$J$5,0,(CONTADORES!AQ15-CONTADORES!AQ14))</f>
        <v>5</v>
      </c>
      <c r="BI23" s="1438">
        <f ca="1">IF(C23&gt;=$J$5,0,(CONTADORES!AR15-CONTADORES!AR14))</f>
        <v>0</v>
      </c>
      <c r="BJ23" s="1438">
        <f ca="1">IF(B23&gt;=$J$5,0,CONTADORES!BI15-CONTADORES!BI14)/1000</f>
        <v>1.8</v>
      </c>
      <c r="BK23" s="1438">
        <f ca="1">IF(B23&gt;=$J$5,0,CONTADORES!BJ15-CONTADORES!BJ14)</f>
        <v>1</v>
      </c>
      <c r="BL23" s="1438">
        <f ca="1">IF(B23&gt;=$J$5,0,CONTADORES!BK15-CONTADORES!BK14)</f>
        <v>9.5</v>
      </c>
      <c r="BM23" s="1438">
        <f ca="1">IF(B23&gt;=$J$5,0,CONTADORES!BL15-CONTADORES!BL14)/1000</f>
        <v>2.9329999999999998</v>
      </c>
      <c r="BN23" s="1438">
        <f ca="1">IF(B23&gt;=$J$5,0,CONTADORES!BM15-CONTADORES!BM14)/1000</f>
        <v>0.39500000000000002</v>
      </c>
      <c r="BO23" s="1438">
        <f ca="1">IF(B23&gt;=$J$5,0,CONTADORES!BN15-CONTADORES!BN14)</f>
        <v>14.659999999999854</v>
      </c>
      <c r="BP23" s="1438">
        <f ca="1">IF(B23&gt;=$J$5,0,CONTADORES!BO15-CONTADORES!BO14)/1000</f>
        <v>3.516</v>
      </c>
      <c r="BQ23" s="1438">
        <f ca="1">IF(B23&gt;=$J$5,0,CONTADORES!BP15-CONTADORES!BP14)/1000</f>
        <v>6.3E-2</v>
      </c>
      <c r="BR23" s="1438">
        <f ca="1">IF(B23&gt;=$J$5,0,CONTADORES!BQ15-CONTADORES!BQ14)</f>
        <v>24</v>
      </c>
      <c r="BS23" s="1438">
        <f ca="1">IF(B23&gt;=$J$5,0,(CONTADORES!BT15-CONTADORES!BT14)+(CONTADORES!BV15-CONTADORES!BV14))/1000</f>
        <v>1.5620000000000001</v>
      </c>
      <c r="BT23" s="1438">
        <f ca="1">IF(B23&gt;=$J$5,0,(CONTADORES!BU15-CONTADORES!BU14)+(CONTADORES!BW15-CONTADORES!BW14))/1000</f>
        <v>0.96199999999999997</v>
      </c>
      <c r="BU23" s="1438">
        <f ca="1">IF(B23&gt;=$J$5,0,CONTADORES!BR15-CONTADORES!BR14)</f>
        <v>7</v>
      </c>
      <c r="BV23" s="1438">
        <f ca="1">IF(B23&gt;=$J$5,0,CONTADORES!BS15-CONTADORES!BS14)</f>
        <v>4.6000000000003638</v>
      </c>
      <c r="BW23" s="1438">
        <f t="shared" ca="1" si="16"/>
        <v>11.975499999999677</v>
      </c>
      <c r="BX23" s="1438">
        <f t="shared" ca="1" si="17"/>
        <v>6.8520000000005625</v>
      </c>
      <c r="BY23" s="1438">
        <f t="shared" ca="1" si="18"/>
        <v>4.9754999999996761</v>
      </c>
      <c r="BZ23" s="1438">
        <f t="shared" ca="1" si="19"/>
        <v>1.0552000000001092</v>
      </c>
      <c r="CA23" s="1438">
        <f t="shared" ca="1" si="20"/>
        <v>4.9754999999996761</v>
      </c>
      <c r="CB23" s="1438">
        <f t="shared" ca="1" si="21"/>
        <v>1.5828000000001634</v>
      </c>
      <c r="CC23" s="1438">
        <f t="shared" ca="1" si="22"/>
        <v>2.6172000000001092</v>
      </c>
      <c r="CD23" s="1438">
        <f t="shared" ca="1" si="23"/>
        <v>2.2520000000001987</v>
      </c>
      <c r="CE23" s="1438">
        <f ca="1">IF(B23&gt;=$J$5,0,CONTADORES!BS15-CONTADORES!BS14)</f>
        <v>4.6000000000003638</v>
      </c>
      <c r="CF23" s="1438">
        <f t="shared" ca="1" si="24"/>
        <v>2.2520000000001987</v>
      </c>
      <c r="CG23" s="1438">
        <f t="shared" ca="1" si="25"/>
        <v>0.26899999999980106</v>
      </c>
      <c r="CH23" s="1438">
        <f t="shared" ca="1" si="26"/>
        <v>0.26899999999980106</v>
      </c>
      <c r="CI23" s="1438">
        <f t="shared" ca="1" si="27"/>
        <v>1.2309999999998009</v>
      </c>
      <c r="CJ23" s="1444">
        <f ca="1">IF($B23&gt;=$J$5,0,CONTADORES!$BG15)</f>
        <v>9169.8014148102593</v>
      </c>
      <c r="CK23" s="1384">
        <f>CONTADORES!E15</f>
        <v>0</v>
      </c>
      <c r="CL23" s="1384">
        <f>CONTADORES!BX15</f>
        <v>0</v>
      </c>
    </row>
    <row r="24" spans="1:110">
      <c r="B24" s="220">
        <v>44940</v>
      </c>
      <c r="C24" s="204">
        <f t="shared" ca="1" si="0"/>
        <v>148</v>
      </c>
      <c r="D24" s="202">
        <f ca="1">'CALCULO DE GAS'!D17</f>
        <v>3.3494847977528099</v>
      </c>
      <c r="E24" s="202">
        <f ca="1">IF(B24&gt;=$J$5,0,(CONTADORES!$AB16-CONTADORES!$AB15)-$H24)</f>
        <v>24</v>
      </c>
      <c r="F24" s="204">
        <f t="shared" ca="1" si="28"/>
        <v>0</v>
      </c>
      <c r="G24" s="202">
        <f ca="1">IF(B24&gt;=$J$5,0,CONTADORES!$AD16-CONTADORES!$AD15)</f>
        <v>0</v>
      </c>
      <c r="H24" s="1437">
        <f ca="1">IF(G24&gt;0,CONTADORES!$AC16-CONTADORES!$AC15,0)</f>
        <v>0</v>
      </c>
      <c r="I24" s="205">
        <f ca="1">IF(B24&gt;=$J$5,0,CONTADORES!$Z16-CONTADORES!$Z15)</f>
        <v>148</v>
      </c>
      <c r="J24" s="204">
        <f t="shared" ca="1" si="2"/>
        <v>300</v>
      </c>
      <c r="K24" s="202">
        <f ca="1">'CALCULO DE GAS'!E17</f>
        <v>4.4766758089887659</v>
      </c>
      <c r="L24" s="1437">
        <f ca="1">IF(B24&gt;=$J$5,0,(CONTADORES!$W16-CONTADORES!$W15)-$O24)</f>
        <v>24</v>
      </c>
      <c r="M24" s="1437">
        <f t="shared" ca="1" si="3"/>
        <v>0</v>
      </c>
      <c r="N24" s="1437">
        <f ca="1">IF(B24&gt;=$J$5,0,CONTADORES!$Y16-CONTADORES!$Y15)</f>
        <v>0</v>
      </c>
      <c r="O24" s="1437">
        <f ca="1">IF(N24&gt;0,CONTADORES!$X16-CONTADORES!$X15,0)</f>
        <v>0</v>
      </c>
      <c r="P24" s="208">
        <f ca="1">IF(B24&gt;=$J$5,0,CONTADORES!$U16-CONTADORES!$U15)</f>
        <v>300</v>
      </c>
      <c r="Q24" s="208">
        <f ca="1">IF(B24&gt;=$J$5,0,CONTADORES!$B16-CONTADORES!$B15)</f>
        <v>0</v>
      </c>
      <c r="R24" s="202">
        <f t="shared" ca="1" si="4"/>
        <v>0</v>
      </c>
      <c r="S24" s="11">
        <f ca="1">IF(B24&gt;=$J$5,0,CONTADORES!$D16-CONTADORES!$D15)</f>
        <v>0</v>
      </c>
      <c r="T24" s="215">
        <f ca="1">IF(B24&gt;=$J$5,0,CONTADORES!$AZ16-CONTADORES!$AZ15)</f>
        <v>0</v>
      </c>
      <c r="U24" s="202">
        <f t="shared" ca="1" si="5"/>
        <v>0</v>
      </c>
      <c r="V24" s="205">
        <f ca="1">IF(B24&gt;=$J$5,0,CONTADORES!$BB16-CONTADORES!$BB15)</f>
        <v>0</v>
      </c>
      <c r="W24" s="1438">
        <f t="shared" ca="1" si="6"/>
        <v>448</v>
      </c>
      <c r="X24" s="1438">
        <f t="shared" ca="1" si="7"/>
        <v>0</v>
      </c>
      <c r="Y24" s="1439">
        <f t="shared" ca="1" si="8"/>
        <v>448</v>
      </c>
      <c r="Z24" s="1439">
        <f t="shared" ca="1" si="9"/>
        <v>7.8261606067415759</v>
      </c>
      <c r="AA24" s="1439">
        <f t="shared" ca="1" si="10"/>
        <v>0</v>
      </c>
      <c r="AB24" s="1439">
        <f t="shared" ca="1" si="11"/>
        <v>48</v>
      </c>
      <c r="AC24" s="1438">
        <f t="shared" ca="1" si="12"/>
        <v>0</v>
      </c>
      <c r="AD24" s="1438">
        <f ca="1">IF(B24&gt;=$J$5,0,CONTADORES!H16-CONTADORES!H15)</f>
        <v>168</v>
      </c>
      <c r="AE24" s="1438">
        <f ca="1">IF(B24&gt;=$J$5,0,CONTADORES!J16-CONTADORES!J15)</f>
        <v>24</v>
      </c>
      <c r="AF24" s="1438">
        <f ca="1">IF(B24&gt;=$J$5,0,CONTADORES!AS16-CONTADORES!AS15)</f>
        <v>143</v>
      </c>
      <c r="AG24" s="1438">
        <f ca="1">IF(B24&gt;=$J$5,0,CONTADORES!AU16-CONTADORES!AU15)</f>
        <v>24</v>
      </c>
      <c r="AH24" s="1438">
        <f ca="1">IF(B24&gt;=$J$5,0,(CONTADORES!AK16-CONTADORES!AK15)+(CONTADORES!K16-CONTADORES!K15))</f>
        <v>5</v>
      </c>
      <c r="AI24" s="1438">
        <f ca="1">IF(B24&gt;=$J$5,0,(CONTADORES!AI16-CONTADORES!AI15)+(CONTADORES!M16-CONTADORES!M15))</f>
        <v>45.599999999998545</v>
      </c>
      <c r="AJ24" s="1438">
        <f ca="1">IF(B24&gt;=$J$5,0,(CONTADORES!AG16-CONTADORES!AG15))</f>
        <v>8.8999999999941792</v>
      </c>
      <c r="AK24" s="1438">
        <f ca="1">IF(B24&gt;=$J$5,0,(CONTADORES!O16-CONTADORES!O15))</f>
        <v>14.700000000011642</v>
      </c>
      <c r="AL24" s="1443">
        <f t="shared" ca="1" si="13"/>
        <v>33.799999999995578</v>
      </c>
      <c r="AM24" s="1438">
        <f ca="1">IF(B24&gt;=$J$5,0,(((CONTADORES!F16-CONTADORES!F15)+(CONTADORES!AO16-CONTADORES!AO15))))-BJ24-AF24-AN24-BM24-BP24-BU24-BS24</f>
        <v>9.5560000000005587</v>
      </c>
      <c r="AN24" s="1438">
        <f ca="1">IF(B24&gt;=$J$5,0,(CONTADORES!AV16-CONTADORES!AV15)+(CONTADORES!AX16-CONTADORES!AX15)+(CONTADORES!BC16-CONTADORES!BC15))-BS24</f>
        <v>2.7539999999992721</v>
      </c>
      <c r="AO24" s="1440">
        <f ca="1">IF(B24&gt;=$J$5,0,(CONTADORES!AA16-CONTADORES!AA15))</f>
        <v>74</v>
      </c>
      <c r="AP24" s="1440">
        <f ca="1">IF(B24&gt;=$J$5,0,(CONTADORES!V16-CONTADORES!V15))</f>
        <v>156</v>
      </c>
      <c r="AQ24" s="1445">
        <f ca="1">IF(B24&gt;=$J$5,0,(CONTADORES!C16-CONTADORES!C15))</f>
        <v>0</v>
      </c>
      <c r="AR24" s="1445">
        <f ca="1">IF(B24&gt;=$J$5,0,(CONTADORES!BA16-CONTADORES!BA15))</f>
        <v>0</v>
      </c>
      <c r="AS24" s="1438">
        <f ca="1">IF(B24&gt;=$J$5,0,CONTADORES!Q16-CONTADORES!Q15)</f>
        <v>17.599999999976717</v>
      </c>
      <c r="AT24" s="1438">
        <f ca="1">IF(B24&gt;=$J$5,0,(CONTADORES!S16-CONTADORES!S15)+(CONTADORES!AE16-CONTADORES!AE15))</f>
        <v>2.0999999999985448</v>
      </c>
      <c r="AU24" s="1438">
        <f>CONTADORES!I16-CONTADORES!I15</f>
        <v>85</v>
      </c>
      <c r="AV24" s="1438">
        <f>CONTADORES!AT16-CONTADORES!AT15</f>
        <v>63</v>
      </c>
      <c r="AW24" s="1438">
        <f ca="1">IF(B24&gt;=$J$5,0,(CONTADORES!L16-CONTADORES!L15)+(CONTADORES!AL16-CONTADORES!AL15))</f>
        <v>2</v>
      </c>
      <c r="AX24" s="1438">
        <f ca="1">IF(B24&gt;=$J$5,0,(CONTADORES!N16-CONTADORES!N15)+(CONTADORES!AJ16-CONTADORES!AJ15))</f>
        <v>35.299999999995634</v>
      </c>
      <c r="AY24" s="1438">
        <f ca="1">IF(B24&gt;=$J$5,0,(CONTADORES!AH16-CONTADORES!AH15))</f>
        <v>7</v>
      </c>
      <c r="AZ24" s="1438">
        <f ca="1">IF(B24&gt;=$J$5,0,(CONTADORES!P16-CONTADORES!P15))</f>
        <v>12.5</v>
      </c>
      <c r="BA24" s="1449">
        <f t="shared" ca="1" si="14"/>
        <v>12.944000000004166</v>
      </c>
      <c r="BB24" s="1447">
        <f ca="1">IF(B24&gt;=$J$5,0,(((CONTADORES!G16-CONTADORES!G15)+(CONTADORES!AP16-CONTADORES!AP15))))-AV24-BC24-BK24-BN24-BQ24-BV24</f>
        <v>4.8240000000004546</v>
      </c>
      <c r="BC24" s="1440">
        <f ca="1">IF(B24&gt;=$J$5,0,(CONTADORES!AW16-CONTADORES!AW15)+(CONTADORES!AY16-CONTADORES!AY15)+(CONTADORES!BD16-CONTADORES!BD15))-BT24</f>
        <v>0.44400000000009099</v>
      </c>
      <c r="BD24" s="1438">
        <f t="shared" ca="1" si="15"/>
        <v>230</v>
      </c>
      <c r="BE24" s="1438">
        <f ca="1">IF($B24&gt;=$J$5,0,CONTADORES!$BE16)</f>
        <v>7141.87</v>
      </c>
      <c r="BF24" s="1438">
        <f ca="1">IF($B24&gt;=$J$5,0,CONTADORES!$BF16)</f>
        <v>30221.164912280699</v>
      </c>
      <c r="BG24" s="1438">
        <f ca="1">IF($B24&gt;=$J$5,0,CONTADORES!$BH16)</f>
        <v>6172.5</v>
      </c>
      <c r="BH24" s="1438">
        <f ca="1">IF(B24&gt;=$J$5,0,(CONTADORES!AQ16-CONTADORES!AQ15))</f>
        <v>5</v>
      </c>
      <c r="BI24" s="1438">
        <f ca="1">IF(C24&gt;=$J$5,0,(CONTADORES!AR16-CONTADORES!AR15))</f>
        <v>0</v>
      </c>
      <c r="BJ24" s="1438">
        <f ca="1">IF(B24&gt;=$J$5,0,CONTADORES!BI16-CONTADORES!BI15)/1000</f>
        <v>4.2</v>
      </c>
      <c r="BK24" s="1438">
        <f ca="1">IF(B24&gt;=$J$5,0,CONTADORES!BJ16-CONTADORES!BJ15)</f>
        <v>1</v>
      </c>
      <c r="BL24" s="1438">
        <f ca="1">IF(B24&gt;=$J$5,0,CONTADORES!BK16-CONTADORES!BK15)</f>
        <v>24</v>
      </c>
      <c r="BM24" s="1438">
        <f ca="1">IF(B24&gt;=$J$5,0,CONTADORES!BL16-CONTADORES!BL15)/1000</f>
        <v>0</v>
      </c>
      <c r="BN24" s="1438">
        <f ca="1">IF(B24&gt;=$J$5,0,CONTADORES!BM16-CONTADORES!BM15)/1000</f>
        <v>0</v>
      </c>
      <c r="BO24" s="1438">
        <f ca="1">IF(B24&gt;=$J$5,0,CONTADORES!BN16-CONTADORES!BN15)</f>
        <v>0</v>
      </c>
      <c r="BP24" s="1438">
        <f ca="1">IF(B24&gt;=$J$5,0,CONTADORES!BO16-CONTADORES!BO15)/1000</f>
        <v>3.6440000000000001</v>
      </c>
      <c r="BQ24" s="1438">
        <f ca="1">IF(B24&gt;=$J$5,0,CONTADORES!BP16-CONTADORES!BP15)/1000</f>
        <v>0.13200000000000001</v>
      </c>
      <c r="BR24" s="1438">
        <f ca="1">IF(B24&gt;=$J$5,0,CONTADORES!BQ16-CONTADORES!BQ15)</f>
        <v>24</v>
      </c>
      <c r="BS24" s="1438">
        <f ca="1">IF(B24&gt;=$J$5,0,(CONTADORES!BT16-CONTADORES!BT15)+(CONTADORES!BV16-CONTADORES!BV15))/1000</f>
        <v>1.546</v>
      </c>
      <c r="BT24" s="1438">
        <f ca="1">IF(B24&gt;=$J$5,0,(CONTADORES!BU16-CONTADORES!BU15)+(CONTADORES!BW16-CONTADORES!BW15))/1000</f>
        <v>0.95599999999999996</v>
      </c>
      <c r="BU24" s="1438">
        <f ca="1">IF(B24&gt;=$J$5,0,CONTADORES!BR16-CONTADORES!BR15)</f>
        <v>7.3000000000001819</v>
      </c>
      <c r="BV24" s="1438">
        <f ca="1">IF(B24&gt;=$J$5,0,CONTADORES!BS16-CONTADORES!BS15)</f>
        <v>4.8999999999996362</v>
      </c>
      <c r="BW24" s="1438">
        <f t="shared" ca="1" si="16"/>
        <v>12.078000000000461</v>
      </c>
      <c r="BX24" s="1438">
        <f t="shared" ca="1" si="17"/>
        <v>7.3119999999998635</v>
      </c>
      <c r="BY24" s="1438">
        <f t="shared" ca="1" si="18"/>
        <v>4.7780000000002794</v>
      </c>
      <c r="BZ24" s="1438">
        <f t="shared" ca="1" si="19"/>
        <v>1.1015999999997088</v>
      </c>
      <c r="CA24" s="1438">
        <f t="shared" ca="1" si="20"/>
        <v>4.7780000000002794</v>
      </c>
      <c r="CB24" s="1438">
        <f t="shared" ca="1" si="21"/>
        <v>1.6523999999995633</v>
      </c>
      <c r="CC24" s="1438">
        <f t="shared" ca="1" si="22"/>
        <v>2.6475999999997089</v>
      </c>
      <c r="CD24" s="1438">
        <f t="shared" ca="1" si="23"/>
        <v>2.4120000000002273</v>
      </c>
      <c r="CE24" s="1438">
        <f ca="1">IF(B24&gt;=$J$5,0,CONTADORES!BS16-CONTADORES!BS15)</f>
        <v>4.8999999999996362</v>
      </c>
      <c r="CF24" s="1438">
        <f t="shared" ca="1" si="24"/>
        <v>2.4120000000002273</v>
      </c>
      <c r="CG24" s="1438">
        <f t="shared" ca="1" si="25"/>
        <v>0.22200000000004549</v>
      </c>
      <c r="CH24" s="1438">
        <f t="shared" ca="1" si="26"/>
        <v>0.22200000000004549</v>
      </c>
      <c r="CI24" s="1438">
        <f t="shared" ca="1" si="27"/>
        <v>1.1780000000000455</v>
      </c>
      <c r="CJ24" s="1444">
        <f ca="1">IF($B24&gt;=$J$5,0,CONTADORES!$BG16)</f>
        <v>10031.139933763499</v>
      </c>
      <c r="CK24" s="1384">
        <f>CONTADORES!E16</f>
        <v>0</v>
      </c>
      <c r="CL24" s="1384">
        <f>CONTADORES!BX16</f>
        <v>0</v>
      </c>
    </row>
    <row r="25" spans="1:110">
      <c r="B25" s="220">
        <v>44941</v>
      </c>
      <c r="C25" s="204">
        <f t="shared" ca="1" si="0"/>
        <v>150</v>
      </c>
      <c r="D25" s="202">
        <f ca="1">'CALCULO DE GAS'!D18</f>
        <v>3.3643162584269666</v>
      </c>
      <c r="E25" s="202">
        <f ca="1">IF(B25&gt;=$J$5,0,(CONTADORES!$AB17-CONTADORES!$AB16)-$H25)</f>
        <v>24</v>
      </c>
      <c r="F25" s="204">
        <f t="shared" ca="1" si="28"/>
        <v>0</v>
      </c>
      <c r="G25" s="202">
        <f ca="1">IF(B25&gt;=$J$5,0,CONTADORES!$AD17-CONTADORES!$AD16)</f>
        <v>0</v>
      </c>
      <c r="H25" s="1437">
        <f ca="1">IF(G25&gt;0,CONTADORES!$AC17-CONTADORES!$AC16,0)</f>
        <v>0</v>
      </c>
      <c r="I25" s="205">
        <f ca="1">IF(B25&gt;=$J$5,0,CONTADORES!$Z17-CONTADORES!$Z16)</f>
        <v>150</v>
      </c>
      <c r="J25" s="204">
        <f t="shared" ca="1" si="2"/>
        <v>300</v>
      </c>
      <c r="K25" s="202">
        <f ca="1">'CALCULO DE GAS'!E18</f>
        <v>4.4766758089887659</v>
      </c>
      <c r="L25" s="1437">
        <f ca="1">IF(B25&gt;=$J$5,0,(CONTADORES!$W17-CONTADORES!$W16)-$O25)</f>
        <v>24</v>
      </c>
      <c r="M25" s="1437">
        <f t="shared" ca="1" si="3"/>
        <v>0</v>
      </c>
      <c r="N25" s="1437">
        <f ca="1">IF(B25&gt;=$J$5,0,CONTADORES!$Y17-CONTADORES!$Y16)</f>
        <v>0</v>
      </c>
      <c r="O25" s="1437">
        <f ca="1">IF(N25&gt;0,CONTADORES!$X17-CONTADORES!$X16,0)</f>
        <v>0</v>
      </c>
      <c r="P25" s="208">
        <f ca="1">IF(B25&gt;=$J$5,0,CONTADORES!$U17-CONTADORES!$U16)</f>
        <v>300</v>
      </c>
      <c r="Q25" s="208">
        <f ca="1">IF(B25&gt;=$J$5,0,CONTADORES!$B17-CONTADORES!$B16)</f>
        <v>0</v>
      </c>
      <c r="R25" s="202">
        <f t="shared" ca="1" si="4"/>
        <v>0</v>
      </c>
      <c r="S25" s="11">
        <f ca="1">IF(B25&gt;=$J$5,0,CONTADORES!$D17-CONTADORES!$D16)</f>
        <v>0</v>
      </c>
      <c r="T25" s="215">
        <f ca="1">IF(B25&gt;=$J$5,0,CONTADORES!$AZ17-CONTADORES!$AZ16)</f>
        <v>0</v>
      </c>
      <c r="U25" s="202">
        <f t="shared" ca="1" si="5"/>
        <v>0</v>
      </c>
      <c r="V25" s="205">
        <f ca="1">IF(B25&gt;=$J$5,0,CONTADORES!$BB17-CONTADORES!$BB16)</f>
        <v>0</v>
      </c>
      <c r="W25" s="1438">
        <f t="shared" ca="1" si="6"/>
        <v>450</v>
      </c>
      <c r="X25" s="1438">
        <f t="shared" ca="1" si="7"/>
        <v>0</v>
      </c>
      <c r="Y25" s="1439">
        <f t="shared" ca="1" si="8"/>
        <v>450</v>
      </c>
      <c r="Z25" s="1439">
        <f t="shared" ca="1" si="9"/>
        <v>7.8409920674157325</v>
      </c>
      <c r="AA25" s="1439">
        <f t="shared" ca="1" si="10"/>
        <v>0</v>
      </c>
      <c r="AB25" s="1439">
        <f t="shared" ca="1" si="11"/>
        <v>48</v>
      </c>
      <c r="AC25" s="1438">
        <f t="shared" ca="1" si="12"/>
        <v>0</v>
      </c>
      <c r="AD25" s="1438">
        <f ca="1">IF(B25&gt;=$J$5,0,CONTADORES!H17-CONTADORES!H16)</f>
        <v>166</v>
      </c>
      <c r="AE25" s="1438">
        <f ca="1">IF(B25&gt;=$J$5,0,CONTADORES!J17-CONTADORES!J16)</f>
        <v>24</v>
      </c>
      <c r="AF25" s="1438">
        <f ca="1">IF(B25&gt;=$J$5,0,CONTADORES!AS17-CONTADORES!AS16)</f>
        <v>138</v>
      </c>
      <c r="AG25" s="1438">
        <f ca="1">IF(B25&gt;=$J$5,0,CONTADORES!AU17-CONTADORES!AU16)</f>
        <v>24</v>
      </c>
      <c r="AH25" s="1438">
        <f ca="1">IF(B25&gt;=$J$5,0,(CONTADORES!AK17-CONTADORES!AK16)+(CONTADORES!K17-CONTADORES!K16))</f>
        <v>12.80000000000291</v>
      </c>
      <c r="AI25" s="1438">
        <f ca="1">IF(B25&gt;=$J$5,0,(CONTADORES!AI17-CONTADORES!AI16)+(CONTADORES!M17-CONTADORES!M16))</f>
        <v>46.900000000001455</v>
      </c>
      <c r="AJ25" s="1438">
        <f ca="1">IF(B25&gt;=$J$5,0,(CONTADORES!AG17-CONTADORES!AG16))</f>
        <v>8.2000000000116415</v>
      </c>
      <c r="AK25" s="1438">
        <f ca="1">IF(B25&gt;=$J$5,0,(CONTADORES!O17-CONTADORES!O16))</f>
        <v>15.5</v>
      </c>
      <c r="AL25" s="1443">
        <f t="shared" ca="1" si="13"/>
        <v>32.999999999983686</v>
      </c>
      <c r="AM25" s="1438">
        <f ca="1">IF(B25&gt;=$J$5,0,(((CONTADORES!F17-CONTADORES!F16)+(CONTADORES!AO17-CONTADORES!AO16))))-BJ25-AF25-AN25-BM25-BP25-BU25-BS25</f>
        <v>10.324000000000455</v>
      </c>
      <c r="AN25" s="1438">
        <f ca="1">IF(B25&gt;=$J$5,0,(CONTADORES!AV17-CONTADORES!AV16)+(CONTADORES!AX17-CONTADORES!AX16)+(CONTADORES!BC17-CONTADORES!BC16))-BS25</f>
        <v>2.8580000000000911</v>
      </c>
      <c r="AO25" s="1440">
        <f ca="1">IF(B25&gt;=$J$5,0,(CONTADORES!AA17-CONTADORES!AA16))</f>
        <v>72</v>
      </c>
      <c r="AP25" s="1440">
        <f ca="1">IF(B25&gt;=$J$5,0,(CONTADORES!V17-CONTADORES!V16))</f>
        <v>156</v>
      </c>
      <c r="AQ25" s="1445">
        <f ca="1">IF(B25&gt;=$J$5,0,(CONTADORES!C17-CONTADORES!C16))</f>
        <v>0</v>
      </c>
      <c r="AR25" s="1445">
        <f ca="1">IF(B25&gt;=$J$5,0,(CONTADORES!BA17-CONTADORES!BA16))</f>
        <v>0</v>
      </c>
      <c r="AS25" s="1438">
        <f ca="1">IF(B25&gt;=$J$5,0,CONTADORES!Q17-CONTADORES!Q16)</f>
        <v>17.400000000023283</v>
      </c>
      <c r="AT25" s="1438">
        <f ca="1">IF(B25&gt;=$J$5,0,(CONTADORES!S17-CONTADORES!S16)+(CONTADORES!AE17-CONTADORES!AE16))</f>
        <v>2.1000000000058208</v>
      </c>
      <c r="AU25" s="1438">
        <f>CONTADORES!I17-CONTADORES!I16</f>
        <v>83</v>
      </c>
      <c r="AV25" s="1438">
        <f>CONTADORES!AT17-CONTADORES!AT16</f>
        <v>60</v>
      </c>
      <c r="AW25" s="1438">
        <f ca="1">IF(B25&gt;=$J$5,0,(CONTADORES!L17-CONTADORES!L16)+(CONTADORES!AL17-CONTADORES!AL16))</f>
        <v>4.8999999999978172</v>
      </c>
      <c r="AX25" s="1438">
        <f ca="1">IF(B25&gt;=$J$5,0,(CONTADORES!N17-CONTADORES!N16)+(CONTADORES!AJ17-CONTADORES!AJ16))</f>
        <v>36.099999999998545</v>
      </c>
      <c r="AY25" s="1438">
        <f ca="1">IF(B25&gt;=$J$5,0,(CONTADORES!AH17-CONTADORES!AH16))</f>
        <v>6.5</v>
      </c>
      <c r="AZ25" s="1438">
        <f ca="1">IF(B25&gt;=$J$5,0,(CONTADORES!P17-CONTADORES!P16))</f>
        <v>12.600000000005821</v>
      </c>
      <c r="BA25" s="1449">
        <f t="shared" ca="1" si="14"/>
        <v>11.547999999998154</v>
      </c>
      <c r="BB25" s="1447">
        <f ca="1">IF(B25&gt;=$J$5,0,(((CONTADORES!G17-CONTADORES!G16)+(CONTADORES!AP17-CONTADORES!AP16))))-AV25-BC25-BK25-BN25-BQ25-BV25</f>
        <v>6.0209999999993631</v>
      </c>
      <c r="BC25" s="1440">
        <f ca="1">IF(B25&gt;=$J$5,0,(CONTADORES!AW17-CONTADORES!AW16)+(CONTADORES!AY17-CONTADORES!AY16)+(CONTADORES!BD17-CONTADORES!BD16))-BT25</f>
        <v>0.44800000000009099</v>
      </c>
      <c r="BD25" s="1438">
        <f t="shared" ca="1" si="15"/>
        <v>228</v>
      </c>
      <c r="BE25" s="1438">
        <f ca="1">IF($B25&gt;=$J$5,0,CONTADORES!$BE17)</f>
        <v>7021.88</v>
      </c>
      <c r="BF25" s="1438">
        <f ca="1">IF($B25&gt;=$J$5,0,CONTADORES!$BF17)</f>
        <v>31016.661403508799</v>
      </c>
      <c r="BG25" s="1438">
        <f ca="1">IF($B25&gt;=$J$5,0,CONTADORES!$BH17)</f>
        <v>6404.61</v>
      </c>
      <c r="BH25" s="1438">
        <f ca="1">IF(B25&gt;=$J$5,0,(CONTADORES!AQ17-CONTADORES!AQ16))</f>
        <v>6</v>
      </c>
      <c r="BI25" s="1438">
        <f ca="1">IF(C25&gt;=$J$5,0,(CONTADORES!AR17-CONTADORES!AR16))</f>
        <v>0</v>
      </c>
      <c r="BJ25" s="1438">
        <f ca="1">IF(B25&gt;=$J$5,0,CONTADORES!BI17-CONTADORES!BI16)/1000</f>
        <v>4</v>
      </c>
      <c r="BK25" s="1438">
        <f ca="1">IF(B25&gt;=$J$5,0,CONTADORES!BJ17-CONTADORES!BJ16)</f>
        <v>1</v>
      </c>
      <c r="BL25" s="1438">
        <f ca="1">IF(B25&gt;=$J$5,0,CONTADORES!BK17-CONTADORES!BK16)</f>
        <v>24</v>
      </c>
      <c r="BM25" s="1438">
        <f ca="1">IF(B25&gt;=$J$5,0,CONTADORES!BL17-CONTADORES!BL16)/1000</f>
        <v>0</v>
      </c>
      <c r="BN25" s="1438">
        <f ca="1">IF(B25&gt;=$J$5,0,CONTADORES!BM17-CONTADORES!BM16)/1000</f>
        <v>0</v>
      </c>
      <c r="BO25" s="1438">
        <f ca="1">IF(B25&gt;=$J$5,0,CONTADORES!BN17-CONTADORES!BN16)</f>
        <v>0</v>
      </c>
      <c r="BP25" s="1438">
        <f ca="1">IF(B25&gt;=$J$5,0,CONTADORES!BO17-CONTADORES!BO16)/1000</f>
        <v>3.6760000000000002</v>
      </c>
      <c r="BQ25" s="1438">
        <f ca="1">IF(B25&gt;=$J$5,0,CONTADORES!BP17-CONTADORES!BP16)/1000</f>
        <v>0.13100000000000001</v>
      </c>
      <c r="BR25" s="1438">
        <f ca="1">IF(B25&gt;=$J$5,0,CONTADORES!BQ17-CONTADORES!BQ16)</f>
        <v>24</v>
      </c>
      <c r="BS25" s="1438">
        <f ca="1">IF(B25&gt;=$J$5,0,(CONTADORES!BT17-CONTADORES!BT16)+(CONTADORES!BV17-CONTADORES!BV16))/1000</f>
        <v>1.542</v>
      </c>
      <c r="BT25" s="1438">
        <f ca="1">IF(B25&gt;=$J$5,0,(CONTADORES!BU17-CONTADORES!BU16)+(CONTADORES!BW17-CONTADORES!BW16))/1000</f>
        <v>0.95199999999999996</v>
      </c>
      <c r="BU25" s="1438">
        <f ca="1">IF(B25&gt;=$J$5,0,CONTADORES!BR17-CONTADORES!BR16)</f>
        <v>7.1999999999998181</v>
      </c>
      <c r="BV25" s="1438">
        <f ca="1">IF(B25&gt;=$J$5,0,CONTADORES!BS17-CONTADORES!BS16)</f>
        <v>4.8000000000001819</v>
      </c>
      <c r="BW25" s="1438">
        <f t="shared" ca="1" si="16"/>
        <v>12.362000000000045</v>
      </c>
      <c r="BX25" s="1438">
        <f t="shared" ca="1" si="17"/>
        <v>7.8104999999998634</v>
      </c>
      <c r="BY25" s="1438">
        <f t="shared" ca="1" si="18"/>
        <v>5.1620000000002273</v>
      </c>
      <c r="BZ25" s="1438">
        <f t="shared" ca="1" si="19"/>
        <v>1.1432000000000364</v>
      </c>
      <c r="CA25" s="1438">
        <f t="shared" ca="1" si="20"/>
        <v>5.1620000000002273</v>
      </c>
      <c r="CB25" s="1438">
        <f t="shared" ca="1" si="21"/>
        <v>1.7148000000000547</v>
      </c>
      <c r="CC25" s="1438">
        <f t="shared" ca="1" si="22"/>
        <v>2.6852000000000364</v>
      </c>
      <c r="CD25" s="1438">
        <f t="shared" ca="1" si="23"/>
        <v>3.0104999999996815</v>
      </c>
      <c r="CE25" s="1438">
        <f ca="1">IF(B25&gt;=$J$5,0,CONTADORES!BS17-CONTADORES!BS16)</f>
        <v>4.8000000000001819</v>
      </c>
      <c r="CF25" s="1438">
        <f t="shared" ca="1" si="24"/>
        <v>3.0104999999996815</v>
      </c>
      <c r="CG25" s="1438">
        <f t="shared" ca="1" si="25"/>
        <v>0.2240000000000455</v>
      </c>
      <c r="CH25" s="1438">
        <f t="shared" ca="1" si="26"/>
        <v>0.2240000000000455</v>
      </c>
      <c r="CI25" s="1438">
        <f t="shared" ca="1" si="27"/>
        <v>1.1760000000000455</v>
      </c>
      <c r="CJ25" s="1444">
        <f ca="1">IF($B25&gt;=$J$5,0,CONTADORES!$BG17)</f>
        <v>10154.001882045801</v>
      </c>
      <c r="CK25" s="1384">
        <f>CONTADORES!E17</f>
        <v>0</v>
      </c>
      <c r="CL25" s="1384">
        <f>CONTADORES!BX17</f>
        <v>0</v>
      </c>
    </row>
    <row r="26" spans="1:110">
      <c r="B26" s="220">
        <v>44942</v>
      </c>
      <c r="C26" s="204">
        <f t="shared" ca="1" si="0"/>
        <v>150</v>
      </c>
      <c r="D26" s="202">
        <f ca="1">'CALCULO DE GAS'!D19</f>
        <v>3.3643162584269666</v>
      </c>
      <c r="E26" s="202">
        <f ca="1">IF(B26&gt;=$J$5,0,(CONTADORES!$AB18-CONTADORES!$AB17)-$H26)</f>
        <v>24</v>
      </c>
      <c r="F26" s="204">
        <f t="shared" ca="1" si="28"/>
        <v>0</v>
      </c>
      <c r="G26" s="202">
        <f ca="1">IF(B26&gt;=$J$5,0,CONTADORES!$AD18-CONTADORES!$AD17)</f>
        <v>0</v>
      </c>
      <c r="H26" s="1437">
        <f ca="1">IF(G26&gt;0,CONTADORES!$AC18-CONTADORES!$AC17,0)</f>
        <v>0</v>
      </c>
      <c r="I26" s="205">
        <f ca="1">IF(B26&gt;=$J$5,0,CONTADORES!$Z18-CONTADORES!$Z17)</f>
        <v>150</v>
      </c>
      <c r="J26" s="204">
        <f t="shared" ca="1" si="2"/>
        <v>304</v>
      </c>
      <c r="K26" s="202">
        <f ca="1">'CALCULO DE GAS'!E19</f>
        <v>4.5063387303370801</v>
      </c>
      <c r="L26" s="1437">
        <f ca="1">IF(B26&gt;=$J$5,0,(CONTADORES!$W18-CONTADORES!$W17)-$O26)</f>
        <v>24</v>
      </c>
      <c r="M26" s="1437">
        <f t="shared" ca="1" si="3"/>
        <v>0</v>
      </c>
      <c r="N26" s="1437">
        <f ca="1">IF(B26&gt;=$J$5,0,CONTADORES!$Y18-CONTADORES!$Y17)</f>
        <v>0</v>
      </c>
      <c r="O26" s="1437">
        <f ca="1">IF(N26&gt;0,CONTADORES!$X18-CONTADORES!$X17,0)</f>
        <v>0</v>
      </c>
      <c r="P26" s="208">
        <f ca="1">IF(B26&gt;=$J$5,0,CONTADORES!$U18-CONTADORES!$U17)</f>
        <v>304</v>
      </c>
      <c r="Q26" s="208">
        <f ca="1">IF(B26&gt;=$J$5,0,CONTADORES!$B18-CONTADORES!$B17)</f>
        <v>0.48500000000012733</v>
      </c>
      <c r="R26" s="202">
        <f t="shared" ca="1" si="4"/>
        <v>58.20000000001528</v>
      </c>
      <c r="S26" s="11">
        <f ca="1">IF(B26&gt;=$J$5,0,CONTADORES!$D18-CONTADORES!$D17)</f>
        <v>1.5</v>
      </c>
      <c r="T26" s="215">
        <f ca="1">IF(B26&gt;=$J$5,0,CONTADORES!$AZ18-CONTADORES!$AZ17)</f>
        <v>0.44600000000002638</v>
      </c>
      <c r="U26" s="202">
        <f t="shared" ca="1" si="5"/>
        <v>53.520000000003165</v>
      </c>
      <c r="V26" s="205">
        <f ca="1">IF(B26&gt;=$J$5,0,CONTADORES!$BB18-CONTADORES!$BB17)</f>
        <v>0.52999999999997272</v>
      </c>
      <c r="W26" s="1438">
        <f t="shared" ca="1" si="6"/>
        <v>454</v>
      </c>
      <c r="X26" s="1438">
        <f t="shared" ca="1" si="7"/>
        <v>0.9310000000001537</v>
      </c>
      <c r="Y26" s="1439">
        <f t="shared" ca="1" si="8"/>
        <v>454.93100000000015</v>
      </c>
      <c r="Z26" s="1439">
        <f t="shared" ca="1" si="9"/>
        <v>7.8706549887640467</v>
      </c>
      <c r="AA26" s="1439">
        <f t="shared" ca="1" si="10"/>
        <v>111.72000000001844</v>
      </c>
      <c r="AB26" s="1439">
        <f t="shared" ca="1" si="11"/>
        <v>48</v>
      </c>
      <c r="AC26" s="1438">
        <f t="shared" ca="1" si="12"/>
        <v>2.0299999999999727</v>
      </c>
      <c r="AD26" s="1438">
        <f ca="1">IF(B26&gt;=$J$5,0,CONTADORES!H18-CONTADORES!H17)</f>
        <v>165</v>
      </c>
      <c r="AE26" s="1438">
        <f ca="1">IF(B26&gt;=$J$5,0,CONTADORES!J18-CONTADORES!J17)</f>
        <v>24</v>
      </c>
      <c r="AF26" s="1438">
        <f ca="1">IF(B26&gt;=$J$5,0,CONTADORES!AS18-CONTADORES!AS17)</f>
        <v>144</v>
      </c>
      <c r="AG26" s="1438">
        <f ca="1">IF(B26&gt;=$J$5,0,CONTADORES!AU18-CONTADORES!AU17)</f>
        <v>24</v>
      </c>
      <c r="AH26" s="1438">
        <f ca="1">IF(B26&gt;=$J$5,0,(CONTADORES!AK18-CONTADORES!AK17)+(CONTADORES!K18-CONTADORES!K17))</f>
        <v>12</v>
      </c>
      <c r="AI26" s="1438">
        <f ca="1">IF(B26&gt;=$J$5,0,(CONTADORES!AI18-CONTADORES!AI17)+(CONTADORES!M18-CONTADORES!M17))</f>
        <v>45.099999999998545</v>
      </c>
      <c r="AJ26" s="1438">
        <f ca="1">IF(B26&gt;=$J$5,0,(CONTADORES!AG18-CONTADORES!AG17))</f>
        <v>8.3999999999941792</v>
      </c>
      <c r="AK26" s="1438">
        <f ca="1">IF(B26&gt;=$J$5,0,(CONTADORES!O18-CONTADORES!O17))</f>
        <v>15.399999999994179</v>
      </c>
      <c r="AL26" s="1443">
        <f t="shared" ca="1" si="13"/>
        <v>36.331000000014342</v>
      </c>
      <c r="AM26" s="1438">
        <f ca="1">IF(B26&gt;=$J$5,0,(((CONTADORES!F18-CONTADORES!F17)+(CONTADORES!AO18-CONTADORES!AO17))))-BJ26-AF26-AN26-BM26-BP26-BU26-BS26</f>
        <v>9.6859999999989981</v>
      </c>
      <c r="AN26" s="1438">
        <f ca="1">IF(B26&gt;=$J$5,0,(CONTADORES!AV18-CONTADORES!AV17)+(CONTADORES!AX18-CONTADORES!AX17)+(CONTADORES!BC18-CONTADORES!BC17))-BS26</f>
        <v>2.8440000000000909</v>
      </c>
      <c r="AO26" s="1440">
        <f ca="1">IF(B26&gt;=$J$5,0,(CONTADORES!AA18-CONTADORES!AA17))</f>
        <v>74</v>
      </c>
      <c r="AP26" s="1440">
        <f ca="1">IF(B26&gt;=$J$5,0,(CONTADORES!V18-CONTADORES!V17))</f>
        <v>158</v>
      </c>
      <c r="AQ26" s="1445">
        <f ca="1">IF(B26&gt;=$J$5,0,(CONTADORES!C18-CONTADORES!C17))</f>
        <v>0.17700000000002092</v>
      </c>
      <c r="AR26" s="1445">
        <f ca="1">IF(B26&gt;=$J$5,0,(CONTADORES!BA18-CONTADORES!BA17))</f>
        <v>0.17599999999998772</v>
      </c>
      <c r="AS26" s="1438">
        <f ca="1">IF(B26&gt;=$J$5,0,CONTADORES!Q18-CONTADORES!Q17)</f>
        <v>17.799999999988358</v>
      </c>
      <c r="AT26" s="1438">
        <f ca="1">IF(B26&gt;=$J$5,0,(CONTADORES!S18-CONTADORES!S17)+(CONTADORES!AE18-CONTADORES!AE17))</f>
        <v>2.0999999999985448</v>
      </c>
      <c r="AU26" s="1438">
        <f>CONTADORES!I18-CONTADORES!I17</f>
        <v>84</v>
      </c>
      <c r="AV26" s="1438">
        <f>CONTADORES!AT18-CONTADORES!AT17</f>
        <v>63</v>
      </c>
      <c r="AW26" s="1438">
        <f ca="1">IF(B26&gt;=$J$5,0,(CONTADORES!L18-CONTADORES!L17)+(CONTADORES!AL18-CONTADORES!AL17))</f>
        <v>4.4000000000014552</v>
      </c>
      <c r="AX26" s="1438">
        <f ca="1">IF(B26&gt;=$J$5,0,(CONTADORES!N18-CONTADORES!N17)+(CONTADORES!AJ18-CONTADORES!AJ17))</f>
        <v>35.799999999995634</v>
      </c>
      <c r="AY26" s="1438">
        <f ca="1">IF(B26&gt;=$J$5,0,(CONTADORES!AH18-CONTADORES!AH17))</f>
        <v>6.7000000000043656</v>
      </c>
      <c r="AZ26" s="1438">
        <f ca="1">IF(B26&gt;=$J$5,0,(CONTADORES!P18-CONTADORES!P17))</f>
        <v>12.599999999991269</v>
      </c>
      <c r="BA26" s="1449">
        <f t="shared" ca="1" si="14"/>
        <v>13.299000000006885</v>
      </c>
      <c r="BB26" s="1447">
        <f ca="1">IF(B26&gt;=$J$5,0,(((CONTADORES!G18-CONTADORES!G17)+(CONTADORES!AP18-CONTADORES!AP17))))-AV26-BC26-BK26-BN26-BQ26-BV26</f>
        <v>5.1220000000001598</v>
      </c>
      <c r="BC26" s="1440">
        <f ca="1">IF(B26&gt;=$J$5,0,(CONTADORES!AW18-CONTADORES!AW17)+(CONTADORES!AY18-CONTADORES!AY17)+(CONTADORES!BD18-CONTADORES!BD17))-BT26</f>
        <v>0.64600000000002278</v>
      </c>
      <c r="BD26" s="1438">
        <f t="shared" ca="1" si="15"/>
        <v>232.35300000000001</v>
      </c>
      <c r="BE26" s="1438">
        <f ca="1">IF($B26&gt;=$J$5,0,CONTADORES!$BE18)</f>
        <v>6510.63</v>
      </c>
      <c r="BF26" s="1438">
        <f ca="1">IF($B26&gt;=$J$5,0,CONTADORES!$BF18)</f>
        <v>31201.454385964898</v>
      </c>
      <c r="BG26" s="1438">
        <f ca="1">IF($B26&gt;=$J$5,0,CONTADORES!$BH18)</f>
        <v>6303.13</v>
      </c>
      <c r="BH26" s="1438">
        <f ca="1">IF(B26&gt;=$J$5,0,(CONTADORES!AQ18-CONTADORES!AQ17))</f>
        <v>5</v>
      </c>
      <c r="BI26" s="1438">
        <f ca="1">IF(C26&gt;=$J$5,0,(CONTADORES!AR18-CONTADORES!AR17))</f>
        <v>0</v>
      </c>
      <c r="BJ26" s="1438">
        <f ca="1">IF(B26&gt;=$J$5,0,CONTADORES!BI18-CONTADORES!BI17)/1000</f>
        <v>4</v>
      </c>
      <c r="BK26" s="1438">
        <f ca="1">IF(B26&gt;=$J$5,0,CONTADORES!BJ18-CONTADORES!BJ17)</f>
        <v>1</v>
      </c>
      <c r="BL26" s="1438">
        <f ca="1">IF(B26&gt;=$J$5,0,CONTADORES!BK18-CONTADORES!BK17)</f>
        <v>24</v>
      </c>
      <c r="BM26" s="1438">
        <f ca="1">IF(B26&gt;=$J$5,0,CONTADORES!BL18-CONTADORES!BL17)/1000</f>
        <v>0</v>
      </c>
      <c r="BN26" s="1438">
        <f ca="1">IF(B26&gt;=$J$5,0,CONTADORES!BM18-CONTADORES!BM17)/1000</f>
        <v>0</v>
      </c>
      <c r="BO26" s="1438">
        <f ca="1">IF(B26&gt;=$J$5,0,CONTADORES!BN18-CONTADORES!BN17)</f>
        <v>0</v>
      </c>
      <c r="BP26" s="1438">
        <f ca="1">IF(B26&gt;=$J$5,0,CONTADORES!BO18-CONTADORES!BO17)/1000</f>
        <v>3.4140000000000001</v>
      </c>
      <c r="BQ26" s="1438">
        <f ca="1">IF(B26&gt;=$J$5,0,CONTADORES!BP18-CONTADORES!BP17)/1000</f>
        <v>3.2000000000000001E-2</v>
      </c>
      <c r="BR26" s="1438">
        <f ca="1">IF(B26&gt;=$J$5,0,CONTADORES!BQ18-CONTADORES!BQ17)</f>
        <v>24</v>
      </c>
      <c r="BS26" s="1438">
        <f ca="1">IF(B26&gt;=$J$5,0,(CONTADORES!BT18-CONTADORES!BT17)+(CONTADORES!BV18-CONTADORES!BV17))/1000</f>
        <v>1.556</v>
      </c>
      <c r="BT26" s="1438">
        <f ca="1">IF(B26&gt;=$J$5,0,(CONTADORES!BU18-CONTADORES!BU17)+(CONTADORES!BW18-CONTADORES!BW17))/1000</f>
        <v>0.95399999999999996</v>
      </c>
      <c r="BU26" s="1438">
        <f ca="1">IF(B26&gt;=$J$5,0,CONTADORES!BR18-CONTADORES!BR17)</f>
        <v>7.1999999999998181</v>
      </c>
      <c r="BV26" s="1438">
        <f ca="1">IF(B26&gt;=$J$5,0,CONTADORES!BS18-CONTADORES!BS17)</f>
        <v>4.8000000000001819</v>
      </c>
      <c r="BW26" s="1438">
        <f t="shared" ca="1" si="16"/>
        <v>12.042999999999317</v>
      </c>
      <c r="BX26" s="1438">
        <f t="shared" ca="1" si="17"/>
        <v>7.3610000000002618</v>
      </c>
      <c r="BY26" s="1438">
        <f t="shared" ca="1" si="18"/>
        <v>4.842999999999499</v>
      </c>
      <c r="BZ26" s="1438">
        <f t="shared" ca="1" si="19"/>
        <v>1.1376000000000364</v>
      </c>
      <c r="CA26" s="1438">
        <f t="shared" ca="1" si="20"/>
        <v>4.842999999999499</v>
      </c>
      <c r="CB26" s="1438">
        <f t="shared" ca="1" si="21"/>
        <v>1.7064000000000545</v>
      </c>
      <c r="CC26" s="1438">
        <f t="shared" ca="1" si="22"/>
        <v>2.6936000000000364</v>
      </c>
      <c r="CD26" s="1438">
        <f t="shared" ca="1" si="23"/>
        <v>2.5610000000000799</v>
      </c>
      <c r="CE26" s="1438">
        <f ca="1">IF(B26&gt;=$J$5,0,CONTADORES!BS18-CONTADORES!BS17)</f>
        <v>4.8000000000001819</v>
      </c>
      <c r="CF26" s="1438">
        <f t="shared" ca="1" si="24"/>
        <v>2.5610000000000799</v>
      </c>
      <c r="CG26" s="1438">
        <f t="shared" ca="1" si="25"/>
        <v>0.32300000000001139</v>
      </c>
      <c r="CH26" s="1438">
        <f t="shared" ca="1" si="26"/>
        <v>0.32300000000001139</v>
      </c>
      <c r="CI26" s="1438">
        <f t="shared" ca="1" si="27"/>
        <v>1.2770000000000112</v>
      </c>
      <c r="CJ26" s="1444">
        <f ca="1">IF($B26&gt;=$J$5,0,CONTADORES!$BG18)</f>
        <v>10263.695201005999</v>
      </c>
      <c r="CK26" s="1384">
        <f>CONTADORES!E18</f>
        <v>0.5</v>
      </c>
      <c r="CL26" s="1384">
        <f>CONTADORES!BX18</f>
        <v>0.4</v>
      </c>
    </row>
    <row r="27" spans="1:110">
      <c r="B27" s="220">
        <v>44943</v>
      </c>
      <c r="C27" s="204">
        <f t="shared" ca="1" si="0"/>
        <v>150</v>
      </c>
      <c r="D27" s="202">
        <f ca="1">'CALCULO DE GAS'!D20</f>
        <v>3.3643162584269666</v>
      </c>
      <c r="E27" s="202">
        <f ca="1">IF(B27&gt;=$J$5,0,(CONTADORES!$AB19-CONTADORES!$AB18)-$H27)</f>
        <v>24</v>
      </c>
      <c r="F27" s="204">
        <f t="shared" ca="1" si="28"/>
        <v>0</v>
      </c>
      <c r="G27" s="202">
        <f ca="1">IF(B27&gt;=$J$5,0,CONTADORES!$AD19-CONTADORES!$AD18)</f>
        <v>0</v>
      </c>
      <c r="H27" s="1437">
        <f ca="1">IF(G27&gt;0,CONTADORES!$AC19-CONTADORES!$AC18,0)</f>
        <v>0</v>
      </c>
      <c r="I27" s="205">
        <f ca="1">IF(B27&gt;=$J$5,0,CONTADORES!$Z19-CONTADORES!$Z18)</f>
        <v>150</v>
      </c>
      <c r="J27" s="204">
        <f t="shared" ca="1" si="2"/>
        <v>300</v>
      </c>
      <c r="K27" s="202">
        <f ca="1">'CALCULO DE GAS'!E20</f>
        <v>4.4766758089887659</v>
      </c>
      <c r="L27" s="1437">
        <f ca="1">IF(B27&gt;=$J$5,0,(CONTADORES!$W19-CONTADORES!$W18)-$O27)</f>
        <v>24</v>
      </c>
      <c r="M27" s="1437">
        <f t="shared" ca="1" si="3"/>
        <v>0</v>
      </c>
      <c r="N27" s="1437">
        <f ca="1">IF(B27&gt;=$J$5,0,CONTADORES!$Y19-CONTADORES!$Y18)</f>
        <v>0</v>
      </c>
      <c r="O27" s="1437">
        <f ca="1">IF(N27&gt;0,CONTADORES!$X19-CONTADORES!$X18,0)</f>
        <v>0</v>
      </c>
      <c r="P27" s="208">
        <f ca="1">IF(B27&gt;=$J$5,0,CONTADORES!$U19-CONTADORES!$U18)</f>
        <v>300</v>
      </c>
      <c r="Q27" s="208">
        <f ca="1">IF(B27&gt;=$J$5,0,CONTADORES!$B19-CONTADORES!$B18)</f>
        <v>0</v>
      </c>
      <c r="R27" s="202">
        <f t="shared" ca="1" si="4"/>
        <v>0</v>
      </c>
      <c r="S27" s="11">
        <f ca="1">IF(B27&gt;=$J$5,0,CONTADORES!$D19-CONTADORES!$D18)</f>
        <v>0</v>
      </c>
      <c r="T27" s="215">
        <f ca="1">IF(B27&gt;=$J$5,0,CONTADORES!$AZ19-CONTADORES!$AZ18)</f>
        <v>0</v>
      </c>
      <c r="U27" s="202">
        <f t="shared" ca="1" si="5"/>
        <v>0</v>
      </c>
      <c r="V27" s="205">
        <f ca="1">IF(B27&gt;=$J$5,0,CONTADORES!$BB19-CONTADORES!$BB18)</f>
        <v>0</v>
      </c>
      <c r="W27" s="1438">
        <f t="shared" ca="1" si="6"/>
        <v>450</v>
      </c>
      <c r="X27" s="1438">
        <f t="shared" ca="1" si="7"/>
        <v>0</v>
      </c>
      <c r="Y27" s="1439">
        <f t="shared" ca="1" si="8"/>
        <v>450</v>
      </c>
      <c r="Z27" s="1439">
        <f t="shared" ca="1" si="9"/>
        <v>7.8409920674157325</v>
      </c>
      <c r="AA27" s="1439">
        <f t="shared" ca="1" si="10"/>
        <v>0</v>
      </c>
      <c r="AB27" s="1439">
        <f t="shared" ca="1" si="11"/>
        <v>48</v>
      </c>
      <c r="AC27" s="1438">
        <f t="shared" ca="1" si="12"/>
        <v>0</v>
      </c>
      <c r="AD27" s="1438">
        <f ca="1">IF(B27&gt;=$J$5,0,CONTADORES!H19-CONTADORES!H18)</f>
        <v>167</v>
      </c>
      <c r="AE27" s="1438">
        <f ca="1">IF(B27&gt;=$J$5,0,CONTADORES!J19-CONTADORES!J18)</f>
        <v>24</v>
      </c>
      <c r="AF27" s="1438">
        <f ca="1">IF(B27&gt;=$J$5,0,CONTADORES!AS19-CONTADORES!AS18)</f>
        <v>142</v>
      </c>
      <c r="AG27" s="1438">
        <f ca="1">IF(B27&gt;=$J$5,0,CONTADORES!AU19-CONTADORES!AU18)</f>
        <v>24</v>
      </c>
      <c r="AH27" s="1438">
        <f ca="1">IF(B27&gt;=$J$5,0,(CONTADORES!AK19-CONTADORES!AK18)+(CONTADORES!K19-CONTADORES!K18))</f>
        <v>9</v>
      </c>
      <c r="AI27" s="1438">
        <f ca="1">IF(B27&gt;=$J$5,0,(CONTADORES!AI19-CONTADORES!AI18)+(CONTADORES!M19-CONTADORES!M18))</f>
        <v>44.5</v>
      </c>
      <c r="AJ27" s="1438">
        <f ca="1">IF(B27&gt;=$J$5,0,(CONTADORES!AG19-CONTADORES!AG18))</f>
        <v>9.3999999999941792</v>
      </c>
      <c r="AK27" s="1438">
        <f ca="1">IF(B27&gt;=$J$5,0,(CONTADORES!O19-CONTADORES!O18))</f>
        <v>14.100000000005821</v>
      </c>
      <c r="AL27" s="1443">
        <f t="shared" ca="1" si="13"/>
        <v>34.299999999999272</v>
      </c>
      <c r="AM27" s="1438">
        <f ca="1">IF(B27&gt;=$J$5,0,(((CONTADORES!F19-CONTADORES!F18)+(CONTADORES!AO19-CONTADORES!AO18))))-BJ27-AF27-AN27-BM27-BP27-BU27-BS27</f>
        <v>11.022000000000268</v>
      </c>
      <c r="AN27" s="1438">
        <f ca="1">IF(B27&gt;=$J$5,0,(CONTADORES!AV19-CONTADORES!AV18)+(CONTADORES!AX19-CONTADORES!AX18)+(CONTADORES!BC19-CONTADORES!BC18))-BS27</f>
        <v>2.8640000000000829</v>
      </c>
      <c r="AO27" s="1440">
        <f ca="1">IF(B27&gt;=$J$5,0,(CONTADORES!AA19-CONTADORES!AA18))</f>
        <v>74</v>
      </c>
      <c r="AP27" s="1440">
        <f ca="1">IF(B27&gt;=$J$5,0,(CONTADORES!V19-CONTADORES!V18))</f>
        <v>156</v>
      </c>
      <c r="AQ27" s="1445">
        <f ca="1">IF(B27&gt;=$J$5,0,(CONTADORES!C19-CONTADORES!C18))</f>
        <v>0</v>
      </c>
      <c r="AR27" s="1445">
        <f ca="1">IF(B27&gt;=$J$5,0,(CONTADORES!BA19-CONTADORES!BA18))</f>
        <v>0</v>
      </c>
      <c r="AS27" s="1438">
        <f ca="1">IF(B27&gt;=$J$5,0,CONTADORES!Q19-CONTADORES!Q18)</f>
        <v>18.100000000005821</v>
      </c>
      <c r="AT27" s="1438">
        <f ca="1">IF(B27&gt;=$J$5,0,(CONTADORES!S19-CONTADORES!S18)+(CONTADORES!AE19-CONTADORES!AE18))</f>
        <v>2.0999999999985448</v>
      </c>
      <c r="AU27" s="1438">
        <f>CONTADORES!I19-CONTADORES!I18</f>
        <v>84</v>
      </c>
      <c r="AV27" s="1438">
        <f>CONTADORES!AT19-CONTADORES!AT18</f>
        <v>62</v>
      </c>
      <c r="AW27" s="1438">
        <f ca="1">IF(B27&gt;=$J$5,0,(CONTADORES!L19-CONTADORES!L18)+(CONTADORES!AL19-CONTADORES!AL18))</f>
        <v>3.5</v>
      </c>
      <c r="AX27" s="1438">
        <f ca="1">IF(B27&gt;=$J$5,0,(CONTADORES!N19-CONTADORES!N18)+(CONTADORES!AJ19-CONTADORES!AJ18))</f>
        <v>35.30000000000291</v>
      </c>
      <c r="AY27" s="1438">
        <f ca="1">IF(B27&gt;=$J$5,0,(CONTADORES!AH19-CONTADORES!AH18))</f>
        <v>7.5</v>
      </c>
      <c r="AZ27" s="1438">
        <f ca="1">IF(B27&gt;=$J$5,0,(CONTADORES!P19-CONTADORES!P18))</f>
        <v>11.600000000005821</v>
      </c>
      <c r="BA27" s="1449">
        <f t="shared" ca="1" si="14"/>
        <v>11.723999999991605</v>
      </c>
      <c r="BB27" s="1447">
        <f ca="1">IF(B27&gt;=$J$5,0,(((CONTADORES!G19-CONTADORES!G18)+(CONTADORES!AP19-CONTADORES!AP18))))-AV27-BC27-BK27-BN27-BQ27-BV27</f>
        <v>7.2249999999997154</v>
      </c>
      <c r="BC27" s="1440">
        <f ca="1">IF(B27&gt;=$J$5,0,(CONTADORES!AW19-CONTADORES!AW18)+(CONTADORES!AY19-CONTADORES!AY18)+(CONTADORES!BD19-CONTADORES!BD18))-BT27</f>
        <v>0.4440000000001012</v>
      </c>
      <c r="BD27" s="1438">
        <f t="shared" ca="1" si="15"/>
        <v>230</v>
      </c>
      <c r="BE27" s="1438">
        <f ca="1">IF($B27&gt;=$J$5,0,CONTADORES!$BE19)</f>
        <v>6740.82</v>
      </c>
      <c r="BF27" s="1438">
        <f ca="1">IF($B27&gt;=$J$5,0,CONTADORES!$BF19)</f>
        <v>30638.3877192982</v>
      </c>
      <c r="BG27" s="1438">
        <f ca="1">IF($B27&gt;=$J$5,0,CONTADORES!$BH19)</f>
        <v>6367.01</v>
      </c>
      <c r="BH27" s="1438">
        <f ca="1">IF(B27&gt;=$J$5,0,(CONTADORES!AQ19-CONTADORES!AQ18))</f>
        <v>6</v>
      </c>
      <c r="BI27" s="1438">
        <f ca="1">IF(C27&gt;=$J$5,0,(CONTADORES!AR19-CONTADORES!AR18))</f>
        <v>0</v>
      </c>
      <c r="BJ27" s="1438">
        <f ca="1">IF(B27&gt;=$J$5,0,CONTADORES!BI19-CONTADORES!BI18)/1000</f>
        <v>3.8</v>
      </c>
      <c r="BK27" s="1438">
        <f ca="1">IF(B27&gt;=$J$5,0,CONTADORES!BJ19-CONTADORES!BJ18)</f>
        <v>1</v>
      </c>
      <c r="BL27" s="1438">
        <f ca="1">IF(B27&gt;=$J$5,0,CONTADORES!BK19-CONTADORES!BK18)</f>
        <v>24</v>
      </c>
      <c r="BM27" s="1438">
        <f ca="1">IF(B27&gt;=$J$5,0,CONTADORES!BL19-CONTADORES!BL18)/1000</f>
        <v>0</v>
      </c>
      <c r="BN27" s="1438">
        <f ca="1">IF(B27&gt;=$J$5,0,CONTADORES!BM19-CONTADORES!BM18)/1000</f>
        <v>0</v>
      </c>
      <c r="BO27" s="1438">
        <f ca="1">IF(B27&gt;=$J$5,0,CONTADORES!BN19-CONTADORES!BN18)</f>
        <v>0</v>
      </c>
      <c r="BP27" s="1438">
        <f ca="1">IF(B27&gt;=$J$5,0,CONTADORES!BO19-CONTADORES!BO18)/1000</f>
        <v>3.3380000000000001</v>
      </c>
      <c r="BQ27" s="1438">
        <f ca="1">IF(B27&gt;=$J$5,0,CONTADORES!BP19-CONTADORES!BP18)/1000</f>
        <v>3.1E-2</v>
      </c>
      <c r="BR27" s="1438">
        <f ca="1">IF(B27&gt;=$J$5,0,CONTADORES!BQ19-CONTADORES!BQ18)</f>
        <v>24</v>
      </c>
      <c r="BS27" s="1438">
        <f ca="1">IF(B27&gt;=$J$5,0,(CONTADORES!BT19-CONTADORES!BT18)+(CONTADORES!BV19-CONTADORES!BV18))/1000</f>
        <v>1.5760000000000001</v>
      </c>
      <c r="BT27" s="1438">
        <f ca="1">IF(B27&gt;=$J$5,0,(CONTADORES!BU19-CONTADORES!BU18)+(CONTADORES!BW19-CONTADORES!BW18))/1000</f>
        <v>0.97599999999999998</v>
      </c>
      <c r="BU27" s="1438">
        <f ca="1">IF(B27&gt;=$J$5,0,CONTADORES!BR19-CONTADORES!BR18)</f>
        <v>7.1000000000003638</v>
      </c>
      <c r="BV27" s="1438">
        <f ca="1">IF(B27&gt;=$J$5,0,CONTADORES!BS19-CONTADORES!BS18)</f>
        <v>4.6999999999998181</v>
      </c>
      <c r="BW27" s="1438">
        <f t="shared" ca="1" si="16"/>
        <v>12.611000000000498</v>
      </c>
      <c r="BX27" s="1438">
        <f t="shared" ca="1" si="17"/>
        <v>8.3124999999996767</v>
      </c>
      <c r="BY27" s="1438">
        <f t="shared" ca="1" si="18"/>
        <v>5.5110000000001342</v>
      </c>
      <c r="BZ27" s="1438">
        <f t="shared" ca="1" si="19"/>
        <v>1.1456000000000333</v>
      </c>
      <c r="CA27" s="1438">
        <f t="shared" ca="1" si="20"/>
        <v>5.5110000000001342</v>
      </c>
      <c r="CB27" s="1438">
        <f t="shared" ca="1" si="21"/>
        <v>1.7184000000000497</v>
      </c>
      <c r="CC27" s="1438">
        <f t="shared" ca="1" si="22"/>
        <v>2.7216000000000333</v>
      </c>
      <c r="CD27" s="1438">
        <f t="shared" ca="1" si="23"/>
        <v>3.6124999999998577</v>
      </c>
      <c r="CE27" s="1438">
        <f ca="1">IF(B27&gt;=$J$5,0,CONTADORES!BS19-CONTADORES!BS18)</f>
        <v>4.6999999999998181</v>
      </c>
      <c r="CF27" s="1438">
        <f t="shared" ca="1" si="24"/>
        <v>3.6124999999998577</v>
      </c>
      <c r="CG27" s="1438">
        <f t="shared" ca="1" si="25"/>
        <v>0.2220000000000506</v>
      </c>
      <c r="CH27" s="1438">
        <f t="shared" ca="1" si="26"/>
        <v>0.2220000000000506</v>
      </c>
      <c r="CI27" s="1438">
        <f t="shared" ca="1" si="27"/>
        <v>1.1980000000000506</v>
      </c>
      <c r="CJ27" s="1444">
        <f ca="1">IF($B27&gt;=$J$5,0,CONTADORES!$BG19)</f>
        <v>10472.8472492989</v>
      </c>
      <c r="CK27" s="1384">
        <f>CONTADORES!E19</f>
        <v>0</v>
      </c>
      <c r="CL27" s="1384">
        <f>CONTADORES!BX19</f>
        <v>0</v>
      </c>
    </row>
    <row r="28" spans="1:110">
      <c r="B28" s="220">
        <v>44944</v>
      </c>
      <c r="C28" s="204">
        <f t="shared" ca="1" si="0"/>
        <v>150</v>
      </c>
      <c r="D28" s="202">
        <f ca="1">'CALCULO DE GAS'!D21</f>
        <v>3.3643162584269666</v>
      </c>
      <c r="E28" s="202">
        <f ca="1">IF(B28&gt;=$J$5,0,(CONTADORES!$AB20-CONTADORES!$AB19)-$H28)</f>
        <v>24</v>
      </c>
      <c r="F28" s="204">
        <f t="shared" ca="1" si="28"/>
        <v>0</v>
      </c>
      <c r="G28" s="202">
        <f ca="1">IF(B28&gt;=$J$5,0,CONTADORES!$AD20-CONTADORES!$AD19)</f>
        <v>0</v>
      </c>
      <c r="H28" s="1437">
        <f ca="1">IF(G28&gt;0,CONTADORES!$AC20-CONTADORES!$AC19,0)</f>
        <v>0</v>
      </c>
      <c r="I28" s="205">
        <f ca="1">IF(B28&gt;=$J$5,0,CONTADORES!$Z20-CONTADORES!$Z19)</f>
        <v>150</v>
      </c>
      <c r="J28" s="204">
        <f t="shared" ca="1" si="2"/>
        <v>296</v>
      </c>
      <c r="K28" s="202">
        <f ca="1">'CALCULO DE GAS'!E21</f>
        <v>4.4470128876404509</v>
      </c>
      <c r="L28" s="1437">
        <f ca="1">IF(B28&gt;=$J$5,0,(CONTADORES!$W20-CONTADORES!$W19)-$O28)</f>
        <v>24</v>
      </c>
      <c r="M28" s="1437">
        <f t="shared" ca="1" si="3"/>
        <v>0</v>
      </c>
      <c r="N28" s="1437">
        <f ca="1">IF(B28&gt;=$J$5,0,CONTADORES!$Y20-CONTADORES!$Y19)</f>
        <v>0</v>
      </c>
      <c r="O28" s="1437">
        <f ca="1">IF(N28&gt;0,CONTADORES!$X20-CONTADORES!$X19,0)</f>
        <v>0</v>
      </c>
      <c r="P28" s="208">
        <f ca="1">IF(B28&gt;=$J$5,0,CONTADORES!$U20-CONTADORES!$U19)</f>
        <v>296</v>
      </c>
      <c r="Q28" s="208">
        <f ca="1">IF(B28&gt;=$J$5,0,CONTADORES!$B20-CONTADORES!$B19)</f>
        <v>0</v>
      </c>
      <c r="R28" s="202">
        <f t="shared" ca="1" si="4"/>
        <v>0</v>
      </c>
      <c r="S28" s="11">
        <f ca="1">IF(B28&gt;=$J$5,0,CONTADORES!$D20-CONTADORES!$D19)</f>
        <v>0</v>
      </c>
      <c r="T28" s="215">
        <f ca="1">IF(B28&gt;=$J$5,0,CONTADORES!$AZ20-CONTADORES!$AZ19)</f>
        <v>0</v>
      </c>
      <c r="U28" s="202">
        <f t="shared" ca="1" si="5"/>
        <v>0</v>
      </c>
      <c r="V28" s="205">
        <f ca="1">IF(B28&gt;=$J$5,0,CONTADORES!$BB20-CONTADORES!$BB19)</f>
        <v>0</v>
      </c>
      <c r="W28" s="1438">
        <f t="shared" ca="1" si="6"/>
        <v>446</v>
      </c>
      <c r="X28" s="1438">
        <f t="shared" ca="1" si="7"/>
        <v>0</v>
      </c>
      <c r="Y28" s="1439">
        <f t="shared" ca="1" si="8"/>
        <v>446</v>
      </c>
      <c r="Z28" s="1439">
        <f t="shared" ca="1" si="9"/>
        <v>7.8113291460674175</v>
      </c>
      <c r="AA28" s="1439">
        <f t="shared" ca="1" si="10"/>
        <v>0</v>
      </c>
      <c r="AB28" s="1439">
        <f t="shared" ca="1" si="11"/>
        <v>48</v>
      </c>
      <c r="AC28" s="1438">
        <f t="shared" ca="1" si="12"/>
        <v>0</v>
      </c>
      <c r="AD28" s="1438">
        <f ca="1">IF(B28&gt;=$J$5,0,CONTADORES!H20-CONTADORES!H19)</f>
        <v>164</v>
      </c>
      <c r="AE28" s="1438">
        <f ca="1">IF(B28&gt;=$J$5,0,CONTADORES!J20-CONTADORES!J19)</f>
        <v>24</v>
      </c>
      <c r="AF28" s="1438">
        <f ca="1">IF(B28&gt;=$J$5,0,CONTADORES!AS20-CONTADORES!AS19)</f>
        <v>143</v>
      </c>
      <c r="AG28" s="1438">
        <f ca="1">IF(B28&gt;=$J$5,0,CONTADORES!AU20-CONTADORES!AU19)</f>
        <v>24</v>
      </c>
      <c r="AH28" s="1438">
        <f ca="1">IF(B28&gt;=$J$5,0,(CONTADORES!AK20-CONTADORES!AK19)+(CONTADORES!K20-CONTADORES!K19))</f>
        <v>10.5</v>
      </c>
      <c r="AI28" s="1438">
        <f ca="1">IF(B28&gt;=$J$5,0,(CONTADORES!AI20-CONTADORES!AI19)+(CONTADORES!M20-CONTADORES!M19))</f>
        <v>43.400000000001455</v>
      </c>
      <c r="AJ28" s="1438">
        <f ca="1">IF(B28&gt;=$J$5,0,(CONTADORES!AG20-CONTADORES!AG19))</f>
        <v>9</v>
      </c>
      <c r="AK28" s="1438">
        <f ca="1">IF(B28&gt;=$J$5,0,(CONTADORES!O20-CONTADORES!O19))</f>
        <v>14.699999999982538</v>
      </c>
      <c r="AL28" s="1443">
        <f t="shared" ca="1" si="13"/>
        <v>34.8000000000157</v>
      </c>
      <c r="AM28" s="1438">
        <f ca="1">IF(B28&gt;=$J$5,0,(((CONTADORES!F20-CONTADORES!F19)+(CONTADORES!AO20-CONTADORES!AO19))))-BJ28-AF28-AN28-BM28-BP28-BU28-BS28</f>
        <v>8.1739999999999071</v>
      </c>
      <c r="AN28" s="1438">
        <f ca="1">IF(B28&gt;=$J$5,0,(CONTADORES!AV20-CONTADORES!AV19)+(CONTADORES!AX20-CONTADORES!AX19)+(CONTADORES!BC20-CONTADORES!BC19))-BS28</f>
        <v>2.482000000000455</v>
      </c>
      <c r="AO28" s="1440">
        <f ca="1">IF(B28&gt;=$J$5,0,(CONTADORES!AA20-CONTADORES!AA19))</f>
        <v>71</v>
      </c>
      <c r="AP28" s="1440">
        <f ca="1">IF(B28&gt;=$J$5,0,(CONTADORES!V20-CONTADORES!V19))</f>
        <v>160</v>
      </c>
      <c r="AQ28" s="1445">
        <f ca="1">IF(B28&gt;=$J$5,0,(CONTADORES!C20-CONTADORES!C19))</f>
        <v>0</v>
      </c>
      <c r="AR28" s="1445">
        <f ca="1">IF(B28&gt;=$J$5,0,(CONTADORES!BA20-CONTADORES!BA19))</f>
        <v>0</v>
      </c>
      <c r="AS28" s="1438">
        <f ca="1">IF(B28&gt;=$J$5,0,CONTADORES!Q20-CONTADORES!Q19)</f>
        <v>17.699999999982538</v>
      </c>
      <c r="AT28" s="1438">
        <f ca="1">IF(B28&gt;=$J$5,0,(CONTADORES!S20-CONTADORES!S19)+(CONTADORES!AE20-CONTADORES!AE19))</f>
        <v>2.0999999999985448</v>
      </c>
      <c r="AU28" s="1438">
        <f>CONTADORES!I20-CONTADORES!I19</f>
        <v>84</v>
      </c>
      <c r="AV28" s="1438">
        <f>CONTADORES!AT20-CONTADORES!AT19</f>
        <v>62</v>
      </c>
      <c r="AW28" s="1438">
        <f ca="1">IF(B28&gt;=$J$5,0,(CONTADORES!L20-CONTADORES!L19)+(CONTADORES!AL20-CONTADORES!AL19))</f>
        <v>4</v>
      </c>
      <c r="AX28" s="1438">
        <f ca="1">IF(B28&gt;=$J$5,0,(CONTADORES!N20-CONTADORES!N19)+(CONTADORES!AJ20-CONTADORES!AJ19))</f>
        <v>34</v>
      </c>
      <c r="AY28" s="1438">
        <f ca="1">IF(B28&gt;=$J$5,0,(CONTADORES!AH20-CONTADORES!AH19))</f>
        <v>7.0999999999985448</v>
      </c>
      <c r="AZ28" s="1438">
        <f ca="1">IF(B28&gt;=$J$5,0,(CONTADORES!P20-CONTADORES!P19))</f>
        <v>11.899999999994179</v>
      </c>
      <c r="BA28" s="1449">
        <f t="shared" ca="1" si="14"/>
        <v>13.070000000007298</v>
      </c>
      <c r="BB28" s="1447">
        <f ca="1">IF(B28&gt;=$J$5,0,(((CONTADORES!G20-CONTADORES!G19)+(CONTADORES!AP20-CONTADORES!AP19))))-AV28-BC28-BK28-BN28-BQ28-BV28</f>
        <v>7.9829999999998513</v>
      </c>
      <c r="BC28" s="1440">
        <f ca="1">IF(B28&gt;=$J$5,0,(CONTADORES!AW20-CONTADORES!AW19)+(CONTADORES!AY20-CONTADORES!AY19)+(CONTADORES!BD20-CONTADORES!BD19))-BT28</f>
        <v>0.36999999999978395</v>
      </c>
      <c r="BD28" s="1438">
        <f t="shared" ca="1" si="15"/>
        <v>231</v>
      </c>
      <c r="BE28" s="1438">
        <f ca="1">IF($B28&gt;=$J$5,0,CONTADORES!$BE20)</f>
        <v>5822.56</v>
      </c>
      <c r="BF28" s="1438">
        <f ca="1">IF($B28&gt;=$J$5,0,CONTADORES!$BF20)</f>
        <v>37282.989473684203</v>
      </c>
      <c r="BG28" s="1438">
        <f ca="1">IF($B28&gt;=$J$5,0,CONTADORES!$BH20)</f>
        <v>5498.15</v>
      </c>
      <c r="BH28" s="1438">
        <f ca="1">IF(B28&gt;=$J$5,0,(CONTADORES!AQ20-CONTADORES!AQ19))</f>
        <v>6</v>
      </c>
      <c r="BI28" s="1438">
        <f ca="1">IF(C28&gt;=$J$5,0,(CONTADORES!AR20-CONTADORES!AR19))</f>
        <v>0</v>
      </c>
      <c r="BJ28" s="1438">
        <f ca="1">IF(B28&gt;=$J$5,0,CONTADORES!BI20-CONTADORES!BI19)/1000</f>
        <v>4</v>
      </c>
      <c r="BK28" s="1438">
        <f ca="1">IF(B28&gt;=$J$5,0,CONTADORES!BJ20-CONTADORES!BJ19)</f>
        <v>1</v>
      </c>
      <c r="BL28" s="1438">
        <f ca="1">IF(B28&gt;=$J$5,0,CONTADORES!BK20-CONTADORES!BK19)</f>
        <v>24</v>
      </c>
      <c r="BM28" s="1438">
        <f ca="1">IF(B28&gt;=$J$5,0,CONTADORES!BL20-CONTADORES!BL19)/1000</f>
        <v>0</v>
      </c>
      <c r="BN28" s="1438">
        <f ca="1">IF(B28&gt;=$J$5,0,CONTADORES!BM20-CONTADORES!BM19)/1000</f>
        <v>0</v>
      </c>
      <c r="BO28" s="1438">
        <f ca="1">IF(B28&gt;=$J$5,0,CONTADORES!BN20-CONTADORES!BN19)</f>
        <v>0</v>
      </c>
      <c r="BP28" s="1438">
        <f ca="1">IF(B28&gt;=$J$5,0,CONTADORES!BO20-CONTADORES!BO19)/1000</f>
        <v>3.4260000000000002</v>
      </c>
      <c r="BQ28" s="1438">
        <f ca="1">IF(B28&gt;=$J$5,0,CONTADORES!BP20-CONTADORES!BP19)/1000</f>
        <v>4.7E-2</v>
      </c>
      <c r="BR28" s="1438">
        <f ca="1">IF(B28&gt;=$J$5,0,CONTADORES!BQ20-CONTADORES!BQ19)</f>
        <v>24</v>
      </c>
      <c r="BS28" s="1438">
        <f ca="1">IF(B28&gt;=$J$5,0,(CONTADORES!BT20-CONTADORES!BT19)+(CONTADORES!BV20-CONTADORES!BV19))/1000</f>
        <v>1.518</v>
      </c>
      <c r="BT28" s="1438">
        <f ca="1">IF(B28&gt;=$J$5,0,(CONTADORES!BU20-CONTADORES!BU19)+(CONTADORES!BW20-CONTADORES!BW19))/1000</f>
        <v>0.93</v>
      </c>
      <c r="BU28" s="1438">
        <f ca="1">IF(B28&gt;=$J$5,0,CONTADORES!BR20-CONTADORES!BR19)</f>
        <v>7</v>
      </c>
      <c r="BV28" s="1438">
        <f ca="1">IF(B28&gt;=$J$5,0,CONTADORES!BS20-CONTADORES!BS19)</f>
        <v>4.6000000000003638</v>
      </c>
      <c r="BW28" s="1438">
        <f t="shared" ca="1" si="16"/>
        <v>11.086999999999954</v>
      </c>
      <c r="BX28" s="1438">
        <f t="shared" ca="1" si="17"/>
        <v>8.5915000000002895</v>
      </c>
      <c r="BY28" s="1438">
        <f t="shared" ca="1" si="18"/>
        <v>4.0869999999999536</v>
      </c>
      <c r="BZ28" s="1438">
        <f t="shared" ca="1" si="19"/>
        <v>0.99280000000018198</v>
      </c>
      <c r="CA28" s="1438">
        <f t="shared" ca="1" si="20"/>
        <v>4.0869999999999536</v>
      </c>
      <c r="CB28" s="1438">
        <f t="shared" ca="1" si="21"/>
        <v>1.489200000000273</v>
      </c>
      <c r="CC28" s="1438">
        <f t="shared" ca="1" si="22"/>
        <v>2.5108000000001818</v>
      </c>
      <c r="CD28" s="1438">
        <f t="shared" ca="1" si="23"/>
        <v>3.9914999999999257</v>
      </c>
      <c r="CE28" s="1438">
        <f ca="1">IF(B28&gt;=$J$5,0,CONTADORES!BS20-CONTADORES!BS19)</f>
        <v>4.6000000000003638</v>
      </c>
      <c r="CF28" s="1438">
        <f t="shared" ca="1" si="24"/>
        <v>3.9914999999999257</v>
      </c>
      <c r="CG28" s="1438">
        <f t="shared" ca="1" si="25"/>
        <v>0.18499999999989197</v>
      </c>
      <c r="CH28" s="1438">
        <f t="shared" ca="1" si="26"/>
        <v>0.18499999999989197</v>
      </c>
      <c r="CI28" s="1438">
        <f t="shared" ca="1" si="27"/>
        <v>1.1149999999998921</v>
      </c>
      <c r="CJ28" s="1444">
        <f ca="1">IF($B28&gt;=$J$5,0,CONTADORES!$BG20)</f>
        <v>11663.314197592201</v>
      </c>
      <c r="CK28" s="1384">
        <f>CONTADORES!E20</f>
        <v>0</v>
      </c>
      <c r="CL28" s="1384">
        <f>CONTADORES!BX20</f>
        <v>0</v>
      </c>
    </row>
    <row r="29" spans="1:110">
      <c r="B29" s="220">
        <v>44945</v>
      </c>
      <c r="C29" s="204">
        <f t="shared" ca="1" si="0"/>
        <v>146</v>
      </c>
      <c r="D29" s="202">
        <f ca="1">'CALCULO DE GAS'!D22</f>
        <v>3.3346533370786524</v>
      </c>
      <c r="E29" s="202">
        <f ca="1">IF(B29&gt;=$J$5,0,(CONTADORES!$AB21-CONTADORES!$AB20)-$H29)</f>
        <v>24</v>
      </c>
      <c r="F29" s="204">
        <f t="shared" ca="1" si="28"/>
        <v>0</v>
      </c>
      <c r="G29" s="202">
        <f ca="1">IF(B29&gt;=$J$5,0,CONTADORES!$AD21-CONTADORES!$AD20)</f>
        <v>0</v>
      </c>
      <c r="H29" s="1437">
        <f ca="1">IF(G29&gt;0,CONTADORES!$AC21-CONTADORES!$AC20,0)</f>
        <v>0</v>
      </c>
      <c r="I29" s="205">
        <f ca="1">IF(B29&gt;=$J$5,0,CONTADORES!$Z21-CONTADORES!$Z20)</f>
        <v>146</v>
      </c>
      <c r="J29" s="204">
        <f t="shared" ca="1" si="2"/>
        <v>304</v>
      </c>
      <c r="K29" s="202">
        <f ca="1">'CALCULO DE GAS'!E22</f>
        <v>4.5063387303370801</v>
      </c>
      <c r="L29" s="1437">
        <f ca="1">IF(B29&gt;=$J$5,0,(CONTADORES!$W21-CONTADORES!$W20)-$O29)</f>
        <v>24</v>
      </c>
      <c r="M29" s="1437">
        <f t="shared" ca="1" si="3"/>
        <v>0</v>
      </c>
      <c r="N29" s="1437">
        <f ca="1">IF(B29&gt;=$J$5,0,CONTADORES!$Y21-CONTADORES!$Y20)</f>
        <v>0</v>
      </c>
      <c r="O29" s="1437">
        <f ca="1">IF(N29&gt;0,CONTADORES!$X21-CONTADORES!$X20,0)</f>
        <v>0</v>
      </c>
      <c r="P29" s="208">
        <f ca="1">IF(B29&gt;=$J$5,0,CONTADORES!$U21-CONTADORES!$U20)</f>
        <v>304</v>
      </c>
      <c r="Q29" s="208">
        <f ca="1">IF(B29&gt;=$J$5,0,CONTADORES!$B21-CONTADORES!$B20)</f>
        <v>0</v>
      </c>
      <c r="R29" s="202">
        <f t="shared" ca="1" si="4"/>
        <v>0</v>
      </c>
      <c r="S29" s="11">
        <f ca="1">IF(B29&gt;=$J$5,0,CONTADORES!$D21-CONTADORES!$D20)</f>
        <v>0</v>
      </c>
      <c r="T29" s="215">
        <f ca="1">IF(B29&gt;=$J$5,0,CONTADORES!$AZ21-CONTADORES!$AZ20)</f>
        <v>0</v>
      </c>
      <c r="U29" s="202">
        <f t="shared" ca="1" si="5"/>
        <v>0</v>
      </c>
      <c r="V29" s="205">
        <f ca="1">IF(B29&gt;=$J$5,0,CONTADORES!$BB21-CONTADORES!$BB20)</f>
        <v>0</v>
      </c>
      <c r="W29" s="1438">
        <f t="shared" ca="1" si="6"/>
        <v>450</v>
      </c>
      <c r="X29" s="1438">
        <f t="shared" ca="1" si="7"/>
        <v>0</v>
      </c>
      <c r="Y29" s="1439">
        <f t="shared" ca="1" si="8"/>
        <v>450</v>
      </c>
      <c r="Z29" s="1439">
        <f t="shared" ca="1" si="9"/>
        <v>7.8409920674157325</v>
      </c>
      <c r="AA29" s="1439">
        <f t="shared" ca="1" si="10"/>
        <v>0</v>
      </c>
      <c r="AB29" s="1439">
        <f t="shared" ca="1" si="11"/>
        <v>48</v>
      </c>
      <c r="AC29" s="1438">
        <f t="shared" ca="1" si="12"/>
        <v>0</v>
      </c>
      <c r="AD29" s="1438">
        <f ca="1">IF(B29&gt;=$J$5,0,CONTADORES!H21-CONTADORES!H20)</f>
        <v>170.40000000002328</v>
      </c>
      <c r="AE29" s="1438">
        <f ca="1">IF(B29&gt;=$J$5,0,CONTADORES!J21-CONTADORES!J20)</f>
        <v>23.299999999988358</v>
      </c>
      <c r="AF29" s="1438">
        <f ca="1">IF(B29&gt;=$J$5,0,CONTADORES!AS21-CONTADORES!AS20)</f>
        <v>142</v>
      </c>
      <c r="AG29" s="1438">
        <f ca="1">IF(B29&gt;=$J$5,0,CONTADORES!AU21-CONTADORES!AU20)</f>
        <v>23.899999999994179</v>
      </c>
      <c r="AH29" s="1438">
        <f ca="1">IF(B29&gt;=$J$5,0,(CONTADORES!AK21-CONTADORES!AK20)+(CONTADORES!K21-CONTADORES!K20))</f>
        <v>10.099999999998545</v>
      </c>
      <c r="AI29" s="1438">
        <f ca="1">IF(B29&gt;=$J$5,0,(CONTADORES!AI21-CONTADORES!AI20)+(CONTADORES!M21-CONTADORES!M20))</f>
        <v>44.400000000001455</v>
      </c>
      <c r="AJ29" s="1438">
        <f ca="1">IF(B29&gt;=$J$5,0,(CONTADORES!AG21-CONTADORES!AG20))</f>
        <v>9.2000000000116415</v>
      </c>
      <c r="AK29" s="1438">
        <f ca="1">IF(B29&gt;=$J$5,0,(CONTADORES!O21-CONTADORES!O20))</f>
        <v>14.899999999994179</v>
      </c>
      <c r="AL29" s="1443">
        <f t="shared" ca="1" si="13"/>
        <v>31.199999999971624</v>
      </c>
      <c r="AM29" s="1438">
        <f ca="1">IF(B29&gt;=$J$5,0,(((CONTADORES!F21-CONTADORES!F20)+(CONTADORES!AO21-CONTADORES!AO20))))-BJ29-AF29-AN29-BM29-BP29-BU29-BS29</f>
        <v>8.8319999999995531</v>
      </c>
      <c r="AN29" s="1438">
        <f ca="1">IF(B29&gt;=$J$5,0,(CONTADORES!AV21-CONTADORES!AV20)+(CONTADORES!AX21-CONTADORES!AX20)+(CONTADORES!BC21-CONTADORES!BC20))-BS29</f>
        <v>2.6119999999999091</v>
      </c>
      <c r="AO29" s="1440">
        <f ca="1">IF(B29&gt;=$J$5,0,(CONTADORES!AA21-CONTADORES!AA20))</f>
        <v>74</v>
      </c>
      <c r="AP29" s="1440">
        <f ca="1">IF(B29&gt;=$J$5,0,(CONTADORES!V21-CONTADORES!V20))</f>
        <v>158</v>
      </c>
      <c r="AQ29" s="1445">
        <f ca="1">IF(B29&gt;=$J$5,0,(CONTADORES!C21-CONTADORES!C20))</f>
        <v>0</v>
      </c>
      <c r="AR29" s="1445">
        <f ca="1">IF(B29&gt;=$J$5,0,(CONTADORES!BA21-CONTADORES!BA20))</f>
        <v>0</v>
      </c>
      <c r="AS29" s="1438">
        <f ca="1">IF(B29&gt;=$J$5,0,CONTADORES!Q21-CONTADORES!Q20)</f>
        <v>17.800000000017462</v>
      </c>
      <c r="AT29" s="1438">
        <f ca="1">IF(B29&gt;=$J$5,0,(CONTADORES!S21-CONTADORES!S20)+(CONTADORES!AE21-CONTADORES!AE20))</f>
        <v>2.0999999999985448</v>
      </c>
      <c r="AU29" s="1438">
        <f>CONTADORES!I21-CONTADORES!I20</f>
        <v>84</v>
      </c>
      <c r="AV29" s="1438">
        <f>CONTADORES!AT21-CONTADORES!AT20</f>
        <v>61</v>
      </c>
      <c r="AW29" s="1438">
        <f ca="1">IF(B29&gt;=$J$5,0,(CONTADORES!L21-CONTADORES!L20)+(CONTADORES!AL21-CONTADORES!AL20))</f>
        <v>4</v>
      </c>
      <c r="AX29" s="1438">
        <f ca="1">IF(B29&gt;=$J$5,0,(CONTADORES!N21-CONTADORES!N20)+(CONTADORES!AJ21-CONTADORES!AJ20))</f>
        <v>34.900000000001455</v>
      </c>
      <c r="AY29" s="1438">
        <f ca="1">IF(B29&gt;=$J$5,0,(CONTADORES!AH21-CONTADORES!AH20))</f>
        <v>7.2999999999956344</v>
      </c>
      <c r="AZ29" s="1438">
        <f ca="1">IF(B29&gt;=$J$5,0,(CONTADORES!P21-CONTADORES!P20))</f>
        <v>12.30000000000291</v>
      </c>
      <c r="BA29" s="1449">
        <f t="shared" ca="1" si="14"/>
        <v>11.48799999999963</v>
      </c>
      <c r="BB29" s="1447">
        <f ca="1">IF(B29&gt;=$J$5,0,(((CONTADORES!G21-CONTADORES!G20)+(CONTADORES!AP21-CONTADORES!AP20))))-AV29-BC29-BK29-BN29-BQ29-BV29</f>
        <v>9.8340000000009109</v>
      </c>
      <c r="BC29" s="1440">
        <f ca="1">IF(B29&gt;=$J$5,0,(CONTADORES!AW21-CONTADORES!AW20)+(CONTADORES!AY21-CONTADORES!AY20)+(CONTADORES!BD21-CONTADORES!BD20))-BT29</f>
        <v>0.38800000000018187</v>
      </c>
      <c r="BD29" s="1438">
        <f t="shared" ca="1" si="15"/>
        <v>232</v>
      </c>
      <c r="BE29" s="1438">
        <f ca="1">IF($B29&gt;=$J$5,0,CONTADORES!$BE21)</f>
        <v>7436</v>
      </c>
      <c r="BF29" s="1438">
        <f ca="1">IF($B29&gt;=$J$5,0,CONTADORES!$BF21)</f>
        <v>33015</v>
      </c>
      <c r="BG29" s="1438">
        <f ca="1">IF($B29&gt;=$J$5,0,CONTADORES!$BH21)</f>
        <v>6443.38</v>
      </c>
      <c r="BH29" s="1438">
        <f ca="1">IF(B29&gt;=$J$5,0,(CONTADORES!AQ21-CONTADORES!AQ20))</f>
        <v>5</v>
      </c>
      <c r="BI29" s="1438">
        <f ca="1">IF(C29&gt;=$J$5,0,(CONTADORES!AR21-CONTADORES!AR20))</f>
        <v>0</v>
      </c>
      <c r="BJ29" s="1438">
        <f ca="1">IF(B29&gt;=$J$5,0,CONTADORES!BI21-CONTADORES!BI20)/1000</f>
        <v>4.2480000000000002</v>
      </c>
      <c r="BK29" s="1438">
        <f ca="1">IF(B29&gt;=$J$5,0,CONTADORES!BJ21-CONTADORES!BJ20)</f>
        <v>1</v>
      </c>
      <c r="BL29" s="1438">
        <f ca="1">IF(B29&gt;=$J$5,0,CONTADORES!BK21-CONTADORES!BK20)</f>
        <v>24</v>
      </c>
      <c r="BM29" s="1438">
        <f ca="1">IF(B29&gt;=$J$5,0,CONTADORES!BL21-CONTADORES!BL20)/1000</f>
        <v>0</v>
      </c>
      <c r="BN29" s="1438">
        <f ca="1">IF(B29&gt;=$J$5,0,CONTADORES!BM21-CONTADORES!BM20)/1000</f>
        <v>0</v>
      </c>
      <c r="BO29" s="1438">
        <f ca="1">IF(B29&gt;=$J$5,0,CONTADORES!BN21-CONTADORES!BN20)</f>
        <v>0</v>
      </c>
      <c r="BP29" s="1438">
        <f ca="1">IF(B29&gt;=$J$5,0,CONTADORES!BO21-CONTADORES!BO20)/1000</f>
        <v>3.42</v>
      </c>
      <c r="BQ29" s="1438">
        <f ca="1">IF(B29&gt;=$J$5,0,CONTADORES!BP21-CONTADORES!BP20)/1000</f>
        <v>7.8E-2</v>
      </c>
      <c r="BR29" s="1438">
        <f ca="1">IF(B29&gt;=$J$5,0,CONTADORES!BQ21-CONTADORES!BQ20)</f>
        <v>24</v>
      </c>
      <c r="BS29" s="1438">
        <f ca="1">IF(B29&gt;=$J$5,0,(CONTADORES!BT21-CONTADORES!BT20)+(CONTADORES!BV21-CONTADORES!BV20))/1000</f>
        <v>1.488</v>
      </c>
      <c r="BT29" s="1438">
        <f ca="1">IF(B29&gt;=$J$5,0,(CONTADORES!BU21-CONTADORES!BU20)+(CONTADORES!BW21-CONTADORES!BW20))/1000</f>
        <v>0.91200000000000003</v>
      </c>
      <c r="BU29" s="1438">
        <f ca="1">IF(B29&gt;=$J$5,0,CONTADORES!BR21-CONTADORES!BR20)</f>
        <v>7.1999999999998181</v>
      </c>
      <c r="BV29" s="1438">
        <f ca="1">IF(B29&gt;=$J$5,0,CONTADORES!BS21-CONTADORES!BS20)</f>
        <v>4.7999999999992724</v>
      </c>
      <c r="BW29" s="1438">
        <f t="shared" ca="1" si="16"/>
        <v>11.615999999999595</v>
      </c>
      <c r="BX29" s="1438">
        <f t="shared" ca="1" si="17"/>
        <v>9.7169999999997287</v>
      </c>
      <c r="BY29" s="1438">
        <f t="shared" ca="1" si="18"/>
        <v>4.4159999999997765</v>
      </c>
      <c r="BZ29" s="1438">
        <f t="shared" ca="1" si="19"/>
        <v>1.0447999999999638</v>
      </c>
      <c r="CA29" s="1438">
        <f t="shared" ca="1" si="20"/>
        <v>4.4159999999997765</v>
      </c>
      <c r="CB29" s="1438">
        <f t="shared" ca="1" si="21"/>
        <v>1.5671999999999453</v>
      </c>
      <c r="CC29" s="1438">
        <f t="shared" ca="1" si="22"/>
        <v>2.5327999999999635</v>
      </c>
      <c r="CD29" s="1438">
        <f t="shared" ca="1" si="23"/>
        <v>4.9170000000004555</v>
      </c>
      <c r="CE29" s="1438">
        <f ca="1">IF(B29&gt;=$J$5,0,CONTADORES!BS21-CONTADORES!BS20)</f>
        <v>4.7999999999992724</v>
      </c>
      <c r="CF29" s="1438">
        <f t="shared" ca="1" si="24"/>
        <v>4.9170000000004555</v>
      </c>
      <c r="CG29" s="1438">
        <f t="shared" ca="1" si="25"/>
        <v>0.19400000000009093</v>
      </c>
      <c r="CH29" s="1438">
        <f t="shared" ca="1" si="26"/>
        <v>0.19400000000009093</v>
      </c>
      <c r="CI29" s="1438">
        <f t="shared" ca="1" si="27"/>
        <v>1.1060000000000909</v>
      </c>
      <c r="CJ29" s="1444">
        <f ca="1">IF($B29&gt;=$J$5,0,CONTADORES!$BG21)</f>
        <v>10337</v>
      </c>
      <c r="CK29" s="1384">
        <f>CONTADORES!E21</f>
        <v>0</v>
      </c>
      <c r="CL29" s="1384">
        <f>CONTADORES!BX21</f>
        <v>0</v>
      </c>
    </row>
    <row r="30" spans="1:110">
      <c r="B30" s="220">
        <v>44946</v>
      </c>
      <c r="C30" s="204">
        <f t="shared" ca="1" si="0"/>
        <v>152</v>
      </c>
      <c r="D30" s="202">
        <f ca="1">'CALCULO DE GAS'!D23</f>
        <v>3.3791477191011241</v>
      </c>
      <c r="E30" s="202">
        <f ca="1">IF(B30&gt;=$J$5,0,(CONTADORES!$AB22-CONTADORES!$AB21)-$H30)</f>
        <v>24</v>
      </c>
      <c r="F30" s="204">
        <f t="shared" ca="1" si="28"/>
        <v>0</v>
      </c>
      <c r="G30" s="202">
        <f ca="1">IF(B30&gt;=$J$5,0,CONTADORES!$AD22-CONTADORES!$AD21)</f>
        <v>0</v>
      </c>
      <c r="H30" s="1437">
        <f ca="1">IF(G30&gt;0,CONTADORES!$AC22-CONTADORES!$AC21,0)</f>
        <v>0</v>
      </c>
      <c r="I30" s="205">
        <f ca="1">IF(B30&gt;=$J$5,0,CONTADORES!$Z22-CONTADORES!$Z21)</f>
        <v>152</v>
      </c>
      <c r="J30" s="204">
        <f t="shared" ca="1" si="2"/>
        <v>300</v>
      </c>
      <c r="K30" s="202">
        <f ca="1">'CALCULO DE GAS'!E23</f>
        <v>4.4766758089887659</v>
      </c>
      <c r="L30" s="1437">
        <f ca="1">IF(B30&gt;=$J$5,0,(CONTADORES!$W22-CONTADORES!$W21)-$O30)</f>
        <v>24</v>
      </c>
      <c r="M30" s="1437">
        <f t="shared" ca="1" si="3"/>
        <v>0</v>
      </c>
      <c r="N30" s="1437">
        <f ca="1">IF(B30&gt;=$J$5,0,CONTADORES!$Y22-CONTADORES!$Y21)</f>
        <v>0</v>
      </c>
      <c r="O30" s="1437">
        <f ca="1">IF(N30&gt;0,CONTADORES!$X22-CONTADORES!$X21,0)</f>
        <v>0</v>
      </c>
      <c r="P30" s="208">
        <f ca="1">IF(B30&gt;=$J$5,0,CONTADORES!$U22-CONTADORES!$U21)</f>
        <v>300</v>
      </c>
      <c r="Q30" s="208">
        <f ca="1">IF(B30&gt;=$J$5,0,CONTADORES!$B22-CONTADORES!$B21)</f>
        <v>0</v>
      </c>
      <c r="R30" s="202">
        <f t="shared" ca="1" si="4"/>
        <v>0</v>
      </c>
      <c r="S30" s="11">
        <f ca="1">IF(B30&gt;=$J$5,0,CONTADORES!$D22-CONTADORES!$D21)</f>
        <v>0</v>
      </c>
      <c r="T30" s="215">
        <f ca="1">IF(B30&gt;=$J$5,0,CONTADORES!$AZ22-CONTADORES!$AZ21)</f>
        <v>0</v>
      </c>
      <c r="U30" s="202">
        <f t="shared" ca="1" si="5"/>
        <v>0</v>
      </c>
      <c r="V30" s="205">
        <f ca="1">IF(B30&gt;=$J$5,0,CONTADORES!$BB22-CONTADORES!$BB21)</f>
        <v>0</v>
      </c>
      <c r="W30" s="1438">
        <f t="shared" ca="1" si="6"/>
        <v>452</v>
      </c>
      <c r="X30" s="1438">
        <f t="shared" ca="1" si="7"/>
        <v>0</v>
      </c>
      <c r="Y30" s="1439">
        <f t="shared" ca="1" si="8"/>
        <v>452</v>
      </c>
      <c r="Z30" s="1439">
        <f t="shared" ca="1" si="9"/>
        <v>7.85582352808989</v>
      </c>
      <c r="AA30" s="1439">
        <f t="shared" ca="1" si="10"/>
        <v>0</v>
      </c>
      <c r="AB30" s="1439">
        <f t="shared" ca="1" si="11"/>
        <v>48</v>
      </c>
      <c r="AC30" s="1438">
        <f t="shared" ca="1" si="12"/>
        <v>0</v>
      </c>
      <c r="AD30" s="1438">
        <f ca="1">IF(B30&gt;=$J$5,0,CONTADORES!H22-CONTADORES!H21)</f>
        <v>168.59999999997672</v>
      </c>
      <c r="AE30" s="1438">
        <f ca="1">IF(B30&gt;=$J$5,0,CONTADORES!J22-CONTADORES!J21)</f>
        <v>19</v>
      </c>
      <c r="AF30" s="1438">
        <f ca="1">IF(B30&gt;=$J$5,0,CONTADORES!AS22-CONTADORES!AS21)</f>
        <v>141</v>
      </c>
      <c r="AG30" s="1438">
        <f ca="1">IF(B30&gt;=$J$5,0,CONTADORES!AU22-CONTADORES!AU21)</f>
        <v>24</v>
      </c>
      <c r="AH30" s="1438">
        <f ca="1">IF(B30&gt;=$J$5,0,(CONTADORES!AK22-CONTADORES!AK21)+(CONTADORES!K22-CONTADORES!K21))</f>
        <v>11.5</v>
      </c>
      <c r="AI30" s="1438">
        <f ca="1">IF(B30&gt;=$J$5,0,(CONTADORES!AI22-CONTADORES!AI21)+(CONTADORES!M22-CONTADORES!M21))</f>
        <v>44.099999999998545</v>
      </c>
      <c r="AJ30" s="1438">
        <f ca="1">IF(B30&gt;=$J$5,0,(CONTADORES!AG22-CONTADORES!AG21))</f>
        <v>8.5999999999912689</v>
      </c>
      <c r="AK30" s="1438">
        <f ca="1">IF(B30&gt;=$J$5,0,(CONTADORES!O22-CONTADORES!O21))</f>
        <v>15.300000000017462</v>
      </c>
      <c r="AL30" s="1443">
        <f t="shared" ca="1" si="13"/>
        <v>33.900000000016007</v>
      </c>
      <c r="AM30" s="1438">
        <f ca="1">IF(B30&gt;=$J$5,0,(((CONTADORES!F22-CONTADORES!F21)+(CONTADORES!AO22-CONTADORES!AO21))))-BJ30-AF30-AN30-BM30-BP30-BU30-BS30</f>
        <v>15</v>
      </c>
      <c r="AN30" s="1438">
        <f ca="1">IF(B30&gt;=$J$5,0,(CONTADORES!AV22-CONTADORES!AV21)+(CONTADORES!AX22-CONTADORES!AX21)+(CONTADORES!BC22-CONTADORES!BC21))-BS30</f>
        <v>2.508</v>
      </c>
      <c r="AO30" s="1440">
        <f ca="1">IF(B30&gt;=$J$5,0,(CONTADORES!AA22-CONTADORES!AA21))</f>
        <v>75</v>
      </c>
      <c r="AP30" s="1440">
        <f ca="1">IF(B30&gt;=$J$5,0,(CONTADORES!V22-CONTADORES!V21))</f>
        <v>160</v>
      </c>
      <c r="AQ30" s="1445">
        <f ca="1">IF(B30&gt;=$J$5,0,(CONTADORES!C22-CONTADORES!C21))</f>
        <v>0</v>
      </c>
      <c r="AR30" s="1445">
        <f ca="1">IF(B30&gt;=$J$5,0,(CONTADORES!BA22-CONTADORES!BA21))</f>
        <v>0</v>
      </c>
      <c r="AS30" s="1438">
        <f ca="1">IF(B30&gt;=$J$5,0,CONTADORES!Q22-CONTADORES!Q21)</f>
        <v>17.5</v>
      </c>
      <c r="AT30" s="1438">
        <f ca="1">IF(B30&gt;=$J$5,0,(CONTADORES!S22-CONTADORES!S21)+(CONTADORES!AE22-CONTADORES!AE21))</f>
        <v>2.1000000000058208</v>
      </c>
      <c r="AU30" s="1438">
        <f>CONTADORES!I22-CONTADORES!I21</f>
        <v>85</v>
      </c>
      <c r="AV30" s="1438">
        <f>CONTADORES!AT22-CONTADORES!AT21</f>
        <v>62</v>
      </c>
      <c r="AW30" s="1438">
        <f ca="1">IF(B30&gt;=$J$5,0,(CONTADORES!L22-CONTADORES!L21)+(CONTADORES!AL22-CONTADORES!AL21))</f>
        <v>4.2000000000007276</v>
      </c>
      <c r="AX30" s="1438">
        <f ca="1">IF(B30&gt;=$J$5,0,(CONTADORES!N22-CONTADORES!N21)+(CONTADORES!AJ22-CONTADORES!AJ21))</f>
        <v>34.799999999995634</v>
      </c>
      <c r="AY30" s="1438">
        <f ca="1">IF(B30&gt;=$J$5,0,(CONTADORES!AH22-CONTADORES!AH21))</f>
        <v>6.8000000000029104</v>
      </c>
      <c r="AZ30" s="1438">
        <f ca="1">IF(B30&gt;=$J$5,0,(CONTADORES!P22-CONTADORES!P21))</f>
        <v>12.100000000005821</v>
      </c>
      <c r="BA30" s="1449">
        <f t="shared" ca="1" si="14"/>
        <v>13.087999999995446</v>
      </c>
      <c r="BB30" s="1447">
        <f ca="1">IF(B30&gt;=$J$5,0,(((CONTADORES!G22-CONTADORES!G21)+(CONTADORES!AP22-CONTADORES!AP21))))-AV30-BC30-BK30-BN30-BQ30-BV30</f>
        <v>10.240999999999637</v>
      </c>
      <c r="BC30" s="1440">
        <f ca="1">IF(B30&gt;=$J$5,0,(CONTADORES!AW22-CONTADORES!AW21)+(CONTADORES!AY22-CONTADORES!AY21)+(CONTADORES!BD22-CONTADORES!BD21))-BT30</f>
        <v>0.28799999999981807</v>
      </c>
      <c r="BD30" s="1438">
        <f t="shared" ca="1" si="15"/>
        <v>235</v>
      </c>
      <c r="BE30" s="1438">
        <f ca="1">IF($B30&gt;=$J$5,0,CONTADORES!$BE22)</f>
        <v>6645.16</v>
      </c>
      <c r="BF30" s="1438">
        <f ca="1">IF($B30&gt;=$J$5,0,CONTADORES!$BF22)</f>
        <v>37220.215789473703</v>
      </c>
      <c r="BG30" s="1438">
        <f ca="1">IF($B30&gt;=$J$5,0,CONTADORES!$BH22)</f>
        <v>5917.69</v>
      </c>
      <c r="BH30" s="1438">
        <f ca="1">IF(B30&gt;=$J$5,0,(CONTADORES!AQ22-CONTADORES!AQ21))</f>
        <v>7</v>
      </c>
      <c r="BI30" s="1438">
        <f ca="1">IF(C30&gt;=$J$5,0,(CONTADORES!AR22-CONTADORES!AR21))</f>
        <v>0</v>
      </c>
      <c r="BJ30" s="1438">
        <f ca="1">IF(B30&gt;=$J$5,0,CONTADORES!BI22-CONTADORES!BI21)/1000</f>
        <v>2.4E-2</v>
      </c>
      <c r="BK30" s="1438">
        <f ca="1">IF(B30&gt;=$J$5,0,CONTADORES!BJ22-CONTADORES!BJ21)</f>
        <v>1</v>
      </c>
      <c r="BL30" s="1438">
        <f ca="1">IF(B30&gt;=$J$5,0,CONTADORES!BK22-CONTADORES!BK21)</f>
        <v>24</v>
      </c>
      <c r="BM30" s="1438">
        <f ca="1">IF(B30&gt;=$J$5,0,CONTADORES!BL22-CONTADORES!BL21)/1000</f>
        <v>0</v>
      </c>
      <c r="BN30" s="1438">
        <f ca="1">IF(B30&gt;=$J$5,0,CONTADORES!BM22-CONTADORES!BM21)/1000</f>
        <v>0</v>
      </c>
      <c r="BO30" s="1438">
        <f ca="1">IF(B30&gt;=$J$5,0,CONTADORES!BN22-CONTADORES!BN21)</f>
        <v>0</v>
      </c>
      <c r="BP30" s="1438">
        <f ca="1">IF(B30&gt;=$J$5,0,CONTADORES!BO22-CONTADORES!BO21)/1000</f>
        <v>3.476</v>
      </c>
      <c r="BQ30" s="1438">
        <f ca="1">IF(B30&gt;=$J$5,0,CONTADORES!BP22-CONTADORES!BP21)/1000</f>
        <v>7.0999999999999994E-2</v>
      </c>
      <c r="BR30" s="1438">
        <f ca="1">IF(B30&gt;=$J$5,0,CONTADORES!BQ22-CONTADORES!BQ21)</f>
        <v>24</v>
      </c>
      <c r="BS30" s="1438">
        <f ca="1">IF(B30&gt;=$J$5,0,(CONTADORES!BT22-CONTADORES!BT21)+(CONTADORES!BV22-CONTADORES!BV21))/1000</f>
        <v>1.492</v>
      </c>
      <c r="BT30" s="1438">
        <f ca="1">IF(B30&gt;=$J$5,0,(CONTADORES!BU22-CONTADORES!BU21)+(CONTADORES!BW22-CONTADORES!BW21))/1000</f>
        <v>0.91200000000000003</v>
      </c>
      <c r="BU30" s="1438">
        <f ca="1">IF(B30&gt;=$J$5,0,CONTADORES!BR22-CONTADORES!BR21)</f>
        <v>6.5</v>
      </c>
      <c r="BV30" s="1438">
        <f ca="1">IF(B30&gt;=$J$5,0,CONTADORES!BS22-CONTADORES!BS21)</f>
        <v>4.5</v>
      </c>
      <c r="BW30" s="1438">
        <f t="shared" ca="1" si="16"/>
        <v>14</v>
      </c>
      <c r="BX30" s="1438">
        <f t="shared" ca="1" si="17"/>
        <v>9.6204999999998186</v>
      </c>
      <c r="BY30" s="1438">
        <f t="shared" ca="1" si="18"/>
        <v>7.5</v>
      </c>
      <c r="BZ30" s="1438">
        <f t="shared" ca="1" si="19"/>
        <v>1.0032000000000001</v>
      </c>
      <c r="CA30" s="1438">
        <f t="shared" ca="1" si="20"/>
        <v>7.5</v>
      </c>
      <c r="CB30" s="1438">
        <f t="shared" ca="1" si="21"/>
        <v>1.5047999999999999</v>
      </c>
      <c r="CC30" s="1438">
        <f t="shared" ca="1" si="22"/>
        <v>2.4952000000000001</v>
      </c>
      <c r="CD30" s="1438">
        <f t="shared" ca="1" si="23"/>
        <v>5.1204999999998186</v>
      </c>
      <c r="CE30" s="1438">
        <f ca="1">IF(B30&gt;=$J$5,0,CONTADORES!BS22-CONTADORES!BS21)</f>
        <v>4.5</v>
      </c>
      <c r="CF30" s="1438">
        <f t="shared" ca="1" si="24"/>
        <v>5.1204999999998186</v>
      </c>
      <c r="CG30" s="1438">
        <f t="shared" ca="1" si="25"/>
        <v>0.14399999999990903</v>
      </c>
      <c r="CH30" s="1438">
        <f t="shared" ca="1" si="26"/>
        <v>0.14399999999990903</v>
      </c>
      <c r="CI30" s="1438">
        <f t="shared" ca="1" si="27"/>
        <v>1.055999999999909</v>
      </c>
      <c r="CJ30" s="1444">
        <f ca="1">IF($B30&gt;=$J$5,0,CONTADORES!$BG22)</f>
        <v>10085.915709143501</v>
      </c>
      <c r="CK30" s="1384">
        <f>CONTADORES!E22</f>
        <v>0</v>
      </c>
      <c r="CL30" s="1384">
        <f>CONTADORES!BX22</f>
        <v>0</v>
      </c>
    </row>
    <row r="31" spans="1:110">
      <c r="B31" s="220">
        <v>44947</v>
      </c>
      <c r="C31" s="204">
        <f t="shared" ca="1" si="0"/>
        <v>150</v>
      </c>
      <c r="D31" s="202">
        <f ca="1">'CALCULO DE GAS'!D24</f>
        <v>3.3643162584269666</v>
      </c>
      <c r="E31" s="202">
        <f ca="1">IF(B31&gt;=$J$5,0,(CONTADORES!$AB23-CONTADORES!$AB22)-$H31)</f>
        <v>24</v>
      </c>
      <c r="F31" s="204">
        <f t="shared" ca="1" si="28"/>
        <v>0</v>
      </c>
      <c r="G31" s="202">
        <f ca="1">IF(B31&gt;=$J$5,0,CONTADORES!$AD23-CONTADORES!$AD22)</f>
        <v>0</v>
      </c>
      <c r="H31" s="1437">
        <f ca="1">IF(G31&gt;0,CONTADORES!$AC23-CONTADORES!$AC22,0)</f>
        <v>0</v>
      </c>
      <c r="I31" s="205">
        <f ca="1">IF(B31&gt;=$J$5,0,CONTADORES!$Z23-CONTADORES!$Z22)</f>
        <v>150</v>
      </c>
      <c r="J31" s="204">
        <f t="shared" ca="1" si="2"/>
        <v>300</v>
      </c>
      <c r="K31" s="202">
        <f ca="1">'CALCULO DE GAS'!E24</f>
        <v>4.4766758089887659</v>
      </c>
      <c r="L31" s="1437">
        <f ca="1">IF(B31&gt;=$J$5,0,(CONTADORES!$W23-CONTADORES!$W22)-$O31)</f>
        <v>24</v>
      </c>
      <c r="M31" s="1437">
        <f t="shared" ca="1" si="3"/>
        <v>0</v>
      </c>
      <c r="N31" s="1437">
        <f ca="1">IF(B31&gt;=$J$5,0,CONTADORES!$Y23-CONTADORES!$Y22)</f>
        <v>0</v>
      </c>
      <c r="O31" s="1437">
        <f ca="1">IF(N31&gt;0,CONTADORES!$X23-CONTADORES!$X22,0)</f>
        <v>0</v>
      </c>
      <c r="P31" s="208">
        <f ca="1">IF(B31&gt;=$J$5,0,CONTADORES!$U23-CONTADORES!$U22)</f>
        <v>300</v>
      </c>
      <c r="Q31" s="208">
        <f ca="1">IF(B31&gt;=$J$5,0,CONTADORES!$B23-CONTADORES!$B22)</f>
        <v>0</v>
      </c>
      <c r="R31" s="202">
        <f t="shared" ca="1" si="4"/>
        <v>0</v>
      </c>
      <c r="S31" s="11">
        <f ca="1">IF(B31&gt;=$J$5,0,CONTADORES!$D23-CONTADORES!$D22)</f>
        <v>0</v>
      </c>
      <c r="T31" s="215">
        <f ca="1">IF(B31&gt;=$J$5,0,CONTADORES!$AZ23-CONTADORES!$AZ22)</f>
        <v>0</v>
      </c>
      <c r="U31" s="202">
        <f t="shared" ca="1" si="5"/>
        <v>0</v>
      </c>
      <c r="V31" s="205">
        <f ca="1">IF(B31&gt;=$J$5,0,CONTADORES!$BB23-CONTADORES!$BB22)</f>
        <v>0</v>
      </c>
      <c r="W31" s="1438">
        <f t="shared" ca="1" si="6"/>
        <v>450</v>
      </c>
      <c r="X31" s="1438">
        <f t="shared" ca="1" si="7"/>
        <v>0</v>
      </c>
      <c r="Y31" s="1439">
        <f t="shared" ca="1" si="8"/>
        <v>450</v>
      </c>
      <c r="Z31" s="1439">
        <f t="shared" ca="1" si="9"/>
        <v>7.8409920674157325</v>
      </c>
      <c r="AA31" s="1439">
        <f t="shared" ca="1" si="10"/>
        <v>0</v>
      </c>
      <c r="AB31" s="1439">
        <f t="shared" ca="1" si="11"/>
        <v>48</v>
      </c>
      <c r="AC31" s="1438">
        <f t="shared" ca="1" si="12"/>
        <v>0</v>
      </c>
      <c r="AD31" s="1438">
        <f ca="1">IF(B31&gt;=$J$5,0,CONTADORES!H23-CONTADORES!H22)</f>
        <v>170</v>
      </c>
      <c r="AE31" s="1438">
        <f ca="1">IF(B31&gt;=$J$5,0,CONTADORES!J23-CONTADORES!J22)</f>
        <v>24</v>
      </c>
      <c r="AF31" s="1438">
        <f ca="1">IF(B31&gt;=$J$5,0,CONTADORES!AS23-CONTADORES!AS22)</f>
        <v>143</v>
      </c>
      <c r="AG31" s="1438">
        <f ca="1">IF(B31&gt;=$J$5,0,CONTADORES!AU23-CONTADORES!AU22)</f>
        <v>24</v>
      </c>
      <c r="AH31" s="1438">
        <f ca="1">IF(B31&gt;=$J$5,0,(CONTADORES!AK23-CONTADORES!AK22)+(CONTADORES!K23-CONTADORES!K22))</f>
        <v>9.8000000000029104</v>
      </c>
      <c r="AI31" s="1438">
        <f ca="1">IF(B31&gt;=$J$5,0,(CONTADORES!AI23-CONTADORES!AI22)+(CONTADORES!M23-CONTADORES!M22))</f>
        <v>42.899999999994179</v>
      </c>
      <c r="AJ31" s="1438">
        <f ca="1">IF(B31&gt;=$J$5,0,(CONTADORES!AG23-CONTADORES!AG22))</f>
        <v>9.1000000000058208</v>
      </c>
      <c r="AK31" s="1438">
        <f ca="1">IF(B31&gt;=$J$5,0,(CONTADORES!O23-CONTADORES!O22))</f>
        <v>14.899999999994179</v>
      </c>
      <c r="AL31" s="1443">
        <f t="shared" ca="1" si="13"/>
        <v>33.100000000002183</v>
      </c>
      <c r="AM31" s="1438">
        <f ca="1">IF(B31&gt;=$J$5,0,(((CONTADORES!F23-CONTADORES!F22)+(CONTADORES!AO23-CONTADORES!AO22))))-BJ31-AF31-AN31-BM31-BP31-BU31-BS31</f>
        <v>9.8505000000009897</v>
      </c>
      <c r="AN31" s="1438">
        <f ca="1">IF(B31&gt;=$J$5,0,(CONTADORES!AV23-CONTADORES!AV22)+(CONTADORES!AX23-CONTADORES!AX22)+(CONTADORES!BC23-CONTADORES!BC22))-BS31</f>
        <v>2.6099999999999088</v>
      </c>
      <c r="AO31" s="1440">
        <f ca="1">IF(B31&gt;=$J$5,0,(CONTADORES!AA23-CONTADORES!AA22))</f>
        <v>70</v>
      </c>
      <c r="AP31" s="1440">
        <f ca="1">IF(B31&gt;=$J$5,0,(CONTADORES!V23-CONTADORES!V22))</f>
        <v>158</v>
      </c>
      <c r="AQ31" s="1445">
        <f ca="1">IF(B31&gt;=$J$5,0,(CONTADORES!C23-CONTADORES!C22))</f>
        <v>0</v>
      </c>
      <c r="AR31" s="1445">
        <f ca="1">IF(B31&gt;=$J$5,0,(CONTADORES!BA23-CONTADORES!BA22))</f>
        <v>0</v>
      </c>
      <c r="AS31" s="1438">
        <f ca="1">IF(B31&gt;=$J$5,0,CONTADORES!Q23-CONTADORES!Q22)</f>
        <v>17</v>
      </c>
      <c r="AT31" s="1438">
        <f ca="1">IF(B31&gt;=$J$5,0,(CONTADORES!S23-CONTADORES!S22)+(CONTADORES!AE23-CONTADORES!AE22))</f>
        <v>2.1999999999970896</v>
      </c>
      <c r="AU31" s="1438">
        <f>CONTADORES!I23-CONTADORES!I22</f>
        <v>85</v>
      </c>
      <c r="AV31" s="1438">
        <f>CONTADORES!AT23-CONTADORES!AT22</f>
        <v>62</v>
      </c>
      <c r="AW31" s="1438">
        <f ca="1">IF(B31&gt;=$J$5,0,(CONTADORES!L23-CONTADORES!L22)+(CONTADORES!AL23-CONTADORES!AL22))</f>
        <v>3.8999999999978172</v>
      </c>
      <c r="AX31" s="1438">
        <f ca="1">IF(B31&gt;=$J$5,0,(CONTADORES!N23-CONTADORES!N22)+(CONTADORES!AJ23-CONTADORES!AJ22))</f>
        <v>34.100000000005821</v>
      </c>
      <c r="AY31" s="1438">
        <f ca="1">IF(B31&gt;=$J$5,0,(CONTADORES!AH23-CONTADORES!AH22))</f>
        <v>7.1999999999970896</v>
      </c>
      <c r="AZ31" s="1438">
        <f ca="1">IF(B31&gt;=$J$5,0,(CONTADORES!P23-CONTADORES!P22))</f>
        <v>12</v>
      </c>
      <c r="BA31" s="1449">
        <f t="shared" ca="1" si="14"/>
        <v>12.087999999999113</v>
      </c>
      <c r="BB31" s="1447">
        <f ca="1">IF(B31&gt;=$J$5,0,(((CONTADORES!G23-CONTADORES!G22)+(CONTADORES!AP23-CONTADORES!AP22))))-AV31-BC31-BK31-BN31-BQ31-BV31</f>
        <v>4.7819999999997069</v>
      </c>
      <c r="BC31" s="1440">
        <f ca="1">IF(B31&gt;=$J$5,0,(CONTADORES!AW23-CONTADORES!AW22)+(CONTADORES!AY23-CONTADORES!AY22)+(CONTADORES!BD23-CONTADORES!BD22))-BT31</f>
        <v>0.38800000000029555</v>
      </c>
      <c r="BD31" s="1438">
        <f t="shared" ca="1" si="15"/>
        <v>228</v>
      </c>
      <c r="BE31" s="1438">
        <f ca="1">IF($B31&gt;=$J$5,0,CONTADORES!$BE23)</f>
        <v>6541.87</v>
      </c>
      <c r="BF31" s="1438">
        <f ca="1">IF($B31&gt;=$J$5,0,CONTADORES!$BF23)</f>
        <v>37522.994736842098</v>
      </c>
      <c r="BG31" s="1438">
        <f ca="1">IF($B31&gt;=$J$5,0,CONTADORES!$BH23)</f>
        <v>6628.3</v>
      </c>
      <c r="BH31" s="1438">
        <f ca="1">IF(B31&gt;=$J$5,0,(CONTADORES!AQ23-CONTADORES!AQ22))</f>
        <v>3</v>
      </c>
      <c r="BI31" s="1438">
        <f ca="1">IF(C31&gt;=$J$5,0,(CONTADORES!AR23-CONTADORES!AR22))</f>
        <v>0</v>
      </c>
      <c r="BJ31" s="1438">
        <f ca="1">IF(B31&gt;=$J$5,0,CONTADORES!BI23-CONTADORES!BI22)/1000</f>
        <v>1.6065</v>
      </c>
      <c r="BK31" s="1438">
        <f ca="1">IF(B31&gt;=$J$5,0,CONTADORES!BJ23-CONTADORES!BJ22)</f>
        <v>1</v>
      </c>
      <c r="BL31" s="1438">
        <f ca="1">IF(B31&gt;=$J$5,0,CONTADORES!BK23-CONTADORES!BK22)</f>
        <v>15.30000000000291</v>
      </c>
      <c r="BM31" s="1438">
        <f ca="1">IF(B31&gt;=$J$5,0,CONTADORES!BL23-CONTADORES!BL22)/1000</f>
        <v>1.9890000000000001</v>
      </c>
      <c r="BN31" s="1438">
        <f ca="1">IF(B31&gt;=$J$5,0,CONTADORES!BM23-CONTADORES!BM22)/1000</f>
        <v>0.28999999999999998</v>
      </c>
      <c r="BO31" s="1438">
        <f ca="1">IF(B31&gt;=$J$5,0,CONTADORES!BN23-CONTADORES!BN22)</f>
        <v>11.040000000000873</v>
      </c>
      <c r="BP31" s="1438">
        <f ca="1">IF(B31&gt;=$J$5,0,CONTADORES!BO23-CONTADORES!BO22)/1000</f>
        <v>3.4540000000000002</v>
      </c>
      <c r="BQ31" s="1438">
        <f ca="1">IF(B31&gt;=$J$5,0,CONTADORES!BP23-CONTADORES!BP22)/1000</f>
        <v>0.04</v>
      </c>
      <c r="BR31" s="1438">
        <f ca="1">IF(B31&gt;=$J$5,0,CONTADORES!BQ23-CONTADORES!BQ22)</f>
        <v>24</v>
      </c>
      <c r="BS31" s="1438">
        <f ca="1">IF(B31&gt;=$J$5,0,(CONTADORES!BT23-CONTADORES!BT22)+(CONTADORES!BV23-CONTADORES!BV22))/1000</f>
        <v>1.49</v>
      </c>
      <c r="BT31" s="1438">
        <f ca="1">IF(B31&gt;=$J$5,0,(CONTADORES!BU23-CONTADORES!BU22)+(CONTADORES!BW23-CONTADORES!BW22))/1000</f>
        <v>0.91200000000000003</v>
      </c>
      <c r="BU31" s="1438">
        <f ca="1">IF(B31&gt;=$J$5,0,CONTADORES!BR23-CONTADORES!BR22)</f>
        <v>6.1999999999998181</v>
      </c>
      <c r="BV31" s="1438">
        <f ca="1">IF(B31&gt;=$J$5,0,CONTADORES!BS23-CONTADORES!BS22)</f>
        <v>4.3000000000001819</v>
      </c>
      <c r="BW31" s="1438">
        <f t="shared" ca="1" si="16"/>
        <v>11.125250000000314</v>
      </c>
      <c r="BX31" s="1438">
        <f t="shared" ca="1" si="17"/>
        <v>6.6910000000000354</v>
      </c>
      <c r="BY31" s="1438">
        <f t="shared" ca="1" si="18"/>
        <v>4.9252500000004948</v>
      </c>
      <c r="BZ31" s="1438">
        <f t="shared" ca="1" si="19"/>
        <v>1.0439999999999636</v>
      </c>
      <c r="CA31" s="1438">
        <f t="shared" ca="1" si="20"/>
        <v>4.9252500000004948</v>
      </c>
      <c r="CB31" s="1438">
        <f t="shared" ca="1" si="21"/>
        <v>1.5659999999999452</v>
      </c>
      <c r="CC31" s="1438">
        <f t="shared" ca="1" si="22"/>
        <v>2.5339999999999634</v>
      </c>
      <c r="CD31" s="1438">
        <f t="shared" ca="1" si="23"/>
        <v>2.3909999999998535</v>
      </c>
      <c r="CE31" s="1438">
        <f ca="1">IF(B31&gt;=$J$5,0,CONTADORES!BS23-CONTADORES!BS22)</f>
        <v>4.3000000000001819</v>
      </c>
      <c r="CF31" s="1438">
        <f t="shared" ca="1" si="24"/>
        <v>2.3909999999998535</v>
      </c>
      <c r="CG31" s="1438">
        <f t="shared" ca="1" si="25"/>
        <v>0.19400000000014778</v>
      </c>
      <c r="CH31" s="1438">
        <f t="shared" ca="1" si="26"/>
        <v>0.19400000000014778</v>
      </c>
      <c r="CI31" s="1438">
        <f t="shared" ca="1" si="27"/>
        <v>1.1060000000001478</v>
      </c>
      <c r="CJ31" s="1444">
        <f ca="1">IF($B31&gt;=$J$5,0,CONTADORES!$BG23)</f>
        <v>11460.241435305899</v>
      </c>
      <c r="CK31" s="1384">
        <f>CONTADORES!E23</f>
        <v>0</v>
      </c>
      <c r="CL31" s="1384">
        <f>CONTADORES!BX23</f>
        <v>0</v>
      </c>
    </row>
    <row r="32" spans="1:110" s="1464" customFormat="1">
      <c r="A32" s="1451"/>
      <c r="B32" s="220">
        <v>44948</v>
      </c>
      <c r="C32" s="1452">
        <f t="shared" ca="1" si="0"/>
        <v>152</v>
      </c>
      <c r="D32" s="1453">
        <f ca="1">'CALCULO DE GAS'!D25</f>
        <v>3.3791477191011241</v>
      </c>
      <c r="E32" s="202">
        <f ca="1">IF(B32&gt;=$J$5,0,(CONTADORES!$AB24-CONTADORES!$AB23)-$H32)</f>
        <v>24</v>
      </c>
      <c r="F32" s="1452">
        <f t="shared" ca="1" si="28"/>
        <v>0</v>
      </c>
      <c r="G32" s="1453">
        <f ca="1">IF(B32&gt;=$J$5,0,CONTADORES!$AD24-CONTADORES!$AD23)</f>
        <v>0</v>
      </c>
      <c r="H32" s="1454">
        <f ca="1">IF(G32&gt;0,CONTADORES!$AC24-CONTADORES!$AC23,0)</f>
        <v>0</v>
      </c>
      <c r="I32" s="1455">
        <f ca="1">IF(B32&gt;=$J$5,0,CONTADORES!$Z24-CONTADORES!$Z23)</f>
        <v>152</v>
      </c>
      <c r="J32" s="1452">
        <f t="shared" ca="1" si="2"/>
        <v>294</v>
      </c>
      <c r="K32" s="1453">
        <f ca="1">'CALCULO DE GAS'!E25</f>
        <v>4.4321814269662934</v>
      </c>
      <c r="L32" s="1454">
        <f ca="1">IF(B32&gt;=$J$5,0,(CONTADORES!$W24-CONTADORES!$W23)-$O32)</f>
        <v>24</v>
      </c>
      <c r="M32" s="1454">
        <f t="shared" ca="1" si="3"/>
        <v>0</v>
      </c>
      <c r="N32" s="1454">
        <f ca="1">IF(B32&gt;=$J$5,0,CONTADORES!$Y24-CONTADORES!$Y23)</f>
        <v>0</v>
      </c>
      <c r="O32" s="1454">
        <f ca="1">IF(N32&gt;0,CONTADORES!$X24-CONTADORES!$X23,0)</f>
        <v>0</v>
      </c>
      <c r="P32" s="1456">
        <f ca="1">IF(B32&gt;=$J$5,0,CONTADORES!$U24-CONTADORES!$U23)</f>
        <v>294</v>
      </c>
      <c r="Q32" s="1456">
        <f ca="1">IF(B32&gt;=$J$5,0,CONTADORES!$B24-CONTADORES!$B23)</f>
        <v>0</v>
      </c>
      <c r="R32" s="1453">
        <f t="shared" ca="1" si="4"/>
        <v>0</v>
      </c>
      <c r="S32" s="11">
        <f ca="1">IF(B32&gt;=$J$5,0,CONTADORES!$D24-CONTADORES!$D23)</f>
        <v>0</v>
      </c>
      <c r="T32" s="1457">
        <f ca="1">IF(B32&gt;=$J$5,0,CONTADORES!$AZ24-CONTADORES!$AZ23)</f>
        <v>0</v>
      </c>
      <c r="U32" s="1453">
        <f t="shared" ca="1" si="5"/>
        <v>0</v>
      </c>
      <c r="V32" s="1455">
        <f ca="1">IF(B32&gt;=$J$5,0,CONTADORES!$BB24-CONTADORES!$BB23)</f>
        <v>0</v>
      </c>
      <c r="W32" s="1443">
        <f t="shared" ca="1" si="6"/>
        <v>446</v>
      </c>
      <c r="X32" s="1443">
        <f t="shared" ca="1" si="7"/>
        <v>0</v>
      </c>
      <c r="Y32" s="1448">
        <f t="shared" ca="1" si="8"/>
        <v>446</v>
      </c>
      <c r="Z32" s="1448">
        <f t="shared" ca="1" si="9"/>
        <v>7.8113291460674175</v>
      </c>
      <c r="AA32" s="1448">
        <f t="shared" ca="1" si="10"/>
        <v>0</v>
      </c>
      <c r="AB32" s="1448">
        <f t="shared" ca="1" si="11"/>
        <v>48</v>
      </c>
      <c r="AC32" s="1443">
        <f t="shared" ca="1" si="12"/>
        <v>0</v>
      </c>
      <c r="AD32" s="1443">
        <f ca="1">IF(B32&gt;=$J$5,0,CONTADORES!H24-CONTADORES!H23)</f>
        <v>166</v>
      </c>
      <c r="AE32" s="1443">
        <f ca="1">IF(B32&gt;=$J$5,0,CONTADORES!J24-CONTADORES!J23)</f>
        <v>24</v>
      </c>
      <c r="AF32" s="1443">
        <f ca="1">IF(B32&gt;=$J$5,0,CONTADORES!AS24-CONTADORES!AS23)</f>
        <v>144</v>
      </c>
      <c r="AG32" s="1443">
        <f ca="1">IF(B32&gt;=$J$5,0,CONTADORES!AU24-CONTADORES!AU23)</f>
        <v>24</v>
      </c>
      <c r="AH32" s="1443">
        <f ca="1">IF(B32&gt;=$J$5,0,(CONTADORES!AK24-CONTADORES!AK23)+(CONTADORES!K24-CONTADORES!K23))</f>
        <v>13.5</v>
      </c>
      <c r="AI32" s="1443">
        <f ca="1">IF(B32&gt;=$J$5,0,(CONTADORES!AI24-CONTADORES!AI23)+(CONTADORES!M24-CONTADORES!M23))</f>
        <v>38.700000000004366</v>
      </c>
      <c r="AJ32" s="1443">
        <f ca="1">IF(B32&gt;=$J$5,0,(CONTADORES!AG24-CONTADORES!AG23))</f>
        <v>8.3999999999941792</v>
      </c>
      <c r="AK32" s="1443">
        <f ca="1">IF(B32&gt;=$J$5,0,(CONTADORES!O24-CONTADORES!O23))</f>
        <v>15.200000000011642</v>
      </c>
      <c r="AL32" s="1443">
        <f t="shared" ca="1" si="13"/>
        <v>32.999999999990905</v>
      </c>
      <c r="AM32" s="1443">
        <f ca="1">IF(B32&gt;=$J$5,0,(((CONTADORES!F24-CONTADORES!F23)+(CONTADORES!AO24-CONTADORES!AO23))))-BJ32-AF32-AN32-BM32-BP32-BU32-BS32</f>
        <v>8.4679999999988169</v>
      </c>
      <c r="AN32" s="1443">
        <f ca="1">IF(B32&gt;=$J$5,0,(CONTADORES!AV24-CONTADORES!AV23)+(CONTADORES!AX24-CONTADORES!AX23)+(CONTADORES!BC24-CONTADORES!BC23))-BS32</f>
        <v>2.5539999999999088</v>
      </c>
      <c r="AO32" s="1458">
        <f ca="1">IF(B32&gt;=$J$5,0,(CONTADORES!AA24-CONTADORES!AA23))</f>
        <v>74</v>
      </c>
      <c r="AP32" s="1458">
        <f ca="1">IF(B32&gt;=$J$5,0,(CONTADORES!V24-CONTADORES!V23))</f>
        <v>152</v>
      </c>
      <c r="AQ32" s="1459">
        <f ca="1">IF(B32&gt;=$J$5,0,(CONTADORES!C24-CONTADORES!C23))</f>
        <v>0</v>
      </c>
      <c r="AR32" s="1459">
        <f ca="1">IF(B32&gt;=$J$5,0,(CONTADORES!BA24-CONTADORES!BA23))</f>
        <v>0</v>
      </c>
      <c r="AS32" s="1443">
        <f ca="1">IF(B32&gt;=$J$5,0,CONTADORES!Q24-CONTADORES!Q23)</f>
        <v>16.899999999994179</v>
      </c>
      <c r="AT32" s="1443">
        <f ca="1">IF(B32&gt;=$J$5,0,(CONTADORES!S24-CONTADORES!S23)+(CONTADORES!AE24-CONTADORES!AE23))</f>
        <v>2.0999999999985448</v>
      </c>
      <c r="AU32" s="1443">
        <f>CONTADORES!I24-CONTADORES!I23</f>
        <v>84</v>
      </c>
      <c r="AV32" s="1443">
        <f>CONTADORES!AT24-CONTADORES!AT23</f>
        <v>62</v>
      </c>
      <c r="AW32" s="1443">
        <f ca="1">IF(B32&gt;=$J$5,0,(CONTADORES!L24-CONTADORES!L23)+(CONTADORES!AL24-CONTADORES!AL23))</f>
        <v>5.3000000000029104</v>
      </c>
      <c r="AX32" s="1443">
        <f ca="1">IF(B32&gt;=$J$5,0,(CONTADORES!N24-CONTADORES!N23)+(CONTADORES!AJ24-CONTADORES!AJ23))</f>
        <v>30.5</v>
      </c>
      <c r="AY32" s="1443">
        <f ca="1">IF(B32&gt;=$J$5,0,(CONTADORES!AH24-CONTADORES!AH23))</f>
        <v>6.5</v>
      </c>
      <c r="AZ32" s="1443">
        <f ca="1">IF(B32&gt;=$J$5,0,(CONTADORES!P24-CONTADORES!P23))</f>
        <v>12.19999999999709</v>
      </c>
      <c r="BA32" s="1460">
        <f t="shared" ca="1" si="14"/>
        <v>13.362000000000165</v>
      </c>
      <c r="BB32" s="1461">
        <f ca="1">IF(B32&gt;=$J$5,0,(((CONTADORES!G24-CONTADORES!G23)+(CONTADORES!AP24-CONTADORES!AP23))))-AV32-BC32-BK32-BN32-BQ32-BV32</f>
        <v>5.5709999999995468</v>
      </c>
      <c r="BC32" s="1458">
        <f ca="1">IF(B32&gt;=$J$5,0,(CONTADORES!AW24-CONTADORES!AW23)+(CONTADORES!AY24-CONTADORES!AY23)+(CONTADORES!BD24-CONTADORES!BD23))-BT32</f>
        <v>0.36199999999972721</v>
      </c>
      <c r="BD32" s="1443">
        <f t="shared" ca="1" si="15"/>
        <v>226</v>
      </c>
      <c r="BE32" s="1443">
        <f ca="1">IF($B32&gt;=$J$5,0,CONTADORES!$BE24)</f>
        <v>6383.89</v>
      </c>
      <c r="BF32" s="1443">
        <f ca="1">IF($B32&gt;=$J$5,0,CONTADORES!$BF24)</f>
        <v>37140</v>
      </c>
      <c r="BG32" s="1443">
        <f ca="1">IF($B32&gt;=$J$5,0,CONTADORES!$BH24)</f>
        <v>6133.47</v>
      </c>
      <c r="BH32" s="1443">
        <f ca="1">IF(B32&gt;=$J$5,0,(CONTADORES!AQ24-CONTADORES!AQ23))</f>
        <v>5</v>
      </c>
      <c r="BI32" s="1443">
        <f ca="1">IF(C32&gt;=$J$5,0,(CONTADORES!AR24-CONTADORES!AR23))</f>
        <v>0</v>
      </c>
      <c r="BJ32" s="1438">
        <f ca="1">IF(B32&gt;=$J$5,0,CONTADORES!BI24-CONTADORES!BI23)/1000</f>
        <v>0</v>
      </c>
      <c r="BK32" s="1443">
        <f ca="1">IF(B32&gt;=$J$5,0,CONTADORES!BJ24-CONTADORES!BJ23)</f>
        <v>0</v>
      </c>
      <c r="BL32" s="1443">
        <f ca="1">IF(B32&gt;=$J$5,0,CONTADORES!BK24-CONTADORES!BK23)</f>
        <v>0</v>
      </c>
      <c r="BM32" s="1443">
        <f ca="1">IF(B32&gt;=$J$5,0,CONTADORES!BL24-CONTADORES!BL23)/1000</f>
        <v>4.7</v>
      </c>
      <c r="BN32" s="1443">
        <f ca="1">IF(B32&gt;=$J$5,0,CONTADORES!BM24-CONTADORES!BM23)/1000</f>
        <v>0.78600000000000003</v>
      </c>
      <c r="BO32" s="1443">
        <f ca="1">IF(B32&gt;=$J$5,0,CONTADORES!BN24-CONTADORES!BN23)</f>
        <v>24</v>
      </c>
      <c r="BP32" s="1443">
        <f ca="1">IF(B32&gt;=$J$5,0,CONTADORES!BO24-CONTADORES!BO23)/1000</f>
        <v>3.6320000000000001</v>
      </c>
      <c r="BQ32" s="1443">
        <f ca="1">IF(B32&gt;=$J$5,0,CONTADORES!BP24-CONTADORES!BP23)/1000</f>
        <v>8.1000000000000003E-2</v>
      </c>
      <c r="BR32" s="1443">
        <f ca="1">IF(B32&gt;=$J$5,0,CONTADORES!BQ24-CONTADORES!BQ23)</f>
        <v>24</v>
      </c>
      <c r="BS32" s="1443">
        <f ca="1">IF(B32&gt;=$J$5,0,(CONTADORES!BT24-CONTADORES!BT23)+(CONTADORES!BV24-CONTADORES!BV23))/1000</f>
        <v>1.546</v>
      </c>
      <c r="BT32" s="1443">
        <f ca="1">IF(B32&gt;=$J$5,0,(CONTADORES!BU24-CONTADORES!BU23)+(CONTADORES!BW24-CONTADORES!BW23))/1000</f>
        <v>0.93799999999999994</v>
      </c>
      <c r="BU32" s="1443">
        <f ca="1">IF(B32&gt;=$J$5,0,CONTADORES!BR24-CONTADORES!BR23)</f>
        <v>6.3000000000001819</v>
      </c>
      <c r="BV32" s="1443">
        <f ca="1">IF(B32&gt;=$J$5,0,CONTADORES!BS24-CONTADORES!BS23)</f>
        <v>4.4000000000005457</v>
      </c>
      <c r="BW32" s="1443">
        <f t="shared" ca="1" si="16"/>
        <v>10.53399999999959</v>
      </c>
      <c r="BX32" s="1443">
        <f t="shared" ca="1" si="17"/>
        <v>7.1855000000003191</v>
      </c>
      <c r="BY32" s="1443">
        <f t="shared" ca="1" si="18"/>
        <v>4.2339999999994085</v>
      </c>
      <c r="BZ32" s="1443">
        <f t="shared" ca="1" si="19"/>
        <v>1.0215999999999636</v>
      </c>
      <c r="CA32" s="1443">
        <f t="shared" ca="1" si="20"/>
        <v>4.2339999999994085</v>
      </c>
      <c r="CB32" s="1443">
        <f t="shared" ca="1" si="21"/>
        <v>1.5323999999999451</v>
      </c>
      <c r="CC32" s="1443">
        <f t="shared" ca="1" si="22"/>
        <v>2.5675999999999637</v>
      </c>
      <c r="CD32" s="1443">
        <f t="shared" ca="1" si="23"/>
        <v>2.7854999999997734</v>
      </c>
      <c r="CE32" s="1443">
        <f ca="1">IF(B32&gt;=$J$5,0,CONTADORES!BS24-CONTADORES!BS23)</f>
        <v>4.4000000000005457</v>
      </c>
      <c r="CF32" s="1443">
        <f t="shared" ca="1" si="24"/>
        <v>2.7854999999997734</v>
      </c>
      <c r="CG32" s="1443">
        <f t="shared" ca="1" si="25"/>
        <v>0.1809999999998636</v>
      </c>
      <c r="CH32" s="1443">
        <f t="shared" ca="1" si="26"/>
        <v>0.1809999999998636</v>
      </c>
      <c r="CI32" s="1443">
        <f t="shared" ca="1" si="27"/>
        <v>1.1189999999998634</v>
      </c>
      <c r="CJ32" s="1462">
        <f ca="1">IF($B32&gt;=$J$5,0,CONTADORES!$BG24)</f>
        <v>11159.0164889509</v>
      </c>
      <c r="CK32" s="1463">
        <f>CONTADORES!E24</f>
        <v>0</v>
      </c>
      <c r="CL32" s="1463">
        <f>CONTADORES!BX24</f>
        <v>0</v>
      </c>
      <c r="CM32" s="1451"/>
      <c r="CN32" s="1451"/>
      <c r="CO32" s="1451"/>
      <c r="CP32" s="1451"/>
      <c r="CQ32" s="1451"/>
      <c r="CR32" s="1451"/>
      <c r="CS32" s="1451"/>
      <c r="CT32" s="1451"/>
      <c r="CU32" s="1451"/>
      <c r="CV32" s="1451"/>
      <c r="CW32" s="1451"/>
      <c r="CX32" s="1451"/>
      <c r="CY32" s="1451"/>
      <c r="CZ32" s="1451"/>
      <c r="DA32" s="1451"/>
      <c r="DB32" s="1451"/>
      <c r="DC32" s="1451"/>
      <c r="DD32" s="1451"/>
      <c r="DE32" s="1451"/>
      <c r="DF32" s="1451"/>
    </row>
    <row r="33" spans="2:90">
      <c r="B33" s="220">
        <v>44949</v>
      </c>
      <c r="C33" s="204">
        <f t="shared" ca="1" si="0"/>
        <v>152</v>
      </c>
      <c r="D33" s="202">
        <f ca="1">'CALCULO DE GAS'!D26</f>
        <v>3.3791477191011241</v>
      </c>
      <c r="E33" s="202">
        <f ca="1">IF(B33&gt;=$J$5,0,(CONTADORES!$AB25-CONTADORES!$AB24)-$H33)</f>
        <v>24</v>
      </c>
      <c r="F33" s="204">
        <f t="shared" ca="1" si="28"/>
        <v>0</v>
      </c>
      <c r="G33" s="202">
        <f ca="1">IF(B33&gt;=$J$5,0,CONTADORES!$AD25-CONTADORES!$AD24)</f>
        <v>0</v>
      </c>
      <c r="H33" s="1437">
        <f ca="1">IF(G33&gt;0,CONTADORES!$AC25-CONTADORES!$AC24,0)</f>
        <v>0</v>
      </c>
      <c r="I33" s="205">
        <f ca="1">IF(B33&gt;=$J$5,0,CONTADORES!$Z25-CONTADORES!$Z24)</f>
        <v>152</v>
      </c>
      <c r="J33" s="204">
        <f t="shared" ca="1" si="2"/>
        <v>294</v>
      </c>
      <c r="K33" s="202">
        <f ca="1">'CALCULO DE GAS'!E26</f>
        <v>4.4321814269662934</v>
      </c>
      <c r="L33" s="1437">
        <f ca="1">IF(B33&gt;=$J$5,0,(CONTADORES!$W25-CONTADORES!$W24)-$O33)</f>
        <v>24</v>
      </c>
      <c r="M33" s="1437">
        <f t="shared" ca="1" si="3"/>
        <v>0</v>
      </c>
      <c r="N33" s="1437">
        <f ca="1">IF(B33&gt;=$J$5,0,CONTADORES!$Y25-CONTADORES!$Y24)</f>
        <v>0</v>
      </c>
      <c r="O33" s="1437">
        <f ca="1">IF(N33&gt;0,CONTADORES!$X25-CONTADORES!$X24,0)</f>
        <v>0</v>
      </c>
      <c r="P33" s="208">
        <f ca="1">IF(B33&gt;=$J$5,0,CONTADORES!$U25-CONTADORES!$U24)</f>
        <v>294</v>
      </c>
      <c r="Q33" s="208">
        <f ca="1">IF(B33&gt;=$J$5,0,CONTADORES!$B25-CONTADORES!$B24)</f>
        <v>0</v>
      </c>
      <c r="R33" s="202">
        <f t="shared" ca="1" si="4"/>
        <v>0</v>
      </c>
      <c r="S33" s="11">
        <f ca="1">IF(B33&gt;=$J$5,0,CONTADORES!$D25-CONTADORES!$D24)</f>
        <v>0</v>
      </c>
      <c r="T33" s="215">
        <f ca="1">IF(B33&gt;=$J$5,0,CONTADORES!$AZ25-CONTADORES!$AZ24)</f>
        <v>0</v>
      </c>
      <c r="U33" s="202">
        <f t="shared" ca="1" si="5"/>
        <v>0</v>
      </c>
      <c r="V33" s="205">
        <f ca="1">IF(B33&gt;=$J$5,0,CONTADORES!$BB25-CONTADORES!$BB24)</f>
        <v>0</v>
      </c>
      <c r="W33" s="1438">
        <f t="shared" ca="1" si="6"/>
        <v>446</v>
      </c>
      <c r="X33" s="1438">
        <f t="shared" ca="1" si="7"/>
        <v>0</v>
      </c>
      <c r="Y33" s="1439">
        <f t="shared" ca="1" si="8"/>
        <v>446</v>
      </c>
      <c r="Z33" s="1439">
        <f t="shared" ca="1" si="9"/>
        <v>7.8113291460674175</v>
      </c>
      <c r="AA33" s="1439">
        <f t="shared" ca="1" si="10"/>
        <v>0</v>
      </c>
      <c r="AB33" s="1439">
        <f t="shared" ca="1" si="11"/>
        <v>48</v>
      </c>
      <c r="AC33" s="1438">
        <f t="shared" ca="1" si="12"/>
        <v>0</v>
      </c>
      <c r="AD33" s="1438">
        <f ca="1">IF(B33&gt;=$J$5,0,CONTADORES!H25-CONTADORES!H24)</f>
        <v>168</v>
      </c>
      <c r="AE33" s="1438">
        <f ca="1">IF(B33&gt;=$J$5,0,CONTADORES!J25-CONTADORES!J24)</f>
        <v>24</v>
      </c>
      <c r="AF33" s="1438">
        <f ca="1">IF(B33&gt;=$J$5,0,CONTADORES!AS25-CONTADORES!AS24)</f>
        <v>142</v>
      </c>
      <c r="AG33" s="1438">
        <f ca="1">IF(B33&gt;=$J$5,0,CONTADORES!AU25-CONTADORES!AU24)</f>
        <v>24</v>
      </c>
      <c r="AH33" s="1438">
        <f ca="1">IF(B33&gt;=$J$5,0,(CONTADORES!AK25-CONTADORES!AK24)+(CONTADORES!K25-CONTADORES!K24))</f>
        <v>9.9000000000014552</v>
      </c>
      <c r="AI33" s="1438">
        <f ca="1">IF(B33&gt;=$J$5,0,(CONTADORES!AI25-CONTADORES!AI24)+(CONTADORES!M25-CONTADORES!M24))</f>
        <v>39.599999999998545</v>
      </c>
      <c r="AJ33" s="1438">
        <f ca="1">IF(B33&gt;=$J$5,0,(CONTADORES!AG25-CONTADORES!AG24))</f>
        <v>8.9000000000087311</v>
      </c>
      <c r="AK33" s="1438">
        <f ca="1">IF(B33&gt;=$J$5,0,(CONTADORES!O25-CONTADORES!O24))</f>
        <v>14.699999999982538</v>
      </c>
      <c r="AL33" s="1443">
        <f t="shared" ca="1" si="13"/>
        <v>33.600000000007583</v>
      </c>
      <c r="AM33" s="1438">
        <f ca="1">IF(B33&gt;=$J$5,0,(((CONTADORES!F25-CONTADORES!F24)+(CONTADORES!AO25-CONTADORES!AO24))))-BJ33-AF33-AN33-BM33-BP33-BU33-BS33</f>
        <v>12.534000000001093</v>
      </c>
      <c r="AN33" s="1438">
        <f ca="1">IF(B33&gt;=$J$5,0,(CONTADORES!AV25-CONTADORES!AV24)+(CONTADORES!AX25-CONTADORES!AX24)+(CONTADORES!BC25-CONTADORES!BC24))-BS33</f>
        <v>0.67599999999981808</v>
      </c>
      <c r="AO33" s="1440">
        <f ca="1">IF(B33&gt;=$J$5,0,(CONTADORES!AA25-CONTADORES!AA24))</f>
        <v>68</v>
      </c>
      <c r="AP33" s="1440">
        <f ca="1">IF(B33&gt;=$J$5,0,(CONTADORES!V25-CONTADORES!V24))</f>
        <v>156</v>
      </c>
      <c r="AQ33" s="1445">
        <f ca="1">IF(B33&gt;=$J$5,0,(CONTADORES!C25-CONTADORES!C24))</f>
        <v>0</v>
      </c>
      <c r="AR33" s="1445">
        <f ca="1">IF(B33&gt;=$J$5,0,(CONTADORES!BA25-CONTADORES!BA24))</f>
        <v>0</v>
      </c>
      <c r="AS33" s="1438">
        <f ca="1">IF(B33&gt;=$J$5,0,CONTADORES!Q25-CONTADORES!Q24)</f>
        <v>16.899999999994179</v>
      </c>
      <c r="AT33" s="1438">
        <f ca="1">IF(B33&gt;=$J$5,0,(CONTADORES!S25-CONTADORES!S24)+(CONTADORES!AE25-CONTADORES!AE24))</f>
        <v>2.0999999999985448</v>
      </c>
      <c r="AU33" s="1438">
        <f>CONTADORES!I25-CONTADORES!I24</f>
        <v>84</v>
      </c>
      <c r="AV33" s="1438">
        <f>CONTADORES!AT25-CONTADORES!AT24</f>
        <v>62</v>
      </c>
      <c r="AW33" s="1438">
        <f ca="1">IF(B33&gt;=$J$5,0,(CONTADORES!L25-CONTADORES!L24)+(CONTADORES!AL25-CONTADORES!AL24))</f>
        <v>3.8999999999978172</v>
      </c>
      <c r="AX33" s="1438">
        <f ca="1">IF(B33&gt;=$J$5,0,(CONTADORES!N25-CONTADORES!N24)+(CONTADORES!AJ25-CONTADORES!AJ24))</f>
        <v>31.599999999998545</v>
      </c>
      <c r="AY33" s="1438">
        <f ca="1">IF(B33&gt;=$J$5,0,(CONTADORES!AH25-CONTADORES!AH24))</f>
        <v>7</v>
      </c>
      <c r="AZ33" s="1438">
        <f ca="1">IF(B33&gt;=$J$5,0,(CONTADORES!P25-CONTADORES!P24))</f>
        <v>11.899999999994179</v>
      </c>
      <c r="BA33" s="1449">
        <f t="shared" ca="1" si="14"/>
        <v>11.270000000008906</v>
      </c>
      <c r="BB33" s="1447">
        <f ca="1">IF(B33&gt;=$J$5,0,(((CONTADORES!G25-CONTADORES!G24)+(CONTADORES!AP25-CONTADORES!AP24))))-AV33-BC33-BK33-BN33-BQ33-BV33</f>
        <v>5.1200000000002728</v>
      </c>
      <c r="BC33" s="1440">
        <f ca="1">IF(B33&gt;=$J$5,0,(CONTADORES!AW25-CONTADORES!AW24)+(CONTADORES!AY25-CONTADORES!AY24)+(CONTADORES!BD25-CONTADORES!BD24))-BT33</f>
        <v>0.7700000000002728</v>
      </c>
      <c r="BD33" s="1438">
        <f t="shared" ca="1" si="15"/>
        <v>224</v>
      </c>
      <c r="BE33" s="1438">
        <f ca="1">IF($B33&gt;=$J$5,0,CONTADORES!$BE25)</f>
        <v>7225.22</v>
      </c>
      <c r="BF33" s="1438">
        <f ca="1">IF($B33&gt;=$J$5,0,CONTADORES!$BF25)</f>
        <v>39989.340350877203</v>
      </c>
      <c r="BG33" s="1438">
        <f ca="1">IF($B33&gt;=$J$5,0,CONTADORES!$BH25)</f>
        <v>6676.03</v>
      </c>
      <c r="BH33" s="1438">
        <f ca="1">IF(B33&gt;=$J$5,0,(CONTADORES!AQ25-CONTADORES!AQ24))</f>
        <v>5</v>
      </c>
      <c r="BI33" s="1438">
        <f ca="1">IF(C33&gt;=$J$5,0,(CONTADORES!AR25-CONTADORES!AR24))</f>
        <v>0</v>
      </c>
      <c r="BJ33" s="1438">
        <f ca="1">IF(B33&gt;=$J$5,0,CONTADORES!BI25-CONTADORES!BI24)/1000</f>
        <v>0</v>
      </c>
      <c r="BK33" s="1438">
        <f ca="1">IF(B33&gt;=$J$5,0,CONTADORES!BJ25-CONTADORES!BJ24)</f>
        <v>0</v>
      </c>
      <c r="BL33" s="1438">
        <f ca="1">IF(B33&gt;=$J$5,0,CONTADORES!BK25-CONTADORES!BK24)</f>
        <v>0</v>
      </c>
      <c r="BM33" s="1438">
        <f ca="1">IF(B33&gt;=$J$5,0,CONTADORES!BL25-CONTADORES!BL24)/1000</f>
        <v>4.6100000000000003</v>
      </c>
      <c r="BN33" s="1438">
        <f ca="1">IF(B33&gt;=$J$5,0,CONTADORES!BM25-CONTADORES!BM24)/1000</f>
        <v>0.91400000000000003</v>
      </c>
      <c r="BO33" s="1438">
        <f ca="1">IF(B33&gt;=$J$5,0,CONTADORES!BN25-CONTADORES!BN24)</f>
        <v>24</v>
      </c>
      <c r="BP33" s="1438">
        <f ca="1">IF(B33&gt;=$J$5,0,CONTADORES!BO25-CONTADORES!BO24)/1000</f>
        <v>3.6560000000000001</v>
      </c>
      <c r="BQ33" s="1438">
        <f ca="1">IF(B33&gt;=$J$5,0,CONTADORES!BP25-CONTADORES!BP24)/1000</f>
        <v>9.6000000000000002E-2</v>
      </c>
      <c r="BR33" s="1438">
        <f ca="1">IF(B33&gt;=$J$5,0,CONTADORES!BQ25-CONTADORES!BQ24)</f>
        <v>24</v>
      </c>
      <c r="BS33" s="1438">
        <f ca="1">IF(B33&gt;=$J$5,0,(CONTADORES!BT25-CONTADORES!BT24)+(CONTADORES!BV25-CONTADORES!BV24))/1000</f>
        <v>1.524</v>
      </c>
      <c r="BT33" s="1438">
        <f ca="1">IF(B33&gt;=$J$5,0,(CONTADORES!BU25-CONTADORES!BU24)+(CONTADORES!BW25-CONTADORES!BW24))/1000</f>
        <v>0.93</v>
      </c>
      <c r="BU33" s="1438">
        <f ca="1">IF(B33&gt;=$J$5,0,CONTADORES!BR25-CONTADORES!BR24)</f>
        <v>6.3000000000001819</v>
      </c>
      <c r="BV33" s="1438">
        <f ca="1">IF(B33&gt;=$J$5,0,CONTADORES!BS25-CONTADORES!BS24)</f>
        <v>4.5</v>
      </c>
      <c r="BW33" s="1438">
        <f t="shared" ca="1" si="16"/>
        <v>12.567000000000728</v>
      </c>
      <c r="BX33" s="1438">
        <f t="shared" ca="1" si="17"/>
        <v>7.0600000000001364</v>
      </c>
      <c r="BY33" s="1438">
        <f t="shared" ca="1" si="18"/>
        <v>6.2670000000005466</v>
      </c>
      <c r="BZ33" s="1438">
        <f t="shared" ca="1" si="19"/>
        <v>0.27039999999992725</v>
      </c>
      <c r="CA33" s="1438">
        <f t="shared" ca="1" si="20"/>
        <v>6.2670000000005466</v>
      </c>
      <c r="CB33" s="1438">
        <f t="shared" ca="1" si="21"/>
        <v>0.40559999999989083</v>
      </c>
      <c r="CC33" s="1438">
        <f t="shared" ca="1" si="22"/>
        <v>1.7943999999999272</v>
      </c>
      <c r="CD33" s="1438">
        <f t="shared" ca="1" si="23"/>
        <v>2.5600000000001364</v>
      </c>
      <c r="CE33" s="1438">
        <f ca="1">IF(B33&gt;=$J$5,0,CONTADORES!BS25-CONTADORES!BS24)</f>
        <v>4.5</v>
      </c>
      <c r="CF33" s="1438">
        <f t="shared" ca="1" si="24"/>
        <v>2.5600000000001364</v>
      </c>
      <c r="CG33" s="1438">
        <f t="shared" ca="1" si="25"/>
        <v>0.3850000000001364</v>
      </c>
      <c r="CH33" s="1438">
        <f t="shared" ca="1" si="26"/>
        <v>0.3850000000001364</v>
      </c>
      <c r="CI33" s="1438">
        <f t="shared" ca="1" si="27"/>
        <v>1.3150000000001365</v>
      </c>
      <c r="CJ33" s="1444">
        <f ca="1">IF($B33&gt;=$J$5,0,CONTADORES!$BG25)</f>
        <v>10918.824045506</v>
      </c>
      <c r="CK33" s="1384">
        <f>CONTADORES!E25</f>
        <v>0</v>
      </c>
      <c r="CL33" s="1384">
        <f>CONTADORES!BX25</f>
        <v>0</v>
      </c>
    </row>
    <row r="34" spans="2:90">
      <c r="B34" s="220">
        <v>44950</v>
      </c>
      <c r="C34" s="204">
        <f t="shared" ca="1" si="0"/>
        <v>225</v>
      </c>
      <c r="D34" s="202">
        <f ca="1">'CALCULO DE GAS'!D27</f>
        <v>3.9204960337078663</v>
      </c>
      <c r="E34" s="202">
        <f ca="1">IF(B34&gt;=$J$5,0,(CONTADORES!$AB26-CONTADORES!$AB25)-$H34)</f>
        <v>24</v>
      </c>
      <c r="F34" s="204">
        <f t="shared" ca="1" si="28"/>
        <v>0</v>
      </c>
      <c r="G34" s="202">
        <f ca="1">IF(B34&gt;=$J$5,0,CONTADORES!$AD26-CONTADORES!$AD25)</f>
        <v>0</v>
      </c>
      <c r="H34" s="1437">
        <f ca="1">IF(G34&gt;0,CONTADORES!$AC26-CONTADORES!$AC25,0)</f>
        <v>0</v>
      </c>
      <c r="I34" s="205">
        <f ca="1">IF(B34&gt;=$J$5,0,CONTADORES!$Z26-CONTADORES!$Z25)</f>
        <v>225</v>
      </c>
      <c r="J34" s="204">
        <f t="shared" ca="1" si="2"/>
        <v>206</v>
      </c>
      <c r="K34" s="202">
        <f ca="1">'CALCULO DE GAS'!E27</f>
        <v>3.779597157303372</v>
      </c>
      <c r="L34" s="1437">
        <f ca="1">IF(B34&gt;=$J$5,0,(CONTADORES!$W26-CONTADORES!$W25)-$O34)</f>
        <v>24</v>
      </c>
      <c r="M34" s="1437">
        <f t="shared" ca="1" si="3"/>
        <v>0</v>
      </c>
      <c r="N34" s="1437">
        <f ca="1">IF(B34&gt;=$J$5,0,CONTADORES!$Y26-CONTADORES!$Y25)</f>
        <v>0</v>
      </c>
      <c r="O34" s="1437">
        <f ca="1">IF(N34&gt;0,CONTADORES!$X26-CONTADORES!$X25,0)</f>
        <v>0</v>
      </c>
      <c r="P34" s="208">
        <f ca="1">IF(B34&gt;=$J$5,0,CONTADORES!$U26-CONTADORES!$U25)</f>
        <v>206</v>
      </c>
      <c r="Q34" s="208">
        <f ca="1">IF(B34&gt;=$J$5,0,CONTADORES!$B26-CONTADORES!$B25)</f>
        <v>0.33899999999994179</v>
      </c>
      <c r="R34" s="202">
        <f t="shared" ca="1" si="4"/>
        <v>40.679999999993015</v>
      </c>
      <c r="S34" s="11">
        <f ca="1">IF(B34&gt;=$J$5,0,CONTADORES!$D26-CONTADORES!$D25)</f>
        <v>0.6000000000003638</v>
      </c>
      <c r="T34" s="215">
        <f ca="1">IF(B34&gt;=$J$5,0,CONTADORES!$AZ26-CONTADORES!$AZ25)</f>
        <v>0.32000000000005002</v>
      </c>
      <c r="U34" s="202">
        <f t="shared" ca="1" si="5"/>
        <v>38.400000000006003</v>
      </c>
      <c r="V34" s="205">
        <f ca="1">IF(B34&gt;=$J$5,0,CONTADORES!$BB26-CONTADORES!$BB25)</f>
        <v>0.43000000000006366</v>
      </c>
      <c r="W34" s="1438">
        <f t="shared" ca="1" si="6"/>
        <v>431</v>
      </c>
      <c r="X34" s="1438">
        <f t="shared" ca="1" si="7"/>
        <v>0.65899999999999181</v>
      </c>
      <c r="Y34" s="1439">
        <f t="shared" ca="1" si="8"/>
        <v>431.65899999999999</v>
      </c>
      <c r="Z34" s="1439">
        <f t="shared" ca="1" si="9"/>
        <v>7.7000931910112378</v>
      </c>
      <c r="AA34" s="1439">
        <f t="shared" ca="1" si="10"/>
        <v>79.079999999999018</v>
      </c>
      <c r="AB34" s="1439">
        <f t="shared" ca="1" si="11"/>
        <v>48</v>
      </c>
      <c r="AC34" s="1438">
        <f t="shared" ca="1" si="12"/>
        <v>1.0300000000004275</v>
      </c>
      <c r="AD34" s="1438">
        <f ca="1">IF(B34&gt;=$J$5,0,CONTADORES!H26-CONTADORES!H25)</f>
        <v>162</v>
      </c>
      <c r="AE34" s="1438">
        <f ca="1">IF(B34&gt;=$J$5,0,CONTADORES!J26-CONTADORES!J25)</f>
        <v>24</v>
      </c>
      <c r="AF34" s="1438">
        <f ca="1">IF(B34&gt;=$J$5,0,CONTADORES!AS26-CONTADORES!AS25)</f>
        <v>141</v>
      </c>
      <c r="AG34" s="1438">
        <f ca="1">IF(B34&gt;=$J$5,0,CONTADORES!AU26-CONTADORES!AU25)</f>
        <v>24</v>
      </c>
      <c r="AH34" s="1438">
        <f ca="1">IF(B34&gt;=$J$5,0,(CONTADORES!AK26-CONTADORES!AK25)+(CONTADORES!K26-CONTADORES!K25))</f>
        <v>7.8999999999941792</v>
      </c>
      <c r="AI34" s="1438">
        <f ca="1">IF(B34&gt;=$J$5,0,(CONTADORES!AI26-CONTADORES!AI25)+(CONTADORES!M26-CONTADORES!M25))</f>
        <v>36.80000000000291</v>
      </c>
      <c r="AJ34" s="1438">
        <f ca="1">IF(B34&gt;=$J$5,0,(CONTADORES!AG26-CONTADORES!AG25))</f>
        <v>9</v>
      </c>
      <c r="AK34" s="1438">
        <f ca="1">IF(B34&gt;=$J$5,0,(CONTADORES!O26-CONTADORES!O25))</f>
        <v>13.899999999994179</v>
      </c>
      <c r="AL34" s="1443">
        <f t="shared" ca="1" si="13"/>
        <v>34.15900000000903</v>
      </c>
      <c r="AM34" s="1438">
        <f ca="1">IF(B34&gt;=$J$5,0,(((CONTADORES!F26-CONTADORES!F25)+(CONTADORES!AO26-CONTADORES!AO25))))-BJ34-AF34-AN34-BM34-BP34-BU34-BS34</f>
        <v>5.9879999999989177</v>
      </c>
      <c r="AN34" s="1438">
        <f ca="1">IF(B34&gt;=$J$5,0,(CONTADORES!AV26-CONTADORES!AV25)+(CONTADORES!AX26-CONTADORES!AX25)+(CONTADORES!BC26-CONTADORES!BC25))-BS34</f>
        <v>5.0860000000003556</v>
      </c>
      <c r="AO34" s="1440">
        <f ca="1">IF(B34&gt;=$J$5,0,(CONTADORES!AA26-CONTADORES!AA25))</f>
        <v>109</v>
      </c>
      <c r="AP34" s="1440">
        <f ca="1">IF(B34&gt;=$J$5,0,(CONTADORES!V26-CONTADORES!V25))</f>
        <v>108</v>
      </c>
      <c r="AQ34" s="1445">
        <f ca="1">IF(B34&gt;=$J$5,0,(CONTADORES!C26-CONTADORES!C25))</f>
        <v>0.12000000000000455</v>
      </c>
      <c r="AR34" s="1445">
        <f ca="1">IF(B34&gt;=$J$5,0,(CONTADORES!BA26-CONTADORES!BA25))</f>
        <v>0.1209999999999809</v>
      </c>
      <c r="AS34" s="1438">
        <f ca="1">IF(B34&gt;=$J$5,0,CONTADORES!Q26-CONTADORES!Q25)</f>
        <v>16.800000000017462</v>
      </c>
      <c r="AT34" s="1438">
        <f ca="1">IF(B34&gt;=$J$5,0,(CONTADORES!S26-CONTADORES!S25)+(CONTADORES!AE26-CONTADORES!AE25))</f>
        <v>2.1000000000058208</v>
      </c>
      <c r="AU34" s="1438">
        <f>CONTADORES!I26-CONTADORES!I25</f>
        <v>83</v>
      </c>
      <c r="AV34" s="1438">
        <f>CONTADORES!AT26-CONTADORES!AT25</f>
        <v>61</v>
      </c>
      <c r="AW34" s="1438">
        <f ca="1">IF(B34&gt;=$J$5,0,(CONTADORES!L26-CONTADORES!L25)+(CONTADORES!AL26-CONTADORES!AL25))</f>
        <v>3.1000000000021828</v>
      </c>
      <c r="AX34" s="1438">
        <f ca="1">IF(B34&gt;=$J$5,0,(CONTADORES!N26-CONTADORES!N25)+(CONTADORES!AJ26-CONTADORES!AJ25))</f>
        <v>28.799999999995634</v>
      </c>
      <c r="AY34" s="1438">
        <f ca="1">IF(B34&gt;=$J$5,0,(CONTADORES!AH26-CONTADORES!AH25))</f>
        <v>7.2000000000043656</v>
      </c>
      <c r="AZ34" s="1438">
        <f ca="1">IF(B34&gt;=$J$5,0,(CONTADORES!P26-CONTADORES!P25))</f>
        <v>11.5</v>
      </c>
      <c r="BA34" s="1449">
        <f t="shared" ca="1" si="14"/>
        <v>10.688000000004195</v>
      </c>
      <c r="BB34" s="1447">
        <f ca="1">IF(B34&gt;=$J$5,0,(((CONTADORES!G26-CONTADORES!G25)+(CONTADORES!AP26-CONTADORES!AP25))))-AV34-BC34-BK34-BN34-BQ34-BV34</f>
        <v>5.4699999999939042</v>
      </c>
      <c r="BC34" s="1440">
        <f ca="1">IF(B34&gt;=$J$5,0,(CONTADORES!AW26-CONTADORES!AW25)+(CONTADORES!AY26-CONTADORES!AY25)+(CONTADORES!BD26-CONTADORES!BD25))-BT34</f>
        <v>0.67699999999991023</v>
      </c>
      <c r="BD34" s="1438">
        <f t="shared" ca="1" si="15"/>
        <v>217.24099999999999</v>
      </c>
      <c r="BE34" s="1438">
        <f ca="1">IF($B34&gt;=$J$5,0,CONTADORES!$BE26)</f>
        <v>7034.72</v>
      </c>
      <c r="BF34" s="1438">
        <f ca="1">IF($B34&gt;=$J$5,0,CONTADORES!$BF26)</f>
        <v>37698.259649122803</v>
      </c>
      <c r="BG34" s="1438">
        <f ca="1">IF($B34&gt;=$J$5,0,CONTADORES!$BH26)</f>
        <v>6255.1</v>
      </c>
      <c r="BH34" s="1438">
        <f ca="1">IF(B34&gt;=$J$5,0,(CONTADORES!AQ26-CONTADORES!AQ25))</f>
        <v>4.9000000000014552</v>
      </c>
      <c r="BI34" s="1438">
        <f ca="1">IF(C34&gt;=$J$5,0,(CONTADORES!AR26-CONTADORES!AR25))</f>
        <v>0</v>
      </c>
      <c r="BJ34" s="1438">
        <f ca="1">IF(B34&gt;=$J$5,0,CONTADORES!BI26-CONTADORES!BI25)/1000</f>
        <v>0</v>
      </c>
      <c r="BK34" s="1438">
        <f ca="1">IF(B34&gt;=$J$5,0,CONTADORES!BJ26-CONTADORES!BJ25)</f>
        <v>0</v>
      </c>
      <c r="BL34" s="1438">
        <f ca="1">IF(B34&gt;=$J$5,0,CONTADORES!BK26-CONTADORES!BK25)</f>
        <v>0</v>
      </c>
      <c r="BM34" s="1438">
        <f ca="1">IF(B34&gt;=$J$5,0,CONTADORES!BL26-CONTADORES!BL25)/1000</f>
        <v>4.593</v>
      </c>
      <c r="BN34" s="1438">
        <f ca="1">IF(B34&gt;=$J$5,0,CONTADORES!BM26-CONTADORES!BM25)/1000</f>
        <v>0.6</v>
      </c>
      <c r="BO34" s="1438">
        <f ca="1">IF(B34&gt;=$J$5,0,CONTADORES!BN26-CONTADORES!BN25)</f>
        <v>24</v>
      </c>
      <c r="BP34" s="1438">
        <f ca="1">IF(B34&gt;=$J$5,0,CONTADORES!BO26-CONTADORES!BO25)/1000</f>
        <v>3.5790000000000002</v>
      </c>
      <c r="BQ34" s="1438">
        <f ca="1">IF(B34&gt;=$J$5,0,CONTADORES!BP26-CONTADORES!BP25)/1000</f>
        <v>5.2999999999999999E-2</v>
      </c>
      <c r="BR34" s="1438">
        <f ca="1">IF(B34&gt;=$J$5,0,CONTADORES!BQ26-CONTADORES!BQ25)</f>
        <v>24</v>
      </c>
      <c r="BS34" s="1438">
        <f ca="1">IF(B34&gt;=$J$5,0,(CONTADORES!BT26-CONTADORES!BT25)+(CONTADORES!BV26-CONTADORES!BV25))/1000</f>
        <v>1.554</v>
      </c>
      <c r="BT34" s="1438">
        <f ca="1">IF(B34&gt;=$J$5,0,(CONTADORES!BU26-CONTADORES!BU25)+(CONTADORES!BW26-CONTADORES!BW25))/1000</f>
        <v>0.95299999999999996</v>
      </c>
      <c r="BU34" s="1438">
        <f ca="1">IF(B34&gt;=$J$5,0,CONTADORES!BR26-CONTADORES!BR25)</f>
        <v>6.1000000000003638</v>
      </c>
      <c r="BV34" s="1438">
        <f ca="1">IF(B34&gt;=$J$5,0,CONTADORES!BS26-CONTADORES!BS25)</f>
        <v>4.1999999999998181</v>
      </c>
      <c r="BW34" s="1438">
        <f t="shared" ca="1" si="16"/>
        <v>9.0939999999998236</v>
      </c>
      <c r="BX34" s="1438">
        <f t="shared" ca="1" si="17"/>
        <v>6.9349999999967702</v>
      </c>
      <c r="BY34" s="1438">
        <f t="shared" ca="1" si="18"/>
        <v>2.9939999999994589</v>
      </c>
      <c r="BZ34" s="1438">
        <f t="shared" ca="1" si="19"/>
        <v>2.0344000000001423</v>
      </c>
      <c r="CA34" s="1438">
        <f t="shared" ca="1" si="20"/>
        <v>2.9939999999994589</v>
      </c>
      <c r="CB34" s="1438">
        <f t="shared" ca="1" si="21"/>
        <v>3.0516000000002133</v>
      </c>
      <c r="CC34" s="1438">
        <f t="shared" ca="1" si="22"/>
        <v>3.5884000000001421</v>
      </c>
      <c r="CD34" s="1438">
        <f t="shared" ca="1" si="23"/>
        <v>2.7349999999969521</v>
      </c>
      <c r="CE34" s="1438">
        <f ca="1">IF(B34&gt;=$J$5,0,CONTADORES!BS26-CONTADORES!BS25)</f>
        <v>4.1999999999998181</v>
      </c>
      <c r="CF34" s="1438">
        <f t="shared" ca="1" si="24"/>
        <v>2.7349999999969521</v>
      </c>
      <c r="CG34" s="1438">
        <f t="shared" ca="1" si="25"/>
        <v>0.33849999999995511</v>
      </c>
      <c r="CH34" s="1438">
        <f t="shared" ca="1" si="26"/>
        <v>0.33849999999995511</v>
      </c>
      <c r="CI34" s="1438">
        <f t="shared" ca="1" si="27"/>
        <v>1.291499999999955</v>
      </c>
      <c r="CJ34" s="1444">
        <f ca="1">IF($B34&gt;=$J$5,0,CONTADORES!$BG26)</f>
        <v>11077.241217532101</v>
      </c>
      <c r="CK34" s="1384">
        <f>CONTADORES!E26</f>
        <v>1</v>
      </c>
      <c r="CL34" s="1384">
        <f>CONTADORES!BX26</f>
        <v>1</v>
      </c>
    </row>
    <row r="35" spans="2:90">
      <c r="B35" s="220">
        <v>44951</v>
      </c>
      <c r="C35" s="204">
        <f t="shared" ca="1" si="0"/>
        <v>295</v>
      </c>
      <c r="D35" s="202">
        <f ca="1">'CALCULO DE GAS'!D28</f>
        <v>4.4395971573033721</v>
      </c>
      <c r="E35" s="202">
        <f ca="1">IF(B35&gt;=$J$5,0,(CONTADORES!$AB27-CONTADORES!$AB26)-$H35)</f>
        <v>24</v>
      </c>
      <c r="F35" s="204">
        <f t="shared" ca="1" si="28"/>
        <v>0</v>
      </c>
      <c r="G35" s="202">
        <f ca="1">IF(B35&gt;=$J$5,0,CONTADORES!$AD27-CONTADORES!$AD26)</f>
        <v>0</v>
      </c>
      <c r="H35" s="1437">
        <f ca="1">IF(G35&gt;0,CONTADORES!$AC27-CONTADORES!$AC26,0)</f>
        <v>0</v>
      </c>
      <c r="I35" s="205">
        <f ca="1">IF(B35&gt;=$J$5,0,CONTADORES!$Z27-CONTADORES!$Z26)</f>
        <v>295</v>
      </c>
      <c r="J35" s="204">
        <f t="shared" ca="1" si="2"/>
        <v>151.29999999999927</v>
      </c>
      <c r="K35" s="202">
        <f ca="1">'CALCULO DE GAS'!E28</f>
        <v>3.3739567078651636</v>
      </c>
      <c r="L35" s="1437">
        <f ca="1">IF(B35&gt;=$J$5,0,(CONTADORES!$W27-CONTADORES!$W26)-$O35)</f>
        <v>24</v>
      </c>
      <c r="M35" s="1437">
        <f t="shared" ca="1" si="3"/>
        <v>0</v>
      </c>
      <c r="N35" s="1437">
        <f ca="1">IF(B35&gt;=$J$5,0,CONTADORES!$Y27-CONTADORES!$Y26)</f>
        <v>0</v>
      </c>
      <c r="O35" s="1437">
        <f ca="1">IF(N35&gt;0,CONTADORES!$X27-CONTADORES!$X26,0)</f>
        <v>0</v>
      </c>
      <c r="P35" s="208">
        <f ca="1">IF(B35&gt;=$J$5,0,CONTADORES!$U27-CONTADORES!$U26)</f>
        <v>151.29999999999927</v>
      </c>
      <c r="Q35" s="208">
        <f ca="1">IF(B35&gt;=$J$5,0,CONTADORES!$B27-CONTADORES!$B26)</f>
        <v>0</v>
      </c>
      <c r="R35" s="202">
        <f t="shared" ca="1" si="4"/>
        <v>0</v>
      </c>
      <c r="S35" s="11">
        <f ca="1">IF(B35&gt;=$J$5,0,CONTADORES!$D27-CONTADORES!$D26)</f>
        <v>0</v>
      </c>
      <c r="T35" s="215">
        <f ca="1">IF(B35&gt;=$J$5,0,CONTADORES!$AZ27-CONTADORES!$AZ26)</f>
        <v>0</v>
      </c>
      <c r="U35" s="202">
        <f t="shared" ca="1" si="5"/>
        <v>0</v>
      </c>
      <c r="V35" s="205">
        <f ca="1">IF(B35&gt;=$J$5,0,CONTADORES!$BB27-CONTADORES!$BB26)</f>
        <v>0</v>
      </c>
      <c r="W35" s="1438">
        <f t="shared" ca="1" si="6"/>
        <v>446.29999999999927</v>
      </c>
      <c r="X35" s="1438">
        <f t="shared" ca="1" si="7"/>
        <v>0</v>
      </c>
      <c r="Y35" s="1439">
        <f t="shared" ca="1" si="8"/>
        <v>446.29999999999927</v>
      </c>
      <c r="Z35" s="1439">
        <f t="shared" ca="1" si="9"/>
        <v>7.8135538651685357</v>
      </c>
      <c r="AA35" s="1439">
        <f t="shared" ca="1" si="10"/>
        <v>0</v>
      </c>
      <c r="AB35" s="1439">
        <f t="shared" ca="1" si="11"/>
        <v>48</v>
      </c>
      <c r="AC35" s="1438">
        <f t="shared" ca="1" si="12"/>
        <v>0</v>
      </c>
      <c r="AD35" s="1438">
        <f ca="1">IF(B35&gt;=$J$5,0,CONTADORES!H27-CONTADORES!H26)</f>
        <v>167</v>
      </c>
      <c r="AE35" s="1438">
        <f ca="1">IF(B35&gt;=$J$5,0,CONTADORES!J27-CONTADORES!J26)</f>
        <v>24</v>
      </c>
      <c r="AF35" s="1438">
        <f ca="1">IF(B35&gt;=$J$5,0,CONTADORES!AS27-CONTADORES!AS26)</f>
        <v>143</v>
      </c>
      <c r="AG35" s="1438">
        <f ca="1">IF(B35&gt;=$J$5,0,CONTADORES!AU27-CONTADORES!AU26)</f>
        <v>24</v>
      </c>
      <c r="AH35" s="1438">
        <f ca="1">IF(B35&gt;=$J$5,0,(CONTADORES!AK27-CONTADORES!AK26)+(CONTADORES!K27-CONTADORES!K26))</f>
        <v>13.30000000000291</v>
      </c>
      <c r="AI35" s="1438">
        <f ca="1">IF(B35&gt;=$J$5,0,(CONTADORES!AI27-CONTADORES!AI26)+(CONTADORES!M27-CONTADORES!M26))</f>
        <v>38</v>
      </c>
      <c r="AJ35" s="1438">
        <f ca="1">IF(B35&gt;=$J$5,0,(CONTADORES!AG27-CONTADORES!AG26))</f>
        <v>9</v>
      </c>
      <c r="AK35" s="1438">
        <f ca="1">IF(B35&gt;=$J$5,0,(CONTADORES!O27-CONTADORES!O26))</f>
        <v>15.700000000011642</v>
      </c>
      <c r="AL35" s="1443">
        <f t="shared" ca="1" si="13"/>
        <v>31.699999999984357</v>
      </c>
      <c r="AM35" s="1438">
        <f ca="1">IF(B35&gt;=$J$5,0,(((CONTADORES!F27-CONTADORES!F26)+(CONTADORES!AO27-CONTADORES!AO26))))-BJ35-AF35-AN35-BM35-BP35-BU35-BS35</f>
        <v>10.217000000000453</v>
      </c>
      <c r="AN35" s="1438">
        <f ca="1">IF(B35&gt;=$J$5,0,(CONTADORES!AV27-CONTADORES!AV26)+(CONTADORES!AX27-CONTADORES!AX26)+(CONTADORES!BC27-CONTADORES!BC26))-BS35</f>
        <v>2.3770000000000913</v>
      </c>
      <c r="AO35" s="1440">
        <f ca="1">IF(B35&gt;=$J$5,0,(CONTADORES!AA27-CONTADORES!AA26))</f>
        <v>147</v>
      </c>
      <c r="AP35" s="1440">
        <f ca="1">IF(B35&gt;=$J$5,0,(CONTADORES!V27-CONTADORES!V26))</f>
        <v>77</v>
      </c>
      <c r="AQ35" s="1445">
        <f ca="1">IF(B35&gt;=$J$5,0,(CONTADORES!C27-CONTADORES!C26))</f>
        <v>0</v>
      </c>
      <c r="AR35" s="1445">
        <f ca="1">IF(B35&gt;=$J$5,0,(CONTADORES!BA27-CONTADORES!BA26))</f>
        <v>0</v>
      </c>
      <c r="AS35" s="1438">
        <f ca="1">IF(B35&gt;=$J$5,0,CONTADORES!Q27-CONTADORES!Q26)</f>
        <v>17.5</v>
      </c>
      <c r="AT35" s="1438">
        <f ca="1">IF(B35&gt;=$J$5,0,(CONTADORES!S27-CONTADORES!S26)+(CONTADORES!AE27-CONTADORES!AE26))</f>
        <v>2.0999999999985448</v>
      </c>
      <c r="AU35" s="1438">
        <f>CONTADORES!I27-CONTADORES!I26</f>
        <v>85</v>
      </c>
      <c r="AV35" s="1438">
        <f>CONTADORES!AT27-CONTADORES!AT26</f>
        <v>62</v>
      </c>
      <c r="AW35" s="1438">
        <f ca="1">IF(B35&gt;=$J$5,0,(CONTADORES!L27-CONTADORES!L26)+(CONTADORES!AL27-CONTADORES!AL26))</f>
        <v>5.2999999999992724</v>
      </c>
      <c r="AX35" s="1438">
        <f ca="1">IF(B35&gt;=$J$5,0,(CONTADORES!N27-CONTADORES!N26)+(CONTADORES!AJ27-CONTADORES!AJ26))</f>
        <v>29.700000000004366</v>
      </c>
      <c r="AY35" s="1438">
        <f ca="1">IF(B35&gt;=$J$5,0,(CONTADORES!AH27-CONTADORES!AH26))</f>
        <v>7</v>
      </c>
      <c r="AZ35" s="1438">
        <f ca="1">IF(B35&gt;=$J$5,0,(CONTADORES!P27-CONTADORES!P26))</f>
        <v>12.600000000005821</v>
      </c>
      <c r="BA35" s="1449">
        <f t="shared" ca="1" si="14"/>
        <v>10.766999999978879</v>
      </c>
      <c r="BB35" s="1447">
        <f ca="1">IF(B35&gt;=$J$5,0,(((CONTADORES!G27-CONTADORES!G26)+(CONTADORES!AP27-CONTADORES!AP26))))-AV35-BC35-BK35-BN35-BQ35-BV35</f>
        <v>5.0960000000113688</v>
      </c>
      <c r="BC35" s="1440">
        <f ca="1">IF(B35&gt;=$J$5,0,(CONTADORES!AW27-CONTADORES!AW26)+(CONTADORES!AY27-CONTADORES!AY26)+(CONTADORES!BD27-CONTADORES!BD26))-BT35</f>
        <v>0.4670000000000909</v>
      </c>
      <c r="BD35" s="1438">
        <f t="shared" ca="1" si="15"/>
        <v>224</v>
      </c>
      <c r="BE35" s="1438">
        <f ca="1">IF($B35&gt;=$J$5,0,CONTADORES!$BE27)</f>
        <v>7080.74</v>
      </c>
      <c r="BF35" s="1438">
        <f ca="1">IF($B35&gt;=$J$5,0,CONTADORES!$BF27)</f>
        <v>36460.384210526303</v>
      </c>
      <c r="BG35" s="1438">
        <f ca="1">IF($B35&gt;=$J$5,0,CONTADORES!$BH27)</f>
        <v>6330.2</v>
      </c>
      <c r="BH35" s="1438">
        <f ca="1">IF(B35&gt;=$J$5,0,(CONTADORES!AQ27-CONTADORES!AQ26))</f>
        <v>5.1999999999970896</v>
      </c>
      <c r="BI35" s="1438">
        <f ca="1">IF(C35&gt;=$J$5,0,(CONTADORES!AR27-CONTADORES!AR26))</f>
        <v>0</v>
      </c>
      <c r="BJ35" s="1438">
        <f ca="1">IF(B35&gt;=$J$5,0,CONTADORES!BI27-CONTADORES!BI26)/1000</f>
        <v>0</v>
      </c>
      <c r="BK35" s="1438">
        <f ca="1">IF(B35&gt;=$J$5,0,CONTADORES!BJ27-CONTADORES!BJ26)</f>
        <v>0</v>
      </c>
      <c r="BL35" s="1438">
        <f ca="1">IF(B35&gt;=$J$5,0,CONTADORES!BK27-CONTADORES!BK26)</f>
        <v>0</v>
      </c>
      <c r="BM35" s="1438">
        <f ca="1">IF(B35&gt;=$J$5,0,CONTADORES!BL27-CONTADORES!BL26)/1000</f>
        <v>4.641</v>
      </c>
      <c r="BN35" s="1438">
        <f ca="1">IF(B35&gt;=$J$5,0,CONTADORES!BM27-CONTADORES!BM26)/1000</f>
        <v>0.77600000000000002</v>
      </c>
      <c r="BO35" s="1438">
        <f ca="1">IF(B35&gt;=$J$5,0,CONTADORES!BN27-CONTADORES!BN26)</f>
        <v>24</v>
      </c>
      <c r="BP35" s="1438">
        <f ca="1">IF(B35&gt;=$J$5,0,CONTADORES!BO27-CONTADORES!BO26)/1000</f>
        <v>3.6419999999999999</v>
      </c>
      <c r="BQ35" s="1438">
        <f ca="1">IF(B35&gt;=$J$5,0,CONTADORES!BP27-CONTADORES!BP26)/1000</f>
        <v>6.0999999999999999E-2</v>
      </c>
      <c r="BR35" s="1438">
        <f ca="1">IF(B35&gt;=$J$5,0,CONTADORES!BQ27-CONTADORES!BQ26)</f>
        <v>24</v>
      </c>
      <c r="BS35" s="1438">
        <f ca="1">IF(B35&gt;=$J$5,0,(CONTADORES!BT27-CONTADORES!BT26)+(CONTADORES!BV27-CONTADORES!BV26))/1000</f>
        <v>1.5229999999999999</v>
      </c>
      <c r="BT35" s="1438">
        <f ca="1">IF(B35&gt;=$J$5,0,(CONTADORES!BU27-CONTADORES!BU26)+(CONTADORES!BW27-CONTADORES!BW26))/1000</f>
        <v>0.93300000000000005</v>
      </c>
      <c r="BU35" s="1438">
        <f ca="1">IF(B35&gt;=$J$5,0,CONTADORES!BR27-CONTADORES!BR26)</f>
        <v>6.1999999999998181</v>
      </c>
      <c r="BV35" s="1438">
        <f ca="1">IF(B35&gt;=$J$5,0,CONTADORES!BS27-CONTADORES!BS26)</f>
        <v>4.3000000000001819</v>
      </c>
      <c r="BW35" s="1438">
        <f t="shared" ca="1" si="16"/>
        <v>11.308500000000045</v>
      </c>
      <c r="BX35" s="1438">
        <f t="shared" ca="1" si="17"/>
        <v>6.8480000000058663</v>
      </c>
      <c r="BY35" s="1438">
        <f t="shared" ca="1" si="18"/>
        <v>5.1085000000002267</v>
      </c>
      <c r="BZ35" s="1438">
        <f t="shared" ca="1" si="19"/>
        <v>0.9508000000000365</v>
      </c>
      <c r="CA35" s="1438">
        <f t="shared" ca="1" si="20"/>
        <v>5.1085000000002267</v>
      </c>
      <c r="CB35" s="1438">
        <f t="shared" ca="1" si="21"/>
        <v>1.4262000000000548</v>
      </c>
      <c r="CC35" s="1438">
        <f t="shared" ca="1" si="22"/>
        <v>2.4738000000000362</v>
      </c>
      <c r="CD35" s="1438">
        <f t="shared" ca="1" si="23"/>
        <v>2.5480000000056844</v>
      </c>
      <c r="CE35" s="1438">
        <f ca="1">IF(B35&gt;=$J$5,0,CONTADORES!BS27-CONTADORES!BS26)</f>
        <v>4.3000000000001819</v>
      </c>
      <c r="CF35" s="1438">
        <f t="shared" ca="1" si="24"/>
        <v>2.5480000000056844</v>
      </c>
      <c r="CG35" s="1438">
        <f t="shared" ca="1" si="25"/>
        <v>0.23350000000004545</v>
      </c>
      <c r="CH35" s="1438">
        <f t="shared" ca="1" si="26"/>
        <v>0.23350000000004545</v>
      </c>
      <c r="CI35" s="1438">
        <f t="shared" ca="1" si="27"/>
        <v>1.1665000000000454</v>
      </c>
      <c r="CJ35" s="1444">
        <f ca="1">IF($B35&gt;=$J$5,0,CONTADORES!$BG27)</f>
        <v>10894.9465087344</v>
      </c>
      <c r="CK35" s="1384">
        <f>CONTADORES!E27</f>
        <v>0</v>
      </c>
      <c r="CL35" s="1384">
        <f>CONTADORES!BX27</f>
        <v>0</v>
      </c>
    </row>
    <row r="36" spans="2:90">
      <c r="B36" s="220">
        <v>44952</v>
      </c>
      <c r="C36" s="204">
        <f t="shared" ca="1" si="0"/>
        <v>284</v>
      </c>
      <c r="D36" s="202">
        <f ca="1">'CALCULO DE GAS'!D29</f>
        <v>4.3580241235955075</v>
      </c>
      <c r="E36" s="202">
        <f ca="1">IF(B36&gt;=$J$5,0,(CONTADORES!$AB28-CONTADORES!$AB27)-$H36)</f>
        <v>24</v>
      </c>
      <c r="F36" s="204">
        <f t="shared" ca="1" si="28"/>
        <v>0</v>
      </c>
      <c r="G36" s="202">
        <f ca="1">IF(B36&gt;=$J$5,0,CONTADORES!$AD28-CONTADORES!$AD27)</f>
        <v>0</v>
      </c>
      <c r="H36" s="1437">
        <f ca="1">IF(G36&gt;0,CONTADORES!$AC28-CONTADORES!$AC27,0)</f>
        <v>0</v>
      </c>
      <c r="I36" s="205">
        <f ca="1">IF(B36&gt;=$J$5,0,CONTADORES!$Z28-CONTADORES!$Z27)</f>
        <v>284</v>
      </c>
      <c r="J36" s="204">
        <f t="shared" ca="1" si="2"/>
        <v>150.70000000000073</v>
      </c>
      <c r="K36" s="202">
        <f ca="1">'CALCULO DE GAS'!E29</f>
        <v>3.3695072696629271</v>
      </c>
      <c r="L36" s="1437">
        <f ca="1">IF(B36&gt;=$J$5,0,(CONTADORES!$W28-CONTADORES!$W27)-$O36)</f>
        <v>24</v>
      </c>
      <c r="M36" s="1437">
        <f t="shared" ca="1" si="3"/>
        <v>0</v>
      </c>
      <c r="N36" s="1437">
        <f ca="1">IF(B36&gt;=$J$5,0,CONTADORES!$Y28-CONTADORES!$Y27)</f>
        <v>0</v>
      </c>
      <c r="O36" s="1437">
        <f ca="1">IF(N36&gt;0,CONTADORES!$X28-CONTADORES!$X27,0)</f>
        <v>0</v>
      </c>
      <c r="P36" s="208">
        <f ca="1">IF(B36&gt;=$J$5,0,CONTADORES!$U28-CONTADORES!$U27)</f>
        <v>150.70000000000073</v>
      </c>
      <c r="Q36" s="208">
        <f ca="1">IF(B36&gt;=$J$5,0,CONTADORES!$B28-CONTADORES!$B27)</f>
        <v>0</v>
      </c>
      <c r="R36" s="202">
        <f t="shared" ca="1" si="4"/>
        <v>0</v>
      </c>
      <c r="S36" s="11">
        <f ca="1">IF(B36&gt;=$J$5,0,CONTADORES!$D28-CONTADORES!$D27)</f>
        <v>0</v>
      </c>
      <c r="T36" s="215">
        <f ca="1">IF(B36&gt;=$J$5,0,CONTADORES!$AZ28-CONTADORES!$AZ27)</f>
        <v>0</v>
      </c>
      <c r="U36" s="202">
        <f t="shared" ca="1" si="5"/>
        <v>0</v>
      </c>
      <c r="V36" s="205">
        <f ca="1">IF(B36&gt;=$J$5,0,CONTADORES!$BB28-CONTADORES!$BB27)</f>
        <v>0</v>
      </c>
      <c r="W36" s="1438">
        <f t="shared" ca="1" si="6"/>
        <v>434.70000000000073</v>
      </c>
      <c r="X36" s="1438">
        <f t="shared" ca="1" si="7"/>
        <v>0</v>
      </c>
      <c r="Y36" s="1439">
        <f t="shared" ca="1" si="8"/>
        <v>434.70000000000073</v>
      </c>
      <c r="Z36" s="1439">
        <f t="shared" ca="1" si="9"/>
        <v>7.7275313932584346</v>
      </c>
      <c r="AA36" s="1439">
        <f t="shared" ca="1" si="10"/>
        <v>0</v>
      </c>
      <c r="AB36" s="1439">
        <f t="shared" ca="1" si="11"/>
        <v>48</v>
      </c>
      <c r="AC36" s="1438">
        <f t="shared" ca="1" si="12"/>
        <v>0</v>
      </c>
      <c r="AD36" s="1438">
        <f ca="1">IF(B36&gt;=$J$5,0,CONTADORES!H28-CONTADORES!H27)</f>
        <v>167.09999999997672</v>
      </c>
      <c r="AE36" s="1438">
        <f ca="1">IF(B36&gt;=$J$5,0,CONTADORES!J28-CONTADORES!J27)</f>
        <v>24</v>
      </c>
      <c r="AF36" s="1438">
        <f ca="1">IF(B36&gt;=$J$5,0,CONTADORES!AS28-CONTADORES!AS27)</f>
        <v>139</v>
      </c>
      <c r="AG36" s="1438">
        <f ca="1">IF(B36&gt;=$J$5,0,CONTADORES!AU28-CONTADORES!AU27)</f>
        <v>23.19999999999709</v>
      </c>
      <c r="AH36" s="1438">
        <f ca="1">IF(B36&gt;=$J$5,0,(CONTADORES!AK28-CONTADORES!AK27)+(CONTADORES!K28-CONTADORES!K27))</f>
        <v>9.6999999999970896</v>
      </c>
      <c r="AI36" s="1438">
        <f ca="1">IF(B36&gt;=$J$5,0,(CONTADORES!AI28-CONTADORES!AI27)+(CONTADORES!M28-CONTADORES!M27))</f>
        <v>36.900000000001455</v>
      </c>
      <c r="AJ36" s="1438">
        <f ca="1">IF(B36&gt;=$J$5,0,(CONTADORES!AG28-CONTADORES!AG27))</f>
        <v>8.3999999999941792</v>
      </c>
      <c r="AK36" s="1438">
        <f ca="1">IF(B36&gt;=$J$5,0,(CONTADORES!O28-CONTADORES!O27))</f>
        <v>14</v>
      </c>
      <c r="AL36" s="1443">
        <f t="shared" ca="1" si="13"/>
        <v>33.600000000031287</v>
      </c>
      <c r="AM36" s="1438">
        <f ca="1">IF(B36&gt;=$J$5,0,(((CONTADORES!F28-CONTADORES!F27)+(CONTADORES!AO28-CONTADORES!AO27))))-BJ36-AF36-AN36-BM36-BP36-BU36-BS36</f>
        <v>8.9230000000007248</v>
      </c>
      <c r="AN36" s="1438">
        <f ca="1">IF(B36&gt;=$J$5,0,(CONTADORES!AV28-CONTADORES!AV27)+(CONTADORES!AX28-CONTADORES!AX27)+(CONTADORES!BC28-CONTADORES!BC27))-BS36</f>
        <v>1.7029999999994543</v>
      </c>
      <c r="AO36" s="1440">
        <f ca="1">IF(B36&gt;=$J$5,0,(CONTADORES!AA28-CONTADORES!AA27))</f>
        <v>141</v>
      </c>
      <c r="AP36" s="1440">
        <f ca="1">IF(B36&gt;=$J$5,0,(CONTADORES!V28-CONTADORES!V27))</f>
        <v>77.399999999999636</v>
      </c>
      <c r="AQ36" s="1445">
        <f ca="1">IF(B36&gt;=$J$5,0,(CONTADORES!C28-CONTADORES!C27))</f>
        <v>0</v>
      </c>
      <c r="AR36" s="1445">
        <f ca="1">IF(B36&gt;=$J$5,0,(CONTADORES!BA28-CONTADORES!BA27))</f>
        <v>0</v>
      </c>
      <c r="AS36" s="1438">
        <f ca="1">IF(B36&gt;=$J$5,0,CONTADORES!Q28-CONTADORES!Q27)</f>
        <v>17.299999999988358</v>
      </c>
      <c r="AT36" s="1438">
        <f ca="1">IF(B36&gt;=$J$5,0,(CONTADORES!S28-CONTADORES!S27)+(CONTADORES!AE28-CONTADORES!AE27))</f>
        <v>2.0999999999985448</v>
      </c>
      <c r="AU36" s="1438">
        <f>CONTADORES!I28-CONTADORES!I27</f>
        <v>84.299999999988358</v>
      </c>
      <c r="AV36" s="1438">
        <f>CONTADORES!AT28-CONTADORES!AT27</f>
        <v>61</v>
      </c>
      <c r="AW36" s="1438">
        <f ca="1">IF(B36&gt;=$J$5,0,(CONTADORES!L28-CONTADORES!L27)+(CONTADORES!AL28-CONTADORES!AL27))</f>
        <v>3.8999999999978172</v>
      </c>
      <c r="AX36" s="1438">
        <f ca="1">IF(B36&gt;=$J$5,0,(CONTADORES!N28-CONTADORES!N27)+(CONTADORES!AJ28-CONTADORES!AJ27))</f>
        <v>28.900000000001455</v>
      </c>
      <c r="AY36" s="1438">
        <f ca="1">IF(B36&gt;=$J$5,0,(CONTADORES!AH28-CONTADORES!AH27))</f>
        <v>6.5999999999985448</v>
      </c>
      <c r="AZ36" s="1438">
        <f ca="1">IF(B36&gt;=$J$5,0,(CONTADORES!P28-CONTADORES!P27))</f>
        <v>11.5</v>
      </c>
      <c r="BA36" s="1449">
        <f t="shared" ca="1" si="14"/>
        <v>13.34100000001888</v>
      </c>
      <c r="BB36" s="1447">
        <f ca="1">IF(B36&gt;=$J$5,0,(((CONTADORES!G28-CONTADORES!G27)+(CONTADORES!AP28-CONTADORES!AP27))))-AV36-BC36-BK36-BN36-BQ36-BV36</f>
        <v>2.4299999999950996</v>
      </c>
      <c r="BC36" s="1440">
        <f ca="1">IF(B36&gt;=$J$5,0,(CONTADORES!AW28-CONTADORES!AW27)+(CONTADORES!AY28-CONTADORES!AY27)+(CONTADORES!BD28-CONTADORES!BD27))-BT36</f>
        <v>0.54099999999980675</v>
      </c>
      <c r="BD36" s="1438">
        <f t="shared" ca="1" si="15"/>
        <v>218.39999999999964</v>
      </c>
      <c r="BE36" s="1438">
        <f ca="1">IF($B36&gt;=$J$5,0,CONTADORES!$BE28)</f>
        <v>7058.8899999999994</v>
      </c>
      <c r="BF36" s="1438">
        <f ca="1">IF($B36&gt;=$J$5,0,CONTADORES!$BF28)</f>
        <v>36941.531578947361</v>
      </c>
      <c r="BG36" s="1438">
        <f ca="1">IF($B36&gt;=$J$5,0,CONTADORES!$BH28)</f>
        <v>5914.3499999999995</v>
      </c>
      <c r="BH36" s="1438">
        <f ca="1">IF(B36&gt;=$J$5,0,(CONTADORES!AQ28-CONTADORES!AQ27))</f>
        <v>4.9000000000014552</v>
      </c>
      <c r="BI36" s="1438">
        <f ca="1">IF(C36&gt;=$J$5,0,(CONTADORES!AR28-CONTADORES!AR27))</f>
        <v>0</v>
      </c>
      <c r="BJ36" s="1438">
        <f ca="1">IF(B36&gt;=$J$5,0,CONTADORES!BI28-CONTADORES!BI27)/1000</f>
        <v>0</v>
      </c>
      <c r="BK36" s="1438">
        <f ca="1">IF(B36&gt;=$J$5,0,CONTADORES!BJ28-CONTADORES!BJ27)</f>
        <v>0</v>
      </c>
      <c r="BL36" s="1438">
        <f ca="1">IF(B36&gt;=$J$5,0,CONTADORES!BK28-CONTADORES!BK27)</f>
        <v>0</v>
      </c>
      <c r="BM36" s="1438">
        <f ca="1">IF(B36&gt;=$J$5,0,CONTADORES!BL28-CONTADORES!BL27)/1000</f>
        <v>4.0590000000000002</v>
      </c>
      <c r="BN36" s="1438">
        <f ca="1">IF(B36&gt;=$J$5,0,CONTADORES!BM28-CONTADORES!BM27)/1000</f>
        <v>0.55600000000000005</v>
      </c>
      <c r="BO36" s="1438">
        <f ca="1">IF(B36&gt;=$J$5,0,CONTADORES!BN28-CONTADORES!BN27)</f>
        <v>21.700000000000728</v>
      </c>
      <c r="BP36" s="1438">
        <f ca="1">IF(B36&gt;=$J$5,0,CONTADORES!BO28-CONTADORES!BO27)/1000</f>
        <v>3.718</v>
      </c>
      <c r="BQ36" s="1438">
        <f ca="1">IF(B36&gt;=$J$5,0,CONTADORES!BP28-CONTADORES!BP27)/1000</f>
        <v>7.2999999999999995E-2</v>
      </c>
      <c r="BR36" s="1438">
        <f ca="1">IF(B36&gt;=$J$5,0,CONTADORES!BQ28-CONTADORES!BQ27)</f>
        <v>24</v>
      </c>
      <c r="BS36" s="1438">
        <f ca="1">IF(B36&gt;=$J$5,0,(CONTADORES!BT28-CONTADORES!BT27)+(CONTADORES!BV28-CONTADORES!BV27))/1000</f>
        <v>1.397</v>
      </c>
      <c r="BT36" s="1438">
        <f ca="1">IF(B36&gt;=$J$5,0,(CONTADORES!BU28-CONTADORES!BU27)+(CONTADORES!BW28-CONTADORES!BW27))/1000</f>
        <v>0.85899999999999999</v>
      </c>
      <c r="BU36" s="1438">
        <f ca="1">IF(B36&gt;=$J$5,0,CONTADORES!BR28-CONTADORES!BR27)</f>
        <v>6.1999999999998181</v>
      </c>
      <c r="BV36" s="1438">
        <f ca="1">IF(B36&gt;=$J$5,0,CONTADORES!BS28-CONTADORES!BS27)</f>
        <v>4.3999999999996362</v>
      </c>
      <c r="BW36" s="1438">
        <f t="shared" ca="1" si="16"/>
        <v>10.661500000000181</v>
      </c>
      <c r="BX36" s="1438">
        <f t="shared" ca="1" si="17"/>
        <v>5.6149999999971865</v>
      </c>
      <c r="BY36" s="1438">
        <f t="shared" ca="1" si="18"/>
        <v>4.4615000000003624</v>
      </c>
      <c r="BZ36" s="1438">
        <f t="shared" ca="1" si="19"/>
        <v>0.68119999999978176</v>
      </c>
      <c r="CA36" s="1438">
        <f t="shared" ca="1" si="20"/>
        <v>4.4615000000003624</v>
      </c>
      <c r="CB36" s="1438">
        <f t="shared" ca="1" si="21"/>
        <v>1.0217999999996725</v>
      </c>
      <c r="CC36" s="1438">
        <f t="shared" ca="1" si="22"/>
        <v>2.0781999999997818</v>
      </c>
      <c r="CD36" s="1438">
        <f t="shared" ca="1" si="23"/>
        <v>1.2149999999975498</v>
      </c>
      <c r="CE36" s="1438">
        <f ca="1">IF(B36&gt;=$J$5,0,CONTADORES!BS28-CONTADORES!BS27)</f>
        <v>4.3999999999996362</v>
      </c>
      <c r="CF36" s="1438">
        <f t="shared" ca="1" si="24"/>
        <v>1.2149999999975498</v>
      </c>
      <c r="CG36" s="1438">
        <f t="shared" ca="1" si="25"/>
        <v>0.27049999999990337</v>
      </c>
      <c r="CH36" s="1438">
        <f t="shared" ca="1" si="26"/>
        <v>0.27049999999990337</v>
      </c>
      <c r="CI36" s="1438">
        <f t="shared" ca="1" si="27"/>
        <v>1.1294999999999034</v>
      </c>
      <c r="CJ36" s="1444">
        <f ca="1">IF($B36&gt;=$J$5,0,CONTADORES!$BG28)</f>
        <v>9445.3332971306827</v>
      </c>
      <c r="CK36" s="1384">
        <f>CONTADORES!E28</f>
        <v>0</v>
      </c>
      <c r="CL36" s="1384">
        <f>CONTADORES!BX28</f>
        <v>0</v>
      </c>
    </row>
    <row r="37" spans="2:90">
      <c r="B37" s="220">
        <v>44953</v>
      </c>
      <c r="C37" s="204">
        <f t="shared" ca="1" si="0"/>
        <v>286</v>
      </c>
      <c r="D37" s="202">
        <f ca="1">'CALCULO DE GAS'!D30</f>
        <v>4.372855584269665</v>
      </c>
      <c r="E37" s="202">
        <f ca="1">IF(B37&gt;=$J$5,0,(CONTADORES!$AB29-CONTADORES!$AB28)-$H37)</f>
        <v>24</v>
      </c>
      <c r="F37" s="204">
        <f t="shared" ca="1" si="28"/>
        <v>0</v>
      </c>
      <c r="G37" s="202">
        <f ca="1">IF(B37&gt;=$J$5,0,CONTADORES!$AD29-CONTADORES!$AD28)</f>
        <v>0</v>
      </c>
      <c r="H37" s="1437">
        <f ca="1">IF(G37&gt;0,CONTADORES!$AC29-CONTADORES!$AC28,0)</f>
        <v>0</v>
      </c>
      <c r="I37" s="205">
        <f ca="1">IF(B37&gt;=$J$5,0,CONTADORES!$Z29-CONTADORES!$Z28)</f>
        <v>286</v>
      </c>
      <c r="J37" s="204">
        <f t="shared" ca="1" si="2"/>
        <v>148.40000000000146</v>
      </c>
      <c r="K37" s="202">
        <f ca="1">'CALCULO DE GAS'!E30</f>
        <v>3.3524510898876518</v>
      </c>
      <c r="L37" s="1437">
        <f ca="1">IF(B37&gt;=$J$5,0,(CONTADORES!$W29-CONTADORES!$W28)-$O37)</f>
        <v>24</v>
      </c>
      <c r="M37" s="1437">
        <f t="shared" ca="1" si="3"/>
        <v>0</v>
      </c>
      <c r="N37" s="1437">
        <f ca="1">IF(B37&gt;=$J$5,0,CONTADORES!$Y29-CONTADORES!$Y28)</f>
        <v>0</v>
      </c>
      <c r="O37" s="1437">
        <f ca="1">IF(N37&gt;0,CONTADORES!$X29-CONTADORES!$X28,0)</f>
        <v>0</v>
      </c>
      <c r="P37" s="208">
        <f ca="1">IF(B37&gt;=$J$5,0,CONTADORES!$U29-CONTADORES!$U28)</f>
        <v>148.40000000000146</v>
      </c>
      <c r="Q37" s="208">
        <f ca="1">IF(B37&gt;=$J$5,0,CONTADORES!$B29-CONTADORES!$B28)</f>
        <v>0</v>
      </c>
      <c r="R37" s="202">
        <f t="shared" ca="1" si="4"/>
        <v>0</v>
      </c>
      <c r="S37" s="11">
        <f ca="1">IF(B37&gt;=$J$5,0,CONTADORES!$D29-CONTADORES!$D28)</f>
        <v>0</v>
      </c>
      <c r="T37" s="215">
        <f ca="1">IF(B37&gt;=$J$5,0,CONTADORES!$AZ29-CONTADORES!$AZ28)</f>
        <v>0</v>
      </c>
      <c r="U37" s="202">
        <f t="shared" ca="1" si="5"/>
        <v>0</v>
      </c>
      <c r="V37" s="205">
        <f ca="1">IF(B37&gt;=$J$5,0,CONTADORES!$BB29-CONTADORES!$BB28)</f>
        <v>0</v>
      </c>
      <c r="W37" s="1438">
        <f t="shared" ca="1" si="6"/>
        <v>434.40000000000146</v>
      </c>
      <c r="X37" s="1438">
        <f t="shared" ca="1" si="7"/>
        <v>0</v>
      </c>
      <c r="Y37" s="1439">
        <f t="shared" ca="1" si="8"/>
        <v>434.40000000000146</v>
      </c>
      <c r="Z37" s="1439">
        <f t="shared" ca="1" si="9"/>
        <v>7.7253066741573164</v>
      </c>
      <c r="AA37" s="1439">
        <f t="shared" ca="1" si="10"/>
        <v>0</v>
      </c>
      <c r="AB37" s="1439">
        <f t="shared" ca="1" si="11"/>
        <v>48</v>
      </c>
      <c r="AC37" s="1438">
        <f t="shared" ca="1" si="12"/>
        <v>0</v>
      </c>
      <c r="AD37" s="1438">
        <f ca="1">IF(B37&gt;=$J$5,0,CONTADORES!H29-CONTADORES!H28)</f>
        <v>162.09999999997672</v>
      </c>
      <c r="AE37" s="1438">
        <f ca="1">IF(B37&gt;=$J$5,0,CONTADORES!J29-CONTADORES!J28)</f>
        <v>24</v>
      </c>
      <c r="AF37" s="1438">
        <f ca="1">IF(B37&gt;=$J$5,0,CONTADORES!AS29-CONTADORES!AS28)</f>
        <v>143</v>
      </c>
      <c r="AG37" s="1438">
        <f ca="1">IF(B37&gt;=$J$5,0,CONTADORES!AU29-CONTADORES!AU28)</f>
        <v>24</v>
      </c>
      <c r="AH37" s="1438">
        <f ca="1">IF(B37&gt;=$J$5,0,(CONTADORES!AK29-CONTADORES!AK28)+(CONTADORES!K29-CONTADORES!K28))</f>
        <v>10.900000000001455</v>
      </c>
      <c r="AI37" s="1438">
        <f ca="1">IF(B37&gt;=$J$5,0,(CONTADORES!AI29-CONTADORES!AI28)+(CONTADORES!M29-CONTADORES!M28))</f>
        <v>37.299999999995634</v>
      </c>
      <c r="AJ37" s="1438">
        <f ca="1">IF(B37&gt;=$J$5,0,(CONTADORES!AG29-CONTADORES!AG28))</f>
        <v>8.5</v>
      </c>
      <c r="AK37" s="1438">
        <f ca="1">IF(B37&gt;=$J$5,0,(CONTADORES!O29-CONTADORES!O28))</f>
        <v>15</v>
      </c>
      <c r="AL37" s="1443">
        <f t="shared" ca="1" si="13"/>
        <v>31.600000000027592</v>
      </c>
      <c r="AM37" s="1438">
        <f ca="1">IF(B37&gt;=$J$5,0,(((CONTADORES!F29-CONTADORES!F28)+(CONTADORES!AO29-CONTADORES!AO28))))-BJ37-AF37-AN37-BM37-BP37-BU37-BS37</f>
        <v>8.7140000000003628</v>
      </c>
      <c r="AN37" s="1438">
        <f ca="1">IF(B37&gt;=$J$5,0,(CONTADORES!AV29-CONTADORES!AV28)+(CONTADORES!AX29-CONTADORES!AX28)+(CONTADORES!BC29-CONTADORES!BC28))-BS37</f>
        <v>1.8209999999998181</v>
      </c>
      <c r="AO37" s="1440">
        <f ca="1">IF(B37&gt;=$J$5,0,(CONTADORES!AA29-CONTADORES!AA28))</f>
        <v>145</v>
      </c>
      <c r="AP37" s="1440">
        <f ca="1">IF(B37&gt;=$J$5,0,(CONTADORES!V29-CONTADORES!V28))</f>
        <v>72.700000000000728</v>
      </c>
      <c r="AQ37" s="1445">
        <f ca="1">IF(B37&gt;=$J$5,0,(CONTADORES!C29-CONTADORES!C28))</f>
        <v>0</v>
      </c>
      <c r="AR37" s="1445">
        <f ca="1">IF(B37&gt;=$J$5,0,(CONTADORES!BA29-CONTADORES!BA28))</f>
        <v>0</v>
      </c>
      <c r="AS37" s="1438">
        <f ca="1">IF(B37&gt;=$J$5,0,CONTADORES!Q29-CONTADORES!Q28)</f>
        <v>16.5</v>
      </c>
      <c r="AT37" s="1438">
        <f ca="1">IF(B37&gt;=$J$5,0,(CONTADORES!S29-CONTADORES!S28)+(CONTADORES!AE29-CONTADORES!AE28))</f>
        <v>2.1999999999970896</v>
      </c>
      <c r="AU37" s="1438">
        <f>CONTADORES!I29-CONTADORES!I28</f>
        <v>82.5</v>
      </c>
      <c r="AV37" s="1438">
        <f>CONTADORES!AT29-CONTADORES!AT28</f>
        <v>62</v>
      </c>
      <c r="AW37" s="1438">
        <f ca="1">IF(B37&gt;=$J$5,0,(CONTADORES!L29-CONTADORES!L28)+(CONTADORES!AL29-CONTADORES!AL28))</f>
        <v>4.4000000000014552</v>
      </c>
      <c r="AX37" s="1438">
        <f ca="1">IF(B37&gt;=$J$5,0,(CONTADORES!N29-CONTADORES!N28)+(CONTADORES!AJ29-CONTADORES!AJ28))</f>
        <v>29.400000000001455</v>
      </c>
      <c r="AY37" s="1438">
        <f ca="1">IF(B37&gt;=$J$5,0,(CONTADORES!AH29-CONTADORES!AH28))</f>
        <v>6.6999999999970896</v>
      </c>
      <c r="AZ37" s="1438">
        <f ca="1">IF(B37&gt;=$J$5,0,(CONTADORES!P29-CONTADORES!P28))</f>
        <v>12</v>
      </c>
      <c r="BA37" s="1449">
        <f t="shared" ca="1" si="14"/>
        <v>11.748000000001241</v>
      </c>
      <c r="BB37" s="1447">
        <f ca="1">IF(B37&gt;=$J$5,0,(((CONTADORES!G29-CONTADORES!G28)+(CONTADORES!AP29-CONTADORES!AP28))))-AV37-BC37-BK37-BN37-BQ37-BV37</f>
        <v>2.1489999999998064</v>
      </c>
      <c r="BC37" s="1440">
        <f ca="1">IF(B37&gt;=$J$5,0,(CONTADORES!AW29-CONTADORES!AW28)+(CONTADORES!AY29-CONTADORES!AY28)+(CONTADORES!BD29-CONTADORES!BD28))-BT37</f>
        <v>1.1479999999998296</v>
      </c>
      <c r="BD37" s="1438">
        <f t="shared" ca="1" si="15"/>
        <v>217.70000000000073</v>
      </c>
      <c r="BE37" s="1438">
        <f ca="1">IF($B37&gt;=$J$5,0,CONTADORES!$BE29)</f>
        <v>7379.0700000000015</v>
      </c>
      <c r="BF37" s="1438">
        <f ca="1">IF($B37&gt;=$J$5,0,CONTADORES!$BF29)</f>
        <v>38135.370175438591</v>
      </c>
      <c r="BG37" s="1438">
        <f ca="1">IF($B37&gt;=$J$5,0,CONTADORES!$BH29)</f>
        <v>7006.51</v>
      </c>
      <c r="BH37" s="1438">
        <f ca="1">IF(B37&gt;=$J$5,0,(CONTADORES!AQ29-CONTADORES!AQ28))</f>
        <v>4.6999999999970896</v>
      </c>
      <c r="BI37" s="1438">
        <f ca="1">IF(C37&gt;=$J$5,0,(CONTADORES!AR29-CONTADORES!AR28))</f>
        <v>0</v>
      </c>
      <c r="BJ37" s="1438">
        <f ca="1">IF(B37&gt;=$J$5,0,CONTADORES!BI29-CONTADORES!BI28)/1000</f>
        <v>0</v>
      </c>
      <c r="BK37" s="1438">
        <f ca="1">IF(B37&gt;=$J$5,0,CONTADORES!BJ29-CONTADORES!BJ28)</f>
        <v>0</v>
      </c>
      <c r="BL37" s="1438">
        <f ca="1">IF(B37&gt;=$J$5,0,CONTADORES!BK29-CONTADORES!BK28)</f>
        <v>0</v>
      </c>
      <c r="BM37" s="1438">
        <f ca="1">IF(B37&gt;=$J$5,0,CONTADORES!BL29-CONTADORES!BL28)/1000</f>
        <v>4.4080000000000004</v>
      </c>
      <c r="BN37" s="1438">
        <f ca="1">IF(B37&gt;=$J$5,0,CONTADORES!BM29-CONTADORES!BM28)/1000</f>
        <v>0.55400000000000005</v>
      </c>
      <c r="BO37" s="1438">
        <f ca="1">IF(B37&gt;=$J$5,0,CONTADORES!BN29-CONTADORES!BN28)</f>
        <v>24</v>
      </c>
      <c r="BP37" s="1438">
        <f ca="1">IF(B37&gt;=$J$5,0,CONTADORES!BO29-CONTADORES!BO28)/1000</f>
        <v>3.4780000000000002</v>
      </c>
      <c r="BQ37" s="1438">
        <f ca="1">IF(B37&gt;=$J$5,0,CONTADORES!BP29-CONTADORES!BP28)/1000</f>
        <v>4.9000000000000002E-2</v>
      </c>
      <c r="BR37" s="1438">
        <f ca="1">IF(B37&gt;=$J$5,0,CONTADORES!BQ29-CONTADORES!BQ28)</f>
        <v>24</v>
      </c>
      <c r="BS37" s="1438">
        <f ca="1">IF(B37&gt;=$J$5,0,(CONTADORES!BT29-CONTADORES!BT28)+(CONTADORES!BV29-CONTADORES!BV28))/1000</f>
        <v>1.379</v>
      </c>
      <c r="BT37" s="1438">
        <f ca="1">IF(B37&gt;=$J$5,0,(CONTADORES!BU29-CONTADORES!BU28)+(CONTADORES!BW29-CONTADORES!BW28))/1000</f>
        <v>0.85199999999999998</v>
      </c>
      <c r="BU37" s="1438">
        <f ca="1">IF(B37&gt;=$J$5,0,CONTADORES!BR29-CONTADORES!BR28)</f>
        <v>6.1999999999998181</v>
      </c>
      <c r="BV37" s="1438">
        <f ca="1">IF(B37&gt;=$J$5,0,CONTADORES!BS29-CONTADORES!BS28)</f>
        <v>4.1999999999998181</v>
      </c>
      <c r="BW37" s="1438">
        <f t="shared" ca="1" si="16"/>
        <v>10.556999999999999</v>
      </c>
      <c r="BX37" s="1438">
        <f t="shared" ca="1" si="17"/>
        <v>5.2744999999997209</v>
      </c>
      <c r="BY37" s="1438">
        <f t="shared" ca="1" si="18"/>
        <v>4.3570000000001814</v>
      </c>
      <c r="BZ37" s="1438">
        <f t="shared" ca="1" si="19"/>
        <v>0.72839999999992733</v>
      </c>
      <c r="CA37" s="1438">
        <f t="shared" ca="1" si="20"/>
        <v>4.3570000000001814</v>
      </c>
      <c r="CB37" s="1438">
        <f t="shared" ca="1" si="21"/>
        <v>1.0925999999998908</v>
      </c>
      <c r="CC37" s="1438">
        <f t="shared" ca="1" si="22"/>
        <v>2.1073999999999273</v>
      </c>
      <c r="CD37" s="1438">
        <f t="shared" ca="1" si="23"/>
        <v>1.0744999999999032</v>
      </c>
      <c r="CE37" s="1438">
        <f ca="1">IF(B37&gt;=$J$5,0,CONTADORES!BS29-CONTADORES!BS28)</f>
        <v>4.1999999999998181</v>
      </c>
      <c r="CF37" s="1438">
        <f t="shared" ca="1" si="24"/>
        <v>1.0744999999999032</v>
      </c>
      <c r="CG37" s="1438">
        <f t="shared" ca="1" si="25"/>
        <v>0.5739999999999148</v>
      </c>
      <c r="CH37" s="1438">
        <f t="shared" ca="1" si="26"/>
        <v>0.5739999999999148</v>
      </c>
      <c r="CI37" s="1438">
        <f t="shared" ca="1" si="27"/>
        <v>1.4259999999999149</v>
      </c>
      <c r="CJ37" s="1444">
        <f ca="1">IF($B37&gt;=$J$5,0,CONTADORES!$BG29)</f>
        <v>10918.751012196602</v>
      </c>
      <c r="CK37" s="1384">
        <f>CONTADORES!E29</f>
        <v>0</v>
      </c>
      <c r="CL37" s="1384">
        <f>CONTADORES!BX29</f>
        <v>0</v>
      </c>
    </row>
    <row r="38" spans="2:90">
      <c r="B38" s="220">
        <v>44954</v>
      </c>
      <c r="C38" s="204">
        <f t="shared" ca="1" si="0"/>
        <v>293</v>
      </c>
      <c r="D38" s="202">
        <f ca="1">'CALCULO DE GAS'!D31</f>
        <v>4.4247656966292155</v>
      </c>
      <c r="E38" s="202">
        <f ca="1">IF(B38&gt;=$J$5,0,(CONTADORES!$AB30-CONTADORES!$AB29)-$H38)</f>
        <v>24</v>
      </c>
      <c r="F38" s="204">
        <f t="shared" ca="1" si="28"/>
        <v>0</v>
      </c>
      <c r="G38" s="202">
        <f ca="1">IF(B38&gt;=$J$5,0,CONTADORES!$AD30-CONTADORES!$AD29)</f>
        <v>0</v>
      </c>
      <c r="H38" s="1437">
        <f ca="1">IF(G38&gt;0,CONTADORES!$AC30-CONTADORES!$AC29,0)</f>
        <v>0</v>
      </c>
      <c r="I38" s="205">
        <f ca="1">IF(B38&gt;=$J$5,0,CONTADORES!$Z30-CONTADORES!$Z29)</f>
        <v>293</v>
      </c>
      <c r="J38" s="204">
        <f t="shared" ca="1" si="2"/>
        <v>149.69999999999709</v>
      </c>
      <c r="K38" s="202">
        <f ca="1">'CALCULO DE GAS'!E31</f>
        <v>3.3620915393258217</v>
      </c>
      <c r="L38" s="1437">
        <f ca="1">IF(B38&gt;=$J$5,0,(CONTADORES!$W30-CONTADORES!$W29)-$O38)</f>
        <v>24</v>
      </c>
      <c r="M38" s="1437">
        <f t="shared" ca="1" si="3"/>
        <v>0</v>
      </c>
      <c r="N38" s="1437">
        <f ca="1">IF(B38&gt;=$J$5,0,CONTADORES!$Y30-CONTADORES!$Y29)</f>
        <v>0</v>
      </c>
      <c r="O38" s="1437">
        <f ca="1">IF(N38&gt;0,CONTADORES!$X30-CONTADORES!$X29,0)</f>
        <v>0</v>
      </c>
      <c r="P38" s="208">
        <f ca="1">IF(B38&gt;=$J$5,0,CONTADORES!$U30-CONTADORES!$U29)</f>
        <v>149.69999999999709</v>
      </c>
      <c r="Q38" s="208">
        <f ca="1">IF(B38&gt;=$J$5,0,CONTADORES!$B30-CONTADORES!$B29)</f>
        <v>8.0000000000381988E-3</v>
      </c>
      <c r="R38" s="202">
        <f t="shared" ca="1" si="4"/>
        <v>0.96000000000458385</v>
      </c>
      <c r="S38" s="11">
        <f ca="1">IF(B38&gt;=$J$5,0,CONTADORES!$D30-CONTADORES!$D29)</f>
        <v>0.3999999999996362</v>
      </c>
      <c r="T38" s="215">
        <f ca="1">IF(B38&gt;=$J$5,0,CONTADORES!$AZ30-CONTADORES!$AZ29)</f>
        <v>0</v>
      </c>
      <c r="U38" s="202">
        <f t="shared" ca="1" si="5"/>
        <v>0</v>
      </c>
      <c r="V38" s="205">
        <f ca="1">IF(B38&gt;=$J$5,0,CONTADORES!$BB30-CONTADORES!$BB29)</f>
        <v>0</v>
      </c>
      <c r="W38" s="1438">
        <f t="shared" ca="1" si="6"/>
        <v>442.69999999999709</v>
      </c>
      <c r="X38" s="1438">
        <f t="shared" ca="1" si="7"/>
        <v>8.0000000000381988E-3</v>
      </c>
      <c r="Y38" s="1439">
        <f t="shared" ca="1" si="8"/>
        <v>442.70799999999713</v>
      </c>
      <c r="Z38" s="1439">
        <f t="shared" ca="1" si="9"/>
        <v>7.7868572359550372</v>
      </c>
      <c r="AA38" s="1439">
        <f t="shared" ca="1" si="10"/>
        <v>0.96000000000458385</v>
      </c>
      <c r="AB38" s="1439">
        <f t="shared" ca="1" si="11"/>
        <v>48</v>
      </c>
      <c r="AC38" s="1438">
        <f t="shared" ca="1" si="12"/>
        <v>0.3999999999996362</v>
      </c>
      <c r="AD38" s="1438">
        <f ca="1">IF(B38&gt;=$J$5,0,CONTADORES!H30-CONTADORES!H29)</f>
        <v>164.80000000004657</v>
      </c>
      <c r="AE38" s="1438">
        <f ca="1">IF(B38&gt;=$J$5,0,CONTADORES!J30-CONTADORES!J29)</f>
        <v>24</v>
      </c>
      <c r="AF38" s="1438">
        <f ca="1">IF(B38&gt;=$J$5,0,CONTADORES!AS30-CONTADORES!AS29)</f>
        <v>142</v>
      </c>
      <c r="AG38" s="1438">
        <f ca="1">IF(B38&gt;=$J$5,0,CONTADORES!AU30-CONTADORES!AU29)</f>
        <v>24</v>
      </c>
      <c r="AH38" s="1438">
        <f ca="1">IF(B38&gt;=$J$5,0,(CONTADORES!AK30-CONTADORES!AK29)+(CONTADORES!K30-CONTADORES!K29))</f>
        <v>13</v>
      </c>
      <c r="AI38" s="1438">
        <f ca="1">IF(B38&gt;=$J$5,0,(CONTADORES!AI30-CONTADORES!AI29)+(CONTADORES!M30-CONTADORES!M29))</f>
        <v>40.200000000004366</v>
      </c>
      <c r="AJ38" s="1438">
        <f ca="1">IF(B38&gt;=$J$5,0,(CONTADORES!AG30-CONTADORES!AG29))</f>
        <v>7.5</v>
      </c>
      <c r="AK38" s="1438">
        <f ca="1">IF(B38&gt;=$J$5,0,(CONTADORES!O30-CONTADORES!O29))</f>
        <v>16</v>
      </c>
      <c r="AL38" s="1443">
        <f t="shared" ca="1" si="13"/>
        <v>30.607999999958508</v>
      </c>
      <c r="AM38" s="1438">
        <f ca="1">IF(B38&gt;=$J$5,0,(((CONTADORES!F30-CONTADORES!F29)+(CONTADORES!AO30-CONTADORES!AO29))))-BJ38-AF38-AN38-BM38-BP38-BU38-BS38</f>
        <v>11.007999999986811</v>
      </c>
      <c r="AN38" s="1438">
        <f ca="1">IF(B38&gt;=$J$5,0,(CONTADORES!AV30-CONTADORES!AV29)+(CONTADORES!AX30-CONTADORES!AX29)+(CONTADORES!BC30-CONTADORES!BC29))-BS38</f>
        <v>1.9360000000006365</v>
      </c>
      <c r="AO38" s="1440">
        <f ca="1">IF(B38&gt;=$J$5,0,(CONTADORES!AA30-CONTADORES!AA29))</f>
        <v>147</v>
      </c>
      <c r="AP38" s="1440">
        <f ca="1">IF(B38&gt;=$J$5,0,(CONTADORES!V30-CONTADORES!V29))</f>
        <v>75.600000000000364</v>
      </c>
      <c r="AQ38" s="1445">
        <f ca="1">IF(B38&gt;=$J$5,0,(CONTADORES!C30-CONTADORES!C29))</f>
        <v>2.9999999999290594E-3</v>
      </c>
      <c r="AR38" s="1445">
        <f ca="1">IF(B38&gt;=$J$5,0,(CONTADORES!BA30-CONTADORES!BA29))</f>
        <v>0</v>
      </c>
      <c r="AS38" s="1438">
        <f ca="1">IF(B38&gt;=$J$5,0,CONTADORES!Q30-CONTADORES!Q29)</f>
        <v>16</v>
      </c>
      <c r="AT38" s="1438">
        <f ca="1">IF(B38&gt;=$J$5,0,(CONTADORES!S30-CONTADORES!S29)+(CONTADORES!AE30-CONTADORES!AE29))</f>
        <v>2.1000000000058208</v>
      </c>
      <c r="AU38" s="1438">
        <f>CONTADORES!I30-CONTADORES!I29</f>
        <v>83.200000000011642</v>
      </c>
      <c r="AV38" s="1438">
        <f>CONTADORES!AT30-CONTADORES!AT29</f>
        <v>62</v>
      </c>
      <c r="AW38" s="1438">
        <f ca="1">IF(B38&gt;=$J$5,0,(CONTADORES!L30-CONTADORES!L29)+(CONTADORES!AL30-CONTADORES!AL29))</f>
        <v>5.0999999999985448</v>
      </c>
      <c r="AX38" s="1438">
        <f ca="1">IF(B38&gt;=$J$5,0,(CONTADORES!N30-CONTADORES!N29)+(CONTADORES!AJ30-CONTADORES!AJ29))</f>
        <v>32.099999999998545</v>
      </c>
      <c r="AY38" s="1438">
        <f ca="1">IF(B38&gt;=$J$5,0,(CONTADORES!AH30-CONTADORES!AH29))</f>
        <v>5.8000000000029104</v>
      </c>
      <c r="AZ38" s="1438">
        <f ca="1">IF(B38&gt;=$J$5,0,(CONTADORES!P30-CONTADORES!P29))</f>
        <v>13</v>
      </c>
      <c r="BA38" s="1449">
        <f t="shared" ca="1" si="14"/>
        <v>10.661999999994492</v>
      </c>
      <c r="BB38" s="1447">
        <f ca="1">IF(B38&gt;=$J$5,0,(((CONTADORES!G30-CONTADORES!G29)+(CONTADORES!AP30-CONTADORES!AP29))))-AV38-BC38-BK38-BN38-BQ38-BV38</f>
        <v>3.4779999999933597</v>
      </c>
      <c r="BC38" s="1440">
        <f ca="1">IF(B38&gt;=$J$5,0,(CONTADORES!AW30-CONTADORES!AW29)+(CONTADORES!AY30-CONTADORES!AY29)+(CONTADORES!BD30-CONTADORES!BD29))-BT38</f>
        <v>1.3590000000002729</v>
      </c>
      <c r="BD38" s="1438">
        <f t="shared" ca="1" si="15"/>
        <v>222.60300000000029</v>
      </c>
      <c r="BE38" s="1438">
        <f ca="1">IF($B38&gt;=$J$5,0,CONTADORES!$BE30)</f>
        <v>6874.29</v>
      </c>
      <c r="BF38" s="1438">
        <f ca="1">IF($B38&gt;=$J$5,0,CONTADORES!$BF30)</f>
        <v>38164.322807017539</v>
      </c>
      <c r="BG38" s="1438">
        <f ca="1">IF($B38&gt;=$J$5,0,CONTADORES!$BH30)</f>
        <v>6470.8799999999992</v>
      </c>
      <c r="BH38" s="1438">
        <f ca="1">IF(B38&gt;=$J$5,0,(CONTADORES!AQ30-CONTADORES!AQ29))</f>
        <v>4.1000000000058208</v>
      </c>
      <c r="BI38" s="1438">
        <f ca="1">IF(C38&gt;=$J$5,0,(CONTADORES!AR30-CONTADORES!AR29))</f>
        <v>0</v>
      </c>
      <c r="BJ38" s="1438">
        <f ca="1">IF(B38&gt;=$J$5,0,CONTADORES!BI30-CONTADORES!BI29)/1000</f>
        <v>0</v>
      </c>
      <c r="BK38" s="1438">
        <f ca="1">IF(B38&gt;=$J$5,0,CONTADORES!BJ30-CONTADORES!BJ29)</f>
        <v>0</v>
      </c>
      <c r="BL38" s="1438">
        <f ca="1">IF(B38&gt;=$J$5,0,CONTADORES!BK30-CONTADORES!BK29)</f>
        <v>0</v>
      </c>
      <c r="BM38" s="1438">
        <f ca="1">IF(B38&gt;=$J$5,0,CONTADORES!BL30-CONTADORES!BL29)/1000</f>
        <v>4.4820000000000002</v>
      </c>
      <c r="BN38" s="1438">
        <f ca="1">IF(B38&gt;=$J$5,0,CONTADORES!BM30-CONTADORES!BM29)/1000</f>
        <v>0.61199999999999999</v>
      </c>
      <c r="BO38" s="1438">
        <f ca="1">IF(B38&gt;=$J$5,0,CONTADORES!BN30-CONTADORES!BN29)</f>
        <v>24</v>
      </c>
      <c r="BP38" s="1438">
        <f ca="1">IF(B38&gt;=$J$5,0,CONTADORES!BO30-CONTADORES!BO29)/1000</f>
        <v>3.51</v>
      </c>
      <c r="BQ38" s="1438">
        <f ca="1">IF(B38&gt;=$J$5,0,CONTADORES!BP30-CONTADORES!BP29)/1000</f>
        <v>5.0999999999999997E-2</v>
      </c>
      <c r="BR38" s="1438">
        <f ca="1">IF(B38&gt;=$J$5,0,CONTADORES!BQ30-CONTADORES!BQ29)</f>
        <v>24</v>
      </c>
      <c r="BS38" s="1438">
        <f ca="1">IF(B38&gt;=$J$5,0,(CONTADORES!BT30-CONTADORES!BT29)+(CONTADORES!BV30-CONTADORES!BV29))/1000</f>
        <v>1.3640000000000001</v>
      </c>
      <c r="BT38" s="1438">
        <f ca="1">IF(B38&gt;=$J$5,0,(CONTADORES!BU30-CONTADORES!BU29)+(CONTADORES!BW30-CONTADORES!BW29))/1000</f>
        <v>0.84099999999999997</v>
      </c>
      <c r="BU38" s="1438">
        <f ca="1">IF(B38&gt;=$J$5,0,CONTADORES!BR30-CONTADORES!BR29)</f>
        <v>6.3000000000001819</v>
      </c>
      <c r="BV38" s="1438">
        <f ca="1">IF(B38&gt;=$J$5,0,CONTADORES!BS30-CONTADORES!BS29)</f>
        <v>4.4000000000005457</v>
      </c>
      <c r="BW38" s="1438">
        <f t="shared" ca="1" si="16"/>
        <v>11.803999999993588</v>
      </c>
      <c r="BX38" s="1438">
        <f t="shared" ca="1" si="17"/>
        <v>6.1389999999972256</v>
      </c>
      <c r="BY38" s="1438">
        <f t="shared" ca="1" si="18"/>
        <v>5.5039999999934057</v>
      </c>
      <c r="BZ38" s="1438">
        <f t="shared" ca="1" si="19"/>
        <v>0.77440000000025466</v>
      </c>
      <c r="CA38" s="1438">
        <f t="shared" ca="1" si="20"/>
        <v>5.5039999999934057</v>
      </c>
      <c r="CB38" s="1438">
        <f t="shared" ca="1" si="21"/>
        <v>1.1616000000003819</v>
      </c>
      <c r="CC38" s="1438">
        <f t="shared" ca="1" si="22"/>
        <v>2.1384000000002548</v>
      </c>
      <c r="CD38" s="1438">
        <f t="shared" ca="1" si="23"/>
        <v>1.7389999999966799</v>
      </c>
      <c r="CE38" s="1438">
        <f ca="1">IF(B38&gt;=$J$5,0,CONTADORES!BS30-CONTADORES!BS29)</f>
        <v>4.4000000000005457</v>
      </c>
      <c r="CF38" s="1438">
        <f t="shared" ca="1" si="24"/>
        <v>1.7389999999966799</v>
      </c>
      <c r="CG38" s="1438">
        <f t="shared" ca="1" si="25"/>
        <v>0.67950000000013644</v>
      </c>
      <c r="CH38" s="1438">
        <f t="shared" ca="1" si="26"/>
        <v>0.67950000000013644</v>
      </c>
      <c r="CI38" s="1438">
        <f t="shared" ca="1" si="27"/>
        <v>1.5205000000001365</v>
      </c>
      <c r="CJ38" s="1444">
        <f ca="1">IF($B38&gt;=$J$5,0,CONTADORES!$BG30)</f>
        <v>11446.8495676369</v>
      </c>
      <c r="CK38" s="1384">
        <f>CONTADORES!E30</f>
        <v>1</v>
      </c>
      <c r="CL38" s="1384">
        <f>CONTADORES!BX30</f>
        <v>0</v>
      </c>
    </row>
    <row r="39" spans="2:90">
      <c r="B39" s="220">
        <v>44955</v>
      </c>
      <c r="C39" s="204">
        <f t="shared" ca="1" si="0"/>
        <v>293</v>
      </c>
      <c r="D39" s="202">
        <f ca="1">'CALCULO DE GAS'!D32</f>
        <v>4.4247656966292155</v>
      </c>
      <c r="E39" s="202">
        <f ca="1">IF(B39&gt;=$J$5,0,(CONTADORES!$AB31-CONTADORES!$AB30)-$H39)</f>
        <v>24</v>
      </c>
      <c r="F39" s="204">
        <f t="shared" ca="1" si="28"/>
        <v>0</v>
      </c>
      <c r="G39" s="202">
        <f ca="1">IF(B39&gt;=$J$5,0,CONTADORES!$AD31-CONTADORES!$AD30)</f>
        <v>0</v>
      </c>
      <c r="H39" s="1437">
        <f ca="1">IF(G39&gt;0,CONTADORES!$AC31-CONTADORES!$AC30,0)</f>
        <v>0</v>
      </c>
      <c r="I39" s="205">
        <f ca="1">IF(B39&gt;=$J$5,0,CONTADORES!$Z31-CONTADORES!$Z30)</f>
        <v>293</v>
      </c>
      <c r="J39" s="204">
        <f t="shared" ca="1" si="2"/>
        <v>150</v>
      </c>
      <c r="K39" s="202">
        <f ca="1">'CALCULO DE GAS'!E32</f>
        <v>3.3643162584269666</v>
      </c>
      <c r="L39" s="1437">
        <f ca="1">IF(B39&gt;=$J$5,0,(CONTADORES!$W31-CONTADORES!$W30)-$O39)</f>
        <v>24</v>
      </c>
      <c r="M39" s="1437">
        <f t="shared" ca="1" si="3"/>
        <v>0</v>
      </c>
      <c r="N39" s="1437">
        <f ca="1">IF(B39&gt;=$J$5,0,CONTADORES!$Y31-CONTADORES!$Y30)</f>
        <v>0</v>
      </c>
      <c r="O39" s="1437">
        <f ca="1">IF(N39&gt;0,CONTADORES!$X31-CONTADORES!$X30,0)</f>
        <v>0</v>
      </c>
      <c r="P39" s="208">
        <f ca="1">IF(B39&gt;=$J$5,0,CONTADORES!$U31-CONTADORES!$U30)</f>
        <v>150</v>
      </c>
      <c r="Q39" s="208">
        <f ca="1">IF(B39&gt;=$J$5,0,CONTADORES!$B31-CONTADORES!$B30)</f>
        <v>0</v>
      </c>
      <c r="R39" s="202">
        <f t="shared" ca="1" si="4"/>
        <v>0</v>
      </c>
      <c r="S39" s="11">
        <f ca="1">IF(B39&gt;=$J$5,0,CONTADORES!$D31-CONTADORES!$D30)</f>
        <v>0</v>
      </c>
      <c r="T39" s="215">
        <f ca="1">IF(B39&gt;=$J$5,0,CONTADORES!$AZ31-CONTADORES!$AZ30)</f>
        <v>0</v>
      </c>
      <c r="U39" s="202">
        <f t="shared" ca="1" si="5"/>
        <v>0</v>
      </c>
      <c r="V39" s="205">
        <f ca="1">IF(B39&gt;=$J$5,0,CONTADORES!$BB31-CONTADORES!$BB30)</f>
        <v>0</v>
      </c>
      <c r="W39" s="1438">
        <f t="shared" ca="1" si="6"/>
        <v>443</v>
      </c>
      <c r="X39" s="1438">
        <f t="shared" ca="1" si="7"/>
        <v>0</v>
      </c>
      <c r="Y39" s="1439">
        <f t="shared" ca="1" si="8"/>
        <v>443</v>
      </c>
      <c r="Z39" s="1439">
        <f t="shared" ca="1" si="9"/>
        <v>7.7890819550561821</v>
      </c>
      <c r="AA39" s="1439">
        <f t="shared" ca="1" si="10"/>
        <v>0</v>
      </c>
      <c r="AB39" s="1439">
        <f t="shared" ca="1" si="11"/>
        <v>48</v>
      </c>
      <c r="AC39" s="1438">
        <f t="shared" ca="1" si="12"/>
        <v>0</v>
      </c>
      <c r="AD39" s="1438">
        <f ca="1">IF(B39&gt;=$J$5,0,CONTADORES!H31-CONTADORES!H30)</f>
        <v>167.90000000002328</v>
      </c>
      <c r="AE39" s="1438">
        <f ca="1">IF(B39&gt;=$J$5,0,CONTADORES!J31-CONTADORES!J30)</f>
        <v>24</v>
      </c>
      <c r="AF39" s="1438">
        <f ca="1">IF(B39&gt;=$J$5,0,CONTADORES!AS31-CONTADORES!AS30)</f>
        <v>144</v>
      </c>
      <c r="AG39" s="1438">
        <f ca="1">IF(B39&gt;=$J$5,0,CONTADORES!AU31-CONTADORES!AU30)</f>
        <v>24</v>
      </c>
      <c r="AH39" s="1438">
        <f ca="1">IF(B39&gt;=$J$5,0,(CONTADORES!AK31-CONTADORES!AK30)+(CONTADORES!K31-CONTADORES!K30))</f>
        <v>9.4000000000014552</v>
      </c>
      <c r="AI39" s="1438">
        <f ca="1">IF(B39&gt;=$J$5,0,(CONTADORES!AI31-CONTADORES!AI30)+(CONTADORES!M31-CONTADORES!M30))</f>
        <v>41.799999999995634</v>
      </c>
      <c r="AJ39" s="1438">
        <f ca="1">IF(B39&gt;=$J$5,0,(CONTADORES!AG31-CONTADORES!AG30))</f>
        <v>6.1000000000058208</v>
      </c>
      <c r="AK39" s="1438">
        <f ca="1">IF(B39&gt;=$J$5,0,(CONTADORES!O31-CONTADORES!O30))</f>
        <v>15.600000000005821</v>
      </c>
      <c r="AL39" s="1443">
        <f t="shared" ca="1" si="13"/>
        <v>32.599999999956708</v>
      </c>
      <c r="AM39" s="1438">
        <f ca="1">IF(B39&gt;=$J$5,0,(((CONTADORES!F31-CONTADORES!F30)+(CONTADORES!AO31-CONTADORES!AO30))))-BJ39-AF39-AN39-BM39-BP39-BU39-BS39</f>
        <v>7.3650000000121842</v>
      </c>
      <c r="AN39" s="1438">
        <f ca="1">IF(B39&gt;=$J$5,0,(CONTADORES!AV31-CONTADORES!AV30)+(CONTADORES!AX31-CONTADORES!AX30)+(CONTADORES!BC31-CONTADORES!BC30))-BS39</f>
        <v>2.1969999999994543</v>
      </c>
      <c r="AO39" s="1440">
        <f ca="1">IF(B39&gt;=$J$5,0,(CONTADORES!AA31-CONTADORES!AA30))</f>
        <v>147</v>
      </c>
      <c r="AP39" s="1440">
        <f ca="1">IF(B39&gt;=$J$5,0,(CONTADORES!V31-CONTADORES!V30))</f>
        <v>75.799999999999272</v>
      </c>
      <c r="AQ39" s="1445">
        <f ca="1">IF(B39&gt;=$J$5,0,(CONTADORES!C31-CONTADORES!C30))</f>
        <v>0</v>
      </c>
      <c r="AR39" s="1445">
        <f ca="1">IF(B39&gt;=$J$5,0,(CONTADORES!BA31-CONTADORES!BA30))</f>
        <v>0</v>
      </c>
      <c r="AS39" s="1438">
        <f ca="1">IF(B39&gt;=$J$5,0,CONTADORES!Q31-CONTADORES!Q30)</f>
        <v>16</v>
      </c>
      <c r="AT39" s="1438">
        <f ca="1">IF(B39&gt;=$J$5,0,(CONTADORES!S31-CONTADORES!S30)+(CONTADORES!AE31-CONTADORES!AE30))</f>
        <v>2.1999999999970896</v>
      </c>
      <c r="AU39" s="1438">
        <f>CONTADORES!I31-CONTADORES!I30</f>
        <v>84.799999999988358</v>
      </c>
      <c r="AV39" s="1438">
        <f>CONTADORES!AT31-CONTADORES!AT30</f>
        <v>62</v>
      </c>
      <c r="AW39" s="1438">
        <f ca="1">IF(B39&gt;=$J$5,0,(CONTADORES!L31-CONTADORES!L30)+(CONTADORES!AL31-CONTADORES!AL30))</f>
        <v>3.5</v>
      </c>
      <c r="AX39" s="1438">
        <f ca="1">IF(B39&gt;=$J$5,0,(CONTADORES!N31-CONTADORES!N30)+(CONTADORES!AJ31-CONTADORES!AJ30))</f>
        <v>33.299999999995634</v>
      </c>
      <c r="AY39" s="1438">
        <f ca="1">IF(B39&gt;=$J$5,0,(CONTADORES!AH31-CONTADORES!AH30))</f>
        <v>4.8000000000029104</v>
      </c>
      <c r="AZ39" s="1438">
        <f ca="1">IF(B39&gt;=$J$5,0,(CONTADORES!P31-CONTADORES!P30))</f>
        <v>13.5</v>
      </c>
      <c r="BA39" s="1449">
        <f t="shared" ca="1" si="14"/>
        <v>11.740000000005836</v>
      </c>
      <c r="BB39" s="1447">
        <f ca="1">IF(B39&gt;=$J$5,0,(((CONTADORES!G31-CONTADORES!G30)+(CONTADORES!AP31-CONTADORES!AP30))))-AV39-BC39-BK39-BN39-BQ39-BV39</f>
        <v>1.8920000000064459</v>
      </c>
      <c r="BC39" s="1440">
        <f ca="1">IF(B39&gt;=$J$5,0,(CONTADORES!AW31-CONTADORES!AW30)+(CONTADORES!AY31-CONTADORES!AY30)+(CONTADORES!BD31-CONTADORES!BD30))-BT39</f>
        <v>1.3400000000001024</v>
      </c>
      <c r="BD39" s="1438">
        <f t="shared" ca="1" si="15"/>
        <v>222.79999999999927</v>
      </c>
      <c r="BE39" s="1438">
        <f ca="1">IF($B39&gt;=$J$5,0,CONTADORES!$BE31)</f>
        <v>6774.5299999999988</v>
      </c>
      <c r="BF39" s="1438">
        <f ca="1">IF($B39&gt;=$J$5,0,CONTADORES!$BF31)</f>
        <v>36168.259649122811</v>
      </c>
      <c r="BG39" s="1438">
        <f ca="1">IF($B39&gt;=$J$5,0,CONTADORES!$BH31)</f>
        <v>6106.58</v>
      </c>
      <c r="BH39" s="1438">
        <f ca="1">IF(B39&gt;=$J$5,0,(CONTADORES!AQ31-CONTADORES!AQ30))</f>
        <v>4.2999999999956344</v>
      </c>
      <c r="BI39" s="1438">
        <f ca="1">IF(C39&gt;=$J$5,0,(CONTADORES!AR31-CONTADORES!AR30))</f>
        <v>0</v>
      </c>
      <c r="BJ39" s="1438">
        <f ca="1">IF(B39&gt;=$J$5,0,CONTADORES!BI31-CONTADORES!BI30)/1000</f>
        <v>0</v>
      </c>
      <c r="BK39" s="1438">
        <f ca="1">IF(B39&gt;=$J$5,0,CONTADORES!BJ31-CONTADORES!BJ30)</f>
        <v>0</v>
      </c>
      <c r="BL39" s="1438">
        <f ca="1">IF(B39&gt;=$J$5,0,CONTADORES!BK31-CONTADORES!BK30)</f>
        <v>0</v>
      </c>
      <c r="BM39" s="1438">
        <f ca="1">IF(B39&gt;=$J$5,0,CONTADORES!BL31-CONTADORES!BL30)/1000</f>
        <v>4.5789999999999997</v>
      </c>
      <c r="BN39" s="1438">
        <f ca="1">IF(B39&gt;=$J$5,0,CONTADORES!BM31-CONTADORES!BM30)/1000</f>
        <v>0.53200000000000003</v>
      </c>
      <c r="BO39" s="1438">
        <f ca="1">IF(B39&gt;=$J$5,0,CONTADORES!BN31-CONTADORES!BN30)</f>
        <v>24</v>
      </c>
      <c r="BP39" s="1438">
        <f ca="1">IF(B39&gt;=$J$5,0,CONTADORES!BO31-CONTADORES!BO30)/1000</f>
        <v>3.6560000000000001</v>
      </c>
      <c r="BQ39" s="1438">
        <f ca="1">IF(B39&gt;=$J$5,0,CONTADORES!BP31-CONTADORES!BP30)/1000</f>
        <v>3.5999999999999997E-2</v>
      </c>
      <c r="BR39" s="1438">
        <f ca="1">IF(B39&gt;=$J$5,0,CONTADORES!BQ31-CONTADORES!BQ30)</f>
        <v>24</v>
      </c>
      <c r="BS39" s="1438">
        <f ca="1">IF(B39&gt;=$J$5,0,(CONTADORES!BT31-CONTADORES!BT30)+(CONTADORES!BV31-CONTADORES!BV30))/1000</f>
        <v>1.403</v>
      </c>
      <c r="BT39" s="1438">
        <f ca="1">IF(B39&gt;=$J$5,0,(CONTADORES!BU31-CONTADORES!BU30)+(CONTADORES!BW31-CONTADORES!BW30))/1000</f>
        <v>0.86</v>
      </c>
      <c r="BU39" s="1438">
        <f ca="1">IF(B39&gt;=$J$5,0,CONTADORES!BR31-CONTADORES!BR30)</f>
        <v>6.3999999999996362</v>
      </c>
      <c r="BV39" s="1438">
        <f ca="1">IF(B39&gt;=$J$5,0,CONTADORES!BS31-CONTADORES!BS30)</f>
        <v>4.5</v>
      </c>
      <c r="BW39" s="1438">
        <f t="shared" ca="1" si="16"/>
        <v>10.082500000005728</v>
      </c>
      <c r="BX39" s="1438">
        <f t="shared" ca="1" si="17"/>
        <v>5.4460000000032229</v>
      </c>
      <c r="BY39" s="1438">
        <f t="shared" ca="1" si="18"/>
        <v>3.6825000000060921</v>
      </c>
      <c r="BZ39" s="1438">
        <f t="shared" ca="1" si="19"/>
        <v>0.87879999999978176</v>
      </c>
      <c r="CA39" s="1438">
        <f t="shared" ca="1" si="20"/>
        <v>3.6825000000060921</v>
      </c>
      <c r="CB39" s="1438">
        <f t="shared" ca="1" si="21"/>
        <v>1.3181999999996725</v>
      </c>
      <c r="CC39" s="1438">
        <f t="shared" ca="1" si="22"/>
        <v>2.281799999999782</v>
      </c>
      <c r="CD39" s="1438">
        <f t="shared" ca="1" si="23"/>
        <v>0.94600000000322293</v>
      </c>
      <c r="CE39" s="1438">
        <f ca="1">IF(B39&gt;=$J$5,0,CONTADORES!BS31-CONTADORES!BS30)</f>
        <v>4.5</v>
      </c>
      <c r="CF39" s="1438">
        <f t="shared" ca="1" si="24"/>
        <v>0.94600000000322293</v>
      </c>
      <c r="CG39" s="1438">
        <f t="shared" ca="1" si="25"/>
        <v>0.67000000000005122</v>
      </c>
      <c r="CH39" s="1438">
        <f t="shared" ca="1" si="26"/>
        <v>0.67000000000005122</v>
      </c>
      <c r="CI39" s="1438">
        <f t="shared" ca="1" si="27"/>
        <v>1.5300000000000513</v>
      </c>
      <c r="CJ39" s="1444">
        <f ca="1">IF($B39&gt;=$J$5,0,CONTADORES!$BG31)</f>
        <v>10729.926549251863</v>
      </c>
      <c r="CK39" s="1384">
        <f>CONTADORES!E31</f>
        <v>0</v>
      </c>
      <c r="CL39" s="1384">
        <f>CONTADORES!BX31</f>
        <v>0</v>
      </c>
    </row>
    <row r="40" spans="2:90">
      <c r="B40" s="220">
        <v>44956</v>
      </c>
      <c r="C40" s="204">
        <f t="shared" ca="1" si="0"/>
        <v>287.09999999997672</v>
      </c>
      <c r="D40" s="202">
        <f ca="1">'CALCULO DE GAS'!D33</f>
        <v>4.3810128876402779</v>
      </c>
      <c r="E40" s="202">
        <f ca="1">IF(B40&gt;=$J$5,0,(CONTADORES!$AB32-CONTADORES!$AB31)-$H40)</f>
        <v>24</v>
      </c>
      <c r="F40" s="204">
        <f t="shared" ca="1" si="28"/>
        <v>0</v>
      </c>
      <c r="G40" s="202">
        <f ca="1">IF(B40&gt;=$J$5,0,CONTADORES!$AD32-CONTADORES!$AD31)</f>
        <v>0</v>
      </c>
      <c r="H40" s="1437">
        <f ca="1">IF(G40&gt;0,CONTADORES!$AC32-CONTADORES!$AC31,0)</f>
        <v>0</v>
      </c>
      <c r="I40" s="205">
        <f ca="1">IF(B40&gt;=$J$5,0,CONTADORES!$Z32-CONTADORES!$Z31)</f>
        <v>287.09999999997672</v>
      </c>
      <c r="J40" s="204">
        <f t="shared" ca="1" si="2"/>
        <v>150</v>
      </c>
      <c r="K40" s="202">
        <f ca="1">'CALCULO DE GAS'!E33</f>
        <v>3.3643162584269666</v>
      </c>
      <c r="L40" s="1437">
        <f ca="1">IF(B40&gt;=$J$5,0,(CONTADORES!$W32-CONTADORES!$W31)-$O40)</f>
        <v>24</v>
      </c>
      <c r="M40" s="1437">
        <f t="shared" ca="1" si="3"/>
        <v>0</v>
      </c>
      <c r="N40" s="1437">
        <f ca="1">IF(B40&gt;=$J$5,0,CONTADORES!$Y32-CONTADORES!$Y31)</f>
        <v>0</v>
      </c>
      <c r="O40" s="1437">
        <f ca="1">IF(N40&gt;0,CONTADORES!$X32-CONTADORES!$X31,0)</f>
        <v>0</v>
      </c>
      <c r="P40" s="208">
        <f ca="1">IF(B40&gt;=$J$5,0,CONTADORES!$U32-CONTADORES!$U31)</f>
        <v>150</v>
      </c>
      <c r="Q40" s="208">
        <f ca="1">IF(B40&gt;=$J$5,0,CONTADORES!$B32-CONTADORES!$B31)</f>
        <v>0.20399999999995089</v>
      </c>
      <c r="R40" s="202">
        <f t="shared" ca="1" si="4"/>
        <v>24.479999999994106</v>
      </c>
      <c r="S40" s="11">
        <f ca="1">IF(B40&gt;=$J$5,0,CONTADORES!$D32-CONTADORES!$D31)</f>
        <v>0.5</v>
      </c>
      <c r="T40" s="215">
        <f ca="1">IF(B40&gt;=$J$5,0,CONTADORES!$AZ32-CONTADORES!$AZ31)</f>
        <v>0</v>
      </c>
      <c r="U40" s="202">
        <f t="shared" ca="1" si="5"/>
        <v>0</v>
      </c>
      <c r="V40" s="205">
        <f ca="1">IF(B40&gt;=$J$5,0,CONTADORES!$BB32-CONTADORES!$BB31)</f>
        <v>0</v>
      </c>
      <c r="W40" s="1438">
        <f t="shared" ca="1" si="6"/>
        <v>437.09999999997672</v>
      </c>
      <c r="X40" s="1438">
        <f t="shared" ca="1" si="7"/>
        <v>0.20399999999995089</v>
      </c>
      <c r="Y40" s="1439">
        <f t="shared" ca="1" si="8"/>
        <v>437.30399999997667</v>
      </c>
      <c r="Z40" s="1439">
        <f t="shared" ca="1" si="9"/>
        <v>7.7453291460672444</v>
      </c>
      <c r="AA40" s="1439">
        <f t="shared" ca="1" si="10"/>
        <v>24.479999999994106</v>
      </c>
      <c r="AB40" s="1439">
        <f t="shared" ca="1" si="11"/>
        <v>48</v>
      </c>
      <c r="AC40" s="1438">
        <f t="shared" ca="1" si="12"/>
        <v>0.5</v>
      </c>
      <c r="AD40" s="1438">
        <f ca="1">IF(B40&gt;=$J$5,0,CONTADORES!H32-CONTADORES!H31)</f>
        <v>165.19999999995343</v>
      </c>
      <c r="AE40" s="1438">
        <f ca="1">IF(B40&gt;=$J$5,0,CONTADORES!J32-CONTADORES!J31)</f>
        <v>24</v>
      </c>
      <c r="AF40" s="1438">
        <f ca="1">IF(B40&gt;=$J$5,0,CONTADORES!AS32-CONTADORES!AS31)</f>
        <v>141</v>
      </c>
      <c r="AG40" s="1438">
        <f ca="1">IF(B40&gt;=$J$5,0,CONTADORES!AU32-CONTADORES!AU31)</f>
        <v>24</v>
      </c>
      <c r="AH40" s="1438">
        <f ca="1">IF(B40&gt;=$J$5,0,(CONTADORES!AK32-CONTADORES!AK31)+(CONTADORES!K32-CONTADORES!K31))</f>
        <v>8.3000000000029104</v>
      </c>
      <c r="AI40" s="1438">
        <f ca="1">IF(B40&gt;=$J$5,0,(CONTADORES!AI32-CONTADORES!AI31)+(CONTADORES!M32-CONTADORES!M31))</f>
        <v>40.900000000001455</v>
      </c>
      <c r="AJ40" s="1438">
        <f ca="1">IF(B40&gt;=$J$5,0,(CONTADORES!AG32-CONTADORES!AG31))</f>
        <v>5.5</v>
      </c>
      <c r="AK40" s="1438">
        <f ca="1">IF(B40&gt;=$J$5,0,(CONTADORES!O32-CONTADORES!O31))</f>
        <v>15.399999999994179</v>
      </c>
      <c r="AL40" s="1443">
        <f t="shared" ca="1" si="13"/>
        <v>33.004000000024632</v>
      </c>
      <c r="AM40" s="1438">
        <f ca="1">IF(B40&gt;=$J$5,0,(((CONTADORES!F32-CONTADORES!F31)+(CONTADORES!AO32-CONTADORES!AO31))))-BJ40-AF40-AN40-BM40-BP40-BU40-BS40</f>
        <v>8.7149999999991845</v>
      </c>
      <c r="AN40" s="1438">
        <f ca="1">IF(B40&gt;=$J$5,0,(CONTADORES!AV32-CONTADORES!AV31)+(CONTADORES!AX32-CONTADORES!AX31)+(CONTADORES!BC32-CONTADORES!BC31))-BS40</f>
        <v>3.344000000000273</v>
      </c>
      <c r="AO40" s="1440">
        <f ca="1">IF(B40&gt;=$J$5,0,(CONTADORES!AA32-CONTADORES!AA31))</f>
        <v>139.29999999998836</v>
      </c>
      <c r="AP40" s="1440">
        <f ca="1">IF(B40&gt;=$J$5,0,(CONTADORES!V32-CONTADORES!V31))</f>
        <v>79.299999999999272</v>
      </c>
      <c r="AQ40" s="1445">
        <f ca="1">IF(B40&gt;=$J$5,0,(CONTADORES!C32-CONTADORES!C31))</f>
        <v>7.3000000000092768E-2</v>
      </c>
      <c r="AR40" s="1445">
        <f ca="1">IF(B40&gt;=$J$5,0,(CONTADORES!BA32-CONTADORES!BA31))</f>
        <v>0</v>
      </c>
      <c r="AS40" s="1438">
        <f ca="1">IF(B40&gt;=$J$5,0,CONTADORES!Q32-CONTADORES!Q31)</f>
        <v>17</v>
      </c>
      <c r="AT40" s="1438">
        <f ca="1">IF(B40&gt;=$J$5,0,(CONTADORES!S32-CONTADORES!S31)+(CONTADORES!AE32-CONTADORES!AE31))</f>
        <v>2.1999999999970896</v>
      </c>
      <c r="AU40" s="1438">
        <f>CONTADORES!I32-CONTADORES!I31</f>
        <v>83.200000000011642</v>
      </c>
      <c r="AV40" s="1438">
        <f>CONTADORES!AT32-CONTADORES!AT31</f>
        <v>62</v>
      </c>
      <c r="AW40" s="1438">
        <f ca="1">IF(B40&gt;=$J$5,0,(CONTADORES!L32-CONTADORES!L31)+(CONTADORES!AL32-CONTADORES!AL31))</f>
        <v>3.3000000000029104</v>
      </c>
      <c r="AX40" s="1438">
        <f ca="1">IF(B40&gt;=$J$5,0,(CONTADORES!N32-CONTADORES!N31)+(CONTADORES!AJ32-CONTADORES!AJ31))</f>
        <v>32.500000000007276</v>
      </c>
      <c r="AY40" s="1438">
        <f ca="1">IF(B40&gt;=$J$5,0,(CONTADORES!AH32-CONTADORES!AH31))</f>
        <v>4.2999999999956344</v>
      </c>
      <c r="AZ40" s="1438">
        <f ca="1">IF(B40&gt;=$J$5,0,(CONTADORES!P32-CONTADORES!P31))</f>
        <v>12.5</v>
      </c>
      <c r="BA40" s="1449">
        <f t="shared" ca="1" si="14"/>
        <v>11.341999999970426</v>
      </c>
      <c r="BB40" s="1447">
        <f ca="1">IF(B40&gt;=$J$5,0,(((CONTADORES!G32-CONTADORES!G31)+(CONTADORES!AP32-CONTADORES!AP31))))-AV40-BC40-BK40-BN40-BQ40-BV40</f>
        <v>3.0950000000001809</v>
      </c>
      <c r="BC40" s="1440">
        <f ca="1">IF(B40&gt;=$J$5,0,(CONTADORES!AW32-CONTADORES!AW31)+(CONTADORES!AY32-CONTADORES!AY31)+(CONTADORES!BD32-CONTADORES!BD31))-BT40</f>
        <v>0.66900000000000004</v>
      </c>
      <c r="BD40" s="1438">
        <f t="shared" ca="1" si="15"/>
        <v>218.67299999998772</v>
      </c>
      <c r="BE40" s="1438">
        <f ca="1">IF($B40&gt;=$J$5,0,CONTADORES!$BE32)</f>
        <v>6993.62</v>
      </c>
      <c r="BF40" s="1438">
        <f ca="1">IF($B40&gt;=$J$5,0,CONTADORES!$BF32)</f>
        <v>34552.380701754388</v>
      </c>
      <c r="BG40" s="1438">
        <f ca="1">IF($B40&gt;=$J$5,0,CONTADORES!$BH32)</f>
        <v>5618.69</v>
      </c>
      <c r="BH40" s="1438">
        <f ca="1">IF(B40&gt;=$J$5,0,(CONTADORES!AQ32-CONTADORES!AQ31))</f>
        <v>4.7000000000043656</v>
      </c>
      <c r="BI40" s="1438">
        <f ca="1">IF(C40&gt;=$J$5,0,(CONTADORES!AR32-CONTADORES!AR31))</f>
        <v>0</v>
      </c>
      <c r="BJ40" s="1438">
        <f ca="1">IF(B40&gt;=$J$5,0,CONTADORES!BI32-CONTADORES!BI31)/1000</f>
        <v>0</v>
      </c>
      <c r="BK40" s="1438">
        <f ca="1">IF(B40&gt;=$J$5,0,CONTADORES!BJ32-CONTADORES!BJ31)</f>
        <v>0</v>
      </c>
      <c r="BL40" s="1438">
        <f ca="1">IF(B40&gt;=$J$5,0,CONTADORES!BK32-CONTADORES!BK31)</f>
        <v>0</v>
      </c>
      <c r="BM40" s="1438">
        <f ca="1">IF(B40&gt;=$J$5,0,CONTADORES!BL32-CONTADORES!BL31)/1000</f>
        <v>4.5129999999999999</v>
      </c>
      <c r="BN40" s="1438">
        <f ca="1">IF(B40&gt;=$J$5,0,CONTADORES!BM32-CONTADORES!BM31)/1000</f>
        <v>0.51200000000000001</v>
      </c>
      <c r="BO40" s="1438">
        <f ca="1">IF(B40&gt;=$J$5,0,CONTADORES!BN32-CONTADORES!BN31)</f>
        <v>24</v>
      </c>
      <c r="BP40" s="1438">
        <f ca="1">IF(B40&gt;=$J$5,0,CONTADORES!BO32-CONTADORES!BO31)/1000</f>
        <v>3.6720000000000002</v>
      </c>
      <c r="BQ40" s="1438">
        <f ca="1">IF(B40&gt;=$J$5,0,CONTADORES!BP32-CONTADORES!BP31)/1000</f>
        <v>2.4E-2</v>
      </c>
      <c r="BR40" s="1438">
        <f ca="1">IF(B40&gt;=$J$5,0,CONTADORES!BQ32-CONTADORES!BQ31)</f>
        <v>24</v>
      </c>
      <c r="BS40" s="1438">
        <f ca="1">IF(B40&gt;=$J$5,0,(CONTADORES!BT32-CONTADORES!BT31)+(CONTADORES!BV32-CONTADORES!BV31))/1000</f>
        <v>1.3560000000000001</v>
      </c>
      <c r="BT40" s="1438">
        <f ca="1">IF(B40&gt;=$J$5,0,(CONTADORES!BU32-CONTADORES!BU31)+(CONTADORES!BW32-CONTADORES!BW31))/1000</f>
        <v>0.83099999999999996</v>
      </c>
      <c r="BU40" s="1438">
        <f ca="1">IF(B40&gt;=$J$5,0,CONTADORES!BR32-CONTADORES!BR31)</f>
        <v>6.4000000000005457</v>
      </c>
      <c r="BV40" s="1438">
        <f ca="1">IF(B40&gt;=$J$5,0,CONTADORES!BS32-CONTADORES!BS31)</f>
        <v>4.3999999999996362</v>
      </c>
      <c r="BW40" s="1438">
        <f t="shared" ca="1" si="16"/>
        <v>10.757500000000139</v>
      </c>
      <c r="BX40" s="1438">
        <f t="shared" ca="1" si="17"/>
        <v>5.9474999999997262</v>
      </c>
      <c r="BY40" s="1438">
        <f t="shared" ca="1" si="18"/>
        <v>4.3574999999995923</v>
      </c>
      <c r="BZ40" s="1438">
        <f t="shared" ca="1" si="19"/>
        <v>1.3376000000001094</v>
      </c>
      <c r="CA40" s="1438">
        <f t="shared" ca="1" si="20"/>
        <v>4.3574999999995923</v>
      </c>
      <c r="CB40" s="1438">
        <f t="shared" ca="1" si="21"/>
        <v>2.0064000000001636</v>
      </c>
      <c r="CC40" s="1438">
        <f t="shared" ca="1" si="22"/>
        <v>2.6936000000001092</v>
      </c>
      <c r="CD40" s="1438">
        <f t="shared" ca="1" si="23"/>
        <v>1.5475000000000905</v>
      </c>
      <c r="CE40" s="1438">
        <f ca="1">IF(B40&gt;=$J$5,0,CONTADORES!BS32-CONTADORES!BS31)</f>
        <v>4.3999999999996362</v>
      </c>
      <c r="CF40" s="1438">
        <f t="shared" ca="1" si="24"/>
        <v>1.5475000000000905</v>
      </c>
      <c r="CG40" s="1438">
        <f t="shared" ca="1" si="25"/>
        <v>0.33450000000000002</v>
      </c>
      <c r="CH40" s="1438">
        <f t="shared" ca="1" si="26"/>
        <v>0.33450000000000002</v>
      </c>
      <c r="CI40" s="1438">
        <f t="shared" ca="1" si="27"/>
        <v>1.1655</v>
      </c>
      <c r="CJ40" s="1444">
        <f ca="1">IF($B40&gt;=$J$5,0,CONTADORES!$BG32)</f>
        <v>10585.518551273301</v>
      </c>
      <c r="CK40" s="1384">
        <f>CONTADORES!E32</f>
        <v>1</v>
      </c>
      <c r="CL40" s="1384">
        <f>CONTADORES!BX32</f>
        <v>0</v>
      </c>
    </row>
    <row r="41" spans="2:90" ht="15" thickBot="1">
      <c r="B41" s="220">
        <v>44957</v>
      </c>
      <c r="C41" s="206">
        <f t="shared" ca="1" si="0"/>
        <v>291.90000000002328</v>
      </c>
      <c r="D41" s="203">
        <f ca="1">'CALCULO DE GAS'!D34</f>
        <v>4.4166083932586009</v>
      </c>
      <c r="E41" s="203">
        <f ca="1">IF(B41&gt;=$J$5,0,(CONTADORES!$AB33-CONTADORES!$AB32)-$H41)</f>
        <v>24</v>
      </c>
      <c r="F41" s="206">
        <f t="shared" ca="1" si="28"/>
        <v>0</v>
      </c>
      <c r="G41" s="203">
        <f ca="1">IF(B41&gt;=$J$5,0,CONTADORES!$AD33-CONTADORES!$AD32)</f>
        <v>0</v>
      </c>
      <c r="H41" s="1465">
        <f ca="1">IF(G41&gt;0,CONTADORES!$AC33-CONTADORES!$AC32,0)</f>
        <v>0</v>
      </c>
      <c r="I41" s="207">
        <f ca="1">IF(B41&gt;=$J$5,0,CONTADORES!$Z33-CONTADORES!$Z32)</f>
        <v>291.90000000002328</v>
      </c>
      <c r="J41" s="206">
        <f t="shared" ca="1" si="2"/>
        <v>149.30000000000291</v>
      </c>
      <c r="K41" s="203">
        <f ca="1">'CALCULO DE GAS'!E34</f>
        <v>3.3591252471910336</v>
      </c>
      <c r="L41" s="1465">
        <f ca="1">IF(B41&gt;=$J$5,0,(CONTADORES!$W33-CONTADORES!$W32)-$O41)</f>
        <v>24</v>
      </c>
      <c r="M41" s="203">
        <f t="shared" ca="1" si="3"/>
        <v>0</v>
      </c>
      <c r="N41" s="1465">
        <f ca="1">IF(B41&gt;=$J$5,0,CONTADORES!$Y33-CONTADORES!$Y32)</f>
        <v>0</v>
      </c>
      <c r="O41" s="1465">
        <f ca="1">IF(N41&gt;0,CONTADORES!$X33-CONTADORES!$X32,0)</f>
        <v>0</v>
      </c>
      <c r="P41" s="209">
        <f ca="1">IF(B41&gt;=$J$5,0,CONTADORES!$U33-CONTADORES!$U32)</f>
        <v>149.30000000000291</v>
      </c>
      <c r="Q41" s="209">
        <f ca="1">IF(B41&gt;=$J$5,0,CONTADORES!$B33-CONTADORES!$B32)</f>
        <v>0</v>
      </c>
      <c r="R41" s="203">
        <f t="shared" ca="1" si="4"/>
        <v>0</v>
      </c>
      <c r="S41" s="65">
        <f ca="1">IF(B41&gt;=$J$5,0,CONTADORES!$D33-CONTADORES!$D32)</f>
        <v>0</v>
      </c>
      <c r="T41" s="209">
        <f ca="1">IF(B41&gt;=$J$5,0,CONTADORES!$AZ33-CONTADORES!$AZ32)</f>
        <v>0.125</v>
      </c>
      <c r="U41" s="203">
        <f t="shared" ca="1" si="5"/>
        <v>15</v>
      </c>
      <c r="V41" s="207">
        <f ca="1">IF(B41&gt;=$J$5,0,CONTADORES!$BB33-CONTADORES!$BB32)</f>
        <v>0.17000000000007276</v>
      </c>
      <c r="W41" s="1466">
        <f t="shared" ca="1" si="6"/>
        <v>441.20000000002619</v>
      </c>
      <c r="X41" s="1466">
        <f t="shared" ca="1" si="7"/>
        <v>0.125</v>
      </c>
      <c r="Y41" s="1467">
        <f t="shared" ca="1" si="8"/>
        <v>441.32500000002619</v>
      </c>
      <c r="Z41" s="1467">
        <f t="shared" ca="1" si="9"/>
        <v>7.7757336404496344</v>
      </c>
      <c r="AA41" s="1467">
        <f t="shared" ca="1" si="10"/>
        <v>15</v>
      </c>
      <c r="AB41" s="1467">
        <f t="shared" ca="1" si="11"/>
        <v>48</v>
      </c>
      <c r="AC41" s="1467">
        <f t="shared" ca="1" si="12"/>
        <v>0.17000000000007276</v>
      </c>
      <c r="AD41" s="1509">
        <f ca="1">IF(B41&gt;=$J$5,0,CONTADORES!H33-CONTADORES!H32)</f>
        <v>166.40000000002328</v>
      </c>
      <c r="AE41" s="1467">
        <f ca="1">IF(B41&gt;=$J$5,0,CONTADORES!J33-CONTADORES!J32)</f>
        <v>24</v>
      </c>
      <c r="AF41" s="1466">
        <f ca="1">IF(B41&gt;=$J$5,0,CONTADORES!AS33-CONTADORES!AS32)</f>
        <v>143</v>
      </c>
      <c r="AG41" s="1467">
        <f ca="1">IF(B41&gt;=$J$5,0,CONTADORES!AU33-CONTADORES!AU32)</f>
        <v>24</v>
      </c>
      <c r="AH41" s="1466">
        <f ca="1">IF(B41&gt;=$J$5,0,(CONTADORES!AK33-CONTADORES!AK32)+(CONTADORES!K33-CONTADORES!K32))</f>
        <v>12.69999999999709</v>
      </c>
      <c r="AI41" s="1466">
        <f ca="1">IF(B41&gt;=$J$5,0,(CONTADORES!AI33-CONTADORES!AI32)+(CONTADORES!M33-CONTADORES!M32))</f>
        <v>39.799999999995634</v>
      </c>
      <c r="AJ41" s="1466">
        <f ca="1">IF(B41&gt;=$J$5,0,(CONTADORES!AG33-CONTADORES!AG32))</f>
        <v>5.5999999999912689</v>
      </c>
      <c r="AK41" s="1466">
        <f ca="1">IF(B41&gt;=$J$5,0,(CONTADORES!O33-CONTADORES!O32))</f>
        <v>16.5</v>
      </c>
      <c r="AL41" s="1466">
        <f t="shared" ca="1" si="13"/>
        <v>30.72499999999485</v>
      </c>
      <c r="AM41" s="1466">
        <f ca="1">IF(B41&gt;=$J$5,0,(((CONTADORES!F33-CONTADORES!F32)+(CONTADORES!AO33-CONTADORES!AO32))))-BJ41-AF41-AN41-BM41-BP41-BU41-BS41</f>
        <v>9.016000000024011</v>
      </c>
      <c r="AN41" s="1466">
        <f ca="1">IF(B41&gt;=$J$5,0,(CONTADORES!AV33-CONTADORES!AV32)+(CONTADORES!AX33-CONTADORES!AX32)+(CONTADORES!BC33-CONTADORES!BC32))-BS41</f>
        <v>1.8449999999998181</v>
      </c>
      <c r="AO41" s="1468">
        <f ca="1">IF(B41&gt;=$J$5,0,(CONTADORES!AA33-CONTADORES!AA32))</f>
        <v>141.5</v>
      </c>
      <c r="AP41" s="1468">
        <f ca="1">IF(B41&gt;=$J$5,0,(CONTADORES!V33-CONTADORES!V32))</f>
        <v>79.200000000000728</v>
      </c>
      <c r="AQ41" s="1469">
        <f ca="1">IF(B41&gt;=$J$5,0,(CONTADORES!C33-CONTADORES!C32))</f>
        <v>0</v>
      </c>
      <c r="AR41" s="1469">
        <f ca="1">IF(B41&gt;=$J$5,0,(CONTADORES!BA33-CONTADORES!BA32))</f>
        <v>4.7000000000025466E-2</v>
      </c>
      <c r="AS41" s="1466">
        <f ca="1">IF(B41&gt;=$J$5,0,CONTADORES!Q33-CONTADORES!Q32)</f>
        <v>17.5</v>
      </c>
      <c r="AT41" s="1466">
        <f ca="1">IF(B41&gt;=$J$5,0,(CONTADORES!S33-CONTADORES!S32)+(CONTADORES!AE33-CONTADORES!AE32))</f>
        <v>2.2000000000043656</v>
      </c>
      <c r="AU41" s="1467">
        <f>CONTADORES!I33-CONTADORES!I32</f>
        <v>83.299999999988358</v>
      </c>
      <c r="AV41" s="1466">
        <f>CONTADORES!AT33-CONTADORES!AT32</f>
        <v>62</v>
      </c>
      <c r="AW41" s="1466">
        <f ca="1">IF(B41&gt;=$J$5,0,(CONTADORES!L33-CONTADORES!L32)+(CONTADORES!AL33-CONTADORES!AL32))</f>
        <v>4.5999999999985448</v>
      </c>
      <c r="AX41" s="1466">
        <f ca="1">IF(B41&gt;=$J$5,0,(CONTADORES!N33-CONTADORES!N32)+(CONTADORES!AJ33-CONTADORES!AJ32))</f>
        <v>31.5</v>
      </c>
      <c r="AY41" s="1466">
        <f ca="1">IF(B41&gt;=$J$5,0,(CONTADORES!AH33-CONTADORES!AH32))</f>
        <v>4.3000000000029104</v>
      </c>
      <c r="AZ41" s="1466">
        <f ca="1">IF(B41&gt;=$J$5,0,(CONTADORES!P33-CONTADORES!P32))</f>
        <v>14.399999999994179</v>
      </c>
      <c r="BA41" s="1470">
        <f t="shared" ca="1" si="14"/>
        <v>8.4060000000052923</v>
      </c>
      <c r="BB41" s="1470">
        <f ca="1">IF(B41&gt;=$J$5,0,(((CONTADORES!G33-CONTADORES!G32)+(CONTADORES!AP33-CONTADORES!AP32))))-AV41-BC41-BK41-BN41-BQ41-BV41</f>
        <v>5.3460000000116512</v>
      </c>
      <c r="BC41" s="1470">
        <f ca="1">IF(B41&gt;=$J$5,0,(CONTADORES!AW33-CONTADORES!AW32)+(CONTADORES!AY33-CONTADORES!AY32)+(CONTADORES!BD33-CONTADORES!BD32))-BT41</f>
        <v>1.0589999999998068</v>
      </c>
      <c r="BD41" s="1466">
        <f t="shared" ca="1" si="15"/>
        <v>220.74700000000075</v>
      </c>
      <c r="BE41" s="1467">
        <f ca="1">IF($B41&gt;=$J$5,0,CONTADORES!$BE33)</f>
        <v>7147.18</v>
      </c>
      <c r="BF41" s="1466">
        <f ca="1">IF($B41&gt;=$J$5,0,CONTADORES!$BF33)</f>
        <v>34874.247368420998</v>
      </c>
      <c r="BG41" s="1466">
        <f ca="1">IF($B41&gt;=$J$5,0,CONTADORES!$BH33)</f>
        <v>52733.130666261</v>
      </c>
      <c r="BH41" s="1466">
        <f ca="1">IF(B41&gt;=$J$5,0,(CONTADORES!AQ33-CONTADORES!AQ32))</f>
        <v>4.7999999999956344</v>
      </c>
      <c r="BI41" s="1466">
        <f ca="1">IF(C41&gt;=$J$5,0,(CONTADORES!AR33-CONTADORES!AR32))</f>
        <v>0</v>
      </c>
      <c r="BJ41" s="1438">
        <f ca="1">IF(B41&gt;=$J$5,0,CONTADORES!BI33-CONTADORES!BI32)/1000</f>
        <v>0</v>
      </c>
      <c r="BK41" s="1466">
        <f ca="1">IF(B41&gt;=$J$5,0,CONTADORES!BJ33-CONTADORES!BJ32)</f>
        <v>0</v>
      </c>
      <c r="BL41" s="1466">
        <f ca="1">IF(B41&gt;=$J$5,0,CONTADORES!BK33-CONTADORES!BK32)</f>
        <v>0</v>
      </c>
      <c r="BM41" s="1466">
        <f ca="1">IF(B41&gt;=$J$5,0,CONTADORES!BL33-CONTADORES!BL32)/1000</f>
        <v>4.4710000000000001</v>
      </c>
      <c r="BN41" s="1466">
        <f ca="1">IF(B41&gt;=$J$5,0,CONTADORES!BM33-CONTADORES!BM32)/1000</f>
        <v>0.47</v>
      </c>
      <c r="BO41" s="1466">
        <f ca="1">IF(B41&gt;=$J$5,0,CONTADORES!BN33-CONTADORES!BN32)</f>
        <v>23.599999999998545</v>
      </c>
      <c r="BP41" s="1466">
        <f ca="1">IF(B41&gt;=$J$5,0,CONTADORES!BO33-CONTADORES!BO32)/1000</f>
        <v>3.613</v>
      </c>
      <c r="BQ41" s="1466">
        <f ca="1">IF(B41&gt;=$J$5,0,CONTADORES!BP33-CONTADORES!BP32)/1000</f>
        <v>2.5000000000000001E-2</v>
      </c>
      <c r="BR41" s="1466">
        <f ca="1">IF(B41&gt;=$J$5,0,CONTADORES!BQ33-CONTADORES!BQ32)</f>
        <v>23.600000000000364</v>
      </c>
      <c r="BS41" s="1466">
        <f ca="1">IF(B41&gt;=$J$5,0,(CONTADORES!BT33-CONTADORES!BT32)+(CONTADORES!BV33-CONTADORES!BV32))/1000</f>
        <v>1.355</v>
      </c>
      <c r="BT41" s="1466">
        <f ca="1">IF(B41&gt;=$J$5,0,(CONTADORES!BU33-CONTADORES!BU32)+(CONTADORES!BW33-CONTADORES!BW32))/1000</f>
        <v>0.84099999999999997</v>
      </c>
      <c r="BU41" s="1466">
        <f ca="1">IF(B41&gt;=$J$5,0,CONTADORES!BR33-CONTADORES!BR32)</f>
        <v>6.3000000000001819</v>
      </c>
      <c r="BV41" s="1466">
        <f ca="1">IF(B41&gt;=$J$5,0,CONTADORES!BS33-CONTADORES!BS32)</f>
        <v>4.5</v>
      </c>
      <c r="BW41" s="1466">
        <f t="shared" ca="1" si="16"/>
        <v>10.808000000012187</v>
      </c>
      <c r="BX41" s="1466">
        <f t="shared" ca="1" si="17"/>
        <v>7.1730000000058256</v>
      </c>
      <c r="BY41" s="1466">
        <f t="shared" ca="1" si="18"/>
        <v>4.5080000000120055</v>
      </c>
      <c r="BZ41" s="1466">
        <f t="shared" ca="1" si="19"/>
        <v>0.73799999999992727</v>
      </c>
      <c r="CA41" s="1466">
        <f t="shared" ca="1" si="20"/>
        <v>4.5080000000120055</v>
      </c>
      <c r="CB41" s="1466">
        <f t="shared" ca="1" si="21"/>
        <v>1.106999999999891</v>
      </c>
      <c r="CC41" s="1466">
        <f t="shared" ca="1" si="22"/>
        <v>2.0929999999999271</v>
      </c>
      <c r="CD41" s="1466">
        <f t="shared" ca="1" si="23"/>
        <v>2.6730000000058256</v>
      </c>
      <c r="CE41" s="1466">
        <f ca="1">IF(B41&gt;=$J$5,0,CONTADORES!BS33-CONTADORES!BS32)</f>
        <v>4.5</v>
      </c>
      <c r="CF41" s="1466">
        <f t="shared" ca="1" si="24"/>
        <v>2.6730000000058256</v>
      </c>
      <c r="CG41" s="1466">
        <f t="shared" ca="1" si="25"/>
        <v>0.52949999999990338</v>
      </c>
      <c r="CH41" s="1466">
        <f t="shared" ca="1" si="26"/>
        <v>0.52949999999990338</v>
      </c>
      <c r="CI41" s="1466">
        <f t="shared" ca="1" si="27"/>
        <v>1.3704999999999035</v>
      </c>
      <c r="CJ41" s="1471">
        <f ca="1">IF($B41&gt;=$J$5,0,CONTADORES!$BG33)</f>
        <v>10711.70329784</v>
      </c>
      <c r="CK41" s="1472">
        <f>CONTADORES!E33</f>
        <v>0</v>
      </c>
      <c r="CL41" s="1472">
        <f>CONTADORES!BX33</f>
        <v>0</v>
      </c>
    </row>
    <row r="42" spans="2:90">
      <c r="B42" s="8">
        <v>44958</v>
      </c>
      <c r="C42" s="204">
        <f t="shared" ca="1" si="0"/>
        <v>293.90000000002328</v>
      </c>
      <c r="D42" s="202">
        <f ca="1">'CALCULO DE GAS'!D38</f>
        <v>4.8729764251872218</v>
      </c>
      <c r="E42" s="202">
        <f ca="1">IF(B42&gt;=$J$5,0,(CONTADORES!$AB36-CONTADORES!$AB35)-$H42)</f>
        <v>24</v>
      </c>
      <c r="F42" s="204">
        <f t="shared" ref="F42:F65" ca="1" si="29">IF(H42=0,0,"ERROR")</f>
        <v>0</v>
      </c>
      <c r="G42" s="202">
        <f ca="1">IF(B42&gt;=$J$5,0,CONTADORES!$AD36-CONTADORES!$AD35)</f>
        <v>0</v>
      </c>
      <c r="H42" s="1473">
        <f ca="1">IF(G42&gt;0,CONTADORES!$AC36-CONTADORES!$AC35,0)</f>
        <v>0</v>
      </c>
      <c r="I42" s="205">
        <f ca="1">IF(B42&gt;=$J$5,0,CONTADORES!$Z36-CONTADORES!$Z35)</f>
        <v>293.90000000002328</v>
      </c>
      <c r="J42" s="204">
        <f t="shared" ca="1" si="2"/>
        <v>158.59999999999854</v>
      </c>
      <c r="K42" s="202">
        <f ca="1">'CALCULO DE GAS'!E38</f>
        <v>3.769657223192008</v>
      </c>
      <c r="L42" s="1437">
        <f ca="1">IF(B42&gt;=$J$5,0,(CONTADORES!$W36-CONTADORES!$W35)-$O42)</f>
        <v>24</v>
      </c>
      <c r="M42" s="1437">
        <f t="shared" ca="1" si="3"/>
        <v>0</v>
      </c>
      <c r="N42" s="1437">
        <f ca="1">IF(B42&gt;=$J$5,0,CONTADORES!$Y36-CONTADORES!Y35)</f>
        <v>0</v>
      </c>
      <c r="O42" s="1437">
        <f ca="1">IF(N42&gt;0,CONTADORES!$X36-CONTADORES!$X35,0)</f>
        <v>0</v>
      </c>
      <c r="P42" s="208">
        <f ca="1">IF(B42&gt;=$J$5,0,CONTADORES!$U36-CONTADORES!$U35)</f>
        <v>158.59999999999854</v>
      </c>
      <c r="Q42" s="208">
        <f ca="1">IF(B42&gt;=$J$5,0,CONTADORES!$B36-CONTADORES!$B35)</f>
        <v>0</v>
      </c>
      <c r="R42" s="202">
        <f t="shared" ca="1" si="4"/>
        <v>0</v>
      </c>
      <c r="S42" s="11">
        <f ca="1">IF(B42&gt;=$J$5,0,CONTADORES!$D36-CONTADORES!$D35)</f>
        <v>0</v>
      </c>
      <c r="T42" s="204">
        <f ca="1">IF(B42&gt;=$J$5,0,CONTADORES!$AZ36-CONTADORES!$AZ35)</f>
        <v>0</v>
      </c>
      <c r="U42" s="202">
        <f t="shared" ca="1" si="5"/>
        <v>0</v>
      </c>
      <c r="V42" s="205">
        <f ca="1">IF(B42&gt;=$J$5,0,CONTADORES!$BB36-CONTADORES!$BB35)</f>
        <v>0</v>
      </c>
      <c r="W42" s="1438">
        <f t="shared" ca="1" si="6"/>
        <v>452.50000000002183</v>
      </c>
      <c r="X42" s="1438">
        <f t="shared" ca="1" si="7"/>
        <v>0</v>
      </c>
      <c r="Y42" s="1439">
        <f t="shared" ca="1" si="8"/>
        <v>452.50000000002183</v>
      </c>
      <c r="Z42" s="1439">
        <f t="shared" ca="1" si="9"/>
        <v>8.6426336483792294</v>
      </c>
      <c r="AA42" s="1439">
        <f t="shared" ca="1" si="10"/>
        <v>0</v>
      </c>
      <c r="AB42" s="1439">
        <f t="shared" ca="1" si="11"/>
        <v>48</v>
      </c>
      <c r="AC42" s="1438">
        <f t="shared" ca="1" si="12"/>
        <v>0</v>
      </c>
      <c r="AD42" s="1438">
        <f ca="1">IF(B42=$J$5,0,CONTADORES!H36-CONTADORES!H35)</f>
        <v>167.30000000004657</v>
      </c>
      <c r="AE42" s="1438">
        <f ca="1">IF(B42=$J$5,0,CONTADORES!J36-CONTADORES!J35)</f>
        <v>24</v>
      </c>
      <c r="AF42" s="1438">
        <f ca="1">IF(B42=$J$5,0,CONTADORES!AS36-CONTADORES!AS35)</f>
        <v>153.79999999998836</v>
      </c>
      <c r="AG42" s="1438">
        <f ca="1">IF(B42=$J$5,0,CONTADORES!AU36-CONTADORES!AU35)</f>
        <v>24</v>
      </c>
      <c r="AH42" s="1438">
        <f ca="1">IF(B42=$J$5,0,(CONTADORES!AK36-CONTADORES!AK35)+(CONTADORES!K36-CONTADORES!K35))</f>
        <v>7.5</v>
      </c>
      <c r="AI42" s="1438">
        <f ca="1">IF(B42=$J$5,0,(CONTADORES!AI36-CONTADORES!AI35)+(CONTADORES!M36-CONTADORES!M35))</f>
        <v>40.700000000004366</v>
      </c>
      <c r="AJ42" s="1438">
        <f ca="1">IF(B42=$J$5,0,(CONTADORES!AG36-CONTADORES!AG35))</f>
        <v>8.3000000000029104</v>
      </c>
      <c r="AK42" s="1438">
        <f ca="1">IF(B42=$J$5,0,(CONTADORES!O36-CONTADORES!O35))</f>
        <v>15.299999999988358</v>
      </c>
      <c r="AL42" s="1438">
        <f t="shared" ca="1" si="13"/>
        <v>32.600000000014859</v>
      </c>
      <c r="AM42" s="1438">
        <f ca="1">IF(B42&gt;=$J$5,0,(((CONTADORES!F36-CONTADORES!F35)+(CONTADORES!AO36-CONTADORES!AO35))))-BJ42-AF42-AN42-BM42-BP42-BU42-BS42</f>
        <v>10.232999999975807</v>
      </c>
      <c r="AN42" s="1438">
        <f ca="1">IF(B42=$J$5,0,(CONTADORES!AV36-CONTADORES!AV35)+(CONTADORES!AX36-CONTADORES!AX35)+(CONTADORES!BC36-CONTADORES!BC35))-BS42</f>
        <v>1.3630000000007276</v>
      </c>
      <c r="AO42" s="1474">
        <f ca="1">IF(B42&gt;=$J$5,0,(CONTADORES!AA36-CONTADORES!AA35))</f>
        <v>140.70000000001164</v>
      </c>
      <c r="AP42" s="1474">
        <f ca="1">IF(B42&gt;=$J$5,0,(CONTADORES!V36-CONTADORES!V35))</f>
        <v>85.5</v>
      </c>
      <c r="AQ42" s="1474">
        <f ca="1">IF(B42&gt;=$J$5,0,(CONTADORES!C36-CONTADORES!C35))</f>
        <v>0</v>
      </c>
      <c r="AR42" s="1474">
        <f ca="1">IF(B42&gt;=$J$5,0,(CONTADORES!BA36-CONTADORES!BA35))</f>
        <v>0</v>
      </c>
      <c r="AS42" s="1438">
        <f ca="1">IF(B42=$J$5,0,CONTADORES!Q36-CONTADORES!Q35)</f>
        <v>17.200000000011642</v>
      </c>
      <c r="AT42" s="1438">
        <f ca="1">IF(B42=$J$5,0,(CONTADORES!S36-CONTADORES!S35)+(CONTADORES!AE36-CONTADORES!AE35))</f>
        <v>2.1999999999970896</v>
      </c>
      <c r="AU42" s="1438">
        <f>CONTADORES!I36-CONTADORES!I35</f>
        <v>85.400000000023283</v>
      </c>
      <c r="AV42" s="1438">
        <f>CONTADORES!AT36-CONTADORES!AT35</f>
        <v>66.5</v>
      </c>
      <c r="AW42" s="1438">
        <f ca="1">IF(B42&gt;=$J$5,0,(CONTADORES!L36-CONTADORES!L35)+(CONTADORES!AL36-CONTADORES!AL35))</f>
        <v>2.7999999999992724</v>
      </c>
      <c r="AX42" s="1438">
        <f ca="1">IF(B42&gt;=$J$5,0,(CONTADORES!N36-CONTADORES!N35)+(CONTADORES!AJ36-CONTADORES!AJ35))</f>
        <v>32.19999999999709</v>
      </c>
      <c r="AY42" s="1438">
        <f ca="1">IF(B42&gt;=$J$5,0,(CONTADORES!AH36-CONTADORES!AH35))</f>
        <v>6.5</v>
      </c>
      <c r="AZ42" s="1438">
        <f ca="1">IF(B42&gt;=$J$5,0,(CONTADORES!P36-CONTADORES!P35))</f>
        <v>12.900000000008731</v>
      </c>
      <c r="BA42" s="1438">
        <f t="shared" ca="1" si="14"/>
        <v>11.574000000000524</v>
      </c>
      <c r="BB42" s="1438">
        <f ca="1">IF(B42&gt;=$J$5,0,(((CONTADORES!G36-CONTADORES!G35)+(CONTADORES!AP36-CONTADORES!AP35))))-AV42-BC42-BK42-BN42-BQ42-BV42</f>
        <v>2.4119999999829007</v>
      </c>
      <c r="BC42" s="1793">
        <f ca="1">IF(B42&gt;=$J$5,0,(CONTADORES!AW36-CONTADORES!AW35)+(CONTADORES!AY36-CONTADORES!AY35)+(CONTADORES!BD36-CONTADORES!BD35))-BT42</f>
        <v>-0.12600000000018186</v>
      </c>
      <c r="BD42" s="1438">
        <f t="shared" ca="1" si="15"/>
        <v>226.20000000001164</v>
      </c>
      <c r="BE42" s="1439">
        <f ca="1">IF($B42&gt;=$J$5,0,CONTADORES!$BE36)</f>
        <v>7007.74</v>
      </c>
      <c r="BF42" s="1438">
        <f ca="1">IF($B42&gt;=$J$5,0,CONTADORES!$BF36)</f>
        <v>37774.221052631576</v>
      </c>
      <c r="BG42" s="1438">
        <f ca="1">IF($B42&gt;=$J$5,0,CONTADORES!$BH36)</f>
        <v>5969.85</v>
      </c>
      <c r="BH42" s="1438">
        <f ca="1">IF(B42&gt;=$J$5,0,(CONTADORES!AQ36-CONTADORES!AQ35))</f>
        <v>4.8000000000029104</v>
      </c>
      <c r="BI42" s="1438">
        <f ca="1">IF(B42&gt;=$J$5,0,(CONTADORES!AR36-CONTADORES!AR35))</f>
        <v>0</v>
      </c>
      <c r="BJ42" s="1475">
        <f ca="1">IF(B42&gt;=$J$5,0,CONTADORES!BI36-CONTADORES!BI35)/1000</f>
        <v>0</v>
      </c>
      <c r="BK42" s="1476">
        <f ca="1">IF(B42&gt;=$J$5,0,CONTADORES!BJ36-CONTADORES!BJ35)</f>
        <v>0</v>
      </c>
      <c r="BL42" s="1476">
        <f ca="1">IF(B42&gt;=$J$5,0,CONTADORES!BK36-CONTADORES!BK35)</f>
        <v>0</v>
      </c>
      <c r="BM42" s="1476">
        <f ca="1">IF(B42&gt;=$J$5,0,CONTADORES!BL36-CONTADORES!BL35)/1000</f>
        <v>4.3440000000000003</v>
      </c>
      <c r="BN42" s="1476">
        <f ca="1">IF(B42&gt;=$J$5,0,CONTADORES!BM36-CONTADORES!BM35)/1000</f>
        <v>0.65200000000000002</v>
      </c>
      <c r="BO42" s="1476">
        <f ca="1">IF(B42&gt;=$J$5,0,CONTADORES!BN36-CONTADORES!BN35)</f>
        <v>24</v>
      </c>
      <c r="BP42" s="1476">
        <f ca="1">IF(B42&gt;=$J$5,0,CONTADORES!BO36-CONTADORES!BO35)/1000</f>
        <v>3.5230000000000001</v>
      </c>
      <c r="BQ42" s="1476">
        <f ca="1">IF(B42&gt;=$J$5,0,CONTADORES!BP36-CONTADORES!BP35)/1000</f>
        <v>6.2E-2</v>
      </c>
      <c r="BR42" s="1476">
        <f ca="1">IF(B42&gt;=$J$5,0,CONTADORES!BQ36-CONTADORES!BQ35)</f>
        <v>24</v>
      </c>
      <c r="BS42" s="1475">
        <f ca="1">IF(B42&gt;=$J$5,0,(CONTADORES!BT36-CONTADORES!BT35)+(CONTADORES!BV36-CONTADORES!BV35))/1000</f>
        <v>1.337</v>
      </c>
      <c r="BT42" s="1476">
        <f ca="1">IF(B42&gt;=$J$5,0,(CONTADORES!BU36-CONTADORES!BU35)+(CONTADORES!BW36-CONTADORES!BW35))/1000</f>
        <v>0.82599999999999996</v>
      </c>
      <c r="BU42" s="1475">
        <f ca="1">IF(B42&gt;=$J$5,0,CONTADORES!BR36-CONTADORES!BR35)</f>
        <v>6.1999999999998181</v>
      </c>
      <c r="BV42" s="1476">
        <f ca="1">IF(B42&gt;=$J$5,0,CONTADORES!BS36-CONTADORES!BS35)</f>
        <v>4.5</v>
      </c>
      <c r="BW42" s="1476">
        <f t="shared" ca="1" si="16"/>
        <v>11.316499999987721</v>
      </c>
      <c r="BX42" s="1476">
        <f t="shared" ca="1" si="17"/>
        <v>5.7059999999914499</v>
      </c>
      <c r="BY42" s="1476">
        <f t="shared" ca="1" si="18"/>
        <v>5.1164999999879033</v>
      </c>
      <c r="BZ42" s="1476">
        <f t="shared" ca="1" si="19"/>
        <v>0.54520000000029112</v>
      </c>
      <c r="CA42" s="1476">
        <f t="shared" ca="1" si="20"/>
        <v>5.1164999999879033</v>
      </c>
      <c r="CB42" s="1476">
        <f t="shared" ca="1" si="21"/>
        <v>0.81780000000043651</v>
      </c>
      <c r="CC42" s="1476">
        <f t="shared" ca="1" si="22"/>
        <v>1.882200000000291</v>
      </c>
      <c r="CD42" s="1476">
        <f t="shared" ca="1" si="23"/>
        <v>1.2059999999914504</v>
      </c>
      <c r="CE42" s="1476">
        <f ca="1">IF(B42&gt;=$J$5,0,CONTADORES!BS36-CONTADORES!BS35)</f>
        <v>4.5</v>
      </c>
      <c r="CF42" s="1476">
        <f t="shared" ca="1" si="24"/>
        <v>1.2059999999914504</v>
      </c>
      <c r="CG42" s="1476">
        <f t="shared" ca="1" si="25"/>
        <v>-6.3000000000090928E-2</v>
      </c>
      <c r="CH42" s="1476">
        <f t="shared" ca="1" si="26"/>
        <v>-6.3000000000090928E-2</v>
      </c>
      <c r="CI42" s="1476">
        <f t="shared" ca="1" si="27"/>
        <v>0.76299999999990908</v>
      </c>
      <c r="CJ42" s="1477">
        <f ca="1">IF($B42&gt;=$J$5,0,CONTADORES!$BG36)</f>
        <v>7946.0901579026704</v>
      </c>
      <c r="CK42" s="1383">
        <f>CONTADORES!E36</f>
        <v>0</v>
      </c>
      <c r="CL42" s="1383">
        <f>CONTADORES!BX36</f>
        <v>0</v>
      </c>
    </row>
    <row r="43" spans="2:90">
      <c r="B43" s="220">
        <v>44959</v>
      </c>
      <c r="C43" s="204">
        <f t="shared" ca="1" si="0"/>
        <v>221.69999999995343</v>
      </c>
      <c r="D43" s="202">
        <f ca="1">'CALCULO DE GAS'!D39</f>
        <v>4.284213332917326</v>
      </c>
      <c r="E43" s="202">
        <f ca="1">IF(B43&gt;=$J$5,0,(CONTADORES!$AB37-CONTADORES!$AB36)-$H43)</f>
        <v>24</v>
      </c>
      <c r="F43" s="204">
        <f t="shared" ca="1" si="29"/>
        <v>0</v>
      </c>
      <c r="G43" s="202">
        <f ca="1">IF(B43&gt;=$J$5,0,CONTADORES!$AD37-CONTADORES!$AD36)</f>
        <v>0</v>
      </c>
      <c r="H43" s="212">
        <f ca="1">IF(G43&gt;0,CONTADORES!$AC37-CONTADORES!$AC36,0)</f>
        <v>0</v>
      </c>
      <c r="I43" s="205">
        <f ca="1">IF(B43&gt;=$J$5,0,CONTADORES!$Z37-CONTADORES!$Z36)</f>
        <v>221.69999999995343</v>
      </c>
      <c r="J43" s="204">
        <f t="shared" ca="1" si="2"/>
        <v>113.20000000000073</v>
      </c>
      <c r="K43" s="202">
        <f ca="1">'CALCULO DE GAS'!E39</f>
        <v>3.3994377718204545</v>
      </c>
      <c r="L43" s="1437">
        <f ca="1">IF(B43&gt;=$J$5,0,(CONTADORES!$W37-CONTADORES!$W36)-$O43)</f>
        <v>24</v>
      </c>
      <c r="M43" s="1437">
        <f t="shared" ca="1" si="3"/>
        <v>0</v>
      </c>
      <c r="N43" s="1437">
        <f ca="1">IF(B43&gt;=$J$5,0,CONTADORES!$Y37-CONTADORES!Y36)</f>
        <v>0</v>
      </c>
      <c r="O43" s="1437">
        <f ca="1">IF(N43&gt;0,CONTADORES!$X37-CONTADORES!$X36,0)</f>
        <v>0</v>
      </c>
      <c r="P43" s="208">
        <f ca="1">IF(B43&gt;=$J$5,0,CONTADORES!$U37-CONTADORES!$U36)</f>
        <v>113.20000000000073</v>
      </c>
      <c r="Q43" s="208">
        <f ca="1">IF(B43&gt;=$J$5,0,CONTADORES!$B37-CONTADORES!$B36)</f>
        <v>0</v>
      </c>
      <c r="R43" s="202">
        <f t="shared" ca="1" si="4"/>
        <v>0</v>
      </c>
      <c r="S43" s="11">
        <f ca="1">IF(B43&gt;=$J$5,0,CONTADORES!$D37-CONTADORES!$D36)</f>
        <v>0</v>
      </c>
      <c r="T43" s="204">
        <f ca="1">IF(B43&gt;=$J$5,0,CONTADORES!$AZ37-CONTADORES!$AZ36)</f>
        <v>0</v>
      </c>
      <c r="U43" s="202">
        <f t="shared" ref="U43:U74" ca="1" si="30">$T43*120</f>
        <v>0</v>
      </c>
      <c r="V43" s="205">
        <f ca="1">IF(B43&gt;=$J$5,0,CONTADORES!$BB37-CONTADORES!$BB36)</f>
        <v>0</v>
      </c>
      <c r="W43" s="1438">
        <f t="shared" ca="1" si="6"/>
        <v>334.89999999995416</v>
      </c>
      <c r="X43" s="1438">
        <f t="shared" ca="1" si="7"/>
        <v>0</v>
      </c>
      <c r="Y43" s="1439">
        <f t="shared" ca="1" si="8"/>
        <v>334.89999999995416</v>
      </c>
      <c r="Z43" s="1439">
        <f t="shared" ca="1" si="9"/>
        <v>7.6836511047377805</v>
      </c>
      <c r="AA43" s="1439">
        <f t="shared" ca="1" si="10"/>
        <v>0</v>
      </c>
      <c r="AB43" s="1439">
        <f t="shared" ca="1" si="11"/>
        <v>48</v>
      </c>
      <c r="AC43" s="1438">
        <f t="shared" ca="1" si="12"/>
        <v>0</v>
      </c>
      <c r="AD43" s="1438">
        <f ca="1">IF(B43=$J$5,0,CONTADORES!H37-CONTADORES!H36)</f>
        <v>62.699999999953434</v>
      </c>
      <c r="AE43" s="1438">
        <f ca="1">IF(B43=$J$5,0,CONTADORES!J37-CONTADORES!J36)</f>
        <v>9.1499999999941792</v>
      </c>
      <c r="AF43" s="1438">
        <f ca="1">IF(B43=$J$5,0,CONTADORES!AS37-CONTADORES!AS36)</f>
        <v>145.10000000003492</v>
      </c>
      <c r="AG43" s="1438">
        <f ca="1">IF(B43=$J$5,0,CONTADORES!AU37-CONTADORES!AU36)</f>
        <v>24</v>
      </c>
      <c r="AH43" s="1438">
        <f ca="1">IF(B43=$J$5,0,(CONTADORES!AK37-CONTADORES!AK36)+(CONTADORES!K37-CONTADORES!K36))</f>
        <v>10.30000000000291</v>
      </c>
      <c r="AI43" s="1438">
        <f ca="1">IF(B43=$J$5,0,(CONTADORES!AI37-CONTADORES!AI36)+(CONTADORES!M37-CONTADORES!M36))</f>
        <v>43.299999999995634</v>
      </c>
      <c r="AJ43" s="1438">
        <f ca="1">IF(B43=$J$5,0,(CONTADORES!AG37-CONTADORES!AG36))</f>
        <v>5.5</v>
      </c>
      <c r="AK43" s="1438">
        <f ca="1">IF(B43=$J$5,0,(CONTADORES!O37-CONTADORES!O36))</f>
        <v>9.9000000000232831</v>
      </c>
      <c r="AL43" s="1438">
        <f t="shared" ca="1" si="13"/>
        <v>30.999999999978229</v>
      </c>
      <c r="AM43" s="1438">
        <f ca="1">IF(B43&gt;=$J$5,0,(((CONTADORES!F37-CONTADORES!F36)+(CONTADORES!AO37-CONTADORES!AO36))))-BJ43-AF43-AN43-BM43-BP43-BU43-BS43</f>
        <v>10.475999999966168</v>
      </c>
      <c r="AN43" s="1438">
        <f ca="1">IF(B43=$J$5,0,(CONTADORES!AV37-CONTADORES!AV36)+(CONTADORES!AX37-CONTADORES!AX36)+(CONTADORES!BC37-CONTADORES!BC36))-BS43</f>
        <v>1.6659999999994541</v>
      </c>
      <c r="AO43" s="1478">
        <f ca="1">IF(B43&gt;=$J$5,0,(CONTADORES!AA37-CONTADORES!AA36))</f>
        <v>109.09999999997672</v>
      </c>
      <c r="AP43" s="1478">
        <f ca="1">IF(B43&gt;=$J$5,0,(CONTADORES!V37-CONTADORES!V36))</f>
        <v>58</v>
      </c>
      <c r="AQ43" s="1474">
        <f ca="1">IF(B43&gt;=$J$5,0,(CONTADORES!C37-CONTADORES!C36))</f>
        <v>0</v>
      </c>
      <c r="AR43" s="1474">
        <f ca="1">IF(B43&gt;=$J$5,0,(CONTADORES!BA37-CONTADORES!BA36))</f>
        <v>0</v>
      </c>
      <c r="AS43" s="1438">
        <f ca="1">IF(B43=$J$5,0,CONTADORES!Q37-CONTADORES!Q36)</f>
        <v>17.199999999982538</v>
      </c>
      <c r="AT43" s="1438">
        <f ca="1">IF(B43=$J$5,0,(CONTADORES!S37-CONTADORES!S36)+(CONTADORES!AE37-CONTADORES!AE36))</f>
        <v>2.3000000000029104</v>
      </c>
      <c r="AU43" s="1438">
        <f>CONTADORES!I37-CONTADORES!I36</f>
        <v>31.599999999976717</v>
      </c>
      <c r="AV43" s="1438">
        <f>CONTADORES!AT37-CONTADORES!AT36</f>
        <v>63</v>
      </c>
      <c r="AW43" s="1438">
        <f ca="1">IF(B43&gt;=$J$5,0,(CONTADORES!L37-CONTADORES!L36)+(CONTADORES!AL37-CONTADORES!AL36))</f>
        <v>4</v>
      </c>
      <c r="AX43" s="1438">
        <f ca="1">IF(B43&gt;=$J$5,0,(CONTADORES!N37-CONTADORES!N36)+(CONTADORES!AJ37-CONTADORES!AJ36))</f>
        <v>34.299999999995634</v>
      </c>
      <c r="AY43" s="1438">
        <f ca="1">IF(B43&gt;=$J$5,0,(CONTADORES!AH37-CONTADORES!AH36))</f>
        <v>4.2999999999956344</v>
      </c>
      <c r="AZ43" s="1438">
        <f ca="1">IF(B43&gt;=$J$5,0,(CONTADORES!P37-CONTADORES!P36))</f>
        <v>7.8999999999941792</v>
      </c>
      <c r="BA43" s="1438">
        <f t="shared" ca="1" si="14"/>
        <v>12.23700000000926</v>
      </c>
      <c r="BB43" s="1438">
        <f ca="1">IF(B43&gt;=$J$5,0,(((CONTADORES!G37-CONTADORES!G36)+(CONTADORES!AP37-CONTADORES!AP36))))-AV43-BC43-BK43-BN43-BQ43-BV43</f>
        <v>4.5710000000049131</v>
      </c>
      <c r="BC43" s="1794">
        <f ca="1">IF(B43&gt;=$J$5,0,(CONTADORES!AW37-CONTADORES!AW36)+(CONTADORES!AY37-CONTADORES!AY36)+(CONTADORES!BD37-CONTADORES!BD36))-BT43</f>
        <v>-0.46299999999963615</v>
      </c>
      <c r="BD43" s="1438">
        <f t="shared" ca="1" si="15"/>
        <v>167.09999999997672</v>
      </c>
      <c r="BE43" s="1439">
        <f ca="1">IF($B43&gt;=$J$5,0,CONTADORES!$BE37)</f>
        <v>6974.55</v>
      </c>
      <c r="BF43" s="1438">
        <f ca="1">IF($B43&gt;=$J$5,0,CONTADORES!$BF37)</f>
        <v>32859.4368421053</v>
      </c>
      <c r="BG43" s="1438">
        <f ca="1">IF($B43&gt;=$J$5,0,CONTADORES!$BH37)</f>
        <v>6449.55</v>
      </c>
      <c r="BH43" s="1438">
        <f ca="1">IF(B43&gt;=$J$5,0,(CONTADORES!AQ37-CONTADORES!AQ36))</f>
        <v>4.9000000000014552</v>
      </c>
      <c r="BI43" s="1438">
        <f ca="1">IF(B43&gt;=$J$5,0,(CONTADORES!AR37-CONTADORES!AR36))</f>
        <v>0</v>
      </c>
      <c r="BJ43" s="1439">
        <f ca="1">IF(B43&gt;=$J$5,0,CONTADORES!BI37-CONTADORES!BI36)/1000</f>
        <v>0</v>
      </c>
      <c r="BK43" s="1438">
        <f ca="1">IF(B43&gt;=$J$5,0,CONTADORES!BJ37-CONTADORES!BJ36)</f>
        <v>0</v>
      </c>
      <c r="BL43" s="1438">
        <f ca="1">IF(B43&gt;=$J$5,0,CONTADORES!BK37-CONTADORES!BK36)</f>
        <v>0</v>
      </c>
      <c r="BM43" s="1438">
        <f ca="1">IF(B43&gt;=$J$5,0,CONTADORES!BL37-CONTADORES!BL36)/1000</f>
        <v>4.3369999999999997</v>
      </c>
      <c r="BN43" s="1438">
        <f ca="1">IF(B43&gt;=$J$5,0,CONTADORES!BM37-CONTADORES!BM36)/1000</f>
        <v>0.53</v>
      </c>
      <c r="BO43" s="1438">
        <f ca="1">IF(B43&gt;=$J$5,0,CONTADORES!BN37-CONTADORES!BN36)</f>
        <v>24</v>
      </c>
      <c r="BP43" s="1438">
        <f ca="1">IF(B43&gt;=$J$5,0,CONTADORES!BO37-CONTADORES!BO36)/1000</f>
        <v>3.387</v>
      </c>
      <c r="BQ43" s="1438">
        <f ca="1">IF(B43&gt;=$J$5,0,CONTADORES!BP37-CONTADORES!BP36)/1000</f>
        <v>6.2E-2</v>
      </c>
      <c r="BR43" s="1438">
        <f ca="1">IF(B43&gt;=$J$5,0,CONTADORES!BQ37-CONTADORES!BQ36)</f>
        <v>24</v>
      </c>
      <c r="BS43" s="1439">
        <f ca="1">IF(B43&gt;=$J$5,0,(CONTADORES!BT37-CONTADORES!BT36)+(CONTADORES!BV37-CONTADORES!BV36))/1000</f>
        <v>0.93400000000000005</v>
      </c>
      <c r="BT43" s="1438">
        <f ca="1">IF(B43&gt;=$J$5,0,(CONTADORES!BU37-CONTADORES!BU36)+(CONTADORES!BW37-CONTADORES!BW36))/1000</f>
        <v>0.56299999999999994</v>
      </c>
      <c r="BU43" s="1450">
        <f ca="1">IF(B43&gt;=$J$5,0,CONTADORES!BR37-CONTADORES!BR36)</f>
        <v>6.3000000000001819</v>
      </c>
      <c r="BV43" s="1479">
        <f ca="1">IF(B43&gt;=$J$5,0,CONTADORES!BS37-CONTADORES!BS36)</f>
        <v>4.5</v>
      </c>
      <c r="BW43" s="1479">
        <f t="shared" ca="1" si="16"/>
        <v>11.537999999983267</v>
      </c>
      <c r="BX43" s="1479">
        <f t="shared" ca="1" si="17"/>
        <v>6.7855000000024566</v>
      </c>
      <c r="BY43" s="1479">
        <f t="shared" ca="1" si="18"/>
        <v>5.2379999999830842</v>
      </c>
      <c r="BZ43" s="1479">
        <f t="shared" ca="1" si="19"/>
        <v>0.66639999999978172</v>
      </c>
      <c r="CA43" s="1479">
        <f t="shared" ca="1" si="20"/>
        <v>5.2379999999830842</v>
      </c>
      <c r="CB43" s="1479">
        <f t="shared" ca="1" si="21"/>
        <v>0.99959999999967242</v>
      </c>
      <c r="CC43" s="1479">
        <f t="shared" ca="1" si="22"/>
        <v>1.6003999999997818</v>
      </c>
      <c r="CD43" s="1479">
        <f t="shared" ca="1" si="23"/>
        <v>2.2855000000024566</v>
      </c>
      <c r="CE43" s="1479">
        <f ca="1">IF(B43&gt;=$J$5,0,CONTADORES!BS37-CONTADORES!BS36)</f>
        <v>4.5</v>
      </c>
      <c r="CF43" s="1479">
        <f t="shared" ca="1" si="24"/>
        <v>2.2855000000024566</v>
      </c>
      <c r="CG43" s="1479">
        <f t="shared" ca="1" si="25"/>
        <v>-0.23149999999981807</v>
      </c>
      <c r="CH43" s="1479">
        <f t="shared" ca="1" si="26"/>
        <v>-0.23149999999981807</v>
      </c>
      <c r="CI43" s="1479">
        <f t="shared" ca="1" si="27"/>
        <v>0.33150000000018187</v>
      </c>
      <c r="CJ43" s="1480">
        <f ca="1">IF($B43&gt;=$J$5,0,CONTADORES!$BG37)</f>
        <v>8896.5311370029594</v>
      </c>
      <c r="CK43" s="1384">
        <f>CONTADORES!E37</f>
        <v>0</v>
      </c>
      <c r="CL43" s="1384">
        <f>CONTADORES!BX37</f>
        <v>0</v>
      </c>
    </row>
    <row r="44" spans="2:90">
      <c r="B44" s="220">
        <v>44960</v>
      </c>
      <c r="C44" s="204">
        <f t="shared" ca="1" si="0"/>
        <v>293.39000000001397</v>
      </c>
      <c r="D44" s="202">
        <f ca="1">'CALCULO DE GAS'!D40</f>
        <v>4.8688175723193163</v>
      </c>
      <c r="E44" s="202">
        <f ca="1">IF(B44&gt;=$J$5,0,(CONTADORES!$AB38-CONTADORES!$AB37)-$H44)</f>
        <v>24</v>
      </c>
      <c r="F44" s="204">
        <f t="shared" ca="1" si="29"/>
        <v>0</v>
      </c>
      <c r="G44" s="202">
        <f ca="1">IF(B44&gt;=$J$5,0,CONTADORES!$AD38-CONTADORES!$AD37)</f>
        <v>0</v>
      </c>
      <c r="H44" s="212">
        <f ca="1">IF(G44&gt;0,CONTADORES!$AC38-CONTADORES!$AC37,0)</f>
        <v>0</v>
      </c>
      <c r="I44" s="205">
        <f ca="1">IF(B44&gt;=$J$5,0,CONTADORES!$Z38-CONTADORES!$Z37)</f>
        <v>293.39000000001397</v>
      </c>
      <c r="J44" s="204">
        <f t="shared" ca="1" si="2"/>
        <v>147.07999999999811</v>
      </c>
      <c r="K44" s="202">
        <f ca="1">'CALCULO DE GAS'!E40</f>
        <v>3.6757160760598349</v>
      </c>
      <c r="L44" s="1437">
        <f ca="1">IF(B44&gt;=$J$5,0,(CONTADORES!$W38-CONTADORES!$W37)-$O44)</f>
        <v>24</v>
      </c>
      <c r="M44" s="1437">
        <f t="shared" ca="1" si="3"/>
        <v>0</v>
      </c>
      <c r="N44" s="1437">
        <f ca="1">IF(B44&gt;=$J$5,0,CONTADORES!$Y38-CONTADORES!Y37)</f>
        <v>0</v>
      </c>
      <c r="O44" s="1437">
        <f ca="1">IF(N44&gt;0,CONTADORES!$X38-CONTADORES!$X37,0)</f>
        <v>0</v>
      </c>
      <c r="P44" s="208">
        <f ca="1">IF(B44&gt;=$J$5,0,CONTADORES!$U38-CONTADORES!$U37)</f>
        <v>147.07999999999811</v>
      </c>
      <c r="Q44" s="208">
        <f ca="1">IF(B44&gt;=$J$5,0,CONTADORES!$B38-CONTADORES!$B37)</f>
        <v>0</v>
      </c>
      <c r="R44" s="202">
        <f t="shared" ca="1" si="4"/>
        <v>0</v>
      </c>
      <c r="S44" s="11">
        <f ca="1">IF(B44&gt;=$J$5,0,CONTADORES!$D38-CONTADORES!$D37)</f>
        <v>0</v>
      </c>
      <c r="T44" s="204">
        <f ca="1">IF(B44&gt;=$J$5,0,CONTADORES!$AZ38-CONTADORES!$AZ37)</f>
        <v>0</v>
      </c>
      <c r="U44" s="202">
        <f t="shared" ca="1" si="30"/>
        <v>0</v>
      </c>
      <c r="V44" s="205">
        <f ca="1">IF(B44&gt;=$J$5,0,CONTADORES!$BB38-CONTADORES!$BB37)</f>
        <v>0</v>
      </c>
      <c r="W44" s="1438">
        <f t="shared" ca="1" si="6"/>
        <v>440.47000000001208</v>
      </c>
      <c r="X44" s="1438">
        <f t="shared" ca="1" si="7"/>
        <v>0</v>
      </c>
      <c r="Y44" s="1439">
        <f t="shared" ca="1" si="8"/>
        <v>440.47000000001208</v>
      </c>
      <c r="Z44" s="1439">
        <f t="shared" ca="1" si="9"/>
        <v>8.5445336483791507</v>
      </c>
      <c r="AA44" s="1439">
        <f t="shared" ca="1" si="10"/>
        <v>0</v>
      </c>
      <c r="AB44" s="1439">
        <f t="shared" ca="1" si="11"/>
        <v>48</v>
      </c>
      <c r="AC44" s="1438">
        <f t="shared" ca="1" si="12"/>
        <v>0</v>
      </c>
      <c r="AD44" s="1438">
        <f ca="1">IF(B44=$J$5,0,CONTADORES!H38-CONTADORES!H37)</f>
        <v>165</v>
      </c>
      <c r="AE44" s="1438">
        <f ca="1">IF(B44=$J$5,0,CONTADORES!J38-CONTADORES!J37)</f>
        <v>24.050000000017462</v>
      </c>
      <c r="AF44" s="1438">
        <f ca="1">IF(B44=$J$5,0,CONTADORES!AS38-CONTADORES!AS37)</f>
        <v>145.9199999999837</v>
      </c>
      <c r="AG44" s="1438">
        <f ca="1">IF(B44=$J$5,0,CONTADORES!AU38-CONTADORES!AU37)</f>
        <v>24</v>
      </c>
      <c r="AH44" s="1438">
        <f ca="1">IF(B44=$J$5,0,(CONTADORES!AK38-CONTADORES!AK37)+(CONTADORES!K38-CONTADORES!K37))</f>
        <v>11</v>
      </c>
      <c r="AI44" s="1438">
        <f ca="1">IF(B44=$J$5,0,(CONTADORES!AI38-CONTADORES!AI37)+(CONTADORES!M38-CONTADORES!M37))</f>
        <v>39.120000000002619</v>
      </c>
      <c r="AJ44" s="1438">
        <f ca="1">IF(B44=$J$5,0,(CONTADORES!AG38-CONTADORES!AG37))</f>
        <v>8.8999999999941792</v>
      </c>
      <c r="AK44" s="1438">
        <f ca="1">IF(B44=$J$5,0,(CONTADORES!O38-CONTADORES!O37))</f>
        <v>11.489999999990687</v>
      </c>
      <c r="AL44" s="1438">
        <f t="shared" ca="1" si="13"/>
        <v>31.65999999999076</v>
      </c>
      <c r="AM44" s="1438">
        <f ca="1">IF(B44&gt;=$J$5,0,(((CONTADORES!F38-CONTADORES!F37)+(CONTADORES!AO38-CONTADORES!AO37))))-BJ44-AF44-AN44-BM44-BP44-BU44-BS44</f>
        <v>10.066000000051094</v>
      </c>
      <c r="AN44" s="1438">
        <f ca="1">IF(B44=$J$5,0,(CONTADORES!AV38-CONTADORES!AV37)+(CONTADORES!AX38-CONTADORES!AX37)+(CONTADORES!BC38-CONTADORES!BC37))-BS44</f>
        <v>1.4629999999994725</v>
      </c>
      <c r="AO44" s="1478">
        <f ca="1">IF(B44&gt;=$J$5,0,(CONTADORES!AA38-CONTADORES!AA37))</f>
        <v>141.59000000002561</v>
      </c>
      <c r="AP44" s="1478">
        <f ca="1">IF(B44&gt;=$J$5,0,(CONTADORES!V38-CONTADORES!V37))</f>
        <v>77.147000000000844</v>
      </c>
      <c r="AQ44" s="1474">
        <f ca="1">IF(B44&gt;=$J$5,0,(CONTADORES!C38-CONTADORES!C37))</f>
        <v>0</v>
      </c>
      <c r="AR44" s="1440">
        <f ca="1">IF(B44&gt;=$J$5,0,(CONTADORES!BA38-CONTADORES!BA37))</f>
        <v>0</v>
      </c>
      <c r="AS44" s="1438">
        <f ca="1">IF(B44=$J$5,0,CONTADORES!Q38-CONTADORES!Q37)</f>
        <v>16.89000000001397</v>
      </c>
      <c r="AT44" s="1438">
        <f ca="1">IF(B44=$J$5,0,(CONTADORES!S38-CONTADORES!S37)+(CONTADORES!AE38-CONTADORES!AE37))</f>
        <v>2.25</v>
      </c>
      <c r="AU44" s="1438">
        <f>CONTADORES!I38-CONTADORES!I37</f>
        <v>84.700000000011642</v>
      </c>
      <c r="AV44" s="1438">
        <f>CONTADORES!AT38-CONTADORES!AT37</f>
        <v>63.25899999999092</v>
      </c>
      <c r="AW44" s="1438">
        <f ca="1">IF(B44&gt;=$J$5,0,(CONTADORES!L38-CONTADORES!L37)+(CONTADORES!AL38-CONTADORES!AL37))</f>
        <v>4.2999999999992724</v>
      </c>
      <c r="AX44" s="1438">
        <f ca="1">IF(B44&gt;=$J$5,0,(CONTADORES!N38-CONTADORES!N37)+(CONTADORES!AJ38-CONTADORES!AJ37))</f>
        <v>30.180000000007567</v>
      </c>
      <c r="AY44" s="1438">
        <f ca="1">IF(B44&gt;=$J$5,0,(CONTADORES!AH38-CONTADORES!AH37))</f>
        <v>6.9800000000032014</v>
      </c>
      <c r="AZ44" s="1438">
        <f ca="1">IF(B44&gt;=$J$5,0,(CONTADORES!P38-CONTADORES!P37))</f>
        <v>9.6000000000058208</v>
      </c>
      <c r="BA44" s="1438">
        <f t="shared" ca="1" si="14"/>
        <v>9.988000000004206</v>
      </c>
      <c r="BB44" s="1438">
        <f ca="1">IF(B44&gt;=$J$5,0,(((CONTADORES!G38-CONTADORES!G37)+(CONTADORES!AP38-CONTADORES!AP37))))-AV44-BC44-BK44-BN44-BQ44-BV44</f>
        <v>3.6280000000042314</v>
      </c>
      <c r="BC44" s="1794">
        <f ca="1">IF(B44&gt;=$J$5,0,(CONTADORES!AW38-CONTADORES!AW37)+(CONTADORES!AY38-CONTADORES!AY37)+(CONTADORES!BD38-CONTADORES!BD37))-BT44</f>
        <v>0.35099999999979314</v>
      </c>
      <c r="BD44" s="1438">
        <f t="shared" ca="1" si="15"/>
        <v>218.73700000002646</v>
      </c>
      <c r="BE44" s="1439">
        <f ca="1">IF($B44&gt;=$J$5,0,CONTADORES!$BE38)</f>
        <v>7043.9</v>
      </c>
      <c r="BF44" s="1438">
        <f ca="1">IF($B44&gt;=$J$5,0,CONTADORES!$BF38)</f>
        <v>33132.417543859599</v>
      </c>
      <c r="BG44" s="1438">
        <f ca="1">IF($B44&gt;=$J$5,0,CONTADORES!$BH38)</f>
        <v>6144.15</v>
      </c>
      <c r="BH44" s="1438">
        <f ca="1">IF(B44&gt;=$J$5,0,(CONTADORES!AQ38-CONTADORES!AQ37))</f>
        <v>4.7309999999997672</v>
      </c>
      <c r="BI44" s="1438">
        <f ca="1">IF(B44&gt;=$J$5,0,(CONTADORES!AR38-CONTADORES!AR37))</f>
        <v>0</v>
      </c>
      <c r="BJ44" s="1450">
        <f ca="1">IF(B44&gt;=$J$5,0,CONTADORES!BI38-CONTADORES!BI37)/1000</f>
        <v>0</v>
      </c>
      <c r="BK44" s="1479">
        <f ca="1">IF(B44&gt;=$J$5,0,CONTADORES!BJ38-CONTADORES!BJ37)</f>
        <v>0</v>
      </c>
      <c r="BL44" s="1479">
        <f ca="1">IF(B44&gt;=$J$5,0,CONTADORES!BK38-CONTADORES!BK37)</f>
        <v>0</v>
      </c>
      <c r="BM44" s="1479">
        <f ca="1">IF(B44&gt;=$J$5,0,CONTADORES!BL38-CONTADORES!BL37)/1000</f>
        <v>4.57</v>
      </c>
      <c r="BN44" s="1479">
        <f ca="1">IF(B44&gt;=$J$5,0,CONTADORES!BM38-CONTADORES!BM37)/1000</f>
        <v>0.51700000000000002</v>
      </c>
      <c r="BO44" s="1479">
        <f ca="1">IF(B44&gt;=$J$5,0,CONTADORES!BN38-CONTADORES!BN37)</f>
        <v>24</v>
      </c>
      <c r="BP44" s="1479">
        <f ca="1">IF(B44&gt;=$J$5,0,CONTADORES!BO38-CONTADORES!BO37)/1000</f>
        <v>3.6840000000000002</v>
      </c>
      <c r="BQ44" s="1479">
        <f ca="1">IF(B44&gt;=$J$5,0,CONTADORES!BP38-CONTADORES!BP37)/1000</f>
        <v>5.5E-2</v>
      </c>
      <c r="BR44" s="1479">
        <f ca="1">IF(B44&gt;=$J$5,0,CONTADORES!BQ38-CONTADORES!BQ37)</f>
        <v>24</v>
      </c>
      <c r="BS44" s="1450">
        <f ca="1">IF(B44&gt;=$J$5,0,(CONTADORES!BT38-CONTADORES!BT37)+(CONTADORES!BV38-CONTADORES!BV37))/1000</f>
        <v>1.117</v>
      </c>
      <c r="BT44" s="1479">
        <f ca="1">IF(B44&gt;=$J$5,0,(CONTADORES!BU38-CONTADORES!BU37)+(CONTADORES!BW38-CONTADORES!BW37))/1000</f>
        <v>0.68899999999999995</v>
      </c>
      <c r="BU44" s="1450">
        <f ca="1">IF(B44&gt;=$J$5,0,CONTADORES!BR38-CONTADORES!BR37)</f>
        <v>6.4799999999995634</v>
      </c>
      <c r="BV44" s="1479">
        <f ca="1">IF(B44&gt;=$J$5,0,CONTADORES!BS38-CONTADORES!BS37)</f>
        <v>4.4899999999997817</v>
      </c>
      <c r="BW44" s="1479">
        <f t="shared" ca="1" si="16"/>
        <v>11.51300000002511</v>
      </c>
      <c r="BX44" s="1479">
        <f t="shared" ca="1" si="17"/>
        <v>6.3040000000018974</v>
      </c>
      <c r="BY44" s="1479">
        <f t="shared" ca="1" si="18"/>
        <v>5.033000000025547</v>
      </c>
      <c r="BZ44" s="1479">
        <f t="shared" ca="1" si="19"/>
        <v>0.585199999999789</v>
      </c>
      <c r="CA44" s="1479">
        <f t="shared" ca="1" si="20"/>
        <v>5.033000000025547</v>
      </c>
      <c r="CB44" s="1479">
        <f t="shared" ca="1" si="21"/>
        <v>0.8777999999996835</v>
      </c>
      <c r="CC44" s="1479">
        <f t="shared" ca="1" si="22"/>
        <v>1.702199999999789</v>
      </c>
      <c r="CD44" s="1479">
        <f t="shared" ca="1" si="23"/>
        <v>1.8140000000021157</v>
      </c>
      <c r="CE44" s="1479">
        <f ca="1">IF(B44&gt;=$J$5,0,CONTADORES!BS38-CONTADORES!BS37)</f>
        <v>4.4899999999997817</v>
      </c>
      <c r="CF44" s="1479">
        <f t="shared" ca="1" si="24"/>
        <v>1.8140000000021157</v>
      </c>
      <c r="CG44" s="1479">
        <f t="shared" ca="1" si="25"/>
        <v>0.17549999999989657</v>
      </c>
      <c r="CH44" s="1479">
        <f t="shared" ca="1" si="26"/>
        <v>0.17549999999989657</v>
      </c>
      <c r="CI44" s="1479">
        <f t="shared" ca="1" si="27"/>
        <v>0.86449999999989657</v>
      </c>
      <c r="CJ44" s="1480">
        <f ca="1">IF($B44&gt;=$J$5,0,CONTADORES!$BG38)</f>
        <v>9077.7117075228507</v>
      </c>
      <c r="CK44" s="1384">
        <f>CONTADORES!E38</f>
        <v>0</v>
      </c>
      <c r="CL44" s="1384">
        <f>CONTADORES!BX38</f>
        <v>0</v>
      </c>
    </row>
    <row r="45" spans="2:90">
      <c r="B45" s="220">
        <v>44961</v>
      </c>
      <c r="C45" s="204">
        <f t="shared" ca="1" si="0"/>
        <v>309.57999999995809</v>
      </c>
      <c r="D45" s="202">
        <f ca="1">'CALCULO DE GAS'!D41</f>
        <v>5.0008407643388111</v>
      </c>
      <c r="E45" s="202">
        <f ca="1">IF(B45&gt;=$J$5,0,(CONTADORES!$AB39-CONTADORES!$AB38)-$H45)</f>
        <v>24</v>
      </c>
      <c r="F45" s="204">
        <f t="shared" ca="1" si="29"/>
        <v>0</v>
      </c>
      <c r="G45" s="202">
        <f ca="1">IF(B45&gt;=$J$5,0,CONTADORES!$AD39-CONTADORES!$AD38)</f>
        <v>0</v>
      </c>
      <c r="H45" s="212">
        <f ca="1">IF(G45&gt;0,CONTADORES!$AC39-CONTADORES!$AC38,0)</f>
        <v>0</v>
      </c>
      <c r="I45" s="205">
        <f ca="1">IF(B45&gt;=$J$5,0,CONTADORES!$Z39-CONTADORES!$Z38)</f>
        <v>309.57999999995809</v>
      </c>
      <c r="J45" s="204">
        <f t="shared" ca="1" si="2"/>
        <v>145.28000000000247</v>
      </c>
      <c r="K45" s="202">
        <f ca="1">'CALCULO DE GAS'!E41</f>
        <v>3.6610377718204692</v>
      </c>
      <c r="L45" s="1437">
        <f ca="1">IF(B45&gt;=$J$5,0,(CONTADORES!$W39-CONTADORES!$W38)-$O45)</f>
        <v>24</v>
      </c>
      <c r="M45" s="1437">
        <f t="shared" ca="1" si="3"/>
        <v>0</v>
      </c>
      <c r="N45" s="1437">
        <f ca="1">IF(B45&gt;=$J$5,0,CONTADORES!$Y39-CONTADORES!Y38)</f>
        <v>0</v>
      </c>
      <c r="O45" s="1437">
        <f ca="1">IF(N45&gt;0,CONTADORES!$X39-CONTADORES!$X38,0)</f>
        <v>0</v>
      </c>
      <c r="P45" s="208">
        <f ca="1">IF(B45&gt;=$J$5,0,CONTADORES!$U39-CONTADORES!$U38)</f>
        <v>145.28000000000247</v>
      </c>
      <c r="Q45" s="208">
        <f ca="1">IF(B45&gt;=$J$5,0,CONTADORES!$B39-CONTADORES!$B38)</f>
        <v>0</v>
      </c>
      <c r="R45" s="202">
        <f t="shared" ca="1" si="4"/>
        <v>0</v>
      </c>
      <c r="S45" s="11">
        <f ca="1">IF(B45&gt;=$J$5,0,CONTADORES!$D39-CONTADORES!$D38)</f>
        <v>0</v>
      </c>
      <c r="T45" s="204">
        <f ca="1">IF(B45&gt;=$J$5,0,CONTADORES!$AZ39-CONTADORES!$AZ38)</f>
        <v>0</v>
      </c>
      <c r="U45" s="202">
        <f t="shared" ca="1" si="30"/>
        <v>0</v>
      </c>
      <c r="V45" s="205">
        <f ca="1">IF(B45&gt;=$J$5,0,CONTADORES!$BB39-CONTADORES!$BB38)</f>
        <v>0</v>
      </c>
      <c r="W45" s="1438">
        <f t="shared" ca="1" si="6"/>
        <v>454.85999999996056</v>
      </c>
      <c r="X45" s="1438">
        <f t="shared" ca="1" si="7"/>
        <v>0</v>
      </c>
      <c r="Y45" s="1439">
        <f t="shared" ca="1" si="8"/>
        <v>454.85999999996056</v>
      </c>
      <c r="Z45" s="1439">
        <f t="shared" ca="1" si="9"/>
        <v>8.6618785361592803</v>
      </c>
      <c r="AA45" s="1439">
        <f t="shared" ca="1" si="10"/>
        <v>0</v>
      </c>
      <c r="AB45" s="1439">
        <f t="shared" ca="1" si="11"/>
        <v>48</v>
      </c>
      <c r="AC45" s="1438">
        <f t="shared" ca="1" si="12"/>
        <v>0</v>
      </c>
      <c r="AD45" s="1438">
        <f ca="1">IF(B45=$J$5,0,CONTADORES!H39-CONTADORES!H38)</f>
        <v>164.68000000005122</v>
      </c>
      <c r="AE45" s="1438">
        <f ca="1">IF(B45=$J$5,0,CONTADORES!J39-CONTADORES!J38)</f>
        <v>24</v>
      </c>
      <c r="AF45" s="1438">
        <f ca="1">IF(B45=$J$5,0,CONTADORES!AS39-CONTADORES!AS38)</f>
        <v>150.52000000001863</v>
      </c>
      <c r="AG45" s="1438">
        <f ca="1">IF(B45=$J$5,0,CONTADORES!AU39-CONTADORES!AU38)</f>
        <v>24</v>
      </c>
      <c r="AH45" s="1438">
        <f ca="1">IF(B45=$J$5,0,(CONTADORES!AK39-CONTADORES!AK38)+(CONTADORES!K39-CONTADORES!K38))</f>
        <v>19.5</v>
      </c>
      <c r="AI45" s="1438">
        <f ca="1">IF(B45=$J$5,0,(CONTADORES!AI39-CONTADORES!AI38)+(CONTADORES!M39-CONTADORES!M38))</f>
        <v>38.760000000002037</v>
      </c>
      <c r="AJ45" s="1438">
        <f ca="1">IF(B45=$J$5,0,(CONTADORES!AG39-CONTADORES!AG38))</f>
        <v>8.7200000000011642</v>
      </c>
      <c r="AK45" s="1438">
        <f ca="1">IF(B45=$J$5,0,(CONTADORES!O39-CONTADORES!O38))</f>
        <v>13.85999999998603</v>
      </c>
      <c r="AL45" s="1438">
        <f t="shared" ca="1" si="13"/>
        <v>30.539999999919019</v>
      </c>
      <c r="AM45" s="1438">
        <f ca="1">IF(B45&gt;=$J$5,0,(((CONTADORES!F39-CONTADORES!F38)+(CONTADORES!AO39-CONTADORES!AO38))))-BJ45-AF45-AN45-BM45-BP45-BU45-BS45</f>
        <v>9.456999999981333</v>
      </c>
      <c r="AN45" s="1438">
        <f ca="1">IF(B45=$J$5,0,(CONTADORES!AV39-CONTADORES!AV38)+(CONTADORES!AX39-CONTADORES!AX38)+(CONTADORES!BC39-CONTADORES!BC38))-BS45</f>
        <v>3.2970000000006205</v>
      </c>
      <c r="AO45" s="1478">
        <f ca="1">IF(B45&gt;=$J$5,0,(CONTADORES!AA39-CONTADORES!AA38))</f>
        <v>150.73999999999069</v>
      </c>
      <c r="AP45" s="1478">
        <f ca="1">IF(B45&gt;=$J$5,0,(CONTADORES!V39-CONTADORES!V38))</f>
        <v>75.70299999999952</v>
      </c>
      <c r="AQ45" s="1474">
        <f ca="1">IF(B45&gt;=$J$5,0,(CONTADORES!C39-CONTADORES!C38))</f>
        <v>0</v>
      </c>
      <c r="AR45" s="1440">
        <f ca="1">IF(B45&gt;=$J$5,0,(CONTADORES!BA39-CONTADORES!BA38))</f>
        <v>0</v>
      </c>
      <c r="AS45" s="1438">
        <f ca="1">IF(B45=$J$5,0,CONTADORES!Q39-CONTADORES!Q38)</f>
        <v>16.429999999993015</v>
      </c>
      <c r="AT45" s="1438">
        <f ca="1">IF(B45=$J$5,0,(CONTADORES!S39-CONTADORES!S38)+(CONTADORES!AE39-CONTADORES!AE38))</f>
        <v>2.2399999999979627</v>
      </c>
      <c r="AU45" s="1438">
        <f>CONTADORES!I39-CONTADORES!I38</f>
        <v>84.799999999988358</v>
      </c>
      <c r="AV45" s="1438">
        <f>CONTADORES!AT39-CONTADORES!AT38</f>
        <v>64.89100000000326</v>
      </c>
      <c r="AW45" s="1438">
        <f ca="1">IF(B45&gt;=$J$5,0,(CONTADORES!L39-CONTADORES!L38)+(CONTADORES!AL39-CONTADORES!AL38))</f>
        <v>7.6000000000021828</v>
      </c>
      <c r="AX45" s="1438">
        <f ca="1">IF(B45&gt;=$J$5,0,(CONTADORES!N39-CONTADORES!N38)+(CONTADORES!AJ39-CONTADORES!AJ38))</f>
        <v>30.379999999997381</v>
      </c>
      <c r="AY45" s="1438">
        <f ca="1">IF(B45&gt;=$J$5,0,(CONTADORES!AH39-CONTADORES!AH38))</f>
        <v>6.8600000000005821</v>
      </c>
      <c r="AZ45" s="1438">
        <f ca="1">IF(B45&gt;=$J$5,0,(CONTADORES!P39-CONTADORES!P38))</f>
        <v>11.139999999999418</v>
      </c>
      <c r="BA45" s="1438">
        <f t="shared" ca="1" si="14"/>
        <v>9.47499999999701</v>
      </c>
      <c r="BB45" s="1438">
        <f ca="1">IF(B45&gt;=$J$5,0,(((CONTADORES!G39-CONTADORES!G38)+(CONTADORES!AP39-CONTADORES!AP38))))-AV45-BC45-BK45-BN45-BQ45-BV45</f>
        <v>3.9030000000019616</v>
      </c>
      <c r="BC45" s="1794">
        <f ca="1">IF(B45&gt;=$J$5,0,(CONTADORES!AW39-CONTADORES!AW38)+(CONTADORES!AY39-CONTADORES!AY38)+(CONTADORES!BD39-CONTADORES!BD38))-BT45</f>
        <v>1.6720000000000534</v>
      </c>
      <c r="BD45" s="1438">
        <f t="shared" ca="1" si="15"/>
        <v>226.44299999999021</v>
      </c>
      <c r="BE45" s="1439">
        <f ca="1">IF($B45&gt;=$J$5,0,CONTADORES!$BE39)</f>
        <v>8897.0300000000007</v>
      </c>
      <c r="BF45" s="1438">
        <f ca="1">IF($B45&gt;=$J$5,0,CONTADORES!$BF39)</f>
        <v>34924.592982456103</v>
      </c>
      <c r="BG45" s="1438">
        <f ca="1">IF($B45&gt;=$J$5,0,CONTADORES!$BH39)</f>
        <v>5962.11</v>
      </c>
      <c r="BH45" s="1438">
        <f ca="1">IF(B45&gt;=$J$5,0,(CONTADORES!AQ39-CONTADORES!AQ38))</f>
        <v>4.1869999999980791</v>
      </c>
      <c r="BI45" s="1438">
        <f ca="1">IF(B45&gt;=$J$5,0,(CONTADORES!AR39-CONTADORES!AR38))</f>
        <v>0</v>
      </c>
      <c r="BJ45" s="1450">
        <f ca="1">IF(B45&gt;=$J$5,0,CONTADORES!BI39-CONTADORES!BI38)/1000</f>
        <v>0</v>
      </c>
      <c r="BK45" s="1479">
        <f ca="1">IF(B45&gt;=$J$5,0,CONTADORES!BJ39-CONTADORES!BJ38)</f>
        <v>0</v>
      </c>
      <c r="BL45" s="1479">
        <f ca="1">IF(B45&gt;=$J$5,0,CONTADORES!BK39-CONTADORES!BK38)</f>
        <v>0</v>
      </c>
      <c r="BM45" s="1479">
        <f ca="1">IF(B45&gt;=$J$5,0,CONTADORES!BL39-CONTADORES!BL38)/1000</f>
        <v>4.5819999999999999</v>
      </c>
      <c r="BN45" s="1479">
        <f ca="1">IF(B45&gt;=$J$5,0,CONTADORES!BM39-CONTADORES!BM38)/1000</f>
        <v>0.67300000000000004</v>
      </c>
      <c r="BO45" s="1479">
        <f ca="1">IF(B45&gt;=$J$5,0,CONTADORES!BN39-CONTADORES!BN38)</f>
        <v>24</v>
      </c>
      <c r="BP45" s="1479">
        <f ca="1">IF(B45&gt;=$J$5,0,CONTADORES!BO39-CONTADORES!BO38)/1000</f>
        <v>3.6709999999999998</v>
      </c>
      <c r="BQ45" s="1479">
        <f ca="1">IF(B45&gt;=$J$5,0,CONTADORES!BP39-CONTADORES!BP38)/1000</f>
        <v>6.0999999999999999E-2</v>
      </c>
      <c r="BR45" s="1479">
        <f ca="1">IF(B45&gt;=$J$5,0,CONTADORES!BQ39-CONTADORES!BQ38)</f>
        <v>24</v>
      </c>
      <c r="BS45" s="1450">
        <f ca="1">IF(B45&gt;=$J$5,0,(CONTADORES!BT39-CONTADORES!BT38)+(CONTADORES!BV39-CONTADORES!BV38))/1000</f>
        <v>0.83299999999999996</v>
      </c>
      <c r="BT45" s="1479">
        <f ca="1">IF(B45&gt;=$J$5,0,(CONTADORES!BU39-CONTADORES!BU38)+(CONTADORES!BW39-CONTADORES!BW38))/1000</f>
        <v>0.48799999999999999</v>
      </c>
      <c r="BU45" s="1450">
        <f ca="1">IF(B45&gt;=$J$5,0,CONTADORES!BR39-CONTADORES!BR38)</f>
        <v>6.4400000000005093</v>
      </c>
      <c r="BV45" s="1479">
        <f ca="1">IF(B45&gt;=$J$5,0,CONTADORES!BS39-CONTADORES!BS38)</f>
        <v>4.5</v>
      </c>
      <c r="BW45" s="1479">
        <f t="shared" ca="1" si="16"/>
        <v>11.168499999991177</v>
      </c>
      <c r="BX45" s="1479">
        <f t="shared" ca="1" si="17"/>
        <v>6.4515000000009808</v>
      </c>
      <c r="BY45" s="1479">
        <f t="shared" ca="1" si="18"/>
        <v>4.7284999999906665</v>
      </c>
      <c r="BZ45" s="1479">
        <f t="shared" ca="1" si="19"/>
        <v>1.3188000000002482</v>
      </c>
      <c r="CA45" s="1479">
        <f t="shared" ca="1" si="20"/>
        <v>4.7284999999906665</v>
      </c>
      <c r="CB45" s="1479">
        <f t="shared" ca="1" si="21"/>
        <v>1.9782000000003723</v>
      </c>
      <c r="CC45" s="1479">
        <f t="shared" ca="1" si="22"/>
        <v>2.1518000000002484</v>
      </c>
      <c r="CD45" s="1479">
        <f t="shared" ca="1" si="23"/>
        <v>1.9515000000009808</v>
      </c>
      <c r="CE45" s="1479">
        <f ca="1">IF(B45&gt;=$J$5,0,CONTADORES!BS39-CONTADORES!BS38)</f>
        <v>4.5</v>
      </c>
      <c r="CF45" s="1479">
        <f t="shared" ca="1" si="24"/>
        <v>1.9515000000009808</v>
      </c>
      <c r="CG45" s="1479">
        <f t="shared" ca="1" si="25"/>
        <v>0.83600000000002672</v>
      </c>
      <c r="CH45" s="1479">
        <f t="shared" ca="1" si="26"/>
        <v>0.83600000000002672</v>
      </c>
      <c r="CI45" s="1479">
        <f t="shared" ca="1" si="27"/>
        <v>1.3240000000000267</v>
      </c>
      <c r="CJ45" s="1480">
        <f ca="1">IF($B45&gt;=$J$5,0,CONTADORES!$BG39)</f>
        <v>11100.5175604262</v>
      </c>
      <c r="CK45" s="1384">
        <f>CONTADORES!E39</f>
        <v>0</v>
      </c>
      <c r="CL45" s="1384">
        <f>CONTADORES!BX39</f>
        <v>0</v>
      </c>
    </row>
    <row r="46" spans="2:90">
      <c r="B46" s="220">
        <v>44962</v>
      </c>
      <c r="C46" s="204">
        <f t="shared" ca="1" si="0"/>
        <v>304.11000000010245</v>
      </c>
      <c r="D46" s="202">
        <f ca="1">'CALCULO DE GAS'!D42</f>
        <v>4.9562350286791403</v>
      </c>
      <c r="E46" s="202">
        <f ca="1">IF(B46&gt;=$J$5,0,(CONTADORES!$AB40-CONTADORES!$AB39)-$H46)</f>
        <v>24</v>
      </c>
      <c r="F46" s="204">
        <f t="shared" ca="1" si="29"/>
        <v>0</v>
      </c>
      <c r="G46" s="202">
        <f ca="1">IF(B46&gt;=$J$5,0,CONTADORES!$AD40-CONTADORES!$AD39)</f>
        <v>0</v>
      </c>
      <c r="H46" s="212">
        <f ca="1">IF(G46&gt;0,CONTADORES!$AC40-CONTADORES!$AC39,0)</f>
        <v>0</v>
      </c>
      <c r="I46" s="205">
        <f ca="1">IF(B46&gt;=$J$5,0,CONTADORES!$Z40-CONTADORES!$Z39)</f>
        <v>304.11000000010245</v>
      </c>
      <c r="J46" s="204">
        <f t="shared" ca="1" si="2"/>
        <v>147.07999999999811</v>
      </c>
      <c r="K46" s="202">
        <f ca="1">'CALCULO DE GAS'!E42</f>
        <v>3.6757160760598349</v>
      </c>
      <c r="L46" s="1437">
        <f ca="1">IF(B46&gt;=$J$5,0,(CONTADORES!$W40-CONTADORES!$W39)-$O46)</f>
        <v>24</v>
      </c>
      <c r="M46" s="1437">
        <v>0</v>
      </c>
      <c r="N46" s="1437">
        <f ca="1">IF(B46&gt;=$J$5,0,CONTADORES!$Y40-CONTADORES!Y39)</f>
        <v>0</v>
      </c>
      <c r="O46" s="1437">
        <f ca="1">IF(N46&gt;0,CONTADORES!$X40-CONTADORES!$X39,0)</f>
        <v>0</v>
      </c>
      <c r="P46" s="208">
        <f ca="1">IF(B46&gt;=$J$5,0,CONTADORES!$U40-CONTADORES!$U39)</f>
        <v>147.07999999999811</v>
      </c>
      <c r="Q46" s="208">
        <f ca="1">IF(B46&gt;=$J$5,0,CONTADORES!$B40-CONTADORES!$B39)</f>
        <v>0</v>
      </c>
      <c r="R46" s="202">
        <f t="shared" ca="1" si="4"/>
        <v>0</v>
      </c>
      <c r="S46" s="11">
        <f ca="1">IF(B46&gt;=$J$5,0,CONTADORES!$D40-CONTADORES!$D39)</f>
        <v>0</v>
      </c>
      <c r="T46" s="204">
        <f ca="1">IF(B46&gt;=$J$5,0,CONTADORES!$AZ40-CONTADORES!$AZ39)</f>
        <v>0</v>
      </c>
      <c r="U46" s="202">
        <f t="shared" ca="1" si="30"/>
        <v>0</v>
      </c>
      <c r="V46" s="205">
        <f ca="1">IF(B46&gt;=$J$5,0,CONTADORES!$BB40-CONTADORES!$BB39)</f>
        <v>0</v>
      </c>
      <c r="W46" s="1438">
        <f t="shared" ca="1" si="6"/>
        <v>451.19000000010055</v>
      </c>
      <c r="X46" s="1438">
        <f t="shared" ca="1" si="7"/>
        <v>0</v>
      </c>
      <c r="Y46" s="1439">
        <f t="shared" ca="1" si="8"/>
        <v>451.19000000010055</v>
      </c>
      <c r="Z46" s="1439">
        <f t="shared" ca="1" si="9"/>
        <v>8.6319511047389756</v>
      </c>
      <c r="AA46" s="1439">
        <f t="shared" ca="1" si="10"/>
        <v>0</v>
      </c>
      <c r="AB46" s="1439">
        <f t="shared" ca="1" si="11"/>
        <v>48</v>
      </c>
      <c r="AC46" s="1438">
        <f t="shared" ca="1" si="12"/>
        <v>0</v>
      </c>
      <c r="AD46" s="1438">
        <f ca="1">IF(B46=$J$5,0,CONTADORES!H40-CONTADORES!H39)</f>
        <v>165.71999999997206</v>
      </c>
      <c r="AE46" s="1438">
        <f ca="1">IF(B46=$J$5,0,CONTADORES!J40-CONTADORES!J39)</f>
        <v>24</v>
      </c>
      <c r="AF46" s="1438">
        <f ca="1">IF(B46=$J$5,0,CONTADORES!AS40-CONTADORES!AS39)</f>
        <v>152.85999999998603</v>
      </c>
      <c r="AG46" s="1438">
        <f ca="1">IF(B46=$J$5,0,CONTADORES!AU40-CONTADORES!AU39)</f>
        <v>24</v>
      </c>
      <c r="AH46" s="1438">
        <f ca="1">IF(B46=$J$5,0,(CONTADORES!AK40-CONTADORES!AK39)+(CONTADORES!K40-CONTADORES!K39))</f>
        <v>10.599999999998545</v>
      </c>
      <c r="AI46" s="1438">
        <f ca="1">IF(B46=$J$5,0,(CONTADORES!AI40-CONTADORES!AI39)+(CONTADORES!M40-CONTADORES!M39))</f>
        <v>39.209999999999127</v>
      </c>
      <c r="AJ46" s="1438">
        <f ca="1">IF(B46=$J$5,0,(CONTADORES!AG40-CONTADORES!AG39))</f>
        <v>8.680000000007567</v>
      </c>
      <c r="AK46" s="1438">
        <f ca="1">IF(B46=$J$5,0,(CONTADORES!O40-CONTADORES!O39))</f>
        <v>12.730000000010477</v>
      </c>
      <c r="AL46" s="1438">
        <f t="shared" ca="1" si="13"/>
        <v>32.550000000135697</v>
      </c>
      <c r="AM46" s="1438">
        <f ca="1">IF(B46&gt;=$J$5,0,(((CONTADORES!F40-CONTADORES!F39)+(CONTADORES!AO40-CONTADORES!AO39))))-BJ46-AF46-AN46-BM46-BP46-BU46-BS46</f>
        <v>9.0479999999918856</v>
      </c>
      <c r="AN46" s="1438">
        <f ca="1">IF(B46=$J$5,0,(CONTADORES!AV40-CONTADORES!AV39)+(CONTADORES!AX40-CONTADORES!AX39)+(CONTADORES!BC40-CONTADORES!BC39))-BS46</f>
        <v>4.1399999999996364</v>
      </c>
      <c r="AO46" s="1478">
        <f ca="1">IF(B46&gt;=$J$5,0,(CONTADORES!AA40-CONTADORES!AA39))</f>
        <v>151.07000000000698</v>
      </c>
      <c r="AP46" s="1478">
        <f ca="1">IF(B46&gt;=$J$5,0,(CONTADORES!V40-CONTADORES!V39))</f>
        <v>73.389999999999418</v>
      </c>
      <c r="AQ46" s="1474">
        <f ca="1">IF(B46&gt;=$J$5,0,(CONTADORES!C40-CONTADORES!C39))</f>
        <v>0</v>
      </c>
      <c r="AR46" s="1440">
        <f ca="1">IF(B46&gt;=$J$5,0,(CONTADORES!BA40-CONTADORES!BA39))</f>
        <v>0</v>
      </c>
      <c r="AS46" s="1438">
        <f ca="1">IF(B46=$J$5,0,CONTADORES!Q40-CONTADORES!Q39)</f>
        <v>16.510000000009313</v>
      </c>
      <c r="AT46" s="1438">
        <f ca="1">IF(B46=$J$5,0,(CONTADORES!S40-CONTADORES!S39)+(CONTADORES!AE40-CONTADORES!AE39))</f>
        <v>2.2600000000020373</v>
      </c>
      <c r="AU46" s="1438">
        <f>CONTADORES!I40-CONTADORES!I39</f>
        <v>84.100000000034925</v>
      </c>
      <c r="AV46" s="1438">
        <f>CONTADORES!AT40-CONTADORES!AT39</f>
        <v>65.880000000004657</v>
      </c>
      <c r="AW46" s="1438">
        <f ca="1">IF(B46&gt;=$J$5,0,(CONTADORES!L40-CONTADORES!L39)+(CONTADORES!AL40-CONTADORES!AL39))</f>
        <v>4.0999999999985448</v>
      </c>
      <c r="AX46" s="1438">
        <f ca="1">IF(B46&gt;=$J$5,0,(CONTADORES!N40-CONTADORES!N39)+(CONTADORES!AJ40-CONTADORES!AJ39))</f>
        <v>30.770000000004075</v>
      </c>
      <c r="AY46" s="1438">
        <f ca="1">IF(B46&gt;=$J$5,0,(CONTADORES!AH40-CONTADORES!AH39))</f>
        <v>6.8099999999976717</v>
      </c>
      <c r="AZ46" s="1438">
        <f ca="1">IF(B46&gt;=$J$5,0,(CONTADORES!P40-CONTADORES!P39))</f>
        <v>10.779999999998836</v>
      </c>
      <c r="BA46" s="1438">
        <f t="shared" ca="1" si="14"/>
        <v>10.256999999971612</v>
      </c>
      <c r="BB46" s="1438">
        <f ca="1">IF(B46&gt;=$J$5,0,(((CONTADORES!G40-CONTADORES!G39)+(CONTADORES!AP40-CONTADORES!AP39))))-AV46-BC46-BK46-BN46-BQ46-BV46</f>
        <v>3.1149999999957982</v>
      </c>
      <c r="BC46" s="1794">
        <f ca="1">IF(B46&gt;=$J$5,0,(CONTADORES!AW40-CONTADORES!AW39)+(CONTADORES!AY40-CONTADORES!AY39)+(CONTADORES!BD40-CONTADORES!BD39))-BT46</f>
        <v>2.7070000000000909</v>
      </c>
      <c r="BD46" s="1438">
        <f t="shared" ca="1" si="15"/>
        <v>224.4600000000064</v>
      </c>
      <c r="BE46" s="1439">
        <f ca="1">IF($B46&gt;=$J$5,0,CONTADORES!$BE40)</f>
        <v>7845.48</v>
      </c>
      <c r="BF46" s="1438">
        <f ca="1">IF($B46&gt;=$J$5,0,CONTADORES!$BF40)</f>
        <v>36057.196491228096</v>
      </c>
      <c r="BG46" s="1438">
        <f ca="1">IF($B46&gt;=$J$5,0,CONTADORES!$BH40)</f>
        <v>5313.07</v>
      </c>
      <c r="BH46" s="1438">
        <f ca="1">IF(B46&gt;=$J$5,0,(CONTADORES!AQ40-CONTADORES!AQ39))</f>
        <v>4.25</v>
      </c>
      <c r="BI46" s="1438">
        <f ca="1">IF(B46&gt;=$J$5,0,(CONTADORES!AR40-CONTADORES!AR39))</f>
        <v>0</v>
      </c>
      <c r="BJ46" s="1450">
        <f ca="1">IF(B46&gt;=$J$5,0,CONTADORES!BI40-CONTADORES!BI39)/1000</f>
        <v>0</v>
      </c>
      <c r="BK46" s="1479">
        <f ca="1">IF(B46&gt;=$J$5,0,CONTADORES!BJ40-CONTADORES!BJ39)</f>
        <v>0</v>
      </c>
      <c r="BL46" s="1479">
        <f ca="1">IF(B46&gt;=$J$5,0,CONTADORES!BK40-CONTADORES!BK39)</f>
        <v>0</v>
      </c>
      <c r="BM46" s="1479">
        <f ca="1">IF(B46&gt;=$J$5,0,CONTADORES!BL40-CONTADORES!BL39)/1000</f>
        <v>4.5919999999999996</v>
      </c>
      <c r="BN46" s="1479">
        <f ca="1">IF(B46&gt;=$J$5,0,CONTADORES!BM40-CONTADORES!BM39)/1000</f>
        <v>0.90100000000000002</v>
      </c>
      <c r="BO46" s="1479">
        <f ca="1">IF(B46&gt;=$J$5,0,CONTADORES!BN40-CONTADORES!BN39)</f>
        <v>24</v>
      </c>
      <c r="BP46" s="1479">
        <f ca="1">IF(B46&gt;=$J$5,0,CONTADORES!BO40-CONTADORES!BO39)/1000</f>
        <v>3.78</v>
      </c>
      <c r="BQ46" s="1479">
        <f ca="1">IF(B46&gt;=$J$5,0,CONTADORES!BP40-CONTADORES!BP39)/1000</f>
        <v>4.7E-2</v>
      </c>
      <c r="BR46" s="1479">
        <f ca="1">IF(B46&gt;=$J$5,0,CONTADORES!BQ40-CONTADORES!BQ39)</f>
        <v>24</v>
      </c>
      <c r="BS46" s="1450">
        <f ca="1">IF(B46&gt;=$J$5,0,(CONTADORES!BT40-CONTADORES!BT39)+(CONTADORES!BV40-CONTADORES!BV39))/1000</f>
        <v>0.76</v>
      </c>
      <c r="BT46" s="1479">
        <f ca="1">IF(B46&gt;=$J$5,0,(CONTADORES!BU40-CONTADORES!BU39)+(CONTADORES!BW40-CONTADORES!BW39))/1000</f>
        <v>0.443</v>
      </c>
      <c r="BU46" s="1450">
        <f ca="1">IF(B46&gt;=$J$5,0,CONTADORES!BR40-CONTADORES!BR39)</f>
        <v>6.5199999999995271</v>
      </c>
      <c r="BV46" s="1479">
        <f ca="1">IF(B46&gt;=$J$5,0,CONTADORES!BS40-CONTADORES!BS39)</f>
        <v>4.5500000000001819</v>
      </c>
      <c r="BW46" s="1479">
        <f t="shared" ca="1" si="16"/>
        <v>11.043999999995471</v>
      </c>
      <c r="BX46" s="1479">
        <f t="shared" ca="1" si="17"/>
        <v>6.1074999999980815</v>
      </c>
      <c r="BY46" s="1479">
        <f t="shared" ca="1" si="18"/>
        <v>4.5239999999959428</v>
      </c>
      <c r="BZ46" s="1479">
        <f t="shared" ca="1" si="19"/>
        <v>1.6559999999998547</v>
      </c>
      <c r="CA46" s="1479">
        <f t="shared" ca="1" si="20"/>
        <v>4.5239999999959428</v>
      </c>
      <c r="CB46" s="1479">
        <f t="shared" ca="1" si="21"/>
        <v>2.4839999999997815</v>
      </c>
      <c r="CC46" s="1479">
        <f t="shared" ca="1" si="22"/>
        <v>2.4159999999998547</v>
      </c>
      <c r="CD46" s="1479">
        <f t="shared" ca="1" si="23"/>
        <v>1.5574999999978991</v>
      </c>
      <c r="CE46" s="1479">
        <f ca="1">IF(B46&gt;=$J$5,0,CONTADORES!BS40-CONTADORES!BS39)</f>
        <v>4.5500000000001819</v>
      </c>
      <c r="CF46" s="1479">
        <f t="shared" ca="1" si="24"/>
        <v>1.5574999999978991</v>
      </c>
      <c r="CG46" s="1479">
        <f t="shared" ca="1" si="25"/>
        <v>1.3535000000000454</v>
      </c>
      <c r="CH46" s="1479">
        <f t="shared" ca="1" si="26"/>
        <v>1.3535000000000454</v>
      </c>
      <c r="CI46" s="1479">
        <f t="shared" ca="1" si="27"/>
        <v>1.7965000000000455</v>
      </c>
      <c r="CJ46" s="1480">
        <f ca="1">IF($B46&gt;=$J$5,0,CONTADORES!$BG40)</f>
        <v>11008.588177839199</v>
      </c>
      <c r="CK46" s="1384">
        <f>CONTADORES!E40</f>
        <v>0</v>
      </c>
      <c r="CL46" s="1384">
        <f>CONTADORES!BX40</f>
        <v>0</v>
      </c>
    </row>
    <row r="47" spans="2:90">
      <c r="B47" s="220">
        <v>44963</v>
      </c>
      <c r="C47" s="204">
        <f t="shared" ca="1" si="0"/>
        <v>303.55999999993946</v>
      </c>
      <c r="D47" s="202">
        <f ca="1">'CALCULO DE GAS'!D43</f>
        <v>4.9517499912713276</v>
      </c>
      <c r="E47" s="202">
        <f ca="1">IF(B47&gt;=$J$5,0,(CONTADORES!$AB41-CONTADORES!$AB40)-$H47)</f>
        <v>24</v>
      </c>
      <c r="F47" s="204">
        <f t="shared" ca="1" si="29"/>
        <v>0</v>
      </c>
      <c r="G47" s="202">
        <f ca="1">IF(B47&gt;=$J$5,0,CONTADORES!$AD41-CONTADORES!$AD40)</f>
        <v>0</v>
      </c>
      <c r="H47" s="212">
        <f ca="1">IF(G47&gt;0,CONTADORES!$AC41-CONTADORES!$AC40,0)</f>
        <v>0</v>
      </c>
      <c r="I47" s="205">
        <f ca="1">IF(B47&gt;=$J$5,0,CONTADORES!$Z41-CONTADORES!$Z40)</f>
        <v>303.55999999993946</v>
      </c>
      <c r="J47" s="204">
        <f t="shared" ca="1" si="2"/>
        <v>146.54000000000087</v>
      </c>
      <c r="K47" s="202">
        <f ca="1">'CALCULO DE GAS'!E43</f>
        <v>3.671312584788037</v>
      </c>
      <c r="L47" s="1437">
        <f ca="1">IF(B47&gt;=$J$5,0,(CONTADORES!$W41-CONTADORES!$W40)-$O47)</f>
        <v>24</v>
      </c>
      <c r="M47" s="1437">
        <f ca="1">IF(O47=0,0,"ERROR")</f>
        <v>0</v>
      </c>
      <c r="N47" s="1437">
        <f ca="1">IF(B47&gt;=$J$5,0,CONTADORES!$Y41-CONTADORES!Y40)</f>
        <v>0</v>
      </c>
      <c r="O47" s="1437">
        <f ca="1">IF(N47&gt;0,CONTADORES!$X41-CONTADORES!$X40,0)</f>
        <v>0</v>
      </c>
      <c r="P47" s="208">
        <f ca="1">IF(B47&gt;=$J$5,0,CONTADORES!$U41-CONTADORES!$U40)</f>
        <v>146.54000000000087</v>
      </c>
      <c r="Q47" s="208">
        <f ca="1">IF(B47&gt;=$J$5,0,CONTADORES!$B41-CONTADORES!$B40)</f>
        <v>0</v>
      </c>
      <c r="R47" s="202">
        <f t="shared" ca="1" si="4"/>
        <v>0</v>
      </c>
      <c r="S47" s="11">
        <f ca="1">IF(B47&gt;=$J$5,0,CONTADORES!$D41-CONTADORES!$D40)</f>
        <v>0</v>
      </c>
      <c r="T47" s="204">
        <f ca="1">IF(B47&gt;=$J$5,0,CONTADORES!$AZ41-CONTADORES!$AZ40)</f>
        <v>0</v>
      </c>
      <c r="U47" s="202">
        <f t="shared" ca="1" si="30"/>
        <v>0</v>
      </c>
      <c r="V47" s="205">
        <f ca="1">IF(B47&gt;=$J$5,0,CONTADORES!$BB41-CONTADORES!$BB40)</f>
        <v>0</v>
      </c>
      <c r="W47" s="1438">
        <f t="shared" ca="1" si="6"/>
        <v>450.09999999994034</v>
      </c>
      <c r="X47" s="1438">
        <f t="shared" ca="1" si="7"/>
        <v>0</v>
      </c>
      <c r="Y47" s="1439">
        <f t="shared" ca="1" si="8"/>
        <v>450.09999999994034</v>
      </c>
      <c r="Z47" s="1439">
        <f t="shared" ca="1" si="9"/>
        <v>8.6230625760593647</v>
      </c>
      <c r="AA47" s="1439">
        <f t="shared" ca="1" si="10"/>
        <v>0</v>
      </c>
      <c r="AB47" s="1439">
        <f t="shared" ca="1" si="11"/>
        <v>48</v>
      </c>
      <c r="AC47" s="1438">
        <f t="shared" ca="1" si="12"/>
        <v>0</v>
      </c>
      <c r="AD47" s="1438">
        <f ca="1">IF(B47=$J$5,0,CONTADORES!H41-CONTADORES!H40)</f>
        <v>164</v>
      </c>
      <c r="AE47" s="1438">
        <f ca="1">IF(B47=$J$5,0,CONTADORES!J41-CONTADORES!J40)</f>
        <v>24</v>
      </c>
      <c r="AF47" s="1438">
        <f ca="1">IF(B47=$J$5,0,CONTADORES!AS41-CONTADORES!AS40)</f>
        <v>152.42999999999302</v>
      </c>
      <c r="AG47" s="1438">
        <f ca="1">IF(B47=$J$5,0,CONTADORES!AU41-CONTADORES!AU40)</f>
        <v>24</v>
      </c>
      <c r="AH47" s="1438">
        <f ca="1">IF(B47=$J$5,0,(CONTADORES!AK41-CONTADORES!AK40)+(CONTADORES!K41-CONTADORES!K40))</f>
        <v>9.0999999999985448</v>
      </c>
      <c r="AI47" s="1438">
        <f ca="1">IF(B47=$J$5,0,(CONTADORES!AI41-CONTADORES!AI40)+(CONTADORES!M41-CONTADORES!M40))</f>
        <v>40.180000000000291</v>
      </c>
      <c r="AJ47" s="1438">
        <f ca="1">IF(B47=$J$5,0,(CONTADORES!AG41-CONTADORES!AG40))</f>
        <v>8.9199999999982538</v>
      </c>
      <c r="AK47" s="1438">
        <f ca="1">IF(B47=$J$5,0,(CONTADORES!O41-CONTADORES!O40))</f>
        <v>12.64000000001397</v>
      </c>
      <c r="AL47" s="1438">
        <f t="shared" ca="1" si="13"/>
        <v>34.25999999990745</v>
      </c>
      <c r="AM47" s="1438">
        <f ca="1">IF(B47&gt;=$J$5,0,(((CONTADORES!F41-CONTADORES!F40)+(CONTADORES!AO41-CONTADORES!AO40))))-BJ47-AF47-AN47-BM47-BP47-BU47-BS47</f>
        <v>8.5970000000287747</v>
      </c>
      <c r="AN47" s="1438">
        <f ca="1">IF(B47=$J$5,0,(CONTADORES!AV41-CONTADORES!AV40)+(CONTADORES!AX41-CONTADORES!AX40)+(CONTADORES!BC41-CONTADORES!BC40))-BS47</f>
        <v>4.4460000000000726</v>
      </c>
      <c r="AO47" s="1478">
        <f ca="1">IF(B47&gt;=$J$5,0,(CONTADORES!AA41-CONTADORES!AA40))</f>
        <v>152.02000000001863</v>
      </c>
      <c r="AP47" s="1478">
        <f ca="1">IF(B47&gt;=$J$5,0,(CONTADORES!V41-CONTADORES!V40))</f>
        <v>74.989999999999782</v>
      </c>
      <c r="AQ47" s="1474">
        <f ca="1">IF(B47&gt;=$J$5,0,(CONTADORES!C41-CONTADORES!C40))</f>
        <v>0</v>
      </c>
      <c r="AR47" s="1440">
        <f ca="1">IF(B47&gt;=$J$5,0,(CONTADORES!BA41-CONTADORES!BA40))</f>
        <v>0</v>
      </c>
      <c r="AS47" s="1438">
        <f ca="1">IF(B47=$J$5,0,CONTADORES!Q41-CONTADORES!Q40)</f>
        <v>16.989999999990687</v>
      </c>
      <c r="AT47" s="1438">
        <f ca="1">IF(B47=$J$5,0,(CONTADORES!S41-CONTADORES!S40)+(CONTADORES!AE41-CONTADORES!AE40))</f>
        <v>2.3600000000005821</v>
      </c>
      <c r="AU47" s="1438">
        <f>CONTADORES!I41-CONTADORES!I40</f>
        <v>83.899999999965075</v>
      </c>
      <c r="AV47" s="1438">
        <f>CONTADORES!AT41-CONTADORES!AT40</f>
        <v>65.709999999991851</v>
      </c>
      <c r="AW47" s="1438">
        <f ca="1">IF(B47&gt;=$J$5,0,(CONTADORES!L41-CONTADORES!L40)+(CONTADORES!AL41-CONTADORES!AL40))</f>
        <v>3.5</v>
      </c>
      <c r="AX47" s="1438">
        <f ca="1">IF(B47&gt;=$J$5,0,(CONTADORES!N41-CONTADORES!N40)+(CONTADORES!AJ41-CONTADORES!AJ40))</f>
        <v>31.599999999991269</v>
      </c>
      <c r="AY47" s="1438">
        <f ca="1">IF(B47&gt;=$J$5,0,(CONTADORES!AH41-CONTADORES!AH40))</f>
        <v>6.9899999999979627</v>
      </c>
      <c r="AZ47" s="1438">
        <f ca="1">IF(B47&gt;=$J$5,0,(CONTADORES!P41-CONTADORES!P40))</f>
        <v>10.869999999995343</v>
      </c>
      <c r="BA47" s="1438">
        <f t="shared" ca="1" si="14"/>
        <v>12.518000000057128</v>
      </c>
      <c r="BB47" s="1438">
        <f ca="1">IF(B47&gt;=$J$5,0,(((CONTADORES!G41-CONTADORES!G40)+(CONTADORES!AP41-CONTADORES!AP40))))-AV47-BC47-BK47-BN47-BQ47-BV47</f>
        <v>2.8920000000194381</v>
      </c>
      <c r="BC47" s="1794">
        <f ca="1">IF(B47&gt;=$J$5,0,(CONTADORES!AW41-CONTADORES!AW40)+(CONTADORES!AY41-CONTADORES!AY40)+(CONTADORES!BD41-CONTADORES!BD40))-BT47</f>
        <v>3.0579999999999523</v>
      </c>
      <c r="BD47" s="1438">
        <f t="shared" ca="1" si="15"/>
        <v>227.01000000001841</v>
      </c>
      <c r="BE47" s="1439">
        <f ca="1">IF($B47&gt;=$J$5,0,CONTADORES!$BE41)</f>
        <v>7425.51</v>
      </c>
      <c r="BF47" s="1438">
        <f ca="1">IF($B47&gt;=$J$5,0,CONTADORES!$BF41)</f>
        <v>35812.564912280701</v>
      </c>
      <c r="BG47" s="1438">
        <f ca="1">IF($B47&gt;=$J$5,0,CONTADORES!$BH41)</f>
        <v>6383.82</v>
      </c>
      <c r="BH47" s="1438">
        <f ca="1">IF(B47&gt;=$J$5,0,(CONTADORES!AQ41-CONTADORES!AQ40))</f>
        <v>4.7799999999988358</v>
      </c>
      <c r="BI47" s="1438">
        <f ca="1">IF(B47&gt;=$J$5,0,(CONTADORES!AR41-CONTADORES!AR40))</f>
        <v>0</v>
      </c>
      <c r="BJ47" s="1450">
        <f ca="1">IF(B47&gt;=$J$5,0,CONTADORES!BI41-CONTADORES!BI40)/1000</f>
        <v>0</v>
      </c>
      <c r="BK47" s="1479">
        <f ca="1">IF(B47&gt;=$J$5,0,CONTADORES!BJ41-CONTADORES!BJ40)</f>
        <v>0</v>
      </c>
      <c r="BL47" s="1479">
        <f ca="1">IF(B47&gt;=$J$5,0,CONTADORES!BK41-CONTADORES!BK40)</f>
        <v>0</v>
      </c>
      <c r="BM47" s="1479">
        <f ca="1">IF(B47&gt;=$J$5,0,CONTADORES!BL41-CONTADORES!BL40)/1000</f>
        <v>4.5739999999999998</v>
      </c>
      <c r="BN47" s="1479">
        <f ca="1">IF(B47&gt;=$J$5,0,CONTADORES!BM41-CONTADORES!BM40)/1000</f>
        <v>0.88400000000000001</v>
      </c>
      <c r="BO47" s="1479">
        <f ca="1">IF(B47&gt;=$J$5,0,CONTADORES!BN41-CONTADORES!BN40)</f>
        <v>24</v>
      </c>
      <c r="BP47" s="1479">
        <f ca="1">IF(B47&gt;=$J$5,0,CONTADORES!BO41-CONTADORES!BO40)/1000</f>
        <v>3.6890000000000001</v>
      </c>
      <c r="BQ47" s="1479">
        <f ca="1">IF(B47&gt;=$J$5,0,CONTADORES!BP41-CONTADORES!BP40)/1000</f>
        <v>9.6000000000000002E-2</v>
      </c>
      <c r="BR47" s="1479">
        <f ca="1">IF(B47&gt;=$J$5,0,CONTADORES!BQ41-CONTADORES!BQ40)</f>
        <v>24</v>
      </c>
      <c r="BS47" s="1450">
        <f ca="1">IF(B47&gt;=$J$5,0,(CONTADORES!BT41-CONTADORES!BT40)+(CONTADORES!BV41-CONTADORES!BV40))/1000</f>
        <v>0.72399999999999998</v>
      </c>
      <c r="BT47" s="1479">
        <f ca="1">IF(B47&gt;=$J$5,0,(CONTADORES!BU41-CONTADORES!BU40)+(CONTADORES!BW41-CONTADORES!BW40))/1000</f>
        <v>0.432</v>
      </c>
      <c r="BU47" s="1450">
        <f ca="1">IF(B47&gt;=$J$5,0,CONTADORES!BR41-CONTADORES!BR40)</f>
        <v>6.5399999999999636</v>
      </c>
      <c r="BV47" s="1479">
        <f ca="1">IF(B47&gt;=$J$5,0,CONTADORES!BS41-CONTADORES!BS40)</f>
        <v>4.5600000000004002</v>
      </c>
      <c r="BW47" s="1479">
        <f t="shared" ca="1" si="16"/>
        <v>10.838500000014351</v>
      </c>
      <c r="BX47" s="1479">
        <f t="shared" ca="1" si="17"/>
        <v>6.0060000000101192</v>
      </c>
      <c r="BY47" s="1479">
        <f t="shared" ca="1" si="18"/>
        <v>4.2985000000143874</v>
      </c>
      <c r="BZ47" s="1479">
        <f t="shared" ca="1" si="19"/>
        <v>1.7784000000000291</v>
      </c>
      <c r="CA47" s="1479">
        <f t="shared" ca="1" si="20"/>
        <v>4.2985000000143874</v>
      </c>
      <c r="CB47" s="1479">
        <f t="shared" ca="1" si="21"/>
        <v>2.6676000000000437</v>
      </c>
      <c r="CC47" s="1479">
        <f t="shared" ca="1" si="22"/>
        <v>2.502400000000029</v>
      </c>
      <c r="CD47" s="1479">
        <f t="shared" ca="1" si="23"/>
        <v>1.4460000000097191</v>
      </c>
      <c r="CE47" s="1479">
        <f ca="1">IF(B47&gt;=$J$5,0,CONTADORES!BS41-CONTADORES!BS40)</f>
        <v>4.5600000000004002</v>
      </c>
      <c r="CF47" s="1479">
        <f t="shared" ca="1" si="24"/>
        <v>1.4460000000097191</v>
      </c>
      <c r="CG47" s="1479">
        <f t="shared" ca="1" si="25"/>
        <v>1.5289999999999762</v>
      </c>
      <c r="CH47" s="1479">
        <f t="shared" ca="1" si="26"/>
        <v>1.5289999999999762</v>
      </c>
      <c r="CI47" s="1479">
        <f t="shared" ca="1" si="27"/>
        <v>1.9609999999999761</v>
      </c>
      <c r="CJ47" s="1480">
        <f ca="1">IF($B47&gt;=$J$5,0,CONTADORES!$BG41)</f>
        <v>10452.6718740381</v>
      </c>
      <c r="CK47" s="1384">
        <f>CONTADORES!E41</f>
        <v>0</v>
      </c>
      <c r="CL47" s="1384">
        <f>CONTADORES!BX41</f>
        <v>0</v>
      </c>
    </row>
    <row r="48" spans="2:90">
      <c r="B48" s="220">
        <v>44964</v>
      </c>
      <c r="C48" s="204">
        <f t="shared" ca="1" si="0"/>
        <v>317.76000000000931</v>
      </c>
      <c r="D48" s="202">
        <f ca="1">'CALCULO DE GAS'!D44</f>
        <v>5.0675455024938412</v>
      </c>
      <c r="E48" s="202">
        <f ca="1">IF(B48&gt;=$J$5,0,(CONTADORES!$AB42-CONTADORES!$AB41)-$H48)</f>
        <v>24</v>
      </c>
      <c r="F48" s="204">
        <f t="shared" ca="1" si="29"/>
        <v>0</v>
      </c>
      <c r="G48" s="202">
        <f ca="1">IF(B48&gt;=$J$5,0,CONTADORES!$AD42-CONTADORES!$AD41)</f>
        <v>0</v>
      </c>
      <c r="H48" s="212">
        <f ca="1">IF(G48&gt;0,CONTADORES!$AC42-CONTADORES!$AC41,0)</f>
        <v>0</v>
      </c>
      <c r="I48" s="205">
        <f ca="1">IF(B48&gt;=$J$5,0,CONTADORES!$Z42-CONTADORES!$Z41)</f>
        <v>317.76000000000931</v>
      </c>
      <c r="J48" s="204">
        <f t="shared" ca="1" si="2"/>
        <v>148.81999999999971</v>
      </c>
      <c r="K48" s="202">
        <f ca="1">'CALCULO DE GAS'!E44</f>
        <v>3.6899051034912693</v>
      </c>
      <c r="L48" s="1437">
        <f ca="1">IF(B48&gt;=$J$5,0,(CONTADORES!$W42-CONTADORES!$W41)-$O48)</f>
        <v>24</v>
      </c>
      <c r="M48" s="1437">
        <v>0</v>
      </c>
      <c r="N48" s="1437">
        <f ca="1">IF(B48&gt;=$J$5,0,CONTADORES!$Y42-CONTADORES!Y41)</f>
        <v>0</v>
      </c>
      <c r="O48" s="1437">
        <f ca="1">IF(N48&gt;0,CONTADORES!$X42-CONTADORES!$X41,0)</f>
        <v>0</v>
      </c>
      <c r="P48" s="208">
        <f ca="1">IF(B48&gt;=$J$5,0,CONTADORES!$U42-CONTADORES!$U41)</f>
        <v>148.81999999999971</v>
      </c>
      <c r="Q48" s="208">
        <f ca="1">IF(B48&gt;=$J$5,0,CONTADORES!$B42-CONTADORES!$B41)</f>
        <v>0.33100000000013097</v>
      </c>
      <c r="R48" s="202">
        <f t="shared" ca="1" si="4"/>
        <v>39.720000000015716</v>
      </c>
      <c r="S48" s="11">
        <f ca="1">IF(B48&gt;=$J$5,0,CONTADORES!$D42-CONTADORES!$D41)</f>
        <v>0.8000000000001819</v>
      </c>
      <c r="T48" s="204">
        <f ca="1">IF(B48&gt;=$J$5,0,CONTADORES!$AZ42-CONTADORES!$AZ41)</f>
        <v>0.36499999999989541</v>
      </c>
      <c r="U48" s="202">
        <f t="shared" ca="1" si="30"/>
        <v>43.799999999987449</v>
      </c>
      <c r="V48" s="205">
        <f ca="1">IF(B48&gt;=$J$5,0,CONTADORES!$BB42-CONTADORES!$BB41)</f>
        <v>0.29999999999995453</v>
      </c>
      <c r="W48" s="1438">
        <f t="shared" ca="1" si="6"/>
        <v>466.58000000000902</v>
      </c>
      <c r="X48" s="1438">
        <f t="shared" ca="1" si="7"/>
        <v>0.69600000000002638</v>
      </c>
      <c r="Y48" s="1439">
        <f t="shared" ca="1" si="8"/>
        <v>467.27600000000905</v>
      </c>
      <c r="Z48" s="1439">
        <f t="shared" ca="1" si="9"/>
        <v>8.7574506059851096</v>
      </c>
      <c r="AA48" s="1439">
        <f t="shared" ca="1" si="10"/>
        <v>83.520000000003165</v>
      </c>
      <c r="AB48" s="1439">
        <f t="shared" ca="1" si="11"/>
        <v>48</v>
      </c>
      <c r="AC48" s="1438">
        <f t="shared" ca="1" si="12"/>
        <v>1.1000000000001364</v>
      </c>
      <c r="AD48" s="1438">
        <f ca="1">IF(B48=$J$5,0,CONTADORES!H42-CONTADORES!H41)</f>
        <v>164.69999999995343</v>
      </c>
      <c r="AE48" s="1438">
        <f ca="1">IF(B48=$J$5,0,CONTADORES!J42-CONTADORES!J41)</f>
        <v>24</v>
      </c>
      <c r="AF48" s="1438">
        <f ca="1">IF(B48=$J$5,0,CONTADORES!AS42-CONTADORES!AS41)</f>
        <v>155.36999999999534</v>
      </c>
      <c r="AG48" s="1438">
        <f ca="1">IF(B48=$J$5,0,CONTADORES!AU42-CONTADORES!AU41)</f>
        <v>24</v>
      </c>
      <c r="AH48" s="1438">
        <f ca="1">IF(B48=$J$5,0,(CONTADORES!AK42-CONTADORES!AK41)+(CONTADORES!K42-CONTADORES!K41))</f>
        <v>14</v>
      </c>
      <c r="AI48" s="1438">
        <f ca="1">IF(B48=$J$5,0,(CONTADORES!AI42-CONTADORES!AI41)+(CONTADORES!M42-CONTADORES!M41))</f>
        <v>42.129999999997381</v>
      </c>
      <c r="AJ48" s="1438">
        <f ca="1">IF(B48=$J$5,0,(CONTADORES!AG42-CONTADORES!AG41))</f>
        <v>10.380000000004657</v>
      </c>
      <c r="AK48" s="1438">
        <f ca="1">IF(B48=$J$5,0,(CONTADORES!O42-CONTADORES!O41))</f>
        <v>14.279999999998836</v>
      </c>
      <c r="AL48" s="1438">
        <f t="shared" ca="1" si="13"/>
        <v>37.086000000077661</v>
      </c>
      <c r="AM48" s="1438">
        <f ca="1">IF(B48&gt;=$J$5,0,(((CONTADORES!F42-CONTADORES!F41)+(CONTADORES!AO42-CONTADORES!AO41))))-BJ48-AF48-AN48-BM48-BP48-BU48-BS48</f>
        <v>9.3149999999816426</v>
      </c>
      <c r="AN48" s="1438">
        <f ca="1">IF(B48=$J$5,0,(CONTADORES!AV42-CONTADORES!AV41)+(CONTADORES!AX42-CONTADORES!AX41)+(CONTADORES!BC42-CONTADORES!BC41))-BS48</f>
        <v>4.3240000000002023</v>
      </c>
      <c r="AO48" s="1478">
        <f ca="1">IF(B48&gt;=$J$5,0,(CONTADORES!AA42-CONTADORES!AA41))</f>
        <v>151.97999999998137</v>
      </c>
      <c r="AP48" s="1478">
        <f ca="1">IF(B48&gt;=$J$5,0,(CONTADORES!V42-CONTADORES!V41))</f>
        <v>82.270000000000437</v>
      </c>
      <c r="AQ48" s="1474">
        <f ca="1">IF(B48&gt;=$J$5,0,(CONTADORES!C42-CONTADORES!C41))</f>
        <v>0.11599999999998545</v>
      </c>
      <c r="AR48" s="1440">
        <f ca="1">IF(B48&gt;=$J$5,0,(CONTADORES!BA42-CONTADORES!BA41))</f>
        <v>0.13799999999997681</v>
      </c>
      <c r="AS48" s="1438">
        <f ca="1">IF(B48=$J$5,0,CONTADORES!Q42-CONTADORES!Q41)</f>
        <v>17.179999999993015</v>
      </c>
      <c r="AT48" s="1438">
        <f ca="1">IF(B48=$J$5,0,(CONTADORES!S42-CONTADORES!S41)+(CONTADORES!AE42-CONTADORES!AE41))</f>
        <v>2.4899999999979627</v>
      </c>
      <c r="AU48" s="1438">
        <f>CONTADORES!I42-CONTADORES!I41</f>
        <v>84</v>
      </c>
      <c r="AV48" s="1438">
        <f>CONTADORES!AT42-CONTADORES!AT41</f>
        <v>66.760000000009313</v>
      </c>
      <c r="AW48" s="1438">
        <f ca="1">IF(B48&gt;=$J$5,0,(CONTADORES!L42-CONTADORES!L41)+(CONTADORES!AL42-CONTADORES!AL41))</f>
        <v>5.4000000000014552</v>
      </c>
      <c r="AX48" s="1438">
        <f ca="1">IF(B48&gt;=$J$5,0,(CONTADORES!N42-CONTADORES!N41)+(CONTADORES!AJ42-CONTADORES!AJ41))</f>
        <v>32.970000000001164</v>
      </c>
      <c r="AY48" s="1438">
        <f ca="1">IF(B48&gt;=$J$5,0,(CONTADORES!AH42-CONTADORES!AH41))</f>
        <v>8.1600000000034925</v>
      </c>
      <c r="AZ48" s="1438">
        <f ca="1">IF(B48&gt;=$J$5,0,(CONTADORES!P42-CONTADORES!P41))</f>
        <v>12.010000000009313</v>
      </c>
      <c r="BA48" s="1438">
        <f t="shared" ca="1" si="14"/>
        <v>13.794999999978359</v>
      </c>
      <c r="BB48" s="1438">
        <f ca="1">IF(B48&gt;=$J$5,0,(((CONTADORES!G42-CONTADORES!G41)+(CONTADORES!AP42-CONTADORES!AP41))))-AV48-BC48-BK48-BN48-BQ48-BV48</f>
        <v>3.5529999999791482</v>
      </c>
      <c r="BC48" s="1794">
        <f ca="1">IF(B48&gt;=$J$5,0,(CONTADORES!AW42-CONTADORES!AW41)+(CONTADORES!AY42-CONTADORES!AY41)+(CONTADORES!BD42-CONTADORES!BD41))-BT48</f>
        <v>2.1010000000000786</v>
      </c>
      <c r="BD48" s="1438">
        <f t="shared" ca="1" si="15"/>
        <v>234.50399999998177</v>
      </c>
      <c r="BE48" s="1439">
        <f ca="1">IF($B48&gt;=$J$5,0,CONTADORES!$BE42)</f>
        <v>7464.93</v>
      </c>
      <c r="BF48" s="1438">
        <f ca="1">IF($B48&gt;=$J$5,0,CONTADORES!$BF42)</f>
        <v>35711.026315789502</v>
      </c>
      <c r="BG48" s="1438">
        <f ca="1">IF($B48&gt;=$J$5,0,CONTADORES!$BH42)</f>
        <v>6224.21</v>
      </c>
      <c r="BH48" s="1438">
        <f ca="1">IF(B48&gt;=$J$5,0,(CONTADORES!AQ42-CONTADORES!AQ41))</f>
        <v>4.7520000000004075</v>
      </c>
      <c r="BI48" s="1438">
        <f ca="1">IF(B48&gt;=$J$5,0,(CONTADORES!AR42-CONTADORES!AR41))</f>
        <v>0</v>
      </c>
      <c r="BJ48" s="1450">
        <f ca="1">IF(B48&gt;=$J$5,0,CONTADORES!BI42-CONTADORES!BI41)/1000</f>
        <v>0</v>
      </c>
      <c r="BK48" s="1479">
        <f ca="1">IF(B48&gt;=$J$5,0,CONTADORES!BJ42-CONTADORES!BJ41)</f>
        <v>0</v>
      </c>
      <c r="BL48" s="1479">
        <f ca="1">IF(B48&gt;=$J$5,0,CONTADORES!BK42-CONTADORES!BK41)</f>
        <v>0</v>
      </c>
      <c r="BM48" s="1479">
        <f ca="1">IF(B48&gt;=$J$5,0,CONTADORES!BL42-CONTADORES!BL41)/1000</f>
        <v>4.641</v>
      </c>
      <c r="BN48" s="1479">
        <f ca="1">IF(B48&gt;=$J$5,0,CONTADORES!BM42-CONTADORES!BM41)/1000</f>
        <v>0.64800000000000002</v>
      </c>
      <c r="BO48" s="1479">
        <f ca="1">IF(B48&gt;=$J$5,0,CONTADORES!BN42-CONTADORES!BN41)</f>
        <v>24</v>
      </c>
      <c r="BP48" s="1479">
        <f ca="1">IF(B48&gt;=$J$5,0,CONTADORES!BO42-CONTADORES!BO41)/1000</f>
        <v>3.6640000000000001</v>
      </c>
      <c r="BQ48" s="1479">
        <f ca="1">IF(B48&gt;=$J$5,0,CONTADORES!BP42-CONTADORES!BP41)/1000</f>
        <v>3.7999999999999999E-2</v>
      </c>
      <c r="BR48" s="1479">
        <f ca="1">IF(B48&gt;=$J$5,0,CONTADORES!BQ42-CONTADORES!BQ41)</f>
        <v>24</v>
      </c>
      <c r="BS48" s="1450">
        <f ca="1">IF(B48&gt;=$J$5,0,(CONTADORES!BT42-CONTADORES!BT41)+(CONTADORES!BV42-CONTADORES!BV41))/1000</f>
        <v>0.76600000000000001</v>
      </c>
      <c r="BT48" s="1479">
        <f ca="1">IF(B48&gt;=$J$5,0,(CONTADORES!BU42-CONTADORES!BU41)+(CONTADORES!BW42-CONTADORES!BW41))/1000</f>
        <v>0.46899999999999997</v>
      </c>
      <c r="BU48" s="1450">
        <f ca="1">IF(B48&gt;=$J$5,0,CONTADORES!BR42-CONTADORES!BR41)</f>
        <v>6.6199999999998909</v>
      </c>
      <c r="BV48" s="1479">
        <f ca="1">IF(B48&gt;=$J$5,0,CONTADORES!BS42-CONTADORES!BS41)</f>
        <v>4.5999999999994543</v>
      </c>
      <c r="BW48" s="1479">
        <f t="shared" ca="1" si="16"/>
        <v>11.277499999990713</v>
      </c>
      <c r="BX48" s="1479">
        <f t="shared" ca="1" si="17"/>
        <v>6.3764999999890284</v>
      </c>
      <c r="BY48" s="1479">
        <f t="shared" ca="1" si="18"/>
        <v>4.6574999999908213</v>
      </c>
      <c r="BZ48" s="1479">
        <f t="shared" ca="1" si="19"/>
        <v>1.7296000000000811</v>
      </c>
      <c r="CA48" s="1479">
        <f t="shared" ca="1" si="20"/>
        <v>4.6574999999908213</v>
      </c>
      <c r="CB48" s="1479">
        <f t="shared" ca="1" si="21"/>
        <v>2.5944000000001211</v>
      </c>
      <c r="CC48" s="1479">
        <f t="shared" ca="1" si="22"/>
        <v>2.4956000000000813</v>
      </c>
      <c r="CD48" s="1479">
        <f t="shared" ca="1" si="23"/>
        <v>1.7764999999895741</v>
      </c>
      <c r="CE48" s="1479">
        <f ca="1">IF(B48&gt;=$J$5,0,CONTADORES!BS42-CONTADORES!BS41)</f>
        <v>4.5999999999994543</v>
      </c>
      <c r="CF48" s="1479">
        <f t="shared" ca="1" si="24"/>
        <v>1.7764999999895741</v>
      </c>
      <c r="CG48" s="1479">
        <f t="shared" ca="1" si="25"/>
        <v>1.0505000000000393</v>
      </c>
      <c r="CH48" s="1479">
        <f t="shared" ca="1" si="26"/>
        <v>1.0505000000000393</v>
      </c>
      <c r="CI48" s="1479">
        <f t="shared" ca="1" si="27"/>
        <v>1.5195000000000394</v>
      </c>
      <c r="CJ48" s="1480">
        <f ca="1">IF($B48&gt;=$J$5,0,CONTADORES!$BG42)</f>
        <v>9376.9763618846591</v>
      </c>
      <c r="CK48" s="1384">
        <f>CONTADORES!E42</f>
        <v>0.3</v>
      </c>
      <c r="CL48" s="1384">
        <f>CONTADORES!BX42</f>
        <v>0.4</v>
      </c>
    </row>
    <row r="49" spans="2:90">
      <c r="B49" s="220">
        <v>44965</v>
      </c>
      <c r="C49" s="204">
        <f t="shared" ca="1" si="0"/>
        <v>314</v>
      </c>
      <c r="D49" s="202">
        <f ca="1">'CALCULO DE GAS'!D45</f>
        <v>5.0368841558603492</v>
      </c>
      <c r="E49" s="202">
        <f ca="1">IF(B49&gt;=$J$5,0,(CONTADORES!$AB43-CONTADORES!$AB42)-$H49)</f>
        <v>24</v>
      </c>
      <c r="F49" s="204">
        <f t="shared" ca="1" si="29"/>
        <v>0</v>
      </c>
      <c r="G49" s="202">
        <f ca="1">IF(B49&gt;=$J$5,0,CONTADORES!$AD43-CONTADORES!$AD42)</f>
        <v>0</v>
      </c>
      <c r="H49" s="212">
        <f ca="1">IF(G49&gt;0,CONTADORES!$AC43-CONTADORES!$AC42,0)</f>
        <v>0</v>
      </c>
      <c r="I49" s="205">
        <f ca="1">IF(B49&gt;=$J$5,0,CONTADORES!$Z43-CONTADORES!$Z42)</f>
        <v>314</v>
      </c>
      <c r="J49" s="204">
        <f t="shared" ca="1" si="2"/>
        <v>126</v>
      </c>
      <c r="K49" s="202">
        <f ca="1">'CALCULO DE GAS'!E45</f>
        <v>3.503816824189526</v>
      </c>
      <c r="L49" s="1437">
        <f ca="1">IF(B49&gt;=$J$5,0,(CONTADORES!$W43-CONTADORES!$W42)-$O49)</f>
        <v>20.799999999988358</v>
      </c>
      <c r="M49" s="1437">
        <f ca="1">IF(O49=0,0,"ERROR")</f>
        <v>0</v>
      </c>
      <c r="N49" s="1437">
        <f ca="1">IF(B49&gt;=$J$5,0,CONTADORES!$Y43-CONTADORES!Y42)</f>
        <v>0</v>
      </c>
      <c r="O49" s="1437">
        <f ca="1">IF(N49&gt;0,CONTADORES!$X43-CONTADORES!$X42,0)</f>
        <v>0</v>
      </c>
      <c r="P49" s="208">
        <f ca="1">IF(B49&gt;=$J$5,0,CONTADORES!$U43-CONTADORES!$U42)</f>
        <v>126</v>
      </c>
      <c r="Q49" s="208">
        <f ca="1">IF(B49&gt;=$J$5,0,CONTADORES!$B43-CONTADORES!$B42)</f>
        <v>0</v>
      </c>
      <c r="R49" s="202">
        <f t="shared" ca="1" si="4"/>
        <v>0</v>
      </c>
      <c r="S49" s="11">
        <f ca="1">IF(B49&gt;=$J$5,0,CONTADORES!$D43-CONTADORES!$D42)</f>
        <v>0</v>
      </c>
      <c r="T49" s="204">
        <f ca="1">IF(B49&gt;=$J$5,0,CONTADORES!$AZ43-CONTADORES!$AZ42)</f>
        <v>2.2960000000000491</v>
      </c>
      <c r="U49" s="202">
        <f t="shared" ca="1" si="30"/>
        <v>275.52000000000589</v>
      </c>
      <c r="V49" s="205">
        <f ca="1">IF(B49&gt;=$J$5,0,CONTADORES!$BB43-CONTADORES!$BB42)</f>
        <v>2.7100000000000364</v>
      </c>
      <c r="W49" s="1438">
        <f t="shared" ca="1" si="6"/>
        <v>440</v>
      </c>
      <c r="X49" s="1438">
        <f t="shared" ca="1" si="7"/>
        <v>2.2960000000000491</v>
      </c>
      <c r="Y49" s="1439">
        <f t="shared" ca="1" si="8"/>
        <v>442.29600000000005</v>
      </c>
      <c r="Z49" s="1439">
        <f t="shared" ca="1" si="9"/>
        <v>8.5407009800498752</v>
      </c>
      <c r="AA49" s="1439">
        <f t="shared" ca="1" si="10"/>
        <v>275.52000000000589</v>
      </c>
      <c r="AB49" s="1439">
        <f t="shared" ca="1" si="11"/>
        <v>44.799999999988358</v>
      </c>
      <c r="AC49" s="1438">
        <f t="shared" ca="1" si="12"/>
        <v>2.7100000000000364</v>
      </c>
      <c r="AD49" s="1438">
        <f ca="1">IF(B49=$J$5,0,CONTADORES!H43-CONTADORES!H42)</f>
        <v>152.80000000004657</v>
      </c>
      <c r="AE49" s="1438">
        <f ca="1">IF(B49=$J$5,0,CONTADORES!J43-CONTADORES!J42)</f>
        <v>22.599999999976717</v>
      </c>
      <c r="AF49" s="1438">
        <f ca="1">IF(B49=$J$5,0,CONTADORES!AS43-CONTADORES!AS42)</f>
        <v>154</v>
      </c>
      <c r="AG49" s="1438">
        <f ca="1">IF(B49=$J$5,0,CONTADORES!AU43-CONTADORES!AU42)</f>
        <v>24</v>
      </c>
      <c r="AH49" s="1438">
        <f ca="1">IF(B49=$J$5,0,(CONTADORES!AK43-CONTADORES!AK42)+(CONTADORES!K43-CONTADORES!K42))</f>
        <v>9.8000000000029104</v>
      </c>
      <c r="AI49" s="1438">
        <f ca="1">IF(B49=$J$5,0,(CONTADORES!AI43-CONTADORES!AI42)+(CONTADORES!M43-CONTADORES!M42))</f>
        <v>42.200000000004366</v>
      </c>
      <c r="AJ49" s="1438">
        <f ca="1">IF(B49=$J$5,0,(CONTADORES!AG43-CONTADORES!AG42))</f>
        <v>9.7999999999883585</v>
      </c>
      <c r="AK49" s="1438">
        <f ca="1">IF(B49=$J$5,0,(CONTADORES!O43-CONTADORES!O42))</f>
        <v>12.699999999982538</v>
      </c>
      <c r="AL49" s="1438">
        <f t="shared" ca="1" si="13"/>
        <v>36.295999999974583</v>
      </c>
      <c r="AM49" s="1438">
        <f ca="1">IF(B49&gt;=$J$5,0,(((CONTADORES!F43-CONTADORES!F42)+(CONTADORES!AO43-CONTADORES!AO42))))-BJ49-AF49-AN49-BM49-BP49-BU49-BS49</f>
        <v>5.6100000000008095</v>
      </c>
      <c r="AN49" s="1438">
        <f ca="1">IF(B49=$J$5,0,(CONTADORES!AV43-CONTADORES!AV42)+(CONTADORES!AX43-CONTADORES!AX42)+(CONTADORES!BC43-CONTADORES!BC42))-BS49</f>
        <v>3.8840000000000909</v>
      </c>
      <c r="AO49" s="1478">
        <f ca="1">IF(B49&gt;=$J$5,0,(CONTADORES!AA43-CONTADORES!AA42))</f>
        <v>160</v>
      </c>
      <c r="AP49" s="1478">
        <f ca="1">IF(B49&gt;=$J$5,0,(CONTADORES!V43-CONTADORES!V42))</f>
        <v>64</v>
      </c>
      <c r="AQ49" s="1474">
        <f ca="1">IF(B49&gt;=$J$5,0,(CONTADORES!C43-CONTADORES!C42))</f>
        <v>0</v>
      </c>
      <c r="AR49" s="1440">
        <f ca="1">IF(B49&gt;=$J$5,0,(CONTADORES!BA43-CONTADORES!BA42))</f>
        <v>0.8930000000000291</v>
      </c>
      <c r="AS49" s="1438">
        <f ca="1">IF(B49=$J$5,0,CONTADORES!Q43-CONTADORES!Q42)</f>
        <v>17.399999999994179</v>
      </c>
      <c r="AT49" s="1438">
        <f ca="1">IF(B49=$J$5,0,(CONTADORES!S43-CONTADORES!S42)+(CONTADORES!AE43-CONTADORES!AE42))</f>
        <v>0</v>
      </c>
      <c r="AU49" s="1438">
        <f>CONTADORES!I43-CONTADORES!I42</f>
        <v>78.400000000023283</v>
      </c>
      <c r="AV49" s="1438">
        <f>CONTADORES!AT43-CONTADORES!AT42</f>
        <v>67</v>
      </c>
      <c r="AW49" s="1438">
        <f ca="1">IF(B49&gt;=$J$5,0,(CONTADORES!L43-CONTADORES!L42)+(CONTADORES!AL43-CONTADORES!AL42))</f>
        <v>4</v>
      </c>
      <c r="AX49" s="1438">
        <f ca="1">IF(B49&gt;=$J$5,0,(CONTADORES!N43-CONTADORES!N42)+(CONTADORES!AJ43-CONTADORES!AJ42))</f>
        <v>33.19999999999709</v>
      </c>
      <c r="AY49" s="1438">
        <f ca="1">IF(B49&gt;=$J$5,0,(CONTADORES!AH43-CONTADORES!AH42))</f>
        <v>7.6999999999970896</v>
      </c>
      <c r="AZ49" s="1438">
        <f ca="1">IF(B49&gt;=$J$5,0,(CONTADORES!P43-CONTADORES!P42))</f>
        <v>10.799999999988358</v>
      </c>
      <c r="BA49" s="1438">
        <f t="shared" ca="1" si="14"/>
        <v>11.700999999994195</v>
      </c>
      <c r="BB49" s="1438">
        <f ca="1">IF(B49&gt;=$J$5,0,(((CONTADORES!G43-CONTADORES!G42)+(CONTADORES!AP43-CONTADORES!AP42))))-AV49-BC49-BK49-BN49-BQ49-BV49</f>
        <v>5.3130000000000912</v>
      </c>
      <c r="BC49" s="1794">
        <f ca="1">IF(B49&gt;=$J$5,0,(CONTADORES!AW43-CONTADORES!AW42)+(CONTADORES!AY43-CONTADORES!AY42)+(CONTADORES!BD43-CONTADORES!BD42))-BT49</f>
        <v>1.2079999999997271</v>
      </c>
      <c r="BD49" s="1438">
        <f t="shared" ca="1" si="15"/>
        <v>224.89300000000003</v>
      </c>
      <c r="BE49" s="1439">
        <f ca="1">IF($B49&gt;=$J$5,0,CONTADORES!$BE43)</f>
        <v>6577.46</v>
      </c>
      <c r="BF49" s="1438">
        <f ca="1">IF($B49&gt;=$J$5,0,CONTADORES!$BF43)</f>
        <v>36788.028070175402</v>
      </c>
      <c r="BG49" s="1438">
        <f ca="1">IF($B49&gt;=$J$5,0,CONTADORES!$BH43)</f>
        <v>5811.35</v>
      </c>
      <c r="BH49" s="1438">
        <f ca="1">IF(B49&gt;=$J$5,0,(CONTADORES!AQ43-CONTADORES!AQ42))</f>
        <v>5</v>
      </c>
      <c r="BI49" s="1438">
        <f ca="1">IF(B49&gt;=$J$5,0,(CONTADORES!AR43-CONTADORES!AR42))</f>
        <v>0</v>
      </c>
      <c r="BJ49" s="1450">
        <f ca="1">IF(B49&gt;=$J$5,0,CONTADORES!BI43-CONTADORES!BI42)/1000</f>
        <v>2.0670000000000002</v>
      </c>
      <c r="BK49" s="1479">
        <f ca="1">IF(B49&gt;=$J$5,0,CONTADORES!BJ43-CONTADORES!BJ42)</f>
        <v>0</v>
      </c>
      <c r="BL49" s="1479">
        <f ca="1">IF(B49&gt;=$J$5,0,CONTADORES!BK43-CONTADORES!BK42)</f>
        <v>15.899999999997817</v>
      </c>
      <c r="BM49" s="1479">
        <f ca="1">IF(B49&gt;=$J$5,0,CONTADORES!BL43-CONTADORES!BL42)/1000</f>
        <v>4.67</v>
      </c>
      <c r="BN49" s="1479">
        <f ca="1">IF(B49&gt;=$J$5,0,CONTADORES!BM43-CONTADORES!BM42)/1000</f>
        <v>0.66900000000000004</v>
      </c>
      <c r="BO49" s="1479">
        <f ca="1">IF(B49&gt;=$J$5,0,CONTADORES!BN43-CONTADORES!BN42)</f>
        <v>24</v>
      </c>
      <c r="BP49" s="1479">
        <f ca="1">IF(B49&gt;=$J$5,0,CONTADORES!BO43-CONTADORES!BO42)/1000</f>
        <v>1.2529999999999999</v>
      </c>
      <c r="BQ49" s="1479">
        <f ca="1">IF(B49&gt;=$J$5,0,CONTADORES!BP43-CONTADORES!BP42)/1000</f>
        <v>0.01</v>
      </c>
      <c r="BR49" s="1479">
        <f ca="1">IF(B49&gt;=$J$5,0,CONTADORES!BQ43-CONTADORES!BQ42)</f>
        <v>14.299999999999272</v>
      </c>
      <c r="BS49" s="1450">
        <f ca="1">IF(B49&gt;=$J$5,0,(CONTADORES!BT43-CONTADORES!BT42)+(CONTADORES!BV43-CONTADORES!BV42))/1000</f>
        <v>1.016</v>
      </c>
      <c r="BT49" s="1479">
        <f ca="1">IF(B49&gt;=$J$5,0,(CONTADORES!BU43-CONTADORES!BU42)+(CONTADORES!BW43-CONTADORES!BW42))/1000</f>
        <v>0.59199999999999997</v>
      </c>
      <c r="BU49" s="1450">
        <f ca="1">IF(B49&gt;=$J$5,0,CONTADORES!BR43-CONTADORES!BR42)</f>
        <v>6.1999999999998181</v>
      </c>
      <c r="BV49" s="1479">
        <f ca="1">IF(B49&gt;=$J$5,0,CONTADORES!BS43-CONTADORES!BS42)</f>
        <v>4.3000000000001819</v>
      </c>
      <c r="BW49" s="1479">
        <f t="shared" ca="1" si="16"/>
        <v>9.0050000000002228</v>
      </c>
      <c r="BX49" s="1479">
        <f t="shared" ca="1" si="17"/>
        <v>6.9565000000002275</v>
      </c>
      <c r="BY49" s="1479">
        <f t="shared" ca="1" si="18"/>
        <v>2.8050000000004047</v>
      </c>
      <c r="BZ49" s="1479">
        <f t="shared" ca="1" si="19"/>
        <v>1.5536000000000365</v>
      </c>
      <c r="CA49" s="1479">
        <f t="shared" ca="1" si="20"/>
        <v>2.8050000000004047</v>
      </c>
      <c r="CB49" s="1479">
        <f t="shared" ca="1" si="21"/>
        <v>2.3304000000000542</v>
      </c>
      <c r="CC49" s="1479">
        <f t="shared" ca="1" si="22"/>
        <v>2.5696000000000367</v>
      </c>
      <c r="CD49" s="1479">
        <f t="shared" ca="1" si="23"/>
        <v>2.6565000000000456</v>
      </c>
      <c r="CE49" s="1479">
        <f ca="1">IF(B49&gt;=$J$5,0,CONTADORES!BS43-CONTADORES!BS42)</f>
        <v>4.3000000000001819</v>
      </c>
      <c r="CF49" s="1479">
        <f t="shared" ca="1" si="24"/>
        <v>2.6565000000000456</v>
      </c>
      <c r="CG49" s="1479">
        <f t="shared" ca="1" si="25"/>
        <v>0.60399999999986353</v>
      </c>
      <c r="CH49" s="1479">
        <f t="shared" ca="1" si="26"/>
        <v>0.60399999999986353</v>
      </c>
      <c r="CI49" s="1479">
        <f t="shared" ca="1" si="27"/>
        <v>1.1959999999998634</v>
      </c>
      <c r="CJ49" s="1480">
        <f ca="1">IF($B49&gt;=$J$5,0,CONTADORES!$BG43)</f>
        <v>9224.3719454490601</v>
      </c>
      <c r="CK49" s="1384">
        <f>CONTADORES!E43</f>
        <v>0</v>
      </c>
      <c r="CL49" s="1384">
        <f>CONTADORES!BX43</f>
        <v>2.2999999999999998</v>
      </c>
    </row>
    <row r="50" spans="2:90">
      <c r="B50" s="220">
        <v>44966</v>
      </c>
      <c r="C50" s="204">
        <f t="shared" ca="1" si="0"/>
        <v>303</v>
      </c>
      <c r="D50" s="202">
        <f ca="1">'CALCULO DE GAS'!D46</f>
        <v>4.9471834077306731</v>
      </c>
      <c r="E50" s="202">
        <f ca="1">IF(B50&gt;=$J$5,0,(CONTADORES!$AB44-CONTADORES!$AB43)-$H50)</f>
        <v>24</v>
      </c>
      <c r="F50" s="204">
        <f t="shared" ca="1" si="29"/>
        <v>0</v>
      </c>
      <c r="G50" s="202">
        <f ca="1">IF(B50&gt;=$J$5,0,CONTADORES!$AD44-CONTADORES!$AD43)</f>
        <v>0</v>
      </c>
      <c r="H50" s="1437">
        <f ca="1">IF(G50&gt;0,CONTADORES!$AC44-CONTADORES!$AC43,0)</f>
        <v>0</v>
      </c>
      <c r="I50" s="205">
        <f ca="1">IF(B50&gt;=$J$5,0,CONTADORES!$Z44-CONTADORES!$Z43)</f>
        <v>303</v>
      </c>
      <c r="J50" s="204">
        <f t="shared" ca="1" si="2"/>
        <v>146</v>
      </c>
      <c r="K50" s="202">
        <f ca="1">'CALCULO DE GAS'!E46</f>
        <v>3.6669090935162094</v>
      </c>
      <c r="L50" s="1437">
        <f ca="1">IF(B50&gt;=$J$5,0,(CONTADORES!$W44-CONTADORES!$W43)-$O50)</f>
        <v>24</v>
      </c>
      <c r="M50" s="1437">
        <f ca="1">IF(O50=0,0,"ERROR")</f>
        <v>0</v>
      </c>
      <c r="N50" s="1437">
        <f ca="1">IF(B50&gt;=$J$5,0,CONTADORES!$Y44-CONTADORES!Y43)</f>
        <v>0</v>
      </c>
      <c r="O50" s="1437">
        <f ca="1">IF(N50&gt;0,CONTADORES!$X44-CONTADORES!$X43,0)</f>
        <v>0</v>
      </c>
      <c r="P50" s="208">
        <f ca="1">IF(B50&gt;=$J$5,0,CONTADORES!$U44-CONTADORES!$U43)</f>
        <v>146</v>
      </c>
      <c r="Q50" s="208">
        <f ca="1">IF(B50&gt;=$J$5,0,CONTADORES!$B44-CONTADORES!$B43)</f>
        <v>0</v>
      </c>
      <c r="R50" s="202">
        <f t="shared" ca="1" si="4"/>
        <v>0</v>
      </c>
      <c r="S50" s="11">
        <f ca="1">IF(B50&gt;=$J$5,0,CONTADORES!$D44-CONTADORES!$D43)</f>
        <v>0</v>
      </c>
      <c r="T50" s="204">
        <f ca="1">IF(B50&gt;=$J$5,0,CONTADORES!$AZ44-CONTADORES!$AZ43)</f>
        <v>0</v>
      </c>
      <c r="U50" s="202">
        <f t="shared" ca="1" si="30"/>
        <v>0</v>
      </c>
      <c r="V50" s="205">
        <f ca="1">IF(B50&gt;=$J$5,0,CONTADORES!$BB44-CONTADORES!$BB43)</f>
        <v>0</v>
      </c>
      <c r="W50" s="1438">
        <f t="shared" ca="1" si="6"/>
        <v>449</v>
      </c>
      <c r="X50" s="1438">
        <f t="shared" ca="1" si="7"/>
        <v>0</v>
      </c>
      <c r="Y50" s="1439">
        <f t="shared" ca="1" si="8"/>
        <v>449</v>
      </c>
      <c r="Z50" s="1439">
        <f t="shared" ca="1" si="9"/>
        <v>8.6140925012468834</v>
      </c>
      <c r="AA50" s="1439">
        <f t="shared" ca="1" si="10"/>
        <v>0</v>
      </c>
      <c r="AB50" s="1439">
        <f t="shared" ca="1" si="11"/>
        <v>48</v>
      </c>
      <c r="AC50" s="1438">
        <f t="shared" ca="1" si="12"/>
        <v>0</v>
      </c>
      <c r="AD50" s="1438">
        <f ca="1">IF(B50=$J$5,0,CONTADORES!H44-CONTADORES!H43)</f>
        <v>163.59999999997672</v>
      </c>
      <c r="AE50" s="1438">
        <f ca="1">IF(B50=$J$5,0,CONTADORES!J44-CONTADORES!J43)</f>
        <v>24</v>
      </c>
      <c r="AF50" s="1438">
        <f ca="1">IF(B50=$J$5,0,CONTADORES!AS44-CONTADORES!AS43)</f>
        <v>152</v>
      </c>
      <c r="AG50" s="1438">
        <f ca="1">IF(B50=$J$5,0,CONTADORES!AU44-CONTADORES!AU43)</f>
        <v>23.80000000000291</v>
      </c>
      <c r="AH50" s="1438">
        <f ca="1">IF(B50=$J$5,0,(CONTADORES!AK44-CONTADORES!AK43)+(CONTADORES!K44-CONTADORES!K43))</f>
        <v>9.5999999999985448</v>
      </c>
      <c r="AI50" s="1438">
        <f ca="1">IF(B50=$J$5,0,(CONTADORES!AI44-CONTADORES!AI43)+(CONTADORES!M44-CONTADORES!M43))</f>
        <v>42.69999999999709</v>
      </c>
      <c r="AJ50" s="1438">
        <f ca="1">IF(B50=$J$5,0,(CONTADORES!AG44-CONTADORES!AG43))</f>
        <v>10.100000000005821</v>
      </c>
      <c r="AK50" s="1438">
        <f ca="1">IF(B50=$J$5,0,(CONTADORES!O44-CONTADORES!O43))</f>
        <v>12.800000000017462</v>
      </c>
      <c r="AL50" s="1438">
        <f t="shared" ca="1" si="13"/>
        <v>28.900000000005093</v>
      </c>
      <c r="AM50" s="1438">
        <f ca="1">IF(B50&gt;=$J$5,0,(((CONTADORES!F44-CONTADORES!F43)+(CONTADORES!AO44-CONTADORES!AO43))))-BJ50-AF50-AN50-BM50-BP50-BU50-BS50</f>
        <v>10.759999999999195</v>
      </c>
      <c r="AN50" s="1438">
        <f ca="1">IF(B50=$J$5,0,(CONTADORES!AV44-CONTADORES!AV43)+(CONTADORES!AX44-CONTADORES!AX43)+(CONTADORES!BC44-CONTADORES!BC43))-BS50</f>
        <v>3.4379999999997226</v>
      </c>
      <c r="AO50" s="1478">
        <f ca="1">IF(B50&gt;=$J$5,0,(CONTADORES!AA44-CONTADORES!AA43))</f>
        <v>158</v>
      </c>
      <c r="AP50" s="1478">
        <f ca="1">IF(B50&gt;=$J$5,0,(CONTADORES!V44-CONTADORES!V43))</f>
        <v>74</v>
      </c>
      <c r="AQ50" s="1474">
        <f ca="1">IF(B50&gt;=$J$5,0,(CONTADORES!C44-CONTADORES!C43))</f>
        <v>0</v>
      </c>
      <c r="AR50" s="1440">
        <f ca="1">IF(B50&gt;=$J$5,0,(CONTADORES!BA44-CONTADORES!BA43))</f>
        <v>0</v>
      </c>
      <c r="AS50" s="1438">
        <f ca="1">IF(B50=$J$5,0,CONTADORES!Q44-CONTADORES!Q43)</f>
        <v>16.900000000023283</v>
      </c>
      <c r="AT50" s="1438">
        <f ca="1">IF(B50=$J$5,0,(CONTADORES!S44-CONTADORES!S43)+(CONTADORES!AE44-CONTADORES!AE43))</f>
        <v>4.4000000000014552</v>
      </c>
      <c r="AU50" s="1438">
        <f>CONTADORES!I44-CONTADORES!I43</f>
        <v>83.799999999988358</v>
      </c>
      <c r="AV50" s="1438">
        <f>CONTADORES!AT44-CONTADORES!AT43</f>
        <v>65</v>
      </c>
      <c r="AW50" s="1438">
        <f ca="1">IF(B50&gt;=$J$5,0,(CONTADORES!L44-CONTADORES!L43)+(CONTADORES!AL44-CONTADORES!AL43))</f>
        <v>3.7000000000007276</v>
      </c>
      <c r="AX50" s="1438">
        <f ca="1">IF(B50&gt;=$J$5,0,(CONTADORES!N44-CONTADORES!N43)+(CONTADORES!AJ44-CONTADORES!AJ43))</f>
        <v>33.700000000004366</v>
      </c>
      <c r="AY50" s="1438">
        <f ca="1">IF(B50&gt;=$J$5,0,(CONTADORES!AH44-CONTADORES!AH43))</f>
        <v>7.9000000000014552</v>
      </c>
      <c r="AZ50" s="1438">
        <f ca="1">IF(B50&gt;=$J$5,0,(CONTADORES!P44-CONTADORES!P43))</f>
        <v>10.900000000008731</v>
      </c>
      <c r="BA50" s="1438">
        <f t="shared" ca="1" si="14"/>
        <v>9.1559999999963395</v>
      </c>
      <c r="BB50" s="1438">
        <f ca="1">IF(B50&gt;=$J$5,0,(((CONTADORES!G44-CONTADORES!G43)+(CONTADORES!AP44-CONTADORES!AP43))))-AV50-BC50-BK50-BN50-BQ50-BV50</f>
        <v>9.872999999999978</v>
      </c>
      <c r="BC50" s="1794">
        <f ca="1">IF(B50&gt;=$J$5,0,(CONTADORES!AW44-CONTADORES!AW43)+(CONTADORES!AY44-CONTADORES!AY43)+(CONTADORES!BD44-CONTADORES!BD43))-BT50</f>
        <v>1.0260000000002036</v>
      </c>
      <c r="BD50" s="1438">
        <f t="shared" ca="1" si="15"/>
        <v>232</v>
      </c>
      <c r="BE50" s="1439">
        <f ca="1">IF($B50&gt;=$J$5,0,CONTADORES!$BE44)</f>
        <v>7160.34</v>
      </c>
      <c r="BF50" s="1438">
        <f ca="1">IF($B50&gt;=$J$5,0,CONTADORES!$BF44)</f>
        <v>36251.303508771904</v>
      </c>
      <c r="BG50" s="1438">
        <f ca="1">IF($B50&gt;=$J$5,0,CONTADORES!$BH44)</f>
        <v>6178.38</v>
      </c>
      <c r="BH50" s="1438">
        <f ca="1">IF(B50&gt;=$J$5,0,(CONTADORES!AQ44-CONTADORES!AQ43))</f>
        <v>5</v>
      </c>
      <c r="BI50" s="1438">
        <f ca="1">IF(B50&gt;=$J$5,0,(CONTADORES!AR44-CONTADORES!AR43))</f>
        <v>0</v>
      </c>
      <c r="BJ50" s="1450">
        <f ca="1">IF(B50&gt;=$J$5,0,CONTADORES!BI44-CONTADORES!BI43)/1000</f>
        <v>2.7839999999999998</v>
      </c>
      <c r="BK50" s="1479">
        <f ca="1">IF(B50&gt;=$J$5,0,CONTADORES!BJ44-CONTADORES!BJ43)</f>
        <v>1</v>
      </c>
      <c r="BL50" s="1479">
        <f ca="1">IF(B50&gt;=$J$5,0,CONTADORES!BK44-CONTADORES!BK43)</f>
        <v>24</v>
      </c>
      <c r="BM50" s="1479">
        <f ca="1">IF(B50&gt;=$J$5,0,CONTADORES!BL44-CONTADORES!BL43)/1000</f>
        <v>4.726</v>
      </c>
      <c r="BN50" s="1479">
        <f ca="1">IF(B50&gt;=$J$5,0,CONTADORES!BM44-CONTADORES!BM43)/1000</f>
        <v>0.90100000000000002</v>
      </c>
      <c r="BO50" s="1479">
        <f ca="1">IF(B50&gt;=$J$5,0,CONTADORES!BN44-CONTADORES!BN43)</f>
        <v>24</v>
      </c>
      <c r="BP50" s="1479">
        <f ca="1">IF(B50&gt;=$J$5,0,CONTADORES!BO44-CONTADORES!BO43)/1000</f>
        <v>0</v>
      </c>
      <c r="BQ50" s="1479">
        <f ca="1">IF(B50&gt;=$J$5,0,CONTADORES!BP44-CONTADORES!BP43)/1000</f>
        <v>0</v>
      </c>
      <c r="BR50" s="1479">
        <f ca="1">IF(B50&gt;=$J$5,0,CONTADORES!BQ44-CONTADORES!BQ43)</f>
        <v>0</v>
      </c>
      <c r="BS50" s="1450">
        <f ca="1">IF(B50&gt;=$J$5,0,(CONTADORES!BT44-CONTADORES!BT43)+(CONTADORES!BV44-CONTADORES!BV43))/1000</f>
        <v>1.492</v>
      </c>
      <c r="BT50" s="1479">
        <f ca="1">IF(B50&gt;=$J$5,0,(CONTADORES!BU44-CONTADORES!BU43)+(CONTADORES!BW44-CONTADORES!BW43))/1000</f>
        <v>0.84399999999999997</v>
      </c>
      <c r="BU50" s="1450">
        <f ca="1">IF(B50&gt;=$J$5,0,CONTADORES!BR44-CONTADORES!BR43)</f>
        <v>6.1000000000003638</v>
      </c>
      <c r="BV50" s="1479">
        <f ca="1">IF(B50&gt;=$J$5,0,CONTADORES!BS44-CONTADORES!BS43)</f>
        <v>4.1999999999998181</v>
      </c>
      <c r="BW50" s="1479">
        <f t="shared" ca="1" si="16"/>
        <v>11.479999999999961</v>
      </c>
      <c r="BX50" s="1479">
        <f t="shared" ca="1" si="17"/>
        <v>9.1364999999998062</v>
      </c>
      <c r="BY50" s="1479">
        <f t="shared" ca="1" si="18"/>
        <v>5.3799999999995975</v>
      </c>
      <c r="BZ50" s="1479">
        <f t="shared" ca="1" si="19"/>
        <v>1.3751999999998892</v>
      </c>
      <c r="CA50" s="1479">
        <f t="shared" ca="1" si="20"/>
        <v>5.3799999999995975</v>
      </c>
      <c r="CB50" s="1479">
        <f t="shared" ca="1" si="21"/>
        <v>2.0627999999998332</v>
      </c>
      <c r="CC50" s="1479">
        <f t="shared" ca="1" si="22"/>
        <v>2.8671999999998894</v>
      </c>
      <c r="CD50" s="1479">
        <f t="shared" ca="1" si="23"/>
        <v>4.936499999999989</v>
      </c>
      <c r="CE50" s="1479">
        <f ca="1">IF(B50&gt;=$J$5,0,CONTADORES!BS44-CONTADORES!BS43)</f>
        <v>4.1999999999998181</v>
      </c>
      <c r="CF50" s="1479">
        <f t="shared" ca="1" si="24"/>
        <v>4.936499999999989</v>
      </c>
      <c r="CG50" s="1479">
        <f t="shared" ca="1" si="25"/>
        <v>0.51300000000010182</v>
      </c>
      <c r="CH50" s="1479">
        <f t="shared" ca="1" si="26"/>
        <v>0.51300000000010182</v>
      </c>
      <c r="CI50" s="1479">
        <f t="shared" ca="1" si="27"/>
        <v>1.3570000000001019</v>
      </c>
      <c r="CJ50" s="1480">
        <f ca="1">IF($B50&gt;=$J$5,0,CONTADORES!$BG44)</f>
        <v>10071.429160822199</v>
      </c>
      <c r="CK50" s="1384">
        <f>CONTADORES!E44</f>
        <v>0</v>
      </c>
      <c r="CL50" s="1384">
        <f>CONTADORES!BX44</f>
        <v>0</v>
      </c>
    </row>
    <row r="51" spans="2:90">
      <c r="B51" s="220">
        <v>44967</v>
      </c>
      <c r="C51" s="204">
        <f t="shared" ca="1" si="0"/>
        <v>290</v>
      </c>
      <c r="D51" s="202">
        <f ca="1">'CALCULO DE GAS'!D47</f>
        <v>4.8411734326683291</v>
      </c>
      <c r="E51" s="202">
        <f ca="1">IF(B51&gt;=$J$5,0,(CONTADORES!$AB45-CONTADORES!$AB44)-$H51)</f>
        <v>24</v>
      </c>
      <c r="F51" s="204">
        <f t="shared" ca="1" si="29"/>
        <v>0</v>
      </c>
      <c r="G51" s="202">
        <f ca="1">IF(B51&gt;=$J$5,0,CONTADORES!$AD45-CONTADORES!$AD44)</f>
        <v>0</v>
      </c>
      <c r="H51" s="1437">
        <f ca="1">IF(G51&gt;0,CONTADORES!$AC45-CONTADORES!$AC44,0)</f>
        <v>0</v>
      </c>
      <c r="I51" s="205">
        <f ca="1">IF(B51&gt;=$J$5,0,CONTADORES!$Z45-CONTADORES!$Z44)</f>
        <v>290</v>
      </c>
      <c r="J51" s="204">
        <f t="shared" ca="1" si="2"/>
        <v>150</v>
      </c>
      <c r="K51" s="202">
        <f ca="1">'CALCULO DE GAS'!E47</f>
        <v>3.6995275473815461</v>
      </c>
      <c r="L51" s="1437">
        <f ca="1">IF(B51&gt;=$J$5,0,(CONTADORES!$W45-CONTADORES!$W44)-$O51)</f>
        <v>24</v>
      </c>
      <c r="M51" s="1437">
        <f ca="1">IF(O51=0,0,"ERROR")</f>
        <v>0</v>
      </c>
      <c r="N51" s="1437">
        <f ca="1">IF(B51&gt;=$J$5,0,CONTADORES!$Y45-CONTADORES!Y44)</f>
        <v>0</v>
      </c>
      <c r="O51" s="1437">
        <f ca="1">IF(N51&gt;0,CONTADORES!$X45-CONTADORES!$X44,0)</f>
        <v>0</v>
      </c>
      <c r="P51" s="208">
        <f ca="1">IF(B51&gt;=$J$5,0,CONTADORES!$U45-CONTADORES!$U44)</f>
        <v>150</v>
      </c>
      <c r="Q51" s="208">
        <f ca="1">IF(B51&gt;=$J$5,0,CONTADORES!$B45-CONTADORES!$B44)</f>
        <v>0</v>
      </c>
      <c r="R51" s="202">
        <f t="shared" ca="1" si="4"/>
        <v>0</v>
      </c>
      <c r="S51" s="11">
        <f ca="1">IF(B51&gt;=$J$5,0,CONTADORES!$D45-CONTADORES!$D44)</f>
        <v>0</v>
      </c>
      <c r="T51" s="204">
        <f ca="1">IF(B51&gt;=$J$5,0,CONTADORES!$AZ45-CONTADORES!$AZ44)</f>
        <v>0</v>
      </c>
      <c r="U51" s="202">
        <f t="shared" ca="1" si="30"/>
        <v>0</v>
      </c>
      <c r="V51" s="205">
        <f ca="1">IF(B51&gt;=$J$5,0,CONTADORES!$BB45-CONTADORES!$BB44)</f>
        <v>0</v>
      </c>
      <c r="W51" s="1438">
        <f t="shared" ca="1" si="6"/>
        <v>440</v>
      </c>
      <c r="X51" s="1438">
        <f t="shared" ca="1" si="7"/>
        <v>0</v>
      </c>
      <c r="Y51" s="1439">
        <f t="shared" ca="1" si="8"/>
        <v>440</v>
      </c>
      <c r="Z51" s="1439">
        <f t="shared" ca="1" si="9"/>
        <v>8.5407009800498752</v>
      </c>
      <c r="AA51" s="1439">
        <f t="shared" ca="1" si="10"/>
        <v>0</v>
      </c>
      <c r="AB51" s="1439">
        <f t="shared" ca="1" si="11"/>
        <v>48</v>
      </c>
      <c r="AC51" s="1438">
        <f t="shared" ca="1" si="12"/>
        <v>0</v>
      </c>
      <c r="AD51" s="1438">
        <f ca="1">IF(B51=$J$5,0,CONTADORES!H45-CONTADORES!H44)</f>
        <v>165</v>
      </c>
      <c r="AE51" s="1438">
        <f ca="1">IF(B51=$J$5,0,CONTADORES!J45-CONTADORES!J44)</f>
        <v>24</v>
      </c>
      <c r="AF51" s="1438">
        <f ca="1">IF(B51=$J$5,0,CONTADORES!AS45-CONTADORES!AS44)</f>
        <v>140</v>
      </c>
      <c r="AG51" s="1438">
        <f ca="1">IF(B51=$J$5,0,CONTADORES!AU45-CONTADORES!AU44)</f>
        <v>24</v>
      </c>
      <c r="AH51" s="1438">
        <f ca="1">IF(B51=$J$5,0,(CONTADORES!AK45-CONTADORES!AK44)+(CONTADORES!K45-CONTADORES!K44))</f>
        <v>9.1999999999970896</v>
      </c>
      <c r="AI51" s="1438">
        <f ca="1">IF(B51=$J$5,0,(CONTADORES!AI45-CONTADORES!AI44)+(CONTADORES!M45-CONTADORES!M44))</f>
        <v>43.900000000001455</v>
      </c>
      <c r="AJ51" s="1438">
        <f ca="1">IF(B51=$J$5,0,(CONTADORES!AG45-CONTADORES!AG44))</f>
        <v>9.6999999999970896</v>
      </c>
      <c r="AK51" s="1438">
        <f ca="1">IF(B51=$J$5,0,(CONTADORES!O45-CONTADORES!O44))</f>
        <v>12.5</v>
      </c>
      <c r="AL51" s="1438">
        <f t="shared" ca="1" si="13"/>
        <v>32.800000000004729</v>
      </c>
      <c r="AM51" s="1438">
        <f ca="1">IF(B51&gt;=$J$5,0,(((CONTADORES!F45-CONTADORES!F44)+(CONTADORES!AO45-CONTADORES!AO44))))-BJ51-AF51-AN51-BM51-BP51-BU51-BS51</f>
        <v>11.703999999999727</v>
      </c>
      <c r="AN51" s="1438">
        <f ca="1">IF(B51=$J$5,0,(CONTADORES!AV45-CONTADORES!AV44)+(CONTADORES!AX45-CONTADORES!AX44)+(CONTADORES!BC45-CONTADORES!BC44))-BS51</f>
        <v>3.0360000000000911</v>
      </c>
      <c r="AO51" s="1478">
        <f ca="1">IF(B51&gt;=$J$5,0,(CONTADORES!AA45-CONTADORES!AA44))</f>
        <v>150</v>
      </c>
      <c r="AP51" s="1478">
        <f ca="1">IF(B51&gt;=$J$5,0,(CONTADORES!V45-CONTADORES!V44))</f>
        <v>80</v>
      </c>
      <c r="AQ51" s="1474">
        <f ca="1">IF(B51&gt;=$J$5,0,(CONTADORES!C45-CONTADORES!C44))</f>
        <v>0</v>
      </c>
      <c r="AR51" s="1440">
        <f ca="1">IF(B51&gt;=$J$5,0,(CONTADORES!BA45-CONTADORES!BA44))</f>
        <v>0</v>
      </c>
      <c r="AS51" s="1438">
        <f ca="1">IF(B51=$J$5,0,CONTADORES!Q45-CONTADORES!Q44)</f>
        <v>17.299999999988358</v>
      </c>
      <c r="AT51" s="1438">
        <f ca="1">IF(B51=$J$5,0,(CONTADORES!S45-CONTADORES!S44)+(CONTADORES!AE45-CONTADORES!AE44))</f>
        <v>2.2999999999956344</v>
      </c>
      <c r="AU51" s="1438">
        <f>CONTADORES!I45-CONTADORES!I44</f>
        <v>84</v>
      </c>
      <c r="AV51" s="1438">
        <f>CONTADORES!AT45-CONTADORES!AT44</f>
        <v>61</v>
      </c>
      <c r="AW51" s="1438">
        <f ca="1">IF(B51&gt;=$J$5,0,(CONTADORES!L45-CONTADORES!L44)+(CONTADORES!AL45-CONTADORES!AL44))</f>
        <v>3.6999999999970896</v>
      </c>
      <c r="AX51" s="1438">
        <f ca="1">IF(B51&gt;=$J$5,0,(CONTADORES!N45-CONTADORES!N44)+(CONTADORES!AJ45-CONTADORES!AJ44))</f>
        <v>34.599999999998545</v>
      </c>
      <c r="AY51" s="1438">
        <f ca="1">IF(B51&gt;=$J$5,0,(CONTADORES!AH45-CONTADORES!AH44))</f>
        <v>7.5999999999985448</v>
      </c>
      <c r="AZ51" s="1438">
        <f ca="1">IF(B51&gt;=$J$5,0,(CONTADORES!P45-CONTADORES!P44))</f>
        <v>10.80000000000291</v>
      </c>
      <c r="BA51" s="1438">
        <f t="shared" ca="1" si="14"/>
        <v>12.430000000002536</v>
      </c>
      <c r="BB51" s="1438">
        <f ca="1">IF(B51&gt;=$J$5,0,(((CONTADORES!G45-CONTADORES!G44)+(CONTADORES!AP45-CONTADORES!AP44))))-AV51-BC51-BK51-BN51-BQ51-BV51</f>
        <v>9.4590000000004313</v>
      </c>
      <c r="BC51" s="1794">
        <f ca="1">IF(B51&gt;=$J$5,0,(CONTADORES!AW45-CONTADORES!AW44)+(CONTADORES!AY45-CONTADORES!AY44)+(CONTADORES!BD45-CONTADORES!BD44))-BT51</f>
        <v>0.73000000000011367</v>
      </c>
      <c r="BD51" s="1438">
        <f t="shared" ca="1" si="15"/>
        <v>230</v>
      </c>
      <c r="BE51" s="1439">
        <f ca="1">IF($B51&gt;=$J$5,0,CONTADORES!$BE45)</f>
        <v>7254.96</v>
      </c>
      <c r="BF51" s="1438">
        <f ca="1">IF($B51&gt;=$J$5,0,CONTADORES!$BF45)</f>
        <v>25762.298245614031</v>
      </c>
      <c r="BG51" s="1438">
        <f ca="1">IF($B51&gt;=$J$5,0,CONTADORES!$BH45)</f>
        <v>5645.38</v>
      </c>
      <c r="BH51" s="1438">
        <f ca="1">IF(B51&gt;=$J$5,0,(CONTADORES!AQ45-CONTADORES!AQ44))</f>
        <v>6</v>
      </c>
      <c r="BI51" s="1438">
        <f ca="1">IF(B51&gt;=$J$5,0,(CONTADORES!AR45-CONTADORES!AR44))</f>
        <v>0</v>
      </c>
      <c r="BJ51" s="1450">
        <f ca="1">IF(B51&gt;=$J$5,0,CONTADORES!BI45-CONTADORES!BI44)/1000</f>
        <v>0</v>
      </c>
      <c r="BK51" s="1479">
        <f ca="1">IF(B51&gt;=$J$5,0,CONTADORES!BJ45-CONTADORES!BJ44)</f>
        <v>0</v>
      </c>
      <c r="BL51" s="1479">
        <f ca="1">IF(B51&gt;=$J$5,0,CONTADORES!BK45-CONTADORES!BK44)</f>
        <v>12</v>
      </c>
      <c r="BM51" s="1479">
        <f ca="1">IF(B51&gt;=$J$5,0,CONTADORES!BL45-CONTADORES!BL44)/1000</f>
        <v>4.5960000000000001</v>
      </c>
      <c r="BN51" s="1479">
        <f ca="1">IF(B51&gt;=$J$5,0,CONTADORES!BM45-CONTADORES!BM44)/1000</f>
        <v>0.71099999999999997</v>
      </c>
      <c r="BO51" s="1479">
        <f ca="1">IF(B51&gt;=$J$5,0,CONTADORES!BN45-CONTADORES!BN44)</f>
        <v>24</v>
      </c>
      <c r="BP51" s="1479">
        <f ca="1">IF(B51&gt;=$J$5,0,CONTADORES!BO45-CONTADORES!BO44)/1000</f>
        <v>0</v>
      </c>
      <c r="BQ51" s="1479">
        <f ca="1">IF(B51&gt;=$J$5,0,CONTADORES!BP45-CONTADORES!BP44)/1000</f>
        <v>0</v>
      </c>
      <c r="BR51" s="1479">
        <f ca="1">IF(B51&gt;=$J$5,0,CONTADORES!BQ45-CONTADORES!BQ44)</f>
        <v>0</v>
      </c>
      <c r="BS51" s="1450">
        <f ca="1">IF(B51&gt;=$J$5,0,(CONTADORES!BT45-CONTADORES!BT44)+(CONTADORES!BV45-CONTADORES!BV44))/1000</f>
        <v>1.3640000000000001</v>
      </c>
      <c r="BT51" s="1479">
        <f ca="1">IF(B51&gt;=$J$5,0,(CONTADORES!BU45-CONTADORES!BU44)+(CONTADORES!BW45-CONTADORES!BW44))/1000</f>
        <v>0.77</v>
      </c>
      <c r="BU51" s="1450">
        <f ca="1">IF(B51&gt;=$J$5,0,CONTADORES!BR45-CONTADORES!BR44)</f>
        <v>6.1999999999998181</v>
      </c>
      <c r="BV51" s="1479">
        <f ca="1">IF(B51&gt;=$J$5,0,CONTADORES!BS45-CONTADORES!BS44)</f>
        <v>4.1999999999998181</v>
      </c>
      <c r="BW51" s="1479">
        <f t="shared" ca="1" si="16"/>
        <v>12.051999999999682</v>
      </c>
      <c r="BX51" s="1479">
        <f t="shared" ca="1" si="17"/>
        <v>8.9295000000000329</v>
      </c>
      <c r="BY51" s="1479">
        <f t="shared" ca="1" si="18"/>
        <v>5.8519999999998635</v>
      </c>
      <c r="BZ51" s="1479">
        <f t="shared" ca="1" si="19"/>
        <v>1.2144000000000366</v>
      </c>
      <c r="CA51" s="1479">
        <f t="shared" ca="1" si="20"/>
        <v>5.8519999999998635</v>
      </c>
      <c r="CB51" s="1479">
        <f t="shared" ca="1" si="21"/>
        <v>1.8216000000000545</v>
      </c>
      <c r="CC51" s="1479">
        <f t="shared" ca="1" si="22"/>
        <v>2.5784000000000367</v>
      </c>
      <c r="CD51" s="1479">
        <f t="shared" ca="1" si="23"/>
        <v>4.7295000000002156</v>
      </c>
      <c r="CE51" s="1479">
        <f ca="1">IF(B51&gt;=$J$5,0,CONTADORES!BS45-CONTADORES!BS44)</f>
        <v>4.1999999999998181</v>
      </c>
      <c r="CF51" s="1479">
        <f t="shared" ca="1" si="24"/>
        <v>4.7295000000002156</v>
      </c>
      <c r="CG51" s="1479">
        <f t="shared" ca="1" si="25"/>
        <v>0.36500000000005683</v>
      </c>
      <c r="CH51" s="1479">
        <f t="shared" ca="1" si="26"/>
        <v>0.36500000000005683</v>
      </c>
      <c r="CI51" s="1479">
        <f t="shared" ca="1" si="27"/>
        <v>1.1350000000000569</v>
      </c>
      <c r="CJ51" s="1480">
        <f ca="1">IF($B51&gt;=$J$5,0,CONTADORES!$BG45)</f>
        <v>8495.8320425128495</v>
      </c>
      <c r="CK51" s="1384">
        <f>CONTADORES!E45</f>
        <v>0</v>
      </c>
      <c r="CL51" s="1384">
        <f>CONTADORES!BX45</f>
        <v>0</v>
      </c>
    </row>
    <row r="52" spans="2:90">
      <c r="B52" s="220">
        <v>44968</v>
      </c>
      <c r="C52" s="204">
        <f t="shared" ca="1" si="0"/>
        <v>284</v>
      </c>
      <c r="D52" s="202">
        <f ca="1">'CALCULO DE GAS'!D48</f>
        <v>4.7922457518703245</v>
      </c>
      <c r="E52" s="202">
        <f ca="1">IF(B52&gt;=$J$5,0,(CONTADORES!$AB46-CONTADORES!$AB45)-$H52)</f>
        <v>24</v>
      </c>
      <c r="F52" s="204">
        <f t="shared" ca="1" si="29"/>
        <v>0</v>
      </c>
      <c r="G52" s="202">
        <f ca="1">IF(B52&gt;=$J$5,0,CONTADORES!$AD46-CONTADORES!$AD45)</f>
        <v>0</v>
      </c>
      <c r="H52" s="1437">
        <f ca="1">IF(G52&gt;0,CONTADORES!$AC46-CONTADORES!$AC45,0)</f>
        <v>0</v>
      </c>
      <c r="I52" s="205">
        <f ca="1">IF(B52&gt;=$J$5,0,CONTADORES!$Z46-CONTADORES!$Z45)</f>
        <v>284</v>
      </c>
      <c r="J52" s="204">
        <f t="shared" ca="1" si="2"/>
        <v>148</v>
      </c>
      <c r="K52" s="202">
        <f ca="1">'CALCULO DE GAS'!E48</f>
        <v>3.6832183204488778</v>
      </c>
      <c r="L52" s="1437">
        <f ca="1">IF(B52&gt;=$J$5,0,(CONTADORES!$W46-CONTADORES!$W45)-$O52)</f>
        <v>24</v>
      </c>
      <c r="M52" s="1437">
        <f ca="1">IF(O52=0,0,"ERROR")</f>
        <v>0</v>
      </c>
      <c r="N52" s="1437">
        <f ca="1">IF(B52&gt;=$J$5,0,CONTADORES!$Y46-CONTADORES!Y45)</f>
        <v>0</v>
      </c>
      <c r="O52" s="1437">
        <f ca="1">IF(N52&gt;0,CONTADORES!$X46-CONTADORES!$X45,0)</f>
        <v>0</v>
      </c>
      <c r="P52" s="208">
        <f ca="1">IF(B52&gt;=$J$5,0,CONTADORES!$U46-CONTADORES!$U45)</f>
        <v>148</v>
      </c>
      <c r="Q52" s="208">
        <f ca="1">IF(B52&gt;=$J$5,0,CONTADORES!$B46-CONTADORES!$B45)</f>
        <v>0</v>
      </c>
      <c r="R52" s="202">
        <f t="shared" ca="1" si="4"/>
        <v>0</v>
      </c>
      <c r="S52" s="11">
        <f ca="1">IF(B52&gt;=$J$5,0,CONTADORES!$D46-CONTADORES!$D45)</f>
        <v>0</v>
      </c>
      <c r="T52" s="204">
        <f ca="1">IF(B52&gt;=$J$5,0,CONTADORES!$AZ46-CONTADORES!$AZ45)</f>
        <v>0</v>
      </c>
      <c r="U52" s="202">
        <f t="shared" ca="1" si="30"/>
        <v>0</v>
      </c>
      <c r="V52" s="205">
        <f ca="1">IF(B52&gt;=$J$5,0,CONTADORES!$BB46-CONTADORES!$BB45)</f>
        <v>0</v>
      </c>
      <c r="W52" s="1438">
        <f t="shared" ca="1" si="6"/>
        <v>432</v>
      </c>
      <c r="X52" s="1438">
        <f t="shared" ca="1" si="7"/>
        <v>0</v>
      </c>
      <c r="Y52" s="1439">
        <f t="shared" ca="1" si="8"/>
        <v>432</v>
      </c>
      <c r="Z52" s="1439">
        <f t="shared" ca="1" si="9"/>
        <v>8.4754640723192018</v>
      </c>
      <c r="AA52" s="1439">
        <f t="shared" ca="1" si="10"/>
        <v>0</v>
      </c>
      <c r="AB52" s="1439">
        <f t="shared" ca="1" si="11"/>
        <v>48</v>
      </c>
      <c r="AC52" s="1438">
        <f t="shared" ca="1" si="12"/>
        <v>0</v>
      </c>
      <c r="AD52" s="1438">
        <f ca="1">IF(B52=$J$5,0,CONTADORES!H46-CONTADORES!H45)</f>
        <v>166</v>
      </c>
      <c r="AE52" s="1438">
        <f ca="1">IF(B52=$J$5,0,CONTADORES!J46-CONTADORES!J45)</f>
        <v>24</v>
      </c>
      <c r="AF52" s="1438">
        <f ca="1">IF(B52=$J$5,0,CONTADORES!AS46-CONTADORES!AS45)</f>
        <v>132</v>
      </c>
      <c r="AG52" s="1438">
        <f ca="1">IF(B52=$J$5,0,CONTADORES!AU46-CONTADORES!AU45)</f>
        <v>24</v>
      </c>
      <c r="AH52" s="1438">
        <f ca="1">IF(B52=$J$5,0,(CONTADORES!AK46-CONTADORES!AK45)+(CONTADORES!K46-CONTADORES!K45))</f>
        <v>10</v>
      </c>
      <c r="AI52" s="1438">
        <f ca="1">IF(B52=$J$5,0,(CONTADORES!AI46-CONTADORES!AI45)+(CONTADORES!M46-CONTADORES!M45))</f>
        <v>42.900000000001455</v>
      </c>
      <c r="AJ52" s="1438">
        <f ca="1">IF(B52=$J$5,0,(CONTADORES!AG46-CONTADORES!AG45))</f>
        <v>10.100000000005821</v>
      </c>
      <c r="AK52" s="1438">
        <f ca="1">IF(B52=$J$5,0,(CONTADORES!O46-CONTADORES!O45))</f>
        <v>15</v>
      </c>
      <c r="AL52" s="1438">
        <f t="shared" ca="1" si="13"/>
        <v>32.599999999991326</v>
      </c>
      <c r="AM52" s="1438">
        <f ca="1">IF(B52&gt;=$J$5,0,(((CONTADORES!F46-CONTADORES!F45)+(CONTADORES!AO46-CONTADORES!AO45))))-BJ52-AF52-AN52-BM52-BP52-BU52-BS52</f>
        <v>8.9860000000011802</v>
      </c>
      <c r="AN52" s="1438">
        <f ca="1">IF(B52=$J$5,0,(CONTADORES!AV46-CONTADORES!AV45)+(CONTADORES!AX46-CONTADORES!AX45)+(CONTADORES!BC46-CONTADORES!BC45))-BS52</f>
        <v>2.2359999999999092</v>
      </c>
      <c r="AO52" s="1478">
        <f ca="1">IF(B52&gt;=$J$5,0,(CONTADORES!AA46-CONTADORES!AA45))</f>
        <v>148</v>
      </c>
      <c r="AP52" s="1478">
        <f ca="1">IF(B52&gt;=$J$5,0,(CONTADORES!V46-CONTADORES!V45))</f>
        <v>78</v>
      </c>
      <c r="AQ52" s="1474">
        <f ca="1">IF(B52&gt;=$J$5,0,(CONTADORES!C46-CONTADORES!C45))</f>
        <v>0</v>
      </c>
      <c r="AR52" s="1440">
        <f ca="1">IF(B52&gt;=$J$5,0,(CONTADORES!BA46-CONTADORES!BA45))</f>
        <v>0</v>
      </c>
      <c r="AS52" s="1438">
        <f ca="1">IF(B52=$J$5,0,CONTADORES!Q46-CONTADORES!Q45)</f>
        <v>16.899999999994179</v>
      </c>
      <c r="AT52" s="1438">
        <f ca="1">IF(B52=$J$5,0,(CONTADORES!S46-CONTADORES!S45)+(CONTADORES!AE46-CONTADORES!AE45))</f>
        <v>2.3000000000029104</v>
      </c>
      <c r="AU52" s="1438">
        <f>CONTADORES!I46-CONTADORES!I45</f>
        <v>84</v>
      </c>
      <c r="AV52" s="1438">
        <f>CONTADORES!AT46-CONTADORES!AT45</f>
        <v>58</v>
      </c>
      <c r="AW52" s="1438">
        <f ca="1">IF(B52&gt;=$J$5,0,(CONTADORES!L46-CONTADORES!L45)+(CONTADORES!AL46-CONTADORES!AL45))</f>
        <v>4</v>
      </c>
      <c r="AX52" s="1438">
        <f ca="1">IF(B52&gt;=$J$5,0,(CONTADORES!N46-CONTADORES!N45)+(CONTADORES!AJ46-CONTADORES!AJ45))</f>
        <v>34.80000000000291</v>
      </c>
      <c r="AY52" s="1438">
        <f ca="1">IF(B52&gt;=$J$5,0,(CONTADORES!AH46-CONTADORES!AH45))</f>
        <v>7.9000000000014552</v>
      </c>
      <c r="AZ52" s="1438">
        <f ca="1">IF(B52&gt;=$J$5,0,(CONTADORES!P46-CONTADORES!P45))</f>
        <v>12.69999999999709</v>
      </c>
      <c r="BA52" s="1438">
        <f t="shared" ca="1" si="14"/>
        <v>10.335999999998535</v>
      </c>
      <c r="BB52" s="1438">
        <f ca="1">IF(B52&gt;=$J$5,0,(((CONTADORES!G46-CONTADORES!G45)+(CONTADORES!AP46-CONTADORES!AP45))))-AV52-BC52-BK52-BN52-BQ52-BV52</f>
        <v>8.3559999999994545</v>
      </c>
      <c r="BC52" s="1794">
        <f ca="1">IF(B52&gt;=$J$5,0,(CONTADORES!AW46-CONTADORES!AW45)+(CONTADORES!AY46-CONTADORES!AY45)+(CONTADORES!BD46-CONTADORES!BD45))-BT52</f>
        <v>0.43599999999981809</v>
      </c>
      <c r="BD52" s="1438">
        <f t="shared" ca="1" si="15"/>
        <v>226</v>
      </c>
      <c r="BE52" s="1439">
        <f ca="1">IF($B52&gt;=$J$5,0,CONTADORES!$BE46)</f>
        <v>6860.02</v>
      </c>
      <c r="BF52" s="1438">
        <f ca="1">IF($B52&gt;=$J$5,0,CONTADORES!$BF46)</f>
        <v>21295.638596491201</v>
      </c>
      <c r="BG52" s="1438">
        <f ca="1">IF($B52&gt;=$J$5,0,CONTADORES!$BH46)</f>
        <v>5816.82</v>
      </c>
      <c r="BH52" s="1438">
        <f ca="1">IF(B52&gt;=$J$5,0,(CONTADORES!AQ46-CONTADORES!AQ45))</f>
        <v>5</v>
      </c>
      <c r="BI52" s="1438">
        <f ca="1">IF(B52&gt;=$J$5,0,(CONTADORES!AR46-CONTADORES!AR45))</f>
        <v>0</v>
      </c>
      <c r="BJ52" s="1450">
        <f ca="1">IF(B52&gt;=$J$5,0,CONTADORES!BI46-CONTADORES!BI45)/1000</f>
        <v>0</v>
      </c>
      <c r="BK52" s="1479">
        <f ca="1">IF(B52&gt;=$J$5,0,CONTADORES!BJ46-CONTADORES!BJ45)</f>
        <v>0</v>
      </c>
      <c r="BL52" s="1479">
        <f ca="1">IF(B52&gt;=$J$5,0,CONTADORES!BK46-CONTADORES!BK45)</f>
        <v>0</v>
      </c>
      <c r="BM52" s="1479">
        <f ca="1">IF(B52&gt;=$J$5,0,CONTADORES!BL46-CONTADORES!BL45)/1000</f>
        <v>4.7140000000000004</v>
      </c>
      <c r="BN52" s="1479">
        <f ca="1">IF(B52&gt;=$J$5,0,CONTADORES!BM46-CONTADORES!BM45)/1000</f>
        <v>0.50800000000000001</v>
      </c>
      <c r="BO52" s="1479">
        <f ca="1">IF(B52&gt;=$J$5,0,CONTADORES!BN46-CONTADORES!BN45)</f>
        <v>24</v>
      </c>
      <c r="BP52" s="1479">
        <f ca="1">IF(B52&gt;=$J$5,0,CONTADORES!BO46-CONTADORES!BO45)/1000</f>
        <v>0</v>
      </c>
      <c r="BQ52" s="1479">
        <f ca="1">IF(B52&gt;=$J$5,0,CONTADORES!BP46-CONTADORES!BP45)/1000</f>
        <v>0</v>
      </c>
      <c r="BR52" s="1479">
        <f ca="1">IF(B52&gt;=$J$5,0,CONTADORES!BQ46-CONTADORES!BQ45)</f>
        <v>0</v>
      </c>
      <c r="BS52" s="1450">
        <f ca="1">IF(B52&gt;=$J$5,0,(CONTADORES!BT46-CONTADORES!BT45)+(CONTADORES!BV46-CONTADORES!BV45))/1000</f>
        <v>1.3640000000000001</v>
      </c>
      <c r="BT52" s="1479">
        <f ca="1">IF(B52&gt;=$J$5,0,(CONTADORES!BU46-CONTADORES!BU45)+(CONTADORES!BW46-CONTADORES!BW45))/1000</f>
        <v>0.76400000000000001</v>
      </c>
      <c r="BU52" s="1450">
        <f ca="1">IF(B52&gt;=$J$5,0,CONTADORES!BR46-CONTADORES!BR45)</f>
        <v>6.1000000000003638</v>
      </c>
      <c r="BV52" s="1479">
        <f ca="1">IF(B52&gt;=$J$5,0,CONTADORES!BS46-CONTADORES!BS45)</f>
        <v>4.2000000000007276</v>
      </c>
      <c r="BW52" s="1479">
        <f t="shared" ca="1" si="16"/>
        <v>10.593000000000954</v>
      </c>
      <c r="BX52" s="1479">
        <f t="shared" ca="1" si="17"/>
        <v>8.3780000000004549</v>
      </c>
      <c r="BY52" s="1479">
        <f t="shared" ca="1" si="18"/>
        <v>4.4930000000005901</v>
      </c>
      <c r="BZ52" s="1479">
        <f t="shared" ca="1" si="19"/>
        <v>0.89439999999996367</v>
      </c>
      <c r="CA52" s="1479">
        <f t="shared" ca="1" si="20"/>
        <v>4.4930000000005901</v>
      </c>
      <c r="CB52" s="1479">
        <f t="shared" ca="1" si="21"/>
        <v>1.3415999999999455</v>
      </c>
      <c r="CC52" s="1479">
        <f t="shared" ca="1" si="22"/>
        <v>2.2583999999999635</v>
      </c>
      <c r="CD52" s="1479">
        <f t="shared" ca="1" si="23"/>
        <v>4.1779999999997273</v>
      </c>
      <c r="CE52" s="1479">
        <f ca="1">IF(B52&gt;=$J$5,0,CONTADORES!BS46-CONTADORES!BS45)</f>
        <v>4.2000000000007276</v>
      </c>
      <c r="CF52" s="1479">
        <f t="shared" ca="1" si="24"/>
        <v>4.1779999999997273</v>
      </c>
      <c r="CG52" s="1479">
        <f t="shared" ca="1" si="25"/>
        <v>0.21799999999990904</v>
      </c>
      <c r="CH52" s="1479">
        <f t="shared" ca="1" si="26"/>
        <v>0.21799999999990904</v>
      </c>
      <c r="CI52" s="1479">
        <f t="shared" ca="1" si="27"/>
        <v>0.98199999999990906</v>
      </c>
      <c r="CJ52" s="1480">
        <f ca="1">IF($B52&gt;=$J$5,0,CONTADORES!$BG46)</f>
        <v>6887.7146854211196</v>
      </c>
      <c r="CK52" s="1384">
        <f>CONTADORES!E46</f>
        <v>0</v>
      </c>
      <c r="CL52" s="1384">
        <f>CONTADORES!BX46</f>
        <v>0</v>
      </c>
    </row>
    <row r="53" spans="2:90">
      <c r="B53" s="220">
        <v>44969</v>
      </c>
      <c r="C53" s="204">
        <f t="shared" ca="1" si="0"/>
        <v>288</v>
      </c>
      <c r="D53" s="202">
        <f ca="1">'CALCULO DE GAS'!D49</f>
        <v>4.8248642057356612</v>
      </c>
      <c r="E53" s="202">
        <f ca="1">IF(B53&gt;=$J$5,0,(CONTADORES!$AB47-CONTADORES!$AB46)-$H53)</f>
        <v>24</v>
      </c>
      <c r="F53" s="204">
        <f t="shared" ca="1" si="29"/>
        <v>0</v>
      </c>
      <c r="G53" s="202">
        <f ca="1">IF(B53&gt;=$J$5,0,CONTADORES!$AD47-CONTADORES!$AD46)</f>
        <v>0</v>
      </c>
      <c r="H53" s="1437">
        <f ca="1">IF(G53&gt;0,CONTADORES!$AC47-CONTADORES!$AC46,0)</f>
        <v>0</v>
      </c>
      <c r="I53" s="205">
        <f ca="1">IF(B53&gt;=$J$5,0,CONTADORES!$Z47-CONTADORES!$Z46)</f>
        <v>288</v>
      </c>
      <c r="J53" s="204">
        <f t="shared" ca="1" si="2"/>
        <v>149.5</v>
      </c>
      <c r="K53" s="202">
        <f ca="1">'CALCULO DE GAS'!E49</f>
        <v>3.6954502406483791</v>
      </c>
      <c r="L53" s="1437">
        <f ca="1">IF(B53&gt;=$J$5,0,(CONTADORES!$W47-CONTADORES!$W46)-$O53)</f>
        <v>24</v>
      </c>
      <c r="M53" s="1437">
        <v>0.5</v>
      </c>
      <c r="N53" s="1437">
        <f ca="1">IF(B53&gt;=$J$5,0,CONTADORES!$Y47-CONTADORES!Y46)</f>
        <v>0</v>
      </c>
      <c r="O53" s="1437">
        <f ca="1">IF(N53&gt;0,CONTADORES!$X47-CONTADORES!$X46,0)</f>
        <v>0</v>
      </c>
      <c r="P53" s="208">
        <f ca="1">IF(B53&gt;=$J$5,0,CONTADORES!$U47-CONTADORES!$U46)</f>
        <v>150</v>
      </c>
      <c r="Q53" s="208">
        <f ca="1">IF(B53&gt;=$J$5,0,CONTADORES!$B47-CONTADORES!$B46)</f>
        <v>0</v>
      </c>
      <c r="R53" s="202">
        <f t="shared" ca="1" si="4"/>
        <v>0</v>
      </c>
      <c r="S53" s="11">
        <f ca="1">IF(B53&gt;=$J$5,0,CONTADORES!$D47-CONTADORES!$D46)</f>
        <v>0</v>
      </c>
      <c r="T53" s="204">
        <f ca="1">IF(B53&gt;=$J$5,0,CONTADORES!$AZ47-CONTADORES!$AZ46)</f>
        <v>0</v>
      </c>
      <c r="U53" s="202">
        <f t="shared" ca="1" si="30"/>
        <v>0</v>
      </c>
      <c r="V53" s="205">
        <f ca="1">IF(B53&gt;=$J$5,0,CONTADORES!$BB47-CONTADORES!$BB46)</f>
        <v>0</v>
      </c>
      <c r="W53" s="1438">
        <f t="shared" ca="1" si="6"/>
        <v>437.5</v>
      </c>
      <c r="X53" s="1438">
        <f t="shared" ca="1" si="7"/>
        <v>0.5</v>
      </c>
      <c r="Y53" s="1439">
        <f t="shared" ca="1" si="8"/>
        <v>438</v>
      </c>
      <c r="Z53" s="1439">
        <f t="shared" ca="1" si="9"/>
        <v>8.5203144463840399</v>
      </c>
      <c r="AA53" s="1439">
        <f t="shared" ca="1" si="10"/>
        <v>0</v>
      </c>
      <c r="AB53" s="1439">
        <f t="shared" ca="1" si="11"/>
        <v>48</v>
      </c>
      <c r="AC53" s="1438">
        <f t="shared" ca="1" si="12"/>
        <v>0</v>
      </c>
      <c r="AD53" s="1438">
        <f ca="1">IF(B53=$J$5,0,CONTADORES!H47-CONTADORES!H46)</f>
        <v>160</v>
      </c>
      <c r="AE53" s="1438">
        <f ca="1">IF(B53=$J$5,0,CONTADORES!J47-CONTADORES!J46)</f>
        <v>24</v>
      </c>
      <c r="AF53" s="1438">
        <f ca="1">IF(B53=$J$5,0,CONTADORES!AS47-CONTADORES!AS46)</f>
        <v>142</v>
      </c>
      <c r="AG53" s="1438">
        <f ca="1">IF(B53=$J$5,0,CONTADORES!AU47-CONTADORES!AU46)</f>
        <v>24</v>
      </c>
      <c r="AH53" s="1438">
        <f ca="1">IF(B53=$J$5,0,(CONTADORES!AK47-CONTADORES!AK46)+(CONTADORES!K47-CONTADORES!K46))</f>
        <v>8.5999999999985448</v>
      </c>
      <c r="AI53" s="1438">
        <f ca="1">IF(B53=$J$5,0,(CONTADORES!AI47-CONTADORES!AI46)+(CONTADORES!M47-CONTADORES!M46))</f>
        <v>42.299999999995634</v>
      </c>
      <c r="AJ53" s="1438">
        <f ca="1">IF(B53=$J$5,0,(CONTADORES!AG47-CONTADORES!AG46))</f>
        <v>8.3000000000029104</v>
      </c>
      <c r="AK53" s="1438">
        <f ca="1">IF(B53=$J$5,0,(CONTADORES!O47-CONTADORES!O46))</f>
        <v>16.099999999976717</v>
      </c>
      <c r="AL53" s="1438">
        <f t="shared" ca="1" si="13"/>
        <v>33.300000000028376</v>
      </c>
      <c r="AM53" s="1438">
        <f ca="1">IF(B53&gt;=$J$5,0,(((CONTADORES!F47-CONTADORES!F46)+(CONTADORES!AO47-CONTADORES!AO46))))-BJ53-AF53-AN53-BM53-BP53-BU53-BS53</f>
        <v>10.051999999997724</v>
      </c>
      <c r="AN53" s="1438">
        <f ca="1">IF(B53=$J$5,0,(CONTADORES!AV47-CONTADORES!AV46)+(CONTADORES!AX47-CONTADORES!AX46)+(CONTADORES!BC47-CONTADORES!BC46))-BS53</f>
        <v>2.5940000000004551</v>
      </c>
      <c r="AO53" s="1478">
        <f ca="1">IF(B53&gt;=$J$5,0,(CONTADORES!AA47-CONTADORES!AA46))</f>
        <v>150</v>
      </c>
      <c r="AP53" s="1478">
        <f ca="1">IF(B53&gt;=$J$5,0,(CONTADORES!V47-CONTADORES!V46))</f>
        <v>78</v>
      </c>
      <c r="AQ53" s="1474">
        <f ca="1">IF(B53&gt;=$J$5,0,(CONTADORES!C47-CONTADORES!C46))</f>
        <v>0</v>
      </c>
      <c r="AR53" s="1440">
        <f ca="1">IF(B53&gt;=$J$5,0,(CONTADORES!BA47-CONTADORES!BA46))</f>
        <v>0</v>
      </c>
      <c r="AS53" s="1438">
        <f ca="1">IF(B53=$J$5,0,CONTADORES!Q47-CONTADORES!Q46)</f>
        <v>17</v>
      </c>
      <c r="AT53" s="1438">
        <f ca="1">IF(B53=$J$5,0,(CONTADORES!S47-CONTADORES!S46)+(CONTADORES!AE47-CONTADORES!AE46))</f>
        <v>2.3000000000029104</v>
      </c>
      <c r="AU53" s="1438">
        <f>CONTADORES!I47-CONTADORES!I46</f>
        <v>84</v>
      </c>
      <c r="AV53" s="1438">
        <f>CONTADORES!AT47-CONTADORES!AT46</f>
        <v>62</v>
      </c>
      <c r="AW53" s="1438">
        <f ca="1">IF(B53&gt;=$J$5,0,(CONTADORES!L47-CONTADORES!L46)+(CONTADORES!AL47-CONTADORES!AL46))</f>
        <v>3.4000000000014552</v>
      </c>
      <c r="AX53" s="1438">
        <f ca="1">IF(B53&gt;=$J$5,0,(CONTADORES!N47-CONTADORES!N46)+(CONTADORES!AJ47-CONTADORES!AJ46))</f>
        <v>32.099999999998545</v>
      </c>
      <c r="AY53" s="1438">
        <f ca="1">IF(B53&gt;=$J$5,0,(CONTADORES!AH47-CONTADORES!AH46))</f>
        <v>6.5</v>
      </c>
      <c r="AZ53" s="1438">
        <f ca="1">IF(B53&gt;=$J$5,0,(CONTADORES!P47-CONTADORES!P46))</f>
        <v>13.5</v>
      </c>
      <c r="BA53" s="1438">
        <f t="shared" ca="1" si="14"/>
        <v>11.406000000000716</v>
      </c>
      <c r="BB53" s="1438">
        <f ca="1">IF(B53&gt;=$J$5,0,(((CONTADORES!G47-CONTADORES!G46)+(CONTADORES!AP47-CONTADORES!AP46))))-AV53-BC53-BK53-BN53-BQ53-BV53</f>
        <v>8.0279999999997624</v>
      </c>
      <c r="BC53" s="1794">
        <f ca="1">IF(B53&gt;=$J$5,0,(CONTADORES!AW47-CONTADORES!AW46)+(CONTADORES!AY47-CONTADORES!AY46)+(CONTADORES!BD47-CONTADORES!BD46))-BT53</f>
        <v>0.40599999999987491</v>
      </c>
      <c r="BD53" s="1438">
        <f t="shared" ca="1" si="15"/>
        <v>228</v>
      </c>
      <c r="BE53" s="1439">
        <f ca="1">IF($B53&gt;=$J$5,0,CONTADORES!$BE47)</f>
        <v>6275.27</v>
      </c>
      <c r="BF53" s="1438">
        <f ca="1">IF($B53&gt;=$J$5,0,CONTADORES!$BF47)</f>
        <v>27727.917543859599</v>
      </c>
      <c r="BG53" s="1438">
        <f ca="1">IF($B53&gt;=$J$5,0,CONTADORES!$BH47)</f>
        <v>6081.95</v>
      </c>
      <c r="BH53" s="1438">
        <f ca="1">IF(B53&gt;=$J$5,0,(CONTADORES!AQ47-CONTADORES!AQ46))</f>
        <v>5</v>
      </c>
      <c r="BI53" s="1438">
        <f ca="1">IF(B53&gt;=$J$5,0,(CONTADORES!AR47-CONTADORES!AR46))</f>
        <v>0</v>
      </c>
      <c r="BJ53" s="1450">
        <f ca="1">IF(B53&gt;=$J$5,0,CONTADORES!BI47-CONTADORES!BI46)/1000</f>
        <v>2.2559999999999998</v>
      </c>
      <c r="BK53" s="1479">
        <f ca="1">IF(B53&gt;=$J$5,0,CONTADORES!BJ47-CONTADORES!BJ46)</f>
        <v>1</v>
      </c>
      <c r="BL53" s="1479">
        <f ca="1">IF(B53&gt;=$J$5,0,CONTADORES!BK47-CONTADORES!BK46)</f>
        <v>20.200000000000728</v>
      </c>
      <c r="BM53" s="1479">
        <f ca="1">IF(B53&gt;=$J$5,0,CONTADORES!BL47-CONTADORES!BL46)/1000</f>
        <v>4.6920000000000002</v>
      </c>
      <c r="BN53" s="1479">
        <f ca="1">IF(B53&gt;=$J$5,0,CONTADORES!BM47-CONTADORES!BM46)/1000</f>
        <v>0.46600000000000003</v>
      </c>
      <c r="BO53" s="1479">
        <f ca="1">IF(B53&gt;=$J$5,0,CONTADORES!BN47-CONTADORES!BN46)</f>
        <v>24</v>
      </c>
      <c r="BP53" s="1479">
        <f ca="1">IF(B53&gt;=$J$5,0,CONTADORES!BO47-CONTADORES!BO46)/1000</f>
        <v>0</v>
      </c>
      <c r="BQ53" s="1479">
        <f ca="1">IF(B53&gt;=$J$5,0,CONTADORES!BP47-CONTADORES!BP46)/1000</f>
        <v>0</v>
      </c>
      <c r="BR53" s="1479">
        <f ca="1">IF(B53&gt;=$J$5,0,CONTADORES!BQ47-CONTADORES!BQ46)</f>
        <v>0</v>
      </c>
      <c r="BS53" s="1450">
        <f ca="1">IF(B53&gt;=$J$5,0,(CONTADORES!BT47-CONTADORES!BT46)+(CONTADORES!BV47-CONTADORES!BV46))/1000</f>
        <v>1.4059999999999999</v>
      </c>
      <c r="BT53" s="1479">
        <f ca="1">IF(B53&gt;=$J$5,0,(CONTADORES!BU47-CONTADORES!BU46)+(CONTADORES!BW47-CONTADORES!BW46))/1000</f>
        <v>0.79400000000000004</v>
      </c>
      <c r="BU53" s="1450">
        <f ca="1">IF(B53&gt;=$J$5,0,CONTADORES!BR47-CONTADORES!BR46)</f>
        <v>6.3999999999996362</v>
      </c>
      <c r="BV53" s="1479">
        <f ca="1">IF(B53&gt;=$J$5,0,CONTADORES!BS47-CONTADORES!BS46)</f>
        <v>4.3999999999996362</v>
      </c>
      <c r="BW53" s="1479">
        <f t="shared" ca="1" si="16"/>
        <v>11.425999999998499</v>
      </c>
      <c r="BX53" s="1479">
        <f t="shared" ca="1" si="17"/>
        <v>8.4139999999995183</v>
      </c>
      <c r="BY53" s="1479">
        <f t="shared" ca="1" si="18"/>
        <v>5.025999999998862</v>
      </c>
      <c r="BZ53" s="1479">
        <f t="shared" ca="1" si="19"/>
        <v>1.0376000000001822</v>
      </c>
      <c r="CA53" s="1479">
        <f t="shared" ca="1" si="20"/>
        <v>5.025999999998862</v>
      </c>
      <c r="CB53" s="1479">
        <f t="shared" ca="1" si="21"/>
        <v>1.5564000000002729</v>
      </c>
      <c r="CC53" s="1479">
        <f t="shared" ca="1" si="22"/>
        <v>2.4436000000001821</v>
      </c>
      <c r="CD53" s="1479">
        <f t="shared" ca="1" si="23"/>
        <v>4.0139999999998812</v>
      </c>
      <c r="CE53" s="1479">
        <f ca="1">IF(B53&gt;=$J$5,0,CONTADORES!BS47-CONTADORES!BS46)</f>
        <v>4.3999999999996362</v>
      </c>
      <c r="CF53" s="1479">
        <f t="shared" ca="1" si="24"/>
        <v>4.0139999999998812</v>
      </c>
      <c r="CG53" s="1479">
        <f t="shared" ca="1" si="25"/>
        <v>0.20299999999993745</v>
      </c>
      <c r="CH53" s="1479">
        <f t="shared" ca="1" si="26"/>
        <v>0.20299999999993745</v>
      </c>
      <c r="CI53" s="1479">
        <f t="shared" ca="1" si="27"/>
        <v>0.99699999999993749</v>
      </c>
      <c r="CJ53" s="1480">
        <f ca="1">IF($B53&gt;=$J$5,0,CONTADORES!$BG47)</f>
        <v>8864.5253573719001</v>
      </c>
      <c r="CK53" s="1384">
        <f>CONTADORES!E47</f>
        <v>0</v>
      </c>
      <c r="CL53" s="1384">
        <f>CONTADORES!BX47</f>
        <v>0</v>
      </c>
    </row>
    <row r="54" spans="2:90">
      <c r="B54" s="220">
        <v>44970</v>
      </c>
      <c r="C54" s="204">
        <f t="shared" ca="1" si="0"/>
        <v>282</v>
      </c>
      <c r="D54" s="202">
        <f ca="1">'CALCULO DE GAS'!D50</f>
        <v>4.7759365249376557</v>
      </c>
      <c r="E54" s="202">
        <f ca="1">IF(B54&gt;=$J$5,0,(CONTADORES!$AB48-CONTADORES!$AB47)-$H54)</f>
        <v>24</v>
      </c>
      <c r="F54" s="204">
        <f t="shared" ca="1" si="29"/>
        <v>0</v>
      </c>
      <c r="G54" s="202">
        <f ca="1">IF(B54&gt;=$J$5,0,CONTADORES!$AD48-CONTADORES!$AD47)</f>
        <v>0</v>
      </c>
      <c r="H54" s="1437">
        <f ca="1">IF(G54&gt;0,CONTADORES!$AC48-CONTADORES!$AC47,0)</f>
        <v>0</v>
      </c>
      <c r="I54" s="205">
        <f ca="1">IF(B54&gt;=$J$5,0,CONTADORES!$Z48-CONTADORES!$Z47)</f>
        <v>282</v>
      </c>
      <c r="J54" s="204">
        <f t="shared" ca="1" si="2"/>
        <v>164</v>
      </c>
      <c r="K54" s="202">
        <f ca="1">'CALCULO DE GAS'!E50</f>
        <v>3.813692135910224</v>
      </c>
      <c r="L54" s="1437">
        <f ca="1">IF(B54&gt;=$J$5,0,(CONTADORES!$W48-CONTADORES!$W47)-$O54)</f>
        <v>24</v>
      </c>
      <c r="M54" s="1437">
        <f t="shared" ref="M54:M85" ca="1" si="31">IF(O54=0,0,"ERROR")</f>
        <v>0</v>
      </c>
      <c r="N54" s="1437">
        <f ca="1">IF(B54&gt;=$J$5,0,CONTADORES!$Y48-CONTADORES!Y47)</f>
        <v>0</v>
      </c>
      <c r="O54" s="1437">
        <f ca="1">IF(N54&gt;0,CONTADORES!$X48-CONTADORES!$X47,0)</f>
        <v>0</v>
      </c>
      <c r="P54" s="208">
        <f ca="1">IF(B54&gt;=$J$5,0,CONTADORES!$U48-CONTADORES!$U47)</f>
        <v>164</v>
      </c>
      <c r="Q54" s="208">
        <f ca="1">IF(B54&gt;=$J$5,0,CONTADORES!$B48-CONTADORES!$B47)</f>
        <v>0</v>
      </c>
      <c r="R54" s="202">
        <f t="shared" ca="1" si="4"/>
        <v>0</v>
      </c>
      <c r="S54" s="11">
        <f ca="1">IF(B54&gt;=$J$5,0,CONTADORES!$D48-CONTADORES!$D47)</f>
        <v>0</v>
      </c>
      <c r="T54" s="204">
        <f ca="1">IF(B54&gt;=$J$5,0,CONTADORES!$AZ48-CONTADORES!$AZ47)</f>
        <v>0</v>
      </c>
      <c r="U54" s="202">
        <f t="shared" ca="1" si="30"/>
        <v>0</v>
      </c>
      <c r="V54" s="205">
        <f ca="1">IF(B54&gt;=$J$5,0,CONTADORES!$BB48-CONTADORES!$BB47)</f>
        <v>0</v>
      </c>
      <c r="W54" s="1438">
        <f t="shared" ca="1" si="6"/>
        <v>446</v>
      </c>
      <c r="X54" s="1438">
        <f t="shared" ca="1" si="7"/>
        <v>0</v>
      </c>
      <c r="Y54" s="1439">
        <f t="shared" ca="1" si="8"/>
        <v>446</v>
      </c>
      <c r="Z54" s="1439">
        <f t="shared" ca="1" si="9"/>
        <v>8.5896286608478789</v>
      </c>
      <c r="AA54" s="1439">
        <f t="shared" ca="1" si="10"/>
        <v>0</v>
      </c>
      <c r="AB54" s="1439">
        <f t="shared" ca="1" si="11"/>
        <v>48</v>
      </c>
      <c r="AC54" s="1438">
        <f t="shared" ca="1" si="12"/>
        <v>0</v>
      </c>
      <c r="AD54" s="1438">
        <f ca="1">IF(B54=$J$5,0,CONTADORES!H48-CONTADORES!H47)</f>
        <v>162</v>
      </c>
      <c r="AE54" s="1438">
        <f ca="1">IF(B54=$J$5,0,CONTADORES!J48-CONTADORES!J47)</f>
        <v>24</v>
      </c>
      <c r="AF54" s="1438">
        <f ca="1">IF(B54=$J$5,0,CONTADORES!AS48-CONTADORES!AS47)</f>
        <v>146</v>
      </c>
      <c r="AG54" s="1438">
        <f ca="1">IF(B54=$J$5,0,CONTADORES!AU48-CONTADORES!AU47)</f>
        <v>24</v>
      </c>
      <c r="AH54" s="1438">
        <f ca="1">IF(B54=$J$5,0,(CONTADORES!AK48-CONTADORES!AK47)+(CONTADORES!K48-CONTADORES!K47))</f>
        <v>9</v>
      </c>
      <c r="AI54" s="1438">
        <f ca="1">IF(B54=$J$5,0,(CONTADORES!AI48-CONTADORES!AI47)+(CONTADORES!M48-CONTADORES!M47))</f>
        <v>42.69999999999709</v>
      </c>
      <c r="AJ54" s="1438">
        <f ca="1">IF(B54=$J$5,0,(CONTADORES!AG48-CONTADORES!AG47))</f>
        <v>8.7999999999883585</v>
      </c>
      <c r="AK54" s="1438">
        <f ca="1">IF(B54=$J$5,0,(CONTADORES!O48-CONTADORES!O47))</f>
        <v>15.900000000023283</v>
      </c>
      <c r="AL54" s="1438">
        <f t="shared" ca="1" si="13"/>
        <v>34.399999999990541</v>
      </c>
      <c r="AM54" s="1438">
        <f ca="1">IF(B54&gt;=$J$5,0,(((CONTADORES!F48-CONTADORES!F47)+(CONTADORES!AO48-CONTADORES!AO47))))-BJ54-AF54-AN54-BM54-BP54-BU54-BS54</f>
        <v>10.268000000000722</v>
      </c>
      <c r="AN54" s="1438">
        <f ca="1">IF(B54=$J$5,0,(CONTADORES!AV48-CONTADORES!AV47)+(CONTADORES!AX48-CONTADORES!AX47)+(CONTADORES!BC48-CONTADORES!BC47))-BS54</f>
        <v>2.7039999999994544</v>
      </c>
      <c r="AO54" s="1478">
        <f ca="1">IF(B54&gt;=$J$5,0,(CONTADORES!AA48-CONTADORES!AA47))</f>
        <v>144</v>
      </c>
      <c r="AP54" s="1478">
        <f ca="1">IF(B54&gt;=$J$5,0,(CONTADORES!V48-CONTADORES!V47))</f>
        <v>88</v>
      </c>
      <c r="AQ54" s="1474">
        <f ca="1">IF(B54&gt;=$J$5,0,(CONTADORES!C48-CONTADORES!C47))</f>
        <v>0</v>
      </c>
      <c r="AR54" s="1440">
        <f ca="1">IF(B54&gt;=$J$5,0,(CONTADORES!BA48-CONTADORES!BA47))</f>
        <v>0</v>
      </c>
      <c r="AS54" s="1438">
        <f ca="1">IF(B54=$J$5,0,CONTADORES!Q48-CONTADORES!Q47)</f>
        <v>17.600000000005821</v>
      </c>
      <c r="AT54" s="1438">
        <f ca="1">IF(B54=$J$5,0,(CONTADORES!S48-CONTADORES!S47)+(CONTADORES!AE48-CONTADORES!AE47))</f>
        <v>2.1999999999970896</v>
      </c>
      <c r="AU54" s="1438">
        <f>CONTADORES!I48-CONTADORES!I47</f>
        <v>82</v>
      </c>
      <c r="AV54" s="1438">
        <f>CONTADORES!AT48-CONTADORES!AT47</f>
        <v>64</v>
      </c>
      <c r="AW54" s="1438">
        <f ca="1">IF(B54&gt;=$J$5,0,(CONTADORES!L48-CONTADORES!L47)+(CONTADORES!AL48-CONTADORES!AL47))</f>
        <v>3.2999999999992724</v>
      </c>
      <c r="AX54" s="1438">
        <f ca="1">IF(B54&gt;=$J$5,0,(CONTADORES!N48-CONTADORES!N47)+(CONTADORES!AJ48-CONTADORES!AJ47))</f>
        <v>33.599999999998545</v>
      </c>
      <c r="AY54" s="1438">
        <f ca="1">IF(B54&gt;=$J$5,0,(CONTADORES!AH48-CONTADORES!AH47))</f>
        <v>6.9000000000014552</v>
      </c>
      <c r="AZ54" s="1438">
        <f ca="1">IF(B54&gt;=$J$5,0,(CONTADORES!P48-CONTADORES!P47))</f>
        <v>13.099999999991269</v>
      </c>
      <c r="BA54" s="1438">
        <f t="shared" ca="1" si="14"/>
        <v>14.11400000000873</v>
      </c>
      <c r="BB54" s="1438">
        <f ca="1">IF(B54&gt;=$J$5,0,(((CONTADORES!G48-CONTADORES!G47)+(CONTADORES!AP48-CONTADORES!AP47))))-AV54-BC54-BK54-BN54-BQ54-BV54</f>
        <v>7.5700000000011372</v>
      </c>
      <c r="BC54" s="1794">
        <f ca="1">IF(B54&gt;=$J$5,0,(CONTADORES!AW48-CONTADORES!AW47)+(CONTADORES!AY48-CONTADORES!AY47)+(CONTADORES!BD48-CONTADORES!BD47))-BT54</f>
        <v>0.51399999999995449</v>
      </c>
      <c r="BD54" s="1438">
        <f t="shared" ca="1" si="15"/>
        <v>232</v>
      </c>
      <c r="BE54" s="1439">
        <f ca="1">IF($B54&gt;=$J$5,0,CONTADORES!$BE48)</f>
        <v>6372.1</v>
      </c>
      <c r="BF54" s="1438">
        <f ca="1">IF($B54&gt;=$J$5,0,CONTADORES!$BF48)</f>
        <v>31208.110526315799</v>
      </c>
      <c r="BG54" s="1438">
        <f ca="1">IF($B54&gt;=$J$5,0,CONTADORES!$BH48)</f>
        <v>6003.09</v>
      </c>
      <c r="BH54" s="1438">
        <f ca="1">IF(B54&gt;=$J$5,0,(CONTADORES!AQ48-CONTADORES!AQ47))</f>
        <v>5</v>
      </c>
      <c r="BI54" s="1438">
        <f ca="1">IF(B54&gt;=$J$5,0,(CONTADORES!AR48-CONTADORES!AR47))</f>
        <v>0</v>
      </c>
      <c r="BJ54" s="1450">
        <f ca="1">IF(B54&gt;=$J$5,0,CONTADORES!BI48-CONTADORES!BI47)/1000</f>
        <v>1.3939999999999999</v>
      </c>
      <c r="BK54" s="1479">
        <f ca="1">IF(B54&gt;=$J$5,0,CONTADORES!BJ48-CONTADORES!BJ47)</f>
        <v>1</v>
      </c>
      <c r="BL54" s="1479">
        <f ca="1">IF(B54&gt;=$J$5,0,CONTADORES!BK48-CONTADORES!BK47)</f>
        <v>18</v>
      </c>
      <c r="BM54" s="1479">
        <f ca="1">IF(B54&gt;=$J$5,0,CONTADORES!BL48-CONTADORES!BL47)/1000</f>
        <v>5.0380000000000003</v>
      </c>
      <c r="BN54" s="1479">
        <f ca="1">IF(B54&gt;=$J$5,0,CONTADORES!BM48-CONTADORES!BM47)/1000</f>
        <v>0.71599999999999997</v>
      </c>
      <c r="BO54" s="1479">
        <f ca="1">IF(B54&gt;=$J$5,0,CONTADORES!BN48-CONTADORES!BN47)</f>
        <v>24</v>
      </c>
      <c r="BP54" s="1479">
        <f ca="1">IF(B54&gt;=$J$5,0,CONTADORES!BO48-CONTADORES!BO47)/1000</f>
        <v>0</v>
      </c>
      <c r="BQ54" s="1479">
        <f ca="1">IF(B54&gt;=$J$5,0,CONTADORES!BP48-CONTADORES!BP47)/1000</f>
        <v>0</v>
      </c>
      <c r="BR54" s="1479">
        <f ca="1">IF(B54&gt;=$J$5,0,CONTADORES!BQ48-CONTADORES!BQ47)</f>
        <v>0</v>
      </c>
      <c r="BS54" s="1450">
        <f ca="1">IF(B54&gt;=$J$5,0,(CONTADORES!BT48-CONTADORES!BT47)+(CONTADORES!BV48-CONTADORES!BV47))/1000</f>
        <v>1.3959999999999999</v>
      </c>
      <c r="BT54" s="1479">
        <f ca="1">IF(B54&gt;=$J$5,0,(CONTADORES!BU48-CONTADORES!BU47)+(CONTADORES!BW48-CONTADORES!BW47))/1000</f>
        <v>0.78600000000000003</v>
      </c>
      <c r="BU54" s="1450">
        <f ca="1">IF(B54&gt;=$J$5,0,CONTADORES!BR48-CONTADORES!BR47)</f>
        <v>6.4000000000005457</v>
      </c>
      <c r="BV54" s="1479">
        <f ca="1">IF(B54&gt;=$J$5,0,CONTADORES!BS48-CONTADORES!BS47)</f>
        <v>4.3999999999996362</v>
      </c>
      <c r="BW54" s="1479">
        <f t="shared" ca="1" si="16"/>
        <v>11.534000000000907</v>
      </c>
      <c r="BX54" s="1479">
        <f t="shared" ca="1" si="17"/>
        <v>8.1850000000002048</v>
      </c>
      <c r="BY54" s="1479">
        <f t="shared" ca="1" si="18"/>
        <v>5.1340000000003609</v>
      </c>
      <c r="BZ54" s="1479">
        <f t="shared" ca="1" si="19"/>
        <v>1.0815999999997818</v>
      </c>
      <c r="CA54" s="1479">
        <f t="shared" ca="1" si="20"/>
        <v>5.1340000000003609</v>
      </c>
      <c r="CB54" s="1479">
        <f t="shared" ca="1" si="21"/>
        <v>1.6223999999996725</v>
      </c>
      <c r="CC54" s="1479">
        <f t="shared" ca="1" si="22"/>
        <v>2.4775999999997818</v>
      </c>
      <c r="CD54" s="1479">
        <f t="shared" ca="1" si="23"/>
        <v>3.7850000000005686</v>
      </c>
      <c r="CE54" s="1479">
        <f ca="1">IF(B54&gt;=$J$5,0,CONTADORES!BS48-CONTADORES!BS47)</f>
        <v>4.3999999999996362</v>
      </c>
      <c r="CF54" s="1479">
        <f t="shared" ca="1" si="24"/>
        <v>3.7850000000005686</v>
      </c>
      <c r="CG54" s="1479">
        <f t="shared" ca="1" si="25"/>
        <v>0.25699999999997725</v>
      </c>
      <c r="CH54" s="1479">
        <f t="shared" ca="1" si="26"/>
        <v>0.25699999999997725</v>
      </c>
      <c r="CI54" s="1479">
        <f t="shared" ca="1" si="27"/>
        <v>1.0429999999999773</v>
      </c>
      <c r="CJ54" s="1480">
        <f ca="1">IF($B54&gt;=$J$5,0,CONTADORES!$BG48)</f>
        <v>9818.4976379616601</v>
      </c>
      <c r="CK54" s="1384">
        <f>CONTADORES!E48</f>
        <v>0</v>
      </c>
      <c r="CL54" s="1384">
        <f>CONTADORES!BX48</f>
        <v>0</v>
      </c>
    </row>
    <row r="55" spans="2:90">
      <c r="B55" s="220">
        <v>44971</v>
      </c>
      <c r="C55" s="204">
        <f t="shared" ca="1" si="0"/>
        <v>282</v>
      </c>
      <c r="D55" s="202">
        <f ca="1">'CALCULO DE GAS'!D51</f>
        <v>4.7759365249376557</v>
      </c>
      <c r="E55" s="202">
        <f ca="1">IF(B55&gt;=$J$5,0,(CONTADORES!$AB49-CONTADORES!$AB48)-$H55)</f>
        <v>24</v>
      </c>
      <c r="F55" s="204">
        <f t="shared" ca="1" si="29"/>
        <v>0</v>
      </c>
      <c r="G55" s="202">
        <f ca="1">IF(B55&gt;=$J$5,0,CONTADORES!$AD49-CONTADORES!$AD48)</f>
        <v>0</v>
      </c>
      <c r="H55" s="1437">
        <f ca="1">IF(G55&gt;0,CONTADORES!$AC49-CONTADORES!$AC48,0)</f>
        <v>0</v>
      </c>
      <c r="I55" s="205">
        <f ca="1">IF(B55&gt;=$J$5,0,CONTADORES!$Z49-CONTADORES!$Z48)</f>
        <v>282</v>
      </c>
      <c r="J55" s="204">
        <f t="shared" ca="1" si="2"/>
        <v>150.70000000000073</v>
      </c>
      <c r="K55" s="202">
        <f ca="1">'CALCULO DE GAS'!E51</f>
        <v>3.705235776807986</v>
      </c>
      <c r="L55" s="1437">
        <f ca="1">IF(B55&gt;=$J$5,0,(CONTADORES!$W49-CONTADORES!$W48)-$O55)</f>
        <v>24</v>
      </c>
      <c r="M55" s="1437">
        <f t="shared" ca="1" si="31"/>
        <v>0</v>
      </c>
      <c r="N55" s="1437">
        <f ca="1">IF(B55&gt;=$J$5,0,CONTADORES!$Y49-CONTADORES!Y48)</f>
        <v>0</v>
      </c>
      <c r="O55" s="1437">
        <f ca="1">IF(N55&gt;0,CONTADORES!$X49-CONTADORES!$X48,0)</f>
        <v>0</v>
      </c>
      <c r="P55" s="208">
        <f ca="1">IF(B55&gt;=$J$5,0,CONTADORES!$U49-CONTADORES!$U48)</f>
        <v>150.70000000000073</v>
      </c>
      <c r="Q55" s="208">
        <f ca="1">IF(B55&gt;=$J$5,0,CONTADORES!$B49-CONTADORES!$B48)</f>
        <v>0</v>
      </c>
      <c r="R55" s="202">
        <f t="shared" ca="1" si="4"/>
        <v>0</v>
      </c>
      <c r="S55" s="11">
        <f ca="1">IF(B55&gt;=$J$5,0,CONTADORES!$D49-CONTADORES!$D48)</f>
        <v>0</v>
      </c>
      <c r="T55" s="204">
        <f ca="1">IF(B55&gt;=$J$5,0,CONTADORES!$AZ49-CONTADORES!$AZ48)</f>
        <v>0</v>
      </c>
      <c r="U55" s="202">
        <f t="shared" ca="1" si="30"/>
        <v>0</v>
      </c>
      <c r="V55" s="205">
        <f ca="1">IF(B55&gt;=$J$5,0,CONTADORES!$BB49-CONTADORES!$BB48)</f>
        <v>0</v>
      </c>
      <c r="W55" s="1438">
        <f t="shared" ca="1" si="6"/>
        <v>432.70000000000073</v>
      </c>
      <c r="X55" s="1438">
        <f t="shared" ca="1" si="7"/>
        <v>0</v>
      </c>
      <c r="Y55" s="1439">
        <f t="shared" ca="1" si="8"/>
        <v>432.70000000000073</v>
      </c>
      <c r="Z55" s="1439">
        <f t="shared" ca="1" si="9"/>
        <v>8.4811723017456409</v>
      </c>
      <c r="AA55" s="1439">
        <f t="shared" ca="1" si="10"/>
        <v>0</v>
      </c>
      <c r="AB55" s="1439">
        <f t="shared" ca="1" si="11"/>
        <v>48</v>
      </c>
      <c r="AC55" s="1438">
        <f t="shared" ca="1" si="12"/>
        <v>0</v>
      </c>
      <c r="AD55" s="1438">
        <f ca="1">IF(B55=$J$5,0,CONTADORES!H49-CONTADORES!H48)</f>
        <v>162.09999999997672</v>
      </c>
      <c r="AE55" s="1438">
        <f ca="1">IF(B55=$J$5,0,CONTADORES!J49-CONTADORES!J48)</f>
        <v>24</v>
      </c>
      <c r="AF55" s="1438">
        <f ca="1">IF(B55=$J$5,0,CONTADORES!AS49-CONTADORES!AS48)</f>
        <v>138</v>
      </c>
      <c r="AG55" s="1438">
        <f ca="1">IF(B55=$J$5,0,CONTADORES!AU49-CONTADORES!AU48)</f>
        <v>24</v>
      </c>
      <c r="AH55" s="1438">
        <f ca="1">IF(B55=$J$5,0,(CONTADORES!AK49-CONTADORES!AK48)+(CONTADORES!K49-CONTADORES!K48))</f>
        <v>7.9000000000014552</v>
      </c>
      <c r="AI55" s="1438">
        <f ca="1">IF(B55=$J$5,0,(CONTADORES!AI49-CONTADORES!AI48)+(CONTADORES!M49-CONTADORES!M48))</f>
        <v>40.900000000008731</v>
      </c>
      <c r="AJ55" s="1438">
        <f ca="1">IF(B55=$J$5,0,(CONTADORES!AG49-CONTADORES!AG48))</f>
        <v>7.3000000000029104</v>
      </c>
      <c r="AK55" s="1438">
        <f ca="1">IF(B55=$J$5,0,(CONTADORES!O49-CONTADORES!O48))</f>
        <v>15.299999999988358</v>
      </c>
      <c r="AL55" s="1438">
        <f t="shared" ca="1" si="13"/>
        <v>34.300000000021043</v>
      </c>
      <c r="AM55" s="1438">
        <f ca="1">IF(B55&gt;=$J$5,0,(((CONTADORES!F49-CONTADORES!F48)+(CONTADORES!AO49-CONTADORES!AO48))))-BJ55-AF55-AN55-BM55-BP55-BU55-BS55</f>
        <v>10.32900000000218</v>
      </c>
      <c r="AN55" s="1438">
        <f ca="1">IF(B55=$J$5,0,(CONTADORES!AV49-CONTADORES!AV48)+(CONTADORES!AX49-CONTADORES!AX48)+(CONTADORES!BC49-CONTADORES!BC48))-BS55</f>
        <v>2.2480000000000002</v>
      </c>
      <c r="AO55" s="1478">
        <f ca="1">IF(B55&gt;=$J$5,0,(CONTADORES!AA49-CONTADORES!AA48))</f>
        <v>144</v>
      </c>
      <c r="AP55" s="1478">
        <f ca="1">IF(B55&gt;=$J$5,0,(CONTADORES!V49-CONTADORES!V48))</f>
        <v>79.5</v>
      </c>
      <c r="AQ55" s="1474">
        <f ca="1">IF(B55&gt;=$J$5,0,(CONTADORES!C49-CONTADORES!C48))</f>
        <v>0</v>
      </c>
      <c r="AR55" s="1440">
        <f ca="1">IF(B55&gt;=$J$5,0,(CONTADORES!BA49-CONTADORES!BA48))</f>
        <v>0</v>
      </c>
      <c r="AS55" s="1438">
        <f ca="1">IF(B55=$J$5,0,CONTADORES!Q49-CONTADORES!Q48)</f>
        <v>17</v>
      </c>
      <c r="AT55" s="1438">
        <f ca="1">IF(B55=$J$5,0,(CONTADORES!S49-CONTADORES!S48)+(CONTADORES!AE49-CONTADORES!AE48))</f>
        <v>2.0999999999985448</v>
      </c>
      <c r="AU55" s="1438">
        <f>CONTADORES!I49-CONTADORES!I48</f>
        <v>84.200000000011642</v>
      </c>
      <c r="AV55" s="1438">
        <f>CONTADORES!AT49-CONTADORES!AT48</f>
        <v>60</v>
      </c>
      <c r="AW55" s="1438">
        <f ca="1">IF(B55&gt;=$J$5,0,(CONTADORES!L49-CONTADORES!L48)+(CONTADORES!AL49-CONTADORES!AL48))</f>
        <v>3</v>
      </c>
      <c r="AX55" s="1438">
        <f ca="1">IF(B55&gt;=$J$5,0,(CONTADORES!N49-CONTADORES!N48)+(CONTADORES!AJ49-CONTADORES!AJ48))</f>
        <v>32.900000000001455</v>
      </c>
      <c r="AY55" s="1438">
        <f ca="1">IF(B55&gt;=$J$5,0,(CONTADORES!AH49-CONTADORES!AH48))</f>
        <v>5.8000000000029104</v>
      </c>
      <c r="AZ55" s="1438">
        <f ca="1">IF(B55&gt;=$J$5,0,(CONTADORES!P49-CONTADORES!P48))</f>
        <v>12.600000000005821</v>
      </c>
      <c r="BA55" s="1438">
        <f t="shared" ca="1" si="14"/>
        <v>11.130999999978712</v>
      </c>
      <c r="BB55" s="1438">
        <f ca="1">IF(B55&gt;=$J$5,0,(((CONTADORES!G49-CONTADORES!G48)+(CONTADORES!AP49-CONTADORES!AP48))))-AV55-BC55-BK55-BN55-BQ55-BV55</f>
        <v>8.1469999999989096</v>
      </c>
      <c r="BC55" s="1794">
        <f ca="1">IF(B55&gt;=$J$5,0,(CONTADORES!AW49-CONTADORES!AW48)+(CONTADORES!AY49-CONTADORES!AY48)+(CONTADORES!BD49-CONTADORES!BD48))-BT55</f>
        <v>0.23099999999999998</v>
      </c>
      <c r="BD55" s="1438">
        <f t="shared" ca="1" si="15"/>
        <v>223.5</v>
      </c>
      <c r="BE55" s="1439">
        <f ca="1">IF($B55&gt;=$J$5,0,CONTADORES!$BE49)</f>
        <v>6892.84</v>
      </c>
      <c r="BF55" s="1438">
        <f ca="1">IF($B55&gt;=$J$5,0,CONTADORES!$BF49)</f>
        <v>27798.982456140398</v>
      </c>
      <c r="BG55" s="1438">
        <f ca="1">IF($B55&gt;=$J$5,0,CONTADORES!$BH49)</f>
        <v>6072.47</v>
      </c>
      <c r="BH55" s="1438">
        <f ca="1">IF(B55&gt;=$J$5,0,(CONTADORES!AQ49-CONTADORES!AQ48))</f>
        <v>6.0999999999985448</v>
      </c>
      <c r="BI55" s="1438">
        <f ca="1">IF(B55&gt;=$J$5,0,(CONTADORES!AR49-CONTADORES!AR48))</f>
        <v>0</v>
      </c>
      <c r="BJ55" s="1450">
        <f ca="1">IF(B55&gt;=$J$5,0,CONTADORES!BI49-CONTADORES!BI48)/1000</f>
        <v>0</v>
      </c>
      <c r="BK55" s="1479">
        <f ca="1">IF(B55&gt;=$J$5,0,CONTADORES!BJ49-CONTADORES!BJ48)</f>
        <v>0</v>
      </c>
      <c r="BL55" s="1479">
        <f ca="1">IF(B55&gt;=$J$5,0,CONTADORES!BK49-CONTADORES!BK48)</f>
        <v>0</v>
      </c>
      <c r="BM55" s="1479">
        <f ca="1">IF(B55&gt;=$J$5,0,CONTADORES!BL49-CONTADORES!BL48)/1000</f>
        <v>5.5190000000000001</v>
      </c>
      <c r="BN55" s="1479">
        <f ca="1">IF(B55&gt;=$J$5,0,CONTADORES!BM49-CONTADORES!BM48)/1000</f>
        <v>0.29299999999999998</v>
      </c>
      <c r="BO55" s="1479">
        <f ca="1">IF(B55&gt;=$J$5,0,CONTADORES!BN49-CONTADORES!BN48)</f>
        <v>23.970000000001164</v>
      </c>
      <c r="BP55" s="1479">
        <f ca="1">IF(B55&gt;=$J$5,0,CONTADORES!BO49-CONTADORES!BO48)/1000</f>
        <v>1.252</v>
      </c>
      <c r="BQ55" s="1479">
        <f ca="1">IF(B55&gt;=$J$5,0,CONTADORES!BP49-CONTADORES!BP48)/1000</f>
        <v>2.9000000000000001E-2</v>
      </c>
      <c r="BR55" s="1479">
        <f ca="1">IF(B55&gt;=$J$5,0,CONTADORES!BQ49-CONTADORES!BQ48)</f>
        <v>3.5799999999999272</v>
      </c>
      <c r="BS55" s="1450">
        <f ca="1">IF(B55&gt;=$J$5,0,(CONTADORES!BT49-CONTADORES!BT48)+(CONTADORES!BV49-CONTADORES!BV48))/1000</f>
        <v>1.252</v>
      </c>
      <c r="BT55" s="1479">
        <f ca="1">IF(B55&gt;=$J$5,0,(CONTADORES!BU49-CONTADORES!BU48)+(CONTADORES!BW49-CONTADORES!BW48))/1000</f>
        <v>0.76900000000000002</v>
      </c>
      <c r="BU55" s="1450">
        <f ca="1">IF(B55&gt;=$J$5,0,CONTADORES!BR49-CONTADORES!BR48)</f>
        <v>6.2999999999992724</v>
      </c>
      <c r="BV55" s="1479">
        <f ca="1">IF(B55&gt;=$J$5,0,CONTADORES!BS49-CONTADORES!BS48)</f>
        <v>4.4000000000005457</v>
      </c>
      <c r="BW55" s="1479">
        <f t="shared" ca="1" si="16"/>
        <v>11.464500000000363</v>
      </c>
      <c r="BX55" s="1479">
        <f t="shared" ca="1" si="17"/>
        <v>8.4735000000000014</v>
      </c>
      <c r="BY55" s="1479">
        <f t="shared" ca="1" si="18"/>
        <v>5.1645000000010901</v>
      </c>
      <c r="BZ55" s="1479">
        <f t="shared" ca="1" si="19"/>
        <v>0.89920000000000011</v>
      </c>
      <c r="CA55" s="1479">
        <f t="shared" ca="1" si="20"/>
        <v>5.1645000000010901</v>
      </c>
      <c r="CB55" s="1479">
        <f t="shared" ca="1" si="21"/>
        <v>1.3488000000000002</v>
      </c>
      <c r="CC55" s="1479">
        <f t="shared" ca="1" si="22"/>
        <v>2.1512000000000002</v>
      </c>
      <c r="CD55" s="1479">
        <f t="shared" ca="1" si="23"/>
        <v>4.0734999999994548</v>
      </c>
      <c r="CE55" s="1479">
        <f ca="1">IF(B55&gt;=$J$5,0,CONTADORES!BS49-CONTADORES!BS48)</f>
        <v>4.4000000000005457</v>
      </c>
      <c r="CF55" s="1479">
        <f t="shared" ca="1" si="24"/>
        <v>4.0734999999994548</v>
      </c>
      <c r="CG55" s="1479">
        <f t="shared" ca="1" si="25"/>
        <v>0.11549999999999999</v>
      </c>
      <c r="CH55" s="1479">
        <f t="shared" ca="1" si="26"/>
        <v>0.11549999999999999</v>
      </c>
      <c r="CI55" s="1479">
        <f t="shared" ca="1" si="27"/>
        <v>0.88450000000000006</v>
      </c>
      <c r="CJ55" s="1480">
        <f ca="1">IF($B55&gt;=$J$5,0,CONTADORES!$BG49)</f>
        <v>8947.9282226988398</v>
      </c>
      <c r="CK55" s="1384">
        <f>CONTADORES!E49</f>
        <v>0</v>
      </c>
      <c r="CL55" s="1384">
        <f>CONTADORES!BX49</f>
        <v>0</v>
      </c>
    </row>
    <row r="56" spans="2:90">
      <c r="B56" s="220">
        <v>44972</v>
      </c>
      <c r="C56" s="204">
        <f t="shared" ca="1" si="0"/>
        <v>300</v>
      </c>
      <c r="D56" s="202">
        <f ca="1">'CALCULO DE GAS'!D52</f>
        <v>4.9227195673316713</v>
      </c>
      <c r="E56" s="202">
        <f ca="1">IF(B56&gt;=$J$5,0,(CONTADORES!$AB50-CONTADORES!$AB49)-$H56)</f>
        <v>24</v>
      </c>
      <c r="F56" s="204">
        <f t="shared" ca="1" si="29"/>
        <v>0</v>
      </c>
      <c r="G56" s="202">
        <f ca="1">IF(B56&gt;=$J$5,0,CONTADORES!$AD50-CONTADORES!$AD49)</f>
        <v>0</v>
      </c>
      <c r="H56" s="1437">
        <f ca="1">IF(G56&gt;0,CONTADORES!$AC50-CONTADORES!$AC49,0)</f>
        <v>0</v>
      </c>
      <c r="I56" s="205">
        <f ca="1">IF(B56&gt;=$J$5,0,CONTADORES!$Z50-CONTADORES!$Z49)</f>
        <v>300</v>
      </c>
      <c r="J56" s="204">
        <f t="shared" ca="1" si="2"/>
        <v>150.70000000000073</v>
      </c>
      <c r="K56" s="202">
        <f ca="1">'CALCULO DE GAS'!E52</f>
        <v>3.705235776807986</v>
      </c>
      <c r="L56" s="1437">
        <f ca="1">IF(B56&gt;=$J$5,0,(CONTADORES!$W50-CONTADORES!$W49)-$O56)</f>
        <v>24</v>
      </c>
      <c r="M56" s="1437">
        <f t="shared" ca="1" si="31"/>
        <v>0</v>
      </c>
      <c r="N56" s="1437">
        <f ca="1">IF(B56&gt;=$J$5,0,CONTADORES!$Y50-CONTADORES!Y49)</f>
        <v>0</v>
      </c>
      <c r="O56" s="1437">
        <f ca="1">IF(N56&gt;0,CONTADORES!$X50-CONTADORES!$X49,0)</f>
        <v>0</v>
      </c>
      <c r="P56" s="208">
        <f ca="1">IF(B56&gt;=$J$5,0,CONTADORES!$U50-CONTADORES!$U49)</f>
        <v>150.70000000000073</v>
      </c>
      <c r="Q56" s="208">
        <f ca="1">IF(B56&gt;=$J$5,0,CONTADORES!$B50-CONTADORES!$B49)</f>
        <v>0</v>
      </c>
      <c r="R56" s="202">
        <f t="shared" ca="1" si="4"/>
        <v>0</v>
      </c>
      <c r="S56" s="11">
        <f ca="1">IF(B56&gt;=$J$5,0,CONTADORES!$D50-CONTADORES!$D49)</f>
        <v>0</v>
      </c>
      <c r="T56" s="204">
        <f ca="1">IF(B56&gt;=$J$5,0,CONTADORES!$AZ50-CONTADORES!$AZ49)</f>
        <v>0</v>
      </c>
      <c r="U56" s="202">
        <f t="shared" ca="1" si="30"/>
        <v>0</v>
      </c>
      <c r="V56" s="205">
        <f ca="1">IF(B56&gt;=$J$5,0,CONTADORES!$BB50-CONTADORES!$BB49)</f>
        <v>0</v>
      </c>
      <c r="W56" s="1438">
        <f t="shared" ca="1" si="6"/>
        <v>450.70000000000073</v>
      </c>
      <c r="X56" s="1438">
        <f t="shared" ca="1" si="7"/>
        <v>0</v>
      </c>
      <c r="Y56" s="1439">
        <f t="shared" ca="1" si="8"/>
        <v>450.70000000000073</v>
      </c>
      <c r="Z56" s="1439">
        <f t="shared" ca="1" si="9"/>
        <v>8.6279553441396573</v>
      </c>
      <c r="AA56" s="1439">
        <f t="shared" ca="1" si="10"/>
        <v>0</v>
      </c>
      <c r="AB56" s="1439">
        <f t="shared" ca="1" si="11"/>
        <v>48</v>
      </c>
      <c r="AC56" s="1438">
        <f t="shared" ca="1" si="12"/>
        <v>0</v>
      </c>
      <c r="AD56" s="1438">
        <f ca="1">IF(B56=$J$5,0,CONTADORES!H50-CONTADORES!H49)</f>
        <v>163.90000000002328</v>
      </c>
      <c r="AE56" s="1438">
        <f ca="1">IF(B56=$J$5,0,CONTADORES!J50-CONTADORES!J49)</f>
        <v>24</v>
      </c>
      <c r="AF56" s="1438">
        <f ca="1">IF(B56=$J$5,0,CONTADORES!AS50-CONTADORES!AS49)</f>
        <v>146</v>
      </c>
      <c r="AG56" s="1438">
        <f ca="1">IF(B56=$J$5,0,CONTADORES!AU50-CONTADORES!AU49)</f>
        <v>24</v>
      </c>
      <c r="AH56" s="1438">
        <f ca="1">IF(B56=$J$5,0,(CONTADORES!AK50-CONTADORES!AK49)+(CONTADORES!K50-CONTADORES!K49))</f>
        <v>8.5999999999985448</v>
      </c>
      <c r="AI56" s="1438">
        <f ca="1">IF(B56=$J$5,0,(CONTADORES!AI50-CONTADORES!AI49)+(CONTADORES!M50-CONTADORES!M49))</f>
        <v>47.099999999998545</v>
      </c>
      <c r="AJ56" s="1438">
        <f ca="1">IF(B56=$J$5,0,(CONTADORES!AG50-CONTADORES!AG49))</f>
        <v>7.1999999999970896</v>
      </c>
      <c r="AK56" s="1438">
        <f ca="1">IF(B56=$J$5,0,(CONTADORES!O50-CONTADORES!O49))</f>
        <v>16.600000000005821</v>
      </c>
      <c r="AL56" s="1438">
        <f t="shared" ca="1" si="13"/>
        <v>32.299999999966531</v>
      </c>
      <c r="AM56" s="1438">
        <f ca="1">IF(B56&gt;=$J$5,0,(((CONTADORES!F50-CONTADORES!F49)+(CONTADORES!AO50-CONTADORES!AO49))))-BJ56-AF56-AN56-BM56-BP56-BU56-BS56</f>
        <v>9.8590000000098215</v>
      </c>
      <c r="AN56" s="1438">
        <f ca="1">IF(B56=$J$5,0,(CONTADORES!AV50-CONTADORES!AV49)+(CONTADORES!AX50-CONTADORES!AX49)+(CONTADORES!BC50-CONTADORES!BC49))-BS56</f>
        <v>2.7900000000005454</v>
      </c>
      <c r="AO56" s="1478">
        <f ca="1">IF(B56&gt;=$J$5,0,(CONTADORES!AA50-CONTADORES!AA49))</f>
        <v>150</v>
      </c>
      <c r="AP56" s="1478">
        <f ca="1">IF(B56&gt;=$J$5,0,(CONTADORES!V50-CONTADORES!V49))</f>
        <v>84.600000000000364</v>
      </c>
      <c r="AQ56" s="1474">
        <f ca="1">IF(B56&gt;=$J$5,0,(CONTADORES!C50-CONTADORES!C49))</f>
        <v>0</v>
      </c>
      <c r="AR56" s="1440">
        <f ca="1">IF(B56&gt;=$J$5,0,(CONTADORES!BA50-CONTADORES!BA49))</f>
        <v>0</v>
      </c>
      <c r="AS56" s="1438">
        <f ca="1">IF(B56=$J$5,0,CONTADORES!Q50-CONTADORES!Q49)</f>
        <v>18.899999999994179</v>
      </c>
      <c r="AT56" s="1438">
        <f ca="1">IF(B56=$J$5,0,(CONTADORES!S50-CONTADORES!S49)+(CONTADORES!AE50-CONTADORES!AE49))</f>
        <v>2.2000000000043656</v>
      </c>
      <c r="AU56" s="1438">
        <f>CONTADORES!I50-CONTADORES!I49</f>
        <v>83.799999999988358</v>
      </c>
      <c r="AV56" s="1438">
        <f>CONTADORES!AT50-CONTADORES!AT49</f>
        <v>63</v>
      </c>
      <c r="AW56" s="1438">
        <f ca="1">IF(B56&gt;=$J$5,0,(CONTADORES!L50-CONTADORES!L49)+(CONTADORES!AL50-CONTADORES!AL49))</f>
        <v>3.5</v>
      </c>
      <c r="AX56" s="1438">
        <f ca="1">IF(B56&gt;=$J$5,0,(CONTADORES!N50-CONTADORES!N49)+(CONTADORES!AJ50-CONTADORES!AJ49))</f>
        <v>36.899999999994179</v>
      </c>
      <c r="AY56" s="1438">
        <f ca="1">IF(B56&gt;=$J$5,0,(CONTADORES!AH50-CONTADORES!AH49))</f>
        <v>5.5</v>
      </c>
      <c r="AZ56" s="1438">
        <f ca="1">IF(B56&gt;=$J$5,0,(CONTADORES!P50-CONTADORES!P49))</f>
        <v>14.19999999999709</v>
      </c>
      <c r="BA56" s="1438">
        <f t="shared" ca="1" si="14"/>
        <v>11.748000000020369</v>
      </c>
      <c r="BB56" s="1438">
        <f ca="1">IF(B56&gt;=$J$5,0,(((CONTADORES!G50-CONTADORES!G49)+(CONTADORES!AP50-CONTADORES!AP49))))-AV56-BC56-BK56-BN56-BQ56-BV56</f>
        <v>9.689000000000636</v>
      </c>
      <c r="BC56" s="1794">
        <f ca="1">IF(B56&gt;=$J$5,0,(CONTADORES!AW50-CONTADORES!AW49)+(CONTADORES!AY50-CONTADORES!AY49)+(CONTADORES!BD50-CONTADORES!BD49))-BT56</f>
        <v>0.54800000000009097</v>
      </c>
      <c r="BD56" s="1438">
        <f t="shared" ca="1" si="15"/>
        <v>234.60000000000036</v>
      </c>
      <c r="BE56" s="1439">
        <f ca="1">IF($B56&gt;=$J$5,0,CONTADORES!$BE50)</f>
        <v>7153.098</v>
      </c>
      <c r="BF56" s="1438">
        <f ca="1">IF($B56&gt;=$J$5,0,CONTADORES!$BF50)</f>
        <v>32491.8083040936</v>
      </c>
      <c r="BG56" s="1438">
        <f ca="1">IF($B56&gt;=$J$5,0,CONTADORES!$BH50)</f>
        <v>5523.58</v>
      </c>
      <c r="BH56" s="1438">
        <f ca="1">IF(B56&gt;=$J$5,0,(CONTADORES!AQ50-CONTADORES!AQ49))</f>
        <v>5.3000000000029104</v>
      </c>
      <c r="BI56" s="1438">
        <f ca="1">IF(B56&gt;=$J$5,0,(CONTADORES!AR50-CONTADORES!AR49))</f>
        <v>0</v>
      </c>
      <c r="BJ56" s="1450">
        <f ca="1">IF(B56&gt;=$J$5,0,CONTADORES!BI50-CONTADORES!BI49)/1000</f>
        <v>0</v>
      </c>
      <c r="BK56" s="1479">
        <f ca="1">IF(B56&gt;=$J$5,0,CONTADORES!BJ50-CONTADORES!BJ49)</f>
        <v>0</v>
      </c>
      <c r="BL56" s="1479">
        <f ca="1">IF(B56&gt;=$J$5,0,CONTADORES!BK50-CONTADORES!BK49)</f>
        <v>0</v>
      </c>
      <c r="BM56" s="1479">
        <f ca="1">IF(B56&gt;=$J$5,0,CONTADORES!BL50-CONTADORES!BL49)/1000</f>
        <v>4.6399999999999997</v>
      </c>
      <c r="BN56" s="1479">
        <f ca="1">IF(B56&gt;=$J$5,0,CONTADORES!BM50-CONTADORES!BM49)/1000</f>
        <v>0.42199999999999999</v>
      </c>
      <c r="BO56" s="1479">
        <f ca="1">IF(B56&gt;=$J$5,0,CONTADORES!BN50-CONTADORES!BN49)</f>
        <v>24.029999999998836</v>
      </c>
      <c r="BP56" s="1479">
        <f ca="1">IF(B56&gt;=$J$5,0,CONTADORES!BO50-CONTADORES!BO49)/1000</f>
        <v>3.7010000000000001</v>
      </c>
      <c r="BQ56" s="1479">
        <f ca="1">IF(B56&gt;=$J$5,0,CONTADORES!BP50-CONTADORES!BP49)/1000</f>
        <v>4.1000000000000002E-2</v>
      </c>
      <c r="BR56" s="1479">
        <f ca="1">IF(B56&gt;=$J$5,0,CONTADORES!BQ50-CONTADORES!BQ49)</f>
        <v>24.020000000000437</v>
      </c>
      <c r="BS56" s="1450">
        <f ca="1">IF(B56&gt;=$J$5,0,(CONTADORES!BT50-CONTADORES!BT49)+(CONTADORES!BV50-CONTADORES!BV49))/1000</f>
        <v>1.61</v>
      </c>
      <c r="BT56" s="1479">
        <f ca="1">IF(B56&gt;=$J$5,0,(CONTADORES!BU50-CONTADORES!BU49)+(CONTADORES!BW50-CONTADORES!BW49))/1000</f>
        <v>0.85199999999999998</v>
      </c>
      <c r="BU56" s="1450">
        <f ca="1">IF(B56&gt;=$J$5,0,CONTADORES!BR50-CONTADORES!BR49)</f>
        <v>6.4000000000005457</v>
      </c>
      <c r="BV56" s="1479">
        <f ca="1">IF(B56&gt;=$J$5,0,CONTADORES!BS50-CONTADORES!BS49)</f>
        <v>4.3999999999996362</v>
      </c>
      <c r="BW56" s="1479">
        <f t="shared" ca="1" si="16"/>
        <v>11.329500000005456</v>
      </c>
      <c r="BX56" s="1479">
        <f t="shared" ca="1" si="17"/>
        <v>9.2444999999999542</v>
      </c>
      <c r="BY56" s="1479">
        <f t="shared" ca="1" si="18"/>
        <v>4.9295000000049107</v>
      </c>
      <c r="BZ56" s="1479">
        <f t="shared" ca="1" si="19"/>
        <v>1.1160000000002182</v>
      </c>
      <c r="CA56" s="1479">
        <f t="shared" ca="1" si="20"/>
        <v>4.9295000000049107</v>
      </c>
      <c r="CB56" s="1479">
        <f t="shared" ca="1" si="21"/>
        <v>1.6740000000003272</v>
      </c>
      <c r="CC56" s="1479">
        <f t="shared" ca="1" si="22"/>
        <v>2.7260000000002185</v>
      </c>
      <c r="CD56" s="1479">
        <f t="shared" ca="1" si="23"/>
        <v>4.844500000000318</v>
      </c>
      <c r="CE56" s="1479">
        <f ca="1">IF(B56&gt;=$J$5,0,CONTADORES!BS50-CONTADORES!BS49)</f>
        <v>4.3999999999996362</v>
      </c>
      <c r="CF56" s="1479">
        <f t="shared" ca="1" si="24"/>
        <v>4.844500000000318</v>
      </c>
      <c r="CG56" s="1479">
        <f t="shared" ca="1" si="25"/>
        <v>0.27400000000004548</v>
      </c>
      <c r="CH56" s="1479">
        <f t="shared" ca="1" si="26"/>
        <v>0.27400000000004548</v>
      </c>
      <c r="CI56" s="1479">
        <f t="shared" ca="1" si="27"/>
        <v>1.1260000000000454</v>
      </c>
      <c r="CJ56" s="1480">
        <f ca="1">IF($B56&gt;=$J$5,0,CONTADORES!$BG50)</f>
        <v>9285.1872640038291</v>
      </c>
      <c r="CK56" s="1384">
        <f>CONTADORES!E50</f>
        <v>0</v>
      </c>
      <c r="CL56" s="1384">
        <f>CONTADORES!BX50</f>
        <v>0</v>
      </c>
    </row>
    <row r="57" spans="2:90">
      <c r="B57" s="220">
        <v>44973</v>
      </c>
      <c r="C57" s="204">
        <f t="shared" ca="1" si="0"/>
        <v>290</v>
      </c>
      <c r="D57" s="202">
        <f ca="1">'CALCULO DE GAS'!D53</f>
        <v>4.8411734326683291</v>
      </c>
      <c r="E57" s="202">
        <f ca="1">IF(B57&gt;=$J$5,0,(CONTADORES!$AB51-CONTADORES!$AB50)-$H57)</f>
        <v>24</v>
      </c>
      <c r="F57" s="204">
        <f t="shared" ca="1" si="29"/>
        <v>0</v>
      </c>
      <c r="G57" s="202">
        <f ca="1">IF(B57&gt;=$J$5,0,CONTADORES!$AD51-CONTADORES!$AD50)</f>
        <v>0</v>
      </c>
      <c r="H57" s="1437">
        <f ca="1">IF(G57&gt;0,CONTADORES!$AC51-CONTADORES!$AC50,0)</f>
        <v>0</v>
      </c>
      <c r="I57" s="205">
        <f ca="1">IF(B57&gt;=$J$5,0,CONTADORES!$Z51-CONTADORES!$Z50)</f>
        <v>290</v>
      </c>
      <c r="J57" s="204">
        <f t="shared" ca="1" si="2"/>
        <v>145.69999999999709</v>
      </c>
      <c r="K57" s="202">
        <f ca="1">'CALCULO DE GAS'!E53</f>
        <v>3.6644627094762852</v>
      </c>
      <c r="L57" s="1437">
        <f ca="1">IF(B57&gt;=$J$5,0,(CONTADORES!$W51-CONTADORES!$W50)-$O57)</f>
        <v>24</v>
      </c>
      <c r="M57" s="1437">
        <f t="shared" ca="1" si="31"/>
        <v>0</v>
      </c>
      <c r="N57" s="1437">
        <f ca="1">IF(B57&gt;=$J$5,0,CONTADORES!$Y51-CONTADORES!Y50)</f>
        <v>0</v>
      </c>
      <c r="O57" s="1437">
        <f ca="1">IF(N57&gt;0,CONTADORES!$X51-CONTADORES!$X50,0)</f>
        <v>0</v>
      </c>
      <c r="P57" s="208">
        <f ca="1">IF(B57&gt;=$J$5,0,CONTADORES!$U51-CONTADORES!$U50)</f>
        <v>145.69999999999709</v>
      </c>
      <c r="Q57" s="208">
        <f ca="1">IF(B57&gt;=$J$5,0,CONTADORES!$B51-CONTADORES!$B50)</f>
        <v>0</v>
      </c>
      <c r="R57" s="202">
        <f t="shared" ca="1" si="4"/>
        <v>0</v>
      </c>
      <c r="S57" s="11">
        <f ca="1">IF(B57&gt;=$J$5,0,CONTADORES!$D51-CONTADORES!$D50)</f>
        <v>0</v>
      </c>
      <c r="T57" s="204">
        <f ca="1">IF(B57&gt;=$J$5,0,CONTADORES!$AZ51-CONTADORES!$AZ50)</f>
        <v>0</v>
      </c>
      <c r="U57" s="202">
        <f t="shared" ca="1" si="30"/>
        <v>0</v>
      </c>
      <c r="V57" s="205">
        <f ca="1">IF(B57&gt;=$J$5,0,CONTADORES!$BB51-CONTADORES!$BB50)</f>
        <v>0</v>
      </c>
      <c r="W57" s="1438">
        <f t="shared" ca="1" si="6"/>
        <v>435.69999999999709</v>
      </c>
      <c r="X57" s="1438">
        <f t="shared" ca="1" si="7"/>
        <v>0</v>
      </c>
      <c r="Y57" s="1439">
        <f t="shared" ca="1" si="8"/>
        <v>435.69999999999709</v>
      </c>
      <c r="Z57" s="1439">
        <f t="shared" ca="1" si="9"/>
        <v>8.5056361421446134</v>
      </c>
      <c r="AA57" s="1439">
        <f t="shared" ca="1" si="10"/>
        <v>0</v>
      </c>
      <c r="AB57" s="1439">
        <f t="shared" ca="1" si="11"/>
        <v>48</v>
      </c>
      <c r="AC57" s="1438">
        <f t="shared" ca="1" si="12"/>
        <v>0</v>
      </c>
      <c r="AD57" s="1438">
        <f ca="1">IF(B57=$J$5,0,CONTADORES!H51-CONTADORES!H50)</f>
        <v>158</v>
      </c>
      <c r="AE57" s="1438">
        <f ca="1">IF(B57=$J$5,0,CONTADORES!J51-CONTADORES!J50)</f>
        <v>24</v>
      </c>
      <c r="AF57" s="1438">
        <f ca="1">IF(B57=$J$5,0,CONTADORES!AS51-CONTADORES!AS50)</f>
        <v>142</v>
      </c>
      <c r="AG57" s="1438">
        <f ca="1">IF(B57=$J$5,0,CONTADORES!AU51-CONTADORES!AU50)</f>
        <v>24</v>
      </c>
      <c r="AH57" s="1438">
        <f ca="1">IF(B57=$J$5,0,(CONTADORES!AK51-CONTADORES!AK50)+(CONTADORES!K51-CONTADORES!K50))</f>
        <v>10</v>
      </c>
      <c r="AI57" s="1438">
        <f ca="1">IF(B57=$J$5,0,(CONTADORES!AI51-CONTADORES!AI50)+(CONTADORES!M51-CONTADORES!M50))</f>
        <v>43.599999999998545</v>
      </c>
      <c r="AJ57" s="1438">
        <f ca="1">IF(B57=$J$5,0,(CONTADORES!AG51-CONTADORES!AG50))</f>
        <v>6</v>
      </c>
      <c r="AK57" s="1438">
        <f ca="1">IF(B57=$J$5,0,(CONTADORES!O51-CONTADORES!O50))</f>
        <v>14.399999999994179</v>
      </c>
      <c r="AL57" s="1438">
        <f t="shared" ca="1" si="13"/>
        <v>33.400000000016007</v>
      </c>
      <c r="AM57" s="1438">
        <f ca="1">IF(B57&gt;=$J$5,0,(((CONTADORES!F51-CONTADORES!F50)+(CONTADORES!AO51-CONTADORES!AO50))))-BJ57-AF57-AN57-BM57-BP57-BU57-BS57</f>
        <v>8.8469999999882667</v>
      </c>
      <c r="AN57" s="1438">
        <f ca="1">IF(B57=$J$5,0,(CONTADORES!AV51-CONTADORES!AV50)+(CONTADORES!AX51-CONTADORES!AX50)+(CONTADORES!BC51-CONTADORES!BC50))-BS57</f>
        <v>3.7199999999999092</v>
      </c>
      <c r="AO57" s="1478">
        <f ca="1">IF(B57&gt;=$J$5,0,(CONTADORES!AA51-CONTADORES!AA50))</f>
        <v>147</v>
      </c>
      <c r="AP57" s="1478">
        <f ca="1">IF(B57&gt;=$J$5,0,(CONTADORES!V51-CONTADORES!V50))</f>
        <v>79.699999999998909</v>
      </c>
      <c r="AQ57" s="1474">
        <f ca="1">IF(B57&gt;=$J$5,0,(CONTADORES!C51-CONTADORES!C50))</f>
        <v>0</v>
      </c>
      <c r="AR57" s="1440">
        <f ca="1">IF(B57&gt;=$J$5,0,(CONTADORES!BA51-CONTADORES!BA50))</f>
        <v>0</v>
      </c>
      <c r="AS57" s="1438">
        <f ca="1">IF(B57=$J$5,0,CONTADORES!Q51-CONTADORES!Q50)</f>
        <v>17.100000000005821</v>
      </c>
      <c r="AT57" s="1438">
        <f ca="1">IF(B57=$J$5,0,(CONTADORES!S51-CONTADORES!S50)+(CONTADORES!AE51-CONTADORES!AE50))</f>
        <v>2</v>
      </c>
      <c r="AU57" s="1438">
        <f>CONTADORES!I51-CONTADORES!I50</f>
        <v>82</v>
      </c>
      <c r="AV57" s="1438">
        <f>CONTADORES!AT51-CONTADORES!AT50</f>
        <v>62</v>
      </c>
      <c r="AW57" s="1438">
        <f ca="1">IF(B57&gt;=$J$5,0,(CONTADORES!L51-CONTADORES!L50)+(CONTADORES!AL51-CONTADORES!AL50))</f>
        <v>3.9000000000014552</v>
      </c>
      <c r="AX57" s="1438">
        <f ca="1">IF(B57&gt;=$J$5,0,(CONTADORES!N51-CONTADORES!N50)+(CONTADORES!AJ51-CONTADORES!AJ50))</f>
        <v>35.100000000005821</v>
      </c>
      <c r="AY57" s="1438">
        <f ca="1">IF(B57&gt;=$J$5,0,(CONTADORES!AH51-CONTADORES!AH50))</f>
        <v>4.7999999999956344</v>
      </c>
      <c r="AZ57" s="1438">
        <f ca="1">IF(B57&gt;=$J$5,0,(CONTADORES!P51-CONTADORES!P50))</f>
        <v>11.80000000000291</v>
      </c>
      <c r="BA57" s="1438">
        <f t="shared" ca="1" si="14"/>
        <v>12.628999999993283</v>
      </c>
      <c r="BB57" s="1438">
        <f ca="1">IF(B57&gt;=$J$5,0,(((CONTADORES!G51-CONTADORES!G50)+(CONTADORES!AP51-CONTADORES!AP50))))-AV57-BC57-BK57-BN57-BQ57-BV57</f>
        <v>7.629999999999729</v>
      </c>
      <c r="BC57" s="1794">
        <f ca="1">IF(B57&gt;=$J$5,0,(CONTADORES!AW51-CONTADORES!AW50)+(CONTADORES!AY51-CONTADORES!AY50)+(CONTADORES!BD51-CONTADORES!BD50))-BT57</f>
        <v>1.4290000000002729</v>
      </c>
      <c r="BD57" s="1438">
        <f t="shared" ca="1" si="15"/>
        <v>226.69999999999891</v>
      </c>
      <c r="BE57" s="1439">
        <f ca="1">IF($B57&gt;=$J$5,0,CONTADORES!$BE51)</f>
        <v>7120.2006250000004</v>
      </c>
      <c r="BF57" s="1438">
        <f ca="1">IF($B57&gt;=$J$5,0,CONTADORES!$BF51)</f>
        <v>32720.324342105301</v>
      </c>
      <c r="BG57" s="1438">
        <f ca="1">IF($B57&gt;=$J$5,0,CONTADORES!$BH51)</f>
        <v>5267.71</v>
      </c>
      <c r="BH57" s="1438">
        <f ca="1">IF(B57&gt;=$J$5,0,(CONTADORES!AQ51-CONTADORES!AQ50))</f>
        <v>5.0999999999985448</v>
      </c>
      <c r="BI57" s="1438">
        <f ca="1">IF(B57&gt;=$J$5,0,(CONTADORES!AR51-CONTADORES!AR50))</f>
        <v>0</v>
      </c>
      <c r="BJ57" s="1450">
        <f ca="1">IF(B57&gt;=$J$5,0,CONTADORES!BI51-CONTADORES!BI50)/1000</f>
        <v>0</v>
      </c>
      <c r="BK57" s="1479">
        <f ca="1">IF(B57&gt;=$J$5,0,CONTADORES!BJ51-CONTADORES!BJ50)</f>
        <v>0</v>
      </c>
      <c r="BL57" s="1479">
        <f ca="1">IF(B57&gt;=$J$5,0,CONTADORES!BK51-CONTADORES!BK50)</f>
        <v>0</v>
      </c>
      <c r="BM57" s="1479">
        <f ca="1">IF(B57&gt;=$J$5,0,CONTADORES!BL51-CONTADORES!BL50)/1000</f>
        <v>4.5179999999999998</v>
      </c>
      <c r="BN57" s="1479">
        <f ca="1">IF(B57&gt;=$J$5,0,CONTADORES!BM51-CONTADORES!BM50)/1000</f>
        <v>0.39800000000000002</v>
      </c>
      <c r="BO57" s="1479">
        <f ca="1">IF(B57&gt;=$J$5,0,CONTADORES!BN51-CONTADORES!BN50)</f>
        <v>24</v>
      </c>
      <c r="BP57" s="1479">
        <f ca="1">IF(B57&gt;=$J$5,0,CONTADORES!BO51-CONTADORES!BO50)/1000</f>
        <v>3.5350000000000001</v>
      </c>
      <c r="BQ57" s="1479">
        <f ca="1">IF(B57&gt;=$J$5,0,CONTADORES!BP51-CONTADORES!BP50)/1000</f>
        <v>4.2999999999999997E-2</v>
      </c>
      <c r="BR57" s="1479">
        <f ca="1">IF(B57&gt;=$J$5,0,CONTADORES!BQ51-CONTADORES!BQ50)</f>
        <v>24</v>
      </c>
      <c r="BS57" s="1450">
        <f ca="1">IF(B57&gt;=$J$5,0,(CONTADORES!BT51-CONTADORES!BT50)+(CONTADORES!BV51-CONTADORES!BV50))/1000</f>
        <v>1.38</v>
      </c>
      <c r="BT57" s="1479">
        <f ca="1">IF(B57&gt;=$J$5,0,(CONTADORES!BU51-CONTADORES!BU50)+(CONTADORES!BW51-CONTADORES!BW50))/1000</f>
        <v>0.77100000000000002</v>
      </c>
      <c r="BU57" s="1450">
        <f ca="1">IF(B57&gt;=$J$5,0,CONTADORES!BR51-CONTADORES!BR50)</f>
        <v>6.3000000000001819</v>
      </c>
      <c r="BV57" s="1479">
        <f ca="1">IF(B57&gt;=$J$5,0,CONTADORES!BS51-CONTADORES!BS50)</f>
        <v>4.1999999999998181</v>
      </c>
      <c r="BW57" s="1479">
        <f t="shared" ca="1" si="16"/>
        <v>10.723499999994315</v>
      </c>
      <c r="BX57" s="1479">
        <f t="shared" ca="1" si="17"/>
        <v>8.0149999999996826</v>
      </c>
      <c r="BY57" s="1479">
        <f t="shared" ca="1" si="18"/>
        <v>4.4234999999941333</v>
      </c>
      <c r="BZ57" s="1479">
        <f t="shared" ca="1" si="19"/>
        <v>1.4879999999999638</v>
      </c>
      <c r="CA57" s="1479">
        <f t="shared" ca="1" si="20"/>
        <v>4.4234999999941333</v>
      </c>
      <c r="CB57" s="1479">
        <f t="shared" ca="1" si="21"/>
        <v>2.2319999999999451</v>
      </c>
      <c r="CC57" s="1479">
        <f t="shared" ca="1" si="22"/>
        <v>2.8679999999999639</v>
      </c>
      <c r="CD57" s="1479">
        <f t="shared" ca="1" si="23"/>
        <v>3.8149999999998645</v>
      </c>
      <c r="CE57" s="1479">
        <f ca="1">IF(B57&gt;=$J$5,0,CONTADORES!BS51-CONTADORES!BS50)</f>
        <v>4.1999999999998181</v>
      </c>
      <c r="CF57" s="1479">
        <f t="shared" ca="1" si="24"/>
        <v>3.8149999999998645</v>
      </c>
      <c r="CG57" s="1479">
        <f t="shared" ca="1" si="25"/>
        <v>0.71450000000013647</v>
      </c>
      <c r="CH57" s="1479">
        <f t="shared" ca="1" si="26"/>
        <v>0.71450000000013647</v>
      </c>
      <c r="CI57" s="1479">
        <f t="shared" ca="1" si="27"/>
        <v>1.4855000000001364</v>
      </c>
      <c r="CJ57" s="1480">
        <f ca="1">IF($B57&gt;=$J$5,0,CONTADORES!$BG51)</f>
        <v>9340.3171169910001</v>
      </c>
      <c r="CK57" s="1384">
        <f>CONTADORES!E51</f>
        <v>0</v>
      </c>
      <c r="CL57" s="1384">
        <f>CONTADORES!BX51</f>
        <v>0</v>
      </c>
    </row>
    <row r="58" spans="2:90">
      <c r="B58" s="220">
        <v>44974</v>
      </c>
      <c r="C58" s="204">
        <f t="shared" ca="1" si="0"/>
        <v>288</v>
      </c>
      <c r="D58" s="202">
        <f ca="1">'CALCULO DE GAS'!D54</f>
        <v>4.8248642057356612</v>
      </c>
      <c r="E58" s="202">
        <f ca="1">IF(B58&gt;=$J$5,0,(CONTADORES!$AB52-CONTADORES!$AB51)-$H58)</f>
        <v>24</v>
      </c>
      <c r="F58" s="204">
        <f t="shared" ca="1" si="29"/>
        <v>0</v>
      </c>
      <c r="G58" s="202">
        <f ca="1">IF(B58&gt;=$J$5,0,CONTADORES!$AD52-CONTADORES!$AD51)</f>
        <v>0</v>
      </c>
      <c r="H58" s="1437">
        <f ca="1">IF(G58&gt;0,CONTADORES!$AC52-CONTADORES!$AC51,0)</f>
        <v>0</v>
      </c>
      <c r="I58" s="205">
        <f ca="1">IF(B58&gt;=$J$5,0,CONTADORES!$Z52-CONTADORES!$Z51)</f>
        <v>288</v>
      </c>
      <c r="J58" s="204">
        <f t="shared" ca="1" si="2"/>
        <v>141.90000000000146</v>
      </c>
      <c r="K58" s="202">
        <f ca="1">'CALCULO DE GAS'!E54</f>
        <v>3.6334751783042512</v>
      </c>
      <c r="L58" s="1437">
        <f ca="1">IF(B58&gt;=$J$5,0,(CONTADORES!$W52-CONTADORES!$W51)-$O58)</f>
        <v>24</v>
      </c>
      <c r="M58" s="1437">
        <f t="shared" ca="1" si="31"/>
        <v>0</v>
      </c>
      <c r="N58" s="1437">
        <f ca="1">IF(B58&gt;=$J$5,0,CONTADORES!$Y52-CONTADORES!Y51)</f>
        <v>0</v>
      </c>
      <c r="O58" s="1437">
        <f ca="1">IF(N58&gt;0,CONTADORES!$X52-CONTADORES!$X51,0)</f>
        <v>0</v>
      </c>
      <c r="P58" s="208">
        <f ca="1">IF(B58&gt;=$J$5,0,CONTADORES!$U52-CONTADORES!$U51)</f>
        <v>141.90000000000146</v>
      </c>
      <c r="Q58" s="208">
        <f ca="1">IF(B58&gt;=$J$5,0,CONTADORES!$B52-CONTADORES!$B51)</f>
        <v>0</v>
      </c>
      <c r="R58" s="202">
        <f t="shared" ca="1" si="4"/>
        <v>0</v>
      </c>
      <c r="S58" s="11">
        <f ca="1">IF(B58&gt;=$J$5,0,CONTADORES!$D52-CONTADORES!$D51)</f>
        <v>0</v>
      </c>
      <c r="T58" s="204">
        <f ca="1">IF(B58&gt;=$J$5,0,CONTADORES!$AZ52-CONTADORES!$AZ51)</f>
        <v>0</v>
      </c>
      <c r="U58" s="202">
        <f t="shared" ca="1" si="30"/>
        <v>0</v>
      </c>
      <c r="V58" s="205">
        <f ca="1">IF(B58&gt;=$J$5,0,CONTADORES!$BB52-CONTADORES!$BB51)</f>
        <v>0</v>
      </c>
      <c r="W58" s="1438">
        <f t="shared" ca="1" si="6"/>
        <v>429.90000000000146</v>
      </c>
      <c r="X58" s="1438">
        <f t="shared" ca="1" si="7"/>
        <v>0</v>
      </c>
      <c r="Y58" s="1439">
        <f t="shared" ca="1" si="8"/>
        <v>429.90000000000146</v>
      </c>
      <c r="Z58" s="1439">
        <f t="shared" ca="1" si="9"/>
        <v>8.4583393840399133</v>
      </c>
      <c r="AA58" s="1439">
        <f t="shared" ca="1" si="10"/>
        <v>0</v>
      </c>
      <c r="AB58" s="1439">
        <f t="shared" ca="1" si="11"/>
        <v>48</v>
      </c>
      <c r="AC58" s="1438">
        <f t="shared" ca="1" si="12"/>
        <v>0</v>
      </c>
      <c r="AD58" s="1438">
        <f ca="1">IF(B58=$J$5,0,CONTADORES!H52-CONTADORES!H51)</f>
        <v>163</v>
      </c>
      <c r="AE58" s="1438">
        <f ca="1">IF(B58=$J$5,0,CONTADORES!J52-CONTADORES!J51)</f>
        <v>24</v>
      </c>
      <c r="AF58" s="1438">
        <f ca="1">IF(B58=$J$5,0,CONTADORES!AS52-CONTADORES!AS51)</f>
        <v>135</v>
      </c>
      <c r="AG58" s="1438">
        <f ca="1">IF(B58=$J$5,0,CONTADORES!AU52-CONTADORES!AU51)</f>
        <v>23</v>
      </c>
      <c r="AH58" s="1438">
        <f ca="1">IF(B58=$J$5,0,(CONTADORES!AK52-CONTADORES!AK51)+(CONTADORES!K52-CONTADORES!K51))</f>
        <v>6.7000000000043656</v>
      </c>
      <c r="AI58" s="1438">
        <f ca="1">IF(B58=$J$5,0,(CONTADORES!AI52-CONTADORES!AI51)+(CONTADORES!M52-CONTADORES!M51))</f>
        <v>39.299999999995634</v>
      </c>
      <c r="AJ58" s="1438">
        <f ca="1">IF(B58=$J$5,0,(CONTADORES!AG52-CONTADORES!AG51))</f>
        <v>8.7000000000116415</v>
      </c>
      <c r="AK58" s="1438">
        <f ca="1">IF(B58=$J$5,0,(CONTADORES!O52-CONTADORES!O51))</f>
        <v>16</v>
      </c>
      <c r="AL58" s="1438">
        <f t="shared" ca="1" si="13"/>
        <v>31.099999999991212</v>
      </c>
      <c r="AM58" s="1438">
        <f ca="1">IF(B58&gt;=$J$5,0,(((CONTADORES!F52-CONTADORES!F51)+(CONTADORES!AO52-CONTADORES!AO51))))-BJ58-AF58-AN58-BM58-BP58-BU58-BS58</f>
        <v>11.153999999998366</v>
      </c>
      <c r="AN58" s="1438">
        <f ca="1">IF(B58=$J$5,0,(CONTADORES!AV52-CONTADORES!AV51)+(CONTADORES!AX52-CONTADORES!AX51)+(CONTADORES!BC52-CONTADORES!BC51))-BS58</f>
        <v>3.4310000000001821</v>
      </c>
      <c r="AO58" s="1478">
        <f ca="1">IF(B58&gt;=$J$5,0,(CONTADORES!AA52-CONTADORES!AA51))</f>
        <v>147</v>
      </c>
      <c r="AP58" s="1478">
        <f ca="1">IF(B58&gt;=$J$5,0,(CONTADORES!V52-CONTADORES!V51))</f>
        <v>75.200000000000728</v>
      </c>
      <c r="AQ58" s="1474">
        <f ca="1">IF(B58&gt;=$J$5,0,(CONTADORES!C52-CONTADORES!C51))</f>
        <v>0</v>
      </c>
      <c r="AR58" s="1440">
        <f ca="1">IF(B58&gt;=$J$5,0,(CONTADORES!BA52-CONTADORES!BA51))</f>
        <v>0</v>
      </c>
      <c r="AS58" s="1438">
        <f ca="1">IF(B58=$J$5,0,CONTADORES!Q52-CONTADORES!Q51)</f>
        <v>16</v>
      </c>
      <c r="AT58" s="1438">
        <f ca="1">IF(B58=$J$5,0,(CONTADORES!S52-CONTADORES!S51)+(CONTADORES!AE52-CONTADORES!AE51))</f>
        <v>2.0999999999985448</v>
      </c>
      <c r="AU58" s="1438">
        <f>CONTADORES!I52-CONTADORES!I51</f>
        <v>83</v>
      </c>
      <c r="AV58" s="1438">
        <f>CONTADORES!AT52-CONTADORES!AT51</f>
        <v>59</v>
      </c>
      <c r="AW58" s="1438">
        <f ca="1">IF(B58&gt;=$J$5,0,(CONTADORES!L52-CONTADORES!L51)+(CONTADORES!AL52-CONTADORES!AL51))</f>
        <v>2.5999999999985448</v>
      </c>
      <c r="AX58" s="1438">
        <f ca="1">IF(B58&gt;=$J$5,0,(CONTADORES!N52-CONTADORES!N51)+(CONTADORES!AJ52-CONTADORES!AJ51))</f>
        <v>31.30000000000291</v>
      </c>
      <c r="AY58" s="1438">
        <f ca="1">IF(B58&gt;=$J$5,0,(CONTADORES!AH52-CONTADORES!AH51))</f>
        <v>6.8000000000029104</v>
      </c>
      <c r="AZ58" s="1438">
        <f ca="1">IF(B58&gt;=$J$5,0,(CONTADORES!P52-CONTADORES!P51))</f>
        <v>13</v>
      </c>
      <c r="BA58" s="1438">
        <f t="shared" ca="1" si="14"/>
        <v>11.635999999996017</v>
      </c>
      <c r="BB58" s="1438">
        <f ca="1">IF(B58&gt;=$J$5,0,(((CONTADORES!G52-CONTADORES!G51)+(CONTADORES!AP52-CONTADORES!AP51))))-AV58-BC58-BK58-BN58-BQ58-BV58</f>
        <v>7.9459999999996356</v>
      </c>
      <c r="BC58" s="1794">
        <f ca="1">IF(B58&gt;=$J$5,0,(CONTADORES!AW52-CONTADORES!AW51)+(CONTADORES!AY52-CONTADORES!AY51)+(CONTADORES!BD52-CONTADORES!BD51))-BT58</f>
        <v>1.236</v>
      </c>
      <c r="BD58" s="1438">
        <f t="shared" ca="1" si="15"/>
        <v>222.20000000000073</v>
      </c>
      <c r="BE58" s="1439">
        <f ca="1">IF($B58&gt;=$J$5,0,CONTADORES!$BE52)</f>
        <v>7083.7758823529402</v>
      </c>
      <c r="BF58" s="1438">
        <f ca="1">IF($B58&gt;=$J$5,0,CONTADORES!$BF52)</f>
        <v>32917.465221878199</v>
      </c>
      <c r="BG58" s="1438">
        <f ca="1">IF($B58&gt;=$J$5,0,CONTADORES!$BH52)</f>
        <v>6833.9</v>
      </c>
      <c r="BH58" s="1438">
        <f ca="1">IF(B58&gt;=$J$5,0,(CONTADORES!AQ52-CONTADORES!AQ51))</f>
        <v>4.8000000000029104</v>
      </c>
      <c r="BI58" s="1438">
        <f ca="1">IF(B58&gt;=$J$5,0,(CONTADORES!AR52-CONTADORES!AR51))</f>
        <v>0</v>
      </c>
      <c r="BJ58" s="1450">
        <f ca="1">IF(B58&gt;=$J$5,0,CONTADORES!BI52-CONTADORES!BI51)/1000</f>
        <v>0</v>
      </c>
      <c r="BK58" s="1479">
        <f ca="1">IF(B58&gt;=$J$5,0,CONTADORES!BJ52-CONTADORES!BJ51)</f>
        <v>0</v>
      </c>
      <c r="BL58" s="1479">
        <f ca="1">IF(B58&gt;=$J$5,0,CONTADORES!BK52-CONTADORES!BK51)</f>
        <v>0</v>
      </c>
      <c r="BM58" s="1479">
        <f ca="1">IF(B58&gt;=$J$5,0,CONTADORES!BL52-CONTADORES!BL51)/1000</f>
        <v>4.516</v>
      </c>
      <c r="BN58" s="1479">
        <f ca="1">IF(B58&gt;=$J$5,0,CONTADORES!BM52-CONTADORES!BM51)/1000</f>
        <v>0.64700000000000002</v>
      </c>
      <c r="BO58" s="1479">
        <f ca="1">IF(B58&gt;=$J$5,0,CONTADORES!BN52-CONTADORES!BN51)</f>
        <v>24</v>
      </c>
      <c r="BP58" s="1479">
        <f ca="1">IF(B58&gt;=$J$5,0,CONTADORES!BO52-CONTADORES!BO51)/1000</f>
        <v>3.63</v>
      </c>
      <c r="BQ58" s="1479">
        <f ca="1">IF(B58&gt;=$J$5,0,CONTADORES!BP52-CONTADORES!BP51)/1000</f>
        <v>7.0999999999999994E-2</v>
      </c>
      <c r="BR58" s="1479">
        <f ca="1">IF(B58&gt;=$J$5,0,CONTADORES!BQ52-CONTADORES!BQ51)</f>
        <v>24</v>
      </c>
      <c r="BS58" s="1450">
        <f ca="1">IF(B58&gt;=$J$5,0,(CONTADORES!BT52-CONTADORES!BT51)+(CONTADORES!BV52-CONTADORES!BV51))/1000</f>
        <v>1.369</v>
      </c>
      <c r="BT58" s="1479">
        <f ca="1">IF(B58&gt;=$J$5,0,(CONTADORES!BU52-CONTADORES!BU51)+(CONTADORES!BW52-CONTADORES!BW51))/1000</f>
        <v>0.76400000000000001</v>
      </c>
      <c r="BU58" s="1450">
        <f ca="1">IF(B58&gt;=$J$5,0,CONTADORES!BR52-CONTADORES!BR51)</f>
        <v>6</v>
      </c>
      <c r="BV58" s="1479">
        <f ca="1">IF(B58&gt;=$J$5,0,CONTADORES!BS52-CONTADORES!BS51)</f>
        <v>4.2000000000007276</v>
      </c>
      <c r="BW58" s="1479">
        <f t="shared" ca="1" si="16"/>
        <v>11.576999999999183</v>
      </c>
      <c r="BX58" s="1479">
        <f t="shared" ca="1" si="17"/>
        <v>8.1730000000005454</v>
      </c>
      <c r="BY58" s="1479">
        <f t="shared" ca="1" si="18"/>
        <v>5.5769999999991828</v>
      </c>
      <c r="BZ58" s="1479">
        <f t="shared" ca="1" si="19"/>
        <v>1.3724000000000729</v>
      </c>
      <c r="CA58" s="1479">
        <f t="shared" ca="1" si="20"/>
        <v>5.5769999999991828</v>
      </c>
      <c r="CB58" s="1479">
        <f t="shared" ca="1" si="21"/>
        <v>2.0586000000001095</v>
      </c>
      <c r="CC58" s="1479">
        <f t="shared" ca="1" si="22"/>
        <v>2.7414000000000729</v>
      </c>
      <c r="CD58" s="1479">
        <f t="shared" ca="1" si="23"/>
        <v>3.9729999999998178</v>
      </c>
      <c r="CE58" s="1479">
        <f ca="1">IF(B58&gt;=$J$5,0,CONTADORES!BS52-CONTADORES!BS51)</f>
        <v>4.2000000000007276</v>
      </c>
      <c r="CF58" s="1479">
        <f t="shared" ca="1" si="24"/>
        <v>3.9729999999998178</v>
      </c>
      <c r="CG58" s="1479">
        <f t="shared" ca="1" si="25"/>
        <v>0.61799999999999999</v>
      </c>
      <c r="CH58" s="1479">
        <f t="shared" ca="1" si="26"/>
        <v>0.61799999999999999</v>
      </c>
      <c r="CI58" s="1479">
        <f t="shared" ca="1" si="27"/>
        <v>1.3820000000000001</v>
      </c>
      <c r="CJ58" s="1480">
        <f ca="1">IF($B58&gt;=$J$5,0,CONTADORES!$BG52)</f>
        <v>9359.6594883822108</v>
      </c>
      <c r="CK58" s="1384">
        <f>CONTADORES!E52</f>
        <v>0</v>
      </c>
      <c r="CL58" s="1384">
        <f>CONTADORES!BX52</f>
        <v>0</v>
      </c>
    </row>
    <row r="59" spans="2:90" s="1110" customFormat="1">
      <c r="B59" s="220">
        <v>44975</v>
      </c>
      <c r="C59" s="204">
        <f t="shared" ca="1" si="0"/>
        <v>301</v>
      </c>
      <c r="D59" s="202">
        <f ca="1">'CALCULO DE GAS'!D55</f>
        <v>4.9308741807980052</v>
      </c>
      <c r="E59" s="202">
        <f ca="1">IF(B59&gt;=$J$5,0,(CONTADORES!$AB53-CONTADORES!$AB52)-$H59)</f>
        <v>24</v>
      </c>
      <c r="F59" s="204">
        <f t="shared" ca="1" si="29"/>
        <v>0</v>
      </c>
      <c r="G59" s="202">
        <f ca="1">IF(B59&gt;=$J$5,0,CONTADORES!$AD53-CONTADORES!$AD52)</f>
        <v>0</v>
      </c>
      <c r="H59" s="1437">
        <f ca="1">IF(G59&gt;0,CONTADORES!$AC53-CONTADORES!$AC52,0)</f>
        <v>0</v>
      </c>
      <c r="I59" s="205">
        <f ca="1">IF(B59&gt;=$J$5,0,CONTADORES!$Z53-CONTADORES!$Z52)</f>
        <v>301</v>
      </c>
      <c r="J59" s="204">
        <f t="shared" ca="1" si="2"/>
        <v>150.40000000000146</v>
      </c>
      <c r="K59" s="202">
        <f ca="1">'CALCULO DE GAS'!E55</f>
        <v>3.7027893927680915</v>
      </c>
      <c r="L59" s="1437">
        <f ca="1">IF(B59&gt;=$J$5,0,(CONTADORES!$W53-CONTADORES!$W52)-$O59)</f>
        <v>24</v>
      </c>
      <c r="M59" s="1437">
        <f t="shared" ca="1" si="31"/>
        <v>0</v>
      </c>
      <c r="N59" s="1437">
        <f ca="1">IF(B59&gt;=$J$5,0,CONTADORES!$Y53-CONTADORES!Y52)</f>
        <v>0</v>
      </c>
      <c r="O59" s="1437">
        <f ca="1">IF(N59&gt;0,CONTADORES!$X53-CONTADORES!$X52,0)</f>
        <v>0</v>
      </c>
      <c r="P59" s="208">
        <f ca="1">IF(B59&gt;=$J$5,0,CONTADORES!$U53-CONTADORES!$U52)</f>
        <v>150.40000000000146</v>
      </c>
      <c r="Q59" s="208">
        <f ca="1">IF(B59&gt;=$J$5,0,CONTADORES!$B53-CONTADORES!$B52)</f>
        <v>0</v>
      </c>
      <c r="R59" s="202">
        <f t="shared" ca="1" si="4"/>
        <v>0</v>
      </c>
      <c r="S59" s="11">
        <f ca="1">IF(B59&gt;=$J$5,0,CONTADORES!$D53-CONTADORES!$D52)</f>
        <v>0</v>
      </c>
      <c r="T59" s="204">
        <f ca="1">IF(B59&gt;=$J$5,0,CONTADORES!$AZ53-CONTADORES!$AZ52)</f>
        <v>0</v>
      </c>
      <c r="U59" s="202">
        <f t="shared" ca="1" si="30"/>
        <v>0</v>
      </c>
      <c r="V59" s="205">
        <f ca="1">IF(B59&gt;=$J$5,0,CONTADORES!$BB53-CONTADORES!$BB52)</f>
        <v>0</v>
      </c>
      <c r="W59" s="1438">
        <f t="shared" ca="1" si="6"/>
        <v>451.40000000000146</v>
      </c>
      <c r="X59" s="1438">
        <f t="shared" ca="1" si="7"/>
        <v>0</v>
      </c>
      <c r="Y59" s="1439">
        <f t="shared" ca="1" si="8"/>
        <v>451.40000000000146</v>
      </c>
      <c r="Z59" s="1439">
        <f t="shared" ca="1" si="9"/>
        <v>8.6336635735660963</v>
      </c>
      <c r="AA59" s="1439">
        <f t="shared" ca="1" si="10"/>
        <v>0</v>
      </c>
      <c r="AB59" s="1439">
        <f t="shared" ca="1" si="11"/>
        <v>48</v>
      </c>
      <c r="AC59" s="1438">
        <f t="shared" ca="1" si="12"/>
        <v>0</v>
      </c>
      <c r="AD59" s="1438">
        <f ca="1">IF(B59=$J$5,0,CONTADORES!H53-CONTADORES!H52)</f>
        <v>165</v>
      </c>
      <c r="AE59" s="1438">
        <f ca="1">IF(B59=$J$5,0,CONTADORES!J53-CONTADORES!J52)</f>
        <v>24</v>
      </c>
      <c r="AF59" s="1438">
        <f ca="1">IF(B59=$J$5,0,CONTADORES!AS53-CONTADORES!AS52)</f>
        <v>148</v>
      </c>
      <c r="AG59" s="1438">
        <f ca="1">IF(B59=$J$5,0,CONTADORES!AU53-CONTADORES!AU52)</f>
        <v>24</v>
      </c>
      <c r="AH59" s="1438">
        <f ca="1">IF(B59=$J$5,0,(CONTADORES!AK53-CONTADORES!AK52)+(CONTADORES!K53-CONTADORES!K52))</f>
        <v>11.099999999998545</v>
      </c>
      <c r="AI59" s="1438">
        <f ca="1">IF(B59=$J$5,0,(CONTADORES!AI53-CONTADORES!AI52)+(CONTADORES!M53-CONTADORES!M52))</f>
        <v>40.300000000010186</v>
      </c>
      <c r="AJ59" s="1438">
        <f ca="1">IF(B59=$J$5,0,(CONTADORES!AG53-CONTADORES!AG52))</f>
        <v>9.1999999999970896</v>
      </c>
      <c r="AK59" s="1438">
        <f ca="1">IF(B59=$J$5,0,(CONTADORES!O53-CONTADORES!O52))</f>
        <v>16</v>
      </c>
      <c r="AL59" s="1438">
        <f t="shared" ca="1" si="13"/>
        <v>33.299999999995634</v>
      </c>
      <c r="AM59" s="1438">
        <f ca="1">IF(B59&gt;=$J$5,0,(((CONTADORES!F53-CONTADORES!F52)+(CONTADORES!AO53-CONTADORES!AO52))))-BJ59-AF59-AN59-BM59-BP59-BU59-BS59</f>
        <v>7.9819999999999975</v>
      </c>
      <c r="AN59" s="1438">
        <f ca="1">IF(B59=$J$5,0,(CONTADORES!AV53-CONTADORES!AV52)+(CONTADORES!AX53-CONTADORES!AX52)+(CONTADORES!BC53-CONTADORES!BC52))-BS59</f>
        <v>3.9060000000001818</v>
      </c>
      <c r="AO59" s="1478">
        <f ca="1">IF(B59&gt;=$J$5,0,(CONTADORES!AA53-CONTADORES!AA52))</f>
        <v>159</v>
      </c>
      <c r="AP59" s="1478">
        <f ca="1">IF(B59&gt;=$J$5,0,(CONTADORES!V53-CONTADORES!V52))</f>
        <v>75</v>
      </c>
      <c r="AQ59" s="1474">
        <f ca="1">IF(B59&gt;=$J$5,0,(CONTADORES!C53-CONTADORES!C52))</f>
        <v>0</v>
      </c>
      <c r="AR59" s="1440">
        <f ca="1">IF(B59&gt;=$J$5,0,(CONTADORES!BA53-CONTADORES!BA52))</f>
        <v>0</v>
      </c>
      <c r="AS59" s="1438">
        <f ca="1">IF(B59=$J$5,0,CONTADORES!Q53-CONTADORES!Q52)</f>
        <v>17</v>
      </c>
      <c r="AT59" s="1438">
        <f ca="1">IF(B59=$J$5,0,(CONTADORES!S53-CONTADORES!S52)+(CONTADORES!AE53-CONTADORES!AE52))</f>
        <v>2.0999999999985448</v>
      </c>
      <c r="AU59" s="1438">
        <f>CONTADORES!I53-CONTADORES!I52</f>
        <v>84</v>
      </c>
      <c r="AV59" s="1438">
        <f>CONTADORES!AT53-CONTADORES!AT52</f>
        <v>64</v>
      </c>
      <c r="AW59" s="1438">
        <f ca="1">IF(B59&gt;=$J$5,0,(CONTADORES!L53-CONTADORES!L52)+(CONTADORES!AL53-CONTADORES!AL52))</f>
        <v>4.5</v>
      </c>
      <c r="AX59" s="1438">
        <f ca="1">IF(B59&gt;=$J$5,0,(CONTADORES!N53-CONTADORES!N52)+(CONTADORES!AJ53-CONTADORES!AJ52))</f>
        <v>32.299999999995634</v>
      </c>
      <c r="AY59" s="1438">
        <f ca="1">IF(B59&gt;=$J$5,0,(CONTADORES!AH53-CONTADORES!AH52))</f>
        <v>7.1999999999970896</v>
      </c>
      <c r="AZ59" s="1438">
        <f ca="1">IF(B59&gt;=$J$5,0,(CONTADORES!P53-CONTADORES!P52))</f>
        <v>14</v>
      </c>
      <c r="BA59" s="1438">
        <f t="shared" ca="1" si="14"/>
        <v>11.622000000007858</v>
      </c>
      <c r="BB59" s="1438">
        <f ca="1">IF(B59&gt;=$J$5,0,(((CONTADORES!G53-CONTADORES!G52)+(CONTADORES!AP53-CONTADORES!AP52))))-AV59-BC59-BK59-BN59-BQ59-BV59</f>
        <v>8.7829999999996371</v>
      </c>
      <c r="BC59" s="1794">
        <f ca="1">IF(B59&gt;=$J$5,0,(CONTADORES!AW53-CONTADORES!AW52)+(CONTADORES!AY53-CONTADORES!AY52)+(CONTADORES!BD53-CONTADORES!BD52))-BT59</f>
        <v>1.4219999999998181</v>
      </c>
      <c r="BD59" s="1438">
        <f t="shared" ca="1" si="15"/>
        <v>234</v>
      </c>
      <c r="BE59" s="1439">
        <f ca="1">IF($B59&gt;=$J$5,0,CONTADORES!$BE53)</f>
        <v>7025.9927777777802</v>
      </c>
      <c r="BF59" s="1438">
        <f ca="1">IF($B59&gt;=$J$5,0,CONTADORES!$BF53)</f>
        <v>33094.470077972699</v>
      </c>
      <c r="BG59" s="1438">
        <f ca="1">IF($B59&gt;=$J$5,0,CONTADORES!$BH53)</f>
        <v>4613.0600000000004</v>
      </c>
      <c r="BH59" s="1438">
        <f ca="1">IF(B59&gt;=$J$5,0,(CONTADORES!AQ53-CONTADORES!AQ52))</f>
        <v>4.3999999999941792</v>
      </c>
      <c r="BI59" s="1438">
        <f ca="1">IF(B59&gt;=$J$5,0,(CONTADORES!AR53-CONTADORES!AR52))</f>
        <v>0</v>
      </c>
      <c r="BJ59" s="1450">
        <f ca="1">IF(B59&gt;=$J$5,0,CONTADORES!BI53-CONTADORES!BI52)/1000</f>
        <v>0</v>
      </c>
      <c r="BK59" s="1479">
        <f ca="1">IF(B59&gt;=$J$5,0,CONTADORES!BJ53-CONTADORES!BJ52)</f>
        <v>0</v>
      </c>
      <c r="BL59" s="1479">
        <f ca="1">IF(B59&gt;=$J$5,0,CONTADORES!BK53-CONTADORES!BK52)</f>
        <v>0</v>
      </c>
      <c r="BM59" s="1479">
        <f ca="1">IF(B59&gt;=$J$5,0,CONTADORES!BL53-CONTADORES!BL52)/1000</f>
        <v>4.6920000000000002</v>
      </c>
      <c r="BN59" s="1479">
        <f ca="1">IF(B59&gt;=$J$5,0,CONTADORES!BM53-CONTADORES!BM52)/1000</f>
        <v>0.82499999999999996</v>
      </c>
      <c r="BO59" s="1479">
        <f ca="1">IF(B59&gt;=$J$5,0,CONTADORES!BN53-CONTADORES!BN52)</f>
        <v>24</v>
      </c>
      <c r="BP59" s="1479">
        <f ca="1">IF(B59&gt;=$J$5,0,CONTADORES!BO53-CONTADORES!BO52)/1000</f>
        <v>3.8260000000000001</v>
      </c>
      <c r="BQ59" s="1479">
        <f ca="1">IF(B59&gt;=$J$5,0,CONTADORES!BP53-CONTADORES!BP52)/1000</f>
        <v>7.0000000000000007E-2</v>
      </c>
      <c r="BR59" s="1479">
        <f ca="1">IF(B59&gt;=$J$5,0,CONTADORES!BQ53-CONTADORES!BQ52)</f>
        <v>24.000000000001819</v>
      </c>
      <c r="BS59" s="1450">
        <f ca="1">IF(B59&gt;=$J$5,0,(CONTADORES!BT53-CONTADORES!BT52)+(CONTADORES!BV53-CONTADORES!BV52))/1000</f>
        <v>1.3939999999999999</v>
      </c>
      <c r="BT59" s="1479">
        <f ca="1">IF(B59&gt;=$J$5,0,(CONTADORES!BU53-CONTADORES!BU52)+(CONTADORES!BW53-CONTADORES!BW52))/1000</f>
        <v>0.77800000000000002</v>
      </c>
      <c r="BU59" s="1450">
        <f ca="1">IF(B59&gt;=$J$5,0,CONTADORES!BR53-CONTADORES!BR52)</f>
        <v>6.6999999999998181</v>
      </c>
      <c r="BV59" s="1479">
        <f ca="1">IF(B59&gt;=$J$5,0,CONTADORES!BS53-CONTADORES!BS52)</f>
        <v>4.5</v>
      </c>
      <c r="BW59" s="1479">
        <f t="shared" ca="1" si="16"/>
        <v>10.690999999999818</v>
      </c>
      <c r="BX59" s="1479">
        <f t="shared" ca="1" si="17"/>
        <v>8.8914999999998194</v>
      </c>
      <c r="BY59" s="1479">
        <f t="shared" ca="1" si="18"/>
        <v>3.9909999999999988</v>
      </c>
      <c r="BZ59" s="1479">
        <f t="shared" ca="1" si="19"/>
        <v>1.5624000000000728</v>
      </c>
      <c r="CA59" s="1479">
        <f t="shared" ca="1" si="20"/>
        <v>3.9909999999999988</v>
      </c>
      <c r="CB59" s="1479">
        <f t="shared" ca="1" si="21"/>
        <v>2.3436000000001087</v>
      </c>
      <c r="CC59" s="1479">
        <f t="shared" ca="1" si="22"/>
        <v>2.9564000000000727</v>
      </c>
      <c r="CD59" s="1479">
        <f t="shared" ca="1" si="23"/>
        <v>4.3914999999998185</v>
      </c>
      <c r="CE59" s="1479">
        <f ca="1">IF(B59&gt;=$J$5,0,CONTADORES!BS53-CONTADORES!BS52)</f>
        <v>4.5</v>
      </c>
      <c r="CF59" s="1479">
        <f t="shared" ca="1" si="24"/>
        <v>4.3914999999998185</v>
      </c>
      <c r="CG59" s="1479">
        <f t="shared" ca="1" si="25"/>
        <v>0.71099999999990904</v>
      </c>
      <c r="CH59" s="1479">
        <f t="shared" ca="1" si="26"/>
        <v>0.71099999999990904</v>
      </c>
      <c r="CI59" s="1479">
        <f t="shared" ca="1" si="27"/>
        <v>1.4889999999999091</v>
      </c>
      <c r="CJ59" s="1480">
        <f ca="1">IF($B59&gt;=$J$5,0,CONTADORES!$BG53)</f>
        <v>9381.6275086648293</v>
      </c>
      <c r="CK59" s="1384">
        <f>CONTADORES!E53</f>
        <v>0</v>
      </c>
      <c r="CL59" s="1384">
        <f>CONTADORES!BX53</f>
        <v>0</v>
      </c>
    </row>
    <row r="60" spans="2:90">
      <c r="B60" s="220">
        <v>44976</v>
      </c>
      <c r="C60" s="204">
        <f t="shared" ca="1" si="0"/>
        <v>294</v>
      </c>
      <c r="D60" s="202">
        <f ca="1">'CALCULO DE GAS'!D56</f>
        <v>4.8737918865336667</v>
      </c>
      <c r="E60" s="202">
        <f ca="1">IF(B60&gt;=$J$5,0,(CONTADORES!$AB54-CONTADORES!$AB53)-$H60)</f>
        <v>24</v>
      </c>
      <c r="F60" s="204">
        <f t="shared" ca="1" si="29"/>
        <v>0</v>
      </c>
      <c r="G60" s="202">
        <f ca="1">IF(B60&gt;=$J$5,0,CONTADORES!$AD54-CONTADORES!$AD53)</f>
        <v>0</v>
      </c>
      <c r="H60" s="1437">
        <f ca="1">IF(G60&gt;0,CONTADORES!$AC54-CONTADORES!$AC53,0)</f>
        <v>0</v>
      </c>
      <c r="I60" s="205">
        <f ca="1">IF(B60&gt;=$J$5,0,CONTADORES!$Z54-CONTADORES!$Z53)</f>
        <v>294</v>
      </c>
      <c r="J60" s="204">
        <f t="shared" ca="1" si="2"/>
        <v>145.59999999999854</v>
      </c>
      <c r="K60" s="202">
        <f ca="1">'CALCULO DE GAS'!E56</f>
        <v>3.6636472481296636</v>
      </c>
      <c r="L60" s="1437">
        <f ca="1">IF(B60&gt;=$J$5,0,(CONTADORES!$W54-CONTADORES!$W53)-$O60)</f>
        <v>24</v>
      </c>
      <c r="M60" s="1437">
        <f t="shared" ca="1" si="31"/>
        <v>0</v>
      </c>
      <c r="N60" s="1437">
        <f ca="1">IF(B60&gt;=$J$5,0,CONTADORES!$Y54-CONTADORES!Y53)</f>
        <v>0</v>
      </c>
      <c r="O60" s="1437">
        <f ca="1">IF(N60&gt;0,CONTADORES!$X54-CONTADORES!$X53,0)</f>
        <v>0</v>
      </c>
      <c r="P60" s="208">
        <f ca="1">IF(B60&gt;=$J$5,0,CONTADORES!$U54-CONTADORES!$U53)</f>
        <v>145.59999999999854</v>
      </c>
      <c r="Q60" s="208">
        <f ca="1">IF(B60&gt;=$J$5,0,CONTADORES!$B54-CONTADORES!$B53)</f>
        <v>0</v>
      </c>
      <c r="R60" s="202">
        <f t="shared" ca="1" si="4"/>
        <v>0</v>
      </c>
      <c r="S60" s="11">
        <f ca="1">IF(B60&gt;=$J$5,0,CONTADORES!$D54-CONTADORES!$D53)</f>
        <v>0</v>
      </c>
      <c r="T60" s="204">
        <f ca="1">IF(B60&gt;=$J$5,0,CONTADORES!$AZ54-CONTADORES!$AZ53)</f>
        <v>0</v>
      </c>
      <c r="U60" s="202">
        <f t="shared" ca="1" si="30"/>
        <v>0</v>
      </c>
      <c r="V60" s="205">
        <f ca="1">IF(B60&gt;=$J$5,0,CONTADORES!$BB54-CONTADORES!$BB53)</f>
        <v>0</v>
      </c>
      <c r="W60" s="1438">
        <f t="shared" ca="1" si="6"/>
        <v>439.59999999999854</v>
      </c>
      <c r="X60" s="1438">
        <f t="shared" ca="1" si="7"/>
        <v>0</v>
      </c>
      <c r="Y60" s="1439">
        <f t="shared" ca="1" si="8"/>
        <v>439.59999999999854</v>
      </c>
      <c r="Z60" s="1439">
        <f t="shared" ca="1" si="9"/>
        <v>8.5374391346633303</v>
      </c>
      <c r="AA60" s="1439">
        <f t="shared" ca="1" si="10"/>
        <v>0</v>
      </c>
      <c r="AB60" s="1439">
        <f t="shared" ca="1" si="11"/>
        <v>48</v>
      </c>
      <c r="AC60" s="1438">
        <f t="shared" ca="1" si="12"/>
        <v>0</v>
      </c>
      <c r="AD60" s="1438">
        <f ca="1">IF(B60=$J$5,0,CONTADORES!H54-CONTADORES!H53)</f>
        <v>160</v>
      </c>
      <c r="AE60" s="1438">
        <f ca="1">IF(B60=$J$5,0,CONTADORES!J54-CONTADORES!J53)</f>
        <v>24</v>
      </c>
      <c r="AF60" s="1438">
        <f ca="1">IF(B60=$J$5,0,CONTADORES!AS54-CONTADORES!AS53)</f>
        <v>143</v>
      </c>
      <c r="AG60" s="1438">
        <f ca="1">IF(B60=$J$5,0,CONTADORES!AU54-CONTADORES!AU53)</f>
        <v>24</v>
      </c>
      <c r="AH60" s="1438">
        <f ca="1">IF(B60=$J$5,0,(CONTADORES!AK54-CONTADORES!AK53)+(CONTADORES!K54-CONTADORES!K53))</f>
        <v>11.400000000001455</v>
      </c>
      <c r="AI60" s="1438">
        <f ca="1">IF(B60=$J$5,0,(CONTADORES!AI54-CONTADORES!AI53)+(CONTADORES!M54-CONTADORES!M53))</f>
        <v>39.19999999999709</v>
      </c>
      <c r="AJ60" s="1438">
        <f ca="1">IF(B60=$J$5,0,(CONTADORES!AG54-CONTADORES!AG53))</f>
        <v>9.1999999999970896</v>
      </c>
      <c r="AK60" s="1438">
        <f ca="1">IF(B60=$J$5,0,(CONTADORES!O54-CONTADORES!O53))</f>
        <v>16</v>
      </c>
      <c r="AL60" s="1438">
        <f t="shared" ca="1" si="13"/>
        <v>32.100000000002183</v>
      </c>
      <c r="AM60" s="1438">
        <f ca="1">IF(B60&gt;=$J$5,0,(((CONTADORES!F54-CONTADORES!F53)+(CONTADORES!AO54-CONTADORES!AO53))))-BJ60-AF60-AN60-BM60-BP60-BU60-BS60</f>
        <v>10.661000000001636</v>
      </c>
      <c r="AN60" s="1438">
        <f ca="1">IF(B60=$J$5,0,(CONTADORES!AV54-CONTADORES!AV53)+(CONTADORES!AX54-CONTADORES!AX53)+(CONTADORES!BC54-CONTADORES!BC53))-BS60</f>
        <v>3.1769999999990906</v>
      </c>
      <c r="AO60" s="1478">
        <f ca="1">IF(B60&gt;=$J$5,0,(CONTADORES!AA54-CONTADORES!AA53))</f>
        <v>148</v>
      </c>
      <c r="AP60" s="1478">
        <f ca="1">IF(B60&gt;=$J$5,0,(CONTADORES!V54-CONTADORES!V53))</f>
        <v>81</v>
      </c>
      <c r="AQ60" s="1474">
        <f ca="1">IF(B60&gt;=$J$5,0,(CONTADORES!C54-CONTADORES!C53))</f>
        <v>0</v>
      </c>
      <c r="AR60" s="1440">
        <f ca="1">IF(B60&gt;=$J$5,0,(CONTADORES!BA54-CONTADORES!BA53))</f>
        <v>0</v>
      </c>
      <c r="AS60" s="1438">
        <f ca="1">IF(B60=$J$5,0,CONTADORES!Q54-CONTADORES!Q53)</f>
        <v>17</v>
      </c>
      <c r="AT60" s="1438">
        <f ca="1">IF(B60=$J$5,0,(CONTADORES!S54-CONTADORES!S53)+(CONTADORES!AE54-CONTADORES!AE53))</f>
        <v>2.0999999999985448</v>
      </c>
      <c r="AU60" s="1438">
        <f>CONTADORES!I54-CONTADORES!I53</f>
        <v>83</v>
      </c>
      <c r="AV60" s="1438">
        <f>CONTADORES!AT54-CONTADORES!AT53</f>
        <v>62</v>
      </c>
      <c r="AW60" s="1438">
        <f ca="1">IF(B60&gt;=$J$5,0,(CONTADORES!L54-CONTADORES!L53)+(CONTADORES!AL54-CONTADORES!AL53))</f>
        <v>4.5</v>
      </c>
      <c r="AX60" s="1438">
        <f ca="1">IF(B60&gt;=$J$5,0,(CONTADORES!N54-CONTADORES!N53)+(CONTADORES!AJ54-CONTADORES!AJ53))</f>
        <v>31</v>
      </c>
      <c r="AY60" s="1438">
        <f ca="1">IF(B60&gt;=$J$5,0,(CONTADORES!AH54-CONTADORES!AH53))</f>
        <v>6.5</v>
      </c>
      <c r="AZ60" s="1438">
        <f ca="1">IF(B60&gt;=$J$5,0,(CONTADORES!P54-CONTADORES!P53))</f>
        <v>13</v>
      </c>
      <c r="BA60" s="1438">
        <f t="shared" ca="1" si="14"/>
        <v>11.954999999999842</v>
      </c>
      <c r="BB60" s="1438">
        <f ca="1">IF(B60&gt;=$J$5,0,(((CONTADORES!G54-CONTADORES!G53)+(CONTADORES!AP54-CONTADORES!AP53))))-AV60-BC60-BK60-BN60-BQ60-BV60</f>
        <v>10.133000000000182</v>
      </c>
      <c r="BC60" s="1794">
        <f ca="1">IF(B60&gt;=$J$5,0,(CONTADORES!AW54-CONTADORES!AW53)+(CONTADORES!AY54-CONTADORES!AY53)+(CONTADORES!BD54-CONTADORES!BD53))-BT60</f>
        <v>1.0550000000001818</v>
      </c>
      <c r="BD60" s="1438">
        <f t="shared" ca="1" si="15"/>
        <v>229</v>
      </c>
      <c r="BE60" s="1439">
        <f ca="1">IF($B60&gt;=$J$5,0,CONTADORES!$BE54)</f>
        <v>6983.08315789474</v>
      </c>
      <c r="BF60" s="1438">
        <f ca="1">IF($B60&gt;=$J$5,0,CONTADORES!$BF54)</f>
        <v>33248.419482917801</v>
      </c>
      <c r="BG60" s="1438">
        <f ca="1">IF($B60&gt;=$J$5,0,CONTADORES!$BH54)</f>
        <v>4112.1000000000004</v>
      </c>
      <c r="BH60" s="1438">
        <f ca="1">IF(B60&gt;=$J$5,0,(CONTADORES!AQ54-CONTADORES!AQ53))</f>
        <v>4.2000000000043656</v>
      </c>
      <c r="BI60" s="1438">
        <f ca="1">IF(B60&gt;=$J$5,0,(CONTADORES!AR54-CONTADORES!AR53))</f>
        <v>0</v>
      </c>
      <c r="BJ60" s="1450">
        <f ca="1">IF(B60&gt;=$J$5,0,CONTADORES!BI54-CONTADORES!BI53)/1000</f>
        <v>0</v>
      </c>
      <c r="BK60" s="1479">
        <f ca="1">IF(B60&gt;=$J$5,0,CONTADORES!BJ54-CONTADORES!BJ53)</f>
        <v>0</v>
      </c>
      <c r="BL60" s="1479">
        <f ca="1">IF(B60&gt;=$J$5,0,CONTADORES!BK54-CONTADORES!BK53)</f>
        <v>0</v>
      </c>
      <c r="BM60" s="1479">
        <f ca="1">IF(B60&gt;=$J$5,0,CONTADORES!BL54-CONTADORES!BL53)/1000</f>
        <v>4.2240000000000002</v>
      </c>
      <c r="BN60" s="1479">
        <f ca="1">IF(B60&gt;=$J$5,0,CONTADORES!BM54-CONTADORES!BM53)/1000</f>
        <v>0.84299999999999997</v>
      </c>
      <c r="BO60" s="1479">
        <f ca="1">IF(B60&gt;=$J$5,0,CONTADORES!BN54-CONTADORES!BN53)</f>
        <v>24</v>
      </c>
      <c r="BP60" s="1479">
        <f ca="1">IF(B60&gt;=$J$5,0,CONTADORES!BO54-CONTADORES!BO53)/1000</f>
        <v>3.3149999999999999</v>
      </c>
      <c r="BQ60" s="1479">
        <f ca="1">IF(B60&gt;=$J$5,0,CONTADORES!BP54-CONTADORES!BP53)/1000</f>
        <v>6.9000000000000006E-2</v>
      </c>
      <c r="BR60" s="1479">
        <f ca="1">IF(B60&gt;=$J$5,0,CONTADORES!BQ54-CONTADORES!BQ53)</f>
        <v>24</v>
      </c>
      <c r="BS60" s="1450">
        <f ca="1">IF(B60&gt;=$J$5,0,(CONTADORES!BT54-CONTADORES!BT53)+(CONTADORES!BV54-CONTADORES!BV53))/1000</f>
        <v>1.323</v>
      </c>
      <c r="BT60" s="1479">
        <f ca="1">IF(B60&gt;=$J$5,0,(CONTADORES!BU54-CONTADORES!BU53)+(CONTADORES!BW54-CONTADORES!BW53))/1000</f>
        <v>0.745</v>
      </c>
      <c r="BU60" s="1450">
        <f ca="1">IF(B60&gt;=$J$5,0,CONTADORES!BR54-CONTADORES!BR53)</f>
        <v>6</v>
      </c>
      <c r="BV60" s="1479">
        <f ca="1">IF(B60&gt;=$J$5,0,CONTADORES!BS54-CONTADORES!BS53)</f>
        <v>4.1999999999998181</v>
      </c>
      <c r="BW60" s="1479">
        <f t="shared" ca="1" si="16"/>
        <v>11.330500000000818</v>
      </c>
      <c r="BX60" s="1479">
        <f t="shared" ca="1" si="17"/>
        <v>9.2664999999999083</v>
      </c>
      <c r="BY60" s="1479">
        <f t="shared" ca="1" si="18"/>
        <v>5.3305000000008178</v>
      </c>
      <c r="BZ60" s="1479">
        <f t="shared" ca="1" si="19"/>
        <v>1.2707999999996362</v>
      </c>
      <c r="CA60" s="1479">
        <f t="shared" ca="1" si="20"/>
        <v>5.3305000000008178</v>
      </c>
      <c r="CB60" s="1479">
        <f t="shared" ca="1" si="21"/>
        <v>1.9061999999994543</v>
      </c>
      <c r="CC60" s="1479">
        <f t="shared" ca="1" si="22"/>
        <v>2.5937999999996362</v>
      </c>
      <c r="CD60" s="1479">
        <f t="shared" ca="1" si="23"/>
        <v>5.066500000000091</v>
      </c>
      <c r="CE60" s="1479">
        <f ca="1">IF(B60&gt;=$J$5,0,CONTADORES!BS54-CONTADORES!BS53)</f>
        <v>4.1999999999998181</v>
      </c>
      <c r="CF60" s="1479">
        <f t="shared" ca="1" si="24"/>
        <v>5.066500000000091</v>
      </c>
      <c r="CG60" s="1479">
        <f t="shared" ca="1" si="25"/>
        <v>0.5275000000000909</v>
      </c>
      <c r="CH60" s="1479">
        <f t="shared" ca="1" si="26"/>
        <v>0.5275000000000909</v>
      </c>
      <c r="CI60" s="1479">
        <f t="shared" ca="1" si="27"/>
        <v>1.272500000000091</v>
      </c>
      <c r="CJ60" s="1480">
        <f ca="1">IF($B60&gt;=$J$5,0,CONTADORES!$BG54)</f>
        <v>9399.0835957820509</v>
      </c>
      <c r="CK60" s="1384">
        <f>CONTADORES!E54</f>
        <v>0</v>
      </c>
      <c r="CL60" s="1384">
        <f>CONTADORES!BX54</f>
        <v>0</v>
      </c>
    </row>
    <row r="61" spans="2:90">
      <c r="B61" s="220">
        <v>44977</v>
      </c>
      <c r="C61" s="204">
        <f t="shared" ca="1" si="0"/>
        <v>297</v>
      </c>
      <c r="D61" s="202">
        <f ca="1">'CALCULO DE GAS'!D57</f>
        <v>4.8982557269326685</v>
      </c>
      <c r="E61" s="202">
        <f ca="1">IF(B61&gt;=$J$5,0,(CONTADORES!$AB55-CONTADORES!$AB54)-$H61)</f>
        <v>24</v>
      </c>
      <c r="F61" s="204">
        <f t="shared" ca="1" si="29"/>
        <v>0</v>
      </c>
      <c r="G61" s="202">
        <f ca="1">IF(B61&gt;=$J$5,0,CONTADORES!$AD55-CONTADORES!$AD54)</f>
        <v>0</v>
      </c>
      <c r="H61" s="1437">
        <f ca="1">IF(G61&gt;0,CONTADORES!$AC55-CONTADORES!$AC54,0)</f>
        <v>0</v>
      </c>
      <c r="I61" s="205">
        <f ca="1">IF(B61&gt;=$J$5,0,CONTADORES!$Z55-CONTADORES!$Z54)</f>
        <v>297</v>
      </c>
      <c r="J61" s="204">
        <f t="shared" ca="1" si="2"/>
        <v>148.59999999999854</v>
      </c>
      <c r="K61" s="202">
        <f ca="1">'CALCULO DE GAS'!E57</f>
        <v>3.6881110885286663</v>
      </c>
      <c r="L61" s="1437">
        <f ca="1">IF(B61&gt;=$J$5,0,(CONTADORES!$W55-CONTADORES!$W54)-$O61)</f>
        <v>24</v>
      </c>
      <c r="M61" s="1437">
        <f t="shared" ca="1" si="31"/>
        <v>0</v>
      </c>
      <c r="N61" s="1437">
        <f ca="1">IF(B61&gt;=$J$5,0,CONTADORES!$Y55-CONTADORES!Y54)</f>
        <v>0</v>
      </c>
      <c r="O61" s="1437">
        <f ca="1">IF(N61&gt;0,CONTADORES!$X55-CONTADORES!$X54,0)</f>
        <v>0</v>
      </c>
      <c r="P61" s="208">
        <f ca="1">IF(B61&gt;=$J$5,0,CONTADORES!$U55-CONTADORES!$U54)</f>
        <v>148.59999999999854</v>
      </c>
      <c r="Q61" s="208">
        <f ca="1">IF(B61&gt;=$J$5,0,CONTADORES!$B55-CONTADORES!$B54)</f>
        <v>0.8149999999998272</v>
      </c>
      <c r="R61" s="202">
        <f t="shared" ca="1" si="4"/>
        <v>97.799999999979264</v>
      </c>
      <c r="S61" s="11">
        <f ca="1">IF(B61&gt;=$J$5,0,CONTADORES!$D55-CONTADORES!$D54)</f>
        <v>1.5</v>
      </c>
      <c r="T61" s="204">
        <f ca="1">IF(B61&gt;=$J$5,0,CONTADORES!$AZ55-CONTADORES!$AZ54)</f>
        <v>0.19200000000000728</v>
      </c>
      <c r="U61" s="202">
        <f t="shared" ca="1" si="30"/>
        <v>23.040000000000873</v>
      </c>
      <c r="V61" s="205">
        <f ca="1">IF(B61&gt;=$J$5,0,CONTADORES!$BB55-CONTADORES!$BB54)</f>
        <v>0.49000000000000909</v>
      </c>
      <c r="W61" s="1438">
        <f t="shared" ca="1" si="6"/>
        <v>445.59999999999854</v>
      </c>
      <c r="X61" s="1438">
        <f t="shared" ca="1" si="7"/>
        <v>1.0069999999998345</v>
      </c>
      <c r="Y61" s="1439">
        <f t="shared" ca="1" si="8"/>
        <v>446.60699999999838</v>
      </c>
      <c r="Z61" s="1439">
        <f t="shared" ca="1" si="9"/>
        <v>8.5863668154613357</v>
      </c>
      <c r="AA61" s="1439">
        <f t="shared" ca="1" si="10"/>
        <v>120.83999999998014</v>
      </c>
      <c r="AB61" s="1439">
        <f t="shared" ca="1" si="11"/>
        <v>48</v>
      </c>
      <c r="AC61" s="1438">
        <f t="shared" ca="1" si="12"/>
        <v>1.9900000000000091</v>
      </c>
      <c r="AD61" s="1438">
        <f ca="1">IF(B61=$J$5,0,CONTADORES!H55-CONTADORES!H54)</f>
        <v>155</v>
      </c>
      <c r="AE61" s="1438">
        <f ca="1">IF(B61=$J$5,0,CONTADORES!J55-CONTADORES!J54)</f>
        <v>24</v>
      </c>
      <c r="AF61" s="1438">
        <f ca="1">IF(B61=$J$5,0,CONTADORES!AS55-CONTADORES!AS54)</f>
        <v>147</v>
      </c>
      <c r="AG61" s="1438">
        <f ca="1">IF(B61=$J$5,0,CONTADORES!AU55-CONTADORES!AU54)</f>
        <v>24</v>
      </c>
      <c r="AH61" s="1438">
        <f ca="1">IF(B61=$J$5,0,(CONTADORES!AK55-CONTADORES!AK54)+(CONTADORES!K55-CONTADORES!K54))</f>
        <v>10.5</v>
      </c>
      <c r="AI61" s="1438">
        <f ca="1">IF(B61=$J$5,0,(CONTADORES!AI55-CONTADORES!AI54)+(CONTADORES!M55-CONTADORES!M54))</f>
        <v>39.399999999994179</v>
      </c>
      <c r="AJ61" s="1438">
        <f ca="1">IF(B61=$J$5,0,(CONTADORES!AG55-CONTADORES!AG54))</f>
        <v>9.6000000000058208</v>
      </c>
      <c r="AK61" s="1438">
        <f ca="1">IF(B61=$J$5,0,(CONTADORES!O55-CONTADORES!O54))</f>
        <v>17</v>
      </c>
      <c r="AL61" s="1438">
        <f t="shared" ca="1" si="13"/>
        <v>39.30699999999905</v>
      </c>
      <c r="AM61" s="1438">
        <f ca="1">IF(B61&gt;=$J$5,0,(((CONTADORES!F55-CONTADORES!F54)+(CONTADORES!AO55-CONTADORES!AO54))))-BJ61-AF61-AN61-BM61-BP61-BU61-BS61</f>
        <v>10.685999999999909</v>
      </c>
      <c r="AN61" s="1438">
        <f ca="1">IF(B61=$J$5,0,(CONTADORES!AV55-CONTADORES!AV54)+(CONTADORES!AX55-CONTADORES!AX54)+(CONTADORES!BC55-CONTADORES!BC54))-BS61</f>
        <v>3.7259999999999089</v>
      </c>
      <c r="AO61" s="1478">
        <f ca="1">IF(B61&gt;=$J$5,0,(CONTADORES!AA55-CONTADORES!AA54))</f>
        <v>150</v>
      </c>
      <c r="AP61" s="1478">
        <f ca="1">IF(B61&gt;=$J$5,0,(CONTADORES!V55-CONTADORES!V54))</f>
        <v>80.600000000000364</v>
      </c>
      <c r="AQ61" s="1474">
        <f ca="1">IF(B61&gt;=$J$5,0,(CONTADORES!C55-CONTADORES!C54))</f>
        <v>0.27400000000000091</v>
      </c>
      <c r="AR61" s="1440">
        <f ca="1">IF(B61&gt;=$J$5,0,(CONTADORES!BA55-CONTADORES!BA54))</f>
        <v>7.2999999999979082E-2</v>
      </c>
      <c r="AS61" s="1438">
        <f ca="1">IF(B61=$J$5,0,CONTADORES!Q55-CONTADORES!Q54)</f>
        <v>16</v>
      </c>
      <c r="AT61" s="1438">
        <f ca="1">IF(B61=$J$5,0,(CONTADORES!S55-CONTADORES!S54)+(CONTADORES!AE55-CONTADORES!AE54))</f>
        <v>2.0999999999985448</v>
      </c>
      <c r="AU61" s="1438">
        <f>CONTADORES!I55-CONTADORES!I54</f>
        <v>80</v>
      </c>
      <c r="AV61" s="1438">
        <f>CONTADORES!AT55-CONTADORES!AT54</f>
        <v>64</v>
      </c>
      <c r="AW61" s="1438">
        <f ca="1">IF(B61&gt;=$J$5,0,(CONTADORES!L55-CONTADORES!L54)+(CONTADORES!AL55-CONTADORES!AL54))</f>
        <v>4.1000000000021828</v>
      </c>
      <c r="AX61" s="1438">
        <f ca="1">IF(B61&gt;=$J$5,0,(CONTADORES!N55-CONTADORES!N54)+(CONTADORES!AJ55-CONTADORES!AJ54))</f>
        <v>32.30000000000291</v>
      </c>
      <c r="AY61" s="1438">
        <f ca="1">IF(B61&gt;=$J$5,0,(CONTADORES!AH55-CONTADORES!AH54))</f>
        <v>8</v>
      </c>
      <c r="AZ61" s="1438">
        <f ca="1">IF(B61&gt;=$J$5,0,(CONTADORES!P55-CONTADORES!P54))</f>
        <v>13</v>
      </c>
      <c r="BA61" s="1438">
        <f t="shared" ca="1" si="14"/>
        <v>15.17799999999491</v>
      </c>
      <c r="BB61" s="1438">
        <f ca="1">IF(B61&gt;=$J$5,0,(((CONTADORES!G55-CONTADORES!G54)+(CONTADORES!AP55-CONTADORES!AP54))))-AV61-BC61-BK61-BN61-BQ61-BV61</f>
        <v>8.6910000000009102</v>
      </c>
      <c r="BC61" s="1794">
        <f ca="1">IF(B61&gt;=$J$5,0,(CONTADORES!AW55-CONTADORES!AW54)+(CONTADORES!AY55-CONTADORES!AY54)+(CONTADORES!BD55-CONTADORES!BD54))-BT61</f>
        <v>1.430999999999818</v>
      </c>
      <c r="BD61" s="1438">
        <f t="shared" ca="1" si="15"/>
        <v>230.94700000000034</v>
      </c>
      <c r="BE61" s="1439">
        <f ca="1">IF($B61&gt;=$J$5,0,CONTADORES!$BE55)</f>
        <v>5995.5599999999995</v>
      </c>
      <c r="BF61" s="1438">
        <f ca="1">IF($B61&gt;=$J$5,0,CONTADORES!$BF55)</f>
        <v>36170.594736842104</v>
      </c>
      <c r="BG61" s="1438">
        <f ca="1">IF($B61&gt;=$J$5,0,CONTADORES!$BH55)</f>
        <v>4740.5600000000004</v>
      </c>
      <c r="BH61" s="1438">
        <f ca="1">IF(B61&gt;=$J$5,0,(CONTADORES!AQ55-CONTADORES!AQ54))</f>
        <v>4.5999999999985448</v>
      </c>
      <c r="BI61" s="1438">
        <f ca="1">IF(B61&gt;=$J$5,0,(CONTADORES!AR55-CONTADORES!AR54))</f>
        <v>0</v>
      </c>
      <c r="BJ61" s="1450">
        <f ca="1">IF(B61&gt;=$J$5,0,CONTADORES!BI55-CONTADORES!BI54)/1000</f>
        <v>0</v>
      </c>
      <c r="BK61" s="1479">
        <f ca="1">IF(B61&gt;=$J$5,0,CONTADORES!BJ55-CONTADORES!BJ54)</f>
        <v>0</v>
      </c>
      <c r="BL61" s="1479">
        <f ca="1">IF(B61&gt;=$J$5,0,CONTADORES!BK55-CONTADORES!BK54)</f>
        <v>0</v>
      </c>
      <c r="BM61" s="1479">
        <f ca="1">IF(B61&gt;=$J$5,0,CONTADORES!BL55-CONTADORES!BL54)/1000</f>
        <v>6.0570000000000004</v>
      </c>
      <c r="BN61" s="1479">
        <f ca="1">IF(B61&gt;=$J$5,0,CONTADORES!BM55-CONTADORES!BM54)/1000</f>
        <v>7.8E-2</v>
      </c>
      <c r="BO61" s="1479">
        <f ca="1">IF(B61&gt;=$J$5,0,CONTADORES!BN55-CONTADORES!BN54)</f>
        <v>24</v>
      </c>
      <c r="BP61" s="1479">
        <f ca="1">IF(B61&gt;=$J$5,0,CONTADORES!BO55-CONTADORES!BO54)/1000</f>
        <v>2.3570000000000002</v>
      </c>
      <c r="BQ61" s="1479">
        <f ca="1">IF(B61&gt;=$J$5,0,CONTADORES!BP55-CONTADORES!BP54)/1000</f>
        <v>0</v>
      </c>
      <c r="BR61" s="1479">
        <f ca="1">IF(B61&gt;=$J$5,0,CONTADORES!BQ55-CONTADORES!BQ54)</f>
        <v>24</v>
      </c>
      <c r="BS61" s="1450">
        <f ca="1">IF(B61&gt;=$J$5,0,(CONTADORES!BT55-CONTADORES!BT54)+(CONTADORES!BV55-CONTADORES!BV54))/1000</f>
        <v>1.3740000000000001</v>
      </c>
      <c r="BT61" s="1479">
        <f ca="1">IF(B61&gt;=$J$5,0,(CONTADORES!BU55-CONTADORES!BU54)+(CONTADORES!BW55-CONTADORES!BW54))/1000</f>
        <v>0.76900000000000002</v>
      </c>
      <c r="BU61" s="1450">
        <f ca="1">IF(B61&gt;=$J$5,0,CONTADORES!BR55-CONTADORES!BR54)</f>
        <v>4.5999999999994543</v>
      </c>
      <c r="BV61" s="1479">
        <f ca="1">IF(B61&gt;=$J$5,0,CONTADORES!BS55-CONTADORES!BS54)</f>
        <v>3.3999999999996362</v>
      </c>
      <c r="BW61" s="1479">
        <f t="shared" ca="1" si="16"/>
        <v>9.9429999999994081</v>
      </c>
      <c r="BX61" s="1479">
        <f t="shared" ca="1" si="17"/>
        <v>7.7455000000000913</v>
      </c>
      <c r="BY61" s="1479">
        <f t="shared" ca="1" si="18"/>
        <v>5.3429999999999547</v>
      </c>
      <c r="BZ61" s="1479">
        <f t="shared" ca="1" si="19"/>
        <v>1.4903999999999638</v>
      </c>
      <c r="CA61" s="1479">
        <f t="shared" ca="1" si="20"/>
        <v>5.3429999999999547</v>
      </c>
      <c r="CB61" s="1479">
        <f t="shared" ca="1" si="21"/>
        <v>2.2355999999999452</v>
      </c>
      <c r="CC61" s="1479">
        <f t="shared" ca="1" si="22"/>
        <v>2.8643999999999639</v>
      </c>
      <c r="CD61" s="1479">
        <f t="shared" ca="1" si="23"/>
        <v>4.3455000000004551</v>
      </c>
      <c r="CE61" s="1479">
        <f ca="1">IF(B61&gt;=$J$5,0,CONTADORES!BS55-CONTADORES!BS54)</f>
        <v>3.3999999999996362</v>
      </c>
      <c r="CF61" s="1479">
        <f t="shared" ca="1" si="24"/>
        <v>4.3455000000004551</v>
      </c>
      <c r="CG61" s="1479">
        <f t="shared" ca="1" si="25"/>
        <v>0.71549999999990899</v>
      </c>
      <c r="CH61" s="1479">
        <f t="shared" ca="1" si="26"/>
        <v>0.71549999999990899</v>
      </c>
      <c r="CI61" s="1479">
        <f t="shared" ca="1" si="27"/>
        <v>1.4844999999999091</v>
      </c>
      <c r="CJ61" s="1480">
        <f ca="1">IF($B61&gt;=$J$5,0,CONTADORES!$BG55)</f>
        <v>10482.875600598758</v>
      </c>
      <c r="CK61" s="1384">
        <f>CONTADORES!E55</f>
        <v>1</v>
      </c>
      <c r="CL61" s="1384">
        <f>CONTADORES!BX55</f>
        <v>1</v>
      </c>
    </row>
    <row r="62" spans="2:90">
      <c r="B62" s="220">
        <v>44978</v>
      </c>
      <c r="C62" s="204">
        <f t="shared" ca="1" si="0"/>
        <v>303</v>
      </c>
      <c r="D62" s="202">
        <f ca="1">'CALCULO DE GAS'!D58</f>
        <v>4.9471834077306731</v>
      </c>
      <c r="E62" s="202">
        <f ca="1">IF(B62&gt;=$J$5,0,(CONTADORES!$AB56-CONTADORES!$AB55)-$H62)</f>
        <v>24</v>
      </c>
      <c r="F62" s="204">
        <f t="shared" ca="1" si="29"/>
        <v>0</v>
      </c>
      <c r="G62" s="202">
        <f ca="1">IF(B62&gt;=$J$5,0,CONTADORES!$AD56-CONTADORES!$AD55)</f>
        <v>0</v>
      </c>
      <c r="H62" s="1437">
        <f ca="1">IF(G62&gt;0,CONTADORES!$AC56-CONTADORES!$AC55,0)</f>
        <v>0</v>
      </c>
      <c r="I62" s="205">
        <f ca="1">IF(B62&gt;=$J$5,0,CONTADORES!$Z56-CONTADORES!$Z55)</f>
        <v>303</v>
      </c>
      <c r="J62" s="204">
        <f t="shared" ca="1" si="2"/>
        <v>147.10000000000218</v>
      </c>
      <c r="K62" s="202">
        <f ca="1">'CALCULO DE GAS'!E58</f>
        <v>3.6758791683291951</v>
      </c>
      <c r="L62" s="1437">
        <f ca="1">IF(B62&gt;=$J$5,0,(CONTADORES!$W56-CONTADORES!$W55)-$O62)</f>
        <v>24</v>
      </c>
      <c r="M62" s="1437">
        <f t="shared" ca="1" si="31"/>
        <v>0</v>
      </c>
      <c r="N62" s="1437">
        <f ca="1">IF(B62&gt;=$J$5,0,CONTADORES!$Y56-CONTADORES!Y55)</f>
        <v>0</v>
      </c>
      <c r="O62" s="1437">
        <f ca="1">IF(N62&gt;0,CONTADORES!$X56-CONTADORES!$X55,0)</f>
        <v>0</v>
      </c>
      <c r="P62" s="208">
        <f ca="1">IF(B62&gt;=$J$5,0,CONTADORES!$U56-CONTADORES!$U55)</f>
        <v>147.10000000000218</v>
      </c>
      <c r="Q62" s="208">
        <f ca="1">IF(B62&gt;=$J$5,0,CONTADORES!$B56-CONTADORES!$B55)</f>
        <v>0</v>
      </c>
      <c r="R62" s="202">
        <f t="shared" ca="1" si="4"/>
        <v>0</v>
      </c>
      <c r="S62" s="11">
        <f ca="1">IF(B62&gt;=$J$5,0,CONTADORES!$D56-CONTADORES!$D55)</f>
        <v>0</v>
      </c>
      <c r="T62" s="204">
        <f ca="1">IF(B62&gt;=$J$5,0,CONTADORES!$AZ56-CONTADORES!$AZ55)</f>
        <v>0</v>
      </c>
      <c r="U62" s="202">
        <f t="shared" ca="1" si="30"/>
        <v>0</v>
      </c>
      <c r="V62" s="205">
        <f ca="1">IF(B62&gt;=$J$5,0,CONTADORES!$BB56-CONTADORES!$BB55)</f>
        <v>0</v>
      </c>
      <c r="W62" s="1438">
        <f t="shared" ca="1" si="6"/>
        <v>450.10000000000218</v>
      </c>
      <c r="X62" s="1438">
        <f t="shared" ca="1" si="7"/>
        <v>0</v>
      </c>
      <c r="Y62" s="1439">
        <f t="shared" ca="1" si="8"/>
        <v>450.10000000000218</v>
      </c>
      <c r="Z62" s="1439">
        <f t="shared" ca="1" si="9"/>
        <v>8.6230625760598691</v>
      </c>
      <c r="AA62" s="1439">
        <f t="shared" ca="1" si="10"/>
        <v>0</v>
      </c>
      <c r="AB62" s="1439">
        <f t="shared" ca="1" si="11"/>
        <v>48</v>
      </c>
      <c r="AC62" s="1438">
        <f t="shared" ca="1" si="12"/>
        <v>0</v>
      </c>
      <c r="AD62" s="1438">
        <f ca="1">IF(B62=$J$5,0,CONTADORES!H56-CONTADORES!H55)</f>
        <v>169.40000000002328</v>
      </c>
      <c r="AE62" s="1438">
        <f ca="1">IF(B62=$J$5,0,CONTADORES!J56-CONTADORES!J55)</f>
        <v>24</v>
      </c>
      <c r="AF62" s="1438">
        <f ca="1">IF(B62=$J$5,0,CONTADORES!AS56-CONTADORES!AS55)</f>
        <v>150.70000000001164</v>
      </c>
      <c r="AG62" s="1438">
        <f ca="1">IF(B62=$J$5,0,CONTADORES!AU56-CONTADORES!AU55)</f>
        <v>24</v>
      </c>
      <c r="AH62" s="1438">
        <f ca="1">IF(B62=$J$5,0,(CONTADORES!AK56-CONTADORES!AK55)+(CONTADORES!K56-CONTADORES!K55))</f>
        <v>8.7999999999956344</v>
      </c>
      <c r="AI62" s="1438">
        <f ca="1">IF(B62=$J$5,0,(CONTADORES!AI56-CONTADORES!AI55)+(CONTADORES!M56-CONTADORES!M55))</f>
        <v>38.69999999999709</v>
      </c>
      <c r="AJ62" s="1438">
        <f ca="1">IF(B62=$J$5,0,(CONTADORES!AG56-CONTADORES!AG55))</f>
        <v>10.069999999992433</v>
      </c>
      <c r="AK62" s="1438">
        <f ca="1">IF(B62=$J$5,0,(CONTADORES!O56-CONTADORES!O55))</f>
        <v>16.700000000011642</v>
      </c>
      <c r="AL62" s="1438">
        <f t="shared" ca="1" si="13"/>
        <v>27.129999999993743</v>
      </c>
      <c r="AM62" s="1438">
        <f ca="1">IF(B62&gt;=$J$5,0,(((CONTADORES!F56-CONTADORES!F55)+(CONTADORES!AO56-CONTADORES!AO55))))-BJ62-AF62-AN62-BM62-BP62-BU62-BS62</f>
        <v>10.476999999976444</v>
      </c>
      <c r="AN62" s="1438">
        <f ca="1">IF(B62=$J$5,0,(CONTADORES!AV56-CONTADORES!AV55)+(CONTADORES!AX56-CONTADORES!AX55)+(CONTADORES!BC56-CONTADORES!BC55))-BS62</f>
        <v>2.791000000000273</v>
      </c>
      <c r="AO62" s="1478">
        <f ca="1">IF(B62&gt;=$J$5,0,(CONTADORES!AA56-CONTADORES!AA55))</f>
        <v>154.5</v>
      </c>
      <c r="AP62" s="1478">
        <f ca="1">IF(B62&gt;=$J$5,0,(CONTADORES!V56-CONTADORES!V55))</f>
        <v>77.399999999999636</v>
      </c>
      <c r="AQ62" s="1474">
        <f ca="1">IF(B62&gt;=$J$5,0,(CONTADORES!C56-CONTADORES!C55))</f>
        <v>0</v>
      </c>
      <c r="AR62" s="1440">
        <f ca="1">IF(B62&gt;=$J$5,0,(CONTADORES!BA56-CONTADORES!BA55))</f>
        <v>0</v>
      </c>
      <c r="AS62" s="1438">
        <f ca="1">IF(B62=$J$5,0,CONTADORES!Q56-CONTADORES!Q55)</f>
        <v>17.5</v>
      </c>
      <c r="AT62" s="1438">
        <f ca="1">IF(B62=$J$5,0,(CONTADORES!S56-CONTADORES!S55)+(CONTADORES!AE56-CONTADORES!AE55))</f>
        <v>2.1000000000058208</v>
      </c>
      <c r="AU62" s="1438">
        <f>CONTADORES!I56-CONTADORES!I55</f>
        <v>87.200000000011642</v>
      </c>
      <c r="AV62" s="1438">
        <f>CONTADORES!AT56-CONTADORES!AT55</f>
        <v>65</v>
      </c>
      <c r="AW62" s="1438">
        <f ca="1">IF(B62&gt;=$J$5,0,(CONTADORES!L56-CONTADORES!L55)+(CONTADORES!AL56-CONTADORES!AL55))</f>
        <v>3.5999999999985448</v>
      </c>
      <c r="AX62" s="1438">
        <f ca="1">IF(B62&gt;=$J$5,0,(CONTADORES!N56-CONTADORES!N55)+(CONTADORES!AJ56-CONTADORES!AJ55))</f>
        <v>31.5</v>
      </c>
      <c r="AY62" s="1438">
        <f ca="1">IF(B62&gt;=$J$5,0,(CONTADORES!AH56-CONTADORES!AH55))</f>
        <v>7.8000000000029104</v>
      </c>
      <c r="AZ62" s="1438">
        <f ca="1">IF(B62&gt;=$J$5,0,(CONTADORES!P56-CONTADORES!P55))</f>
        <v>14.5</v>
      </c>
      <c r="BA62" s="1438">
        <f t="shared" ca="1" si="14"/>
        <v>7.7989999999985287</v>
      </c>
      <c r="BB62" s="1438">
        <f ca="1">IF(B62&gt;=$J$5,0,(((CONTADORES!G56-CONTADORES!G55)+(CONTADORES!AP56-CONTADORES!AP55))))-AV62-BC62-BK62-BN62-BQ62-BV62</f>
        <v>8.0999999999877215</v>
      </c>
      <c r="BC62" s="1794">
        <f ca="1">IF(B62&gt;=$J$5,0,(CONTADORES!AW56-CONTADORES!AW55)+(CONTADORES!AY56-CONTADORES!AY55)+(CONTADORES!BD56-CONTADORES!BD55))-BT62</f>
        <v>1.2989999999999089</v>
      </c>
      <c r="BD62" s="1438">
        <f t="shared" ca="1" si="15"/>
        <v>231.89999999999964</v>
      </c>
      <c r="BE62" s="1439">
        <f ca="1">IF($B62&gt;=$J$5,0,CONTADORES!$BE56)</f>
        <v>6204.5300000000016</v>
      </c>
      <c r="BF62" s="1438">
        <f ca="1">IF($B62&gt;=$J$5,0,CONTADORES!$BF56)</f>
        <v>34906.298245614038</v>
      </c>
      <c r="BG62" s="1438">
        <f ca="1">IF($B62&gt;=$J$5,0,CONTADORES!$BH56)</f>
        <v>4535.5</v>
      </c>
      <c r="BH62" s="1438">
        <f ca="1">IF(B62&gt;=$J$5,0,(CONTADORES!AQ56-CONTADORES!AQ55))</f>
        <v>4.9000000000014552</v>
      </c>
      <c r="BI62" s="1438">
        <f ca="1">IF(B62&gt;=$J$5,0,(CONTADORES!AR56-CONTADORES!AR55))</f>
        <v>0</v>
      </c>
      <c r="BJ62" s="1450">
        <f ca="1">IF(B62&gt;=$J$5,0,CONTADORES!BI56-CONTADORES!BI55)/1000</f>
        <v>0</v>
      </c>
      <c r="BK62" s="1479">
        <f ca="1">IF(B62&gt;=$J$5,0,CONTADORES!BJ56-CONTADORES!BJ55)</f>
        <v>0</v>
      </c>
      <c r="BL62" s="1479">
        <f ca="1">IF(B62&gt;=$J$5,0,CONTADORES!BK56-CONTADORES!BK55)</f>
        <v>0</v>
      </c>
      <c r="BM62" s="1479">
        <f ca="1">IF(B62&gt;=$J$5,0,CONTADORES!BL56-CONTADORES!BL55)/1000</f>
        <v>5.1970000000000001</v>
      </c>
      <c r="BN62" s="1479">
        <f ca="1">IF(B62&gt;=$J$5,0,CONTADORES!BM56-CONTADORES!BM55)/1000</f>
        <v>0.19800000000000001</v>
      </c>
      <c r="BO62" s="1479">
        <f ca="1">IF(B62&gt;=$J$5,0,CONTADORES!BN56-CONTADORES!BN55)</f>
        <v>22.200000000000728</v>
      </c>
      <c r="BP62" s="1479">
        <f ca="1">IF(B62&gt;=$J$5,0,CONTADORES!BO56-CONTADORES!BO55)/1000</f>
        <v>2.726</v>
      </c>
      <c r="BQ62" s="1479">
        <f ca="1">IF(B62&gt;=$J$5,0,CONTADORES!BP56-CONTADORES!BP55)/1000</f>
        <v>3.0000000000000001E-3</v>
      </c>
      <c r="BR62" s="1479">
        <f ca="1">IF(B62&gt;=$J$5,0,CONTADORES!BQ56-CONTADORES!BQ55)</f>
        <v>22.299999999999272</v>
      </c>
      <c r="BS62" s="1450">
        <f ca="1">IF(B62&gt;=$J$5,0,(CONTADORES!BT56-CONTADORES!BT55)+(CONTADORES!BV56-CONTADORES!BV55))/1000</f>
        <v>1.409</v>
      </c>
      <c r="BT62" s="1479">
        <f ca="1">IF(B62&gt;=$J$5,0,(CONTADORES!BU56-CONTADORES!BU55)+(CONTADORES!BW56-CONTADORES!BW55))/1000</f>
        <v>0.80100000000000005</v>
      </c>
      <c r="BU62" s="1450">
        <f ca="1">IF(B62&gt;=$J$5,0,CONTADORES!BR56-CONTADORES!BR55)</f>
        <v>6</v>
      </c>
      <c r="BV62" s="1479">
        <f ca="1">IF(B62&gt;=$J$5,0,CONTADORES!BS56-CONTADORES!BS55)</f>
        <v>4.1000000000003638</v>
      </c>
      <c r="BW62" s="1479">
        <f t="shared" ca="1" si="16"/>
        <v>11.238499999988221</v>
      </c>
      <c r="BX62" s="1479">
        <f t="shared" ca="1" si="17"/>
        <v>8.1499999999942254</v>
      </c>
      <c r="BY62" s="1479">
        <f t="shared" ca="1" si="18"/>
        <v>5.238499999988222</v>
      </c>
      <c r="BZ62" s="1479">
        <f t="shared" ca="1" si="19"/>
        <v>1.1164000000001093</v>
      </c>
      <c r="CA62" s="1479">
        <f t="shared" ca="1" si="20"/>
        <v>5.238499999988222</v>
      </c>
      <c r="CB62" s="1479">
        <f t="shared" ca="1" si="21"/>
        <v>1.6746000000001637</v>
      </c>
      <c r="CC62" s="1479">
        <f t="shared" ca="1" si="22"/>
        <v>2.5254000000001096</v>
      </c>
      <c r="CD62" s="1479">
        <f t="shared" ca="1" si="23"/>
        <v>4.0499999999938607</v>
      </c>
      <c r="CE62" s="1479">
        <f ca="1">IF(B62&gt;=$J$5,0,CONTADORES!BS56-CONTADORES!BS55)</f>
        <v>4.1000000000003638</v>
      </c>
      <c r="CF62" s="1479">
        <f t="shared" ca="1" si="24"/>
        <v>4.0499999999938607</v>
      </c>
      <c r="CG62" s="1479">
        <f t="shared" ca="1" si="25"/>
        <v>0.64949999999995445</v>
      </c>
      <c r="CH62" s="1479">
        <f t="shared" ca="1" si="26"/>
        <v>0.64949999999995445</v>
      </c>
      <c r="CI62" s="1479">
        <f t="shared" ca="1" si="27"/>
        <v>1.4504999999999546</v>
      </c>
      <c r="CJ62" s="1480">
        <f ca="1">IF($B62&gt;=$J$5,0,CONTADORES!$BG56)</f>
        <v>9823.3936522894764</v>
      </c>
      <c r="CK62" s="1384">
        <f>CONTADORES!E56</f>
        <v>0</v>
      </c>
      <c r="CL62" s="1384">
        <f>CONTADORES!BX56</f>
        <v>0</v>
      </c>
    </row>
    <row r="63" spans="2:90">
      <c r="B63" s="220">
        <v>44979</v>
      </c>
      <c r="C63" s="204">
        <f t="shared" ca="1" si="0"/>
        <v>302.40000000002328</v>
      </c>
      <c r="D63" s="202">
        <f ca="1">'CALCULO DE GAS'!D59</f>
        <v>4.9422906396510626</v>
      </c>
      <c r="E63" s="202">
        <f ca="1">IF(B63&gt;=$J$5,0,(CONTADORES!$AB57-CONTADORES!$AB56)-$H63)</f>
        <v>24</v>
      </c>
      <c r="F63" s="204">
        <f t="shared" ca="1" si="29"/>
        <v>0</v>
      </c>
      <c r="G63" s="202">
        <f ca="1">IF(B63&gt;=$J$5,0,CONTADORES!$AD57-CONTADORES!$AD56)</f>
        <v>0</v>
      </c>
      <c r="H63" s="1437">
        <f ca="1">IF(G63&gt;0,CONTADORES!$AC57-CONTADORES!$AC56,0)</f>
        <v>0</v>
      </c>
      <c r="I63" s="205">
        <f ca="1">IF(B63&gt;=$J$5,0,CONTADORES!$Z57-CONTADORES!$Z56)</f>
        <v>302.40000000002328</v>
      </c>
      <c r="J63" s="204">
        <f t="shared" ca="1" si="2"/>
        <v>147.29999999999927</v>
      </c>
      <c r="K63" s="202">
        <f ca="1">'CALCULO DE GAS'!E59</f>
        <v>3.6775100910224379</v>
      </c>
      <c r="L63" s="1437">
        <f ca="1">IF(B63&gt;=$J$5,0,(CONTADORES!$W57-CONTADORES!$W56)-$O63)</f>
        <v>24</v>
      </c>
      <c r="M63" s="1437">
        <f t="shared" ca="1" si="31"/>
        <v>0</v>
      </c>
      <c r="N63" s="1437">
        <f ca="1">IF(B63&gt;=$J$5,0,CONTADORES!$Y57-CONTADORES!Y56)</f>
        <v>0</v>
      </c>
      <c r="O63" s="1437">
        <f ca="1">IF(N63&gt;0,CONTADORES!$X57-CONTADORES!$X56,0)</f>
        <v>0</v>
      </c>
      <c r="P63" s="208">
        <f ca="1">IF(B63&gt;=$J$5,0,CONTADORES!$U57-CONTADORES!$U56)</f>
        <v>147.29999999999927</v>
      </c>
      <c r="Q63" s="208">
        <f ca="1">IF(B63&gt;=$J$5,0,CONTADORES!$B57-CONTADORES!$B56)</f>
        <v>0</v>
      </c>
      <c r="R63" s="202">
        <f t="shared" ca="1" si="4"/>
        <v>0</v>
      </c>
      <c r="S63" s="11">
        <f ca="1">IF(B63&gt;=$J$5,0,CONTADORES!$D57-CONTADORES!$D56)</f>
        <v>0</v>
      </c>
      <c r="T63" s="204">
        <f ca="1">IF(B63&gt;=$J$5,0,CONTADORES!$AZ57-CONTADORES!$AZ56)</f>
        <v>0</v>
      </c>
      <c r="U63" s="202">
        <f t="shared" ca="1" si="30"/>
        <v>0</v>
      </c>
      <c r="V63" s="205">
        <f ca="1">IF(B63&gt;=$J$5,0,CONTADORES!$BB57-CONTADORES!$BB56)</f>
        <v>0</v>
      </c>
      <c r="W63" s="1438">
        <f t="shared" ca="1" si="6"/>
        <v>449.70000000002256</v>
      </c>
      <c r="X63" s="1438">
        <f t="shared" ca="1" si="7"/>
        <v>0</v>
      </c>
      <c r="Y63" s="1439">
        <f t="shared" ca="1" si="8"/>
        <v>449.70000000002256</v>
      </c>
      <c r="Z63" s="1439">
        <f t="shared" ca="1" si="9"/>
        <v>8.6198007306735001</v>
      </c>
      <c r="AA63" s="1439">
        <f t="shared" ca="1" si="10"/>
        <v>0</v>
      </c>
      <c r="AB63" s="1439">
        <f t="shared" ca="1" si="11"/>
        <v>48</v>
      </c>
      <c r="AC63" s="1438">
        <f t="shared" ca="1" si="12"/>
        <v>0</v>
      </c>
      <c r="AD63" s="1438">
        <f ca="1">IF(B63=$J$5,0,CONTADORES!H57-CONTADORES!H56)</f>
        <v>163.90000000002328</v>
      </c>
      <c r="AE63" s="1438">
        <f ca="1">IF(B63=$J$5,0,CONTADORES!J57-CONTADORES!J56)</f>
        <v>24</v>
      </c>
      <c r="AF63" s="1438">
        <f ca="1">IF(B63=$J$5,0,CONTADORES!AS57-CONTADORES!AS56)</f>
        <v>150.20000000001164</v>
      </c>
      <c r="AG63" s="1438">
        <f ca="1">IF(B63=$J$5,0,CONTADORES!AU57-CONTADORES!AU56)</f>
        <v>24</v>
      </c>
      <c r="AH63" s="1438">
        <f ca="1">IF(B63=$J$5,0,(CONTADORES!AK57-CONTADORES!AK56)+(CONTADORES!K57-CONTADORES!K56))</f>
        <v>10.200000000004366</v>
      </c>
      <c r="AI63" s="1438">
        <f ca="1">IF(B63=$J$5,0,(CONTADORES!AI57-CONTADORES!AI56)+(CONTADORES!M57-CONTADORES!M56))</f>
        <v>36.30000000000291</v>
      </c>
      <c r="AJ63" s="1438">
        <f ca="1">IF(B63=$J$5,0,(CONTADORES!AG57-CONTADORES!AG56))</f>
        <v>10.229999999995925</v>
      </c>
      <c r="AK63" s="1438">
        <f ca="1">IF(B63=$J$5,0,(CONTADORES!O57-CONTADORES!O56))</f>
        <v>17</v>
      </c>
      <c r="AL63" s="1438">
        <f t="shared" ca="1" si="13"/>
        <v>33.769999999993217</v>
      </c>
      <c r="AM63" s="1438">
        <f ca="1">IF(B63&gt;=$J$5,0,(((CONTADORES!F57-CONTADORES!F56)+(CONTADORES!AO57-CONTADORES!AO56))))-BJ63-AF63-AN63-BM63-BP63-BU63-BS63</f>
        <v>7.1569999999906333</v>
      </c>
      <c r="AN63" s="1438">
        <f ca="1">IF(B63=$J$5,0,(CONTADORES!AV57-CONTADORES!AV56)+(CONTADORES!AX57-CONTADORES!AX56)+(CONTADORES!BC57-CONTADORES!BC56))-BS63</f>
        <v>1.8150000000002728</v>
      </c>
      <c r="AO63" s="1478">
        <f ca="1">IF(B63&gt;=$J$5,0,(CONTADORES!AA57-CONTADORES!AA56))</f>
        <v>151.29999999998836</v>
      </c>
      <c r="AP63" s="1478">
        <f ca="1">IF(B63&gt;=$J$5,0,(CONTADORES!V57-CONTADORES!V56))</f>
        <v>77.600000000000364</v>
      </c>
      <c r="AQ63" s="1474">
        <f ca="1">IF(B63&gt;=$J$5,0,(CONTADORES!C57-CONTADORES!C56))</f>
        <v>0</v>
      </c>
      <c r="AR63" s="1440">
        <f ca="1">IF(B63&gt;=$J$5,0,(CONTADORES!BA57-CONTADORES!BA56))</f>
        <v>0</v>
      </c>
      <c r="AS63" s="1438">
        <f ca="1">IF(B63=$J$5,0,CONTADORES!Q57-CONTADORES!Q56)</f>
        <v>17.5</v>
      </c>
      <c r="AT63" s="1438">
        <f ca="1">IF(B63=$J$5,0,(CONTADORES!S57-CONTADORES!S56)+(CONTADORES!AE57-CONTADORES!AE56))</f>
        <v>2.1999999999970896</v>
      </c>
      <c r="AU63" s="1438">
        <f>CONTADORES!I57-CONTADORES!I56</f>
        <v>83.799999999988358</v>
      </c>
      <c r="AV63" s="1438">
        <f>CONTADORES!AT57-CONTADORES!AT56</f>
        <v>64.899999999994179</v>
      </c>
      <c r="AW63" s="1438">
        <f ca="1">IF(B63&gt;=$J$5,0,(CONTADORES!L57-CONTADORES!L56)+(CONTADORES!AL57-CONTADORES!AL56))</f>
        <v>3.7999999999992724</v>
      </c>
      <c r="AX63" s="1438">
        <f ca="1">IF(B63&gt;=$J$5,0,(CONTADORES!N57-CONTADORES!N56)+(CONTADORES!AJ57-CONTADORES!AJ56))</f>
        <v>28.400000000001455</v>
      </c>
      <c r="AY63" s="1438">
        <f ca="1">IF(B63&gt;=$J$5,0,(CONTADORES!AH57-CONTADORES!AH56))</f>
        <v>7.9000000000014552</v>
      </c>
      <c r="AZ63" s="1438">
        <f ca="1">IF(B63&gt;=$J$5,0,(CONTADORES!P57-CONTADORES!P56))</f>
        <v>14</v>
      </c>
      <c r="BA63" s="1438">
        <f t="shared" ca="1" si="14"/>
        <v>12.318999999974892</v>
      </c>
      <c r="BB63" s="1438">
        <f ca="1">IF(B63&gt;=$J$5,0,(((CONTADORES!G57-CONTADORES!G56)+(CONTADORES!AP57-CONTADORES!AP56))))-AV63-BC63-BK63-BN63-BQ63-BV63</f>
        <v>6.443000000029377</v>
      </c>
      <c r="BC63" s="1794">
        <f ca="1">IF(B63&gt;=$J$5,0,(CONTADORES!AW57-CONTADORES!AW56)+(CONTADORES!AY57-CONTADORES!AY56)+(CONTADORES!BD57-CONTADORES!BD56))-BT63</f>
        <v>0.91900000000027282</v>
      </c>
      <c r="BD63" s="1438">
        <f t="shared" ca="1" si="15"/>
        <v>228.89999999998872</v>
      </c>
      <c r="BE63" s="1439">
        <f ca="1">IF($B63&gt;=$J$5,0,CONTADORES!$BE57)</f>
        <v>6695.38</v>
      </c>
      <c r="BF63" s="1438">
        <f ca="1">IF($B63&gt;=$J$5,0,CONTADORES!$BF57)</f>
        <v>34990.287719298198</v>
      </c>
      <c r="BG63" s="1438">
        <f ca="1">IF($B63&gt;=$J$5,0,CONTADORES!$BH57)</f>
        <v>5883.63</v>
      </c>
      <c r="BH63" s="1438">
        <f ca="1">IF(B63&gt;=$J$5,0,(CONTADORES!AQ57-CONTADORES!AQ56))</f>
        <v>5.0999999999985448</v>
      </c>
      <c r="BI63" s="1438">
        <f ca="1">IF(B63&gt;=$J$5,0,(CONTADORES!AR57-CONTADORES!AR56))</f>
        <v>0</v>
      </c>
      <c r="BJ63" s="1450">
        <f ca="1">IF(B63&gt;=$J$5,0,CONTADORES!BI57-CONTADORES!BI56)/1000</f>
        <v>0</v>
      </c>
      <c r="BK63" s="1479">
        <f ca="1">IF(B63&gt;=$J$5,0,CONTADORES!BJ57-CONTADORES!BJ56)</f>
        <v>0</v>
      </c>
      <c r="BL63" s="1479">
        <f ca="1">IF(B63&gt;=$J$5,0,CONTADORES!BK57-CONTADORES!BK56)</f>
        <v>0</v>
      </c>
      <c r="BM63" s="1479">
        <f ca="1">IF(B63&gt;=$J$5,0,CONTADORES!BL57-CONTADORES!BL56)/1000</f>
        <v>2.4279999999999999</v>
      </c>
      <c r="BN63" s="1479">
        <f ca="1">IF(B63&gt;=$J$5,0,CONTADORES!BM57-CONTADORES!BM56)/1000</f>
        <v>0</v>
      </c>
      <c r="BO63" s="1479">
        <f ca="1">IF(B63&gt;=$J$5,0,CONTADORES!BN57-CONTADORES!BN56)</f>
        <v>24.100000000002183</v>
      </c>
      <c r="BP63" s="1479">
        <f ca="1">IF(B63&gt;=$J$5,0,CONTADORES!BO57-CONTADORES!BO56)/1000</f>
        <v>6.2149999999999999</v>
      </c>
      <c r="BQ63" s="1479">
        <f ca="1">IF(B63&gt;=$J$5,0,CONTADORES!BP57-CONTADORES!BP56)/1000</f>
        <v>3.7999999999999999E-2</v>
      </c>
      <c r="BR63" s="1479">
        <f ca="1">IF(B63&gt;=$J$5,0,CONTADORES!BQ57-CONTADORES!BQ56)</f>
        <v>24.099999999998545</v>
      </c>
      <c r="BS63" s="1450">
        <f ca="1">IF(B63&gt;=$J$5,0,(CONTADORES!BT57-CONTADORES!BT56)+(CONTADORES!BV57-CONTADORES!BV56))/1000</f>
        <v>1.385</v>
      </c>
      <c r="BT63" s="1479">
        <f ca="1">IF(B63&gt;=$J$5,0,(CONTADORES!BU57-CONTADORES!BU56)+(CONTADORES!BW57-CONTADORES!BW56))/1000</f>
        <v>0.78100000000000003</v>
      </c>
      <c r="BU63" s="1450">
        <f ca="1">IF(B63&gt;=$J$5,0,CONTADORES!BR57-CONTADORES!BR56)</f>
        <v>9.1000000000003638</v>
      </c>
      <c r="BV63" s="1479">
        <f ca="1">IF(B63&gt;=$J$5,0,CONTADORES!BS57-CONTADORES!BS56)</f>
        <v>5.5999999999994543</v>
      </c>
      <c r="BW63" s="1479">
        <f t="shared" ca="1" si="16"/>
        <v>12.67849999999568</v>
      </c>
      <c r="BX63" s="1479">
        <f t="shared" ca="1" si="17"/>
        <v>8.8215000000141437</v>
      </c>
      <c r="BY63" s="1479">
        <f t="shared" ca="1" si="18"/>
        <v>3.5784999999953166</v>
      </c>
      <c r="BZ63" s="1479">
        <f t="shared" ca="1" si="19"/>
        <v>0.72600000000010922</v>
      </c>
      <c r="CA63" s="1479">
        <f t="shared" ca="1" si="20"/>
        <v>3.5784999999953166</v>
      </c>
      <c r="CB63" s="1479">
        <f t="shared" ca="1" si="21"/>
        <v>1.0890000000001636</v>
      </c>
      <c r="CC63" s="1479">
        <f t="shared" ca="1" si="22"/>
        <v>2.111000000000109</v>
      </c>
      <c r="CD63" s="1479">
        <f t="shared" ca="1" si="23"/>
        <v>3.2215000000146885</v>
      </c>
      <c r="CE63" s="1479">
        <f ca="1">IF(B63&gt;=$J$5,0,CONTADORES!BS57-CONTADORES!BS56)</f>
        <v>5.5999999999994543</v>
      </c>
      <c r="CF63" s="1479">
        <f t="shared" ca="1" si="24"/>
        <v>3.2215000000146885</v>
      </c>
      <c r="CG63" s="1479">
        <f t="shared" ca="1" si="25"/>
        <v>0.45950000000013641</v>
      </c>
      <c r="CH63" s="1479">
        <f t="shared" ca="1" si="26"/>
        <v>0.45950000000013641</v>
      </c>
      <c r="CI63" s="1479">
        <f t="shared" ca="1" si="27"/>
        <v>1.2405000000001365</v>
      </c>
      <c r="CJ63" s="1480">
        <f ca="1">IF($B63&gt;=$J$5,0,CONTADORES!$BG57)</f>
        <v>9766.5114902784808</v>
      </c>
      <c r="CK63" s="1384">
        <f>CONTADORES!E57</f>
        <v>0</v>
      </c>
      <c r="CL63" s="1384">
        <f>CONTADORES!BX57</f>
        <v>0</v>
      </c>
    </row>
    <row r="64" spans="2:90">
      <c r="B64" s="220">
        <v>44980</v>
      </c>
      <c r="C64" s="204">
        <f t="shared" ca="1" si="0"/>
        <v>259.1600000000326</v>
      </c>
      <c r="D64" s="202">
        <f ca="1">'CALCULO DE GAS'!D60</f>
        <v>4.5896851533668492</v>
      </c>
      <c r="E64" s="202">
        <f ca="1">IF(B64&gt;=$J$5,0,(CONTADORES!$AB58-CONTADORES!$AB57)-$H64)</f>
        <v>24</v>
      </c>
      <c r="F64" s="204">
        <f t="shared" ca="1" si="29"/>
        <v>0</v>
      </c>
      <c r="G64" s="202">
        <f ca="1">IF(B64&gt;=$J$5,0,CONTADORES!$AD58-CONTADORES!$AD57)</f>
        <v>0</v>
      </c>
      <c r="H64" s="1437">
        <f ca="1">IF(G64&gt;0,CONTADORES!$AC58-CONTADORES!$AC57,0)</f>
        <v>0</v>
      </c>
      <c r="I64" s="205">
        <f ca="1">IF(B64&gt;=$J$5,0,CONTADORES!$Z58-CONTADORES!$Z57)</f>
        <v>259.1600000000326</v>
      </c>
      <c r="J64" s="204">
        <f t="shared" ca="1" si="2"/>
        <v>133.54000000000087</v>
      </c>
      <c r="K64" s="202">
        <f ca="1">'CALCULO DE GAS'!E60</f>
        <v>3.565302609725693</v>
      </c>
      <c r="L64" s="1437">
        <f ca="1">IF(B64&gt;=$J$5,0,(CONTADORES!$W58-CONTADORES!$W57)-$O64)</f>
        <v>24</v>
      </c>
      <c r="M64" s="1437">
        <f t="shared" ca="1" si="31"/>
        <v>0</v>
      </c>
      <c r="N64" s="1437">
        <f ca="1">IF(B64&gt;=$J$5,0,CONTADORES!$Y58-CONTADORES!Y57)</f>
        <v>0</v>
      </c>
      <c r="O64" s="1437">
        <f ca="1">IF(N64&gt;0,CONTADORES!$X58-CONTADORES!$X57,0)</f>
        <v>0</v>
      </c>
      <c r="P64" s="208">
        <f ca="1">IF(B64&gt;=$J$5,0,CONTADORES!$U58-CONTADORES!$U57)</f>
        <v>133.54000000000087</v>
      </c>
      <c r="Q64" s="208">
        <f ca="1">IF(B64&gt;=$J$5,0,CONTADORES!$B58-CONTADORES!$B57)</f>
        <v>0</v>
      </c>
      <c r="R64" s="202">
        <f t="shared" ca="1" si="4"/>
        <v>0</v>
      </c>
      <c r="S64" s="11">
        <f ca="1">IF(B64&gt;=$J$5,0,CONTADORES!$D58-CONTADORES!$D57)</f>
        <v>0</v>
      </c>
      <c r="T64" s="204">
        <f ca="1">IF(B64&gt;=$J$5,0,CONTADORES!$AZ58-CONTADORES!$AZ57)</f>
        <v>0</v>
      </c>
      <c r="U64" s="202">
        <f t="shared" ca="1" si="30"/>
        <v>0</v>
      </c>
      <c r="V64" s="205">
        <f ca="1">IF(B64&gt;=$J$5,0,CONTADORES!$BB58-CONTADORES!$BB57)</f>
        <v>0</v>
      </c>
      <c r="W64" s="1438">
        <f t="shared" ca="1" si="6"/>
        <v>392.70000000003347</v>
      </c>
      <c r="X64" s="1438">
        <f t="shared" ca="1" si="7"/>
        <v>0</v>
      </c>
      <c r="Y64" s="1439">
        <f t="shared" ca="1" si="8"/>
        <v>392.70000000003347</v>
      </c>
      <c r="Z64" s="1439">
        <f t="shared" ca="1" si="9"/>
        <v>8.1549877630925423</v>
      </c>
      <c r="AA64" s="1439">
        <f t="shared" ca="1" si="10"/>
        <v>0</v>
      </c>
      <c r="AB64" s="1439">
        <f t="shared" ca="1" si="11"/>
        <v>48</v>
      </c>
      <c r="AC64" s="1438">
        <f t="shared" ca="1" si="12"/>
        <v>0</v>
      </c>
      <c r="AD64" s="1438">
        <f ca="1">IF(B64=$J$5,0,CONTADORES!H58-CONTADORES!H57)</f>
        <v>151.59999999997672</v>
      </c>
      <c r="AE64" s="1438">
        <f ca="1">IF(B64=$J$5,0,CONTADORES!J58-CONTADORES!J57)</f>
        <v>23</v>
      </c>
      <c r="AF64" s="1438">
        <f ca="1">IF(B64=$J$5,0,CONTADORES!AS58-CONTADORES!AS57)</f>
        <v>123.88999999995576</v>
      </c>
      <c r="AG64" s="1438">
        <f ca="1">IF(B64=$J$5,0,CONTADORES!AU58-CONTADORES!AU57)</f>
        <v>20</v>
      </c>
      <c r="AH64" s="1438">
        <f ca="1">IF(B64=$J$5,0,(CONTADORES!AK58-CONTADORES!AK57)+(CONTADORES!K58-CONTADORES!K57))</f>
        <v>0.1000000000003638</v>
      </c>
      <c r="AI64" s="1438">
        <f ca="1">IF(B64=$J$5,0,(CONTADORES!AI58-CONTADORES!AI57)+(CONTADORES!M58-CONTADORES!M57))</f>
        <v>33.110000000007858</v>
      </c>
      <c r="AJ64" s="1438">
        <f ca="1">IF(B64=$J$5,0,(CONTADORES!AG58-CONTADORES!AG57))</f>
        <v>9.9500000000116415</v>
      </c>
      <c r="AK64" s="1438">
        <f ca="1">IF(B64=$J$5,0,(CONTADORES!O58-CONTADORES!O57))</f>
        <v>14.470000000001164</v>
      </c>
      <c r="AL64" s="1438">
        <f t="shared" ca="1" si="13"/>
        <v>35.470000000050334</v>
      </c>
      <c r="AM64" s="1438">
        <f ca="1">IF(B64&gt;=$J$5,0,(((CONTADORES!F58-CONTADORES!F57)+(CONTADORES!AO58-CONTADORES!AO57))))-BJ64-AF64-AN64-BM64-BP64-BU64-BS64</f>
        <v>6.2340000000294262</v>
      </c>
      <c r="AN64" s="1438">
        <f ca="1">IF(B64=$J$5,0,(CONTADORES!AV58-CONTADORES!AV57)+(CONTADORES!AX58-CONTADORES!AX57)+(CONTADORES!BC58-CONTADORES!BC57))-BS64</f>
        <v>3.2670000000004036</v>
      </c>
      <c r="AO64" s="1478">
        <f ca="1">IF(B64&gt;=$J$5,0,(CONTADORES!AA58-CONTADORES!AA57))</f>
        <v>135.21000000002095</v>
      </c>
      <c r="AP64" s="1478">
        <f ca="1">IF(B64&gt;=$J$5,0,(CONTADORES!V58-CONTADORES!V57))</f>
        <v>69.309999999999491</v>
      </c>
      <c r="AQ64" s="1474">
        <f ca="1">IF(B64&gt;=$J$5,0,(CONTADORES!C58-CONTADORES!C57))</f>
        <v>0</v>
      </c>
      <c r="AR64" s="1440">
        <f ca="1">IF(B64&gt;=$J$5,0,(CONTADORES!BA58-CONTADORES!BA57))</f>
        <v>0</v>
      </c>
      <c r="AS64" s="1438">
        <f ca="1">IF(B64=$J$5,0,CONTADORES!Q58-CONTADORES!Q57)</f>
        <v>17.350000000005821</v>
      </c>
      <c r="AT64" s="1438">
        <f ca="1">IF(B64=$J$5,0,(CONTADORES!S58-CONTADORES!S57)+(CONTADORES!AE58-CONTADORES!AE57))</f>
        <v>2.3000000000029104</v>
      </c>
      <c r="AU64" s="1438">
        <f>CONTADORES!I58-CONTADORES!I57</f>
        <v>78.799999999988358</v>
      </c>
      <c r="AV64" s="1438">
        <f>CONTADORES!AT58-CONTADORES!AT57</f>
        <v>53.719000000011874</v>
      </c>
      <c r="AW64" s="1438">
        <f ca="1">IF(B64&gt;=$J$5,0,(CONTADORES!L58-CONTADORES!L57)+(CONTADORES!AL58-CONTADORES!AL57))</f>
        <v>0</v>
      </c>
      <c r="AX64" s="1438">
        <f ca="1">IF(B64&gt;=$J$5,0,(CONTADORES!N58-CONTADORES!N57)+(CONTADORES!AJ58-CONTADORES!AJ57))</f>
        <v>25.749999999992724</v>
      </c>
      <c r="AY64" s="1438">
        <f ca="1">IF(B64&gt;=$J$5,0,(CONTADORES!AH58-CONTADORES!AH57))</f>
        <v>7.7399999999979627</v>
      </c>
      <c r="AZ64" s="1438">
        <f ca="1">IF(B64&gt;=$J$5,0,(CONTADORES!P58-CONTADORES!P57))</f>
        <v>12.639999999999418</v>
      </c>
      <c r="BA64" s="1438">
        <f t="shared" ca="1" si="14"/>
        <v>13.536000000065116</v>
      </c>
      <c r="BB64" s="1438">
        <f ca="1">IF(B64&gt;=$J$5,0,(((CONTADORES!G58-CONTADORES!G57)+(CONTADORES!AP58-CONTADORES!AP57))))-AV64-BC64-BK64-BN64-BQ64-BV64</f>
        <v>4.8609999999647133</v>
      </c>
      <c r="BC64" s="1794">
        <f ca="1">IF(B64&gt;=$J$5,0,(CONTADORES!AW58-CONTADORES!AW57)+(CONTADORES!AY58-CONTADORES!AY57)+(CONTADORES!BD58-CONTADORES!BD57))-BT64</f>
        <v>2.0559999999998375</v>
      </c>
      <c r="BD64" s="1438">
        <f t="shared" ca="1" si="15"/>
        <v>204.52000000002045</v>
      </c>
      <c r="BE64" s="1439">
        <f ca="1">IF($B64&gt;=$J$5,0,CONTADORES!$BE58)</f>
        <v>5647.43</v>
      </c>
      <c r="BF64" s="1438">
        <f ca="1">IF($B64&gt;=$J$5,0,CONTADORES!$BF58)</f>
        <v>27344.350877192999</v>
      </c>
      <c r="BG64" s="1438">
        <f ca="1">IF($B64&gt;=$J$5,0,CONTADORES!$BH58)</f>
        <v>4804.57</v>
      </c>
      <c r="BH64" s="1438">
        <f ca="1">IF(B64&gt;=$J$5,0,(CONTADORES!AQ58-CONTADORES!AQ57))</f>
        <v>4.9389999999984866</v>
      </c>
      <c r="BI64" s="1438">
        <f ca="1">IF(B64&gt;=$J$5,0,(CONTADORES!AR58-CONTADORES!AR57))</f>
        <v>0</v>
      </c>
      <c r="BJ64" s="1450">
        <f ca="1">IF(B64&gt;=$J$5,0,CONTADORES!BI58-CONTADORES!BI57)/1000</f>
        <v>0</v>
      </c>
      <c r="BK64" s="1479">
        <f ca="1">IF(B64&gt;=$J$5,0,CONTADORES!BJ58-CONTADORES!BJ57)</f>
        <v>0</v>
      </c>
      <c r="BL64" s="1479">
        <f ca="1">IF(B64&gt;=$J$5,0,CONTADORES!BK58-CONTADORES!BK57)</f>
        <v>7.2400000000016007</v>
      </c>
      <c r="BM64" s="1479">
        <f ca="1">IF(B64&gt;=$J$5,0,CONTADORES!BL58-CONTADORES!BL57)/1000</f>
        <v>1.698</v>
      </c>
      <c r="BN64" s="1479">
        <f ca="1">IF(B64&gt;=$J$5,0,CONTADORES!BM58-CONTADORES!BM57)/1000</f>
        <v>3.0000000000000001E-3</v>
      </c>
      <c r="BO64" s="1479">
        <f ca="1">IF(B64&gt;=$J$5,0,CONTADORES!BN58-CONTADORES!BN57)</f>
        <v>16.899999999997817</v>
      </c>
      <c r="BP64" s="1479">
        <f ca="1">IF(B64&gt;=$J$5,0,CONTADORES!BO58-CONTADORES!BO57)/1000</f>
        <v>4.3680000000000003</v>
      </c>
      <c r="BQ64" s="1479">
        <f ca="1">IF(B64&gt;=$J$5,0,CONTADORES!BP58-CONTADORES!BP57)/1000</f>
        <v>3.1E-2</v>
      </c>
      <c r="BR64" s="1479">
        <f ca="1">IF(B64&gt;=$J$5,0,CONTADORES!BQ58-CONTADORES!BQ57)</f>
        <v>16.900000000001455</v>
      </c>
      <c r="BS64" s="1450">
        <f ca="1">IF(B64&gt;=$J$5,0,(CONTADORES!BT58-CONTADORES!BT57)+(CONTADORES!BV58-CONTADORES!BV57))/1000</f>
        <v>1.133</v>
      </c>
      <c r="BT64" s="1479">
        <f ca="1">IF(B64&gt;=$J$5,0,(CONTADORES!BU58-CONTADORES!BU57)+(CONTADORES!BW58-CONTADORES!BW57))/1000</f>
        <v>0.65400000000000003</v>
      </c>
      <c r="BU64" s="1450">
        <f ca="1">IF(B64&gt;=$J$5,0,CONTADORES!BR58-CONTADORES!BR57)</f>
        <v>7.4099999999998545</v>
      </c>
      <c r="BV64" s="1479">
        <f ca="1">IF(B64&gt;=$J$5,0,CONTADORES!BS58-CONTADORES!BS57)</f>
        <v>4.7300000000004729</v>
      </c>
      <c r="BW64" s="1479">
        <f t="shared" ca="1" si="16"/>
        <v>10.527000000014567</v>
      </c>
      <c r="BX64" s="1479">
        <f t="shared" ca="1" si="17"/>
        <v>7.1604999999828296</v>
      </c>
      <c r="BY64" s="1479">
        <f t="shared" ca="1" si="18"/>
        <v>3.1170000000147131</v>
      </c>
      <c r="BZ64" s="1479">
        <f t="shared" ca="1" si="19"/>
        <v>1.3068000000001616</v>
      </c>
      <c r="CA64" s="1479">
        <f t="shared" ca="1" si="20"/>
        <v>3.1170000000147131</v>
      </c>
      <c r="CB64" s="1479">
        <f t="shared" ca="1" si="21"/>
        <v>1.960200000000242</v>
      </c>
      <c r="CC64" s="1479">
        <f t="shared" ca="1" si="22"/>
        <v>2.4398000000001616</v>
      </c>
      <c r="CD64" s="1479">
        <f t="shared" ca="1" si="23"/>
        <v>2.4304999999823567</v>
      </c>
      <c r="CE64" s="1479">
        <f ca="1">IF(B64&gt;=$J$5,0,CONTADORES!BS58-CONTADORES!BS57)</f>
        <v>4.7300000000004729</v>
      </c>
      <c r="CF64" s="1479">
        <f t="shared" ca="1" si="24"/>
        <v>2.4304999999823567</v>
      </c>
      <c r="CG64" s="1479">
        <f t="shared" ca="1" si="25"/>
        <v>1.0279999999999188</v>
      </c>
      <c r="CH64" s="1479">
        <f t="shared" ca="1" si="26"/>
        <v>1.0279999999999188</v>
      </c>
      <c r="CI64" s="1479">
        <f t="shared" ca="1" si="27"/>
        <v>1.6819999999999187</v>
      </c>
      <c r="CJ64" s="1480">
        <f ca="1">IF($B64&gt;=$J$5,0,CONTADORES!$BG58)</f>
        <v>7013.0622308813099</v>
      </c>
      <c r="CK64" s="1384">
        <f>CONTADORES!E58</f>
        <v>0</v>
      </c>
      <c r="CL64" s="1384">
        <f>CONTADORES!BX58</f>
        <v>0</v>
      </c>
    </row>
    <row r="65" spans="2:90">
      <c r="B65" s="220">
        <v>44981</v>
      </c>
      <c r="C65" s="204">
        <f t="shared" ca="1" si="0"/>
        <v>285.06999999994878</v>
      </c>
      <c r="D65" s="202">
        <f ca="1">'CALCULO DE GAS'!D61</f>
        <v>4.8009711882788846</v>
      </c>
      <c r="E65" s="202">
        <f ca="1">IF(B65&gt;=$J$5,0,(CONTADORES!$AB59-CONTADORES!$AB58)-$H65)</f>
        <v>24</v>
      </c>
      <c r="F65" s="204">
        <f t="shared" si="29"/>
        <v>0</v>
      </c>
      <c r="G65" s="202">
        <v>0</v>
      </c>
      <c r="H65" s="1437">
        <f>IF(G65&gt;0,CONTADORES!$AC59-CONTADORES!$AC58,0)</f>
        <v>0</v>
      </c>
      <c r="I65" s="205">
        <f ca="1">IF(B65&gt;=$J$5,0,CONTADORES!$Z59-CONTADORES!$Z58)</f>
        <v>285.06999999994878</v>
      </c>
      <c r="J65" s="204">
        <f t="shared" ca="1" si="2"/>
        <v>149.68000000000029</v>
      </c>
      <c r="K65" s="202">
        <f ca="1">'CALCULO DE GAS'!E61</f>
        <v>3.6969180710723215</v>
      </c>
      <c r="L65" s="1437">
        <f ca="1">IF(B65&gt;=$J$5,0,(CONTADORES!$W59-CONTADORES!$W58)-$O65)</f>
        <v>24</v>
      </c>
      <c r="M65" s="1437">
        <f t="shared" ca="1" si="31"/>
        <v>0</v>
      </c>
      <c r="N65" s="1437">
        <f ca="1">IF(B65&gt;=$J$5,0,CONTADORES!$Y59-CONTADORES!Y58)</f>
        <v>0</v>
      </c>
      <c r="O65" s="1437">
        <f ca="1">IF(N65&gt;0,CONTADORES!$X59-CONTADORES!$X58,0)</f>
        <v>0</v>
      </c>
      <c r="P65" s="208">
        <f ca="1">IF(B65&gt;=$J$5,0,CONTADORES!$U59-CONTADORES!$U58)</f>
        <v>149.68000000000029</v>
      </c>
      <c r="Q65" s="208">
        <f ca="1">IF(B65&gt;=$J$5,0,CONTADORES!$B59-CONTADORES!$B58)</f>
        <v>0</v>
      </c>
      <c r="R65" s="202">
        <f t="shared" ca="1" si="4"/>
        <v>0</v>
      </c>
      <c r="S65" s="11">
        <f ca="1">IF(B65&gt;=$J$5,0,CONTADORES!$D59-CONTADORES!$D58)</f>
        <v>0</v>
      </c>
      <c r="T65" s="204">
        <f ca="1">IF(B65&gt;=$J$5,0,CONTADORES!$AZ59-CONTADORES!$AZ58)</f>
        <v>0</v>
      </c>
      <c r="U65" s="202">
        <f t="shared" ca="1" si="30"/>
        <v>0</v>
      </c>
      <c r="V65" s="205">
        <f ca="1">IF(B65&gt;=$J$5,0,CONTADORES!$BB59-CONTADORES!$BB58)</f>
        <v>0</v>
      </c>
      <c r="W65" s="1438">
        <f t="shared" ca="1" si="6"/>
        <v>434.74999999994907</v>
      </c>
      <c r="X65" s="1438">
        <f t="shared" ca="1" si="7"/>
        <v>0</v>
      </c>
      <c r="Y65" s="1439">
        <f t="shared" ca="1" si="8"/>
        <v>434.74999999994907</v>
      </c>
      <c r="Z65" s="1439">
        <f t="shared" ca="1" si="9"/>
        <v>8.4978892593512061</v>
      </c>
      <c r="AA65" s="1439">
        <f t="shared" ca="1" si="10"/>
        <v>0</v>
      </c>
      <c r="AB65" s="1439">
        <f t="shared" ca="1" si="11"/>
        <v>48</v>
      </c>
      <c r="AC65" s="1438">
        <f t="shared" ca="1" si="12"/>
        <v>0</v>
      </c>
      <c r="AD65" s="1438">
        <f ca="1">IF(B65=$J$5,0,CONTADORES!H59-CONTADORES!H58)</f>
        <v>164.5</v>
      </c>
      <c r="AE65" s="1438">
        <f ca="1">IF(B65=$J$5,0,CONTADORES!J59-CONTADORES!J58)</f>
        <v>24</v>
      </c>
      <c r="AF65" s="1438">
        <f ca="1">IF(B65=$J$5,0,CONTADORES!AS59-CONTADORES!AS58)</f>
        <v>142.28000000002794</v>
      </c>
      <c r="AG65" s="1438">
        <f ca="1">IF(B65=$J$5,0,CONTADORES!AU59-CONTADORES!AU58)</f>
        <v>24</v>
      </c>
      <c r="AH65" s="1438">
        <f ca="1">IF(B65=$J$5,0,(CONTADORES!AK59-CONTADORES!AK58)+(CONTADORES!K59-CONTADORES!K58))</f>
        <v>6.7999999999956344</v>
      </c>
      <c r="AI65" s="1438">
        <f ca="1">IF(B65=$J$5,0,(CONTADORES!AI59-CONTADORES!AI58)+(CONTADORES!M59-CONTADORES!M58))</f>
        <v>29.959999999999127</v>
      </c>
      <c r="AJ65" s="1438">
        <f ca="1">IF(B65=$J$5,0,(CONTADORES!AG59-CONTADORES!AG58))</f>
        <v>8.3099999999976717</v>
      </c>
      <c r="AK65" s="1438">
        <f ca="1">IF(B65=$J$5,0,(CONTADORES!O59-CONTADORES!O58))</f>
        <v>16.529999999998836</v>
      </c>
      <c r="AL65" s="1438">
        <f t="shared" ca="1" si="13"/>
        <v>39.349999999922147</v>
      </c>
      <c r="AM65" s="1438">
        <f ca="1">IF(B65&gt;=$J$5,0,(((CONTADORES!F59-CONTADORES!F58)+(CONTADORES!AO59-CONTADORES!AO58))))-BJ65-AF65-AN65-BM65-BP65-BU65-BS65</f>
        <v>9.4820000000073854</v>
      </c>
      <c r="AN65" s="1438">
        <f ca="1">IF(B65=$J$5,0,(CONTADORES!AV59-CONTADORES!AV58)+(CONTADORES!AX59-CONTADORES!AX58)+(CONTADORES!BC59-CONTADORES!BC58))-BS65</f>
        <v>2.1709999999997818</v>
      </c>
      <c r="AO65" s="1478">
        <f ca="1">IF(B65&gt;=$J$5,0,(CONTADORES!AA59-CONTADORES!AA58))</f>
        <v>140.01000000000931</v>
      </c>
      <c r="AP65" s="1478">
        <f ca="1">IF(B65&gt;=$J$5,0,(CONTADORES!V59-CONTADORES!V58))</f>
        <v>74.229999999999563</v>
      </c>
      <c r="AQ65" s="1474">
        <f ca="1">IF(B65&gt;=$J$5,0,(CONTADORES!C59-CONTADORES!C58))</f>
        <v>0</v>
      </c>
      <c r="AR65" s="1440">
        <f ca="1">IF(B65&gt;=$J$5,0,(CONTADORES!BA59-CONTADORES!BA58))</f>
        <v>0</v>
      </c>
      <c r="AS65" s="1438">
        <f ca="1">IF(B65=$J$5,0,CONTADORES!Q59-CONTADORES!Q58)</f>
        <v>17</v>
      </c>
      <c r="AT65" s="1438">
        <f ca="1">IF(B65=$J$5,0,(CONTADORES!S59-CONTADORES!S58)+(CONTADORES!AE59-CONTADORES!AE58))</f>
        <v>2.2299999999959255</v>
      </c>
      <c r="AU65" s="1438">
        <f>CONTADORES!I59-CONTADORES!I58</f>
        <v>83.5</v>
      </c>
      <c r="AV65" s="1438">
        <f>CONTADORES!AT59-CONTADORES!AT58</f>
        <v>61.786999999982072</v>
      </c>
      <c r="AW65" s="1438">
        <f ca="1">IF(B65&gt;=$J$5,0,(CONTADORES!L59-CONTADORES!L58)+(CONTADORES!AL59-CONTADORES!AL58))</f>
        <v>4.9000000000014552</v>
      </c>
      <c r="AX65" s="1438">
        <f ca="1">IF(B65&gt;=$J$5,0,(CONTADORES!N59-CONTADORES!N58)+(CONTADORES!AJ59-CONTADORES!AJ58))</f>
        <v>23.330000000001746</v>
      </c>
      <c r="AY65" s="1438">
        <f ca="1">IF(B65&gt;=$J$5,0,(CONTADORES!AH59-CONTADORES!AH58))</f>
        <v>6.4899999999979627</v>
      </c>
      <c r="AZ65" s="1438">
        <f ca="1">IF(B65&gt;=$J$5,0,(CONTADORES!P59-CONTADORES!P58))</f>
        <v>13.059999999997672</v>
      </c>
      <c r="BA65" s="1438">
        <f t="shared" ca="1" si="14"/>
        <v>12.53900000000985</v>
      </c>
      <c r="BB65" s="1438">
        <f ca="1">IF(B65&gt;=$J$5,0,(((CONTADORES!G59-CONTADORES!G58)+(CONTADORES!AP59-CONTADORES!AP58))))-AV65-BC65-BK65-BN65-BQ65-BV65</f>
        <v>2.4640000000180713</v>
      </c>
      <c r="BC65" s="1794">
        <f ca="1">IF(B65&gt;=$J$5,0,(CONTADORES!AW59-CONTADORES!AW58)+(CONTADORES!AY59-CONTADORES!AY58)+(CONTADORES!BD59-CONTADORES!BD58))-BT65</f>
        <v>1.1389999999998204</v>
      </c>
      <c r="BD65" s="1438">
        <f t="shared" ca="1" si="15"/>
        <v>214.24000000000888</v>
      </c>
      <c r="BE65" s="1439">
        <f ca="1">IF($B65&gt;=$J$5,0,CONTADORES!$BE59)</f>
        <v>6710.61</v>
      </c>
      <c r="BF65" s="1438">
        <f ca="1">IF($B65&gt;=$J$5,0,CONTADORES!$BF59)</f>
        <v>32320.5947368421</v>
      </c>
      <c r="BG65" s="1438">
        <f ca="1">IF($B65&gt;=$J$5,0,CONTADORES!$BH59)</f>
        <v>5940.16</v>
      </c>
      <c r="BH65" s="1438">
        <f ca="1">IF(B65&gt;=$J$5,0,(CONTADORES!AQ59-CONTADORES!AQ58))</f>
        <v>4.9310000000041327</v>
      </c>
      <c r="BI65" s="1438">
        <f ca="1">IF(B65&gt;=$J$5,0,(CONTADORES!AR59-CONTADORES!AR58))</f>
        <v>0</v>
      </c>
      <c r="BJ65" s="1450">
        <f ca="1">IF(B65&gt;=$J$5,0,CONTADORES!BI59-CONTADORES!BI58)/1000</f>
        <v>0</v>
      </c>
      <c r="BK65" s="1479">
        <f ca="1">IF(B65&gt;=$J$5,0,CONTADORES!BJ59-CONTADORES!BJ58)</f>
        <v>0</v>
      </c>
      <c r="BL65" s="1479">
        <f ca="1">IF(B65&gt;=$J$5,0,CONTADORES!BK59-CONTADORES!BK58)</f>
        <v>0</v>
      </c>
      <c r="BM65" s="1479">
        <f ca="1">IF(B65&gt;=$J$5,0,CONTADORES!BL59-CONTADORES!BL58)/1000</f>
        <v>5.8310000000000004</v>
      </c>
      <c r="BN65" s="1479">
        <f ca="1">IF(B65&gt;=$J$5,0,CONTADORES!BM59-CONTADORES!BM58)/1000</f>
        <v>0.15</v>
      </c>
      <c r="BO65" s="1479">
        <f ca="1">IF(B65&gt;=$J$5,0,CONTADORES!BN59-CONTADORES!BN58)</f>
        <v>24</v>
      </c>
      <c r="BP65" s="1479">
        <f ca="1">IF(B65&gt;=$J$5,0,CONTADORES!BO59-CONTADORES!BO58)/1000</f>
        <v>2.3170000000000002</v>
      </c>
      <c r="BQ65" s="1479">
        <f ca="1">IF(B65&gt;=$J$5,0,CONTADORES!BP59-CONTADORES!BP58)/1000</f>
        <v>0</v>
      </c>
      <c r="BR65" s="1479">
        <f ca="1">IF(B65&gt;=$J$5,0,CONTADORES!BQ59-CONTADORES!BQ58)</f>
        <v>24</v>
      </c>
      <c r="BS65" s="1450">
        <f ca="1">IF(B65&gt;=$J$5,0,(CONTADORES!BT59-CONTADORES!BT58)+(CONTADORES!BV59-CONTADORES!BV58))/1000</f>
        <v>1.069</v>
      </c>
      <c r="BT65" s="1479">
        <f ca="1">IF(B65&gt;=$J$5,0,(CONTADORES!BU59-CONTADORES!BU58)+(CONTADORES!BW59-CONTADORES!BW58))/1000</f>
        <v>0.621</v>
      </c>
      <c r="BU65" s="1450">
        <f ca="1">IF(B65&gt;=$J$5,0,CONTADORES!BR59-CONTADORES!BR58)</f>
        <v>6.1500000000005457</v>
      </c>
      <c r="BV65" s="1479">
        <f ca="1">IF(B65&gt;=$J$5,0,CONTADORES!BS59-CONTADORES!BS58)</f>
        <v>4.2600000000002183</v>
      </c>
      <c r="BW65" s="1479">
        <f t="shared" ca="1" si="16"/>
        <v>10.891000000004238</v>
      </c>
      <c r="BX65" s="1479">
        <f t="shared" ca="1" si="17"/>
        <v>5.4920000000092539</v>
      </c>
      <c r="BY65" s="1479">
        <f t="shared" ca="1" si="18"/>
        <v>4.7410000000036927</v>
      </c>
      <c r="BZ65" s="1479">
        <f t="shared" ca="1" si="19"/>
        <v>0.8683999999999128</v>
      </c>
      <c r="CA65" s="1479">
        <f t="shared" ca="1" si="20"/>
        <v>4.7410000000036927</v>
      </c>
      <c r="CB65" s="1479">
        <f t="shared" ca="1" si="21"/>
        <v>1.302599999999869</v>
      </c>
      <c r="CC65" s="1479">
        <f t="shared" ca="1" si="22"/>
        <v>1.9373999999999127</v>
      </c>
      <c r="CD65" s="1479">
        <f t="shared" ca="1" si="23"/>
        <v>1.2320000000090356</v>
      </c>
      <c r="CE65" s="1479">
        <f ca="1">IF(B65&gt;=$J$5,0,CONTADORES!BS59-CONTADORES!BS58)</f>
        <v>4.2600000000002183</v>
      </c>
      <c r="CF65" s="1479">
        <f t="shared" ca="1" si="24"/>
        <v>1.2320000000090356</v>
      </c>
      <c r="CG65" s="1479">
        <f t="shared" ca="1" si="25"/>
        <v>0.56949999999991019</v>
      </c>
      <c r="CH65" s="1479">
        <f t="shared" ca="1" si="26"/>
        <v>0.56949999999991019</v>
      </c>
      <c r="CI65" s="1479">
        <f t="shared" ca="1" si="27"/>
        <v>1.1904999999999102</v>
      </c>
      <c r="CJ65" s="1480">
        <f ca="1">IF($B65&gt;=$J$5,0,CONTADORES!$BG59)</f>
        <v>9777.1195175147004</v>
      </c>
      <c r="CK65" s="1384">
        <f>CONTADORES!E59</f>
        <v>0</v>
      </c>
      <c r="CL65" s="1384">
        <f>CONTADORES!BX59</f>
        <v>0</v>
      </c>
    </row>
    <row r="66" spans="2:90">
      <c r="B66" s="220">
        <v>44982</v>
      </c>
      <c r="C66" s="204">
        <f t="shared" ca="1" si="0"/>
        <v>281.48999999999069</v>
      </c>
      <c r="D66" s="202">
        <f ca="1">'CALCULO DE GAS'!D62</f>
        <v>4.7717776720697493</v>
      </c>
      <c r="E66" s="202">
        <f ca="1">IF(B66&gt;=$J$5,0,(CONTADORES!$AB60-CONTADORES!$AB59)-$H66)</f>
        <v>24</v>
      </c>
      <c r="F66" s="204">
        <v>0</v>
      </c>
      <c r="G66" s="202">
        <f ca="1">IF(B66&gt;=$J$5,0,CONTADORES!$AD60-CONTADORES!$AD59)</f>
        <v>0</v>
      </c>
      <c r="H66" s="1437">
        <f ca="1">IF(G66&gt;0,CONTADORES!$AC60-CONTADORES!$AC59,0)</f>
        <v>0</v>
      </c>
      <c r="I66" s="205">
        <f ca="1">IF(B66&gt;=$J$5,0,CONTADORES!$Z60-CONTADORES!$Z59)</f>
        <v>281.48999999999069</v>
      </c>
      <c r="J66" s="204">
        <f t="shared" ca="1" si="2"/>
        <v>151.28999999999724</v>
      </c>
      <c r="K66" s="202">
        <f ca="1">'CALCULO DE GAS'!E62</f>
        <v>3.7100469987530946</v>
      </c>
      <c r="L66" s="1437">
        <f ca="1">IF(B66&gt;=$J$5,0,(CONTADORES!$W60-CONTADORES!$W59)-$O66)</f>
        <v>24</v>
      </c>
      <c r="M66" s="1437">
        <f t="shared" ca="1" si="31"/>
        <v>0</v>
      </c>
      <c r="N66" s="1437">
        <f ca="1">IF(B66&gt;=$J$5,0,CONTADORES!$Y60-CONTADORES!Y59)</f>
        <v>0</v>
      </c>
      <c r="O66" s="1437">
        <f ca="1">IF(N66&gt;0,CONTADORES!$X60-CONTADORES!$X59,0)</f>
        <v>0</v>
      </c>
      <c r="P66" s="208">
        <f ca="1">IF(B66&gt;=$J$5,0,CONTADORES!$U60-CONTADORES!$U59)</f>
        <v>151.28999999999724</v>
      </c>
      <c r="Q66" s="208">
        <f ca="1">IF(B66&gt;=$J$5,0,CONTADORES!$B60-CONTADORES!$B59)</f>
        <v>0</v>
      </c>
      <c r="R66" s="202">
        <f t="shared" ca="1" si="4"/>
        <v>0</v>
      </c>
      <c r="S66" s="11">
        <f ca="1">IF(B66&gt;=$J$5,0,CONTADORES!$D60-CONTADORES!$D59)</f>
        <v>0</v>
      </c>
      <c r="T66" s="204">
        <f ca="1">IF(B66&gt;=$J$5,0,CONTADORES!$AZ60-CONTADORES!$AZ59)</f>
        <v>0</v>
      </c>
      <c r="U66" s="202">
        <f t="shared" ca="1" si="30"/>
        <v>0</v>
      </c>
      <c r="V66" s="205">
        <f ca="1">IF(B66&gt;=$J$5,0,CONTADORES!$BB60-CONTADORES!$BB59)</f>
        <v>0</v>
      </c>
      <c r="W66" s="1438">
        <f t="shared" ca="1" si="6"/>
        <v>432.77999999998792</v>
      </c>
      <c r="X66" s="1438">
        <f t="shared" ca="1" si="7"/>
        <v>0</v>
      </c>
      <c r="Y66" s="1439">
        <f t="shared" ca="1" si="8"/>
        <v>432.77999999998792</v>
      </c>
      <c r="Z66" s="1439">
        <f t="shared" ca="1" si="9"/>
        <v>8.481824670822844</v>
      </c>
      <c r="AA66" s="1439">
        <f t="shared" ca="1" si="10"/>
        <v>0</v>
      </c>
      <c r="AB66" s="1439">
        <f t="shared" ca="1" si="11"/>
        <v>48</v>
      </c>
      <c r="AC66" s="1438">
        <f t="shared" ca="1" si="12"/>
        <v>0</v>
      </c>
      <c r="AD66" s="1438">
        <f ca="1">IF(B66=$J$5,0,CONTADORES!H60-CONTADORES!H59)</f>
        <v>162.69999999995343</v>
      </c>
      <c r="AE66" s="1438">
        <f ca="1">IF(B66=$J$5,0,CONTADORES!J60-CONTADORES!J59)</f>
        <v>24</v>
      </c>
      <c r="AF66" s="1438">
        <f ca="1">IF(B66=$J$5,0,CONTADORES!AS60-CONTADORES!AS59)</f>
        <v>139.5800000000163</v>
      </c>
      <c r="AG66" s="1438">
        <f ca="1">IF(B66=$J$5,0,CONTADORES!AU60-CONTADORES!AU59)</f>
        <v>24</v>
      </c>
      <c r="AH66" s="1438">
        <f ca="1">IF(B66=$J$5,0,(CONTADORES!AK60-CONTADORES!AK59)+(CONTADORES!K60-CONTADORES!K59))</f>
        <v>17.600000000005821</v>
      </c>
      <c r="AI66" s="1438">
        <f ca="1">IF(B66=$J$5,0,(CONTADORES!AI60-CONTADORES!AI59)+(CONTADORES!M60-CONTADORES!M59))</f>
        <v>32.040000000000873</v>
      </c>
      <c r="AJ66" s="1438">
        <f ca="1">IF(B66=$J$5,0,(CONTADORES!AG60-CONTADORES!AG59))</f>
        <v>8.9799999999959255</v>
      </c>
      <c r="AK66" s="1438">
        <f ca="1">IF(B66=$J$5,0,(CONTADORES!O60-CONTADORES!O59))</f>
        <v>15.029999999998836</v>
      </c>
      <c r="AL66" s="1438">
        <f t="shared" ca="1" si="13"/>
        <v>27.930000000022062</v>
      </c>
      <c r="AM66" s="1438">
        <f ca="1">IF(B66&gt;=$J$5,0,(((CONTADORES!F60-CONTADORES!F59)+(CONTADORES!AO60-CONTADORES!AO59))))-BJ66-AF66-AN66-BM66-BP66-BU66-BS66</f>
        <v>9.3029999999945971</v>
      </c>
      <c r="AN66" s="1438">
        <f ca="1">IF(B66=$J$5,0,(CONTADORES!AV60-CONTADORES!AV59)+(CONTADORES!AX60-CONTADORES!AX59)+(CONTADORES!BC60-CONTADORES!BC59))-BS66</f>
        <v>3.4670000000002728</v>
      </c>
      <c r="AO66" s="1478">
        <f ca="1">IF(B66&gt;=$J$5,0,(CONTADORES!AA60-CONTADORES!AA59))</f>
        <v>141.53999999997905</v>
      </c>
      <c r="AP66" s="1478">
        <f ca="1">IF(B66&gt;=$J$5,0,(CONTADORES!V60-CONTADORES!V59))</f>
        <v>74.829999999999927</v>
      </c>
      <c r="AQ66" s="1474">
        <f ca="1">IF(B66&gt;=$J$5,0,(CONTADORES!C60-CONTADORES!C59))</f>
        <v>0</v>
      </c>
      <c r="AR66" s="1440">
        <f ca="1">IF(B66&gt;=$J$5,0,(CONTADORES!BA60-CONTADORES!BA59))</f>
        <v>0</v>
      </c>
      <c r="AS66" s="1438">
        <f ca="1">IF(B66=$J$5,0,CONTADORES!Q60-CONTADORES!Q59)</f>
        <v>16.679999999993015</v>
      </c>
      <c r="AT66" s="1438">
        <f ca="1">IF(B66=$J$5,0,(CONTADORES!S60-CONTADORES!S59)+(CONTADORES!AE60-CONTADORES!AE59))</f>
        <v>2.2399999999979627</v>
      </c>
      <c r="AU66" s="1438">
        <f>CONTADORES!I60-CONTADORES!I59</f>
        <v>83.600000000034925</v>
      </c>
      <c r="AV66" s="1438">
        <f>CONTADORES!AT60-CONTADORES!AT59</f>
        <v>60.834000000002561</v>
      </c>
      <c r="AW66" s="1438">
        <f ca="1">IF(B66&gt;=$J$5,0,(CONTADORES!L60-CONTADORES!L59)+(CONTADORES!AL60-CONTADORES!AL59))</f>
        <v>4.4999999999972715</v>
      </c>
      <c r="AX66" s="1438">
        <f ca="1">IF(B66&gt;=$J$5,0,(CONTADORES!N60-CONTADORES!N59)+(CONTADORES!AJ60-CONTADORES!AJ59))</f>
        <v>25.160000000003492</v>
      </c>
      <c r="AY66" s="1438">
        <f ca="1">IF(B66&gt;=$J$5,0,(CONTADORES!AH60-CONTADORES!AH59))</f>
        <v>7.0299999999988358</v>
      </c>
      <c r="AZ66" s="1438">
        <f ca="1">IF(B66&gt;=$J$5,0,(CONTADORES!P60-CONTADORES!P59))</f>
        <v>12.919999999998254</v>
      </c>
      <c r="BA66" s="1438">
        <f t="shared" ca="1" si="14"/>
        <v>12.319999999946191</v>
      </c>
      <c r="BB66" s="1438">
        <f ca="1">IF(B66&gt;=$J$5,0,(((CONTADORES!G60-CONTADORES!G59)+(CONTADORES!AP60-CONTADORES!AP59))))-AV66-BC66-BK66-BN66-BQ66-BV66</f>
        <v>3.5849999999972564</v>
      </c>
      <c r="BC66" s="1794">
        <f ca="1">IF(B66&gt;=$J$5,0,(CONTADORES!AW60-CONTADORES!AW59)+(CONTADORES!AY60-CONTADORES!AY59)+(CONTADORES!BD60-CONTADORES!BD59))-BT66</f>
        <v>1.0800000000000729</v>
      </c>
      <c r="BD66" s="1438">
        <f t="shared" ca="1" si="15"/>
        <v>216.36999999997897</v>
      </c>
      <c r="BE66" s="1439">
        <f ca="1">IF($B66&gt;=$J$5,0,CONTADORES!$BE60)</f>
        <v>5866.69</v>
      </c>
      <c r="BF66" s="1438">
        <f ca="1">IF($B66&gt;=$J$5,0,CONTADORES!$BF60)</f>
        <v>32319.556140350898</v>
      </c>
      <c r="BG66" s="1438">
        <f ca="1">IF($B66&gt;=$J$5,0,CONTADORES!$BH60)</f>
        <v>5854.38</v>
      </c>
      <c r="BH66" s="1438">
        <f ca="1">IF(B66&gt;=$J$5,0,(CONTADORES!AQ60-CONTADORES!AQ59))</f>
        <v>4.6419999999998254</v>
      </c>
      <c r="BI66" s="1438">
        <f ca="1">IF(B66&gt;=$J$5,0,(CONTADORES!AR60-CONTADORES!AR59))</f>
        <v>0</v>
      </c>
      <c r="BJ66" s="1450">
        <f ca="1">IF(B66&gt;=$J$5,0,CONTADORES!BI60-CONTADORES!BI59)/1000</f>
        <v>0</v>
      </c>
      <c r="BK66" s="1479">
        <f ca="1">IF(B66&gt;=$J$5,0,CONTADORES!BJ60-CONTADORES!BJ59)</f>
        <v>0</v>
      </c>
      <c r="BL66" s="1479">
        <f ca="1">IF(B66&gt;=$J$5,0,CONTADORES!BK60-CONTADORES!BK59)</f>
        <v>0</v>
      </c>
      <c r="BM66" s="1479">
        <f ca="1">IF(B66&gt;=$J$5,0,CONTADORES!BL60-CONTADORES!BL59)/1000</f>
        <v>6.0270000000000001</v>
      </c>
      <c r="BN66" s="1479">
        <f ca="1">IF(B66&gt;=$J$5,0,CONTADORES!BM60-CONTADORES!BM59)/1000</f>
        <v>0.121</v>
      </c>
      <c r="BO66" s="1479">
        <f ca="1">IF(B66&gt;=$J$5,0,CONTADORES!BN60-CONTADORES!BN59)</f>
        <v>24</v>
      </c>
      <c r="BP66" s="1479">
        <f ca="1">IF(B66&gt;=$J$5,0,CONTADORES!BO60-CONTADORES!BO59)/1000</f>
        <v>2.36</v>
      </c>
      <c r="BQ66" s="1479">
        <f ca="1">IF(B66&gt;=$J$5,0,CONTADORES!BP60-CONTADORES!BP59)/1000</f>
        <v>0</v>
      </c>
      <c r="BR66" s="1479">
        <f ca="1">IF(B66&gt;=$J$5,0,CONTADORES!BQ60-CONTADORES!BQ59)</f>
        <v>24</v>
      </c>
      <c r="BS66" s="1450">
        <f ca="1">IF(B66&gt;=$J$5,0,(CONTADORES!BT60-CONTADORES!BT59)+(CONTADORES!BV60-CONTADORES!BV59))/1000</f>
        <v>1.4830000000000001</v>
      </c>
      <c r="BT66" s="1479">
        <f ca="1">IF(B66&gt;=$J$5,0,(CONTADORES!BU60-CONTADORES!BU59)+(CONTADORES!BW60-CONTADORES!BW59))/1000</f>
        <v>0.84</v>
      </c>
      <c r="BU66" s="1450">
        <f ca="1">IF(B66&gt;=$J$5,0,CONTADORES!BR60-CONTADORES!BR59)</f>
        <v>6.2799999999997453</v>
      </c>
      <c r="BV66" s="1479">
        <f ca="1">IF(B66&gt;=$J$5,0,CONTADORES!BS60-CONTADORES!BS59)</f>
        <v>4.3800000000001091</v>
      </c>
      <c r="BW66" s="1479">
        <f t="shared" ca="1" si="16"/>
        <v>10.931499999997044</v>
      </c>
      <c r="BX66" s="1479">
        <f t="shared" ca="1" si="17"/>
        <v>6.1724999999987373</v>
      </c>
      <c r="BY66" s="1479">
        <f t="shared" ca="1" si="18"/>
        <v>4.6514999999972986</v>
      </c>
      <c r="BZ66" s="1479">
        <f t="shared" ca="1" si="19"/>
        <v>1.3868000000001093</v>
      </c>
      <c r="CA66" s="1479">
        <f t="shared" ca="1" si="20"/>
        <v>4.6514999999972986</v>
      </c>
      <c r="CB66" s="1479">
        <f t="shared" ca="1" si="21"/>
        <v>2.0802000000001635</v>
      </c>
      <c r="CC66" s="1479">
        <f t="shared" ca="1" si="22"/>
        <v>2.8698000000001094</v>
      </c>
      <c r="CD66" s="1479">
        <f t="shared" ca="1" si="23"/>
        <v>1.7924999999986282</v>
      </c>
      <c r="CE66" s="1479">
        <f ca="1">IF(B66&gt;=$J$5,0,CONTADORES!BS60-CONTADORES!BS59)</f>
        <v>4.3800000000001091</v>
      </c>
      <c r="CF66" s="1479">
        <f t="shared" ca="1" si="24"/>
        <v>1.7924999999986282</v>
      </c>
      <c r="CG66" s="1479">
        <f t="shared" ca="1" si="25"/>
        <v>0.54000000000003645</v>
      </c>
      <c r="CH66" s="1479">
        <f t="shared" ca="1" si="26"/>
        <v>0.54000000000003645</v>
      </c>
      <c r="CI66" s="1479">
        <f t="shared" ca="1" si="27"/>
        <v>1.3800000000000363</v>
      </c>
      <c r="CJ66" s="1480">
        <f ca="1">IF($B66&gt;=$J$5,0,CONTADORES!$BG60)</f>
        <v>10034.6056349059</v>
      </c>
      <c r="CK66" s="1384">
        <f>CONTADORES!E60</f>
        <v>0</v>
      </c>
      <c r="CL66" s="1384">
        <f>CONTADORES!BX60</f>
        <v>0</v>
      </c>
    </row>
    <row r="67" spans="2:90">
      <c r="B67" s="220">
        <v>44983</v>
      </c>
      <c r="C67" s="204">
        <f t="shared" ca="1" si="0"/>
        <v>276.72999999998137</v>
      </c>
      <c r="D67" s="202">
        <f ca="1">'CALCULO DE GAS'!D63</f>
        <v>4.7329617119699225</v>
      </c>
      <c r="E67" s="202">
        <f ca="1">IF(B67&gt;=$J$5,0,(CONTADORES!$AB61-CONTADORES!$AB60)-$H67)</f>
        <v>24</v>
      </c>
      <c r="F67" s="204">
        <f t="shared" ref="F67:F85" ca="1" si="32">IF(H67=0,0,"ERROR")</f>
        <v>0</v>
      </c>
      <c r="G67" s="202">
        <f ca="1">IF(B67&gt;=$J$5,0,CONTADORES!$AD61-CONTADORES!$AD60)</f>
        <v>0</v>
      </c>
      <c r="H67" s="1437">
        <f ca="1">IF(G67&gt;0,CONTADORES!$AC61-CONTADORES!$AC60,0)</f>
        <v>0</v>
      </c>
      <c r="I67" s="205">
        <f ca="1">IF(B67&gt;=$J$5,0,CONTADORES!$Z61-CONTADORES!$Z60)</f>
        <v>276.72999999998137</v>
      </c>
      <c r="J67" s="204">
        <f t="shared" ca="1" si="2"/>
        <v>151.09000000000015</v>
      </c>
      <c r="K67" s="202">
        <f ca="1">'CALCULO DE GAS'!E63</f>
        <v>3.7084160760598515</v>
      </c>
      <c r="L67" s="1437">
        <f ca="1">IF(B67&gt;=$J$5,0,(CONTADORES!$W61-CONTADORES!$W60)-$O67)</f>
        <v>24</v>
      </c>
      <c r="M67" s="1437">
        <f t="shared" ca="1" si="31"/>
        <v>0</v>
      </c>
      <c r="N67" s="1437">
        <f ca="1">IF(B67&gt;=$J$5,0,CONTADORES!$Y61-CONTADORES!Y60)</f>
        <v>0</v>
      </c>
      <c r="O67" s="1437">
        <f ca="1">IF(N67&gt;0,CONTADORES!$X61-CONTADORES!$X60,0)</f>
        <v>0</v>
      </c>
      <c r="P67" s="208">
        <f ca="1">IF(B67&gt;=$J$5,0,CONTADORES!$U61-CONTADORES!$U60)</f>
        <v>151.09000000000015</v>
      </c>
      <c r="Q67" s="208">
        <f ca="1">IF(B67&gt;=$J$5,0,CONTADORES!$B61-CONTADORES!$B60)</f>
        <v>0</v>
      </c>
      <c r="R67" s="202">
        <f t="shared" ca="1" si="4"/>
        <v>0</v>
      </c>
      <c r="S67" s="11">
        <f ca="1">IF(B67&gt;=$J$5,0,CONTADORES!$D61-CONTADORES!$D60)</f>
        <v>0</v>
      </c>
      <c r="T67" s="204">
        <f ca="1">IF(B67&gt;=$J$5,0,CONTADORES!$AZ61-CONTADORES!$AZ60)</f>
        <v>0</v>
      </c>
      <c r="U67" s="202">
        <f t="shared" ca="1" si="30"/>
        <v>0</v>
      </c>
      <c r="V67" s="205">
        <f ca="1">IF(B67&gt;=$J$5,0,CONTADORES!$BB61-CONTADORES!$BB60)</f>
        <v>0</v>
      </c>
      <c r="W67" s="1438">
        <f t="shared" ca="1" si="6"/>
        <v>427.81999999998152</v>
      </c>
      <c r="X67" s="1438">
        <f t="shared" ca="1" si="7"/>
        <v>0</v>
      </c>
      <c r="Y67" s="1439">
        <f t="shared" ca="1" si="8"/>
        <v>427.81999999998152</v>
      </c>
      <c r="Z67" s="1439">
        <f t="shared" ca="1" si="9"/>
        <v>8.441377788029774</v>
      </c>
      <c r="AA67" s="1439">
        <f t="shared" ca="1" si="10"/>
        <v>0</v>
      </c>
      <c r="AB67" s="1439">
        <f t="shared" ca="1" si="11"/>
        <v>48</v>
      </c>
      <c r="AC67" s="1438">
        <f t="shared" ca="1" si="12"/>
        <v>0</v>
      </c>
      <c r="AD67" s="1438">
        <f ca="1">IF(B67=$J$5,0,CONTADORES!H61-CONTADORES!H60)</f>
        <v>161.30000000004657</v>
      </c>
      <c r="AE67" s="1438">
        <f ca="1">IF(B67=$J$5,0,CONTADORES!J61-CONTADORES!J60)</f>
        <v>24</v>
      </c>
      <c r="AF67" s="1438">
        <f ca="1">IF(B67=$J$5,0,CONTADORES!AS61-CONTADORES!AS60)</f>
        <v>137.84999999997672</v>
      </c>
      <c r="AG67" s="1438">
        <f ca="1">IF(B67=$J$5,0,CONTADORES!AU61-CONTADORES!AU60)</f>
        <v>24</v>
      </c>
      <c r="AH67" s="1438">
        <f ca="1">IF(B67=$J$5,0,(CONTADORES!AK61-CONTADORES!AK60)+(CONTADORES!K61-CONTADORES!K60))</f>
        <v>10.199999999995271</v>
      </c>
      <c r="AI67" s="1438">
        <f ca="1">IF(B67=$J$5,0,(CONTADORES!AI61-CONTADORES!AI60)+(CONTADORES!M61-CONTADORES!M60))</f>
        <v>32.669999999998254</v>
      </c>
      <c r="AJ67" s="1438">
        <f ca="1">IF(B67=$J$5,0,(CONTADORES!AG61-CONTADORES!AG60))</f>
        <v>8.6999999999970896</v>
      </c>
      <c r="AK67" s="1438">
        <f ca="1">IF(B67=$J$5,0,(CONTADORES!O61-CONTADORES!O60))</f>
        <v>15.779999999998836</v>
      </c>
      <c r="AL67" s="1438">
        <f t="shared" ca="1" si="13"/>
        <v>33.169999999967274</v>
      </c>
      <c r="AM67" s="1438">
        <f ca="1">IF(B67&gt;=$J$5,0,(((CONTADORES!F61-CONTADORES!F60)+(CONTADORES!AO61-CONTADORES!AO60))))-BJ67-AF67-AN67-BM67-BP67-BU67-BS67</f>
        <v>8.4150000000025269</v>
      </c>
      <c r="AN67" s="1438">
        <f ca="1">IF(B67=$J$5,0,(CONTADORES!AV61-CONTADORES!AV60)+(CONTADORES!AX61-CONTADORES!AX60)+(CONTADORES!BC61-CONTADORES!BC60))-BS67</f>
        <v>3.8879999999992543</v>
      </c>
      <c r="AO67" s="1478">
        <f ca="1">IF(B67&gt;=$J$5,0,(CONTADORES!AA61-CONTADORES!AA60))</f>
        <v>141.28000000002794</v>
      </c>
      <c r="AP67" s="1478">
        <f ca="1">IF(B67&gt;=$J$5,0,(CONTADORES!V61-CONTADORES!V60))</f>
        <v>74.56000000000131</v>
      </c>
      <c r="AQ67" s="1474">
        <f ca="1">IF(B67&gt;=$J$5,0,(CONTADORES!C61-CONTADORES!C60))</f>
        <v>0</v>
      </c>
      <c r="AR67" s="1440">
        <f ca="1">IF(B67&gt;=$J$5,0,(CONTADORES!BA61-CONTADORES!BA60))</f>
        <v>0</v>
      </c>
      <c r="AS67" s="1438">
        <f ca="1">IF(B67=$J$5,0,CONTADORES!Q61-CONTADORES!Q60)</f>
        <v>16.420000000012806</v>
      </c>
      <c r="AT67" s="1438">
        <f ca="1">IF(B67=$J$5,0,(CONTADORES!S61-CONTADORES!S60)+(CONTADORES!AE61-CONTADORES!AE60))</f>
        <v>2.2300000000032014</v>
      </c>
      <c r="AU67" s="1438">
        <f>CONTADORES!I61-CONTADORES!I60</f>
        <v>83.299999999988358</v>
      </c>
      <c r="AV67" s="1438">
        <f>CONTADORES!AT61-CONTADORES!AT60</f>
        <v>60.200000000011642</v>
      </c>
      <c r="AW67" s="1438">
        <f ca="1">IF(B67&gt;=$J$5,0,(CONTADORES!L61-CONTADORES!L60)+(CONTADORES!AL61-CONTADORES!AL60))</f>
        <v>3.9000000000014552</v>
      </c>
      <c r="AX67" s="1438">
        <f ca="1">IF(B67&gt;=$J$5,0,(CONTADORES!N61-CONTADORES!N60)+(CONTADORES!AJ61-CONTADORES!AJ60))</f>
        <v>25.720000000001164</v>
      </c>
      <c r="AY67" s="1438">
        <f ca="1">IF(B67&gt;=$J$5,0,(CONTADORES!AH61-CONTADORES!AH60))</f>
        <v>6.8100000000049477</v>
      </c>
      <c r="AZ67" s="1438">
        <f ca="1">IF(B67&gt;=$J$5,0,(CONTADORES!P61-CONTADORES!P60))</f>
        <v>13.150000000008731</v>
      </c>
      <c r="BA67" s="1438">
        <f t="shared" ca="1" si="14"/>
        <v>12.599000000019117</v>
      </c>
      <c r="BB67" s="1438">
        <f ca="1">IF(B67&gt;=$J$5,0,(((CONTADORES!G61-CONTADORES!G60)+(CONTADORES!AP61-CONTADORES!AP60))))-AV67-BC67-BK67-BN67-BQ67-BV67</f>
        <v>3.4659999999940165</v>
      </c>
      <c r="BC67" s="1794">
        <f ca="1">IF(B67&gt;=$J$5,0,(CONTADORES!AW61-CONTADORES!AW60)+(CONTADORES!AY61-CONTADORES!AY60)+(CONTADORES!BD61-CONTADORES!BD60))-BT67</f>
        <v>1.1690000000002001</v>
      </c>
      <c r="BD67" s="1438">
        <f t="shared" ca="1" si="15"/>
        <v>215.84000000002925</v>
      </c>
      <c r="BE67" s="1439">
        <f ca="1">IF($B67&gt;=$J$5,0,CONTADORES!$BE61)</f>
        <v>5937.87</v>
      </c>
      <c r="BF67" s="1438">
        <f ca="1">IF($B67&gt;=$J$5,0,CONTADORES!$BF61)</f>
        <v>31768.559649122799</v>
      </c>
      <c r="BG67" s="1438">
        <f ca="1">IF($B67&gt;=$J$5,0,CONTADORES!$BH61)</f>
        <v>5402.87</v>
      </c>
      <c r="BH67" s="1438">
        <f ca="1">IF(B67&gt;=$J$5,0,(CONTADORES!AQ61-CONTADORES!AQ60))</f>
        <v>4.6440000000002328</v>
      </c>
      <c r="BI67" s="1438">
        <f ca="1">IF(B67&gt;=$J$5,0,(CONTADORES!AR61-CONTADORES!AR60))</f>
        <v>0</v>
      </c>
      <c r="BJ67" s="1450">
        <f ca="1">IF(B67&gt;=$J$5,0,CONTADORES!BI61-CONTADORES!BI60)/1000</f>
        <v>0</v>
      </c>
      <c r="BK67" s="1479">
        <f ca="1">IF(B67&gt;=$J$5,0,CONTADORES!BJ61-CONTADORES!BJ60)</f>
        <v>0</v>
      </c>
      <c r="BL67" s="1479">
        <f ca="1">IF(B67&gt;=$J$5,0,CONTADORES!BK61-CONTADORES!BK60)</f>
        <v>0</v>
      </c>
      <c r="BM67" s="1479">
        <f ca="1">IF(B67&gt;=$J$5,0,CONTADORES!BL61-CONTADORES!BL60)/1000</f>
        <v>5.72</v>
      </c>
      <c r="BN67" s="1479">
        <f ca="1">IF(B67&gt;=$J$5,0,CONTADORES!BM61-CONTADORES!BM60)/1000</f>
        <v>0.22500000000000001</v>
      </c>
      <c r="BO67" s="1479">
        <f ca="1">IF(B67&gt;=$J$5,0,CONTADORES!BN61-CONTADORES!BN60)</f>
        <v>24</v>
      </c>
      <c r="BP67" s="1479">
        <f ca="1">IF(B67&gt;=$J$5,0,CONTADORES!BO61-CONTADORES!BO60)/1000</f>
        <v>2.335</v>
      </c>
      <c r="BQ67" s="1479">
        <f ca="1">IF(B67&gt;=$J$5,0,CONTADORES!BP61-CONTADORES!BP60)/1000</f>
        <v>0</v>
      </c>
      <c r="BR67" s="1479">
        <f ca="1">IF(B67&gt;=$J$5,0,CONTADORES!BQ61-CONTADORES!BQ60)</f>
        <v>24</v>
      </c>
      <c r="BS67" s="1450">
        <f ca="1">IF(B67&gt;=$J$5,0,(CONTADORES!BT61-CONTADORES!BT60)+(CONTADORES!BV61-CONTADORES!BV60))/1000</f>
        <v>1.4319999999999999</v>
      </c>
      <c r="BT67" s="1479">
        <f ca="1">IF(B67&gt;=$J$5,0,(CONTADORES!BU61-CONTADORES!BU60)+(CONTADORES!BW61-CONTADORES!BW60))/1000</f>
        <v>0.86099999999999999</v>
      </c>
      <c r="BU67" s="1450">
        <f ca="1">IF(B67&gt;=$J$5,0,CONTADORES!BR61-CONTADORES!BR60)</f>
        <v>6.3599999999996726</v>
      </c>
      <c r="BV67" s="1479">
        <f ca="1">IF(B67&gt;=$J$5,0,CONTADORES!BS61-CONTADORES!BS60)</f>
        <v>4.4399999999995998</v>
      </c>
      <c r="BW67" s="1479">
        <f t="shared" ca="1" si="16"/>
        <v>10.567500000000937</v>
      </c>
      <c r="BX67" s="1479">
        <f t="shared" ca="1" si="17"/>
        <v>6.1729999999966081</v>
      </c>
      <c r="BY67" s="1479">
        <f t="shared" ca="1" si="18"/>
        <v>4.2075000000012635</v>
      </c>
      <c r="BZ67" s="1479">
        <f t="shared" ca="1" si="19"/>
        <v>1.5551999999997017</v>
      </c>
      <c r="CA67" s="1479">
        <f t="shared" ca="1" si="20"/>
        <v>4.2075000000012635</v>
      </c>
      <c r="CB67" s="1479">
        <f t="shared" ca="1" si="21"/>
        <v>2.3327999999995526</v>
      </c>
      <c r="CC67" s="1479">
        <f t="shared" ca="1" si="22"/>
        <v>2.9871999999997016</v>
      </c>
      <c r="CD67" s="1479">
        <f t="shared" ca="1" si="23"/>
        <v>1.7329999999970083</v>
      </c>
      <c r="CE67" s="1479">
        <f ca="1">IF(B67&gt;=$J$5,0,CONTADORES!BS61-CONTADORES!BS60)</f>
        <v>4.4399999999995998</v>
      </c>
      <c r="CF67" s="1479">
        <f t="shared" ca="1" si="24"/>
        <v>1.7329999999970083</v>
      </c>
      <c r="CG67" s="1479">
        <f t="shared" ca="1" si="25"/>
        <v>0.58450000000010005</v>
      </c>
      <c r="CH67" s="1479">
        <f t="shared" ca="1" si="26"/>
        <v>0.58450000000010005</v>
      </c>
      <c r="CI67" s="1479">
        <f t="shared" ca="1" si="27"/>
        <v>1.4455000000000999</v>
      </c>
      <c r="CJ67" s="1480">
        <f ca="1">IF($B67&gt;=$J$5,0,CONTADORES!$BG61)</f>
        <v>10500.1480688471</v>
      </c>
      <c r="CK67" s="1384">
        <f>CONTADORES!E61</f>
        <v>0</v>
      </c>
      <c r="CL67" s="1384">
        <f>CONTADORES!BX61</f>
        <v>0</v>
      </c>
    </row>
    <row r="68" spans="2:90">
      <c r="B68" s="220">
        <v>44984</v>
      </c>
      <c r="C68" s="204">
        <f t="shared" ca="1" si="0"/>
        <v>283.84999999997672</v>
      </c>
      <c r="D68" s="202">
        <f ca="1">'CALCULO DE GAS'!D64</f>
        <v>4.7910225598501839</v>
      </c>
      <c r="E68" s="202">
        <f ca="1">IF(B68&gt;=$J$5,0,(CONTADORES!$AB62-CONTADORES!$AB61)-$H68)</f>
        <v>24</v>
      </c>
      <c r="F68" s="204">
        <f t="shared" ca="1" si="32"/>
        <v>0</v>
      </c>
      <c r="G68" s="202">
        <f ca="1">IF(B68&gt;=$J$5,0,CONTADORES!$AD62-CONTADORES!$AD61)</f>
        <v>0</v>
      </c>
      <c r="H68" s="1437">
        <f ca="1">IF(G68&gt;0,CONTADORES!$AC62-CONTADORES!$AC61,0)</f>
        <v>0</v>
      </c>
      <c r="I68" s="205">
        <f ca="1">IF(B68&gt;=$J$5,0,CONTADORES!$Z62-CONTADORES!$Z61)</f>
        <v>283.84999999997672</v>
      </c>
      <c r="J68" s="204">
        <f t="shared" ca="1" si="2"/>
        <v>151.35000000000218</v>
      </c>
      <c r="K68" s="202">
        <f ca="1">'CALCULO DE GAS'!E64</f>
        <v>3.7105362755611146</v>
      </c>
      <c r="L68" s="1437">
        <f ca="1">IF(B68&gt;=$J$5,0,(CONTADORES!$W62-CONTADORES!$W61)-$O68)</f>
        <v>24</v>
      </c>
      <c r="M68" s="1437">
        <f t="shared" ca="1" si="31"/>
        <v>0</v>
      </c>
      <c r="N68" s="1437">
        <f ca="1">IF(B68&gt;=$J$5,0,CONTADORES!$Y62-CONTADORES!Y61)</f>
        <v>0</v>
      </c>
      <c r="O68" s="1437">
        <f ca="1">IF(N68&gt;0,CONTADORES!$X62-CONTADORES!$X61,0)</f>
        <v>0</v>
      </c>
      <c r="P68" s="208">
        <f ca="1">IF(B68&gt;=$J$5,0,CONTADORES!$U62-CONTADORES!$U61)</f>
        <v>151.35000000000218</v>
      </c>
      <c r="Q68" s="208">
        <f ca="1">IF(B68&gt;=$J$5,0,CONTADORES!$B62-CONTADORES!$B61)</f>
        <v>0</v>
      </c>
      <c r="R68" s="202">
        <f t="shared" ca="1" si="4"/>
        <v>0</v>
      </c>
      <c r="S68" s="11">
        <f ca="1">IF(B68&gt;=$J$5,0,CONTADORES!$D62-CONTADORES!$D61)</f>
        <v>0</v>
      </c>
      <c r="T68" s="204">
        <f ca="1">IF(B68&gt;=$J$5,0,CONTADORES!$AZ62-CONTADORES!$AZ61)</f>
        <v>0</v>
      </c>
      <c r="U68" s="202">
        <f t="shared" ca="1" si="30"/>
        <v>0</v>
      </c>
      <c r="V68" s="205">
        <f ca="1">IF(B68&gt;=$J$5,0,CONTADORES!$BB62-CONTADORES!$BB61)</f>
        <v>0</v>
      </c>
      <c r="W68" s="1438">
        <f t="shared" ca="1" si="6"/>
        <v>435.1999999999789</v>
      </c>
      <c r="X68" s="1438">
        <f t="shared" ca="1" si="7"/>
        <v>0</v>
      </c>
      <c r="Y68" s="1439">
        <f t="shared" ca="1" si="8"/>
        <v>435.1999999999789</v>
      </c>
      <c r="Z68" s="1439">
        <f t="shared" ca="1" si="9"/>
        <v>8.5015588354112985</v>
      </c>
      <c r="AA68" s="1439">
        <f t="shared" ca="1" si="10"/>
        <v>0</v>
      </c>
      <c r="AB68" s="1439">
        <f t="shared" ca="1" si="11"/>
        <v>48</v>
      </c>
      <c r="AC68" s="1438">
        <f t="shared" ca="1" si="12"/>
        <v>0</v>
      </c>
      <c r="AD68" s="1450">
        <f ca="1">IF(B68=$J$5,0,CONTADORES!H62-CONTADORES!H61)</f>
        <v>159.79999999993015</v>
      </c>
      <c r="AE68" s="1479">
        <f ca="1">IF(B68=$J$5,0,CONTADORES!J62-CONTADORES!J61)</f>
        <v>24</v>
      </c>
      <c r="AF68" s="1479">
        <f ca="1">IF(B68=$J$5,0,CONTADORES!AS62-CONTADORES!AS61)</f>
        <v>139.03000000002794</v>
      </c>
      <c r="AG68" s="1479">
        <f ca="1">IF(B68=$J$5,0,CONTADORES!AU62-CONTADORES!AU61)</f>
        <v>24</v>
      </c>
      <c r="AH68" s="1479">
        <f ca="1">IF(B68=$J$5,0,(CONTADORES!AK62-CONTADORES!AK61)+(CONTADORES!K62-CONTADORES!K61))</f>
        <v>13.80000000000291</v>
      </c>
      <c r="AI68" s="1479">
        <f ca="1">IF(B68=$J$5,0,(CONTADORES!AI62-CONTADORES!AI61)+(CONTADORES!M62-CONTADORES!M61))</f>
        <v>32.489999999997963</v>
      </c>
      <c r="AJ68" s="1479">
        <f ca="1">IF(B68=$J$5,0,(CONTADORES!AG62-CONTADORES!AG61))</f>
        <v>8.8500000000058208</v>
      </c>
      <c r="AK68" s="1479">
        <f ca="1">IF(B68=$J$5,0,(CONTADORES!O62-CONTADORES!O61))</f>
        <v>16.319999999977881</v>
      </c>
      <c r="AL68" s="1438">
        <f t="shared" ca="1" si="13"/>
        <v>35.240000000088912</v>
      </c>
      <c r="AM68" s="1438">
        <f ca="1">IF(B68&gt;=$J$5,0,(((CONTADORES!F62-CONTADORES!F61)+(CONTADORES!AO62-CONTADORES!AO61))))-BJ68-AF68-AN68-BM68-BP68-BU68-BS68</f>
        <v>9.8549999999475215</v>
      </c>
      <c r="AN68" s="1438">
        <f ca="1">IF(B68=$J$5,0,(CONTADORES!AV62-CONTADORES!AV61)+(CONTADORES!AX62-CONTADORES!AX61)+(CONTADORES!BC62-CONTADORES!BC61))-BS68</f>
        <v>3.7630000000000181</v>
      </c>
      <c r="AO68" s="1478">
        <f ca="1">IF(B68&gt;=$J$5,0,(CONTADORES!AA62-CONTADORES!AA61))</f>
        <v>142.45999999996275</v>
      </c>
      <c r="AP68" s="1478">
        <f ca="1">IF(B68&gt;=$J$5,0,(CONTADORES!V62-CONTADORES!V61))</f>
        <v>75.799999999999272</v>
      </c>
      <c r="AQ68" s="1474">
        <f ca="1">IF(B68&gt;=$J$5,0,(CONTADORES!C62-CONTADORES!C61))</f>
        <v>0</v>
      </c>
      <c r="AR68" s="1440">
        <f ca="1">IF(B68&gt;=$J$5,0,(CONTADORES!BA62-CONTADORES!BA61))</f>
        <v>0</v>
      </c>
      <c r="AS68" s="1438">
        <f ca="1">IF(B68=$J$5,0,CONTADORES!Q62-CONTADORES!Q61)</f>
        <v>16.929999999993015</v>
      </c>
      <c r="AT68" s="1438">
        <f ca="1">IF(B68=$J$5,0,(CONTADORES!S62-CONTADORES!S61)+(CONTADORES!AE62-CONTADORES!AE61))</f>
        <v>2.25</v>
      </c>
      <c r="AU68" s="1438">
        <f>CONTADORES!I62-CONTADORES!I61</f>
        <v>82.399999999965075</v>
      </c>
      <c r="AV68" s="1438">
        <f>CONTADORES!AT62-CONTADORES!AT61</f>
        <v>61.459999999991851</v>
      </c>
      <c r="AW68" s="1438">
        <f ca="1">IF(B68&gt;=$J$5,0,(CONTADORES!L62-CONTADORES!L61)+(CONTADORES!AL62-CONTADORES!AL61))</f>
        <v>5.500000000001819</v>
      </c>
      <c r="AX68" s="1438">
        <f ca="1">IF(B68&gt;=$J$5,0,(CONTADORES!N62-CONTADORES!N61)+(CONTADORES!AJ62-CONTADORES!AJ61))</f>
        <v>25.569999999999709</v>
      </c>
      <c r="AY68" s="1438">
        <f ca="1">IF(B68&gt;=$J$5,0,(CONTADORES!AH62-CONTADORES!AH61))</f>
        <v>6.8799999999973807</v>
      </c>
      <c r="AZ68" s="1438">
        <f ca="1">IF(B68&gt;=$J$5,0,(CONTADORES!P62-CONTADORES!P61))</f>
        <v>13.440000000002328</v>
      </c>
      <c r="BA68" s="1438">
        <f t="shared" ca="1" si="14"/>
        <v>13.59200000000115</v>
      </c>
      <c r="BB68" s="1438">
        <f ca="1">IF(B68&gt;=$J$5,0,(((CONTADORES!G62-CONTADORES!G61)+(CONTADORES!AP62-CONTADORES!AP61))))-AV68-BC68-BK68-BN68-BQ68-BV68</f>
        <v>2.5910000000025466</v>
      </c>
      <c r="BC68" s="1794">
        <f ca="1">IF(B68&gt;=$J$5,0,(CONTADORES!AW62-CONTADORES!AW61)+(CONTADORES!AY62-CONTADORES!AY61)+(CONTADORES!BD62-CONTADORES!BD61))-BT68</f>
        <v>1.1519999999997452</v>
      </c>
      <c r="BD68" s="1438">
        <f t="shared" ca="1" si="15"/>
        <v>218.25999999996202</v>
      </c>
      <c r="BE68" s="1439">
        <f ca="1">IF($B68&gt;=$J$5,0,CONTADORES!$BE62)</f>
        <v>6184.82</v>
      </c>
      <c r="BF68" s="1438">
        <f ca="1">IF($B68&gt;=$J$5,0,CONTADORES!$BF62)</f>
        <v>32712.980701754401</v>
      </c>
      <c r="BG68" s="1438">
        <f ca="1">IF($B68&gt;=$J$5,0,CONTADORES!$BH62)</f>
        <v>6375.29</v>
      </c>
      <c r="BH68" s="1438">
        <f ca="1">IF(B68&gt;=$J$5,0,(CONTADORES!AQ62-CONTADORES!AQ61))</f>
        <v>5.1519999999945867</v>
      </c>
      <c r="BI68" s="1438">
        <f ca="1">IF(B68&gt;=$J$5,0,(CONTADORES!AR62-CONTADORES!AR61))</f>
        <v>0</v>
      </c>
      <c r="BJ68" s="1450">
        <f ca="1">IF(B68&gt;=$J$5,0,CONTADORES!BI62-CONTADORES!BI61)/1000</f>
        <v>0</v>
      </c>
      <c r="BK68" s="1479">
        <f ca="1">IF(B68&gt;=$J$5,0,CONTADORES!BJ62-CONTADORES!BJ61)</f>
        <v>0</v>
      </c>
      <c r="BL68" s="1479">
        <f ca="1">IF(B68&gt;=$J$5,0,CONTADORES!BK62-CONTADORES!BK61)</f>
        <v>0</v>
      </c>
      <c r="BM68" s="1479">
        <f ca="1">IF(B68&gt;=$J$5,0,CONTADORES!BL62-CONTADORES!BL61)/1000</f>
        <v>5.7350000000000003</v>
      </c>
      <c r="BN68" s="1479">
        <f ca="1">IF(B68&gt;=$J$5,0,CONTADORES!BM62-CONTADORES!BM61)/1000</f>
        <v>0.23699999999999999</v>
      </c>
      <c r="BO68" s="1479">
        <f ca="1">IF(B68&gt;=$J$5,0,CONTADORES!BN62-CONTADORES!BN61)</f>
        <v>24</v>
      </c>
      <c r="BP68" s="1479">
        <f ca="1">IF(B68&gt;=$J$5,0,CONTADORES!BO62-CONTADORES!BO61)/1000</f>
        <v>2.36</v>
      </c>
      <c r="BQ68" s="1479">
        <f ca="1">IF(B68&gt;=$J$5,0,CONTADORES!BP62-CONTADORES!BP61)/1000</f>
        <v>0</v>
      </c>
      <c r="BR68" s="1479">
        <f ca="1">IF(B68&gt;=$J$5,0,CONTADORES!BQ62-CONTADORES!BQ61)</f>
        <v>24</v>
      </c>
      <c r="BS68" s="1450">
        <f ca="1">IF(B68&gt;=$J$5,0,(CONTADORES!BT62-CONTADORES!BT61)+(CONTADORES!BV62-CONTADORES!BV61))/1000</f>
        <v>1.4670000000000001</v>
      </c>
      <c r="BT68" s="1479">
        <f ca="1">IF(B68&gt;=$J$5,0,(CONTADORES!BU62-CONTADORES!BU61)+(CONTADORES!BW62-CONTADORES!BW61))/1000</f>
        <v>0.878</v>
      </c>
      <c r="BU68" s="1450">
        <f ca="1">IF(B68&gt;=$J$5,0,CONTADORES!BR62-CONTADORES!BR61)</f>
        <v>6.4899999999997817</v>
      </c>
      <c r="BV68" s="1479">
        <f ca="1">IF(B68&gt;=$J$5,0,CONTADORES!BS62-CONTADORES!BS61)</f>
        <v>4.5600000000004002</v>
      </c>
      <c r="BW68" s="1479">
        <f t="shared" ca="1" si="16"/>
        <v>11.417499999973543</v>
      </c>
      <c r="BX68" s="1479">
        <f t="shared" ca="1" si="17"/>
        <v>5.8555000000016735</v>
      </c>
      <c r="BY68" s="1479">
        <f t="shared" ca="1" si="18"/>
        <v>4.9274999999737608</v>
      </c>
      <c r="BZ68" s="1479">
        <f t="shared" ca="1" si="19"/>
        <v>1.5052000000000074</v>
      </c>
      <c r="CA68" s="1479">
        <f t="shared" ca="1" si="20"/>
        <v>4.9274999999737608</v>
      </c>
      <c r="CB68" s="1479">
        <f t="shared" ca="1" si="21"/>
        <v>2.2578000000000107</v>
      </c>
      <c r="CC68" s="1479">
        <f t="shared" ca="1" si="22"/>
        <v>2.9722000000000075</v>
      </c>
      <c r="CD68" s="1479">
        <f t="shared" ca="1" si="23"/>
        <v>1.2955000000012733</v>
      </c>
      <c r="CE68" s="1479">
        <f ca="1">IF(B68&gt;=$J$5,0,CONTADORES!BS62-CONTADORES!BS61)</f>
        <v>4.5600000000004002</v>
      </c>
      <c r="CF68" s="1479">
        <f t="shared" ca="1" si="24"/>
        <v>1.2955000000012733</v>
      </c>
      <c r="CG68" s="1479">
        <f t="shared" ca="1" si="25"/>
        <v>0.57599999999987261</v>
      </c>
      <c r="CH68" s="1479">
        <f t="shared" ca="1" si="26"/>
        <v>0.57599999999987261</v>
      </c>
      <c r="CI68" s="1479">
        <f t="shared" ca="1" si="27"/>
        <v>1.4539999999998727</v>
      </c>
      <c r="CJ68" s="1480">
        <f ca="1">IF($B68&gt;=$J$5,0,CONTADORES!$BG62)</f>
        <v>8615.92214804373</v>
      </c>
      <c r="CK68" s="1384">
        <f>CONTADORES!E62</f>
        <v>0</v>
      </c>
      <c r="CL68" s="1384">
        <f>CONTADORES!BX62</f>
        <v>0</v>
      </c>
    </row>
    <row r="69" spans="2:90" ht="15" thickBot="1">
      <c r="B69" s="1069">
        <v>44985</v>
      </c>
      <c r="C69" s="206">
        <f t="shared" ca="1" si="0"/>
        <v>279.46000000007916</v>
      </c>
      <c r="D69" s="203">
        <f ca="1">'CALCULO DE GAS'!D65</f>
        <v>4.7552238067338131</v>
      </c>
      <c r="E69" s="203">
        <f ca="1">IF(B69&gt;=$J$5,0,(CONTADORES!$AB63-CONTADORES!$AB62)-$H69)</f>
        <v>24</v>
      </c>
      <c r="F69" s="206">
        <f t="shared" ca="1" si="32"/>
        <v>0</v>
      </c>
      <c r="G69" s="203">
        <f ca="1">IF(B69&gt;=$J$5,0,CONTADORES!$AD63-CONTADORES!$AD62)</f>
        <v>0</v>
      </c>
      <c r="H69" s="1465">
        <f ca="1">IF(G69&gt;0,CONTADORES!$AC63-CONTADORES!$AC62,0)</f>
        <v>0</v>
      </c>
      <c r="I69" s="207">
        <f ca="1">IF(B69&gt;=$J$5,0,CONTADORES!$Z63-CONTADORES!$Z62)</f>
        <v>279.46000000007916</v>
      </c>
      <c r="J69" s="206">
        <f t="shared" ca="1" si="2"/>
        <v>152.43000000000029</v>
      </c>
      <c r="K69" s="203">
        <f ca="1">'CALCULO DE GAS'!E65</f>
        <v>3.7193432581047405</v>
      </c>
      <c r="L69" s="1465">
        <f ca="1">IF(B69&gt;=$J$5,0,(CONTADORES!$W63-CONTADORES!$W62)-$O69)</f>
        <v>24</v>
      </c>
      <c r="M69" s="1465">
        <f t="shared" ca="1" si="31"/>
        <v>0</v>
      </c>
      <c r="N69" s="1465">
        <f ca="1">IF(B69&gt;=$J$5,0,CONTADORES!$Y63-CONTADORES!Y62)</f>
        <v>0</v>
      </c>
      <c r="O69" s="1465">
        <f ca="1">IF(N69&gt;0,CONTADORES!$X63-CONTADORES!$X62,0)</f>
        <v>0</v>
      </c>
      <c r="P69" s="209">
        <f ca="1">IF(B69&gt;=$J$5,0,CONTADORES!$U63-CONTADORES!$U62)</f>
        <v>152.43000000000029</v>
      </c>
      <c r="Q69" s="209">
        <f ca="1">IF(B69&gt;=$J$5,0,CONTADORES!$B63-CONTADORES!$B62)</f>
        <v>7.0000000000618456E-3</v>
      </c>
      <c r="R69" s="203">
        <f t="shared" ca="1" si="4"/>
        <v>0.84000000000742148</v>
      </c>
      <c r="S69" s="65">
        <f ca="1">IF(B69&gt;=$J$5,0,CONTADORES!$D63-CONTADORES!$D62)</f>
        <v>0.8000000000001819</v>
      </c>
      <c r="T69" s="209">
        <f ca="1">IF(B69&gt;=$J$5,0,CONTADORES!$AZ63-CONTADORES!$AZ62)</f>
        <v>0.58799999999996544</v>
      </c>
      <c r="U69" s="203">
        <f t="shared" ca="1" si="30"/>
        <v>70.559999999995853</v>
      </c>
      <c r="V69" s="207">
        <f ca="1">IF(B69&gt;=$J$5,0,CONTADORES!$BB63-CONTADORES!$BB62)</f>
        <v>0.79999999999995453</v>
      </c>
      <c r="W69" s="1466">
        <f t="shared" ca="1" si="6"/>
        <v>431.89000000007945</v>
      </c>
      <c r="X69" s="1466">
        <f t="shared" ca="1" si="7"/>
        <v>0.59500000000002728</v>
      </c>
      <c r="Y69" s="1467">
        <f t="shared" ca="1" si="8"/>
        <v>432.48500000007948</v>
      </c>
      <c r="Z69" s="1467">
        <f t="shared" ca="1" si="9"/>
        <v>8.4745670648385527</v>
      </c>
      <c r="AA69" s="1467">
        <f t="shared" ca="1" si="10"/>
        <v>71.400000000003274</v>
      </c>
      <c r="AB69" s="1467">
        <f t="shared" ca="1" si="11"/>
        <v>48</v>
      </c>
      <c r="AC69" s="1466">
        <f t="shared" ca="1" si="12"/>
        <v>1.6000000000001364</v>
      </c>
      <c r="AD69" s="1467">
        <f ca="1">IF(B69=$J$5,0,CONTADORES!H63-CONTADORES!H62)</f>
        <v>165.40000000002328</v>
      </c>
      <c r="AE69" s="1466">
        <f ca="1">IF(B69=$J$5,0,CONTADORES!J63-CONTADORES!J62)</f>
        <v>24</v>
      </c>
      <c r="AF69" s="1466">
        <f ca="1">IF(B69=$J$5,0,CONTADORES!AS63-CONTADORES!AS62)</f>
        <v>139.46999999997206</v>
      </c>
      <c r="AG69" s="1466">
        <f ca="1">IF(B69=$J$5,0,CONTADORES!AU63-CONTADORES!AU62)</f>
        <v>24</v>
      </c>
      <c r="AH69" s="1466">
        <f ca="1">IF(B69=$J$5,0,(CONTADORES!AK63-CONTADORES!AK62)+(CONTADORES!K63-CONTADORES!K62))</f>
        <v>8.5999999999985448</v>
      </c>
      <c r="AI69" s="1466">
        <f ca="1">IF(B69=$J$5,0,(CONTADORES!AI63-CONTADORES!AI62)+(CONTADORES!M63-CONTADORES!M62))</f>
        <v>32.190000000002328</v>
      </c>
      <c r="AJ69" s="1466">
        <f ca="1">IF(B69=$J$5,0,(CONTADORES!AG63-CONTADORES!AG62))</f>
        <v>8.5999999999912689</v>
      </c>
      <c r="AK69" s="1466">
        <f ca="1">IF(B69=$J$5,0,(CONTADORES!O63-CONTADORES!O62))</f>
        <v>15.170000000012806</v>
      </c>
      <c r="AL69" s="1466">
        <f t="shared" ca="1" si="13"/>
        <v>33.025000000036698</v>
      </c>
      <c r="AM69" s="1466">
        <f ca="1">IF(B69&gt;=$J$5,0,(((CONTADORES!F63-CONTADORES!F62)+(CONTADORES!AO63-CONTADORES!AO62))))-BJ69-AF69-AN69-BM69-BP69-BU69-BS69</f>
        <v>9.8320000000413792</v>
      </c>
      <c r="AN69" s="1466">
        <f ca="1">IF(B69=$J$5,0,(CONTADORES!AV63-CONTADORES!AV62)+(CONTADORES!AX63-CONTADORES!AX62)+(CONTADORES!BC63-CONTADORES!BC62))-BS69</f>
        <v>3.7370000000004922</v>
      </c>
      <c r="AO69" s="62">
        <f ca="1">IF(B69&gt;=$J$5,0,(CONTADORES!AA63-CONTADORES!AA62))</f>
        <v>141.40000000002328</v>
      </c>
      <c r="AP69" s="62">
        <f ca="1">IF(B69&gt;=$J$5,0,(CONTADORES!V63-CONTADORES!V62))</f>
        <v>74.979999999999563</v>
      </c>
      <c r="AQ69" s="62">
        <f ca="1">IF(B69&gt;=$J$5,0,(CONTADORES!C63-CONTADORES!C62))</f>
        <v>2.9999999999290594E-3</v>
      </c>
      <c r="AR69" s="1468">
        <f ca="1">IF(B69&gt;=$J$5,0,(CONTADORES!BA63-CONTADORES!BA62))</f>
        <v>0.22500000000002274</v>
      </c>
      <c r="AS69" s="1466">
        <f ca="1">IF(B69=$J$5,0,CONTADORES!Q63-CONTADORES!Q62)</f>
        <v>17.619999999995343</v>
      </c>
      <c r="AT69" s="1466">
        <f ca="1">IF(B69=$J$5,0,(CONTADORES!S63-CONTADORES!S62)+(CONTADORES!AE63-CONTADORES!AE62))</f>
        <v>2.25</v>
      </c>
      <c r="AU69" s="1466">
        <f>CONTADORES!I63-CONTADORES!I62</f>
        <v>82.400000000023283</v>
      </c>
      <c r="AV69" s="1466">
        <f>CONTADORES!AT63-CONTADORES!AT62</f>
        <v>60</v>
      </c>
      <c r="AW69" s="1466">
        <f ca="1">IF(B69&gt;=$J$5,0,(CONTADORES!L63-CONTADORES!L62)+(CONTADORES!AL63-CONTADORES!AL62))</f>
        <v>3</v>
      </c>
      <c r="AX69" s="1466">
        <f ca="1">IF(B69&gt;=$J$5,0,(CONTADORES!N63-CONTADORES!N62)+(CONTADORES!AJ63-CONTADORES!AJ62))</f>
        <v>25.279999999998836</v>
      </c>
      <c r="AY69" s="1466">
        <f ca="1">IF(B69&gt;=$J$5,0,(CONTADORES!AH63-CONTADORES!AH62))</f>
        <v>6.5199999999967986</v>
      </c>
      <c r="AZ69" s="1466">
        <f ca="1">IF(B69&gt;=$J$5,0,(CONTADORES!P63-CONTADORES!P62))</f>
        <v>12.659999999988941</v>
      </c>
      <c r="BA69" s="1466">
        <f t="shared" ca="1" si="14"/>
        <v>15.3230000000095</v>
      </c>
      <c r="BB69" s="1467">
        <f ca="1">IF(B69&gt;=$J$5,0,(((CONTADORES!G63-CONTADORES!G62)+(CONTADORES!AP63-CONTADORES!AP62))))-AV69-BC69-BK69-BN69-BQ69-BV69</f>
        <v>4.6200000000058026</v>
      </c>
      <c r="BC69" s="1795">
        <f ca="1">IF(B69&gt;=$J$5,0,(CONTADORES!AW63-CONTADORES!AW62)+(CONTADORES!AY63-CONTADORES!AY62)+(CONTADORES!BD63-CONTADORES!BD62))-BT69</f>
        <v>1.1249999999999829</v>
      </c>
      <c r="BD69" s="1467">
        <f t="shared" ca="1" si="15"/>
        <v>216.6080000000228</v>
      </c>
      <c r="BE69" s="1467">
        <f ca="1">IF($B69&gt;=$J$5,0,CONTADORES!$BE63)</f>
        <v>6144.79</v>
      </c>
      <c r="BF69" s="1466">
        <f ca="1">IF($B69&gt;=$J$5,0,CONTADORES!$BF63)</f>
        <v>33482.664912280699</v>
      </c>
      <c r="BG69" s="1467">
        <f ca="1">IF($B69&gt;=$J$5,0,CONTADORES!$BH63)</f>
        <v>5921.04</v>
      </c>
      <c r="BH69" s="1466">
        <f ca="1">IF(B69&gt;=$J$5,0,(CONTADORES!AQ63-CONTADORES!AQ62))</f>
        <v>5.2690000000002328</v>
      </c>
      <c r="BI69" s="1466">
        <f ca="1">IF(B69&gt;=$J$5,0,(CONTADORES!AR63-CONTADORES!AR62))</f>
        <v>0</v>
      </c>
      <c r="BJ69" s="1467">
        <f ca="1">IF(B69&gt;=$J$5,0,CONTADORES!BI63-CONTADORES!BI62)/1000</f>
        <v>0</v>
      </c>
      <c r="BK69" s="1466">
        <f ca="1">IF(B69&gt;=$J$5,0,CONTADORES!BJ63-CONTADORES!BJ62)</f>
        <v>0</v>
      </c>
      <c r="BL69" s="1466">
        <f ca="1">IF(B69&gt;=$J$5,0,CONTADORES!BK63-CONTADORES!BK62)</f>
        <v>0</v>
      </c>
      <c r="BM69" s="1466">
        <f ca="1">IF(B69&gt;=$J$5,0,CONTADORES!BL63-CONTADORES!BL62)/1000</f>
        <v>5.4770000000000003</v>
      </c>
      <c r="BN69" s="1466">
        <f ca="1">IF(B69&gt;=$J$5,0,CONTADORES!BM63-CONTADORES!BM62)/1000</f>
        <v>0.14199999999999999</v>
      </c>
      <c r="BO69" s="1466">
        <f ca="1">IF(B69&gt;=$J$5,0,CONTADORES!BN63-CONTADORES!BN62)</f>
        <v>24</v>
      </c>
      <c r="BP69" s="1466">
        <f ca="1">IF(B69&gt;=$J$5,0,CONTADORES!BO63-CONTADORES!BO62)/1000</f>
        <v>2.911</v>
      </c>
      <c r="BQ69" s="1466">
        <f ca="1">IF(B69&gt;=$J$5,0,CONTADORES!BP63-CONTADORES!BP62)/1000</f>
        <v>3.0000000000000001E-3</v>
      </c>
      <c r="BR69" s="1466">
        <f ca="1">IF(B69&gt;=$J$5,0,CONTADORES!BQ63-CONTADORES!BQ62)</f>
        <v>24</v>
      </c>
      <c r="BS69" s="1467">
        <f ca="1">IF(B69&gt;=$J$5,0,(CONTADORES!BT63-CONTADORES!BT62)+(CONTADORES!BV63-CONTADORES!BV62))/1000</f>
        <v>1.5029999999999999</v>
      </c>
      <c r="BT69" s="1466">
        <f ca="1">IF(B69&gt;=$J$5,0,(CONTADORES!BU63-CONTADORES!BU62)+(CONTADORES!BW63-CONTADORES!BW62))/1000</f>
        <v>0.92500000000000004</v>
      </c>
      <c r="BU69" s="1467">
        <f ca="1">IF(B69&gt;=$J$5,0,CONTADORES!BR63-CONTADORES!BR62)</f>
        <v>6.5700000000006185</v>
      </c>
      <c r="BV69" s="1466">
        <f ca="1">IF(B69&gt;=$J$5,0,CONTADORES!BS63-CONTADORES!BS62)</f>
        <v>4.6099999999996726</v>
      </c>
      <c r="BW69" s="1466">
        <f t="shared" ca="1" si="16"/>
        <v>11.486000000021308</v>
      </c>
      <c r="BX69" s="1466">
        <f t="shared" ca="1" si="17"/>
        <v>6.9200000000025739</v>
      </c>
      <c r="BY69" s="1466">
        <f t="shared" ca="1" si="18"/>
        <v>4.9160000000206896</v>
      </c>
      <c r="BZ69" s="1466">
        <f t="shared" ca="1" si="19"/>
        <v>1.4948000000001969</v>
      </c>
      <c r="CA69" s="1466">
        <f t="shared" ca="1" si="20"/>
        <v>4.9160000000206896</v>
      </c>
      <c r="CB69" s="1466">
        <f t="shared" ca="1" si="21"/>
        <v>2.2422000000002953</v>
      </c>
      <c r="CC69" s="1466">
        <f t="shared" ca="1" si="22"/>
        <v>2.997800000000197</v>
      </c>
      <c r="CD69" s="1466">
        <f t="shared" ca="1" si="23"/>
        <v>2.3100000000029013</v>
      </c>
      <c r="CE69" s="1466">
        <f ca="1">IF(B69&gt;=$J$5,0,CONTADORES!BS63-CONTADORES!BS62)</f>
        <v>4.6099999999996726</v>
      </c>
      <c r="CF69" s="1466">
        <f t="shared" ca="1" si="24"/>
        <v>2.3100000000029013</v>
      </c>
      <c r="CG69" s="1466">
        <f t="shared" ca="1" si="25"/>
        <v>0.56249999999999145</v>
      </c>
      <c r="CH69" s="1466">
        <f t="shared" ca="1" si="26"/>
        <v>0.56249999999999145</v>
      </c>
      <c r="CI69" s="1466">
        <f t="shared" ca="1" si="27"/>
        <v>1.4874999999999914</v>
      </c>
      <c r="CJ69" s="1471">
        <f ca="1">IF($B69&gt;=$J$5,0,CONTADORES!$BG63)</f>
        <v>10763.2763547919</v>
      </c>
      <c r="CK69" s="1385">
        <f>CONTADORES!E63</f>
        <v>0</v>
      </c>
      <c r="CL69" s="1385">
        <f>CONTADORES!BX63</f>
        <v>0.6</v>
      </c>
    </row>
    <row r="70" spans="2:90">
      <c r="B70" s="410">
        <v>44986</v>
      </c>
      <c r="C70" s="204">
        <f t="shared" ca="1" si="0"/>
        <v>277.73999999999069</v>
      </c>
      <c r="D70" s="202">
        <f ca="1">'CALCULO DE GAS'!D72</f>
        <v>4.7411978715709964</v>
      </c>
      <c r="E70" s="202">
        <f ca="1">IF(B70&gt;=$J$5,0,(CONTADORES!$AB66-CONTADORES!$AB65)-$H70)</f>
        <v>24</v>
      </c>
      <c r="F70" s="202">
        <f t="shared" ca="1" si="32"/>
        <v>0</v>
      </c>
      <c r="G70" s="202">
        <f ca="1">IF(B70&gt;=$J$5,0,CONTADORES!$AD66-CONTADORES!$AD65)</f>
        <v>0</v>
      </c>
      <c r="H70" s="202">
        <f ca="1">IF(G70&gt;0,CONTADORES!$AC66-CONTADORES!$AC65,0)</f>
        <v>0</v>
      </c>
      <c r="I70" s="205">
        <f ca="1">IF(B70&gt;=$J$5,0,CONTADORES!$Z66-CONTADORES!$Z65)</f>
        <v>277.73999999999069</v>
      </c>
      <c r="J70" s="204">
        <f t="shared" ca="1" si="2"/>
        <v>153.31999999999971</v>
      </c>
      <c r="K70" s="202">
        <f ca="1">'CALCULO DE GAS'!E72</f>
        <v>3.7266008640897734</v>
      </c>
      <c r="L70" s="1437">
        <f ca="1">IF(B70&gt;=$J$5,0,(CONTADORES!$W66-CONTADORES!$W65)-$O70)</f>
        <v>24</v>
      </c>
      <c r="M70" s="1437">
        <f t="shared" ca="1" si="31"/>
        <v>0</v>
      </c>
      <c r="N70" s="1437">
        <f ca="1">IF(B70&gt;=$J$5,0,CONTADORES!$Y66-CONTADORES!$Y65)</f>
        <v>0</v>
      </c>
      <c r="O70" s="1437">
        <f ca="1">IF(N70&gt;0,CONTADORES!$X66-CONTADORES!$X65,0)</f>
        <v>0</v>
      </c>
      <c r="P70" s="208">
        <f ca="1">IF(B70&gt;=$J$5,0,CONTADORES!$U66-CONTADORES!$U65)</f>
        <v>153.31999999999971</v>
      </c>
      <c r="Q70" s="208">
        <f ca="1">IF(B70&gt;=$J$5,0,CONTADORES!$B66-CONTADORES!$B65)</f>
        <v>0</v>
      </c>
      <c r="R70" s="202">
        <f t="shared" ca="1" si="4"/>
        <v>0</v>
      </c>
      <c r="S70" s="11">
        <f ca="1">IF(B70&gt;=$J$5,0,CONTADORES!$D66-CONTADORES!$D65)</f>
        <v>0</v>
      </c>
      <c r="T70" s="204">
        <f ca="1">IF(B70&gt;=$J$5,0,CONTADORES!$AZ66-CONTADORES!$AZ65)</f>
        <v>0</v>
      </c>
      <c r="U70" s="202">
        <f t="shared" ca="1" si="30"/>
        <v>0</v>
      </c>
      <c r="V70" s="205">
        <f ca="1">IF(B70&gt;=$J$5,0,CONTADORES!$BB66-CONTADORES!$BB65)</f>
        <v>0</v>
      </c>
      <c r="W70" s="1438">
        <f t="shared" ca="1" si="6"/>
        <v>431.0599999999904</v>
      </c>
      <c r="X70" s="1438">
        <f t="shared" ca="1" si="7"/>
        <v>0</v>
      </c>
      <c r="Y70" s="1439">
        <f t="shared" ca="1" si="8"/>
        <v>431.0599999999904</v>
      </c>
      <c r="Z70" s="1439">
        <f t="shared" ca="1" si="9"/>
        <v>8.4677987356607698</v>
      </c>
      <c r="AA70" s="1439">
        <f t="shared" ca="1" si="10"/>
        <v>0</v>
      </c>
      <c r="AB70" s="1439">
        <f t="shared" ca="1" si="11"/>
        <v>48</v>
      </c>
      <c r="AC70" s="1439">
        <f t="shared" ca="1" si="12"/>
        <v>0</v>
      </c>
      <c r="AD70" s="1438">
        <f ca="1">IF(B70&gt;=$J$5,0,CONTADORES!H66-CONTADORES!H65)</f>
        <v>158.80000000004657</v>
      </c>
      <c r="AE70" s="1438">
        <f ca="1">IF(B70&gt;=$J$5,0,CONTADORES!J66-CONTADORES!J65)</f>
        <v>24</v>
      </c>
      <c r="AF70" s="1438">
        <f ca="1">IF(B70&gt;=$J$5,0,CONTADORES!AS66-CONTADORES!AS65)</f>
        <v>139.79999999998836</v>
      </c>
      <c r="AG70" s="1438">
        <f ca="1">IF(B70&gt;=$J$5,0,CONTADORES!AU66-CONTADORES!AU65)</f>
        <v>24</v>
      </c>
      <c r="AH70" s="1439">
        <f ca="1">IF(B70&gt;=$J$5,0,(CONTADORES!AK66-CONTADORES!AK65)+(CONTADORES!K66-CONTADORES!K65))</f>
        <v>9</v>
      </c>
      <c r="AI70" s="1438">
        <f ca="1">IF(B70&gt;=$J$5,0,(CONTADORES!AI66-CONTADORES!AI65)+(CONTADORES!M66-CONTADORES!M65))</f>
        <v>32.839999999996508</v>
      </c>
      <c r="AJ70" s="1438">
        <f ca="1">IF(B70&gt;=$J$5,0,(CONTADORES!AG66-CONTADORES!AG65))</f>
        <v>6.4100000000034925</v>
      </c>
      <c r="AK70" s="1438">
        <f ca="1">IF(B70&gt;=$J$5,0,(CONTADORES!O66-CONTADORES!O65))</f>
        <v>15.200000000011642</v>
      </c>
      <c r="AL70" s="1438">
        <f t="shared" ca="1" si="13"/>
        <v>38.909999999897934</v>
      </c>
      <c r="AM70" s="1438">
        <f ca="1">IF(B70&gt;=$J$5,0,(((CONTADORES!F66-CONTADORES!F65)+(CONTADORES!AO66-CONTADORES!AO65))))-BJ70-AF70-AN70-BM70-BP70-BU70-BS70</f>
        <v>10.532000000046983</v>
      </c>
      <c r="AN70" s="1438">
        <f ca="1">IF(B70&gt;=$J$5,0,(CONTADORES!AV66-CONTADORES!AV65)+(CONTADORES!AX66-CONTADORES!AX65)+(CONTADORES!BC66-CONTADORES!BC65))-BS70</f>
        <v>2.8869999999995088</v>
      </c>
      <c r="AO70" s="1438">
        <f ca="1">IF(B70&gt;=$J$5,0,(CONTADORES!AA66-CONTADORES!AA65))</f>
        <v>139.79999999998836</v>
      </c>
      <c r="AP70" s="1438">
        <f ca="1">IF(B70&gt;=$J$5,0,(CONTADORES!V66-CONTADORES!V65))</f>
        <v>74.790000000000873</v>
      </c>
      <c r="AQ70" s="1438">
        <f ca="1">IF(B70&gt;=$J$5,0,(CONTADORES!C66-CONTADORES!C65))</f>
        <v>0</v>
      </c>
      <c r="AR70" s="1438">
        <f ca="1">IF(B70&gt;=$J$5,0,(CONTADORES!BA66-CONTADORES!BA65))</f>
        <v>0</v>
      </c>
      <c r="AS70" s="1438">
        <f ca="1">IF(B70&gt;=$J$5,0,CONTADORES!Q66-CONTADORES!Q65)</f>
        <v>17.299999999988358</v>
      </c>
      <c r="AT70" s="1438">
        <f ca="1">IF(B70&gt;=$J$5,0,(CONTADORES!BD66-CONTADORES!BD65)+(CONTADORES!AE66-CONTADORES!AE65))</f>
        <v>2.7999999999971124</v>
      </c>
      <c r="AU70" s="1439">
        <f>CONTADORES!I66-CONTADORES!I65</f>
        <v>84.400000000023283</v>
      </c>
      <c r="AV70" s="1438">
        <f>CONTADORES!AT66-CONTADORES!AT65</f>
        <v>61</v>
      </c>
      <c r="AW70" s="1438">
        <f ca="1">IF(B70&gt;=$J$5,0,(CONTADORES!L66-CONTADORES!L65)+(CONTADORES!AL66-CONTADORES!AL65))</f>
        <v>3.1000000000003638</v>
      </c>
      <c r="AX70" s="1438">
        <f ca="1">IF(B70&gt;=$J$5,0,(CONTADORES!N66-CONTADORES!N65)+(CONTADORES!AJ66-CONTADORES!AJ65))</f>
        <v>25.389999999999418</v>
      </c>
      <c r="AY70" s="1438">
        <f ca="1">IF(B70&gt;=$J$5,0,(CONTADORES!AH66-CONTADORES!AH65))</f>
        <v>4.930000000000291</v>
      </c>
      <c r="AZ70" s="1438">
        <f ca="1">IF(B70&gt;=$J$5,0,(CONTADORES!P66-CONTADORES!P65))</f>
        <v>12.630000000004657</v>
      </c>
      <c r="BA70" s="1438">
        <f t="shared" ca="1" si="14"/>
        <v>13.4799999999492</v>
      </c>
      <c r="BB70" s="1438">
        <f ca="1">IF(B70&gt;=$J$5,0,(((CONTADORES!G66-CONTADORES!G65)+(CONTADORES!AP66-CONTADORES!AP65))))-AV70-BC70-BK70-BN70-BQ70-BV70</f>
        <v>3.1700000000118731</v>
      </c>
      <c r="BC70" s="1438">
        <f ca="1">IF(B70&gt;=$J$5,0,(CONTADORES!AW66-CONTADORES!AW65)+(CONTADORES!AY66-CONTADORES!AY65)+(CONTADORES!BD66-CONTADORES!BD65))-BT70</f>
        <v>1.120000000000132</v>
      </c>
      <c r="BD70" s="1438">
        <f t="shared" ca="1" si="15"/>
        <v>214.58999999998923</v>
      </c>
      <c r="BE70" s="1439">
        <f ca="1">IF($B70&gt;=$J$5,0,CONTADORES!$BE66)</f>
        <v>6105.87</v>
      </c>
      <c r="BF70" s="1438">
        <f ca="1">IF($B70&gt;=$J$5,0,CONTADORES!$BF66)</f>
        <v>33200.9561403509</v>
      </c>
      <c r="BG70" s="1438">
        <f ca="1">IF($B70&gt;=$J$5,0,CONTADORES!$BH66)</f>
        <v>5852.32</v>
      </c>
      <c r="BH70" s="1438">
        <f ca="1">IF(B70&gt;=$J$5,0,(CONTADORES!AQ66-CONTADORES!AQ65))</f>
        <v>5.25</v>
      </c>
      <c r="BI70" s="1438">
        <f ca="1">IF(C70&gt;=$J$5,0,(CONTADORES!AR66-CONTADORES!AR65))</f>
        <v>0</v>
      </c>
      <c r="BJ70" s="1438">
        <f ca="1">IF(B70&gt;=$J$5,0,CONTADORES!BI66-CONTADORES!BI65)/1000</f>
        <v>0</v>
      </c>
      <c r="BK70" s="1438">
        <f ca="1">IF(B70&gt;=$J$5,0,CONTADORES!BJ66-CONTADORES!BJ65)</f>
        <v>0</v>
      </c>
      <c r="BL70" s="1438">
        <f ca="1">IF(B70&gt;=$J$5,0,CONTADORES!BK66-CONTADORES!BK65)</f>
        <v>0</v>
      </c>
      <c r="BM70" s="1438">
        <f ca="1">IF(B70&gt;=$J$5,0,CONTADORES!BL66-CONTADORES!BL65)/1000</f>
        <v>2.4340000000000002</v>
      </c>
      <c r="BN70" s="1438">
        <f ca="1">IF(B70&gt;=$J$5,0,CONTADORES!BM66-CONTADORES!BM65)/1000</f>
        <v>0</v>
      </c>
      <c r="BO70" s="1438">
        <f ca="1">IF(B70&gt;=$J$5,0,CONTADORES!BN66-CONTADORES!BN65)</f>
        <v>24</v>
      </c>
      <c r="BP70" s="1438">
        <f ca="1">IF(B70&gt;=$J$5,0,CONTADORES!BO66-CONTADORES!BO65)/1000</f>
        <v>6.3739999999999997</v>
      </c>
      <c r="BQ70" s="1438">
        <f ca="1">IF(B70&gt;=$J$5,0,CONTADORES!BP66-CONTADORES!BP65)/1000</f>
        <v>0.01</v>
      </c>
      <c r="BR70" s="1438">
        <f ca="1">IF(B70&gt;=$J$5,0,CONTADORES!BQ66-CONTADORES!BQ65)</f>
        <v>24</v>
      </c>
      <c r="BS70" s="1439">
        <f ca="1">IF(B70&gt;=$J$5,0,(CONTADORES!BT66-CONTADORES!BT65)+(CONTADORES!BV66-CONTADORES!BV65))/1000</f>
        <v>1.403</v>
      </c>
      <c r="BT70" s="1438">
        <f ca="1">IF(B70&gt;=$J$5,0,(CONTADORES!BU66-CONTADORES!BU65)+(CONTADORES!BW66-CONTADORES!BW65))/1000</f>
        <v>0.86</v>
      </c>
      <c r="BU70" s="1439">
        <f ca="1">IF(B70&gt;=$J$5,0,CONTADORES!BR66-CONTADORES!BR65)</f>
        <v>6.4699999999993452</v>
      </c>
      <c r="BV70" s="1438">
        <f ca="1">IF(B70&gt;=$J$5,0,CONTADORES!BS66-CONTADORES!BS65)</f>
        <v>4.5</v>
      </c>
      <c r="BW70" s="1438">
        <f t="shared" ca="1" si="16"/>
        <v>11.736000000022837</v>
      </c>
      <c r="BX70" s="1438">
        <f t="shared" ca="1" si="17"/>
        <v>6.0850000000059365</v>
      </c>
      <c r="BY70" s="1438">
        <f t="shared" ca="1" si="18"/>
        <v>5.2660000000234914</v>
      </c>
      <c r="BZ70" s="1438">
        <f t="shared" ca="1" si="19"/>
        <v>1.1547999999998035</v>
      </c>
      <c r="CA70" s="1438">
        <f t="shared" ca="1" si="20"/>
        <v>5.2660000000234914</v>
      </c>
      <c r="CB70" s="1438">
        <f t="shared" ca="1" si="21"/>
        <v>1.7321999999997053</v>
      </c>
      <c r="CC70" s="1438">
        <f t="shared" ca="1" si="22"/>
        <v>2.5577999999998036</v>
      </c>
      <c r="CD70" s="1438">
        <f t="shared" ca="1" si="23"/>
        <v>1.5850000000059365</v>
      </c>
      <c r="CE70" s="1438">
        <f ca="1">IF(B70&gt;=$J$5,0,CONTADORES!BS66-CONTADORES!BS65)</f>
        <v>4.5</v>
      </c>
      <c r="CF70" s="1438">
        <f t="shared" ca="1" si="24"/>
        <v>1.5850000000059365</v>
      </c>
      <c r="CG70" s="1438">
        <f t="shared" ca="1" si="25"/>
        <v>0.560000000000066</v>
      </c>
      <c r="CH70" s="1438">
        <f t="shared" ca="1" si="26"/>
        <v>0.560000000000066</v>
      </c>
      <c r="CI70" s="1438">
        <f t="shared" ca="1" si="27"/>
        <v>1.4200000000000661</v>
      </c>
      <c r="CJ70" s="1444">
        <f ca="1">IF($B70&gt;=$J$5,0,CONTADORES!$BG66)</f>
        <v>8538.5045571011906</v>
      </c>
      <c r="CK70" s="1383">
        <f>CONTADORES!E66</f>
        <v>0</v>
      </c>
      <c r="CL70" s="1383">
        <f>CONTADORES!BX66</f>
        <v>0</v>
      </c>
    </row>
    <row r="71" spans="2:90">
      <c r="B71" s="410">
        <v>44987</v>
      </c>
      <c r="C71" s="204">
        <f t="shared" ca="1" si="0"/>
        <v>281.19999999995343</v>
      </c>
      <c r="D71" s="202">
        <f ca="1">'CALCULO DE GAS'!D73</f>
        <v>4.7694128341642088</v>
      </c>
      <c r="E71" s="202">
        <f ca="1">IF(B71&gt;=$J$5,0,(CONTADORES!$AB67-CONTADORES!$AB66)-$H71)</f>
        <v>24</v>
      </c>
      <c r="F71" s="204">
        <f t="shared" ca="1" si="32"/>
        <v>0</v>
      </c>
      <c r="G71" s="202">
        <f ca="1">IF(B71&gt;=$J$5,0,CONTADORES!$AD67-CONTADORES!$AD66)</f>
        <v>0</v>
      </c>
      <c r="H71" s="1437">
        <f ca="1">IF(G71&gt;0,CONTADORES!$AC67-CONTADORES!$AC66,0)</f>
        <v>0</v>
      </c>
      <c r="I71" s="205">
        <f ca="1">IF(B71&gt;=$J$5,0,CONTADORES!$Z67-CONTADORES!$Z66)</f>
        <v>281.19999999995343</v>
      </c>
      <c r="J71" s="204">
        <f t="shared" ca="1" si="2"/>
        <v>151.09999999999854</v>
      </c>
      <c r="K71" s="202">
        <f ca="1">'CALCULO DE GAS'!E73</f>
        <v>3.7084976221945016</v>
      </c>
      <c r="L71" s="1437">
        <f ca="1">IF(B71&gt;=$J$5,0,(CONTADORES!$W67-CONTADORES!$W66)-$O71)</f>
        <v>24</v>
      </c>
      <c r="M71" s="1437">
        <f t="shared" ca="1" si="31"/>
        <v>0</v>
      </c>
      <c r="N71" s="1437">
        <f ca="1">IF(B71&gt;=$J$5,0,CONTADORES!$Y67-CONTADORES!$Y66)</f>
        <v>0</v>
      </c>
      <c r="O71" s="1437">
        <f ca="1">IF(N71&gt;0,CONTADORES!$X67-CONTADORES!$X66,0)</f>
        <v>0</v>
      </c>
      <c r="P71" s="208">
        <f ca="1">IF(B71&gt;=$J$5,0,CONTADORES!$U67-CONTADORES!$U66)</f>
        <v>151.09999999999854</v>
      </c>
      <c r="Q71" s="208">
        <f ca="1">IF(B71&gt;=$J$5,0,CONTADORES!$B67-CONTADORES!$B66)</f>
        <v>0</v>
      </c>
      <c r="R71" s="202">
        <f t="shared" ca="1" si="4"/>
        <v>0</v>
      </c>
      <c r="S71" s="11">
        <f ca="1">IF(B71&gt;=$J$5,0,CONTADORES!$D67-CONTADORES!$D66)</f>
        <v>0</v>
      </c>
      <c r="T71" s="204">
        <f ca="1">IF(B71&gt;=$J$5,0,CONTADORES!$AZ67-CONTADORES!$AZ66)</f>
        <v>0</v>
      </c>
      <c r="U71" s="202">
        <f t="shared" ca="1" si="30"/>
        <v>0</v>
      </c>
      <c r="V71" s="205">
        <f ca="1">IF(B71&gt;=$J$5,0,CONTADORES!$BB67-CONTADORES!$BB66)</f>
        <v>0</v>
      </c>
      <c r="W71" s="1438">
        <f t="shared" ca="1" si="6"/>
        <v>432.29999999995198</v>
      </c>
      <c r="X71" s="1438">
        <f t="shared" ca="1" si="7"/>
        <v>0</v>
      </c>
      <c r="Y71" s="1439">
        <f t="shared" ca="1" si="8"/>
        <v>432.29999999995198</v>
      </c>
      <c r="Z71" s="1439">
        <f t="shared" ca="1" si="9"/>
        <v>8.4779104563587104</v>
      </c>
      <c r="AA71" s="1439">
        <f t="shared" ca="1" si="10"/>
        <v>0</v>
      </c>
      <c r="AB71" s="1439">
        <f t="shared" ca="1" si="11"/>
        <v>48</v>
      </c>
      <c r="AC71" s="1438">
        <f t="shared" ca="1" si="12"/>
        <v>0</v>
      </c>
      <c r="AD71" s="1438">
        <f ca="1">IF(B71&gt;=$J$5,0,CONTADORES!H67-CONTADORES!H66)</f>
        <v>167.40000000002328</v>
      </c>
      <c r="AE71" s="1438">
        <f ca="1">IF(B71&gt;=$J$5,0,CONTADORES!J67-CONTADORES!J66)</f>
        <v>24</v>
      </c>
      <c r="AF71" s="1438">
        <f ca="1">IF(B71&gt;=$J$5,0,CONTADORES!AS67-CONTADORES!AS66)</f>
        <v>139.20000000001164</v>
      </c>
      <c r="AG71" s="1438">
        <f ca="1">IF(B71&gt;=$J$5,0,CONTADORES!AU67-CONTADORES!AU66)</f>
        <v>24</v>
      </c>
      <c r="AH71" s="1438">
        <f ca="1">IF(B71&gt;=$J$5,0,(CONTADORES!AK67-CONTADORES!AK66)+(CONTADORES!K67-CONTADORES!K66))</f>
        <v>9.1000000000003638</v>
      </c>
      <c r="AI71" s="1438">
        <f ca="1">IF(B71&gt;=$J$5,0,(CONTADORES!AI67-CONTADORES!AI66)+(CONTADORES!M67-CONTADORES!M66))</f>
        <v>36.969999999993888</v>
      </c>
      <c r="AJ71" s="1438">
        <f ca="1">IF(B71&gt;=$J$5,0,(CONTADORES!AG67-CONTADORES!AG66))</f>
        <v>7.4000000000087311</v>
      </c>
      <c r="AK71" s="1438">
        <f ca="1">IF(B71&gt;=$J$5,0,(CONTADORES!O67-CONTADORES!O66))</f>
        <v>15.399999999994179</v>
      </c>
      <c r="AL71" s="1438">
        <f t="shared" ca="1" si="13"/>
        <v>29.429999999980282</v>
      </c>
      <c r="AM71" s="1438">
        <f ca="1">IF(B71&gt;=$J$5,0,(((CONTADORES!F67-CONTADORES!F66)+(CONTADORES!AO67-CONTADORES!AO66))))-BJ71-AF71-AN71-BM71-BP71-BU71-BS71</f>
        <v>8.2769999999392994</v>
      </c>
      <c r="AN71" s="1438">
        <f ca="1">IF(B71&gt;=$J$5,0,(CONTADORES!AV67-CONTADORES!AV66)+(CONTADORES!AX67-CONTADORES!AX66)+(CONTADORES!BC67-CONTADORES!BC66))-BS71</f>
        <v>2.4980000000002001</v>
      </c>
      <c r="AO71" s="1478">
        <f ca="1">IF(B71&gt;=$J$5,0,(CONTADORES!AA67-CONTADORES!AA66))</f>
        <v>144.90000000002328</v>
      </c>
      <c r="AP71" s="1478">
        <f ca="1">IF(B71&gt;=$J$5,0,(CONTADORES!V67-CONTADORES!V66))</f>
        <v>73.100000000000364</v>
      </c>
      <c r="AQ71" s="1445">
        <f ca="1">IF(B71&gt;=$J$5,0,(CONTADORES!C67-CONTADORES!C66))</f>
        <v>0</v>
      </c>
      <c r="AR71" s="1440">
        <f ca="1">IF(B71&gt;=$J$5,0,(CONTADORES!BA67-CONTADORES!BA66))</f>
        <v>0</v>
      </c>
      <c r="AS71" s="1438">
        <f ca="1">IF(B71&gt;=$J$5,0,CONTADORES!Q67-CONTADORES!Q66)</f>
        <v>17.200000000011642</v>
      </c>
      <c r="AT71" s="1438">
        <f ca="1">IF(B71&gt;=$J$5,0,(CONTADORES!S67-CONTADORES!S66)+(CONTADORES!AE67-CONTADORES!AE66))</f>
        <v>2.2000000000043656</v>
      </c>
      <c r="AU71" s="1450">
        <f>CONTADORES!I67-CONTADORES!I66</f>
        <v>86.099999999976717</v>
      </c>
      <c r="AV71" s="1479">
        <f>CONTADORES!AT67-CONTADORES!AT66</f>
        <v>61</v>
      </c>
      <c r="AW71" s="1479">
        <f ca="1">IF(B71&gt;=$J$5,0,(CONTADORES!L67-CONTADORES!L66)+(CONTADORES!AL67-CONTADORES!AL66))</f>
        <v>3.1999999999970896</v>
      </c>
      <c r="AX71" s="1479">
        <f ca="1">IF(B71&gt;=$J$5,0,(CONTADORES!N67-CONTADORES!N66)+(CONTADORES!AJ67-CONTADORES!AJ66))</f>
        <v>29.220000000001164</v>
      </c>
      <c r="AY71" s="1479">
        <f ca="1">IF(B71&gt;=$J$5,0,(CONTADORES!AH67-CONTADORES!AH66))</f>
        <v>5.7000000000043656</v>
      </c>
      <c r="AZ71" s="1479">
        <f ca="1">IF(B71&gt;=$J$5,0,(CONTADORES!P67-CONTADORES!P66))</f>
        <v>12.69999999999709</v>
      </c>
      <c r="BA71" s="1438">
        <f t="shared" ca="1" si="14"/>
        <v>10.747000000042107</v>
      </c>
      <c r="BB71" s="1438">
        <f ca="1">IF(B71&gt;=$J$5,0,(((CONTADORES!G67-CONTADORES!G66)+(CONTADORES!AP67-CONTADORES!AP66))))-AV71-BC71-BK71-BN71-BQ71-BV71</f>
        <v>3.1150000000050477</v>
      </c>
      <c r="BC71" s="1438">
        <f ca="1">IF(B71&gt;=$J$5,0,(CONTADORES!AW67-CONTADORES!AW66)+(CONTADORES!AY67-CONTADORES!AY66)+(CONTADORES!BD67-CONTADORES!BD66))-BT71</f>
        <v>0.84699999999997266</v>
      </c>
      <c r="BD71" s="1438">
        <f t="shared" ca="1" si="15"/>
        <v>218.00000000002365</v>
      </c>
      <c r="BE71" s="1450">
        <f ca="1">IF($B71&gt;=$J$5,0,CONTADORES!$BE67)</f>
        <v>5960.75</v>
      </c>
      <c r="BF71" s="1479">
        <f ca="1">IF($B71&gt;=$J$5,0,CONTADORES!$BF67)</f>
        <v>32981.485964912281</v>
      </c>
      <c r="BG71" s="1438">
        <f ca="1">IF($B71&gt;=$J$5,0,CONTADORES!$BH67)</f>
        <v>5765.25</v>
      </c>
      <c r="BH71" s="1438">
        <f ca="1">IF(B71&gt;=$J$5,0,(CONTADORES!AQ67-CONTADORES!AQ66))</f>
        <v>5.3729999999995925</v>
      </c>
      <c r="BI71" s="1438">
        <f ca="1">IF(B71&gt;=$J$5,0,(CONTADORES!AR67-CONTADORES!AR66))</f>
        <v>0</v>
      </c>
      <c r="BJ71" s="1450">
        <f ca="1">IF(B71&gt;=$J$5,0,CONTADORES!BI67-CONTADORES!BI66)/1000</f>
        <v>0</v>
      </c>
      <c r="BK71" s="1479">
        <f ca="1">IF(B71&gt;=$J$5,0,CONTADORES!BJ67-CONTADORES!BJ66)</f>
        <v>0</v>
      </c>
      <c r="BL71" s="1479">
        <f ca="1">IF(B71&gt;=$J$5,0,CONTADORES!BK67-CONTADORES!BK66)</f>
        <v>0</v>
      </c>
      <c r="BM71" s="1479">
        <f ca="1">IF(B71&gt;=$J$5,0,CONTADORES!BL67-CONTADORES!BL66)/1000</f>
        <v>2.431</v>
      </c>
      <c r="BN71" s="1479">
        <f ca="1">IF(B71&gt;=$J$5,0,CONTADORES!BM67-CONTADORES!BM66)/1000</f>
        <v>2E-3</v>
      </c>
      <c r="BO71" s="1479">
        <f ca="1">IF(B71&gt;=$J$5,0,CONTADORES!BN67-CONTADORES!BN66)</f>
        <v>24</v>
      </c>
      <c r="BP71" s="1479">
        <f ca="1">IF(B71&gt;=$J$5,0,CONTADORES!BO67-CONTADORES!BO66)/1000</f>
        <v>6.282</v>
      </c>
      <c r="BQ71" s="1479">
        <f ca="1">IF(B71&gt;=$J$5,0,CONTADORES!BP67-CONTADORES!BP66)/1000</f>
        <v>1.6E-2</v>
      </c>
      <c r="BR71" s="1479">
        <f ca="1">IF(B71&gt;=$J$5,0,CONTADORES!BQ67-CONTADORES!BQ66)</f>
        <v>24</v>
      </c>
      <c r="BS71" s="1450">
        <f ca="1">IF(B71&gt;=$J$5,0,(CONTADORES!BT67-CONTADORES!BT66)+(CONTADORES!BV67-CONTADORES!BV66))/1000</f>
        <v>1.532</v>
      </c>
      <c r="BT71" s="1479">
        <f ca="1">IF(B71&gt;=$J$5,0,(CONTADORES!BU67-CONTADORES!BU66)+(CONTADORES!BW67-CONTADORES!BW66))/1000</f>
        <v>0.93300000000000005</v>
      </c>
      <c r="BU71" s="1450">
        <f ca="1">IF(B71&gt;=$J$5,0,CONTADORES!BR67-CONTADORES!BR66)</f>
        <v>6.3800000000001091</v>
      </c>
      <c r="BV71" s="1479">
        <f ca="1">IF(B71&gt;=$J$5,0,CONTADORES!BS67-CONTADORES!BS66)</f>
        <v>4.4200000000000728</v>
      </c>
      <c r="BW71" s="1479">
        <f t="shared" ca="1" si="16"/>
        <v>10.518499999969759</v>
      </c>
      <c r="BX71" s="1479">
        <f t="shared" ca="1" si="17"/>
        <v>5.9775000000025962</v>
      </c>
      <c r="BY71" s="1479">
        <f t="shared" ca="1" si="18"/>
        <v>4.1384999999696497</v>
      </c>
      <c r="BZ71" s="1479">
        <f t="shared" ca="1" si="19"/>
        <v>0.99920000000008002</v>
      </c>
      <c r="CA71" s="1479">
        <f t="shared" ca="1" si="20"/>
        <v>4.1384999999696497</v>
      </c>
      <c r="CB71" s="1479">
        <f t="shared" ca="1" si="21"/>
        <v>1.49880000000012</v>
      </c>
      <c r="CC71" s="1479">
        <f t="shared" ca="1" si="22"/>
        <v>2.5312000000000801</v>
      </c>
      <c r="CD71" s="1479">
        <f t="shared" ca="1" si="23"/>
        <v>1.5575000000025239</v>
      </c>
      <c r="CE71" s="1479">
        <f ca="1">IF(B71&gt;=$J$5,0,CONTADORES!BS67-CONTADORES!BS66)</f>
        <v>4.4200000000000728</v>
      </c>
      <c r="CF71" s="1479">
        <f t="shared" ca="1" si="24"/>
        <v>1.5575000000025239</v>
      </c>
      <c r="CG71" s="1479">
        <f t="shared" ca="1" si="25"/>
        <v>0.42349999999998633</v>
      </c>
      <c r="CH71" s="1479">
        <f t="shared" ca="1" si="26"/>
        <v>0.42349999999998633</v>
      </c>
      <c r="CI71" s="1479">
        <f t="shared" ca="1" si="27"/>
        <v>1.3564999999999863</v>
      </c>
      <c r="CJ71" s="1480">
        <f ca="1">IF($B71&gt;=$J$5,0,CONTADORES!$BG67)</f>
        <v>10809.867376386415</v>
      </c>
      <c r="CK71" s="1384">
        <f>CONTADORES!E67</f>
        <v>0</v>
      </c>
      <c r="CL71" s="1384">
        <f>CONTADORES!BX67</f>
        <v>0</v>
      </c>
    </row>
    <row r="72" spans="2:90">
      <c r="B72" s="410">
        <v>44988</v>
      </c>
      <c r="C72" s="204">
        <f t="shared" ca="1" si="0"/>
        <v>280.03000000002794</v>
      </c>
      <c r="D72" s="202">
        <f ca="1">'CALCULO DE GAS'!D74</f>
        <v>4.7598719364092057</v>
      </c>
      <c r="E72" s="202">
        <f ca="1">IF(B72&gt;=$J$5,0,(CONTADORES!$AB68-CONTADORES!$AB67)-$H72)</f>
        <v>24</v>
      </c>
      <c r="F72" s="204">
        <f t="shared" ca="1" si="32"/>
        <v>0</v>
      </c>
      <c r="G72" s="202">
        <f ca="1">IF(B72&gt;=$J$5,0,CONTADORES!$AD68-CONTADORES!$AD67)</f>
        <v>0</v>
      </c>
      <c r="H72" s="1437">
        <f ca="1">IF(G72&gt;0,CONTADORES!$AC68-CONTADORES!$AC67,0)</f>
        <v>0</v>
      </c>
      <c r="I72" s="205">
        <f ca="1">IF(B72&gt;=$J$5,0,CONTADORES!$Z68-CONTADORES!$Z67)</f>
        <v>280.03000000002794</v>
      </c>
      <c r="J72" s="204">
        <f t="shared" ca="1" si="2"/>
        <v>149.35000000000218</v>
      </c>
      <c r="K72" s="202">
        <f ca="1">'CALCULO DE GAS'!E74</f>
        <v>3.6942270486284468</v>
      </c>
      <c r="L72" s="1437">
        <f ca="1">IF(B72&gt;=$J$5,0,(CONTADORES!$W68-CONTADORES!$W67)-$O72)</f>
        <v>24</v>
      </c>
      <c r="M72" s="1437">
        <f t="shared" ca="1" si="31"/>
        <v>0</v>
      </c>
      <c r="N72" s="1437">
        <f ca="1">IF(B72&gt;=$J$5,0,CONTADORES!$Y68-CONTADORES!$Y67)</f>
        <v>0</v>
      </c>
      <c r="O72" s="1437">
        <f ca="1">IF(N72&gt;0,CONTADORES!$X68-CONTADORES!$X67,0)</f>
        <v>0</v>
      </c>
      <c r="P72" s="208">
        <f ca="1">IF(B72&gt;=$J$5,0,CONTADORES!$U68-CONTADORES!$U67)</f>
        <v>149.35000000000218</v>
      </c>
      <c r="Q72" s="208">
        <f ca="1">IF(B72&gt;=$J$5,0,CONTADORES!$B68-CONTADORES!$B67)</f>
        <v>0</v>
      </c>
      <c r="R72" s="202">
        <f t="shared" ca="1" si="4"/>
        <v>0</v>
      </c>
      <c r="S72" s="11">
        <f ca="1">IF(B72&gt;=$J$5,0,CONTADORES!$D68-CONTADORES!$D67)</f>
        <v>0</v>
      </c>
      <c r="T72" s="204">
        <f ca="1">IF(B72&gt;=$J$5,0,CONTADORES!$AZ68-CONTADORES!$AZ67)</f>
        <v>0</v>
      </c>
      <c r="U72" s="202">
        <f t="shared" ca="1" si="30"/>
        <v>0</v>
      </c>
      <c r="V72" s="205">
        <f ca="1">IF(B72&gt;=$J$5,0,CONTADORES!$BB68-CONTADORES!$BB67)</f>
        <v>0</v>
      </c>
      <c r="W72" s="1438">
        <f t="shared" ca="1" si="6"/>
        <v>429.38000000003012</v>
      </c>
      <c r="X72" s="1438">
        <f t="shared" ca="1" si="7"/>
        <v>0</v>
      </c>
      <c r="Y72" s="1439">
        <f t="shared" ca="1" si="8"/>
        <v>429.38000000003012</v>
      </c>
      <c r="Z72" s="1439">
        <f t="shared" ca="1" si="9"/>
        <v>8.4540989850376533</v>
      </c>
      <c r="AA72" s="1439">
        <f t="shared" ca="1" si="10"/>
        <v>0</v>
      </c>
      <c r="AB72" s="1439">
        <f t="shared" ca="1" si="11"/>
        <v>48</v>
      </c>
      <c r="AC72" s="1438">
        <f t="shared" ca="1" si="12"/>
        <v>0</v>
      </c>
      <c r="AD72" s="1438">
        <f ca="1">IF(B72&gt;=$J$5,0,CONTADORES!H68-CONTADORES!H67)</f>
        <v>160.29999999993015</v>
      </c>
      <c r="AE72" s="1438">
        <f ca="1">IF(B72&gt;=$J$5,0,CONTADORES!J68-CONTADORES!J67)</f>
        <v>24</v>
      </c>
      <c r="AF72" s="1438">
        <f ca="1">IF(B72&gt;=$J$5,0,CONTADORES!AS68-CONTADORES!AS67)</f>
        <v>137.90000000002328</v>
      </c>
      <c r="AG72" s="1438">
        <f ca="1">IF(B72&gt;=$J$5,0,CONTADORES!AU68-CONTADORES!AU67)</f>
        <v>24</v>
      </c>
      <c r="AH72" s="1438">
        <f ca="1">IF(B72&gt;=$J$5,0,(CONTADORES!AK68-CONTADORES!AK67)+(CONTADORES!K68-CONTADORES!K67))</f>
        <v>10.599999999996726</v>
      </c>
      <c r="AI72" s="1438">
        <f ca="1">IF(B72&gt;=$J$5,0,(CONTADORES!AI68-CONTADORES!AI67)+(CONTADORES!M68-CONTADORES!M67))</f>
        <v>36.710000000006403</v>
      </c>
      <c r="AJ72" s="1438">
        <f ca="1">IF(B72&gt;=$J$5,0,(CONTADORES!AG68-CONTADORES!AG67))</f>
        <v>7.1299999999901047</v>
      </c>
      <c r="AK72" s="1438">
        <f ca="1">IF(B72&gt;=$J$5,0,(CONTADORES!O68-CONTADORES!O67))</f>
        <v>14.940000000002328</v>
      </c>
      <c r="AL72" s="1438">
        <f t="shared" ca="1" si="13"/>
        <v>33.800000000066575</v>
      </c>
      <c r="AM72" s="1438">
        <f ca="1">IF(B72&gt;=$J$5,0,(((CONTADORES!F68-CONTADORES!F67)+(CONTADORES!AO68-CONTADORES!AO67))))-BJ72-AF72-AN72-BM72-BP72-BU72-BS72</f>
        <v>8.8450000000147515</v>
      </c>
      <c r="AN72" s="1438">
        <f ca="1">IF(B72&gt;=$J$5,0,(CONTADORES!AV68-CONTADORES!AV67)+(CONTADORES!AX68-CONTADORES!AX67)+(CONTADORES!BC68-CONTADORES!BC67))-BS72</f>
        <v>2.6529999999998362</v>
      </c>
      <c r="AO72" s="1478">
        <f ca="1">IF(B72&gt;=$J$5,0,(CONTADORES!AA68-CONTADORES!AA67))</f>
        <v>143.94999999995343</v>
      </c>
      <c r="AP72" s="1478">
        <f ca="1">IF(B72&gt;=$J$5,0,(CONTADORES!V68-CONTADORES!V67))</f>
        <v>73.75</v>
      </c>
      <c r="AQ72" s="1445">
        <f ca="1">IF(B72&gt;=$J$5,0,(CONTADORES!C68-CONTADORES!C67))</f>
        <v>0</v>
      </c>
      <c r="AR72" s="1440">
        <f ca="1">IF(B72&gt;=$J$5,0,(CONTADORES!BA68-CONTADORES!BA67))</f>
        <v>0</v>
      </c>
      <c r="AS72" s="1438">
        <f ca="1">IF(B72&gt;=$J$5,0,CONTADORES!Q68-CONTADORES!Q67)</f>
        <v>16.649999999994179</v>
      </c>
      <c r="AT72" s="1438">
        <f ca="1">IF(B72&gt;=$J$5,0,(CONTADORES!S68-CONTADORES!S67)+(CONTADORES!AE68-CONTADORES!AE67))</f>
        <v>2.2600000000020373</v>
      </c>
      <c r="AU72" s="1450">
        <f>CONTADORES!I68-CONTADORES!I67</f>
        <v>82.299999999988358</v>
      </c>
      <c r="AV72" s="1479">
        <f>CONTADORES!AT68-CONTADORES!AT67</f>
        <v>60.600000000005821</v>
      </c>
      <c r="AW72" s="1479">
        <f ca="1">IF(B72&gt;=$J$5,0,(CONTADORES!L68-CONTADORES!L67)+(CONTADORES!AL68-CONTADORES!AL67))</f>
        <v>3.6000000000021828</v>
      </c>
      <c r="AX72" s="1479">
        <f ca="1">IF(B72&gt;=$J$5,0,(CONTADORES!N68-CONTADORES!N67)+(CONTADORES!AJ68-CONTADORES!AJ67))</f>
        <v>29.270000000004075</v>
      </c>
      <c r="AY72" s="1479">
        <f ca="1">IF(B72&gt;=$J$5,0,(CONTADORES!AH68-CONTADORES!AH67))</f>
        <v>5.5100000000020373</v>
      </c>
      <c r="AZ72" s="1479">
        <f ca="1">IF(B72&gt;=$J$5,0,(CONTADORES!P68-CONTADORES!P67))</f>
        <v>12.290000000008149</v>
      </c>
      <c r="BA72" s="1438">
        <f t="shared" ca="1" si="14"/>
        <v>14.102999999966102</v>
      </c>
      <c r="BB72" s="1438">
        <f ca="1">IF(B72&gt;=$J$5,0,(((CONTADORES!G68-CONTADORES!G67)+(CONTADORES!AP68-CONTADORES!AP67))))-AV72-BC72-BK72-BN72-BQ72-BV72</f>
        <v>3.4479999999772346</v>
      </c>
      <c r="BC72" s="1438">
        <f ca="1">IF(B72&gt;=$J$5,0,(CONTADORES!AW68-CONTADORES!AW67)+(CONTADORES!AY68-CONTADORES!AY67)+(CONTADORES!BD68-CONTADORES!BD67))-BT72</f>
        <v>1.2530000000000636</v>
      </c>
      <c r="BD72" s="1438">
        <f t="shared" ca="1" si="15"/>
        <v>217.69999999995343</v>
      </c>
      <c r="BE72" s="1450">
        <f ca="1">IF($B72&gt;=$J$5,0,CONTADORES!$BE68)</f>
        <v>6056.15</v>
      </c>
      <c r="BF72" s="1479">
        <f ca="1">IF($B72&gt;=$J$5,0,CONTADORES!$BF68)</f>
        <v>33190.089473684202</v>
      </c>
      <c r="BG72" s="1438">
        <f ca="1">IF($B72&gt;=$J$5,0,CONTADORES!$BH68)</f>
        <v>5640.94</v>
      </c>
      <c r="BH72" s="1438">
        <f ca="1">IF(B72&gt;=$J$5,0,(CONTADORES!AQ68-CONTADORES!AQ67))</f>
        <v>5.1000000000058208</v>
      </c>
      <c r="BI72" s="1438">
        <f ca="1">IF(B72&gt;=$J$5,0,(CONTADORES!AR68-CONTADORES!AR67))</f>
        <v>0</v>
      </c>
      <c r="BJ72" s="1450">
        <f ca="1">IF(B72&gt;=$J$5,0,CONTADORES!BI68-CONTADORES!BI67)/1000</f>
        <v>0</v>
      </c>
      <c r="BK72" s="1479">
        <f ca="1">IF(B72&gt;=$J$5,0,CONTADORES!BJ68-CONTADORES!BJ67)</f>
        <v>0</v>
      </c>
      <c r="BL72" s="1479">
        <f ca="1">IF(B72&gt;=$J$5,0,CONTADORES!BK68-CONTADORES!BK67)</f>
        <v>0</v>
      </c>
      <c r="BM72" s="1479">
        <f ca="1">IF(B72&gt;=$J$5,0,CONTADORES!BL68-CONTADORES!BL67)/1000</f>
        <v>2.39</v>
      </c>
      <c r="BN72" s="1479">
        <f ca="1">IF(B72&gt;=$J$5,0,CONTADORES!BM68-CONTADORES!BM67)/1000</f>
        <v>0</v>
      </c>
      <c r="BO72" s="1479">
        <f ca="1">IF(B72&gt;=$J$5,0,CONTADORES!BN68-CONTADORES!BN67)</f>
        <v>24</v>
      </c>
      <c r="BP72" s="1479">
        <f ca="1">IF(B72&gt;=$J$5,0,CONTADORES!BO68-CONTADORES!BO67)/1000</f>
        <v>6.2949999999999999</v>
      </c>
      <c r="BQ72" s="1479">
        <f ca="1">IF(B72&gt;=$J$5,0,CONTADORES!BP68-CONTADORES!BP67)/1000</f>
        <v>8.9999999999999993E-3</v>
      </c>
      <c r="BR72" s="1479">
        <f ca="1">IF(B72&gt;=$J$5,0,CONTADORES!BQ68-CONTADORES!BQ67)</f>
        <v>24</v>
      </c>
      <c r="BS72" s="1450">
        <f ca="1">IF(B72&gt;=$J$5,0,(CONTADORES!BT68-CONTADORES!BT67)+(CONTADORES!BV68-CONTADORES!BV67))/1000</f>
        <v>1.5269999999999999</v>
      </c>
      <c r="BT72" s="1479">
        <f ca="1">IF(B72&gt;=$J$5,0,(CONTADORES!BU68-CONTADORES!BU67)+(CONTADORES!BW68-CONTADORES!BW67))/1000</f>
        <v>0.92700000000000005</v>
      </c>
      <c r="BU72" s="1450">
        <f ca="1">IF(B72&gt;=$J$5,0,CONTADORES!BR68-CONTADORES!BR67)</f>
        <v>6.2899999999999636</v>
      </c>
      <c r="BV72" s="1479">
        <f ca="1">IF(B72&gt;=$J$5,0,CONTADORES!BS68-CONTADORES!BS67)</f>
        <v>4.3899999999994179</v>
      </c>
      <c r="BW72" s="1479">
        <f t="shared" ca="1" si="16"/>
        <v>10.712500000007338</v>
      </c>
      <c r="BX72" s="1479">
        <f t="shared" ca="1" si="17"/>
        <v>6.1139999999880352</v>
      </c>
      <c r="BY72" s="1479">
        <f t="shared" ca="1" si="18"/>
        <v>4.4225000000073758</v>
      </c>
      <c r="BZ72" s="1479">
        <f t="shared" ca="1" si="19"/>
        <v>1.0611999999999344</v>
      </c>
      <c r="CA72" s="1479">
        <f t="shared" ca="1" si="20"/>
        <v>4.4225000000073758</v>
      </c>
      <c r="CB72" s="1479">
        <f t="shared" ca="1" si="21"/>
        <v>1.5917999999999017</v>
      </c>
      <c r="CC72" s="1479">
        <f t="shared" ca="1" si="22"/>
        <v>2.5881999999999343</v>
      </c>
      <c r="CD72" s="1479">
        <f t="shared" ca="1" si="23"/>
        <v>1.7239999999886173</v>
      </c>
      <c r="CE72" s="1479">
        <f ca="1">IF(B72&gt;=$J$5,0,CONTADORES!BS68-CONTADORES!BS67)</f>
        <v>4.3899999999994179</v>
      </c>
      <c r="CF72" s="1479">
        <f t="shared" ca="1" si="24"/>
        <v>1.7239999999886173</v>
      </c>
      <c r="CG72" s="1479">
        <f t="shared" ca="1" si="25"/>
        <v>0.62650000000003181</v>
      </c>
      <c r="CH72" s="1479">
        <f t="shared" ca="1" si="26"/>
        <v>0.62650000000003181</v>
      </c>
      <c r="CI72" s="1479">
        <f t="shared" ca="1" si="27"/>
        <v>1.5535000000000319</v>
      </c>
      <c r="CJ72" s="1480">
        <f ca="1">IF($B72&gt;=$J$5,0,CONTADORES!$BG68)</f>
        <v>10835.5159875345</v>
      </c>
      <c r="CK72" s="1384">
        <f>CONTADORES!E68</f>
        <v>0</v>
      </c>
      <c r="CL72" s="1384">
        <f>CONTADORES!BX68</f>
        <v>0</v>
      </c>
    </row>
    <row r="73" spans="2:90">
      <c r="B73" s="410">
        <v>44989</v>
      </c>
      <c r="C73" s="204">
        <f t="shared" ca="1" si="0"/>
        <v>290.34999999997672</v>
      </c>
      <c r="D73" s="202">
        <f ca="1">'CALCULO DE GAS'!D75</f>
        <v>4.8440275473813568</v>
      </c>
      <c r="E73" s="202">
        <f ca="1">IF(B73&gt;=$J$5,0,(CONTADORES!$AB69-CONTADORES!$AB68)-$H73)</f>
        <v>24</v>
      </c>
      <c r="F73" s="204">
        <f t="shared" ca="1" si="32"/>
        <v>0</v>
      </c>
      <c r="G73" s="202">
        <f ca="1">IF(B73&gt;=$J$5,0,CONTADORES!$AD69-CONTADORES!$AD68)</f>
        <v>0</v>
      </c>
      <c r="H73" s="1437">
        <f ca="1">IF(G73&gt;0,CONTADORES!$AC69-CONTADORES!$AC68,0)</f>
        <v>0</v>
      </c>
      <c r="I73" s="205">
        <f ca="1">IF(B73&gt;=$J$5,0,CONTADORES!$Z69-CONTADORES!$Z68)</f>
        <v>290.34999999997672</v>
      </c>
      <c r="J73" s="204">
        <f t="shared" ca="1" si="2"/>
        <v>149.96999999999753</v>
      </c>
      <c r="K73" s="202">
        <f ca="1">'CALCULO DE GAS'!E75</f>
        <v>3.6992829089775361</v>
      </c>
      <c r="L73" s="1437">
        <f ca="1">IF(B73&gt;=$J$5,0,(CONTADORES!$W69-CONTADORES!$W68)-$O73)</f>
        <v>24</v>
      </c>
      <c r="M73" s="1437">
        <f t="shared" ca="1" si="31"/>
        <v>0</v>
      </c>
      <c r="N73" s="1437">
        <f ca="1">IF(B73&gt;=$J$5,0,CONTADORES!$Y69-CONTADORES!$Y68)</f>
        <v>0</v>
      </c>
      <c r="O73" s="1437">
        <f ca="1">IF(N73&gt;0,CONTADORES!$X69-CONTADORES!$X68,0)</f>
        <v>0</v>
      </c>
      <c r="P73" s="208">
        <f ca="1">IF(B73&gt;=$J$5,0,CONTADORES!$U69-CONTADORES!$U68)</f>
        <v>149.96999999999753</v>
      </c>
      <c r="Q73" s="208">
        <f ca="1">IF(B73&gt;=$J$5,0,CONTADORES!$B69-CONTADORES!$B68)</f>
        <v>0</v>
      </c>
      <c r="R73" s="202">
        <f t="shared" ca="1" si="4"/>
        <v>0</v>
      </c>
      <c r="S73" s="11">
        <f ca="1">IF(B73&gt;=$J$5,0,CONTADORES!$D69-CONTADORES!$D68)</f>
        <v>0</v>
      </c>
      <c r="T73" s="204">
        <f ca="1">IF(B73&gt;=$J$5,0,CONTADORES!$AZ69-CONTADORES!$AZ68)</f>
        <v>0</v>
      </c>
      <c r="U73" s="202">
        <f t="shared" ca="1" si="30"/>
        <v>0</v>
      </c>
      <c r="V73" s="205">
        <f ca="1">IF(B73&gt;=$J$5,0,CONTADORES!$BB69-CONTADORES!$BB68)</f>
        <v>0</v>
      </c>
      <c r="W73" s="1438">
        <f t="shared" ca="1" si="6"/>
        <v>440.31999999997424</v>
      </c>
      <c r="X73" s="1438">
        <f t="shared" ca="1" si="7"/>
        <v>0</v>
      </c>
      <c r="Y73" s="1439">
        <f t="shared" ca="1" si="8"/>
        <v>440.31999999997424</v>
      </c>
      <c r="Z73" s="1439">
        <f t="shared" ca="1" si="9"/>
        <v>8.543310456358892</v>
      </c>
      <c r="AA73" s="1439">
        <f t="shared" ca="1" si="10"/>
        <v>0</v>
      </c>
      <c r="AB73" s="1439">
        <f t="shared" ca="1" si="11"/>
        <v>48</v>
      </c>
      <c r="AC73" s="1438">
        <f t="shared" ca="1" si="12"/>
        <v>0</v>
      </c>
      <c r="AD73" s="1438">
        <f ca="1">IF(B73&gt;=$J$5,0,CONTADORES!H69-CONTADORES!H68)</f>
        <v>164.30000000004657</v>
      </c>
      <c r="AE73" s="1438">
        <f ca="1">IF(B73&gt;=$J$5,0,CONTADORES!J69-CONTADORES!J68)</f>
        <v>24</v>
      </c>
      <c r="AF73" s="1438">
        <f ca="1">IF(B73&gt;=$J$5,0,CONTADORES!AS69-CONTADORES!AS68)</f>
        <v>137.79999999998836</v>
      </c>
      <c r="AG73" s="1438">
        <f ca="1">IF(B73&gt;=$J$5,0,CONTADORES!AU69-CONTADORES!AU68)</f>
        <v>24</v>
      </c>
      <c r="AH73" s="1438">
        <f ca="1">IF(B73&gt;=$J$5,0,(CONTADORES!AK69-CONTADORES!AK68)+(CONTADORES!K69-CONTADORES!K68))</f>
        <v>11.900000000005093</v>
      </c>
      <c r="AI73" s="1438">
        <f ca="1">IF(B73&gt;=$J$5,0,(CONTADORES!AI69-CONTADORES!AI68)+(CONTADORES!M69-CONTADORES!M68))</f>
        <v>38.220000000001164</v>
      </c>
      <c r="AJ73" s="1438">
        <f ca="1">IF(B73&gt;=$J$5,0,(CONTADORES!AG69-CONTADORES!AG68))</f>
        <v>8.4700000000011642</v>
      </c>
      <c r="AK73" s="1438">
        <f ca="1">IF(B73&gt;=$J$5,0,(CONTADORES!O69-CONTADORES!O68))</f>
        <v>15.910000000003492</v>
      </c>
      <c r="AL73" s="1438">
        <f t="shared" ca="1" si="13"/>
        <v>33.419999999929189</v>
      </c>
      <c r="AM73" s="1438">
        <f ca="1">IF(B73&gt;=$J$5,0,(((CONTADORES!F69-CONTADORES!F68)+(CONTADORES!AO69-CONTADORES!AO68))))-BJ73-AF73-AN73-BM73-BP73-BU73-BS73</f>
        <v>11.120999999999109</v>
      </c>
      <c r="AN73" s="1438">
        <f ca="1">IF(B73&gt;=$J$5,0,(CONTADORES!AV69-CONTADORES!AV68)+(CONTADORES!AX69-CONTADORES!AX68)+(CONTADORES!BC69-CONTADORES!BC68))-BS73</f>
        <v>2.4979999999999452</v>
      </c>
      <c r="AO73" s="1478">
        <f ca="1">IF(B73&gt;=$J$5,0,(CONTADORES!AA69-CONTADORES!AA68))</f>
        <v>146.68000000005122</v>
      </c>
      <c r="AP73" s="1478">
        <f ca="1">IF(B73&gt;=$J$5,0,(CONTADORES!V69-CONTADORES!V68))</f>
        <v>77.3799999999992</v>
      </c>
      <c r="AQ73" s="1445">
        <f ca="1">IF(B73&gt;=$J$5,0,(CONTADORES!C69-CONTADORES!C68))</f>
        <v>0</v>
      </c>
      <c r="AR73" s="1440">
        <f ca="1">IF(B73&gt;=$J$5,0,(CONTADORES!BA69-CONTADORES!BA68))</f>
        <v>0</v>
      </c>
      <c r="AS73" s="1438">
        <f ca="1">IF(B73&gt;=$J$5,0,CONTADORES!Q69-CONTADORES!Q68)</f>
        <v>16.260000000009313</v>
      </c>
      <c r="AT73" s="1438">
        <f ca="1">IF(B73&gt;=$J$5,0,(CONTADORES!S69-CONTADORES!S68)+(CONTADORES!AE69-CONTADORES!AE68))</f>
        <v>2.1199999999953434</v>
      </c>
      <c r="AU73" s="1450">
        <f>CONTADORES!I69-CONTADORES!I68</f>
        <v>83.600000000034925</v>
      </c>
      <c r="AV73" s="1479">
        <f>CONTADORES!AT69-CONTADORES!AT68</f>
        <v>60.5</v>
      </c>
      <c r="AW73" s="1479">
        <f ca="1">IF(B73&gt;=$J$5,0,(CONTADORES!L69-CONTADORES!L68)+(CONTADORES!AL69-CONTADORES!AL68))</f>
        <v>4.3999999999987267</v>
      </c>
      <c r="AX73" s="1479">
        <f ca="1">IF(B73&gt;=$J$5,0,(CONTADORES!N69-CONTADORES!N68)+(CONTADORES!AJ69-CONTADORES!AJ68))</f>
        <v>30.919999999998254</v>
      </c>
      <c r="AY73" s="1479">
        <f ca="1">IF(B73&gt;=$J$5,0,(CONTADORES!AH69-CONTADORES!AH68))</f>
        <v>6.6099999999933061</v>
      </c>
      <c r="AZ73" s="1479">
        <f ca="1">IF(B73&gt;=$J$5,0,(CONTADORES!P69-CONTADORES!P68))</f>
        <v>13.129999999990105</v>
      </c>
      <c r="BA73" s="1438">
        <f t="shared" ca="1" si="14"/>
        <v>13.35500000003475</v>
      </c>
      <c r="BB73" s="1438">
        <f ca="1">IF(B73&gt;=$J$5,0,(((CONTADORES!G69-CONTADORES!G68)+(CONTADORES!AP69-CONTADORES!AP68))))-AV73-BC73-BK73-BN73-BQ73-BV73</f>
        <v>4.6230000000006228</v>
      </c>
      <c r="BC73" s="1438">
        <f ca="1">IF(B73&gt;=$J$5,0,(CONTADORES!AW69-CONTADORES!AW68)+(CONTADORES!AY69-CONTADORES!AY68)+(CONTADORES!BD69-CONTADORES!BD68))-BT73</f>
        <v>1.4249999999997773</v>
      </c>
      <c r="BD73" s="1438">
        <f t="shared" ca="1" si="15"/>
        <v>224.06000000005042</v>
      </c>
      <c r="BE73" s="1450">
        <f ca="1">IF($B73&gt;=$J$5,0,CONTADORES!$BE69)</f>
        <v>6466.49</v>
      </c>
      <c r="BF73" s="1479">
        <f ca="1">IF($B73&gt;=$J$5,0,CONTADORES!$BF69)</f>
        <v>34285.821052631603</v>
      </c>
      <c r="BG73" s="1438">
        <f ca="1">IF($B73&gt;=$J$5,0,CONTADORES!$BH69)</f>
        <v>5444.63</v>
      </c>
      <c r="BH73" s="1438">
        <f ca="1">IF(B73&gt;=$J$5,0,(CONTADORES!AQ69-CONTADORES!AQ68))</f>
        <v>4.6679999999978463</v>
      </c>
      <c r="BI73" s="1438">
        <f ca="1">IF(B73&gt;=$J$5,0,(CONTADORES!AR69-CONTADORES!AR68))</f>
        <v>0</v>
      </c>
      <c r="BJ73" s="1450">
        <f ca="1">IF(B73&gt;=$J$5,0,CONTADORES!BI69-CONTADORES!BI68)/1000</f>
        <v>0</v>
      </c>
      <c r="BK73" s="1479">
        <f ca="1">IF(B73&gt;=$J$5,0,CONTADORES!BJ69-CONTADORES!BJ68)</f>
        <v>0</v>
      </c>
      <c r="BL73" s="1479">
        <f ca="1">IF(B73&gt;=$J$5,0,CONTADORES!BK69-CONTADORES!BK68)</f>
        <v>0</v>
      </c>
      <c r="BM73" s="1479">
        <f ca="1">IF(B73&gt;=$J$5,0,CONTADORES!BL69-CONTADORES!BL68)/1000</f>
        <v>2.3879999999999999</v>
      </c>
      <c r="BN73" s="1479">
        <f ca="1">IF(B73&gt;=$J$5,0,CONTADORES!BM69-CONTADORES!BM68)/1000</f>
        <v>0</v>
      </c>
      <c r="BO73" s="1479">
        <f ca="1">IF(B73&gt;=$J$5,0,CONTADORES!BN69-CONTADORES!BN68)</f>
        <v>24</v>
      </c>
      <c r="BP73" s="1479">
        <f ca="1">IF(B73&gt;=$J$5,0,CONTADORES!BO69-CONTADORES!BO68)/1000</f>
        <v>6.2210000000000001</v>
      </c>
      <c r="BQ73" s="1479">
        <f ca="1">IF(B73&gt;=$J$5,0,CONTADORES!BP69-CONTADORES!BP68)/1000</f>
        <v>1.2E-2</v>
      </c>
      <c r="BR73" s="1479">
        <f ca="1">IF(B73&gt;=$J$5,0,CONTADORES!BQ69-CONTADORES!BQ68)</f>
        <v>24</v>
      </c>
      <c r="BS73" s="1450">
        <f ca="1">IF(B73&gt;=$J$5,0,(CONTADORES!BT69-CONTADORES!BT68)+(CONTADORES!BV69-CONTADORES!BV68))/1000</f>
        <v>1.5620000000000001</v>
      </c>
      <c r="BT73" s="1479">
        <f ca="1">IF(B73&gt;=$J$5,0,(CONTADORES!BU69-CONTADORES!BU68)+(CONTADORES!BW69-CONTADORES!BW68))/1000</f>
        <v>0.94499999999999995</v>
      </c>
      <c r="BU73" s="1450">
        <f ca="1">IF(B73&gt;=$J$5,0,CONTADORES!BR69-CONTADORES!BR68)</f>
        <v>6.5100000000002183</v>
      </c>
      <c r="BV73" s="1479">
        <f ca="1">IF(B73&gt;=$J$5,0,CONTADORES!BS69-CONTADORES!BS68)</f>
        <v>4.5399999999999636</v>
      </c>
      <c r="BW73" s="1479">
        <f t="shared" ca="1" si="16"/>
        <v>12.070499999999772</v>
      </c>
      <c r="BX73" s="1479">
        <f t="shared" ca="1" si="17"/>
        <v>6.851500000000275</v>
      </c>
      <c r="BY73" s="1479">
        <f t="shared" ca="1" si="18"/>
        <v>5.5604999999995544</v>
      </c>
      <c r="BZ73" s="1479">
        <f t="shared" ca="1" si="19"/>
        <v>0.99919999999997811</v>
      </c>
      <c r="CA73" s="1479">
        <f t="shared" ca="1" si="20"/>
        <v>5.5604999999995544</v>
      </c>
      <c r="CB73" s="1479">
        <f t="shared" ca="1" si="21"/>
        <v>1.498799999999967</v>
      </c>
      <c r="CC73" s="1479">
        <f t="shared" ca="1" si="22"/>
        <v>2.5611999999999782</v>
      </c>
      <c r="CD73" s="1479">
        <f t="shared" ca="1" si="23"/>
        <v>2.3115000000003114</v>
      </c>
      <c r="CE73" s="1479">
        <f ca="1">IF(B73&gt;=$J$5,0,CONTADORES!BS69-CONTADORES!BS68)</f>
        <v>4.5399999999999636</v>
      </c>
      <c r="CF73" s="1479">
        <f t="shared" ca="1" si="24"/>
        <v>2.3115000000003114</v>
      </c>
      <c r="CG73" s="1479">
        <f t="shared" ca="1" si="25"/>
        <v>0.71249999999988867</v>
      </c>
      <c r="CH73" s="1479">
        <f t="shared" ca="1" si="26"/>
        <v>0.71249999999988867</v>
      </c>
      <c r="CI73" s="1479">
        <f t="shared" ca="1" si="27"/>
        <v>1.6574999999998887</v>
      </c>
      <c r="CJ73" s="1480">
        <f ca="1">IF($B73&gt;=$J$5,0,CONTADORES!$BG69)</f>
        <v>10728.8155563535</v>
      </c>
      <c r="CK73" s="1384">
        <f>CONTADORES!E69</f>
        <v>0</v>
      </c>
      <c r="CL73" s="1384">
        <f>CONTADORES!BX69</f>
        <v>0</v>
      </c>
    </row>
    <row r="74" spans="2:90" s="1451" customFormat="1">
      <c r="B74" s="410">
        <v>44990</v>
      </c>
      <c r="C74" s="204">
        <f t="shared" ca="1" si="0"/>
        <v>278.21999999997206</v>
      </c>
      <c r="D74" s="1453">
        <f ca="1">'CALCULO DE GAS'!D76</f>
        <v>4.7451120860346849</v>
      </c>
      <c r="E74" s="1453">
        <f ca="1">IF(B74&gt;=$J$5,0,(CONTADORES!$AB70-CONTADORES!$AB69)-$H74)</f>
        <v>24</v>
      </c>
      <c r="F74" s="204">
        <f t="shared" ca="1" si="32"/>
        <v>0</v>
      </c>
      <c r="G74" s="1453">
        <f ca="1">IF(B74&gt;=$J$5,0,CONTADORES!$AD70-CONTADORES!$AD69)</f>
        <v>0</v>
      </c>
      <c r="H74" s="1454">
        <f ca="1">IF(G74&gt;0,CONTADORES!$AC70-CONTADORES!$AC69,0)</f>
        <v>0</v>
      </c>
      <c r="I74" s="1455">
        <f ca="1">IF(B74&gt;=$J$5,0,CONTADORES!$Z70-CONTADORES!$Z69)</f>
        <v>278.21999999997206</v>
      </c>
      <c r="J74" s="204">
        <f t="shared" ca="1" si="2"/>
        <v>150.53000000000247</v>
      </c>
      <c r="K74" s="1453">
        <f ca="1">'CALCULO DE GAS'!E76</f>
        <v>3.7038494925187235</v>
      </c>
      <c r="L74" s="1454">
        <f ca="1">IF(B74&gt;=$J$5,0,(CONTADORES!$W70-CONTADORES!$W69)-$O74)</f>
        <v>24</v>
      </c>
      <c r="M74" s="1437">
        <f t="shared" ca="1" si="31"/>
        <v>0</v>
      </c>
      <c r="N74" s="1454">
        <f ca="1">IF(B74&gt;=$J$5,0,CONTADORES!$Y70-CONTADORES!$Y69)</f>
        <v>0</v>
      </c>
      <c r="O74" s="1454">
        <f ca="1">IF(N74&gt;0,CONTADORES!$X70-CONTADORES!$X69,0)</f>
        <v>0</v>
      </c>
      <c r="P74" s="208">
        <f ca="1">IF(B74&gt;=$J$5,0,CONTADORES!$U70-CONTADORES!$U69)</f>
        <v>150.53000000000247</v>
      </c>
      <c r="Q74" s="1456">
        <f ca="1">IF(B74&gt;=$J$5,0,CONTADORES!$B70-CONTADORES!$B69)</f>
        <v>0</v>
      </c>
      <c r="R74" s="1453">
        <f t="shared" ca="1" si="4"/>
        <v>0</v>
      </c>
      <c r="S74" s="11">
        <f ca="1">IF(B74&gt;=$J$5,0,CONTADORES!$D70-CONTADORES!$D69)</f>
        <v>0</v>
      </c>
      <c r="T74" s="1452">
        <f ca="1">IF(B74&gt;=$J$5,0,CONTADORES!$AZ70-CONTADORES!$AZ69)</f>
        <v>0</v>
      </c>
      <c r="U74" s="1453">
        <f t="shared" ca="1" si="30"/>
        <v>0</v>
      </c>
      <c r="V74" s="1455">
        <f ca="1">IF(B74&gt;=$J$5,0,CONTADORES!$BB70-CONTADORES!$BB69)</f>
        <v>0</v>
      </c>
      <c r="W74" s="1443">
        <f t="shared" ca="1" si="6"/>
        <v>428.74999999997453</v>
      </c>
      <c r="X74" s="1443">
        <f t="shared" ca="1" si="7"/>
        <v>0</v>
      </c>
      <c r="Y74" s="1448">
        <f t="shared" ca="1" si="8"/>
        <v>428.74999999997453</v>
      </c>
      <c r="Z74" s="1448">
        <f t="shared" ca="1" si="9"/>
        <v>8.4489615785534085</v>
      </c>
      <c r="AA74" s="1448">
        <f t="shared" ca="1" si="10"/>
        <v>0</v>
      </c>
      <c r="AB74" s="1448">
        <f t="shared" ca="1" si="11"/>
        <v>48</v>
      </c>
      <c r="AC74" s="1443">
        <f t="shared" ca="1" si="12"/>
        <v>0</v>
      </c>
      <c r="AD74" s="1443">
        <f ca="1">IF(B74&gt;=$J$5,0,CONTADORES!H70-CONTADORES!H69)</f>
        <v>162.40000000002328</v>
      </c>
      <c r="AE74" s="1443">
        <f ca="1">IF(B74&gt;=$J$5,0,CONTADORES!J70-CONTADORES!J69)</f>
        <v>24</v>
      </c>
      <c r="AF74" s="1438">
        <f ca="1">IF(B74&gt;=$J$5,0,CONTADORES!AS70-CONTADORES!AS69)</f>
        <v>139.29999999998836</v>
      </c>
      <c r="AG74" s="1443">
        <f ca="1">IF(B74&gt;=$J$5,0,CONTADORES!AU70-CONTADORES!AU69)</f>
        <v>24</v>
      </c>
      <c r="AH74" s="1443">
        <f ca="1">IF(B74&gt;=$J$5,0,(CONTADORES!AK70-CONTADORES!AK69)+(CONTADORES!K70-CONTADORES!K69))</f>
        <v>7.3999999999996362</v>
      </c>
      <c r="AI74" s="1443">
        <f ca="1">IF(B74&gt;=$J$5,0,(CONTADORES!AI70-CONTADORES!AI69)+(CONTADORES!M70-CONTADORES!M69))</f>
        <v>38.229999999995925</v>
      </c>
      <c r="AJ74" s="1443">
        <f ca="1">IF(B74&gt;=$J$5,0,(CONTADORES!AG70-CONTADORES!AG69))</f>
        <v>5.6699999999982538</v>
      </c>
      <c r="AK74" s="1443">
        <f ca="1">IF(B74&gt;=$J$5,0,(CONTADORES!O70-CONTADORES!O69))</f>
        <v>14.379999999975553</v>
      </c>
      <c r="AL74" s="1443">
        <f t="shared" ca="1" si="13"/>
        <v>32.969999999959384</v>
      </c>
      <c r="AM74" s="1443">
        <f ca="1">IF(B74&gt;=$J$5,0,(((CONTADORES!F70-CONTADORES!F69)+(CONTADORES!AO70-CONTADORES!AO69))))-BJ74-AF74-AN74-BM74-BP74-BU74-BS74</f>
        <v>9.3650000000341613</v>
      </c>
      <c r="AN74" s="1438">
        <f ca="1">IF(B74&gt;=$J$5,0,(CONTADORES!AV70-CONTADORES!AV69)+(CONTADORES!AX70-CONTADORES!AX69)+(CONTADORES!BC70-CONTADORES!BC69))-BS74</f>
        <v>2.4660000000001818</v>
      </c>
      <c r="AO74" s="1481">
        <f ca="1">IF(B74&gt;=$J$5,0,(CONTADORES!AA70-CONTADORES!AA69))</f>
        <v>142.5899999999674</v>
      </c>
      <c r="AP74" s="1481">
        <f ca="1">IF(B74&gt;=$J$5,0,(CONTADORES!V70-CONTADORES!V69))</f>
        <v>75.350000000000364</v>
      </c>
      <c r="AQ74" s="1459">
        <f ca="1">IF(B74&gt;=$J$5,0,(CONTADORES!C70-CONTADORES!C69))</f>
        <v>0</v>
      </c>
      <c r="AR74" s="1458">
        <f ca="1">IF(B74&gt;=$J$5,0,(CONTADORES!BA70-CONTADORES!BA69))</f>
        <v>0</v>
      </c>
      <c r="AS74" s="1443">
        <f ca="1">IF(B74&gt;=$J$5,0,CONTADORES!Q70-CONTADORES!Q69)</f>
        <v>16.480000000010477</v>
      </c>
      <c r="AT74" s="1443">
        <f ca="1">IF(B74&gt;=$J$5,0,(CONTADORES!S70-CONTADORES!S69)+(CONTADORES!AE70-CONTADORES!AE69))</f>
        <v>2.0800000000017462</v>
      </c>
      <c r="AU74" s="1482">
        <f>CONTADORES!I70-CONTADORES!I69</f>
        <v>83.399999999965075</v>
      </c>
      <c r="AV74" s="1483">
        <f>CONTADORES!AT70-CONTADORES!AT69</f>
        <v>61.200000000011642</v>
      </c>
      <c r="AW74" s="1483">
        <f ca="1">IF(B74&gt;=$J$5,0,(CONTADORES!L70-CONTADORES!L69)+(CONTADORES!AL70-CONTADORES!AL69))</f>
        <v>2.5999999999985448</v>
      </c>
      <c r="AX74" s="1483">
        <f ca="1">IF(B74&gt;=$J$5,0,(CONTADORES!N70-CONTADORES!N69)+(CONTADORES!AJ70-CONTADORES!AJ69))</f>
        <v>30.919999999990978</v>
      </c>
      <c r="AY74" s="1483">
        <f ca="1">IF(B74&gt;=$J$5,0,(CONTADORES!AH70-CONTADORES!AH69))</f>
        <v>4.3400000000037835</v>
      </c>
      <c r="AZ74" s="1483">
        <f ca="1">IF(B74&gt;=$J$5,0,(CONTADORES!P70-CONTADORES!P69))</f>
        <v>11.970000000001164</v>
      </c>
      <c r="BA74" s="1443">
        <f t="shared" ca="1" si="14"/>
        <v>12.852999999996769</v>
      </c>
      <c r="BB74" s="1438">
        <f ca="1">IF(B74&gt;=$J$5,0,(((CONTADORES!G70-CONTADORES!G69)+(CONTADORES!AP70-CONTADORES!AP69))))-AV74-BC74-BK74-BN74-BQ74-BV74</f>
        <v>3.7459999999987819</v>
      </c>
      <c r="BC74" s="1438">
        <f ca="1">IF(B74&gt;=$J$5,0,(CONTADORES!AW70-CONTADORES!AW69)+(CONTADORES!AY70-CONTADORES!AY69)+(CONTADORES!BD70-CONTADORES!BD69))-BT74</f>
        <v>1.4530000000003094</v>
      </c>
      <c r="BD74" s="1443">
        <f t="shared" ca="1" si="15"/>
        <v>217.93999999996777</v>
      </c>
      <c r="BE74" s="1482">
        <f ca="1">IF($B74&gt;=$J$5,0,CONTADORES!$BE71)</f>
        <v>6431.93</v>
      </c>
      <c r="BF74" s="1483">
        <f ca="1">IF($B74&gt;=$J$5,0,CONTADORES!$BF71)</f>
        <v>33940.963157894701</v>
      </c>
      <c r="BG74" s="1443">
        <f ca="1">IF($B74&gt;=$J$5,0,CONTADORES!$BH71)</f>
        <v>5721</v>
      </c>
      <c r="BH74" s="1443">
        <f ca="1">IF(B74&gt;=$J$5,0,(CONTADORES!AQ70-CONTADORES!AQ69))</f>
        <v>4.5230000000010477</v>
      </c>
      <c r="BI74" s="1443">
        <f ca="1">IF(B74&gt;=$J$5,0,(CONTADORES!AR70-CONTADORES!AR69))</f>
        <v>0</v>
      </c>
      <c r="BJ74" s="1450">
        <f ca="1">IF(B74&gt;=$J$5,0,CONTADORES!BI70-CONTADORES!BI69)/1000</f>
        <v>0</v>
      </c>
      <c r="BK74" s="1483">
        <f ca="1">IF(B74&gt;=$J$5,0,CONTADORES!BJ70-CONTADORES!BJ69)</f>
        <v>0</v>
      </c>
      <c r="BL74" s="1483">
        <f ca="1">IF(B74&gt;=$J$5,0,CONTADORES!BK70-CONTADORES!BK69)</f>
        <v>0</v>
      </c>
      <c r="BM74" s="1479">
        <f ca="1">IF(B74&gt;=$J$5,0,CONTADORES!BL70-CONTADORES!BL69)/1000</f>
        <v>2.4169999999999998</v>
      </c>
      <c r="BN74" s="1483">
        <f ca="1">IF(B74&gt;=$J$5,0,CONTADORES!BM70-CONTADORES!BM69)/1000</f>
        <v>0</v>
      </c>
      <c r="BO74" s="1483">
        <f ca="1">IF(B74&gt;=$J$5,0,CONTADORES!BN70-CONTADORES!BN69)</f>
        <v>24</v>
      </c>
      <c r="BP74" s="1479">
        <f ca="1">IF(B74&gt;=$J$5,0,CONTADORES!BO70-CONTADORES!BO69)/1000</f>
        <v>6.1580000000000004</v>
      </c>
      <c r="BQ74" s="1483">
        <f ca="1">IF(B74&gt;=$J$5,0,CONTADORES!BP70-CONTADORES!BP69)/1000</f>
        <v>5.0999999999999997E-2</v>
      </c>
      <c r="BR74" s="1483">
        <f ca="1">IF(B74&gt;=$J$5,0,CONTADORES!BQ70-CONTADORES!BQ69)</f>
        <v>24</v>
      </c>
      <c r="BS74" s="1450">
        <f ca="1">IF(B74&gt;=$J$5,0,(CONTADORES!BT70-CONTADORES!BT69)+(CONTADORES!BV70-CONTADORES!BV69))/1000</f>
        <v>1.5840000000000001</v>
      </c>
      <c r="BT74" s="1483">
        <f ca="1">IF(B74&gt;=$J$5,0,(CONTADORES!BU70-CONTADORES!BU69)+(CONTADORES!BW70-CONTADORES!BW69))/1000</f>
        <v>0.95699999999999996</v>
      </c>
      <c r="BU74" s="1450">
        <f ca="1">IF(B74&gt;=$J$5,0,CONTADORES!BR70-CONTADORES!BR69)</f>
        <v>6.4099999999998545</v>
      </c>
      <c r="BV74" s="1483">
        <f ca="1">IF(B74&gt;=$J$5,0,CONTADORES!BS70-CONTADORES!BS69)</f>
        <v>4.4500000000007276</v>
      </c>
      <c r="BW74" s="1483">
        <f t="shared" ca="1" si="16"/>
        <v>11.092500000016935</v>
      </c>
      <c r="BX74" s="1483">
        <f t="shared" ca="1" si="17"/>
        <v>6.3230000000001185</v>
      </c>
      <c r="BY74" s="1483">
        <f t="shared" ca="1" si="18"/>
        <v>4.6825000000170807</v>
      </c>
      <c r="BZ74" s="1483">
        <f t="shared" ca="1" si="19"/>
        <v>0.98640000000007277</v>
      </c>
      <c r="CA74" s="1483">
        <f t="shared" ca="1" si="20"/>
        <v>4.6825000000170807</v>
      </c>
      <c r="CB74" s="1483">
        <f t="shared" ca="1" si="21"/>
        <v>1.4796000000001091</v>
      </c>
      <c r="CC74" s="1483">
        <f t="shared" ca="1" si="22"/>
        <v>2.5704000000000731</v>
      </c>
      <c r="CD74" s="1483">
        <f t="shared" ca="1" si="23"/>
        <v>1.8729999999993909</v>
      </c>
      <c r="CE74" s="1483">
        <f ca="1">IF(B74&gt;=$J$5,0,CONTADORES!BS70-CONTADORES!BS69)</f>
        <v>4.4500000000007276</v>
      </c>
      <c r="CF74" s="1483">
        <f t="shared" ca="1" si="24"/>
        <v>1.8729999999993909</v>
      </c>
      <c r="CG74" s="1483">
        <f t="shared" ca="1" si="25"/>
        <v>0.72650000000015469</v>
      </c>
      <c r="CH74" s="1483">
        <f t="shared" ca="1" si="26"/>
        <v>0.72650000000015469</v>
      </c>
      <c r="CI74" s="1483">
        <f t="shared" ca="1" si="27"/>
        <v>1.6835000000001545</v>
      </c>
      <c r="CJ74" s="1484">
        <f ca="1">IF($B74&gt;=$J$5,0,CONTADORES!$BG71)</f>
        <v>9645.3140653952905</v>
      </c>
      <c r="CK74" s="1384">
        <f>CONTADORES!E70</f>
        <v>0</v>
      </c>
      <c r="CL74" s="1384">
        <f>CONTADORES!BX70</f>
        <v>0</v>
      </c>
    </row>
    <row r="75" spans="2:90">
      <c r="B75" s="410">
        <v>44991</v>
      </c>
      <c r="C75" s="204">
        <f t="shared" ref="C75:C138" ca="1" si="33">I75-F75</f>
        <v>285.30000000004657</v>
      </c>
      <c r="D75" s="202">
        <f ca="1">'CALCULO DE GAS'!D77</f>
        <v>4.8028467493769389</v>
      </c>
      <c r="E75" s="202">
        <f ca="1">IF(B75&gt;=$J$5,0,(CONTADORES!$AB71-CONTADORES!$AB70)-$H75)</f>
        <v>24</v>
      </c>
      <c r="F75" s="204">
        <f t="shared" ca="1" si="32"/>
        <v>0</v>
      </c>
      <c r="G75" s="202">
        <f ca="1">IF(B75&gt;=$J$5,0,CONTADORES!$AD71-CONTADORES!$AD70)</f>
        <v>0</v>
      </c>
      <c r="H75" s="1437">
        <f ca="1">IF(G75&gt;0,CONTADORES!$AC71-CONTADORES!$AC70,0)</f>
        <v>0</v>
      </c>
      <c r="I75" s="205">
        <f ca="1">IF(B75&gt;=$J$5,0,CONTADORES!$Z71-CONTADORES!$Z70)</f>
        <v>285.30000000004657</v>
      </c>
      <c r="J75" s="204">
        <f t="shared" ref="J75:J138" ca="1" si="34">P75-M75</f>
        <v>148.64999999999782</v>
      </c>
      <c r="K75" s="202">
        <f ca="1">'CALCULO DE GAS'!E77</f>
        <v>3.6885188192019771</v>
      </c>
      <c r="L75" s="1437">
        <f ca="1">IF(B75&gt;=$J$5,0,(CONTADORES!$W71-CONTADORES!$W70)-$O75)</f>
        <v>24</v>
      </c>
      <c r="M75" s="1437">
        <f t="shared" ca="1" si="31"/>
        <v>0</v>
      </c>
      <c r="N75" s="1437">
        <f ca="1">IF(B75&gt;=$J$5,0,CONTADORES!$Y71-CONTADORES!$Y70)</f>
        <v>0</v>
      </c>
      <c r="O75" s="1437">
        <f ca="1">IF(N75&gt;0,CONTADORES!$X71-CONTADORES!$X70,0)</f>
        <v>0</v>
      </c>
      <c r="P75" s="208">
        <f ca="1">IF(B75&gt;=$J$5,0,CONTADORES!$U71-CONTADORES!$U70)</f>
        <v>148.64999999999782</v>
      </c>
      <c r="Q75" s="208">
        <f ca="1">IF(B75&gt;=$J$5,0,CONTADORES!$B71-CONTADORES!$B70)</f>
        <v>0</v>
      </c>
      <c r="R75" s="202">
        <f t="shared" ref="R75:R138" ca="1" si="35">$Q75*120</f>
        <v>0</v>
      </c>
      <c r="S75" s="11">
        <f ca="1">IF(B75&gt;=$J$5,0,CONTADORES!$D71-CONTADORES!$D70)</f>
        <v>0</v>
      </c>
      <c r="T75" s="204">
        <f ca="1">IF(B75&gt;=$J$5,0,CONTADORES!$AZ71-CONTADORES!$AZ70)</f>
        <v>0</v>
      </c>
      <c r="U75" s="202">
        <f t="shared" ref="U75:U100" ca="1" si="36">$T75*120</f>
        <v>0</v>
      </c>
      <c r="V75" s="205">
        <f ca="1">IF(B75&gt;=$J$5,0,CONTADORES!$BB71-CONTADORES!$BB70)</f>
        <v>0</v>
      </c>
      <c r="W75" s="1438">
        <f t="shared" ref="W75:W138" ca="1" si="37">C75+J75</f>
        <v>433.95000000004438</v>
      </c>
      <c r="X75" s="1438">
        <f t="shared" ref="X75:X138" ca="1" si="38">F75+M75+Q75+T75</f>
        <v>0</v>
      </c>
      <c r="Y75" s="1439">
        <f t="shared" ref="Y75:Y138" ca="1" si="39">W75+X75</f>
        <v>433.95000000004438</v>
      </c>
      <c r="Z75" s="1439">
        <f t="shared" ref="Z75:Z138" ca="1" si="40">D75+K75</f>
        <v>8.4913655685789156</v>
      </c>
      <c r="AA75" s="1439">
        <f t="shared" ref="AA75:AA138" ca="1" si="41">G75+N75+R75+U75</f>
        <v>0</v>
      </c>
      <c r="AB75" s="1439">
        <f t="shared" ref="AB75:AB138" ca="1" si="42">E75+L75</f>
        <v>48</v>
      </c>
      <c r="AC75" s="1438">
        <f t="shared" ref="AC75:AC138" ca="1" si="43">H75+O75+S75+V75</f>
        <v>0</v>
      </c>
      <c r="AD75" s="1438">
        <f ca="1">IF(B75&gt;=$J$5,0,CONTADORES!H71-CONTADORES!H70)</f>
        <v>162.19999999995343</v>
      </c>
      <c r="AE75" s="1438">
        <f ca="1">IF(B75&gt;=$J$5,0,CONTADORES!J71-CONTADORES!J70)</f>
        <v>24</v>
      </c>
      <c r="AF75" s="1438">
        <f ca="1">IF(B75&gt;=$J$5,0,CONTADORES!AS71-CONTADORES!AS70)</f>
        <v>136</v>
      </c>
      <c r="AG75" s="1438">
        <f ca="1">IF(B75&gt;=$J$5,0,CONTADORES!AU71-CONTADORES!AU70)</f>
        <v>24</v>
      </c>
      <c r="AH75" s="1438">
        <f ca="1">IF(B75&gt;=$J$5,0,(CONTADORES!AK71-CONTADORES!AK70)+(CONTADORES!K71-CONTADORES!K70))</f>
        <v>10.600000000000364</v>
      </c>
      <c r="AI75" s="1438">
        <f ca="1">IF(B75&gt;=$J$5,0,(CONTADORES!AI71-CONTADORES!AI70)+(CONTADORES!M71-CONTADORES!M70))</f>
        <v>37.270000000004075</v>
      </c>
      <c r="AJ75" s="1438">
        <f ca="1">IF(B75&gt;=$J$5,0,(CONTADORES!AG71-CONTADORES!AG70))</f>
        <v>8.6300000000046566</v>
      </c>
      <c r="AK75" s="1438">
        <f ca="1">IF(B75&gt;=$J$5,0,(CONTADORES!O71-CONTADORES!O70))</f>
        <v>15.170000000012806</v>
      </c>
      <c r="AL75" s="1438">
        <f t="shared" ref="AL75:AL138" ca="1" si="44">Y75-(AD75+AF75+AH75+AI75+AJ75+AK75+CA75+CB75+BJ75+BM75+BP75+BW75+CC75)</f>
        <v>34.680000000093116</v>
      </c>
      <c r="AM75" s="1438">
        <f ca="1">IF(B75&gt;=$J$5,0,(((CONTADORES!F71-CONTADORES!F70)+(CONTADORES!AO71-CONTADORES!AO70))))-BJ75-AF75-AN75-BM75-BP75-BU75-BS75</f>
        <v>9.3289999999753181</v>
      </c>
      <c r="AN75" s="1438">
        <f ca="1">IF(B75&gt;=$J$5,0,(CONTADORES!AV71-CONTADORES!AV70)+(CONTADORES!AX71-CONTADORES!AX70)+(CONTADORES!BC71-CONTADORES!BC70))-BS75</f>
        <v>2.5759999999996541</v>
      </c>
      <c r="AO75" s="1478">
        <f ca="1">IF(B75&gt;=$J$5,0,(CONTADORES!AA71-CONTADORES!AA70))</f>
        <v>143.38000000000466</v>
      </c>
      <c r="AP75" s="1478">
        <f ca="1">IF(B75&gt;=$J$5,0,(CONTADORES!V71-CONTADORES!V70))</f>
        <v>76.319999999999709</v>
      </c>
      <c r="AQ75" s="1445">
        <f ca="1">IF(B75&gt;=$J$5,0,(CONTADORES!C71-CONTADORES!C70))</f>
        <v>0</v>
      </c>
      <c r="AR75" s="1440">
        <f ca="1">IF(B75&gt;=$J$5,0,(CONTADORES!BA71-CONTADORES!BA70))</f>
        <v>0</v>
      </c>
      <c r="AS75" s="1438">
        <f ca="1">IF(B75&gt;=$J$5,0,CONTADORES!Q71-CONTADORES!Q70)</f>
        <v>16.10999999998603</v>
      </c>
      <c r="AT75" s="1438">
        <f ca="1">IF(B75&gt;=$J$5,0,(CONTADORES!S71-CONTADORES!S70)+(CONTADORES!AE71-CONTADORES!AE70))</f>
        <v>2.0400000000008731</v>
      </c>
      <c r="AU75" s="1450">
        <f>CONTADORES!I71-CONTADORES!I70</f>
        <v>82.200000000011642</v>
      </c>
      <c r="AV75" s="1479">
        <f>CONTADORES!AT71-CONTADORES!AT70</f>
        <v>59.799999999988358</v>
      </c>
      <c r="AW75" s="1479">
        <f ca="1">IF(B75&gt;=$J$5,0,(CONTADORES!L71-CONTADORES!L70)+(CONTADORES!AL71-CONTADORES!AL70))</f>
        <v>3.7000000000025466</v>
      </c>
      <c r="AX75" s="1479">
        <f ca="1">IF(B75&gt;=$J$5,0,(CONTADORES!N71-CONTADORES!N70)+(CONTADORES!AJ71-CONTADORES!AJ70))</f>
        <v>30.270000000004075</v>
      </c>
      <c r="AY75" s="1479">
        <f ca="1">IF(B75&gt;=$J$5,0,(CONTADORES!AH71-CONTADORES!AH70))</f>
        <v>6.6399999999994179</v>
      </c>
      <c r="AZ75" s="1479">
        <f ca="1">IF(B75&gt;=$J$5,0,(CONTADORES!P71-CONTADORES!P70))</f>
        <v>12.910000000003492</v>
      </c>
      <c r="BA75" s="1438">
        <f t="shared" ref="BA75:BA138" ca="1" si="45">BD75-(AU75+AV75+AW75+AX75+AY75+AZ75+BK75+BN75+BQ75+BX75+CF75+CH75+CI75)</f>
        <v>13.939999999989226</v>
      </c>
      <c r="BB75" s="1438">
        <f ca="1">IF(B75&gt;=$J$5,0,(((CONTADORES!G71-CONTADORES!G70)+(CONTADORES!AP71-CONTADORES!AP70))))-AV75-BC75-BK75-BN75-BQ75-BV75</f>
        <v>2.8320000000059844</v>
      </c>
      <c r="BC75" s="1438">
        <f ca="1">IF(B75&gt;=$J$5,0,(CONTADORES!AW71-CONTADORES!AW70)+(CONTADORES!AY71-CONTADORES!AY70)+(CONTADORES!BD71-CONTADORES!BD70))-BT75</f>
        <v>1.6199999999999455</v>
      </c>
      <c r="BD75" s="1438">
        <f t="shared" ref="BD75:BD138" ca="1" si="46">SUM(AO75:AR75)</f>
        <v>219.70000000000437</v>
      </c>
      <c r="BE75" s="1482">
        <f ca="1">IF($B75&gt;=$J$5,0,CONTADORES!$BE72)</f>
        <v>7215.58</v>
      </c>
      <c r="BF75" s="1483">
        <f ca="1">IF($B75&gt;=$J$5,0,CONTADORES!$BF72)</f>
        <v>35980.6456140351</v>
      </c>
      <c r="BG75" s="1443">
        <f ca="1">IF($B75&gt;=$J$5,0,CONTADORES!$BH72)</f>
        <v>6050.85</v>
      </c>
      <c r="BH75" s="1438">
        <f ca="1">IF(B75&gt;=$J$5,0,(CONTADORES!AQ71-CONTADORES!AQ70))</f>
        <v>5.0089999999981956</v>
      </c>
      <c r="BI75" s="1438">
        <f ca="1">IF(B75&gt;=$J$5,0,(CONTADORES!AR71-CONTADORES!AR70))</f>
        <v>0</v>
      </c>
      <c r="BJ75" s="1450">
        <f ca="1">IF(B75&gt;=$J$5,0,CONTADORES!BI71-CONTADORES!BI70)/1000</f>
        <v>0</v>
      </c>
      <c r="BK75" s="1479">
        <f ca="1">IF(B75&gt;=$J$5,0,CONTADORES!BJ71-CONTADORES!BJ70)</f>
        <v>0</v>
      </c>
      <c r="BL75" s="1479">
        <f ca="1">IF(B75&gt;=$J$5,0,CONTADORES!BK71-CONTADORES!BK70)</f>
        <v>0</v>
      </c>
      <c r="BM75" s="1479">
        <f ca="1">IF(B75&gt;=$J$5,0,CONTADORES!BL71-CONTADORES!BL70)/1000</f>
        <v>2.395</v>
      </c>
      <c r="BN75" s="1479">
        <f ca="1">IF(B75&gt;=$J$5,0,CONTADORES!BM71-CONTADORES!BM70)/1000</f>
        <v>0</v>
      </c>
      <c r="BO75" s="1479">
        <f ca="1">IF(B75&gt;=$J$5,0,CONTADORES!BN71-CONTADORES!BN70)</f>
        <v>24</v>
      </c>
      <c r="BP75" s="1479">
        <f ca="1">IF(B75&gt;=$J$5,0,CONTADORES!BO71-CONTADORES!BO70)/1000</f>
        <v>6.1660000000000004</v>
      </c>
      <c r="BQ75" s="1479">
        <f ca="1">IF(B75&gt;=$J$5,0,CONTADORES!BP71-CONTADORES!BP70)/1000</f>
        <v>2.8000000000000001E-2</v>
      </c>
      <c r="BR75" s="1479">
        <f ca="1">IF(B75&gt;=$J$5,0,CONTADORES!BQ71-CONTADORES!BQ70)</f>
        <v>23.5</v>
      </c>
      <c r="BS75" s="1450">
        <f ca="1">IF(B75&gt;=$J$5,0,(CONTADORES!BT71-CONTADORES!BT70)+(CONTADORES!BV71-CONTADORES!BV70))/1000</f>
        <v>1.554</v>
      </c>
      <c r="BT75" s="1479">
        <f ca="1">IF(B75&gt;=$J$5,0,(CONTADORES!BU71-CONTADORES!BU70)+(CONTADORES!BW71-CONTADORES!BW70))/1000</f>
        <v>0.94</v>
      </c>
      <c r="BU75" s="1450">
        <f ca="1">IF(B75&gt;=$J$5,0,CONTADORES!BR71-CONTADORES!BR70)</f>
        <v>7.3800000000010186</v>
      </c>
      <c r="BV75" s="1479">
        <f ca="1">IF(B75&gt;=$J$5,0,CONTADORES!BS71-CONTADORES!BS70)</f>
        <v>4.819999999999709</v>
      </c>
      <c r="BW75" s="1479">
        <f t="shared" ref="BW75:BW138" ca="1" si="47">BU75+BY75</f>
        <v>12.044499999988677</v>
      </c>
      <c r="BX75" s="1479">
        <f t="shared" ref="BX75:BX138" ca="1" si="48">CE75+CD75</f>
        <v>6.2360000000027007</v>
      </c>
      <c r="BY75" s="1479">
        <f t="shared" ref="BY75:BY138" ca="1" si="49">(AM75*0.5)</f>
        <v>4.6644999999876591</v>
      </c>
      <c r="BZ75" s="1479">
        <f t="shared" ref="BZ75:BZ138" ca="1" si="50">(AN75*0.4)</f>
        <v>1.0303999999998616</v>
      </c>
      <c r="CA75" s="1479">
        <f t="shared" ref="CA75:CA138" ca="1" si="51">AM75-BY75</f>
        <v>4.6644999999876591</v>
      </c>
      <c r="CB75" s="1479">
        <f t="shared" ref="CB75:CB138" ca="1" si="52">AN75-BZ75</f>
        <v>1.5455999999997925</v>
      </c>
      <c r="CC75" s="1479">
        <f t="shared" ref="CC75:CC138" ca="1" si="53">BS75+BZ75</f>
        <v>2.5843999999998619</v>
      </c>
      <c r="CD75" s="1479">
        <f t="shared" ref="CD75:CD138" ca="1" si="54">(BB75*0.5)</f>
        <v>1.4160000000029922</v>
      </c>
      <c r="CE75" s="1479">
        <f ca="1">IF(B75&gt;=$J$5,0,CONTADORES!BS71-CONTADORES!BS70)</f>
        <v>4.819999999999709</v>
      </c>
      <c r="CF75" s="1479">
        <f t="shared" ref="CF75:CF138" ca="1" si="55">BB75-CD75</f>
        <v>1.4160000000029922</v>
      </c>
      <c r="CG75" s="1479">
        <f t="shared" ref="CG75:CG138" ca="1" si="56">BC75*0.5</f>
        <v>0.80999999999997274</v>
      </c>
      <c r="CH75" s="1479">
        <f t="shared" ref="CH75:CH138" ca="1" si="57">BC75-CG75</f>
        <v>0.80999999999997274</v>
      </c>
      <c r="CI75" s="1479">
        <f t="shared" ref="CI75:CI138" ca="1" si="58">BT75+CG75</f>
        <v>1.7499999999999727</v>
      </c>
      <c r="CJ75" s="1484">
        <f ca="1">IF($B75&gt;=$J$5,0,CONTADORES!$BG72)</f>
        <v>9659.1074938012207</v>
      </c>
      <c r="CK75" s="1384">
        <f>CONTADORES!E71</f>
        <v>0</v>
      </c>
      <c r="CL75" s="1384">
        <f>CONTADORES!BX71</f>
        <v>0</v>
      </c>
    </row>
    <row r="76" spans="2:90">
      <c r="B76" s="410">
        <v>44992</v>
      </c>
      <c r="C76" s="204">
        <f t="shared" ca="1" si="33"/>
        <v>299</v>
      </c>
      <c r="D76" s="202">
        <f ca="1">'CALCULO DE GAS'!D78</f>
        <v>4.9145649538653373</v>
      </c>
      <c r="E76" s="202">
        <f ca="1">IF(B76&gt;=$J$5,0,(CONTADORES!$AB72-CONTADORES!$AB71)-$H76)</f>
        <v>24</v>
      </c>
      <c r="F76" s="204">
        <f t="shared" ca="1" si="32"/>
        <v>0</v>
      </c>
      <c r="G76" s="202">
        <f ca="1">IF(B76&gt;=$J$5,0,CONTADORES!$AD72-CONTADORES!$AD71)</f>
        <v>0</v>
      </c>
      <c r="H76" s="1437">
        <f ca="1">IF(G76&gt;0,CONTADORES!$AC72-CONTADORES!$AC71,0)</f>
        <v>0</v>
      </c>
      <c r="I76" s="205">
        <f ca="1">IF(B76&gt;=$J$5,0,CONTADORES!$Z72-CONTADORES!$Z71)</f>
        <v>299</v>
      </c>
      <c r="J76" s="204">
        <f t="shared" ca="1" si="34"/>
        <v>152.60000000000218</v>
      </c>
      <c r="K76" s="202">
        <f ca="1">'CALCULO DE GAS'!E78</f>
        <v>3.7207295423940328</v>
      </c>
      <c r="L76" s="1437">
        <f ca="1">IF(B76&gt;=$J$5,0,(CONTADORES!$W72-CONTADORES!$W71)-$O76)</f>
        <v>24</v>
      </c>
      <c r="M76" s="1437">
        <f t="shared" ca="1" si="31"/>
        <v>0</v>
      </c>
      <c r="N76" s="1437">
        <f ca="1">IF(B76&gt;=$J$5,0,CONTADORES!$Y72-CONTADORES!$Y71)</f>
        <v>0</v>
      </c>
      <c r="O76" s="1437">
        <f ca="1">IF(N76&gt;0,CONTADORES!$X72-CONTADORES!$X71,0)</f>
        <v>0</v>
      </c>
      <c r="P76" s="208">
        <f ca="1">IF(B76&gt;=$J$5,0,CONTADORES!$U72-CONTADORES!$U71)</f>
        <v>152.60000000000218</v>
      </c>
      <c r="Q76" s="208">
        <f ca="1">IF(B76&gt;=$J$5,0,CONTADORES!$B72-CONTADORES!$B71)</f>
        <v>0</v>
      </c>
      <c r="R76" s="202">
        <f t="shared" ca="1" si="35"/>
        <v>0</v>
      </c>
      <c r="S76" s="11">
        <f ca="1">IF(B76&gt;=$J$5,0,CONTADORES!$D72-CONTADORES!$D71)</f>
        <v>1.0999999999994543</v>
      </c>
      <c r="T76" s="204">
        <f ca="1">IF(B76&gt;=$J$5,0,CONTADORES!$AZ72-CONTADORES!$AZ71)</f>
        <v>0</v>
      </c>
      <c r="U76" s="202">
        <f t="shared" ca="1" si="36"/>
        <v>0</v>
      </c>
      <c r="V76" s="205">
        <f ca="1">IF(B76&gt;=$J$5,0,CONTADORES!$BB72-CONTADORES!$BB71)</f>
        <v>1.999999999998181E-2</v>
      </c>
      <c r="W76" s="1438">
        <f t="shared" ca="1" si="37"/>
        <v>451.60000000000218</v>
      </c>
      <c r="X76" s="1438">
        <f t="shared" ca="1" si="38"/>
        <v>0</v>
      </c>
      <c r="Y76" s="1439">
        <f t="shared" ca="1" si="39"/>
        <v>451.60000000000218</v>
      </c>
      <c r="Z76" s="1439">
        <f t="shared" ca="1" si="40"/>
        <v>8.6352944962593696</v>
      </c>
      <c r="AA76" s="1439">
        <f t="shared" ca="1" si="41"/>
        <v>0</v>
      </c>
      <c r="AB76" s="1439">
        <f t="shared" ca="1" si="42"/>
        <v>48</v>
      </c>
      <c r="AC76" s="1438">
        <f t="shared" ca="1" si="43"/>
        <v>1.1199999999994361</v>
      </c>
      <c r="AD76" s="1438">
        <f ca="1">IF(B76&gt;=$J$5,0,CONTADORES!H72-CONTADORES!H71)</f>
        <v>165</v>
      </c>
      <c r="AE76" s="1438">
        <f ca="1">IF(B76&gt;=$J$5,0,CONTADORES!J72-CONTADORES!J71)</f>
        <v>24</v>
      </c>
      <c r="AF76" s="1438">
        <f ca="1">IF(B76&gt;=$J$5,0,CONTADORES!AS72-CONTADORES!AS71)</f>
        <v>145</v>
      </c>
      <c r="AG76" s="1438">
        <f ca="1">IF(B76&gt;=$J$5,0,CONTADORES!AU72-CONTADORES!AU71)</f>
        <v>24</v>
      </c>
      <c r="AH76" s="1438">
        <f ca="1">IF(B76&gt;=$J$5,0,(CONTADORES!AK72-CONTADORES!AK71)+(CONTADORES!K72-CONTADORES!K71))</f>
        <v>10.600000000000364</v>
      </c>
      <c r="AI76" s="1438">
        <f ca="1">IF(B76&gt;=$J$5,0,(CONTADORES!AI72-CONTADORES!AI71)+(CONTADORES!M72-CONTADORES!M71))</f>
        <v>39</v>
      </c>
      <c r="AJ76" s="1438">
        <f ca="1">IF(B76&gt;=$J$5,0,(CONTADORES!AG72-CONTADORES!AG71))</f>
        <v>9.8999999999941792</v>
      </c>
      <c r="AK76" s="1438">
        <f ca="1">IF(B76&gt;=$J$5,0,(CONTADORES!O72-CONTADORES!O71))</f>
        <v>16</v>
      </c>
      <c r="AL76" s="1438">
        <f t="shared" ca="1" si="44"/>
        <v>36.000000000005514</v>
      </c>
      <c r="AM76" s="1438">
        <f ca="1">IF(B76&gt;=$J$5,0,(((CONTADORES!F72-CONTADORES!F71)+(CONTADORES!AO72-CONTADORES!AO71))))-BJ76-AF76-AN76-BM76-BP76-BU76-BS76</f>
        <v>8.8180000000030923</v>
      </c>
      <c r="AN76" s="1438">
        <f ca="1">IF(B76&gt;=$J$5,0,(CONTADORES!AV72-CONTADORES!AV71)+(CONTADORES!AX72-CONTADORES!AX71)+(CONTADORES!BC72-CONTADORES!BC71))-BS76</f>
        <v>2.5049999999998178</v>
      </c>
      <c r="AO76" s="1478">
        <f ca="1">IF(B76&gt;=$J$5,0,(CONTADORES!AA72-CONTADORES!AA71))</f>
        <v>152</v>
      </c>
      <c r="AP76" s="1478">
        <f ca="1">IF(B76&gt;=$J$5,0,(CONTADORES!V72-CONTADORES!V71))</f>
        <v>78.600000000000364</v>
      </c>
      <c r="AQ76" s="1445">
        <f ca="1">IF(B76&gt;=$J$5,0,(CONTADORES!C72-CONTADORES!C71))</f>
        <v>0</v>
      </c>
      <c r="AR76" s="1440">
        <f ca="1">IF(B76&gt;=$J$5,0,(CONTADORES!BA72-CONTADORES!BA71))</f>
        <v>0</v>
      </c>
      <c r="AS76" s="1438">
        <f ca="1">IF(B76&gt;=$J$5,0,CONTADORES!Q72-CONTADORES!Q71)</f>
        <v>18</v>
      </c>
      <c r="AT76" s="1438">
        <f ca="1">IF(B76&gt;=$J$5,0,(CONTADORES!S72-CONTADORES!S71)+(CONTADORES!AE72-CONTADORES!AE71))</f>
        <v>2.1999999999970896</v>
      </c>
      <c r="AU76" s="1450">
        <f>CONTADORES!I72-CONTADORES!I71</f>
        <v>85</v>
      </c>
      <c r="AV76" s="1479">
        <f>CONTADORES!AT72-CONTADORES!AT71</f>
        <v>63</v>
      </c>
      <c r="AW76" s="1479">
        <f ca="1">IF(B76&gt;=$J$5,0,(CONTADORES!L72-CONTADORES!L71)+(CONTADORES!AL72-CONTADORES!AL71))</f>
        <v>3.8000000000001819</v>
      </c>
      <c r="AX76" s="1479">
        <f ca="1">IF(B76&gt;=$J$5,0,(CONTADORES!N72-CONTADORES!N71)+(CONTADORES!AJ72-CONTADORES!AJ71))</f>
        <v>31.900000000001455</v>
      </c>
      <c r="AY76" s="1479">
        <f ca="1">IF(B76&gt;=$J$5,0,(CONTADORES!AH72-CONTADORES!AH71))</f>
        <v>7.5999999999985448</v>
      </c>
      <c r="AZ76" s="1479">
        <f ca="1">IF(B76&gt;=$J$5,0,(CONTADORES!P72-CONTADORES!P71))</f>
        <v>13</v>
      </c>
      <c r="BA76" s="1438">
        <f t="shared" ca="1" si="45"/>
        <v>13.973000000000013</v>
      </c>
      <c r="BB76" s="1438">
        <f ca="1">IF(B76&gt;=$J$5,0,(((CONTADORES!G72-CONTADORES!G71)+(CONTADORES!AP72-CONTADORES!AP71))))-AV76-BC76-BK76-BN76-BQ76-BV76</f>
        <v>4.4689999999998857</v>
      </c>
      <c r="BC76" s="1438">
        <f ca="1">IF(B76&gt;=$J$5,0,(CONTADORES!AW72-CONTADORES!AW71)+(CONTADORES!AY72-CONTADORES!AY71)+(CONTADORES!BD72-CONTADORES!BD71))-BT76</f>
        <v>1.4730000000001138</v>
      </c>
      <c r="BD76" s="1438">
        <f t="shared" ca="1" si="46"/>
        <v>230.60000000000036</v>
      </c>
      <c r="BE76" s="1450">
        <f ca="1">IF($B76&gt;=$J$5,0,CONTADORES!$BE72)</f>
        <v>7215.58</v>
      </c>
      <c r="BF76" s="1479">
        <f ca="1">IF($B76&gt;=$J$5,0,CONTADORES!$BF72)</f>
        <v>35980.6456140351</v>
      </c>
      <c r="BG76" s="1438">
        <f ca="1">IF($B76&gt;=$J$5,0,CONTADORES!$BH72)</f>
        <v>6050.85</v>
      </c>
      <c r="BH76" s="1438">
        <f ca="1">IF(B76&gt;=$J$5,0,(CONTADORES!AQ72-CONTADORES!AQ71))</f>
        <v>5</v>
      </c>
      <c r="BI76" s="1438">
        <f ca="1">IF(B76&gt;=$J$5,0,(CONTADORES!AR72-CONTADORES!AR71))</f>
        <v>0</v>
      </c>
      <c r="BJ76" s="1450">
        <f ca="1">IF(B76&gt;=$J$5,0,CONTADORES!BI72-CONTADORES!BI71)/1000</f>
        <v>0</v>
      </c>
      <c r="BK76" s="1479">
        <f ca="1">IF(B76&gt;=$J$5,0,CONTADORES!BJ72-CONTADORES!BJ71)</f>
        <v>0</v>
      </c>
      <c r="BL76" s="1479">
        <f ca="1">IF(B76&gt;=$J$5,0,CONTADORES!BK72-CONTADORES!BK71)</f>
        <v>0</v>
      </c>
      <c r="BM76" s="1479">
        <f ca="1">IF(B76&gt;=$J$5,0,CONTADORES!BL72-CONTADORES!BL71)/1000</f>
        <v>2.4620000000000002</v>
      </c>
      <c r="BN76" s="1479">
        <f ca="1">IF(B76&gt;=$J$5,0,CONTADORES!BM72-CONTADORES!BM71)/1000</f>
        <v>0</v>
      </c>
      <c r="BO76" s="1479">
        <f ca="1">IF(B76&gt;=$J$5,0,CONTADORES!BN72-CONTADORES!BN71)</f>
        <v>24</v>
      </c>
      <c r="BP76" s="1479">
        <f ca="1">IF(B76&gt;=$J$5,0,CONTADORES!BO72-CONTADORES!BO71)/1000</f>
        <v>6.32</v>
      </c>
      <c r="BQ76" s="1479">
        <f ca="1">IF(B76&gt;=$J$5,0,CONTADORES!BP72-CONTADORES!BP71)/1000</f>
        <v>5.8000000000000003E-2</v>
      </c>
      <c r="BR76" s="1479">
        <f ca="1">IF(B76&gt;=$J$5,0,CONTADORES!BQ72-CONTADORES!BQ71)</f>
        <v>24</v>
      </c>
      <c r="BS76" s="1450">
        <f ca="1">IF(B76&gt;=$J$5,0,(CONTADORES!BT72-CONTADORES!BT71)+(CONTADORES!BV72-CONTADORES!BV71))/1000</f>
        <v>1.6950000000000001</v>
      </c>
      <c r="BT76" s="1479">
        <f ca="1">IF(B76&gt;=$J$5,0,(CONTADORES!BU72-CONTADORES!BU71)+(CONTADORES!BW72-CONTADORES!BW71))/1000</f>
        <v>1.0269999999999999</v>
      </c>
      <c r="BU76" s="1450">
        <f ca="1">IF(B76&gt;=$J$5,0,CONTADORES!BR72-CONTADORES!BR71)</f>
        <v>8.2999999999992724</v>
      </c>
      <c r="BV76" s="1479">
        <f ca="1">IF(B76&gt;=$J$5,0,CONTADORES!BS72-CONTADORES!BS71)</f>
        <v>5.3000000000001819</v>
      </c>
      <c r="BW76" s="1479">
        <f t="shared" ca="1" si="47"/>
        <v>12.709000000000819</v>
      </c>
      <c r="BX76" s="1479">
        <f t="shared" ca="1" si="48"/>
        <v>7.5345000000001248</v>
      </c>
      <c r="BY76" s="1479">
        <f t="shared" ca="1" si="49"/>
        <v>4.4090000000015461</v>
      </c>
      <c r="BZ76" s="1479">
        <f t="shared" ca="1" si="50"/>
        <v>1.0019999999999272</v>
      </c>
      <c r="CA76" s="1479">
        <f t="shared" ca="1" si="51"/>
        <v>4.4090000000015461</v>
      </c>
      <c r="CB76" s="1479">
        <f t="shared" ca="1" si="52"/>
        <v>1.5029999999998906</v>
      </c>
      <c r="CC76" s="1479">
        <f t="shared" ca="1" si="53"/>
        <v>2.6969999999999272</v>
      </c>
      <c r="CD76" s="1479">
        <f t="shared" ca="1" si="54"/>
        <v>2.2344999999999429</v>
      </c>
      <c r="CE76" s="1479">
        <f ca="1">IF(B76&gt;=$J$5,0,CONTADORES!BS72-CONTADORES!BS71)</f>
        <v>5.3000000000001819</v>
      </c>
      <c r="CF76" s="1479">
        <f t="shared" ca="1" si="55"/>
        <v>2.2344999999999429</v>
      </c>
      <c r="CG76" s="1479">
        <f t="shared" ca="1" si="56"/>
        <v>0.73650000000005689</v>
      </c>
      <c r="CH76" s="1479">
        <f t="shared" ca="1" si="57"/>
        <v>0.73650000000005689</v>
      </c>
      <c r="CI76" s="1479">
        <f t="shared" ca="1" si="58"/>
        <v>1.7635000000000569</v>
      </c>
      <c r="CJ76" s="1484">
        <f ca="1">IF($B76&gt;=$J$5,0,CONTADORES!$BG73)</f>
        <v>10381.87177685572</v>
      </c>
      <c r="CK76" s="1384">
        <f>CONTADORES!E72</f>
        <v>0</v>
      </c>
      <c r="CL76" s="1384">
        <f>CONTADORES!BX72</f>
        <v>0</v>
      </c>
    </row>
    <row r="77" spans="2:90">
      <c r="B77" s="410">
        <v>44993</v>
      </c>
      <c r="C77" s="204">
        <f t="shared" ca="1" si="33"/>
        <v>293</v>
      </c>
      <c r="D77" s="202">
        <f ca="1">'CALCULO DE GAS'!D79</f>
        <v>4.8656372730673318</v>
      </c>
      <c r="E77" s="202">
        <f ca="1">IF(B77&gt;=$J$5,0,(CONTADORES!$AB73-CONTADORES!$AB72)-$H77)</f>
        <v>24</v>
      </c>
      <c r="F77" s="204">
        <f t="shared" ca="1" si="32"/>
        <v>0</v>
      </c>
      <c r="G77" s="202">
        <f ca="1">IF(B77&gt;=$J$5,0,CONTADORES!$AD73-CONTADORES!$AD72)</f>
        <v>0</v>
      </c>
      <c r="H77" s="1437">
        <f ca="1">IF(G77&gt;0,CONTADORES!$AC73-CONTADORES!$AC72,0)</f>
        <v>0</v>
      </c>
      <c r="I77" s="205">
        <f ca="1">IF(B77&gt;=$J$5,0,CONTADORES!$Z73-CONTADORES!$Z72)</f>
        <v>293</v>
      </c>
      <c r="J77" s="204">
        <f t="shared" ca="1" si="34"/>
        <v>151.89999999999782</v>
      </c>
      <c r="K77" s="202">
        <f ca="1">'CALCULO DE GAS'!E79</f>
        <v>3.7150213129675631</v>
      </c>
      <c r="L77" s="1437">
        <f ca="1">IF(B77&gt;=$J$5,0,(CONTADORES!$W73-CONTADORES!$W72)-$O77)</f>
        <v>24</v>
      </c>
      <c r="M77" s="1437">
        <f t="shared" ca="1" si="31"/>
        <v>0</v>
      </c>
      <c r="N77" s="1437">
        <f ca="1">IF(B77&gt;=$J$5,0,CONTADORES!$Y73-CONTADORES!$Y72)</f>
        <v>0</v>
      </c>
      <c r="O77" s="1437">
        <f ca="1">IF(N77&gt;0,CONTADORES!$X73-CONTADORES!$X72,0)</f>
        <v>0</v>
      </c>
      <c r="P77" s="208">
        <f ca="1">IF(B77&gt;=$J$5,0,CONTADORES!$U73-CONTADORES!$U72)</f>
        <v>151.89999999999782</v>
      </c>
      <c r="Q77" s="1456">
        <f ca="1">IF(B77&gt;=$J$5,0,CONTADORES!$B73-CONTADORES!$B72)</f>
        <v>0</v>
      </c>
      <c r="R77" s="202">
        <f t="shared" ca="1" si="35"/>
        <v>0</v>
      </c>
      <c r="S77" s="11">
        <f ca="1">IF(B77&gt;=$J$5,0,CONTADORES!$D73-CONTADORES!$D72)</f>
        <v>0</v>
      </c>
      <c r="T77" s="204">
        <f ca="1">IF(B77&gt;=$J$5,0,CONTADORES!$AZ73-CONTADORES!$AZ72)</f>
        <v>0</v>
      </c>
      <c r="U77" s="202">
        <f t="shared" ca="1" si="36"/>
        <v>0</v>
      </c>
      <c r="V77" s="205">
        <f ca="1">IF(B77&gt;=$J$5,0,CONTADORES!$BB73-CONTADORES!$BB72)</f>
        <v>0</v>
      </c>
      <c r="W77" s="1438">
        <f t="shared" ca="1" si="37"/>
        <v>444.89999999999782</v>
      </c>
      <c r="X77" s="1438">
        <f t="shared" ca="1" si="38"/>
        <v>0</v>
      </c>
      <c r="Y77" s="1439">
        <f t="shared" ca="1" si="39"/>
        <v>444.89999999999782</v>
      </c>
      <c r="Z77" s="1439">
        <f t="shared" ca="1" si="40"/>
        <v>8.580658586034895</v>
      </c>
      <c r="AA77" s="1439">
        <f t="shared" ca="1" si="41"/>
        <v>0</v>
      </c>
      <c r="AB77" s="1439">
        <f t="shared" ca="1" si="42"/>
        <v>48</v>
      </c>
      <c r="AC77" s="1438">
        <f t="shared" ca="1" si="43"/>
        <v>0</v>
      </c>
      <c r="AD77" s="1438">
        <f ca="1">IF(B77&gt;=$J$5,0,CONTADORES!H73-CONTADORES!H72)</f>
        <v>152</v>
      </c>
      <c r="AE77" s="1438">
        <f ca="1">IF(B77&gt;=$J$5,0,CONTADORES!J73-CONTADORES!J72)</f>
        <v>24</v>
      </c>
      <c r="AF77" s="1438">
        <f ca="1">IF(B77&gt;=$J$5,0,CONTADORES!AS73-CONTADORES!AS72)</f>
        <v>147</v>
      </c>
      <c r="AG77" s="1443">
        <f ca="1">IF(B77&gt;=$J$5,0,CONTADORES!AU73-CONTADORES!AU72)</f>
        <v>24</v>
      </c>
      <c r="AH77" s="1438">
        <f ca="1">IF(B77&gt;=$J$5,0,(CONTADORES!AK73-CONTADORES!AK72)+(CONTADORES!K73-CONTADORES!K72))</f>
        <v>11.599999999994907</v>
      </c>
      <c r="AI77" s="1438">
        <f ca="1">IF(B77&gt;=$J$5,0,(CONTADORES!AI73-CONTADORES!AI72)+(CONTADORES!M73-CONTADORES!M72))</f>
        <v>38.599999999998545</v>
      </c>
      <c r="AJ77" s="1438">
        <f ca="1">IF(B77&gt;=$J$5,0,(CONTADORES!AG73-CONTADORES!AG72))</f>
        <v>9.5</v>
      </c>
      <c r="AK77" s="1438">
        <f ca="1">IF(B77&gt;=$J$5,0,(CONTADORES!O73-CONTADORES!O72))</f>
        <v>17</v>
      </c>
      <c r="AL77" s="1438">
        <f t="shared" ca="1" si="44"/>
        <v>38.200000000004366</v>
      </c>
      <c r="AM77" s="1438">
        <f ca="1">IF(B77&gt;=$J$5,0,(((CONTADORES!F73-CONTADORES!F72)+(CONTADORES!AO73-CONTADORES!AO72))))-BJ77-AF77-AN77-BM77-BP77-BU77-BS77</f>
        <v>9.2600000000000993</v>
      </c>
      <c r="AN77" s="1438">
        <f ca="1">IF(B77&gt;=$J$5,0,(CONTADORES!AV73-CONTADORES!AV72)+(CONTADORES!AX73-CONTADORES!AX72)+(CONTADORES!BC73-CONTADORES!BC72))-BS77</f>
        <v>3.1760000000006254</v>
      </c>
      <c r="AO77" s="1478">
        <f ca="1">IF(B77&gt;=$J$5,0,(CONTADORES!AA73-CONTADORES!AA72))</f>
        <v>150</v>
      </c>
      <c r="AP77" s="1478">
        <f ca="1">IF(B77&gt;=$J$5,0,(CONTADORES!V73-CONTADORES!V72))</f>
        <v>77.799999999999272</v>
      </c>
      <c r="AQ77" s="1445">
        <f ca="1">IF(B77&gt;=$J$5,0,(CONTADORES!C73-CONTADORES!C72))</f>
        <v>0</v>
      </c>
      <c r="AR77" s="1440">
        <f ca="1">IF(B77&gt;=$J$5,0,(CONTADORES!BA73-CONTADORES!BA72))</f>
        <v>0</v>
      </c>
      <c r="AS77" s="1438">
        <f ca="1">IF(B77&gt;=$J$5,0,CONTADORES!Q73-CONTADORES!Q72)</f>
        <v>17</v>
      </c>
      <c r="AT77" s="1438">
        <f ca="1">IF(B77&gt;=$J$5,0,(CONTADORES!S73-CONTADORES!S72)+(CONTADORES!AE73-CONTADORES!AE72))</f>
        <v>2.2000000000043656</v>
      </c>
      <c r="AU77" s="1450">
        <f>CONTADORES!I73-CONTADORES!I72</f>
        <v>82</v>
      </c>
      <c r="AV77" s="1479">
        <f>CONTADORES!AT73-CONTADORES!AT72</f>
        <v>64</v>
      </c>
      <c r="AW77" s="1479">
        <f ca="1">IF(B77&gt;=$J$5,0,(CONTADORES!L73-CONTADORES!L72)+(CONTADORES!AL73-CONTADORES!AL72))</f>
        <v>4.3999999999978172</v>
      </c>
      <c r="AX77" s="1479">
        <f ca="1">IF(B77&gt;=$J$5,0,(CONTADORES!N73-CONTADORES!N72)+(CONTADORES!AJ73-CONTADORES!AJ72))</f>
        <v>31.200000000004366</v>
      </c>
      <c r="AY77" s="1479">
        <f ca="1">IF(B77&gt;=$J$5,0,(CONTADORES!AH73-CONTADORES!AH72))</f>
        <v>7.4000000000014552</v>
      </c>
      <c r="AZ77" s="1479">
        <f ca="1">IF(B77&gt;=$J$5,0,(CONTADORES!P73-CONTADORES!P72))</f>
        <v>14</v>
      </c>
      <c r="BA77" s="1438">
        <f t="shared" ca="1" si="45"/>
        <v>13.446999999995114</v>
      </c>
      <c r="BB77" s="1438">
        <f ca="1">IF(B77&gt;=$J$5,0,(((CONTADORES!G73-CONTADORES!G72)+(CONTADORES!AP73-CONTADORES!AP72))))-AV77-BC77-BK77-BN77-BQ77-BV77</f>
        <v>2.5760000000006595</v>
      </c>
      <c r="BC77" s="1438">
        <f ca="1">IF(B77&gt;=$J$5,0,(CONTADORES!AW73-CONTADORES!AW72)+(CONTADORES!AY73-CONTADORES!AY72)+(CONTADORES!BD73-CONTADORES!BD72))-BT77</f>
        <v>1.7969999999998865</v>
      </c>
      <c r="BD77" s="1438">
        <f t="shared" ca="1" si="46"/>
        <v>227.79999999999927</v>
      </c>
      <c r="BE77" s="1450">
        <f ca="1">IF($B77&gt;=$J$5,0,CONTADORES!$BE73)</f>
        <v>6719.68</v>
      </c>
      <c r="BF77" s="1479">
        <f ca="1">IF($B77&gt;=$J$5,0,CONTADORES!$BF73)</f>
        <v>35630.49649122807</v>
      </c>
      <c r="BG77" s="1438">
        <f ca="1">IF($B77&gt;=$J$5,0,CONTADORES!$BH73)</f>
        <v>5027.6099999999997</v>
      </c>
      <c r="BH77" s="1438">
        <f ca="1">IF(B77&gt;=$J$5,0,(CONTADORES!AQ73-CONTADORES!AQ72))</f>
        <v>5.0999999999985448</v>
      </c>
      <c r="BI77" s="1438">
        <f ca="1">IF(B77&gt;=$J$5,0,(CONTADORES!AR73-CONTADORES!AR72))</f>
        <v>0</v>
      </c>
      <c r="BJ77" s="1450">
        <f ca="1">IF(B77&gt;=$J$5,0,CONTADORES!BI73-CONTADORES!BI72)/1000</f>
        <v>0</v>
      </c>
      <c r="BK77" s="1479">
        <f ca="1">IF(B77&gt;=$J$5,0,CONTADORES!BJ73-CONTADORES!BJ72)</f>
        <v>0</v>
      </c>
      <c r="BL77" s="1479">
        <f ca="1">IF(B77&gt;=$J$5,0,CONTADORES!BK73-CONTADORES!BK72)</f>
        <v>0</v>
      </c>
      <c r="BM77" s="1479">
        <f ca="1">IF(B77&gt;=$J$5,0,CONTADORES!BL73-CONTADORES!BL72)/1000</f>
        <v>2.4249999999999998</v>
      </c>
      <c r="BN77" s="1479">
        <f ca="1">IF(B77&gt;=$J$5,0,CONTADORES!BM73-CONTADORES!BM72)/1000</f>
        <v>0</v>
      </c>
      <c r="BO77" s="1479">
        <f ca="1">IF(B77&gt;=$J$5,0,CONTADORES!BN73-CONTADORES!BN72)</f>
        <v>23.900000000001455</v>
      </c>
      <c r="BP77" s="1479">
        <f ca="1">IF(B77&gt;=$J$5,0,CONTADORES!BO73-CONTADORES!BO72)/1000</f>
        <v>6.2649999999999997</v>
      </c>
      <c r="BQ77" s="1479">
        <f ca="1">IF(B77&gt;=$J$5,0,CONTADORES!BP73-CONTADORES!BP72)/1000</f>
        <v>2.7E-2</v>
      </c>
      <c r="BR77" s="1479">
        <f ca="1">IF(B77&gt;=$J$5,0,CONTADORES!BQ73-CONTADORES!BQ72)</f>
        <v>24</v>
      </c>
      <c r="BS77" s="1450">
        <f ca="1">IF(B77&gt;=$J$5,0,(CONTADORES!BT73-CONTADORES!BT72)+(CONTADORES!BV73-CONTADORES!BV72))/1000</f>
        <v>1.5740000000000001</v>
      </c>
      <c r="BT77" s="1479">
        <f ca="1">IF(B77&gt;=$J$5,0,(CONTADORES!BU73-CONTADORES!BU72)+(CONTADORES!BW73-CONTADORES!BW72))/1000</f>
        <v>0.95299999999999996</v>
      </c>
      <c r="BU77" s="1450">
        <f ca="1">IF(B77&gt;=$J$5,0,CONTADORES!BR73-CONTADORES!BR72)</f>
        <v>8.2999999999992724</v>
      </c>
      <c r="BV77" s="1479">
        <f ca="1">IF(B77&gt;=$J$5,0,CONTADORES!BS73-CONTADORES!BS72)</f>
        <v>6</v>
      </c>
      <c r="BW77" s="1479">
        <f t="shared" ca="1" si="47"/>
        <v>12.929999999999321</v>
      </c>
      <c r="BX77" s="1479">
        <f t="shared" ca="1" si="48"/>
        <v>7.2880000000003298</v>
      </c>
      <c r="BY77" s="1479">
        <f t="shared" ca="1" si="49"/>
        <v>4.6300000000000496</v>
      </c>
      <c r="BZ77" s="1479">
        <f t="shared" ca="1" si="50"/>
        <v>1.2704000000002502</v>
      </c>
      <c r="CA77" s="1479">
        <f t="shared" ca="1" si="51"/>
        <v>4.6300000000000496</v>
      </c>
      <c r="CB77" s="1479">
        <f t="shared" ca="1" si="52"/>
        <v>1.9056000000003752</v>
      </c>
      <c r="CC77" s="1479">
        <f t="shared" ca="1" si="53"/>
        <v>2.8444000000002503</v>
      </c>
      <c r="CD77" s="1479">
        <f t="shared" ca="1" si="54"/>
        <v>1.2880000000003298</v>
      </c>
      <c r="CE77" s="1479">
        <f ca="1">IF(B77&gt;=$J$5,0,CONTADORES!BS73-CONTADORES!BS72)</f>
        <v>6</v>
      </c>
      <c r="CF77" s="1479">
        <f t="shared" ca="1" si="55"/>
        <v>1.2880000000003298</v>
      </c>
      <c r="CG77" s="1479">
        <f t="shared" ca="1" si="56"/>
        <v>0.89849999999994323</v>
      </c>
      <c r="CH77" s="1479">
        <f t="shared" ca="1" si="57"/>
        <v>0.89849999999994323</v>
      </c>
      <c r="CI77" s="1479">
        <f t="shared" ca="1" si="58"/>
        <v>1.8514999999999433</v>
      </c>
      <c r="CJ77" s="1484">
        <f ca="1">IF($B77&gt;=$J$5,0,CONTADORES!$BG74)</f>
        <v>10640.417091493709</v>
      </c>
      <c r="CK77" s="1384">
        <f>CONTADORES!E73</f>
        <v>0</v>
      </c>
      <c r="CL77" s="1384">
        <f>CONTADORES!BX73</f>
        <v>0</v>
      </c>
    </row>
    <row r="78" spans="2:90">
      <c r="B78" s="410">
        <v>44994</v>
      </c>
      <c r="C78" s="204">
        <f t="shared" ca="1" si="33"/>
        <v>288</v>
      </c>
      <c r="D78" s="202">
        <f ca="1">'CALCULO DE GAS'!D80</f>
        <v>4.8248642057356612</v>
      </c>
      <c r="E78" s="202">
        <f ca="1">IF(B78&gt;=$J$5,0,(CONTADORES!$AB74-CONTADORES!$AB73)-$H78)</f>
        <v>24</v>
      </c>
      <c r="F78" s="204">
        <f t="shared" ca="1" si="32"/>
        <v>0</v>
      </c>
      <c r="G78" s="202">
        <f ca="1">IF(B78&gt;=$J$5,0,CONTADORES!$AD74-CONTADORES!$AD73)</f>
        <v>0</v>
      </c>
      <c r="H78" s="1437">
        <f ca="1">IF(G78&gt;0,CONTADORES!$AC74-CONTADORES!$AC73,0)</f>
        <v>0</v>
      </c>
      <c r="I78" s="205">
        <f ca="1">IF(B78&gt;=$J$5,0,CONTADORES!$Z74-CONTADORES!$Z73)</f>
        <v>288</v>
      </c>
      <c r="J78" s="204">
        <f t="shared" ca="1" si="34"/>
        <v>146.10000000000218</v>
      </c>
      <c r="K78" s="202">
        <f ca="1">'CALCULO DE GAS'!E80</f>
        <v>3.6677245548628603</v>
      </c>
      <c r="L78" s="1437">
        <f ca="1">IF(B78&gt;=$J$5,0,(CONTADORES!$W74-CONTADORES!$W73)-$O78)</f>
        <v>24</v>
      </c>
      <c r="M78" s="1437">
        <f t="shared" ca="1" si="31"/>
        <v>0</v>
      </c>
      <c r="N78" s="1437">
        <f ca="1">IF(B78&gt;=$J$5,0,CONTADORES!$Y74-CONTADORES!$Y73)</f>
        <v>0</v>
      </c>
      <c r="O78" s="1437">
        <f ca="1">IF(N78&gt;0,CONTADORES!$X74-CONTADORES!$X73,0)</f>
        <v>0</v>
      </c>
      <c r="P78" s="208">
        <f ca="1">IF(B78&gt;=$J$5,0,CONTADORES!$U74-CONTADORES!$U73)</f>
        <v>146.10000000000218</v>
      </c>
      <c r="Q78" s="208">
        <f ca="1">IF(B78&gt;=$J$5,0,CONTADORES!$B74-CONTADORES!$B73)</f>
        <v>0</v>
      </c>
      <c r="R78" s="202">
        <f t="shared" ca="1" si="35"/>
        <v>0</v>
      </c>
      <c r="S78" s="11">
        <f ca="1">IF(B78&gt;=$J$5,0,CONTADORES!$D74-CONTADORES!$D73)</f>
        <v>0</v>
      </c>
      <c r="T78" s="204">
        <f ca="1">IF(B78&gt;=$J$5,0,CONTADORES!$AZ74-CONTADORES!$AZ73)</f>
        <v>0</v>
      </c>
      <c r="U78" s="202">
        <f t="shared" ca="1" si="36"/>
        <v>0</v>
      </c>
      <c r="V78" s="205">
        <f ca="1">IF(B78&gt;=$J$5,0,CONTADORES!$BB74-CONTADORES!$BB73)</f>
        <v>0</v>
      </c>
      <c r="W78" s="1438">
        <f t="shared" ca="1" si="37"/>
        <v>434.10000000000218</v>
      </c>
      <c r="X78" s="1438">
        <f t="shared" ca="1" si="38"/>
        <v>0</v>
      </c>
      <c r="Y78" s="1439">
        <f t="shared" ca="1" si="39"/>
        <v>434.10000000000218</v>
      </c>
      <c r="Z78" s="1439">
        <f t="shared" ca="1" si="40"/>
        <v>8.4925887605985224</v>
      </c>
      <c r="AA78" s="1439">
        <f t="shared" ca="1" si="41"/>
        <v>0</v>
      </c>
      <c r="AB78" s="1439">
        <f t="shared" ca="1" si="42"/>
        <v>48</v>
      </c>
      <c r="AC78" s="1438">
        <f t="shared" ca="1" si="43"/>
        <v>0</v>
      </c>
      <c r="AD78" s="1438">
        <f ca="1">IF(B78&gt;=$J$5,0,CONTADORES!H74-CONTADORES!H73)</f>
        <v>164</v>
      </c>
      <c r="AE78" s="1438">
        <f ca="1">IF(B78&gt;=$J$5,0,CONTADORES!J74-CONTADORES!J73)</f>
        <v>24</v>
      </c>
      <c r="AF78" s="1438">
        <f ca="1">IF(B78&gt;=$J$5,0,CONTADORES!AS74-CONTADORES!AS73)</f>
        <v>137</v>
      </c>
      <c r="AG78" s="1438">
        <f ca="1">IF(B78&gt;=$J$5,0,CONTADORES!AU74-CONTADORES!AU73)</f>
        <v>23</v>
      </c>
      <c r="AH78" s="1438">
        <f ca="1">IF(B78&gt;=$J$5,0,(CONTADORES!AK74-CONTADORES!AK73)+(CONTADORES!K74-CONTADORES!K73))</f>
        <v>11.30000000000291</v>
      </c>
      <c r="AI78" s="1438">
        <f ca="1">IF(B78&gt;=$J$5,0,(CONTADORES!AI74-CONTADORES!AI73)+(CONTADORES!M74-CONTADORES!M73))</f>
        <v>40</v>
      </c>
      <c r="AJ78" s="1438">
        <f ca="1">IF(B78&gt;=$J$5,0,(CONTADORES!AG74-CONTADORES!AG73))</f>
        <v>7.4000000000087311</v>
      </c>
      <c r="AK78" s="1438">
        <f ca="1">IF(B78&gt;=$J$5,0,(CONTADORES!O74-CONTADORES!O73))</f>
        <v>15</v>
      </c>
      <c r="AL78" s="1438">
        <f t="shared" ca="1" si="44"/>
        <v>30.699999999993508</v>
      </c>
      <c r="AM78" s="1438">
        <f ca="1">IF(B78&gt;=$J$5,0,(((CONTADORES!F74-CONTADORES!F73)+(CONTADORES!AO74-CONTADORES!AO73))))-BJ78-AF78-AN78-BM78-BP78-BU78-BS78</f>
        <v>8.0249999999970711</v>
      </c>
      <c r="AN78" s="1438">
        <f ca="1">IF(B78&gt;=$J$5,0,(CONTADORES!AV74-CONTADORES!AV73)+(CONTADORES!AX74-CONTADORES!AX73)+(CONTADORES!BC74-CONTADORES!BC73))-BS78</f>
        <v>2.7300000000000182</v>
      </c>
      <c r="AO78" s="1478">
        <f ca="1">IF(B78&gt;=$J$5,0,(CONTADORES!AA74-CONTADORES!AA73))</f>
        <v>142</v>
      </c>
      <c r="AP78" s="1478">
        <f ca="1">IF(B78&gt;=$J$5,0,(CONTADORES!V74-CONTADORES!V73))</f>
        <v>76.600000000000364</v>
      </c>
      <c r="AQ78" s="1445">
        <f ca="1">IF(B78&gt;=$J$5,0,(CONTADORES!C74-CONTADORES!C73))</f>
        <v>0</v>
      </c>
      <c r="AR78" s="1440">
        <f ca="1">IF(B78&gt;=$J$5,0,(CONTADORES!BA74-CONTADORES!BA73))</f>
        <v>0</v>
      </c>
      <c r="AS78" s="1438">
        <f ca="1">IF(B78&gt;=$J$5,0,CONTADORES!Q74-CONTADORES!Q73)</f>
        <v>17</v>
      </c>
      <c r="AT78" s="1438">
        <f ca="1">IF(B78&gt;=$J$5,0,(CONTADORES!S74-CONTADORES!S73)+(CONTADORES!AE74-CONTADORES!AE73))</f>
        <v>2</v>
      </c>
      <c r="AU78" s="1450">
        <f>CONTADORES!I74-CONTADORES!I73</f>
        <v>82</v>
      </c>
      <c r="AV78" s="1479">
        <f>CONTADORES!AT74-CONTADORES!AT73</f>
        <v>60</v>
      </c>
      <c r="AW78" s="1479">
        <f ca="1">IF(B78&gt;=$J$5,0,(CONTADORES!L74-CONTADORES!L73)+(CONTADORES!AL74-CONTADORES!AL73))</f>
        <v>4.4000000000014552</v>
      </c>
      <c r="AX78" s="1479">
        <f ca="1">IF(B78&gt;=$J$5,0,(CONTADORES!N74-CONTADORES!N73)+(CONTADORES!AJ74-CONTADORES!AJ73))</f>
        <v>31.799999999995634</v>
      </c>
      <c r="AY78" s="1479">
        <f ca="1">IF(B78&gt;=$J$5,0,(CONTADORES!AH74-CONTADORES!AH73))</f>
        <v>5.5999999999985448</v>
      </c>
      <c r="AZ78" s="1479">
        <f ca="1">IF(B78&gt;=$J$5,0,(CONTADORES!P74-CONTADORES!P73))</f>
        <v>12</v>
      </c>
      <c r="BA78" s="1438">
        <f t="shared" ca="1" si="45"/>
        <v>11.989000000005063</v>
      </c>
      <c r="BB78" s="1438">
        <f ca="1">IF(B78&gt;=$J$5,0,(((CONTADORES!G74-CONTADORES!G73)+(CONTADORES!AP74-CONTADORES!AP73))))-AV78-BC78-BK78-BN78-BQ78-BV78</f>
        <v>4.0669999999998172</v>
      </c>
      <c r="BC78" s="1438">
        <f ca="1">IF(B78&gt;=$J$5,0,(CONTADORES!AW74-CONTADORES!AW73)+(CONTADORES!AY74-CONTADORES!AY73)+(CONTADORES!BD74-CONTADORES!BD73))-BT78</f>
        <v>1.589</v>
      </c>
      <c r="BD78" s="1438">
        <f t="shared" ca="1" si="46"/>
        <v>218.60000000000036</v>
      </c>
      <c r="BE78" s="1450">
        <f ca="1">IF($B78&gt;=$J$5,0,CONTADORES!$BE74)</f>
        <v>6254.5099999999993</v>
      </c>
      <c r="BF78" s="1479">
        <f ca="1">IF($B78&gt;=$J$5,0,CONTADORES!$BF74)</f>
        <v>36014.970175438597</v>
      </c>
      <c r="BG78" s="1438">
        <f ca="1">IF($B78&gt;=$J$5,0,CONTADORES!$BH74)</f>
        <v>4618.43</v>
      </c>
      <c r="BH78" s="1438">
        <f ca="1">IF(B78&gt;=$J$5,0,(CONTADORES!AQ74-CONTADORES!AQ73))</f>
        <v>4.4000000000014552</v>
      </c>
      <c r="BI78" s="1438">
        <f ca="1">IF(B78&gt;=$J$5,0,(CONTADORES!AR74-CONTADORES!AR73))</f>
        <v>0</v>
      </c>
      <c r="BJ78" s="1450">
        <f ca="1">IF(B78&gt;=$J$5,0,CONTADORES!BI74-CONTADORES!BI73)/1000</f>
        <v>0</v>
      </c>
      <c r="BK78" s="1479">
        <f ca="1">IF(B78&gt;=$J$5,0,CONTADORES!BJ74-CONTADORES!BJ73)</f>
        <v>0</v>
      </c>
      <c r="BL78" s="1479">
        <f ca="1">IF(B78&gt;=$J$5,0,CONTADORES!BK74-CONTADORES!BK73)</f>
        <v>0</v>
      </c>
      <c r="BM78" s="1479">
        <f ca="1">IF(B78&gt;=$J$5,0,CONTADORES!BL74-CONTADORES!BL73)/1000</f>
        <v>2.3769999999999998</v>
      </c>
      <c r="BN78" s="1479">
        <f ca="1">IF(B78&gt;=$J$5,0,CONTADORES!BM74-CONTADORES!BM73)/1000</f>
        <v>0</v>
      </c>
      <c r="BO78" s="1479">
        <f ca="1">IF(B78&gt;=$J$5,0,CONTADORES!BN74-CONTADORES!BN73)</f>
        <v>24</v>
      </c>
      <c r="BP78" s="1479">
        <f ca="1">IF(B78&gt;=$J$5,0,CONTADORES!BO74-CONTADORES!BO73)/1000</f>
        <v>6.0679999999999996</v>
      </c>
      <c r="BQ78" s="1479">
        <f ca="1">IF(B78&gt;=$J$5,0,CONTADORES!BP74-CONTADORES!BP73)/1000</f>
        <v>4.3999999999999997E-2</v>
      </c>
      <c r="BR78" s="1479">
        <f ca="1">IF(B78&gt;=$J$5,0,CONTADORES!BQ74-CONTADORES!BQ73)</f>
        <v>24</v>
      </c>
      <c r="BS78" s="1450">
        <f ca="1">IF(B78&gt;=$J$5,0,(CONTADORES!BT74-CONTADORES!BT73)+(CONTADORES!BV74-CONTADORES!BV73))/1000</f>
        <v>1.5</v>
      </c>
      <c r="BT78" s="1479">
        <f ca="1">IF(B78&gt;=$J$5,0,(CONTADORES!BU74-CONTADORES!BU73)+(CONTADORES!BW74-CONTADORES!BW73))/1000</f>
        <v>0.91100000000000003</v>
      </c>
      <c r="BU78" s="1450">
        <f ca="1">IF(B78&gt;=$J$5,0,CONTADORES!BR74-CONTADORES!BR73)</f>
        <v>8</v>
      </c>
      <c r="BV78" s="1479">
        <f ca="1">IF(B78&gt;=$J$5,0,CONTADORES!BS74-CONTADORES!BS73)</f>
        <v>4.1999999999998181</v>
      </c>
      <c r="BW78" s="1479">
        <f t="shared" ca="1" si="47"/>
        <v>12.012499999998536</v>
      </c>
      <c r="BX78" s="1479">
        <f t="shared" ca="1" si="48"/>
        <v>6.2334999999997267</v>
      </c>
      <c r="BY78" s="1479">
        <f t="shared" ca="1" si="49"/>
        <v>4.0124999999985356</v>
      </c>
      <c r="BZ78" s="1479">
        <f t="shared" ca="1" si="50"/>
        <v>1.0920000000000074</v>
      </c>
      <c r="CA78" s="1479">
        <f t="shared" ca="1" si="51"/>
        <v>4.0124999999985356</v>
      </c>
      <c r="CB78" s="1479">
        <f t="shared" ca="1" si="52"/>
        <v>1.6380000000000108</v>
      </c>
      <c r="CC78" s="1479">
        <f t="shared" ca="1" si="53"/>
        <v>2.5920000000000076</v>
      </c>
      <c r="CD78" s="1479">
        <f t="shared" ca="1" si="54"/>
        <v>2.0334999999999086</v>
      </c>
      <c r="CE78" s="1479">
        <f ca="1">IF(B78&gt;=$J$5,0,CONTADORES!BS74-CONTADORES!BS73)</f>
        <v>4.1999999999998181</v>
      </c>
      <c r="CF78" s="1479">
        <f t="shared" ca="1" si="55"/>
        <v>2.0334999999999086</v>
      </c>
      <c r="CG78" s="1479">
        <f t="shared" ca="1" si="56"/>
        <v>0.79449999999999998</v>
      </c>
      <c r="CH78" s="1479">
        <f t="shared" ca="1" si="57"/>
        <v>0.79449999999999998</v>
      </c>
      <c r="CI78" s="1479">
        <f t="shared" ca="1" si="58"/>
        <v>1.7055</v>
      </c>
      <c r="CJ78" s="1484">
        <f ca="1">IF($B78&gt;=$J$5,0,CONTADORES!$BG75)</f>
        <v>9669.4740936776907</v>
      </c>
      <c r="CK78" s="1384">
        <f>CONTADORES!E74</f>
        <v>0</v>
      </c>
      <c r="CL78" s="1384">
        <f>CONTADORES!BX74</f>
        <v>0</v>
      </c>
    </row>
    <row r="79" spans="2:90">
      <c r="B79" s="410">
        <v>44995</v>
      </c>
      <c r="C79" s="204">
        <f t="shared" ca="1" si="33"/>
        <v>293</v>
      </c>
      <c r="D79" s="202">
        <f ca="1">'CALCULO DE GAS'!D81</f>
        <v>4.8656372730673318</v>
      </c>
      <c r="E79" s="202">
        <f ca="1">IF(B79&gt;=$J$5,0,(CONTADORES!$AB75-CONTADORES!$AB74)-$H79)</f>
        <v>24</v>
      </c>
      <c r="F79" s="204">
        <f t="shared" ca="1" si="32"/>
        <v>0</v>
      </c>
      <c r="G79" s="202">
        <f ca="1">IF(B79&gt;=$J$5,0,CONTADORES!$AD75-CONTADORES!$AD74)</f>
        <v>0</v>
      </c>
      <c r="H79" s="1437">
        <f ca="1">IF(G79&gt;0,CONTADORES!$AC75-CONTADORES!$AC74,0)</f>
        <v>0</v>
      </c>
      <c r="I79" s="205">
        <f ca="1">IF(B79&gt;=$J$5,0,CONTADORES!$Z75-CONTADORES!$Z74)</f>
        <v>293</v>
      </c>
      <c r="J79" s="204">
        <f t="shared" ca="1" si="34"/>
        <v>150.09999999999854</v>
      </c>
      <c r="K79" s="202">
        <f ca="1">'CALCULO DE GAS'!E81</f>
        <v>3.7003430087281677</v>
      </c>
      <c r="L79" s="1437">
        <f ca="1">IF(B79&gt;=$J$5,0,(CONTADORES!$W75-CONTADORES!$W74)-$O79)</f>
        <v>24</v>
      </c>
      <c r="M79" s="1437">
        <f t="shared" ca="1" si="31"/>
        <v>0</v>
      </c>
      <c r="N79" s="1437">
        <f ca="1">IF(B79&gt;=$J$5,0,CONTADORES!$Y75-CONTADORES!$Y74)</f>
        <v>0</v>
      </c>
      <c r="O79" s="1437">
        <f ca="1">IF(N79&gt;0,CONTADORES!$X75-CONTADORES!$X74,0)</f>
        <v>0</v>
      </c>
      <c r="P79" s="208">
        <f ca="1">IF(B79&gt;=$J$5,0,CONTADORES!$U75-CONTADORES!$U74)</f>
        <v>150.09999999999854</v>
      </c>
      <c r="Q79" s="208">
        <f ca="1">IF(B79&gt;=$J$5,0,CONTADORES!$B75-CONTADORES!$B74)</f>
        <v>0</v>
      </c>
      <c r="R79" s="202">
        <f t="shared" ca="1" si="35"/>
        <v>0</v>
      </c>
      <c r="S79" s="11">
        <f ca="1">IF(B79&gt;=$J$5,0,CONTADORES!$D75-CONTADORES!$D74)</f>
        <v>0</v>
      </c>
      <c r="T79" s="204">
        <f ca="1">IF(B79&gt;=$J$5,0,CONTADORES!$AZ75-CONTADORES!$AZ74)</f>
        <v>0</v>
      </c>
      <c r="U79" s="202">
        <f t="shared" ca="1" si="36"/>
        <v>0</v>
      </c>
      <c r="V79" s="205">
        <f ca="1">IF(B79&gt;=$J$5,0,CONTADORES!$BB75-CONTADORES!$BB74)</f>
        <v>0</v>
      </c>
      <c r="W79" s="1438">
        <f t="shared" ca="1" si="37"/>
        <v>443.09999999999854</v>
      </c>
      <c r="X79" s="1438">
        <f t="shared" ca="1" si="38"/>
        <v>0</v>
      </c>
      <c r="Y79" s="1439">
        <f t="shared" ca="1" si="39"/>
        <v>443.09999999999854</v>
      </c>
      <c r="Z79" s="1439">
        <f t="shared" ca="1" si="40"/>
        <v>8.5659802817955004</v>
      </c>
      <c r="AA79" s="1439">
        <f t="shared" ca="1" si="41"/>
        <v>0</v>
      </c>
      <c r="AB79" s="1439">
        <f t="shared" ca="1" si="42"/>
        <v>48</v>
      </c>
      <c r="AC79" s="1438">
        <f t="shared" ca="1" si="43"/>
        <v>0</v>
      </c>
      <c r="AD79" s="1438">
        <f ca="1">IF(B79&gt;=$J$5,0,CONTADORES!H75-CONTADORES!H74)</f>
        <v>163</v>
      </c>
      <c r="AE79" s="1438">
        <f ca="1">IF(B79&gt;=$J$5,0,CONTADORES!J75-CONTADORES!J74)</f>
        <v>24</v>
      </c>
      <c r="AF79" s="1438">
        <f ca="1">IF(B79&gt;=$J$5,0,CONTADORES!AS75-CONTADORES!AS74)</f>
        <v>145</v>
      </c>
      <c r="AG79" s="1438">
        <f ca="1">IF(B79&gt;=$J$5,0,CONTADORES!AU75-CONTADORES!AU74)</f>
        <v>24</v>
      </c>
      <c r="AH79" s="1438">
        <f ca="1">IF(B79&gt;=$J$5,0,(CONTADORES!AK75-CONTADORES!AK74)+(CONTADORES!K75-CONTADORES!K74))</f>
        <v>7.0999999999985448</v>
      </c>
      <c r="AI79" s="1438">
        <f ca="1">IF(B79&gt;=$J$5,0,(CONTADORES!AI75-CONTADORES!AI74)+(CONTADORES!M75-CONTADORES!M74))</f>
        <v>41.80000000000291</v>
      </c>
      <c r="AJ79" s="1438">
        <f ca="1">IF(B79&gt;=$J$5,0,(CONTADORES!AG75-CONTADORES!AG74))</f>
        <v>5.5999999999912689</v>
      </c>
      <c r="AK79" s="1438">
        <f ca="1">IF(B79&gt;=$J$5,0,(CONTADORES!O75-CONTADORES!O74))</f>
        <v>14</v>
      </c>
      <c r="AL79" s="1438">
        <f t="shared" ca="1" si="44"/>
        <v>36.100000000005821</v>
      </c>
      <c r="AM79" s="1438">
        <f ca="1">IF(B79&gt;=$J$5,0,(((CONTADORES!F75-CONTADORES!F74)+(CONTADORES!AO75-CONTADORES!AO74))))-BJ79-AF79-AN79-BM79-BP79-BU79-BS79</f>
        <v>9.7729999999985431</v>
      </c>
      <c r="AN79" s="1438">
        <f ca="1">IF(B79&gt;=$J$5,0,(CONTADORES!AV75-CONTADORES!AV74)+(CONTADORES!AX75-CONTADORES!AX74)+(CONTADORES!BC75-CONTADORES!BC74))-BS79</f>
        <v>2.5380000000000003</v>
      </c>
      <c r="AO79" s="1478">
        <f ca="1">IF(B79&gt;=$J$5,0,(CONTADORES!AA75-CONTADORES!AA74))</f>
        <v>145</v>
      </c>
      <c r="AP79" s="1478">
        <f ca="1">IF(B79&gt;=$J$5,0,(CONTADORES!V75-CONTADORES!V74))</f>
        <v>79.600000000000364</v>
      </c>
      <c r="AQ79" s="1445">
        <f ca="1">IF(B79&gt;=$J$5,0,(CONTADORES!C75-CONTADORES!C74))</f>
        <v>0</v>
      </c>
      <c r="AR79" s="1440">
        <f ca="1">IF(B79&gt;=$J$5,0,(CONTADORES!BA75-CONTADORES!BA74))</f>
        <v>0</v>
      </c>
      <c r="AS79" s="1438">
        <f ca="1">IF(B79&gt;=$J$5,0,CONTADORES!Q75-CONTADORES!Q74)</f>
        <v>16</v>
      </c>
      <c r="AT79" s="1438">
        <f ca="1">IF(B79&gt;=$J$5,0,(CONTADORES!S75-CONTADORES!S74)+(CONTADORES!AE75-CONTADORES!AE74))</f>
        <v>2.1999999999970896</v>
      </c>
      <c r="AU79" s="1450">
        <f>CONTADORES!I75-CONTADORES!I74</f>
        <v>84</v>
      </c>
      <c r="AV79" s="1479">
        <f>CONTADORES!AT75-CONTADORES!AT74</f>
        <v>63</v>
      </c>
      <c r="AW79" s="1479">
        <f ca="1">IF(B79&gt;=$J$5,0,(CONTADORES!L75-CONTADORES!L74)+(CONTADORES!AL75-CONTADORES!AL74))</f>
        <v>2.7000000000007276</v>
      </c>
      <c r="AX79" s="1479">
        <f ca="1">IF(B79&gt;=$J$5,0,(CONTADORES!N75-CONTADORES!N74)+(CONTADORES!AJ75-CONTADORES!AJ74))</f>
        <v>33.400000000001455</v>
      </c>
      <c r="AY79" s="1479">
        <f ca="1">IF(B79&gt;=$J$5,0,(CONTADORES!AH75-CONTADORES!AH74))</f>
        <v>4.0999999999985448</v>
      </c>
      <c r="AZ79" s="1479">
        <f ca="1">IF(B79&gt;=$J$5,0,(CONTADORES!P75-CONTADORES!P74))</f>
        <v>12</v>
      </c>
      <c r="BA79" s="1438">
        <f t="shared" ca="1" si="45"/>
        <v>12.668000000000006</v>
      </c>
      <c r="BB79" s="1438">
        <f ca="1">IF(B79&gt;=$J$5,0,(((CONTADORES!G75-CONTADORES!G74)+(CONTADORES!AP75-CONTADORES!AP74))))-AV79-BC79-BK79-BN79-BQ79-BV79</f>
        <v>5.6179999999993306</v>
      </c>
      <c r="BC79" s="1438">
        <f ca="1">IF(B79&gt;=$J$5,0,(CONTADORES!AW75-CONTADORES!AW74)+(CONTADORES!AY75-CONTADORES!AY74)+(CONTADORES!BD75-CONTADORES!BD74))-BT79</f>
        <v>1.1679999999999433</v>
      </c>
      <c r="BD79" s="1438">
        <f t="shared" ca="1" si="46"/>
        <v>224.60000000000036</v>
      </c>
      <c r="BE79" s="1450">
        <f ca="1">IF($B79&gt;=$J$5,0,CONTADORES!$BE75)</f>
        <v>6215.0199999999995</v>
      </c>
      <c r="BF79" s="1479">
        <f ca="1">IF($B79&gt;=$J$5,0,CONTADORES!$BF75)</f>
        <v>36988.659649122805</v>
      </c>
      <c r="BG79" s="1438">
        <f ca="1">IF($B79&gt;=$J$5,0,CONTADORES!$BH75)</f>
        <v>5963.1</v>
      </c>
      <c r="BH79" s="1438">
        <f ca="1">IF(B79&gt;=$J$5,0,(CONTADORES!AQ75-CONTADORES!AQ74))</f>
        <v>4.5999999999985448</v>
      </c>
      <c r="BI79" s="1438">
        <f ca="1">IF(B79&gt;=$J$5,0,(CONTADORES!AR75-CONTADORES!AR74))</f>
        <v>0</v>
      </c>
      <c r="BJ79" s="1450">
        <f ca="1">IF(B79&gt;=$J$5,0,CONTADORES!BI75-CONTADORES!BI74)/1000</f>
        <v>0</v>
      </c>
      <c r="BK79" s="1479">
        <f ca="1">IF(B79&gt;=$J$5,0,CONTADORES!BJ75-CONTADORES!BJ74)</f>
        <v>0</v>
      </c>
      <c r="BL79" s="1479">
        <f ca="1">IF(B79&gt;=$J$5,0,CONTADORES!BK75-CONTADORES!BK74)</f>
        <v>0</v>
      </c>
      <c r="BM79" s="1479">
        <f ca="1">IF(B79&gt;=$J$5,0,CONTADORES!BL75-CONTADORES!BL74)/1000</f>
        <v>2.4369999999999998</v>
      </c>
      <c r="BN79" s="1479">
        <f ca="1">IF(B79&gt;=$J$5,0,CONTADORES!BM75-CONTADORES!BM74)/1000</f>
        <v>0</v>
      </c>
      <c r="BO79" s="1479">
        <f ca="1">IF(B79&gt;=$J$5,0,CONTADORES!BN75-CONTADORES!BN74)</f>
        <v>24</v>
      </c>
      <c r="BP79" s="1479">
        <f ca="1">IF(B79&gt;=$J$5,0,CONTADORES!BO75-CONTADORES!BO74)/1000</f>
        <v>6.39</v>
      </c>
      <c r="BQ79" s="1479">
        <f ca="1">IF(B79&gt;=$J$5,0,CONTADORES!BP75-CONTADORES!BP74)/1000</f>
        <v>1.4E-2</v>
      </c>
      <c r="BR79" s="1479">
        <f ca="1">IF(B79&gt;=$J$5,0,CONTADORES!BQ75-CONTADORES!BQ74)</f>
        <v>24</v>
      </c>
      <c r="BS79" s="1450">
        <f ca="1">IF(B79&gt;=$J$5,0,(CONTADORES!BT75-CONTADORES!BT74)+(CONTADORES!BV75-CONTADORES!BV74))/1000</f>
        <v>1.462</v>
      </c>
      <c r="BT79" s="1479">
        <f ca="1">IF(B79&gt;=$J$5,0,(CONTADORES!BU75-CONTADORES!BU74)+(CONTADORES!BW75-CONTADORES!BW74))/1000</f>
        <v>0.83199999999999996</v>
      </c>
      <c r="BU79" s="1450">
        <f ca="1">IF(B79&gt;=$J$5,0,CONTADORES!BR75-CONTADORES!BR74)</f>
        <v>7.9000000000014552</v>
      </c>
      <c r="BV79" s="1479">
        <f ca="1">IF(B79&gt;=$J$5,0,CONTADORES!BS75-CONTADORES!BS74)</f>
        <v>5.1000000000003638</v>
      </c>
      <c r="BW79" s="1479">
        <f t="shared" ca="1" si="47"/>
        <v>12.786500000000727</v>
      </c>
      <c r="BX79" s="1479">
        <f t="shared" ca="1" si="48"/>
        <v>7.9090000000000291</v>
      </c>
      <c r="BY79" s="1479">
        <f t="shared" ca="1" si="49"/>
        <v>4.8864999999992715</v>
      </c>
      <c r="BZ79" s="1479">
        <f t="shared" ca="1" si="50"/>
        <v>1.0152000000000001</v>
      </c>
      <c r="CA79" s="1479">
        <f t="shared" ca="1" si="51"/>
        <v>4.8864999999992715</v>
      </c>
      <c r="CB79" s="1479">
        <f t="shared" ca="1" si="52"/>
        <v>1.5228000000000002</v>
      </c>
      <c r="CC79" s="1479">
        <f t="shared" ca="1" si="53"/>
        <v>2.4771999999999998</v>
      </c>
      <c r="CD79" s="1479">
        <f t="shared" ca="1" si="54"/>
        <v>2.8089999999996653</v>
      </c>
      <c r="CE79" s="1479">
        <f ca="1">IF(B79&gt;=$J$5,0,CONTADORES!BS75-CONTADORES!BS74)</f>
        <v>5.1000000000003638</v>
      </c>
      <c r="CF79" s="1479">
        <f t="shared" ca="1" si="55"/>
        <v>2.8089999999996653</v>
      </c>
      <c r="CG79" s="1479">
        <f t="shared" ca="1" si="56"/>
        <v>0.58399999999997165</v>
      </c>
      <c r="CH79" s="1479">
        <f t="shared" ca="1" si="57"/>
        <v>0.58399999999997165</v>
      </c>
      <c r="CI79" s="1479">
        <f t="shared" ca="1" si="58"/>
        <v>1.4159999999999715</v>
      </c>
      <c r="CJ79" s="1480">
        <f ca="1">IF($B79&gt;=$J$5,0,CONTADORES!$BG75)</f>
        <v>9669.4740936776907</v>
      </c>
      <c r="CK79" s="1384">
        <f>CONTADORES!E75</f>
        <v>0</v>
      </c>
      <c r="CL79" s="1384">
        <f>CONTADORES!BX75</f>
        <v>0</v>
      </c>
    </row>
    <row r="80" spans="2:90">
      <c r="B80" s="410">
        <v>44996</v>
      </c>
      <c r="C80" s="204">
        <f t="shared" ca="1" si="33"/>
        <v>259</v>
      </c>
      <c r="D80" s="202">
        <f ca="1">'CALCULO DE GAS'!D82</f>
        <v>4.5883804152119705</v>
      </c>
      <c r="E80" s="202">
        <f ca="1">IF(B80&gt;=$J$5,0,(CONTADORES!$AB76-CONTADORES!$AB75)-$H80)</f>
        <v>24</v>
      </c>
      <c r="F80" s="204">
        <f t="shared" ca="1" si="32"/>
        <v>0</v>
      </c>
      <c r="G80" s="202">
        <f ca="1">IF(B80&gt;=$J$5,0,CONTADORES!$AD76-CONTADORES!$AD75)</f>
        <v>0</v>
      </c>
      <c r="H80" s="1437">
        <f ca="1">IF(G80&gt;0,CONTADORES!$AC76-CONTADORES!$AC75,0)</f>
        <v>0</v>
      </c>
      <c r="I80" s="205">
        <f ca="1">IF(B80&gt;=$J$5,0,CONTADORES!$Z76-CONTADORES!$Z75)</f>
        <v>259</v>
      </c>
      <c r="J80" s="204">
        <f t="shared" ca="1" si="34"/>
        <v>176.5</v>
      </c>
      <c r="K80" s="202">
        <f ca="1">'CALCULO DE GAS'!E82</f>
        <v>3.9156248042394015</v>
      </c>
      <c r="L80" s="1437">
        <f ca="1">IF(B80&gt;=$J$5,0,(CONTADORES!$W76-CONTADORES!$W75)-$O80)</f>
        <v>24</v>
      </c>
      <c r="M80" s="1437">
        <f t="shared" ca="1" si="31"/>
        <v>0</v>
      </c>
      <c r="N80" s="1437">
        <f ca="1">IF(B80&gt;=$J$5,0,CONTADORES!$Y76-CONTADORES!$Y75)</f>
        <v>0</v>
      </c>
      <c r="O80" s="1437">
        <f ca="1">IF(N80&gt;0,CONTADORES!$X76-CONTADORES!$X75,0)</f>
        <v>0</v>
      </c>
      <c r="P80" s="208">
        <f ca="1">IF(B80&gt;=$J$5,0,CONTADORES!$U76-CONTADORES!$U75)</f>
        <v>176.5</v>
      </c>
      <c r="Q80" s="208">
        <f ca="1">IF(B80&gt;=$J$5,0,CONTADORES!$B76-CONTADORES!$B75)</f>
        <v>0</v>
      </c>
      <c r="R80" s="202">
        <f t="shared" ca="1" si="35"/>
        <v>0</v>
      </c>
      <c r="S80" s="11">
        <f ca="1">IF(B80&gt;=$J$5,0,CONTADORES!$D76-CONTADORES!$D75)</f>
        <v>0</v>
      </c>
      <c r="T80" s="204">
        <f ca="1">IF(B80&gt;=$J$5,0,CONTADORES!$AZ76-CONTADORES!$AZ75)</f>
        <v>0</v>
      </c>
      <c r="U80" s="202">
        <f t="shared" ca="1" si="36"/>
        <v>0</v>
      </c>
      <c r="V80" s="205">
        <f ca="1">IF(B80&gt;=$J$5,0,CONTADORES!$BB76-CONTADORES!$BB75)</f>
        <v>0</v>
      </c>
      <c r="W80" s="1438">
        <f t="shared" ca="1" si="37"/>
        <v>435.5</v>
      </c>
      <c r="X80" s="1438">
        <f t="shared" ca="1" si="38"/>
        <v>0</v>
      </c>
      <c r="Y80" s="1439">
        <f t="shared" ca="1" si="39"/>
        <v>435.5</v>
      </c>
      <c r="Z80" s="1439">
        <f t="shared" ca="1" si="40"/>
        <v>8.504005219451372</v>
      </c>
      <c r="AA80" s="1439">
        <f t="shared" ca="1" si="41"/>
        <v>0</v>
      </c>
      <c r="AB80" s="1439">
        <f t="shared" ca="1" si="42"/>
        <v>48</v>
      </c>
      <c r="AC80" s="1438">
        <f t="shared" ca="1" si="43"/>
        <v>0</v>
      </c>
      <c r="AD80" s="1438">
        <f ca="1">IF(B80&gt;=$J$5,0,CONTADORES!H76-CONTADORES!H75)</f>
        <v>162</v>
      </c>
      <c r="AE80" s="1438">
        <f ca="1">IF(B80&gt;=$J$5,0,CONTADORES!J76-CONTADORES!J75)</f>
        <v>24</v>
      </c>
      <c r="AF80" s="1438">
        <f ca="1">IF(B80&gt;=$J$5,0,CONTADORES!AS76-CONTADORES!AS75)</f>
        <v>145</v>
      </c>
      <c r="AG80" s="1438">
        <f ca="1">IF(B80&gt;=$J$5,0,CONTADORES!AU76-CONTADORES!AU75)</f>
        <v>24</v>
      </c>
      <c r="AH80" s="1438">
        <f ca="1">IF(B80&gt;=$J$5,0,(CONTADORES!AK76-CONTADORES!AK75)+(CONTADORES!K76-CONTADORES!K75))</f>
        <v>11.099999999998545</v>
      </c>
      <c r="AI80" s="1438">
        <f ca="1">IF(B80&gt;=$J$5,0,(CONTADORES!AI76-CONTADORES!AI75)+(CONTADORES!M76-CONTADORES!M75))</f>
        <v>36.5</v>
      </c>
      <c r="AJ80" s="1438">
        <f ca="1">IF(B80&gt;=$J$5,0,(CONTADORES!AG76-CONTADORES!AG75))</f>
        <v>5.2000000000116415</v>
      </c>
      <c r="AK80" s="1438">
        <f ca="1">IF(B80&gt;=$J$5,0,(CONTADORES!O76-CONTADORES!O75))</f>
        <v>14</v>
      </c>
      <c r="AL80" s="1438">
        <f t="shared" ca="1" si="44"/>
        <v>32.599999999987688</v>
      </c>
      <c r="AM80" s="1438">
        <f ca="1">IF(B80&gt;=$J$5,0,(((CONTADORES!F76-CONTADORES!F75)+(CONTADORES!AO76-CONTADORES!AO75))))-BJ80-AF80-AN80-BM80-BP80-BU80-BS80</f>
        <v>8.7120000000025346</v>
      </c>
      <c r="AN80" s="1438">
        <f ca="1">IF(B80&gt;=$J$5,0,(CONTADORES!AV76-CONTADORES!AV75)+(CONTADORES!AX76-CONTADORES!AX75)+(CONTADORES!BC76-CONTADORES!BC75))-BS80</f>
        <v>2.621</v>
      </c>
      <c r="AO80" s="1478">
        <f ca="1">IF(B80&gt;=$J$5,0,(CONTADORES!AA76-CONTADORES!AA75))</f>
        <v>131</v>
      </c>
      <c r="AP80" s="1478">
        <f ca="1">IF(B80&gt;=$J$5,0,(CONTADORES!V76-CONTADORES!V75))</f>
        <v>89.399999999999636</v>
      </c>
      <c r="AQ80" s="1445">
        <f ca="1">IF(B80&gt;=$J$5,0,(CONTADORES!C76-CONTADORES!C75))</f>
        <v>0</v>
      </c>
      <c r="AR80" s="1440">
        <f ca="1">IF(B80&gt;=$J$5,0,(CONTADORES!BA76-CONTADORES!BA75))</f>
        <v>0</v>
      </c>
      <c r="AS80" s="1438">
        <f ca="1">IF(B80&gt;=$J$5,0,CONTADORES!Q76-CONTADORES!Q75)</f>
        <v>16</v>
      </c>
      <c r="AT80" s="1438">
        <f ca="1">IF(B80&gt;=$J$5,0,(CONTADORES!S76-CONTADORES!S75)+(CONTADORES!AE76-CONTADORES!AE75))</f>
        <v>2.0999999999985448</v>
      </c>
      <c r="AU80" s="1450">
        <f>CONTADORES!I76-CONTADORES!I75</f>
        <v>83</v>
      </c>
      <c r="AV80" s="1479">
        <f>CONTADORES!AT76-CONTADORES!AT75</f>
        <v>63</v>
      </c>
      <c r="AW80" s="1479">
        <f ca="1">IF(B80&gt;=$J$5,0,(CONTADORES!L76-CONTADORES!L75)+(CONTADORES!AL76-CONTADORES!AL75))</f>
        <v>4.3999999999978172</v>
      </c>
      <c r="AX80" s="1479">
        <f ca="1">IF(B80&gt;=$J$5,0,(CONTADORES!N76-CONTADORES!N75)+(CONTADORES!AJ76-CONTADORES!AJ75))</f>
        <v>29.19999999999709</v>
      </c>
      <c r="AY80" s="1479">
        <f ca="1">IF(B80&gt;=$J$5,0,(CONTADORES!AH76-CONTADORES!AH75))</f>
        <v>4</v>
      </c>
      <c r="AZ80" s="1479">
        <f ca="1">IF(B80&gt;=$J$5,0,(CONTADORES!P76-CONTADORES!P75))</f>
        <v>12</v>
      </c>
      <c r="BA80" s="1438">
        <f t="shared" ca="1" si="45"/>
        <v>13.343000000003997</v>
      </c>
      <c r="BB80" s="1438">
        <f ca="1">IF(B80&gt;=$J$5,0,(((CONTADORES!G76-CONTADORES!G75)+(CONTADORES!AP76-CONTADORES!AP75))))-AV80-BC80-BK80-BN80-BQ80-BV80</f>
        <v>4.4730000000013188</v>
      </c>
      <c r="BC80" s="1438">
        <f ca="1">IF(B80&gt;=$J$5,0,(CONTADORES!AW76-CONTADORES!AW75)+(CONTADORES!AY76-CONTADORES!AY75)+(CONTADORES!BD76-CONTADORES!BD75))-BT80</f>
        <v>1.0429999999999544</v>
      </c>
      <c r="BD80" s="1438">
        <f t="shared" ca="1" si="46"/>
        <v>220.39999999999964</v>
      </c>
      <c r="BE80" s="1450">
        <f ca="1">IF($B80&gt;=$J$5,0,CONTADORES!$BE76)</f>
        <v>5795.46</v>
      </c>
      <c r="BF80" s="1479">
        <f ca="1">IF($B80&gt;=$J$5,0,CONTADORES!$BF76)</f>
        <v>36378.571929824597</v>
      </c>
      <c r="BG80" s="1438">
        <f ca="1">IF($B80&gt;=$J$5,0,CONTADORES!$BH76)</f>
        <v>5583.48</v>
      </c>
      <c r="BH80" s="1438">
        <f ca="1">IF(B80&gt;=$J$5,0,(CONTADORES!AQ76-CONTADORES!AQ75))</f>
        <v>4</v>
      </c>
      <c r="BI80" s="1438">
        <f ca="1">IF(B80&gt;=$J$5,0,(CONTADORES!AR76-CONTADORES!AR75))</f>
        <v>0</v>
      </c>
      <c r="BJ80" s="1450">
        <f ca="1">IF(B80&gt;=$J$5,0,CONTADORES!BI76-CONTADORES!BI75)/1000</f>
        <v>0.34799999999999998</v>
      </c>
      <c r="BK80" s="1479">
        <f ca="1">IF(B80&gt;=$J$5,0,CONTADORES!BJ76-CONTADORES!BJ75)</f>
        <v>0</v>
      </c>
      <c r="BL80" s="1479">
        <f ca="1">IF(B80&gt;=$J$5,0,CONTADORES!BK76-CONTADORES!BK75)</f>
        <v>3.9699999999975262</v>
      </c>
      <c r="BM80" s="1479">
        <f ca="1">IF(B80&gt;=$J$5,0,CONTADORES!BL76-CONTADORES!BL75)/1000</f>
        <v>2.988</v>
      </c>
      <c r="BN80" s="1479">
        <f ca="1">IF(B80&gt;=$J$5,0,CONTADORES!BM76-CONTADORES!BM75)/1000</f>
        <v>2.4E-2</v>
      </c>
      <c r="BO80" s="1479">
        <f ca="1">IF(B80&gt;=$J$5,0,CONTADORES!BN76-CONTADORES!BN75)</f>
        <v>24</v>
      </c>
      <c r="BP80" s="1479">
        <f ca="1">IF(B80&gt;=$J$5,0,CONTADORES!BO76-CONTADORES!BO75)/1000</f>
        <v>5.1520000000000001</v>
      </c>
      <c r="BQ80" s="1479">
        <f ca="1">IF(B80&gt;=$J$5,0,CONTADORES!BP76-CONTADORES!BP75)/1000</f>
        <v>0.06</v>
      </c>
      <c r="BR80" s="1479">
        <f ca="1">IF(B80&gt;=$J$5,0,CONTADORES!BQ76-CONTADORES!BQ75)</f>
        <v>20</v>
      </c>
      <c r="BS80" s="1450">
        <f ca="1">IF(B80&gt;=$J$5,0,(CONTADORES!BT76-CONTADORES!BT75)+(CONTADORES!BV76-CONTADORES!BV75))/1000</f>
        <v>1.379</v>
      </c>
      <c r="BT80" s="1479">
        <f ca="1">IF(B80&gt;=$J$5,0,(CONTADORES!BU76-CONTADORES!BU75)+(CONTADORES!BW76-CONTADORES!BW75))/1000</f>
        <v>0.75700000000000001</v>
      </c>
      <c r="BU80" s="1450">
        <f ca="1">IF(B80&gt;=$J$5,0,CONTADORES!BR76-CONTADORES!BR75)</f>
        <v>7.8999999999996362</v>
      </c>
      <c r="BV80" s="1479">
        <f ca="1">IF(B80&gt;=$J$5,0,CONTADORES!BS76-CONTADORES!BS75)</f>
        <v>5.0999999999994543</v>
      </c>
      <c r="BW80" s="1479">
        <f t="shared" ca="1" si="47"/>
        <v>12.256000000000903</v>
      </c>
      <c r="BX80" s="1479">
        <f t="shared" ca="1" si="48"/>
        <v>7.3365000000001137</v>
      </c>
      <c r="BY80" s="1479">
        <f t="shared" ca="1" si="49"/>
        <v>4.3560000000012673</v>
      </c>
      <c r="BZ80" s="1479">
        <f t="shared" ca="1" si="50"/>
        <v>1.0484</v>
      </c>
      <c r="CA80" s="1479">
        <f t="shared" ca="1" si="51"/>
        <v>4.3560000000012673</v>
      </c>
      <c r="CB80" s="1479">
        <f t="shared" ca="1" si="52"/>
        <v>1.5726</v>
      </c>
      <c r="CC80" s="1479">
        <f t="shared" ca="1" si="53"/>
        <v>2.4274</v>
      </c>
      <c r="CD80" s="1479">
        <f t="shared" ca="1" si="54"/>
        <v>2.2365000000006594</v>
      </c>
      <c r="CE80" s="1479">
        <f ca="1">IF(B80&gt;=$J$5,0,CONTADORES!BS76-CONTADORES!BS75)</f>
        <v>5.0999999999994543</v>
      </c>
      <c r="CF80" s="1479">
        <f t="shared" ca="1" si="55"/>
        <v>2.2365000000006594</v>
      </c>
      <c r="CG80" s="1479">
        <f t="shared" ca="1" si="56"/>
        <v>0.5214999999999772</v>
      </c>
      <c r="CH80" s="1479">
        <f t="shared" ca="1" si="57"/>
        <v>0.5214999999999772</v>
      </c>
      <c r="CI80" s="1479">
        <f t="shared" ca="1" si="58"/>
        <v>1.2784999999999771</v>
      </c>
      <c r="CJ80" s="1480">
        <f ca="1">IF($B80&gt;=$J$5,0,CONTADORES!$BG76)</f>
        <v>9787.2851742012499</v>
      </c>
      <c r="CK80" s="1384">
        <f>CONTADORES!E76</f>
        <v>0</v>
      </c>
      <c r="CL80" s="1384">
        <f>CONTADORES!BX76</f>
        <v>0</v>
      </c>
    </row>
    <row r="81" spans="2:90">
      <c r="B81" s="410">
        <v>44997</v>
      </c>
      <c r="C81" s="204">
        <f t="shared" ca="1" si="33"/>
        <v>276</v>
      </c>
      <c r="D81" s="202">
        <f ca="1">'CALCULO DE GAS'!D83</f>
        <v>4.7270088441396512</v>
      </c>
      <c r="E81" s="202">
        <f ca="1">IF(B81&gt;=$J$5,0,(CONTADORES!$AB77-CONTADORES!$AB76)-$H81)</f>
        <v>24</v>
      </c>
      <c r="F81" s="204">
        <f t="shared" ca="1" si="32"/>
        <v>0</v>
      </c>
      <c r="G81" s="202">
        <f ca="1">IF(B81&gt;=$J$5,0,CONTADORES!$AD77-CONTADORES!$AD76)</f>
        <v>0</v>
      </c>
      <c r="H81" s="1437">
        <f ca="1">IF(G81&gt;0,CONTADORES!$AC77-CONTADORES!$AC76,0)</f>
        <v>0</v>
      </c>
      <c r="I81" s="205">
        <f ca="1">IF(B81&gt;=$J$5,0,CONTADORES!$Z77-CONTADORES!$Z76)</f>
        <v>276</v>
      </c>
      <c r="J81" s="204">
        <f t="shared" ca="1" si="34"/>
        <v>155.5</v>
      </c>
      <c r="K81" s="202">
        <f ca="1">'CALCULO DE GAS'!E83</f>
        <v>3.7443779214463841</v>
      </c>
      <c r="L81" s="1437">
        <f ca="1">IF(B81&gt;=$J$5,0,(CONTADORES!$W77-CONTADORES!$W76)-$O81)</f>
        <v>24</v>
      </c>
      <c r="M81" s="1437">
        <f t="shared" ca="1" si="31"/>
        <v>0</v>
      </c>
      <c r="N81" s="1437">
        <f ca="1">IF(B81&gt;=$J$5,0,CONTADORES!$Y77-CONTADORES!$Y76)</f>
        <v>0</v>
      </c>
      <c r="O81" s="1437">
        <f ca="1">IF(N81&gt;0,CONTADORES!$X77-CONTADORES!$X76,0)</f>
        <v>0</v>
      </c>
      <c r="P81" s="208">
        <f ca="1">IF(B81&gt;=$J$5,0,CONTADORES!$U77-CONTADORES!$U76)</f>
        <v>155.5</v>
      </c>
      <c r="Q81" s="208">
        <f ca="1">IF(B81&gt;=$J$5,0,CONTADORES!$B77-CONTADORES!$B76)</f>
        <v>0</v>
      </c>
      <c r="R81" s="202">
        <f t="shared" ca="1" si="35"/>
        <v>0</v>
      </c>
      <c r="S81" s="11">
        <f ca="1">IF(B81&gt;=$J$5,0,CONTADORES!$D77-CONTADORES!$D76)</f>
        <v>0</v>
      </c>
      <c r="T81" s="204">
        <f ca="1">IF(B81&gt;=$J$5,0,CONTADORES!$AZ77-CONTADORES!$AZ76)</f>
        <v>0</v>
      </c>
      <c r="U81" s="202">
        <f t="shared" ca="1" si="36"/>
        <v>0</v>
      </c>
      <c r="V81" s="205">
        <f ca="1">IF(B81&gt;=$J$5,0,CONTADORES!$BB77-CONTADORES!$BB76)</f>
        <v>0</v>
      </c>
      <c r="W81" s="1438">
        <f t="shared" ca="1" si="37"/>
        <v>431.5</v>
      </c>
      <c r="X81" s="1438">
        <f t="shared" ca="1" si="38"/>
        <v>0</v>
      </c>
      <c r="Y81" s="1439">
        <f t="shared" ca="1" si="39"/>
        <v>431.5</v>
      </c>
      <c r="Z81" s="1439">
        <f t="shared" ca="1" si="40"/>
        <v>8.4713867655860362</v>
      </c>
      <c r="AA81" s="1439">
        <f t="shared" ca="1" si="41"/>
        <v>0</v>
      </c>
      <c r="AB81" s="1439">
        <f t="shared" ca="1" si="42"/>
        <v>48</v>
      </c>
      <c r="AC81" s="1438">
        <f t="shared" ca="1" si="43"/>
        <v>0</v>
      </c>
      <c r="AD81" s="1438">
        <f ca="1">IF(B81&gt;=$J$5,0,CONTADORES!H77-CONTADORES!H76)</f>
        <v>161</v>
      </c>
      <c r="AE81" s="1438">
        <f ca="1">IF(B81&gt;=$J$5,0,CONTADORES!J77-CONTADORES!J76)</f>
        <v>24</v>
      </c>
      <c r="AF81" s="1438">
        <f ca="1">IF(B81&gt;=$J$5,0,CONTADORES!AS77-CONTADORES!AS76)</f>
        <v>144</v>
      </c>
      <c r="AG81" s="1438">
        <f ca="1">IF(B81&gt;=$J$5,0,CONTADORES!AU77-CONTADORES!AU76)</f>
        <v>24</v>
      </c>
      <c r="AH81" s="1438">
        <f ca="1">IF(B81&gt;=$J$5,0,(CONTADORES!AK77-CONTADORES!AK76)+(CONTADORES!K77-CONTADORES!K76))</f>
        <v>8.8000000000047294</v>
      </c>
      <c r="AI81" s="1438">
        <f ca="1">IF(B81&gt;=$J$5,0,(CONTADORES!AI77-CONTADORES!AI76)+(CONTADORES!M77-CONTADORES!M76))</f>
        <v>38.299999999995634</v>
      </c>
      <c r="AJ81" s="1438">
        <f ca="1">IF(B81&gt;=$J$5,0,(CONTADORES!AG77-CONTADORES!AG76))</f>
        <v>5.1999999999970896</v>
      </c>
      <c r="AK81" s="1438">
        <f ca="1">IF(B81&gt;=$J$5,0,(CONTADORES!O77-CONTADORES!O76))</f>
        <v>14</v>
      </c>
      <c r="AL81" s="1438">
        <f t="shared" ca="1" si="44"/>
        <v>31.300000000004729</v>
      </c>
      <c r="AM81" s="1438">
        <f ca="1">IF(B81&gt;=$J$5,0,(((CONTADORES!F77-CONTADORES!F76)+(CONTADORES!AO77-CONTADORES!AO76))))-BJ81-AF81-AN81-BM81-BP81-BU81-BS81</f>
        <v>9.2669999999989159</v>
      </c>
      <c r="AN81" s="1438">
        <f ca="1">IF(B81&gt;=$J$5,0,(CONTADORES!AV77-CONTADORES!AV76)+(CONTADORES!AX77-CONTADORES!AX76)+(CONTADORES!BC77-CONTADORES!BC76))-BS81</f>
        <v>2.1029999999996365</v>
      </c>
      <c r="AO81" s="1478">
        <f ca="1">IF(B81&gt;=$J$5,0,(CONTADORES!AA77-CONTADORES!AA76))</f>
        <v>143</v>
      </c>
      <c r="AP81" s="1478">
        <f ca="1">IF(B81&gt;=$J$5,0,(CONTADORES!V77-CONTADORES!V76))</f>
        <v>78.5</v>
      </c>
      <c r="AQ81" s="1445">
        <f ca="1">IF(B81&gt;=$J$5,0,(CONTADORES!C77-CONTADORES!C76))</f>
        <v>0</v>
      </c>
      <c r="AR81" s="1440">
        <f ca="1">IF(B81&gt;=$J$5,0,(CONTADORES!BA77-CONTADORES!BA76))</f>
        <v>0</v>
      </c>
      <c r="AS81" s="1438">
        <f ca="1">IF(B81&gt;=$J$5,0,CONTADORES!Q77-CONTADORES!Q76)</f>
        <v>16</v>
      </c>
      <c r="AT81" s="1438">
        <f ca="1">IF(B81&gt;=$J$5,0,(CONTADORES!S77-CONTADORES!S76)+(CONTADORES!AE77-CONTADORES!AE76))</f>
        <v>2</v>
      </c>
      <c r="AU81" s="1450">
        <f>CONTADORES!I77-CONTADORES!I76</f>
        <v>83</v>
      </c>
      <c r="AV81" s="1479">
        <f>CONTADORES!AT77-CONTADORES!AT76</f>
        <v>63</v>
      </c>
      <c r="AW81" s="1479">
        <f ca="1">IF(B81&gt;=$J$5,0,(CONTADORES!L77-CONTADORES!L76)+(CONTADORES!AL77-CONTADORES!AL76))</f>
        <v>2.4000000000014552</v>
      </c>
      <c r="AX81" s="1479">
        <f ca="1">IF(B81&gt;=$J$5,0,(CONTADORES!N77-CONTADORES!N76)+(CONTADORES!AJ77-CONTADORES!AJ76))</f>
        <v>30.400000000001455</v>
      </c>
      <c r="AY81" s="1479">
        <f ca="1">IF(B81&gt;=$J$5,0,(CONTADORES!AH77-CONTADORES!AH76))</f>
        <v>4</v>
      </c>
      <c r="AZ81" s="1479">
        <f ca="1">IF(B81&gt;=$J$5,0,(CONTADORES!P77-CONTADORES!P76))</f>
        <v>11</v>
      </c>
      <c r="BA81" s="1438">
        <f t="shared" ca="1" si="45"/>
        <v>11.0059999999973</v>
      </c>
      <c r="BB81" s="1438">
        <f ca="1">IF(B81&gt;=$J$5,0,(((CONTADORES!G77-CONTADORES!G76)+(CONTADORES!AP77-CONTADORES!AP76))))-AV81-BC81-BK81-BN81-BQ81-BV81</f>
        <v>8.9569999999992262</v>
      </c>
      <c r="BC81" s="1438">
        <f ca="1">IF(B81&gt;=$J$5,0,(CONTADORES!AW77-CONTADORES!AW76)+(CONTADORES!AY77-CONTADORES!AY76)+(CONTADORES!BD77-CONTADORES!BD76))-BT81</f>
        <v>0.70600000000004548</v>
      </c>
      <c r="BD81" s="1438">
        <f t="shared" ca="1" si="46"/>
        <v>221.5</v>
      </c>
      <c r="BE81" s="1450">
        <f ca="1">IF($B81&gt;=$J$5,0,CONTADORES!$BE77)</f>
        <v>6251.5499999999993</v>
      </c>
      <c r="BF81" s="1479">
        <f ca="1">IF($B81&gt;=$J$5,0,CONTADORES!$BF77)</f>
        <v>34954.57543859649</v>
      </c>
      <c r="BG81" s="1438">
        <f ca="1">IF($B81&gt;=$J$5,0,CONTADORES!$BH77)</f>
        <v>5303.2000000000007</v>
      </c>
      <c r="BH81" s="1438">
        <f ca="1">IF(B81&gt;=$J$5,0,(CONTADORES!AQ77-CONTADORES!AQ76))</f>
        <v>4</v>
      </c>
      <c r="BI81" s="1438">
        <f ca="1">IF(B81&gt;=$J$5,0,(CONTADORES!AR77-CONTADORES!AR76))</f>
        <v>0</v>
      </c>
      <c r="BJ81" s="1450">
        <f ca="1">IF(B81&gt;=$J$5,0,CONTADORES!BI77-CONTADORES!BI76)/1000</f>
        <v>2.0640000000000001</v>
      </c>
      <c r="BK81" s="1479">
        <f ca="1">IF(B81&gt;=$J$5,0,CONTADORES!BJ77-CONTADORES!BJ76)</f>
        <v>1</v>
      </c>
      <c r="BL81" s="1479">
        <f ca="1">IF(B81&gt;=$J$5,0,CONTADORES!BK77-CONTADORES!BK76)</f>
        <v>23.990000000001601</v>
      </c>
      <c r="BM81" s="1479">
        <f ca="1">IF(B81&gt;=$J$5,0,CONTADORES!BL77-CONTADORES!BL76)/1000</f>
        <v>5.8689999999999998</v>
      </c>
      <c r="BN81" s="1479">
        <f ca="1">IF(B81&gt;=$J$5,0,CONTADORES!BM77-CONTADORES!BM76)/1000</f>
        <v>0.13700000000000001</v>
      </c>
      <c r="BO81" s="1479">
        <f ca="1">IF(B81&gt;=$J$5,0,CONTADORES!BN77-CONTADORES!BN76)</f>
        <v>24</v>
      </c>
      <c r="BP81" s="1479">
        <f ca="1">IF(B81&gt;=$J$5,0,CONTADORES!BO77-CONTADORES!BO76)/1000</f>
        <v>0</v>
      </c>
      <c r="BQ81" s="1479">
        <f ca="1">IF(B81&gt;=$J$5,0,CONTADORES!BP77-CONTADORES!BP76)/1000</f>
        <v>0</v>
      </c>
      <c r="BR81" s="1479">
        <f ca="1">IF(B81&gt;=$J$5,0,CONTADORES!BQ77-CONTADORES!BQ76)</f>
        <v>0</v>
      </c>
      <c r="BS81" s="1450">
        <f ca="1">IF(B81&gt;=$J$5,0,(CONTADORES!BT77-CONTADORES!BT76)+(CONTADORES!BV77-CONTADORES!BV76))/1000</f>
        <v>1.7969999999999999</v>
      </c>
      <c r="BT81" s="1479">
        <f ca="1">IF(B81&gt;=$J$5,0,(CONTADORES!BU77-CONTADORES!BU76)+(CONTADORES!BW77-CONTADORES!BW76))/1000</f>
        <v>0.99399999999999999</v>
      </c>
      <c r="BU81" s="1450">
        <f ca="1">IF(B81&gt;=$J$5,0,CONTADORES!BR77-CONTADORES!BR76)</f>
        <v>7.7999999999992724</v>
      </c>
      <c r="BV81" s="1479">
        <f ca="1">IF(B81&gt;=$J$5,0,CONTADORES!BS77-CONTADORES!BS76)</f>
        <v>4.9000000000005457</v>
      </c>
      <c r="BW81" s="1479">
        <f t="shared" ca="1" si="47"/>
        <v>12.43349999999873</v>
      </c>
      <c r="BX81" s="1479">
        <f t="shared" ca="1" si="48"/>
        <v>9.3785000000001588</v>
      </c>
      <c r="BY81" s="1479">
        <f t="shared" ca="1" si="49"/>
        <v>4.6334999999994579</v>
      </c>
      <c r="BZ81" s="1479">
        <f t="shared" ca="1" si="50"/>
        <v>0.84119999999985462</v>
      </c>
      <c r="CA81" s="1479">
        <f t="shared" ca="1" si="51"/>
        <v>4.6334999999994579</v>
      </c>
      <c r="CB81" s="1479">
        <f t="shared" ca="1" si="52"/>
        <v>1.261799999999782</v>
      </c>
      <c r="CC81" s="1479">
        <f t="shared" ca="1" si="53"/>
        <v>2.6381999999998547</v>
      </c>
      <c r="CD81" s="1479">
        <f t="shared" ca="1" si="54"/>
        <v>4.4784999999996131</v>
      </c>
      <c r="CE81" s="1479">
        <f ca="1">IF(B81&gt;=$J$5,0,CONTADORES!BS77-CONTADORES!BS76)</f>
        <v>4.9000000000005457</v>
      </c>
      <c r="CF81" s="1479">
        <f t="shared" ca="1" si="55"/>
        <v>4.4784999999996131</v>
      </c>
      <c r="CG81" s="1479">
        <f t="shared" ca="1" si="56"/>
        <v>0.35300000000002274</v>
      </c>
      <c r="CH81" s="1479">
        <f t="shared" ca="1" si="57"/>
        <v>0.35300000000002274</v>
      </c>
      <c r="CI81" s="1479">
        <f t="shared" ca="1" si="58"/>
        <v>1.3470000000000226</v>
      </c>
      <c r="CJ81" s="1480">
        <f ca="1">IF($B81&gt;=$J$5,0,CONTADORES!$BG77)</f>
        <v>10031.639991222706</v>
      </c>
      <c r="CK81" s="1384">
        <f>CONTADORES!E77</f>
        <v>0</v>
      </c>
      <c r="CL81" s="1384">
        <f>CONTADORES!BX77</f>
        <v>0</v>
      </c>
    </row>
    <row r="82" spans="2:90">
      <c r="B82" s="410">
        <v>44998</v>
      </c>
      <c r="C82" s="204">
        <f t="shared" ca="1" si="33"/>
        <v>299</v>
      </c>
      <c r="D82" s="202">
        <f ca="1">'CALCULO DE GAS'!D84</f>
        <v>4.9145649538653373</v>
      </c>
      <c r="E82" s="202">
        <f ca="1">IF(B82&gt;=$J$5,0,(CONTADORES!$AB78-CONTADORES!$AB77)-$H82)</f>
        <v>24</v>
      </c>
      <c r="F82" s="204">
        <f t="shared" ca="1" si="32"/>
        <v>0</v>
      </c>
      <c r="G82" s="202">
        <f ca="1">IF(B82&gt;=$J$5,0,CONTADORES!$AD78-CONTADORES!$AD77)</f>
        <v>0</v>
      </c>
      <c r="H82" s="1437">
        <f ca="1">IF(G82&gt;0,CONTADORES!$AC78-CONTADORES!$AC77,0)</f>
        <v>0</v>
      </c>
      <c r="I82" s="205">
        <f ca="1">IF(B82&gt;=$J$5,0,CONTADORES!$Z78-CONTADORES!$Z77)</f>
        <v>299</v>
      </c>
      <c r="J82" s="204">
        <f t="shared" ca="1" si="34"/>
        <v>151.29999999999927</v>
      </c>
      <c r="K82" s="202">
        <f ca="1">'CALCULO DE GAS'!E84</f>
        <v>3.7101285448877741</v>
      </c>
      <c r="L82" s="1437">
        <f ca="1">IF(B82&gt;=$J$5,0,(CONTADORES!$W78-CONTADORES!$W77)-$O82)</f>
        <v>24</v>
      </c>
      <c r="M82" s="1437">
        <f t="shared" ca="1" si="31"/>
        <v>0</v>
      </c>
      <c r="N82" s="1437">
        <f ca="1">IF(B82&gt;=$J$5,0,CONTADORES!$Y78-CONTADORES!$Y77)</f>
        <v>0</v>
      </c>
      <c r="O82" s="1437">
        <f ca="1">IF(N82&gt;0,CONTADORES!$X78-CONTADORES!$X77,0)</f>
        <v>0</v>
      </c>
      <c r="P82" s="208">
        <f ca="1">IF(B82&gt;=$J$5,0,CONTADORES!$U78-CONTADORES!$U77)</f>
        <v>151.29999999999927</v>
      </c>
      <c r="Q82" s="208">
        <f ca="1">IF(B82&gt;=$J$5,0,CONTADORES!$B78-CONTADORES!$B77)</f>
        <v>8.3000000000083674E-2</v>
      </c>
      <c r="R82" s="202">
        <f t="shared" ca="1" si="35"/>
        <v>9.9600000000100408</v>
      </c>
      <c r="S82" s="11">
        <f ca="1">IF(B82&gt;=$J$5,0,CONTADORES!$D78-CONTADORES!$D77)</f>
        <v>0.8000000000001819</v>
      </c>
      <c r="T82" s="204">
        <f ca="1">IF(B82&gt;=$J$5,0,CONTADORES!$AZ78-CONTADORES!$AZ77)</f>
        <v>0.38499999999999091</v>
      </c>
      <c r="U82" s="202">
        <f t="shared" ca="1" si="36"/>
        <v>46.199999999998909</v>
      </c>
      <c r="V82" s="205">
        <f ca="1">IF(B82&gt;=$J$5,0,CONTADORES!$BB78-CONTADORES!$BB77)</f>
        <v>0.88000000000010914</v>
      </c>
      <c r="W82" s="1438">
        <f t="shared" ca="1" si="37"/>
        <v>450.29999999999927</v>
      </c>
      <c r="X82" s="1438">
        <f t="shared" ca="1" si="38"/>
        <v>0.46800000000007458</v>
      </c>
      <c r="Y82" s="1439">
        <f t="shared" ca="1" si="39"/>
        <v>450.76799999999935</v>
      </c>
      <c r="Z82" s="1439">
        <f t="shared" ca="1" si="40"/>
        <v>8.6246934987531105</v>
      </c>
      <c r="AA82" s="1439">
        <f t="shared" ca="1" si="41"/>
        <v>56.160000000008949</v>
      </c>
      <c r="AB82" s="1439">
        <f t="shared" ca="1" si="42"/>
        <v>48</v>
      </c>
      <c r="AC82" s="1438">
        <f t="shared" ca="1" si="43"/>
        <v>1.680000000000291</v>
      </c>
      <c r="AD82" s="1438">
        <f ca="1">IF(B82&gt;=$J$5,0,CONTADORES!H78-CONTADORES!H77)</f>
        <v>162</v>
      </c>
      <c r="AE82" s="1438">
        <f ca="1">IF(B82&gt;=$J$5,0,CONTADORES!J78-CONTADORES!J77)</f>
        <v>24</v>
      </c>
      <c r="AF82" s="1438">
        <f ca="1">IF(B82&gt;=$J$5,0,CONTADORES!AS78-CONTADORES!AS77)</f>
        <v>144</v>
      </c>
      <c r="AG82" s="1438">
        <f ca="1">IF(B82&gt;=$J$5,0,CONTADORES!AU78-CONTADORES!AU77)</f>
        <v>24</v>
      </c>
      <c r="AH82" s="1438">
        <f ca="1">IF(B82&gt;=$J$5,0,(CONTADORES!AK78-CONTADORES!AK77)+(CONTADORES!K78-CONTADORES!K77))</f>
        <v>17</v>
      </c>
      <c r="AI82" s="1438">
        <f ca="1">IF(B82&gt;=$J$5,0,(CONTADORES!AI78-CONTADORES!AI77)+(CONTADORES!M78-CONTADORES!M77))</f>
        <v>38.30000000000291</v>
      </c>
      <c r="AJ82" s="1438">
        <f ca="1">IF(B82&gt;=$J$5,0,(CONTADORES!AG78-CONTADORES!AG77))</f>
        <v>8.1999999999970896</v>
      </c>
      <c r="AK82" s="1438">
        <f ca="1">IF(B82&gt;=$J$5,0,(CONTADORES!O78-CONTADORES!O77))</f>
        <v>15</v>
      </c>
      <c r="AL82" s="1438">
        <f t="shared" ca="1" si="44"/>
        <v>36.96799999999638</v>
      </c>
      <c r="AM82" s="1438">
        <f ca="1">IF(B82&gt;=$J$5,0,(((CONTADORES!F78-CONTADORES!F77)+(CONTADORES!AO78-CONTADORES!AO77))))-BJ82-AF82-AN82-BM82-BP82-BU82-BS82</f>
        <v>9.0250000000030024</v>
      </c>
      <c r="AN82" s="1438">
        <f ca="1">IF(B82&gt;=$J$5,0,(CONTADORES!AV78-CONTADORES!AV77)+(CONTADORES!AX78-CONTADORES!AX77)+(CONTADORES!BC78-CONTADORES!BC77))-BS82</f>
        <v>2.4649999999999093</v>
      </c>
      <c r="AO82" s="1478">
        <f ca="1">IF(B82&gt;=$J$5,0,(CONTADORES!AA78-CONTADORES!AA77))</f>
        <v>155</v>
      </c>
      <c r="AP82" s="1478">
        <f ca="1">IF(B82&gt;=$J$5,0,(CONTADORES!V78-CONTADORES!V77))</f>
        <v>76.200000000000728</v>
      </c>
      <c r="AQ82" s="1445">
        <f ca="1">IF(B82&gt;=$J$5,0,(CONTADORES!C78-CONTADORES!C77))</f>
        <v>0</v>
      </c>
      <c r="AR82" s="1440">
        <f ca="1">IF(B82&gt;=$J$5,0,(CONTADORES!BA78-CONTADORES!BA77))</f>
        <v>0.14499999999998181</v>
      </c>
      <c r="AS82" s="1438">
        <f ca="1">IF(B82&gt;=$J$5,0,CONTADORES!Q78-CONTADORES!Q77)</f>
        <v>17</v>
      </c>
      <c r="AT82" s="1438">
        <f ca="1">IF(B82&gt;=$J$5,0,(CONTADORES!S78-CONTADORES!S77)+(CONTADORES!AE78-CONTADORES!AE77))</f>
        <v>2.2000000000043656</v>
      </c>
      <c r="AU82" s="1450">
        <f>CONTADORES!I78-CONTADORES!I77</f>
        <v>83</v>
      </c>
      <c r="AV82" s="1479">
        <f>CONTADORES!AT78-CONTADORES!AT77</f>
        <v>63</v>
      </c>
      <c r="AW82" s="1479">
        <f ca="1">IF(B82&gt;=$J$5,0,(CONTADORES!L78-CONTADORES!L77)+(CONTADORES!AL78-CONTADORES!AL77))</f>
        <v>6.7999999999992724</v>
      </c>
      <c r="AX82" s="1479">
        <f ca="1">IF(B82&gt;=$J$5,0,(CONTADORES!N78-CONTADORES!N77)+(CONTADORES!AJ78-CONTADORES!AJ77))</f>
        <v>30.80000000000291</v>
      </c>
      <c r="AY82" s="1479">
        <f ca="1">IF(B82&gt;=$J$5,0,(CONTADORES!AH78-CONTADORES!AH77))</f>
        <v>6.3000000000029104</v>
      </c>
      <c r="AZ82" s="1479">
        <f ca="1">IF(B82&gt;=$J$5,0,(CONTADORES!P78-CONTADORES!P77))</f>
        <v>12</v>
      </c>
      <c r="BA82" s="1438">
        <f t="shared" ca="1" si="45"/>
        <v>13.610999999995983</v>
      </c>
      <c r="BB82" s="1438">
        <f ca="1">IF(B82&gt;=$J$5,0,(((CONTADORES!G78-CONTADORES!G77)+(CONTADORES!AP78-CONTADORES!AP77))))-AV82-BC82-BK82-BN82-BQ82-BV82</f>
        <v>7.4409999999996828</v>
      </c>
      <c r="BC82" s="1438">
        <f ca="1">IF(B82&gt;=$J$5,0,(CONTADORES!AW78-CONTADORES!AW77)+(CONTADORES!AY78-CONTADORES!AY77)+(CONTADORES!BD78-CONTADORES!BD77))-BT82</f>
        <v>1.3659999999999544</v>
      </c>
      <c r="BD82" s="1438">
        <f t="shared" ca="1" si="46"/>
        <v>231.34500000000071</v>
      </c>
      <c r="BE82" s="1450">
        <f ca="1">IF($B82&gt;=$J$5,0,CONTADORES!$BE78)</f>
        <v>6203.46</v>
      </c>
      <c r="BF82" s="1479">
        <f ca="1">IF($B82&gt;=$J$5,0,CONTADORES!$BF78)</f>
        <v>34191.271929824565</v>
      </c>
      <c r="BG82" s="1438">
        <f ca="1">IF($B82&gt;=$J$5,0,CONTADORES!$BH78)</f>
        <v>5928.1</v>
      </c>
      <c r="BH82" s="1438">
        <f ca="1">IF(B82&gt;=$J$5,0,(CONTADORES!AQ78-CONTADORES!AQ77))</f>
        <v>4.8000000000029104</v>
      </c>
      <c r="BI82" s="1438">
        <f ca="1">IF(B82&gt;=$J$5,0,(CONTADORES!AR78-CONTADORES!AR77))</f>
        <v>0</v>
      </c>
      <c r="BJ82" s="1450">
        <f ca="1">IF(B82&gt;=$J$5,0,CONTADORES!BI78-CONTADORES!BI77)/1000</f>
        <v>2.1840000000000002</v>
      </c>
      <c r="BK82" s="1479">
        <f ca="1">IF(B82&gt;=$J$5,0,CONTADORES!BJ78-CONTADORES!BJ77)</f>
        <v>1</v>
      </c>
      <c r="BL82" s="1479">
        <f ca="1">IF(B82&gt;=$J$5,0,CONTADORES!BK78-CONTADORES!BK77)</f>
        <v>24</v>
      </c>
      <c r="BM82" s="1479">
        <f ca="1">IF(B82&gt;=$J$5,0,CONTADORES!BL78-CONTADORES!BL77)/1000</f>
        <v>5.9909999999999997</v>
      </c>
      <c r="BN82" s="1479">
        <f ca="1">IF(B82&gt;=$J$5,0,CONTADORES!BM78-CONTADORES!BM77)/1000</f>
        <v>9.2999999999999999E-2</v>
      </c>
      <c r="BO82" s="1479">
        <f ca="1">IF(B82&gt;=$J$5,0,CONTADORES!BN78-CONTADORES!BN77)</f>
        <v>24</v>
      </c>
      <c r="BP82" s="1479">
        <f ca="1">IF(B82&gt;=$J$5,0,CONTADORES!BO78-CONTADORES!BO77)/1000</f>
        <v>0</v>
      </c>
      <c r="BQ82" s="1479">
        <f ca="1">IF(B82&gt;=$J$5,0,CONTADORES!BP78-CONTADORES!BP77)/1000</f>
        <v>0</v>
      </c>
      <c r="BR82" s="1479">
        <f ca="1">IF(B82&gt;=$J$5,0,CONTADORES!BQ78-CONTADORES!BQ77)</f>
        <v>0</v>
      </c>
      <c r="BS82" s="1450">
        <f ca="1">IF(B82&gt;=$J$5,0,(CONTADORES!BT78-CONTADORES!BT77)+(CONTADORES!BV78-CONTADORES!BV77))/1000</f>
        <v>1.635</v>
      </c>
      <c r="BT82" s="1479">
        <f ca="1">IF(B82&gt;=$J$5,0,(CONTADORES!BU78-CONTADORES!BU77)+(CONTADORES!BW78-CONTADORES!BW77))/1000</f>
        <v>0.93400000000000005</v>
      </c>
      <c r="BU82" s="1450">
        <f ca="1">IF(B82&gt;=$J$5,0,CONTADORES!BR78-CONTADORES!BR77)</f>
        <v>8</v>
      </c>
      <c r="BV82" s="1479">
        <f ca="1">IF(B82&gt;=$J$5,0,CONTADORES!BS78-CONTADORES!BS77)</f>
        <v>5</v>
      </c>
      <c r="BW82" s="1479">
        <f t="shared" ca="1" si="47"/>
        <v>12.512500000001502</v>
      </c>
      <c r="BX82" s="1479">
        <f t="shared" ca="1" si="48"/>
        <v>8.7204999999998414</v>
      </c>
      <c r="BY82" s="1479">
        <f t="shared" ca="1" si="49"/>
        <v>4.5125000000015012</v>
      </c>
      <c r="BZ82" s="1479">
        <f t="shared" ca="1" si="50"/>
        <v>0.98599999999996379</v>
      </c>
      <c r="CA82" s="1479">
        <f t="shared" ca="1" si="51"/>
        <v>4.5125000000015012</v>
      </c>
      <c r="CB82" s="1479">
        <f t="shared" ca="1" si="52"/>
        <v>1.4789999999999455</v>
      </c>
      <c r="CC82" s="1479">
        <f t="shared" ca="1" si="53"/>
        <v>2.620999999999964</v>
      </c>
      <c r="CD82" s="1479">
        <f t="shared" ca="1" si="54"/>
        <v>3.7204999999998414</v>
      </c>
      <c r="CE82" s="1479">
        <f ca="1">IF(B82&gt;=$J$5,0,CONTADORES!BS78-CONTADORES!BS77)</f>
        <v>5</v>
      </c>
      <c r="CF82" s="1479">
        <f t="shared" ca="1" si="55"/>
        <v>3.7204999999998414</v>
      </c>
      <c r="CG82" s="1479">
        <f t="shared" ca="1" si="56"/>
        <v>0.68299999999997718</v>
      </c>
      <c r="CH82" s="1479">
        <f t="shared" ca="1" si="57"/>
        <v>0.68299999999997718</v>
      </c>
      <c r="CI82" s="1479">
        <f t="shared" ca="1" si="58"/>
        <v>1.6169999999999773</v>
      </c>
      <c r="CJ82" s="1480">
        <f ca="1">IF($B82&gt;=$J$5,0,CONTADORES!$BG78)</f>
        <v>10091.563863011041</v>
      </c>
      <c r="CK82" s="1384">
        <f>CONTADORES!E78</f>
        <v>1</v>
      </c>
      <c r="CL82" s="1384">
        <f>CONTADORES!BX78</f>
        <v>1</v>
      </c>
    </row>
    <row r="83" spans="2:90">
      <c r="B83" s="410">
        <v>44999</v>
      </c>
      <c r="C83" s="204">
        <f t="shared" ca="1" si="33"/>
        <v>288.69999999995343</v>
      </c>
      <c r="D83" s="202">
        <f ca="1">'CALCULO DE GAS'!D85</f>
        <v>4.8305724351617156</v>
      </c>
      <c r="E83" s="202">
        <f ca="1">IF(B83&gt;=$J$5,0,(CONTADORES!$AB79-CONTADORES!$AB78)-$H83)</f>
        <v>24</v>
      </c>
      <c r="F83" s="204">
        <f t="shared" ca="1" si="32"/>
        <v>0</v>
      </c>
      <c r="G83" s="202">
        <f ca="1">IF(B83&gt;=$J$5,0,CONTADORES!$AD79-CONTADORES!$AD78)</f>
        <v>0</v>
      </c>
      <c r="H83" s="1437">
        <f ca="1">IF(G83&gt;0,CONTADORES!$AC79-CONTADORES!$AC78,0)</f>
        <v>0</v>
      </c>
      <c r="I83" s="205">
        <f ca="1">IF(B83&gt;=$J$5,0,CONTADORES!$Z79-CONTADORES!$Z78)</f>
        <v>288.69999999995343</v>
      </c>
      <c r="J83" s="204">
        <f t="shared" ca="1" si="34"/>
        <v>145.60000000000218</v>
      </c>
      <c r="K83" s="202">
        <f ca="1">'CALCULO DE GAS'!E85</f>
        <v>3.6636472481296938</v>
      </c>
      <c r="L83" s="1437">
        <f ca="1">IF(B83&gt;=$J$5,0,(CONTADORES!$W79-CONTADORES!$W78)-$O83)</f>
        <v>24</v>
      </c>
      <c r="M83" s="1437">
        <f t="shared" ca="1" si="31"/>
        <v>0</v>
      </c>
      <c r="N83" s="1437">
        <f ca="1">IF(B83&gt;=$J$5,0,CONTADORES!$Y79-CONTADORES!$Y78)</f>
        <v>0</v>
      </c>
      <c r="O83" s="1437">
        <f ca="1">IF(N83&gt;0,CONTADORES!$X79-CONTADORES!$X78,0)</f>
        <v>0</v>
      </c>
      <c r="P83" s="208">
        <f ca="1">IF(B83&gt;=$J$5,0,CONTADORES!$U79-CONTADORES!$U78)</f>
        <v>145.60000000000218</v>
      </c>
      <c r="Q83" s="208">
        <f ca="1">IF(B83&gt;=$J$5,0,CONTADORES!$B79-CONTADORES!$B78)</f>
        <v>0</v>
      </c>
      <c r="R83" s="202">
        <f t="shared" ca="1" si="35"/>
        <v>0</v>
      </c>
      <c r="S83" s="11">
        <f ca="1">IF(B83&gt;=$J$5,0,CONTADORES!$D79-CONTADORES!$D78)</f>
        <v>0</v>
      </c>
      <c r="T83" s="204">
        <f ca="1">IF(B83&gt;=$J$5,0,CONTADORES!$AZ79-CONTADORES!$AZ78)</f>
        <v>0</v>
      </c>
      <c r="U83" s="202">
        <f t="shared" ca="1" si="36"/>
        <v>0</v>
      </c>
      <c r="V83" s="205">
        <f ca="1">IF(B83&gt;=$J$5,0,CONTADORES!$BB79-CONTADORES!$BB78)</f>
        <v>0</v>
      </c>
      <c r="W83" s="1438">
        <f t="shared" ca="1" si="37"/>
        <v>434.29999999995562</v>
      </c>
      <c r="X83" s="1438">
        <f t="shared" ca="1" si="38"/>
        <v>0</v>
      </c>
      <c r="Y83" s="1439">
        <f t="shared" ca="1" si="39"/>
        <v>434.29999999995562</v>
      </c>
      <c r="Z83" s="1439">
        <f t="shared" ca="1" si="40"/>
        <v>8.4942196832914085</v>
      </c>
      <c r="AA83" s="1439">
        <f t="shared" ca="1" si="41"/>
        <v>0</v>
      </c>
      <c r="AB83" s="1439">
        <f t="shared" ca="1" si="42"/>
        <v>48</v>
      </c>
      <c r="AC83" s="1438">
        <f t="shared" ca="1" si="43"/>
        <v>0</v>
      </c>
      <c r="AD83" s="1438">
        <f ca="1">IF(B83&gt;=$J$5,0,CONTADORES!H79-CONTADORES!H78)</f>
        <v>157.40000000002328</v>
      </c>
      <c r="AE83" s="1438">
        <f ca="1">IF(B83&gt;=$J$5,0,CONTADORES!J79-CONTADORES!J78)</f>
        <v>22.600000000005821</v>
      </c>
      <c r="AF83" s="1438">
        <f ca="1">IF(B83&gt;=$J$5,0,CONTADORES!AS79-CONTADORES!AS78)</f>
        <v>143.40000000002328</v>
      </c>
      <c r="AG83" s="1438">
        <f ca="1">IF(B83&gt;=$J$5,0,CONTADORES!AU79-CONTADORES!AU78)</f>
        <v>24</v>
      </c>
      <c r="AH83" s="1438">
        <f ca="1">IF(B83&gt;=$J$5,0,(CONTADORES!AK79-CONTADORES!AK78)+(CONTADORES!K79-CONTADORES!K78))</f>
        <v>7.1999999999970896</v>
      </c>
      <c r="AI83" s="1438">
        <f ca="1">IF(B83&gt;=$J$5,0,(CONTADORES!AI79-CONTADORES!AI78)+(CONTADORES!M79-CONTADORES!M78))</f>
        <v>39</v>
      </c>
      <c r="AJ83" s="1438">
        <f ca="1">IF(B83&gt;=$J$5,0,(CONTADORES!AG79-CONTADORES!AG78))</f>
        <v>8.1000000000058208</v>
      </c>
      <c r="AK83" s="1438">
        <f ca="1">IF(B83&gt;=$J$5,0,(CONTADORES!O79-CONTADORES!O78))</f>
        <v>15.700000000011642</v>
      </c>
      <c r="AL83" s="1438">
        <f t="shared" ca="1" si="44"/>
        <v>33.299999999908266</v>
      </c>
      <c r="AM83" s="1438">
        <f ca="1">IF(B83&gt;=$J$5,0,(((CONTADORES!F79-CONTADORES!F78)+(CONTADORES!AO79-CONTADORES!AO78))))-BJ83-AF83-AN83-BM83-BP83-BU83-BS83</f>
        <v>10.750999999985178</v>
      </c>
      <c r="AN83" s="1438">
        <f ca="1">IF(B83&gt;=$J$5,0,(CONTADORES!AV79-CONTADORES!AV78)+(CONTADORES!AX79-CONTADORES!AX78)+(CONTADORES!BC79-CONTADORES!BC78))-BS83</f>
        <v>3.289999999999909</v>
      </c>
      <c r="AO83" s="1478">
        <f ca="1">IF(B83&gt;=$J$5,0,(CONTADORES!AA79-CONTADORES!AA78))</f>
        <v>144.70000000001164</v>
      </c>
      <c r="AP83" s="1478">
        <f ca="1">IF(B83&gt;=$J$5,0,(CONTADORES!V79-CONTADORES!V78))</f>
        <v>79.899999999999636</v>
      </c>
      <c r="AQ83" s="1445">
        <f ca="1">IF(B83&gt;=$J$5,0,(CONTADORES!C79-CONTADORES!C78))</f>
        <v>0</v>
      </c>
      <c r="AR83" s="1440">
        <f ca="1">IF(B83&gt;=$J$5,0,(CONTADORES!BA79-CONTADORES!BA78))</f>
        <v>0</v>
      </c>
      <c r="AS83" s="1438">
        <f ca="1">IF(B83&gt;=$J$5,0,CONTADORES!Q79-CONTADORES!Q78)</f>
        <v>18.399999999994179</v>
      </c>
      <c r="AT83" s="1438">
        <f ca="1">IF(B83&gt;=$J$5,0,(CONTADORES!S79-CONTADORES!S78)+(CONTADORES!AE79-CONTADORES!AE78))</f>
        <v>2.1999999999970896</v>
      </c>
      <c r="AU83" s="1450">
        <f>CONTADORES!I79-CONTADORES!I78</f>
        <v>80</v>
      </c>
      <c r="AV83" s="1479">
        <f>CONTADORES!AT79-CONTADORES!AT78</f>
        <v>62.700000000011642</v>
      </c>
      <c r="AW83" s="1479">
        <f ca="1">IF(B83&gt;=$J$5,0,(CONTADORES!L79-CONTADORES!L78)+(CONTADORES!AL79-CONTADORES!AL78))</f>
        <v>2.7999999999992724</v>
      </c>
      <c r="AX83" s="1479">
        <f ca="1">IF(B83&gt;=$J$5,0,(CONTADORES!N79-CONTADORES!N78)+(CONTADORES!AJ79-CONTADORES!AJ78))</f>
        <v>31.399999999994179</v>
      </c>
      <c r="AY83" s="1479">
        <f ca="1">IF(B83&gt;=$J$5,0,(CONTADORES!AH79-CONTADORES!AH78))</f>
        <v>6.3000000000029104</v>
      </c>
      <c r="AZ83" s="1479">
        <f ca="1">IF(B83&gt;=$J$5,0,(CONTADORES!P79-CONTADORES!P78))</f>
        <v>13.19999999999709</v>
      </c>
      <c r="BA83" s="1438">
        <f t="shared" ca="1" si="45"/>
        <v>11.304000000006198</v>
      </c>
      <c r="BB83" s="1438">
        <f ca="1">IF(B83&gt;=$J$5,0,(((CONTADORES!G79-CONTADORES!G78)+(CONTADORES!AP79-CONTADORES!AP78))))-AV83-BC83-BK83-BN83-BQ83-BV83</f>
        <v>8.5410000000002402</v>
      </c>
      <c r="BC83" s="1438">
        <f ca="1">IF(B83&gt;=$J$5,0,(CONTADORES!AW79-CONTADORES!AW78)+(CONTADORES!AY79-CONTADORES!AY78)+(CONTADORES!BD79-CONTADORES!BD78))-BT83</f>
        <v>2.1039999999999432</v>
      </c>
      <c r="BD83" s="1438">
        <f t="shared" ca="1" si="46"/>
        <v>224.60000000001128</v>
      </c>
      <c r="BE83" s="1450">
        <f ca="1">IF($B83&gt;=$J$5,0,CONTADORES!$BE79)</f>
        <v>6523.02</v>
      </c>
      <c r="BF83" s="1479">
        <f ca="1">IF($B83&gt;=$J$5,0,CONTADORES!$BF79)</f>
        <v>35288.584210526315</v>
      </c>
      <c r="BG83" s="1438">
        <f ca="1">IF($B83&gt;=$J$5,0,CONTADORES!$BH79)</f>
        <v>5443.72</v>
      </c>
      <c r="BH83" s="1438">
        <f ca="1">IF(B83&gt;=$J$5,0,(CONTADORES!AQ79-CONTADORES!AQ78))</f>
        <v>5.1999999999970896</v>
      </c>
      <c r="BI83" s="1438">
        <f ca="1">IF(B83&gt;=$J$5,0,(CONTADORES!AR79-CONTADORES!AR78))</f>
        <v>0</v>
      </c>
      <c r="BJ83" s="1450">
        <f ca="1">IF(B83&gt;=$J$5,0,CONTADORES!BI79-CONTADORES!BI78)/1000</f>
        <v>2.1840000000000002</v>
      </c>
      <c r="BK83" s="1479">
        <f ca="1">IF(B83&gt;=$J$5,0,CONTADORES!BJ79-CONTADORES!BJ78)</f>
        <v>1</v>
      </c>
      <c r="BL83" s="1479">
        <f ca="1">IF(B83&gt;=$J$5,0,CONTADORES!BK79-CONTADORES!BK78)</f>
        <v>24</v>
      </c>
      <c r="BM83" s="1479">
        <f ca="1">IF(B83&gt;=$J$5,0,CONTADORES!BL79-CONTADORES!BL78)/1000</f>
        <v>5.8650000000000002</v>
      </c>
      <c r="BN83" s="1479">
        <f ca="1">IF(B83&gt;=$J$5,0,CONTADORES!BM79-CONTADORES!BM78)/1000</f>
        <v>0.155</v>
      </c>
      <c r="BO83" s="1479">
        <f ca="1">IF(B83&gt;=$J$5,0,CONTADORES!BN79-CONTADORES!BN78)</f>
        <v>24</v>
      </c>
      <c r="BP83" s="1479">
        <f ca="1">IF(B83&gt;=$J$5,0,CONTADORES!BO79-CONTADORES!BO78)/1000</f>
        <v>0</v>
      </c>
      <c r="BQ83" s="1479">
        <f ca="1">IF(B83&gt;=$J$5,0,CONTADORES!BP79-CONTADORES!BP78)/1000</f>
        <v>0</v>
      </c>
      <c r="BR83" s="1479">
        <f ca="1">IF(B83&gt;=$J$5,0,CONTADORES!BQ79-CONTADORES!BQ78)</f>
        <v>0</v>
      </c>
      <c r="BS83" s="1450">
        <f ca="1">IF(B83&gt;=$J$5,0,(CONTADORES!BT79-CONTADORES!BT78)+(CONTADORES!BV79-CONTADORES!BV78))/1000</f>
        <v>0.81</v>
      </c>
      <c r="BT83" s="1479">
        <f ca="1">IF(B83&gt;=$J$5,0,(CONTADORES!BU79-CONTADORES!BU78)+(CONTADORES!BW79-CONTADORES!BW78))/1000</f>
        <v>0.39600000000000002</v>
      </c>
      <c r="BU83" s="1450">
        <f ca="1">IF(B83&gt;=$J$5,0,CONTADORES!BR79-CONTADORES!BR78)</f>
        <v>7.3000000000010914</v>
      </c>
      <c r="BV83" s="1479">
        <f ca="1">IF(B83&gt;=$J$5,0,CONTADORES!BS79-CONTADORES!BS78)</f>
        <v>4.6999999999998181</v>
      </c>
      <c r="BW83" s="1479">
        <f t="shared" ca="1" si="47"/>
        <v>12.675499999993679</v>
      </c>
      <c r="BX83" s="1479">
        <f t="shared" ca="1" si="48"/>
        <v>8.9704999999999373</v>
      </c>
      <c r="BY83" s="1479">
        <f t="shared" ca="1" si="49"/>
        <v>5.3754999999925888</v>
      </c>
      <c r="BZ83" s="1479">
        <f t="shared" ca="1" si="50"/>
        <v>1.3159999999999636</v>
      </c>
      <c r="CA83" s="1479">
        <f t="shared" ca="1" si="51"/>
        <v>5.3754999999925888</v>
      </c>
      <c r="CB83" s="1479">
        <f t="shared" ca="1" si="52"/>
        <v>1.9739999999999454</v>
      </c>
      <c r="CC83" s="1479">
        <f t="shared" ca="1" si="53"/>
        <v>2.1259999999999639</v>
      </c>
      <c r="CD83" s="1479">
        <f t="shared" ca="1" si="54"/>
        <v>4.2705000000001201</v>
      </c>
      <c r="CE83" s="1479">
        <f ca="1">IF(B83&gt;=$J$5,0,CONTADORES!BS79-CONTADORES!BS78)</f>
        <v>4.6999999999998181</v>
      </c>
      <c r="CF83" s="1479">
        <f t="shared" ca="1" si="55"/>
        <v>4.2705000000001201</v>
      </c>
      <c r="CG83" s="1479">
        <f t="shared" ca="1" si="56"/>
        <v>1.0519999999999716</v>
      </c>
      <c r="CH83" s="1479">
        <f t="shared" ca="1" si="57"/>
        <v>1.0519999999999716</v>
      </c>
      <c r="CI83" s="1479">
        <f t="shared" ca="1" si="58"/>
        <v>1.4479999999999715</v>
      </c>
      <c r="CJ83" s="1480">
        <f ca="1">IF($B83&gt;=$J$5,0,CONTADORES!$BG79)</f>
        <v>9739.650116144021</v>
      </c>
      <c r="CK83" s="1384">
        <f>CONTADORES!E79</f>
        <v>0</v>
      </c>
      <c r="CL83" s="1384">
        <f>CONTADORES!BX79</f>
        <v>0</v>
      </c>
    </row>
    <row r="84" spans="2:90">
      <c r="B84" s="410">
        <v>45000</v>
      </c>
      <c r="C84" s="204">
        <f t="shared" ca="1" si="33"/>
        <v>295.80000000004657</v>
      </c>
      <c r="D84" s="202">
        <f ca="1">'CALCULO DE GAS'!D86</f>
        <v>4.8884701907734467</v>
      </c>
      <c r="E84" s="202">
        <f ca="1">IF(B84&gt;=$J$5,0,(CONTADORES!$AB80-CONTADORES!$AB79)-$H84)</f>
        <v>24</v>
      </c>
      <c r="F84" s="204">
        <f t="shared" ca="1" si="32"/>
        <v>0</v>
      </c>
      <c r="G84" s="202">
        <f ca="1">IF(B84&gt;=$J$5,0,CONTADORES!$AD80-CONTADORES!$AD79)</f>
        <v>0</v>
      </c>
      <c r="H84" s="1437">
        <f ca="1">IF(G84&gt;0,CONTADORES!$AC80-CONTADORES!$AC79,0)</f>
        <v>0</v>
      </c>
      <c r="I84" s="205">
        <f ca="1">IF(B84&gt;=$J$5,0,CONTADORES!$Z80-CONTADORES!$Z79)</f>
        <v>295.80000000004657</v>
      </c>
      <c r="J84" s="204">
        <f t="shared" ca="1" si="34"/>
        <v>148.59999999999854</v>
      </c>
      <c r="K84" s="202">
        <f ca="1">'CALCULO DE GAS'!E86</f>
        <v>3.6881110885286663</v>
      </c>
      <c r="L84" s="1437">
        <f ca="1">IF(B84&gt;=$J$5,0,(CONTADORES!$W80-CONTADORES!$W79)-$O84)</f>
        <v>24</v>
      </c>
      <c r="M84" s="1437">
        <f t="shared" ca="1" si="31"/>
        <v>0</v>
      </c>
      <c r="N84" s="1437">
        <f ca="1">IF(B84&gt;=$J$5,0,CONTADORES!$Y80-CONTADORES!$Y79)</f>
        <v>0</v>
      </c>
      <c r="O84" s="1437">
        <f ca="1">IF(N84&gt;0,CONTADORES!$X80-CONTADORES!$X79,0)</f>
        <v>0</v>
      </c>
      <c r="P84" s="208">
        <f ca="1">IF(B84&gt;=$J$5,0,CONTADORES!$U80-CONTADORES!$U79)</f>
        <v>148.59999999999854</v>
      </c>
      <c r="Q84" s="208">
        <f ca="1">IF(B84&gt;=$J$5,0,CONTADORES!$B80-CONTADORES!$B79)</f>
        <v>0</v>
      </c>
      <c r="R84" s="202">
        <f t="shared" ca="1" si="35"/>
        <v>0</v>
      </c>
      <c r="S84" s="11">
        <f ca="1">IF(B84&gt;=$J$5,0,CONTADORES!$D80-CONTADORES!$D79)</f>
        <v>0</v>
      </c>
      <c r="T84" s="204">
        <f ca="1">IF(B84&gt;=$J$5,0,CONTADORES!$AZ80-CONTADORES!$AZ79)</f>
        <v>0</v>
      </c>
      <c r="U84" s="202">
        <f t="shared" ca="1" si="36"/>
        <v>0</v>
      </c>
      <c r="V84" s="205">
        <f ca="1">IF(B84&gt;=$J$5,0,CONTADORES!$BB80-CONTADORES!$BB79)</f>
        <v>0</v>
      </c>
      <c r="W84" s="1438">
        <f t="shared" ca="1" si="37"/>
        <v>444.40000000004511</v>
      </c>
      <c r="X84" s="1438">
        <f t="shared" ca="1" si="38"/>
        <v>0</v>
      </c>
      <c r="Y84" s="1439">
        <f t="shared" ca="1" si="39"/>
        <v>444.40000000004511</v>
      </c>
      <c r="Z84" s="1439">
        <f t="shared" ca="1" si="40"/>
        <v>8.576581279302113</v>
      </c>
      <c r="AA84" s="1439">
        <f t="shared" ca="1" si="41"/>
        <v>0</v>
      </c>
      <c r="AB84" s="1439">
        <f t="shared" ca="1" si="42"/>
        <v>48</v>
      </c>
      <c r="AC84" s="1438">
        <f t="shared" ca="1" si="43"/>
        <v>0</v>
      </c>
      <c r="AD84" s="1438">
        <f ca="1">IF(B84&gt;=$J$5,0,CONTADORES!H80-CONTADORES!H79)</f>
        <v>170.69999999995343</v>
      </c>
      <c r="AE84" s="1438">
        <f ca="1">IF(B84&gt;=$J$5,0,CONTADORES!J80-CONTADORES!J79)</f>
        <v>24</v>
      </c>
      <c r="AF84" s="1438">
        <f ca="1">IF(B84&gt;=$J$5,0,CONTADORES!AS80-CONTADORES!AS79)</f>
        <v>143.79999999998836</v>
      </c>
      <c r="AG84" s="1438">
        <f ca="1">IF(B84&gt;=$J$5,0,CONTADORES!AU80-CONTADORES!AU79)</f>
        <v>24</v>
      </c>
      <c r="AH84" s="1438">
        <f ca="1">IF(B84&gt;=$J$5,0,(CONTADORES!AK80-CONTADORES!AK79)+(CONTADORES!K80-CONTADORES!K79))</f>
        <v>8.3000000000029104</v>
      </c>
      <c r="AI84" s="1438">
        <f ca="1">IF(B84&gt;=$J$5,0,(CONTADORES!AI80-CONTADORES!AI79)+(CONTADORES!M80-CONTADORES!M79))</f>
        <v>37.80000000000291</v>
      </c>
      <c r="AJ84" s="1438">
        <f ca="1">IF(B84&gt;=$J$5,0,(CONTADORES!AG80-CONTADORES!AG79))</f>
        <v>6.6999999999970896</v>
      </c>
      <c r="AK84" s="1438">
        <f ca="1">IF(B84&gt;=$J$5,0,(CONTADORES!O80-CONTADORES!O79))</f>
        <v>14.799999999988358</v>
      </c>
      <c r="AL84" s="1438">
        <f t="shared" ca="1" si="44"/>
        <v>32.600000000122293</v>
      </c>
      <c r="AM84" s="1438">
        <f ca="1">IF(B84&gt;=$J$5,0,(((CONTADORES!F80-CONTADORES!F79)+(CONTADORES!AO80-CONTADORES!AO79))))-BJ84-AF84-AN84-BM84-BP84-BU84-BS84</f>
        <v>11.015999999989983</v>
      </c>
      <c r="AN84" s="1438">
        <f ca="1">IF(B84&gt;=$J$5,0,(CONTADORES!AV80-CONTADORES!AV79)+(CONTADORES!AX80-CONTADORES!AX79)+(CONTADORES!BC80-CONTADORES!BC79))-BS84</f>
        <v>2.5200000000005458</v>
      </c>
      <c r="AO84" s="1478">
        <f ca="1">IF(B84&gt;=$J$5,0,(CONTADORES!AA80-CONTADORES!AA79))</f>
        <v>148.29999999998836</v>
      </c>
      <c r="AP84" s="1478">
        <f ca="1">IF(B84&gt;=$J$5,0,(CONTADORES!V80-CONTADORES!V79))</f>
        <v>78.199999999998909</v>
      </c>
      <c r="AQ84" s="1445">
        <f ca="1">IF(B84&gt;=$J$5,0,(CONTADORES!C80-CONTADORES!C79))</f>
        <v>0</v>
      </c>
      <c r="AR84" s="1440">
        <f ca="1">IF(B84&gt;=$J$5,0,(CONTADORES!BA80-CONTADORES!BA79))</f>
        <v>0</v>
      </c>
      <c r="AS84" s="1438">
        <f ca="1">IF(B84&gt;=$J$5,0,CONTADORES!Q80-CONTADORES!Q79)</f>
        <v>17.300000000017462</v>
      </c>
      <c r="AT84" s="1438">
        <f ca="1">IF(B84&gt;=$J$5,0,(CONTADORES!S80-CONTADORES!S79)+(CONTADORES!AE80-CONTADORES!AE79))</f>
        <v>2.0999999999985448</v>
      </c>
      <c r="AU84" s="1450">
        <f>CONTADORES!I80-CONTADORES!I79</f>
        <v>85.799999999988358</v>
      </c>
      <c r="AV84" s="1479">
        <f>CONTADORES!AT80-CONTADORES!AT79</f>
        <v>62.599999999976717</v>
      </c>
      <c r="AW84" s="1479">
        <f ca="1">IF(B84&gt;=$J$5,0,(CONTADORES!L80-CONTADORES!L79)+(CONTADORES!AL80-CONTADORES!AL79))</f>
        <v>3</v>
      </c>
      <c r="AX84" s="1479">
        <f ca="1">IF(B84&gt;=$J$5,0,(CONTADORES!N80-CONTADORES!N79)+(CONTADORES!AJ80-CONTADORES!AJ79))</f>
        <v>30.30000000000291</v>
      </c>
      <c r="AY84" s="1479">
        <f ca="1">IF(B84&gt;=$J$5,0,(CONTADORES!AH80-CONTADORES!AH79))</f>
        <v>5.1999999999970896</v>
      </c>
      <c r="AZ84" s="1479">
        <f ca="1">IF(B84&gt;=$J$5,0,(CONTADORES!P80-CONTADORES!P79))</f>
        <v>12.30000000000291</v>
      </c>
      <c r="BA84" s="1438">
        <f t="shared" ca="1" si="45"/>
        <v>10.951000000018922</v>
      </c>
      <c r="BB84" s="1438">
        <f ca="1">IF(B84&gt;=$J$5,0,(((CONTADORES!G80-CONTADORES!G79)+(CONTADORES!AP80-CONTADORES!AP79))))-AV84-BC84-BK84-BN84-BQ84-BV84</f>
        <v>8.8020000000007084</v>
      </c>
      <c r="BC84" s="1438">
        <f ca="1">IF(B84&gt;=$J$5,0,(CONTADORES!AW80-CONTADORES!AW79)+(CONTADORES!AY80-CONTADORES!AY79)+(CONTADORES!BD80-CONTADORES!BD79))-BT84</f>
        <v>1.2510000000000567</v>
      </c>
      <c r="BD84" s="1438">
        <f t="shared" ca="1" si="46"/>
        <v>226.49999999998727</v>
      </c>
      <c r="BE84" s="1450">
        <f ca="1">IF($B84&gt;=$J$5,0,CONTADORES!$BE80)</f>
        <v>5957.77</v>
      </c>
      <c r="BF84" s="1479">
        <f ca="1">IF($B84&gt;=$J$5,0,CONTADORES!$BF80)</f>
        <v>35231.531578947397</v>
      </c>
      <c r="BG84" s="1438">
        <f ca="1">IF($B84&gt;=$J$5,0,CONTADORES!$BH80)</f>
        <v>5346.19</v>
      </c>
      <c r="BH84" s="1438">
        <f ca="1">IF(B84&gt;=$J$5,0,(CONTADORES!AQ80-CONTADORES!AQ79))</f>
        <v>5</v>
      </c>
      <c r="BI84" s="1438">
        <f ca="1">IF(B84&gt;=$J$5,0,(CONTADORES!AR80-CONTADORES!AR79))</f>
        <v>0</v>
      </c>
      <c r="BJ84" s="1450">
        <f ca="1">IF(B84&gt;=$J$5,0,CONTADORES!BI80-CONTADORES!BI79)/1000</f>
        <v>2.6160000000000001</v>
      </c>
      <c r="BK84" s="1479">
        <f ca="1">IF(B84&gt;=$J$5,0,CONTADORES!BJ80-CONTADORES!BJ79)</f>
        <v>1</v>
      </c>
      <c r="BL84" s="1479">
        <f ca="1">IF(B84&gt;=$J$5,0,CONTADORES!BK80-CONTADORES!BK79)</f>
        <v>24</v>
      </c>
      <c r="BM84" s="1479">
        <f ca="1">IF(B84&gt;=$J$5,0,CONTADORES!BL80-CONTADORES!BL79)/1000</f>
        <v>5.8680000000000003</v>
      </c>
      <c r="BN84" s="1479">
        <f ca="1">IF(B84&gt;=$J$5,0,CONTADORES!BM80-CONTADORES!BM79)/1000</f>
        <v>0.107</v>
      </c>
      <c r="BO84" s="1479">
        <f ca="1">IF(B84&gt;=$J$5,0,CONTADORES!BN80-CONTADORES!BN79)</f>
        <v>24</v>
      </c>
      <c r="BP84" s="1479">
        <f ca="1">IF(B84&gt;=$J$5,0,CONTADORES!BO80-CONTADORES!BO79)/1000</f>
        <v>0</v>
      </c>
      <c r="BQ84" s="1479">
        <f ca="1">IF(B84&gt;=$J$5,0,CONTADORES!BP80-CONTADORES!BP79)/1000</f>
        <v>0</v>
      </c>
      <c r="BR84" s="1479">
        <f ca="1">IF(B84&gt;=$J$5,0,CONTADORES!BQ80-CONTADORES!BQ79)</f>
        <v>0</v>
      </c>
      <c r="BS84" s="1450">
        <f ca="1">IF(B84&gt;=$J$5,0,(CONTADORES!BT80-CONTADORES!BT79)+(CONTADORES!BV80-CONTADORES!BV79))/1000</f>
        <v>1.38</v>
      </c>
      <c r="BT84" s="1479">
        <f ca="1">IF(B84&gt;=$J$5,0,(CONTADORES!BU80-CONTADORES!BU79)+(CONTADORES!BW80-CONTADORES!BW79))/1000</f>
        <v>0.749</v>
      </c>
      <c r="BU84" s="1450">
        <f ca="1">IF(B84&gt;=$J$5,0,CONTADORES!BR80-CONTADORES!BR79)</f>
        <v>6.2999999999992724</v>
      </c>
      <c r="BV84" s="1479">
        <f ca="1">IF(B84&gt;=$J$5,0,CONTADORES!BS80-CONTADORES!BS79)</f>
        <v>4.4399999999995998</v>
      </c>
      <c r="BW84" s="1479">
        <f t="shared" ca="1" si="47"/>
        <v>11.807999999994264</v>
      </c>
      <c r="BX84" s="1479">
        <f t="shared" ca="1" si="48"/>
        <v>8.8409999999999549</v>
      </c>
      <c r="BY84" s="1479">
        <f t="shared" ca="1" si="49"/>
        <v>5.5079999999949916</v>
      </c>
      <c r="BZ84" s="1479">
        <f t="shared" ca="1" si="50"/>
        <v>1.0080000000002183</v>
      </c>
      <c r="CA84" s="1479">
        <f t="shared" ca="1" si="51"/>
        <v>5.5079999999949916</v>
      </c>
      <c r="CB84" s="1479">
        <f t="shared" ca="1" si="52"/>
        <v>1.5120000000003275</v>
      </c>
      <c r="CC84" s="1479">
        <f t="shared" ca="1" si="53"/>
        <v>2.3880000000002184</v>
      </c>
      <c r="CD84" s="1479">
        <f t="shared" ca="1" si="54"/>
        <v>4.4010000000003542</v>
      </c>
      <c r="CE84" s="1479">
        <f ca="1">IF(B84&gt;=$J$5,0,CONTADORES!BS80-CONTADORES!BS79)</f>
        <v>4.4399999999995998</v>
      </c>
      <c r="CF84" s="1479">
        <f t="shared" ca="1" si="55"/>
        <v>4.4010000000003542</v>
      </c>
      <c r="CG84" s="1479">
        <f t="shared" ca="1" si="56"/>
        <v>0.62550000000002837</v>
      </c>
      <c r="CH84" s="1479">
        <f t="shared" ca="1" si="57"/>
        <v>0.62550000000002837</v>
      </c>
      <c r="CI84" s="1479">
        <f t="shared" ca="1" si="58"/>
        <v>1.3745000000000283</v>
      </c>
      <c r="CJ84" s="1480">
        <f ca="1">IF($B84&gt;=$J$5,0,CONTADORES!$BG80)</f>
        <v>9329.6572155100603</v>
      </c>
      <c r="CK84" s="1384">
        <f>CONTADORES!E80</f>
        <v>0</v>
      </c>
      <c r="CL84" s="1384">
        <f>CONTADORES!BX80</f>
        <v>0</v>
      </c>
    </row>
    <row r="85" spans="2:90">
      <c r="B85" s="410">
        <v>45001</v>
      </c>
      <c r="C85" s="204">
        <f t="shared" ca="1" si="33"/>
        <v>290.5</v>
      </c>
      <c r="D85" s="202">
        <f ca="1">'CALCULO DE GAS'!D87</f>
        <v>4.8452507394014965</v>
      </c>
      <c r="E85" s="202">
        <f ca="1">IF(B85&gt;=$J$5,0,(CONTADORES!$AB81-CONTADORES!$AB80)-$H85)</f>
        <v>24</v>
      </c>
      <c r="F85" s="204">
        <f t="shared" ca="1" si="32"/>
        <v>0</v>
      </c>
      <c r="G85" s="202">
        <f ca="1">IF(B85&gt;=$J$5,0,CONTADORES!$AD81-CONTADORES!$AD80)</f>
        <v>0</v>
      </c>
      <c r="H85" s="1437">
        <f ca="1">IF(G85&gt;0,CONTADORES!$AC81-CONTADORES!$AC80,0)</f>
        <v>0</v>
      </c>
      <c r="I85" s="205">
        <f ca="1">IF(B85&gt;=$J$5,0,CONTADORES!$Z81-CONTADORES!$Z80)</f>
        <v>290.5</v>
      </c>
      <c r="J85" s="204">
        <f t="shared" ca="1" si="34"/>
        <v>158.5</v>
      </c>
      <c r="K85" s="202">
        <f ca="1">'CALCULO DE GAS'!E87</f>
        <v>3.7688417618453864</v>
      </c>
      <c r="L85" s="1437">
        <f ca="1">IF(B85&gt;=$J$5,0,(CONTADORES!$W81-CONTADORES!$W80)-$O85)</f>
        <v>24</v>
      </c>
      <c r="M85" s="1437">
        <f t="shared" ca="1" si="31"/>
        <v>0</v>
      </c>
      <c r="N85" s="1437">
        <f ca="1">IF(B85&gt;=$J$5,0,CONTADORES!$Y81-CONTADORES!$Y80)</f>
        <v>0</v>
      </c>
      <c r="O85" s="1437">
        <f ca="1">IF(N85&gt;0,CONTADORES!$X81-CONTADORES!$X80,0)</f>
        <v>0</v>
      </c>
      <c r="P85" s="208">
        <f ca="1">IF(B85&gt;=$J$5,0,CONTADORES!$U81-CONTADORES!$U80)</f>
        <v>158.5</v>
      </c>
      <c r="Q85" s="208">
        <f ca="1">IF(B85&gt;=$J$5,0,CONTADORES!$B81-CONTADORES!$B80)</f>
        <v>0</v>
      </c>
      <c r="R85" s="202">
        <f t="shared" ca="1" si="35"/>
        <v>0</v>
      </c>
      <c r="S85" s="11">
        <f ca="1">IF(B85&gt;=$J$5,0,CONTADORES!$D81-CONTADORES!$D80)</f>
        <v>0</v>
      </c>
      <c r="T85" s="204">
        <f ca="1">IF(B85&gt;=$J$5,0,CONTADORES!$AZ81-CONTADORES!$AZ80)</f>
        <v>0</v>
      </c>
      <c r="U85" s="202">
        <f t="shared" ca="1" si="36"/>
        <v>0</v>
      </c>
      <c r="V85" s="205">
        <f ca="1">IF(B85&gt;=$J$5,0,CONTADORES!$BB81-CONTADORES!$BB80)</f>
        <v>0</v>
      </c>
      <c r="W85" s="1438">
        <f t="shared" ca="1" si="37"/>
        <v>449</v>
      </c>
      <c r="X85" s="1438">
        <f t="shared" ca="1" si="38"/>
        <v>0</v>
      </c>
      <c r="Y85" s="1439">
        <f t="shared" ca="1" si="39"/>
        <v>449</v>
      </c>
      <c r="Z85" s="1439">
        <f t="shared" ca="1" si="40"/>
        <v>8.6140925012468834</v>
      </c>
      <c r="AA85" s="1439">
        <f t="shared" ca="1" si="41"/>
        <v>0</v>
      </c>
      <c r="AB85" s="1439">
        <f t="shared" ca="1" si="42"/>
        <v>48</v>
      </c>
      <c r="AC85" s="1438">
        <f t="shared" ca="1" si="43"/>
        <v>0</v>
      </c>
      <c r="AD85" s="1438">
        <f ca="1">IF(B85&gt;=$J$5,0,CONTADORES!H81-CONTADORES!H80)</f>
        <v>166.90000000002328</v>
      </c>
      <c r="AE85" s="1438">
        <f ca="1">IF(B85&gt;=$J$5,0,CONTADORES!J81-CONTADORES!J80)</f>
        <v>24</v>
      </c>
      <c r="AF85" s="1438">
        <f ca="1">IF(B85&gt;=$J$5,0,CONTADORES!AS81-CONTADORES!AS80)</f>
        <v>144.79999999998836</v>
      </c>
      <c r="AG85" s="1438">
        <f ca="1">IF(B85&gt;=$J$5,0,CONTADORES!AU81-CONTADORES!AU80)</f>
        <v>24</v>
      </c>
      <c r="AH85" s="1438">
        <f ca="1">IF(B85&gt;=$J$5,0,(CONTADORES!AK81-CONTADORES!AK80)+(CONTADORES!K81-CONTADORES!K80))</f>
        <v>8.7999999999956344</v>
      </c>
      <c r="AI85" s="1438">
        <f ca="1">IF(B85&gt;=$J$5,0,(CONTADORES!AI81-CONTADORES!AI80)+(CONTADORES!M81-CONTADORES!M80))</f>
        <v>39.299999999995634</v>
      </c>
      <c r="AJ85" s="1438">
        <f ca="1">IF(B85&gt;=$J$5,0,(CONTADORES!AG81-CONTADORES!AG80))</f>
        <v>6.8000000000029104</v>
      </c>
      <c r="AK85" s="1438">
        <f ca="1">IF(B85&gt;=$J$5,0,(CONTADORES!O81-CONTADORES!O80))</f>
        <v>15.100000000005821</v>
      </c>
      <c r="AL85" s="1438">
        <f t="shared" ca="1" si="44"/>
        <v>38.499999999967258</v>
      </c>
      <c r="AM85" s="1438">
        <f ca="1">IF(B85&gt;=$J$5,0,(((CONTADORES!F81-CONTADORES!F80)+(CONTADORES!AO81-CONTADORES!AO80))))-BJ85-AF85-AN85-BM85-BP85-BU85-BS85</f>
        <v>9.9215000000208207</v>
      </c>
      <c r="AN85" s="1438">
        <f ca="1">IF(B85&gt;=$J$5,0,(CONTADORES!AV81-CONTADORES!AV80)+(CONTADORES!AX81-CONTADORES!AX80)+(CONTADORES!BC81-CONTADORES!BC80))-BS85</f>
        <v>2.6419999999995452</v>
      </c>
      <c r="AO85" s="1478">
        <f ca="1">IF(B85&gt;=$J$5,0,(CONTADORES!AA81-CONTADORES!AA80))</f>
        <v>147</v>
      </c>
      <c r="AP85" s="1478">
        <f ca="1">IF(B85&gt;=$J$5,0,(CONTADORES!V81-CONTADORES!V80))</f>
        <v>82.200000000000728</v>
      </c>
      <c r="AQ85" s="1445">
        <f ca="1">IF(B85&gt;=$J$5,0,(CONTADORES!C81-CONTADORES!C80))</f>
        <v>0</v>
      </c>
      <c r="AR85" s="1440">
        <f ca="1">IF(B85&gt;=$J$5,0,(CONTADORES!BA81-CONTADORES!BA80))</f>
        <v>0</v>
      </c>
      <c r="AS85" s="1438">
        <f ca="1">IF(B85&gt;=$J$5,0,CONTADORES!Q81-CONTADORES!Q80)</f>
        <v>17.299999999988358</v>
      </c>
      <c r="AT85" s="1438">
        <f ca="1">IF(B85&gt;=$J$5,0,(CONTADORES!S81-CONTADORES!S80)+(CONTADORES!AE81-CONTADORES!AE80))</f>
        <v>2.3000000000029104</v>
      </c>
      <c r="AU85" s="1450">
        <f>CONTADORES!I81-CONTADORES!I80</f>
        <v>83.200000000011642</v>
      </c>
      <c r="AV85" s="1479">
        <f>CONTADORES!AT81-CONTADORES!AT80</f>
        <v>62.700000000011642</v>
      </c>
      <c r="AW85" s="1479">
        <f ca="1">IF(B85&gt;=$J$5,0,(CONTADORES!L81-CONTADORES!L80)+(CONTADORES!AL81-CONTADORES!AL80))</f>
        <v>3.2000000000007276</v>
      </c>
      <c r="AX85" s="1479">
        <f ca="1">IF(B85&gt;=$J$5,0,(CONTADORES!N81-CONTADORES!N80)+(CONTADORES!AJ81-CONTADORES!AJ80))</f>
        <v>31.099999999998545</v>
      </c>
      <c r="AY85" s="1479">
        <f ca="1">IF(B85&gt;=$J$5,0,(CONTADORES!AH81-CONTADORES!AH80))</f>
        <v>5.3000000000029104</v>
      </c>
      <c r="AZ85" s="1479">
        <f ca="1">IF(B85&gt;=$J$5,0,(CONTADORES!P81-CONTADORES!P80))</f>
        <v>12.5</v>
      </c>
      <c r="BA85" s="1438">
        <f t="shared" ca="1" si="45"/>
        <v>15.145999999975061</v>
      </c>
      <c r="BB85" s="1438">
        <f ca="1">IF(B85&gt;=$J$5,0,(((CONTADORES!G81-CONTADORES!G80)+(CONTADORES!AP81-CONTADORES!AP80))))-AV85-BC85-BK85-BN85-BQ85-BV85</f>
        <v>8.2430000000000998</v>
      </c>
      <c r="BC85" s="1438">
        <f ca="1">IF(B85&gt;=$J$5,0,(CONTADORES!AW81-CONTADORES!AW80)+(CONTADORES!AY81-CONTADORES!AY80)+(CONTADORES!BD81-CONTADORES!BD80))-BT85</f>
        <v>1.4460000000000455</v>
      </c>
      <c r="BD85" s="1438">
        <f t="shared" ca="1" si="46"/>
        <v>229.20000000000073</v>
      </c>
      <c r="BE85" s="1450">
        <f ca="1">IF($B85&gt;=$J$5,0,CONTADORES!$BE81)</f>
        <v>6193.4</v>
      </c>
      <c r="BF85" s="1479">
        <f ca="1">IF($B85&gt;=$J$5,0,CONTADORES!$BF81)</f>
        <v>35139.433333333298</v>
      </c>
      <c r="BG85" s="1438">
        <f ca="1">IF($B85&gt;=$J$5,0,CONTADORES!$BH81)</f>
        <v>5496.19</v>
      </c>
      <c r="BH85" s="1438">
        <f ca="1">IF(B85&gt;=$J$5,0,(CONTADORES!AQ81-CONTADORES!AQ80))</f>
        <v>4.9000000000014552</v>
      </c>
      <c r="BI85" s="1438">
        <f ca="1">IF(B85&gt;=$J$5,0,(CONTADORES!AR81-CONTADORES!AR80))</f>
        <v>0</v>
      </c>
      <c r="BJ85" s="1450">
        <f ca="1">IF(B85&gt;=$J$5,0,CONTADORES!BI81-CONTADORES!BI80)/1000</f>
        <v>2.2244999999999999</v>
      </c>
      <c r="BK85" s="1479">
        <f ca="1">IF(B85&gt;=$J$5,0,CONTADORES!BJ81-CONTADORES!BJ80)</f>
        <v>1</v>
      </c>
      <c r="BL85" s="1479">
        <f ca="1">IF(B85&gt;=$J$5,0,CONTADORES!BK81-CONTADORES!BK80)</f>
        <v>24</v>
      </c>
      <c r="BM85" s="1479">
        <f ca="1">IF(B85&gt;=$J$5,0,CONTADORES!BL81-CONTADORES!BL80)/1000</f>
        <v>5.9539999999999997</v>
      </c>
      <c r="BN85" s="1479">
        <f ca="1">IF(B85&gt;=$J$5,0,CONTADORES!BM81-CONTADORES!BM80)/1000</f>
        <v>0.151</v>
      </c>
      <c r="BO85" s="1479">
        <f ca="1">IF(B85&gt;=$J$5,0,CONTADORES!BN81-CONTADORES!BN80)</f>
        <v>24</v>
      </c>
      <c r="BP85" s="1479">
        <f ca="1">IF(B85&gt;=$J$5,0,CONTADORES!BO81-CONTADORES!BO80)/1000</f>
        <v>0</v>
      </c>
      <c r="BQ85" s="1479">
        <f ca="1">IF(B85&gt;=$J$5,0,CONTADORES!BP81-CONTADORES!BP80)/1000</f>
        <v>0</v>
      </c>
      <c r="BR85" s="1479">
        <f ca="1">IF(B85&gt;=$J$5,0,CONTADORES!BQ81-CONTADORES!BQ80)</f>
        <v>0</v>
      </c>
      <c r="BS85" s="1450">
        <f ca="1">IF(B85&gt;=$J$5,0,(CONTADORES!BT81-CONTADORES!BT80)+(CONTADORES!BV81-CONTADORES!BV80))/1000</f>
        <v>1.3580000000000001</v>
      </c>
      <c r="BT85" s="1479">
        <f ca="1">IF(B85&gt;=$J$5,0,(CONTADORES!BU81-CONTADORES!BU80)+(CONTADORES!BW81-CONTADORES!BW80))/1000</f>
        <v>0.754</v>
      </c>
      <c r="BU85" s="1450">
        <f ca="1">IF(B85&gt;=$J$5,0,CONTADORES!BR81-CONTADORES!BR80)</f>
        <v>6.7000000000007276</v>
      </c>
      <c r="BV85" s="1479">
        <f ca="1">IF(B85&gt;=$J$5,0,CONTADORES!BS81-CONTADORES!BS80)</f>
        <v>4.4600000000000364</v>
      </c>
      <c r="BW85" s="1479">
        <f t="shared" ca="1" si="47"/>
        <v>11.660750000011138</v>
      </c>
      <c r="BX85" s="1479">
        <f t="shared" ca="1" si="48"/>
        <v>8.5815000000000872</v>
      </c>
      <c r="BY85" s="1479">
        <f t="shared" ca="1" si="49"/>
        <v>4.9607500000104103</v>
      </c>
      <c r="BZ85" s="1479">
        <f t="shared" ca="1" si="50"/>
        <v>1.0567999999998181</v>
      </c>
      <c r="CA85" s="1479">
        <f t="shared" ca="1" si="51"/>
        <v>4.9607500000104103</v>
      </c>
      <c r="CB85" s="1479">
        <f t="shared" ca="1" si="52"/>
        <v>1.585199999999727</v>
      </c>
      <c r="CC85" s="1479">
        <f t="shared" ca="1" si="53"/>
        <v>2.4147999999998184</v>
      </c>
      <c r="CD85" s="1479">
        <f t="shared" ca="1" si="54"/>
        <v>4.1215000000000499</v>
      </c>
      <c r="CE85" s="1479">
        <f ca="1">IF(B85&gt;=$J$5,0,CONTADORES!BS81-CONTADORES!BS80)</f>
        <v>4.4600000000000364</v>
      </c>
      <c r="CF85" s="1479">
        <f t="shared" ca="1" si="55"/>
        <v>4.1215000000000499</v>
      </c>
      <c r="CG85" s="1479">
        <f t="shared" ca="1" si="56"/>
        <v>0.72300000000002274</v>
      </c>
      <c r="CH85" s="1479">
        <f t="shared" ca="1" si="57"/>
        <v>0.72300000000002274</v>
      </c>
      <c r="CI85" s="1479">
        <f t="shared" ca="1" si="58"/>
        <v>1.4770000000000227</v>
      </c>
      <c r="CJ85" s="1480">
        <f ca="1">IF($B85&gt;=$J$5,0,CONTADORES!$BG81)</f>
        <v>10160.7535027913</v>
      </c>
      <c r="CK85" s="1384">
        <f>CONTADORES!E81</f>
        <v>0</v>
      </c>
      <c r="CL85" s="1384">
        <f>CONTADORES!BX81</f>
        <v>0</v>
      </c>
    </row>
    <row r="86" spans="2:90">
      <c r="B86" s="410">
        <v>45002</v>
      </c>
      <c r="C86" s="204">
        <f t="shared" ca="1" si="33"/>
        <v>283</v>
      </c>
      <c r="D86" s="202">
        <f ca="1">'CALCULO DE GAS'!D88</f>
        <v>4.7840911384039906</v>
      </c>
      <c r="E86" s="202">
        <f ca="1">IF(B86&gt;=$J$5,0,(CONTADORES!$AB82-CONTADORES!$AB81)-$H86)</f>
        <v>24</v>
      </c>
      <c r="F86" s="204">
        <v>0</v>
      </c>
      <c r="G86" s="202">
        <f ca="1">IF(B86&gt;=$J$5,0,CONTADORES!$AD82-CONTADORES!$AD81)</f>
        <v>0</v>
      </c>
      <c r="H86" s="1437">
        <f ca="1">IF(G86&gt;0,CONTADORES!$AC82-CONTADORES!$AC81,0)</f>
        <v>0</v>
      </c>
      <c r="I86" s="205">
        <f ca="1">IF(B86&gt;=$J$5,0,CONTADORES!$Z82-CONTADORES!$Z81)</f>
        <v>283</v>
      </c>
      <c r="J86" s="204">
        <f t="shared" ca="1" si="34"/>
        <v>162</v>
      </c>
      <c r="K86" s="202">
        <f ca="1">'CALCULO DE GAS'!E88</f>
        <v>3.7973829089775561</v>
      </c>
      <c r="L86" s="1437">
        <f ca="1">IF(B86&gt;=$J$5,0,(CONTADORES!$W82-CONTADORES!$W81)-$O86)</f>
        <v>24</v>
      </c>
      <c r="M86" s="1437">
        <f t="shared" ref="M86:M106" ca="1" si="59">IF(O86=0,0,"ERROR")</f>
        <v>0</v>
      </c>
      <c r="N86" s="1437">
        <f ca="1">IF(B86&gt;=$J$5,0,CONTADORES!$Y82-CONTADORES!$Y81)</f>
        <v>0</v>
      </c>
      <c r="O86" s="1437">
        <f ca="1">IF(N86&gt;0,CONTADORES!$X82-CONTADORES!$X81,0)</f>
        <v>0</v>
      </c>
      <c r="P86" s="208">
        <f ca="1">IF(B86&gt;=$J$5,0,CONTADORES!$U82-CONTADORES!$U81)</f>
        <v>162</v>
      </c>
      <c r="Q86" s="208">
        <f ca="1">IF(B86&gt;=$J$5,0,CONTADORES!$B82-CONTADORES!$B81)</f>
        <v>0</v>
      </c>
      <c r="R86" s="202">
        <f t="shared" ca="1" si="35"/>
        <v>0</v>
      </c>
      <c r="S86" s="11">
        <f ca="1">IF(B86&gt;=$J$5,0,CONTADORES!$D82-CONTADORES!$D81)</f>
        <v>0</v>
      </c>
      <c r="T86" s="204">
        <f ca="1">IF(B86&gt;=$J$5,0,CONTADORES!$AZ82-CONTADORES!$AZ81)</f>
        <v>0</v>
      </c>
      <c r="U86" s="202">
        <f t="shared" ca="1" si="36"/>
        <v>0</v>
      </c>
      <c r="V86" s="205">
        <f ca="1">IF(B86&gt;=$J$5,0,CONTADORES!$BB82-CONTADORES!$BB81)</f>
        <v>0</v>
      </c>
      <c r="W86" s="1438">
        <f t="shared" ca="1" si="37"/>
        <v>445</v>
      </c>
      <c r="X86" s="1438">
        <f t="shared" ca="1" si="38"/>
        <v>0</v>
      </c>
      <c r="Y86" s="1439">
        <f t="shared" ca="1" si="39"/>
        <v>445</v>
      </c>
      <c r="Z86" s="1439">
        <f t="shared" ca="1" si="40"/>
        <v>8.5814740473815476</v>
      </c>
      <c r="AA86" s="1439">
        <f t="shared" ca="1" si="41"/>
        <v>0</v>
      </c>
      <c r="AB86" s="1439">
        <f t="shared" ca="1" si="42"/>
        <v>48</v>
      </c>
      <c r="AC86" s="1438">
        <f t="shared" ca="1" si="43"/>
        <v>0</v>
      </c>
      <c r="AD86" s="1438">
        <f ca="1">IF(B86&gt;=$J$5,0,CONTADORES!H82-CONTADORES!H81)</f>
        <v>167</v>
      </c>
      <c r="AE86" s="1438">
        <f ca="1">IF(B86&gt;=$J$5,0,CONTADORES!J82-CONTADORES!J81)</f>
        <v>24</v>
      </c>
      <c r="AF86" s="1438">
        <f ca="1">IF(B86&gt;=$J$5,0,CONTADORES!AS82-CONTADORES!AS81)</f>
        <v>144</v>
      </c>
      <c r="AG86" s="1438">
        <f ca="1">IF(B86&gt;=$J$5,0,CONTADORES!AU82-CONTADORES!AU81)</f>
        <v>24</v>
      </c>
      <c r="AH86" s="1438">
        <f ca="1">IF(B86&gt;=$J$5,0,(CONTADORES!AK82-CONTADORES!AK81)+(CONTADORES!K82-CONTADORES!K81))</f>
        <v>8.2000000000043656</v>
      </c>
      <c r="AI86" s="1438">
        <f ca="1">IF(B86&gt;=$J$5,0,(CONTADORES!AI82-CONTADORES!AI81)+(CONTADORES!M82-CONTADORES!M81))</f>
        <v>38.5</v>
      </c>
      <c r="AJ86" s="1438">
        <f ca="1">IF(B86&gt;=$J$5,0,(CONTADORES!AG82-CONTADORES!AG81))</f>
        <v>7.3999999999941792</v>
      </c>
      <c r="AK86" s="1438">
        <f ca="1">IF(B86&gt;=$J$5,0,(CONTADORES!O82-CONTADORES!O81))</f>
        <v>14.899999999994179</v>
      </c>
      <c r="AL86" s="1438">
        <f t="shared" ca="1" si="44"/>
        <v>34.800000000006548</v>
      </c>
      <c r="AM86" s="1438">
        <f ca="1">IF(B86&gt;=$J$5,0,(((CONTADORES!F82-CONTADORES!F81)+(CONTADORES!AO82-CONTADORES!AO81))))-BJ86-AF86-AN86-BM86-BP86-BU86-BS86</f>
        <v>11.642000000001284</v>
      </c>
      <c r="AN86" s="1438">
        <f ca="1">IF(B86&gt;=$J$5,0,(CONTADORES!AV82-CONTADORES!AV81)+(CONTADORES!AX82-CONTADORES!AX81)+(CONTADORES!BC82-CONTADORES!BC81))-BS86</f>
        <v>2.5120000000005458</v>
      </c>
      <c r="AO86" s="1478">
        <f ca="1">IF(B86&gt;=$J$5,0,(CONTADORES!AA82-CONTADORES!AA81))</f>
        <v>145</v>
      </c>
      <c r="AP86" s="1478">
        <f ca="1">IF(B86&gt;=$J$5,0,(CONTADORES!V82-CONTADORES!V81))</f>
        <v>82</v>
      </c>
      <c r="AQ86" s="1445">
        <f ca="1">IF(B86&gt;=$J$5,0,(CONTADORES!C82-CONTADORES!C81))</f>
        <v>0</v>
      </c>
      <c r="AR86" s="1440">
        <f ca="1">IF(B86&gt;=$J$5,0,(CONTADORES!BA82-CONTADORES!BA81))</f>
        <v>0</v>
      </c>
      <c r="AS86" s="1438">
        <f ca="1">IF(B86&gt;=$J$5,0,CONTADORES!Q82-CONTADORES!Q81)</f>
        <v>17.299999999988358</v>
      </c>
      <c r="AT86" s="1438">
        <f ca="1">IF(B86&gt;=$J$5,0,(CONTADORES!S82-CONTADORES!S81)+(CONTADORES!AE82-CONTADORES!AE81))</f>
        <v>2.0999999999985448</v>
      </c>
      <c r="AU86" s="1450">
        <f>CONTADORES!I82-CONTADORES!I81</f>
        <v>84</v>
      </c>
      <c r="AV86" s="1479">
        <f>CONTADORES!AT82-CONTADORES!AT81</f>
        <v>63</v>
      </c>
      <c r="AW86" s="1479">
        <f ca="1">IF(B86&gt;=$J$5,0,(CONTADORES!L82-CONTADORES!L81)+(CONTADORES!AL82-CONTADORES!AL81))</f>
        <v>3.1000000000003638</v>
      </c>
      <c r="AX86" s="1479">
        <f ca="1">IF(B86&gt;=$J$5,0,(CONTADORES!N82-CONTADORES!N81)+(CONTADORES!AJ82-CONTADORES!AJ81))</f>
        <v>30.80000000000291</v>
      </c>
      <c r="AY86" s="1479">
        <f ca="1">IF(B86&gt;=$J$5,0,(CONTADORES!AH82-CONTADORES!AH81))</f>
        <v>5.5999999999985448</v>
      </c>
      <c r="AZ86" s="1479">
        <f ca="1">IF(B86&gt;=$J$5,0,(CONTADORES!P82-CONTADORES!P81))</f>
        <v>12.30000000000291</v>
      </c>
      <c r="BA86" s="1438">
        <f t="shared" ca="1" si="45"/>
        <v>11.221999999995433</v>
      </c>
      <c r="BB86" s="1438">
        <f ca="1">IF(B86&gt;=$J$5,0,(((CONTADORES!G82-CONTADORES!G81)+(CONTADORES!AP82-CONTADORES!AP81))))-AV86-BC86-BK86-BN86-BQ86-BV86</f>
        <v>9.2349999999997614</v>
      </c>
      <c r="BC86" s="1438">
        <f ca="1">IF(B86&gt;=$J$5,0,(CONTADORES!AW82-CONTADORES!AW81)+(CONTADORES!AY82-CONTADORES!AY81)+(CONTADORES!BD82-CONTADORES!BD81))-BT86</f>
        <v>1.2220000000000568</v>
      </c>
      <c r="BD86" s="1438">
        <f t="shared" ca="1" si="46"/>
        <v>227</v>
      </c>
      <c r="BE86" s="1450">
        <f ca="1">IF($B86&gt;=$J$5,0,CONTADORES!$BE82)</f>
        <v>6217.25</v>
      </c>
      <c r="BF86" s="1479">
        <f ca="1">IF($B86&gt;=$J$5,0,CONTADORES!$BF82)</f>
        <v>35115.236842105303</v>
      </c>
      <c r="BG86" s="1438">
        <f ca="1">IF($B86&gt;=$J$5,0,CONTADORES!$BH82)</f>
        <v>5355.74</v>
      </c>
      <c r="BH86" s="1438">
        <f ca="1">IF(B86&gt;=$J$5,0,(CONTADORES!AQ82-CONTADORES!AQ81))</f>
        <v>5</v>
      </c>
      <c r="BI86" s="1438">
        <f ca="1">IF(B86&gt;=$J$5,0,(CONTADORES!AR82-CONTADORES!AR81))</f>
        <v>0</v>
      </c>
      <c r="BJ86" s="1450">
        <f ca="1">IF(B86&gt;=$J$5,0,CONTADORES!BI82-CONTADORES!BI81)/1000</f>
        <v>2.2000000000000002</v>
      </c>
      <c r="BK86" s="1479">
        <f ca="1">IF(B86&gt;=$J$5,0,CONTADORES!BJ82-CONTADORES!BJ81)</f>
        <v>1</v>
      </c>
      <c r="BL86" s="1479">
        <f ca="1">IF(B86&gt;=$J$5,0,CONTADORES!BK82-CONTADORES!BK81)</f>
        <v>24</v>
      </c>
      <c r="BM86" s="1479">
        <f ca="1">IF(B86&gt;=$J$5,0,CONTADORES!BL82-CONTADORES!BL81)/1000</f>
        <v>5.758</v>
      </c>
      <c r="BN86" s="1479">
        <f ca="1">IF(B86&gt;=$J$5,0,CONTADORES!BM82-CONTADORES!BM81)/1000</f>
        <v>0.24299999999999999</v>
      </c>
      <c r="BO86" s="1479">
        <f ca="1">IF(B86&gt;=$J$5,0,CONTADORES!BN82-CONTADORES!BN81)</f>
        <v>24</v>
      </c>
      <c r="BP86" s="1479">
        <f ca="1">IF(B86&gt;=$J$5,0,CONTADORES!BO82-CONTADORES!BO81)/1000</f>
        <v>0</v>
      </c>
      <c r="BQ86" s="1479">
        <f ca="1">IF(B86&gt;=$J$5,0,CONTADORES!BP82-CONTADORES!BP81)/1000</f>
        <v>0</v>
      </c>
      <c r="BR86" s="1479">
        <f ca="1">IF(B86&gt;=$J$5,0,CONTADORES!BQ82-CONTADORES!BQ81)</f>
        <v>0</v>
      </c>
      <c r="BS86" s="1450">
        <f ca="1">IF(B86&gt;=$J$5,0,(CONTADORES!BT82-CONTADORES!BT81)+(CONTADORES!BV82-CONTADORES!BV81))/1000</f>
        <v>1.3879999999999999</v>
      </c>
      <c r="BT86" s="1479">
        <f ca="1">IF(B86&gt;=$J$5,0,(CONTADORES!BU82-CONTADORES!BU81)+(CONTADORES!BW82-CONTADORES!BW81))/1000</f>
        <v>0.77800000000000002</v>
      </c>
      <c r="BU86" s="1450">
        <f ca="1">IF(B86&gt;=$J$5,0,CONTADORES!BR82-CONTADORES!BR81)</f>
        <v>6.6999999999989086</v>
      </c>
      <c r="BV86" s="1479">
        <f ca="1">IF(B86&gt;=$J$5,0,CONTADORES!BS82-CONTADORES!BS81)</f>
        <v>4.5</v>
      </c>
      <c r="BW86" s="1479">
        <f t="shared" ca="1" si="47"/>
        <v>12.52099999999955</v>
      </c>
      <c r="BX86" s="1479">
        <f t="shared" ca="1" si="48"/>
        <v>9.1174999999998807</v>
      </c>
      <c r="BY86" s="1479">
        <f t="shared" ca="1" si="49"/>
        <v>5.8210000000006419</v>
      </c>
      <c r="BZ86" s="1479">
        <f t="shared" ca="1" si="50"/>
        <v>1.0048000000002184</v>
      </c>
      <c r="CA86" s="1479">
        <f t="shared" ca="1" si="51"/>
        <v>5.8210000000006419</v>
      </c>
      <c r="CB86" s="1479">
        <f t="shared" ca="1" si="52"/>
        <v>1.5072000000003274</v>
      </c>
      <c r="CC86" s="1479">
        <f t="shared" ca="1" si="53"/>
        <v>2.3928000000002183</v>
      </c>
      <c r="CD86" s="1479">
        <f t="shared" ca="1" si="54"/>
        <v>4.6174999999998807</v>
      </c>
      <c r="CE86" s="1479">
        <f ca="1">IF(B86&gt;=$J$5,0,CONTADORES!BS82-CONTADORES!BS81)</f>
        <v>4.5</v>
      </c>
      <c r="CF86" s="1479">
        <f t="shared" ca="1" si="55"/>
        <v>4.6174999999998807</v>
      </c>
      <c r="CG86" s="1479">
        <f t="shared" ca="1" si="56"/>
        <v>0.61100000000002841</v>
      </c>
      <c r="CH86" s="1479">
        <f t="shared" ca="1" si="57"/>
        <v>0.61100000000002841</v>
      </c>
      <c r="CI86" s="1479">
        <f t="shared" ca="1" si="58"/>
        <v>1.3890000000000284</v>
      </c>
      <c r="CJ86" s="1480">
        <f ca="1">IF($B86&gt;=$J$5,0,CONTADORES!$BG82)</f>
        <v>9688.6093046726492</v>
      </c>
      <c r="CK86" s="1384">
        <f>CONTADORES!E82</f>
        <v>0</v>
      </c>
      <c r="CL86" s="1384">
        <f>CONTADORES!BX82</f>
        <v>0</v>
      </c>
    </row>
    <row r="87" spans="2:90">
      <c r="B87" s="410">
        <v>45003</v>
      </c>
      <c r="C87" s="204">
        <f t="shared" ca="1" si="33"/>
        <v>298</v>
      </c>
      <c r="D87" s="202">
        <f ca="1">'CALCULO DE GAS'!D89</f>
        <v>4.9064103403990025</v>
      </c>
      <c r="E87" s="202">
        <f ca="1">IF(B87&gt;=$J$5,0,(CONTADORES!$AB83-CONTADORES!$AB82)-$H87)</f>
        <v>24</v>
      </c>
      <c r="F87" s="204">
        <f t="shared" ref="F87:F118" ca="1" si="60">IF(H87=0,0,"ERROR")</f>
        <v>0</v>
      </c>
      <c r="G87" s="202">
        <f ca="1">IF(B87&gt;=$J$5,0,CONTADORES!$AD83-CONTADORES!$AD82)</f>
        <v>0</v>
      </c>
      <c r="H87" s="1437">
        <f ca="1">IF(G87&gt;0,CONTADORES!$AC83-CONTADORES!$AC82,0)</f>
        <v>0</v>
      </c>
      <c r="I87" s="205">
        <f ca="1">IF(B87&gt;=$J$5,0,CONTADORES!$Z83-CONTADORES!$Z82)</f>
        <v>298</v>
      </c>
      <c r="J87" s="204">
        <f t="shared" ca="1" si="34"/>
        <v>151</v>
      </c>
      <c r="K87" s="202">
        <f ca="1">'CALCULO DE GAS'!E89</f>
        <v>3.70768216084788</v>
      </c>
      <c r="L87" s="1437">
        <f ca="1">IF(B87&gt;=$J$5,0,(CONTADORES!$W83-CONTADORES!$W82)-$O87)</f>
        <v>24</v>
      </c>
      <c r="M87" s="1437">
        <f t="shared" ca="1" si="59"/>
        <v>0</v>
      </c>
      <c r="N87" s="1437">
        <f ca="1">IF(B87&gt;=$J$5,0,CONTADORES!$Y83-CONTADORES!$Y82)</f>
        <v>0</v>
      </c>
      <c r="O87" s="1437">
        <f ca="1">IF(N87&gt;0,CONTADORES!$X83-CONTADORES!$X82,0)</f>
        <v>0</v>
      </c>
      <c r="P87" s="208">
        <f ca="1">IF(B87&gt;=$J$5,0,CONTADORES!$U83-CONTADORES!$U82)</f>
        <v>151</v>
      </c>
      <c r="Q87" s="208">
        <f ca="1">IF(B87&gt;=$J$5,0,CONTADORES!$B83-CONTADORES!$B82)</f>
        <v>0</v>
      </c>
      <c r="R87" s="202">
        <f t="shared" ca="1" si="35"/>
        <v>0</v>
      </c>
      <c r="S87" s="11">
        <f ca="1">IF(B87&gt;=$J$5,0,CONTADORES!$D83-CONTADORES!$D82)</f>
        <v>0</v>
      </c>
      <c r="T87" s="204">
        <f ca="1">IF(B87&gt;=$J$5,0,CONTADORES!$AZ83-CONTADORES!$AZ82)</f>
        <v>0</v>
      </c>
      <c r="U87" s="202">
        <f t="shared" ca="1" si="36"/>
        <v>0</v>
      </c>
      <c r="V87" s="205">
        <f ca="1">IF(B87&gt;=$J$5,0,CONTADORES!$BB83-CONTADORES!$BB82)</f>
        <v>0</v>
      </c>
      <c r="W87" s="1438">
        <f t="shared" ca="1" si="37"/>
        <v>449</v>
      </c>
      <c r="X87" s="1438">
        <f t="shared" ca="1" si="38"/>
        <v>0</v>
      </c>
      <c r="Y87" s="1439">
        <f t="shared" ca="1" si="39"/>
        <v>449</v>
      </c>
      <c r="Z87" s="1439">
        <f t="shared" ca="1" si="40"/>
        <v>8.6140925012468834</v>
      </c>
      <c r="AA87" s="1439">
        <f t="shared" ca="1" si="41"/>
        <v>0</v>
      </c>
      <c r="AB87" s="1439">
        <f t="shared" ca="1" si="42"/>
        <v>48</v>
      </c>
      <c r="AC87" s="1438">
        <f t="shared" ca="1" si="43"/>
        <v>0</v>
      </c>
      <c r="AD87" s="1438">
        <f ca="1">IF(B87&gt;=$J$5,0,CONTADORES!H83-CONTADORES!H82)</f>
        <v>168</v>
      </c>
      <c r="AE87" s="1438">
        <f ca="1">IF(B87&gt;=$J$5,0,CONTADORES!J83-CONTADORES!J82)</f>
        <v>24</v>
      </c>
      <c r="AF87" s="1438">
        <f ca="1">IF(B87&gt;=$J$5,0,CONTADORES!AS83-CONTADORES!AS82)</f>
        <v>145</v>
      </c>
      <c r="AG87" s="1438">
        <f ca="1">IF(B87&gt;=$J$5,0,CONTADORES!AU83-CONTADORES!AU82)</f>
        <v>24</v>
      </c>
      <c r="AH87" s="1438">
        <f ca="1">IF(B87&gt;=$J$5,0,(CONTADORES!AK83-CONTADORES!AK82)+(CONTADORES!K83-CONTADORES!K82))</f>
        <v>10.099999999998545</v>
      </c>
      <c r="AI87" s="1438">
        <f ca="1">IF(B87&gt;=$J$5,0,(CONTADORES!AI83-CONTADORES!AI82)+(CONTADORES!M83-CONTADORES!M82))</f>
        <v>38.700000000004366</v>
      </c>
      <c r="AJ87" s="1438">
        <f ca="1">IF(B87&gt;=$J$5,0,(CONTADORES!AG83-CONTADORES!AG82))</f>
        <v>9.3999999999941792</v>
      </c>
      <c r="AK87" s="1438">
        <f ca="1">IF(B87&gt;=$J$5,0,(CONTADORES!O83-CONTADORES!O82))</f>
        <v>15.899999999994179</v>
      </c>
      <c r="AL87" s="1438">
        <f t="shared" ca="1" si="44"/>
        <v>32.400000000008674</v>
      </c>
      <c r="AM87" s="1438">
        <f ca="1">IF(B87&gt;=$J$5,0,(((CONTADORES!F83-CONTADORES!F82)+(CONTADORES!AO83-CONTADORES!AO82))))-BJ87-AF87-AN87-BM87-BP87-BU87-BS87</f>
        <v>10.969000000000456</v>
      </c>
      <c r="AN87" s="1438">
        <f ca="1">IF(B87&gt;=$J$5,0,(CONTADORES!AV83-CONTADORES!AV82)+(CONTADORES!AX83-CONTADORES!AX82)+(CONTADORES!BC83-CONTADORES!BC82))-BS87</f>
        <v>2.616999999999909</v>
      </c>
      <c r="AO87" s="1478">
        <f ca="1">IF(B87&gt;=$J$5,0,(CONTADORES!AA83-CONTADORES!AA82))</f>
        <v>152</v>
      </c>
      <c r="AP87" s="1478">
        <f ca="1">IF(B87&gt;=$J$5,0,(CONTADORES!V83-CONTADORES!V82))</f>
        <v>78</v>
      </c>
      <c r="AQ87" s="1445">
        <f ca="1">IF(B87&gt;=$J$5,0,(CONTADORES!C83-CONTADORES!C82))</f>
        <v>0</v>
      </c>
      <c r="AR87" s="1440">
        <f ca="1">IF(B87&gt;=$J$5,0,(CONTADORES!BA83-CONTADORES!BA82))</f>
        <v>0</v>
      </c>
      <c r="AS87" s="1438">
        <f ca="1">IF(B87&gt;=$J$5,0,CONTADORES!Q83-CONTADORES!Q82)</f>
        <v>17.300000000017462</v>
      </c>
      <c r="AT87" s="1438">
        <f ca="1">IF(B87&gt;=$J$5,0,(CONTADORES!S83-CONTADORES!S82)+(CONTADORES!AE83-CONTADORES!AE82))</f>
        <v>2.1999999999970896</v>
      </c>
      <c r="AU87" s="1450">
        <f>CONTADORES!I83-CONTADORES!I82</f>
        <v>86</v>
      </c>
      <c r="AV87" s="1479">
        <f>CONTADORES!AT83-CONTADORES!AT82</f>
        <v>63</v>
      </c>
      <c r="AW87" s="1479">
        <f ca="1">IF(B87&gt;=$J$5,0,(CONTADORES!L83-CONTADORES!L82)+(CONTADORES!AL83-CONTADORES!AL82))</f>
        <v>3.7999999999992724</v>
      </c>
      <c r="AX87" s="1479">
        <f ca="1">IF(B87&gt;=$J$5,0,(CONTADORES!N83-CONTADORES!N82)+(CONTADORES!AJ83-CONTADORES!AJ82))</f>
        <v>30.900000000001455</v>
      </c>
      <c r="AY87" s="1479">
        <f ca="1">IF(B87&gt;=$J$5,0,(CONTADORES!AH83-CONTADORES!AH82))</f>
        <v>7.2999999999956344</v>
      </c>
      <c r="AZ87" s="1479">
        <f ca="1">IF(B87&gt;=$J$5,0,(CONTADORES!P83-CONTADORES!P82))</f>
        <v>13.099999999991269</v>
      </c>
      <c r="BA87" s="1438">
        <f t="shared" ca="1" si="45"/>
        <v>9.5680000000123471</v>
      </c>
      <c r="BB87" s="1438">
        <f ca="1">IF(B87&gt;=$J$5,0,(((CONTADORES!G83-CONTADORES!G82)+(CONTADORES!AP83-CONTADORES!AP82))))-AV87-BC87-BK87-BN87-BQ87-BV87</f>
        <v>8.3179999999999659</v>
      </c>
      <c r="BC87" s="1438">
        <f ca="1">IF(B87&gt;=$J$5,0,(CONTADORES!AW83-CONTADORES!AW82)+(CONTADORES!AY83-CONTADORES!AY82)+(CONTADORES!BD83-CONTADORES!BD82))-BT87</f>
        <v>1.5680000000000343</v>
      </c>
      <c r="BD87" s="1438">
        <f t="shared" ca="1" si="46"/>
        <v>230</v>
      </c>
      <c r="BE87" s="1450">
        <f ca="1">IF($B87&gt;=$J$5,0,CONTADORES!$BE83)</f>
        <v>6883.93</v>
      </c>
      <c r="BF87" s="1479">
        <f ca="1">IF($B87&gt;=$J$5,0,CONTADORES!$BF83)</f>
        <v>35318.1280701754</v>
      </c>
      <c r="BG87" s="1438">
        <f ca="1">IF($B87&gt;=$J$5,0,CONTADORES!$BH83)</f>
        <v>6046.45</v>
      </c>
      <c r="BH87" s="1438">
        <f ca="1">IF(B87&gt;=$J$5,0,(CONTADORES!AQ83-CONTADORES!AQ82))</f>
        <v>5</v>
      </c>
      <c r="BI87" s="1438">
        <f ca="1">IF(B87&gt;=$J$5,0,(CONTADORES!AR83-CONTADORES!AR82))</f>
        <v>0</v>
      </c>
      <c r="BJ87" s="1450">
        <f ca="1">IF(B87&gt;=$J$5,0,CONTADORES!BI83-CONTADORES!BI82)/1000</f>
        <v>2</v>
      </c>
      <c r="BK87" s="1479">
        <f ca="1">IF(B87&gt;=$J$5,0,CONTADORES!BJ83-CONTADORES!BJ82)</f>
        <v>1</v>
      </c>
      <c r="BL87" s="1479">
        <f ca="1">IF(B87&gt;=$J$5,0,CONTADORES!BK83-CONTADORES!BK82)</f>
        <v>23.299999999999272</v>
      </c>
      <c r="BM87" s="1479">
        <f ca="1">IF(B87&gt;=$J$5,0,CONTADORES!BL83-CONTADORES!BL82)/1000</f>
        <v>6.0309999999999997</v>
      </c>
      <c r="BN87" s="1479">
        <f ca="1">IF(B87&gt;=$J$5,0,CONTADORES!BM83-CONTADORES!BM82)/1000</f>
        <v>0.114</v>
      </c>
      <c r="BO87" s="1479">
        <f ca="1">IF(B87&gt;=$J$5,0,CONTADORES!BN83-CONTADORES!BN82)</f>
        <v>24</v>
      </c>
      <c r="BP87" s="1479">
        <f ca="1">IF(B87&gt;=$J$5,0,CONTADORES!BO83-CONTADORES!BO82)/1000</f>
        <v>0</v>
      </c>
      <c r="BQ87" s="1479">
        <f ca="1">IF(B87&gt;=$J$5,0,CONTADORES!BP83-CONTADORES!BP82)/1000</f>
        <v>0</v>
      </c>
      <c r="BR87" s="1479">
        <f ca="1">IF(B87&gt;=$J$5,0,CONTADORES!BQ83-CONTADORES!BQ82)</f>
        <v>0</v>
      </c>
      <c r="BS87" s="1450">
        <f ca="1">IF(B87&gt;=$J$5,0,(CONTADORES!BT83-CONTADORES!BT82)+(CONTADORES!BV83-CONTADORES!BV82))/1000</f>
        <v>1.4830000000000001</v>
      </c>
      <c r="BT87" s="1479">
        <f ca="1">IF(B87&gt;=$J$5,0,(CONTADORES!BU83-CONTADORES!BU82)+(CONTADORES!BW83-CONTADORES!BW82))/1000</f>
        <v>0.83199999999999996</v>
      </c>
      <c r="BU87" s="1450">
        <f ca="1">IF(B87&gt;=$J$5,0,CONTADORES!BR83-CONTADORES!BR82)</f>
        <v>6.3999999999996362</v>
      </c>
      <c r="BV87" s="1479">
        <f ca="1">IF(B87&gt;=$J$5,0,CONTADORES!BS83-CONTADORES!BS82)</f>
        <v>4.5</v>
      </c>
      <c r="BW87" s="1479">
        <f t="shared" ca="1" si="47"/>
        <v>11.884499999999864</v>
      </c>
      <c r="BX87" s="1479">
        <f t="shared" ca="1" si="48"/>
        <v>8.6589999999999829</v>
      </c>
      <c r="BY87" s="1479">
        <f t="shared" ca="1" si="49"/>
        <v>5.484500000000228</v>
      </c>
      <c r="BZ87" s="1479">
        <f t="shared" ca="1" si="50"/>
        <v>1.0467999999999635</v>
      </c>
      <c r="CA87" s="1479">
        <f t="shared" ca="1" si="51"/>
        <v>5.484500000000228</v>
      </c>
      <c r="CB87" s="1479">
        <f t="shared" ca="1" si="52"/>
        <v>1.5701999999999454</v>
      </c>
      <c r="CC87" s="1479">
        <f t="shared" ca="1" si="53"/>
        <v>2.5297999999999634</v>
      </c>
      <c r="CD87" s="1479">
        <f t="shared" ca="1" si="54"/>
        <v>4.1589999999999829</v>
      </c>
      <c r="CE87" s="1479">
        <f ca="1">IF(B87&gt;=$J$5,0,CONTADORES!BS83-CONTADORES!BS82)</f>
        <v>4.5</v>
      </c>
      <c r="CF87" s="1479">
        <f t="shared" ca="1" si="55"/>
        <v>4.1589999999999829</v>
      </c>
      <c r="CG87" s="1479">
        <f t="shared" ca="1" si="56"/>
        <v>0.78400000000001713</v>
      </c>
      <c r="CH87" s="1479">
        <f t="shared" ca="1" si="57"/>
        <v>0.78400000000001713</v>
      </c>
      <c r="CI87" s="1479">
        <f t="shared" ca="1" si="58"/>
        <v>1.616000000000017</v>
      </c>
      <c r="CJ87" s="1480">
        <f ca="1">IF($B87&gt;=$J$5,0,CONTADORES!$BG83)</f>
        <v>10366.936183399301</v>
      </c>
      <c r="CK87" s="1384">
        <f>CONTADORES!E83</f>
        <v>0</v>
      </c>
      <c r="CL87" s="1384">
        <f>CONTADORES!BX83</f>
        <v>0</v>
      </c>
    </row>
    <row r="88" spans="2:90">
      <c r="B88" s="410">
        <v>45004</v>
      </c>
      <c r="C88" s="204">
        <f t="shared" ca="1" si="33"/>
        <v>290</v>
      </c>
      <c r="D88" s="202">
        <f ca="1">'CALCULO DE GAS'!D90</f>
        <v>4.8411734326683291</v>
      </c>
      <c r="E88" s="202">
        <f ca="1">IF(B88&gt;=$J$5,0,(CONTADORES!$AB84-CONTADORES!$AB83)-$H88)</f>
        <v>24</v>
      </c>
      <c r="F88" s="204">
        <f t="shared" ca="1" si="60"/>
        <v>0</v>
      </c>
      <c r="G88" s="202">
        <f ca="1">IF(B88&gt;=$J$5,0,CONTADORES!$AD84-CONTADORES!$AD83)</f>
        <v>0</v>
      </c>
      <c r="H88" s="1437">
        <f ca="1">IF(G88&gt;0,CONTADORES!$AC84-CONTADORES!$AC83,0)</f>
        <v>0</v>
      </c>
      <c r="I88" s="205">
        <f ca="1">IF(B88&gt;=$J$5,0,CONTADORES!$Z84-CONTADORES!$Z83)</f>
        <v>290</v>
      </c>
      <c r="J88" s="204">
        <f t="shared" ca="1" si="34"/>
        <v>158</v>
      </c>
      <c r="K88" s="202">
        <f ca="1">'CALCULO DE GAS'!E90</f>
        <v>3.7647644551122195</v>
      </c>
      <c r="L88" s="1437">
        <f ca="1">IF(B88&gt;=$J$5,0,(CONTADORES!$W84-CONTADORES!$W83)-$O88)</f>
        <v>24</v>
      </c>
      <c r="M88" s="1437">
        <f t="shared" ca="1" si="59"/>
        <v>0</v>
      </c>
      <c r="N88" s="1437">
        <f ca="1">IF(B88&gt;=$J$5,0,CONTADORES!$Y84-CONTADORES!$Y83)</f>
        <v>0</v>
      </c>
      <c r="O88" s="1437">
        <f ca="1">IF(N88&gt;0,CONTADORES!$X84-CONTADORES!$X83,0)</f>
        <v>0</v>
      </c>
      <c r="P88" s="208">
        <f ca="1">IF(B88&gt;=$J$5,0,CONTADORES!$U84-CONTADORES!$U83)</f>
        <v>158</v>
      </c>
      <c r="Q88" s="208">
        <f ca="1">IF(B88&gt;=$J$5,0,CONTADORES!$B84-CONTADORES!$B83)</f>
        <v>0</v>
      </c>
      <c r="R88" s="202">
        <f t="shared" ca="1" si="35"/>
        <v>0</v>
      </c>
      <c r="S88" s="11">
        <f ca="1">IF(B88&gt;=$J$5,0,CONTADORES!$D84-CONTADORES!$D83)</f>
        <v>0</v>
      </c>
      <c r="T88" s="204">
        <f ca="1">IF(B88&gt;=$J$5,0,CONTADORES!$AZ84-CONTADORES!$AZ83)</f>
        <v>0</v>
      </c>
      <c r="U88" s="202">
        <f t="shared" ca="1" si="36"/>
        <v>0</v>
      </c>
      <c r="V88" s="205">
        <f ca="1">IF(B88&gt;=$J$5,0,CONTADORES!$BB84-CONTADORES!$BB83)</f>
        <v>0</v>
      </c>
      <c r="W88" s="1438">
        <f t="shared" ca="1" si="37"/>
        <v>448</v>
      </c>
      <c r="X88" s="1438">
        <f t="shared" ca="1" si="38"/>
        <v>0</v>
      </c>
      <c r="Y88" s="1439">
        <f t="shared" ca="1" si="39"/>
        <v>448</v>
      </c>
      <c r="Z88" s="1439">
        <f t="shared" ca="1" si="40"/>
        <v>8.6059378877805486</v>
      </c>
      <c r="AA88" s="1439">
        <f t="shared" ca="1" si="41"/>
        <v>0</v>
      </c>
      <c r="AB88" s="1439">
        <f t="shared" ca="1" si="42"/>
        <v>48</v>
      </c>
      <c r="AC88" s="1438">
        <f t="shared" ca="1" si="43"/>
        <v>0</v>
      </c>
      <c r="AD88" s="1438">
        <f ca="1">IF(B88&gt;=$J$5,0,CONTADORES!H84-CONTADORES!H83)</f>
        <v>168</v>
      </c>
      <c r="AE88" s="1438">
        <f ca="1">IF(B88&gt;=$J$5,0,CONTADORES!J84-CONTADORES!J83)</f>
        <v>24</v>
      </c>
      <c r="AF88" s="1438">
        <f ca="1">IF(B88&gt;=$J$5,0,CONTADORES!AS84-CONTADORES!AS83)</f>
        <v>142</v>
      </c>
      <c r="AG88" s="1438">
        <f ca="1">IF(B88&gt;=$J$5,0,CONTADORES!AU84-CONTADORES!AU83)</f>
        <v>24</v>
      </c>
      <c r="AH88" s="1438">
        <f ca="1">IF(B88&gt;=$J$5,0,(CONTADORES!AK84-CONTADORES!AK83)+(CONTADORES!K84-CONTADORES!K83))</f>
        <v>7.9000000000014552</v>
      </c>
      <c r="AI88" s="1438">
        <f ca="1">IF(B88&gt;=$J$5,0,(CONTADORES!AI84-CONTADORES!AI83)+(CONTADORES!M84-CONTADORES!M83))</f>
        <v>38.899999999994179</v>
      </c>
      <c r="AJ88" s="1438">
        <f ca="1">IF(B88&gt;=$J$5,0,(CONTADORES!AG84-CONTADORES!AG83))</f>
        <v>9</v>
      </c>
      <c r="AK88" s="1438">
        <f ca="1">IF(B88&gt;=$J$5,0,(CONTADORES!O84-CONTADORES!O83))</f>
        <v>15.200000000011642</v>
      </c>
      <c r="AL88" s="1438">
        <f t="shared" ca="1" si="44"/>
        <v>37.799999999991996</v>
      </c>
      <c r="AM88" s="1438">
        <f ca="1">IF(B88&gt;=$J$5,0,(((CONTADORES!F84-CONTADORES!F83)+(CONTADORES!AO84-CONTADORES!AO83))))-BJ88-AF88-AN88-BM88-BP88-BU88-BS88</f>
        <v>10.622999999999614</v>
      </c>
      <c r="AN88" s="1438">
        <f ca="1">IF(B88&gt;=$J$5,0,(CONTADORES!AV84-CONTADORES!AV83)+(CONTADORES!AX84-CONTADORES!AX83)+(CONTADORES!BC84-CONTADORES!BC83))-BS88</f>
        <v>2.4969999999996473</v>
      </c>
      <c r="AO88" s="1478">
        <f ca="1">IF(B88&gt;=$J$5,0,(CONTADORES!AA84-CONTADORES!AA83))</f>
        <v>151</v>
      </c>
      <c r="AP88" s="1478">
        <f ca="1">IF(B88&gt;=$J$5,0,(CONTADORES!V84-CONTADORES!V83))</f>
        <v>80</v>
      </c>
      <c r="AQ88" s="1445">
        <f ca="1">IF(B88&gt;=$J$5,0,(CONTADORES!C84-CONTADORES!C83))</f>
        <v>0</v>
      </c>
      <c r="AR88" s="1440">
        <f ca="1">IF(B88&gt;=$J$5,0,(CONTADORES!BA84-CONTADORES!BA83))</f>
        <v>0</v>
      </c>
      <c r="AS88" s="1438">
        <f ca="1">IF(B88&gt;=$J$5,0,CONTADORES!Q84-CONTADORES!Q83)</f>
        <v>16.899999999994179</v>
      </c>
      <c r="AT88" s="1438">
        <f ca="1">IF(B88&gt;=$J$5,0,(CONTADORES!S84-CONTADORES!S83)+(CONTADORES!AE84-CONTADORES!AE83))</f>
        <v>2.2000000000043656</v>
      </c>
      <c r="AU88" s="1450">
        <f>CONTADORES!I84-CONTADORES!I83</f>
        <v>84</v>
      </c>
      <c r="AV88" s="1479">
        <f>CONTADORES!AT84-CONTADORES!AT83</f>
        <v>62</v>
      </c>
      <c r="AW88" s="1479">
        <f ca="1">IF(B88&gt;=$J$5,0,(CONTADORES!L84-CONTADORES!L83)+(CONTADORES!AL84-CONTADORES!AL83))</f>
        <v>3</v>
      </c>
      <c r="AX88" s="1479">
        <f ca="1">IF(B88&gt;=$J$5,0,(CONTADORES!N84-CONTADORES!N83)+(CONTADORES!AJ84-CONTADORES!AJ83))</f>
        <v>32</v>
      </c>
      <c r="AY88" s="1479">
        <f ca="1">IF(B88&gt;=$J$5,0,(CONTADORES!AH84-CONTADORES!AH83))</f>
        <v>6.9000000000014552</v>
      </c>
      <c r="AZ88" s="1479">
        <f ca="1">IF(B88&gt;=$J$5,0,(CONTADORES!P84-CONTADORES!P83))</f>
        <v>12.80000000000291</v>
      </c>
      <c r="BA88" s="1438">
        <f t="shared" ca="1" si="45"/>
        <v>14.884999999996211</v>
      </c>
      <c r="BB88" s="1438">
        <f ca="1">IF(B88&gt;=$J$5,0,(((CONTADORES!G84-CONTADORES!G83)+(CONTADORES!AP84-CONTADORES!AP83))))-AV88-BC88-BK88-BN88-BQ88-BV88</f>
        <v>7.7809999999988353</v>
      </c>
      <c r="BC88" s="1438">
        <f ca="1">IF(B88&gt;=$J$5,0,(CONTADORES!AW84-CONTADORES!AW83)+(CONTADORES!AY84-CONTADORES!AY83)+(CONTADORES!BD84-CONTADORES!BD83))-BT88</f>
        <v>1.3550000000000728</v>
      </c>
      <c r="BD88" s="1438">
        <f t="shared" ca="1" si="46"/>
        <v>231</v>
      </c>
      <c r="BE88" s="1450">
        <f ca="1">IF($B88&gt;=$J$5,0,CONTADORES!$BE84)</f>
        <v>6603.52</v>
      </c>
      <c r="BF88" s="1479">
        <f ca="1">IF($B88&gt;=$J$5,0,CONTADORES!$BF84)</f>
        <v>34928.294736842101</v>
      </c>
      <c r="BG88" s="1438">
        <f ca="1">IF($B88&gt;=$J$5,0,CONTADORES!$BH84)</f>
        <v>5256.55</v>
      </c>
      <c r="BH88" s="1438">
        <f ca="1">IF(B88&gt;=$J$5,0,(CONTADORES!AQ84-CONTADORES!AQ83))</f>
        <v>4</v>
      </c>
      <c r="BI88" s="1438">
        <f ca="1">IF(B88&gt;=$J$5,0,(CONTADORES!AR84-CONTADORES!AR83))</f>
        <v>0</v>
      </c>
      <c r="BJ88" s="1450">
        <f ca="1">IF(B88&gt;=$J$5,0,CONTADORES!BI84-CONTADORES!BI83)/1000</f>
        <v>2.2999999999999998</v>
      </c>
      <c r="BK88" s="1479">
        <f ca="1">IF(B88&gt;=$J$5,0,CONTADORES!BJ84-CONTADORES!BJ83)</f>
        <v>1</v>
      </c>
      <c r="BL88" s="1479">
        <f ca="1">IF(B88&gt;=$J$5,0,CONTADORES!BK84-CONTADORES!BK83)</f>
        <v>24</v>
      </c>
      <c r="BM88" s="1479">
        <f ca="1">IF(B88&gt;=$J$5,0,CONTADORES!BL84-CONTADORES!BL83)/1000</f>
        <v>5.9269999999999996</v>
      </c>
      <c r="BN88" s="1479">
        <f ca="1">IF(B88&gt;=$J$5,0,CONTADORES!BM84-CONTADORES!BM83)/1000</f>
        <v>6.4000000000000001E-2</v>
      </c>
      <c r="BO88" s="1479">
        <f ca="1">IF(B88&gt;=$J$5,0,CONTADORES!BN84-CONTADORES!BN83)</f>
        <v>24</v>
      </c>
      <c r="BP88" s="1479">
        <f ca="1">IF(B88&gt;=$J$5,0,CONTADORES!BO84-CONTADORES!BO83)/1000</f>
        <v>0</v>
      </c>
      <c r="BQ88" s="1479">
        <f ca="1">IF(B88&gt;=$J$5,0,CONTADORES!BP84-CONTADORES!BP83)/1000</f>
        <v>0</v>
      </c>
      <c r="BR88" s="1479">
        <f ca="1">IF(B88&gt;=$J$5,0,CONTADORES!BQ84-CONTADORES!BQ83)</f>
        <v>0</v>
      </c>
      <c r="BS88" s="1450">
        <f ca="1">IF(B88&gt;=$J$5,0,(CONTADORES!BT84-CONTADORES!BT83)+(CONTADORES!BV84-CONTADORES!BV83))/1000</f>
        <v>1.4530000000000001</v>
      </c>
      <c r="BT88" s="1479">
        <f ca="1">IF(B88&gt;=$J$5,0,(CONTADORES!BU84-CONTADORES!BU83)+(CONTADORES!BW84-CONTADORES!BW83))/1000</f>
        <v>0.81499999999999995</v>
      </c>
      <c r="BU88" s="1450">
        <f ca="1">IF(B88&gt;=$J$5,0,CONTADORES!BR84-CONTADORES!BR83)</f>
        <v>6.4000000000014552</v>
      </c>
      <c r="BV88" s="1479">
        <f ca="1">IF(B88&gt;=$J$5,0,CONTADORES!BS84-CONTADORES!BS83)</f>
        <v>4.4000000000005457</v>
      </c>
      <c r="BW88" s="1479">
        <f t="shared" ca="1" si="47"/>
        <v>11.711500000001262</v>
      </c>
      <c r="BX88" s="1479">
        <f t="shared" ca="1" si="48"/>
        <v>8.2904999999999625</v>
      </c>
      <c r="BY88" s="1479">
        <f t="shared" ca="1" si="49"/>
        <v>5.3114999999998069</v>
      </c>
      <c r="BZ88" s="1479">
        <f t="shared" ca="1" si="50"/>
        <v>0.99879999999985891</v>
      </c>
      <c r="CA88" s="1479">
        <f t="shared" ca="1" si="51"/>
        <v>5.3114999999998069</v>
      </c>
      <c r="CB88" s="1479">
        <f t="shared" ca="1" si="52"/>
        <v>1.4981999999997884</v>
      </c>
      <c r="CC88" s="1479">
        <f t="shared" ca="1" si="53"/>
        <v>2.4517999999998592</v>
      </c>
      <c r="CD88" s="1479">
        <f t="shared" ca="1" si="54"/>
        <v>3.8904999999994176</v>
      </c>
      <c r="CE88" s="1479">
        <f ca="1">IF(B88&gt;=$J$5,0,CONTADORES!BS84-CONTADORES!BS83)</f>
        <v>4.4000000000005457</v>
      </c>
      <c r="CF88" s="1479">
        <f t="shared" ca="1" si="55"/>
        <v>3.8904999999994176</v>
      </c>
      <c r="CG88" s="1479">
        <f t="shared" ca="1" si="56"/>
        <v>0.67750000000003641</v>
      </c>
      <c r="CH88" s="1479">
        <f t="shared" ca="1" si="57"/>
        <v>0.67750000000003641</v>
      </c>
      <c r="CI88" s="1479">
        <f t="shared" ca="1" si="58"/>
        <v>1.4925000000000364</v>
      </c>
      <c r="CJ88" s="1480">
        <f ca="1">IF($B88&gt;=$J$5,0,CONTADORES!$BG84)</f>
        <v>10410.887873737</v>
      </c>
      <c r="CK88" s="1384">
        <f>CONTADORES!E84</f>
        <v>0</v>
      </c>
      <c r="CL88" s="1384">
        <f>CONTADORES!BX84</f>
        <v>0</v>
      </c>
    </row>
    <row r="89" spans="2:90">
      <c r="B89" s="410">
        <v>45005</v>
      </c>
      <c r="C89" s="204">
        <f t="shared" ca="1" si="33"/>
        <v>300</v>
      </c>
      <c r="D89" s="202">
        <f ca="1">'CALCULO DE GAS'!D91</f>
        <v>4.9227195673316713</v>
      </c>
      <c r="E89" s="202">
        <f ca="1">IF(B89&gt;=$J$5,0,(CONTADORES!$AB85-CONTADORES!$AB84)-$H89)</f>
        <v>24</v>
      </c>
      <c r="F89" s="204">
        <f t="shared" ca="1" si="60"/>
        <v>0</v>
      </c>
      <c r="G89" s="202">
        <f ca="1">IF(B89&gt;=$J$5,0,CONTADORES!$AD85-CONTADORES!$AD84)</f>
        <v>0</v>
      </c>
      <c r="H89" s="1437">
        <f ca="1">IF(G89&gt;0,CONTADORES!$AC85-CONTADORES!$AC84,0)</f>
        <v>0</v>
      </c>
      <c r="I89" s="205">
        <f ca="1">IF(B89&gt;=$J$5,0,CONTADORES!$Z85-CONTADORES!$Z84)</f>
        <v>300</v>
      </c>
      <c r="J89" s="204">
        <f t="shared" ca="1" si="34"/>
        <v>156</v>
      </c>
      <c r="K89" s="202">
        <f ca="1">'CALCULO DE GAS'!E91</f>
        <v>3.7484552281795511</v>
      </c>
      <c r="L89" s="1437">
        <f ca="1">IF(B89&gt;=$J$5,0,(CONTADORES!$W85-CONTADORES!$W84)-$O89)</f>
        <v>24</v>
      </c>
      <c r="M89" s="1437">
        <f t="shared" ca="1" si="59"/>
        <v>0</v>
      </c>
      <c r="N89" s="1437">
        <f ca="1">IF(B89&gt;=$J$5,0,CONTADORES!$Y85-CONTADORES!$Y84)</f>
        <v>0</v>
      </c>
      <c r="O89" s="1437">
        <f ca="1">IF(N89&gt;0,CONTADORES!$X85-CONTADORES!$X84,0)</f>
        <v>0</v>
      </c>
      <c r="P89" s="208">
        <f ca="1">IF(B89&gt;=$J$5,0,CONTADORES!$U85-CONTADORES!$U84)</f>
        <v>156</v>
      </c>
      <c r="Q89" s="208">
        <f ca="1">IF(B89&gt;=$J$5,0,CONTADORES!$B85-CONTADORES!$B84)</f>
        <v>0</v>
      </c>
      <c r="R89" s="202">
        <f t="shared" ca="1" si="35"/>
        <v>0</v>
      </c>
      <c r="S89" s="11">
        <f ca="1">IF(B89&gt;=$J$5,0,CONTADORES!$D85-CONTADORES!$D84)</f>
        <v>0</v>
      </c>
      <c r="T89" s="204">
        <f ca="1">IF(B89&gt;=$J$5,0,CONTADORES!$AZ85-CONTADORES!$AZ84)</f>
        <v>0</v>
      </c>
      <c r="U89" s="202">
        <f t="shared" ca="1" si="36"/>
        <v>0</v>
      </c>
      <c r="V89" s="205">
        <f ca="1">IF(B89&gt;=$J$5,0,CONTADORES!$BB85-CONTADORES!$BB84)</f>
        <v>0</v>
      </c>
      <c r="W89" s="1438">
        <f t="shared" ca="1" si="37"/>
        <v>456</v>
      </c>
      <c r="X89" s="1438">
        <f t="shared" ca="1" si="38"/>
        <v>0</v>
      </c>
      <c r="Y89" s="1439">
        <f t="shared" ca="1" si="39"/>
        <v>456</v>
      </c>
      <c r="Z89" s="1439">
        <f t="shared" ca="1" si="40"/>
        <v>8.6711747955112219</v>
      </c>
      <c r="AA89" s="1439">
        <f t="shared" ca="1" si="41"/>
        <v>0</v>
      </c>
      <c r="AB89" s="1439">
        <f t="shared" ca="1" si="42"/>
        <v>48</v>
      </c>
      <c r="AC89" s="1438">
        <f t="shared" ca="1" si="43"/>
        <v>0</v>
      </c>
      <c r="AD89" s="1438">
        <f ca="1">IF(B89&gt;=$J$5,0,CONTADORES!H85-CONTADORES!H84)</f>
        <v>168</v>
      </c>
      <c r="AE89" s="1438">
        <f ca="1">IF(B89&gt;=$J$5,0,CONTADORES!J85-CONTADORES!J84)</f>
        <v>24</v>
      </c>
      <c r="AF89" s="1438">
        <f ca="1">IF(B89&gt;=$J$5,0,CONTADORES!AS85-CONTADORES!AS84)</f>
        <v>144</v>
      </c>
      <c r="AG89" s="1438">
        <f ca="1">IF(B89&gt;=$J$5,0,CONTADORES!AU85-CONTADORES!AU84)</f>
        <v>24</v>
      </c>
      <c r="AH89" s="1438">
        <f ca="1">IF(B89&gt;=$J$5,0,(CONTADORES!AK85-CONTADORES!AK84)+(CONTADORES!K85-CONTADORES!K84))</f>
        <v>11.5</v>
      </c>
      <c r="AI89" s="1438">
        <f ca="1">IF(B89&gt;=$J$5,0,(CONTADORES!AI85-CONTADORES!AI84)+(CONTADORES!M85-CONTADORES!M84))</f>
        <v>41.599999999998545</v>
      </c>
      <c r="AJ89" s="1438">
        <f ca="1">IF(B89&gt;=$J$5,0,(CONTADORES!AG85-CONTADORES!AG84))</f>
        <v>8.8000000000029104</v>
      </c>
      <c r="AK89" s="1438">
        <f ca="1">IF(B89&gt;=$J$5,0,(CONTADORES!O85-CONTADORES!O84))</f>
        <v>16.199999999982538</v>
      </c>
      <c r="AL89" s="1438">
        <f t="shared" ca="1" si="44"/>
        <v>35.500000000014552</v>
      </c>
      <c r="AM89" s="1438">
        <f ca="1">IF(B89&gt;=$J$5,0,(((CONTADORES!F85-CONTADORES!F84)+(CONTADORES!AO85-CONTADORES!AO84))))-BJ89-AF89-AN89-BM89-BP89-BU89-BS89</f>
        <v>10.622000000002924</v>
      </c>
      <c r="AN89" s="1438">
        <f ca="1">IF(B89&gt;=$J$5,0,(CONTADORES!AV85-CONTADORES!AV84)+(CONTADORES!AX85-CONTADORES!AX84)+(CONTADORES!BC85-CONTADORES!BC84))-BS89</f>
        <v>2.9349999999996363</v>
      </c>
      <c r="AO89" s="1478">
        <f ca="1">IF(B89&gt;=$J$5,0,(CONTADORES!AA85-CONTADORES!AA84))</f>
        <v>154</v>
      </c>
      <c r="AP89" s="1478">
        <f ca="1">IF(B89&gt;=$J$5,0,(CONTADORES!V85-CONTADORES!V84))</f>
        <v>80</v>
      </c>
      <c r="AQ89" s="1445">
        <f ca="1">IF(B89&gt;=$J$5,0,(CONTADORES!C85-CONTADORES!C84))</f>
        <v>0</v>
      </c>
      <c r="AR89" s="1440">
        <f ca="1">IF(B89&gt;=$J$5,0,(CONTADORES!BA85-CONTADORES!BA84))</f>
        <v>0</v>
      </c>
      <c r="AS89" s="1438">
        <f ca="1">IF(B89&gt;=$J$5,0,CONTADORES!Q85-CONTADORES!Q84)</f>
        <v>17.100000000005821</v>
      </c>
      <c r="AT89" s="1438">
        <f ca="1">IF(B89&gt;=$J$5,0,(CONTADORES!S85-CONTADORES!S84)+(CONTADORES!AE85-CONTADORES!AE84))</f>
        <v>2.1999999999970896</v>
      </c>
      <c r="AU89" s="1450">
        <f>CONTADORES!I85-CONTADORES!I84</f>
        <v>85</v>
      </c>
      <c r="AV89" s="1479">
        <f>CONTADORES!AT85-CONTADORES!AT84</f>
        <v>63</v>
      </c>
      <c r="AW89" s="1479">
        <f ca="1">IF(B89&gt;=$J$5,0,(CONTADORES!L85-CONTADORES!L84)+(CONTADORES!AL85-CONTADORES!AL84))</f>
        <v>4.5</v>
      </c>
      <c r="AX89" s="1479">
        <f ca="1">IF(B89&gt;=$J$5,0,(CONTADORES!N85-CONTADORES!N84)+(CONTADORES!AJ85-CONTADORES!AJ84))</f>
        <v>33.599999999998545</v>
      </c>
      <c r="AY89" s="1479">
        <f ca="1">IF(B89&gt;=$J$5,0,(CONTADORES!AH85-CONTADORES!AH84))</f>
        <v>6.9000000000014552</v>
      </c>
      <c r="AZ89" s="1479">
        <f ca="1">IF(B89&gt;=$J$5,0,(CONTADORES!P85-CONTADORES!P84))</f>
        <v>13.30000000000291</v>
      </c>
      <c r="BA89" s="1438">
        <f t="shared" ca="1" si="45"/>
        <v>11.18199999999635</v>
      </c>
      <c r="BB89" s="1438">
        <f ca="1">IF(B89&gt;=$J$5,0,(((CONTADORES!G85-CONTADORES!G84)+(CONTADORES!AP85-CONTADORES!AP84))))-AV89-BC89-BK89-BN89-BQ89-BV89</f>
        <v>8.6300000000017398</v>
      </c>
      <c r="BC89" s="1438">
        <f ca="1">IF(B89&gt;=$J$5,0,(CONTADORES!AW85-CONTADORES!AW84)+(CONTADORES!AY85-CONTADORES!AY84)+(CONTADORES!BD85-CONTADORES!BD84))-BT89</f>
        <v>1.1819999999997157</v>
      </c>
      <c r="BD89" s="1438">
        <f t="shared" ca="1" si="46"/>
        <v>234</v>
      </c>
      <c r="BE89" s="1450">
        <f ca="1">IF($B89&gt;=$J$5,0,CONTADORES!$BE85)</f>
        <v>6000.67</v>
      </c>
      <c r="BF89" s="1479">
        <f ca="1">IF($B89&gt;=$J$5,0,CONTADORES!$BF85)</f>
        <v>34737.321052631603</v>
      </c>
      <c r="BG89" s="1438">
        <f ca="1">IF($B89&gt;=$J$5,0,CONTADORES!$BH85)</f>
        <v>5333.94</v>
      </c>
      <c r="BH89" s="1438">
        <f ca="1">IF(B89&gt;=$J$5,0,(CONTADORES!AQ85-CONTADORES!AQ84))</f>
        <v>5</v>
      </c>
      <c r="BI89" s="1438">
        <f ca="1">IF(B89&gt;=$J$5,0,(CONTADORES!AR85-CONTADORES!AR84))</f>
        <v>0</v>
      </c>
      <c r="BJ89" s="1450">
        <f ca="1">IF(B89&gt;=$J$5,0,CONTADORES!BI85-CONTADORES!BI84)/1000</f>
        <v>2.2000000000000002</v>
      </c>
      <c r="BK89" s="1479">
        <f ca="1">IF(B89&gt;=$J$5,0,CONTADORES!BJ85-CONTADORES!BJ84)</f>
        <v>1</v>
      </c>
      <c r="BL89" s="1479">
        <f ca="1">IF(B89&gt;=$J$5,0,CONTADORES!BK85-CONTADORES!BK84)</f>
        <v>24</v>
      </c>
      <c r="BM89" s="1479">
        <f ca="1">IF(B89&gt;=$J$5,0,CONTADORES!BL85-CONTADORES!BL84)/1000</f>
        <v>5.9779999999999998</v>
      </c>
      <c r="BN89" s="1479">
        <f ca="1">IF(B89&gt;=$J$5,0,CONTADORES!BM85-CONTADORES!BM84)/1000</f>
        <v>8.7999999999999995E-2</v>
      </c>
      <c r="BO89" s="1479">
        <f ca="1">IF(B89&gt;=$J$5,0,CONTADORES!BN85-CONTADORES!BN84)</f>
        <v>24</v>
      </c>
      <c r="BP89" s="1479">
        <f ca="1">IF(B89&gt;=$J$5,0,CONTADORES!BO85-CONTADORES!BO84)/1000</f>
        <v>0</v>
      </c>
      <c r="BQ89" s="1479">
        <f ca="1">IF(B89&gt;=$J$5,0,CONTADORES!BP85-CONTADORES!BP84)/1000</f>
        <v>0</v>
      </c>
      <c r="BR89" s="1479">
        <f ca="1">IF(B89&gt;=$J$5,0,CONTADORES!BQ85-CONTADORES!BQ84)</f>
        <v>0</v>
      </c>
      <c r="BS89" s="1450">
        <f ca="1">IF(B89&gt;=$J$5,0,(CONTADORES!BT85-CONTADORES!BT84)+(CONTADORES!BV85-CONTADORES!BV84))/1000</f>
        <v>1.4650000000000001</v>
      </c>
      <c r="BT89" s="1479">
        <f ca="1">IF(B89&gt;=$J$5,0,(CONTADORES!BU85-CONTADORES!BU84)+(CONTADORES!BW85-CONTADORES!BW84))/1000</f>
        <v>0.81799999999999995</v>
      </c>
      <c r="BU89" s="1450">
        <f ca="1">IF(B89&gt;=$J$5,0,CONTADORES!BR85-CONTADORES!BR84)</f>
        <v>7.1999999999989086</v>
      </c>
      <c r="BV89" s="1479">
        <f ca="1">IF(B89&gt;=$J$5,0,CONTADORES!BS85-CONTADORES!BS84)</f>
        <v>4.7999999999992724</v>
      </c>
      <c r="BW89" s="1479">
        <f t="shared" ca="1" si="47"/>
        <v>12.51100000000037</v>
      </c>
      <c r="BX89" s="1479">
        <f t="shared" ca="1" si="48"/>
        <v>9.1150000000001423</v>
      </c>
      <c r="BY89" s="1479">
        <f t="shared" ca="1" si="49"/>
        <v>5.3110000000014619</v>
      </c>
      <c r="BZ89" s="1479">
        <f t="shared" ca="1" si="50"/>
        <v>1.1739999999998545</v>
      </c>
      <c r="CA89" s="1479">
        <f t="shared" ca="1" si="51"/>
        <v>5.3110000000014619</v>
      </c>
      <c r="CB89" s="1479">
        <f t="shared" ca="1" si="52"/>
        <v>1.7609999999997819</v>
      </c>
      <c r="CC89" s="1479">
        <f t="shared" ca="1" si="53"/>
        <v>2.6389999999998546</v>
      </c>
      <c r="CD89" s="1479">
        <f t="shared" ca="1" si="54"/>
        <v>4.3150000000008699</v>
      </c>
      <c r="CE89" s="1479">
        <f ca="1">IF(B89&gt;=$J$5,0,CONTADORES!BS85-CONTADORES!BS84)</f>
        <v>4.7999999999992724</v>
      </c>
      <c r="CF89" s="1479">
        <f t="shared" ca="1" si="55"/>
        <v>4.3150000000008699</v>
      </c>
      <c r="CG89" s="1479">
        <f t="shared" ca="1" si="56"/>
        <v>0.59099999999985786</v>
      </c>
      <c r="CH89" s="1479">
        <f t="shared" ca="1" si="57"/>
        <v>0.59099999999985786</v>
      </c>
      <c r="CI89" s="1479">
        <f t="shared" ca="1" si="58"/>
        <v>1.4089999999998577</v>
      </c>
      <c r="CJ89" s="1480">
        <f ca="1">IF($B89&gt;=$J$5,0,CONTADORES!$BG85)</f>
        <v>10572.9787641316</v>
      </c>
      <c r="CK89" s="1384">
        <f>CONTADORES!E85</f>
        <v>0</v>
      </c>
      <c r="CL89" s="1384">
        <f>CONTADORES!BX85</f>
        <v>0</v>
      </c>
    </row>
    <row r="90" spans="2:90">
      <c r="B90" s="410">
        <v>45006</v>
      </c>
      <c r="C90" s="204">
        <f t="shared" ca="1" si="33"/>
        <v>303</v>
      </c>
      <c r="D90" s="202">
        <f ca="1">'CALCULO DE GAS'!D92</f>
        <v>4.9471834077306731</v>
      </c>
      <c r="E90" s="202">
        <f ca="1">IF(B90&gt;=$J$5,0,(CONTADORES!$AB86-CONTADORES!$AB85)-$H90)</f>
        <v>24</v>
      </c>
      <c r="F90" s="204">
        <f t="shared" ca="1" si="60"/>
        <v>0</v>
      </c>
      <c r="G90" s="202">
        <f ca="1">IF(B90&gt;=$J$5,0,CONTADORES!$AD86-CONTADORES!$AD85)</f>
        <v>0</v>
      </c>
      <c r="H90" s="1437">
        <f ca="1">IF(G90&gt;0,CONTADORES!$AC86-CONTADORES!$AC85,0)</f>
        <v>0</v>
      </c>
      <c r="I90" s="205">
        <f ca="1">IF(B90&gt;=$J$5,0,CONTADORES!$Z86-CONTADORES!$Z85)</f>
        <v>303</v>
      </c>
      <c r="J90" s="204">
        <f t="shared" ca="1" si="34"/>
        <v>154</v>
      </c>
      <c r="K90" s="202">
        <f ca="1">'CALCULO DE GAS'!E92</f>
        <v>3.7321460012468828</v>
      </c>
      <c r="L90" s="1437">
        <f ca="1">IF(B90&gt;=$J$5,0,(CONTADORES!$W86-CONTADORES!$W85)-$O90)</f>
        <v>24</v>
      </c>
      <c r="M90" s="1437">
        <f t="shared" ca="1" si="59"/>
        <v>0</v>
      </c>
      <c r="N90" s="1437">
        <f ca="1">IF(B90&gt;=$J$5,0,CONTADORES!$Y86-CONTADORES!$Y85)</f>
        <v>0</v>
      </c>
      <c r="O90" s="1437">
        <f ca="1">IF(N90&gt;0,CONTADORES!$X86-CONTADORES!$X85,0)</f>
        <v>0</v>
      </c>
      <c r="P90" s="208">
        <f ca="1">IF(B90&gt;=$J$5,0,CONTADORES!$U86-CONTADORES!$U85)</f>
        <v>154</v>
      </c>
      <c r="Q90" s="208">
        <f ca="1">IF(B90&gt;=$J$5,0,CONTADORES!$B86-CONTADORES!$B85)</f>
        <v>0.2419999999999618</v>
      </c>
      <c r="R90" s="202">
        <f t="shared" ca="1" si="35"/>
        <v>29.039999999995416</v>
      </c>
      <c r="S90" s="11">
        <f ca="1">IF(B90&gt;=$J$5,0,CONTADORES!$D86-CONTADORES!$D85)</f>
        <v>0.8000000000001819</v>
      </c>
      <c r="T90" s="204">
        <f ca="1">IF(B90&gt;=$J$5,0,CONTADORES!$AZ86-CONTADORES!$AZ85)</f>
        <v>0.31100000000003547</v>
      </c>
      <c r="U90" s="202">
        <f t="shared" ca="1" si="36"/>
        <v>37.320000000004256</v>
      </c>
      <c r="V90" s="205">
        <f ca="1">IF(B90&gt;=$J$5,0,CONTADORES!$BB86-CONTADORES!$BB85)</f>
        <v>0.39999999999986358</v>
      </c>
      <c r="W90" s="1438">
        <f t="shared" ca="1" si="37"/>
        <v>457</v>
      </c>
      <c r="X90" s="1438">
        <f t="shared" ca="1" si="38"/>
        <v>0.55299999999999727</v>
      </c>
      <c r="Y90" s="1439">
        <f t="shared" ca="1" si="39"/>
        <v>457.553</v>
      </c>
      <c r="Z90" s="1439">
        <f t="shared" ca="1" si="40"/>
        <v>8.679329408977555</v>
      </c>
      <c r="AA90" s="1439">
        <f t="shared" ca="1" si="41"/>
        <v>66.359999999999673</v>
      </c>
      <c r="AB90" s="1439">
        <f t="shared" ca="1" si="42"/>
        <v>48</v>
      </c>
      <c r="AC90" s="1438">
        <f t="shared" ca="1" si="43"/>
        <v>1.2000000000000455</v>
      </c>
      <c r="AD90" s="1438">
        <f ca="1">IF(B90&gt;=$J$5,0,CONTADORES!H86-CONTADORES!H85)</f>
        <v>170</v>
      </c>
      <c r="AE90" s="1438">
        <f ca="1">IF(B90&gt;=$J$5,0,CONTADORES!J86-CONTADORES!J85)</f>
        <v>24</v>
      </c>
      <c r="AF90" s="1438">
        <f ca="1">IF(B90&gt;=$J$5,0,CONTADORES!AS86-CONTADORES!AS85)</f>
        <v>149</v>
      </c>
      <c r="AG90" s="1438">
        <f ca="1">IF(B90&gt;=$J$5,0,CONTADORES!AU86-CONTADORES!AU85)</f>
        <v>24</v>
      </c>
      <c r="AH90" s="1438">
        <f ca="1">IF(B90&gt;=$J$5,0,(CONTADORES!AK86-CONTADORES!AK85)+(CONTADORES!K86-CONTADORES!K85))</f>
        <v>11.399999999994179</v>
      </c>
      <c r="AI90" s="1438">
        <f ca="1">IF(B90&gt;=$J$5,0,(CONTADORES!AI86-CONTADORES!AI85)+(CONTADORES!M86-CONTADORES!M85))</f>
        <v>43.600000000005821</v>
      </c>
      <c r="AJ90" s="1438">
        <f ca="1">IF(B90&gt;=$J$5,0,(CONTADORES!AG86-CONTADORES!AG85))</f>
        <v>8.5</v>
      </c>
      <c r="AK90" s="1438">
        <f ca="1">IF(B90&gt;=$J$5,0,(CONTADORES!O86-CONTADORES!O85))</f>
        <v>16.5</v>
      </c>
      <c r="AL90" s="1438">
        <f t="shared" ca="1" si="44"/>
        <v>31.052999999999884</v>
      </c>
      <c r="AM90" s="1438">
        <f ca="1">IF(B90&gt;=$J$5,0,(((CONTADORES!F86-CONTADORES!F85)+(CONTADORES!AO86-CONTADORES!AO85))))-BJ90-AF90-AN90-BM90-BP90-BU90-BS90</f>
        <v>7.8379999999991137</v>
      </c>
      <c r="AN90" s="1438">
        <f ca="1">IF(B90&gt;=$J$5,0,(CONTADORES!AV86-CONTADORES!AV85)+(CONTADORES!AX86-CONTADORES!AX85)+(CONTADORES!BC86-CONTADORES!BC85))-BS90</f>
        <v>2.5640000000008927</v>
      </c>
      <c r="AO90" s="1478">
        <f ca="1">IF(B90&gt;=$J$5,0,(CONTADORES!AA86-CONTADORES!AA85))</f>
        <v>152</v>
      </c>
      <c r="AP90" s="1478">
        <f ca="1">IF(B90&gt;=$J$5,0,(CONTADORES!V86-CONTADORES!V85))</f>
        <v>82</v>
      </c>
      <c r="AQ90" s="1445">
        <f ca="1">IF(B90&gt;=$J$5,0,(CONTADORES!C86-CONTADORES!C85))</f>
        <v>8.4000000000060027E-2</v>
      </c>
      <c r="AR90" s="1440">
        <f ca="1">IF(B90&gt;=$J$5,0,(CONTADORES!BA86-CONTADORES!BA85))</f>
        <v>0.117999999999995</v>
      </c>
      <c r="AS90" s="1438">
        <f ca="1">IF(B90&gt;=$J$5,0,CONTADORES!Q86-CONTADORES!Q85)</f>
        <v>15.799999999988358</v>
      </c>
      <c r="AT90" s="1438">
        <f ca="1">IF(B90&gt;=$J$5,0,(CONTADORES!S86-CONTADORES!S85)+(CONTADORES!AE86-CONTADORES!AE85))</f>
        <v>2.5</v>
      </c>
      <c r="AU90" s="1450">
        <f>CONTADORES!I86-CONTADORES!I85</f>
        <v>85</v>
      </c>
      <c r="AV90" s="1479">
        <f>CONTADORES!AT86-CONTADORES!AT85</f>
        <v>64</v>
      </c>
      <c r="AW90" s="1479">
        <f ca="1">IF(B90&gt;=$J$5,0,(CONTADORES!L86-CONTADORES!L85)+(CONTADORES!AL86-CONTADORES!AL85))</f>
        <v>4.5</v>
      </c>
      <c r="AX90" s="1479">
        <f ca="1">IF(B90&gt;=$J$5,0,(CONTADORES!N86-CONTADORES!N85)+(CONTADORES!AJ86-CONTADORES!AJ85))</f>
        <v>35.599999999998545</v>
      </c>
      <c r="AY90" s="1479">
        <f ca="1">IF(B90&gt;=$J$5,0,(CONTADORES!AH86-CONTADORES!AH85))</f>
        <v>6.5999999999985448</v>
      </c>
      <c r="AZ90" s="1479">
        <f ca="1">IF(B90&gt;=$J$5,0,(CONTADORES!P86-CONTADORES!P85))</f>
        <v>13.69999999999709</v>
      </c>
      <c r="BA90" s="1438">
        <f t="shared" ca="1" si="45"/>
        <v>8.0640000000062457</v>
      </c>
      <c r="BB90" s="1438">
        <f ca="1">IF(B90&gt;=$J$5,0,(((CONTADORES!G86-CONTADORES!G85)+(CONTADORES!AP86-CONTADORES!AP85))))-AV90-BC90-BK90-BN90-BQ90-BV90</f>
        <v>8.4759999999995568</v>
      </c>
      <c r="BC90" s="1438">
        <f ca="1">IF(B90&gt;=$J$5,0,(CONTADORES!AW86-CONTADORES!AW85)+(CONTADORES!AY86-CONTADORES!AY85)+(CONTADORES!BD86-CONTADORES!BD85))-BT90</f>
        <v>1.2920000000000806</v>
      </c>
      <c r="BD90" s="1438">
        <f t="shared" ca="1" si="46"/>
        <v>234.20200000000006</v>
      </c>
      <c r="BE90" s="1450">
        <f ca="1">IF($B90&gt;=$J$5,0,CONTADORES!$BE86)</f>
        <v>7031.12</v>
      </c>
      <c r="BF90" s="1479">
        <f ca="1">IF($B90&gt;=$J$5,0,CONTADORES!$BF86)</f>
        <v>34610.863157894702</v>
      </c>
      <c r="BG90" s="1438">
        <f ca="1">IF($B90&gt;=$J$5,0,CONTADORES!$BH86)</f>
        <v>5027.07</v>
      </c>
      <c r="BH90" s="1438">
        <f ca="1">IF(B90&gt;=$J$5,0,(CONTADORES!AQ86-CONTADORES!AQ85))</f>
        <v>5</v>
      </c>
      <c r="BI90" s="1438">
        <f ca="1">IF(B90&gt;=$J$5,0,(CONTADORES!AR86-CONTADORES!AR85))</f>
        <v>0</v>
      </c>
      <c r="BJ90" s="1450">
        <f ca="1">IF(B90&gt;=$J$5,0,CONTADORES!BI86-CONTADORES!BI85)/1000</f>
        <v>2.1</v>
      </c>
      <c r="BK90" s="1479">
        <f ca="1">IF(B90&gt;=$J$5,0,CONTADORES!BJ86-CONTADORES!BJ85)</f>
        <v>1</v>
      </c>
      <c r="BL90" s="1479">
        <f ca="1">IF(B90&gt;=$J$5,0,CONTADORES!BK86-CONTADORES!BK85)</f>
        <v>24</v>
      </c>
      <c r="BM90" s="1479">
        <f ca="1">IF(B90&gt;=$J$5,0,CONTADORES!BL86-CONTADORES!BL85)/1000</f>
        <v>6.0119999999999996</v>
      </c>
      <c r="BN90" s="1479">
        <f ca="1">IF(B90&gt;=$J$5,0,CONTADORES!BM86-CONTADORES!BM85)/1000</f>
        <v>0.13200000000000001</v>
      </c>
      <c r="BO90" s="1479">
        <f ca="1">IF(B90&gt;=$J$5,0,CONTADORES!BN86-CONTADORES!BN85)</f>
        <v>24</v>
      </c>
      <c r="BP90" s="1479">
        <f ca="1">IF(B90&gt;=$J$5,0,CONTADORES!BO86-CONTADORES!BO85)/1000</f>
        <v>0</v>
      </c>
      <c r="BQ90" s="1479">
        <f ca="1">IF(B90&gt;=$J$5,0,CONTADORES!BP86-CONTADORES!BP85)/1000</f>
        <v>0</v>
      </c>
      <c r="BR90" s="1479">
        <f ca="1">IF(B90&gt;=$J$5,0,CONTADORES!BQ86-CONTADORES!BQ85)</f>
        <v>0</v>
      </c>
      <c r="BS90" s="1450">
        <f ca="1">IF(B90&gt;=$J$5,0,(CONTADORES!BT86-CONTADORES!BT85)+(CONTADORES!BV86-CONTADORES!BV85))/1000</f>
        <v>1.486</v>
      </c>
      <c r="BT90" s="1479">
        <f ca="1">IF(B90&gt;=$J$5,0,(CONTADORES!BU86-CONTADORES!BU85)+(CONTADORES!BW86-CONTADORES!BW85))/1000</f>
        <v>0.83799999999999997</v>
      </c>
      <c r="BU90" s="1450">
        <f ca="1">IF(B90&gt;=$J$5,0,CONTADORES!BR86-CONTADORES!BR85)</f>
        <v>7.5</v>
      </c>
      <c r="BV90" s="1479">
        <f ca="1">IF(B90&gt;=$J$5,0,CONTADORES!BS86-CONTADORES!BS85)</f>
        <v>5</v>
      </c>
      <c r="BW90" s="1479">
        <f t="shared" ca="1" si="47"/>
        <v>11.418999999999556</v>
      </c>
      <c r="BX90" s="1479">
        <f t="shared" ca="1" si="48"/>
        <v>9.2379999999997793</v>
      </c>
      <c r="BY90" s="1479">
        <f t="shared" ca="1" si="49"/>
        <v>3.9189999999995568</v>
      </c>
      <c r="BZ90" s="1479">
        <f t="shared" ca="1" si="50"/>
        <v>1.0256000000003571</v>
      </c>
      <c r="CA90" s="1479">
        <f t="shared" ca="1" si="51"/>
        <v>3.9189999999995568</v>
      </c>
      <c r="CB90" s="1479">
        <f t="shared" ca="1" si="52"/>
        <v>1.5384000000005356</v>
      </c>
      <c r="CC90" s="1479">
        <f t="shared" ca="1" si="53"/>
        <v>2.5116000000003571</v>
      </c>
      <c r="CD90" s="1479">
        <f t="shared" ca="1" si="54"/>
        <v>4.2379999999997784</v>
      </c>
      <c r="CE90" s="1479">
        <f ca="1">IF(B90&gt;=$J$5,0,CONTADORES!BS86-CONTADORES!BS85)</f>
        <v>5</v>
      </c>
      <c r="CF90" s="1479">
        <f t="shared" ca="1" si="55"/>
        <v>4.2379999999997784</v>
      </c>
      <c r="CG90" s="1479">
        <f t="shared" ca="1" si="56"/>
        <v>0.64600000000004032</v>
      </c>
      <c r="CH90" s="1479">
        <f t="shared" ca="1" si="57"/>
        <v>0.64600000000004032</v>
      </c>
      <c r="CI90" s="1479">
        <f t="shared" ca="1" si="58"/>
        <v>1.4840000000000404</v>
      </c>
      <c r="CJ90" s="1480">
        <f ca="1">IF($B90&gt;=$J$5,0,CONTADORES!$BG86)</f>
        <v>10404.382279318999</v>
      </c>
      <c r="CK90" s="1384">
        <f>CONTADORES!E86</f>
        <v>0.2</v>
      </c>
      <c r="CL90" s="1384">
        <f>CONTADORES!BX86</f>
        <v>0.3</v>
      </c>
    </row>
    <row r="91" spans="2:90">
      <c r="B91" s="410">
        <v>45007</v>
      </c>
      <c r="C91" s="204">
        <f t="shared" ca="1" si="33"/>
        <v>298</v>
      </c>
      <c r="D91" s="202">
        <f ca="1">'CALCULO DE GAS'!D93</f>
        <v>4.9064103403990025</v>
      </c>
      <c r="E91" s="202">
        <f ca="1">IF(B91&gt;=$J$5,0,(CONTADORES!$AB87-CONTADORES!$AB86)-$H91)</f>
        <v>24</v>
      </c>
      <c r="F91" s="204">
        <f t="shared" ca="1" si="60"/>
        <v>0</v>
      </c>
      <c r="G91" s="202">
        <f ca="1">IF(B91&gt;=$J$5,0,CONTADORES!$AD87-CONTADORES!$AD86)</f>
        <v>0</v>
      </c>
      <c r="H91" s="1437">
        <f ca="1">IF(G91&gt;0,CONTADORES!$AC87-CONTADORES!$AC86,0)</f>
        <v>0</v>
      </c>
      <c r="I91" s="205">
        <f ca="1">IF(B91&gt;=$J$5,0,CONTADORES!$Z87-CONTADORES!$Z86)</f>
        <v>298</v>
      </c>
      <c r="J91" s="204">
        <f t="shared" ca="1" si="34"/>
        <v>154</v>
      </c>
      <c r="K91" s="202">
        <f ca="1">'CALCULO DE GAS'!E93</f>
        <v>3.7321460012468828</v>
      </c>
      <c r="L91" s="1437">
        <f ca="1">IF(B91&gt;=$J$5,0,(CONTADORES!$W87-CONTADORES!$W86)-$O91)</f>
        <v>24</v>
      </c>
      <c r="M91" s="1437">
        <f t="shared" ca="1" si="59"/>
        <v>0</v>
      </c>
      <c r="N91" s="1437">
        <f ca="1">IF(B91&gt;=$J$5,0,CONTADORES!$Y87-CONTADORES!$Y86)</f>
        <v>0</v>
      </c>
      <c r="O91" s="1437">
        <f ca="1">IF(N91&gt;0,CONTADORES!$X87-CONTADORES!$X86,0)</f>
        <v>0</v>
      </c>
      <c r="P91" s="208">
        <f ca="1">IF(B91&gt;=$J$5,0,CONTADORES!$U87-CONTADORES!$U86)</f>
        <v>154</v>
      </c>
      <c r="Q91" s="208">
        <f ca="1">IF(B91&gt;=$J$5,0,CONTADORES!$B87-CONTADORES!$B86)</f>
        <v>0</v>
      </c>
      <c r="R91" s="202">
        <f t="shared" ca="1" si="35"/>
        <v>0</v>
      </c>
      <c r="S91" s="11">
        <f ca="1">IF(B91&gt;=$J$5,0,CONTADORES!$D87-CONTADORES!$D86)</f>
        <v>0</v>
      </c>
      <c r="T91" s="204">
        <f ca="1">IF(B91&gt;=$J$5,0,CONTADORES!$AZ87-CONTADORES!$AZ86)</f>
        <v>0</v>
      </c>
      <c r="U91" s="202">
        <f t="shared" ca="1" si="36"/>
        <v>0</v>
      </c>
      <c r="V91" s="205">
        <f ca="1">IF(B91&gt;=$J$5,0,CONTADORES!$BB87-CONTADORES!$BB86)</f>
        <v>0</v>
      </c>
      <c r="W91" s="1438">
        <f t="shared" ca="1" si="37"/>
        <v>452</v>
      </c>
      <c r="X91" s="1438">
        <f t="shared" ca="1" si="38"/>
        <v>0</v>
      </c>
      <c r="Y91" s="1439">
        <f t="shared" ca="1" si="39"/>
        <v>452</v>
      </c>
      <c r="Z91" s="1439">
        <f t="shared" ca="1" si="40"/>
        <v>8.6385563416458844</v>
      </c>
      <c r="AA91" s="1439">
        <f t="shared" ca="1" si="41"/>
        <v>0</v>
      </c>
      <c r="AB91" s="1439">
        <f t="shared" ca="1" si="42"/>
        <v>48</v>
      </c>
      <c r="AC91" s="1438">
        <f t="shared" ca="1" si="43"/>
        <v>0</v>
      </c>
      <c r="AD91" s="1438">
        <f ca="1">IF(B91&gt;=$J$5,0,CONTADORES!H87-CONTADORES!H86)</f>
        <v>166</v>
      </c>
      <c r="AE91" s="1438">
        <f ca="1">IF(B91&gt;=$J$5,0,CONTADORES!J87-CONTADORES!J86)</f>
        <v>24</v>
      </c>
      <c r="AF91" s="1438">
        <f ca="1">IF(B91&gt;=$J$5,0,CONTADORES!AS87-CONTADORES!AS86)</f>
        <v>139</v>
      </c>
      <c r="AG91" s="1438">
        <f ca="1">IF(B91&gt;=$J$5,0,CONTADORES!AU87-CONTADORES!AU86)</f>
        <v>24</v>
      </c>
      <c r="AH91" s="1438">
        <f ca="1">IF(B91&gt;=$J$5,0,(CONTADORES!AK87-CONTADORES!AK86)+(CONTADORES!K87-CONTADORES!K86))</f>
        <v>14.100000000005821</v>
      </c>
      <c r="AI91" s="1438">
        <f ca="1">IF(B91&gt;=$J$5,0,(CONTADORES!AI87-CONTADORES!AI86)+(CONTADORES!M87-CONTADORES!M86))</f>
        <v>39.19999999999709</v>
      </c>
      <c r="AJ91" s="1438">
        <f ca="1">IF(B91&gt;=$J$5,0,(CONTADORES!AG87-CONTADORES!AG86))</f>
        <v>8</v>
      </c>
      <c r="AK91" s="1438">
        <f ca="1">IF(B91&gt;=$J$5,0,(CONTADORES!O87-CONTADORES!O86))</f>
        <v>15.700000000011642</v>
      </c>
      <c r="AL91" s="1438">
        <f t="shared" ca="1" si="44"/>
        <v>39.699999999986233</v>
      </c>
      <c r="AM91" s="1438">
        <f ca="1">IF(B91&gt;=$J$5,0,(((CONTADORES!F87-CONTADORES!F86)+(CONTADORES!AO87-CONTADORES!AO86))))-BJ91-AF91-AN91-BM91-BP91-BU91-BS91</f>
        <v>11.434999999998739</v>
      </c>
      <c r="AN91" s="1438">
        <f ca="1">IF(B91&gt;=$J$5,0,(CONTADORES!AV87-CONTADORES!AV86)+(CONTADORES!AX87-CONTADORES!AX86)+(CONTADORES!BC87-CONTADORES!BC86))-BS91</f>
        <v>2.3209999999998181</v>
      </c>
      <c r="AO91" s="1478">
        <f ca="1">IF(B91&gt;=$J$5,0,(CONTADORES!AA87-CONTADORES!AA86))</f>
        <v>150</v>
      </c>
      <c r="AP91" s="1478">
        <f ca="1">IF(B91&gt;=$J$5,0,(CONTADORES!V87-CONTADORES!V86))</f>
        <v>82</v>
      </c>
      <c r="AQ91" s="1445">
        <f ca="1">IF(B91&gt;=$J$5,0,(CONTADORES!C87-CONTADORES!C86))</f>
        <v>0</v>
      </c>
      <c r="AR91" s="1440">
        <f ca="1">IF(B91&gt;=$J$5,0,(CONTADORES!BA87-CONTADORES!BA86))</f>
        <v>0</v>
      </c>
      <c r="AS91" s="1438">
        <f ca="1">IF(B91&gt;=$J$5,0,CONTADORES!Q87-CONTADORES!Q86)</f>
        <v>14.5</v>
      </c>
      <c r="AT91" s="1438">
        <f ca="1">IF(B91&gt;=$J$5,0,(CONTADORES!S87-CONTADORES!S86)+(CONTADORES!AE87-CONTADORES!AE86))</f>
        <v>2.5999999999985448</v>
      </c>
      <c r="AU91" s="1450">
        <f>CONTADORES!I87-CONTADORES!I86</f>
        <v>84</v>
      </c>
      <c r="AV91" s="1479">
        <f>CONTADORES!AT87-CONTADORES!AT86</f>
        <v>62</v>
      </c>
      <c r="AW91" s="1479">
        <f ca="1">IF(B91&gt;=$J$5,0,(CONTADORES!L87-CONTADORES!L86)+(CONTADORES!AL87-CONTADORES!AL86))</f>
        <v>5.6000000000021828</v>
      </c>
      <c r="AX91" s="1479">
        <f ca="1">IF(B91&gt;=$J$5,0,(CONTADORES!N87-CONTADORES!N86)+(CONTADORES!AJ87-CONTADORES!AJ86))</f>
        <v>31.900000000001455</v>
      </c>
      <c r="AY91" s="1479">
        <f ca="1">IF(B91&gt;=$J$5,0,(CONTADORES!AH87-CONTADORES!AH86))</f>
        <v>6.2000000000043656</v>
      </c>
      <c r="AZ91" s="1479">
        <f ca="1">IF(B91&gt;=$J$5,0,(CONTADORES!P87-CONTADORES!P86))</f>
        <v>12.69999999999709</v>
      </c>
      <c r="BA91" s="1438">
        <f t="shared" ca="1" si="45"/>
        <v>14.935999999995289</v>
      </c>
      <c r="BB91" s="1438">
        <f ca="1">IF(B91&gt;=$J$5,0,(((CONTADORES!G87-CONTADORES!G86)+(CONTADORES!AP87-CONTADORES!AP86))))-AV91-BC91-BK91-BN91-BQ91-BV91</f>
        <v>6.5739999999993515</v>
      </c>
      <c r="BC91" s="1438">
        <f ca="1">IF(B91&gt;=$J$5,0,(CONTADORES!AW87-CONTADORES!AW86)+(CONTADORES!AY87-CONTADORES!AY86)+(CONTADORES!BD87-CONTADORES!BD86))-BT91</f>
        <v>1.4360000000001023</v>
      </c>
      <c r="BD91" s="1438">
        <f t="shared" ca="1" si="46"/>
        <v>232</v>
      </c>
      <c r="BE91" s="1450">
        <f ca="1">IF($B91&gt;=$J$5,0,CONTADORES!$BE87)</f>
        <v>6453.46</v>
      </c>
      <c r="BF91" s="1479">
        <f ca="1">IF($B91&gt;=$J$5,0,CONTADORES!$BF87)</f>
        <v>31828.163157894702</v>
      </c>
      <c r="BG91" s="1438">
        <f ca="1">IF($B91&gt;=$J$5,0,CONTADORES!$BH87)</f>
        <v>4924.47</v>
      </c>
      <c r="BH91" s="1438">
        <f ca="1">IF(B91&gt;=$J$5,0,(CONTADORES!AQ87-CONTADORES!AQ86))</f>
        <v>5</v>
      </c>
      <c r="BI91" s="1438">
        <f ca="1">IF(B91&gt;=$J$5,0,(CONTADORES!AR87-CONTADORES!AR86))</f>
        <v>0</v>
      </c>
      <c r="BJ91" s="1450">
        <f ca="1">IF(B91&gt;=$J$5,0,CONTADORES!BI87-CONTADORES!BI86)/1000</f>
        <v>2.2000000000000002</v>
      </c>
      <c r="BK91" s="1479">
        <f ca="1">IF(B91&gt;=$J$5,0,CONTADORES!BJ87-CONTADORES!BJ86)</f>
        <v>1</v>
      </c>
      <c r="BL91" s="1479">
        <f ca="1">IF(B91&gt;=$J$5,0,CONTADORES!BK87-CONTADORES!BK86)</f>
        <v>24</v>
      </c>
      <c r="BM91" s="1479">
        <f ca="1">IF(B91&gt;=$J$5,0,CONTADORES!BL87-CONTADORES!BL86)/1000</f>
        <v>5.7649999999999997</v>
      </c>
      <c r="BN91" s="1479">
        <f ca="1">IF(B91&gt;=$J$5,0,CONTADORES!BM87-CONTADORES!BM86)/1000</f>
        <v>0.09</v>
      </c>
      <c r="BO91" s="1479">
        <f ca="1">IF(B91&gt;=$J$5,0,CONTADORES!BN87-CONTADORES!BN86)</f>
        <v>24</v>
      </c>
      <c r="BP91" s="1479">
        <f ca="1">IF(B91&gt;=$J$5,0,CONTADORES!BO87-CONTADORES!BO86)/1000</f>
        <v>0</v>
      </c>
      <c r="BQ91" s="1479">
        <f ca="1">IF(B91&gt;=$J$5,0,CONTADORES!BP87-CONTADORES!BP86)/1000</f>
        <v>0</v>
      </c>
      <c r="BR91" s="1479">
        <f ca="1">IF(B91&gt;=$J$5,0,CONTADORES!BQ87-CONTADORES!BQ86)</f>
        <v>0</v>
      </c>
      <c r="BS91" s="1450">
        <f ca="1">IF(B91&gt;=$J$5,0,(CONTADORES!BT87-CONTADORES!BT86)+(CONTADORES!BV87-CONTADORES!BV86))/1000</f>
        <v>1.379</v>
      </c>
      <c r="BT91" s="1479">
        <f ca="1">IF(B91&gt;=$J$5,0,(CONTADORES!BU87-CONTADORES!BU86)+(CONTADORES!BW87-CONTADORES!BW86))/1000</f>
        <v>0.76400000000000001</v>
      </c>
      <c r="BU91" s="1450">
        <f ca="1">IF(B91&gt;=$J$5,0,CONTADORES!BR87-CONTADORES!BR86)</f>
        <v>7.2000000000007276</v>
      </c>
      <c r="BV91" s="1479">
        <f ca="1">IF(B91&gt;=$J$5,0,CONTADORES!BS87-CONTADORES!BS86)</f>
        <v>4.8000000000001819</v>
      </c>
      <c r="BW91" s="1479">
        <f t="shared" ca="1" si="47"/>
        <v>12.917500000000096</v>
      </c>
      <c r="BX91" s="1479">
        <f t="shared" ca="1" si="48"/>
        <v>8.0869999999998576</v>
      </c>
      <c r="BY91" s="1479">
        <f t="shared" ca="1" si="49"/>
        <v>5.7174999999993696</v>
      </c>
      <c r="BZ91" s="1479">
        <f t="shared" ca="1" si="50"/>
        <v>0.92839999999992728</v>
      </c>
      <c r="CA91" s="1479">
        <f t="shared" ca="1" si="51"/>
        <v>5.7174999999993696</v>
      </c>
      <c r="CB91" s="1479">
        <f t="shared" ca="1" si="52"/>
        <v>1.3925999999998908</v>
      </c>
      <c r="CC91" s="1479">
        <f t="shared" ca="1" si="53"/>
        <v>2.3073999999999275</v>
      </c>
      <c r="CD91" s="1479">
        <f t="shared" ca="1" si="54"/>
        <v>3.2869999999996757</v>
      </c>
      <c r="CE91" s="1479">
        <f ca="1">IF(B91&gt;=$J$5,0,CONTADORES!BS87-CONTADORES!BS86)</f>
        <v>4.8000000000001819</v>
      </c>
      <c r="CF91" s="1479">
        <f t="shared" ca="1" si="55"/>
        <v>3.2869999999996757</v>
      </c>
      <c r="CG91" s="1479">
        <f t="shared" ca="1" si="56"/>
        <v>0.71800000000005115</v>
      </c>
      <c r="CH91" s="1479">
        <f t="shared" ca="1" si="57"/>
        <v>0.71800000000005115</v>
      </c>
      <c r="CI91" s="1479">
        <f t="shared" ca="1" si="58"/>
        <v>1.4820000000000513</v>
      </c>
      <c r="CJ91" s="1480">
        <f ca="1">IF($B91&gt;=$J$5,0,CONTADORES!$BG87)</f>
        <v>9807.5832180759098</v>
      </c>
      <c r="CK91" s="1384">
        <f>CONTADORES!E87</f>
        <v>0</v>
      </c>
      <c r="CL91" s="1384">
        <f>CONTADORES!BX87</f>
        <v>0</v>
      </c>
    </row>
    <row r="92" spans="2:90">
      <c r="B92" s="410">
        <v>45008</v>
      </c>
      <c r="C92" s="204">
        <f t="shared" ca="1" si="33"/>
        <v>300</v>
      </c>
      <c r="D92" s="202">
        <f ca="1">'CALCULO DE GAS'!D94</f>
        <v>4.9227195673316713</v>
      </c>
      <c r="E92" s="202">
        <f ca="1">IF(B92&gt;=$J$5,0,(CONTADORES!$AB88-CONTADORES!$AB87)-$H92)</f>
        <v>24</v>
      </c>
      <c r="F92" s="204">
        <f t="shared" ca="1" si="60"/>
        <v>0</v>
      </c>
      <c r="G92" s="202">
        <f ca="1">IF(B92&gt;=$J$5,0,CONTADORES!$AD88-CONTADORES!$AD87)</f>
        <v>0</v>
      </c>
      <c r="H92" s="1437">
        <f ca="1">IF(G92&gt;0,CONTADORES!$AC88-CONTADORES!$AC87,0)</f>
        <v>0</v>
      </c>
      <c r="I92" s="205">
        <f ca="1">IF(B92&gt;=$J$5,0,CONTADORES!$Z88-CONTADORES!$Z87)</f>
        <v>300</v>
      </c>
      <c r="J92" s="204">
        <f t="shared" ca="1" si="34"/>
        <v>149</v>
      </c>
      <c r="K92" s="202">
        <f ca="1">'CALCULO DE GAS'!E94</f>
        <v>3.6913729339152122</v>
      </c>
      <c r="L92" s="1437">
        <f ca="1">IF(B92&gt;=$J$5,0,(CONTADORES!$W88-CONTADORES!$W87)-$O92)</f>
        <v>24</v>
      </c>
      <c r="M92" s="1437">
        <f t="shared" ca="1" si="59"/>
        <v>0</v>
      </c>
      <c r="N92" s="1437">
        <f ca="1">IF(B92&gt;=$J$5,0,CONTADORES!$Y88-CONTADORES!$Y87)</f>
        <v>0</v>
      </c>
      <c r="O92" s="1437">
        <f ca="1">IF(N92&gt;0,CONTADORES!$X88-CONTADORES!$X87,0)</f>
        <v>0</v>
      </c>
      <c r="P92" s="208">
        <f ca="1">IF(B92&gt;=$J$5,0,CONTADORES!$U88-CONTADORES!$U87)</f>
        <v>149</v>
      </c>
      <c r="Q92" s="208">
        <f ca="1">IF(B92&gt;=$J$5,0,CONTADORES!$B88-CONTADORES!$B87)</f>
        <v>0</v>
      </c>
      <c r="R92" s="202">
        <f t="shared" ca="1" si="35"/>
        <v>0</v>
      </c>
      <c r="S92" s="11">
        <f ca="1">IF(B92&gt;=$J$5,0,CONTADORES!$D88-CONTADORES!$D87)</f>
        <v>0</v>
      </c>
      <c r="T92" s="204">
        <f ca="1">IF(B92&gt;=$J$5,0,CONTADORES!$AZ88-CONTADORES!$AZ87)</f>
        <v>0</v>
      </c>
      <c r="U92" s="202">
        <f t="shared" ca="1" si="36"/>
        <v>0</v>
      </c>
      <c r="V92" s="205">
        <f ca="1">IF(B92&gt;=$J$5,0,CONTADORES!$BB88-CONTADORES!$BB87)</f>
        <v>0</v>
      </c>
      <c r="W92" s="1438">
        <f t="shared" ca="1" si="37"/>
        <v>449</v>
      </c>
      <c r="X92" s="1438">
        <f t="shared" ca="1" si="38"/>
        <v>0</v>
      </c>
      <c r="Y92" s="1439">
        <f t="shared" ca="1" si="39"/>
        <v>449</v>
      </c>
      <c r="Z92" s="1439">
        <f t="shared" ca="1" si="40"/>
        <v>8.6140925012468834</v>
      </c>
      <c r="AA92" s="1439">
        <f t="shared" ca="1" si="41"/>
        <v>0</v>
      </c>
      <c r="AB92" s="1439">
        <f t="shared" ca="1" si="42"/>
        <v>48</v>
      </c>
      <c r="AC92" s="1438">
        <f t="shared" ca="1" si="43"/>
        <v>0</v>
      </c>
      <c r="AD92" s="1438">
        <f ca="1">IF(B92&gt;=$J$5,0,CONTADORES!H88-CONTADORES!H87)</f>
        <v>170</v>
      </c>
      <c r="AE92" s="1438">
        <f ca="1">IF(B92&gt;=$J$5,0,CONTADORES!J88-CONTADORES!J87)</f>
        <v>24</v>
      </c>
      <c r="AF92" s="1438">
        <f ca="1">IF(B92&gt;=$J$5,0,CONTADORES!AS88-CONTADORES!AS87)</f>
        <v>143</v>
      </c>
      <c r="AG92" s="1438">
        <f ca="1">IF(B92&gt;=$J$5,0,CONTADORES!AU88-CONTADORES!AU87)</f>
        <v>24</v>
      </c>
      <c r="AH92" s="1438">
        <f ca="1">IF(B92&gt;=$J$5,0,(CONTADORES!AK88-CONTADORES!AK87)+(CONTADORES!K88-CONTADORES!K87))</f>
        <v>11.599999999998545</v>
      </c>
      <c r="AI92" s="1438">
        <f ca="1">IF(B92&gt;=$J$5,0,(CONTADORES!AI88-CONTADORES!AI87)+(CONTADORES!M88-CONTADORES!M87))</f>
        <v>39.30000000000291</v>
      </c>
      <c r="AJ92" s="1438">
        <f ca="1">IF(B92&gt;=$J$5,0,(CONTADORES!AG88-CONTADORES!AG87))</f>
        <v>8.3000000000029104</v>
      </c>
      <c r="AK92" s="1438">
        <f ca="1">IF(B92&gt;=$J$5,0,(CONTADORES!O88-CONTADORES!O87))</f>
        <v>15.399999999994179</v>
      </c>
      <c r="AL92" s="1438">
        <f t="shared" ca="1" si="44"/>
        <v>32.300000000002854</v>
      </c>
      <c r="AM92" s="1438">
        <f ca="1">IF(B92&gt;=$J$5,0,(((CONTADORES!F88-CONTADORES!F87)+(CONTADORES!AO88-CONTADORES!AO87))))-BJ92-AF92-AN92-BM92-BP92-BU92-BS92</f>
        <v>9.7559999999984548</v>
      </c>
      <c r="AN92" s="1438">
        <f ca="1">IF(B92&gt;=$J$5,0,(CONTADORES!AV88-CONTADORES!AV87)+(CONTADORES!AX88-CONTADORES!AX87)+(CONTADORES!BC88-CONTADORES!BC87))-BS92</f>
        <v>2.4049999999997271</v>
      </c>
      <c r="AO92" s="1478">
        <f ca="1">IF(B92&gt;=$J$5,0,(CONTADORES!AA88-CONTADORES!AA87))</f>
        <v>152</v>
      </c>
      <c r="AP92" s="1478">
        <f ca="1">IF(B92&gt;=$J$5,0,(CONTADORES!V88-CONTADORES!V87))</f>
        <v>79</v>
      </c>
      <c r="AQ92" s="1445">
        <f ca="1">IF(B92&gt;=$J$5,0,(CONTADORES!C88-CONTADORES!C87))</f>
        <v>0</v>
      </c>
      <c r="AR92" s="1440">
        <f ca="1">IF(B92&gt;=$J$5,0,(CONTADORES!BA88-CONTADORES!BA87))</f>
        <v>0</v>
      </c>
      <c r="AS92" s="1438">
        <f ca="1">IF(B92&gt;=$J$5,0,CONTADORES!Q88-CONTADORES!Q87)</f>
        <v>14.899999999994179</v>
      </c>
      <c r="AT92" s="1438">
        <f ca="1">IF(B92&gt;=$J$5,0,(CONTADORES!S88-CONTADORES!S87)+(CONTADORES!AE88-CONTADORES!AE87))</f>
        <v>2.7000000000043656</v>
      </c>
      <c r="AU92" s="1450">
        <f>CONTADORES!I88-CONTADORES!I87</f>
        <v>84</v>
      </c>
      <c r="AV92" s="1479">
        <f>CONTADORES!AT88-CONTADORES!AT87</f>
        <v>62</v>
      </c>
      <c r="AW92" s="1479">
        <f ca="1">IF(B92&gt;=$J$5,0,(CONTADORES!L88-CONTADORES!L87)+(CONTADORES!AL88-CONTADORES!AL87))</f>
        <v>4.6999999999970896</v>
      </c>
      <c r="AX92" s="1479">
        <f ca="1">IF(B92&gt;=$J$5,0,(CONTADORES!N88-CONTADORES!N87)+(CONTADORES!AJ88-CONTADORES!AJ87))</f>
        <v>32.299999999995634</v>
      </c>
      <c r="AY92" s="1479">
        <f ca="1">IF(B92&gt;=$J$5,0,(CONTADORES!AH88-CONTADORES!AH87))</f>
        <v>6.3999999999941792</v>
      </c>
      <c r="AZ92" s="1479">
        <f ca="1">IF(B92&gt;=$J$5,0,(CONTADORES!P88-CONTADORES!P87))</f>
        <v>12.700000000011642</v>
      </c>
      <c r="BA92" s="1438">
        <f t="shared" ca="1" si="45"/>
        <v>12.439000000000732</v>
      </c>
      <c r="BB92" s="1438">
        <f ca="1">IF(B92&gt;=$J$5,0,(((CONTADORES!G88-CONTADORES!G87)+(CONTADORES!AP88-CONTADORES!AP87))))-AV92-BC92-BK92-BN92-BQ92-BV92</f>
        <v>8.320000000001011</v>
      </c>
      <c r="BC92" s="1438">
        <f ca="1">IF(B92&gt;=$J$5,0,(CONTADORES!AW88-CONTADORES!AW87)+(CONTADORES!AY88-CONTADORES!AY87)+(CONTADORES!BD88-CONTADORES!BD87))-BT92</f>
        <v>1.2389999999997157</v>
      </c>
      <c r="BD92" s="1438">
        <f t="shared" ca="1" si="46"/>
        <v>231</v>
      </c>
      <c r="BE92" s="1450">
        <f ca="1">IF($B92&gt;=$J$5,0,CONTADORES!$BE88)</f>
        <v>6626.24</v>
      </c>
      <c r="BF92" s="1479">
        <f ca="1">IF($B92&gt;=$J$5,0,CONTADORES!$BF88)</f>
        <v>31643.640350877198</v>
      </c>
      <c r="BG92" s="1438">
        <f ca="1">IF($B92&gt;=$J$5,0,CONTADORES!$BH88)</f>
        <v>5392.19</v>
      </c>
      <c r="BH92" s="1438">
        <f ca="1">IF(B92&gt;=$J$5,0,(CONTADORES!AQ88-CONTADORES!AQ87))</f>
        <v>5</v>
      </c>
      <c r="BI92" s="1438">
        <f ca="1">IF(B92&gt;=$J$5,0,(CONTADORES!AR88-CONTADORES!AR87))</f>
        <v>0</v>
      </c>
      <c r="BJ92" s="1450">
        <f ca="1">IF(B92&gt;=$J$5,0,CONTADORES!BI88-CONTADORES!BI87)/1000</f>
        <v>2</v>
      </c>
      <c r="BK92" s="1479">
        <f ca="1">IF(B92&gt;=$J$5,0,CONTADORES!BJ88-CONTADORES!BJ87)</f>
        <v>1</v>
      </c>
      <c r="BL92" s="1479">
        <f ca="1">IF(B92&gt;=$J$5,0,CONTADORES!BK88-CONTADORES!BK87)</f>
        <v>24</v>
      </c>
      <c r="BM92" s="1479">
        <f ca="1">IF(B92&gt;=$J$5,0,CONTADORES!BL88-CONTADORES!BL87)/1000</f>
        <v>5.944</v>
      </c>
      <c r="BN92" s="1479">
        <f ca="1">IF(B92&gt;=$J$5,0,CONTADORES!BM88-CONTADORES!BM87)/1000</f>
        <v>0.14099999999999999</v>
      </c>
      <c r="BO92" s="1479">
        <f ca="1">IF(B92&gt;=$J$5,0,CONTADORES!BN88-CONTADORES!BN87)</f>
        <v>24</v>
      </c>
      <c r="BP92" s="1479">
        <f ca="1">IF(B92&gt;=$J$5,0,CONTADORES!BO88-CONTADORES!BO87)/1000</f>
        <v>0</v>
      </c>
      <c r="BQ92" s="1479">
        <f ca="1">IF(B92&gt;=$J$5,0,CONTADORES!BP88-CONTADORES!BP87)/1000</f>
        <v>0</v>
      </c>
      <c r="BR92" s="1479">
        <f ca="1">IF(B92&gt;=$J$5,0,CONTADORES!BQ88-CONTADORES!BQ87)</f>
        <v>0</v>
      </c>
      <c r="BS92" s="1450">
        <f ca="1">IF(B92&gt;=$J$5,0,(CONTADORES!BT88-CONTADORES!BT87)+(CONTADORES!BV88-CONTADORES!BV87))/1000</f>
        <v>1.395</v>
      </c>
      <c r="BT92" s="1479">
        <f ca="1">IF(B92&gt;=$J$5,0,(CONTADORES!BU88-CONTADORES!BU87)+(CONTADORES!BW88-CONTADORES!BW87))/1000</f>
        <v>0.76100000000000001</v>
      </c>
      <c r="BU92" s="1450">
        <f ca="1">IF(B92&gt;=$J$5,0,CONTADORES!BR88-CONTADORES!BR87)</f>
        <v>7.6000000000003638</v>
      </c>
      <c r="BV92" s="1479">
        <f ca="1">IF(B92&gt;=$J$5,0,CONTADORES!BS88-CONTADORES!BS87)</f>
        <v>5</v>
      </c>
      <c r="BW92" s="1479">
        <f t="shared" ca="1" si="47"/>
        <v>12.477999999999591</v>
      </c>
      <c r="BX92" s="1479">
        <f t="shared" ca="1" si="48"/>
        <v>9.1600000000005046</v>
      </c>
      <c r="BY92" s="1479">
        <f t="shared" ca="1" si="49"/>
        <v>4.8779999999992274</v>
      </c>
      <c r="BZ92" s="1479">
        <f t="shared" ca="1" si="50"/>
        <v>0.96199999999989094</v>
      </c>
      <c r="CA92" s="1479">
        <f t="shared" ca="1" si="51"/>
        <v>4.8779999999992274</v>
      </c>
      <c r="CB92" s="1479">
        <f t="shared" ca="1" si="52"/>
        <v>1.4429999999998362</v>
      </c>
      <c r="CC92" s="1479">
        <f t="shared" ca="1" si="53"/>
        <v>2.356999999999891</v>
      </c>
      <c r="CD92" s="1479">
        <f t="shared" ca="1" si="54"/>
        <v>4.1600000000005055</v>
      </c>
      <c r="CE92" s="1479">
        <f ca="1">IF(B92&gt;=$J$5,0,CONTADORES!BS88-CONTADORES!BS87)</f>
        <v>5</v>
      </c>
      <c r="CF92" s="1479">
        <f t="shared" ca="1" si="55"/>
        <v>4.1600000000005055</v>
      </c>
      <c r="CG92" s="1479">
        <f t="shared" ca="1" si="56"/>
        <v>0.61949999999985783</v>
      </c>
      <c r="CH92" s="1479">
        <f t="shared" ca="1" si="57"/>
        <v>0.61949999999985783</v>
      </c>
      <c r="CI92" s="1479">
        <f t="shared" ca="1" si="58"/>
        <v>1.380499999999858</v>
      </c>
      <c r="CJ92" s="1480">
        <f ca="1">IF($B92&gt;=$J$5,0,CONTADORES!$BG88)</f>
        <v>9378.9106511157806</v>
      </c>
      <c r="CK92" s="1384">
        <f>CONTADORES!E88</f>
        <v>0</v>
      </c>
      <c r="CL92" s="1384">
        <f>CONTADORES!BX88</f>
        <v>0</v>
      </c>
    </row>
    <row r="93" spans="2:90">
      <c r="B93" s="410">
        <v>45009</v>
      </c>
      <c r="C93" s="204">
        <f t="shared" ca="1" si="33"/>
        <v>299</v>
      </c>
      <c r="D93" s="202">
        <f ca="1">'CALCULO DE GAS'!D95</f>
        <v>4.9145649538653373</v>
      </c>
      <c r="E93" s="202">
        <f ca="1">IF(B93&gt;=$J$5,0,(CONTADORES!$AB89-CONTADORES!$AB88)-$H93)</f>
        <v>24</v>
      </c>
      <c r="F93" s="204">
        <f t="shared" ca="1" si="60"/>
        <v>0</v>
      </c>
      <c r="G93" s="202">
        <f ca="1">IF(B93&gt;=$J$5,0,CONTADORES!$AD89-CONTADORES!$AD88)</f>
        <v>0</v>
      </c>
      <c r="H93" s="1437">
        <f ca="1">IF(G93&gt;0,CONTADORES!$AC89-CONTADORES!$AC88,0)</f>
        <v>0</v>
      </c>
      <c r="I93" s="205">
        <f ca="1">IF(B93&gt;=$J$5,0,CONTADORES!$Z89-CONTADORES!$Z88)</f>
        <v>299</v>
      </c>
      <c r="J93" s="204">
        <f t="shared" ca="1" si="34"/>
        <v>146</v>
      </c>
      <c r="K93" s="202">
        <f ca="1">'CALCULO DE GAS'!E95</f>
        <v>3.6669090935162094</v>
      </c>
      <c r="L93" s="1437">
        <f ca="1">IF(B93&gt;=$J$5,0,(CONTADORES!$W89-CONTADORES!$W88)-$O93)</f>
        <v>24</v>
      </c>
      <c r="M93" s="1437">
        <f t="shared" ca="1" si="59"/>
        <v>0</v>
      </c>
      <c r="N93" s="1437">
        <f ca="1">IF(B93&gt;=$J$5,0,CONTADORES!$Y89-CONTADORES!$Y88)</f>
        <v>0</v>
      </c>
      <c r="O93" s="1437">
        <f ca="1">IF(N93&gt;0,CONTADORES!$X89-CONTADORES!$X88,0)</f>
        <v>0</v>
      </c>
      <c r="P93" s="208">
        <f ca="1">IF(B93&gt;=$J$5,0,CONTADORES!$U89-CONTADORES!$U88)</f>
        <v>146</v>
      </c>
      <c r="Q93" s="208">
        <f ca="1">IF(B93&gt;=$J$5,0,CONTADORES!$B89-CONTADORES!$B88)</f>
        <v>0</v>
      </c>
      <c r="R93" s="202">
        <f t="shared" ca="1" si="35"/>
        <v>0</v>
      </c>
      <c r="S93" s="11">
        <f ca="1">IF(B93&gt;=$J$5,0,CONTADORES!$D89-CONTADORES!$D88)</f>
        <v>0</v>
      </c>
      <c r="T93" s="204">
        <f ca="1">IF(B93&gt;=$J$5,0,CONTADORES!$AZ89-CONTADORES!$AZ88)</f>
        <v>0</v>
      </c>
      <c r="U93" s="202">
        <f t="shared" ca="1" si="36"/>
        <v>0</v>
      </c>
      <c r="V93" s="205">
        <f ca="1">IF(B93&gt;=$J$5,0,CONTADORES!$BB89-CONTADORES!$BB88)</f>
        <v>0</v>
      </c>
      <c r="W93" s="1438">
        <f t="shared" ca="1" si="37"/>
        <v>445</v>
      </c>
      <c r="X93" s="1438">
        <f t="shared" ca="1" si="38"/>
        <v>0</v>
      </c>
      <c r="Y93" s="1439">
        <f t="shared" ca="1" si="39"/>
        <v>445</v>
      </c>
      <c r="Z93" s="1439">
        <f t="shared" ca="1" si="40"/>
        <v>8.5814740473815476</v>
      </c>
      <c r="AA93" s="1439">
        <f t="shared" ca="1" si="41"/>
        <v>0</v>
      </c>
      <c r="AB93" s="1439">
        <f t="shared" ca="1" si="42"/>
        <v>48</v>
      </c>
      <c r="AC93" s="1438">
        <f t="shared" ca="1" si="43"/>
        <v>0</v>
      </c>
      <c r="AD93" s="1438">
        <f ca="1">IF(B93&gt;=$J$5,0,CONTADORES!H89-CONTADORES!H88)</f>
        <v>168</v>
      </c>
      <c r="AE93" s="1438">
        <f ca="1">IF(B93&gt;=$J$5,0,CONTADORES!J89-CONTADORES!J88)</f>
        <v>24</v>
      </c>
      <c r="AF93" s="1438">
        <f ca="1">IF(B93&gt;=$J$5,0,CONTADORES!AS89-CONTADORES!AS88)</f>
        <v>146</v>
      </c>
      <c r="AG93" s="1438">
        <f ca="1">IF(B93&gt;=$J$5,0,CONTADORES!AU89-CONTADORES!AU88)</f>
        <v>24</v>
      </c>
      <c r="AH93" s="1438">
        <f ca="1">IF(B93&gt;=$J$5,0,(CONTADORES!AK89-CONTADORES!AK88)+(CONTADORES!K89-CONTADORES!K88))</f>
        <v>4.2999999999956344</v>
      </c>
      <c r="AI93" s="1438">
        <f ca="1">IF(B93&gt;=$J$5,0,(CONTADORES!AI89-CONTADORES!AI88)+(CONTADORES!M89-CONTADORES!M88))</f>
        <v>40.299999999995634</v>
      </c>
      <c r="AJ93" s="1438">
        <f ca="1">IF(B93&gt;=$J$5,0,(CONTADORES!AG89-CONTADORES!AG88))</f>
        <v>8.3000000000029104</v>
      </c>
      <c r="AK93" s="1438">
        <f ca="1">IF(B93&gt;=$J$5,0,(CONTADORES!O89-CONTADORES!O88))</f>
        <v>14.200000000011642</v>
      </c>
      <c r="AL93" s="1438">
        <f t="shared" ca="1" si="44"/>
        <v>34.699999999993452</v>
      </c>
      <c r="AM93" s="1438">
        <f ca="1">IF(B93&gt;=$J$5,0,(((CONTADORES!F89-CONTADORES!F88)+(CONTADORES!AO89-CONTADORES!AO88))))-BJ93-AF93-AN93-BM93-BP93-BU93-BS93</f>
        <v>9.8540000000025465</v>
      </c>
      <c r="AN93" s="1438">
        <f ca="1">IF(B93&gt;=$J$5,0,(CONTADORES!AV89-CONTADORES!AV88)+(CONTADORES!AX89-CONTADORES!AX88)+(CONTADORES!BC89-CONTADORES!BC88))-BS93</f>
        <v>2.4879999999996363</v>
      </c>
      <c r="AO93" s="1478">
        <f ca="1">IF(B93&gt;=$J$5,0,(CONTADORES!AA89-CONTADORES!AA88))</f>
        <v>154</v>
      </c>
      <c r="AP93" s="1478">
        <f ca="1">IF(B93&gt;=$J$5,0,(CONTADORES!V89-CONTADORES!V88))</f>
        <v>75</v>
      </c>
      <c r="AQ93" s="1445">
        <f ca="1">IF(B93&gt;=$J$5,0,(CONTADORES!C89-CONTADORES!C88))</f>
        <v>0</v>
      </c>
      <c r="AR93" s="1440">
        <f ca="1">IF(B93&gt;=$J$5,0,(CONTADORES!BA89-CONTADORES!BA88))</f>
        <v>0</v>
      </c>
      <c r="AS93" s="1438">
        <f ca="1">IF(B93&gt;=$J$5,0,CONTADORES!Q89-CONTADORES!Q88)</f>
        <v>15.200000000011642</v>
      </c>
      <c r="AT93" s="1438">
        <f ca="1">IF(B93&gt;=$J$5,0,(CONTADORES!S89-CONTADORES!S88)+(CONTADORES!AE89-CONTADORES!AE88))</f>
        <v>2.6999999999970896</v>
      </c>
      <c r="AU93" s="1450">
        <f>CONTADORES!I89-CONTADORES!I88</f>
        <v>86</v>
      </c>
      <c r="AV93" s="1479">
        <f>CONTADORES!AT89-CONTADORES!AT88</f>
        <v>64</v>
      </c>
      <c r="AW93" s="1479">
        <f ca="1">IF(B93&gt;=$J$5,0,(CONTADORES!L89-CONTADORES!L88)+(CONTADORES!AL89-CONTADORES!AL88))</f>
        <v>1.7000000000007276</v>
      </c>
      <c r="AX93" s="1479">
        <f ca="1">IF(B93&gt;=$J$5,0,(CONTADORES!N89-CONTADORES!N88)+(CONTADORES!AJ89-CONTADORES!AJ88))</f>
        <v>33.099999999998545</v>
      </c>
      <c r="AY93" s="1479">
        <f ca="1">IF(B93&gt;=$J$5,0,(CONTADORES!AH89-CONTADORES!AH88))</f>
        <v>6.5</v>
      </c>
      <c r="AZ93" s="1479">
        <f ca="1">IF(B93&gt;=$J$5,0,(CONTADORES!P89-CONTADORES!P88))</f>
        <v>12.19999999999709</v>
      </c>
      <c r="BA93" s="1438">
        <f t="shared" ca="1" si="45"/>
        <v>9.4280000000043458</v>
      </c>
      <c r="BB93" s="1438">
        <f ca="1">IF(B93&gt;=$J$5,0,(((CONTADORES!G89-CONTADORES!G88)+(CONTADORES!AP89-CONTADORES!AP88))))-AV93-BC93-BK93-BN93-BQ93-BV93</f>
        <v>7.6589999999987164</v>
      </c>
      <c r="BC93" s="1438">
        <f ca="1">IF(B93&gt;=$J$5,0,(CONTADORES!AW89-CONTADORES!AW88)+(CONTADORES!AY89-CONTADORES!AY88)+(CONTADORES!BD89-CONTADORES!BD88))-BT93</f>
        <v>1.3280000000001932</v>
      </c>
      <c r="BD93" s="1438">
        <f t="shared" ca="1" si="46"/>
        <v>229</v>
      </c>
      <c r="BE93" s="1450">
        <f ca="1">IF($B93&gt;=$J$5,0,CONTADORES!$BE89)</f>
        <v>6499.82</v>
      </c>
      <c r="BF93" s="1479">
        <f ca="1">IF($B93&gt;=$J$5,0,CONTADORES!$BF89)</f>
        <v>31995.115789473701</v>
      </c>
      <c r="BG93" s="1438">
        <f ca="1">IF($B93&gt;=$J$5,0,CONTADORES!$BH89)</f>
        <v>5464.5</v>
      </c>
      <c r="BH93" s="1438">
        <f ca="1">IF(B93&gt;=$J$5,0,(CONTADORES!AQ89-CONTADORES!AQ88))</f>
        <v>5</v>
      </c>
      <c r="BI93" s="1438">
        <f ca="1">IF(B93&gt;=$J$5,0,(CONTADORES!AR89-CONTADORES!AR88))</f>
        <v>0</v>
      </c>
      <c r="BJ93" s="1450">
        <f ca="1">IF(B93&gt;=$J$5,0,CONTADORES!BI89-CONTADORES!BI88)/1000</f>
        <v>2</v>
      </c>
      <c r="BK93" s="1479">
        <f ca="1">IF(B93&gt;=$J$5,0,CONTADORES!BJ89-CONTADORES!BJ88)</f>
        <v>1</v>
      </c>
      <c r="BL93" s="1479">
        <f ca="1">IF(B93&gt;=$J$5,0,CONTADORES!BK89-CONTADORES!BK88)</f>
        <v>24</v>
      </c>
      <c r="BM93" s="1479">
        <f ca="1">IF(B93&gt;=$J$5,0,CONTADORES!BL89-CONTADORES!BL88)/1000</f>
        <v>5.8460000000000001</v>
      </c>
      <c r="BN93" s="1479">
        <f ca="1">IF(B93&gt;=$J$5,0,CONTADORES!BM89-CONTADORES!BM88)/1000</f>
        <v>0.21299999999999999</v>
      </c>
      <c r="BO93" s="1479">
        <f ca="1">IF(B93&gt;=$J$5,0,CONTADORES!BN89-CONTADORES!BN88)</f>
        <v>24</v>
      </c>
      <c r="BP93" s="1479">
        <f ca="1">IF(B93&gt;=$J$5,0,CONTADORES!BO89-CONTADORES!BO88)/1000</f>
        <v>0</v>
      </c>
      <c r="BQ93" s="1479">
        <f ca="1">IF(B93&gt;=$J$5,0,CONTADORES!BP89-CONTADORES!BP88)/1000</f>
        <v>0</v>
      </c>
      <c r="BR93" s="1479">
        <f ca="1">IF(B93&gt;=$J$5,0,CONTADORES!BQ89-CONTADORES!BQ88)</f>
        <v>0</v>
      </c>
      <c r="BS93" s="1450">
        <f ca="1">IF(B93&gt;=$J$5,0,(CONTADORES!BT89-CONTADORES!BT88)+(CONTADORES!BV89-CONTADORES!BV88))/1000</f>
        <v>1.4119999999999999</v>
      </c>
      <c r="BT93" s="1479">
        <f ca="1">IF(B93&gt;=$J$5,0,(CONTADORES!BU89-CONTADORES!BU88)+(CONTADORES!BW89-CONTADORES!BW88))/1000</f>
        <v>0.77200000000000002</v>
      </c>
      <c r="BU93" s="1450">
        <f ca="1">IF(B93&gt;=$J$5,0,CONTADORES!BR89-CONTADORES!BR88)</f>
        <v>7.5999999999985448</v>
      </c>
      <c r="BV93" s="1479">
        <f ca="1">IF(B93&gt;=$J$5,0,CONTADORES!BS89-CONTADORES!BS88)</f>
        <v>5.1000000000003638</v>
      </c>
      <c r="BW93" s="1479">
        <f t="shared" ca="1" si="47"/>
        <v>12.526999999999818</v>
      </c>
      <c r="BX93" s="1479">
        <f t="shared" ca="1" si="48"/>
        <v>8.929499999999722</v>
      </c>
      <c r="BY93" s="1479">
        <f t="shared" ca="1" si="49"/>
        <v>4.9270000000012732</v>
      </c>
      <c r="BZ93" s="1479">
        <f t="shared" ca="1" si="50"/>
        <v>0.99519999999985453</v>
      </c>
      <c r="CA93" s="1479">
        <f t="shared" ca="1" si="51"/>
        <v>4.9270000000012732</v>
      </c>
      <c r="CB93" s="1479">
        <f t="shared" ca="1" si="52"/>
        <v>1.4927999999997819</v>
      </c>
      <c r="CC93" s="1479">
        <f t="shared" ca="1" si="53"/>
        <v>2.4071999999998543</v>
      </c>
      <c r="CD93" s="1479">
        <f t="shared" ca="1" si="54"/>
        <v>3.8294999999993582</v>
      </c>
      <c r="CE93" s="1479">
        <f ca="1">IF(B93&gt;=$J$5,0,CONTADORES!BS89-CONTADORES!BS88)</f>
        <v>5.1000000000003638</v>
      </c>
      <c r="CF93" s="1479">
        <f t="shared" ca="1" si="55"/>
        <v>3.8294999999993582</v>
      </c>
      <c r="CG93" s="1479">
        <f t="shared" ca="1" si="56"/>
        <v>0.66400000000009662</v>
      </c>
      <c r="CH93" s="1479">
        <f t="shared" ca="1" si="57"/>
        <v>0.66400000000009662</v>
      </c>
      <c r="CI93" s="1479">
        <f t="shared" ca="1" si="58"/>
        <v>1.4360000000000968</v>
      </c>
      <c r="CJ93" s="1480">
        <f ca="1">IF($B93&gt;=$J$5,0,CONTADORES!$BG89)</f>
        <v>9359.6904413439006</v>
      </c>
      <c r="CK93" s="1384">
        <f>CONTADORES!E89</f>
        <v>0</v>
      </c>
      <c r="CL93" s="1384">
        <f>CONTADORES!BX89</f>
        <v>0</v>
      </c>
    </row>
    <row r="94" spans="2:90">
      <c r="B94" s="410">
        <v>45010</v>
      </c>
      <c r="C94" s="204">
        <f t="shared" ca="1" si="33"/>
        <v>300</v>
      </c>
      <c r="D94" s="202">
        <f ca="1">'CALCULO DE GAS'!D96</f>
        <v>4.9227195673316713</v>
      </c>
      <c r="E94" s="202">
        <f ca="1">IF(B94&gt;=$J$5,0,(CONTADORES!$AB90-CONTADORES!$AB89)-$H94)</f>
        <v>24</v>
      </c>
      <c r="F94" s="204">
        <f t="shared" ca="1" si="60"/>
        <v>0</v>
      </c>
      <c r="G94" s="202">
        <f ca="1">IF(B94&gt;=$J$5,0,CONTADORES!$AD90-CONTADORES!$AD89)</f>
        <v>0</v>
      </c>
      <c r="H94" s="1437">
        <f ca="1">IF(G94&gt;0,CONTADORES!$AC90-CONTADORES!$AC89,0)</f>
        <v>0</v>
      </c>
      <c r="I94" s="205">
        <f ca="1">IF(B94&gt;=$J$5,0,CONTADORES!$Z90-CONTADORES!$Z89)</f>
        <v>300</v>
      </c>
      <c r="J94" s="204">
        <f t="shared" ca="1" si="34"/>
        <v>146</v>
      </c>
      <c r="K94" s="202">
        <f ca="1">'CALCULO DE GAS'!E96</f>
        <v>3.6669090935162094</v>
      </c>
      <c r="L94" s="1437">
        <f ca="1">IF(B94&gt;=$J$5,0,(CONTADORES!$W90-CONTADORES!$W89)-$O94)</f>
        <v>24</v>
      </c>
      <c r="M94" s="1437">
        <f t="shared" ca="1" si="59"/>
        <v>0</v>
      </c>
      <c r="N94" s="1437">
        <f ca="1">IF(B94&gt;=$J$5,0,CONTADORES!$Y90-CONTADORES!$Y89)</f>
        <v>0</v>
      </c>
      <c r="O94" s="1437">
        <f ca="1">IF(N94&gt;0,CONTADORES!$X90-CONTADORES!$X89,0)</f>
        <v>0</v>
      </c>
      <c r="P94" s="208">
        <f ca="1">IF(B94&gt;=$J$5,0,CONTADORES!$U90-CONTADORES!$U89)</f>
        <v>146</v>
      </c>
      <c r="Q94" s="208">
        <f ca="1">IF(B94&gt;=$J$5,0,CONTADORES!$B90-CONTADORES!$B89)</f>
        <v>0</v>
      </c>
      <c r="R94" s="202">
        <f t="shared" ca="1" si="35"/>
        <v>0</v>
      </c>
      <c r="S94" s="11">
        <f ca="1">IF(B94&gt;=$J$5,0,CONTADORES!$D90-CONTADORES!$D89)</f>
        <v>0</v>
      </c>
      <c r="T94" s="204">
        <f ca="1">IF(B94&gt;=$J$5,0,CONTADORES!$AZ90-CONTADORES!$AZ89)</f>
        <v>0</v>
      </c>
      <c r="U94" s="202">
        <f t="shared" ca="1" si="36"/>
        <v>0</v>
      </c>
      <c r="V94" s="205">
        <f ca="1">IF(B94&gt;=$J$5,0,CONTADORES!$BB90-CONTADORES!$BB89)</f>
        <v>0</v>
      </c>
      <c r="W94" s="1438">
        <f t="shared" ca="1" si="37"/>
        <v>446</v>
      </c>
      <c r="X94" s="1438">
        <f t="shared" ca="1" si="38"/>
        <v>0</v>
      </c>
      <c r="Y94" s="1439">
        <f t="shared" ca="1" si="39"/>
        <v>446</v>
      </c>
      <c r="Z94" s="1439">
        <f t="shared" ca="1" si="40"/>
        <v>8.5896286608478807</v>
      </c>
      <c r="AA94" s="1439">
        <f t="shared" ca="1" si="41"/>
        <v>0</v>
      </c>
      <c r="AB94" s="1439">
        <f t="shared" ca="1" si="42"/>
        <v>48</v>
      </c>
      <c r="AC94" s="1438">
        <f t="shared" ca="1" si="43"/>
        <v>0</v>
      </c>
      <c r="AD94" s="1438">
        <f ca="1">IF(B94&gt;=$J$5,0,CONTADORES!H90-CONTADORES!H89)</f>
        <v>164</v>
      </c>
      <c r="AE94" s="1438">
        <f ca="1">IF(B94&gt;=$J$5,0,CONTADORES!J90-CONTADORES!J89)</f>
        <v>24</v>
      </c>
      <c r="AF94" s="1438">
        <f ca="1">IF(B94&gt;=$J$5,0,CONTADORES!AS90-CONTADORES!AS89)</f>
        <v>145</v>
      </c>
      <c r="AG94" s="1438">
        <f ca="1">IF(B94&gt;=$J$5,0,CONTADORES!AU90-CONTADORES!AU89)</f>
        <v>24</v>
      </c>
      <c r="AH94" s="1438">
        <f ca="1">IF(B94&gt;=$J$5,0,(CONTADORES!AK90-CONTADORES!AK89)+(CONTADORES!K90-CONTADORES!K89))</f>
        <v>11.100000000005821</v>
      </c>
      <c r="AI94" s="1438">
        <f ca="1">IF(B94&gt;=$J$5,0,(CONTADORES!AI90-CONTADORES!AI89)+(CONTADORES!M90-CONTADORES!M89))</f>
        <v>40.099999999998545</v>
      </c>
      <c r="AJ94" s="1438">
        <f ca="1">IF(B94&gt;=$J$5,0,(CONTADORES!AG90-CONTADORES!AG89))</f>
        <v>7.6999999999970896</v>
      </c>
      <c r="AK94" s="1438">
        <f ca="1">IF(B94&gt;=$J$5,0,(CONTADORES!O90-CONTADORES!O89))</f>
        <v>14.5</v>
      </c>
      <c r="AL94" s="1438">
        <f t="shared" ca="1" si="44"/>
        <v>35.299999999999272</v>
      </c>
      <c r="AM94" s="1438">
        <f ca="1">IF(B94&gt;=$J$5,0,(((CONTADORES!F90-CONTADORES!F89)+(CONTADORES!AO90-CONTADORES!AO89))))-BJ94-AF94-AN94-BM94-BP94-BU94-BS94</f>
        <v>9.6349999999982696</v>
      </c>
      <c r="AN94" s="1438">
        <f ca="1">IF(B94&gt;=$J$5,0,(CONTADORES!AV90-CONTADORES!AV89)+(CONTADORES!AX90-CONTADORES!AX89)+(CONTADORES!BC90-CONTADORES!BC89))-BS94</f>
        <v>2.394000000000637</v>
      </c>
      <c r="AO94" s="1478">
        <f ca="1">IF(B94&gt;=$J$5,0,(CONTADORES!AA90-CONTADORES!AA89))</f>
        <v>156</v>
      </c>
      <c r="AP94" s="1478">
        <f ca="1">IF(B94&gt;=$J$5,0,(CONTADORES!V90-CONTADORES!V89))</f>
        <v>74</v>
      </c>
      <c r="AQ94" s="1445">
        <f ca="1">IF(B94&gt;=$J$5,0,(CONTADORES!C90-CONTADORES!C89))</f>
        <v>0</v>
      </c>
      <c r="AR94" s="1440">
        <f ca="1">IF(B94&gt;=$J$5,0,(CONTADORES!BA90-CONTADORES!BA89))</f>
        <v>0</v>
      </c>
      <c r="AS94" s="1438">
        <f ca="1">IF(B94&gt;=$J$5,0,CONTADORES!Q90-CONTADORES!Q89)</f>
        <v>16.100000000005821</v>
      </c>
      <c r="AT94" s="1438">
        <f ca="1">IF(B94&gt;=$J$5,0,(CONTADORES!S90-CONTADORES!S89)+(CONTADORES!AE90-CONTADORES!AE89))</f>
        <v>2.4000000000014552</v>
      </c>
      <c r="AU94" s="1450">
        <f>CONTADORES!I90-CONTADORES!I89</f>
        <v>84</v>
      </c>
      <c r="AV94" s="1479">
        <f>CONTADORES!AT90-CONTADORES!AT89</f>
        <v>63</v>
      </c>
      <c r="AW94" s="1479">
        <f ca="1">IF(B94&gt;=$J$5,0,(CONTADORES!L90-CONTADORES!L89)+(CONTADORES!AL90-CONTADORES!AL89))</f>
        <v>4.4000000000014552</v>
      </c>
      <c r="AX94" s="1479">
        <f ca="1">IF(B94&gt;=$J$5,0,(CONTADORES!N90-CONTADORES!N89)+(CONTADORES!AJ90-CONTADORES!AJ89))</f>
        <v>33</v>
      </c>
      <c r="AY94" s="1479">
        <f ca="1">IF(B94&gt;=$J$5,0,(CONTADORES!AH90-CONTADORES!AH89))</f>
        <v>6</v>
      </c>
      <c r="AZ94" s="1479">
        <f ca="1">IF(B94&gt;=$J$5,0,(CONTADORES!P90-CONTADORES!P89))</f>
        <v>11.80000000000291</v>
      </c>
      <c r="BA94" s="1438">
        <f t="shared" ca="1" si="45"/>
        <v>11.227999999995461</v>
      </c>
      <c r="BB94" s="1438">
        <f ca="1">IF(B94&gt;=$J$5,0,(((CONTADORES!G90-CONTADORES!G89)+(CONTADORES!AP90-CONTADORES!AP89))))-AV94-BC94-BK94-BN94-BQ94-BV94</f>
        <v>8.446000000000204</v>
      </c>
      <c r="BC94" s="1438">
        <f ca="1">IF(B94&gt;=$J$5,0,(CONTADORES!AW90-CONTADORES!AW89)+(CONTADORES!AY90-CONTADORES!AY89)+(CONTADORES!BD90-CONTADORES!BD89))-BT94</f>
        <v>1.4280000000001591</v>
      </c>
      <c r="BD94" s="1438">
        <f t="shared" ca="1" si="46"/>
        <v>230</v>
      </c>
      <c r="BE94" s="1450">
        <f ca="1">IF($B94&gt;=$J$5,0,CONTADORES!$BE90)</f>
        <v>6009.07</v>
      </c>
      <c r="BF94" s="1479">
        <f ca="1">IF($B94&gt;=$J$5,0,CONTADORES!$BF90)</f>
        <v>33479.059649122799</v>
      </c>
      <c r="BG94" s="1438">
        <f ca="1">IF($B94&gt;=$J$5,0,CONTADORES!$BH90)</f>
        <v>5163.76</v>
      </c>
      <c r="BH94" s="1438">
        <f ca="1">IF(B94&gt;=$J$5,0,(CONTADORES!AQ90-CONTADORES!AQ89))</f>
        <v>5</v>
      </c>
      <c r="BI94" s="1438">
        <f ca="1">IF(B94&gt;=$J$5,0,(CONTADORES!AR90-CONTADORES!AR89))</f>
        <v>0</v>
      </c>
      <c r="BJ94" s="1450">
        <f ca="1">IF(B94&gt;=$J$5,0,CONTADORES!BI90-CONTADORES!BI89)/1000</f>
        <v>2</v>
      </c>
      <c r="BK94" s="1479">
        <f ca="1">IF(B94&gt;=$J$5,0,CONTADORES!BJ90-CONTADORES!BJ89)</f>
        <v>1</v>
      </c>
      <c r="BL94" s="1479">
        <f ca="1">IF(B94&gt;=$J$5,0,CONTADORES!BK90-CONTADORES!BK89)</f>
        <v>24</v>
      </c>
      <c r="BM94" s="1479">
        <f ca="1">IF(B94&gt;=$J$5,0,CONTADORES!BL90-CONTADORES!BL89)/1000</f>
        <v>5.7649999999999997</v>
      </c>
      <c r="BN94" s="1479">
        <f ca="1">IF(B94&gt;=$J$5,0,CONTADORES!BM90-CONTADORES!BM89)/1000</f>
        <v>0.22600000000000001</v>
      </c>
      <c r="BO94" s="1479">
        <f ca="1">IF(B94&gt;=$J$5,0,CONTADORES!BN90-CONTADORES!BN89)</f>
        <v>24</v>
      </c>
      <c r="BP94" s="1479">
        <f ca="1">IF(B94&gt;=$J$5,0,CONTADORES!BO90-CONTADORES!BO89)/1000</f>
        <v>0</v>
      </c>
      <c r="BQ94" s="1479">
        <f ca="1">IF(B94&gt;=$J$5,0,CONTADORES!BP90-CONTADORES!BP89)/1000</f>
        <v>0</v>
      </c>
      <c r="BR94" s="1479">
        <f ca="1">IF(B94&gt;=$J$5,0,CONTADORES!BQ90-CONTADORES!BQ89)</f>
        <v>0</v>
      </c>
      <c r="BS94" s="1450">
        <f ca="1">IF(B94&gt;=$J$5,0,(CONTADORES!BT90-CONTADORES!BT89)+(CONTADORES!BV90-CONTADORES!BV89))/1000</f>
        <v>1.4059999999999999</v>
      </c>
      <c r="BT94" s="1479">
        <f ca="1">IF(B94&gt;=$J$5,0,(CONTADORES!BU90-CONTADORES!BU89)+(CONTADORES!BW90-CONTADORES!BW89))/1000</f>
        <v>0.77200000000000002</v>
      </c>
      <c r="BU94" s="1450">
        <f ca="1">IF(B94&gt;=$J$5,0,CONTADORES!BR90-CONTADORES!BR89)</f>
        <v>7.1000000000003638</v>
      </c>
      <c r="BV94" s="1479">
        <f ca="1">IF(B94&gt;=$J$5,0,CONTADORES!BS90-CONTADORES!BS89)</f>
        <v>4.6999999999998181</v>
      </c>
      <c r="BW94" s="1479">
        <f t="shared" ca="1" si="47"/>
        <v>11.917499999999499</v>
      </c>
      <c r="BX94" s="1479">
        <f t="shared" ca="1" si="48"/>
        <v>8.9229999999999201</v>
      </c>
      <c r="BY94" s="1479">
        <f t="shared" ca="1" si="49"/>
        <v>4.8174999999991348</v>
      </c>
      <c r="BZ94" s="1479">
        <f t="shared" ca="1" si="50"/>
        <v>0.9576000000002548</v>
      </c>
      <c r="CA94" s="1479">
        <f t="shared" ca="1" si="51"/>
        <v>4.8174999999991348</v>
      </c>
      <c r="CB94" s="1479">
        <f t="shared" ca="1" si="52"/>
        <v>1.4364000000003823</v>
      </c>
      <c r="CC94" s="1479">
        <f t="shared" ca="1" si="53"/>
        <v>2.3636000000002548</v>
      </c>
      <c r="CD94" s="1479">
        <f t="shared" ca="1" si="54"/>
        <v>4.223000000000102</v>
      </c>
      <c r="CE94" s="1479">
        <f ca="1">IF(B94&gt;=$J$5,0,CONTADORES!BS90-CONTADORES!BS89)</f>
        <v>4.6999999999998181</v>
      </c>
      <c r="CF94" s="1479">
        <f t="shared" ca="1" si="55"/>
        <v>4.223000000000102</v>
      </c>
      <c r="CG94" s="1479">
        <f t="shared" ca="1" si="56"/>
        <v>0.71400000000007957</v>
      </c>
      <c r="CH94" s="1479">
        <f t="shared" ca="1" si="57"/>
        <v>0.71400000000007957</v>
      </c>
      <c r="CI94" s="1479">
        <f t="shared" ca="1" si="58"/>
        <v>1.4860000000000797</v>
      </c>
      <c r="CJ94" s="1480">
        <f ca="1">IF($B94&gt;=$J$5,0,CONTADORES!$BG90)</f>
        <v>10387.3527774991</v>
      </c>
      <c r="CK94" s="1384">
        <f>CONTADORES!E90</f>
        <v>0</v>
      </c>
      <c r="CL94" s="1384">
        <f>CONTADORES!BX90</f>
        <v>0</v>
      </c>
    </row>
    <row r="95" spans="2:90">
      <c r="B95" s="410">
        <v>45011</v>
      </c>
      <c r="C95" s="204">
        <f t="shared" ca="1" si="33"/>
        <v>296</v>
      </c>
      <c r="D95" s="202">
        <f ca="1">'CALCULO DE GAS'!D97</f>
        <v>4.8901011134663346</v>
      </c>
      <c r="E95" s="202">
        <f ca="1">IF(B95&gt;=$J$5,0,(CONTADORES!$AB91-CONTADORES!$AB90)-$H95)</f>
        <v>24</v>
      </c>
      <c r="F95" s="204">
        <f t="shared" ca="1" si="60"/>
        <v>0</v>
      </c>
      <c r="G95" s="202">
        <f ca="1">IF(B95&gt;=$J$5,0,CONTADORES!$AD91-CONTADORES!$AD90)</f>
        <v>0</v>
      </c>
      <c r="H95" s="1437">
        <f ca="1">IF(G95&gt;0,CONTADORES!$AC91-CONTADORES!$AC90,0)</f>
        <v>0</v>
      </c>
      <c r="I95" s="205">
        <f ca="1">IF(B95&gt;=$J$5,0,CONTADORES!$Z91-CONTADORES!$Z90)</f>
        <v>296</v>
      </c>
      <c r="J95" s="204">
        <f t="shared" ca="1" si="34"/>
        <v>146</v>
      </c>
      <c r="K95" s="202">
        <f ca="1">'CALCULO DE GAS'!E97</f>
        <v>3.6669090935162094</v>
      </c>
      <c r="L95" s="1437">
        <f ca="1">IF(B95&gt;=$J$5,0,(CONTADORES!$W91-CONTADORES!$W90)-$O95)</f>
        <v>24</v>
      </c>
      <c r="M95" s="1437">
        <f t="shared" ca="1" si="59"/>
        <v>0</v>
      </c>
      <c r="N95" s="1437">
        <f ca="1">IF(B95&gt;=$J$5,0,CONTADORES!$Y91-CONTADORES!$Y90)</f>
        <v>0</v>
      </c>
      <c r="O95" s="1437">
        <f ca="1">IF(N95&gt;0,CONTADORES!$X91-CONTADORES!$X90,0)</f>
        <v>0</v>
      </c>
      <c r="P95" s="208">
        <f ca="1">IF(B95&gt;=$J$5,0,CONTADORES!$U91-CONTADORES!$U90)</f>
        <v>146</v>
      </c>
      <c r="Q95" s="208">
        <f ca="1">IF(B95&gt;=$J$5,0,CONTADORES!$B91-CONTADORES!$B90)</f>
        <v>0</v>
      </c>
      <c r="R95" s="202">
        <f t="shared" ca="1" si="35"/>
        <v>0</v>
      </c>
      <c r="S95" s="11">
        <f ca="1">IF(B95&gt;=$J$5,0,CONTADORES!$D91-CONTADORES!$D90)</f>
        <v>0</v>
      </c>
      <c r="T95" s="204">
        <f ca="1">IF(B95&gt;=$J$5,0,CONTADORES!$AZ91-CONTADORES!$AZ90)</f>
        <v>0</v>
      </c>
      <c r="U95" s="202">
        <f t="shared" ca="1" si="36"/>
        <v>0</v>
      </c>
      <c r="V95" s="205">
        <f ca="1">IF(B95&gt;=$J$5,0,CONTADORES!$BB91-CONTADORES!$BB90)</f>
        <v>0</v>
      </c>
      <c r="W95" s="1438">
        <f t="shared" ca="1" si="37"/>
        <v>442</v>
      </c>
      <c r="X95" s="1438">
        <f t="shared" ca="1" si="38"/>
        <v>0</v>
      </c>
      <c r="Y95" s="1439">
        <f t="shared" ca="1" si="39"/>
        <v>442</v>
      </c>
      <c r="Z95" s="1439">
        <f t="shared" ca="1" si="40"/>
        <v>8.5570102069825431</v>
      </c>
      <c r="AA95" s="1439">
        <f t="shared" ca="1" si="41"/>
        <v>0</v>
      </c>
      <c r="AB95" s="1439">
        <f t="shared" ca="1" si="42"/>
        <v>48</v>
      </c>
      <c r="AC95" s="1438">
        <f t="shared" ca="1" si="43"/>
        <v>0</v>
      </c>
      <c r="AD95" s="1438">
        <f ca="1">IF(B95&gt;=$J$5,0,CONTADORES!H91-CONTADORES!H90)</f>
        <v>160</v>
      </c>
      <c r="AE95" s="1438">
        <f ca="1">IF(B95&gt;=$J$5,0,CONTADORES!J91-CONTADORES!J90)</f>
        <v>23.200000000011642</v>
      </c>
      <c r="AF95" s="1438">
        <f ca="1">IF(B95&gt;=$J$5,0,CONTADORES!AS91-CONTADORES!AS90)</f>
        <v>146</v>
      </c>
      <c r="AG95" s="1438">
        <f ca="1">IF(B95&gt;=$J$5,0,CONTADORES!AU91-CONTADORES!AU90)</f>
        <v>24</v>
      </c>
      <c r="AH95" s="1438">
        <f ca="1">IF(B95&gt;=$J$5,0,(CONTADORES!AK91-CONTADORES!AK90)+(CONTADORES!K91-CONTADORES!K90))</f>
        <v>8</v>
      </c>
      <c r="AI95" s="1438">
        <f ca="1">IF(B95&gt;=$J$5,0,(CONTADORES!AI91-CONTADORES!AI90)+(CONTADORES!M91-CONTADORES!M90))</f>
        <v>40.900000000001455</v>
      </c>
      <c r="AJ95" s="1438">
        <f ca="1">IF(B95&gt;=$J$5,0,(CONTADORES!AG91-CONTADORES!AG90))</f>
        <v>8.1000000000058208</v>
      </c>
      <c r="AK95" s="1438">
        <f ca="1">IF(B95&gt;=$J$5,0,(CONTADORES!O91-CONTADORES!O90))</f>
        <v>14.199999999982538</v>
      </c>
      <c r="AL95" s="1438">
        <f t="shared" ca="1" si="44"/>
        <v>35.500000000010857</v>
      </c>
      <c r="AM95" s="1438">
        <f ca="1">IF(B95&gt;=$J$5,0,(((CONTADORES!F91-CONTADORES!F90)+(CONTADORES!AO91-CONTADORES!AO90))))-BJ95-AF95-AN95-BM95-BP95-BU95-BS95</f>
        <v>10.921999999998269</v>
      </c>
      <c r="AN95" s="1438">
        <f ca="1">IF(B95&gt;=$J$5,0,(CONTADORES!AV91-CONTADORES!AV90)+(CONTADORES!AX91-CONTADORES!AX90)+(CONTADORES!BC91-CONTADORES!BC90))-BS95</f>
        <v>2.8060000000002727</v>
      </c>
      <c r="AO95" s="1478">
        <f ca="1">IF(B95&gt;=$J$5,0,(CONTADORES!AA91-CONTADORES!AA90))</f>
        <v>149</v>
      </c>
      <c r="AP95" s="1478">
        <f ca="1">IF(B95&gt;=$J$5,0,(CONTADORES!V91-CONTADORES!V90))</f>
        <v>75</v>
      </c>
      <c r="AQ95" s="1445">
        <f ca="1">IF(B95&gt;=$J$5,0,(CONTADORES!C91-CONTADORES!C90))</f>
        <v>0</v>
      </c>
      <c r="AR95" s="1440">
        <f ca="1">IF(B95&gt;=$J$5,0,(CONTADORES!BA91-CONTADORES!BA90))</f>
        <v>0</v>
      </c>
      <c r="AS95" s="1438">
        <f ca="1">IF(B95&gt;=$J$5,0,CONTADORES!Q91-CONTADORES!Q90)</f>
        <v>17.199999999982538</v>
      </c>
      <c r="AT95" s="1438">
        <f ca="1">IF(B95&gt;=$J$5,0,(CONTADORES!S91-CONTADORES!S90)+(CONTADORES!AE91-CONTADORES!AE90))</f>
        <v>2.3000000000029104</v>
      </c>
      <c r="AU95" s="1450">
        <f>CONTADORES!I91-CONTADORES!I90</f>
        <v>82</v>
      </c>
      <c r="AV95" s="1479">
        <f>CONTADORES!AT91-CONTADORES!AT90</f>
        <v>64</v>
      </c>
      <c r="AW95" s="1479">
        <f ca="1">IF(B95&gt;=$J$5,0,(CONTADORES!L91-CONTADORES!L90)+(CONTADORES!AL91-CONTADORES!AL90))</f>
        <v>3.0999999999985448</v>
      </c>
      <c r="AX95" s="1479">
        <f ca="1">IF(B95&gt;=$J$5,0,(CONTADORES!N91-CONTADORES!N90)+(CONTADORES!AJ91-CONTADORES!AJ90))</f>
        <v>33.400000000001455</v>
      </c>
      <c r="AY95" s="1479">
        <f ca="1">IF(B95&gt;=$J$5,0,(CONTADORES!AH91-CONTADORES!AH90))</f>
        <v>6.3000000000029104</v>
      </c>
      <c r="AZ95" s="1479">
        <f ca="1">IF(B95&gt;=$J$5,0,(CONTADORES!P91-CONTADORES!P90))</f>
        <v>11.799999999988358</v>
      </c>
      <c r="BA95" s="1438">
        <f t="shared" ca="1" si="45"/>
        <v>9.6360000000087211</v>
      </c>
      <c r="BB95" s="1438">
        <f ca="1">IF(B95&gt;=$J$5,0,(((CONTADORES!G91-CONTADORES!G90)+(CONTADORES!AP91-CONTADORES!AP90))))-AV95-BC95-BK95-BN95-BQ95-BV95</f>
        <v>6.063000000000148</v>
      </c>
      <c r="BC95" s="1438">
        <f ca="1">IF(B95&gt;=$J$5,0,(CONTADORES!AW91-CONTADORES!AW90)+(CONTADORES!AY91-CONTADORES!AY90)+(CONTADORES!BD91-CONTADORES!BD90))-BT95</f>
        <v>1.6360000000000341</v>
      </c>
      <c r="BD95" s="1438">
        <f t="shared" ca="1" si="46"/>
        <v>224</v>
      </c>
      <c r="BE95" s="1450">
        <f ca="1">IF($B95&gt;=$J$5,0,CONTADORES!$BE91)</f>
        <v>6141.37</v>
      </c>
      <c r="BF95" s="1479">
        <f ca="1">IF($B95&gt;=$J$5,0,CONTADORES!$BF91)</f>
        <v>33241.587719298201</v>
      </c>
      <c r="BG95" s="1438">
        <f ca="1">IF($B95&gt;=$J$5,0,CONTADORES!$BH91)</f>
        <v>5549.3</v>
      </c>
      <c r="BH95" s="1438">
        <f ca="1">IF(B95&gt;=$J$5,0,(CONTADORES!AQ91-CONTADORES!AQ90))</f>
        <v>5</v>
      </c>
      <c r="BI95" s="1438">
        <f ca="1">IF(B95&gt;=$J$5,0,(CONTADORES!AR91-CONTADORES!AR90))</f>
        <v>0</v>
      </c>
      <c r="BJ95" s="1450">
        <f ca="1">IF(B95&gt;=$J$5,0,CONTADORES!BI91-CONTADORES!BI90)/1000</f>
        <v>2</v>
      </c>
      <c r="BK95" s="1479">
        <f ca="1">IF(B95&gt;=$J$5,0,CONTADORES!BJ91-CONTADORES!BJ90)</f>
        <v>1</v>
      </c>
      <c r="BL95" s="1479">
        <f ca="1">IF(B95&gt;=$J$5,0,CONTADORES!BK91-CONTADORES!BK90)</f>
        <v>22</v>
      </c>
      <c r="BM95" s="1479">
        <f ca="1">IF(B95&gt;=$J$5,0,CONTADORES!BL91-CONTADORES!BL90)/1000</f>
        <v>1.524</v>
      </c>
      <c r="BN95" s="1479">
        <f ca="1">IF(B95&gt;=$J$5,0,CONTADORES!BM91-CONTADORES!BM90)/1000</f>
        <v>5.5E-2</v>
      </c>
      <c r="BO95" s="1479">
        <f ca="1">IF(B95&gt;=$J$5,0,CONTADORES!BN91-CONTADORES!BN90)</f>
        <v>5.8999999999978172</v>
      </c>
      <c r="BP95" s="1479">
        <f ca="1">IF(B95&gt;=$J$5,0,CONTADORES!BO91-CONTADORES!BO90)/1000</f>
        <v>4.4539999999999997</v>
      </c>
      <c r="BQ95" s="1479">
        <f ca="1">IF(B95&gt;=$J$5,0,CONTADORES!BP91-CONTADORES!BP90)/1000</f>
        <v>4.5999999999999999E-2</v>
      </c>
      <c r="BR95" s="1479">
        <f ca="1">IF(B95&gt;=$J$5,0,CONTADORES!BQ91-CONTADORES!BQ90)</f>
        <v>17.399999999997817</v>
      </c>
      <c r="BS95" s="1450">
        <f ca="1">IF(B95&gt;=$J$5,0,(CONTADORES!BT91-CONTADORES!BT90)+(CONTADORES!BV91-CONTADORES!BV90))/1000</f>
        <v>1.3939999999999999</v>
      </c>
      <c r="BT95" s="1479">
        <f ca="1">IF(B95&gt;=$J$5,0,(CONTADORES!BU91-CONTADORES!BU90)+(CONTADORES!BW91-CONTADORES!BW90))/1000</f>
        <v>0.76400000000000001</v>
      </c>
      <c r="BU95" s="1450">
        <f ca="1">IF(B95&gt;=$J$5,0,CONTADORES!BR91-CONTADORES!BR90)</f>
        <v>6.2000000000007276</v>
      </c>
      <c r="BV95" s="1479">
        <f ca="1">IF(B95&gt;=$J$5,0,CONTADORES!BS91-CONTADORES!BS90)</f>
        <v>4.1999999999998181</v>
      </c>
      <c r="BW95" s="1479">
        <f t="shared" ca="1" si="47"/>
        <v>11.660999999999863</v>
      </c>
      <c r="BX95" s="1479">
        <f t="shared" ca="1" si="48"/>
        <v>7.2314999999998921</v>
      </c>
      <c r="BY95" s="1479">
        <f t="shared" ca="1" si="49"/>
        <v>5.4609999999991343</v>
      </c>
      <c r="BZ95" s="1479">
        <f t="shared" ca="1" si="50"/>
        <v>1.1224000000001091</v>
      </c>
      <c r="CA95" s="1479">
        <f t="shared" ca="1" si="51"/>
        <v>5.4609999999991343</v>
      </c>
      <c r="CB95" s="1479">
        <f t="shared" ca="1" si="52"/>
        <v>1.6836000000001636</v>
      </c>
      <c r="CC95" s="1479">
        <f t="shared" ca="1" si="53"/>
        <v>2.5164000000001092</v>
      </c>
      <c r="CD95" s="1479">
        <f t="shared" ca="1" si="54"/>
        <v>3.031500000000074</v>
      </c>
      <c r="CE95" s="1479">
        <f ca="1">IF(B95&gt;=$J$5,0,CONTADORES!BS91-CONTADORES!BS90)</f>
        <v>4.1999999999998181</v>
      </c>
      <c r="CF95" s="1479">
        <f t="shared" ca="1" si="55"/>
        <v>3.031500000000074</v>
      </c>
      <c r="CG95" s="1479">
        <f t="shared" ca="1" si="56"/>
        <v>0.81800000000001705</v>
      </c>
      <c r="CH95" s="1479">
        <f t="shared" ca="1" si="57"/>
        <v>0.81800000000001705</v>
      </c>
      <c r="CI95" s="1479">
        <f t="shared" ca="1" si="58"/>
        <v>1.5820000000000172</v>
      </c>
      <c r="CJ95" s="1480">
        <f ca="1">IF($B95&gt;=$J$5,0,CONTADORES!$BG91)</f>
        <v>9183.3816274330693</v>
      </c>
      <c r="CK95" s="1384">
        <f>CONTADORES!E91</f>
        <v>0</v>
      </c>
      <c r="CL95" s="1384">
        <f>CONTADORES!BX91</f>
        <v>0</v>
      </c>
    </row>
    <row r="96" spans="2:90">
      <c r="B96" s="410">
        <v>45012</v>
      </c>
      <c r="C96" s="204">
        <f t="shared" ca="1" si="33"/>
        <v>294</v>
      </c>
      <c r="D96" s="202">
        <f ca="1">'CALCULO DE GAS'!D98</f>
        <v>4.8737918865336667</v>
      </c>
      <c r="E96" s="202">
        <f ca="1">IF(B96&gt;=$J$5,0,(CONTADORES!$AB92-CONTADORES!$AB91)-$H96)</f>
        <v>24</v>
      </c>
      <c r="F96" s="204">
        <f t="shared" ca="1" si="60"/>
        <v>0</v>
      </c>
      <c r="G96" s="202">
        <f ca="1">IF(B96&gt;=$J$5,0,CONTADORES!$AD92-CONTADORES!$AD91)</f>
        <v>0</v>
      </c>
      <c r="H96" s="1437">
        <f ca="1">IF(G96&gt;0,CONTADORES!$AC92-CONTADORES!$AC91,0)</f>
        <v>0</v>
      </c>
      <c r="I96" s="205">
        <f ca="1">IF(B96&gt;=$J$5,0,CONTADORES!$Z92-CONTADORES!$Z91)</f>
        <v>294</v>
      </c>
      <c r="J96" s="204">
        <f t="shared" ca="1" si="34"/>
        <v>152</v>
      </c>
      <c r="K96" s="202">
        <f ca="1">'CALCULO DE GAS'!E98</f>
        <v>3.715836774314214</v>
      </c>
      <c r="L96" s="1437">
        <f ca="1">IF(B96&gt;=$J$5,0,(CONTADORES!$W92-CONTADORES!$W91)-$O96)</f>
        <v>24</v>
      </c>
      <c r="M96" s="1437">
        <f t="shared" ca="1" si="59"/>
        <v>0</v>
      </c>
      <c r="N96" s="1437">
        <f ca="1">IF(B96&gt;=$J$5,0,CONTADORES!$Y92-CONTADORES!$Y91)</f>
        <v>0</v>
      </c>
      <c r="O96" s="1437">
        <f ca="1">IF(N96&gt;0,CONTADORES!$X92-CONTADORES!$X91,0)</f>
        <v>0</v>
      </c>
      <c r="P96" s="208">
        <f ca="1">IF(B96&gt;=$J$5,0,CONTADORES!$U92-CONTADORES!$U91)</f>
        <v>152</v>
      </c>
      <c r="Q96" s="208">
        <f ca="1">IF(B96&gt;=$J$5,0,CONTADORES!$B92-CONTADORES!$B91)</f>
        <v>0.32099999999991269</v>
      </c>
      <c r="R96" s="202">
        <f t="shared" ca="1" si="35"/>
        <v>38.519999999989523</v>
      </c>
      <c r="S96" s="11">
        <f ca="1">IF(B96&gt;=$J$5,0,CONTADORES!$D92-CONTADORES!$D91)</f>
        <v>0.6999999999998181</v>
      </c>
      <c r="T96" s="204">
        <f ca="1">IF(B96&gt;=$J$5,0,CONTADORES!$AZ92-CONTADORES!$AZ91)</f>
        <v>0</v>
      </c>
      <c r="U96" s="202">
        <f t="shared" ca="1" si="36"/>
        <v>0</v>
      </c>
      <c r="V96" s="205">
        <f ca="1">IF(B96&gt;=$J$5,0,CONTADORES!$BB92-CONTADORES!$BB91)</f>
        <v>0</v>
      </c>
      <c r="W96" s="1438">
        <f t="shared" ca="1" si="37"/>
        <v>446</v>
      </c>
      <c r="X96" s="1438">
        <f t="shared" ca="1" si="38"/>
        <v>0.32099999999991269</v>
      </c>
      <c r="Y96" s="1439">
        <f t="shared" ca="1" si="39"/>
        <v>446.32099999999991</v>
      </c>
      <c r="Z96" s="1439">
        <f t="shared" ca="1" si="40"/>
        <v>8.5896286608478807</v>
      </c>
      <c r="AA96" s="1439">
        <f t="shared" ca="1" si="41"/>
        <v>38.519999999989523</v>
      </c>
      <c r="AB96" s="1439">
        <f t="shared" ca="1" si="42"/>
        <v>48</v>
      </c>
      <c r="AC96" s="1438">
        <f t="shared" ca="1" si="43"/>
        <v>0.6999999999998181</v>
      </c>
      <c r="AD96" s="1438">
        <f ca="1">IF(B96&gt;=$J$5,0,CONTADORES!H92-CONTADORES!H91)</f>
        <v>162</v>
      </c>
      <c r="AE96" s="1438">
        <f ca="1">IF(B96&gt;=$J$5,0,CONTADORES!J92-CONTADORES!J91)</f>
        <v>24</v>
      </c>
      <c r="AF96" s="1438">
        <f ca="1">IF(B96&gt;=$J$5,0,CONTADORES!AS92-CONTADORES!AS91)</f>
        <v>146</v>
      </c>
      <c r="AG96" s="1438">
        <f ca="1">IF(B96&gt;=$J$5,0,CONTADORES!AU92-CONTADORES!AU91)</f>
        <v>24</v>
      </c>
      <c r="AH96" s="1438">
        <f ca="1">IF(B96&gt;=$J$5,0,(CONTADORES!AK92-CONTADORES!AK91)+(CONTADORES!K92-CONTADORES!K91))</f>
        <v>9</v>
      </c>
      <c r="AI96" s="1438">
        <f ca="1">IF(B96&gt;=$J$5,0,(CONTADORES!AI92-CONTADORES!AI91)+(CONTADORES!M92-CONTADORES!M91))</f>
        <v>42</v>
      </c>
      <c r="AJ96" s="1438">
        <f ca="1">IF(B96&gt;=$J$5,0,(CONTADORES!AG92-CONTADORES!AG91))</f>
        <v>8</v>
      </c>
      <c r="AK96" s="1438">
        <f ca="1">IF(B96&gt;=$J$5,0,(CONTADORES!O92-CONTADORES!O91))</f>
        <v>14.200000000011642</v>
      </c>
      <c r="AL96" s="1438">
        <f t="shared" ca="1" si="44"/>
        <v>36.320999999985361</v>
      </c>
      <c r="AM96" s="1438">
        <f ca="1">IF(B96&gt;=$J$5,0,(((CONTADORES!F92-CONTADORES!F91)+(CONTADORES!AO92-CONTADORES!AO91))))-BJ96-AF96-AN96-BM96-BP96-BU96-BS96</f>
        <v>10.844000000003001</v>
      </c>
      <c r="AN96" s="1438">
        <f ca="1">IF(B96&gt;=$J$5,0,(CONTADORES!AV92-CONTADORES!AV91)+(CONTADORES!AX92-CONTADORES!AX91)+(CONTADORES!BC92-CONTADORES!BC91))-BS96</f>
        <v>2.6379999999995452</v>
      </c>
      <c r="AO96" s="1478">
        <f ca="1">IF(B96&gt;=$J$5,0,(CONTADORES!AA92-CONTADORES!AA91))</f>
        <v>148</v>
      </c>
      <c r="AP96" s="1478">
        <f ca="1">IF(B96&gt;=$J$5,0,(CONTADORES!V92-CONTADORES!V91))</f>
        <v>78</v>
      </c>
      <c r="AQ96" s="1445">
        <f ca="1">IF(B96&gt;=$J$5,0,(CONTADORES!C92-CONTADORES!C91))</f>
        <v>0.11099999999999</v>
      </c>
      <c r="AR96" s="1440">
        <f ca="1">IF(B96&gt;=$J$5,0,(CONTADORES!BA92-CONTADORES!BA91))</f>
        <v>0</v>
      </c>
      <c r="AS96" s="1438">
        <f ca="1">IF(B96&gt;=$J$5,0,CONTADORES!Q92-CONTADORES!Q91)</f>
        <v>15.5</v>
      </c>
      <c r="AT96" s="1438">
        <f ca="1">IF(B96&gt;=$J$5,0,(CONTADORES!S92-CONTADORES!S91)+(CONTADORES!AE92-CONTADORES!AE91))</f>
        <v>2.3999999999941792</v>
      </c>
      <c r="AU96" s="1450">
        <f>CONTADORES!I92-CONTADORES!I91</f>
        <v>82</v>
      </c>
      <c r="AV96" s="1479">
        <f>CONTADORES!AT92-CONTADORES!AT91</f>
        <v>63</v>
      </c>
      <c r="AW96" s="1479">
        <f ca="1">IF(B96&gt;=$J$5,0,(CONTADORES!L92-CONTADORES!L91)+(CONTADORES!AL92-CONTADORES!AL91))</f>
        <v>3.4000000000014552</v>
      </c>
      <c r="AX96" s="1479">
        <f ca="1">IF(B96&gt;=$J$5,0,(CONTADORES!N92-CONTADORES!N91)+(CONTADORES!AJ92-CONTADORES!AJ91))</f>
        <v>34.099999999998545</v>
      </c>
      <c r="AY96" s="1479">
        <f ca="1">IF(B96&gt;=$J$5,0,(CONTADORES!AH92-CONTADORES!AH91))</f>
        <v>6.0999999999985448</v>
      </c>
      <c r="AZ96" s="1479">
        <f ca="1">IF(B96&gt;=$J$5,0,(CONTADORES!P92-CONTADORES!P91))</f>
        <v>11.700000000011642</v>
      </c>
      <c r="BA96" s="1438">
        <f t="shared" ca="1" si="45"/>
        <v>11.467999999989473</v>
      </c>
      <c r="BB96" s="1438">
        <f ca="1">IF(B96&gt;=$J$5,0,(((CONTADORES!G92-CONTADORES!G91)+(CONTADORES!AP92-CONTADORES!AP91))))-AV96-BC96-BK96-BN96-BQ96-BV96</f>
        <v>7.2029999999998306</v>
      </c>
      <c r="BC96" s="1438">
        <f ca="1">IF(B96&gt;=$J$5,0,(CONTADORES!AW92-CONTADORES!AW91)+(CONTADORES!AY92-CONTADORES!AY91)+(CONTADORES!BD92-CONTADORES!BD91))-BT96</f>
        <v>1.4569999999999887</v>
      </c>
      <c r="BD96" s="1438">
        <f t="shared" ca="1" si="46"/>
        <v>226.11099999999999</v>
      </c>
      <c r="BE96" s="1450">
        <f ca="1">IF($B96&gt;=$J$5,0,CONTADORES!$BE92)</f>
        <v>6513.88</v>
      </c>
      <c r="BF96" s="1479">
        <f ca="1">IF($B96&gt;=$J$5,0,CONTADORES!$BF92)</f>
        <v>33453.443859649102</v>
      </c>
      <c r="BG96" s="1438">
        <f ca="1">IF($B96&gt;=$J$5,0,CONTADORES!$BH92)</f>
        <v>5642.13</v>
      </c>
      <c r="BH96" s="1438">
        <f ca="1">IF(B96&gt;=$J$5,0,(CONTADORES!AQ92-CONTADORES!AQ91))</f>
        <v>5</v>
      </c>
      <c r="BI96" s="1438">
        <f ca="1">IF(B96&gt;=$J$5,0,(CONTADORES!AR92-CONTADORES!AR91))</f>
        <v>0</v>
      </c>
      <c r="BJ96" s="1450">
        <f ca="1">IF(B96&gt;=$J$5,0,CONTADORES!BI92-CONTADORES!BI91)/1000</f>
        <v>2</v>
      </c>
      <c r="BK96" s="1479">
        <f ca="1">IF(B96&gt;=$J$5,0,CONTADORES!BJ92-CONTADORES!BJ91)</f>
        <v>1</v>
      </c>
      <c r="BL96" s="1479">
        <f ca="1">IF(B96&gt;=$J$5,0,CONTADORES!BK92-CONTADORES!BK91)</f>
        <v>24</v>
      </c>
      <c r="BM96" s="1479">
        <f ca="1">IF(B96&gt;=$J$5,0,CONTADORES!BL92-CONTADORES!BL91)/1000</f>
        <v>0</v>
      </c>
      <c r="BN96" s="1479">
        <f ca="1">IF(B96&gt;=$J$5,0,CONTADORES!BM92-CONTADORES!BM91)/1000</f>
        <v>0</v>
      </c>
      <c r="BO96" s="1479">
        <f ca="1">IF(B96&gt;=$J$5,0,CONTADORES!BN92-CONTADORES!BN91)</f>
        <v>0</v>
      </c>
      <c r="BP96" s="1479">
        <f ca="1">IF(B96&gt;=$J$5,0,CONTADORES!BO92-CONTADORES!BO91)/1000</f>
        <v>6.3559999999999999</v>
      </c>
      <c r="BQ96" s="1479">
        <f ca="1">IF(B96&gt;=$J$5,0,CONTADORES!BP92-CONTADORES!BP91)/1000</f>
        <v>0.04</v>
      </c>
      <c r="BR96" s="1479">
        <f ca="1">IF(B96&gt;=$J$5,0,CONTADORES!BQ92-CONTADORES!BQ91)</f>
        <v>24</v>
      </c>
      <c r="BS96" s="1450">
        <f ca="1">IF(B96&gt;=$J$5,0,(CONTADORES!BT92-CONTADORES!BT91)+(CONTADORES!BV92-CONTADORES!BV91))/1000</f>
        <v>1.3620000000000001</v>
      </c>
      <c r="BT96" s="1479">
        <f ca="1">IF(B96&gt;=$J$5,0,(CONTADORES!BU92-CONTADORES!BU91)+(CONTADORES!BW92-CONTADORES!BW91))/1000</f>
        <v>0.74299999999999999</v>
      </c>
      <c r="BU96" s="1450">
        <f ca="1">IF(B96&gt;=$J$5,0,CONTADORES!BR92-CONTADORES!BR91)</f>
        <v>5.6000000000003638</v>
      </c>
      <c r="BV96" s="1479">
        <f ca="1">IF(B96&gt;=$J$5,0,CONTADORES!BS92-CONTADORES!BS91)</f>
        <v>3.9000000000005457</v>
      </c>
      <c r="BW96" s="1479">
        <f t="shared" ca="1" si="47"/>
        <v>11.022000000001864</v>
      </c>
      <c r="BX96" s="1479">
        <f t="shared" ca="1" si="48"/>
        <v>7.501500000000461</v>
      </c>
      <c r="BY96" s="1479">
        <f t="shared" ca="1" si="49"/>
        <v>5.4220000000015007</v>
      </c>
      <c r="BZ96" s="1479">
        <f t="shared" ca="1" si="50"/>
        <v>1.0551999999998181</v>
      </c>
      <c r="CA96" s="1479">
        <f t="shared" ca="1" si="51"/>
        <v>5.4220000000015007</v>
      </c>
      <c r="CB96" s="1479">
        <f t="shared" ca="1" si="52"/>
        <v>1.5827999999997271</v>
      </c>
      <c r="CC96" s="1479">
        <f t="shared" ca="1" si="53"/>
        <v>2.4171999999998182</v>
      </c>
      <c r="CD96" s="1479">
        <f t="shared" ca="1" si="54"/>
        <v>3.6014999999999153</v>
      </c>
      <c r="CE96" s="1479">
        <f ca="1">IF(B96&gt;=$J$5,0,CONTADORES!BS92-CONTADORES!BS91)</f>
        <v>3.9000000000005457</v>
      </c>
      <c r="CF96" s="1479">
        <f t="shared" ca="1" si="55"/>
        <v>3.6014999999999153</v>
      </c>
      <c r="CG96" s="1479">
        <f t="shared" ca="1" si="56"/>
        <v>0.72849999999999437</v>
      </c>
      <c r="CH96" s="1479">
        <f t="shared" ca="1" si="57"/>
        <v>0.72849999999999437</v>
      </c>
      <c r="CI96" s="1479">
        <f t="shared" ca="1" si="58"/>
        <v>1.4714999999999945</v>
      </c>
      <c r="CJ96" s="1480">
        <f ca="1">IF($B96&gt;=$J$5,0,CONTADORES!$BG92)</f>
        <v>9366.7454665413607</v>
      </c>
      <c r="CK96" s="1384">
        <f>CONTADORES!E92</f>
        <v>0.3</v>
      </c>
      <c r="CL96" s="1384">
        <f>CONTADORES!BX92</f>
        <v>0</v>
      </c>
    </row>
    <row r="97" spans="2:90">
      <c r="B97" s="410">
        <v>45013</v>
      </c>
      <c r="C97" s="204">
        <f t="shared" ca="1" si="33"/>
        <v>297</v>
      </c>
      <c r="D97" s="202">
        <f ca="1">'CALCULO DE GAS'!D99</f>
        <v>4.8982557269326685</v>
      </c>
      <c r="E97" s="202">
        <f ca="1">IF(B97&gt;=$J$5,0,(CONTADORES!$AB93-CONTADORES!$AB92)-$H97)</f>
        <v>24</v>
      </c>
      <c r="F97" s="204">
        <f t="shared" ca="1" si="60"/>
        <v>0</v>
      </c>
      <c r="G97" s="202">
        <f ca="1">IF(B97&gt;=$J$5,0,CONTADORES!$AD93-CONTADORES!$AD92)</f>
        <v>0</v>
      </c>
      <c r="H97" s="1437">
        <f ca="1">IF(G97&gt;0,CONTADORES!$AC93-CONTADORES!$AC92,0)</f>
        <v>0</v>
      </c>
      <c r="I97" s="205">
        <f ca="1">IF(B97&gt;=$J$5,0,CONTADORES!$Z93-CONTADORES!$Z92)</f>
        <v>297</v>
      </c>
      <c r="J97" s="204">
        <f t="shared" ca="1" si="34"/>
        <v>147</v>
      </c>
      <c r="K97" s="202">
        <f ca="1">'CALCULO DE GAS'!E99</f>
        <v>3.6750637069825434</v>
      </c>
      <c r="L97" s="1437">
        <f ca="1">IF(B97&gt;=$J$5,0,(CONTADORES!$W93-CONTADORES!$W92)-$O97)</f>
        <v>24</v>
      </c>
      <c r="M97" s="1437">
        <f t="shared" ca="1" si="59"/>
        <v>0</v>
      </c>
      <c r="N97" s="1437">
        <f ca="1">IF(B97&gt;=$J$5,0,CONTADORES!$Y93-CONTADORES!$Y92)</f>
        <v>0</v>
      </c>
      <c r="O97" s="1437">
        <f ca="1">IF(N97&gt;0,CONTADORES!$X93-CONTADORES!$X92,0)</f>
        <v>0</v>
      </c>
      <c r="P97" s="208">
        <f ca="1">IF(B97&gt;=$J$5,0,CONTADORES!$U93-CONTADORES!$U92)</f>
        <v>147</v>
      </c>
      <c r="Q97" s="208">
        <f ca="1">IF(B97&gt;=$J$5,0,CONTADORES!$B93-CONTADORES!$B92)</f>
        <v>0</v>
      </c>
      <c r="R97" s="202">
        <f t="shared" ca="1" si="35"/>
        <v>0</v>
      </c>
      <c r="S97" s="11">
        <f ca="1">IF(B97&gt;=$J$5,0,CONTADORES!$D93-CONTADORES!$D92)</f>
        <v>0</v>
      </c>
      <c r="T97" s="204">
        <f ca="1">IF(B97&gt;=$J$5,0,CONTADORES!$AZ93-CONTADORES!$AZ92)</f>
        <v>0.36199999999996635</v>
      </c>
      <c r="U97" s="202">
        <f t="shared" ca="1" si="36"/>
        <v>43.439999999995962</v>
      </c>
      <c r="V97" s="205">
        <f ca="1">IF(B97&gt;=$J$5,0,CONTADORES!$BB93-CONTADORES!$BB92)</f>
        <v>0.40000000000009095</v>
      </c>
      <c r="W97" s="1438">
        <f t="shared" ca="1" si="37"/>
        <v>444</v>
      </c>
      <c r="X97" s="1438">
        <f t="shared" ca="1" si="38"/>
        <v>0.36199999999996635</v>
      </c>
      <c r="Y97" s="1439">
        <f t="shared" ca="1" si="39"/>
        <v>444.36199999999997</v>
      </c>
      <c r="Z97" s="1439">
        <f t="shared" ca="1" si="40"/>
        <v>8.5733194339152128</v>
      </c>
      <c r="AA97" s="1439">
        <f t="shared" ca="1" si="41"/>
        <v>43.439999999995962</v>
      </c>
      <c r="AB97" s="1439">
        <f t="shared" ca="1" si="42"/>
        <v>48</v>
      </c>
      <c r="AC97" s="1438">
        <f t="shared" ca="1" si="43"/>
        <v>0.40000000000009095</v>
      </c>
      <c r="AD97" s="1438">
        <f ca="1">IF(B97&gt;=$J$5,0,CONTADORES!H93-CONTADORES!H92)</f>
        <v>165</v>
      </c>
      <c r="AE97" s="1438">
        <f ca="1">IF(B97&gt;=$J$5,0,CONTADORES!J93-CONTADORES!J92)</f>
        <v>24</v>
      </c>
      <c r="AF97" s="1438">
        <f ca="1">IF(B97&gt;=$J$5,0,CONTADORES!AS93-CONTADORES!AS92)</f>
        <v>148</v>
      </c>
      <c r="AG97" s="1438">
        <f ca="1">IF(B97&gt;=$J$5,0,CONTADORES!AU93-CONTADORES!AU92)</f>
        <v>24</v>
      </c>
      <c r="AH97" s="1438">
        <f ca="1">IF(B97&gt;=$J$5,0,(CONTADORES!AK93-CONTADORES!AK92)+(CONTADORES!K93-CONTADORES!K92))</f>
        <v>6.6999999999970896</v>
      </c>
      <c r="AI97" s="1438">
        <f ca="1">IF(B97&gt;=$J$5,0,(CONTADORES!AI93-CONTADORES!AI92)+(CONTADORES!M93-CONTADORES!M92))</f>
        <v>41.30000000000291</v>
      </c>
      <c r="AJ97" s="1438">
        <f ca="1">IF(B97&gt;=$J$5,0,(CONTADORES!AG93-CONTADORES!AG92))</f>
        <v>7.1999999999970896</v>
      </c>
      <c r="AK97" s="1438">
        <f ca="1">IF(B97&gt;=$J$5,0,(CONTADORES!O93-CONTADORES!O92))</f>
        <v>13.5</v>
      </c>
      <c r="AL97" s="1438">
        <f t="shared" ca="1" si="44"/>
        <v>32.062000000004275</v>
      </c>
      <c r="AM97" s="1438">
        <f ca="1">IF(B97&gt;=$J$5,0,(((CONTADORES!F93-CONTADORES!F92)+(CONTADORES!AO93-CONTADORES!AO92))))-BJ97-AF97-AN97-BM97-BP97-BU97-BS97</f>
        <v>11.491999999998908</v>
      </c>
      <c r="AN97" s="1438">
        <f ca="1">IF(B97&gt;=$J$5,0,(CONTADORES!AV93-CONTADORES!AV92)+(CONTADORES!AX93-CONTADORES!AX92)+(CONTADORES!BC93-CONTADORES!BC92))-BS97</f>
        <v>2.9969999999996362</v>
      </c>
      <c r="AO97" s="1478">
        <f ca="1">IF(B97&gt;=$J$5,0,(CONTADORES!AA93-CONTADORES!AA92))</f>
        <v>150</v>
      </c>
      <c r="AP97" s="1478">
        <f ca="1">IF(B97&gt;=$J$5,0,(CONTADORES!V93-CONTADORES!V92))</f>
        <v>72</v>
      </c>
      <c r="AQ97" s="1445">
        <f ca="1">IF(B97&gt;=$J$5,0,(CONTADORES!C93-CONTADORES!C92))</f>
        <v>0</v>
      </c>
      <c r="AR97" s="1440">
        <f ca="1">IF(B97&gt;=$J$5,0,(CONTADORES!BA93-CONTADORES!BA92))</f>
        <v>0.13800000000003365</v>
      </c>
      <c r="AS97" s="1438">
        <f ca="1">IF(B97&gt;=$J$5,0,CONTADORES!Q93-CONTADORES!Q92)</f>
        <v>14.200000000011642</v>
      </c>
      <c r="AT97" s="1438">
        <f ca="1">IF(B97&gt;=$J$5,0,(CONTADORES!S93-CONTADORES!S92)+(CONTADORES!AE93-CONTADORES!AE92))</f>
        <v>2.6000000000058208</v>
      </c>
      <c r="AU97" s="1450">
        <f>CONTADORES!I93-CONTADORES!I92</f>
        <v>85</v>
      </c>
      <c r="AV97" s="1479">
        <f>CONTADORES!AT93-CONTADORES!AT92</f>
        <v>65</v>
      </c>
      <c r="AW97" s="1479">
        <f ca="1">IF(B97&gt;=$J$5,0,(CONTADORES!L93-CONTADORES!L92)+(CONTADORES!AL93-CONTADORES!AL92))</f>
        <v>2.5</v>
      </c>
      <c r="AX97" s="1479">
        <f ca="1">IF(B97&gt;=$J$5,0,(CONTADORES!N93-CONTADORES!N92)+(CONTADORES!AJ93-CONTADORES!AJ92))</f>
        <v>33.600000000005821</v>
      </c>
      <c r="AY97" s="1479">
        <f ca="1">IF(B97&gt;=$J$5,0,(CONTADORES!AH93-CONTADORES!AH92))</f>
        <v>5.5</v>
      </c>
      <c r="AZ97" s="1479">
        <f ca="1">IF(B97&gt;=$J$5,0,(CONTADORES!P93-CONTADORES!P92))</f>
        <v>10.899999999994179</v>
      </c>
      <c r="BA97" s="1438">
        <f t="shared" ca="1" si="45"/>
        <v>7.6600000000001955</v>
      </c>
      <c r="BB97" s="1438">
        <f ca="1">IF(B97&gt;=$J$5,0,(((CONTADORES!G93-CONTADORES!G92)+(CONTADORES!AP93-CONTADORES!AP92))))-AV97-BC97-BK97-BN97-BQ97-BV97</f>
        <v>5.3760000000008201</v>
      </c>
      <c r="BC97" s="1438">
        <f ca="1">IF(B97&gt;=$J$5,0,(CONTADORES!AW93-CONTADORES!AW92)+(CONTADORES!AY93-CONTADORES!AY92)+(CONTADORES!BD93-CONTADORES!BD92))-BT97</f>
        <v>1.0219999999997271</v>
      </c>
      <c r="BD97" s="1438">
        <f t="shared" ca="1" si="46"/>
        <v>222.13800000000003</v>
      </c>
      <c r="BE97" s="1450">
        <f ca="1">IF($B97&gt;=$J$5,0,CONTADORES!$BE93)</f>
        <v>6054.4</v>
      </c>
      <c r="BF97" s="1479">
        <f ca="1">IF($B97&gt;=$J$5,0,CONTADORES!$BF93)</f>
        <v>32680.889473684201</v>
      </c>
      <c r="BG97" s="1438">
        <f ca="1">IF($B97&gt;=$J$5,0,CONTADORES!$BH93)</f>
        <v>5434.86</v>
      </c>
      <c r="BH97" s="1438">
        <f ca="1">IF(B97&gt;=$J$5,0,(CONTADORES!AQ93-CONTADORES!AQ92))</f>
        <v>4</v>
      </c>
      <c r="BI97" s="1438">
        <f ca="1">IF(B97&gt;=$J$5,0,(CONTADORES!AR93-CONTADORES!AR92))</f>
        <v>0</v>
      </c>
      <c r="BJ97" s="1450">
        <f ca="1">IF(B97&gt;=$J$5,0,CONTADORES!BI93-CONTADORES!BI92)/1000</f>
        <v>1</v>
      </c>
      <c r="BK97" s="1479">
        <f ca="1">IF(B97&gt;=$J$5,0,CONTADORES!BJ93-CONTADORES!BJ92)</f>
        <v>1</v>
      </c>
      <c r="BL97" s="1479">
        <f ca="1">IF(B97&gt;=$J$5,0,CONTADORES!BK93-CONTADORES!BK92)</f>
        <v>9.7000000000007276</v>
      </c>
      <c r="BM97" s="1479">
        <f ca="1">IF(B97&gt;=$J$5,0,CONTADORES!BL93-CONTADORES!BL92)/1000</f>
        <v>3.637</v>
      </c>
      <c r="BN97" s="1479">
        <f ca="1">IF(B97&gt;=$J$5,0,CONTADORES!BM93-CONTADORES!BM92)/1000</f>
        <v>1E-3</v>
      </c>
      <c r="BO97" s="1479">
        <f ca="1">IF(B97&gt;=$J$5,0,CONTADORES!BN93-CONTADORES!BN92)</f>
        <v>14.100000000002183</v>
      </c>
      <c r="BP97" s="1479">
        <f ca="1">IF(B97&gt;=$J$5,0,CONTADORES!BO93-CONTADORES!BO92)/1000</f>
        <v>4.5709999999999997</v>
      </c>
      <c r="BQ97" s="1479">
        <f ca="1">IF(B97&gt;=$J$5,0,CONTADORES!BP93-CONTADORES!BP92)/1000</f>
        <v>1E-3</v>
      </c>
      <c r="BR97" s="1479">
        <f ca="1">IF(B97&gt;=$J$5,0,CONTADORES!BQ93-CONTADORES!BQ92)</f>
        <v>24</v>
      </c>
      <c r="BS97" s="1450">
        <f ca="1">IF(B97&gt;=$J$5,0,(CONTADORES!BT93-CONTADORES!BT92)+(CONTADORES!BV93-CONTADORES!BV92))/1000</f>
        <v>1.403</v>
      </c>
      <c r="BT97" s="1479">
        <f ca="1">IF(B97&gt;=$J$5,0,(CONTADORES!BU93-CONTADORES!BU92)+(CONTADORES!BW93-CONTADORES!BW92))/1000</f>
        <v>0.77800000000000002</v>
      </c>
      <c r="BU97" s="1450">
        <f ca="1">IF(B97&gt;=$J$5,0,CONTADORES!BR93-CONTADORES!BR92)</f>
        <v>5.5</v>
      </c>
      <c r="BV97" s="1479">
        <f ca="1">IF(B97&gt;=$J$5,0,CONTADORES!BS93-CONTADORES!BS92)</f>
        <v>3.7999999999992724</v>
      </c>
      <c r="BW97" s="1479">
        <f t="shared" ca="1" si="47"/>
        <v>11.245999999999455</v>
      </c>
      <c r="BX97" s="1479">
        <f t="shared" ca="1" si="48"/>
        <v>6.4879999999996825</v>
      </c>
      <c r="BY97" s="1479">
        <f t="shared" ca="1" si="49"/>
        <v>5.7459999999994542</v>
      </c>
      <c r="BZ97" s="1479">
        <f t="shared" ca="1" si="50"/>
        <v>1.1987999999998544</v>
      </c>
      <c r="CA97" s="1479">
        <f t="shared" ca="1" si="51"/>
        <v>5.7459999999994542</v>
      </c>
      <c r="CB97" s="1479">
        <f t="shared" ca="1" si="52"/>
        <v>1.7981999999997818</v>
      </c>
      <c r="CC97" s="1479">
        <f t="shared" ca="1" si="53"/>
        <v>2.6017999999998542</v>
      </c>
      <c r="CD97" s="1479">
        <f t="shared" ca="1" si="54"/>
        <v>2.6880000000004101</v>
      </c>
      <c r="CE97" s="1479">
        <f ca="1">IF(B97&gt;=$J$5,0,CONTADORES!BS93-CONTADORES!BS92)</f>
        <v>3.7999999999992724</v>
      </c>
      <c r="CF97" s="1479">
        <f t="shared" ca="1" si="55"/>
        <v>2.6880000000004101</v>
      </c>
      <c r="CG97" s="1479">
        <f t="shared" ca="1" si="56"/>
        <v>0.51099999999986356</v>
      </c>
      <c r="CH97" s="1479">
        <f t="shared" ca="1" si="57"/>
        <v>0.51099999999986356</v>
      </c>
      <c r="CI97" s="1479">
        <f t="shared" ca="1" si="58"/>
        <v>1.2889999999998636</v>
      </c>
      <c r="CJ97" s="1480">
        <f ca="1">IF($B97&gt;=$J$5,0,CONTADORES!$BG93)</f>
        <v>9268.6622886526293</v>
      </c>
      <c r="CK97" s="1384">
        <f>CONTADORES!E93</f>
        <v>0</v>
      </c>
      <c r="CL97" s="1384">
        <f>CONTADORES!BX93</f>
        <v>0.4</v>
      </c>
    </row>
    <row r="98" spans="2:90">
      <c r="B98" s="410">
        <v>45014</v>
      </c>
      <c r="C98" s="204">
        <f t="shared" ca="1" si="33"/>
        <v>295</v>
      </c>
      <c r="D98" s="202">
        <f ca="1">'CALCULO DE GAS'!D100</f>
        <v>4.8819464999999997</v>
      </c>
      <c r="E98" s="202">
        <f ca="1">IF(B98&gt;=$J$5,0,(CONTADORES!$AB94-CONTADORES!$AB93)-$H98)</f>
        <v>24</v>
      </c>
      <c r="F98" s="204">
        <f t="shared" ca="1" si="60"/>
        <v>0</v>
      </c>
      <c r="G98" s="202">
        <f ca="1">IF(B98&gt;=$J$5,0,CONTADORES!$AD94-CONTADORES!$AD93)</f>
        <v>0</v>
      </c>
      <c r="H98" s="1437">
        <f ca="1">IF(G98&gt;0,CONTADORES!$AC94-CONTADORES!$AC93,0)</f>
        <v>0</v>
      </c>
      <c r="I98" s="205">
        <f ca="1">IF(B98&gt;=$J$5,0,CONTADORES!$Z94-CONTADORES!$Z93)</f>
        <v>295</v>
      </c>
      <c r="J98" s="204">
        <f t="shared" ca="1" si="34"/>
        <v>151</v>
      </c>
      <c r="K98" s="202">
        <f ca="1">'CALCULO DE GAS'!E100</f>
        <v>3.70768216084788</v>
      </c>
      <c r="L98" s="1437">
        <f ca="1">IF(B98&gt;=$J$5,0,(CONTADORES!$W94-CONTADORES!$W93)-$O98)</f>
        <v>24</v>
      </c>
      <c r="M98" s="1437">
        <f t="shared" ca="1" si="59"/>
        <v>0</v>
      </c>
      <c r="N98" s="1437">
        <f ca="1">IF(B98&gt;=$J$5,0,CONTADORES!$Y94-CONTADORES!$Y93)</f>
        <v>0</v>
      </c>
      <c r="O98" s="1437">
        <f ca="1">IF(N98&gt;0,CONTADORES!$X94-CONTADORES!$X93,0)</f>
        <v>0</v>
      </c>
      <c r="P98" s="208">
        <f ca="1">IF(B98&gt;=$J$5,0,CONTADORES!$U94-CONTADORES!$U93)</f>
        <v>151</v>
      </c>
      <c r="Q98" s="208">
        <f ca="1">IF(B98&gt;=$J$5,0,CONTADORES!$B94-CONTADORES!$B93)</f>
        <v>0</v>
      </c>
      <c r="R98" s="202">
        <f t="shared" ca="1" si="35"/>
        <v>0</v>
      </c>
      <c r="S98" s="11">
        <f ca="1">IF(B98&gt;=$J$5,0,CONTADORES!$D94-CONTADORES!$D93)</f>
        <v>0</v>
      </c>
      <c r="T98" s="204">
        <f ca="1">IF(B98&gt;=$J$5,0,CONTADORES!$AZ94-CONTADORES!$AZ93)</f>
        <v>0</v>
      </c>
      <c r="U98" s="202">
        <f t="shared" ca="1" si="36"/>
        <v>0</v>
      </c>
      <c r="V98" s="205">
        <f ca="1">IF(B98&gt;=$J$5,0,CONTADORES!$BB94-CONTADORES!$BB93)</f>
        <v>0</v>
      </c>
      <c r="W98" s="1438">
        <f t="shared" ca="1" si="37"/>
        <v>446</v>
      </c>
      <c r="X98" s="1438">
        <f t="shared" ca="1" si="38"/>
        <v>0</v>
      </c>
      <c r="Y98" s="1439">
        <f t="shared" ca="1" si="39"/>
        <v>446</v>
      </c>
      <c r="Z98" s="1439">
        <f t="shared" ca="1" si="40"/>
        <v>8.5896286608478789</v>
      </c>
      <c r="AA98" s="1439">
        <f t="shared" ca="1" si="41"/>
        <v>0</v>
      </c>
      <c r="AB98" s="1439">
        <f t="shared" ca="1" si="42"/>
        <v>48</v>
      </c>
      <c r="AC98" s="1438">
        <f t="shared" ca="1" si="43"/>
        <v>0</v>
      </c>
      <c r="AD98" s="1438">
        <f ca="1">IF(B98&gt;=$J$5,0,CONTADORES!H94-CONTADORES!H93)</f>
        <v>163</v>
      </c>
      <c r="AE98" s="1438">
        <f ca="1">IF(B98&gt;=$J$5,0,CONTADORES!J94-CONTADORES!J93)</f>
        <v>24</v>
      </c>
      <c r="AF98" s="1438">
        <f ca="1">IF(B98&gt;=$J$5,0,CONTADORES!AS94-CONTADORES!AS93)</f>
        <v>148</v>
      </c>
      <c r="AG98" s="1438">
        <f ca="1">IF(B98&gt;=$J$5,0,CONTADORES!AU94-CONTADORES!AU93)</f>
        <v>24</v>
      </c>
      <c r="AH98" s="1438">
        <f ca="1">IF(B98&gt;=$J$5,0,(CONTADORES!AK94-CONTADORES!AK93)+(CONTADORES!K94-CONTADORES!K93))</f>
        <v>9</v>
      </c>
      <c r="AI98" s="1438">
        <f ca="1">IF(B98&gt;=$J$5,0,(CONTADORES!AI94-CONTADORES!AI93)+(CONTADORES!M94-CONTADORES!M93))</f>
        <v>40</v>
      </c>
      <c r="AJ98" s="1438">
        <f ca="1">IF(B98&gt;=$J$5,0,(CONTADORES!AG94-CONTADORES!AG93))</f>
        <v>7.5999999999912689</v>
      </c>
      <c r="AK98" s="1438">
        <f ca="1">IF(B98&gt;=$J$5,0,(CONTADORES!O94-CONTADORES!O93))</f>
        <v>14</v>
      </c>
      <c r="AL98" s="1438">
        <f t="shared" ca="1" si="44"/>
        <v>36.000000000007333</v>
      </c>
      <c r="AM98" s="1438">
        <f ca="1">IF(B98&gt;=$J$5,0,(((CONTADORES!F94-CONTADORES!F93)+(CONTADORES!AO94-CONTADORES!AO93))))-BJ98-AF98-AN98-BM98-BP98-BU98-BS98</f>
        <v>10.322000000002546</v>
      </c>
      <c r="AN98" s="1438">
        <f ca="1">IF(B98&gt;=$J$5,0,(CONTADORES!AV94-CONTADORES!AV93)+(CONTADORES!AX94-CONTADORES!AX93)+(CONTADORES!BC94-CONTADORES!BC93))-BS98</f>
        <v>3.231000000000364</v>
      </c>
      <c r="AO98" s="1478">
        <f ca="1">IF(B98&gt;=$J$5,0,(CONTADORES!AA94-CONTADORES!AA93))</f>
        <v>149</v>
      </c>
      <c r="AP98" s="1478">
        <f ca="1">IF(B98&gt;=$J$5,0,(CONTADORES!V94-CONTADORES!V93))</f>
        <v>79</v>
      </c>
      <c r="AQ98" s="1445">
        <f ca="1">IF(B98&gt;=$J$5,0,(CONTADORES!C94-CONTADORES!C93))</f>
        <v>0</v>
      </c>
      <c r="AR98" s="1440">
        <f ca="1">IF(B98&gt;=$J$5,0,(CONTADORES!BA94-CONTADORES!BA93))</f>
        <v>0</v>
      </c>
      <c r="AS98" s="1438">
        <f ca="1">IF(B98&gt;=$J$5,0,CONTADORES!Q94-CONTADORES!Q93)</f>
        <v>16</v>
      </c>
      <c r="AT98" s="1438">
        <f ca="1">IF(B98&gt;=$J$5,0,(CONTADORES!S94-CONTADORES!S93)+(CONTADORES!AE94-CONTADORES!AE93))</f>
        <v>2.5</v>
      </c>
      <c r="AU98" s="1450">
        <f>CONTADORES!I94-CONTADORES!I93</f>
        <v>83</v>
      </c>
      <c r="AV98" s="1479">
        <f>CONTADORES!AT94-CONTADORES!AT93</f>
        <v>63</v>
      </c>
      <c r="AW98" s="1479">
        <f ca="1">IF(B98&gt;=$J$5,0,(CONTADORES!L94-CONTADORES!L93)+(CONTADORES!AL94-CONTADORES!AL93))</f>
        <v>3.5</v>
      </c>
      <c r="AX98" s="1479">
        <f ca="1">IF(B98&gt;=$J$5,0,(CONTADORES!N94-CONTADORES!N93)+(CONTADORES!AJ94-CONTADORES!AJ93))</f>
        <v>32.5</v>
      </c>
      <c r="AY98" s="1479">
        <f ca="1">IF(B98&gt;=$J$5,0,(CONTADORES!AH94-CONTADORES!AH93))</f>
        <v>5.9000000000014552</v>
      </c>
      <c r="AZ98" s="1479">
        <f ca="1">IF(B98&gt;=$J$5,0,(CONTADORES!P94-CONTADORES!P93))</f>
        <v>12</v>
      </c>
      <c r="BA98" s="1438">
        <f t="shared" ca="1" si="45"/>
        <v>9.8539999999985071</v>
      </c>
      <c r="BB98" s="1438">
        <f ca="1">IF(B98&gt;=$J$5,0,(((CONTADORES!G94-CONTADORES!G93)+(CONTADORES!AP94-CONTADORES!AP93))))-AV98-BC98-BK98-BN98-BQ98-BV98</f>
        <v>10.73699999999943</v>
      </c>
      <c r="BC98" s="1438">
        <f ca="1">IF(B98&gt;=$J$5,0,(CONTADORES!AW94-CONTADORES!AW93)+(CONTADORES!AY94-CONTADORES!AY93)+(CONTADORES!BD94-CONTADORES!BD93))-BT98</f>
        <v>0.85400000000002274</v>
      </c>
      <c r="BD98" s="1438">
        <f t="shared" ca="1" si="46"/>
        <v>228</v>
      </c>
      <c r="BE98" s="1450">
        <f ca="1">IF($B98&gt;=$J$5,0,CONTADORES!$BE94)</f>
        <v>6288.3899999999994</v>
      </c>
      <c r="BF98" s="1479">
        <f ca="1">IF($B98&gt;=$J$5,0,CONTADORES!$BF94)</f>
        <v>32111.591228070174</v>
      </c>
      <c r="BG98" s="1438">
        <f ca="1">IF($B98&gt;=$J$5,0,CONTADORES!$BH94)</f>
        <v>5545.63</v>
      </c>
      <c r="BH98" s="1438">
        <f ca="1">IF(B98&gt;=$J$5,0,(CONTADORES!AQ94-CONTADORES!AQ93))</f>
        <v>5</v>
      </c>
      <c r="BI98" s="1438">
        <f ca="1">IF(B98&gt;=$J$5,0,(CONTADORES!AR94-CONTADORES!AR93))</f>
        <v>0</v>
      </c>
      <c r="BJ98" s="1450">
        <f ca="1">IF(B98&gt;=$J$5,0,CONTADORES!BI94-CONTADORES!BI93)/1000</f>
        <v>3</v>
      </c>
      <c r="BK98" s="1479">
        <f ca="1">IF(B98&gt;=$J$5,0,CONTADORES!BJ94-CONTADORES!BJ93)</f>
        <v>1</v>
      </c>
      <c r="BL98" s="1479">
        <f ca="1">IF(B98&gt;=$J$5,0,CONTADORES!BK94-CONTADORES!BK93)</f>
        <v>23.799999999999272</v>
      </c>
      <c r="BM98" s="1479">
        <f ca="1">IF(B98&gt;=$J$5,0,CONTADORES!BL94-CONTADORES!BL93)/1000</f>
        <v>0.151</v>
      </c>
      <c r="BN98" s="1479">
        <f ca="1">IF(B98&gt;=$J$5,0,CONTADORES!BM94-CONTADORES!BM93)/1000</f>
        <v>1E-3</v>
      </c>
      <c r="BO98" s="1479">
        <f ca="1">IF(B98&gt;=$J$5,0,CONTADORES!BN94-CONTADORES!BN93)</f>
        <v>1.2000000000007276</v>
      </c>
      <c r="BP98" s="1479">
        <f ca="1">IF(B98&gt;=$J$5,0,CONTADORES!BO94-CONTADORES!BO93)/1000</f>
        <v>4.7270000000000003</v>
      </c>
      <c r="BQ98" s="1479">
        <f ca="1">IF(B98&gt;=$J$5,0,CONTADORES!BP94-CONTADORES!BP93)/1000</f>
        <v>1.008</v>
      </c>
      <c r="BR98" s="1479">
        <f ca="1">IF(B98&gt;=$J$5,0,CONTADORES!BQ94-CONTADORES!BQ93)</f>
        <v>24</v>
      </c>
      <c r="BS98" s="1450">
        <f ca="1">IF(B98&gt;=$J$5,0,(CONTADORES!BT94-CONTADORES!BT93)+(CONTADORES!BV94-CONTADORES!BV93))/1000</f>
        <v>1.369</v>
      </c>
      <c r="BT98" s="1479">
        <f ca="1">IF(B98&gt;=$J$5,0,(CONTADORES!BU94-CONTADORES!BU93)+(CONTADORES!BW94-CONTADORES!BW93))/1000</f>
        <v>0.746</v>
      </c>
      <c r="BU98" s="1450">
        <f ca="1">IF(B98&gt;=$J$5,0,CONTADORES!BR94-CONTADORES!BR93)</f>
        <v>5.5999999999985448</v>
      </c>
      <c r="BV98" s="1479">
        <f ca="1">IF(B98&gt;=$J$5,0,CONTADORES!BS94-CONTADORES!BS93)</f>
        <v>3.9000000000005457</v>
      </c>
      <c r="BW98" s="1479">
        <f t="shared" ca="1" si="47"/>
        <v>10.760999999999818</v>
      </c>
      <c r="BX98" s="1479">
        <f t="shared" ca="1" si="48"/>
        <v>9.2685000000002606</v>
      </c>
      <c r="BY98" s="1479">
        <f t="shared" ca="1" si="49"/>
        <v>5.1610000000012732</v>
      </c>
      <c r="BZ98" s="1479">
        <f t="shared" ca="1" si="50"/>
        <v>1.2924000000001457</v>
      </c>
      <c r="CA98" s="1479">
        <f t="shared" ca="1" si="51"/>
        <v>5.1610000000012732</v>
      </c>
      <c r="CB98" s="1479">
        <f t="shared" ca="1" si="52"/>
        <v>1.9386000000002184</v>
      </c>
      <c r="CC98" s="1479">
        <f t="shared" ca="1" si="53"/>
        <v>2.6614000000001456</v>
      </c>
      <c r="CD98" s="1479">
        <f t="shared" ca="1" si="54"/>
        <v>5.3684999999997149</v>
      </c>
      <c r="CE98" s="1479">
        <f ca="1">IF(B98&gt;=$J$5,0,CONTADORES!BS94-CONTADORES!BS93)</f>
        <v>3.9000000000005457</v>
      </c>
      <c r="CF98" s="1479">
        <f t="shared" ca="1" si="55"/>
        <v>5.3684999999997149</v>
      </c>
      <c r="CG98" s="1479">
        <f t="shared" ca="1" si="56"/>
        <v>0.42700000000001137</v>
      </c>
      <c r="CH98" s="1479">
        <f t="shared" ca="1" si="57"/>
        <v>0.42700000000001137</v>
      </c>
      <c r="CI98" s="1479">
        <f t="shared" ca="1" si="58"/>
        <v>1.1730000000000114</v>
      </c>
      <c r="CJ98" s="1480">
        <f ca="1">IF($B98&gt;=$J$5,0,CONTADORES!$BG94)</f>
        <v>9090.9585129200768</v>
      </c>
      <c r="CK98" s="1384">
        <f>CONTADORES!E94</f>
        <v>0</v>
      </c>
      <c r="CL98" s="1384">
        <f>CONTADORES!BX94</f>
        <v>0</v>
      </c>
    </row>
    <row r="99" spans="2:90">
      <c r="B99" s="410">
        <v>45015</v>
      </c>
      <c r="C99" s="204">
        <f t="shared" ca="1" si="33"/>
        <v>285</v>
      </c>
      <c r="D99" s="202">
        <f ca="1">'CALCULO DE GAS'!D101</f>
        <v>4.8004003653366585</v>
      </c>
      <c r="E99" s="202">
        <f ca="1">IF(B99&gt;=$J$5,0,(CONTADORES!$AB95-CONTADORES!$AB94)-$H99)</f>
        <v>24</v>
      </c>
      <c r="F99" s="204">
        <f t="shared" ca="1" si="60"/>
        <v>0</v>
      </c>
      <c r="G99" s="202">
        <f ca="1">IF(B99&gt;=$J$5,0,CONTADORES!$AD95-CONTADORES!$AD94)</f>
        <v>0</v>
      </c>
      <c r="H99" s="1437">
        <f ca="1">IF(G99&gt;0,CONTADORES!$AC95-CONTADORES!$AC94,0)</f>
        <v>0</v>
      </c>
      <c r="I99" s="205">
        <f ca="1">IF(B99&gt;=$J$5,0,CONTADORES!$Z95-CONTADORES!$Z94)</f>
        <v>285</v>
      </c>
      <c r="J99" s="204">
        <f t="shared" ca="1" si="34"/>
        <v>145.79999999999927</v>
      </c>
      <c r="K99" s="202">
        <f ca="1">'CALCULO DE GAS'!E101</f>
        <v>3.6652781708229365</v>
      </c>
      <c r="L99" s="1437">
        <f ca="1">IF(B99&gt;=$J$5,0,(CONTADORES!$W95-CONTADORES!$W94)-$O99)</f>
        <v>24</v>
      </c>
      <c r="M99" s="1437">
        <f t="shared" ca="1" si="59"/>
        <v>0</v>
      </c>
      <c r="N99" s="1437">
        <f ca="1">IF(B99&gt;=$J$5,0,CONTADORES!$Y95-CONTADORES!$Y94)</f>
        <v>0</v>
      </c>
      <c r="O99" s="1437">
        <f ca="1">IF(N99&gt;0,CONTADORES!$X95-CONTADORES!$X94,0)</f>
        <v>0</v>
      </c>
      <c r="P99" s="208">
        <f ca="1">IF(B99&gt;=$J$5,0,CONTADORES!$U95-CONTADORES!$U94)</f>
        <v>145.79999999999927</v>
      </c>
      <c r="Q99" s="208">
        <f ca="1">IF(B99&gt;=$J$5,0,CONTADORES!$B95-CONTADORES!$B94)</f>
        <v>0</v>
      </c>
      <c r="R99" s="202">
        <f t="shared" ca="1" si="35"/>
        <v>0</v>
      </c>
      <c r="S99" s="11">
        <f ca="1">IF(B99&gt;=$J$5,0,CONTADORES!$D95-CONTADORES!$D94)</f>
        <v>0</v>
      </c>
      <c r="T99" s="204">
        <f ca="1">IF(B99&gt;=$J$5,0,CONTADORES!$AZ95-CONTADORES!$AZ94)</f>
        <v>0</v>
      </c>
      <c r="U99" s="202">
        <f t="shared" ca="1" si="36"/>
        <v>0</v>
      </c>
      <c r="V99" s="205">
        <f ca="1">IF(B99&gt;=$J$5,0,CONTADORES!$BB95-CONTADORES!$BB94)</f>
        <v>0</v>
      </c>
      <c r="W99" s="1438">
        <f t="shared" ca="1" si="37"/>
        <v>430.79999999999927</v>
      </c>
      <c r="X99" s="1438">
        <f t="shared" ca="1" si="38"/>
        <v>0</v>
      </c>
      <c r="Y99" s="1439">
        <f t="shared" ca="1" si="39"/>
        <v>430.79999999999927</v>
      </c>
      <c r="Z99" s="1439">
        <f t="shared" ca="1" si="40"/>
        <v>8.4656785361595954</v>
      </c>
      <c r="AA99" s="1439">
        <f t="shared" ca="1" si="41"/>
        <v>0</v>
      </c>
      <c r="AB99" s="1439">
        <f t="shared" ca="1" si="42"/>
        <v>48</v>
      </c>
      <c r="AC99" s="1438">
        <f t="shared" ca="1" si="43"/>
        <v>0</v>
      </c>
      <c r="AD99" s="1438">
        <f ca="1">IF(B99&gt;=$J$5,0,CONTADORES!H95-CONTADORES!H94)</f>
        <v>160</v>
      </c>
      <c r="AE99" s="1438">
        <f ca="1">IF(B99&gt;=$J$5,0,CONTADORES!J95-CONTADORES!J94)</f>
        <v>24</v>
      </c>
      <c r="AF99" s="1438">
        <f ca="1">IF(B99&gt;=$J$5,0,CONTADORES!AS95-CONTADORES!AS94)</f>
        <v>146</v>
      </c>
      <c r="AG99" s="1438">
        <f ca="1">IF(B99&gt;=$J$5,0,CONTADORES!AU95-CONTADORES!AU94)</f>
        <v>24</v>
      </c>
      <c r="AH99" s="1438">
        <f ca="1">IF(B99&gt;=$J$5,0,(CONTADORES!AK95-CONTADORES!AK94)+(CONTADORES!K95-CONTADORES!K94))</f>
        <v>0.69999999999708962</v>
      </c>
      <c r="AI99" s="1438">
        <f ca="1">IF(B99&gt;=$J$5,0,(CONTADORES!AI95-CONTADORES!AI94)+(CONTADORES!M95-CONTADORES!M94))</f>
        <v>39.299999999995634</v>
      </c>
      <c r="AJ99" s="1438">
        <f ca="1">IF(B99&gt;=$J$5,0,(CONTADORES!AG95-CONTADORES!AG94))</f>
        <v>7.9000000000087311</v>
      </c>
      <c r="AK99" s="1438">
        <f ca="1">IF(B99&gt;=$J$5,0,(CONTADORES!O95-CONTADORES!O94))</f>
        <v>13</v>
      </c>
      <c r="AL99" s="1438">
        <f t="shared" ca="1" si="44"/>
        <v>35.39999999999776</v>
      </c>
      <c r="AM99" s="1438">
        <f ca="1">IF(B99&gt;=$J$5,0,(((CONTADORES!F95-CONTADORES!F94)+(CONTADORES!AO95-CONTADORES!AO94))))-BJ99-AF99-AN99-BM99-BP99-BU99-BS99</f>
        <v>10.690999999998184</v>
      </c>
      <c r="AN99" s="1438">
        <f ca="1">IF(B99&gt;=$J$5,0,(CONTADORES!AV95-CONTADORES!AV94)+(CONTADORES!AX95-CONTADORES!AX94)+(CONTADORES!BC95-CONTADORES!BC94))-BS99</f>
        <v>3.2220000000003637</v>
      </c>
      <c r="AO99" s="1478">
        <f ca="1">IF(B99&gt;=$J$5,0,(CONTADORES!AA95-CONTADORES!AA94))</f>
        <v>151</v>
      </c>
      <c r="AP99" s="1478">
        <f ca="1">IF(B99&gt;=$J$5,0,(CONTADORES!V95-CONTADORES!V94))</f>
        <v>75.200000000000728</v>
      </c>
      <c r="AQ99" s="1445">
        <f ca="1">IF(B99&gt;=$J$5,0,(CONTADORES!C95-CONTADORES!C94))</f>
        <v>0</v>
      </c>
      <c r="AR99" s="1440">
        <f ca="1">IF(B99&gt;=$J$5,0,(CONTADORES!BA95-CONTADORES!BA94))</f>
        <v>0</v>
      </c>
      <c r="AS99" s="1438">
        <f ca="1">IF(B99&gt;=$J$5,0,CONTADORES!Q95-CONTADORES!Q94)</f>
        <v>17</v>
      </c>
      <c r="AT99" s="1438">
        <f ca="1">IF(B99&gt;=$J$5,0,(CONTADORES!S95-CONTADORES!S94)+(CONTADORES!AE95-CONTADORES!AE94))</f>
        <v>2.0999999999985448</v>
      </c>
      <c r="AU99" s="1450">
        <f>CONTADORES!I95-CONTADORES!I94</f>
        <v>82</v>
      </c>
      <c r="AV99" s="1479">
        <f>CONTADORES!AT95-CONTADORES!AT94</f>
        <v>64</v>
      </c>
      <c r="AW99" s="1479">
        <f ca="1">IF(B99&gt;=$J$5,0,(CONTADORES!L95-CONTADORES!L94)+(CONTADORES!AL95-CONTADORES!AL94))</f>
        <v>0.2999999999992724</v>
      </c>
      <c r="AX99" s="1479">
        <f ca="1">IF(B99&gt;=$J$5,0,(CONTADORES!N95-CONTADORES!N94)+(CONTADORES!AJ95-CONTADORES!AJ94))</f>
        <v>31.799999999995634</v>
      </c>
      <c r="AY99" s="1479">
        <f ca="1">IF(B99&gt;=$J$5,0,(CONTADORES!AH95-CONTADORES!AH94))</f>
        <v>6</v>
      </c>
      <c r="AZ99" s="1479">
        <f ca="1">IF(B99&gt;=$J$5,0,(CONTADORES!P95-CONTADORES!P94))</f>
        <v>11</v>
      </c>
      <c r="BA99" s="1438">
        <f t="shared" ca="1" si="45"/>
        <v>12.549000000005606</v>
      </c>
      <c r="BB99" s="1438">
        <f ca="1">IF(B99&gt;=$J$5,0,(((CONTADORES!G95-CONTADORES!G94)+(CONTADORES!AP95-CONTADORES!AP94))))-AV99-BC99-BK99-BN99-BQ99-BV99</f>
        <v>11.113000000000547</v>
      </c>
      <c r="BC99" s="1438">
        <f ca="1">IF(B99&gt;=$J$5,0,(CONTADORES!AW95-CONTADORES!AW94)+(CONTADORES!AY95-CONTADORES!AY94)+(CONTADORES!BD95-CONTADORES!BD94))-BT99</f>
        <v>0.749</v>
      </c>
      <c r="BD99" s="1438">
        <f t="shared" ca="1" si="46"/>
        <v>226.20000000000073</v>
      </c>
      <c r="BE99" s="1450">
        <f ca="1">IF($B99&gt;=$J$5,0,CONTADORES!$BE95)</f>
        <v>6896.0999999999995</v>
      </c>
      <c r="BF99" s="1479">
        <f ca="1">IF($B99&gt;=$J$5,0,CONTADORES!$BF95)</f>
        <v>31859.249122807014</v>
      </c>
      <c r="BG99" s="1438">
        <f ca="1">IF($B99&gt;=$J$5,0,CONTADORES!$BH95)</f>
        <v>4991.3900000000003</v>
      </c>
      <c r="BH99" s="1438">
        <f ca="1">IF(B99&gt;=$J$5,0,(CONTADORES!AQ95-CONTADORES!AQ94))</f>
        <v>5</v>
      </c>
      <c r="BI99" s="1438">
        <f ca="1">IF(B99&gt;=$J$5,0,(CONTADORES!AR95-CONTADORES!AR94))</f>
        <v>0</v>
      </c>
      <c r="BJ99" s="1450">
        <f ca="1">IF(B99&gt;=$J$5,0,CONTADORES!BI95-CONTADORES!BI94)/1000</f>
        <v>2.952</v>
      </c>
      <c r="BK99" s="1479">
        <f ca="1">IF(B99&gt;=$J$5,0,CONTADORES!BJ95-CONTADORES!BJ94)</f>
        <v>1</v>
      </c>
      <c r="BL99" s="1479">
        <f ca="1">IF(B99&gt;=$J$5,0,CONTADORES!BK95-CONTADORES!BK94)</f>
        <v>24</v>
      </c>
      <c r="BM99" s="1479">
        <f ca="1">IF(B99&gt;=$J$5,0,CONTADORES!BL95-CONTADORES!BL94)/1000</f>
        <v>0</v>
      </c>
      <c r="BN99" s="1479">
        <f ca="1">IF(B99&gt;=$J$5,0,CONTADORES!BM95-CONTADORES!BM94)/1000</f>
        <v>0</v>
      </c>
      <c r="BO99" s="1479">
        <f ca="1">IF(B99&gt;=$J$5,0,CONTADORES!BN95-CONTADORES!BN94)</f>
        <v>0</v>
      </c>
      <c r="BP99" s="1479">
        <f ca="1">IF(B99&gt;=$J$5,0,CONTADORES!BO95-CONTADORES!BO94)/1000</f>
        <v>4.8570000000000002</v>
      </c>
      <c r="BQ99" s="1479">
        <f ca="1">IF(B99&gt;=$J$5,0,CONTADORES!BP95-CONTADORES!BP94)/1000</f>
        <v>1.038</v>
      </c>
      <c r="BR99" s="1479">
        <f ca="1">IF(B99&gt;=$J$5,0,CONTADORES!BQ95-CONTADORES!BQ94)</f>
        <v>24</v>
      </c>
      <c r="BS99" s="1450">
        <f ca="1">IF(B99&gt;=$J$5,0,(CONTADORES!BT95-CONTADORES!BT94)+(CONTADORES!BV95-CONTADORES!BV94))/1000</f>
        <v>1.3779999999999999</v>
      </c>
      <c r="BT99" s="1479">
        <f ca="1">IF(B99&gt;=$J$5,0,(CONTADORES!BU95-CONTADORES!BU94)+(CONTADORES!BW95-CONTADORES!BW94))/1000</f>
        <v>0.751</v>
      </c>
      <c r="BU99" s="1450">
        <f ca="1">IF(B99&gt;=$J$5,0,CONTADORES!BR95-CONTADORES!BR94)</f>
        <v>5.4000000000014552</v>
      </c>
      <c r="BV99" s="1479">
        <f ca="1">IF(B99&gt;=$J$5,0,CONTADORES!BS95-CONTADORES!BS94)</f>
        <v>3.8999999999996362</v>
      </c>
      <c r="BW99" s="1479">
        <f t="shared" ca="1" si="47"/>
        <v>10.745500000000547</v>
      </c>
      <c r="BX99" s="1479">
        <f t="shared" ca="1" si="48"/>
        <v>9.4564999999999095</v>
      </c>
      <c r="BY99" s="1479">
        <f t="shared" ca="1" si="49"/>
        <v>5.3454999999990918</v>
      </c>
      <c r="BZ99" s="1479">
        <f t="shared" ca="1" si="50"/>
        <v>1.2888000000001456</v>
      </c>
      <c r="CA99" s="1479">
        <f t="shared" ca="1" si="51"/>
        <v>5.3454999999990918</v>
      </c>
      <c r="CB99" s="1479">
        <f t="shared" ca="1" si="52"/>
        <v>1.9332000000002181</v>
      </c>
      <c r="CC99" s="1479">
        <f t="shared" ca="1" si="53"/>
        <v>2.6668000000001455</v>
      </c>
      <c r="CD99" s="1479">
        <f t="shared" ca="1" si="54"/>
        <v>5.5565000000002733</v>
      </c>
      <c r="CE99" s="1479">
        <f ca="1">IF(B99&gt;=$J$5,0,CONTADORES!BS95-CONTADORES!BS94)</f>
        <v>3.8999999999996362</v>
      </c>
      <c r="CF99" s="1479">
        <f t="shared" ca="1" si="55"/>
        <v>5.5565000000002733</v>
      </c>
      <c r="CG99" s="1479">
        <f t="shared" ca="1" si="56"/>
        <v>0.3745</v>
      </c>
      <c r="CH99" s="1479">
        <f t="shared" ca="1" si="57"/>
        <v>0.3745</v>
      </c>
      <c r="CI99" s="1479">
        <f t="shared" ca="1" si="58"/>
        <v>1.1254999999999999</v>
      </c>
      <c r="CJ99" s="1480">
        <f ca="1">IF($B99&gt;=$J$5,0,CONTADORES!$BG95)</f>
        <v>10402.764225489444</v>
      </c>
      <c r="CK99" s="1384">
        <f>CONTADORES!E95</f>
        <v>0</v>
      </c>
      <c r="CL99" s="1384">
        <f>CONTADORES!BX95</f>
        <v>0</v>
      </c>
    </row>
    <row r="100" spans="2:90" ht="15" thickBot="1">
      <c r="B100" s="1069">
        <v>45016</v>
      </c>
      <c r="C100" s="206">
        <f t="shared" ca="1" si="33"/>
        <v>310</v>
      </c>
      <c r="D100" s="203">
        <f ca="1">'CALCULO DE GAS'!D102</f>
        <v>5.0042657019950134</v>
      </c>
      <c r="E100" s="203">
        <f ca="1">IF(B100&gt;=$J$5,0,(CONTADORES!$AB96-CONTADORES!$AB95)-$H100)</f>
        <v>24</v>
      </c>
      <c r="F100" s="206">
        <f t="shared" ca="1" si="60"/>
        <v>0</v>
      </c>
      <c r="G100" s="203">
        <f ca="1">IF(B100&gt;=$J$5,0,CONTADORES!$AD96-CONTADORES!$AD95)</f>
        <v>0</v>
      </c>
      <c r="H100" s="1465">
        <f ca="1">IF(G100&gt;0,CONTADORES!$AC96-CONTADORES!$AC95,0)</f>
        <v>0</v>
      </c>
      <c r="I100" s="207">
        <f ca="1">IF(B100&gt;=$J$5,0,CONTADORES!$Z96-CONTADORES!$Z95)</f>
        <v>310</v>
      </c>
      <c r="J100" s="206">
        <f t="shared" ca="1" si="34"/>
        <v>148</v>
      </c>
      <c r="K100" s="203">
        <f ca="1">'CALCULO DE GAS'!E102</f>
        <v>3.6832183204488778</v>
      </c>
      <c r="L100" s="1465">
        <f ca="1">IF(B100&gt;=$J$5,0,(CONTADORES!$W96-CONTADORES!$W95)-$O100)</f>
        <v>24</v>
      </c>
      <c r="M100" s="1465">
        <f t="shared" ca="1" si="59"/>
        <v>0</v>
      </c>
      <c r="N100" s="1465">
        <f ca="1">IF(B100&gt;=$J$5,0,CONTADORES!$Y96-CONTADORES!$Y95)</f>
        <v>0</v>
      </c>
      <c r="O100" s="1465">
        <f ca="1">IF(N100&gt;0,CONTADORES!$X96-CONTADORES!$X95,0)</f>
        <v>0</v>
      </c>
      <c r="P100" s="209">
        <f ca="1">IF(B100&gt;=$J$5,0,CONTADORES!$U96-CONTADORES!$U95)</f>
        <v>148</v>
      </c>
      <c r="Q100" s="209">
        <f ca="1">IF(B100&gt;=$J$5,0,CONTADORES!$B96-CONTADORES!$B95)</f>
        <v>0</v>
      </c>
      <c r="R100" s="203">
        <f t="shared" ca="1" si="35"/>
        <v>0</v>
      </c>
      <c r="S100" s="65">
        <f ca="1">IF(B100&gt;=$J$5,0,CONTADORES!$D96-CONTADORES!$D95)</f>
        <v>0</v>
      </c>
      <c r="T100" s="209">
        <f ca="1">IF(B100&gt;=$J$5,0,CONTADORES!$AZ96-CONTADORES!$AZ95)</f>
        <v>0</v>
      </c>
      <c r="U100" s="203">
        <f t="shared" ca="1" si="36"/>
        <v>0</v>
      </c>
      <c r="V100" s="207">
        <f ca="1">IF(B100&gt;=$J$5,0,CONTADORES!$BB96-CONTADORES!$BB95)</f>
        <v>0</v>
      </c>
      <c r="W100" s="1466">
        <f t="shared" ca="1" si="37"/>
        <v>458</v>
      </c>
      <c r="X100" s="1466">
        <f t="shared" ca="1" si="38"/>
        <v>0</v>
      </c>
      <c r="Y100" s="1467">
        <f t="shared" ca="1" si="39"/>
        <v>458</v>
      </c>
      <c r="Z100" s="1467">
        <f t="shared" ca="1" si="40"/>
        <v>8.6874840224438916</v>
      </c>
      <c r="AA100" s="1467">
        <f t="shared" ca="1" si="41"/>
        <v>0</v>
      </c>
      <c r="AB100" s="1467">
        <f t="shared" ca="1" si="42"/>
        <v>48</v>
      </c>
      <c r="AC100" s="1467">
        <f t="shared" ca="1" si="43"/>
        <v>0</v>
      </c>
      <c r="AD100" s="1467">
        <f ca="1">IF(B100&gt;=$J$5,0,CONTADORES!H96-CONTADORES!H95)</f>
        <v>164</v>
      </c>
      <c r="AE100" s="1467">
        <f ca="1">IF(B100&gt;=$J$5,0,CONTADORES!J96-CONTADORES!J95)</f>
        <v>24</v>
      </c>
      <c r="AF100" s="1466">
        <f ca="1">IF(B100&gt;=$J$5,0,CONTADORES!AS96-CONTADORES!AS95)</f>
        <v>148</v>
      </c>
      <c r="AG100" s="1467">
        <f ca="1">IF(B100&gt;=$J$5,0,CONTADORES!AU96-CONTADORES!AU95)</f>
        <v>24</v>
      </c>
      <c r="AH100" s="1466">
        <f ca="1">IF(B100&gt;=$J$5,0,(CONTADORES!AK96-CONTADORES!AK95)+(CONTADORES!K96-CONTADORES!K95))</f>
        <v>16.80000000000291</v>
      </c>
      <c r="AI100" s="1466">
        <f ca="1">IF(B100&gt;=$J$5,0,(CONTADORES!AI96-CONTADORES!AI95)+(CONTADORES!M96-CONTADORES!M95))</f>
        <v>40</v>
      </c>
      <c r="AJ100" s="1466">
        <f ca="1">IF(B100&gt;=$J$5,0,(CONTADORES!AG96-CONTADORES!AG95))</f>
        <v>7.0999999999912689</v>
      </c>
      <c r="AK100" s="1813">
        <f ca="1">IF(B100&gt;=$J$5,0,(CONTADORES!O96-CONTADORES!O95))</f>
        <v>6.6000000000058208</v>
      </c>
      <c r="AL100" s="1438">
        <f t="shared" ca="1" si="44"/>
        <v>44.800000000002854</v>
      </c>
      <c r="AM100" s="1438">
        <f ca="1">IF(B100&gt;=$J$5,0,(((CONTADORES!F96-CONTADORES!F95)+(CONTADORES!AO96-CONTADORES!AO95))))-BJ100-AF100-AN100-BM100-BP100-BU100-BS100</f>
        <v>12.624999999998717</v>
      </c>
      <c r="AN100" s="1438">
        <f ca="1">IF(B100&gt;=$J$5,0,(CONTADORES!AV96-CONTADORES!AV95)+(CONTADORES!AX96-CONTADORES!AX95)+(CONTADORES!BC96-CONTADORES!BC95))-BS100</f>
        <v>2.7729999999998181</v>
      </c>
      <c r="AO100" s="1468">
        <f ca="1">IF(B100&gt;=$J$5,0,(CONTADORES!AA96-CONTADORES!AA95))</f>
        <v>158</v>
      </c>
      <c r="AP100" s="1468">
        <f ca="1">IF(B100&gt;=$J$5,0,(CONTADORES!V96-CONTADORES!V95))</f>
        <v>77.899999999999636</v>
      </c>
      <c r="AQ100" s="1469">
        <f ca="1">IF(B100&gt;=$J$5,0,(CONTADORES!C96-CONTADORES!C95))</f>
        <v>0</v>
      </c>
      <c r="AR100" s="1469">
        <f ca="1">IF(B100&gt;=$J$5,0,(CONTADORES!BA96-CONTADORES!BA95))</f>
        <v>0</v>
      </c>
      <c r="AS100" s="1466">
        <f ca="1">IF(B100&gt;=$J$5,0,CONTADORES!Q96-CONTADORES!Q95)</f>
        <v>16</v>
      </c>
      <c r="AT100" s="1466">
        <f ca="1">IF(B100&gt;=$J$5,0,(CONTADORES!S96-CONTADORES!S95)+(CONTADORES!AE96-CONTADORES!AE95))</f>
        <v>2.5</v>
      </c>
      <c r="AU100" s="1467">
        <f>CONTADORES!I96-CONTADORES!I95</f>
        <v>84</v>
      </c>
      <c r="AV100" s="1466">
        <f>CONTADORES!AT96-CONTADORES!AT95</f>
        <v>64</v>
      </c>
      <c r="AW100" s="1466">
        <f ca="1">IF(B100&gt;=$J$5,0,(CONTADORES!L96-CONTADORES!L95)+(CONTADORES!AL96-CONTADORES!AL95))</f>
        <v>6.5999999999985448</v>
      </c>
      <c r="AX100" s="1466">
        <f ca="1">IF(B100&gt;=$J$5,0,(CONTADORES!N96-CONTADORES!N95)+(CONTADORES!AJ96-CONTADORES!AJ95))</f>
        <v>32.5</v>
      </c>
      <c r="AY100" s="1466">
        <f ca="1">IF(B100&gt;=$J$5,0,(CONTADORES!AH96-CONTADORES!AH95))</f>
        <v>5.4000000000014552</v>
      </c>
      <c r="AZ100" s="1466">
        <f ca="1">IF(B100&gt;=$J$5,0,(CONTADORES!P96-CONTADORES!P95))</f>
        <v>13.19999999999709</v>
      </c>
      <c r="BA100" s="1438">
        <f t="shared" ca="1" si="45"/>
        <v>11.628000000002373</v>
      </c>
      <c r="BB100" s="1485">
        <f ca="1">IF(B100&gt;=$J$5,0,(((CONTADORES!G96-CONTADORES!G95)+(CONTADORES!AP96-CONTADORES!AP95))))-AV100-BC100-BK100-BN100-BQ100-BV100</f>
        <v>11.386999999999794</v>
      </c>
      <c r="BC100" s="1467">
        <f ca="1">IF(B100&gt;=$J$5,0,(CONTADORES!AW96-CONTADORES!AW95)+(CONTADORES!AY96-CONTADORES!AY95)+(CONTADORES!BD96-CONTADORES!BD95))-BT100</f>
        <v>0.62800000000020462</v>
      </c>
      <c r="BD100" s="1466">
        <f t="shared" ca="1" si="46"/>
        <v>235.89999999999964</v>
      </c>
      <c r="BE100" s="1467">
        <f ca="1">IF($B100&gt;=$J$5,0,CONTADORES!$BE96)</f>
        <v>5744.58</v>
      </c>
      <c r="BF100" s="1466">
        <f ca="1">IF($B100&gt;=$J$5,0,CONTADORES!$BF96)</f>
        <v>31353.4762308998</v>
      </c>
      <c r="BG100" s="1466">
        <f ca="1">IF($B100&gt;=$J$5,0,CONTADORES!$BH96)</f>
        <v>6173.96</v>
      </c>
      <c r="BH100" s="1466">
        <f ca="1">IF(B100&gt;=$J$5,0,(CONTADORES!AQ96-CONTADORES!AQ95))</f>
        <v>4.9000000000014552</v>
      </c>
      <c r="BI100" s="1485">
        <f ca="1">IF(B100&gt;=$J$5,0,(CONTADORES!AR96-CONTADORES!AR95))</f>
        <v>0</v>
      </c>
      <c r="BJ100" s="1450">
        <f ca="1">IF(B100&gt;=$J$5,0,CONTADORES!BI96-CONTADORES!BI95)/1000</f>
        <v>3.2160000000000002</v>
      </c>
      <c r="BK100" s="1466">
        <f ca="1">IF(B100&gt;=$J$5,0,CONTADORES!BJ96-CONTADORES!BJ95)</f>
        <v>1</v>
      </c>
      <c r="BL100" s="1466">
        <f ca="1">IF(B100&gt;=$J$5,0,CONTADORES!BK96-CONTADORES!BK95)</f>
        <v>24</v>
      </c>
      <c r="BM100" s="1466">
        <f ca="1">IF(B100&gt;=$J$5,0,CONTADORES!BL96-CONTADORES!BL95)/1000</f>
        <v>0</v>
      </c>
      <c r="BN100" s="1466">
        <f ca="1">IF(B100&gt;=$J$5,0,CONTADORES!BM96-CONTADORES!BM95)/1000</f>
        <v>0</v>
      </c>
      <c r="BO100" s="1466">
        <f ca="1">IF(B100&gt;=$J$5,0,CONTADORES!BN96-CONTADORES!BN95)</f>
        <v>0</v>
      </c>
      <c r="BP100" s="1466">
        <f ca="1">IF(B100&gt;=$J$5,0,CONTADORES!BO96-CONTADORES!BO95)/1000</f>
        <v>5.0590000000000002</v>
      </c>
      <c r="BQ100" s="1466">
        <f ca="1">IF(B100&gt;=$J$5,0,CONTADORES!BP96-CONTADORES!BP95)/1000</f>
        <v>0.98499999999999999</v>
      </c>
      <c r="BR100" s="1466">
        <f ca="1">IF(B100&gt;=$J$5,0,CONTADORES!BQ96-CONTADORES!BQ95)</f>
        <v>24</v>
      </c>
      <c r="BS100" s="1467">
        <f ca="1">IF(B100&gt;=$J$5,0,(CONTADORES!BT96-CONTADORES!BT95)+(CONTADORES!BV96-CONTADORES!BV95))/1000</f>
        <v>1.427</v>
      </c>
      <c r="BT100" s="1466">
        <f ca="1">IF(B100&gt;=$J$5,0,(CONTADORES!BU96-CONTADORES!BU95)+(CONTADORES!BW96-CONTADORES!BW95))/1000</f>
        <v>0.77200000000000002</v>
      </c>
      <c r="BU100" s="1467">
        <f ca="1">IF(B100&gt;=$J$5,0,CONTADORES!BR96-CONTADORES!BR95)</f>
        <v>5.5999999999985448</v>
      </c>
      <c r="BV100" s="1466">
        <f ca="1">IF(B100&gt;=$J$5,0,CONTADORES!BS96-CONTADORES!BS95)</f>
        <v>3.8000000000001819</v>
      </c>
      <c r="BW100" s="1466">
        <f t="shared" ca="1" si="47"/>
        <v>11.912499999997904</v>
      </c>
      <c r="BX100" s="1466">
        <f t="shared" ca="1" si="48"/>
        <v>9.4935000000000791</v>
      </c>
      <c r="BY100" s="1466">
        <f t="shared" ca="1" si="49"/>
        <v>6.3124999999993587</v>
      </c>
      <c r="BZ100" s="1466">
        <f t="shared" ca="1" si="50"/>
        <v>1.1091999999999274</v>
      </c>
      <c r="CA100" s="1466">
        <f t="shared" ca="1" si="51"/>
        <v>6.3124999999993587</v>
      </c>
      <c r="CB100" s="1466">
        <f t="shared" ca="1" si="52"/>
        <v>1.6637999999998907</v>
      </c>
      <c r="CC100" s="1466">
        <f t="shared" ca="1" si="53"/>
        <v>2.5361999999999272</v>
      </c>
      <c r="CD100" s="1466">
        <f t="shared" ca="1" si="54"/>
        <v>5.6934999999998972</v>
      </c>
      <c r="CE100" s="1466">
        <f ca="1">IF(B100&gt;=$J$5,0,CONTADORES!BS96-CONTADORES!BS95)</f>
        <v>3.8000000000001819</v>
      </c>
      <c r="CF100" s="1466">
        <f t="shared" ca="1" si="55"/>
        <v>5.6934999999998972</v>
      </c>
      <c r="CG100" s="1466">
        <f t="shared" ca="1" si="56"/>
        <v>0.31400000000010231</v>
      </c>
      <c r="CH100" s="1466">
        <f t="shared" ca="1" si="57"/>
        <v>0.31400000000010231</v>
      </c>
      <c r="CI100" s="1466">
        <f t="shared" ca="1" si="58"/>
        <v>1.0860000000001024</v>
      </c>
      <c r="CJ100" s="1471">
        <f ca="1">IF($B100&gt;=$J$5,0,CONTADORES!$BG96)</f>
        <v>8610.2825506172194</v>
      </c>
      <c r="CK100" s="1385">
        <f>CONTADORES!E96</f>
        <v>0</v>
      </c>
      <c r="CL100" s="1385">
        <f>CONTADORES!BX96</f>
        <v>0</v>
      </c>
    </row>
    <row r="101" spans="2:90">
      <c r="B101" s="410">
        <v>45017</v>
      </c>
      <c r="C101" s="204">
        <f t="shared" ca="1" si="33"/>
        <v>307</v>
      </c>
      <c r="D101" s="202">
        <f ca="1">'CALCULO DE GAS'!D106</f>
        <v>5.1077563100802248</v>
      </c>
      <c r="E101" s="202">
        <f ca="1">IF(B101&gt;=$J$5,0,(CONTADORES!$AB99-CONTADORES!$AB98)-$H101)</f>
        <v>24</v>
      </c>
      <c r="F101" s="204">
        <f t="shared" ca="1" si="60"/>
        <v>0</v>
      </c>
      <c r="G101" s="202">
        <f ca="1">IF(B101&gt;=$J$5,0,CONTADORES!$AD99-CONTADORES!$AD98)</f>
        <v>0</v>
      </c>
      <c r="H101" s="210">
        <f ca="1">IF(G101&gt;0,CONTADORES!$AC99-CONTADORES!$AC98,0)</f>
        <v>0</v>
      </c>
      <c r="I101" s="205">
        <f ca="1">IF(B101&gt;=$J$5,0,CONTADORES!$Z99-CONTADORES!$Z98)</f>
        <v>307</v>
      </c>
      <c r="J101" s="204">
        <f t="shared" ca="1" si="34"/>
        <v>147.20000000000073</v>
      </c>
      <c r="K101" s="202">
        <f ca="1">'CALCULO DE GAS'!E106</f>
        <v>3.7711661461458035</v>
      </c>
      <c r="L101" s="1437">
        <f ca="1">IF(B101&gt;=$J$5,0,(CONTADORES!$W99-CONTADORES!$W98)-$O101)</f>
        <v>24</v>
      </c>
      <c r="M101" s="1437">
        <f t="shared" ca="1" si="59"/>
        <v>0</v>
      </c>
      <c r="N101" s="1437">
        <f ca="1">IF(B101&gt;=$J$5,0,CONTADORES!$Y99-CONTADORES!$Y98)</f>
        <v>0</v>
      </c>
      <c r="O101" s="1437">
        <f ca="1">IF(N101&gt;0,CONTADORES!$X99-CONTADORES!$X98,0)</f>
        <v>0</v>
      </c>
      <c r="P101" s="208">
        <f ca="1">IF(B101&gt;=$J$5,0,CONTADORES!$U99-CONTADORES!$U98)</f>
        <v>147.20000000000073</v>
      </c>
      <c r="Q101" s="208">
        <f ca="1">IF(B101&gt;=$J$5,0,CONTADORES!$B99-CONTADORES!$B98)</f>
        <v>0</v>
      </c>
      <c r="R101" s="202">
        <f t="shared" ca="1" si="35"/>
        <v>0</v>
      </c>
      <c r="S101" s="11">
        <f ca="1">IF(B101&gt;=$J$5,0,CONTADORES!$D99-CONTADORES!$D98)</f>
        <v>0</v>
      </c>
      <c r="T101" s="204">
        <f ca="1">IF(B101&gt;=$J$5,0,CONTADORES!$AZ99-CONTADORES!$AZ98)</f>
        <v>0</v>
      </c>
      <c r="U101" s="202">
        <f t="shared" ref="U101:U164" ca="1" si="61">$T101*120</f>
        <v>0</v>
      </c>
      <c r="V101" s="205">
        <f ca="1">IF(B101&gt;=$J$5,0,CONTADORES!$BB99-CONTADORES!$BB98)</f>
        <v>0</v>
      </c>
      <c r="W101" s="1438">
        <f t="shared" ca="1" si="37"/>
        <v>454.20000000000073</v>
      </c>
      <c r="X101" s="1438">
        <f t="shared" ca="1" si="38"/>
        <v>0</v>
      </c>
      <c r="Y101" s="1439">
        <f t="shared" ca="1" si="39"/>
        <v>454.20000000000073</v>
      </c>
      <c r="Z101" s="1439">
        <f t="shared" ca="1" si="40"/>
        <v>8.8789224562260287</v>
      </c>
      <c r="AA101" s="1439">
        <f t="shared" ca="1" si="41"/>
        <v>0</v>
      </c>
      <c r="AB101" s="1439">
        <f t="shared" ca="1" si="42"/>
        <v>48</v>
      </c>
      <c r="AC101" s="1438">
        <f t="shared" ca="1" si="43"/>
        <v>0</v>
      </c>
      <c r="AD101" s="1438">
        <f ca="1">IF(B101&gt;=$J$5,0,CONTADORES!H99-CONTADORES!H98)</f>
        <v>166</v>
      </c>
      <c r="AE101" s="1438">
        <f ca="1">IF(B101&gt;=$J$5,0,CONTADORES!J99-CONTADORES!J98)</f>
        <v>24</v>
      </c>
      <c r="AF101" s="1438">
        <f ca="1">IF(B101&gt;=$J$5,0,CONTADORES!AS99-CONTADORES!AS98)</f>
        <v>153</v>
      </c>
      <c r="AG101" s="1438">
        <f ca="1">IF(B101&gt;=$J$5,0,CONTADORES!AU99-CONTADORES!AU98)</f>
        <v>24</v>
      </c>
      <c r="AH101" s="1475">
        <f ca="1">IF(B101&gt;=$J$5,0,(CONTADORES!AK99-CONTADORES!AK98)+(CONTADORES!K99-CONTADORES!K98))</f>
        <v>10.400000000001455</v>
      </c>
      <c r="AI101" s="1476">
        <f ca="1">IF(B101&gt;=$J$5,0,(CONTADORES!AI99-CONTADORES!AI98)+(CONTADORES!M99-CONTADORES!M98))</f>
        <v>39.100000000005821</v>
      </c>
      <c r="AJ101" s="1476">
        <f ca="1">IF(B101&gt;=$J$5,0,(CONTADORES!AG99-CONTADORES!AG98))</f>
        <v>7</v>
      </c>
      <c r="AK101" s="1814">
        <f ca="1">IF(B101&gt;=$J$5,0,(CONTADORES!O99-CONTADORES!O98))</f>
        <v>24.399999999994179</v>
      </c>
      <c r="AL101" s="1475">
        <f t="shared" ca="1" si="44"/>
        <v>24.499999999996362</v>
      </c>
      <c r="AM101" s="1475">
        <f ca="1">IF(B101&gt;=$J$5,0,(((CONTADORES!F99-CONTADORES!F98)+(CONTADORES!AO99-CONTADORES!AO98))))-BJ101-AF101-AN101-BM101-BP101-BU101-BS101</f>
        <v>11.078000000002262</v>
      </c>
      <c r="AN101" s="1475">
        <f ca="1">IF(B101&gt;=$J$5,0,(CONTADORES!AV99-CONTADORES!AV98)+(CONTADORES!AX99-CONTADORES!AX98)+(CONTADORES!BC99-CONTADORES!BC98))-BS101</f>
        <v>2.7820000000006369</v>
      </c>
      <c r="AO101" s="1486">
        <f ca="1">IF(B101&gt;=$J$5,0,(CONTADORES!AA99-CONTADORES!AA98))</f>
        <v>165</v>
      </c>
      <c r="AP101" s="1486">
        <f ca="1">IF(B101&gt;=$J$5,0,(CONTADORES!V99-CONTADORES!V98))</f>
        <v>69.399999999999636</v>
      </c>
      <c r="AQ101" s="1445">
        <f ca="1">IF(B101&gt;=$J$5,0,(CONTADORES!C99-CONTADORES!C98))</f>
        <v>0</v>
      </c>
      <c r="AR101" s="1440">
        <f ca="1">IF(B101&gt;=$J$5,0,(CONTADORES!BA99-CONTADORES!BA98))</f>
        <v>0</v>
      </c>
      <c r="AS101" s="1438">
        <f ca="1">IF(B101&gt;=$J$5,0,CONTADORES!Q99-CONTADORES!Q98)</f>
        <v>15</v>
      </c>
      <c r="AT101" s="1438">
        <f ca="1">IF(B101&gt;=$J$5,0,(CONTADORES!S99-CONTADORES!S98)+(CONTADORES!AE99-CONTADORES!AE98))</f>
        <v>2.5999999999985448</v>
      </c>
      <c r="AU101" s="1475">
        <f>CONTADORES!I99-CONTADORES!I98</f>
        <v>84</v>
      </c>
      <c r="AV101" s="1476">
        <f>CONTADORES!AT99-CONTADORES!AT98</f>
        <v>67</v>
      </c>
      <c r="AW101" s="1476">
        <f ca="1">IF(B101&gt;=$J$5,0,(CONTADORES!L99-CONTADORES!L98)+(CONTADORES!AL99-CONTADORES!AL98))</f>
        <v>3.9000000000014552</v>
      </c>
      <c r="AX101" s="1476">
        <f ca="1">IF(B101&gt;=$J$5,0,(CONTADORES!N99-CONTADORES!N98)+(CONTADORES!AJ99-CONTADORES!AJ98))</f>
        <v>31.5</v>
      </c>
      <c r="AY101" s="1476">
        <f ca="1">IF(B101&gt;=$J$5,0,(CONTADORES!AH99-CONTADORES!AH98))</f>
        <v>5.2999999999956344</v>
      </c>
      <c r="AZ101" s="1476">
        <f ca="1">IF(B101&gt;=$J$5,0,(CONTADORES!P99-CONTADORES!P98))</f>
        <v>11.80000000000291</v>
      </c>
      <c r="BA101" s="1475">
        <f t="shared" ca="1" si="45"/>
        <v>13.328000000000344</v>
      </c>
      <c r="BB101" s="1475">
        <f ca="1">IF(B100&gt;=$J$5,0,(((CONTADORES!G99-CONTADORES!G98)+(CONTADORES!AP99-CONTADORES!AP98))))-AV101-BC101-BK101-BN101-BQ101-BV101</f>
        <v>10.125999999999728</v>
      </c>
      <c r="BC101" s="1476">
        <f ca="1">IF(B101&gt;=$J$5,0,(CONTADORES!AW99-CONTADORES!AW98)+(CONTADORES!AY99-CONTADORES!AY98)+(CONTADORES!BD99-CONTADORES!BD98))-BT101</f>
        <v>0.82799999999990903</v>
      </c>
      <c r="BD101" s="1438">
        <f t="shared" ca="1" si="46"/>
        <v>234.39999999999964</v>
      </c>
      <c r="BE101" s="1439">
        <f ca="1">IF($B101&gt;=$J$5,0,CONTADORES!$BE99)</f>
        <v>5823.93</v>
      </c>
      <c r="BF101" s="1438">
        <f ca="1">IF($B101&gt;=$J$5,0,CONTADORES!$BF99)</f>
        <v>32326.485964912299</v>
      </c>
      <c r="BG101" s="1438">
        <f ca="1">IF($B101&gt;=$J$5,0,CONTADORES!$BH99)</f>
        <v>5572.87</v>
      </c>
      <c r="BH101" s="1438">
        <f ca="1">IF(B101&gt;=$J$5,0,(CONTADORES!AQ99-CONTADORES!AQ98))</f>
        <v>4.5</v>
      </c>
      <c r="BI101" s="1475">
        <f ca="1">IF(C101&gt;=$J$5,0,(CONTADORES!AR99-CONTADORES!AR98))</f>
        <v>0</v>
      </c>
      <c r="BJ101" s="1475">
        <f ca="1">IF(B101&gt;=$J$5,0,CONTADORES!BI99-CONTADORES!BI98)/1000</f>
        <v>3.3359999999999999</v>
      </c>
      <c r="BK101" s="1476">
        <f ca="1">IF(B101&gt;=$J$5,0,CONTADORES!BJ99-CONTADORES!BJ98)</f>
        <v>1</v>
      </c>
      <c r="BL101" s="1476">
        <f ca="1">IF(B101&gt;=$J$5,0,CONTADORES!BK99-CONTADORES!BK98)</f>
        <v>24</v>
      </c>
      <c r="BM101" s="1476">
        <f ca="1">IF(B101&gt;=$J$5,0,CONTADORES!BL99-CONTADORES!BL98)/1000</f>
        <v>0</v>
      </c>
      <c r="BN101" s="1476">
        <f ca="1">IF(B101&gt;=$J$5,0,CONTADORES!BM99-CONTADORES!BM98)/1000</f>
        <v>0</v>
      </c>
      <c r="BO101" s="1476">
        <f ca="1">IF(B101&gt;=$J$5,0,CONTADORES!BN99-CONTADORES!BN98)</f>
        <v>0</v>
      </c>
      <c r="BP101" s="1476">
        <f ca="1">IF(B101&gt;=$J$5,0,CONTADORES!BO99-CONTADORES!BO98)/1000</f>
        <v>5.0860000000000003</v>
      </c>
      <c r="BQ101" s="1476">
        <f ca="1">IF(B101&gt;=$J$5,0,CONTADORES!BP99-CONTADORES!BP98)/1000</f>
        <v>0.94599999999999995</v>
      </c>
      <c r="BR101" s="1476">
        <f ca="1">IF(B101&gt;=$J$5,0,CONTADORES!BQ99-CONTADORES!BQ98)</f>
        <v>24</v>
      </c>
      <c r="BS101" s="1475">
        <f ca="1">IF(B101&gt;=$J$5,0,(CONTADORES!BT99-CONTADORES!BT98)+(CONTADORES!BV99-CONTADORES!BV98))/1000</f>
        <v>2.0179999999999998</v>
      </c>
      <c r="BT101" s="1476">
        <f ca="1">IF(B101&gt;=$J$5,0,(CONTADORES!BU99-CONTADORES!BU98)+(CONTADORES!BW99-CONTADORES!BW98))/1000</f>
        <v>0.77200000000000002</v>
      </c>
      <c r="BU101" s="1475">
        <f ca="1">IF(B101&gt;=$J$5,0,CONTADORES!BR99-CONTADORES!BR98)</f>
        <v>5.5</v>
      </c>
      <c r="BV101" s="1476">
        <f ca="1">IF(B101&gt;=$J$5,0,CONTADORES!BS99-CONTADORES!BS98)</f>
        <v>3.8999999999996362</v>
      </c>
      <c r="BW101" s="1476">
        <f t="shared" ca="1" si="47"/>
        <v>11.039000000001131</v>
      </c>
      <c r="BX101" s="1476">
        <f t="shared" ca="1" si="48"/>
        <v>8.9629999999995</v>
      </c>
      <c r="BY101" s="1476">
        <f t="shared" ca="1" si="49"/>
        <v>5.5390000000011312</v>
      </c>
      <c r="BZ101" s="1476">
        <f t="shared" ca="1" si="50"/>
        <v>1.1128000000002547</v>
      </c>
      <c r="CA101" s="1476">
        <f t="shared" ca="1" si="51"/>
        <v>5.5390000000011312</v>
      </c>
      <c r="CB101" s="1476">
        <f t="shared" ca="1" si="52"/>
        <v>1.6692000000003822</v>
      </c>
      <c r="CC101" s="1476">
        <f t="shared" ca="1" si="53"/>
        <v>3.1308000000002547</v>
      </c>
      <c r="CD101" s="1476">
        <f t="shared" ca="1" si="54"/>
        <v>5.0629999999998638</v>
      </c>
      <c r="CE101" s="1476">
        <f ca="1">IF(B101&gt;=$J$5,0,CONTADORES!BS99-CONTADORES!BS98)</f>
        <v>3.8999999999996362</v>
      </c>
      <c r="CF101" s="1476">
        <f t="shared" ca="1" si="55"/>
        <v>5.0629999999998638</v>
      </c>
      <c r="CG101" s="1476">
        <f t="shared" ca="1" si="56"/>
        <v>0.41399999999995452</v>
      </c>
      <c r="CH101" s="1476">
        <f t="shared" ca="1" si="57"/>
        <v>0.41399999999995452</v>
      </c>
      <c r="CI101" s="1476">
        <f t="shared" ca="1" si="58"/>
        <v>1.1859999999999546</v>
      </c>
      <c r="CJ101" s="1477">
        <f ca="1">IF($B101&gt;=$J$5,0,CONTADORES!$BG99)</f>
        <v>9995.3979890534993</v>
      </c>
      <c r="CK101" s="1383">
        <f>CONTADORES!E99</f>
        <v>0</v>
      </c>
      <c r="CL101" s="1383">
        <f>CONTADORES!BX99</f>
        <v>0</v>
      </c>
    </row>
    <row r="102" spans="2:90">
      <c r="B102" s="410">
        <v>45018</v>
      </c>
      <c r="C102" s="204">
        <f t="shared" ca="1" si="33"/>
        <v>308</v>
      </c>
      <c r="D102" s="202">
        <f ca="1">'CALCULO DE GAS'!D107</f>
        <v>5.1161204537844451</v>
      </c>
      <c r="E102" s="202">
        <f ca="1">IF(B102&gt;=$J$5,0,(CONTADORES!$AB100-CONTADORES!$AB99)-$H102)</f>
        <v>24</v>
      </c>
      <c r="F102" s="204">
        <f t="shared" si="60"/>
        <v>0</v>
      </c>
      <c r="G102" s="202">
        <f ca="1">IF(B102&gt;=$J$5,0,CONTADORES!$AD100-CONTADORES!$AD99)</f>
        <v>0</v>
      </c>
      <c r="H102" s="1437">
        <v>0</v>
      </c>
      <c r="I102" s="205">
        <f ca="1">IF(B102&gt;=$J$5,0,CONTADORES!$Z100-CONTADORES!$Z99)</f>
        <v>308</v>
      </c>
      <c r="J102" s="204">
        <f t="shared" ca="1" si="34"/>
        <v>147</v>
      </c>
      <c r="K102" s="202">
        <f ca="1">'CALCULO DE GAS'!E107</f>
        <v>3.7694933174049532</v>
      </c>
      <c r="L102" s="1437">
        <f ca="1">IF(B102&gt;=$J$5,0,(CONTADORES!$W100-CONTADORES!$W99)-$O102)</f>
        <v>24</v>
      </c>
      <c r="M102" s="1437">
        <f t="shared" ca="1" si="59"/>
        <v>0</v>
      </c>
      <c r="N102" s="1437">
        <f ca="1">IF(B102&gt;=$J$5,0,CONTADORES!$Y100-CONTADORES!$Y99)</f>
        <v>0</v>
      </c>
      <c r="O102" s="1437">
        <f ca="1">IF(N102&gt;0,CONTADORES!$X100-CONTADORES!$X99,0)</f>
        <v>0</v>
      </c>
      <c r="P102" s="208">
        <f ca="1">IF(B102&gt;=$J$5,0,CONTADORES!$U100-CONTADORES!$U99)</f>
        <v>147</v>
      </c>
      <c r="Q102" s="208">
        <f ca="1">IF(B102&gt;=$J$5,0,CONTADORES!$B100-CONTADORES!$B99)</f>
        <v>0</v>
      </c>
      <c r="R102" s="202">
        <f t="shared" ca="1" si="35"/>
        <v>0</v>
      </c>
      <c r="S102" s="11">
        <f ca="1">IF(B102&gt;=$J$5,0,CONTADORES!$D100-CONTADORES!$D99)</f>
        <v>0</v>
      </c>
      <c r="T102" s="204">
        <f ca="1">IF(B102&gt;=$J$5,0,CONTADORES!$AZ100-CONTADORES!$AZ99)</f>
        <v>0</v>
      </c>
      <c r="U102" s="202">
        <f t="shared" ca="1" si="61"/>
        <v>0</v>
      </c>
      <c r="V102" s="205">
        <f ca="1">IF(B102&gt;=$J$5,0,CONTADORES!$BB100-CONTADORES!$BB99)</f>
        <v>0</v>
      </c>
      <c r="W102" s="1438">
        <f t="shared" ca="1" si="37"/>
        <v>455</v>
      </c>
      <c r="X102" s="1438">
        <f t="shared" ca="1" si="38"/>
        <v>0</v>
      </c>
      <c r="Y102" s="1439">
        <f t="shared" ca="1" si="39"/>
        <v>455</v>
      </c>
      <c r="Z102" s="1439">
        <f t="shared" ca="1" si="40"/>
        <v>8.8856137711893979</v>
      </c>
      <c r="AA102" s="1439">
        <f t="shared" ca="1" si="41"/>
        <v>0</v>
      </c>
      <c r="AB102" s="1439">
        <f t="shared" ca="1" si="42"/>
        <v>48</v>
      </c>
      <c r="AC102" s="1438">
        <f t="shared" ca="1" si="43"/>
        <v>0</v>
      </c>
      <c r="AD102" s="1479">
        <f ca="1">IF(B102&gt;=$J$5,0,CONTADORES!H100-CONTADORES!H99)</f>
        <v>165</v>
      </c>
      <c r="AE102" s="1438">
        <f ca="1">IF(B102&gt;=$J$5,0,CONTADORES!J100-CONTADORES!J99)</f>
        <v>24</v>
      </c>
      <c r="AF102" s="1479">
        <f ca="1">IF(B102&gt;=$J$5,0,CONTADORES!AS100-CONTADORES!AS99)</f>
        <v>153</v>
      </c>
      <c r="AG102" s="1438">
        <f ca="1">IF(B102&gt;=$J$5,0,CONTADORES!AU100-CONTADORES!AU99)</f>
        <v>24</v>
      </c>
      <c r="AH102" s="1438">
        <f ca="1">IF(B102&gt;=$J$5,0,(CONTADORES!AK100-CONTADORES!AK99)+(CONTADORES!K100-CONTADORES!K99))</f>
        <v>12.19999999999709</v>
      </c>
      <c r="AI102" s="1438">
        <f ca="1">IF(B102&gt;=$J$5,0,(CONTADORES!AI100-CONTADORES!AI99)+(CONTADORES!M100-CONTADORES!M99))</f>
        <v>39.099999999998545</v>
      </c>
      <c r="AJ102" s="1438">
        <f ca="1">IF(B102&gt;=$J$5,0,(CONTADORES!AG100-CONTADORES!AG99))</f>
        <v>7</v>
      </c>
      <c r="AK102" s="1438">
        <f ca="1">IF(B102&gt;=$J$5,0,(CONTADORES!O100-CONTADORES!O99))</f>
        <v>16</v>
      </c>
      <c r="AL102" s="1438">
        <f t="shared" ca="1" si="44"/>
        <v>34.300000000006605</v>
      </c>
      <c r="AM102" s="1438">
        <f ca="1">IF(B102&gt;=$J$5,0,(((CONTADORES!F100-CONTADORES!F99)+(CONTADORES!AO100-CONTADORES!AO99))))-BJ102-AF102-AN102-BM102-BP102-BU102-BS102</f>
        <v>10.455399999997457</v>
      </c>
      <c r="AN102" s="1438">
        <f ca="1">IF(B102&gt;=$J$5,0,(CONTADORES!AV100-CONTADORES!AV99)+(CONTADORES!AX100-CONTADORES!AX99)+(CONTADORES!BC100-CONTADORES!BC99))-BS102</f>
        <v>3.8970000000002729</v>
      </c>
      <c r="AO102" s="1440">
        <f ca="1">IF(B102&gt;=$J$5,0,(CONTADORES!AA100-CONTADORES!AA99))</f>
        <v>160</v>
      </c>
      <c r="AP102" s="1440">
        <f ca="1">IF(B102&gt;=$J$5,0,(CONTADORES!V100-CONTADORES!V99))</f>
        <v>70.5</v>
      </c>
      <c r="AQ102" s="1445">
        <f ca="1">IF(B102&gt;=$J$5,0,(CONTADORES!C100-CONTADORES!C99))</f>
        <v>0</v>
      </c>
      <c r="AR102" s="1440">
        <f ca="1">IF(B102&gt;=$J$5,0,(CONTADORES!BA100-CONTADORES!BA99))</f>
        <v>0</v>
      </c>
      <c r="AS102" s="1479">
        <f ca="1">IF(B102&gt;=$J$5,0,CONTADORES!Q100-CONTADORES!Q99)</f>
        <v>13</v>
      </c>
      <c r="AT102" s="1479">
        <f ca="1">IF(B102&gt;=$J$5,0,(CONTADORES!S100-CONTADORES!S99)+(CONTADORES!AE100-CONTADORES!AE99))</f>
        <v>2.4000000000014552</v>
      </c>
      <c r="AU102" s="1450">
        <f>CONTADORES!I100-CONTADORES!I99</f>
        <v>84</v>
      </c>
      <c r="AV102" s="1479">
        <f>CONTADORES!AT100-CONTADORES!AT99</f>
        <v>65</v>
      </c>
      <c r="AW102" s="1479">
        <f ca="1">IF(B102&gt;=$J$5,0,(CONTADORES!L100-CONTADORES!L99)+(CONTADORES!AL100-CONTADORES!AL99))</f>
        <v>4.7000000000007276</v>
      </c>
      <c r="AX102" s="1479">
        <f ca="1">IF(B102&gt;=$J$5,0,(CONTADORES!N100-CONTADORES!N99)+(CONTADORES!AJ100-CONTADORES!AJ99))</f>
        <v>31.400000000001455</v>
      </c>
      <c r="AY102" s="1479">
        <f ca="1">IF(B102&gt;=$J$5,0,(CONTADORES!AH100-CONTADORES!AH99))</f>
        <v>5.4000000000014552</v>
      </c>
      <c r="AZ102" s="1479">
        <f ca="1">IF(B102&gt;=$J$5,0,(CONTADORES!P100-CONTADORES!P99))</f>
        <v>13</v>
      </c>
      <c r="BA102" s="1450">
        <f t="shared" ca="1" si="45"/>
        <v>8.4349999999961938</v>
      </c>
      <c r="BB102" s="1450">
        <f ca="1">IF(B101&gt;=$J$5,0,(((CONTADORES!G100-CONTADORES!G99)+(CONTADORES!AP100-CONTADORES!AP99))))-AV102-BC102-BK102-BN102-BQ102-BV102</f>
        <v>11.578999999999978</v>
      </c>
      <c r="BC102" s="1479">
        <f ca="1">IF(B102&gt;=$J$5,0,(CONTADORES!AW100-CONTADORES!AW99)+(CONTADORES!AY100-CONTADORES!AY99)+(CONTADORES!BD100-CONTADORES!BD99))-BT102</f>
        <v>0.83500000000002272</v>
      </c>
      <c r="BD102" s="1438">
        <f t="shared" ca="1" si="46"/>
        <v>230.5</v>
      </c>
      <c r="BE102" s="1439">
        <f ca="1">IF($B102&gt;=$J$5,0,CONTADORES!$BE100)</f>
        <v>5520.96</v>
      </c>
      <c r="BF102" s="1438">
        <f ca="1">IF($B102&gt;=$J$5,0,CONTADORES!$BF100)</f>
        <v>31966.496491228099</v>
      </c>
      <c r="BG102" s="1438">
        <f ca="1">IF($B102&gt;=$J$5,0,CONTADORES!$BH100)</f>
        <v>5526.36</v>
      </c>
      <c r="BH102" s="1438">
        <f ca="1">IF(B102&gt;=$J$5,0,(CONTADORES!AQ100-CONTADORES!AQ99))</f>
        <v>4</v>
      </c>
      <c r="BI102" s="1438">
        <f ca="1">IF(C102&gt;=$J$5,0,(CONTADORES!AR100-CONTADORES!AR99))</f>
        <v>0</v>
      </c>
      <c r="BJ102" s="1450">
        <f ca="1">IF(B102&gt;=$J$5,0,CONTADORES!BI100-CONTADORES!BI99)/1000</f>
        <v>1.8486000000000931</v>
      </c>
      <c r="BK102" s="1479">
        <f ca="1">IF(B102&gt;=$J$5,0,CONTADORES!BJ100-CONTADORES!BJ99)</f>
        <v>1</v>
      </c>
      <c r="BL102" s="1479">
        <f ca="1">IF(B102&gt;=$J$5,0,CONTADORES!BK100-CONTADORES!BK99)</f>
        <v>23.400000000001455</v>
      </c>
      <c r="BM102" s="1479">
        <f ca="1">IF(B102&gt;=$J$5,0,CONTADORES!BL100-CONTADORES!BL99)/1000</f>
        <v>1.859</v>
      </c>
      <c r="BN102" s="1479">
        <f ca="1">IF(B102&gt;=$J$5,0,CONTADORES!BM100-CONTADORES!BM99)/1000</f>
        <v>4.4999999999999998E-2</v>
      </c>
      <c r="BO102" s="1479">
        <f ca="1">IF(B102&gt;=$J$5,0,CONTADORES!BN100-CONTADORES!BN99)</f>
        <v>9.7999999999992724</v>
      </c>
      <c r="BP102" s="1479">
        <f ca="1">IF(B102&gt;=$J$5,0,CONTADORES!BO100-CONTADORES!BO99)/1000</f>
        <v>4.0369999999999999</v>
      </c>
      <c r="BQ102" s="1479">
        <f ca="1">IF(B102&gt;=$J$5,0,CONTADORES!BP100-CONTADORES!BP99)/1000</f>
        <v>0.54100000000000004</v>
      </c>
      <c r="BR102" s="1479">
        <f ca="1">IF(B102&gt;=$J$5,0,CONTADORES!BQ100-CONTADORES!BQ99)</f>
        <v>24</v>
      </c>
      <c r="BS102" s="1450">
        <f ca="1">IF(B102&gt;=$J$5,0,(CONTADORES!BT100-CONTADORES!BT99)+(CONTADORES!BV100-CONTADORES!BV99))/1000</f>
        <v>0.80300000000000005</v>
      </c>
      <c r="BT102" s="1479">
        <f ca="1">IF(B102&gt;=$J$5,0,(CONTADORES!BU100-CONTADORES!BU99)+(CONTADORES!BW100-CONTADORES!BW99))/1000</f>
        <v>0.76500000000000001</v>
      </c>
      <c r="BU102" s="1450">
        <f ca="1">IF(B102&gt;=$J$5,0,CONTADORES!BR100-CONTADORES!BR99)</f>
        <v>5.5</v>
      </c>
      <c r="BV102" s="1479">
        <f ca="1">IF(B102&gt;=$J$5,0,CONTADORES!BS100-CONTADORES!BS99)</f>
        <v>3.8000000000001819</v>
      </c>
      <c r="BW102" s="1479">
        <f t="shared" ca="1" si="47"/>
        <v>10.727699999998729</v>
      </c>
      <c r="BX102" s="1479">
        <f t="shared" ca="1" si="48"/>
        <v>9.5895000000001716</v>
      </c>
      <c r="BY102" s="1479">
        <f t="shared" ca="1" si="49"/>
        <v>5.2276999999987286</v>
      </c>
      <c r="BZ102" s="1479">
        <f t="shared" ca="1" si="50"/>
        <v>1.5588000000001092</v>
      </c>
      <c r="CA102" s="1479">
        <f t="shared" ca="1" si="51"/>
        <v>5.2276999999987286</v>
      </c>
      <c r="CB102" s="1479">
        <f t="shared" ca="1" si="52"/>
        <v>2.3382000000001639</v>
      </c>
      <c r="CC102" s="1479">
        <f t="shared" ca="1" si="53"/>
        <v>2.3618000000001094</v>
      </c>
      <c r="CD102" s="1479">
        <f t="shared" ca="1" si="54"/>
        <v>5.7894999999999888</v>
      </c>
      <c r="CE102" s="1479">
        <f ca="1">IF(B102&gt;=$J$5,0,CONTADORES!BS100-CONTADORES!BS99)</f>
        <v>3.8000000000001819</v>
      </c>
      <c r="CF102" s="1479">
        <f t="shared" ca="1" si="55"/>
        <v>5.7894999999999888</v>
      </c>
      <c r="CG102" s="1479">
        <f t="shared" ca="1" si="56"/>
        <v>0.41750000000001136</v>
      </c>
      <c r="CH102" s="1479">
        <f t="shared" ca="1" si="57"/>
        <v>0.41750000000001136</v>
      </c>
      <c r="CI102" s="1479">
        <f t="shared" ca="1" si="58"/>
        <v>1.1825000000000114</v>
      </c>
      <c r="CJ102" s="1480">
        <f ca="1">IF($B102&gt;=$J$5,0,CONTADORES!$BG100)</f>
        <v>9431.29354661867</v>
      </c>
      <c r="CK102" s="1384">
        <f>CONTADORES!E100</f>
        <v>0</v>
      </c>
      <c r="CL102" s="1384">
        <f>CONTADORES!BX100</f>
        <v>0</v>
      </c>
    </row>
    <row r="103" spans="2:90">
      <c r="B103" s="410">
        <v>45019</v>
      </c>
      <c r="C103" s="204">
        <f t="shared" ca="1" si="33"/>
        <v>303</v>
      </c>
      <c r="D103" s="202">
        <f ca="1">'CALCULO DE GAS'!D108</f>
        <v>5.0742997352633425</v>
      </c>
      <c r="E103" s="202">
        <f ca="1">IF(B103&gt;=$J$5,0,(CONTADORES!$AB101-CONTADORES!$AB100)-$H103)</f>
        <v>24</v>
      </c>
      <c r="F103" s="204">
        <f t="shared" ca="1" si="60"/>
        <v>0</v>
      </c>
      <c r="G103" s="202">
        <f ca="1">IF(B103&gt;=$J$5,0,CONTADORES!$AD101-CONTADORES!$AD100)</f>
        <v>0</v>
      </c>
      <c r="H103" s="1437">
        <f ca="1">IF(G103&gt;0,CONTADORES!$AC101-CONTADORES!$AC100,0)</f>
        <v>0</v>
      </c>
      <c r="I103" s="205">
        <f ca="1">IF(B103&gt;=$J$5,0,CONTADORES!$Z101-CONTADORES!$Z100)</f>
        <v>303</v>
      </c>
      <c r="J103" s="204">
        <f t="shared" ca="1" si="34"/>
        <v>147.20000000000073</v>
      </c>
      <c r="K103" s="202">
        <f ca="1">'CALCULO DE GAS'!E108</f>
        <v>3.7711661461458035</v>
      </c>
      <c r="L103" s="1437">
        <f ca="1">IF(B103&gt;=$J$5,0,(CONTADORES!$W101-CONTADORES!$W100)-$O103)</f>
        <v>24</v>
      </c>
      <c r="M103" s="1437">
        <f t="shared" ca="1" si="59"/>
        <v>0</v>
      </c>
      <c r="N103" s="1437">
        <f ca="1">IF(B103&gt;=$J$5,0,CONTADORES!$Y101-CONTADORES!$Y100)</f>
        <v>0</v>
      </c>
      <c r="O103" s="1437">
        <f ca="1">IF(N103&gt;0,CONTADORES!$X101-CONTADORES!$X100,0)</f>
        <v>0</v>
      </c>
      <c r="P103" s="208">
        <f ca="1">IF(B103&gt;=$J$5,0,CONTADORES!$U101-CONTADORES!$U100)</f>
        <v>147.20000000000073</v>
      </c>
      <c r="Q103" s="208">
        <f ca="1">IF(B103&gt;=$J$5,0,CONTADORES!$B101-CONTADORES!$B100)</f>
        <v>0.14499999999998181</v>
      </c>
      <c r="R103" s="202">
        <f t="shared" ca="1" si="35"/>
        <v>17.399999999997817</v>
      </c>
      <c r="S103" s="11">
        <f ca="1">IF(B103&gt;=$J$5,0,CONTADORES!$D101-CONTADORES!$D100)</f>
        <v>0.6000000000003638</v>
      </c>
      <c r="T103" s="204">
        <f ca="1">IF(B103&gt;=$J$5,0,CONTADORES!$AZ101-CONTADORES!$AZ100)</f>
        <v>0.28600000000005821</v>
      </c>
      <c r="U103" s="202">
        <f t="shared" ca="1" si="61"/>
        <v>34.320000000006985</v>
      </c>
      <c r="V103" s="205">
        <f ca="1">IF(B103&gt;=$J$5,0,CONTADORES!$BB101-CONTADORES!$BB100)</f>
        <v>0.39999999999986358</v>
      </c>
      <c r="W103" s="1438">
        <f t="shared" ca="1" si="37"/>
        <v>450.20000000000073</v>
      </c>
      <c r="X103" s="1438">
        <f t="shared" ca="1" si="38"/>
        <v>0.43100000000004002</v>
      </c>
      <c r="Y103" s="1439">
        <f t="shared" ca="1" si="39"/>
        <v>450.63100000000077</v>
      </c>
      <c r="Z103" s="1439">
        <f t="shared" ca="1" si="40"/>
        <v>8.8454658814091456</v>
      </c>
      <c r="AA103" s="1439">
        <f t="shared" ca="1" si="41"/>
        <v>51.720000000004802</v>
      </c>
      <c r="AB103" s="1439">
        <f t="shared" ca="1" si="42"/>
        <v>48</v>
      </c>
      <c r="AC103" s="1438">
        <f t="shared" ca="1" si="43"/>
        <v>1.0000000000002274</v>
      </c>
      <c r="AD103" s="1479">
        <f ca="1">IF(B103&gt;=$J$5,0,CONTADORES!H101-CONTADORES!H100)</f>
        <v>169</v>
      </c>
      <c r="AE103" s="1438">
        <f ca="1">IF(B103&gt;=$J$5,0,CONTADORES!J101-CONTADORES!J100)</f>
        <v>24</v>
      </c>
      <c r="AF103" s="1479">
        <f ca="1">IF(B103&gt;=$J$5,0,CONTADORES!AS101-CONTADORES!AS100)</f>
        <v>153</v>
      </c>
      <c r="AG103" s="1438">
        <f ca="1">IF(B103&gt;=$J$5,0,CONTADORES!AU101-CONTADORES!AU100)</f>
        <v>24</v>
      </c>
      <c r="AH103" s="1438">
        <f ca="1">IF(B103&gt;=$J$5,0,(CONTADORES!AK101-CONTADORES!AK100)+(CONTADORES!K101-CONTADORES!K100))</f>
        <v>5</v>
      </c>
      <c r="AI103" s="1438">
        <f ca="1">IF(B103&gt;=$J$5,0,(CONTADORES!AI101-CONTADORES!AI100)+(CONTADORES!M101-CONTADORES!M100))</f>
        <v>38.400000000001455</v>
      </c>
      <c r="AJ103" s="1438">
        <f ca="1">IF(B103&gt;=$J$5,0,(CONTADORES!AG101-CONTADORES!AG100))</f>
        <v>8.9000000000087311</v>
      </c>
      <c r="AK103" s="1438">
        <f ca="1">IF(B103&gt;=$J$5,0,(CONTADORES!O101-CONTADORES!O100))</f>
        <v>15.100000000005821</v>
      </c>
      <c r="AL103" s="1438">
        <f t="shared" ca="1" si="44"/>
        <v>32.930999999985431</v>
      </c>
      <c r="AM103" s="1438">
        <f ca="1">IF(B103&gt;=$J$5,0,(((CONTADORES!F101-CONTADORES!F100)+(CONTADORES!AO101-CONTADORES!AO100))))-BJ103-AF103-AN103-BM103-BP103-BU103-BS103</f>
        <v>8.1400000000002759</v>
      </c>
      <c r="AN103" s="1438">
        <f ca="1">IF(B103&gt;=$J$5,0,(CONTADORES!AV101-CONTADORES!AV100)+(CONTADORES!AX101-CONTADORES!AX100)+(CONTADORES!BC101-CONTADORES!BC100))-BS103</f>
        <v>2.7589999999989994</v>
      </c>
      <c r="AO103" s="1440">
        <f ca="1">IF(B103&gt;=$J$5,0,(CONTADORES!AA101-CONTADORES!AA100))</f>
        <v>153</v>
      </c>
      <c r="AP103" s="1440">
        <f ca="1">IF(B103&gt;=$J$5,0,(CONTADORES!V101-CONTADORES!V100))</f>
        <v>71.799999999999272</v>
      </c>
      <c r="AQ103" s="1445">
        <f ca="1">IF(B103&gt;=$J$5,0,(CONTADORES!C101-CONTADORES!C100))</f>
        <v>6.9999999999936335E-2</v>
      </c>
      <c r="AR103" s="1440">
        <f ca="1">IF(B103&gt;=$J$5,0,(CONTADORES!BA101-CONTADORES!BA100))</f>
        <v>0.10899999999998045</v>
      </c>
      <c r="AS103" s="1479">
        <f ca="1">IF(B103&gt;=$J$5,0,CONTADORES!Q101-CONTADORES!Q100)</f>
        <v>15</v>
      </c>
      <c r="AT103" s="1479">
        <f ca="1">IF(B103&gt;=$J$5,0,(CONTADORES!S101-CONTADORES!S100)+(CONTADORES!AE101-CONTADORES!AE100))</f>
        <v>2.4000000000014552</v>
      </c>
      <c r="AU103" s="1450">
        <f>CONTADORES!I101-CONTADORES!I100</f>
        <v>85</v>
      </c>
      <c r="AV103" s="1479">
        <f>CONTADORES!AT101-CONTADORES!AT100</f>
        <v>67</v>
      </c>
      <c r="AW103" s="1479">
        <f ca="1">IF(B103&gt;=$J$5,0,(CONTADORES!L101-CONTADORES!L100)+(CONTADORES!AL101-CONTADORES!AL100))</f>
        <v>1.8999999999978172</v>
      </c>
      <c r="AX103" s="1479">
        <f ca="1">IF(B103&gt;=$J$5,0,(CONTADORES!N101-CONTADORES!N100)+(CONTADORES!AJ101-CONTADORES!AJ100))</f>
        <v>30.900000000001455</v>
      </c>
      <c r="AY103" s="1479">
        <f ca="1">IF(B103&gt;=$J$5,0,(CONTADORES!AH101-CONTADORES!AH100))</f>
        <v>6.9000000000014552</v>
      </c>
      <c r="AZ103" s="1479">
        <f ca="1">IF(B103&gt;=$J$5,0,(CONTADORES!P101-CONTADORES!P100))</f>
        <v>12.399999999994179</v>
      </c>
      <c r="BA103" s="1450">
        <f t="shared" ca="1" si="45"/>
        <v>11.344000000004087</v>
      </c>
      <c r="BB103" s="1450">
        <f ca="1">IF(B102&gt;=$J$5,0,(((CONTADORES!G101-CONTADORES!G100)+(CONTADORES!AP101-CONTADORES!AP100))))-AV103-BC103-BK103-BN103-BQ103-BV103</f>
        <v>2.3430000000002158</v>
      </c>
      <c r="BC103" s="1479">
        <f ca="1">IF(B103&gt;=$J$5,0,(CONTADORES!AW101-CONTADORES!AW100)+(CONTADORES!AY101-CONTADORES!AY100)+(CONTADORES!BD101-CONTADORES!BD100))-BT103</f>
        <v>0.66500000000014781</v>
      </c>
      <c r="BD103" s="1438">
        <f t="shared" ca="1" si="46"/>
        <v>224.97899999999919</v>
      </c>
      <c r="BE103" s="1439">
        <f ca="1">IF($B103&gt;=$J$5,0,CONTADORES!$BE101)</f>
        <v>5807.6800000000012</v>
      </c>
      <c r="BF103" s="1438">
        <f ca="1">IF($B103&gt;=$J$5,0,CONTADORES!$BF101)</f>
        <v>31388.359649122809</v>
      </c>
      <c r="BG103" s="1438">
        <f ca="1">IF($B103&gt;=$J$5,0,CONTADORES!$BH101)</f>
        <v>4155.13</v>
      </c>
      <c r="BH103" s="1438">
        <f ca="1">IF(B103&gt;=$J$5,0,(CONTADORES!AQ101-CONTADORES!AQ100))</f>
        <v>4.6999999999970896</v>
      </c>
      <c r="BI103" s="1438">
        <f ca="1">IF(C103&gt;=$J$5,0,(CONTADORES!AR101-CONTADORES!AR100))</f>
        <v>0</v>
      </c>
      <c r="BJ103" s="1450">
        <f ca="1">IF(B103&gt;=$J$5,0,CONTADORES!BI101-CONTADORES!BI100)/1000</f>
        <v>0</v>
      </c>
      <c r="BK103" s="1479">
        <f ca="1">IF(B103&gt;=$J$5,0,CONTADORES!BJ101-CONTADORES!BJ100)</f>
        <v>1</v>
      </c>
      <c r="BL103" s="1479">
        <f ca="1">IF(B103&gt;=$J$5,0,CONTADORES!BK101-CONTADORES!BK100)</f>
        <v>0</v>
      </c>
      <c r="BM103" s="1479">
        <f ca="1">IF(B103&gt;=$J$5,0,CONTADORES!BL101-CONTADORES!BL100)/1000</f>
        <v>5.9429999999999996</v>
      </c>
      <c r="BN103" s="1479">
        <f ca="1">IF(B103&gt;=$J$5,0,CONTADORES!BM101-CONTADORES!BM100)/1000</f>
        <v>0.09</v>
      </c>
      <c r="BO103" s="1479">
        <f ca="1">IF(B103&gt;=$J$5,0,CONTADORES!BN101-CONTADORES!BN100)</f>
        <v>24</v>
      </c>
      <c r="BP103" s="1479">
        <f ca="1">IF(B103&gt;=$J$5,0,CONTADORES!BO101-CONTADORES!BO100)/1000</f>
        <v>2.617</v>
      </c>
      <c r="BQ103" s="1479">
        <f ca="1">IF(B103&gt;=$J$5,0,CONTADORES!BP101-CONTADORES!BP100)/1000</f>
        <v>2E-3</v>
      </c>
      <c r="BR103" s="1479">
        <f ca="1">IF(B103&gt;=$J$5,0,CONTADORES!BQ101-CONTADORES!BQ100)</f>
        <v>24</v>
      </c>
      <c r="BS103" s="1450">
        <f ca="1">IF(B103&gt;=$J$5,0,(CONTADORES!BT101-CONTADORES!BT100)+(CONTADORES!BV101-CONTADORES!BV100))/1000</f>
        <v>1.341</v>
      </c>
      <c r="BT103" s="1479">
        <f ca="1">IF(B103&gt;=$J$5,0,(CONTADORES!BU101-CONTADORES!BU100)+(CONTADORES!BW101-CONTADORES!BW100))/1000</f>
        <v>0.73499999999999999</v>
      </c>
      <c r="BU103" s="1450">
        <f ca="1">IF(B103&gt;=$J$5,0,CONTADORES!BR101-CONTADORES!BR100)</f>
        <v>7.5</v>
      </c>
      <c r="BV103" s="1479">
        <f ca="1">IF(B103&gt;=$J$5,0,CONTADORES!BS101-CONTADORES!BS100)</f>
        <v>4.6999999999998181</v>
      </c>
      <c r="BW103" s="1479">
        <f t="shared" ca="1" si="47"/>
        <v>11.570000000000139</v>
      </c>
      <c r="BX103" s="1479">
        <f t="shared" ca="1" si="48"/>
        <v>5.8714999999999264</v>
      </c>
      <c r="BY103" s="1479">
        <f t="shared" ca="1" si="49"/>
        <v>4.070000000000138</v>
      </c>
      <c r="BZ103" s="1479">
        <f t="shared" ca="1" si="50"/>
        <v>1.1035999999995998</v>
      </c>
      <c r="CA103" s="1479">
        <f t="shared" ca="1" si="51"/>
        <v>4.070000000000138</v>
      </c>
      <c r="CB103" s="1479">
        <f t="shared" ca="1" si="52"/>
        <v>1.6553999999993996</v>
      </c>
      <c r="CC103" s="1479">
        <f t="shared" ca="1" si="53"/>
        <v>2.4445999999995998</v>
      </c>
      <c r="CD103" s="1479">
        <f t="shared" ca="1" si="54"/>
        <v>1.1715000000001079</v>
      </c>
      <c r="CE103" s="1479">
        <f ca="1">IF(B103&gt;=$J$5,0,CONTADORES!BS101-CONTADORES!BS100)</f>
        <v>4.6999999999998181</v>
      </c>
      <c r="CF103" s="1479">
        <f t="shared" ca="1" si="55"/>
        <v>1.1715000000001079</v>
      </c>
      <c r="CG103" s="1479">
        <f t="shared" ca="1" si="56"/>
        <v>0.3325000000000739</v>
      </c>
      <c r="CH103" s="1479">
        <f t="shared" ca="1" si="57"/>
        <v>0.3325000000000739</v>
      </c>
      <c r="CI103" s="1479">
        <f t="shared" ca="1" si="58"/>
        <v>1.0675000000000738</v>
      </c>
      <c r="CJ103" s="1480">
        <f ca="1">IF($B103&gt;=$J$5,0,CONTADORES!$BG101)</f>
        <v>9118.4701941348758</v>
      </c>
      <c r="CK103" s="1384">
        <f>CONTADORES!E101</f>
        <v>0.6</v>
      </c>
      <c r="CL103" s="1384">
        <f>CONTADORES!BX101</f>
        <v>0.4</v>
      </c>
    </row>
    <row r="104" spans="2:90">
      <c r="B104" s="410">
        <v>45020</v>
      </c>
      <c r="C104" s="204">
        <f t="shared" ca="1" si="33"/>
        <v>322.90000000002328</v>
      </c>
      <c r="D104" s="202">
        <f ca="1">'CALCULO DE GAS'!D109</f>
        <v>5.2407461949775236</v>
      </c>
      <c r="E104" s="202">
        <f ca="1">IF(B104&gt;=$J$5,0,(CONTADORES!$AB102-CONTADORES!$AB101)-$H104)</f>
        <v>24</v>
      </c>
      <c r="F104" s="204">
        <f t="shared" ca="1" si="60"/>
        <v>0</v>
      </c>
      <c r="G104" s="202">
        <f ca="1">IF(B104&gt;=$J$5,0,CONTADORES!$AD102-CONTADORES!$AD101)</f>
        <v>0</v>
      </c>
      <c r="H104" s="1437">
        <f ca="1">IF(G104&gt;0,CONTADORES!$AC102-CONTADORES!$AC101,0)</f>
        <v>0</v>
      </c>
      <c r="I104" s="205">
        <f ca="1">IF(B104&gt;=$J$5,0,CONTADORES!$Z102-CONTADORES!$Z101)</f>
        <v>322.90000000002328</v>
      </c>
      <c r="J104" s="204">
        <f t="shared" ca="1" si="34"/>
        <v>148.09999999999854</v>
      </c>
      <c r="K104" s="202">
        <f ca="1">'CALCULO DE GAS'!E109</f>
        <v>3.7786938754795836</v>
      </c>
      <c r="L104" s="1437">
        <f ca="1">IF(B104&gt;=$J$5,0,(CONTADORES!$W102-CONTADORES!$W101)-$O104)</f>
        <v>24</v>
      </c>
      <c r="M104" s="1437">
        <f t="shared" ca="1" si="59"/>
        <v>0</v>
      </c>
      <c r="N104" s="1437">
        <f ca="1">IF(B104&gt;=$J$5,0,CONTADORES!$Y102-CONTADORES!$Y101)</f>
        <v>0</v>
      </c>
      <c r="O104" s="1437">
        <f ca="1">IF(N104&gt;0,CONTADORES!$X102-CONTADORES!$X101,0)</f>
        <v>0</v>
      </c>
      <c r="P104" s="208">
        <f ca="1">IF(B104&gt;=$J$5,0,CONTADORES!$U102-CONTADORES!$U101)</f>
        <v>148.09999999999854</v>
      </c>
      <c r="Q104" s="208">
        <f ca="1">IF(B104&gt;=$J$5,0,CONTADORES!$B102-CONTADORES!$B101)</f>
        <v>0.25600000000008549</v>
      </c>
      <c r="R104" s="202">
        <f t="shared" ca="1" si="35"/>
        <v>30.720000000010259</v>
      </c>
      <c r="S104" s="11">
        <f ca="1">IF(B104&gt;=$J$5,0,CONTADORES!$D102-CONTADORES!$D101)</f>
        <v>0.5999999999994543</v>
      </c>
      <c r="T104" s="204">
        <f ca="1">IF(B104&gt;=$J$5,0,CONTADORES!$AZ102-CONTADORES!$AZ101)</f>
        <v>0</v>
      </c>
      <c r="U104" s="202">
        <f t="shared" ca="1" si="61"/>
        <v>0</v>
      </c>
      <c r="V104" s="205">
        <f ca="1">IF(B104&gt;=$J$5,0,CONTADORES!$BB102-CONTADORES!$BB101)</f>
        <v>0</v>
      </c>
      <c r="W104" s="1438">
        <f t="shared" ca="1" si="37"/>
        <v>471.00000000002183</v>
      </c>
      <c r="X104" s="1438">
        <f t="shared" ca="1" si="38"/>
        <v>0.25600000000008549</v>
      </c>
      <c r="Y104" s="1439">
        <f t="shared" ca="1" si="39"/>
        <v>471.25600000002191</v>
      </c>
      <c r="Z104" s="1439">
        <f t="shared" ca="1" si="40"/>
        <v>9.019440070457108</v>
      </c>
      <c r="AA104" s="1439">
        <f t="shared" ca="1" si="41"/>
        <v>30.720000000010259</v>
      </c>
      <c r="AB104" s="1439">
        <f t="shared" ca="1" si="42"/>
        <v>48</v>
      </c>
      <c r="AC104" s="1438">
        <f t="shared" ca="1" si="43"/>
        <v>0.5999999999994543</v>
      </c>
      <c r="AD104" s="1479">
        <f ca="1">IF(B104&gt;=$J$5,0,CONTADORES!H102-CONTADORES!H101)</f>
        <v>168.90000000002328</v>
      </c>
      <c r="AE104" s="1438">
        <f ca="1">IF(B104&gt;=$J$5,0,CONTADORES!J102-CONTADORES!J101)</f>
        <v>24</v>
      </c>
      <c r="AF104" s="1479">
        <f ca="1">IF(B104&gt;=$J$5,0,CONTADORES!AS102-CONTADORES!AS101)</f>
        <v>152.79999999998836</v>
      </c>
      <c r="AG104" s="1438">
        <f ca="1">IF(B104&gt;=$J$5,0,CONTADORES!AU102-CONTADORES!AU101)</f>
        <v>24</v>
      </c>
      <c r="AH104" s="1438">
        <f ca="1">IF(B104&gt;=$J$5,0,(CONTADORES!AK102-CONTADORES!AK101)+(CONTADORES!K102-CONTADORES!K101))</f>
        <v>18.900000000001455</v>
      </c>
      <c r="AI104" s="1438">
        <f ca="1">IF(B104&gt;=$J$5,0,(CONTADORES!AI102-CONTADORES!AI101)+(CONTADORES!M102-CONTADORES!M101))</f>
        <v>36.899999999994179</v>
      </c>
      <c r="AJ104" s="1438">
        <f ca="1">IF(B104&gt;=$J$5,0,(CONTADORES!AG102-CONTADORES!AG101))</f>
        <v>9.8999999999941792</v>
      </c>
      <c r="AK104" s="1438">
        <f ca="1">IF(B104&gt;=$J$5,0,(CONTADORES!O102-CONTADORES!O101))</f>
        <v>17.299999999988358</v>
      </c>
      <c r="AL104" s="1438">
        <f t="shared" ca="1" si="44"/>
        <v>35.756000000007475</v>
      </c>
      <c r="AM104" s="1438">
        <f ca="1">IF(B104&gt;=$J$5,0,(((CONTADORES!F102-CONTADORES!F101)+(CONTADORES!AO102-CONTADORES!AO101))))-BJ104-AF104-AN104-BM104-BP104-BU104-BS104</f>
        <v>9.6510000000245597</v>
      </c>
      <c r="AN104" s="1438">
        <f ca="1">IF(B104&gt;=$J$5,0,(CONTADORES!AV102-CONTADORES!AV101)+(CONTADORES!AX102-CONTADORES!AX101)+(CONTADORES!BC102-CONTADORES!BC101))-BS104</f>
        <v>2.9220000000001751</v>
      </c>
      <c r="AO104" s="1440">
        <f ca="1">IF(B104&gt;=$J$5,0,(CONTADORES!AA102-CONTADORES!AA101))</f>
        <v>154.29999999998836</v>
      </c>
      <c r="AP104" s="1440">
        <f ca="1">IF(B104&gt;=$J$5,0,(CONTADORES!V102-CONTADORES!V101))</f>
        <v>78.900000000001455</v>
      </c>
      <c r="AQ104" s="1445">
        <f ca="1">IF(B104&gt;=$J$5,0,(CONTADORES!C102-CONTADORES!C101))</f>
        <v>0.12300000000004729</v>
      </c>
      <c r="AR104" s="1440">
        <f ca="1">IF(B104&gt;=$J$5,0,(CONTADORES!BA102-CONTADORES!BA101))</f>
        <v>0</v>
      </c>
      <c r="AS104" s="1479">
        <f ca="1">IF(B104&gt;=$J$5,0,CONTADORES!Q102-CONTADORES!Q101)</f>
        <v>16</v>
      </c>
      <c r="AT104" s="1479">
        <f ca="1">IF(B104&gt;=$J$5,0,(CONTADORES!S102-CONTADORES!S101)+(CONTADORES!AE102-CONTADORES!AE101))</f>
        <v>2.2999999999956344</v>
      </c>
      <c r="AU104" s="1450">
        <f>CONTADORES!I102-CONTADORES!I101</f>
        <v>85.299999999988358</v>
      </c>
      <c r="AV104" s="1479">
        <f>CONTADORES!AT102-CONTADORES!AT101</f>
        <v>66.100000000005821</v>
      </c>
      <c r="AW104" s="1479">
        <f ca="1">IF(B104&gt;=$J$5,0,(CONTADORES!L102-CONTADORES!L101)+(CONTADORES!AL102-CONTADORES!AL101))</f>
        <v>7.4000000000014552</v>
      </c>
      <c r="AX104" s="1479">
        <f ca="1">IF(B104&gt;=$J$5,0,(CONTADORES!N102-CONTADORES!N101)+(CONTADORES!AJ102-CONTADORES!AJ101))</f>
        <v>29.599999999998545</v>
      </c>
      <c r="AY104" s="1479">
        <f ca="1">IF(B104&gt;=$J$5,0,(CONTADORES!AH102-CONTADORES!AH101))</f>
        <v>7.5999999999985448</v>
      </c>
      <c r="AZ104" s="1479">
        <f ca="1">IF(B104&gt;=$J$5,0,(CONTADORES!P102-CONTADORES!P101))</f>
        <v>13.700000000011642</v>
      </c>
      <c r="BA104" s="1450">
        <f t="shared" ca="1" si="45"/>
        <v>11.221999999979658</v>
      </c>
      <c r="BB104" s="1450">
        <f ca="1">IF(B103&gt;=$J$5,0,(((CONTADORES!G102-CONTADORES!G101)+(CONTADORES!AP102-CONTADORES!AP101))))-AV104-BC104-BK104-BN104-BQ104-BV104</f>
        <v>4.88300000000606</v>
      </c>
      <c r="BC104" s="1479">
        <f ca="1">IF(B104&gt;=$J$5,0,(CONTADORES!AW102-CONTADORES!AW101)+(CONTADORES!AY102-CONTADORES!AY101)+(CONTADORES!BD102-CONTADORES!BD101))-BT104</f>
        <v>0.64899999999976121</v>
      </c>
      <c r="BD104" s="1438">
        <f t="shared" ca="1" si="46"/>
        <v>233.32299999998986</v>
      </c>
      <c r="BE104" s="1439">
        <f ca="1">IF($B104&gt;=$J$5,0,CONTADORES!$BE102)</f>
        <v>5701</v>
      </c>
      <c r="BF104" s="1438">
        <f ca="1">IF($B104&gt;=$J$5,0,CONTADORES!$BF102)</f>
        <v>31970</v>
      </c>
      <c r="BG104" s="1438">
        <f ca="1">IF($B104&gt;=$J$5,0,CONTADORES!$BH102)</f>
        <v>5695</v>
      </c>
      <c r="BH104" s="1438">
        <f ca="1">IF(B104&gt;=$J$5,0,(CONTADORES!AQ102-CONTADORES!AQ101))</f>
        <v>5</v>
      </c>
      <c r="BI104" s="1438">
        <f ca="1">IF(C104&gt;=$J$5,0,(CONTADORES!AR102-CONTADORES!AR101))</f>
        <v>0</v>
      </c>
      <c r="BJ104" s="1450">
        <f ca="1">IF(B104&gt;=$J$5,0,CONTADORES!BI102-CONTADORES!BI101)/1000</f>
        <v>0.09</v>
      </c>
      <c r="BK104" s="1479">
        <f ca="1">IF(B104&gt;=$J$5,0,CONTADORES!BJ102-CONTADORES!BJ101)</f>
        <v>1</v>
      </c>
      <c r="BL104" s="1479">
        <f ca="1">IF(B104&gt;=$J$5,0,CONTADORES!BK102-CONTADORES!BK101)</f>
        <v>1</v>
      </c>
      <c r="BM104" s="1479">
        <f ca="1">IF(B104&gt;=$J$5,0,CONTADORES!BL102-CONTADORES!BL101)/1000</f>
        <v>6.0389999999999997</v>
      </c>
      <c r="BN104" s="1479">
        <f ca="1">IF(B104&gt;=$J$5,0,CONTADORES!BM102-CONTADORES!BM101)/1000</f>
        <v>6.8000000000000005E-2</v>
      </c>
      <c r="BO104" s="1479">
        <f ca="1">IF(B104&gt;=$J$5,0,CONTADORES!BN102-CONTADORES!BN101)</f>
        <v>24</v>
      </c>
      <c r="BP104" s="1479">
        <f ca="1">IF(B104&gt;=$J$5,0,CONTADORES!BO102-CONTADORES!BO101)/1000</f>
        <v>2.65</v>
      </c>
      <c r="BQ104" s="1479">
        <f ca="1">IF(B104&gt;=$J$5,0,CONTADORES!BP102-CONTADORES!BP101)/1000</f>
        <v>0</v>
      </c>
      <c r="BR104" s="1479">
        <f ca="1">IF(B104&gt;=$J$5,0,CONTADORES!BQ102-CONTADORES!BQ101)</f>
        <v>24</v>
      </c>
      <c r="BS104" s="1450">
        <f ca="1">IF(B104&gt;=$J$5,0,(CONTADORES!BT102-CONTADORES!BT101)+(CONTADORES!BV102-CONTADORES!BV101))/1000</f>
        <v>1.448</v>
      </c>
      <c r="BT104" s="1479">
        <f ca="1">IF(B104&gt;=$J$5,0,(CONTADORES!BU102-CONTADORES!BU101)+(CONTADORES!BW102-CONTADORES!BW101))/1000</f>
        <v>0.80100000000000005</v>
      </c>
      <c r="BU104" s="1450">
        <f ca="1">IF(B104&gt;=$J$5,0,CONTADORES!BR102-CONTADORES!BR101)</f>
        <v>8</v>
      </c>
      <c r="BV104" s="1479">
        <f ca="1">IF(B104&gt;=$J$5,0,CONTADORES!BS102-CONTADORES!BS101)</f>
        <v>5</v>
      </c>
      <c r="BW104" s="1479">
        <f t="shared" ca="1" si="47"/>
        <v>12.82550000001228</v>
      </c>
      <c r="BX104" s="1479">
        <f t="shared" ca="1" si="48"/>
        <v>7.44150000000303</v>
      </c>
      <c r="BY104" s="1479">
        <f t="shared" ca="1" si="49"/>
        <v>4.8255000000122799</v>
      </c>
      <c r="BZ104" s="1479">
        <f t="shared" ca="1" si="50"/>
        <v>1.16880000000007</v>
      </c>
      <c r="CA104" s="1479">
        <f t="shared" ca="1" si="51"/>
        <v>4.8255000000122799</v>
      </c>
      <c r="CB104" s="1479">
        <f t="shared" ca="1" si="52"/>
        <v>1.7532000000001051</v>
      </c>
      <c r="CC104" s="1479">
        <f t="shared" ca="1" si="53"/>
        <v>2.6168000000000697</v>
      </c>
      <c r="CD104" s="1479">
        <f t="shared" ca="1" si="54"/>
        <v>2.44150000000303</v>
      </c>
      <c r="CE104" s="1479">
        <f ca="1">IF(B104&gt;=$J$5,0,CONTADORES!BS102-CONTADORES!BS101)</f>
        <v>5</v>
      </c>
      <c r="CF104" s="1479">
        <f t="shared" ca="1" si="55"/>
        <v>2.44150000000303</v>
      </c>
      <c r="CG104" s="1479">
        <f t="shared" ca="1" si="56"/>
        <v>0.32449999999988061</v>
      </c>
      <c r="CH104" s="1479">
        <f t="shared" ca="1" si="57"/>
        <v>0.32449999999988061</v>
      </c>
      <c r="CI104" s="1479">
        <f t="shared" ca="1" si="58"/>
        <v>1.1254999999998807</v>
      </c>
      <c r="CJ104" s="1480">
        <f ca="1">IF($B104&gt;=$J$5,0,CONTADORES!$BG102)</f>
        <v>9387</v>
      </c>
      <c r="CK104" s="1384">
        <f>CONTADORES!E102</f>
        <v>1</v>
      </c>
      <c r="CL104" s="1384">
        <f>CONTADORES!BX102</f>
        <v>0</v>
      </c>
    </row>
    <row r="105" spans="2:90">
      <c r="B105" s="410">
        <v>45021</v>
      </c>
      <c r="C105" s="204">
        <f t="shared" ca="1" si="33"/>
        <v>302.40000000002328</v>
      </c>
      <c r="D105" s="202">
        <f ca="1">'CALCULO DE GAS'!D110</f>
        <v>5.0692812490410049</v>
      </c>
      <c r="E105" s="202">
        <f ca="1">IF(B105&gt;=$J$5,0,(CONTADORES!$AB103-CONTADORES!$AB102)-$H105)</f>
        <v>24</v>
      </c>
      <c r="F105" s="204">
        <f t="shared" ca="1" si="60"/>
        <v>0</v>
      </c>
      <c r="G105" s="202">
        <f ca="1">IF(B105&gt;=$J$5,0,CONTADORES!$AD103-CONTADORES!$AD102)</f>
        <v>0</v>
      </c>
      <c r="H105" s="1437">
        <f ca="1">IF(G105&gt;0,CONTADORES!$AC103-CONTADORES!$AC102,0)</f>
        <v>0</v>
      </c>
      <c r="I105" s="205">
        <f ca="1">IF(B105&gt;=$J$5,0,CONTADORES!$Z103-CONTADORES!$Z102)</f>
        <v>302.40000000002328</v>
      </c>
      <c r="J105" s="204">
        <f t="shared" ca="1" si="34"/>
        <v>150.40000000000146</v>
      </c>
      <c r="K105" s="202">
        <f ca="1">'CALCULO DE GAS'!E110</f>
        <v>3.7979314059993148</v>
      </c>
      <c r="L105" s="1437">
        <f ca="1">IF(B105&gt;=$J$5,0,(CONTADORES!$W103-CONTADORES!$W102)-$O105)</f>
        <v>24</v>
      </c>
      <c r="M105" s="1437">
        <f t="shared" ca="1" si="59"/>
        <v>0</v>
      </c>
      <c r="N105" s="1437">
        <f ca="1">IF(B105&gt;=$J$5,0,CONTADORES!$Y103-CONTADORES!$Y102)</f>
        <v>0</v>
      </c>
      <c r="O105" s="1437">
        <f ca="1">IF(N105&gt;0,CONTADORES!$X103-CONTADORES!$X102,0)</f>
        <v>0</v>
      </c>
      <c r="P105" s="208">
        <f ca="1">IF(B105&gt;=$J$5,0,CONTADORES!$U103-CONTADORES!$U102)</f>
        <v>150.40000000000146</v>
      </c>
      <c r="Q105" s="208">
        <f ca="1">IF(B105&gt;=$J$5,0,CONTADORES!$B103-CONTADORES!$B102)</f>
        <v>0</v>
      </c>
      <c r="R105" s="202">
        <f t="shared" ca="1" si="35"/>
        <v>0</v>
      </c>
      <c r="S105" s="11">
        <f ca="1">IF(B105&gt;=$J$5,0,CONTADORES!$D103-CONTADORES!$D102)</f>
        <v>0</v>
      </c>
      <c r="T105" s="204">
        <f ca="1">IF(B105&gt;=$J$5,0,CONTADORES!$AZ103-CONTADORES!$AZ102)</f>
        <v>0</v>
      </c>
      <c r="U105" s="202">
        <f t="shared" ca="1" si="61"/>
        <v>0</v>
      </c>
      <c r="V105" s="205">
        <f ca="1">IF(B105&gt;=$J$5,0,CONTADORES!$BB103-CONTADORES!$BB102)</f>
        <v>0</v>
      </c>
      <c r="W105" s="1438">
        <f t="shared" ca="1" si="37"/>
        <v>452.80000000002474</v>
      </c>
      <c r="X105" s="1438">
        <f t="shared" ca="1" si="38"/>
        <v>0</v>
      </c>
      <c r="Y105" s="1439">
        <f t="shared" ca="1" si="39"/>
        <v>452.80000000002474</v>
      </c>
      <c r="Z105" s="1439">
        <f t="shared" ca="1" si="40"/>
        <v>8.8672126550403192</v>
      </c>
      <c r="AA105" s="1439">
        <f t="shared" ca="1" si="41"/>
        <v>0</v>
      </c>
      <c r="AB105" s="1439">
        <f t="shared" ca="1" si="42"/>
        <v>48</v>
      </c>
      <c r="AC105" s="1438">
        <f t="shared" ca="1" si="43"/>
        <v>0</v>
      </c>
      <c r="AD105" s="1479">
        <f ca="1">IF(B105&gt;=$J$5,0,CONTADORES!H103-CONTADORES!H102)</f>
        <v>168.29999999993015</v>
      </c>
      <c r="AE105" s="1438">
        <f ca="1">IF(B105&gt;=$J$5,0,CONTADORES!J103-CONTADORES!J102)</f>
        <v>24</v>
      </c>
      <c r="AF105" s="1479">
        <f ca="1">IF(B105&gt;=$J$5,0,CONTADORES!AS103-CONTADORES!AS102)</f>
        <v>152.40000000002328</v>
      </c>
      <c r="AG105" s="1438">
        <f ca="1">IF(B105&gt;=$J$5,0,CONTADORES!AU103-CONTADORES!AU102)</f>
        <v>24</v>
      </c>
      <c r="AH105" s="1438">
        <f ca="1">IF(B105&gt;=$J$5,0,(CONTADORES!AK103-CONTADORES!AK102)+(CONTADORES!K103-CONTADORES!K102))</f>
        <v>7.3000000000029104</v>
      </c>
      <c r="AI105" s="1438">
        <f ca="1">IF(B105&gt;=$J$5,0,(CONTADORES!AI103-CONTADORES!AI102)+(CONTADORES!M103-CONTADORES!M102))</f>
        <v>37.30000000000291</v>
      </c>
      <c r="AJ105" s="1438">
        <f ca="1">IF(B105&gt;=$J$5,0,(CONTADORES!AG103-CONTADORES!AG102))</f>
        <v>9.1000000000058208</v>
      </c>
      <c r="AK105" s="1438">
        <f ca="1">IF(B105&gt;=$J$5,0,(CONTADORES!O103-CONTADORES!O102))</f>
        <v>15.100000000005821</v>
      </c>
      <c r="AL105" s="1438">
        <f t="shared" ca="1" si="44"/>
        <v>34.700000000066154</v>
      </c>
      <c r="AM105" s="1438">
        <f ca="1">IF(B105&gt;=$J$5,0,(((CONTADORES!F103-CONTADORES!F102)+(CONTADORES!AO103-CONTADORES!AO102))))-BJ105-AF105-AN105-BM105-BP105-BU105-BS105</f>
        <v>8.9688999999871832</v>
      </c>
      <c r="AN105" s="1438">
        <f ca="1">IF(B105&gt;=$J$5,0,(CONTADORES!AV103-CONTADORES!AV102)+(CONTADORES!AX103-CONTADORES!AX102)+(CONTADORES!BC103-CONTADORES!BC102))-BS105</f>
        <v>3.207000000000364</v>
      </c>
      <c r="AO105" s="1440">
        <f ca="1">IF(B105&gt;=$J$5,0,(CONTADORES!AA103-CONTADORES!AA102))</f>
        <v>151.10000000003492</v>
      </c>
      <c r="AP105" s="1440">
        <f ca="1">IF(B105&gt;=$J$5,0,(CONTADORES!V103-CONTADORES!V102))</f>
        <v>78.099999999998545</v>
      </c>
      <c r="AQ105" s="1445">
        <f ca="1">IF(B105&gt;=$J$5,0,(CONTADORES!C103-CONTADORES!C102))</f>
        <v>0</v>
      </c>
      <c r="AR105" s="1440">
        <f ca="1">IF(B105&gt;=$J$5,0,(CONTADORES!BA103-CONTADORES!BA102))</f>
        <v>0</v>
      </c>
      <c r="AS105" s="1479">
        <f ca="1">IF(B105&gt;=$J$5,0,CONTADORES!Q103-CONTADORES!Q102)</f>
        <v>16.899999999994179</v>
      </c>
      <c r="AT105" s="1479">
        <f ca="1">IF(B105&gt;=$J$5,0,(CONTADORES!S103-CONTADORES!S102)+(CONTADORES!AE103-CONTADORES!AE102))</f>
        <v>2.0999999999985448</v>
      </c>
      <c r="AU105" s="1450">
        <f>CONTADORES!I103-CONTADORES!I102</f>
        <v>84.200000000011642</v>
      </c>
      <c r="AV105" s="1479">
        <f>CONTADORES!AT103-CONTADORES!AT102</f>
        <v>65.799999999988358</v>
      </c>
      <c r="AW105" s="1479">
        <f ca="1">IF(B105&gt;=$J$5,0,(CONTADORES!L103-CONTADORES!L102)+(CONTADORES!AL103-CONTADORES!AL102))</f>
        <v>2.9000000000014552</v>
      </c>
      <c r="AX105" s="1479">
        <f ca="1">IF(B105&gt;=$J$5,0,(CONTADORES!N103-CONTADORES!N102)+(CONTADORES!AJ103-CONTADORES!AJ102))</f>
        <v>29.900000000001455</v>
      </c>
      <c r="AY105" s="1479">
        <f ca="1">IF(B105&gt;=$J$5,0,(CONTADORES!AH103-CONTADORES!AH102))</f>
        <v>7</v>
      </c>
      <c r="AZ105" s="1479">
        <f ca="1">IF(B105&gt;=$J$5,0,(CONTADORES!P103-CONTADORES!P102))</f>
        <v>12.5</v>
      </c>
      <c r="BA105" s="1450">
        <f t="shared" ca="1" si="45"/>
        <v>11.937000000024369</v>
      </c>
      <c r="BB105" s="1450">
        <f ca="1">IF(B104&gt;=$J$5,0,(((CONTADORES!G103-CONTADORES!G102)+(CONTADORES!AP103-CONTADORES!AP102))))-AV105-BC105-BK105-BN105-BQ105-BV105</f>
        <v>7.3590000000057305</v>
      </c>
      <c r="BC105" s="1479">
        <f ca="1">IF(B105&gt;=$J$5,0,(CONTADORES!AW103-CONTADORES!AW102)+(CONTADORES!AY103-CONTADORES!AY102)+(CONTADORES!BD103-CONTADORES!BD102))-BT105</f>
        <v>0.83699999999990904</v>
      </c>
      <c r="BD105" s="1438">
        <f t="shared" ca="1" si="46"/>
        <v>229.20000000003347</v>
      </c>
      <c r="BE105" s="1439">
        <f ca="1">IF($B105&gt;=$J$5,0,CONTADORES!$BE103)</f>
        <v>6004.43</v>
      </c>
      <c r="BF105" s="1438">
        <f ca="1">IF($B105&gt;=$J$5,0,CONTADORES!$BF103)</f>
        <v>33390.356140350901</v>
      </c>
      <c r="BG105" s="1438">
        <f ca="1">IF($B105&gt;=$J$5,0,CONTADORES!$BH103)</f>
        <v>5404.25</v>
      </c>
      <c r="BH105" s="1438">
        <f ca="1">IF(B105&gt;=$J$5,0,(CONTADORES!AQ103-CONTADORES!AQ102))</f>
        <v>4.5999999999985448</v>
      </c>
      <c r="BI105" s="1438">
        <f ca="1">IF(C105&gt;=$J$5,0,(CONTADORES!AR103-CONTADORES!AR102))</f>
        <v>0</v>
      </c>
      <c r="BJ105" s="1450">
        <f ca="1">IF(B105&gt;=$J$5,0,CONTADORES!BI103-CONTADORES!BI102)/1000</f>
        <v>1.8921000000000932</v>
      </c>
      <c r="BK105" s="1479">
        <f ca="1">IF(B105&gt;=$J$5,0,CONTADORES!BJ103-CONTADORES!BJ102)</f>
        <v>1</v>
      </c>
      <c r="BL105" s="1479">
        <f ca="1">IF(B105&gt;=$J$5,0,CONTADORES!BK103-CONTADORES!BK102)</f>
        <v>16</v>
      </c>
      <c r="BM105" s="1479">
        <f ca="1">IF(B105&gt;=$J$5,0,CONTADORES!BL103-CONTADORES!BL102)/1000</f>
        <v>1.6679999999999999</v>
      </c>
      <c r="BN105" s="1479">
        <f ca="1">IF(B105&gt;=$J$5,0,CONTADORES!BM103-CONTADORES!BM102)/1000</f>
        <v>8.0000000000000002E-3</v>
      </c>
      <c r="BO105" s="1479">
        <f ca="1">IF(B105&gt;=$J$5,0,CONTADORES!BN103-CONTADORES!BN102)</f>
        <v>6.5</v>
      </c>
      <c r="BP105" s="1479">
        <f ca="1">IF(B105&gt;=$J$5,0,CONTADORES!BO103-CONTADORES!BO102)/1000</f>
        <v>4.4710000000000001</v>
      </c>
      <c r="BQ105" s="1479">
        <f ca="1">IF(B105&gt;=$J$5,0,CONTADORES!BP103-CONTADORES!BP102)/1000</f>
        <v>0.59599999999999997</v>
      </c>
      <c r="BR105" s="1479">
        <f ca="1">IF(B105&gt;=$J$5,0,CONTADORES!BQ103-CONTADORES!BQ102)</f>
        <v>23.600000000002183</v>
      </c>
      <c r="BS105" s="1450">
        <f ca="1">IF(B105&gt;=$J$5,0,(CONTADORES!BT103-CONTADORES!BT102)+(CONTADORES!BV103-CONTADORES!BV102))/1000</f>
        <v>1.393</v>
      </c>
      <c r="BT105" s="1479">
        <f ca="1">IF(B105&gt;=$J$5,0,(CONTADORES!BU103-CONTADORES!BU102)+(CONTADORES!BW103-CONTADORES!BW102))/1000</f>
        <v>0.76300000000000001</v>
      </c>
      <c r="BU105" s="1450">
        <f ca="1">IF(B105&gt;=$J$5,0,CONTADORES!BR103-CONTADORES!BR102)</f>
        <v>7</v>
      </c>
      <c r="BV105" s="1479">
        <f ca="1">IF(B105&gt;=$J$5,0,CONTADORES!BS103-CONTADORES!BS102)</f>
        <v>4.4000000000005457</v>
      </c>
      <c r="BW105" s="1479">
        <f t="shared" ca="1" si="47"/>
        <v>11.484449999993592</v>
      </c>
      <c r="BX105" s="1479">
        <f t="shared" ca="1" si="48"/>
        <v>8.0795000000034101</v>
      </c>
      <c r="BY105" s="1479">
        <f t="shared" ca="1" si="49"/>
        <v>4.4844499999935916</v>
      </c>
      <c r="BZ105" s="1479">
        <f t="shared" ca="1" si="50"/>
        <v>1.2828000000001456</v>
      </c>
      <c r="CA105" s="1479">
        <f t="shared" ca="1" si="51"/>
        <v>4.4844499999935916</v>
      </c>
      <c r="CB105" s="1479">
        <f t="shared" ca="1" si="52"/>
        <v>1.9242000000002184</v>
      </c>
      <c r="CC105" s="1479">
        <f t="shared" ca="1" si="53"/>
        <v>2.6758000000001454</v>
      </c>
      <c r="CD105" s="1479">
        <f t="shared" ca="1" si="54"/>
        <v>3.6795000000028653</v>
      </c>
      <c r="CE105" s="1479">
        <f ca="1">IF(B105&gt;=$J$5,0,CONTADORES!BS103-CONTADORES!BS102)</f>
        <v>4.4000000000005457</v>
      </c>
      <c r="CF105" s="1479">
        <f t="shared" ca="1" si="55"/>
        <v>3.6795000000028653</v>
      </c>
      <c r="CG105" s="1479">
        <f t="shared" ca="1" si="56"/>
        <v>0.41849999999995452</v>
      </c>
      <c r="CH105" s="1479">
        <f t="shared" ca="1" si="57"/>
        <v>0.41849999999995452</v>
      </c>
      <c r="CI105" s="1479">
        <f t="shared" ca="1" si="58"/>
        <v>1.1814999999999545</v>
      </c>
      <c r="CJ105" s="1480">
        <f ca="1">IF($B105&gt;=$J$5,0,CONTADORES!$BG103)</f>
        <v>9692.8795700307091</v>
      </c>
      <c r="CK105" s="1384">
        <f>CONTADORES!E103</f>
        <v>0</v>
      </c>
      <c r="CL105" s="1384">
        <f>CONTADORES!BX103</f>
        <v>0</v>
      </c>
    </row>
    <row r="106" spans="2:90">
      <c r="B106" s="410">
        <v>45022</v>
      </c>
      <c r="C106" s="204">
        <f t="shared" ca="1" si="33"/>
        <v>308.69999999995343</v>
      </c>
      <c r="D106" s="202">
        <f ca="1">'CALCULO DE GAS'!D111</f>
        <v>5.1219753543770095</v>
      </c>
      <c r="E106" s="202">
        <f ca="1">IF(B106&gt;=$J$5,0,(CONTADORES!$AB104-CONTADORES!$AB103)-$H106)</f>
        <v>24</v>
      </c>
      <c r="F106" s="204">
        <f t="shared" ca="1" si="60"/>
        <v>0</v>
      </c>
      <c r="G106" s="202">
        <f ca="1">IF(B106&gt;=$J$5,0,CONTADORES!$AD104-CONTADORES!$AD103)</f>
        <v>0</v>
      </c>
      <c r="H106" s="1437">
        <f ca="1">IF(G106&gt;0,CONTADORES!$AC104-CONTADORES!$AC103,0)</f>
        <v>0</v>
      </c>
      <c r="I106" s="205">
        <f ca="1">IF(B106&gt;=$J$5,0,CONTADORES!$Z104-CONTADORES!$Z103)</f>
        <v>308.69999999995343</v>
      </c>
      <c r="J106" s="204">
        <f t="shared" ca="1" si="34"/>
        <v>151.29999999999927</v>
      </c>
      <c r="K106" s="202">
        <f ca="1">'CALCULO DE GAS'!E111</f>
        <v>3.8054591353330949</v>
      </c>
      <c r="L106" s="1437">
        <f ca="1">IF(B106&gt;=$J$5,0,(CONTADORES!$W104-CONTADORES!$W103)-$O106)</f>
        <v>24</v>
      </c>
      <c r="M106" s="1437">
        <f t="shared" ca="1" si="59"/>
        <v>0</v>
      </c>
      <c r="N106" s="1437">
        <f ca="1">IF(B106&gt;=$J$5,0,CONTADORES!$Y104-CONTADORES!$Y103)</f>
        <v>0</v>
      </c>
      <c r="O106" s="1437">
        <f ca="1">IF(N106&gt;0,CONTADORES!$X104-CONTADORES!$X103,0)</f>
        <v>0</v>
      </c>
      <c r="P106" s="208">
        <f ca="1">IF(B106&gt;=$J$5,0,CONTADORES!$U104-CONTADORES!$U103)</f>
        <v>151.29999999999927</v>
      </c>
      <c r="Q106" s="208">
        <f ca="1">IF(B106&gt;=$J$5,0,CONTADORES!$B104-CONTADORES!$B103)</f>
        <v>0</v>
      </c>
      <c r="R106" s="202">
        <f t="shared" ca="1" si="35"/>
        <v>0</v>
      </c>
      <c r="S106" s="11">
        <f ca="1">IF(B106&gt;=$J$5,0,CONTADORES!$D104-CONTADORES!$D103)</f>
        <v>0</v>
      </c>
      <c r="T106" s="204">
        <f ca="1">IF(B106&gt;=$J$5,0,CONTADORES!$AZ104-CONTADORES!$AZ103)</f>
        <v>0</v>
      </c>
      <c r="U106" s="202">
        <f t="shared" ca="1" si="61"/>
        <v>0</v>
      </c>
      <c r="V106" s="205">
        <f ca="1">IF(B106&gt;=$J$5,0,CONTADORES!$BB104-CONTADORES!$BB103)</f>
        <v>0</v>
      </c>
      <c r="W106" s="1438">
        <f t="shared" ca="1" si="37"/>
        <v>459.99999999995271</v>
      </c>
      <c r="X106" s="1438">
        <f t="shared" ca="1" si="38"/>
        <v>0</v>
      </c>
      <c r="Y106" s="1439">
        <f t="shared" ca="1" si="39"/>
        <v>459.99999999995271</v>
      </c>
      <c r="Z106" s="1439">
        <f t="shared" ca="1" si="40"/>
        <v>8.9274344897101052</v>
      </c>
      <c r="AA106" s="1439">
        <f t="shared" ca="1" si="41"/>
        <v>0</v>
      </c>
      <c r="AB106" s="1439">
        <f t="shared" ca="1" si="42"/>
        <v>48</v>
      </c>
      <c r="AC106" s="1438">
        <f t="shared" ca="1" si="43"/>
        <v>0</v>
      </c>
      <c r="AD106" s="1479">
        <f ca="1">IF(B106&gt;=$J$5,0,CONTADORES!H104-CONTADORES!H103)</f>
        <v>168.80000000004657</v>
      </c>
      <c r="AE106" s="1438">
        <f ca="1">IF(B106&gt;=$J$5,0,CONTADORES!J104-CONTADORES!J103)</f>
        <v>24</v>
      </c>
      <c r="AF106" s="1479">
        <f ca="1">IF(B106&gt;=$J$5,0,CONTADORES!AS104-CONTADORES!AS103)</f>
        <v>153.79999999998836</v>
      </c>
      <c r="AG106" s="1438">
        <f ca="1">IF(B106&gt;=$J$5,0,CONTADORES!AU104-CONTADORES!AU103)</f>
        <v>24</v>
      </c>
      <c r="AH106" s="1438">
        <f ca="1">IF(B106&gt;=$J$5,0,(CONTADORES!AK104-CONTADORES!AK103)+(CONTADORES!K104-CONTADORES!K103))</f>
        <v>10.099999999998545</v>
      </c>
      <c r="AI106" s="1438">
        <f ca="1">IF(B106&gt;=$J$5,0,(CONTADORES!AI104-CONTADORES!AI103)+(CONTADORES!M104-CONTADORES!M103))</f>
        <v>39.69999999999709</v>
      </c>
      <c r="AJ106" s="1438">
        <f ca="1">IF(B106&gt;=$J$5,0,(CONTADORES!AG104-CONTADORES!AG103))</f>
        <v>9.1999999999970896</v>
      </c>
      <c r="AK106" s="1438">
        <f ca="1">IF(B106&gt;=$J$5,0,(CONTADORES!O104-CONTADORES!O103))</f>
        <v>15.299999999988358</v>
      </c>
      <c r="AL106" s="1438">
        <f t="shared" ca="1" si="44"/>
        <v>35.099999999947556</v>
      </c>
      <c r="AM106" s="1438">
        <f ca="1">IF(B106&gt;=$J$5,0,(((CONTADORES!F104-CONTADORES!F103)+(CONTADORES!AO104-CONTADORES!AO103))))-BJ106-AF106-AN106-BM106-BP106-BU106-BS106</f>
        <v>8.3826999999883505</v>
      </c>
      <c r="AN106" s="1438">
        <f ca="1">IF(B106&gt;=$J$5,0,(CONTADORES!AV104-CONTADORES!AV103)+(CONTADORES!AX104-CONTADORES!AX103)+(CONTADORES!BC104-CONTADORES!BC103))-BS106</f>
        <v>3.1250000000002061</v>
      </c>
      <c r="AO106" s="1440">
        <f ca="1">IF(B106&gt;=$J$5,0,(CONTADORES!AA104-CONTADORES!AA103))</f>
        <v>161.59999999997672</v>
      </c>
      <c r="AP106" s="1440">
        <f ca="1">IF(B106&gt;=$J$5,0,(CONTADORES!V104-CONTADORES!V103))</f>
        <v>73.200000000000728</v>
      </c>
      <c r="AQ106" s="1445">
        <f ca="1">IF(B106&gt;=$J$5,0,(CONTADORES!C104-CONTADORES!C103))</f>
        <v>0</v>
      </c>
      <c r="AR106" s="1440">
        <f ca="1">IF(B106&gt;=$J$5,0,(CONTADORES!BA104-CONTADORES!BA103))</f>
        <v>0</v>
      </c>
      <c r="AS106" s="1479">
        <f ca="1">IF(B106&gt;=$J$5,0,CONTADORES!Q104-CONTADORES!Q103)</f>
        <v>15.600000000005821</v>
      </c>
      <c r="AT106" s="1479">
        <f ca="1">IF(B106&gt;=$J$5,0,(CONTADORES!S104-CONTADORES!S103)+(CONTADORES!AE104-CONTADORES!AE103))</f>
        <v>2.2000000000043656</v>
      </c>
      <c r="AU106" s="1450">
        <f>CONTADORES!I104-CONTADORES!I103</f>
        <v>84.5</v>
      </c>
      <c r="AV106" s="1479">
        <f>CONTADORES!AT104-CONTADORES!AT103</f>
        <v>67.100000000005821</v>
      </c>
      <c r="AW106" s="1479">
        <f ca="1">IF(B106&gt;=$J$5,0,(CONTADORES!L104-CONTADORES!L103)+(CONTADORES!AL104-CONTADORES!AL103))</f>
        <v>3.8999999999978172</v>
      </c>
      <c r="AX106" s="1479">
        <f ca="1">IF(B106&gt;=$J$5,0,(CONTADORES!N104-CONTADORES!N103)+(CONTADORES!AJ104-CONTADORES!AJ103))</f>
        <v>32.099999999998545</v>
      </c>
      <c r="AY106" s="1479">
        <f ca="1">IF(B106&gt;=$J$5,0,(CONTADORES!AH104-CONTADORES!AH103))</f>
        <v>7.2000000000043656</v>
      </c>
      <c r="AZ106" s="1479">
        <f ca="1">IF(B106&gt;=$J$5,0,(CONTADORES!P104-CONTADORES!P103))</f>
        <v>12.599999999991269</v>
      </c>
      <c r="BA106" s="1450">
        <f t="shared" ca="1" si="45"/>
        <v>10.270999999991801</v>
      </c>
      <c r="BB106" s="1450">
        <f ca="1">IF(B105&gt;=$J$5,0,(((CONTADORES!G104-CONTADORES!G103)+(CONTADORES!AP104-CONTADORES!AP103))))-AV106-BC106-BK106-BN106-BQ106-BV106</f>
        <v>8.1629999999878375</v>
      </c>
      <c r="BC106" s="1479">
        <f ca="1">IF(B106&gt;=$J$5,0,(CONTADORES!AW104-CONTADORES!AW103)+(CONTADORES!AY104-CONTADORES!AY103)+(CONTADORES!BD104-CONTADORES!BD103))-BT106</f>
        <v>1.1610000000001568</v>
      </c>
      <c r="BD106" s="1438">
        <f t="shared" ca="1" si="46"/>
        <v>234.79999999997744</v>
      </c>
      <c r="BE106" s="1439">
        <f ca="1">IF($B106&gt;=$J$5,0,CONTADORES!$BE104)</f>
        <v>6386.3</v>
      </c>
      <c r="BF106" s="1438">
        <f ca="1">IF($B106&gt;=$J$5,0,CONTADORES!$BF104)</f>
        <v>33356.677192982497</v>
      </c>
      <c r="BG106" s="1438">
        <f ca="1">IF($B106&gt;=$J$5,0,CONTADORES!$BH104)</f>
        <v>6600.88</v>
      </c>
      <c r="BH106" s="1438">
        <f ca="1">IF(B106&gt;=$J$5,0,(CONTADORES!AQ104-CONTADORES!AQ103))</f>
        <v>4.3000000000029104</v>
      </c>
      <c r="BI106" s="1438">
        <f ca="1">IF(C106&gt;=$J$5,0,(CONTADORES!AR104-CONTADORES!AR103))</f>
        <v>0</v>
      </c>
      <c r="BJ106" s="1450">
        <f ca="1">IF(B106&gt;=$J$5,0,CONTADORES!BI104-CONTADORES!BI103)/1000</f>
        <v>2.1652999999998137</v>
      </c>
      <c r="BK106" s="1479">
        <f ca="1">IF(B106&gt;=$J$5,0,CONTADORES!BJ104-CONTADORES!BJ103)</f>
        <v>1</v>
      </c>
      <c r="BL106" s="1479">
        <f ca="1">IF(B106&gt;=$J$5,0,CONTADORES!BK104-CONTADORES!BK103)</f>
        <v>24</v>
      </c>
      <c r="BM106" s="1479">
        <f ca="1">IF(B106&gt;=$J$5,0,CONTADORES!BL104-CONTADORES!BL103)/1000</f>
        <v>0</v>
      </c>
      <c r="BN106" s="1479">
        <f ca="1">IF(B106&gt;=$J$5,0,CONTADORES!BM104-CONTADORES!BM103)/1000</f>
        <v>0</v>
      </c>
      <c r="BO106" s="1479">
        <f ca="1">IF(B106&gt;=$J$5,0,CONTADORES!BN104-CONTADORES!BN103)</f>
        <v>0</v>
      </c>
      <c r="BP106" s="1479">
        <f ca="1">IF(B106&gt;=$J$5,0,CONTADORES!BO104-CONTADORES!BO103)/1000</f>
        <v>4.8220000000000001</v>
      </c>
      <c r="BQ106" s="1479">
        <f ca="1">IF(B106&gt;=$J$5,0,CONTADORES!BP104-CONTADORES!BP103)/1000</f>
        <v>0.876</v>
      </c>
      <c r="BR106" s="1479">
        <f ca="1">IF(B106&gt;=$J$5,0,CONTADORES!BQ104-CONTADORES!BQ103)</f>
        <v>24</v>
      </c>
      <c r="BS106" s="1450">
        <f ca="1">IF(B106&gt;=$J$5,0,(CONTADORES!BT104-CONTADORES!BT103)+(CONTADORES!BV104-CONTADORES!BV103))/1000</f>
        <v>1.3049999999999999</v>
      </c>
      <c r="BT106" s="1479">
        <f ca="1">IF(B106&gt;=$J$5,0,(CONTADORES!BU104-CONTADORES!BU103)+(CONTADORES!BW104-CONTADORES!BW103))/1000</f>
        <v>0.72899999999999998</v>
      </c>
      <c r="BU106" s="1450">
        <f ca="1">IF(B106&gt;=$J$5,0,CONTADORES!BR104-CONTADORES!BR103)</f>
        <v>8.2000000000007276</v>
      </c>
      <c r="BV106" s="1479">
        <f ca="1">IF(B106&gt;=$J$5,0,CONTADORES!BS104-CONTADORES!BS103)</f>
        <v>5.1999999999998181</v>
      </c>
      <c r="BW106" s="1479">
        <f t="shared" ca="1" si="47"/>
        <v>12.391349999994903</v>
      </c>
      <c r="BX106" s="1479">
        <f t="shared" ca="1" si="48"/>
        <v>9.2814999999937378</v>
      </c>
      <c r="BY106" s="1479">
        <f t="shared" ca="1" si="49"/>
        <v>4.1913499999941752</v>
      </c>
      <c r="BZ106" s="1479">
        <f t="shared" ca="1" si="50"/>
        <v>1.2500000000000826</v>
      </c>
      <c r="CA106" s="1479">
        <f t="shared" ca="1" si="51"/>
        <v>4.1913499999941752</v>
      </c>
      <c r="CB106" s="1479">
        <f t="shared" ca="1" si="52"/>
        <v>1.8750000000001235</v>
      </c>
      <c r="CC106" s="1479">
        <f t="shared" ca="1" si="53"/>
        <v>2.5550000000000823</v>
      </c>
      <c r="CD106" s="1479">
        <f t="shared" ca="1" si="54"/>
        <v>4.0814999999939188</v>
      </c>
      <c r="CE106" s="1479">
        <f ca="1">IF(B106&gt;=$J$5,0,CONTADORES!BS104-CONTADORES!BS103)</f>
        <v>5.1999999999998181</v>
      </c>
      <c r="CF106" s="1479">
        <f t="shared" ca="1" si="55"/>
        <v>4.0814999999939188</v>
      </c>
      <c r="CG106" s="1479">
        <f t="shared" ca="1" si="56"/>
        <v>0.5805000000000784</v>
      </c>
      <c r="CH106" s="1479">
        <f t="shared" ca="1" si="57"/>
        <v>0.5805000000000784</v>
      </c>
      <c r="CI106" s="1479">
        <f t="shared" ca="1" si="58"/>
        <v>1.3095000000000785</v>
      </c>
      <c r="CJ106" s="1480">
        <f ca="1">IF($B106&gt;=$J$5,0,CONTADORES!$BG104)</f>
        <v>9489.9605797448403</v>
      </c>
      <c r="CK106" s="1384">
        <f>CONTADORES!E104</f>
        <v>0</v>
      </c>
      <c r="CL106" s="1384">
        <f>CONTADORES!BX104</f>
        <v>0</v>
      </c>
    </row>
    <row r="107" spans="2:90">
      <c r="B107" s="410">
        <v>45023</v>
      </c>
      <c r="C107" s="204">
        <f t="shared" ca="1" si="33"/>
        <v>314</v>
      </c>
      <c r="D107" s="202">
        <f ca="1">'CALCULO DE GAS'!D112</f>
        <v>5.1663053160097672</v>
      </c>
      <c r="E107" s="202">
        <f ca="1">IF(B107&gt;=$J$5,0,(CONTADORES!$AB105-CONTADORES!$AB104)-$H107)</f>
        <v>24</v>
      </c>
      <c r="F107" s="204">
        <f t="shared" ca="1" si="60"/>
        <v>0</v>
      </c>
      <c r="G107" s="202">
        <f ca="1">IF(B107&gt;=$J$5,0,CONTADORES!$AD105-CONTADORES!$AD104)</f>
        <v>0</v>
      </c>
      <c r="H107" s="1437">
        <f ca="1">IF(G107&gt;0,CONTADORES!$AC105-CONTADORES!$AC104,0)</f>
        <v>0</v>
      </c>
      <c r="I107" s="205">
        <f ca="1">IF(B107&gt;=$J$5,0,CONTADORES!$Z105-CONTADORES!$Z104)</f>
        <v>314</v>
      </c>
      <c r="J107" s="204">
        <f t="shared" ca="1" si="34"/>
        <v>148</v>
      </c>
      <c r="K107" s="202">
        <f ca="1">'CALCULO DE GAS'!E112</f>
        <v>3.777857461109174</v>
      </c>
      <c r="L107" s="1437">
        <f ca="1">IF(B107&gt;=$J$5,0,(CONTADORES!$W105-CONTADORES!$W104)-$O107)</f>
        <v>24</v>
      </c>
      <c r="M107" s="1437">
        <v>0</v>
      </c>
      <c r="N107" s="1437">
        <f ca="1">IF(B107&gt;=$J$5,0,CONTADORES!$Y105-CONTADORES!$Y104)</f>
        <v>0</v>
      </c>
      <c r="O107" s="1437">
        <f ca="1">IF(N107&gt;0,CONTADORES!$X105-CONTADORES!$X104,0)</f>
        <v>0</v>
      </c>
      <c r="P107" s="208">
        <f ca="1">IF(B107&gt;=$J$5,0,CONTADORES!$U105-CONTADORES!$U104)</f>
        <v>148</v>
      </c>
      <c r="Q107" s="208">
        <f ca="1">IF(B107&gt;=$J$5,0,CONTADORES!$B105-CONTADORES!$B104)</f>
        <v>0</v>
      </c>
      <c r="R107" s="202">
        <f t="shared" ca="1" si="35"/>
        <v>0</v>
      </c>
      <c r="S107" s="11">
        <f ca="1">IF(B107&gt;=$J$5,0,CONTADORES!$D105-CONTADORES!$D104)</f>
        <v>0</v>
      </c>
      <c r="T107" s="204">
        <f ca="1">IF(B107&gt;=$J$5,0,CONTADORES!$AZ105-CONTADORES!$AZ104)</f>
        <v>0</v>
      </c>
      <c r="U107" s="202">
        <f t="shared" ca="1" si="61"/>
        <v>0</v>
      </c>
      <c r="V107" s="205">
        <f ca="1">IF(B107&gt;=$J$5,0,CONTADORES!$BB105-CONTADORES!$BB104)</f>
        <v>0</v>
      </c>
      <c r="W107" s="1438">
        <f t="shared" ca="1" si="37"/>
        <v>462</v>
      </c>
      <c r="X107" s="1438">
        <f t="shared" ca="1" si="38"/>
        <v>0</v>
      </c>
      <c r="Y107" s="1439">
        <f t="shared" ca="1" si="39"/>
        <v>462</v>
      </c>
      <c r="Z107" s="1439">
        <f t="shared" ca="1" si="40"/>
        <v>8.9441627771189403</v>
      </c>
      <c r="AA107" s="1439">
        <f t="shared" ca="1" si="41"/>
        <v>0</v>
      </c>
      <c r="AB107" s="1439">
        <f t="shared" ca="1" si="42"/>
        <v>48</v>
      </c>
      <c r="AC107" s="1438">
        <f t="shared" ca="1" si="43"/>
        <v>0</v>
      </c>
      <c r="AD107" s="1479">
        <f ca="1">IF(B107&gt;=$J$5,0,CONTADORES!H105-CONTADORES!H104)</f>
        <v>166</v>
      </c>
      <c r="AE107" s="1438">
        <f ca="1">IF(B107&gt;=$J$5,0,CONTADORES!J105-CONTADORES!J104)</f>
        <v>24</v>
      </c>
      <c r="AF107" s="1479">
        <f ca="1">IF(B107&gt;=$J$5,0,CONTADORES!AS105-CONTADORES!AS104)</f>
        <v>154</v>
      </c>
      <c r="AG107" s="1438">
        <f ca="1">IF(B107&gt;=$J$5,0,CONTADORES!AU105-CONTADORES!AU104)</f>
        <v>24</v>
      </c>
      <c r="AH107" s="1438">
        <f ca="1">IF(B107&gt;=$J$5,0,(CONTADORES!AK105-CONTADORES!AK104)+(CONTADORES!K105-CONTADORES!K104))</f>
        <v>12.399999999995998</v>
      </c>
      <c r="AI107" s="1438">
        <f ca="1">IF(B107&gt;=$J$5,0,(CONTADORES!AI105-CONTADORES!AI104)+(CONTADORES!M105-CONTADORES!M104))</f>
        <v>42.30000000000291</v>
      </c>
      <c r="AJ107" s="1438">
        <f ca="1">IF(B107&gt;=$J$5,0,(CONTADORES!AG105-CONTADORES!AG104))</f>
        <v>10</v>
      </c>
      <c r="AK107" s="1438">
        <f ca="1">IF(B107&gt;=$J$5,0,(CONTADORES!O105-CONTADORES!O104))</f>
        <v>14.900000000023283</v>
      </c>
      <c r="AL107" s="1438">
        <f t="shared" ca="1" si="44"/>
        <v>33.799999999979264</v>
      </c>
      <c r="AM107" s="1438">
        <f ca="1">IF(B107&gt;=$J$5,0,(((CONTADORES!F105-CONTADORES!F104)+(CONTADORES!AO105-CONTADORES!AO104))))-BJ107-AF107-AN107-BM107-BP107-BU107-BS107</f>
        <v>9.1009999999980931</v>
      </c>
      <c r="AN107" s="1438">
        <f ca="1">IF(B107&gt;=$J$5,0,(CONTADORES!AV105-CONTADORES!AV104)+(CONTADORES!AX105-CONTADORES!AX104)+(CONTADORES!BC105-CONTADORES!BC104))-BS107</f>
        <v>3.3859999999997275</v>
      </c>
      <c r="AO107" s="1440">
        <f ca="1">IF(B107&gt;=$J$5,0,(CONTADORES!AA105-CONTADORES!AA104))</f>
        <v>164</v>
      </c>
      <c r="AP107" s="1440">
        <f ca="1">IF(B107&gt;=$J$5,0,(CONTADORES!V105-CONTADORES!V104))</f>
        <v>76</v>
      </c>
      <c r="AQ107" s="1445">
        <f ca="1">IF(B107&gt;=$J$5,0,(CONTADORES!C105-CONTADORES!C104))</f>
        <v>0</v>
      </c>
      <c r="AR107" s="1440">
        <f ca="1">IF(B107&gt;=$J$5,0,(CONTADORES!BA105-CONTADORES!BA104))</f>
        <v>0</v>
      </c>
      <c r="AS107" s="1479">
        <f ca="1">IF(B107&gt;=$J$5,0,CONTADORES!Q105-CONTADORES!Q104)</f>
        <v>15.299999999988358</v>
      </c>
      <c r="AT107" s="1479">
        <f ca="1">IF(B107&gt;=$J$5,0,(CONTADORES!S105-CONTADORES!S104)+(CONTADORES!AE105-CONTADORES!AE104))</f>
        <v>2.1999999999970896</v>
      </c>
      <c r="AU107" s="1450">
        <f>CONTADORES!I105-CONTADORES!I104</f>
        <v>85</v>
      </c>
      <c r="AV107" s="1479">
        <f>CONTADORES!AT105-CONTADORES!AT104</f>
        <v>66</v>
      </c>
      <c r="AW107" s="1479">
        <f ca="1">IF(B107&gt;=$J$5,0,(CONTADORES!L105-CONTADORES!L104)+(CONTADORES!AL105-CONTADORES!AL104))</f>
        <v>4.9000000000014552</v>
      </c>
      <c r="AX107" s="1479">
        <f ca="1">IF(B107&gt;=$J$5,0,(CONTADORES!N105-CONTADORES!N104)+(CONTADORES!AJ105-CONTADORES!AJ104))</f>
        <v>34.5</v>
      </c>
      <c r="AY107" s="1479">
        <f ca="1">IF(B107&gt;=$J$5,0,(CONTADORES!AH105-CONTADORES!AH104))</f>
        <v>7.5999999999985448</v>
      </c>
      <c r="AZ107" s="1479">
        <f ca="1">IF(B107&gt;=$J$5,0,(CONTADORES!P105-CONTADORES!P104))</f>
        <v>12.30000000000291</v>
      </c>
      <c r="BA107" s="1450">
        <f t="shared" ca="1" si="45"/>
        <v>12.123999999996897</v>
      </c>
      <c r="BB107" s="1450">
        <f ca="1">IF(B106&gt;=$J$5,0,(((CONTADORES!G105-CONTADORES!G104)+(CONTADORES!AP105-CONTADORES!AP104))))-AV107-BC107-BK107-BN107-BQ107-BV107</f>
        <v>8.6649999999997274</v>
      </c>
      <c r="BC107" s="1479">
        <f ca="1">IF(B107&gt;=$J$5,0,(CONTADORES!AW105-CONTADORES!AW104)+(CONTADORES!AY105-CONTADORES!AY104)+(CONTADORES!BD105-CONTADORES!BD104))-BT107</f>
        <v>1.1240000000000909</v>
      </c>
      <c r="BD107" s="1438">
        <f t="shared" ca="1" si="46"/>
        <v>240</v>
      </c>
      <c r="BE107" s="1439">
        <f ca="1">IF($B107&gt;=$J$5,0,CONTADORES!$BE105)</f>
        <v>6074.88</v>
      </c>
      <c r="BF107" s="1438">
        <f ca="1">IF($B107&gt;=$J$5,0,CONTADORES!$BF105)</f>
        <v>30799.2807017544</v>
      </c>
      <c r="BG107" s="1438">
        <f ca="1">IF($B107&gt;=$J$5,0,CONTADORES!$BH105)</f>
        <v>5754.63</v>
      </c>
      <c r="BH107" s="1438">
        <f ca="1">IF(B107&gt;=$J$5,0,(CONTADORES!AQ105-CONTADORES!AQ104))</f>
        <v>4</v>
      </c>
      <c r="BI107" s="1438">
        <f ca="1">IF(C107&gt;=$J$5,0,(CONTADORES!AR105-CONTADORES!AR104))</f>
        <v>0</v>
      </c>
      <c r="BJ107" s="1450">
        <f ca="1">IF(B107&gt;=$J$5,0,CONTADORES!BI105-CONTADORES!BI104)/1000</f>
        <v>2</v>
      </c>
      <c r="BK107" s="1479">
        <f ca="1">IF(B107&gt;=$J$5,0,CONTADORES!BJ105-CONTADORES!BJ104)</f>
        <v>1</v>
      </c>
      <c r="BL107" s="1479">
        <f ca="1">IF(B107&gt;=$J$5,0,CONTADORES!BK105-CONTADORES!BK104)</f>
        <v>23.599999999998545</v>
      </c>
      <c r="BM107" s="1479">
        <f ca="1">IF(B107&gt;=$J$5,0,CONTADORES!BL105-CONTADORES!BL104)/1000</f>
        <v>0</v>
      </c>
      <c r="BN107" s="1479">
        <f ca="1">IF(B107&gt;=$J$5,0,CONTADORES!BM105-CONTADORES!BM104)/1000</f>
        <v>0</v>
      </c>
      <c r="BO107" s="1479">
        <f ca="1">IF(B107&gt;=$J$5,0,CONTADORES!BN105-CONTADORES!BN104)</f>
        <v>0</v>
      </c>
      <c r="BP107" s="1479">
        <f ca="1">IF(B107&gt;=$J$5,0,CONTADORES!BO105-CONTADORES!BO104)/1000</f>
        <v>4.9989999999999997</v>
      </c>
      <c r="BQ107" s="1479">
        <f ca="1">IF(B107&gt;=$J$5,0,CONTADORES!BP105-CONTADORES!BP104)/1000</f>
        <v>0.91100000000000003</v>
      </c>
      <c r="BR107" s="1479">
        <f ca="1">IF(B107&gt;=$J$5,0,CONTADORES!BQ105-CONTADORES!BQ104)</f>
        <v>24</v>
      </c>
      <c r="BS107" s="1450">
        <f ca="1">IF(B107&gt;=$J$5,0,(CONTADORES!BT105-CONTADORES!BT104)+(CONTADORES!BV105-CONTADORES!BV104))/1000</f>
        <v>1.4139999999999999</v>
      </c>
      <c r="BT107" s="1479">
        <f ca="1">IF(B107&gt;=$J$5,0,(CONTADORES!BU105-CONTADORES!BU104)+(CONTADORES!BW105-CONTADORES!BW104))/1000</f>
        <v>0.77600000000000002</v>
      </c>
      <c r="BU107" s="1450">
        <f ca="1">IF(B107&gt;=$J$5,0,CONTADORES!BR105-CONTADORES!BR104)</f>
        <v>7.7000000000007276</v>
      </c>
      <c r="BV107" s="1479">
        <f ca="1">IF(B107&gt;=$J$5,0,CONTADORES!BS105-CONTADORES!BS104)</f>
        <v>5.1000000000003638</v>
      </c>
      <c r="BW107" s="1479">
        <f t="shared" ca="1" si="47"/>
        <v>12.250499999999775</v>
      </c>
      <c r="BX107" s="1479">
        <f t="shared" ca="1" si="48"/>
        <v>9.4325000000002284</v>
      </c>
      <c r="BY107" s="1479">
        <f t="shared" ca="1" si="49"/>
        <v>4.5504999999990465</v>
      </c>
      <c r="BZ107" s="1479">
        <f t="shared" ca="1" si="50"/>
        <v>1.354399999999891</v>
      </c>
      <c r="CA107" s="1483">
        <f t="shared" ca="1" si="51"/>
        <v>4.5504999999990465</v>
      </c>
      <c r="CB107" s="1479">
        <f t="shared" ca="1" si="52"/>
        <v>2.0315999999998366</v>
      </c>
      <c r="CC107" s="1479">
        <f t="shared" ca="1" si="53"/>
        <v>2.7683999999998909</v>
      </c>
      <c r="CD107" s="1479">
        <f t="shared" ca="1" si="54"/>
        <v>4.3324999999998637</v>
      </c>
      <c r="CE107" s="1479">
        <f ca="1">IF(B107&gt;=$J$5,0,CONTADORES!BS105-CONTADORES!BS104)</f>
        <v>5.1000000000003638</v>
      </c>
      <c r="CF107" s="1479">
        <f t="shared" ca="1" si="55"/>
        <v>4.3324999999998637</v>
      </c>
      <c r="CG107" s="1479">
        <f t="shared" ca="1" si="56"/>
        <v>0.56200000000004546</v>
      </c>
      <c r="CH107" s="1479">
        <f t="shared" ca="1" si="57"/>
        <v>0.56200000000004546</v>
      </c>
      <c r="CI107" s="1479">
        <f t="shared" ca="1" si="58"/>
        <v>1.3380000000000454</v>
      </c>
      <c r="CJ107" s="1480">
        <f ca="1">IF($B107&gt;=$J$5,0,CONTADORES!$BG105)</f>
        <v>9930.7662402141996</v>
      </c>
      <c r="CK107" s="1384">
        <f>CONTADORES!E105</f>
        <v>0</v>
      </c>
      <c r="CL107" s="1384">
        <f>CONTADORES!BX105</f>
        <v>0</v>
      </c>
    </row>
    <row r="108" spans="2:90">
      <c r="B108" s="410">
        <v>45024</v>
      </c>
      <c r="C108" s="204">
        <f t="shared" ca="1" si="33"/>
        <v>308</v>
      </c>
      <c r="D108" s="202">
        <f ca="1">'CALCULO DE GAS'!D113</f>
        <v>5.1161204537844451</v>
      </c>
      <c r="E108" s="202">
        <f ca="1">IF(B108&gt;=$J$5,0,(CONTADORES!$AB106-CONTADORES!$AB105)-$H108)</f>
        <v>24</v>
      </c>
      <c r="F108" s="204">
        <f t="shared" ca="1" si="60"/>
        <v>0</v>
      </c>
      <c r="G108" s="202">
        <f ca="1">IF(B108&gt;=$J$5,0,CONTADORES!$AD106-CONTADORES!$AD105)</f>
        <v>0</v>
      </c>
      <c r="H108" s="1437">
        <f ca="1">IF(G108&gt;0,CONTADORES!$AC106-CONTADORES!$AC105,0)</f>
        <v>0</v>
      </c>
      <c r="I108" s="205">
        <f ca="1">IF(B108&gt;=$J$5,0,CONTADORES!$Z106-CONTADORES!$Z105)</f>
        <v>308</v>
      </c>
      <c r="J108" s="204">
        <f t="shared" ca="1" si="34"/>
        <v>146</v>
      </c>
      <c r="K108" s="202">
        <f ca="1">'CALCULO DE GAS'!E113</f>
        <v>3.7611291737007324</v>
      </c>
      <c r="L108" s="1437">
        <f ca="1">IF(B108&gt;=$J$5,0,(CONTADORES!$W106-CONTADORES!$W105)-$O108)</f>
        <v>24</v>
      </c>
      <c r="M108" s="1437">
        <v>0</v>
      </c>
      <c r="N108" s="1437">
        <f ca="1">IF(B108&gt;=$J$5,0,CONTADORES!$Y106-CONTADORES!$Y105)</f>
        <v>0</v>
      </c>
      <c r="O108" s="1437">
        <f ca="1">IF(N108&gt;0,CONTADORES!$X106-CONTADORES!$X105,0)</f>
        <v>0</v>
      </c>
      <c r="P108" s="208">
        <f ca="1">IF(B108&gt;=$J$5,0,CONTADORES!$U106-CONTADORES!$U105)</f>
        <v>146</v>
      </c>
      <c r="Q108" s="208">
        <f ca="1">IF(B108&gt;=$J$5,0,CONTADORES!$B106-CONTADORES!$B105)</f>
        <v>0</v>
      </c>
      <c r="R108" s="202">
        <f t="shared" ca="1" si="35"/>
        <v>0</v>
      </c>
      <c r="S108" s="11">
        <f ca="1">IF(B108&gt;=$J$5,0,CONTADORES!$D106-CONTADORES!$D105)</f>
        <v>0</v>
      </c>
      <c r="T108" s="204">
        <f ca="1">IF(B108&gt;=$J$5,0,CONTADORES!$AZ106-CONTADORES!$AZ105)</f>
        <v>0</v>
      </c>
      <c r="U108" s="202">
        <f t="shared" ca="1" si="61"/>
        <v>0</v>
      </c>
      <c r="V108" s="205">
        <f ca="1">IF(B108&gt;=$J$5,0,CONTADORES!$BB106-CONTADORES!$BB105)</f>
        <v>0</v>
      </c>
      <c r="W108" s="1438">
        <f t="shared" ca="1" si="37"/>
        <v>454</v>
      </c>
      <c r="X108" s="1438">
        <f t="shared" ca="1" si="38"/>
        <v>0</v>
      </c>
      <c r="Y108" s="1439">
        <f t="shared" ca="1" si="39"/>
        <v>454</v>
      </c>
      <c r="Z108" s="1439">
        <f t="shared" ca="1" si="40"/>
        <v>8.8772496274851775</v>
      </c>
      <c r="AA108" s="1439">
        <f t="shared" ca="1" si="41"/>
        <v>0</v>
      </c>
      <c r="AB108" s="1439">
        <f t="shared" ca="1" si="42"/>
        <v>48</v>
      </c>
      <c r="AC108" s="1438">
        <f t="shared" ca="1" si="43"/>
        <v>0</v>
      </c>
      <c r="AD108" s="1479">
        <f ca="1">IF(B108&gt;=$J$5,0,CONTADORES!H106-CONTADORES!H105)</f>
        <v>162</v>
      </c>
      <c r="AE108" s="1438">
        <f ca="1">IF(B108&gt;=$J$5,0,CONTADORES!J106-CONTADORES!J105)</f>
        <v>24</v>
      </c>
      <c r="AF108" s="1479">
        <f ca="1">IF(B108&gt;=$J$5,0,CONTADORES!AS106-CONTADORES!AS105)</f>
        <v>150</v>
      </c>
      <c r="AG108" s="1438">
        <f ca="1">IF(B108&gt;=$J$5,0,CONTADORES!AU106-CONTADORES!AU105)</f>
        <v>24</v>
      </c>
      <c r="AH108" s="1438">
        <f ca="1">IF(B108&gt;=$J$5,0,(CONTADORES!AK106-CONTADORES!AK105)+(CONTADORES!K106-CONTADORES!K105))</f>
        <v>13.700000000004366</v>
      </c>
      <c r="AI108" s="1438">
        <f ca="1">IF(B108&gt;=$J$5,0,(CONTADORES!AI106-CONTADORES!AI105)+(CONTADORES!M106-CONTADORES!M105))</f>
        <v>41.69999999999709</v>
      </c>
      <c r="AJ108" s="1438">
        <f ca="1">IF(B108&gt;=$J$5,0,(CONTADORES!AG106-CONTADORES!AG105))</f>
        <v>7.3000000000029104</v>
      </c>
      <c r="AK108" s="1438">
        <f ca="1">IF(B108&gt;=$J$5,0,(CONTADORES!O106-CONTADORES!O105))</f>
        <v>14.599999999976717</v>
      </c>
      <c r="AL108" s="1438">
        <f t="shared" ca="1" si="44"/>
        <v>36.600000000016621</v>
      </c>
      <c r="AM108" s="1438">
        <f ca="1">IF(B108&gt;=$J$5,0,(((CONTADORES!F106-CONTADORES!F105)+(CONTADORES!AO106-CONTADORES!AO105))))-BJ108-AF108-AN108-BM108-BP108-BU108-BS108</f>
        <v>8.6800000000018258</v>
      </c>
      <c r="AN108" s="1438">
        <f ca="1">IF(B108&gt;=$J$5,0,(CONTADORES!AV106-CONTADORES!AV105)+(CONTADORES!AX106-CONTADORES!AX105)+(CONTADORES!BC106-CONTADORES!BC105))-BS108</f>
        <v>3.7250000000003638</v>
      </c>
      <c r="AO108" s="1440">
        <f ca="1">IF(B108&gt;=$J$5,0,(CONTADORES!AA106-CONTADORES!AA105))</f>
        <v>156</v>
      </c>
      <c r="AP108" s="1440">
        <f ca="1">IF(B108&gt;=$J$5,0,(CONTADORES!V106-CONTADORES!V105))</f>
        <v>77</v>
      </c>
      <c r="AQ108" s="1445">
        <f ca="1">IF(B108&gt;=$J$5,0,(CONTADORES!C106-CONTADORES!C105))</f>
        <v>0</v>
      </c>
      <c r="AR108" s="1440">
        <f ca="1">IF(B108&gt;=$J$5,0,(CONTADORES!BA106-CONTADORES!BA105))</f>
        <v>0</v>
      </c>
      <c r="AS108" s="1479">
        <f ca="1">IF(B108&gt;=$J$5,0,CONTADORES!Q106-CONTADORES!Q105)</f>
        <v>13.900000000023283</v>
      </c>
      <c r="AT108" s="1479">
        <f ca="1">IF(B108&gt;=$J$5,0,(CONTADORES!S106-CONTADORES!S105)+(CONTADORES!AE106-CONTADORES!AE105))</f>
        <v>2.4000000000014552</v>
      </c>
      <c r="AU108" s="1450">
        <f>CONTADORES!I106-CONTADORES!I105</f>
        <v>82</v>
      </c>
      <c r="AV108" s="1479">
        <f>CONTADORES!AT106-CONTADORES!AT105</f>
        <v>65</v>
      </c>
      <c r="AW108" s="1479">
        <f ca="1">IF(B108&gt;=$J$5,0,(CONTADORES!L106-CONTADORES!L105)+(CONTADORES!AL106-CONTADORES!AL105))</f>
        <v>5.3999999999978172</v>
      </c>
      <c r="AX108" s="1479">
        <f ca="1">IF(B108&gt;=$J$5,0,(CONTADORES!N106-CONTADORES!N105)+(CONTADORES!AJ106-CONTADORES!AJ105))</f>
        <v>33.900000000001455</v>
      </c>
      <c r="AY108" s="1479">
        <f ca="1">IF(B108&gt;=$J$5,0,(CONTADORES!AH106-CONTADORES!AH105))</f>
        <v>5.6999999999970896</v>
      </c>
      <c r="AZ108" s="1479">
        <f ca="1">IF(B108&gt;=$J$5,0,(CONTADORES!P106-CONTADORES!P105))</f>
        <v>11.80000000000291</v>
      </c>
      <c r="BA108" s="1450">
        <f t="shared" ca="1" si="45"/>
        <v>11.448000000000718</v>
      </c>
      <c r="BB108" s="1450">
        <f ca="1">IF(B107&gt;=$J$5,0,(((CONTADORES!G106-CONTADORES!G105)+(CONTADORES!AP106-CONTADORES!AP105))))-AV108-BC108-BK108-BN108-BQ108-BV108</f>
        <v>8.81299999999991</v>
      </c>
      <c r="BC108" s="1479">
        <f ca="1">IF(B108&gt;=$J$5,0,(CONTADORES!AW106-CONTADORES!AW105)+(CONTADORES!AY106-CONTADORES!AY105)+(CONTADORES!BD106-CONTADORES!BD105))-BT108</f>
        <v>1.1480000000000909</v>
      </c>
      <c r="BD108" s="1438">
        <f t="shared" ca="1" si="46"/>
        <v>233</v>
      </c>
      <c r="BE108" s="1439">
        <f ca="1">IF($B108&gt;=$J$5,0,CONTADORES!$BE106)</f>
        <v>5798.71</v>
      </c>
      <c r="BF108" s="1438">
        <f ca="1">IF($B108&gt;=$J$5,0,CONTADORES!$BF106)</f>
        <v>30490.3543859649</v>
      </c>
      <c r="BG108" s="1438">
        <f ca="1">IF($B108&gt;=$J$5,0,CONTADORES!$BH106)</f>
        <v>5635.8</v>
      </c>
      <c r="BH108" s="1438">
        <f ca="1">IF(B108&gt;=$J$5,0,(CONTADORES!AQ106-CONTADORES!AQ105))</f>
        <v>4</v>
      </c>
      <c r="BI108" s="1438">
        <f ca="1">IF(C108&gt;=$J$5,0,(CONTADORES!AR106-CONTADORES!AR105))</f>
        <v>0</v>
      </c>
      <c r="BJ108" s="1450">
        <f ca="1">IF(B108&gt;=$J$5,0,CONTADORES!BI106-CONTADORES!BI105)/1000</f>
        <v>2.1</v>
      </c>
      <c r="BK108" s="1479">
        <f ca="1">IF(B108&gt;=$J$5,0,CONTADORES!BJ106-CONTADORES!BJ105)</f>
        <v>1</v>
      </c>
      <c r="BL108" s="1479">
        <f ca="1">IF(B108&gt;=$J$5,0,CONTADORES!BK106-CONTADORES!BK105)</f>
        <v>24</v>
      </c>
      <c r="BM108" s="1479">
        <f ca="1">IF(B108&gt;=$J$5,0,CONTADORES!BL106-CONTADORES!BL105)/1000</f>
        <v>0</v>
      </c>
      <c r="BN108" s="1479">
        <f ca="1">IF(B108&gt;=$J$5,0,CONTADORES!BM106-CONTADORES!BM105)/1000</f>
        <v>0</v>
      </c>
      <c r="BO108" s="1479">
        <f ca="1">IF(B108&gt;=$J$5,0,CONTADORES!BN106-CONTADORES!BN105)</f>
        <v>0</v>
      </c>
      <c r="BP108" s="1479">
        <f ca="1">IF(B108&gt;=$J$5,0,CONTADORES!BO106-CONTADORES!BO105)/1000</f>
        <v>4.72</v>
      </c>
      <c r="BQ108" s="1479">
        <f ca="1">IF(B108&gt;=$J$5,0,CONTADORES!BP106-CONTADORES!BP105)/1000</f>
        <v>1.0389999999999999</v>
      </c>
      <c r="BR108" s="1479">
        <f ca="1">IF(B108&gt;=$J$5,0,CONTADORES!BQ106-CONTADORES!BQ105)</f>
        <v>24</v>
      </c>
      <c r="BS108" s="1450">
        <f ca="1">IF(B108&gt;=$J$5,0,(CONTADORES!BT106-CONTADORES!BT105)+(CONTADORES!BV106-CONTADORES!BV105))/1000</f>
        <v>1.375</v>
      </c>
      <c r="BT108" s="1479">
        <f ca="1">IF(B108&gt;=$J$5,0,(CONTADORES!BU106-CONTADORES!BU105)+(CONTADORES!BW106-CONTADORES!BW105))/1000</f>
        <v>0.752</v>
      </c>
      <c r="BU108" s="1450">
        <f ca="1">IF(B108&gt;=$J$5,0,CONTADORES!BR106-CONTADORES!BR105)</f>
        <v>7.5</v>
      </c>
      <c r="BV108" s="1479">
        <f ca="1">IF(B108&gt;=$J$5,0,CONTADORES!BS106-CONTADORES!BS105)</f>
        <v>5</v>
      </c>
      <c r="BW108" s="1479">
        <f t="shared" ca="1" si="47"/>
        <v>11.840000000000913</v>
      </c>
      <c r="BX108" s="1479">
        <f t="shared" ca="1" si="48"/>
        <v>9.406499999999955</v>
      </c>
      <c r="BY108" s="1479">
        <f t="shared" ca="1" si="49"/>
        <v>4.3400000000009129</v>
      </c>
      <c r="BZ108" s="1479">
        <f t="shared" ca="1" si="50"/>
        <v>1.4900000000001457</v>
      </c>
      <c r="CA108" s="1479">
        <f t="shared" ca="1" si="51"/>
        <v>4.3400000000009129</v>
      </c>
      <c r="CB108" s="1479">
        <f t="shared" ca="1" si="52"/>
        <v>2.2350000000002179</v>
      </c>
      <c r="CC108" s="1479">
        <f t="shared" ca="1" si="53"/>
        <v>2.8650000000001459</v>
      </c>
      <c r="CD108" s="1479">
        <f t="shared" ca="1" si="54"/>
        <v>4.406499999999955</v>
      </c>
      <c r="CE108" s="1479">
        <f ca="1">IF(B108&gt;=$J$5,0,CONTADORES!BS106-CONTADORES!BS105)</f>
        <v>5</v>
      </c>
      <c r="CF108" s="1479">
        <f t="shared" ca="1" si="55"/>
        <v>4.406499999999955</v>
      </c>
      <c r="CG108" s="1479">
        <f t="shared" ca="1" si="56"/>
        <v>0.57400000000004547</v>
      </c>
      <c r="CH108" s="1479">
        <f t="shared" ca="1" si="57"/>
        <v>0.57400000000004547</v>
      </c>
      <c r="CI108" s="1479">
        <f t="shared" ca="1" si="58"/>
        <v>1.3260000000000454</v>
      </c>
      <c r="CJ108" s="1480">
        <f ca="1">IF($B108&gt;=$J$5,0,CONTADORES!$BG106)</f>
        <v>10363.526500341301</v>
      </c>
      <c r="CK108" s="1384">
        <f>CONTADORES!E106</f>
        <v>0</v>
      </c>
      <c r="CL108" s="1384">
        <f>CONTADORES!BX106</f>
        <v>0</v>
      </c>
    </row>
    <row r="109" spans="2:90" s="1451" customFormat="1">
      <c r="B109" s="410">
        <v>45025</v>
      </c>
      <c r="C109" s="1452">
        <f t="shared" ca="1" si="33"/>
        <v>299</v>
      </c>
      <c r="D109" s="1453">
        <f ca="1">'CALCULO DE GAS'!D114</f>
        <v>5.0408431604464612</v>
      </c>
      <c r="E109" s="1453">
        <f ca="1">IF(B109&gt;=$J$5,0,(CONTADORES!$AB107-CONTADORES!$AB106)-$H109)</f>
        <v>24</v>
      </c>
      <c r="F109" s="1452">
        <f t="shared" ca="1" si="60"/>
        <v>0</v>
      </c>
      <c r="G109" s="1453">
        <f ca="1">IF(B109&gt;=$J$5,0,CONTADORES!$AD107-CONTADORES!$AD106)</f>
        <v>0</v>
      </c>
      <c r="H109" s="1454">
        <f ca="1">IF(G109&gt;0,CONTADORES!$AC107-CONTADORES!$AC106,0)</f>
        <v>0</v>
      </c>
      <c r="I109" s="1455">
        <f ca="1">IF(B109&gt;=$J$5,0,CONTADORES!$Z107-CONTADORES!$Z106)</f>
        <v>299</v>
      </c>
      <c r="J109" s="1452">
        <f t="shared" ca="1" si="34"/>
        <v>149</v>
      </c>
      <c r="K109" s="1453">
        <f ca="1">'CALCULO DE GAS'!E114</f>
        <v>3.7862216048133943</v>
      </c>
      <c r="L109" s="1454">
        <f ca="1">IF(B109&gt;=$J$5,0,(CONTADORES!$W107-CONTADORES!$W106)-$O109)</f>
        <v>24</v>
      </c>
      <c r="M109" s="1454">
        <f t="shared" ref="M109:M140" ca="1" si="62">IF(O109=0,0,"ERROR")</f>
        <v>0</v>
      </c>
      <c r="N109" s="1454">
        <f ca="1">IF(B109&gt;=$J$5,0,CONTADORES!$Y107-CONTADORES!$Y106)</f>
        <v>0</v>
      </c>
      <c r="O109" s="1454">
        <f ca="1">IF(N109&gt;0,CONTADORES!$X107-CONTADORES!$X106,0)</f>
        <v>0</v>
      </c>
      <c r="P109" s="1456">
        <f ca="1">IF(B109&gt;=$J$5,0,CONTADORES!$U107-CONTADORES!$U106)</f>
        <v>149</v>
      </c>
      <c r="Q109" s="1456">
        <f ca="1">IF(B109&gt;=$J$5,0,CONTADORES!$B107-CONTADORES!$B106)</f>
        <v>0</v>
      </c>
      <c r="R109" s="1453">
        <f t="shared" ca="1" si="35"/>
        <v>0</v>
      </c>
      <c r="S109" s="11">
        <f ca="1">IF(B109&gt;=$J$5,0,CONTADORES!$D107-CONTADORES!$D106)</f>
        <v>0</v>
      </c>
      <c r="T109" s="1452">
        <f ca="1">IF(B109&gt;=$J$5,0,CONTADORES!$AZ107-CONTADORES!$AZ106)</f>
        <v>0</v>
      </c>
      <c r="U109" s="1453">
        <f t="shared" ca="1" si="61"/>
        <v>0</v>
      </c>
      <c r="V109" s="1455">
        <f ca="1">IF(B109&gt;=$J$5,0,CONTADORES!$BB107-CONTADORES!$BB106)</f>
        <v>0</v>
      </c>
      <c r="W109" s="1443">
        <f t="shared" ca="1" si="37"/>
        <v>448</v>
      </c>
      <c r="X109" s="1443">
        <f t="shared" ca="1" si="38"/>
        <v>0</v>
      </c>
      <c r="Y109" s="1448">
        <f t="shared" ca="1" si="39"/>
        <v>448</v>
      </c>
      <c r="Z109" s="1448">
        <f t="shared" ca="1" si="40"/>
        <v>8.8270647652598555</v>
      </c>
      <c r="AA109" s="1448">
        <f t="shared" ca="1" si="41"/>
        <v>0</v>
      </c>
      <c r="AB109" s="1448">
        <f t="shared" ca="1" si="42"/>
        <v>48</v>
      </c>
      <c r="AC109" s="1443">
        <f t="shared" ca="1" si="43"/>
        <v>0</v>
      </c>
      <c r="AD109" s="1483">
        <f ca="1">IF(B109&gt;=$J$5,0,CONTADORES!H107-CONTADORES!H106)</f>
        <v>166</v>
      </c>
      <c r="AE109" s="1443">
        <f ca="1">IF(B109&gt;=$J$5,0,CONTADORES!J107-CONTADORES!J106)</f>
        <v>24</v>
      </c>
      <c r="AF109" s="1479">
        <f ca="1">IF(B109&gt;=$J$5,0,CONTADORES!AS107-CONTADORES!AS106)</f>
        <v>149</v>
      </c>
      <c r="AG109" s="1443">
        <f ca="1">IF(B109&gt;=$J$5,0,CONTADORES!AU107-CONTADORES!AU106)</f>
        <v>24</v>
      </c>
      <c r="AH109" s="1443">
        <f ca="1">IF(B109&gt;=$J$5,0,(CONTADORES!AK107-CONTADORES!AK106)+(CONTADORES!K107-CONTADORES!K106))</f>
        <v>12.19999999999709</v>
      </c>
      <c r="AI109" s="1443">
        <f ca="1">IF(B109&gt;=$J$5,0,(CONTADORES!AI107-CONTADORES!AI106)+(CONTADORES!M107-CONTADORES!M106))</f>
        <v>40.400000000001455</v>
      </c>
      <c r="AJ109" s="1443">
        <f ca="1">IF(B109&gt;=$J$5,0,(CONTADORES!AG107-CONTADORES!AG106))</f>
        <v>6.3000000000029104</v>
      </c>
      <c r="AK109" s="1443">
        <f ca="1">IF(B109&gt;=$J$5,0,(CONTADORES!O107-CONTADORES!O106))</f>
        <v>14.5</v>
      </c>
      <c r="AL109" s="1443">
        <f t="shared" ca="1" si="44"/>
        <v>34.299999999999272</v>
      </c>
      <c r="AM109" s="1443">
        <f ca="1">IF(B109&gt;=$J$5,0,(((CONTADORES!F107-CONTADORES!F106)+(CONTADORES!AO107-CONTADORES!AO106))))-BJ109-AF109-AN109-BM109-BP109-BU109-BS109</f>
        <v>5.4280000000011857</v>
      </c>
      <c r="AN109" s="1438">
        <f ca="1">IF(B109&gt;=$J$5,0,(CONTADORES!AV107-CONTADORES!AV106)+(CONTADORES!AX107-CONTADORES!AX106)+(CONTADORES!BC107-CONTADORES!BC106))-BS109</f>
        <v>3.6039999999995476</v>
      </c>
      <c r="AO109" s="1458">
        <f ca="1">IF(B109&gt;=$J$5,0,(CONTADORES!AA107-CONTADORES!AA106))</f>
        <v>152</v>
      </c>
      <c r="AP109" s="1458">
        <f ca="1">IF(B109&gt;=$J$5,0,(CONTADORES!V107-CONTADORES!V106))</f>
        <v>78</v>
      </c>
      <c r="AQ109" s="1459">
        <f ca="1">IF(B109&gt;=$J$5,0,(CONTADORES!C107-CONTADORES!C106))</f>
        <v>0</v>
      </c>
      <c r="AR109" s="1458">
        <f ca="1">IF(B109&gt;=$J$5,0,(CONTADORES!BA107-CONTADORES!BA106))</f>
        <v>0</v>
      </c>
      <c r="AS109" s="1483">
        <f ca="1">IF(B109&gt;=$J$5,0,CONTADORES!Q107-CONTADORES!Q106)</f>
        <v>13.899999999994179</v>
      </c>
      <c r="AT109" s="1483">
        <f ca="1">IF(B109&gt;=$J$5,0,(CONTADORES!S107-CONTADORES!S106)+(CONTADORES!AE107-CONTADORES!AE106))</f>
        <v>2.4000000000014552</v>
      </c>
      <c r="AU109" s="1482">
        <f>CONTADORES!I107-CONTADORES!I106</f>
        <v>84</v>
      </c>
      <c r="AV109" s="1483">
        <f>CONTADORES!AT107-CONTADORES!AT106</f>
        <v>64</v>
      </c>
      <c r="AW109" s="1483">
        <f ca="1">IF(B109&gt;=$J$5,0,(CONTADORES!L107-CONTADORES!L106)+(CONTADORES!AL107-CONTADORES!AL106))</f>
        <v>4.7000000000007276</v>
      </c>
      <c r="AX109" s="1483">
        <f ca="1">IF(B109&gt;=$J$5,0,(CONTADORES!N107-CONTADORES!N106)+(CONTADORES!AJ107-CONTADORES!AJ106))</f>
        <v>32.900000000001455</v>
      </c>
      <c r="AY109" s="1483">
        <f ca="1">IF(B109&gt;=$J$5,0,(CONTADORES!AH107-CONTADORES!AH106))</f>
        <v>4.8000000000029104</v>
      </c>
      <c r="AZ109" s="1483">
        <f ca="1">IF(B109&gt;=$J$5,0,(CONTADORES!P107-CONTADORES!P106))</f>
        <v>11.5</v>
      </c>
      <c r="BA109" s="1450">
        <f t="shared" ca="1" si="45"/>
        <v>11.364999999994751</v>
      </c>
      <c r="BB109" s="1450">
        <f ca="1">IF(B108&gt;=$J$5,0,(((CONTADORES!G107-CONTADORES!G106)+(CONTADORES!AP107-CONTADORES!AP106))))-AV109-BC109-BK109-BN109-BQ109-BV109</f>
        <v>7.7220000000009037</v>
      </c>
      <c r="BC109" s="1479">
        <f ca="1">IF(B109&gt;=$J$5,0,(CONTADORES!AW107-CONTADORES!AW106)+(CONTADORES!AY107-CONTADORES!AY106)+(CONTADORES!BD107-CONTADORES!BD106))-BT109</f>
        <v>1.1149999999996418</v>
      </c>
      <c r="BD109" s="1443">
        <f t="shared" ca="1" si="46"/>
        <v>230</v>
      </c>
      <c r="BE109" s="1448">
        <f ca="1">IF($B109&gt;=$J$5,0,CONTADORES!$BE107)</f>
        <v>5734.93</v>
      </c>
      <c r="BF109" s="1443">
        <f ca="1">IF($B109&gt;=$J$5,0,CONTADORES!$BF107)</f>
        <v>29387.143859649099</v>
      </c>
      <c r="BG109" s="1443">
        <f ca="1">IF($B109&gt;=$J$5,0,CONTADORES!$BH107)</f>
        <v>5437.47</v>
      </c>
      <c r="BH109" s="1443">
        <f ca="1">IF(B109&gt;=$J$5,0,(CONTADORES!AQ107-CONTADORES!AQ106))</f>
        <v>4</v>
      </c>
      <c r="BI109" s="1443">
        <f ca="1">IF(C109&gt;=$J$5,0,(CONTADORES!AR107-CONTADORES!AR106))</f>
        <v>0</v>
      </c>
      <c r="BJ109" s="1450">
        <f ca="1">IF(B109&gt;=$J$5,0,CONTADORES!BI107-CONTADORES!BI106)/1000</f>
        <v>2.1</v>
      </c>
      <c r="BK109" s="1483">
        <f ca="1">IF(B109&gt;=$J$5,0,CONTADORES!BJ107-CONTADORES!BJ106)</f>
        <v>1</v>
      </c>
      <c r="BL109" s="1483">
        <f ca="1">IF(B109&gt;=$J$5,0,CONTADORES!BK107-CONTADORES!BK106)</f>
        <v>24</v>
      </c>
      <c r="BM109" s="1479">
        <f ca="1">IF(B109&gt;=$J$5,0,CONTADORES!BL107-CONTADORES!BL106)/1000</f>
        <v>0</v>
      </c>
      <c r="BN109" s="1483">
        <f ca="1">IF(B109&gt;=$J$5,0,CONTADORES!BM107-CONTADORES!BM106)/1000</f>
        <v>0</v>
      </c>
      <c r="BO109" s="1483">
        <f ca="1">IF(B109&gt;=$J$5,0,CONTADORES!BN107-CONTADORES!BN106)</f>
        <v>0</v>
      </c>
      <c r="BP109" s="1479">
        <f ca="1">IF(B109&gt;=$J$5,0,CONTADORES!BO107-CONTADORES!BO106)/1000</f>
        <v>4.8620000000000001</v>
      </c>
      <c r="BQ109" s="1483">
        <f ca="1">IF(B109&gt;=$J$5,0,CONTADORES!BP107-CONTADORES!BP106)/1000</f>
        <v>1.0629999999999999</v>
      </c>
      <c r="BR109" s="1483">
        <f ca="1">IF(B109&gt;=$J$5,0,CONTADORES!BQ107-CONTADORES!BQ106)</f>
        <v>24</v>
      </c>
      <c r="BS109" s="1450">
        <f ca="1">IF(B109&gt;=$J$5,0,(CONTADORES!BT107-CONTADORES!BT106)+(CONTADORES!BV107-CONTADORES!BV106))/1000</f>
        <v>1.706</v>
      </c>
      <c r="BT109" s="1483">
        <f ca="1">IF(B109&gt;=$J$5,0,(CONTADORES!BU107-CONTADORES!BU106)+(CONTADORES!BW107-CONTADORES!BW106))/1000</f>
        <v>0.93500000000000005</v>
      </c>
      <c r="BU109" s="1450">
        <f ca="1">IF(B109&gt;=$J$5,0,CONTADORES!BR107-CONTADORES!BR106)</f>
        <v>7.5999999999985448</v>
      </c>
      <c r="BV109" s="1483">
        <f ca="1">IF(B109&gt;=$J$5,0,CONTADORES!BS107-CONTADORES!BS106)</f>
        <v>4.8999999999996362</v>
      </c>
      <c r="BW109" s="1483">
        <f t="shared" ca="1" si="47"/>
        <v>10.313999999999137</v>
      </c>
      <c r="BX109" s="1483">
        <f t="shared" ca="1" si="48"/>
        <v>8.7610000000000881</v>
      </c>
      <c r="BY109" s="1483">
        <f t="shared" ca="1" si="49"/>
        <v>2.7140000000005928</v>
      </c>
      <c r="BZ109" s="1483">
        <f t="shared" ca="1" si="50"/>
        <v>1.441599999999819</v>
      </c>
      <c r="CA109" s="1483">
        <f t="shared" ca="1" si="51"/>
        <v>2.7140000000005928</v>
      </c>
      <c r="CB109" s="1483">
        <f t="shared" ca="1" si="52"/>
        <v>2.1623999999997285</v>
      </c>
      <c r="CC109" s="1483">
        <f t="shared" ca="1" si="53"/>
        <v>3.147599999999819</v>
      </c>
      <c r="CD109" s="1483">
        <f t="shared" ca="1" si="54"/>
        <v>3.8610000000004518</v>
      </c>
      <c r="CE109" s="1483">
        <f ca="1">IF(B109&gt;=$J$5,0,CONTADORES!BS107-CONTADORES!BS106)</f>
        <v>4.8999999999996362</v>
      </c>
      <c r="CF109" s="1483">
        <f t="shared" ca="1" si="55"/>
        <v>3.8610000000004518</v>
      </c>
      <c r="CG109" s="1483">
        <f t="shared" ca="1" si="56"/>
        <v>0.55749999999982092</v>
      </c>
      <c r="CH109" s="1483">
        <f t="shared" ca="1" si="57"/>
        <v>0.55749999999982092</v>
      </c>
      <c r="CI109" s="1483">
        <f t="shared" ca="1" si="58"/>
        <v>1.492499999999821</v>
      </c>
      <c r="CJ109" s="1484">
        <f ca="1">IF($B109&gt;=$J$5,0,CONTADORES!$BG107)</f>
        <v>10087.747131124501</v>
      </c>
      <c r="CK109" s="1384">
        <f>CONTADORES!E107</f>
        <v>0</v>
      </c>
      <c r="CL109" s="1384">
        <f>CONTADORES!BX107</f>
        <v>0</v>
      </c>
    </row>
    <row r="110" spans="2:90">
      <c r="B110" s="410">
        <v>45026</v>
      </c>
      <c r="C110" s="204">
        <f t="shared" ca="1" si="33"/>
        <v>303</v>
      </c>
      <c r="D110" s="202">
        <f ca="1">'CALCULO DE GAS'!D115</f>
        <v>5.0742997352633425</v>
      </c>
      <c r="E110" s="202">
        <f ca="1">IF(B110&gt;=$J$5,0,(CONTADORES!$AB108-CONTADORES!$AB107)-$H110)</f>
        <v>24</v>
      </c>
      <c r="F110" s="204">
        <f t="shared" ca="1" si="60"/>
        <v>0</v>
      </c>
      <c r="G110" s="202">
        <f ca="1">IF(B110&gt;=$J$5,0,CONTADORES!$AD108-CONTADORES!$AD107)</f>
        <v>0</v>
      </c>
      <c r="H110" s="1437">
        <f ca="1">IF(G110&gt;0,CONTADORES!$AC108-CONTADORES!$AC107,0)</f>
        <v>0</v>
      </c>
      <c r="I110" s="205">
        <f ca="1">IF(B110&gt;=$J$5,0,CONTADORES!$Z108-CONTADORES!$Z107)</f>
        <v>303</v>
      </c>
      <c r="J110" s="204">
        <f t="shared" ca="1" si="34"/>
        <v>146</v>
      </c>
      <c r="K110" s="202">
        <f ca="1">'CALCULO DE GAS'!E115</f>
        <v>3.7611291737007324</v>
      </c>
      <c r="L110" s="1437">
        <f ca="1">IF(B110&gt;=$J$5,0,(CONTADORES!$W108-CONTADORES!$W107)-$O110)</f>
        <v>24</v>
      </c>
      <c r="M110" s="1437">
        <f t="shared" ca="1" si="62"/>
        <v>0</v>
      </c>
      <c r="N110" s="1437">
        <f ca="1">IF(B110&gt;=$J$5,0,CONTADORES!$Y108-CONTADORES!$Y107)</f>
        <v>0</v>
      </c>
      <c r="O110" s="1437">
        <f ca="1">IF(N110&gt;0,CONTADORES!$X108-CONTADORES!$X107,0)</f>
        <v>0</v>
      </c>
      <c r="P110" s="208">
        <f ca="1">IF(B110&gt;=$J$5,0,CONTADORES!$U108-CONTADORES!$U107)</f>
        <v>146</v>
      </c>
      <c r="Q110" s="208">
        <f ca="1">IF(B110&gt;=$J$5,0,CONTADORES!$B108-CONTADORES!$B107)</f>
        <v>0</v>
      </c>
      <c r="R110" s="202">
        <f t="shared" ca="1" si="35"/>
        <v>0</v>
      </c>
      <c r="S110" s="11">
        <f ca="1">IF(B110&gt;=$J$5,0,CONTADORES!$D108-CONTADORES!$D107)</f>
        <v>0</v>
      </c>
      <c r="T110" s="204">
        <f ca="1">IF(B110&gt;=$J$5,0,CONTADORES!$AZ108-CONTADORES!$AZ107)</f>
        <v>0</v>
      </c>
      <c r="U110" s="202">
        <f t="shared" ca="1" si="61"/>
        <v>0</v>
      </c>
      <c r="V110" s="205">
        <f ca="1">IF(B110&gt;=$J$5,0,CONTADORES!$BB108-CONTADORES!$BB107)</f>
        <v>0</v>
      </c>
      <c r="W110" s="1438">
        <f t="shared" ca="1" si="37"/>
        <v>449</v>
      </c>
      <c r="X110" s="1438">
        <f t="shared" ca="1" si="38"/>
        <v>0</v>
      </c>
      <c r="Y110" s="1439">
        <f t="shared" ca="1" si="39"/>
        <v>449</v>
      </c>
      <c r="Z110" s="1439">
        <f t="shared" ca="1" si="40"/>
        <v>8.8354289089640758</v>
      </c>
      <c r="AA110" s="1439">
        <f t="shared" ca="1" si="41"/>
        <v>0</v>
      </c>
      <c r="AB110" s="1439">
        <f t="shared" ca="1" si="42"/>
        <v>48</v>
      </c>
      <c r="AC110" s="1438">
        <f t="shared" ca="1" si="43"/>
        <v>0</v>
      </c>
      <c r="AD110" s="1479">
        <f ca="1">IF(B110&gt;=$J$5,0,CONTADORES!H108-CONTADORES!H107)</f>
        <v>162</v>
      </c>
      <c r="AE110" s="1438">
        <f ca="1">IF(B110&gt;=$J$5,0,CONTADORES!J108-CONTADORES!J107)</f>
        <v>24</v>
      </c>
      <c r="AF110" s="1479">
        <f ca="1">IF(B110&gt;=$J$5,0,CONTADORES!AS108-CONTADORES!AS107)</f>
        <v>150</v>
      </c>
      <c r="AG110" s="1438">
        <f ca="1">IF(B110&gt;=$J$5,0,CONTADORES!AU108-CONTADORES!AU107)</f>
        <v>24</v>
      </c>
      <c r="AH110" s="1438">
        <f ca="1">IF(B110&gt;=$J$5,0,(CONTADORES!AK108-CONTADORES!AK107)+(CONTADORES!K108-CONTADORES!K107))</f>
        <v>11.200000000004366</v>
      </c>
      <c r="AI110" s="1438">
        <f ca="1">IF(B110&gt;=$J$5,0,(CONTADORES!AI108-CONTADORES!AI107)+(CONTADORES!M108-CONTADORES!M107))</f>
        <v>40.099999999998545</v>
      </c>
      <c r="AJ110" s="1438">
        <f ca="1">IF(B110&gt;=$J$5,0,(CONTADORES!AG108-CONTADORES!AG107))</f>
        <v>7.5999999999912689</v>
      </c>
      <c r="AK110" s="1438">
        <f ca="1">IF(B110&gt;=$J$5,0,(CONTADORES!O108-CONTADORES!O107))</f>
        <v>14.600000000005821</v>
      </c>
      <c r="AL110" s="1438">
        <f t="shared" ca="1" si="44"/>
        <v>33.299999999999216</v>
      </c>
      <c r="AM110" s="1443">
        <f ca="1">IF(B110&gt;=$J$5,0,(((CONTADORES!F108-CONTADORES!F107)+(CONTADORES!AO108-CONTADORES!AO107))))-BJ110-AF110-AN110-BM110-BP110-BU110-BS110</f>
        <v>10.845999999999625</v>
      </c>
      <c r="AN110" s="1438">
        <f ca="1">IF(B110&gt;=$J$5,0,(CONTADORES!AV108-CONTADORES!AV107)+(CONTADORES!AX108-CONTADORES!AX107)+(CONTADORES!BC108-CONTADORES!BC107))-BS110</f>
        <v>3.7180000000003641</v>
      </c>
      <c r="AO110" s="1440">
        <f ca="1">IF(B110&gt;=$J$5,0,(CONTADORES!AA108-CONTADORES!AA107))</f>
        <v>153</v>
      </c>
      <c r="AP110" s="1440">
        <f ca="1">IF(B110&gt;=$J$5,0,(CONTADORES!V108-CONTADORES!V107))</f>
        <v>78</v>
      </c>
      <c r="AQ110" s="1445">
        <f ca="1">IF(B110&gt;=$J$5,0,(CONTADORES!C108-CONTADORES!C107))</f>
        <v>0</v>
      </c>
      <c r="AR110" s="1440">
        <f ca="1">IF(B110&gt;=$J$5,0,(CONTADORES!BA108-CONTADORES!BA107))</f>
        <v>0</v>
      </c>
      <c r="AS110" s="1479">
        <f ca="1">IF(B110&gt;=$J$5,0,CONTADORES!Q108-CONTADORES!Q107)</f>
        <v>14.699999999982538</v>
      </c>
      <c r="AT110" s="1479">
        <f ca="1">IF(B110&gt;=$J$5,0,(CONTADORES!S108-CONTADORES!S107)+(CONTADORES!AE108-CONTADORES!AE107))</f>
        <v>2.5999999999985448</v>
      </c>
      <c r="AU110" s="1450">
        <f>CONTADORES!I108-CONTADORES!I107</f>
        <v>84</v>
      </c>
      <c r="AV110" s="1479">
        <f>CONTADORES!AT108-CONTADORES!AT107</f>
        <v>65</v>
      </c>
      <c r="AW110" s="1479">
        <f ca="1">IF(B110&gt;=$J$5,0,(CONTADORES!L108-CONTADORES!L107)+(CONTADORES!AL108-CONTADORES!AL107))</f>
        <v>4.4000000000014552</v>
      </c>
      <c r="AX110" s="1479">
        <f ca="1">IF(B110&gt;=$J$5,0,(CONTADORES!N108-CONTADORES!N107)+(CONTADORES!AJ108-CONTADORES!AJ107))</f>
        <v>32.5</v>
      </c>
      <c r="AY110" s="1479">
        <f ca="1">IF(B110&gt;=$J$5,0,(CONTADORES!AH108-CONTADORES!AH107))</f>
        <v>5.7999999999956344</v>
      </c>
      <c r="AZ110" s="1479">
        <f ca="1">IF(B110&gt;=$J$5,0,(CONTADORES!P108-CONTADORES!P107))</f>
        <v>11.599999999991269</v>
      </c>
      <c r="BA110" s="1450">
        <f t="shared" ca="1" si="45"/>
        <v>9.5500000000120053</v>
      </c>
      <c r="BB110" s="1450">
        <f ca="1">IF(B109&gt;=$J$5,0,(((CONTADORES!G108-CONTADORES!G107)+(CONTADORES!AP108-CONTADORES!AP107))))-AV110-BC110-BK110-BN110-BQ110-BV110</f>
        <v>9.5009999999998183</v>
      </c>
      <c r="BC110" s="1479">
        <f ca="1">IF(B110&gt;=$J$5,0,(CONTADORES!AW108-CONTADORES!AW107)+(CONTADORES!AY108-CONTADORES!AY107)+(CONTADORES!BD108-CONTADORES!BD107))-BT110</f>
        <v>1.25</v>
      </c>
      <c r="BD110" s="1438">
        <f t="shared" ca="1" si="46"/>
        <v>231</v>
      </c>
      <c r="BE110" s="1439">
        <f ca="1">IF($B110&gt;=$J$5,0,CONTADORES!$BE108)</f>
        <v>6193.27</v>
      </c>
      <c r="BF110" s="1438">
        <f ca="1">IF($B110&gt;=$J$5,0,CONTADORES!$BF108)</f>
        <v>32679.3438596491</v>
      </c>
      <c r="BG110" s="1438">
        <f ca="1">IF($B110&gt;=$J$5,0,CONTADORES!$BH108)</f>
        <v>5864.78</v>
      </c>
      <c r="BH110" s="1438">
        <f ca="1">IF(B110&gt;=$J$5,0,(CONTADORES!AQ108-CONTADORES!AQ107))</f>
        <v>5</v>
      </c>
      <c r="BI110" s="1438">
        <f ca="1">IF(C110&gt;=$J$5,0,(CONTADORES!AR108-CONTADORES!AR107))</f>
        <v>0</v>
      </c>
      <c r="BJ110" s="1450">
        <f ca="1">IF(B110&gt;=$J$5,0,CONTADORES!BI108-CONTADORES!BI107)/1000</f>
        <v>2.2999999999999998</v>
      </c>
      <c r="BK110" s="1479">
        <f ca="1">IF(B110&gt;=$J$5,0,CONTADORES!BJ108-CONTADORES!BJ107)</f>
        <v>1</v>
      </c>
      <c r="BL110" s="1479">
        <f ca="1">IF(B110&gt;=$J$5,0,CONTADORES!BK108-CONTADORES!BK107)</f>
        <v>24</v>
      </c>
      <c r="BM110" s="1479">
        <f ca="1">IF(B110&gt;=$J$5,0,CONTADORES!BL108-CONTADORES!BL107)/1000</f>
        <v>0</v>
      </c>
      <c r="BN110" s="1479">
        <f ca="1">IF(B110&gt;=$J$5,0,CONTADORES!BM108-CONTADORES!BM107)/1000</f>
        <v>0</v>
      </c>
      <c r="BO110" s="1479">
        <f ca="1">IF(B110&gt;=$J$5,0,CONTADORES!BN108-CONTADORES!BN107)</f>
        <v>0</v>
      </c>
      <c r="BP110" s="1479">
        <f ca="1">IF(B110&gt;=$J$5,0,CONTADORES!BO108-CONTADORES!BO107)/1000</f>
        <v>4.7539999999999996</v>
      </c>
      <c r="BQ110" s="1479">
        <f ca="1">IF(B110&gt;=$J$5,0,CONTADORES!BP108-CONTADORES!BP107)/1000</f>
        <v>0.94899999999999995</v>
      </c>
      <c r="BR110" s="1479">
        <f ca="1">IF(B110&gt;=$J$5,0,CONTADORES!BQ108-CONTADORES!BQ107)</f>
        <v>24</v>
      </c>
      <c r="BS110" s="1450">
        <f ca="1">IF(B110&gt;=$J$5,0,(CONTADORES!BT108-CONTADORES!BT107)+(CONTADORES!BV108-CONTADORES!BV107))/1000</f>
        <v>1.3819999999999999</v>
      </c>
      <c r="BT110" s="1479">
        <f ca="1">IF(B110&gt;=$J$5,0,(CONTADORES!BU108-CONTADORES!BU107)+(CONTADORES!BW108-CONTADORES!BW107))/1000</f>
        <v>0.75</v>
      </c>
      <c r="BU110" s="1450">
        <f ca="1">IF(B110&gt;=$J$5,0,CONTADORES!BR108-CONTADORES!BR107)</f>
        <v>7.2000000000007276</v>
      </c>
      <c r="BV110" s="1479">
        <f ca="1">IF(B110&gt;=$J$5,0,CONTADORES!BS108-CONTADORES!BS107)</f>
        <v>4.6999999999998181</v>
      </c>
      <c r="BW110" s="1479">
        <f t="shared" ca="1" si="47"/>
        <v>12.623000000000541</v>
      </c>
      <c r="BX110" s="1479">
        <f t="shared" ca="1" si="48"/>
        <v>9.4504999999997281</v>
      </c>
      <c r="BY110" s="1479">
        <f t="shared" ca="1" si="49"/>
        <v>5.4229999999998126</v>
      </c>
      <c r="BZ110" s="1479">
        <f t="shared" ca="1" si="50"/>
        <v>1.4872000000001457</v>
      </c>
      <c r="CA110" s="1479">
        <f t="shared" ca="1" si="51"/>
        <v>5.4229999999998126</v>
      </c>
      <c r="CB110" s="1479">
        <f t="shared" ca="1" si="52"/>
        <v>2.2308000000002184</v>
      </c>
      <c r="CC110" s="1479">
        <f t="shared" ca="1" si="53"/>
        <v>2.8692000000001459</v>
      </c>
      <c r="CD110" s="1479">
        <f t="shared" ca="1" si="54"/>
        <v>4.7504999999999091</v>
      </c>
      <c r="CE110" s="1479">
        <f ca="1">IF(B110&gt;=$J$5,0,CONTADORES!BS108-CONTADORES!BS107)</f>
        <v>4.6999999999998181</v>
      </c>
      <c r="CF110" s="1479">
        <f t="shared" ca="1" si="55"/>
        <v>4.7504999999999091</v>
      </c>
      <c r="CG110" s="1479">
        <f t="shared" ca="1" si="56"/>
        <v>0.625</v>
      </c>
      <c r="CH110" s="1479">
        <f t="shared" ca="1" si="57"/>
        <v>0.625</v>
      </c>
      <c r="CI110" s="1479">
        <f t="shared" ca="1" si="58"/>
        <v>1.375</v>
      </c>
      <c r="CJ110" s="1480">
        <f ca="1">IF($B110&gt;=$J$5,0,CONTADORES!$BG108)</f>
        <v>5600.5547354546597</v>
      </c>
      <c r="CK110" s="1384">
        <f>CONTADORES!E108</f>
        <v>0</v>
      </c>
      <c r="CL110" s="1384">
        <f>CONTADORES!BX108</f>
        <v>0</v>
      </c>
    </row>
    <row r="111" spans="2:90">
      <c r="B111" s="410">
        <v>45027</v>
      </c>
      <c r="C111" s="204">
        <f t="shared" ca="1" si="33"/>
        <v>296</v>
      </c>
      <c r="D111" s="202">
        <f ca="1">'CALCULO DE GAS'!D116</f>
        <v>5.0157507293337993</v>
      </c>
      <c r="E111" s="202">
        <f ca="1">IF(B111&gt;=$J$5,0,(CONTADORES!$AB109-CONTADORES!$AB108)-$H111)</f>
        <v>24</v>
      </c>
      <c r="F111" s="204">
        <f t="shared" ca="1" si="60"/>
        <v>0</v>
      </c>
      <c r="G111" s="202">
        <f ca="1">IF(B111&gt;=$J$5,0,CONTADORES!$AD109-CONTADORES!$AD108)</f>
        <v>0</v>
      </c>
      <c r="H111" s="1437">
        <f ca="1">IF(G111&gt;0,CONTADORES!$AC109-CONTADORES!$AC108,0)</f>
        <v>0</v>
      </c>
      <c r="I111" s="205">
        <f ca="1">IF(B111&gt;=$J$5,0,CONTADORES!$Z109-CONTADORES!$Z108)</f>
        <v>296</v>
      </c>
      <c r="J111" s="204">
        <f t="shared" ca="1" si="34"/>
        <v>149</v>
      </c>
      <c r="K111" s="202">
        <f ca="1">'CALCULO DE GAS'!E116</f>
        <v>3.7862216048133943</v>
      </c>
      <c r="L111" s="1437">
        <f ca="1">IF(B111&gt;=$J$5,0,(CONTADORES!$W109-CONTADORES!$W108)-$O111)</f>
        <v>24</v>
      </c>
      <c r="M111" s="1437">
        <f t="shared" ca="1" si="62"/>
        <v>0</v>
      </c>
      <c r="N111" s="1437">
        <f ca="1">IF(B111&gt;=$J$5,0,CONTADORES!$Y109-CONTADORES!$Y108)</f>
        <v>0</v>
      </c>
      <c r="O111" s="1437">
        <f ca="1">IF(N111&gt;0,CONTADORES!$X109-CONTADORES!$X108,0)</f>
        <v>0</v>
      </c>
      <c r="P111" s="208">
        <f ca="1">IF(B111&gt;=$J$5,0,CONTADORES!$U109-CONTADORES!$U108)</f>
        <v>149</v>
      </c>
      <c r="Q111" s="208">
        <f ca="1">IF(B111&gt;=$J$5,0,CONTADORES!$B109-CONTADORES!$B108)</f>
        <v>0.32999999999992724</v>
      </c>
      <c r="R111" s="202">
        <f t="shared" ca="1" si="35"/>
        <v>39.599999999991269</v>
      </c>
      <c r="S111" s="11">
        <f ca="1">IF(B111&gt;=$J$5,0,CONTADORES!$D109-CONTADORES!$D108)</f>
        <v>0.6000000000003638</v>
      </c>
      <c r="T111" s="204">
        <f ca="1">IF(B111&gt;=$J$5,0,CONTADORES!$AZ109-CONTADORES!$AZ108)</f>
        <v>0.40300000000002001</v>
      </c>
      <c r="U111" s="202">
        <f t="shared" ca="1" si="61"/>
        <v>48.360000000002401</v>
      </c>
      <c r="V111" s="205">
        <f ca="1">IF(B111&gt;=$J$5,0,CONTADORES!$BB109-CONTADORES!$BB108)</f>
        <v>0.60000000000013642</v>
      </c>
      <c r="W111" s="1438">
        <f t="shared" ca="1" si="37"/>
        <v>445</v>
      </c>
      <c r="X111" s="1438">
        <f t="shared" ca="1" si="38"/>
        <v>0.73299999999994725</v>
      </c>
      <c r="Y111" s="1439">
        <f t="shared" ca="1" si="39"/>
        <v>445.73299999999995</v>
      </c>
      <c r="Z111" s="1439">
        <f t="shared" ca="1" si="40"/>
        <v>8.8019723341471945</v>
      </c>
      <c r="AA111" s="1439">
        <f t="shared" ca="1" si="41"/>
        <v>87.95999999999367</v>
      </c>
      <c r="AB111" s="1439">
        <f t="shared" ca="1" si="42"/>
        <v>48</v>
      </c>
      <c r="AC111" s="1438">
        <f t="shared" ca="1" si="43"/>
        <v>1.2000000000005002</v>
      </c>
      <c r="AD111" s="1479">
        <f ca="1">IF(B111&gt;=$J$5,0,CONTADORES!H109-CONTADORES!H108)</f>
        <v>163</v>
      </c>
      <c r="AE111" s="1438">
        <f ca="1">IF(B111&gt;=$J$5,0,CONTADORES!J109-CONTADORES!J108)</f>
        <v>24</v>
      </c>
      <c r="AF111" s="1479">
        <f ca="1">IF(B111&gt;=$J$5,0,CONTADORES!AS109-CONTADORES!AS108)</f>
        <v>152</v>
      </c>
      <c r="AG111" s="1438">
        <f ca="1">IF(B111&gt;=$J$5,0,CONTADORES!AU109-CONTADORES!AU108)</f>
        <v>24</v>
      </c>
      <c r="AH111" s="1438">
        <f ca="1">IF(B111&gt;=$J$5,0,(CONTADORES!AK109-CONTADORES!AK108)+(CONTADORES!K109-CONTADORES!K108))</f>
        <v>8.0999999999985448</v>
      </c>
      <c r="AI111" s="1438">
        <f ca="1">IF(B111&gt;=$J$5,0,(CONTADORES!AI109-CONTADORES!AI108)+(CONTADORES!M109-CONTADORES!M108))</f>
        <v>40.30000000000291</v>
      </c>
      <c r="AJ111" s="1438">
        <f ca="1">IF(B111&gt;=$J$5,0,(CONTADORES!AG109-CONTADORES!AG108))</f>
        <v>5.6000000000058208</v>
      </c>
      <c r="AK111" s="1438">
        <f ca="1">IF(B111&gt;=$J$5,0,(CONTADORES!O109-CONTADORES!O108))</f>
        <v>14.200000000011642</v>
      </c>
      <c r="AL111" s="1438">
        <f t="shared" ca="1" si="44"/>
        <v>34.232999999981757</v>
      </c>
      <c r="AM111" s="1438">
        <f ca="1">IF(B111&gt;=$J$5,0,(((CONTADORES!F109-CONTADORES!F108)+(CONTADORES!AO109-CONTADORES!AO108))))-BJ111-AF111-AN111-BM111-BP111-BU111-BS111</f>
        <v>8.6980000000002935</v>
      </c>
      <c r="AN111" s="1438">
        <f ca="1">IF(B111&gt;=$J$5,0,(CONTADORES!AV109-CONTADORES!AV108)+(CONTADORES!AX109-CONTADORES!AX108)+(CONTADORES!BC109-CONTADORES!BC108))-BS111</f>
        <v>3.9379999999997191</v>
      </c>
      <c r="AO111" s="1440">
        <f ca="1">IF(B111&gt;=$J$5,0,(CONTADORES!AA109-CONTADORES!AA108))</f>
        <v>152</v>
      </c>
      <c r="AP111" s="1440">
        <f ca="1">IF(B111&gt;=$J$5,0,(CONTADORES!V109-CONTADORES!V108))</f>
        <v>76</v>
      </c>
      <c r="AQ111" s="1445">
        <f ca="1">IF(B111&gt;=$J$5,0,(CONTADORES!C109-CONTADORES!C108))</f>
        <v>0.16800000000000637</v>
      </c>
      <c r="AR111" s="1440">
        <f ca="1">IF(B111&gt;=$J$5,0,(CONTADORES!BA109-CONTADORES!BA108))</f>
        <v>0.15300000000002001</v>
      </c>
      <c r="AS111" s="1479">
        <f ca="1">IF(B111&gt;=$J$5,0,CONTADORES!Q109-CONTADORES!Q108)</f>
        <v>14.800000000017462</v>
      </c>
      <c r="AT111" s="1479">
        <f ca="1">IF(B111&gt;=$J$5,0,(CONTADORES!S109-CONTADORES!S108)+(CONTADORES!AE109-CONTADORES!AE108))</f>
        <v>2.5</v>
      </c>
      <c r="AU111" s="1450">
        <f>CONTADORES!I109-CONTADORES!I108</f>
        <v>83</v>
      </c>
      <c r="AV111" s="1479">
        <f>CONTADORES!AT109-CONTADORES!AT108</f>
        <v>66</v>
      </c>
      <c r="AW111" s="1479">
        <f ca="1">IF(B111&gt;=$J$5,0,(CONTADORES!L109-CONTADORES!L108)+(CONTADORES!AL109-CONTADORES!AL108))</f>
        <v>3.0999999999985448</v>
      </c>
      <c r="AX111" s="1479">
        <f ca="1">IF(B111&gt;=$J$5,0,(CONTADORES!N109-CONTADORES!N108)+(CONTADORES!AJ109-CONTADORES!AJ108))</f>
        <v>32.5</v>
      </c>
      <c r="AY111" s="1479">
        <f ca="1">IF(B111&gt;=$J$5,0,(CONTADORES!AH109-CONTADORES!AH108))</f>
        <v>4.3000000000029104</v>
      </c>
      <c r="AZ111" s="1479">
        <f ca="1">IF(B111&gt;=$J$5,0,(CONTADORES!P109-CONTADORES!P108))</f>
        <v>11.5</v>
      </c>
      <c r="BA111" s="1450">
        <f t="shared" ca="1" si="45"/>
        <v>11.031999999998192</v>
      </c>
      <c r="BB111" s="1450">
        <f ca="1">IF(B110&gt;=$J$5,0,(((CONTADORES!G109-CONTADORES!G108)+(CONTADORES!AP109-CONTADORES!AP108))))-AV111-BC111-BK111-BN111-BQ111-BV111</f>
        <v>8.4390000000001706</v>
      </c>
      <c r="BC111" s="1479">
        <f ca="1">IF(B111&gt;=$J$5,0,(CONTADORES!AW109-CONTADORES!AW108)+(CONTADORES!AY109-CONTADORES!AY108)+(CONTADORES!BD109-CONTADORES!BD108))-BT111</f>
        <v>1.2310000000000101</v>
      </c>
      <c r="BD111" s="1438">
        <f t="shared" ca="1" si="46"/>
        <v>228.32100000000003</v>
      </c>
      <c r="BE111" s="1439">
        <f ca="1">IF($B111&gt;=$J$5,0,CONTADORES!$BE109)</f>
        <v>5678.48</v>
      </c>
      <c r="BF111" s="1438">
        <f ca="1">IF($B111&gt;=$J$5,0,CONTADORES!$BF109)</f>
        <v>32058.159649122801</v>
      </c>
      <c r="BG111" s="1438">
        <f ca="1">IF($B111&gt;=$J$5,0,CONTADORES!$BH109)</f>
        <v>5245.77</v>
      </c>
      <c r="BH111" s="1438">
        <f ca="1">IF(B111&gt;=$J$5,0,(CONTADORES!AQ109-CONTADORES!AQ108))</f>
        <v>5</v>
      </c>
      <c r="BI111" s="1438">
        <f ca="1">IF(C111&gt;=$J$5,0,(CONTADORES!AR109-CONTADORES!AR108))</f>
        <v>0</v>
      </c>
      <c r="BJ111" s="1450">
        <f ca="1">IF(B111&gt;=$J$5,0,CONTADORES!BI109-CONTADORES!BI108)/1000</f>
        <v>2.2000000000000002</v>
      </c>
      <c r="BK111" s="1479">
        <f ca="1">IF(B111&gt;=$J$5,0,CONTADORES!BJ109-CONTADORES!BJ108)</f>
        <v>1</v>
      </c>
      <c r="BL111" s="1479">
        <f ca="1">IF(B111&gt;=$J$5,0,CONTADORES!BK109-CONTADORES!BK108)</f>
        <v>24</v>
      </c>
      <c r="BM111" s="1479">
        <f ca="1">IF(B111&gt;=$J$5,0,CONTADORES!BL109-CONTADORES!BL108)/1000</f>
        <v>0</v>
      </c>
      <c r="BN111" s="1479">
        <f ca="1">IF(B111&gt;=$J$5,0,CONTADORES!BM109-CONTADORES!BM108)/1000</f>
        <v>0</v>
      </c>
      <c r="BO111" s="1479">
        <f ca="1">IF(B111&gt;=$J$5,0,CONTADORES!BN109-CONTADORES!BN108)</f>
        <v>0</v>
      </c>
      <c r="BP111" s="1479">
        <f ca="1">IF(B111&gt;=$J$5,0,CONTADORES!BO109-CONTADORES!BO108)/1000</f>
        <v>4.7619999999999996</v>
      </c>
      <c r="BQ111" s="1479">
        <f ca="1">IF(B111&gt;=$J$5,0,CONTADORES!BP109-CONTADORES!BP108)/1000</f>
        <v>0.63</v>
      </c>
      <c r="BR111" s="1479">
        <f ca="1">IF(B111&gt;=$J$5,0,CONTADORES!BQ109-CONTADORES!BQ108)</f>
        <v>24</v>
      </c>
      <c r="BS111" s="1450">
        <f ca="1">IF(B111&gt;=$J$5,0,(CONTADORES!BT109-CONTADORES!BT108)+(CONTADORES!BV109-CONTADORES!BV108))/1000</f>
        <v>1.4019999999999999</v>
      </c>
      <c r="BT111" s="1479">
        <f ca="1">IF(B111&gt;=$J$5,0,(CONTADORES!BU109-CONTADORES!BU108)+(CONTADORES!BW109-CONTADORES!BW108))/1000</f>
        <v>0.78900000000000003</v>
      </c>
      <c r="BU111" s="1450">
        <f ca="1">IF(B111&gt;=$J$5,0,CONTADORES!BR109-CONTADORES!BR108)</f>
        <v>7.2999999999992724</v>
      </c>
      <c r="BV111" s="1479">
        <f ca="1">IF(B111&gt;=$J$5,0,CONTADORES!BS109-CONTADORES!BS108)</f>
        <v>4.8000000000001819</v>
      </c>
      <c r="BW111" s="1479">
        <f t="shared" ca="1" si="47"/>
        <v>11.648999999999418</v>
      </c>
      <c r="BX111" s="1479">
        <f t="shared" ca="1" si="48"/>
        <v>9.0195000000002672</v>
      </c>
      <c r="BY111" s="1479">
        <f t="shared" ca="1" si="49"/>
        <v>4.3490000000001467</v>
      </c>
      <c r="BZ111" s="1479">
        <f t="shared" ca="1" si="50"/>
        <v>1.5751999999998878</v>
      </c>
      <c r="CA111" s="1479">
        <f t="shared" ca="1" si="51"/>
        <v>4.3490000000001467</v>
      </c>
      <c r="CB111" s="1479">
        <f t="shared" ca="1" si="52"/>
        <v>2.3627999999998313</v>
      </c>
      <c r="CC111" s="1479">
        <f t="shared" ca="1" si="53"/>
        <v>2.9771999999998879</v>
      </c>
      <c r="CD111" s="1479">
        <f t="shared" ca="1" si="54"/>
        <v>4.2195000000000853</v>
      </c>
      <c r="CE111" s="1479">
        <f ca="1">IF(B111&gt;=$J$5,0,CONTADORES!BS109-CONTADORES!BS108)</f>
        <v>4.8000000000001819</v>
      </c>
      <c r="CF111" s="1479">
        <f t="shared" ca="1" si="55"/>
        <v>4.2195000000000853</v>
      </c>
      <c r="CG111" s="1479">
        <f t="shared" ca="1" si="56"/>
        <v>0.61550000000000504</v>
      </c>
      <c r="CH111" s="1479">
        <f t="shared" ca="1" si="57"/>
        <v>0.61550000000000504</v>
      </c>
      <c r="CI111" s="1479">
        <f t="shared" ca="1" si="58"/>
        <v>1.404500000000005</v>
      </c>
      <c r="CJ111" s="1480">
        <f ca="1">IF($B111&gt;=$J$5,0,CONTADORES!$BG109)</f>
        <v>7377.2743725119899</v>
      </c>
      <c r="CK111" s="1384">
        <f>CONTADORES!E109</f>
        <v>0.6</v>
      </c>
      <c r="CL111" s="1384">
        <f>CONTADORES!BX109</f>
        <v>0.5</v>
      </c>
    </row>
    <row r="112" spans="2:90">
      <c r="B112" s="410">
        <v>45028</v>
      </c>
      <c r="C112" s="204">
        <f t="shared" ca="1" si="33"/>
        <v>292</v>
      </c>
      <c r="D112" s="202">
        <f ca="1">'CALCULO DE GAS'!D117</f>
        <v>4.9822941545169179</v>
      </c>
      <c r="E112" s="202">
        <f ca="1">IF(B112&gt;=$J$5,0,(CONTADORES!$AB110-CONTADORES!$AB109)-$H112)</f>
        <v>24</v>
      </c>
      <c r="F112" s="204">
        <f t="shared" ca="1" si="60"/>
        <v>0</v>
      </c>
      <c r="G112" s="202">
        <f ca="1">IF(B112&gt;=$J$5,0,CONTADORES!$AD110-CONTADORES!$AD109)</f>
        <v>0</v>
      </c>
      <c r="H112" s="1437">
        <f ca="1">IF(G112&gt;0,CONTADORES!$AC110-CONTADORES!$AC109,0)</f>
        <v>0</v>
      </c>
      <c r="I112" s="205">
        <f ca="1">IF(B112&gt;=$J$5,0,CONTADORES!$Z110-CONTADORES!$Z109)</f>
        <v>292</v>
      </c>
      <c r="J112" s="204">
        <f t="shared" ca="1" si="34"/>
        <v>148</v>
      </c>
      <c r="K112" s="202">
        <f ca="1">'CALCULO DE GAS'!E117</f>
        <v>3.777857461109174</v>
      </c>
      <c r="L112" s="1437">
        <f ca="1">IF(B112&gt;=$J$5,0,(CONTADORES!$W110-CONTADORES!$W109)-$O112)</f>
        <v>24</v>
      </c>
      <c r="M112" s="1437">
        <f t="shared" ca="1" si="62"/>
        <v>0</v>
      </c>
      <c r="N112" s="1437">
        <f ca="1">IF(B112&gt;=$J$5,0,CONTADORES!$Y110-CONTADORES!$Y109)</f>
        <v>0</v>
      </c>
      <c r="O112" s="1437">
        <f ca="1">IF(N112&gt;0,CONTADORES!$X110-CONTADORES!$X109,0)</f>
        <v>0</v>
      </c>
      <c r="P112" s="208">
        <f ca="1">IF(B112&gt;=$J$5,0,CONTADORES!$U110-CONTADORES!$U109)</f>
        <v>148</v>
      </c>
      <c r="Q112" s="208">
        <f ca="1">IF(B112&gt;=$J$5,0,CONTADORES!$B110-CONTADORES!$B109)</f>
        <v>0</v>
      </c>
      <c r="R112" s="202">
        <f t="shared" ca="1" si="35"/>
        <v>0</v>
      </c>
      <c r="S112" s="11">
        <f ca="1">IF(B112&gt;=$J$5,0,CONTADORES!$D110-CONTADORES!$D109)</f>
        <v>0</v>
      </c>
      <c r="T112" s="204">
        <f ca="1">IF(B112&gt;=$J$5,0,CONTADORES!$AZ110-CONTADORES!$AZ109)</f>
        <v>0</v>
      </c>
      <c r="U112" s="202">
        <f t="shared" ca="1" si="61"/>
        <v>0</v>
      </c>
      <c r="V112" s="205">
        <f ca="1">IF(B112&gt;=$J$5,0,CONTADORES!$BB110-CONTADORES!$BB109)</f>
        <v>0</v>
      </c>
      <c r="W112" s="1438">
        <f t="shared" ca="1" si="37"/>
        <v>440</v>
      </c>
      <c r="X112" s="1438">
        <f t="shared" ca="1" si="38"/>
        <v>0</v>
      </c>
      <c r="Y112" s="1439">
        <f t="shared" ca="1" si="39"/>
        <v>440</v>
      </c>
      <c r="Z112" s="1439">
        <f t="shared" ca="1" si="40"/>
        <v>8.7601516156260928</v>
      </c>
      <c r="AA112" s="1439">
        <f t="shared" ca="1" si="41"/>
        <v>0</v>
      </c>
      <c r="AB112" s="1439">
        <f t="shared" ca="1" si="42"/>
        <v>48</v>
      </c>
      <c r="AC112" s="1438">
        <f t="shared" ca="1" si="43"/>
        <v>0</v>
      </c>
      <c r="AD112" s="1479">
        <f ca="1">IF(B112&gt;=$J$5,0,CONTADORES!H110-CONTADORES!H109)</f>
        <v>162</v>
      </c>
      <c r="AE112" s="1438">
        <f ca="1">IF(B112&gt;=$J$5,0,CONTADORES!J110-CONTADORES!J109)</f>
        <v>24</v>
      </c>
      <c r="AF112" s="1479">
        <f ca="1">IF(B112&gt;=$J$5,0,CONTADORES!AS110-CONTADORES!AS109)</f>
        <v>150</v>
      </c>
      <c r="AG112" s="1438">
        <f ca="1">IF(B112&gt;=$J$5,0,CONTADORES!AU110-CONTADORES!AU109)</f>
        <v>24</v>
      </c>
      <c r="AH112" s="1438">
        <f ca="1">IF(B112&gt;=$J$5,0,(CONTADORES!AK110-CONTADORES!AK109)+(CONTADORES!K110-CONTADORES!K109))</f>
        <v>9.9000000000014552</v>
      </c>
      <c r="AI112" s="1438">
        <f ca="1">IF(B112&gt;=$J$5,0,(CONTADORES!AI110-CONTADORES!AI109)+(CONTADORES!M110-CONTADORES!M109))</f>
        <v>38.400000000001455</v>
      </c>
      <c r="AJ112" s="1438">
        <f ca="1">IF(B112&gt;=$J$5,0,(CONTADORES!AG110-CONTADORES!AG109))</f>
        <v>5.6999999999970896</v>
      </c>
      <c r="AK112" s="1438">
        <f ca="1">IF(B112&gt;=$J$5,0,(CONTADORES!O110-CONTADORES!O109))</f>
        <v>14.199999999982538</v>
      </c>
      <c r="AL112" s="1438">
        <f t="shared" ca="1" si="44"/>
        <v>33.400000000016007</v>
      </c>
      <c r="AM112" s="1438">
        <f ca="1">IF(B112&gt;=$J$5,0,(((CONTADORES!F110-CONTADORES!F109)+(CONTADORES!AO110-CONTADORES!AO109))))-BJ112-AF112-AN112-BM112-BP112-BU112-BS112</f>
        <v>7.67900000000009</v>
      </c>
      <c r="AN112" s="1438">
        <f ca="1">IF(B112&gt;=$J$5,0,(CONTADORES!AV110-CONTADORES!AV109)+(CONTADORES!AX110-CONTADORES!AX109)+(CONTADORES!BC110-CONTADORES!BC109))-BS112</f>
        <v>3.8790000000006364</v>
      </c>
      <c r="AO112" s="1440">
        <f ca="1">IF(B112&gt;=$J$5,0,(CONTADORES!AA110-CONTADORES!AA109))</f>
        <v>150</v>
      </c>
      <c r="AP112" s="1440">
        <f ca="1">IF(B112&gt;=$J$5,0,(CONTADORES!V110-CONTADORES!V109))</f>
        <v>77</v>
      </c>
      <c r="AQ112" s="1445">
        <f ca="1">IF(B112&gt;=$J$5,0,(CONTADORES!C110-CONTADORES!C109))</f>
        <v>0</v>
      </c>
      <c r="AR112" s="1440">
        <f ca="1">IF(B112&gt;=$J$5,0,(CONTADORES!BA110-CONTADORES!BA109))</f>
        <v>0</v>
      </c>
      <c r="AS112" s="1479">
        <f ca="1">IF(B112&gt;=$J$5,0,CONTADORES!Q110-CONTADORES!Q109)</f>
        <v>15</v>
      </c>
      <c r="AT112" s="1479">
        <f ca="1">IF(B112&gt;=$J$5,0,(CONTADORES!S110-CONTADORES!S109)+(CONTADORES!AE110-CONTADORES!AE109))</f>
        <v>2.5</v>
      </c>
      <c r="AU112" s="1450">
        <f>CONTADORES!I110-CONTADORES!I109</f>
        <v>84</v>
      </c>
      <c r="AV112" s="1479">
        <f>CONTADORES!AT110-CONTADORES!AT109</f>
        <v>64</v>
      </c>
      <c r="AW112" s="1479">
        <f ca="1">IF(B112&gt;=$J$5,0,(CONTADORES!L110-CONTADORES!L109)+(CONTADORES!AL110-CONTADORES!AL109))</f>
        <v>3.6000000000021828</v>
      </c>
      <c r="AX112" s="1479">
        <f ca="1">IF(B112&gt;=$J$5,0,(CONTADORES!N110-CONTADORES!N109)+(CONTADORES!AJ110-CONTADORES!AJ109))</f>
        <v>31.099999999998545</v>
      </c>
      <c r="AY112" s="1479">
        <f ca="1">IF(B112&gt;=$J$5,0,(CONTADORES!AH110-CONTADORES!AH109))</f>
        <v>4.4000000000014552</v>
      </c>
      <c r="AZ112" s="1479">
        <f ca="1">IF(B112&gt;=$J$5,0,(CONTADORES!P110-CONTADORES!P109))</f>
        <v>11.30000000000291</v>
      </c>
      <c r="BA112" s="1450">
        <f t="shared" ca="1" si="45"/>
        <v>11.916999999995255</v>
      </c>
      <c r="BB112" s="1450">
        <f ca="1">IF(B111&gt;=$J$5,0,(((CONTADORES!G110-CONTADORES!G109)+(CONTADORES!AP110-CONTADORES!AP109))))-AV112-BC112-BK112-BN112-BQ112-BV112</f>
        <v>8.5569999999999986</v>
      </c>
      <c r="BC112" s="1479">
        <f ca="1">IF(B112&gt;=$J$5,0,(CONTADORES!AW110-CONTADORES!AW109)+(CONTADORES!AY110-CONTADORES!AY109)+(CONTADORES!BD110-CONTADORES!BD109))-BT112</f>
        <v>1.2170000000000001</v>
      </c>
      <c r="BD112" s="1438">
        <f t="shared" ca="1" si="46"/>
        <v>227</v>
      </c>
      <c r="BE112" s="1439">
        <f ca="1">IF($B112&gt;=$J$5,0,CONTADORES!$BE110)</f>
        <v>6036.13</v>
      </c>
      <c r="BF112" s="1438">
        <f ca="1">IF($B112&gt;=$J$5,0,CONTADORES!$BF110)</f>
        <v>33018.115789473697</v>
      </c>
      <c r="BG112" s="1438">
        <f ca="1">IF($B112&gt;=$J$5,0,CONTADORES!$BH110)</f>
        <v>5409.52</v>
      </c>
      <c r="BH112" s="1438">
        <f ca="1">IF(B112&gt;=$J$5,0,(CONTADORES!AQ110-CONTADORES!AQ109))</f>
        <v>4</v>
      </c>
      <c r="BI112" s="1438">
        <f ca="1">IF(C112&gt;=$J$5,0,(CONTADORES!AR110-CONTADORES!AR109))</f>
        <v>0</v>
      </c>
      <c r="BJ112" s="1450">
        <f ca="1">IF(B112&gt;=$J$5,0,CONTADORES!BI110-CONTADORES!BI109)/1000</f>
        <v>2</v>
      </c>
      <c r="BK112" s="1479">
        <f ca="1">IF(B112&gt;=$J$5,0,CONTADORES!BJ110-CONTADORES!BJ109)</f>
        <v>1</v>
      </c>
      <c r="BL112" s="1479">
        <f ca="1">IF(B112&gt;=$J$5,0,CONTADORES!BK110-CONTADORES!BK109)</f>
        <v>24</v>
      </c>
      <c r="BM112" s="1479">
        <f ca="1">IF(B112&gt;=$J$5,0,CONTADORES!BL110-CONTADORES!BL109)/1000</f>
        <v>0</v>
      </c>
      <c r="BN112" s="1479">
        <f ca="1">IF(B112&gt;=$J$5,0,CONTADORES!BM110-CONTADORES!BM109)/1000</f>
        <v>0</v>
      </c>
      <c r="BO112" s="1479">
        <f ca="1">IF(B112&gt;=$J$5,0,CONTADORES!BN110-CONTADORES!BN109)</f>
        <v>0</v>
      </c>
      <c r="BP112" s="1479">
        <f ca="1">IF(B112&gt;=$J$5,0,CONTADORES!BO110-CONTADORES!BO109)/1000</f>
        <v>4.7210000000000001</v>
      </c>
      <c r="BQ112" s="1479">
        <f ca="1">IF(B112&gt;=$J$5,0,CONTADORES!BP110-CONTADORES!BP109)/1000</f>
        <v>0.72599999999999998</v>
      </c>
      <c r="BR112" s="1479">
        <f ca="1">IF(B112&gt;=$J$5,0,CONTADORES!BQ110-CONTADORES!BQ109)</f>
        <v>24</v>
      </c>
      <c r="BS112" s="1450">
        <f ca="1">IF(B112&gt;=$J$5,0,(CONTADORES!BT110-CONTADORES!BT109)+(CONTADORES!BV110-CONTADORES!BV109))/1000</f>
        <v>1.421</v>
      </c>
      <c r="BT112" s="1479">
        <f ca="1">IF(B112&gt;=$J$5,0,(CONTADORES!BU110-CONTADORES!BU109)+(CONTADORES!BW110-CONTADORES!BW109))/1000</f>
        <v>0.78300000000000003</v>
      </c>
      <c r="BU112" s="1450">
        <f ca="1">IF(B112&gt;=$J$5,0,CONTADORES!BR110-CONTADORES!BR109)</f>
        <v>6.7000000000007276</v>
      </c>
      <c r="BV112" s="1479">
        <f ca="1">IF(B112&gt;=$J$5,0,CONTADORES!BS110-CONTADORES!BS109)</f>
        <v>4.3999999999996362</v>
      </c>
      <c r="BW112" s="1479">
        <f t="shared" ca="1" si="47"/>
        <v>10.539500000000773</v>
      </c>
      <c r="BX112" s="1479">
        <f t="shared" ca="1" si="48"/>
        <v>8.6784999999996355</v>
      </c>
      <c r="BY112" s="1479">
        <f t="shared" ca="1" si="49"/>
        <v>3.839500000000045</v>
      </c>
      <c r="BZ112" s="1479">
        <f t="shared" ca="1" si="50"/>
        <v>1.5516000000002546</v>
      </c>
      <c r="CA112" s="1479">
        <f t="shared" ca="1" si="51"/>
        <v>3.839500000000045</v>
      </c>
      <c r="CB112" s="1479">
        <f t="shared" ca="1" si="52"/>
        <v>2.3274000000003818</v>
      </c>
      <c r="CC112" s="1479">
        <f t="shared" ca="1" si="53"/>
        <v>2.9726000000002548</v>
      </c>
      <c r="CD112" s="1479">
        <f t="shared" ca="1" si="54"/>
        <v>4.2784999999999993</v>
      </c>
      <c r="CE112" s="1479">
        <f ca="1">IF(B112&gt;=$J$5,0,CONTADORES!BS110-CONTADORES!BS109)</f>
        <v>4.3999999999996362</v>
      </c>
      <c r="CF112" s="1479">
        <f t="shared" ca="1" si="55"/>
        <v>4.2784999999999993</v>
      </c>
      <c r="CG112" s="1479">
        <f t="shared" ca="1" si="56"/>
        <v>0.60850000000000004</v>
      </c>
      <c r="CH112" s="1479">
        <f t="shared" ca="1" si="57"/>
        <v>0.60850000000000004</v>
      </c>
      <c r="CI112" s="1479">
        <f t="shared" ca="1" si="58"/>
        <v>1.3915000000000002</v>
      </c>
      <c r="CJ112" s="1480">
        <f ca="1">IF($B112&gt;=$J$5,0,CONTADORES!$BG110)</f>
        <v>9477.5478687720406</v>
      </c>
      <c r="CK112" s="1384">
        <f>CONTADORES!E110</f>
        <v>0</v>
      </c>
      <c r="CL112" s="1384">
        <f>CONTADORES!BX110</f>
        <v>0</v>
      </c>
    </row>
    <row r="113" spans="2:90">
      <c r="B113" s="410">
        <v>45029</v>
      </c>
      <c r="C113" s="204">
        <f t="shared" ca="1" si="33"/>
        <v>298</v>
      </c>
      <c r="D113" s="202">
        <f ca="1">'CALCULO DE GAS'!D118</f>
        <v>5.03247901674224</v>
      </c>
      <c r="E113" s="202">
        <f ca="1">IF(B113&gt;=$J$5,0,(CONTADORES!$AB111-CONTADORES!$AB110)-$H113)</f>
        <v>24</v>
      </c>
      <c r="F113" s="204">
        <f t="shared" ca="1" si="60"/>
        <v>0</v>
      </c>
      <c r="G113" s="202">
        <f ca="1">IF(B113&gt;=$J$5,0,CONTADORES!$AD111-CONTADORES!$AD110)</f>
        <v>0</v>
      </c>
      <c r="H113" s="1437">
        <f ca="1">IF(G113&gt;0,CONTADORES!$AC111-CONTADORES!$AC110,0)</f>
        <v>0</v>
      </c>
      <c r="I113" s="205">
        <f ca="1">IF(B113&gt;=$J$5,0,CONTADORES!$Z111-CONTADORES!$Z110)</f>
        <v>298</v>
      </c>
      <c r="J113" s="204">
        <f t="shared" ca="1" si="34"/>
        <v>147</v>
      </c>
      <c r="K113" s="202">
        <f ca="1">'CALCULO DE GAS'!E118</f>
        <v>3.7694933174049532</v>
      </c>
      <c r="L113" s="1437">
        <f ca="1">IF(B113&gt;=$J$5,0,(CONTADORES!$W111-CONTADORES!$W110)-$O113)</f>
        <v>24</v>
      </c>
      <c r="M113" s="1437">
        <f t="shared" ca="1" si="62"/>
        <v>0</v>
      </c>
      <c r="N113" s="1437">
        <f ca="1">IF(B113&gt;=$J$5,0,CONTADORES!$Y111-CONTADORES!$Y110)</f>
        <v>0</v>
      </c>
      <c r="O113" s="1437">
        <f ca="1">IF(N113&gt;0,CONTADORES!$X111-CONTADORES!$X110,0)</f>
        <v>0</v>
      </c>
      <c r="P113" s="208">
        <f ca="1">IF(B113&gt;=$J$5,0,CONTADORES!$U111-CONTADORES!$U110)</f>
        <v>147</v>
      </c>
      <c r="Q113" s="208">
        <f ca="1">IF(B113&gt;=$J$5,0,CONTADORES!$B111-CONTADORES!$B110)</f>
        <v>0</v>
      </c>
      <c r="R113" s="202">
        <f t="shared" ca="1" si="35"/>
        <v>0</v>
      </c>
      <c r="S113" s="11">
        <f ca="1">IF(B113&gt;=$J$5,0,CONTADORES!$D111-CONTADORES!$D110)</f>
        <v>0</v>
      </c>
      <c r="T113" s="204">
        <f ca="1">IF(B113&gt;=$J$5,0,CONTADORES!$AZ111-CONTADORES!$AZ110)</f>
        <v>0</v>
      </c>
      <c r="U113" s="202">
        <f t="shared" ca="1" si="61"/>
        <v>0</v>
      </c>
      <c r="V113" s="205">
        <f ca="1">IF(B113&gt;=$J$5,0,CONTADORES!$BB111-CONTADORES!$BB110)</f>
        <v>0</v>
      </c>
      <c r="W113" s="1438">
        <f t="shared" ca="1" si="37"/>
        <v>445</v>
      </c>
      <c r="X113" s="1438">
        <f t="shared" ca="1" si="38"/>
        <v>0</v>
      </c>
      <c r="Y113" s="1439">
        <f t="shared" ca="1" si="39"/>
        <v>445</v>
      </c>
      <c r="Z113" s="1439">
        <f t="shared" ca="1" si="40"/>
        <v>8.8019723341471927</v>
      </c>
      <c r="AA113" s="1439">
        <f t="shared" ca="1" si="41"/>
        <v>0</v>
      </c>
      <c r="AB113" s="1439">
        <f t="shared" ca="1" si="42"/>
        <v>48</v>
      </c>
      <c r="AC113" s="1438">
        <f t="shared" ca="1" si="43"/>
        <v>0</v>
      </c>
      <c r="AD113" s="1479">
        <f ca="1">IF(B113&gt;=$J$5,0,CONTADORES!H111-CONTADORES!H110)</f>
        <v>163</v>
      </c>
      <c r="AE113" s="1438">
        <f ca="1">IF(B113&gt;=$J$5,0,CONTADORES!J111-CONTADORES!J110)</f>
        <v>24</v>
      </c>
      <c r="AF113" s="1479">
        <f ca="1">IF(B113&gt;=$J$5,0,CONTADORES!AS111-CONTADORES!AS110)</f>
        <v>149</v>
      </c>
      <c r="AG113" s="1438">
        <f ca="1">IF(B113&gt;=$J$5,0,CONTADORES!AU111-CONTADORES!AU110)</f>
        <v>24</v>
      </c>
      <c r="AH113" s="1438">
        <f ca="1">IF(B113&gt;=$J$5,0,(CONTADORES!AK111-CONTADORES!AK110)+(CONTADORES!K111-CONTADORES!K110))</f>
        <v>12</v>
      </c>
      <c r="AI113" s="1438">
        <f ca="1">IF(B113&gt;=$J$5,0,(CONTADORES!AI111-CONTADORES!AI110)+(CONTADORES!M111-CONTADORES!M110))</f>
        <v>38</v>
      </c>
      <c r="AJ113" s="1438">
        <f ca="1">IF(B113&gt;=$J$5,0,(CONTADORES!AG111-CONTADORES!AG110))</f>
        <v>7.3999999999941792</v>
      </c>
      <c r="AK113" s="1438">
        <f ca="1">IF(B113&gt;=$J$5,0,(CONTADORES!O111-CONTADORES!O110))</f>
        <v>15</v>
      </c>
      <c r="AL113" s="1438">
        <f t="shared" ca="1" si="44"/>
        <v>32.400000000008788</v>
      </c>
      <c r="AM113" s="1438">
        <f ca="1">IF(B113&gt;=$J$5,0,(((CONTADORES!F111-CONTADORES!F110)+(CONTADORES!AO111-CONTADORES!AO110))))-BJ113-AF113-AN113-BM113-BP113-BU113-BS113</f>
        <v>9.8479999999977235</v>
      </c>
      <c r="AN113" s="1438">
        <f ca="1">IF(B113&gt;=$J$5,0,(CONTADORES!AV111-CONTADORES!AV110)+(CONTADORES!AX111-CONTADORES!AX110)+(CONTADORES!BC111-CONTADORES!BC110))-BS113</f>
        <v>3.7119999999989997</v>
      </c>
      <c r="AO113" s="1440">
        <f ca="1">IF(B113&gt;=$J$5,0,(CONTADORES!AA111-CONTADORES!AA110))</f>
        <v>151</v>
      </c>
      <c r="AP113" s="1440">
        <f ca="1">IF(B113&gt;=$J$5,0,(CONTADORES!V111-CONTADORES!V110))</f>
        <v>76</v>
      </c>
      <c r="AQ113" s="1445">
        <f ca="1">IF(B113&gt;=$J$5,0,(CONTADORES!C111-CONTADORES!C110))</f>
        <v>0</v>
      </c>
      <c r="AR113" s="1440">
        <f ca="1">IF(B113&gt;=$J$5,0,(CONTADORES!BA111-CONTADORES!BA110))</f>
        <v>0</v>
      </c>
      <c r="AS113" s="1479">
        <f ca="1">IF(B113&gt;=$J$5,0,CONTADORES!Q111-CONTADORES!Q110)</f>
        <v>14.899999999994179</v>
      </c>
      <c r="AT113" s="1479">
        <f ca="1">IF(B113&gt;=$J$5,0,(CONTADORES!S111-CONTADORES!S110)+(CONTADORES!AE111-CONTADORES!AE110))</f>
        <v>2.3000000000029104</v>
      </c>
      <c r="AU113" s="1450">
        <f>CONTADORES!I111-CONTADORES!I110</f>
        <v>83</v>
      </c>
      <c r="AV113" s="1479">
        <f>CONTADORES!AT111-CONTADORES!AT110</f>
        <v>65</v>
      </c>
      <c r="AW113" s="1479">
        <f ca="1">IF(B113&gt;=$J$5,0,(CONTADORES!L111-CONTADORES!L110)+(CONTADORES!AL111-CONTADORES!AL110))</f>
        <v>4.7999999999992724</v>
      </c>
      <c r="AX113" s="1479">
        <f ca="1">IF(B113&gt;=$J$5,0,(CONTADORES!N111-CONTADORES!N110)+(CONTADORES!AJ111-CONTADORES!AJ110))</f>
        <v>31</v>
      </c>
      <c r="AY113" s="1479">
        <f ca="1">IF(B113&gt;=$J$5,0,(CONTADORES!AH111-CONTADORES!AH110))</f>
        <v>5.5999999999985448</v>
      </c>
      <c r="AZ113" s="1479">
        <f ca="1">IF(B113&gt;=$J$5,0,(CONTADORES!P111-CONTADORES!P110))</f>
        <v>11.900000000008731</v>
      </c>
      <c r="BA113" s="1450">
        <f t="shared" ca="1" si="45"/>
        <v>10.036999999992901</v>
      </c>
      <c r="BB113" s="1450">
        <f ca="1">IF(B112&gt;=$J$5,0,(((CONTADORES!G111-CONTADORES!G110)+(CONTADORES!AP111-CONTADORES!AP110))))-AV113-BC113-BK113-BN113-BQ113-BV113</f>
        <v>8.2820000000000338</v>
      </c>
      <c r="BC113" s="1479">
        <f ca="1">IF(B113&gt;=$J$5,0,(CONTADORES!AW111-CONTADORES!AW110)+(CONTADORES!AY111-CONTADORES!AY110)+(CONTADORES!BD111-CONTADORES!BD110))-BT113</f>
        <v>1.336999999999966</v>
      </c>
      <c r="BD113" s="1438">
        <f t="shared" ca="1" si="46"/>
        <v>227</v>
      </c>
      <c r="BE113" s="1439">
        <f ca="1">IF($B113&gt;=$J$5,0,CONTADORES!$BE111)</f>
        <v>5997.6</v>
      </c>
      <c r="BF113" s="1438">
        <f ca="1">IF($B113&gt;=$J$5,0,CONTADORES!$BF111)</f>
        <v>33611.922807017501</v>
      </c>
      <c r="BG113" s="1438">
        <f ca="1">IF($B113&gt;=$J$5,0,CONTADORES!$BH111)</f>
        <v>5417.49</v>
      </c>
      <c r="BH113" s="1438">
        <f ca="1">IF(B113&gt;=$J$5,0,(CONTADORES!AQ111-CONTADORES!AQ110))</f>
        <v>5</v>
      </c>
      <c r="BI113" s="1438">
        <f ca="1">IF(C113&gt;=$J$5,0,(CONTADORES!AR111-CONTADORES!AR110))</f>
        <v>0</v>
      </c>
      <c r="BJ113" s="1450">
        <f ca="1">IF(B113&gt;=$J$5,0,CONTADORES!BI111-CONTADORES!BI110)/1000</f>
        <v>3</v>
      </c>
      <c r="BK113" s="1479">
        <f ca="1">IF(B113&gt;=$J$5,0,CONTADORES!BJ111-CONTADORES!BJ110)</f>
        <v>1</v>
      </c>
      <c r="BL113" s="1479">
        <f ca="1">IF(B113&gt;=$J$5,0,CONTADORES!BK111-CONTADORES!BK110)</f>
        <v>24</v>
      </c>
      <c r="BM113" s="1479">
        <f ca="1">IF(B113&gt;=$J$5,0,CONTADORES!BL111-CONTADORES!BL110)/1000</f>
        <v>0</v>
      </c>
      <c r="BN113" s="1479">
        <f ca="1">IF(B113&gt;=$J$5,0,CONTADORES!BM111-CONTADORES!BM110)/1000</f>
        <v>0</v>
      </c>
      <c r="BO113" s="1479">
        <f ca="1">IF(B113&gt;=$J$5,0,CONTADORES!BN111-CONTADORES!BN110)</f>
        <v>0</v>
      </c>
      <c r="BP113" s="1479">
        <f ca="1">IF(B113&gt;=$J$5,0,CONTADORES!BO111-CONTADORES!BO110)/1000</f>
        <v>4.6520000000000001</v>
      </c>
      <c r="BQ113" s="1479">
        <f ca="1">IF(B113&gt;=$J$5,0,CONTADORES!BP111-CONTADORES!BP110)/1000</f>
        <v>0.38100000000000001</v>
      </c>
      <c r="BR113" s="1479">
        <f ca="1">IF(B113&gt;=$J$5,0,CONTADORES!BQ111-CONTADORES!BQ110)</f>
        <v>24</v>
      </c>
      <c r="BS113" s="1450">
        <f ca="1">IF(B113&gt;=$J$5,0,(CONTADORES!BT111-CONTADORES!BT110)+(CONTADORES!BV111-CONTADORES!BV110))/1000</f>
        <v>1.3879999999999999</v>
      </c>
      <c r="BT113" s="1479">
        <f ca="1">IF(B113&gt;=$J$5,0,(CONTADORES!BU111-CONTADORES!BU110)+(CONTADORES!BW111-CONTADORES!BW110))/1000</f>
        <v>0.76300000000000001</v>
      </c>
      <c r="BU113" s="1450">
        <f ca="1">IF(B113&gt;=$J$5,0,CONTADORES!BR111-CONTADORES!BR110)</f>
        <v>5.6000000000003638</v>
      </c>
      <c r="BV113" s="1479">
        <f ca="1">IF(B113&gt;=$J$5,0,CONTADORES!BS111-CONTADORES!BS110)</f>
        <v>3.9000000000005457</v>
      </c>
      <c r="BW113" s="1479">
        <f t="shared" ca="1" si="47"/>
        <v>10.523999999999226</v>
      </c>
      <c r="BX113" s="1479">
        <f t="shared" ca="1" si="48"/>
        <v>8.0410000000005617</v>
      </c>
      <c r="BY113" s="1479">
        <f t="shared" ca="1" si="49"/>
        <v>4.9239999999988617</v>
      </c>
      <c r="BZ113" s="1479">
        <f t="shared" ca="1" si="50"/>
        <v>1.4847999999996</v>
      </c>
      <c r="CA113" s="1479">
        <f t="shared" ca="1" si="51"/>
        <v>4.9239999999988617</v>
      </c>
      <c r="CB113" s="1479">
        <f t="shared" ca="1" si="52"/>
        <v>2.2271999999993994</v>
      </c>
      <c r="CC113" s="1479">
        <f t="shared" ca="1" si="53"/>
        <v>2.8727999999996001</v>
      </c>
      <c r="CD113" s="1479">
        <f t="shared" ca="1" si="54"/>
        <v>4.1410000000000169</v>
      </c>
      <c r="CE113" s="1479">
        <f ca="1">IF(B113&gt;=$J$5,0,CONTADORES!BS111-CONTADORES!BS110)</f>
        <v>3.9000000000005457</v>
      </c>
      <c r="CF113" s="1479">
        <f t="shared" ca="1" si="55"/>
        <v>4.1410000000000169</v>
      </c>
      <c r="CG113" s="1479">
        <f t="shared" ca="1" si="56"/>
        <v>0.668499999999983</v>
      </c>
      <c r="CH113" s="1479">
        <f t="shared" ca="1" si="57"/>
        <v>0.668499999999983</v>
      </c>
      <c r="CI113" s="1479">
        <f t="shared" ca="1" si="58"/>
        <v>1.4314999999999829</v>
      </c>
      <c r="CJ113" s="1480">
        <f ca="1">IF($B113&gt;=$J$5,0,CONTADORES!$BG111)</f>
        <v>9442.1045044965194</v>
      </c>
      <c r="CK113" s="1384">
        <f>CONTADORES!E111</f>
        <v>0</v>
      </c>
      <c r="CL113" s="1384">
        <f>CONTADORES!BX111</f>
        <v>0</v>
      </c>
    </row>
    <row r="114" spans="2:90">
      <c r="B114" s="410">
        <v>45030</v>
      </c>
      <c r="C114" s="204">
        <f t="shared" ca="1" si="33"/>
        <v>320</v>
      </c>
      <c r="D114" s="202">
        <f ca="1">'CALCULO DE GAS'!D119</f>
        <v>5.216490178235091</v>
      </c>
      <c r="E114" s="202">
        <f ca="1">IF(B114&gt;=$J$5,0,(CONTADORES!$AB112-CONTADORES!$AB111)-$H114)</f>
        <v>24</v>
      </c>
      <c r="F114" s="204">
        <f t="shared" ca="1" si="60"/>
        <v>0</v>
      </c>
      <c r="G114" s="202">
        <f ca="1">IF(B114&gt;=$J$5,0,CONTADORES!$AD112-CONTADORES!$AD111)</f>
        <v>0</v>
      </c>
      <c r="H114" s="1437">
        <f ca="1">IF(G114&gt;0,CONTADORES!$AC112-CONTADORES!$AC111,0)</f>
        <v>0</v>
      </c>
      <c r="I114" s="205">
        <f ca="1">IF(B114&gt;=$J$5,0,CONTADORES!$Z112-CONTADORES!$Z111)</f>
        <v>320</v>
      </c>
      <c r="J114" s="204">
        <f t="shared" ca="1" si="34"/>
        <v>117</v>
      </c>
      <c r="K114" s="202">
        <f ca="1">'CALCULO DE GAS'!E119</f>
        <v>3.5185690062783399</v>
      </c>
      <c r="L114" s="1437">
        <f ca="1">IF(B114&gt;=$J$5,0,(CONTADORES!$W112-CONTADORES!$W111)-$O114)</f>
        <v>24</v>
      </c>
      <c r="M114" s="1437">
        <f t="shared" ca="1" si="62"/>
        <v>0</v>
      </c>
      <c r="N114" s="1437">
        <f ca="1">IF(B114&gt;=$J$5,0,CONTADORES!$Y112-CONTADORES!$Y111)</f>
        <v>0</v>
      </c>
      <c r="O114" s="1437">
        <f ca="1">IF(N114&gt;0,CONTADORES!$X112-CONTADORES!$X111,0)</f>
        <v>0</v>
      </c>
      <c r="P114" s="208">
        <f ca="1">IF(B114&gt;=$J$5,0,CONTADORES!$U112-CONTADORES!$U111)</f>
        <v>117</v>
      </c>
      <c r="Q114" s="208">
        <f ca="1">IF(B114&gt;=$J$5,0,CONTADORES!$B112-CONTADORES!$B111)</f>
        <v>0</v>
      </c>
      <c r="R114" s="202">
        <f t="shared" ca="1" si="35"/>
        <v>0</v>
      </c>
      <c r="S114" s="11">
        <f ca="1">IF(B114&gt;=$J$5,0,CONTADORES!$D112-CONTADORES!$D111)</f>
        <v>0</v>
      </c>
      <c r="T114" s="204">
        <f ca="1">IF(B114&gt;=$J$5,0,CONTADORES!$AZ112-CONTADORES!$AZ111)</f>
        <v>0</v>
      </c>
      <c r="U114" s="202">
        <f t="shared" ca="1" si="61"/>
        <v>0</v>
      </c>
      <c r="V114" s="205">
        <f ca="1">IF(B114&gt;=$J$5,0,CONTADORES!$BB112-CONTADORES!$BB111)</f>
        <v>0</v>
      </c>
      <c r="W114" s="1438">
        <f t="shared" ca="1" si="37"/>
        <v>437</v>
      </c>
      <c r="X114" s="1438">
        <f t="shared" ca="1" si="38"/>
        <v>0</v>
      </c>
      <c r="Y114" s="1439">
        <f t="shared" ca="1" si="39"/>
        <v>437</v>
      </c>
      <c r="Z114" s="1439">
        <f t="shared" ca="1" si="40"/>
        <v>8.7350591845134318</v>
      </c>
      <c r="AA114" s="1439">
        <f t="shared" ca="1" si="41"/>
        <v>0</v>
      </c>
      <c r="AB114" s="1439">
        <f t="shared" ca="1" si="42"/>
        <v>48</v>
      </c>
      <c r="AC114" s="1438">
        <f t="shared" ca="1" si="43"/>
        <v>0</v>
      </c>
      <c r="AD114" s="1479">
        <f ca="1">IF(B114&gt;=$J$5,0,CONTADORES!H112-CONTADORES!H111)</f>
        <v>160</v>
      </c>
      <c r="AE114" s="1438">
        <f ca="1">IF(B114&gt;=$J$5,0,CONTADORES!J112-CONTADORES!J111)</f>
        <v>24</v>
      </c>
      <c r="AF114" s="1479">
        <f ca="1">IF(B114&gt;=$J$5,0,CONTADORES!AS112-CONTADORES!AS111)</f>
        <v>150</v>
      </c>
      <c r="AG114" s="1438">
        <f ca="1">IF(B114&gt;=$J$5,0,CONTADORES!AU112-CONTADORES!AU111)</f>
        <v>24</v>
      </c>
      <c r="AH114" s="1438">
        <f ca="1">IF(B114&gt;=$J$5,0,(CONTADORES!AK112-CONTADORES!AK111)+(CONTADORES!K112-CONTADORES!K111))</f>
        <v>5.8999999999941792</v>
      </c>
      <c r="AI114" s="1438">
        <f ca="1">IF(B114&gt;=$J$5,0,(CONTADORES!AI112-CONTADORES!AI111)+(CONTADORES!M112-CONTADORES!M111))</f>
        <v>39.69999999999709</v>
      </c>
      <c r="AJ114" s="1438">
        <f ca="1">IF(B114&gt;=$J$5,0,(CONTADORES!AG112-CONTADORES!AG111))</f>
        <v>7.6000000000058208</v>
      </c>
      <c r="AK114" s="1438">
        <f ca="1">IF(B114&gt;=$J$5,0,(CONTADORES!O112-CONTADORES!O111))</f>
        <v>14.300000000017462</v>
      </c>
      <c r="AL114" s="1438">
        <f t="shared" ca="1" si="44"/>
        <v>31.199999999982538</v>
      </c>
      <c r="AM114" s="1438">
        <f ca="1">IF(B114&gt;=$J$5,0,(((CONTADORES!F112-CONTADORES!F111)+(CONTADORES!AO112-CONTADORES!AO111))))-BJ114-AF114-AN114-BM114-BP114-BU114-BS114</f>
        <v>10.83100000000208</v>
      </c>
      <c r="AN114" s="1438">
        <f ca="1">IF(B114&gt;=$J$5,0,(CONTADORES!AV112-CONTADORES!AV111)+(CONTADORES!AX112-CONTADORES!AX111)+(CONTADORES!BC112-CONTADORES!BC111))-BS114</f>
        <v>3.7000000000008186</v>
      </c>
      <c r="AO114" s="1440">
        <f ca="1">IF(B114&gt;=$J$5,0,(CONTADORES!AA112-CONTADORES!AA111))</f>
        <v>165</v>
      </c>
      <c r="AP114" s="1440">
        <f ca="1">IF(B114&gt;=$J$5,0,(CONTADORES!V112-CONTADORES!V111))</f>
        <v>63</v>
      </c>
      <c r="AQ114" s="1445">
        <f ca="1">IF(B114&gt;=$J$5,0,(CONTADORES!C112-CONTADORES!C111))</f>
        <v>0</v>
      </c>
      <c r="AR114" s="1440">
        <f ca="1">IF(B114&gt;=$J$5,0,(CONTADORES!BA112-CONTADORES!BA111))</f>
        <v>0</v>
      </c>
      <c r="AS114" s="1479">
        <f ca="1">IF(B114&gt;=$J$5,0,CONTADORES!Q112-CONTADORES!Q111)</f>
        <v>15.299999999988358</v>
      </c>
      <c r="AT114" s="1479">
        <f ca="1">IF(B114&gt;=$J$5,0,(CONTADORES!S112-CONTADORES!S111)+(CONTADORES!AE112-CONTADORES!AE111))</f>
        <v>2.0999999999985448</v>
      </c>
      <c r="AU114" s="1450">
        <f>CONTADORES!I112-CONTADORES!I111</f>
        <v>82</v>
      </c>
      <c r="AV114" s="1479">
        <f>CONTADORES!AT112-CONTADORES!AT111</f>
        <v>65</v>
      </c>
      <c r="AW114" s="1479">
        <f ca="1">IF(B114&gt;=$J$5,0,(CONTADORES!L112-CONTADORES!L111)+(CONTADORES!AL112-CONTADORES!AL111))</f>
        <v>2.2000000000007276</v>
      </c>
      <c r="AX114" s="1479">
        <f ca="1">IF(B114&gt;=$J$5,0,(CONTADORES!N112-CONTADORES!N111)+(CONTADORES!AJ112-CONTADORES!AJ111))</f>
        <v>32.400000000001455</v>
      </c>
      <c r="AY114" s="1479">
        <f ca="1">IF(B114&gt;=$J$5,0,(CONTADORES!AH112-CONTADORES!AH111))</f>
        <v>5.5999999999985448</v>
      </c>
      <c r="AZ114" s="1479">
        <f ca="1">IF(B114&gt;=$J$5,0,(CONTADORES!P112-CONTADORES!P111))</f>
        <v>11.899999999994179</v>
      </c>
      <c r="BA114" s="1450">
        <f t="shared" ca="1" si="45"/>
        <v>12.134000000005074</v>
      </c>
      <c r="BB114" s="1450">
        <f ca="1">IF(B113&gt;=$J$5,0,(((CONTADORES!G112-CONTADORES!G111)+(CONTADORES!AP112-CONTADORES!AP111))))-AV114-BC114-BK114-BN114-BQ114-BV114</f>
        <v>9.5020000000002725</v>
      </c>
      <c r="BC114" s="1479">
        <f ca="1">IF(B114&gt;=$J$5,0,(CONTADORES!AW112-CONTADORES!AW111)+(CONTADORES!AY112-CONTADORES!AY111)+(CONTADORES!BD112-CONTADORES!BD111))-BT114</f>
        <v>1.1340000000000909</v>
      </c>
      <c r="BD114" s="1438">
        <f t="shared" ca="1" si="46"/>
        <v>228</v>
      </c>
      <c r="BE114" s="1439">
        <f ca="1">IF($B114&gt;=$J$5,0,CONTADORES!$BE112)</f>
        <v>6226.59</v>
      </c>
      <c r="BF114" s="1438">
        <f ca="1">IF($B114&gt;=$J$5,0,CONTADORES!$BF112)</f>
        <v>33448.592982456103</v>
      </c>
      <c r="BG114" s="1438">
        <f ca="1">IF($B114&gt;=$J$5,0,CONTADORES!$BH112)</f>
        <v>4974.82</v>
      </c>
      <c r="BH114" s="1438">
        <f ca="1">IF(B114&gt;=$J$5,0,(CONTADORES!AQ112-CONTADORES!AQ111))</f>
        <v>5</v>
      </c>
      <c r="BI114" s="1438">
        <f ca="1">IF(C114&gt;=$J$5,0,(CONTADORES!AR112-CONTADORES!AR111))</f>
        <v>0</v>
      </c>
      <c r="BJ114" s="1450">
        <f ca="1">IF(B114&gt;=$J$5,0,CONTADORES!BI112-CONTADORES!BI111)/1000</f>
        <v>2.2999999999999998</v>
      </c>
      <c r="BK114" s="1479">
        <f ca="1">IF(B114&gt;=$J$5,0,CONTADORES!BJ112-CONTADORES!BJ111)</f>
        <v>1</v>
      </c>
      <c r="BL114" s="1479">
        <f ca="1">IF(B114&gt;=$J$5,0,CONTADORES!BK112-CONTADORES!BK111)</f>
        <v>24</v>
      </c>
      <c r="BM114" s="1479">
        <f ca="1">IF(B114&gt;=$J$5,0,CONTADORES!BL112-CONTADORES!BL111)/1000</f>
        <v>0</v>
      </c>
      <c r="BN114" s="1479">
        <f ca="1">IF(B114&gt;=$J$5,0,CONTADORES!BM112-CONTADORES!BM111)/1000</f>
        <v>0</v>
      </c>
      <c r="BO114" s="1479">
        <f ca="1">IF(B114&gt;=$J$5,0,CONTADORES!BN112-CONTADORES!BN111)</f>
        <v>0</v>
      </c>
      <c r="BP114" s="1479">
        <f ca="1">IF(B114&gt;=$J$5,0,CONTADORES!BO112-CONTADORES!BO111)/1000</f>
        <v>4.569</v>
      </c>
      <c r="BQ114" s="1479">
        <f ca="1">IF(B114&gt;=$J$5,0,CONTADORES!BP112-CONTADORES!BP111)/1000</f>
        <v>0.46400000000000002</v>
      </c>
      <c r="BR114" s="1479">
        <f ca="1">IF(B114&gt;=$J$5,0,CONTADORES!BQ112-CONTADORES!BQ111)</f>
        <v>24</v>
      </c>
      <c r="BS114" s="1450">
        <f ca="1">IF(B114&gt;=$J$5,0,(CONTADORES!BT112-CONTADORES!BT111)+(CONTADORES!BV112-CONTADORES!BV111))/1000</f>
        <v>1.4</v>
      </c>
      <c r="BT114" s="1479">
        <f ca="1">IF(B114&gt;=$J$5,0,(CONTADORES!BU112-CONTADORES!BU111)+(CONTADORES!BW112-CONTADORES!BW111))/1000</f>
        <v>0.76600000000000001</v>
      </c>
      <c r="BU114" s="1450">
        <f ca="1">IF(B114&gt;=$J$5,0,CONTADORES!BR112-CONTADORES!BR111)</f>
        <v>5.5</v>
      </c>
      <c r="BV114" s="1479">
        <f ca="1">IF(B114&gt;=$J$5,0,CONTADORES!BS112-CONTADORES!BS111)</f>
        <v>3.8999999999996362</v>
      </c>
      <c r="BW114" s="1479">
        <f t="shared" ca="1" si="47"/>
        <v>10.915500000001039</v>
      </c>
      <c r="BX114" s="1479">
        <f t="shared" ca="1" si="48"/>
        <v>8.6509999999997724</v>
      </c>
      <c r="BY114" s="1479">
        <f t="shared" ca="1" si="49"/>
        <v>5.4155000000010398</v>
      </c>
      <c r="BZ114" s="1479">
        <f t="shared" ca="1" si="50"/>
        <v>1.4800000000003275</v>
      </c>
      <c r="CA114" s="1479">
        <f t="shared" ca="1" si="51"/>
        <v>5.4155000000010398</v>
      </c>
      <c r="CB114" s="1479">
        <f t="shared" ca="1" si="52"/>
        <v>2.2200000000004909</v>
      </c>
      <c r="CC114" s="1479">
        <f t="shared" ca="1" si="53"/>
        <v>2.8800000000003276</v>
      </c>
      <c r="CD114" s="1479">
        <f t="shared" ca="1" si="54"/>
        <v>4.7510000000001362</v>
      </c>
      <c r="CE114" s="1479">
        <f ca="1">IF(B114&gt;=$J$5,0,CONTADORES!BS112-CONTADORES!BS111)</f>
        <v>3.8999999999996362</v>
      </c>
      <c r="CF114" s="1479">
        <f t="shared" ca="1" si="55"/>
        <v>4.7510000000001362</v>
      </c>
      <c r="CG114" s="1479">
        <f t="shared" ca="1" si="56"/>
        <v>0.56700000000004547</v>
      </c>
      <c r="CH114" s="1479">
        <f t="shared" ca="1" si="57"/>
        <v>0.56700000000004547</v>
      </c>
      <c r="CI114" s="1479">
        <f t="shared" ca="1" si="58"/>
        <v>1.3330000000000455</v>
      </c>
      <c r="CJ114" s="1480">
        <f ca="1">IF($B114&gt;=$J$5,0,CONTADORES!$BG112)</f>
        <v>8867.2385318864108</v>
      </c>
      <c r="CK114" s="1384">
        <f>CONTADORES!E112</f>
        <v>0</v>
      </c>
      <c r="CL114" s="1384">
        <f>CONTADORES!BX112</f>
        <v>0</v>
      </c>
    </row>
    <row r="115" spans="2:90">
      <c r="B115" s="410">
        <v>45031</v>
      </c>
      <c r="C115" s="204">
        <f t="shared" ca="1" si="33"/>
        <v>364</v>
      </c>
      <c r="D115" s="202">
        <f ca="1">'CALCULO DE GAS'!D120</f>
        <v>5.5845125012207895</v>
      </c>
      <c r="E115" s="202">
        <f ca="1">IF(B115&gt;=$J$5,0,(CONTADORES!$AB113-CONTADORES!$AB112)-$H115)</f>
        <v>24</v>
      </c>
      <c r="F115" s="204">
        <f t="shared" ca="1" si="60"/>
        <v>0</v>
      </c>
      <c r="G115" s="202">
        <f ca="1">IF(B115&gt;=$J$5,0,CONTADORES!$AD113-CONTADORES!$AD112)</f>
        <v>0</v>
      </c>
      <c r="H115" s="1437">
        <f ca="1">IF(G115&gt;0,CONTADORES!$AC113-CONTADORES!$AC112,0)</f>
        <v>0</v>
      </c>
      <c r="I115" s="205">
        <f ca="1">IF(B115&gt;=$J$5,0,CONTADORES!$Z113-CONTADORES!$Z112)</f>
        <v>364</v>
      </c>
      <c r="J115" s="204">
        <f t="shared" ca="1" si="34"/>
        <v>86</v>
      </c>
      <c r="K115" s="202">
        <f ca="1">'CALCULO DE GAS'!E120</f>
        <v>3.2592805514475058</v>
      </c>
      <c r="L115" s="1437">
        <f ca="1">IF(B115&gt;=$J$5,0,(CONTADORES!$W113-CONTADORES!$W112)-$O115)</f>
        <v>24</v>
      </c>
      <c r="M115" s="1437">
        <f t="shared" ca="1" si="62"/>
        <v>0</v>
      </c>
      <c r="N115" s="1437">
        <f ca="1">IF(B115&gt;=$J$5,0,CONTADORES!$Y113-CONTADORES!$Y112)</f>
        <v>0</v>
      </c>
      <c r="O115" s="1437">
        <f ca="1">IF(N115&gt;0,CONTADORES!$X113-CONTADORES!$X112,0)</f>
        <v>0</v>
      </c>
      <c r="P115" s="208">
        <f ca="1">IF(B115&gt;=$J$5,0,CONTADORES!$U113-CONTADORES!$U112)</f>
        <v>86</v>
      </c>
      <c r="Q115" s="208">
        <f ca="1">IF(B115&gt;=$J$5,0,CONTADORES!$B113-CONTADORES!$B112)</f>
        <v>0</v>
      </c>
      <c r="R115" s="202">
        <f t="shared" ca="1" si="35"/>
        <v>0</v>
      </c>
      <c r="S115" s="11">
        <f ca="1">IF(B115&gt;=$J$5,0,CONTADORES!$D113-CONTADORES!$D112)</f>
        <v>0</v>
      </c>
      <c r="T115" s="204">
        <f ca="1">IF(B115&gt;=$J$5,0,CONTADORES!$AZ113-CONTADORES!$AZ112)</f>
        <v>0</v>
      </c>
      <c r="U115" s="202">
        <f t="shared" ca="1" si="61"/>
        <v>0</v>
      </c>
      <c r="V115" s="205">
        <f ca="1">IF(B115&gt;=$J$5,0,CONTADORES!$BB113-CONTADORES!$BB112)</f>
        <v>0</v>
      </c>
      <c r="W115" s="1438">
        <f t="shared" ca="1" si="37"/>
        <v>450</v>
      </c>
      <c r="X115" s="1438">
        <f t="shared" ca="1" si="38"/>
        <v>0</v>
      </c>
      <c r="Y115" s="1439">
        <f t="shared" ca="1" si="39"/>
        <v>450</v>
      </c>
      <c r="Z115" s="1439">
        <f t="shared" ca="1" si="40"/>
        <v>8.8437930526682962</v>
      </c>
      <c r="AA115" s="1439">
        <f t="shared" ca="1" si="41"/>
        <v>0</v>
      </c>
      <c r="AB115" s="1439">
        <f t="shared" ca="1" si="42"/>
        <v>48</v>
      </c>
      <c r="AC115" s="1438">
        <f t="shared" ca="1" si="43"/>
        <v>0</v>
      </c>
      <c r="AD115" s="1479">
        <f ca="1">IF(B115&gt;=$J$5,0,CONTADORES!H113-CONTADORES!H112)</f>
        <v>162</v>
      </c>
      <c r="AE115" s="1438">
        <f ca="1">IF(B115&gt;=$J$5,0,CONTADORES!J113-CONTADORES!J112)</f>
        <v>24</v>
      </c>
      <c r="AF115" s="1479">
        <f ca="1">IF(B115&gt;=$J$5,0,CONTADORES!AS113-CONTADORES!AS112)</f>
        <v>150</v>
      </c>
      <c r="AG115" s="1438">
        <f ca="1">IF(B115&gt;=$J$5,0,CONTADORES!AU113-CONTADORES!AU112)</f>
        <v>24</v>
      </c>
      <c r="AH115" s="1438">
        <f ca="1">IF(B115&gt;=$J$5,0,(CONTADORES!AK113-CONTADORES!AK112)+(CONTADORES!K113-CONTADORES!K112))</f>
        <v>12.200000000004366</v>
      </c>
      <c r="AI115" s="1438">
        <f ca="1">IF(B115&gt;=$J$5,0,(CONTADORES!AI113-CONTADORES!AI112)+(CONTADORES!M113-CONTADORES!M112))</f>
        <v>41.099999999998545</v>
      </c>
      <c r="AJ115" s="1438">
        <f ca="1">IF(B115&gt;=$J$5,0,(CONTADORES!AG113-CONTADORES!AG112))</f>
        <v>8</v>
      </c>
      <c r="AK115" s="1438">
        <f ca="1">IF(B115&gt;=$J$5,0,(CONTADORES!O113-CONTADORES!O112))</f>
        <v>15.199999999982538</v>
      </c>
      <c r="AL115" s="1438">
        <f t="shared" ca="1" si="44"/>
        <v>33.200000000015223</v>
      </c>
      <c r="AM115" s="1438">
        <f ca="1">IF(B115&gt;=$J$5,0,(((CONTADORES!F113-CONTADORES!F112)+(CONTADORES!AO113-CONTADORES!AO112))))-BJ115-AF115-AN115-BM115-BP115-BU115-BS115</f>
        <v>10.508999999999212</v>
      </c>
      <c r="AN115" s="1438">
        <f ca="1">IF(B115&gt;=$J$5,0,(CONTADORES!AV113-CONTADORES!AV112)+(CONTADORES!AX113-CONTADORES!AX112)+(CONTADORES!BC113-CONTADORES!BC112))-BS115</f>
        <v>3.88699999999971</v>
      </c>
      <c r="AO115" s="1440">
        <f ca="1">IF(B115&gt;=$J$5,0,(CONTADORES!AA113-CONTADORES!AA112))</f>
        <v>190</v>
      </c>
      <c r="AP115" s="1440">
        <f ca="1">IF(B115&gt;=$J$5,0,(CONTADORES!V113-CONTADORES!V112))</f>
        <v>43</v>
      </c>
      <c r="AQ115" s="1445">
        <f ca="1">IF(B115&gt;=$J$5,0,(CONTADORES!C113-CONTADORES!C112))</f>
        <v>0</v>
      </c>
      <c r="AR115" s="1440">
        <f ca="1">IF(B115&gt;=$J$5,0,(CONTADORES!BA113-CONTADORES!BA112))</f>
        <v>0</v>
      </c>
      <c r="AS115" s="1479">
        <f ca="1">IF(B115&gt;=$J$5,0,CONTADORES!Q113-CONTADORES!Q112)</f>
        <v>15</v>
      </c>
      <c r="AT115" s="1479">
        <f ca="1">IF(B115&gt;=$J$5,0,(CONTADORES!S113-CONTADORES!S112)+(CONTADORES!AE113-CONTADORES!AE112))</f>
        <v>2.5</v>
      </c>
      <c r="AU115" s="1450">
        <f>CONTADORES!I113-CONTADORES!I112</f>
        <v>83</v>
      </c>
      <c r="AV115" s="1479">
        <f>CONTADORES!AT113-CONTADORES!AT112</f>
        <v>65</v>
      </c>
      <c r="AW115" s="1479">
        <f ca="1">IF(B115&gt;=$J$5,0,(CONTADORES!L113-CONTADORES!L112)+(CONTADORES!AL113-CONTADORES!AL112))</f>
        <v>4.3999999999978172</v>
      </c>
      <c r="AX115" s="1479">
        <f ca="1">IF(B115&gt;=$J$5,0,(CONTADORES!N113-CONTADORES!N112)+(CONTADORES!AJ113-CONTADORES!AJ112))</f>
        <v>33.899999999994179</v>
      </c>
      <c r="AY115" s="1479">
        <f ca="1">IF(B115&gt;=$J$5,0,(CONTADORES!AH113-CONTADORES!AH112))</f>
        <v>6.0999999999985448</v>
      </c>
      <c r="AZ115" s="1479">
        <f ca="1">IF(B115&gt;=$J$5,0,(CONTADORES!P113-CONTADORES!P112))</f>
        <v>12.100000000005821</v>
      </c>
      <c r="BA115" s="1450">
        <f t="shared" ca="1" si="45"/>
        <v>11.693000000003622</v>
      </c>
      <c r="BB115" s="1450">
        <f ca="1">IF(B114&gt;=$J$5,0,(((CONTADORES!G113-CONTADORES!G112)+(CONTADORES!AP113-CONTADORES!AP112))))-AV115-BC115-BK115-BN115-BQ115-BV115</f>
        <v>9.454999999999453</v>
      </c>
      <c r="BC115" s="1479">
        <f ca="1">IF(B115&gt;=$J$5,0,(CONTADORES!AW113-CONTADORES!AW112)+(CONTADORES!AY113-CONTADORES!AY112)+(CONTADORES!BD113-CONTADORES!BD112))-BT115</f>
        <v>1.2230000000000012</v>
      </c>
      <c r="BD115" s="1438">
        <f t="shared" ca="1" si="46"/>
        <v>233</v>
      </c>
      <c r="BE115" s="1439">
        <f ca="1">IF($B115&gt;=$J$5,0,CONTADORES!$BE113)</f>
        <v>5856.83</v>
      </c>
      <c r="BF115" s="1438">
        <f ca="1">IF($B115&gt;=$J$5,0,CONTADORES!$BF113)</f>
        <v>33527.743859649097</v>
      </c>
      <c r="BG115" s="1438">
        <f ca="1">IF($B115&gt;=$J$5,0,CONTADORES!$BH113)</f>
        <v>4760.01</v>
      </c>
      <c r="BH115" s="1438">
        <f ca="1">IF(B115&gt;=$J$5,0,(CONTADORES!AQ113-CONTADORES!AQ112))</f>
        <v>5</v>
      </c>
      <c r="BI115" s="1438">
        <f ca="1">IF(C115&gt;=$J$5,0,(CONTADORES!AR113-CONTADORES!AR112))</f>
        <v>0</v>
      </c>
      <c r="BJ115" s="1450">
        <f ca="1">IF(B115&gt;=$J$5,0,CONTADORES!BI113-CONTADORES!BI112)/1000</f>
        <v>2.2000000000000002</v>
      </c>
      <c r="BK115" s="1479">
        <f ca="1">IF(B115&gt;=$J$5,0,CONTADORES!BJ113-CONTADORES!BJ112)</f>
        <v>1</v>
      </c>
      <c r="BL115" s="1479">
        <f ca="1">IF(B115&gt;=$J$5,0,CONTADORES!BK113-CONTADORES!BK112)</f>
        <v>24</v>
      </c>
      <c r="BM115" s="1479">
        <f ca="1">IF(B115&gt;=$J$5,0,CONTADORES!BL113-CONTADORES!BL112)/1000</f>
        <v>0</v>
      </c>
      <c r="BN115" s="1479">
        <f ca="1">IF(B115&gt;=$J$5,0,CONTADORES!BM113-CONTADORES!BM112)/1000</f>
        <v>0</v>
      </c>
      <c r="BO115" s="1479">
        <f ca="1">IF(B115&gt;=$J$5,0,CONTADORES!BN113-CONTADORES!BN112)</f>
        <v>0</v>
      </c>
      <c r="BP115" s="1479">
        <f ca="1">IF(B115&gt;=$J$5,0,CONTADORES!BO113-CONTADORES!BO112)/1000</f>
        <v>4.641</v>
      </c>
      <c r="BQ115" s="1479">
        <f ca="1">IF(B115&gt;=$J$5,0,CONTADORES!BP113-CONTADORES!BP112)/1000</f>
        <v>0.42199999999999999</v>
      </c>
      <c r="BR115" s="1479">
        <f ca="1">IF(B115&gt;=$J$5,0,CONTADORES!BQ113-CONTADORES!BQ112)</f>
        <v>24</v>
      </c>
      <c r="BS115" s="1450">
        <f ca="1">IF(B115&gt;=$J$5,0,(CONTADORES!BT113-CONTADORES!BT112)+(CONTADORES!BV113-CONTADORES!BV112))/1000</f>
        <v>1.4630000000000001</v>
      </c>
      <c r="BT115" s="1479">
        <f ca="1">IF(B115&gt;=$J$5,0,(CONTADORES!BU113-CONTADORES!BU112)+(CONTADORES!BW113-CONTADORES!BW112))/1000</f>
        <v>0.80700000000000005</v>
      </c>
      <c r="BU115" s="1450">
        <f ca="1">IF(B115&gt;=$J$5,0,CONTADORES!BR113-CONTADORES!BR112)</f>
        <v>5.6000000000003638</v>
      </c>
      <c r="BV115" s="1479">
        <f ca="1">IF(B115&gt;=$J$5,0,CONTADORES!BS113-CONTADORES!BS112)</f>
        <v>3.9000000000005457</v>
      </c>
      <c r="BW115" s="1479">
        <f t="shared" ca="1" si="47"/>
        <v>10.85449999999997</v>
      </c>
      <c r="BX115" s="1479">
        <f t="shared" ca="1" si="48"/>
        <v>8.6275000000002713</v>
      </c>
      <c r="BY115" s="1479">
        <f t="shared" ca="1" si="49"/>
        <v>5.2544999999996058</v>
      </c>
      <c r="BZ115" s="1479">
        <f t="shared" ca="1" si="50"/>
        <v>1.5547999999998841</v>
      </c>
      <c r="CA115" s="1479">
        <f t="shared" ca="1" si="51"/>
        <v>5.2544999999996058</v>
      </c>
      <c r="CB115" s="1479">
        <f t="shared" ca="1" si="52"/>
        <v>2.3321999999998262</v>
      </c>
      <c r="CC115" s="1479">
        <f t="shared" ca="1" si="53"/>
        <v>3.0177999999998839</v>
      </c>
      <c r="CD115" s="1479">
        <f t="shared" ca="1" si="54"/>
        <v>4.7274999999997265</v>
      </c>
      <c r="CE115" s="1479">
        <f ca="1">IF(B115&gt;=$J$5,0,CONTADORES!BS113-CONTADORES!BS112)</f>
        <v>3.9000000000005457</v>
      </c>
      <c r="CF115" s="1479">
        <f t="shared" ca="1" si="55"/>
        <v>4.7274999999997265</v>
      </c>
      <c r="CG115" s="1479">
        <f t="shared" ca="1" si="56"/>
        <v>0.6115000000000006</v>
      </c>
      <c r="CH115" s="1479">
        <f t="shared" ca="1" si="57"/>
        <v>0.6115000000000006</v>
      </c>
      <c r="CI115" s="1479">
        <f t="shared" ca="1" si="58"/>
        <v>1.4185000000000008</v>
      </c>
      <c r="CJ115" s="1480">
        <f ca="1">IF($B115&gt;=$J$5,0,CONTADORES!$BG113)</f>
        <v>9779.0691189899899</v>
      </c>
      <c r="CK115" s="1384">
        <f>CONTADORES!E113</f>
        <v>0</v>
      </c>
      <c r="CL115" s="1384">
        <f>CONTADORES!BX113</f>
        <v>0</v>
      </c>
    </row>
    <row r="116" spans="2:90">
      <c r="B116" s="410">
        <v>45032</v>
      </c>
      <c r="C116" s="204">
        <f t="shared" ca="1" si="33"/>
        <v>380</v>
      </c>
      <c r="D116" s="202">
        <f ca="1">'CALCULO DE GAS'!D121</f>
        <v>5.7183388004883167</v>
      </c>
      <c r="E116" s="202">
        <f ca="1">IF(B116&gt;=$J$5,0,(CONTADORES!$AB114-CONTADORES!$AB113)-$H116)</f>
        <v>24</v>
      </c>
      <c r="F116" s="204">
        <f t="shared" ca="1" si="60"/>
        <v>0</v>
      </c>
      <c r="G116" s="202">
        <f ca="1">IF(B116&gt;=$J$5,0,CONTADORES!$AD114-CONTADORES!$AD113)</f>
        <v>0</v>
      </c>
      <c r="H116" s="1437">
        <f ca="1">IF(G116&gt;0,CONTADORES!$AC114-CONTADORES!$AC113,0)</f>
        <v>0</v>
      </c>
      <c r="I116" s="205">
        <f ca="1">IF(B116&gt;=$J$5,0,CONTADORES!$Z114-CONTADORES!$Z113)</f>
        <v>380</v>
      </c>
      <c r="J116" s="204">
        <f t="shared" ca="1" si="34"/>
        <v>62.599999999998545</v>
      </c>
      <c r="K116" s="202">
        <f ca="1">'CALCULO DE GAS'!E121</f>
        <v>3.0635595887687357</v>
      </c>
      <c r="L116" s="1437">
        <f ca="1">IF(B116&gt;=$J$5,0,(CONTADORES!$W114-CONTADORES!$W113)-$O116)</f>
        <v>18</v>
      </c>
      <c r="M116" s="1437">
        <f t="shared" ca="1" si="62"/>
        <v>0</v>
      </c>
      <c r="N116" s="1437">
        <f ca="1">IF(B116&gt;=$J$5,0,CONTADORES!$Y114-CONTADORES!$Y113)</f>
        <v>0</v>
      </c>
      <c r="O116" s="1437">
        <f ca="1">IF(N116&gt;0,CONTADORES!$X114-CONTADORES!$X113,0)</f>
        <v>0</v>
      </c>
      <c r="P116" s="208">
        <f ca="1">IF(B116&gt;=$J$5,0,CONTADORES!$U114-CONTADORES!$U113)</f>
        <v>62.599999999998545</v>
      </c>
      <c r="Q116" s="208">
        <f ca="1">IF(B116&gt;=$J$5,0,CONTADORES!$B114-CONTADORES!$B113)</f>
        <v>0</v>
      </c>
      <c r="R116" s="202">
        <f t="shared" ca="1" si="35"/>
        <v>0</v>
      </c>
      <c r="S116" s="11">
        <f ca="1">IF(B116&gt;=$J$5,0,CONTADORES!$D114-CONTADORES!$D113)</f>
        <v>0</v>
      </c>
      <c r="T116" s="204">
        <f ca="1">IF(B116&gt;=$J$5,0,CONTADORES!$AZ114-CONTADORES!$AZ113)</f>
        <v>3.6359999999999673</v>
      </c>
      <c r="U116" s="202">
        <f t="shared" ca="1" si="61"/>
        <v>436.31999999999607</v>
      </c>
      <c r="V116" s="205">
        <f ca="1">IF(B116&gt;=$J$5,0,CONTADORES!$BB114-CONTADORES!$BB113)</f>
        <v>4</v>
      </c>
      <c r="W116" s="1438">
        <f t="shared" ca="1" si="37"/>
        <v>442.59999999999854</v>
      </c>
      <c r="X116" s="1438">
        <f t="shared" ca="1" si="38"/>
        <v>3.6359999999999673</v>
      </c>
      <c r="Y116" s="1439">
        <f t="shared" ca="1" si="39"/>
        <v>446.23599999999851</v>
      </c>
      <c r="Z116" s="1439">
        <f t="shared" ca="1" si="40"/>
        <v>8.7818983892570515</v>
      </c>
      <c r="AA116" s="1439">
        <f t="shared" ca="1" si="41"/>
        <v>436.31999999999607</v>
      </c>
      <c r="AB116" s="1439">
        <f t="shared" ca="1" si="42"/>
        <v>42</v>
      </c>
      <c r="AC116" s="1438">
        <f t="shared" ca="1" si="43"/>
        <v>4</v>
      </c>
      <c r="AD116" s="1479">
        <f ca="1">IF(B116&gt;=$J$5,0,CONTADORES!H114-CONTADORES!H113)</f>
        <v>162</v>
      </c>
      <c r="AE116" s="1443">
        <f ca="1">IF(B116&gt;=$J$5,0,CONTADORES!J114-CONTADORES!J113)</f>
        <v>24</v>
      </c>
      <c r="AF116" s="1479">
        <f ca="1">IF(B116&gt;=$J$5,0,CONTADORES!AS114-CONTADORES!AS113)</f>
        <v>150</v>
      </c>
      <c r="AG116" s="1438">
        <f ca="1">IF(B116&gt;=$J$5,0,CONTADORES!AU114-CONTADORES!AU113)</f>
        <v>24</v>
      </c>
      <c r="AH116" s="1438">
        <f ca="1">IF(B116&gt;=$J$5,0,(CONTADORES!AK114-CONTADORES!AK113)+(CONTADORES!K114-CONTADORES!K113))</f>
        <v>9.1999999999970896</v>
      </c>
      <c r="AI116" s="1438">
        <f ca="1">IF(B116&gt;=$J$5,0,(CONTADORES!AI114-CONTADORES!AI113)+(CONTADORES!M114-CONTADORES!M113))</f>
        <v>41.30000000000291</v>
      </c>
      <c r="AJ116" s="1438">
        <f ca="1">IF(B116&gt;=$J$5,0,(CONTADORES!AG114-CONTADORES!AG113))</f>
        <v>7</v>
      </c>
      <c r="AK116" s="1438">
        <f ca="1">IF(B116&gt;=$J$5,0,(CONTADORES!O114-CONTADORES!O113))</f>
        <v>14.5</v>
      </c>
      <c r="AL116" s="1438">
        <f t="shared" ca="1" si="44"/>
        <v>36.935999999999183</v>
      </c>
      <c r="AM116" s="1438">
        <f ca="1">IF(B116&gt;=$J$5,0,(((CONTADORES!F114-CONTADORES!F113)+(CONTADORES!AO114-CONTADORES!AO113))))-BJ116-AF116-AN116-BM116-BP116-BU116-BS116</f>
        <v>7.2760000000002609</v>
      </c>
      <c r="AN116" s="1438">
        <f ca="1">IF(B116&gt;=$J$5,0,(CONTADORES!AV114-CONTADORES!AV113)+(CONTADORES!AX114-CONTADORES!AX113)+(CONTADORES!BC114-CONTADORES!BC113))-BS116</f>
        <v>3.8579999999993633</v>
      </c>
      <c r="AO116" s="1440">
        <f ca="1">IF(B116&gt;=$J$5,0,(CONTADORES!AA114-CONTADORES!AA113))</f>
        <v>199</v>
      </c>
      <c r="AP116" s="1440">
        <f ca="1">IF(B116&gt;=$J$5,0,(CONTADORES!V114-CONTADORES!V113))</f>
        <v>32</v>
      </c>
      <c r="AQ116" s="1445">
        <f ca="1">IF(B116&gt;=$J$5,0,(CONTADORES!C114-CONTADORES!C113))</f>
        <v>0</v>
      </c>
      <c r="AR116" s="1440">
        <f ca="1">IF(B116&gt;=$J$5,0,(CONTADORES!BA114-CONTADORES!BA113))</f>
        <v>1.3949999999999818</v>
      </c>
      <c r="AS116" s="1479">
        <f ca="1">IF(B116&gt;=$J$5,0,CONTADORES!Q114-CONTADORES!Q113)</f>
        <v>14.300000000017462</v>
      </c>
      <c r="AT116" s="1479">
        <f ca="1">IF(B116&gt;=$J$5,0,(CONTADORES!S114-CONTADORES!S113)+(CONTADORES!AE114-CONTADORES!AE113))</f>
        <v>2.4000000000014552</v>
      </c>
      <c r="AU116" s="1450">
        <f>CONTADORES!I114-CONTADORES!I113</f>
        <v>83</v>
      </c>
      <c r="AV116" s="1479">
        <f>CONTADORES!AT114-CONTADORES!AT113</f>
        <v>65</v>
      </c>
      <c r="AW116" s="1479">
        <f ca="1">IF(B116&gt;=$J$5,0,(CONTADORES!L114-CONTADORES!L113)+(CONTADORES!AL114-CONTADORES!AL113))</f>
        <v>3.4000000000014552</v>
      </c>
      <c r="AX116" s="1479">
        <f ca="1">IF(B116&gt;=$J$5,0,(CONTADORES!N114-CONTADORES!N113)+(CONTADORES!AJ114-CONTADORES!AJ113))</f>
        <v>33.80000000000291</v>
      </c>
      <c r="AY116" s="1479">
        <f ca="1">IF(B116&gt;=$J$5,0,(CONTADORES!AH114-CONTADORES!AH113))</f>
        <v>5.2000000000043656</v>
      </c>
      <c r="AZ116" s="1479">
        <f ca="1">IF(B116&gt;=$J$5,0,(CONTADORES!P114-CONTADORES!P113))</f>
        <v>11.69999999999709</v>
      </c>
      <c r="BA116" s="1450">
        <f t="shared" ca="1" si="45"/>
        <v>14.653999999994511</v>
      </c>
      <c r="BB116" s="1450">
        <f ca="1">IF(B115&gt;=$J$5,0,(((CONTADORES!G114-CONTADORES!G113)+(CONTADORES!AP114-CONTADORES!AP113))))-AV116-BC116-BK116-BN116-BQ116-BV116</f>
        <v>8.2050000000000907</v>
      </c>
      <c r="BC116" s="1479">
        <f ca="1">IF(B116&gt;=$J$5,0,(CONTADORES!AW114-CONTADORES!AW113)+(CONTADORES!AY114-CONTADORES!AY113)+(CONTADORES!BD114-CONTADORES!BD113))-BT116</f>
        <v>1.3589999999999089</v>
      </c>
      <c r="BD116" s="1438">
        <f t="shared" ca="1" si="46"/>
        <v>232.39499999999998</v>
      </c>
      <c r="BE116" s="1439">
        <f ca="1">IF($B116&gt;=$J$5,0,CONTADORES!$BE114)</f>
        <v>5404.84</v>
      </c>
      <c r="BF116" s="1438">
        <f ca="1">IF($B116&gt;=$J$5,0,CONTADORES!$BF114)</f>
        <v>33610.575438596497</v>
      </c>
      <c r="BG116" s="1438">
        <f ca="1">IF($B116&gt;=$J$5,0,CONTADORES!$BH114)</f>
        <v>5376.88</v>
      </c>
      <c r="BH116" s="1438">
        <f ca="1">IF(B116&gt;=$J$5,0,(CONTADORES!AQ114-CONTADORES!AQ113))</f>
        <v>4</v>
      </c>
      <c r="BI116" s="1438">
        <f ca="1">IF(C116&gt;=$J$5,0,(CONTADORES!AR114-CONTADORES!AR113))</f>
        <v>0</v>
      </c>
      <c r="BJ116" s="1450">
        <f ca="1">IF(B116&gt;=$J$5,0,CONTADORES!BI114-CONTADORES!BI113)/1000</f>
        <v>2.2999999999999998</v>
      </c>
      <c r="BK116" s="1479">
        <f ca="1">IF(B116&gt;=$J$5,0,CONTADORES!BJ114-CONTADORES!BJ113)</f>
        <v>1</v>
      </c>
      <c r="BL116" s="1479">
        <f ca="1">IF(B116&gt;=$J$5,0,CONTADORES!BK114-CONTADORES!BK113)</f>
        <v>24</v>
      </c>
      <c r="BM116" s="1479">
        <f ca="1">IF(B116&gt;=$J$5,0,CONTADORES!BL114-CONTADORES!BL113)/1000</f>
        <v>0</v>
      </c>
      <c r="BN116" s="1479">
        <f ca="1">IF(B116&gt;=$J$5,0,CONTADORES!BM114-CONTADORES!BM113)/1000</f>
        <v>0</v>
      </c>
      <c r="BO116" s="1479">
        <f ca="1">IF(B116&gt;=$J$5,0,CONTADORES!BN114-CONTADORES!BN113)</f>
        <v>0</v>
      </c>
      <c r="BP116" s="1479">
        <f ca="1">IF(B116&gt;=$J$5,0,CONTADORES!BO114-CONTADORES!BO113)/1000</f>
        <v>4.6239999999999997</v>
      </c>
      <c r="BQ116" s="1479">
        <f ca="1">IF(B116&gt;=$J$5,0,CONTADORES!BP114-CONTADORES!BP113)/1000</f>
        <v>0.436</v>
      </c>
      <c r="BR116" s="1479">
        <f ca="1">IF(B116&gt;=$J$5,0,CONTADORES!BQ114-CONTADORES!BQ113)</f>
        <v>24</v>
      </c>
      <c r="BS116" s="1450">
        <f ca="1">IF(B116&gt;=$J$5,0,(CONTADORES!BT114-CONTADORES!BT113)+(CONTADORES!BV114-CONTADORES!BV113))/1000</f>
        <v>1.3420000000000001</v>
      </c>
      <c r="BT116" s="1479">
        <f ca="1">IF(B116&gt;=$J$5,0,(CONTADORES!BU114-CONTADORES!BU113)+(CONTADORES!BW114-CONTADORES!BW113))/1000</f>
        <v>0.74099999999999999</v>
      </c>
      <c r="BU116" s="1450">
        <f ca="1">IF(B116&gt;=$J$5,0,CONTADORES!BR114-CONTADORES!BR113)</f>
        <v>5.8999999999996362</v>
      </c>
      <c r="BV116" s="1479">
        <f ca="1">IF(B116&gt;=$J$5,0,CONTADORES!BS114-CONTADORES!BS113)</f>
        <v>3.8999999999996362</v>
      </c>
      <c r="BW116" s="1479">
        <f t="shared" ca="1" si="47"/>
        <v>9.5379999999997658</v>
      </c>
      <c r="BX116" s="1479">
        <f t="shared" ca="1" si="48"/>
        <v>8.0024999999996815</v>
      </c>
      <c r="BY116" s="1479">
        <f t="shared" ca="1" si="49"/>
        <v>3.6380000000001305</v>
      </c>
      <c r="BZ116" s="1479">
        <f t="shared" ca="1" si="50"/>
        <v>1.5431999999997454</v>
      </c>
      <c r="CA116" s="1479">
        <f t="shared" ca="1" si="51"/>
        <v>3.6380000000001305</v>
      </c>
      <c r="CB116" s="1479">
        <f t="shared" ca="1" si="52"/>
        <v>2.3147999999996181</v>
      </c>
      <c r="CC116" s="1479">
        <f t="shared" ca="1" si="53"/>
        <v>2.8851999999997453</v>
      </c>
      <c r="CD116" s="1479">
        <f t="shared" ca="1" si="54"/>
        <v>4.1025000000000453</v>
      </c>
      <c r="CE116" s="1479">
        <f ca="1">IF(B116&gt;=$J$5,0,CONTADORES!BS114-CONTADORES!BS113)</f>
        <v>3.8999999999996362</v>
      </c>
      <c r="CF116" s="1479">
        <f t="shared" ca="1" si="55"/>
        <v>4.1025000000000453</v>
      </c>
      <c r="CG116" s="1479">
        <f t="shared" ca="1" si="56"/>
        <v>0.67949999999995447</v>
      </c>
      <c r="CH116" s="1479">
        <f t="shared" ca="1" si="57"/>
        <v>0.67949999999995447</v>
      </c>
      <c r="CI116" s="1479">
        <f t="shared" ca="1" si="58"/>
        <v>1.4204999999999544</v>
      </c>
      <c r="CJ116" s="1480">
        <f ca="1">IF($B116&gt;=$J$5,0,CONTADORES!$BG114)</f>
        <v>9960.2949223194501</v>
      </c>
      <c r="CK116" s="1384">
        <f>CONTADORES!E114</f>
        <v>0</v>
      </c>
      <c r="CL116" s="1384">
        <f>CONTADORES!BX114</f>
        <v>1</v>
      </c>
    </row>
    <row r="117" spans="2:90">
      <c r="B117" s="410">
        <v>45033</v>
      </c>
      <c r="C117" s="204">
        <f t="shared" ca="1" si="33"/>
        <v>427</v>
      </c>
      <c r="D117" s="202">
        <f ca="1">'CALCULO DE GAS'!D122</f>
        <v>6.1114535545866779</v>
      </c>
      <c r="E117" s="202">
        <f ca="1">IF(B117&gt;=$J$5,0,(CONTADORES!$AB115-CONTADORES!$AB114)-$H117)</f>
        <v>24</v>
      </c>
      <c r="F117" s="204">
        <f t="shared" ca="1" si="60"/>
        <v>0</v>
      </c>
      <c r="G117" s="202">
        <f ca="1">IF(B117&gt;=$J$5,0,CONTADORES!$AD115-CONTADORES!$AD114)</f>
        <v>0</v>
      </c>
      <c r="H117" s="1437">
        <f ca="1">IF(G117&gt;0,CONTADORES!$AC115-CONTADORES!$AC114,0)</f>
        <v>0</v>
      </c>
      <c r="I117" s="205">
        <f ca="1">IF(B117&gt;=$J$5,0,CONTADORES!$Z115-CONTADORES!$Z114)</f>
        <v>427</v>
      </c>
      <c r="J117" s="204">
        <f t="shared" ca="1" si="34"/>
        <v>0</v>
      </c>
      <c r="K117" s="202">
        <f ca="1">'CALCULO DE GAS'!E122</f>
        <v>0</v>
      </c>
      <c r="L117" s="1437">
        <f ca="1">IF(B117&gt;=$J$5,0,(CONTADORES!$W115-CONTADORES!$W114)-$O117)</f>
        <v>0</v>
      </c>
      <c r="M117" s="1437">
        <f t="shared" ca="1" si="62"/>
        <v>0</v>
      </c>
      <c r="N117" s="1437">
        <f ca="1">IF(B117&gt;=$J$5,0,CONTADORES!$Y115-CONTADORES!$Y114)</f>
        <v>0</v>
      </c>
      <c r="O117" s="1437">
        <f ca="1">IF(N117&gt;0,CONTADORES!$X115-CONTADORES!$X114,0)</f>
        <v>0</v>
      </c>
      <c r="P117" s="208">
        <f ca="1">IF(B117&gt;=$J$5,0,CONTADORES!$U115-CONTADORES!$U114)</f>
        <v>0</v>
      </c>
      <c r="Q117" s="208">
        <f ca="1">IF(B117&gt;=$J$5,0,CONTADORES!$B115-CONTADORES!$B114)</f>
        <v>1.7300000000000182</v>
      </c>
      <c r="R117" s="202">
        <f t="shared" ca="1" si="35"/>
        <v>207.60000000000218</v>
      </c>
      <c r="S117" s="11">
        <f ca="1">IF(B117&gt;=$J$5,0,CONTADORES!$D115-CONTADORES!$D114)</f>
        <v>2.1000000000003638</v>
      </c>
      <c r="T117" s="204">
        <f ca="1">IF(B117&gt;=$J$5,0,CONTADORES!$AZ115-CONTADORES!$AZ114)</f>
        <v>7.9139999999999873</v>
      </c>
      <c r="U117" s="202">
        <f t="shared" ca="1" si="61"/>
        <v>949.67999999999847</v>
      </c>
      <c r="V117" s="205">
        <f ca="1">IF(B117&gt;=$J$5,0,CONTADORES!$BB115-CONTADORES!$BB114)</f>
        <v>8.5999999999999091</v>
      </c>
      <c r="W117" s="1438">
        <f t="shared" ca="1" si="37"/>
        <v>427</v>
      </c>
      <c r="X117" s="1438">
        <f t="shared" ca="1" si="38"/>
        <v>9.6440000000000055</v>
      </c>
      <c r="Y117" s="1439">
        <f t="shared" ca="1" si="39"/>
        <v>436.64400000000001</v>
      </c>
      <c r="Z117" s="1439">
        <f t="shared" ca="1" si="40"/>
        <v>6.1114535545866779</v>
      </c>
      <c r="AA117" s="1439">
        <f t="shared" ca="1" si="41"/>
        <v>1157.2800000000007</v>
      </c>
      <c r="AB117" s="1439">
        <f t="shared" ca="1" si="42"/>
        <v>24</v>
      </c>
      <c r="AC117" s="1438">
        <f t="shared" ca="1" si="43"/>
        <v>10.700000000000273</v>
      </c>
      <c r="AD117" s="1479">
        <f ca="1">IF(B117&gt;=$J$5,0,CONTADORES!H115-CONTADORES!H114)</f>
        <v>163</v>
      </c>
      <c r="AE117" s="1443">
        <f ca="1">IF(B117&gt;=$J$5,0,CONTADORES!J115-CONTADORES!J114)</f>
        <v>24</v>
      </c>
      <c r="AF117" s="1479">
        <f ca="1">IF(B117&gt;=$J$5,0,CONTADORES!AS115-CONTADORES!AS114)</f>
        <v>147</v>
      </c>
      <c r="AG117" s="1438">
        <f ca="1">IF(B117&gt;=$J$5,0,CONTADORES!AU115-CONTADORES!AU114)</f>
        <v>24</v>
      </c>
      <c r="AH117" s="1438">
        <f ca="1">IF(B117&gt;=$J$5,0,(CONTADORES!AK115-CONTADORES!AK114)+(CONTADORES!K115-CONTADORES!K114))</f>
        <v>7.5999999999985448</v>
      </c>
      <c r="AI117" s="1438">
        <f ca="1">IF(B117&gt;=$J$5,0,(CONTADORES!AI115-CONTADORES!AI114)+(CONTADORES!M115-CONTADORES!M114))</f>
        <v>39.30000000000291</v>
      </c>
      <c r="AJ117" s="1438">
        <f ca="1">IF(B117&gt;=$J$5,0,(CONTADORES!AG115-CONTADORES!AG114))</f>
        <v>7</v>
      </c>
      <c r="AK117" s="1438">
        <f ca="1">IF(B117&gt;=$J$5,0,(CONTADORES!O115-CONTADORES!O114))</f>
        <v>13.800000000017462</v>
      </c>
      <c r="AL117" s="1438">
        <f t="shared" ca="1" si="44"/>
        <v>38.543999999979633</v>
      </c>
      <c r="AM117" s="1438">
        <f ca="1">IF(B117&gt;=$J$5,0,(((CONTADORES!F115-CONTADORES!F114)+(CONTADORES!AO115-CONTADORES!AO114))))-BJ117-AF117-AN117-BM117-BP117-BU117-BS117</f>
        <v>3.0390000000022841</v>
      </c>
      <c r="AN117" s="1438">
        <f ca="1">IF(B117&gt;=$J$5,0,(CONTADORES!AV115-CONTADORES!AV114)+(CONTADORES!AX115-CONTADORES!AX114)+(CONTADORES!BC115-CONTADORES!BC114))-BS117</f>
        <v>3.844000000000273</v>
      </c>
      <c r="AO117" s="1440">
        <f ca="1">IF(B117&gt;=$J$5,0,(CONTADORES!AA115-CONTADORES!AA114))</f>
        <v>225</v>
      </c>
      <c r="AP117" s="1440">
        <f ca="1">IF(B117&gt;=$J$5,0,(CONTADORES!V115-CONTADORES!V114))</f>
        <v>0</v>
      </c>
      <c r="AQ117" s="1445">
        <f ca="1">IF(B117&gt;=$J$5,0,(CONTADORES!C115-CONTADORES!C114))</f>
        <v>0.86900000000002819</v>
      </c>
      <c r="AR117" s="1440">
        <f ca="1">IF(B117&gt;=$J$5,0,(CONTADORES!BA115-CONTADORES!BA114))</f>
        <v>3.0380000000000109</v>
      </c>
      <c r="AS117" s="1479">
        <f ca="1">IF(B117&gt;=$J$5,0,CONTADORES!Q115-CONTADORES!Q114)</f>
        <v>13.199999999982538</v>
      </c>
      <c r="AT117" s="1479">
        <f ca="1">IF(B117&gt;=$J$5,0,(CONTADORES!S115-CONTADORES!S114)+(CONTADORES!AE115-CONTADORES!AE114))</f>
        <v>2.0999999999985448</v>
      </c>
      <c r="AU117" s="1450">
        <f>CONTADORES!I115-CONTADORES!I114</f>
        <v>82</v>
      </c>
      <c r="AV117" s="1479">
        <f>CONTADORES!AT115-CONTADORES!AT114</f>
        <v>63</v>
      </c>
      <c r="AW117" s="1479">
        <f ca="1">IF(B117&gt;=$J$5,0,(CONTADORES!L115-CONTADORES!L114)+(CONTADORES!AL115-CONTADORES!AL114))</f>
        <v>2.8999999999978172</v>
      </c>
      <c r="AX117" s="1479">
        <f ca="1">IF(B117&gt;=$J$5,0,(CONTADORES!N115-CONTADORES!N114)+(CONTADORES!AJ115-CONTADORES!AJ114))</f>
        <v>32.099999999998545</v>
      </c>
      <c r="AY117" s="1479">
        <f ca="1">IF(B117&gt;=$J$5,0,(CONTADORES!AH115-CONTADORES!AH114))</f>
        <v>5.2999999999956344</v>
      </c>
      <c r="AZ117" s="1479">
        <f ca="1">IF(B117&gt;=$J$5,0,(CONTADORES!P115-CONTADORES!P114))</f>
        <v>11.099999999991269</v>
      </c>
      <c r="BA117" s="1450">
        <f t="shared" ca="1" si="45"/>
        <v>18.46500000001663</v>
      </c>
      <c r="BB117" s="1450">
        <f ca="1">IF(B116&gt;=$J$5,0,(((CONTADORES!G115-CONTADORES!G114)+(CONTADORES!AP115-CONTADORES!AP114))))-AV117-BC117-BK117-BN117-BQ117-BV117</f>
        <v>6.4770000000004551</v>
      </c>
      <c r="BC117" s="1479">
        <f ca="1">IF(B117&gt;=$J$5,0,(CONTADORES!AW115-CONTADORES!AW114)+(CONTADORES!AY115-CONTADORES!AY114)+(CONTADORES!BD115-CONTADORES!BD114))-BT117</f>
        <v>1.158000000000091</v>
      </c>
      <c r="BD117" s="1438">
        <f t="shared" ca="1" si="46"/>
        <v>228.90700000000004</v>
      </c>
      <c r="BE117" s="1439">
        <f ca="1">IF($B117&gt;=$J$5,0,CONTADORES!$BE115)</f>
        <v>5892.79</v>
      </c>
      <c r="BF117" s="1438">
        <f ca="1">IF($B117&gt;=$J$5,0,CONTADORES!$BF115)</f>
        <v>31634.173684210498</v>
      </c>
      <c r="BG117" s="1438">
        <f ca="1">IF($B117&gt;=$J$5,0,CONTADORES!$BH115)</f>
        <v>4959.7</v>
      </c>
      <c r="BH117" s="1438">
        <f ca="1">IF(B117&gt;=$J$5,0,(CONTADORES!AQ115-CONTADORES!AQ114))</f>
        <v>5</v>
      </c>
      <c r="BI117" s="1438">
        <f ca="1">IF(C117&gt;=$J$5,0,(CONTADORES!AR115-CONTADORES!AR114))</f>
        <v>0</v>
      </c>
      <c r="BJ117" s="1450">
        <f ca="1">IF(B117&gt;=$J$5,0,CONTADORES!BI115-CONTADORES!BI114)/1000</f>
        <v>2.2000000000000002</v>
      </c>
      <c r="BK117" s="1479">
        <f ca="1">IF(B117&gt;=$J$5,0,CONTADORES!BJ115-CONTADORES!BJ114)</f>
        <v>1</v>
      </c>
      <c r="BL117" s="1479">
        <f ca="1">IF(B117&gt;=$J$5,0,CONTADORES!BK115-CONTADORES!BK114)</f>
        <v>24</v>
      </c>
      <c r="BM117" s="1479">
        <f ca="1">IF(B117&gt;=$J$5,0,CONTADORES!BL115-CONTADORES!BL114)/1000</f>
        <v>0</v>
      </c>
      <c r="BN117" s="1479">
        <f ca="1">IF(B117&gt;=$J$5,0,CONTADORES!BM115-CONTADORES!BM114)/1000</f>
        <v>0</v>
      </c>
      <c r="BO117" s="1479">
        <f ca="1">IF(B117&gt;=$J$5,0,CONTADORES!BN115-CONTADORES!BN114)</f>
        <v>0</v>
      </c>
      <c r="BP117" s="1479">
        <f ca="1">IF(B117&gt;=$J$5,0,CONTADORES!BO115-CONTADORES!BO114)/1000</f>
        <v>4.7610000000000001</v>
      </c>
      <c r="BQ117" s="1479">
        <f ca="1">IF(B117&gt;=$J$5,0,CONTADORES!BP115-CONTADORES!BP114)/1000</f>
        <v>0.76500000000000001</v>
      </c>
      <c r="BR117" s="1479">
        <f ca="1">IF(B117&gt;=$J$5,0,CONTADORES!BQ115-CONTADORES!BQ114)</f>
        <v>24</v>
      </c>
      <c r="BS117" s="1450">
        <f ca="1">IF(B117&gt;=$J$5,0,(CONTADORES!BT115-CONTADORES!BT114)+(CONTADORES!BV115-CONTADORES!BV114))/1000</f>
        <v>1.3560000000000001</v>
      </c>
      <c r="BT117" s="1479">
        <f ca="1">IF(B117&gt;=$J$5,0,(CONTADORES!BU115-CONTADORES!BU114)+(CONTADORES!BW115-CONTADORES!BW114))/1000</f>
        <v>0.74199999999999999</v>
      </c>
      <c r="BU117" s="1450">
        <f ca="1">IF(B117&gt;=$J$5,0,CONTADORES!BR115-CONTADORES!BR114)</f>
        <v>5.1999999999989086</v>
      </c>
      <c r="BV117" s="1479">
        <f ca="1">IF(B117&gt;=$J$5,0,CONTADORES!BS115-CONTADORES!BS114)</f>
        <v>3.8999999999996362</v>
      </c>
      <c r="BW117" s="1479">
        <f t="shared" ca="1" si="47"/>
        <v>6.7195000000000507</v>
      </c>
      <c r="BX117" s="1479">
        <f t="shared" ca="1" si="48"/>
        <v>7.1384999999998637</v>
      </c>
      <c r="BY117" s="1479">
        <f t="shared" ca="1" si="49"/>
        <v>1.519500000001142</v>
      </c>
      <c r="BZ117" s="1479">
        <f t="shared" ca="1" si="50"/>
        <v>1.5376000000001093</v>
      </c>
      <c r="CA117" s="1479">
        <f t="shared" ca="1" si="51"/>
        <v>1.519500000001142</v>
      </c>
      <c r="CB117" s="1479">
        <f t="shared" ca="1" si="52"/>
        <v>2.3064000000001634</v>
      </c>
      <c r="CC117" s="1479">
        <f t="shared" ca="1" si="53"/>
        <v>2.8936000000001094</v>
      </c>
      <c r="CD117" s="1479">
        <f t="shared" ca="1" si="54"/>
        <v>3.2385000000002275</v>
      </c>
      <c r="CE117" s="1479">
        <f ca="1">IF(B117&gt;=$J$5,0,CONTADORES!BS115-CONTADORES!BS114)</f>
        <v>3.8999999999996362</v>
      </c>
      <c r="CF117" s="1479">
        <f t="shared" ca="1" si="55"/>
        <v>3.2385000000002275</v>
      </c>
      <c r="CG117" s="1479">
        <f t="shared" ca="1" si="56"/>
        <v>0.57900000000004548</v>
      </c>
      <c r="CH117" s="1479">
        <f t="shared" ca="1" si="57"/>
        <v>0.57900000000004548</v>
      </c>
      <c r="CI117" s="1479">
        <f t="shared" ca="1" si="58"/>
        <v>1.3210000000000455</v>
      </c>
      <c r="CJ117" s="1480">
        <f ca="1">IF($B117&gt;=$J$5,0,CONTADORES!$BG115)</f>
        <v>10484.473646685799</v>
      </c>
      <c r="CK117" s="1384">
        <f>CONTADORES!E115</f>
        <v>0.4</v>
      </c>
      <c r="CL117" s="1384">
        <f>CONTADORES!BX115</f>
        <v>1</v>
      </c>
    </row>
    <row r="118" spans="2:90">
      <c r="B118" s="410">
        <v>45034</v>
      </c>
      <c r="C118" s="204">
        <f t="shared" ca="1" si="33"/>
        <v>438</v>
      </c>
      <c r="D118" s="202">
        <f ca="1">'CALCULO DE GAS'!D123</f>
        <v>6.2034591353331034</v>
      </c>
      <c r="E118" s="202">
        <f ca="1">IF(B118&gt;=$J$5,0,(CONTADORES!$AB116-CONTADORES!$AB115)-$H118)</f>
        <v>24</v>
      </c>
      <c r="F118" s="204">
        <f t="shared" ca="1" si="60"/>
        <v>0</v>
      </c>
      <c r="G118" s="202">
        <f ca="1">IF(B118&gt;=$J$5,0,CONTADORES!$AD116-CONTADORES!$AD115)</f>
        <v>0</v>
      </c>
      <c r="H118" s="1437">
        <f ca="1">IF(G118&gt;0,CONTADORES!$AC116-CONTADORES!$AC115,0)</f>
        <v>0</v>
      </c>
      <c r="I118" s="205">
        <f ca="1">IF(B118&gt;=$J$5,0,CONTADORES!$Z116-CONTADORES!$Z115)</f>
        <v>438</v>
      </c>
      <c r="J118" s="204">
        <f t="shared" ca="1" si="34"/>
        <v>0</v>
      </c>
      <c r="K118" s="202">
        <f ca="1">'CALCULO DE GAS'!E123</f>
        <v>0</v>
      </c>
      <c r="L118" s="1437">
        <f ca="1">IF(B118&gt;=$J$5,0,(CONTADORES!$W116-CONTADORES!$W115)-$O118)</f>
        <v>0</v>
      </c>
      <c r="M118" s="1437">
        <f t="shared" ca="1" si="62"/>
        <v>0</v>
      </c>
      <c r="N118" s="1437">
        <f ca="1">IF(B118&gt;=$J$5,0,CONTADORES!$Y116-CONTADORES!$Y115)</f>
        <v>0</v>
      </c>
      <c r="O118" s="1437">
        <f ca="1">IF(N118&gt;0,CONTADORES!$X116-CONTADORES!$X115,0)</f>
        <v>0</v>
      </c>
      <c r="P118" s="208">
        <f ca="1">IF(B118&gt;=$J$5,0,CONTADORES!$U116-CONTADORES!$U115)</f>
        <v>0</v>
      </c>
      <c r="Q118" s="208">
        <f ca="1">IF(B118&gt;=$J$5,0,CONTADORES!$B116-CONTADORES!$B115)</f>
        <v>0</v>
      </c>
      <c r="R118" s="202">
        <f t="shared" ca="1" si="35"/>
        <v>0</v>
      </c>
      <c r="S118" s="11">
        <f ca="1">IF(B118&gt;=$J$5,0,CONTADORES!$D116-CONTADORES!$D115)</f>
        <v>0</v>
      </c>
      <c r="T118" s="204">
        <f ca="1">IF(B118&gt;=$J$5,0,CONTADORES!$AZ116-CONTADORES!$AZ115)</f>
        <v>10.381999999999948</v>
      </c>
      <c r="U118" s="202">
        <f t="shared" ca="1" si="61"/>
        <v>1245.8399999999938</v>
      </c>
      <c r="V118" s="205">
        <f ca="1">IF(B118&gt;=$J$5,0,CONTADORES!$BB116-CONTADORES!$BB115)</f>
        <v>11.200000000000045</v>
      </c>
      <c r="W118" s="1438">
        <f t="shared" ca="1" si="37"/>
        <v>438</v>
      </c>
      <c r="X118" s="1438">
        <f t="shared" ca="1" si="38"/>
        <v>10.381999999999948</v>
      </c>
      <c r="Y118" s="1439">
        <f t="shared" ca="1" si="39"/>
        <v>448.38199999999995</v>
      </c>
      <c r="Z118" s="1439">
        <f t="shared" ca="1" si="40"/>
        <v>6.2034591353331034</v>
      </c>
      <c r="AA118" s="1439">
        <f t="shared" ca="1" si="41"/>
        <v>1245.8399999999938</v>
      </c>
      <c r="AB118" s="1439">
        <f t="shared" ca="1" si="42"/>
        <v>24</v>
      </c>
      <c r="AC118" s="1438">
        <f t="shared" ca="1" si="43"/>
        <v>11.200000000000045</v>
      </c>
      <c r="AD118" s="1479">
        <f ca="1">IF(B118&gt;=$J$5,0,CONTADORES!H116-CONTADORES!H115)</f>
        <v>166</v>
      </c>
      <c r="AE118" s="1443">
        <f ca="1">IF(B118&gt;=$J$5,0,CONTADORES!J116-CONTADORES!J115)</f>
        <v>24</v>
      </c>
      <c r="AF118" s="1479">
        <f ca="1">IF(B118&gt;=$J$5,0,CONTADORES!AS116-CONTADORES!AS115)</f>
        <v>147</v>
      </c>
      <c r="AG118" s="1438">
        <f ca="1">IF(B118&gt;=$J$5,0,CONTADORES!AU116-CONTADORES!AU115)</f>
        <v>24</v>
      </c>
      <c r="AH118" s="1438">
        <f ca="1">IF(B118&gt;=$J$5,0,(CONTADORES!AK116-CONTADORES!AK115)+(CONTADORES!K116-CONTADORES!K115))</f>
        <v>15.600000000005821</v>
      </c>
      <c r="AI118" s="1438">
        <f ca="1">IF(B118&gt;=$J$5,0,(CONTADORES!AI116-CONTADORES!AI115)+(CONTADORES!M116-CONTADORES!M115))</f>
        <v>39.799999999995634</v>
      </c>
      <c r="AJ118" s="1438">
        <f ca="1">IF(B118&gt;=$J$5,0,(CONTADORES!AG116-CONTADORES!AG115))</f>
        <v>5.6000000000058208</v>
      </c>
      <c r="AK118" s="1438">
        <f ca="1">IF(B118&gt;=$J$5,0,(CONTADORES!O116-CONTADORES!O115))</f>
        <v>14.399999999994179</v>
      </c>
      <c r="AL118" s="1438">
        <f t="shared" ca="1" si="44"/>
        <v>41.78200000000146</v>
      </c>
      <c r="AM118" s="1438">
        <f ca="1">IF(B118&gt;=$J$5,0,(((CONTADORES!F116-CONTADORES!F115)+(CONTADORES!AO116-CONTADORES!AO115))))-BJ118-AF118-AN118-BM118-BP118-BU118-BS118</f>
        <v>0.56299999999673722</v>
      </c>
      <c r="AN118" s="1438">
        <f ca="1">IF(B118&gt;=$J$5,0,(CONTADORES!AV116-CONTADORES!AV115)+(CONTADORES!AX116-CONTADORES!AX115)+(CONTADORES!BC116-CONTADORES!BC115))-BS118</f>
        <v>3.7020000000003641</v>
      </c>
      <c r="AO118" s="1440">
        <f ca="1">IF(B118&gt;=$J$5,0,(CONTADORES!AA116-CONTADORES!AA115))</f>
        <v>229</v>
      </c>
      <c r="AP118" s="1440">
        <f ca="1">IF(B118&gt;=$J$5,0,(CONTADORES!V116-CONTADORES!V115))</f>
        <v>0</v>
      </c>
      <c r="AQ118" s="1445">
        <f ca="1">IF(B118&gt;=$J$5,0,(CONTADORES!C116-CONTADORES!C115))</f>
        <v>0</v>
      </c>
      <c r="AR118" s="1440">
        <f ca="1">IF(B118&gt;=$J$5,0,(CONTADORES!BA116-CONTADORES!BA115))</f>
        <v>3.9920000000000186</v>
      </c>
      <c r="AS118" s="1479">
        <f ca="1">IF(B118&gt;=$J$5,0,CONTADORES!Q116-CONTADORES!Q115)</f>
        <v>14.200000000011642</v>
      </c>
      <c r="AT118" s="1479">
        <f ca="1">IF(B118&gt;=$J$5,0,(CONTADORES!S116-CONTADORES!S115)+(CONTADORES!AE116-CONTADORES!AE115))</f>
        <v>1.9000000000014552</v>
      </c>
      <c r="AU118" s="1450">
        <f>CONTADORES!I116-CONTADORES!I115</f>
        <v>83</v>
      </c>
      <c r="AV118" s="1479">
        <f>CONTADORES!AT116-CONTADORES!AT115</f>
        <v>63</v>
      </c>
      <c r="AW118" s="1479">
        <f ca="1">IF(B118&gt;=$J$5,0,(CONTADORES!L116-CONTADORES!L115)+(CONTADORES!AL116-CONTADORES!AL115))</f>
        <v>6</v>
      </c>
      <c r="AX118" s="1479">
        <f ca="1">IF(B118&gt;=$J$5,0,(CONTADORES!N116-CONTADORES!N115)+(CONTADORES!AJ116-CONTADORES!AJ115))</f>
        <v>32.5</v>
      </c>
      <c r="AY118" s="1479">
        <f ca="1">IF(B118&gt;=$J$5,0,(CONTADORES!AH116-CONTADORES!AH115))</f>
        <v>4.2000000000043656</v>
      </c>
      <c r="AZ118" s="1479">
        <f ca="1">IF(B118&gt;=$J$5,0,(CONTADORES!P116-CONTADORES!P115))</f>
        <v>11.100000000005821</v>
      </c>
      <c r="BA118" s="1450">
        <f t="shared" ca="1" si="45"/>
        <v>18.628999999989674</v>
      </c>
      <c r="BB118" s="1450">
        <f ca="1">IF(B117&gt;=$J$5,0,(((CONTADORES!G116-CONTADORES!G115)+(CONTADORES!AP116-CONTADORES!AP115))))-AV118-BC118-BK118-BN118-BQ118-BV118</f>
        <v>6.8739999999993628</v>
      </c>
      <c r="BC118" s="1479">
        <f ca="1">IF(B118&gt;=$J$5,0,(CONTADORES!AW116-CONTADORES!AW115)+(CONTADORES!AY116-CONTADORES!AY115)+(CONTADORES!BD116-CONTADORES!BD115))-BT118</f>
        <v>1.137000000000091</v>
      </c>
      <c r="BD118" s="1438">
        <f t="shared" ca="1" si="46"/>
        <v>232.99200000000002</v>
      </c>
      <c r="BE118" s="1439">
        <f ca="1">IF($B118&gt;=$J$5,0,CONTADORES!$BE116)</f>
        <v>5880.04</v>
      </c>
      <c r="BF118" s="1438">
        <f ca="1">IF($B118&gt;=$J$5,0,CONTADORES!$BF116)</f>
        <v>32593.391228070199</v>
      </c>
      <c r="BG118" s="1438">
        <f ca="1">IF($B118&gt;=$J$5,0,CONTADORES!$BH116)</f>
        <v>5797.72</v>
      </c>
      <c r="BH118" s="1438">
        <f ca="1">IF(B118&gt;=$J$5,0,(CONTADORES!AQ116-CONTADORES!AQ115))</f>
        <v>5</v>
      </c>
      <c r="BI118" s="1438">
        <f ca="1">IF(C118&gt;=$J$5,0,(CONTADORES!AR116-CONTADORES!AR115))</f>
        <v>0</v>
      </c>
      <c r="BJ118" s="1450">
        <f ca="1">IF(B118&gt;=$J$5,0,CONTADORES!BI116-CONTADORES!BI115)/1000</f>
        <v>2.2000000000000002</v>
      </c>
      <c r="BK118" s="1479">
        <f ca="1">IF(B118&gt;=$J$5,0,CONTADORES!BJ116-CONTADORES!BJ115)</f>
        <v>1</v>
      </c>
      <c r="BL118" s="1479">
        <f ca="1">IF(B118&gt;=$J$5,0,CONTADORES!BK116-CONTADORES!BK115)</f>
        <v>24</v>
      </c>
      <c r="BM118" s="1479">
        <f ca="1">IF(B118&gt;=$J$5,0,CONTADORES!BL116-CONTADORES!BL115)/1000</f>
        <v>0</v>
      </c>
      <c r="BN118" s="1479">
        <f ca="1">IF(B118&gt;=$J$5,0,CONTADORES!BM116-CONTADORES!BM115)/1000</f>
        <v>0</v>
      </c>
      <c r="BO118" s="1479">
        <f ca="1">IF(B118&gt;=$J$5,0,CONTADORES!BN116-CONTADORES!BN115)</f>
        <v>0</v>
      </c>
      <c r="BP118" s="1479">
        <f ca="1">IF(B118&gt;=$J$5,0,CONTADORES!BO116-CONTADORES!BO115)/1000</f>
        <v>4.8369999999999997</v>
      </c>
      <c r="BQ118" s="1479">
        <f ca="1">IF(B118&gt;=$J$5,0,CONTADORES!BP116-CONTADORES!BP115)/1000</f>
        <v>1.089</v>
      </c>
      <c r="BR118" s="1479">
        <f ca="1">IF(B118&gt;=$J$5,0,CONTADORES!BQ116-CONTADORES!BQ115)</f>
        <v>24</v>
      </c>
      <c r="BS118" s="1450">
        <f ca="1">IF(B118&gt;=$J$5,0,(CONTADORES!BT116-CONTADORES!BT115)+(CONTADORES!BV116-CONTADORES!BV115))/1000</f>
        <v>1.3979999999999999</v>
      </c>
      <c r="BT118" s="1479">
        <f ca="1">IF(B118&gt;=$J$5,0,(CONTADORES!BU116-CONTADORES!BU115)+(CONTADORES!BW116-CONTADORES!BW115))/1000</f>
        <v>0.76300000000000001</v>
      </c>
      <c r="BU118" s="1450">
        <f ca="1">IF(B118&gt;=$J$5,0,CONTADORES!BR116-CONTADORES!BR115)</f>
        <v>5.5</v>
      </c>
      <c r="BV118" s="1479">
        <f ca="1">IF(B118&gt;=$J$5,0,CONTADORES!BS116-CONTADORES!BS115)</f>
        <v>3.7000000000007276</v>
      </c>
      <c r="BW118" s="1479">
        <f t="shared" ca="1" si="47"/>
        <v>5.7814999999983687</v>
      </c>
      <c r="BX118" s="1479">
        <f t="shared" ca="1" si="48"/>
        <v>7.137000000000409</v>
      </c>
      <c r="BY118" s="1479">
        <f t="shared" ca="1" si="49"/>
        <v>0.28149999999836861</v>
      </c>
      <c r="BZ118" s="1479">
        <f t="shared" ca="1" si="50"/>
        <v>1.4808000000001458</v>
      </c>
      <c r="CA118" s="1479">
        <f t="shared" ca="1" si="51"/>
        <v>0.28149999999836861</v>
      </c>
      <c r="CB118" s="1479">
        <f t="shared" ca="1" si="52"/>
        <v>2.2212000000002181</v>
      </c>
      <c r="CC118" s="1479">
        <f t="shared" ca="1" si="53"/>
        <v>2.8788000000001457</v>
      </c>
      <c r="CD118" s="1479">
        <f t="shared" ca="1" si="54"/>
        <v>3.4369999999996814</v>
      </c>
      <c r="CE118" s="1479">
        <f ca="1">IF(B118&gt;=$J$5,0,CONTADORES!BS116-CONTADORES!BS115)</f>
        <v>3.7000000000007276</v>
      </c>
      <c r="CF118" s="1479">
        <f t="shared" ca="1" si="55"/>
        <v>3.4369999999996814</v>
      </c>
      <c r="CG118" s="1479">
        <f t="shared" ca="1" si="56"/>
        <v>0.56850000000004552</v>
      </c>
      <c r="CH118" s="1479">
        <f t="shared" ca="1" si="57"/>
        <v>0.56850000000004552</v>
      </c>
      <c r="CI118" s="1479">
        <f t="shared" ca="1" si="58"/>
        <v>1.3315000000000454</v>
      </c>
      <c r="CJ118" s="1480">
        <f ca="1">IF($B118&gt;=$J$5,0,CONTADORES!$BG116)</f>
        <v>10830.358417338301</v>
      </c>
      <c r="CK118" s="1384">
        <f>CONTADORES!E116</f>
        <v>0</v>
      </c>
      <c r="CL118" s="1384">
        <f>CONTADORES!BX116</f>
        <v>1</v>
      </c>
    </row>
    <row r="119" spans="2:90">
      <c r="B119" s="410">
        <v>45035</v>
      </c>
      <c r="C119" s="204">
        <f t="shared" ca="1" si="33"/>
        <v>326</v>
      </c>
      <c r="D119" s="202">
        <f ca="1">'CALCULO DE GAS'!D124</f>
        <v>5.266675040460413</v>
      </c>
      <c r="E119" s="202">
        <f ca="1">IF(B119&gt;=$J$5,0,(CONTADORES!$AB117-CONTADORES!$AB116)-$H119)</f>
        <v>24</v>
      </c>
      <c r="F119" s="204">
        <f t="shared" ref="F119:F150" ca="1" si="63">IF(H119=0,0,"ERROR")</f>
        <v>0</v>
      </c>
      <c r="G119" s="202">
        <f ca="1">IF(B119&gt;=$J$5,0,CONTADORES!$AD117-CONTADORES!$AD116)</f>
        <v>0</v>
      </c>
      <c r="H119" s="1437">
        <f ca="1">IF(G119&gt;0,CONTADORES!$AC117-CONTADORES!$AC116,0)</f>
        <v>0</v>
      </c>
      <c r="I119" s="205">
        <f ca="1">IF(B119&gt;=$J$5,0,CONTADORES!$Z117-CONTADORES!$Z116)</f>
        <v>326</v>
      </c>
      <c r="J119" s="204">
        <f t="shared" ca="1" si="34"/>
        <v>0</v>
      </c>
      <c r="K119" s="202">
        <f ca="1">'CALCULO DE GAS'!E124</f>
        <v>0</v>
      </c>
      <c r="L119" s="1437">
        <f ca="1">IF(B119&gt;=$J$5,0,(CONTADORES!$W117-CONTADORES!$W116)-$O119)</f>
        <v>0</v>
      </c>
      <c r="M119" s="1437">
        <f t="shared" ca="1" si="62"/>
        <v>0</v>
      </c>
      <c r="N119" s="1437">
        <f ca="1">IF(B119&gt;=$J$5,0,CONTADORES!$Y117-CONTADORES!$Y116)</f>
        <v>0</v>
      </c>
      <c r="O119" s="1437">
        <f ca="1">IF(N119&gt;0,CONTADORES!$X117-CONTADORES!$X116,0)</f>
        <v>0</v>
      </c>
      <c r="P119" s="208">
        <f ca="1">IF(B119&gt;=$J$5,0,CONTADORES!$U117-CONTADORES!$U116)</f>
        <v>0</v>
      </c>
      <c r="Q119" s="208">
        <f ca="1">IF(B119&gt;=$J$5,0,CONTADORES!$B117-CONTADORES!$B116)</f>
        <v>0</v>
      </c>
      <c r="R119" s="202">
        <f t="shared" ca="1" si="35"/>
        <v>0</v>
      </c>
      <c r="S119" s="11">
        <f ca="1">IF(B119&gt;=$J$5,0,CONTADORES!$D117-CONTADORES!$D116)</f>
        <v>0</v>
      </c>
      <c r="T119" s="204">
        <f ca="1">IF(B119&gt;=$J$5,0,CONTADORES!$AZ117-CONTADORES!$AZ116)</f>
        <v>2.94500000000005</v>
      </c>
      <c r="U119" s="202">
        <f t="shared" ca="1" si="61"/>
        <v>353.400000000006</v>
      </c>
      <c r="V119" s="205">
        <f ca="1">IF(B119&gt;=$J$5,0,CONTADORES!$BB117-CONTADORES!$BB116)</f>
        <v>3.0999999999999091</v>
      </c>
      <c r="W119" s="1438">
        <f t="shared" ca="1" si="37"/>
        <v>326</v>
      </c>
      <c r="X119" s="1438">
        <f t="shared" ca="1" si="38"/>
        <v>2.94500000000005</v>
      </c>
      <c r="Y119" s="1439">
        <f t="shared" ca="1" si="39"/>
        <v>328.94500000000005</v>
      </c>
      <c r="Z119" s="1439">
        <f t="shared" ca="1" si="40"/>
        <v>5.266675040460413</v>
      </c>
      <c r="AA119" s="1439">
        <f t="shared" ca="1" si="41"/>
        <v>353.400000000006</v>
      </c>
      <c r="AB119" s="1439">
        <f t="shared" ca="1" si="42"/>
        <v>24</v>
      </c>
      <c r="AC119" s="1438">
        <f t="shared" ca="1" si="43"/>
        <v>3.0999999999999091</v>
      </c>
      <c r="AD119" s="1479">
        <f ca="1">IF(B119&gt;=$J$5,0,CONTADORES!H117-CONTADORES!H116)</f>
        <v>166</v>
      </c>
      <c r="AE119" s="1443">
        <f ca="1">IF(B119&gt;=$J$5,0,CONTADORES!J117-CONTADORES!J116)</f>
        <v>24</v>
      </c>
      <c r="AF119" s="1479">
        <f ca="1">IF(B119&gt;=$J$5,0,CONTADORES!AS117-CONTADORES!AS116)</f>
        <v>41</v>
      </c>
      <c r="AG119" s="1438">
        <f ca="1">IF(B119&gt;=$J$5,0,CONTADORES!AU117-CONTADORES!AU116)</f>
        <v>6.3999999999941792</v>
      </c>
      <c r="AH119" s="1438">
        <f ca="1">IF(B119&gt;=$J$5,0,(CONTADORES!AK117-CONTADORES!AK116)+(CONTADORES!K117-CONTADORES!K116))</f>
        <v>7.1999999999970896</v>
      </c>
      <c r="AI119" s="1438">
        <f ca="1">IF(B119&gt;=$J$5,0,(CONTADORES!AI117-CONTADORES!AI116)+(CONTADORES!M117-CONTADORES!M116))</f>
        <v>40.5</v>
      </c>
      <c r="AJ119" s="1438">
        <f ca="1">IF(B119&gt;=$J$5,0,(CONTADORES!AG117-CONTADORES!AG116))</f>
        <v>6.5999999999912689</v>
      </c>
      <c r="AK119" s="1438">
        <f ca="1">IF(B119&gt;=$J$5,0,(CONTADORES!O117-CONTADORES!O116))</f>
        <v>10</v>
      </c>
      <c r="AL119" s="1438">
        <f t="shared" ca="1" si="44"/>
        <v>35.645000000011692</v>
      </c>
      <c r="AM119" s="1438">
        <f ca="1">IF(B119&gt;=$J$5,0,(((CONTADORES!F117-CONTADORES!F116)+(CONTADORES!AO117-CONTADORES!AO116))))-BJ119-AF119-AN119-BM119-BP119-BU119-BS119</f>
        <v>4.6059999999995425</v>
      </c>
      <c r="AN119" s="1438">
        <f ca="1">IF(B119&gt;=$J$5,0,(CONTADORES!AV117-CONTADORES!AV116)+(CONTADORES!AX117-CONTADORES!AX116)+(CONTADORES!BC117-CONTADORES!BC116))-BS119</f>
        <v>3.5840000000000911</v>
      </c>
      <c r="AO119" s="1440">
        <f ca="1">IF(B119&gt;=$J$5,0,(CONTADORES!AA117-CONTADORES!AA116))</f>
        <v>178</v>
      </c>
      <c r="AP119" s="1440">
        <f ca="1">IF(B119&gt;=$J$5,0,(CONTADORES!V117-CONTADORES!V116))</f>
        <v>0</v>
      </c>
      <c r="AQ119" s="1445">
        <f ca="1">IF(B119&gt;=$J$5,0,(CONTADORES!C117-CONTADORES!C116))</f>
        <v>0</v>
      </c>
      <c r="AR119" s="1440">
        <f ca="1">IF(B119&gt;=$J$5,0,(CONTADORES!BA117-CONTADORES!BA116))</f>
        <v>1.1299999999999955</v>
      </c>
      <c r="AS119" s="1479">
        <f ca="1">IF(B119&gt;=$J$5,0,CONTADORES!Q117-CONTADORES!Q116)</f>
        <v>15</v>
      </c>
      <c r="AT119" s="1479">
        <f ca="1">IF(B119&gt;=$J$5,0,(CONTADORES!S117-CONTADORES!S116)+(CONTADORES!AE117-CONTADORES!AE116))</f>
        <v>2.0999999999985448</v>
      </c>
      <c r="AU119" s="1450">
        <f>CONTADORES!I117-CONTADORES!I116</f>
        <v>83</v>
      </c>
      <c r="AV119" s="1479">
        <f>CONTADORES!AT117-CONTADORES!AT116</f>
        <v>18</v>
      </c>
      <c r="AW119" s="1479">
        <f ca="1">IF(B119&gt;=$J$5,0,(CONTADORES!L117-CONTADORES!L116)+(CONTADORES!AL117-CONTADORES!AL116))</f>
        <v>2.7000000000007276</v>
      </c>
      <c r="AX119" s="1479">
        <f ca="1">IF(B119&gt;=$J$5,0,(CONTADORES!N117-CONTADORES!N116)+(CONTADORES!AJ117-CONTADORES!AJ116))</f>
        <v>33.200000000004366</v>
      </c>
      <c r="AY119" s="1479">
        <f ca="1">IF(B119&gt;=$J$5,0,(CONTADORES!AH117-CONTADORES!AH116))</f>
        <v>5</v>
      </c>
      <c r="AZ119" s="1479">
        <f ca="1">IF(B119&gt;=$J$5,0,(CONTADORES!P117-CONTADORES!P116))</f>
        <v>9</v>
      </c>
      <c r="BA119" s="1450">
        <f t="shared" ca="1" si="45"/>
        <v>17.207999999995593</v>
      </c>
      <c r="BB119" s="1450">
        <f ca="1">IF(B118&gt;=$J$5,0,(((CONTADORES!G117-CONTADORES!G116)+(CONTADORES!AP117-CONTADORES!AP116))))-AV119-BC119-BK119-BN119-BQ119-BV119</f>
        <v>3.5109999999995445</v>
      </c>
      <c r="BC119" s="1479">
        <f ca="1">IF(B119&gt;=$J$5,0,(CONTADORES!AW117-CONTADORES!AW116)+(CONTADORES!AY117-CONTADORES!AY116)+(CONTADORES!BD117-CONTADORES!BD116))-BT119</f>
        <v>1.178000000000091</v>
      </c>
      <c r="BD119" s="1438">
        <f t="shared" ca="1" si="46"/>
        <v>179.13</v>
      </c>
      <c r="BE119" s="1439">
        <f ca="1">IF($B119&gt;=$J$5,0,CONTADORES!$BE117)</f>
        <v>5590.6</v>
      </c>
      <c r="BF119" s="1438">
        <f ca="1">IF($B119&gt;=$J$5,0,CONTADORES!$BF117)</f>
        <v>29024.963157894701</v>
      </c>
      <c r="BG119" s="1438">
        <f ca="1">IF($B119&gt;=$J$5,0,CONTADORES!$BH117)</f>
        <v>5155.2700000000004</v>
      </c>
      <c r="BH119" s="1438">
        <f ca="1">IF(B119&gt;=$J$5,0,(CONTADORES!AQ117-CONTADORES!AQ116))</f>
        <v>5</v>
      </c>
      <c r="BI119" s="1438">
        <f ca="1">IF(C119&gt;=$J$5,0,(CONTADORES!AR117-CONTADORES!AR116))</f>
        <v>0</v>
      </c>
      <c r="BJ119" s="1450">
        <f ca="1">IF(B119&gt;=$J$5,0,CONTADORES!BI117-CONTADORES!BI116)/1000</f>
        <v>2.2000000000000002</v>
      </c>
      <c r="BK119" s="1479">
        <f ca="1">IF(B119&gt;=$J$5,0,CONTADORES!BJ117-CONTADORES!BJ116)</f>
        <v>1</v>
      </c>
      <c r="BL119" s="1479">
        <f ca="1">IF(B119&gt;=$J$5,0,CONTADORES!BK117-CONTADORES!BK116)</f>
        <v>24</v>
      </c>
      <c r="BM119" s="1479">
        <f ca="1">IF(B119&gt;=$J$5,0,CONTADORES!BL117-CONTADORES!BL116)/1000</f>
        <v>0</v>
      </c>
      <c r="BN119" s="1479">
        <f ca="1">IF(B119&gt;=$J$5,0,CONTADORES!BM117-CONTADORES!BM116)/1000</f>
        <v>0</v>
      </c>
      <c r="BO119" s="1479">
        <f ca="1">IF(B119&gt;=$J$5,0,CONTADORES!BN117-CONTADORES!BN116)</f>
        <v>0</v>
      </c>
      <c r="BP119" s="1479">
        <f ca="1">IF(B119&gt;=$J$5,0,CONTADORES!BO117-CONTADORES!BO116)/1000</f>
        <v>4.694</v>
      </c>
      <c r="BQ119" s="1479">
        <f ca="1">IF(B119&gt;=$J$5,0,CONTADORES!BP117-CONTADORES!BP116)/1000</f>
        <v>0.71099999999999997</v>
      </c>
      <c r="BR119" s="1479">
        <f ca="1">IF(B119&gt;=$J$5,0,CONTADORES!BQ117-CONTADORES!BQ116)</f>
        <v>24</v>
      </c>
      <c r="BS119" s="1450">
        <f ca="1">IF(B119&gt;=$J$5,0,(CONTADORES!BT117-CONTADORES!BT116)+(CONTADORES!BV117-CONTADORES!BV116))/1000</f>
        <v>1.3160000000000001</v>
      </c>
      <c r="BT119" s="1479">
        <f ca="1">IF(B119&gt;=$J$5,0,(CONTADORES!BU117-CONTADORES!BU116)+(CONTADORES!BW117-CONTADORES!BW116))/1000</f>
        <v>0.72199999999999998</v>
      </c>
      <c r="BU119" s="1450">
        <f ca="1">IF(B119&gt;=$J$5,0,CONTADORES!BR117-CONTADORES!BR116)</f>
        <v>5.6000000000003638</v>
      </c>
      <c r="BV119" s="1479">
        <f ca="1">IF(B119&gt;=$J$5,0,CONTADORES!BS117-CONTADORES!BS116)</f>
        <v>3.8999999999996362</v>
      </c>
      <c r="BW119" s="1479">
        <f t="shared" ca="1" si="47"/>
        <v>7.9030000000001355</v>
      </c>
      <c r="BX119" s="1479">
        <f t="shared" ca="1" si="48"/>
        <v>5.6554999999994084</v>
      </c>
      <c r="BY119" s="1479">
        <f t="shared" ca="1" si="49"/>
        <v>2.3029999999997712</v>
      </c>
      <c r="BZ119" s="1479">
        <f t="shared" ca="1" si="50"/>
        <v>1.4336000000000366</v>
      </c>
      <c r="CA119" s="1479">
        <f t="shared" ca="1" si="51"/>
        <v>2.3029999999997712</v>
      </c>
      <c r="CB119" s="1479">
        <f t="shared" ca="1" si="52"/>
        <v>2.1504000000000545</v>
      </c>
      <c r="CC119" s="1479">
        <f t="shared" ca="1" si="53"/>
        <v>2.7496000000000365</v>
      </c>
      <c r="CD119" s="1479">
        <f t="shared" ca="1" si="54"/>
        <v>1.7554999999997722</v>
      </c>
      <c r="CE119" s="1479">
        <f ca="1">IF(B119&gt;=$J$5,0,CONTADORES!BS117-CONTADORES!BS116)</f>
        <v>3.8999999999996362</v>
      </c>
      <c r="CF119" s="1479">
        <f t="shared" ca="1" si="55"/>
        <v>1.7554999999997722</v>
      </c>
      <c r="CG119" s="1479">
        <f t="shared" ca="1" si="56"/>
        <v>0.58900000000004549</v>
      </c>
      <c r="CH119" s="1479">
        <f t="shared" ca="1" si="57"/>
        <v>0.58900000000004549</v>
      </c>
      <c r="CI119" s="1479">
        <f t="shared" ca="1" si="58"/>
        <v>1.3110000000000455</v>
      </c>
      <c r="CJ119" s="1480">
        <f ca="1">IF($B119&gt;=$J$5,0,CONTADORES!$BG117)</f>
        <v>9443.8835803979691</v>
      </c>
      <c r="CK119" s="1384">
        <f>CONTADORES!E117</f>
        <v>0</v>
      </c>
      <c r="CL119" s="1384">
        <f>CONTADORES!BX117</f>
        <v>0</v>
      </c>
    </row>
    <row r="120" spans="2:90">
      <c r="B120" s="410">
        <v>45036</v>
      </c>
      <c r="C120" s="204">
        <f t="shared" ca="1" si="33"/>
        <v>265</v>
      </c>
      <c r="D120" s="202">
        <f ca="1">'CALCULO DE GAS'!D125</f>
        <v>4.7564622745029652</v>
      </c>
      <c r="E120" s="202">
        <f ca="1">IF(B120&gt;=$J$5,0,(CONTADORES!$AB118-CONTADORES!$AB117)-$H120)</f>
        <v>24</v>
      </c>
      <c r="F120" s="204">
        <f t="shared" ca="1" si="63"/>
        <v>0</v>
      </c>
      <c r="G120" s="202">
        <f ca="1">IF(B120&gt;=$J$5,0,CONTADORES!$AD118-CONTADORES!$AD117)</f>
        <v>0</v>
      </c>
      <c r="H120" s="1437">
        <f ca="1">IF(G120&gt;0,CONTADORES!$AC118-CONTADORES!$AC117,0)</f>
        <v>0</v>
      </c>
      <c r="I120" s="205">
        <f ca="1">IF(B120&gt;=$J$5,0,CONTADORES!$Z118-CONTADORES!$Z117)</f>
        <v>265</v>
      </c>
      <c r="J120" s="204">
        <f t="shared" ca="1" si="34"/>
        <v>100.20000000000437</v>
      </c>
      <c r="K120" s="202">
        <f ca="1">'CALCULO DE GAS'!E125</f>
        <v>3.3780513920474728</v>
      </c>
      <c r="L120" s="1437">
        <f ca="1">IF(B120&gt;=$J$5,0,(CONTADORES!$W118-CONTADORES!$W117)-$O120)</f>
        <v>19.299999999988358</v>
      </c>
      <c r="M120" s="1437">
        <f t="shared" ca="1" si="62"/>
        <v>0</v>
      </c>
      <c r="N120" s="1437">
        <f ca="1">IF(B120&gt;=$J$5,0,CONTADORES!$Y118-CONTADORES!$Y117)</f>
        <v>0</v>
      </c>
      <c r="O120" s="1437">
        <f ca="1">IF(N120&gt;0,CONTADORES!$X118-CONTADORES!$X117,0)</f>
        <v>0</v>
      </c>
      <c r="P120" s="208">
        <f ca="1">IF(B120&gt;=$J$5,0,CONTADORES!$U118-CONTADORES!$U117)</f>
        <v>100.20000000000437</v>
      </c>
      <c r="Q120" s="208">
        <f ca="1">IF(B120&gt;=$J$5,0,CONTADORES!$B118-CONTADORES!$B117)</f>
        <v>0</v>
      </c>
      <c r="R120" s="202">
        <f t="shared" ca="1" si="35"/>
        <v>0</v>
      </c>
      <c r="S120" s="11">
        <f ca="1">IF(B120&gt;=$J$5,0,CONTADORES!$D118-CONTADORES!$D117)</f>
        <v>0</v>
      </c>
      <c r="T120" s="204">
        <f ca="1">IF(B120&gt;=$J$5,0,CONTADORES!$AZ118-CONTADORES!$AZ117)</f>
        <v>0</v>
      </c>
      <c r="U120" s="202">
        <f t="shared" ca="1" si="61"/>
        <v>0</v>
      </c>
      <c r="V120" s="205">
        <f ca="1">IF(B120&gt;=$J$5,0,CONTADORES!$BB118-CONTADORES!$BB117)</f>
        <v>0</v>
      </c>
      <c r="W120" s="1438">
        <f t="shared" ca="1" si="37"/>
        <v>365.20000000000437</v>
      </c>
      <c r="X120" s="1438">
        <f t="shared" ca="1" si="38"/>
        <v>0</v>
      </c>
      <c r="Y120" s="1439">
        <f t="shared" ca="1" si="39"/>
        <v>365.20000000000437</v>
      </c>
      <c r="Z120" s="1439">
        <f t="shared" ca="1" si="40"/>
        <v>8.1345136665504381</v>
      </c>
      <c r="AA120" s="1439">
        <f t="shared" ca="1" si="41"/>
        <v>0</v>
      </c>
      <c r="AB120" s="1439">
        <f t="shared" ca="1" si="42"/>
        <v>43.299999999988358</v>
      </c>
      <c r="AC120" s="1438">
        <f t="shared" ca="1" si="43"/>
        <v>0</v>
      </c>
      <c r="AD120" s="1479">
        <f ca="1">IF(B120&gt;=$J$5,0,CONTADORES!H118-CONTADORES!H117)</f>
        <v>163.46900000004098</v>
      </c>
      <c r="AE120" s="1443">
        <f ca="1">IF(B120&gt;=$J$5,0,CONTADORES!J118-CONTADORES!J117)</f>
        <v>24</v>
      </c>
      <c r="AF120" s="1479">
        <f ca="1">IF(B120&gt;=$J$5,0,CONTADORES!AS118-CONTADORES!AS117)</f>
        <v>78</v>
      </c>
      <c r="AG120" s="1438">
        <f ca="1">IF(B120&gt;=$J$5,0,CONTADORES!AU118-CONTADORES!AU117)</f>
        <v>13</v>
      </c>
      <c r="AH120" s="1438">
        <f ca="1">IF(B120&gt;=$J$5,0,(CONTADORES!AK118-CONTADORES!AK117)+(CONTADORES!K118-CONTADORES!K117))</f>
        <v>7.1999999999970896</v>
      </c>
      <c r="AI120" s="1438">
        <f ca="1">IF(B120&gt;=$J$5,0,(CONTADORES!AI118-CONTADORES!AI117)+(CONTADORES!M118-CONTADORES!M117))</f>
        <v>39.400000000001455</v>
      </c>
      <c r="AJ120" s="1438">
        <f ca="1">IF(B120&gt;=$J$5,0,(CONTADORES!AG118-CONTADORES!AG117))</f>
        <v>6.6000000000058208</v>
      </c>
      <c r="AK120" s="1438">
        <f ca="1">IF(B120&gt;=$J$5,0,(CONTADORES!O118-CONTADORES!O117))</f>
        <v>10</v>
      </c>
      <c r="AL120" s="1438">
        <f t="shared" ca="1" si="44"/>
        <v>32.330999999958294</v>
      </c>
      <c r="AM120" s="1438">
        <f ca="1">IF(B120&gt;=$J$5,0,(((CONTADORES!F118-CONTADORES!F117)+(CONTADORES!AO118-CONTADORES!AO117))))-BJ120-AF120-AN120-BM120-BP120-BU120-BS120</f>
        <v>12.005000000001733</v>
      </c>
      <c r="AN120" s="1438">
        <f ca="1">IF(B120&gt;=$J$5,0,(CONTADORES!AV118-CONTADORES!AV117)+(CONTADORES!AX118-CONTADORES!AX117)+(CONTADORES!BC118-CONTADORES!BC117))-BS120</f>
        <v>2.7989999999993636</v>
      </c>
      <c r="AO120" s="1440">
        <f ca="1">IF(B120&gt;=$J$5,0,(CONTADORES!AA118-CONTADORES!AA117))</f>
        <v>135</v>
      </c>
      <c r="AP120" s="1440">
        <f ca="1">IF(B120&gt;=$J$5,0,(CONTADORES!V118-CONTADORES!V117))</f>
        <v>58.299999999999272</v>
      </c>
      <c r="AQ120" s="1445">
        <f ca="1">IF(B120&gt;=$J$5,0,(CONTADORES!C118-CONTADORES!C117))</f>
        <v>0</v>
      </c>
      <c r="AR120" s="1440">
        <f ca="1">IF(B120&gt;=$J$5,0,(CONTADORES!BA118-CONTADORES!BA117))</f>
        <v>0</v>
      </c>
      <c r="AS120" s="1479">
        <f ca="1">IF(B120&gt;=$J$5,0,CONTADORES!Q118-CONTADORES!Q117)</f>
        <v>16</v>
      </c>
      <c r="AT120" s="1479">
        <f ca="1">IF(B120&gt;=$J$5,0,(CONTADORES!S118-CONTADORES!S117)+(CONTADORES!AE118-CONTADORES!AE117))</f>
        <v>2.5</v>
      </c>
      <c r="AU120" s="1450">
        <f>CONTADORES!I118-CONTADORES!I117</f>
        <v>82.603999999992084</v>
      </c>
      <c r="AV120" s="1479">
        <f>CONTADORES!AT118-CONTADORES!AT117</f>
        <v>34</v>
      </c>
      <c r="AW120" s="1479">
        <f ca="1">IF(B120&gt;=$J$5,0,(CONTADORES!L118-CONTADORES!L117)+(CONTADORES!AL118-CONTADORES!AL117))</f>
        <v>2.7999999999992724</v>
      </c>
      <c r="AX120" s="1479">
        <f ca="1">IF(B120&gt;=$J$5,0,(CONTADORES!N118-CONTADORES!N117)+(CONTADORES!AJ118-CONTADORES!AJ117))</f>
        <v>32.19999999999709</v>
      </c>
      <c r="AY120" s="1479">
        <f ca="1">IF(B120&gt;=$J$5,0,(CONTADORES!AH118-CONTADORES!AH117))</f>
        <v>5</v>
      </c>
      <c r="AZ120" s="1479">
        <f ca="1">IF(B120&gt;=$J$5,0,(CONTADORES!P118-CONTADORES!P117))</f>
        <v>7</v>
      </c>
      <c r="BA120" s="1450">
        <f t="shared" ca="1" si="45"/>
        <v>13.932000000010817</v>
      </c>
      <c r="BB120" s="1450">
        <f ca="1">IF(B119&gt;=$J$5,0,(((CONTADORES!G118-CONTADORES!G117)+(CONTADORES!AP118-CONTADORES!AP117))))-AV120-BC120-BK120-BN120-BQ120-BV120</f>
        <v>8.817999999999909</v>
      </c>
      <c r="BC120" s="1479">
        <f ca="1">IF(B120&gt;=$J$5,0,(CONTADORES!AW118-CONTADORES!AW117)+(CONTADORES!AY118-CONTADORES!AY117)+(CONTADORES!BD118-CONTADORES!BD117))-BT120</f>
        <v>0.83599999999990904</v>
      </c>
      <c r="BD120" s="1438">
        <f t="shared" ca="1" si="46"/>
        <v>193.29999999999927</v>
      </c>
      <c r="BE120" s="1439">
        <f ca="1">IF($B120&gt;=$J$5,0,CONTADORES!$BE118)</f>
        <v>6260.92</v>
      </c>
      <c r="BF120" s="1438">
        <f ca="1">IF($B120&gt;=$J$5,0,CONTADORES!$BF118)</f>
        <v>28498.985964912299</v>
      </c>
      <c r="BG120" s="1438">
        <f ca="1">IF($B120&gt;=$J$5,0,CONTADORES!$BH118)</f>
        <v>5711.28</v>
      </c>
      <c r="BH120" s="1438">
        <f ca="1">IF(B120&gt;=$J$5,0,(CONTADORES!AQ118-CONTADORES!AQ117))</f>
        <v>4.6999999999970896</v>
      </c>
      <c r="BI120" s="1438">
        <f ca="1">IF(C120&gt;=$J$5,0,(CONTADORES!AR118-CONTADORES!AR117))</f>
        <v>0</v>
      </c>
      <c r="BJ120" s="1450">
        <f ca="1">IF(B120&gt;=$J$5,0,CONTADORES!BI118-CONTADORES!BI117)/1000</f>
        <v>2.16</v>
      </c>
      <c r="BK120" s="1479">
        <f ca="1">IF(B120&gt;=$J$5,0,CONTADORES!BJ118-CONTADORES!BJ117)</f>
        <v>1</v>
      </c>
      <c r="BL120" s="1479">
        <f ca="1">IF(B120&gt;=$J$5,0,CONTADORES!BK118-CONTADORES!BK117)</f>
        <v>24</v>
      </c>
      <c r="BM120" s="1479">
        <f ca="1">IF(B120&gt;=$J$5,0,CONTADORES!BL118-CONTADORES!BL117)/1000</f>
        <v>0</v>
      </c>
      <c r="BN120" s="1479">
        <f ca="1">IF(B120&gt;=$J$5,0,CONTADORES!BM118-CONTADORES!BM117)/1000</f>
        <v>0</v>
      </c>
      <c r="BO120" s="1479">
        <f ca="1">IF(B120&gt;=$J$5,0,CONTADORES!BN118-CONTADORES!BN117)</f>
        <v>0</v>
      </c>
      <c r="BP120" s="1479">
        <f ca="1">IF(B120&gt;=$J$5,0,CONTADORES!BO118-CONTADORES!BO117)/1000</f>
        <v>4.4349999999999996</v>
      </c>
      <c r="BQ120" s="1479">
        <f ca="1">IF(B120&gt;=$J$5,0,CONTADORES!BP118-CONTADORES!BP117)/1000</f>
        <v>0.54600000000000004</v>
      </c>
      <c r="BR120" s="1479">
        <f ca="1">IF(B120&gt;=$J$5,0,CONTADORES!BQ118-CONTADORES!BQ117)</f>
        <v>24.389999999999418</v>
      </c>
      <c r="BS120" s="1450">
        <f ca="1">IF(B120&gt;=$J$5,0,(CONTADORES!BT118-CONTADORES!BT117)+(CONTADORES!BV118-CONTADORES!BV117))/1000</f>
        <v>1.401</v>
      </c>
      <c r="BT120" s="1479">
        <f ca="1">IF(B120&gt;=$J$5,0,(CONTADORES!BU118-CONTADORES!BU117)+(CONTADORES!BW118-CONTADORES!BW117))/1000</f>
        <v>0.76400000000000001</v>
      </c>
      <c r="BU120" s="1450">
        <f ca="1">IF(B120&gt;=$J$5,0,CONTADORES!BR118-CONTADORES!BR117)</f>
        <v>5.3999999999996362</v>
      </c>
      <c r="BV120" s="1479">
        <f ca="1">IF(B120&gt;=$J$5,0,CONTADORES!BS118-CONTADORES!BS117)</f>
        <v>3.8000000000001819</v>
      </c>
      <c r="BW120" s="1479">
        <f t="shared" ca="1" si="47"/>
        <v>11.402500000000503</v>
      </c>
      <c r="BX120" s="1479">
        <f t="shared" ca="1" si="48"/>
        <v>8.2090000000001364</v>
      </c>
      <c r="BY120" s="1479">
        <f t="shared" ca="1" si="49"/>
        <v>6.0025000000008664</v>
      </c>
      <c r="BZ120" s="1479">
        <f t="shared" ca="1" si="50"/>
        <v>1.1195999999997455</v>
      </c>
      <c r="CA120" s="1479">
        <f t="shared" ca="1" si="51"/>
        <v>6.0025000000008664</v>
      </c>
      <c r="CB120" s="1479">
        <f t="shared" ca="1" si="52"/>
        <v>1.6793999999996181</v>
      </c>
      <c r="CC120" s="1479">
        <f t="shared" ca="1" si="53"/>
        <v>2.5205999999997455</v>
      </c>
      <c r="CD120" s="1479">
        <f t="shared" ca="1" si="54"/>
        <v>4.4089999999999545</v>
      </c>
      <c r="CE120" s="1479">
        <f ca="1">IF(B120&gt;=$J$5,0,CONTADORES!BS118-CONTADORES!BS117)</f>
        <v>3.8000000000001819</v>
      </c>
      <c r="CF120" s="1479">
        <f t="shared" ca="1" si="55"/>
        <v>4.4089999999999545</v>
      </c>
      <c r="CG120" s="1479">
        <f t="shared" ca="1" si="56"/>
        <v>0.41799999999995452</v>
      </c>
      <c r="CH120" s="1479">
        <f t="shared" ca="1" si="57"/>
        <v>0.41799999999995452</v>
      </c>
      <c r="CI120" s="1479">
        <f t="shared" ca="1" si="58"/>
        <v>1.1819999999999546</v>
      </c>
      <c r="CJ120" s="1480">
        <f ca="1">IF($B120&gt;=$J$5,0,CONTADORES!$BG118)</f>
        <v>9236.9576916597998</v>
      </c>
      <c r="CK120" s="1384">
        <f>CONTADORES!E118</f>
        <v>0</v>
      </c>
      <c r="CL120" s="1384">
        <f>CONTADORES!BX118</f>
        <v>0</v>
      </c>
    </row>
    <row r="121" spans="2:90">
      <c r="B121" s="410">
        <v>45037</v>
      </c>
      <c r="C121" s="204">
        <f t="shared" ca="1" si="33"/>
        <v>216</v>
      </c>
      <c r="D121" s="202">
        <f ca="1">'CALCULO DE GAS'!D126</f>
        <v>4.3466192329961642</v>
      </c>
      <c r="E121" s="202">
        <f ca="1">IF(B121&gt;=$J$5,0,(CONTADORES!$AB119-CONTADORES!$AB118)-$H121)</f>
        <v>22</v>
      </c>
      <c r="F121" s="204">
        <f t="shared" ca="1" si="63"/>
        <v>0</v>
      </c>
      <c r="G121" s="202">
        <f ca="1">IF(B121&gt;=$J$5,0,CONTADORES!$AD119-CONTADORES!$AD118)</f>
        <v>0</v>
      </c>
      <c r="H121" s="1437">
        <f ca="1">IF(G121&gt;0,CONTADORES!$AC119-CONTADORES!$AC118,0)</f>
        <v>0</v>
      </c>
      <c r="I121" s="205">
        <f ca="1">IF(B121&gt;=$J$5,0,CONTADORES!$Z119-CONTADORES!$Z118)</f>
        <v>216</v>
      </c>
      <c r="J121" s="204">
        <f t="shared" ca="1" si="34"/>
        <v>113.79999999999563</v>
      </c>
      <c r="K121" s="202">
        <f ca="1">'CALCULO DE GAS'!E126</f>
        <v>3.491803746424798</v>
      </c>
      <c r="L121" s="1437">
        <f ca="1">IF(B121&gt;=$J$5,0,(CONTADORES!$W119-CONTADORES!$W118)-$O121)</f>
        <v>18.600000000005821</v>
      </c>
      <c r="M121" s="1437">
        <f t="shared" ca="1" si="62"/>
        <v>0</v>
      </c>
      <c r="N121" s="1437">
        <f ca="1">IF(B121&gt;=$J$5,0,CONTADORES!$Y119-CONTADORES!$Y118)</f>
        <v>0</v>
      </c>
      <c r="O121" s="1437">
        <f ca="1">IF(N121&gt;0,CONTADORES!$X119-CONTADORES!$X118,0)</f>
        <v>0</v>
      </c>
      <c r="P121" s="208">
        <f ca="1">IF(B121&gt;=$J$5,0,CONTADORES!$U119-CONTADORES!$U118)</f>
        <v>113.79999999999563</v>
      </c>
      <c r="Q121" s="208">
        <f ca="1">IF(B121&gt;=$J$5,0,CONTADORES!$B119-CONTADORES!$B118)</f>
        <v>2.3489999999999327</v>
      </c>
      <c r="R121" s="202">
        <f t="shared" ca="1" si="35"/>
        <v>281.87999999999192</v>
      </c>
      <c r="S121" s="11">
        <f ca="1">IF(B121&gt;=$J$5,0,CONTADORES!$D119-CONTADORES!$D118)</f>
        <v>3</v>
      </c>
      <c r="T121" s="204">
        <f ca="1">IF(B121&gt;=$J$5,0,CONTADORES!$AZ119-CONTADORES!$AZ118)</f>
        <v>0.24500000000000455</v>
      </c>
      <c r="U121" s="202">
        <f t="shared" ca="1" si="61"/>
        <v>29.400000000000546</v>
      </c>
      <c r="V121" s="205">
        <f ca="1">IF(B121&gt;=$J$5,0,CONTADORES!$BB119-CONTADORES!$BB118)</f>
        <v>1.5</v>
      </c>
      <c r="W121" s="1438">
        <f t="shared" ca="1" si="37"/>
        <v>329.79999999999563</v>
      </c>
      <c r="X121" s="1438">
        <f t="shared" ca="1" si="38"/>
        <v>2.5939999999999372</v>
      </c>
      <c r="Y121" s="1439">
        <f t="shared" ca="1" si="39"/>
        <v>332.39399999999557</v>
      </c>
      <c r="Z121" s="1439">
        <f t="shared" ca="1" si="40"/>
        <v>7.8384229794209617</v>
      </c>
      <c r="AA121" s="1439">
        <f t="shared" ca="1" si="41"/>
        <v>311.27999999999247</v>
      </c>
      <c r="AB121" s="1439">
        <f t="shared" ca="1" si="42"/>
        <v>40.600000000005821</v>
      </c>
      <c r="AC121" s="1438">
        <f t="shared" ca="1" si="43"/>
        <v>4.5</v>
      </c>
      <c r="AD121" s="1479">
        <f ca="1">IF(B121&gt;=$J$5,0,CONTADORES!H119-CONTADORES!H118)</f>
        <v>125.53099999995902</v>
      </c>
      <c r="AE121" s="1443">
        <f ca="1">IF(B121&gt;=$J$5,0,CONTADORES!J119-CONTADORES!J118)</f>
        <v>17.899999999994179</v>
      </c>
      <c r="AF121" s="1479">
        <f ca="1">IF(B121&gt;=$J$5,0,CONTADORES!AS119-CONTADORES!AS118)</f>
        <v>84</v>
      </c>
      <c r="AG121" s="1438">
        <f ca="1">IF(B121&gt;=$J$5,0,CONTADORES!AU119-CONTADORES!AU118)</f>
        <v>14.400000000008731</v>
      </c>
      <c r="AH121" s="1438">
        <f ca="1">IF(B121&gt;=$J$5,0,(CONTADORES!AK119-CONTADORES!AK118)+(CONTADORES!K119-CONTADORES!K118))</f>
        <v>14.30000000000291</v>
      </c>
      <c r="AI121" s="1438">
        <f ca="1">IF(B121&gt;=$J$5,0,(CONTADORES!AI119-CONTADORES!AI118)+(CONTADORES!M119-CONTADORES!M118))</f>
        <v>37.900000000001455</v>
      </c>
      <c r="AJ121" s="1438">
        <f ca="1">IF(B121&gt;=$J$5,0,(CONTADORES!AG119-CONTADORES!AG118))</f>
        <v>6.3000000000029104</v>
      </c>
      <c r="AK121" s="1438">
        <f ca="1">IF(B121&gt;=$J$5,0,(CONTADORES!O119-CONTADORES!O118))</f>
        <v>12</v>
      </c>
      <c r="AL121" s="1438">
        <f t="shared" ca="1" si="44"/>
        <v>33.263000000027091</v>
      </c>
      <c r="AM121" s="1438">
        <f ca="1">IF(B121&gt;=$J$5,0,(((CONTADORES!F119-CONTADORES!F118)+(CONTADORES!AO119-CONTADORES!AO118))))-BJ121-AF121-AN121-BM121-BP121-BU121-BS121</f>
        <v>8.8635000000006396</v>
      </c>
      <c r="AN121" s="1438">
        <f ca="1">IF(B121&gt;=$J$5,0,(CONTADORES!AV119-CONTADORES!AV118)+(CONTADORES!AX119-CONTADORES!AX118)+(CONTADORES!BC119-CONTADORES!BC118))-BS121</f>
        <v>0.52400000000081848</v>
      </c>
      <c r="AO121" s="1440">
        <f ca="1">IF(B121&gt;=$J$5,0,(CONTADORES!AA119-CONTADORES!AA118))</f>
        <v>111</v>
      </c>
      <c r="AP121" s="1440">
        <f ca="1">IF(B121&gt;=$J$5,0,(CONTADORES!V119-CONTADORES!V118))</f>
        <v>60.799999999999272</v>
      </c>
      <c r="AQ121" s="1445">
        <f ca="1">IF(B121&gt;=$J$5,0,(CONTADORES!C119-CONTADORES!C118))</f>
        <v>1.4230000000000018</v>
      </c>
      <c r="AR121" s="1440">
        <f ca="1">IF(B121&gt;=$J$5,0,(CONTADORES!BA119-CONTADORES!BA118))</f>
        <v>0.14799999999996771</v>
      </c>
      <c r="AS121" s="1479">
        <f ca="1">IF(B121&gt;=$J$5,0,CONTADORES!Q119-CONTADORES!Q118)</f>
        <v>14</v>
      </c>
      <c r="AT121" s="1479">
        <f ca="1">IF(B121&gt;=$J$5,0,(CONTADORES!S119-CONTADORES!S118)+(CONTADORES!AE119-CONTADORES!AE118))</f>
        <v>2.2999999999956344</v>
      </c>
      <c r="AU121" s="1450">
        <f>CONTADORES!I119-CONTADORES!I118</f>
        <v>62.596000000019558</v>
      </c>
      <c r="AV121" s="1479">
        <f>CONTADORES!AT119-CONTADORES!AT118</f>
        <v>38</v>
      </c>
      <c r="AW121" s="1479">
        <f ca="1">IF(B121&gt;=$J$5,0,(CONTADORES!L119-CONTADORES!L118)+(CONTADORES!AL119-CONTADORES!AL118))</f>
        <v>5.5</v>
      </c>
      <c r="AX121" s="1479">
        <f ca="1">IF(B121&gt;=$J$5,0,(CONTADORES!N119-CONTADORES!N118)+(CONTADORES!AJ119-CONTADORES!AJ118))</f>
        <v>31.200000000004366</v>
      </c>
      <c r="AY121" s="1479">
        <f ca="1">IF(B121&gt;=$J$5,0,(CONTADORES!AH119-CONTADORES!AH118))</f>
        <v>4.9000000000014552</v>
      </c>
      <c r="AZ121" s="1479">
        <f ca="1">IF(B121&gt;=$J$5,0,(CONTADORES!P119-CONTADORES!P118))</f>
        <v>10</v>
      </c>
      <c r="BA121" s="1450">
        <f t="shared" ca="1" si="45"/>
        <v>11.258999999973696</v>
      </c>
      <c r="BB121" s="1450">
        <f ca="1">IF(B120&gt;=$J$5,0,(((CONTADORES!G119-CONTADORES!G118)+(CONTADORES!AP119-CONTADORES!AP118))))-AV121-BC121-BK121-BN121-BQ121-BV121</f>
        <v>5.1420000000001815</v>
      </c>
      <c r="BC121" s="1479">
        <f ca="1">IF(B121&gt;=$J$5,0,(CONTADORES!AW119-CONTADORES!AW118)+(CONTADORES!AY119-CONTADORES!AY118)+(CONTADORES!BD119-CONTADORES!BD118))-BT121</f>
        <v>8.3999999999818109E-2</v>
      </c>
      <c r="BD121" s="1438">
        <f t="shared" ca="1" si="46"/>
        <v>173.37099999999924</v>
      </c>
      <c r="BE121" s="1439">
        <f ca="1">IF($B121&gt;=$J$5,0,CONTADORES!$BE119)</f>
        <v>6343.2</v>
      </c>
      <c r="BF121" s="1438">
        <f ca="1">IF($B121&gt;=$J$5,0,CONTADORES!$BF119)</f>
        <v>20825.6578947368</v>
      </c>
      <c r="BG121" s="1438">
        <f ca="1">IF($B121&gt;=$J$5,0,CONTADORES!$BH119)</f>
        <v>4649.9799999999996</v>
      </c>
      <c r="BH121" s="1438">
        <f ca="1">IF(B121&gt;=$J$5,0,(CONTADORES!AQ119-CONTADORES!AQ118))</f>
        <v>4.9000000000014552</v>
      </c>
      <c r="BI121" s="1438">
        <f ca="1">IF(C121&gt;=$J$5,0,(CONTADORES!AR119-CONTADORES!AR118))</f>
        <v>0</v>
      </c>
      <c r="BJ121" s="1450">
        <f ca="1">IF(B121&gt;=$J$5,0,CONTADORES!BI119-CONTADORES!BI118)/1000</f>
        <v>1.8414999999999999</v>
      </c>
      <c r="BK121" s="1479">
        <f ca="1">IF(B121&gt;=$J$5,0,CONTADORES!BJ119-CONTADORES!BJ118)</f>
        <v>1</v>
      </c>
      <c r="BL121" s="1479">
        <f ca="1">IF(B121&gt;=$J$5,0,CONTADORES!BK119-CONTADORES!BK118)</f>
        <v>14.5</v>
      </c>
      <c r="BM121" s="1479">
        <f ca="1">IF(B121&gt;=$J$5,0,CONTADORES!BL119-CONTADORES!BL118)/1000</f>
        <v>0</v>
      </c>
      <c r="BN121" s="1479">
        <f ca="1">IF(B121&gt;=$J$5,0,CONTADORES!BM119-CONTADORES!BM118)/1000</f>
        <v>0</v>
      </c>
      <c r="BO121" s="1479">
        <f ca="1">IF(B121&gt;=$J$5,0,CONTADORES!BN119-CONTADORES!BN118)</f>
        <v>0</v>
      </c>
      <c r="BP121" s="1479">
        <f ca="1">IF(B121&gt;=$J$5,0,CONTADORES!BO119-CONTADORES!BO118)/1000</f>
        <v>2.5950000000000002</v>
      </c>
      <c r="BQ121" s="1479">
        <f ca="1">IF(B121&gt;=$J$5,0,CONTADORES!BP119-CONTADORES!BP118)/1000</f>
        <v>0.27400000000000002</v>
      </c>
      <c r="BR121" s="1479">
        <f ca="1">IF(B121&gt;=$J$5,0,CONTADORES!BQ119-CONTADORES!BQ118)</f>
        <v>14.650000000001455</v>
      </c>
      <c r="BS121" s="1450">
        <f ca="1">IF(B121&gt;=$J$5,0,(CONTADORES!BT119-CONTADORES!BT118)+(CONTADORES!BV119-CONTADORES!BV118))/1000</f>
        <v>1.0760000000000001</v>
      </c>
      <c r="BT121" s="1479">
        <f ca="1">IF(B121&gt;=$J$5,0,(CONTADORES!BU119-CONTADORES!BU118)+(CONTADORES!BW119-CONTADORES!BW118))/1000</f>
        <v>0.61599999999999999</v>
      </c>
      <c r="BU121" s="1450">
        <f ca="1">IF(B121&gt;=$J$5,0,CONTADORES!BR119-CONTADORES!BR118)</f>
        <v>4.2000000000007276</v>
      </c>
      <c r="BV121" s="1479">
        <f ca="1">IF(B121&gt;=$J$5,0,CONTADORES!BS119-CONTADORES!BS118)</f>
        <v>2.8000000000001819</v>
      </c>
      <c r="BW121" s="1479">
        <f t="shared" ca="1" si="47"/>
        <v>8.6317500000010483</v>
      </c>
      <c r="BX121" s="1479">
        <f t="shared" ca="1" si="48"/>
        <v>5.3710000000002722</v>
      </c>
      <c r="BY121" s="1479">
        <f t="shared" ca="1" si="49"/>
        <v>4.4317500000003198</v>
      </c>
      <c r="BZ121" s="1479">
        <f t="shared" ca="1" si="50"/>
        <v>0.20960000000032741</v>
      </c>
      <c r="CA121" s="1479">
        <f t="shared" ca="1" si="51"/>
        <v>4.4317500000003198</v>
      </c>
      <c r="CB121" s="1479">
        <f t="shared" ca="1" si="52"/>
        <v>0.31440000000049106</v>
      </c>
      <c r="CC121" s="1479">
        <f t="shared" ca="1" si="53"/>
        <v>1.2856000000003274</v>
      </c>
      <c r="CD121" s="1479">
        <f t="shared" ca="1" si="54"/>
        <v>2.5710000000000908</v>
      </c>
      <c r="CE121" s="1479">
        <f ca="1">IF(B121&gt;=$J$5,0,CONTADORES!BS119-CONTADORES!BS118)</f>
        <v>2.8000000000001819</v>
      </c>
      <c r="CF121" s="1479">
        <f t="shared" ca="1" si="55"/>
        <v>2.5710000000000908</v>
      </c>
      <c r="CG121" s="1479">
        <f t="shared" ca="1" si="56"/>
        <v>4.1999999999909055E-2</v>
      </c>
      <c r="CH121" s="1479">
        <f t="shared" ca="1" si="57"/>
        <v>4.1999999999909055E-2</v>
      </c>
      <c r="CI121" s="1479">
        <f t="shared" ca="1" si="58"/>
        <v>0.6579999999999091</v>
      </c>
      <c r="CJ121" s="1480">
        <f ca="1">IF($B121&gt;=$J$5,0,CONTADORES!$BG119)</f>
        <v>6676.55566120819</v>
      </c>
      <c r="CK121" s="1384">
        <f>CONTADORES!E119</f>
        <v>2.2999999999999998</v>
      </c>
      <c r="CL121" s="1384">
        <f>CONTADORES!BX119</f>
        <v>0.2</v>
      </c>
    </row>
    <row r="122" spans="2:90">
      <c r="B122" s="410">
        <v>45038</v>
      </c>
      <c r="C122" s="204">
        <f t="shared" ca="1" si="33"/>
        <v>288</v>
      </c>
      <c r="D122" s="202">
        <f ca="1">'CALCULO DE GAS'!D127</f>
        <v>4.9488375797000357</v>
      </c>
      <c r="E122" s="202">
        <f ca="1">IF(B122&gt;=$J$5,0,(CONTADORES!$AB120-CONTADORES!$AB119)-$H122)</f>
        <v>24</v>
      </c>
      <c r="F122" s="204">
        <f t="shared" ca="1" si="63"/>
        <v>0</v>
      </c>
      <c r="G122" s="202">
        <f ca="1">IF(B122&gt;=$J$5,0,CONTADORES!$AD120-CONTADORES!$AD119)</f>
        <v>0</v>
      </c>
      <c r="H122" s="1437">
        <f ca="1">IF(G122&gt;0,CONTADORES!$AC120-CONTADORES!$AC119,0)</f>
        <v>0</v>
      </c>
      <c r="I122" s="205">
        <f ca="1">IF(B122&gt;=$J$5,0,CONTADORES!$Z120-CONTADORES!$Z119)</f>
        <v>288</v>
      </c>
      <c r="J122" s="204">
        <f t="shared" ca="1" si="34"/>
        <v>153</v>
      </c>
      <c r="K122" s="202">
        <f ca="1">'CALCULO DE GAS'!E127</f>
        <v>3.8196781796302757</v>
      </c>
      <c r="L122" s="1437">
        <f ca="1">IF(B122&gt;=$J$5,0,(CONTADORES!$W120-CONTADORES!$W119)-$O122)</f>
        <v>24</v>
      </c>
      <c r="M122" s="1437">
        <f t="shared" ca="1" si="62"/>
        <v>0</v>
      </c>
      <c r="N122" s="1437">
        <f ca="1">IF(B122&gt;=$J$5,0,CONTADORES!$Y120-CONTADORES!$Y119)</f>
        <v>0</v>
      </c>
      <c r="O122" s="1437">
        <f ca="1">IF(N122&gt;0,CONTADORES!$X120-CONTADORES!$X119,0)</f>
        <v>0</v>
      </c>
      <c r="P122" s="208">
        <f ca="1">IF(B122&gt;=$J$5,0,CONTADORES!$U120-CONTADORES!$U119)</f>
        <v>153</v>
      </c>
      <c r="Q122" s="208">
        <f ca="1">IF(B122&gt;=$J$5,0,CONTADORES!$B120-CONTADORES!$B119)</f>
        <v>0</v>
      </c>
      <c r="R122" s="202">
        <f t="shared" ca="1" si="35"/>
        <v>0</v>
      </c>
      <c r="S122" s="11">
        <f ca="1">IF(B122&gt;=$J$5,0,CONTADORES!$D120-CONTADORES!$D119)</f>
        <v>0</v>
      </c>
      <c r="T122" s="204">
        <f ca="1">IF(B122&gt;=$J$5,0,CONTADORES!$AZ120-CONTADORES!$AZ119)</f>
        <v>0</v>
      </c>
      <c r="U122" s="202">
        <f t="shared" ca="1" si="61"/>
        <v>0</v>
      </c>
      <c r="V122" s="205">
        <f ca="1">IF(B122&gt;=$J$5,0,CONTADORES!$BB120-CONTADORES!$BB119)</f>
        <v>0</v>
      </c>
      <c r="W122" s="1438">
        <f t="shared" ca="1" si="37"/>
        <v>441</v>
      </c>
      <c r="X122" s="1438">
        <f t="shared" ca="1" si="38"/>
        <v>0</v>
      </c>
      <c r="Y122" s="1439">
        <f t="shared" ca="1" si="39"/>
        <v>441</v>
      </c>
      <c r="Z122" s="1439">
        <f t="shared" ca="1" si="40"/>
        <v>8.7685157593303114</v>
      </c>
      <c r="AA122" s="1439">
        <f t="shared" ca="1" si="41"/>
        <v>0</v>
      </c>
      <c r="AB122" s="1439">
        <f t="shared" ca="1" si="42"/>
        <v>48</v>
      </c>
      <c r="AC122" s="1438">
        <f t="shared" ca="1" si="43"/>
        <v>0</v>
      </c>
      <c r="AD122" s="1479">
        <f ca="1">IF(B122&gt;=$J$5,0,CONTADORES!H120-CONTADORES!H119)</f>
        <v>165.80000000004657</v>
      </c>
      <c r="AE122" s="1443">
        <f ca="1">IF(B122&gt;=$J$5,0,CONTADORES!J120-CONTADORES!J119)</f>
        <v>24</v>
      </c>
      <c r="AF122" s="1479">
        <f ca="1">IF(B122&gt;=$J$5,0,CONTADORES!AS120-CONTADORES!AS119)</f>
        <v>149</v>
      </c>
      <c r="AG122" s="1438">
        <f ca="1">IF(B122&gt;=$J$5,0,CONTADORES!AU120-CONTADORES!AU119)</f>
        <v>24</v>
      </c>
      <c r="AH122" s="1438">
        <f ca="1">IF(B122&gt;=$J$5,0,(CONTADORES!AK120-CONTADORES!AK119)+(CONTADORES!K120-CONTADORES!K119))</f>
        <v>10</v>
      </c>
      <c r="AI122" s="1438">
        <f ca="1">IF(B122&gt;=$J$5,0,(CONTADORES!AI120-CONTADORES!AI119)+(CONTADORES!M120-CONTADORES!M119))</f>
        <v>35.599999999998545</v>
      </c>
      <c r="AJ122" s="1438">
        <f ca="1">IF(B122&gt;=$J$5,0,(CONTADORES!AG120-CONTADORES!AG119))</f>
        <v>6.2999999999883585</v>
      </c>
      <c r="AK122" s="1438">
        <f ca="1">IF(B122&gt;=$J$5,0,(CONTADORES!O120-CONTADORES!O119))</f>
        <v>13</v>
      </c>
      <c r="AL122" s="1438">
        <f t="shared" ca="1" si="44"/>
        <v>32.399999999943191</v>
      </c>
      <c r="AM122" s="1438">
        <f ca="1">IF(B122&gt;=$J$5,0,(((CONTADORES!F120-CONTADORES!F119)+(CONTADORES!AO120-CONTADORES!AO119))))-BJ122-AF122-AN122-BM122-BP122-BU122-BS122</f>
        <v>9.4140000000234778</v>
      </c>
      <c r="AN122" s="1438">
        <f ca="1">IF(B122&gt;=$J$5,0,(CONTADORES!AV120-CONTADORES!AV119)+(CONTADORES!AX120-CONTADORES!AX119)+(CONTADORES!BC120-CONTADORES!BC119))-BS122</f>
        <v>2.8039999999998182</v>
      </c>
      <c r="AO122" s="1440">
        <f ca="1">IF(B122&gt;=$J$5,0,(CONTADORES!AA120-CONTADORES!AA119))</f>
        <v>142</v>
      </c>
      <c r="AP122" s="1440">
        <f ca="1">IF(B122&gt;=$J$5,0,(CONTADORES!V120-CONTADORES!V119))</f>
        <v>81.100000000002183</v>
      </c>
      <c r="AQ122" s="1445">
        <f ca="1">IF(B122&gt;=$J$5,0,(CONTADORES!C120-CONTADORES!C119))</f>
        <v>0</v>
      </c>
      <c r="AR122" s="1440">
        <f ca="1">IF(B122&gt;=$J$5,0,(CONTADORES!BA120-CONTADORES!BA119))</f>
        <v>0</v>
      </c>
      <c r="AS122" s="1479">
        <f ca="1">IF(B122&gt;=$J$5,0,CONTADORES!Q120-CONTADORES!Q119)</f>
        <v>13</v>
      </c>
      <c r="AT122" s="1479">
        <f ca="1">IF(B122&gt;=$J$5,0,(CONTADORES!S120-CONTADORES!S119)+(CONTADORES!AE120-CONTADORES!AE119))</f>
        <v>2.4000000000014552</v>
      </c>
      <c r="AU122" s="1450">
        <f>CONTADORES!I120-CONTADORES!I119</f>
        <v>87.200000000011642</v>
      </c>
      <c r="AV122" s="1479">
        <f>CONTADORES!AT120-CONTADORES!AT119</f>
        <v>64</v>
      </c>
      <c r="AW122" s="1479">
        <f ca="1">IF(B122&gt;=$J$5,0,(CONTADORES!L120-CONTADORES!L119)+(CONTADORES!AL120-CONTADORES!AL119))</f>
        <v>4</v>
      </c>
      <c r="AX122" s="1479">
        <f ca="1">IF(B122&gt;=$J$5,0,(CONTADORES!N120-CONTADORES!N119)+(CONTADORES!AJ120-CONTADORES!AJ119))</f>
        <v>29</v>
      </c>
      <c r="AY122" s="1479">
        <f ca="1">IF(B122&gt;=$J$5,0,(CONTADORES!AH120-CONTADORES!AH119))</f>
        <v>4.6999999999970896</v>
      </c>
      <c r="AZ122" s="1479">
        <f ca="1">IF(B122&gt;=$J$5,0,(CONTADORES!P120-CONTADORES!P119))</f>
        <v>10</v>
      </c>
      <c r="BA122" s="1450">
        <f t="shared" ca="1" si="45"/>
        <v>5.5279999999929146</v>
      </c>
      <c r="BB122" s="1450">
        <f ca="1">IF(B121&gt;=$J$5,0,(((CONTADORES!G120-CONTADORES!G119)+(CONTADORES!AP120-CONTADORES!AP119))))-AV122-BC122-BK122-BN122-BQ122-BV122</f>
        <v>11.095000000000498</v>
      </c>
      <c r="BC122" s="1479">
        <f ca="1">IF(B122&gt;=$J$5,0,(CONTADORES!AW120-CONTADORES!AW119)+(CONTADORES!AY120-CONTADORES!AY119)+(CONTADORES!BD120-CONTADORES!BD119))-BT122</f>
        <v>0.52800000000040925</v>
      </c>
      <c r="BD122" s="1438">
        <f ca="1">SUM(AO122:AR122)</f>
        <v>223.10000000000218</v>
      </c>
      <c r="BE122" s="1439">
        <f ca="1">IF($B122&gt;=$J$5,0,CONTADORES!$BE120)</f>
        <v>5474.48</v>
      </c>
      <c r="BF122" s="1438">
        <f ca="1">IF($B122&gt;=$J$5,0,CONTADORES!$BF120)</f>
        <v>32821.905263157903</v>
      </c>
      <c r="BG122" s="1438">
        <f ca="1">IF($B122&gt;=$J$5,0,CONTADORES!$BH120)</f>
        <v>5279.85</v>
      </c>
      <c r="BH122" s="1438">
        <f ca="1">IF(B122&gt;=$J$5,0,(CONTADORES!AQ120-CONTADORES!AQ119))</f>
        <v>4.5</v>
      </c>
      <c r="BI122" s="1438">
        <f ca="1">IF(C122&gt;=$J$5,0,(CONTADORES!AR120-CONTADORES!AR119))</f>
        <v>0</v>
      </c>
      <c r="BJ122" s="1450">
        <f ca="1">IF(B122&gt;=$J$5,0,CONTADORES!BI120-CONTADORES!BI119)/1000</f>
        <v>3.3839999999999999</v>
      </c>
      <c r="BK122" s="1479">
        <f ca="1">IF(B122&gt;=$J$5,0,CONTADORES!BJ120-CONTADORES!BJ119)</f>
        <v>1</v>
      </c>
      <c r="BL122" s="1479">
        <f ca="1">IF(B122&gt;=$J$5,0,CONTADORES!BK120-CONTADORES!BK119)</f>
        <v>24</v>
      </c>
      <c r="BM122" s="1479">
        <f ca="1">IF(B122&gt;=$J$5,0,CONTADORES!BL120-CONTADORES!BL119)/1000</f>
        <v>0</v>
      </c>
      <c r="BN122" s="1479">
        <f ca="1">IF(B122&gt;=$J$5,0,CONTADORES!BM120-CONTADORES!BM119)/1000</f>
        <v>0</v>
      </c>
      <c r="BO122" s="1479">
        <f ca="1">IF(B122&gt;=$J$5,0,CONTADORES!BN120-CONTADORES!BN119)</f>
        <v>0</v>
      </c>
      <c r="BP122" s="1479">
        <f ca="1">IF(B122&gt;=$J$5,0,CONTADORES!BO120-CONTADORES!BO119)/1000</f>
        <v>4.9020000000000001</v>
      </c>
      <c r="BQ122" s="1479">
        <f ca="1">IF(B122&gt;=$J$5,0,CONTADORES!BP120-CONTADORES!BP119)/1000</f>
        <v>0.877</v>
      </c>
      <c r="BR122" s="1479">
        <f ca="1">IF(B122&gt;=$J$5,0,CONTADORES!BQ120-CONTADORES!BQ119)</f>
        <v>23.959999999999127</v>
      </c>
      <c r="BS122" s="1450">
        <f ca="1">IF(B122&gt;=$J$5,0,(CONTADORES!BT120-CONTADORES!BT119)+(CONTADORES!BV120-CONTADORES!BV119))/1000</f>
        <v>1.3959999999999999</v>
      </c>
      <c r="BT122" s="1479">
        <f ca="1">IF(B122&gt;=$J$5,0,(CONTADORES!BU120-CONTADORES!BU119)+(CONTADORES!BW120-CONTADORES!BW119))/1000</f>
        <v>0.77200000000000002</v>
      </c>
      <c r="BU122" s="1450">
        <f ca="1">IF(B122&gt;=$J$5,0,CONTADORES!BR120-CONTADORES!BR119)</f>
        <v>7</v>
      </c>
      <c r="BV122" s="1479">
        <f ca="1">IF(B122&gt;=$J$5,0,CONTADORES!BS120-CONTADORES!BS119)</f>
        <v>4.3999999999996362</v>
      </c>
      <c r="BW122" s="1479">
        <f t="shared" ca="1" si="47"/>
        <v>11.707000000011739</v>
      </c>
      <c r="BX122" s="1479">
        <f t="shared" ca="1" si="48"/>
        <v>9.9474999999998843</v>
      </c>
      <c r="BY122" s="1479">
        <f t="shared" ca="1" si="49"/>
        <v>4.7070000000117389</v>
      </c>
      <c r="BZ122" s="1479">
        <f t="shared" ca="1" si="50"/>
        <v>1.1215999999999273</v>
      </c>
      <c r="CA122" s="1479">
        <f t="shared" ca="1" si="51"/>
        <v>4.7070000000117389</v>
      </c>
      <c r="CB122" s="1479">
        <f t="shared" ca="1" si="52"/>
        <v>1.6823999999998909</v>
      </c>
      <c r="CC122" s="1479">
        <f t="shared" ca="1" si="53"/>
        <v>2.517599999999927</v>
      </c>
      <c r="CD122" s="1479">
        <f t="shared" ca="1" si="54"/>
        <v>5.547500000000249</v>
      </c>
      <c r="CE122" s="1479">
        <f ca="1">IF(B122&gt;=$J$5,0,CONTADORES!BS120-CONTADORES!BS119)</f>
        <v>4.3999999999996362</v>
      </c>
      <c r="CF122" s="1479">
        <f t="shared" ca="1" si="55"/>
        <v>5.547500000000249</v>
      </c>
      <c r="CG122" s="1479">
        <f t="shared" ca="1" si="56"/>
        <v>0.26400000000020463</v>
      </c>
      <c r="CH122" s="1479">
        <f t="shared" ca="1" si="57"/>
        <v>0.26400000000020463</v>
      </c>
      <c r="CI122" s="1479">
        <f t="shared" ca="1" si="58"/>
        <v>1.0360000000002048</v>
      </c>
      <c r="CJ122" s="1480">
        <f ca="1">IF($B122&gt;=$J$5,0,CONTADORES!$BG120)</f>
        <v>9853.2864287339708</v>
      </c>
      <c r="CK122" s="1384">
        <f>CONTADORES!E120</f>
        <v>0</v>
      </c>
      <c r="CL122" s="1384">
        <f>CONTADORES!BX120</f>
        <v>0</v>
      </c>
    </row>
    <row r="123" spans="2:90">
      <c r="B123" s="410">
        <v>45039</v>
      </c>
      <c r="C123" s="204">
        <f t="shared" ca="1" si="33"/>
        <v>295</v>
      </c>
      <c r="D123" s="202">
        <f ca="1">'CALCULO DE GAS'!D128</f>
        <v>5.0073865856295789</v>
      </c>
      <c r="E123" s="202">
        <f ca="1">IF(B123&gt;=$J$5,0,(CONTADORES!$AB121-CONTADORES!$AB120)-$H123)</f>
        <v>24</v>
      </c>
      <c r="F123" s="204">
        <f t="shared" ca="1" si="63"/>
        <v>0</v>
      </c>
      <c r="G123" s="202">
        <f ca="1">IF(B123&gt;=$J$5,0,CONTADORES!$AD121-CONTADORES!$AD120)</f>
        <v>0</v>
      </c>
      <c r="H123" s="1437">
        <f ca="1">IF(G123&gt;0,CONTADORES!$AC121-CONTADORES!$AC120,0)</f>
        <v>0</v>
      </c>
      <c r="I123" s="205">
        <f ca="1">IF(B123&gt;=$J$5,0,CONTADORES!$Z121-CONTADORES!$Z120)</f>
        <v>295</v>
      </c>
      <c r="J123" s="204">
        <f t="shared" ca="1" si="34"/>
        <v>155.40000000000146</v>
      </c>
      <c r="K123" s="202">
        <f ca="1">'CALCULO DE GAS'!E128</f>
        <v>3.8397521245204169</v>
      </c>
      <c r="L123" s="1437">
        <f ca="1">IF(B123&gt;=$J$5,0,(CONTADORES!$W121-CONTADORES!$W120)-$O123)</f>
        <v>24</v>
      </c>
      <c r="M123" s="1437">
        <f t="shared" ca="1" si="62"/>
        <v>0</v>
      </c>
      <c r="N123" s="1437">
        <f ca="1">IF(B123&gt;=$J$5,0,CONTADORES!$Y121-CONTADORES!$Y120)</f>
        <v>0</v>
      </c>
      <c r="O123" s="1437">
        <f ca="1">IF(N123&gt;0,CONTADORES!$X121-CONTADORES!$X120,0)</f>
        <v>0</v>
      </c>
      <c r="P123" s="208">
        <f ca="1">IF(B123&gt;=$J$5,0,CONTADORES!$U121-CONTADORES!$U120)</f>
        <v>155.40000000000146</v>
      </c>
      <c r="Q123" s="208">
        <f ca="1">IF(B123&gt;=$J$5,0,CONTADORES!$B121-CONTADORES!$B120)</f>
        <v>0</v>
      </c>
      <c r="R123" s="202">
        <f t="shared" ca="1" si="35"/>
        <v>0</v>
      </c>
      <c r="S123" s="11">
        <f ca="1">IF(B123&gt;=$J$5,0,CONTADORES!$D121-CONTADORES!$D120)</f>
        <v>0</v>
      </c>
      <c r="T123" s="204">
        <f ca="1">IF(B123&gt;=$J$5,0,CONTADORES!$AZ121-CONTADORES!$AZ120)</f>
        <v>0</v>
      </c>
      <c r="U123" s="202">
        <f t="shared" ca="1" si="61"/>
        <v>0</v>
      </c>
      <c r="V123" s="205">
        <f ca="1">IF(B123&gt;=$J$5,0,CONTADORES!$BB121-CONTADORES!$BB120)</f>
        <v>0</v>
      </c>
      <c r="W123" s="1438">
        <f t="shared" ca="1" si="37"/>
        <v>450.40000000000146</v>
      </c>
      <c r="X123" s="1438">
        <f t="shared" ca="1" si="38"/>
        <v>0</v>
      </c>
      <c r="Y123" s="1439">
        <f t="shared" ca="1" si="39"/>
        <v>450.40000000000146</v>
      </c>
      <c r="Z123" s="1439">
        <f t="shared" ca="1" si="40"/>
        <v>8.847138710149995</v>
      </c>
      <c r="AA123" s="1439">
        <f t="shared" ca="1" si="41"/>
        <v>0</v>
      </c>
      <c r="AB123" s="1439">
        <f t="shared" ca="1" si="42"/>
        <v>48</v>
      </c>
      <c r="AC123" s="1438">
        <f t="shared" ca="1" si="43"/>
        <v>0</v>
      </c>
      <c r="AD123" s="1479">
        <f ca="1">IF(B123&gt;=$J$5,0,CONTADORES!H121-CONTADORES!H120)</f>
        <v>170.19999999995343</v>
      </c>
      <c r="AE123" s="1443">
        <f ca="1">IF(B123&gt;=$J$5,0,CONTADORES!J121-CONTADORES!J120)</f>
        <v>24</v>
      </c>
      <c r="AF123" s="1479">
        <f ca="1">IF(B123&gt;=$J$5,0,CONTADORES!AS121-CONTADORES!AS120)</f>
        <v>156.5</v>
      </c>
      <c r="AG123" s="1438">
        <f ca="1">IF(B123&gt;=$J$5,0,CONTADORES!AU121-CONTADORES!AU120)</f>
        <v>24</v>
      </c>
      <c r="AH123" s="1438">
        <f ca="1">IF(B123&gt;=$J$5,0,(CONTADORES!AK121-CONTADORES!AK120)+(CONTADORES!K121-CONTADORES!K120))</f>
        <v>6.6999999999970896</v>
      </c>
      <c r="AI123" s="1438">
        <f ca="1">IF(B123&gt;=$J$5,0,(CONTADORES!AI121-CONTADORES!AI120)+(CONTADORES!M121-CONTADORES!M120))</f>
        <v>35.400000000001455</v>
      </c>
      <c r="AJ123" s="1438">
        <f ca="1">IF(B123&gt;=$J$5,0,(CONTADORES!AG121-CONTADORES!AG120))</f>
        <v>6.2000000000116415</v>
      </c>
      <c r="AK123" s="1438">
        <f ca="1">IF(B123&gt;=$J$5,0,(CONTADORES!O121-CONTADORES!O120))</f>
        <v>13</v>
      </c>
      <c r="AL123" s="1438">
        <f t="shared" ca="1" si="44"/>
        <v>33.900000000063301</v>
      </c>
      <c r="AM123" s="1438">
        <f ca="1">IF(B123&gt;=$J$5,0,(((CONTADORES!F121-CONTADORES!F120)+(CONTADORES!AO121-CONTADORES!AO120))))-BJ123-AF123-AN123-BM123-BP123-BU123-BS123</f>
        <v>9.6929999999750667</v>
      </c>
      <c r="AN123" s="1438">
        <f ca="1">IF(B123&gt;=$J$5,0,(CONTADORES!AV121-CONTADORES!AV120)+(CONTADORES!AX121-CONTADORES!AX120)+(CONTADORES!BC121-CONTADORES!BC120))-BS123</f>
        <v>2.3940000000001822</v>
      </c>
      <c r="AO123" s="1440">
        <f ca="1">IF(B123&gt;=$J$5,0,(CONTADORES!AA121-CONTADORES!AA120))</f>
        <v>154</v>
      </c>
      <c r="AP123" s="1440">
        <f ca="1">IF(B123&gt;=$J$5,0,(CONTADORES!V121-CONTADORES!V120))</f>
        <v>73.799999999999272</v>
      </c>
      <c r="AQ123" s="1445">
        <f ca="1">IF(B123&gt;=$J$5,0,(CONTADORES!C121-CONTADORES!C120))</f>
        <v>0</v>
      </c>
      <c r="AR123" s="1440">
        <f ca="1">IF(B123&gt;=$J$5,0,(CONTADORES!BA121-CONTADORES!BA120))</f>
        <v>0</v>
      </c>
      <c r="AS123" s="1479">
        <f ca="1">IF(B123&gt;=$J$5,0,CONTADORES!Q121-CONTADORES!Q120)</f>
        <v>15</v>
      </c>
      <c r="AT123" s="1479">
        <f ca="1">IF(B123&gt;=$J$5,0,(CONTADORES!S121-CONTADORES!S120)+(CONTADORES!AE121-CONTADORES!AE120))</f>
        <v>2.5</v>
      </c>
      <c r="AU123" s="1450">
        <f>CONTADORES!I121-CONTADORES!I120</f>
        <v>81.099999999976717</v>
      </c>
      <c r="AV123" s="1479">
        <f>CONTADORES!AT121-CONTADORES!AT120</f>
        <v>68.5</v>
      </c>
      <c r="AW123" s="1479">
        <f ca="1">IF(B123&gt;=$J$5,0,(CONTADORES!L121-CONTADORES!L120)+(CONTADORES!AL121-CONTADORES!AL120))</f>
        <v>2.6000000000021828</v>
      </c>
      <c r="AX123" s="1479">
        <f ca="1">IF(B123&gt;=$J$5,0,(CONTADORES!N121-CONTADORES!N120)+(CONTADORES!AJ121-CONTADORES!AJ120))</f>
        <v>30.30000000000291</v>
      </c>
      <c r="AY123" s="1479">
        <f ca="1">IF(B123&gt;=$J$5,0,(CONTADORES!AH121-CONTADORES!AH120))</f>
        <v>4.5999999999985448</v>
      </c>
      <c r="AZ123" s="1479">
        <f ca="1">IF(B123&gt;=$J$5,0,(CONTADORES!P121-CONTADORES!P120))</f>
        <v>11</v>
      </c>
      <c r="BA123" s="1450">
        <f t="shared" ca="1" si="45"/>
        <v>13.524000000019271</v>
      </c>
      <c r="BB123" s="1450">
        <f ca="1">IF(B122&gt;=$J$5,0,(((CONTADORES!G121-CONTADORES!G120)+(CONTADORES!AP121-CONTADORES!AP120))))-AV123-BC123-BK123-BN123-BQ123-BV123</f>
        <v>8.6359999999998518</v>
      </c>
      <c r="BC123" s="1479">
        <f ca="1">IF(B123&gt;=$J$5,0,(CONTADORES!AW121-CONTADORES!AW120)+(CONTADORES!AY121-CONTADORES!AY120)+(CONTADORES!BD121-CONTADORES!BD120))-BT123</f>
        <v>0.52399999999978397</v>
      </c>
      <c r="BD123" s="1438">
        <f t="shared" ca="1" si="46"/>
        <v>227.79999999999927</v>
      </c>
      <c r="BE123" s="1439">
        <f ca="1">IF($B123&gt;=$J$5,0,CONTADORES!$BE121)</f>
        <v>5985.85</v>
      </c>
      <c r="BF123" s="1438">
        <f ca="1">IF($B123&gt;=$J$5,0,CONTADORES!$BF121)</f>
        <v>32664.349122807002</v>
      </c>
      <c r="BG123" s="1438">
        <f ca="1">IF($B123&gt;=$J$5,0,CONTADORES!$BH121)</f>
        <v>5380.24</v>
      </c>
      <c r="BH123" s="1438">
        <f ca="1">IF(B123&gt;=$J$5,0,(CONTADORES!AQ121-CONTADORES!AQ120))</f>
        <v>4.4000000000014552</v>
      </c>
      <c r="BI123" s="1438">
        <f ca="1">IF(C123&gt;=$J$5,0,(CONTADORES!AR121-CONTADORES!AR120))</f>
        <v>0</v>
      </c>
      <c r="BJ123" s="1450">
        <f ca="1">IF(B123&gt;=$J$5,0,CONTADORES!BI121-CONTADORES!BI120)/1000</f>
        <v>3.2879999999999998</v>
      </c>
      <c r="BK123" s="1479">
        <f ca="1">IF(B123&gt;=$J$5,0,CONTADORES!BJ121-CONTADORES!BJ120)</f>
        <v>1</v>
      </c>
      <c r="BL123" s="1479">
        <f ca="1">IF(B123&gt;=$J$5,0,CONTADORES!BK121-CONTADORES!BK120)</f>
        <v>24</v>
      </c>
      <c r="BM123" s="1479">
        <f ca="1">IF(B123&gt;=$J$5,0,CONTADORES!BL121-CONTADORES!BL120)/1000</f>
        <v>0</v>
      </c>
      <c r="BN123" s="1479">
        <f ca="1">IF(B123&gt;=$J$5,0,CONTADORES!BM121-CONTADORES!BM120)/1000</f>
        <v>0</v>
      </c>
      <c r="BO123" s="1479">
        <f ca="1">IF(B123&gt;=$J$5,0,CONTADORES!BN121-CONTADORES!BN120)</f>
        <v>0</v>
      </c>
      <c r="BP123" s="1479">
        <f ca="1">IF(B123&gt;=$J$5,0,CONTADORES!BO121-CONTADORES!BO120)/1000</f>
        <v>4.9189999999999996</v>
      </c>
      <c r="BQ123" s="1479">
        <f ca="1">IF(B123&gt;=$J$5,0,CONTADORES!BP121-CONTADORES!BP120)/1000</f>
        <v>0.74</v>
      </c>
      <c r="BR123" s="1479">
        <f ca="1">IF(B123&gt;=$J$5,0,CONTADORES!BQ121-CONTADORES!BQ120)</f>
        <v>24</v>
      </c>
      <c r="BS123" s="1450">
        <f ca="1">IF(B123&gt;=$J$5,0,(CONTADORES!BT121-CONTADORES!BT120)+(CONTADORES!BV121-CONTADORES!BV120))/1000</f>
        <v>1.4059999999999999</v>
      </c>
      <c r="BT123" s="1479">
        <f ca="1">IF(B123&gt;=$J$5,0,(CONTADORES!BU121-CONTADORES!BU120)+(CONTADORES!BW121-CONTADORES!BW120))/1000</f>
        <v>0.77600000000000002</v>
      </c>
      <c r="BU123" s="1450">
        <f ca="1">IF(B123&gt;=$J$5,0,CONTADORES!BR121-CONTADORES!BR120)</f>
        <v>6.7999999999992724</v>
      </c>
      <c r="BV123" s="1479">
        <f ca="1">IF(B123&gt;=$J$5,0,CONTADORES!BS121-CONTADORES!BS120)</f>
        <v>4.5</v>
      </c>
      <c r="BW123" s="1479">
        <f t="shared" ca="1" si="47"/>
        <v>11.646499999986805</v>
      </c>
      <c r="BX123" s="1479">
        <f t="shared" ca="1" si="48"/>
        <v>8.8179999999999268</v>
      </c>
      <c r="BY123" s="1479">
        <f t="shared" ca="1" si="49"/>
        <v>4.8464999999875333</v>
      </c>
      <c r="BZ123" s="1479">
        <f t="shared" ca="1" si="50"/>
        <v>0.95760000000007295</v>
      </c>
      <c r="CA123" s="1479">
        <f t="shared" ca="1" si="51"/>
        <v>4.8464999999875333</v>
      </c>
      <c r="CB123" s="1479">
        <f t="shared" ca="1" si="52"/>
        <v>1.4364000000001091</v>
      </c>
      <c r="CC123" s="1479">
        <f t="shared" ca="1" si="53"/>
        <v>2.3636000000000728</v>
      </c>
      <c r="CD123" s="1479">
        <f t="shared" ca="1" si="54"/>
        <v>4.3179999999999259</v>
      </c>
      <c r="CE123" s="1479">
        <f ca="1">IF(B123&gt;=$J$5,0,CONTADORES!BS121-CONTADORES!BS120)</f>
        <v>4.5</v>
      </c>
      <c r="CF123" s="1479">
        <f t="shared" ca="1" si="55"/>
        <v>4.3179999999999259</v>
      </c>
      <c r="CG123" s="1479">
        <f t="shared" ca="1" si="56"/>
        <v>0.26199999999989199</v>
      </c>
      <c r="CH123" s="1479">
        <f t="shared" ca="1" si="57"/>
        <v>0.26199999999989199</v>
      </c>
      <c r="CI123" s="1479">
        <f t="shared" ca="1" si="58"/>
        <v>1.0379999999998919</v>
      </c>
      <c r="CJ123" s="1480">
        <f ca="1">IF($B123&gt;=$J$5,0,CONTADORES!$BG121)</f>
        <v>8053.07625386777</v>
      </c>
      <c r="CK123" s="1384">
        <f>CONTADORES!E121</f>
        <v>0</v>
      </c>
      <c r="CL123" s="1384">
        <f>CONTADORES!BX121</f>
        <v>0</v>
      </c>
    </row>
    <row r="124" spans="2:90">
      <c r="B124" s="410">
        <v>45040</v>
      </c>
      <c r="C124" s="204">
        <f t="shared" ca="1" si="33"/>
        <v>302</v>
      </c>
      <c r="D124" s="202">
        <f ca="1">'CALCULO DE GAS'!D129</f>
        <v>5.0659355915591222</v>
      </c>
      <c r="E124" s="202">
        <f ca="1">IF(B124&gt;=$J$5,0,(CONTADORES!$AB122-CONTADORES!$AB121)-$H124)</f>
        <v>24</v>
      </c>
      <c r="F124" s="204">
        <f t="shared" ca="1" si="63"/>
        <v>0</v>
      </c>
      <c r="G124" s="202">
        <f ca="1">IF(B124&gt;=$J$5,0,CONTADORES!$AD122-CONTADORES!$AD121)</f>
        <v>0</v>
      </c>
      <c r="H124" s="1437">
        <f ca="1">IF(G124&gt;0,CONTADORES!$AC122-CONTADORES!$AC121,0)</f>
        <v>0</v>
      </c>
      <c r="I124" s="205">
        <f ca="1">IF(B124&gt;=$J$5,0,CONTADORES!$Z122-CONTADORES!$Z121)</f>
        <v>302</v>
      </c>
      <c r="J124" s="204">
        <f t="shared" ca="1" si="34"/>
        <v>153</v>
      </c>
      <c r="K124" s="202">
        <f ca="1">'CALCULO DE GAS'!E129</f>
        <v>3.8196781796302757</v>
      </c>
      <c r="L124" s="1437">
        <f ca="1">IF(B124&gt;=$J$5,0,(CONTADORES!$W122-CONTADORES!$W121)-$O124)</f>
        <v>24</v>
      </c>
      <c r="M124" s="1437">
        <f t="shared" ca="1" si="62"/>
        <v>0</v>
      </c>
      <c r="N124" s="1437">
        <f ca="1">IF(B124&gt;=$J$5,0,CONTADORES!$Y122-CONTADORES!$Y121)</f>
        <v>0</v>
      </c>
      <c r="O124" s="1437">
        <f ca="1">IF(N124&gt;0,CONTADORES!$X122-CONTADORES!$X121,0)</f>
        <v>0</v>
      </c>
      <c r="P124" s="208">
        <f ca="1">IF(B124&gt;=$J$5,0,CONTADORES!$U122-CONTADORES!$U121)</f>
        <v>153</v>
      </c>
      <c r="Q124" s="208">
        <f ca="1">IF(B124&gt;=$J$5,0,CONTADORES!$B122-CONTADORES!$B121)</f>
        <v>0</v>
      </c>
      <c r="R124" s="202">
        <f t="shared" ca="1" si="35"/>
        <v>0</v>
      </c>
      <c r="S124" s="11">
        <f ca="1">IF(B124&gt;=$J$5,0,CONTADORES!$D122-CONTADORES!$D121)</f>
        <v>0</v>
      </c>
      <c r="T124" s="204">
        <f ca="1">IF(B124&gt;=$J$5,0,CONTADORES!$AZ122-CONTADORES!$AZ121)</f>
        <v>0</v>
      </c>
      <c r="U124" s="202">
        <f t="shared" ca="1" si="61"/>
        <v>0</v>
      </c>
      <c r="V124" s="205">
        <f ca="1">IF(B124&gt;=$J$5,0,CONTADORES!$BB122-CONTADORES!$BB121)</f>
        <v>0</v>
      </c>
      <c r="W124" s="1438">
        <f t="shared" ca="1" si="37"/>
        <v>455</v>
      </c>
      <c r="X124" s="1438">
        <f t="shared" ca="1" si="38"/>
        <v>0</v>
      </c>
      <c r="Y124" s="1439">
        <f t="shared" ca="1" si="39"/>
        <v>455</v>
      </c>
      <c r="Z124" s="1439">
        <f t="shared" ca="1" si="40"/>
        <v>8.8856137711893979</v>
      </c>
      <c r="AA124" s="1439">
        <f t="shared" ca="1" si="41"/>
        <v>0</v>
      </c>
      <c r="AB124" s="1439">
        <f t="shared" ca="1" si="42"/>
        <v>48</v>
      </c>
      <c r="AC124" s="1438">
        <f t="shared" ca="1" si="43"/>
        <v>0</v>
      </c>
      <c r="AD124" s="1479">
        <f ca="1">IF(B124&gt;=$J$5,0,CONTADORES!H122-CONTADORES!H121)</f>
        <v>163.09999999997672</v>
      </c>
      <c r="AE124" s="1443">
        <f ca="1">IF(B124&gt;=$J$5,0,CONTADORES!J122-CONTADORES!J121)</f>
        <v>24</v>
      </c>
      <c r="AF124" s="1479">
        <f ca="1">IF(B124&gt;=$J$5,0,CONTADORES!AS122-CONTADORES!AS121)</f>
        <v>154.5</v>
      </c>
      <c r="AG124" s="1438">
        <f ca="1">IF(B124&gt;=$J$5,0,CONTADORES!AU122-CONTADORES!AU121)</f>
        <v>24</v>
      </c>
      <c r="AH124" s="1438">
        <f ca="1">IF(B124&gt;=$J$5,0,(CONTADORES!AK122-CONTADORES!AK121)+(CONTADORES!K122-CONTADORES!K121))</f>
        <v>18.80000000000291</v>
      </c>
      <c r="AI124" s="1438">
        <f ca="1">IF(B124&gt;=$J$5,0,(CONTADORES!AI122-CONTADORES!AI121)+(CONTADORES!M122-CONTADORES!M121))</f>
        <v>34.900000000001455</v>
      </c>
      <c r="AJ124" s="1438">
        <f ca="1">IF(B124&gt;=$J$5,0,(CONTADORES!AG122-CONTADORES!AG121))</f>
        <v>5.8999999999941792</v>
      </c>
      <c r="AK124" s="1438">
        <f ca="1">IF(B124&gt;=$J$5,0,(CONTADORES!O122-CONTADORES!O121))</f>
        <v>14.299999999988358</v>
      </c>
      <c r="AL124" s="1438">
        <f t="shared" ca="1" si="44"/>
        <v>35.400000000034197</v>
      </c>
      <c r="AM124" s="1438">
        <f ca="1">IF(B124&gt;=$J$5,0,(((CONTADORES!F122-CONTADORES!F121)+(CONTADORES!AO122-CONTADORES!AO121))))-BJ124-AF124-AN124-BM124-BP124-BU124-BS124</f>
        <v>10.152000000002342</v>
      </c>
      <c r="AN124" s="1438">
        <f ca="1">IF(B124&gt;=$J$5,0,(CONTADORES!AV122-CONTADORES!AV121)+(CONTADORES!AX122-CONTADORES!AX121)+(CONTADORES!BC122-CONTADORES!BC121))-BS124</f>
        <v>3.0119999999998361</v>
      </c>
      <c r="AO124" s="1440">
        <f ca="1">IF(B124&gt;=$J$5,0,(CONTADORES!AA122-CONTADORES!AA121))</f>
        <v>154</v>
      </c>
      <c r="AP124" s="1440">
        <f ca="1">IF(B124&gt;=$J$5,0,(CONTADORES!V122-CONTADORES!V121))</f>
        <v>76</v>
      </c>
      <c r="AQ124" s="1445">
        <f ca="1">IF(B124&gt;=$J$5,0,(CONTADORES!C122-CONTADORES!C121))</f>
        <v>0</v>
      </c>
      <c r="AR124" s="1440">
        <f ca="1">IF(B124&gt;=$J$5,0,(CONTADORES!BA122-CONTADORES!BA121))</f>
        <v>0</v>
      </c>
      <c r="AS124" s="1479">
        <f ca="1">IF(B124&gt;=$J$5,0,CONTADORES!Q122-CONTADORES!Q121)</f>
        <v>15</v>
      </c>
      <c r="AT124" s="1479">
        <f ca="1">IF(B124&gt;=$J$5,0,(CONTADORES!S122-CONTADORES!S121)+(CONTADORES!AE122-CONTADORES!AE121))</f>
        <v>2.4000000000014552</v>
      </c>
      <c r="AU124" s="1450">
        <f>CONTADORES!I122-CONTADORES!I121</f>
        <v>82.400000000023283</v>
      </c>
      <c r="AV124" s="1479">
        <f>CONTADORES!AT122-CONTADORES!AT121</f>
        <v>66.5</v>
      </c>
      <c r="AW124" s="1479">
        <f ca="1">IF(B124&gt;=$J$5,0,(CONTADORES!L122-CONTADORES!L121)+(CONTADORES!AL122-CONTADORES!AL121))</f>
        <v>7.3999999999978172</v>
      </c>
      <c r="AX124" s="1479">
        <f ca="1">IF(B124&gt;=$J$5,0,(CONTADORES!N122-CONTADORES!N121)+(CONTADORES!AJ122-CONTADORES!AJ121))</f>
        <v>29.299999999995634</v>
      </c>
      <c r="AY124" s="1479">
        <f ca="1">IF(B124&gt;=$J$5,0,(CONTADORES!AH122-CONTADORES!AH121))</f>
        <v>4.3000000000029104</v>
      </c>
      <c r="AZ124" s="1479">
        <f ca="1">IF(B124&gt;=$J$5,0,(CONTADORES!P122-CONTADORES!P121))</f>
        <v>11</v>
      </c>
      <c r="BA124" s="1450">
        <f t="shared" ca="1" si="45"/>
        <v>10.419999999980689</v>
      </c>
      <c r="BB124" s="1450">
        <f ca="1">IF(B123&gt;=$J$5,0,(((CONTADORES!G122-CONTADORES!G121)+(CONTADORES!AP122-CONTADORES!AP121))))-AV124-BC124-BK124-BN124-BQ124-BV124</f>
        <v>11.575999999999993</v>
      </c>
      <c r="BC124" s="1479">
        <f ca="1">IF(B124&gt;=$J$5,0,(CONTADORES!AW122-CONTADORES!AW121)+(CONTADORES!AY122-CONTADORES!AY121)+(CONTADORES!BD122-CONTADORES!BD121))-BT124</f>
        <v>0.8499999999998249</v>
      </c>
      <c r="BD124" s="1438">
        <f t="shared" ca="1" si="46"/>
        <v>230</v>
      </c>
      <c r="BE124" s="1439">
        <f ca="1">IF($B124&gt;=$J$5,0,CONTADORES!$BE122)</f>
        <v>5797.38</v>
      </c>
      <c r="BF124" s="1438">
        <f ca="1">IF($B124&gt;=$J$5,0,CONTADORES!$BF122)</f>
        <v>31199.435087719299</v>
      </c>
      <c r="BG124" s="1438">
        <f ca="1">IF($B124&gt;=$J$5,0,CONTADORES!$BH122)</f>
        <v>4739.2</v>
      </c>
      <c r="BH124" s="1438">
        <f ca="1">IF(B124&gt;=$J$5,0,(CONTADORES!AQ122-CONTADORES!AQ121))</f>
        <v>5.1999999999970896</v>
      </c>
      <c r="BI124" s="1438">
        <f ca="1">IF(C124&gt;=$J$5,0,(CONTADORES!AR122-CONTADORES!AR121))</f>
        <v>0</v>
      </c>
      <c r="BJ124" s="1450">
        <f ca="1">IF(B124&gt;=$J$5,0,CONTADORES!BI122-CONTADORES!BI121)/1000</f>
        <v>3.12</v>
      </c>
      <c r="BK124" s="1479">
        <f ca="1">IF(B124&gt;=$J$5,0,CONTADORES!BJ122-CONTADORES!BJ121)</f>
        <v>1</v>
      </c>
      <c r="BL124" s="1479">
        <f ca="1">IF(B124&gt;=$J$5,0,CONTADORES!BK122-CONTADORES!BK121)</f>
        <v>24</v>
      </c>
      <c r="BM124" s="1479">
        <f ca="1">IF(B124&gt;=$J$5,0,CONTADORES!BL122-CONTADORES!BL121)/1000</f>
        <v>0</v>
      </c>
      <c r="BN124" s="1479">
        <f ca="1">IF(B124&gt;=$J$5,0,CONTADORES!BM122-CONTADORES!BM121)/1000</f>
        <v>0</v>
      </c>
      <c r="BO124" s="1479">
        <f ca="1">IF(B124&gt;=$J$5,0,CONTADORES!BN122-CONTADORES!BN121)</f>
        <v>0</v>
      </c>
      <c r="BP124" s="1479">
        <f ca="1">IF(B124&gt;=$J$5,0,CONTADORES!BO122-CONTADORES!BO121)/1000</f>
        <v>4.8979999999999997</v>
      </c>
      <c r="BQ124" s="1479">
        <f ca="1">IF(B124&gt;=$J$5,0,CONTADORES!BP122-CONTADORES!BP121)/1000</f>
        <v>0.77400000000000002</v>
      </c>
      <c r="BR124" s="1479">
        <f ca="1">IF(B124&gt;=$J$5,0,CONTADORES!BQ122-CONTADORES!BQ121)</f>
        <v>23.540000000000873</v>
      </c>
      <c r="BS124" s="1450">
        <f ca="1">IF(B124&gt;=$J$5,0,(CONTADORES!BT122-CONTADORES!BT121)+(CONTADORES!BV122-CONTADORES!BV121))/1000</f>
        <v>1.4179999999999999</v>
      </c>
      <c r="BT124" s="1479">
        <f ca="1">IF(B124&gt;=$J$5,0,(CONTADORES!BU122-CONTADORES!BU121)+(CONTADORES!BW122-CONTADORES!BW121))/1000</f>
        <v>0.78</v>
      </c>
      <c r="BU124" s="1450">
        <f ca="1">IF(B124&gt;=$J$5,0,CONTADORES!BR122-CONTADORES!BR121)</f>
        <v>5.5</v>
      </c>
      <c r="BV124" s="1479">
        <f ca="1">IF(B124&gt;=$J$5,0,CONTADORES!BS122-CONTADORES!BS121)</f>
        <v>3.6999999999998181</v>
      </c>
      <c r="BW124" s="1479">
        <f t="shared" ca="1" si="47"/>
        <v>10.576000000001171</v>
      </c>
      <c r="BX124" s="1479">
        <f t="shared" ca="1" si="48"/>
        <v>9.4879999999998148</v>
      </c>
      <c r="BY124" s="1479">
        <f t="shared" ca="1" si="49"/>
        <v>5.0760000000011711</v>
      </c>
      <c r="BZ124" s="1479">
        <f t="shared" ca="1" si="50"/>
        <v>1.2047999999999346</v>
      </c>
      <c r="CA124" s="1479">
        <f t="shared" ca="1" si="51"/>
        <v>5.0760000000011711</v>
      </c>
      <c r="CB124" s="1479">
        <f t="shared" ca="1" si="52"/>
        <v>1.8071999999999016</v>
      </c>
      <c r="CC124" s="1479">
        <f t="shared" ca="1" si="53"/>
        <v>2.6227999999999345</v>
      </c>
      <c r="CD124" s="1479">
        <f t="shared" ca="1" si="54"/>
        <v>5.7879999999999967</v>
      </c>
      <c r="CE124" s="1479">
        <f ca="1">IF(B124&gt;=$J$5,0,CONTADORES!BS122-CONTADORES!BS121)</f>
        <v>3.6999999999998181</v>
      </c>
      <c r="CF124" s="1479">
        <f t="shared" ca="1" si="55"/>
        <v>5.7879999999999967</v>
      </c>
      <c r="CG124" s="1479">
        <f t="shared" ca="1" si="56"/>
        <v>0.42499999999991245</v>
      </c>
      <c r="CH124" s="1479">
        <f t="shared" ca="1" si="57"/>
        <v>0.42499999999991245</v>
      </c>
      <c r="CI124" s="1479">
        <f t="shared" ca="1" si="58"/>
        <v>1.2049999999999126</v>
      </c>
      <c r="CJ124" s="1480">
        <f ca="1">IF($B124&gt;=$J$5,0,CONTADORES!$BG122)</f>
        <v>10028.583781802899</v>
      </c>
      <c r="CK124" s="1384">
        <f>CONTADORES!E122</f>
        <v>0</v>
      </c>
      <c r="CL124" s="1384">
        <f>CONTADORES!BX122</f>
        <v>0</v>
      </c>
    </row>
    <row r="125" spans="2:90">
      <c r="B125" s="410">
        <v>45041</v>
      </c>
      <c r="C125" s="204">
        <f t="shared" ca="1" si="33"/>
        <v>291</v>
      </c>
      <c r="D125" s="202">
        <f ca="1">'CALCULO DE GAS'!D130</f>
        <v>4.9739300108126976</v>
      </c>
      <c r="E125" s="202">
        <f ca="1">IF(B125&gt;=$J$5,0,(CONTADORES!$AB123-CONTADORES!$AB122)-$H125)</f>
        <v>24</v>
      </c>
      <c r="F125" s="204">
        <f t="shared" ca="1" si="63"/>
        <v>0</v>
      </c>
      <c r="G125" s="202">
        <f ca="1">IF(B125&gt;=$J$5,0,CONTADORES!$AD123-CONTADORES!$AD122)</f>
        <v>0</v>
      </c>
      <c r="H125" s="1437">
        <f ca="1">IF(G125&gt;0,CONTADORES!$AC123-CONTADORES!$AC122,0)</f>
        <v>0</v>
      </c>
      <c r="I125" s="205">
        <f ca="1">IF(B125&gt;=$J$5,0,CONTADORES!$Z123-CONTADORES!$Z122)</f>
        <v>291</v>
      </c>
      <c r="J125" s="204">
        <f t="shared" ca="1" si="34"/>
        <v>157</v>
      </c>
      <c r="K125" s="202">
        <f ca="1">'CALCULO DE GAS'!E130</f>
        <v>3.8531347544471579</v>
      </c>
      <c r="L125" s="1437">
        <f ca="1">IF(B125&gt;=$J$5,0,(CONTADORES!$W123-CONTADORES!$W122)-$O125)</f>
        <v>24</v>
      </c>
      <c r="M125" s="1437">
        <f t="shared" ca="1" si="62"/>
        <v>0</v>
      </c>
      <c r="N125" s="1437">
        <f ca="1">IF(B125&gt;=$J$5,0,CONTADORES!$Y123-CONTADORES!$Y122)</f>
        <v>0</v>
      </c>
      <c r="O125" s="1437">
        <f ca="1">IF(N125&gt;0,CONTADORES!$X123-CONTADORES!$X122,0)</f>
        <v>0</v>
      </c>
      <c r="P125" s="208">
        <f ca="1">IF(B125&gt;=$J$5,0,CONTADORES!$U123-CONTADORES!$U122)</f>
        <v>157</v>
      </c>
      <c r="Q125" s="208">
        <f ca="1">IF(B125&gt;=$J$5,0,CONTADORES!$B123-CONTADORES!$B122)</f>
        <v>0.38200000000006185</v>
      </c>
      <c r="R125" s="202">
        <f t="shared" ca="1" si="35"/>
        <v>45.840000000007421</v>
      </c>
      <c r="S125" s="11">
        <f ca="1">IF(B125&gt;=$J$5,0,CONTADORES!$D123-CONTADORES!$D122)</f>
        <v>0.6999999999998181</v>
      </c>
      <c r="T125" s="204">
        <f ca="1">IF(B125&gt;=$J$5,0,CONTADORES!$AZ123-CONTADORES!$AZ122)</f>
        <v>0.69000000000005457</v>
      </c>
      <c r="U125" s="202">
        <f t="shared" ca="1" si="61"/>
        <v>82.800000000006548</v>
      </c>
      <c r="V125" s="205">
        <f ca="1">IF(B125&gt;=$J$5,0,CONTADORES!$BB123-CONTADORES!$BB122)</f>
        <v>0.8000000000001819</v>
      </c>
      <c r="W125" s="1438">
        <f t="shared" ca="1" si="37"/>
        <v>448</v>
      </c>
      <c r="X125" s="1438">
        <f t="shared" ca="1" si="38"/>
        <v>1.0720000000001164</v>
      </c>
      <c r="Y125" s="1439">
        <f t="shared" ca="1" si="39"/>
        <v>449.07200000000012</v>
      </c>
      <c r="Z125" s="1439">
        <f t="shared" ca="1" si="40"/>
        <v>8.8270647652598555</v>
      </c>
      <c r="AA125" s="1439">
        <f t="shared" ca="1" si="41"/>
        <v>128.64000000001397</v>
      </c>
      <c r="AB125" s="1439">
        <f t="shared" ca="1" si="42"/>
        <v>48</v>
      </c>
      <c r="AC125" s="1438">
        <f t="shared" ca="1" si="43"/>
        <v>1.5</v>
      </c>
      <c r="AD125" s="1479">
        <f ca="1">IF(B125&gt;=$J$5,0,CONTADORES!H123-CONTADORES!H122)</f>
        <v>168.5</v>
      </c>
      <c r="AE125" s="1443">
        <f ca="1">IF(B125&gt;=$J$5,0,CONTADORES!J123-CONTADORES!J122)</f>
        <v>24</v>
      </c>
      <c r="AF125" s="1479">
        <f ca="1">IF(B125&gt;=$J$5,0,CONTADORES!AS123-CONTADORES!AS122)</f>
        <v>159</v>
      </c>
      <c r="AG125" s="1438">
        <f ca="1">IF(B125&gt;=$J$5,0,CONTADORES!AU123-CONTADORES!AU122)</f>
        <v>24</v>
      </c>
      <c r="AH125" s="1438">
        <f ca="1">IF(B125&gt;=$J$5,0,(CONTADORES!AK123-CONTADORES!AK122)+(CONTADORES!K123-CONTADORES!K122))</f>
        <v>5</v>
      </c>
      <c r="AI125" s="1438">
        <f ca="1">IF(B125&gt;=$J$5,0,(CONTADORES!AI123-CONTADORES!AI122)+(CONTADORES!M123-CONTADORES!M122))</f>
        <v>36.099999999991269</v>
      </c>
      <c r="AJ125" s="1438">
        <f ca="1">IF(B125&gt;=$J$5,0,(CONTADORES!AG123-CONTADORES!AG122))</f>
        <v>5.3000000000029104</v>
      </c>
      <c r="AK125" s="1438">
        <f ca="1">IF(B125&gt;=$J$5,0,(CONTADORES!O123-CONTADORES!O122))</f>
        <v>11.700000000011642</v>
      </c>
      <c r="AL125" s="1438">
        <f t="shared" ca="1" si="44"/>
        <v>34.071999999996535</v>
      </c>
      <c r="AM125" s="1438">
        <f ca="1">IF(B125&gt;=$J$5,0,(((CONTADORES!F123-CONTADORES!F122)+(CONTADORES!AO123-CONTADORES!AO122))))-BJ125-AF125-AN125-BM125-BP125-BU125-BS125</f>
        <v>8.8559999999976515</v>
      </c>
      <c r="AN125" s="1438">
        <f ca="1">IF(B125&gt;=$J$5,0,(CONTADORES!AV123-CONTADORES!AV122)+(CONTADORES!AX123-CONTADORES!AX122)+(CONTADORES!BC123-CONTADORES!BC122))-BS125</f>
        <v>3.3179999999998113</v>
      </c>
      <c r="AO125" s="1440">
        <f ca="1">IF(B125&gt;=$J$5,0,(CONTADORES!AA123-CONTADORES!AA122))</f>
        <v>154</v>
      </c>
      <c r="AP125" s="1440">
        <f ca="1">IF(B125&gt;=$J$5,0,(CONTADORES!V123-CONTADORES!V122))</f>
        <v>74</v>
      </c>
      <c r="AQ125" s="1445">
        <f ca="1">IF(B125&gt;=$J$5,0,(CONTADORES!C123-CONTADORES!C122))</f>
        <v>0.19200000000000728</v>
      </c>
      <c r="AR125" s="1440">
        <f ca="1">IF(B125&gt;=$J$5,0,(CONTADORES!BA123-CONTADORES!BA122))</f>
        <v>0.26600000000001955</v>
      </c>
      <c r="AS125" s="1479">
        <f ca="1">IF(B125&gt;=$J$5,0,CONTADORES!Q123-CONTADORES!Q122)</f>
        <v>14</v>
      </c>
      <c r="AT125" s="1479">
        <f ca="1">IF(B125&gt;=$J$5,0,(CONTADORES!S123-CONTADORES!S122)+(CONTADORES!AE123-CONTADORES!AE122))</f>
        <v>2.5999999999985448</v>
      </c>
      <c r="AU125" s="1450">
        <f>CONTADORES!I123-CONTADORES!I122</f>
        <v>84.899999999965075</v>
      </c>
      <c r="AV125" s="1479">
        <f>CONTADORES!AT123-CONTADORES!AT122</f>
        <v>69</v>
      </c>
      <c r="AW125" s="1479">
        <f ca="1">IF(B125&gt;=$J$5,0,(CONTADORES!L123-CONTADORES!L122)+(CONTADORES!AL123-CONTADORES!AL122))</f>
        <v>2</v>
      </c>
      <c r="AX125" s="1479">
        <f ca="1">IF(B125&gt;=$J$5,0,(CONTADORES!N123-CONTADORES!N122)+(CONTADORES!AJ123-CONTADORES!AJ122))</f>
        <v>30.30000000000291</v>
      </c>
      <c r="AY125" s="1479">
        <f ca="1">IF(B125&gt;=$J$5,0,(CONTADORES!AH123-CONTADORES!AH122))</f>
        <v>4.0999999999985448</v>
      </c>
      <c r="AZ125" s="1479">
        <f ca="1">IF(B125&gt;=$J$5,0,(CONTADORES!P123-CONTADORES!P122))</f>
        <v>9</v>
      </c>
      <c r="BA125" s="1450">
        <f t="shared" ca="1" si="45"/>
        <v>12.051000000033326</v>
      </c>
      <c r="BB125" s="1450">
        <f ca="1">IF(B124&gt;=$J$5,0,(((CONTADORES!G123-CONTADORES!G122)+(CONTADORES!AP123-CONTADORES!AP122))))-AV125-BC125-BK125-BN125-BQ125-BV125</f>
        <v>8.6990000000001917</v>
      </c>
      <c r="BC125" s="1479">
        <f ca="1">IF(B125&gt;=$J$5,0,(CONTADORES!AW123-CONTADORES!AW122)+(CONTADORES!AY123-CONTADORES!AY122)+(CONTADORES!BD123-CONTADORES!BD122))-BT125</f>
        <v>0.92299999999998972</v>
      </c>
      <c r="BD125" s="1438">
        <f t="shared" ca="1" si="46"/>
        <v>228.45800000000003</v>
      </c>
      <c r="BE125" s="1439">
        <f ca="1">IF($B125&gt;=$J$5,0,CONTADORES!$BE123)</f>
        <v>6134.89</v>
      </c>
      <c r="BF125" s="1438">
        <f ca="1">IF($B125&gt;=$J$5,0,CONTADORES!$BF123)</f>
        <v>31580.7368421053</v>
      </c>
      <c r="BG125" s="1438">
        <f ca="1">IF($B125&gt;=$J$5,0,CONTADORES!$BH123)</f>
        <v>5338.3</v>
      </c>
      <c r="BH125" s="1438">
        <f ca="1">IF(B125&gt;=$J$5,0,(CONTADORES!AQ123-CONTADORES!AQ122))</f>
        <v>4.8000000000029104</v>
      </c>
      <c r="BI125" s="1438">
        <f ca="1">IF(C125&gt;=$J$5,0,(CONTADORES!AR123-CONTADORES!AR122))</f>
        <v>0</v>
      </c>
      <c r="BJ125" s="1450">
        <f ca="1">IF(B125&gt;=$J$5,0,CONTADORES!BI123-CONTADORES!BI122)/1000</f>
        <v>2.7360000000000002</v>
      </c>
      <c r="BK125" s="1479">
        <f ca="1">IF(B125&gt;=$J$5,0,CONTADORES!BJ123-CONTADORES!BJ122)</f>
        <v>1</v>
      </c>
      <c r="BL125" s="1479">
        <f ca="1">IF(B125&gt;=$J$5,0,CONTADORES!BK123-CONTADORES!BK122)</f>
        <v>24</v>
      </c>
      <c r="BM125" s="1479">
        <f ca="1">IF(B125&gt;=$J$5,0,CONTADORES!BL123-CONTADORES!BL122)/1000</f>
        <v>0</v>
      </c>
      <c r="BN125" s="1479">
        <f ca="1">IF(B125&gt;=$J$5,0,CONTADORES!BM123-CONTADORES!BM122)/1000</f>
        <v>0</v>
      </c>
      <c r="BO125" s="1479">
        <f ca="1">IF(B125&gt;=$J$5,0,CONTADORES!BN123-CONTADORES!BN122)</f>
        <v>0</v>
      </c>
      <c r="BP125" s="1479">
        <f ca="1">IF(B125&gt;=$J$5,0,CONTADORES!BO123-CONTADORES!BO122)/1000</f>
        <v>4.9379999999999997</v>
      </c>
      <c r="BQ125" s="1479">
        <f ca="1">IF(B125&gt;=$J$5,0,CONTADORES!BP123-CONTADORES!BP122)/1000</f>
        <v>0.67800000000000005</v>
      </c>
      <c r="BR125" s="1479">
        <f ca="1">IF(B125&gt;=$J$5,0,CONTADORES!BQ123-CONTADORES!BQ122)</f>
        <v>23.959999999999127</v>
      </c>
      <c r="BS125" s="1450">
        <f ca="1">IF(B125&gt;=$J$5,0,(CONTADORES!BT123-CONTADORES!BT122)+(CONTADORES!BV123-CONTADORES!BV122))/1000</f>
        <v>1.452</v>
      </c>
      <c r="BT125" s="1479">
        <f ca="1">IF(B125&gt;=$J$5,0,(CONTADORES!BU123-CONTADORES!BU122)+(CONTADORES!BW123-CONTADORES!BW122))/1000</f>
        <v>0.80700000000000005</v>
      </c>
      <c r="BU125" s="1450">
        <f ca="1">IF(B125&gt;=$J$5,0,CONTADORES!BR123-CONTADORES!BR122)</f>
        <v>8.1000000000003638</v>
      </c>
      <c r="BV125" s="1479">
        <f ca="1">IF(B125&gt;=$J$5,0,CONTADORES!BS123-CONTADORES!BS122)</f>
        <v>5</v>
      </c>
      <c r="BW125" s="1479">
        <f t="shared" ca="1" si="47"/>
        <v>12.527999999999189</v>
      </c>
      <c r="BX125" s="1479">
        <f t="shared" ca="1" si="48"/>
        <v>9.349500000000095</v>
      </c>
      <c r="BY125" s="1479">
        <f t="shared" ca="1" si="49"/>
        <v>4.4279999999988258</v>
      </c>
      <c r="BZ125" s="1479">
        <f t="shared" ca="1" si="50"/>
        <v>1.3271999999999247</v>
      </c>
      <c r="CA125" s="1479">
        <f t="shared" ca="1" si="51"/>
        <v>4.4279999999988258</v>
      </c>
      <c r="CB125" s="1479">
        <f t="shared" ca="1" si="52"/>
        <v>1.9907999999998867</v>
      </c>
      <c r="CC125" s="1479">
        <f t="shared" ca="1" si="53"/>
        <v>2.7791999999999248</v>
      </c>
      <c r="CD125" s="1479">
        <f t="shared" ca="1" si="54"/>
        <v>4.3495000000000958</v>
      </c>
      <c r="CE125" s="1479">
        <f ca="1">IF(B125&gt;=$J$5,0,CONTADORES!BS123-CONTADORES!BS122)</f>
        <v>5</v>
      </c>
      <c r="CF125" s="1479">
        <f t="shared" ca="1" si="55"/>
        <v>4.3495000000000958</v>
      </c>
      <c r="CG125" s="1479">
        <f t="shared" ca="1" si="56"/>
        <v>0.46149999999999486</v>
      </c>
      <c r="CH125" s="1479">
        <f t="shared" ca="1" si="57"/>
        <v>0.46149999999999486</v>
      </c>
      <c r="CI125" s="1479">
        <f t="shared" ca="1" si="58"/>
        <v>1.2684999999999949</v>
      </c>
      <c r="CJ125" s="1480">
        <f ca="1">IF($B125&gt;=$J$5,0,CONTADORES!$BG123)</f>
        <v>8926.8647690566395</v>
      </c>
      <c r="CK125" s="1384">
        <f>CONTADORES!E123</f>
        <v>0.4</v>
      </c>
      <c r="CL125" s="1384">
        <f>CONTADORES!BX123</f>
        <v>0.7</v>
      </c>
    </row>
    <row r="126" spans="2:90">
      <c r="B126" s="410">
        <v>45042</v>
      </c>
      <c r="C126" s="204">
        <f t="shared" ca="1" si="33"/>
        <v>282.13000000000466</v>
      </c>
      <c r="D126" s="202">
        <f ca="1">'CALCULO DE GAS'!D131</f>
        <v>4.8997400561563005</v>
      </c>
      <c r="E126" s="202">
        <f ca="1">IF(B126&gt;=$J$5,0,(CONTADORES!$AB124-CONTADORES!$AB123)-$H126)</f>
        <v>24</v>
      </c>
      <c r="F126" s="204">
        <f t="shared" ca="1" si="63"/>
        <v>0</v>
      </c>
      <c r="G126" s="202">
        <f ca="1">IF(B126&gt;=$J$5,0,CONTADORES!$AD124-CONTADORES!$AD123)</f>
        <v>0</v>
      </c>
      <c r="H126" s="1437">
        <f ca="1">IF(G126&gt;0,CONTADORES!$AC124-CONTADORES!$AC123,0)</f>
        <v>0</v>
      </c>
      <c r="I126" s="205">
        <f ca="1">IF(B126&gt;=$J$5,0,CONTADORES!$Z124-CONTADORES!$Z123)</f>
        <v>282.13000000000466</v>
      </c>
      <c r="J126" s="204">
        <f t="shared" ca="1" si="34"/>
        <v>148.91000000000349</v>
      </c>
      <c r="K126" s="202">
        <f ca="1">'CALCULO DE GAS'!E131</f>
        <v>3.7854688318800433</v>
      </c>
      <c r="L126" s="1437">
        <f ca="1">IF(B126&gt;=$J$5,0,(CONTADORES!$W124-CONTADORES!$W123)-$O126)</f>
        <v>24</v>
      </c>
      <c r="M126" s="1437">
        <f t="shared" ca="1" si="62"/>
        <v>0</v>
      </c>
      <c r="N126" s="1437">
        <f ca="1">IF(B126&gt;=$J$5,0,CONTADORES!$Y124-CONTADORES!$Y123)</f>
        <v>0</v>
      </c>
      <c r="O126" s="1437">
        <f ca="1">IF(N126&gt;0,CONTADORES!$X124-CONTADORES!$X123,0)</f>
        <v>0</v>
      </c>
      <c r="P126" s="208">
        <f ca="1">IF(B126&gt;=$J$5,0,CONTADORES!$U124-CONTADORES!$U123)</f>
        <v>148.91000000000349</v>
      </c>
      <c r="Q126" s="208">
        <f ca="1">IF(B126&gt;=$J$5,0,CONTADORES!$B124-CONTADORES!$B123)</f>
        <v>0</v>
      </c>
      <c r="R126" s="202">
        <f t="shared" ca="1" si="35"/>
        <v>0</v>
      </c>
      <c r="S126" s="11">
        <f ca="1">IF(B126&gt;=$J$5,0,CONTADORES!$D124-CONTADORES!$D123)</f>
        <v>0</v>
      </c>
      <c r="T126" s="204">
        <f ca="1">IF(B126&gt;=$J$5,0,CONTADORES!$AZ124-CONTADORES!$AZ123)</f>
        <v>0</v>
      </c>
      <c r="U126" s="202">
        <f t="shared" ca="1" si="61"/>
        <v>0</v>
      </c>
      <c r="V126" s="205">
        <f ca="1">IF(B126&gt;=$J$5,0,CONTADORES!$BB124-CONTADORES!$BB123)</f>
        <v>0</v>
      </c>
      <c r="W126" s="1438">
        <f t="shared" ca="1" si="37"/>
        <v>431.04000000000815</v>
      </c>
      <c r="X126" s="1438">
        <f t="shared" ca="1" si="38"/>
        <v>0</v>
      </c>
      <c r="Y126" s="1439">
        <f t="shared" ca="1" si="39"/>
        <v>431.04000000000815</v>
      </c>
      <c r="Z126" s="1439">
        <f t="shared" ca="1" si="40"/>
        <v>8.6852088880363443</v>
      </c>
      <c r="AA126" s="1439">
        <f t="shared" ca="1" si="41"/>
        <v>0</v>
      </c>
      <c r="AB126" s="1439">
        <f t="shared" ca="1" si="42"/>
        <v>48</v>
      </c>
      <c r="AC126" s="1438">
        <f t="shared" ca="1" si="43"/>
        <v>0</v>
      </c>
      <c r="AD126" s="1479">
        <f ca="1">IF(B126&gt;=$J$5,0,CONTADORES!H124-CONTADORES!H123)</f>
        <v>160.40000000002328</v>
      </c>
      <c r="AE126" s="1443">
        <f ca="1">IF(B126&gt;=$J$5,0,CONTADORES!J124-CONTADORES!J123)</f>
        <v>24</v>
      </c>
      <c r="AF126" s="1479">
        <f ca="1">IF(B126&gt;=$J$5,0,CONTADORES!AS124-CONTADORES!AS123)</f>
        <v>151.01000000000931</v>
      </c>
      <c r="AG126" s="1438">
        <f ca="1">IF(B126&gt;=$J$5,0,CONTADORES!AU124-CONTADORES!AU123)</f>
        <v>24</v>
      </c>
      <c r="AH126" s="1438">
        <f ca="1">IF(B126&gt;=$J$5,0,(CONTADORES!AK124-CONTADORES!AK123)+(CONTADORES!K124-CONTADORES!K123))</f>
        <v>4.5999999999985448</v>
      </c>
      <c r="AI126" s="1438">
        <f ca="1">IF(B126&gt;=$J$5,0,(CONTADORES!AI124-CONTADORES!AI123)+(CONTADORES!M124-CONTADORES!M123))</f>
        <v>34.660000000003492</v>
      </c>
      <c r="AJ126" s="1438">
        <f ca="1">IF(B126&gt;=$J$5,0,(CONTADORES!AG124-CONTADORES!AG123))</f>
        <v>6.3499999999912689</v>
      </c>
      <c r="AK126" s="1438">
        <f ca="1">IF(B126&gt;=$J$5,0,(CONTADORES!O124-CONTADORES!O123))</f>
        <v>11.260000000009313</v>
      </c>
      <c r="AL126" s="1438">
        <f t="shared" ca="1" si="44"/>
        <v>33.769999999993161</v>
      </c>
      <c r="AM126" s="1438">
        <f ca="1">IF(B126&gt;=$J$5,0,(((CONTADORES!F124-CONTADORES!F123)+(CONTADORES!AO124-CONTADORES!AO123))))-BJ126-AF126-AN126-BM126-BP126-BU126-BS126</f>
        <v>8.1939999999792708</v>
      </c>
      <c r="AN126" s="1438">
        <f ca="1">IF(B126&gt;=$J$5,0,(CONTADORES!AV124-CONTADORES!AV123)+(CONTADORES!AX124-CONTADORES!AX123)+(CONTADORES!BC124-CONTADORES!BC123))-BS126</f>
        <v>3.5460000000003635</v>
      </c>
      <c r="AO126" s="1440">
        <f ca="1">IF(B126&gt;=$J$5,0,(CONTADORES!AA124-CONTADORES!AA123))</f>
        <v>146.26000000000931</v>
      </c>
      <c r="AP126" s="1440">
        <f ca="1">IF(B126&gt;=$J$5,0,(CONTADORES!V124-CONTADORES!V123))</f>
        <v>72.56000000000131</v>
      </c>
      <c r="AQ126" s="1445">
        <f ca="1">IF(B126&gt;=$J$5,0,(CONTADORES!C124-CONTADORES!C123))</f>
        <v>0</v>
      </c>
      <c r="AR126" s="1440">
        <f ca="1">IF(B126&gt;=$J$5,0,(CONTADORES!BA124-CONTADORES!BA123))</f>
        <v>0</v>
      </c>
      <c r="AS126" s="1479">
        <f ca="1">IF(B126&gt;=$J$5,0,CONTADORES!Q124-CONTADORES!Q123)</f>
        <v>15.149999999994179</v>
      </c>
      <c r="AT126" s="1479">
        <f ca="1">IF(B126&gt;=$J$5,0,(CONTADORES!S124-CONTADORES!S123)+(CONTADORES!AE124-CONTADORES!AE123))</f>
        <v>2.4700000000011642</v>
      </c>
      <c r="AU126" s="1450">
        <f>CONTADORES!I124-CONTADORES!I123</f>
        <v>80.600000000034925</v>
      </c>
      <c r="AV126" s="1479">
        <f>CONTADORES!AT124-CONTADORES!AT123</f>
        <v>65.589999999996508</v>
      </c>
      <c r="AW126" s="1479">
        <f ca="1">IF(B126&gt;=$J$5,0,(CONTADORES!L124-CONTADORES!L123)+(CONTADORES!AL124-CONTADORES!AL123))</f>
        <v>1.9000000000014552</v>
      </c>
      <c r="AX126" s="1479">
        <f ca="1">IF(B126&gt;=$J$5,0,(CONTADORES!N124-CONTADORES!N123)+(CONTADORES!AJ124-CONTADORES!AJ123))</f>
        <v>29.059999999997672</v>
      </c>
      <c r="AY126" s="1479">
        <f ca="1">IF(B126&gt;=$J$5,0,(CONTADORES!AH124-CONTADORES!AH123))</f>
        <v>4.7799999999988358</v>
      </c>
      <c r="AZ126" s="1479">
        <f ca="1">IF(B126&gt;=$J$5,0,(CONTADORES!P124-CONTADORES!P123))</f>
        <v>9.9700000000011642</v>
      </c>
      <c r="BA126" s="1450">
        <f t="shared" ca="1" si="45"/>
        <v>9.2819999999702247</v>
      </c>
      <c r="BB126" s="1450">
        <f ca="1">IF(B125&gt;=$J$5,0,(((CONTADORES!G124-CONTADORES!G123)+(CONTADORES!AP124-CONTADORES!AP123))))-AV126-BC126-BK126-BN126-BQ126-BV126</f>
        <v>8.9350000000093495</v>
      </c>
      <c r="BC126" s="1479">
        <f ca="1">IF(B126&gt;=$J$5,0,(CONTADORES!AW124-CONTADORES!AW123)+(CONTADORES!AY124-CONTADORES!AY123)+(CONTADORES!BD124-CONTADORES!BD123))-BT126</f>
        <v>1.0820000000004002</v>
      </c>
      <c r="BD126" s="1438">
        <f t="shared" ca="1" si="46"/>
        <v>218.82000000001062</v>
      </c>
      <c r="BE126" s="1439">
        <f ca="1">IF($B126&gt;=$J$5,0,CONTADORES!$BE124)</f>
        <v>6214.34</v>
      </c>
      <c r="BF126" s="1438">
        <f ca="1">IF($B126&gt;=$J$5,0,CONTADORES!$BF124)</f>
        <v>32825.263157894697</v>
      </c>
      <c r="BG126" s="1438">
        <f ca="1">IF($B126&gt;=$J$5,0,CONTADORES!$BH124)</f>
        <v>6730.87</v>
      </c>
      <c r="BH126" s="1438">
        <f ca="1">IF(B126&gt;=$J$5,0,(CONTADORES!AQ124-CONTADORES!AQ123))</f>
        <v>5.1070000000036089</v>
      </c>
      <c r="BI126" s="1438">
        <f ca="1">IF(C126&gt;=$J$5,0,(CONTADORES!AR124-CONTADORES!AR123))</f>
        <v>0</v>
      </c>
      <c r="BJ126" s="1450">
        <f ca="1">IF(B126&gt;=$J$5,0,CONTADORES!BI124-CONTADORES!BI123)/1000</f>
        <v>2.8079999999999998</v>
      </c>
      <c r="BK126" s="1479">
        <f ca="1">IF(B126&gt;=$J$5,0,CONTADORES!BJ124-CONTADORES!BJ123)</f>
        <v>1</v>
      </c>
      <c r="BL126" s="1479">
        <f ca="1">IF(B126&gt;=$J$5,0,CONTADORES!BK124-CONTADORES!BK123)</f>
        <v>24</v>
      </c>
      <c r="BM126" s="1479">
        <f ca="1">IF(B126&gt;=$J$5,0,CONTADORES!BL124-CONTADORES!BL123)/1000</f>
        <v>0</v>
      </c>
      <c r="BN126" s="1479">
        <f ca="1">IF(B126&gt;=$J$5,0,CONTADORES!BM124-CONTADORES!BM123)/1000</f>
        <v>0</v>
      </c>
      <c r="BO126" s="1479">
        <f ca="1">IF(B126&gt;=$J$5,0,CONTADORES!BN124-CONTADORES!BN123)</f>
        <v>0</v>
      </c>
      <c r="BP126" s="1479">
        <f ca="1">IF(B126&gt;=$J$5,0,CONTADORES!BO124-CONTADORES!BO123)/1000</f>
        <v>4.798</v>
      </c>
      <c r="BQ126" s="1479">
        <f ca="1">IF(B126&gt;=$J$5,0,CONTADORES!BP124-CONTADORES!BP123)/1000</f>
        <v>0.76300000000000001</v>
      </c>
      <c r="BR126" s="1479">
        <f ca="1">IF(B126&gt;=$J$5,0,CONTADORES!BQ124-CONTADORES!BQ123)</f>
        <v>24</v>
      </c>
      <c r="BS126" s="1450">
        <f ca="1">IF(B126&gt;=$J$5,0,(CONTADORES!BT124-CONTADORES!BT123)+(CONTADORES!BV124-CONTADORES!BV123))/1000</f>
        <v>1.304</v>
      </c>
      <c r="BT126" s="1479">
        <f ca="1">IF(B126&gt;=$J$5,0,(CONTADORES!BU124-CONTADORES!BU123)+(CONTADORES!BW124-CONTADORES!BW123))/1000</f>
        <v>0.72799999999999998</v>
      </c>
      <c r="BU126" s="1450">
        <f ca="1">IF(B126&gt;=$J$5,0,CONTADORES!BR124-CONTADORES!BR123)</f>
        <v>8.3400000000001455</v>
      </c>
      <c r="BV126" s="1479">
        <f ca="1">IF(B126&gt;=$J$5,0,CONTADORES!BS124-CONTADORES!BS123)</f>
        <v>5.1300000000001091</v>
      </c>
      <c r="BW126" s="1479">
        <f t="shared" ca="1" si="47"/>
        <v>12.43699999998978</v>
      </c>
      <c r="BX126" s="1479">
        <f t="shared" ca="1" si="48"/>
        <v>9.5975000000047839</v>
      </c>
      <c r="BY126" s="1479">
        <f t="shared" ca="1" si="49"/>
        <v>4.0969999999896354</v>
      </c>
      <c r="BZ126" s="1479">
        <f t="shared" ca="1" si="50"/>
        <v>1.4184000000001455</v>
      </c>
      <c r="CA126" s="1479">
        <f t="shared" ca="1" si="51"/>
        <v>4.0969999999896354</v>
      </c>
      <c r="CB126" s="1479">
        <f t="shared" ca="1" si="52"/>
        <v>2.1276000000002178</v>
      </c>
      <c r="CC126" s="1479">
        <f t="shared" ca="1" si="53"/>
        <v>2.7224000000001456</v>
      </c>
      <c r="CD126" s="1479">
        <f t="shared" ca="1" si="54"/>
        <v>4.4675000000046747</v>
      </c>
      <c r="CE126" s="1479">
        <f ca="1">IF(B126&gt;=$J$5,0,CONTADORES!BS124-CONTADORES!BS123)</f>
        <v>5.1300000000001091</v>
      </c>
      <c r="CF126" s="1479">
        <f t="shared" ca="1" si="55"/>
        <v>4.4675000000046747</v>
      </c>
      <c r="CG126" s="1479">
        <f t="shared" ca="1" si="56"/>
        <v>0.5410000000002001</v>
      </c>
      <c r="CH126" s="1479">
        <f t="shared" ca="1" si="57"/>
        <v>0.5410000000002001</v>
      </c>
      <c r="CI126" s="1479">
        <f t="shared" ca="1" si="58"/>
        <v>1.2690000000002</v>
      </c>
      <c r="CJ126" s="1480">
        <f ca="1">IF($B126&gt;=$J$5,0,CONTADORES!$BG124)</f>
        <v>8978.7398152334899</v>
      </c>
      <c r="CK126" s="1384">
        <f>CONTADORES!E124</f>
        <v>0</v>
      </c>
      <c r="CL126" s="1384">
        <f>CONTADORES!BX124</f>
        <v>0</v>
      </c>
    </row>
    <row r="127" spans="2:90">
      <c r="B127" s="410">
        <v>45043</v>
      </c>
      <c r="C127" s="204">
        <f t="shared" ca="1" si="33"/>
        <v>307.51000000000931</v>
      </c>
      <c r="D127" s="202">
        <f ca="1">'CALCULO DE GAS'!D132</f>
        <v>5.1120220233694544</v>
      </c>
      <c r="E127" s="202">
        <f ca="1">IF(B127&gt;=$J$5,0,(CONTADORES!$AB125-CONTADORES!$AB124)-$H127)</f>
        <v>24</v>
      </c>
      <c r="F127" s="204">
        <f t="shared" ca="1" si="63"/>
        <v>0</v>
      </c>
      <c r="G127" s="202">
        <f ca="1">IF(B127&gt;=$J$5,0,CONTADORES!$AD125-CONTADORES!$AD124)</f>
        <v>0</v>
      </c>
      <c r="H127" s="1437">
        <f ca="1">IF(G127&gt;0,CONTADORES!$AC125-CONTADORES!$AC124,0)</f>
        <v>0</v>
      </c>
      <c r="I127" s="205">
        <f ca="1">IF(B127&gt;=$J$5,0,CONTADORES!$Z125-CONTADORES!$Z124)</f>
        <v>307.51000000000931</v>
      </c>
      <c r="J127" s="204">
        <f t="shared" ca="1" si="34"/>
        <v>151.15999999999622</v>
      </c>
      <c r="K127" s="202">
        <f ca="1">'CALCULO DE GAS'!E132</f>
        <v>3.8042881552144783</v>
      </c>
      <c r="L127" s="1437">
        <f ca="1">IF(B127&gt;=$J$5,0,(CONTADORES!$W125-CONTADORES!$W124)-$O127)</f>
        <v>24</v>
      </c>
      <c r="M127" s="1437">
        <f t="shared" ca="1" si="62"/>
        <v>0</v>
      </c>
      <c r="N127" s="1437">
        <f ca="1">IF(B127&gt;=$J$5,0,CONTADORES!$Y125-CONTADORES!$Y124)</f>
        <v>0</v>
      </c>
      <c r="O127" s="1437">
        <f ca="1">IF(N127&gt;0,CONTADORES!$X125-CONTADORES!$X124,0)</f>
        <v>0</v>
      </c>
      <c r="P127" s="208">
        <f ca="1">IF(B127&gt;=$J$5,0,CONTADORES!$U125-CONTADORES!$U124)</f>
        <v>151.15999999999622</v>
      </c>
      <c r="Q127" s="208">
        <f ca="1">IF(B127&gt;=$J$5,0,CONTADORES!$B125-CONTADORES!$B124)</f>
        <v>0</v>
      </c>
      <c r="R127" s="202">
        <f t="shared" ca="1" si="35"/>
        <v>0</v>
      </c>
      <c r="S127" s="11">
        <f ca="1">IF(B127&gt;=$J$5,0,CONTADORES!$D125-CONTADORES!$D124)</f>
        <v>0</v>
      </c>
      <c r="T127" s="204">
        <f ca="1">IF(B127&gt;=$J$5,0,CONTADORES!$AZ125-CONTADORES!$AZ124)</f>
        <v>0</v>
      </c>
      <c r="U127" s="202">
        <f t="shared" ca="1" si="61"/>
        <v>0</v>
      </c>
      <c r="V127" s="205">
        <f ca="1">IF(B127&gt;=$J$5,0,CONTADORES!$BB125-CONTADORES!$BB124)</f>
        <v>0</v>
      </c>
      <c r="W127" s="1438">
        <f t="shared" ca="1" si="37"/>
        <v>458.67000000000553</v>
      </c>
      <c r="X127" s="1438">
        <f t="shared" ca="1" si="38"/>
        <v>0</v>
      </c>
      <c r="Y127" s="1439">
        <f t="shared" ca="1" si="39"/>
        <v>458.67000000000553</v>
      </c>
      <c r="Z127" s="1439">
        <f t="shared" ca="1" si="40"/>
        <v>8.9163101785839327</v>
      </c>
      <c r="AA127" s="1439">
        <f t="shared" ca="1" si="41"/>
        <v>0</v>
      </c>
      <c r="AB127" s="1439">
        <f t="shared" ca="1" si="42"/>
        <v>48</v>
      </c>
      <c r="AC127" s="1438">
        <f t="shared" ca="1" si="43"/>
        <v>0</v>
      </c>
      <c r="AD127" s="1479">
        <f ca="1">IF(B127&gt;=$J$5,0,CONTADORES!H125-CONTADORES!H124)</f>
        <v>165.28000000002794</v>
      </c>
      <c r="AE127" s="1443">
        <f ca="1">IF(B127&gt;=$J$5,0,CONTADORES!J125-CONTADORES!J124)</f>
        <v>24</v>
      </c>
      <c r="AF127" s="1479">
        <f ca="1">IF(B127&gt;=$J$5,0,CONTADORES!AS125-CONTADORES!AS124)</f>
        <v>156.89000000001397</v>
      </c>
      <c r="AG127" s="1438">
        <f ca="1">IF(B127&gt;=$J$5,0,CONTADORES!AU125-CONTADORES!AU124)</f>
        <v>24</v>
      </c>
      <c r="AH127" s="1438">
        <f ca="1">IF(B127&gt;=$J$5,0,(CONTADORES!AK125-CONTADORES!AK124)+(CONTADORES!K125-CONTADORES!K124))</f>
        <v>13.400000000001455</v>
      </c>
      <c r="AI127" s="1438">
        <f ca="1">IF(B127&gt;=$J$5,0,(CONTADORES!AI125-CONTADORES!AI124)+(CONTADORES!M125-CONTADORES!M124))</f>
        <v>39.380000000004657</v>
      </c>
      <c r="AJ127" s="1438">
        <f ca="1">IF(B127&gt;=$J$5,0,(CONTADORES!AG125-CONTADORES!AG124))</f>
        <v>6.5600000000122236</v>
      </c>
      <c r="AK127" s="1438">
        <f ca="1">IF(B127&gt;=$J$5,0,(CONTADORES!O125-CONTADORES!O124))</f>
        <v>12.979999999981374</v>
      </c>
      <c r="AL127" s="1438">
        <f t="shared" ca="1" si="44"/>
        <v>35.269999999953143</v>
      </c>
      <c r="AM127" s="1438">
        <f ca="1">IF(B127&gt;=$J$5,0,(((CONTADORES!F125-CONTADORES!F124)+(CONTADORES!AO125-CONTADORES!AO124))))-BJ127-AF127-AN127-BM127-BP127-BU127-BS127</f>
        <v>9.9250000000113072</v>
      </c>
      <c r="AN127" s="1438">
        <f ca="1">IF(B127&gt;=$J$5,0,(CONTADORES!AV125-CONTADORES!AV124)+(CONTADORES!AX125-CONTADORES!AX124)+(CONTADORES!BC125-CONTADORES!BC124))-BS127</f>
        <v>0.79599999999923043</v>
      </c>
      <c r="AO127" s="1440">
        <f ca="1">IF(B127&gt;=$J$5,0,(CONTADORES!AA125-CONTADORES!AA124))</f>
        <v>155.29999999998836</v>
      </c>
      <c r="AP127" s="1440">
        <f ca="1">IF(B127&gt;=$J$5,0,(CONTADORES!V125-CONTADORES!V124))</f>
        <v>78.049999999999272</v>
      </c>
      <c r="AQ127" s="1445">
        <f ca="1">IF(B127&gt;=$J$5,0,(CONTADORES!C125-CONTADORES!C124))</f>
        <v>0</v>
      </c>
      <c r="AR127" s="1440">
        <f ca="1">IF(B127&gt;=$J$5,0,(CONTADORES!BA125-CONTADORES!BA124))</f>
        <v>0</v>
      </c>
      <c r="AS127" s="1479">
        <f ca="1">IF(B127&gt;=$J$5,0,CONTADORES!Q125-CONTADORES!Q124)</f>
        <v>15.190000000002328</v>
      </c>
      <c r="AT127" s="1479">
        <f ca="1">IF(B127&gt;=$J$5,0,(CONTADORES!S125-CONTADORES!S124)+(CONTADORES!AE125-CONTADORES!AE124))</f>
        <v>2.5100000000020373</v>
      </c>
      <c r="AU127" s="1450">
        <f>CONTADORES!I125-CONTADORES!I124</f>
        <v>83.169999999983702</v>
      </c>
      <c r="AV127" s="1479">
        <f>CONTADORES!AT125-CONTADORES!AT124</f>
        <v>67.910000000003492</v>
      </c>
      <c r="AW127" s="1479">
        <f ca="1">IF(B127&gt;=$J$5,0,(CONTADORES!L125-CONTADORES!L124)+(CONTADORES!AL125-CONTADORES!AL124))</f>
        <v>5.2999999999992724</v>
      </c>
      <c r="AX127" s="1479">
        <f ca="1">IF(B127&gt;=$J$5,0,(CONTADORES!N125-CONTADORES!N124)+(CONTADORES!AJ125-CONTADORES!AJ124))</f>
        <v>33.309999999997672</v>
      </c>
      <c r="AY127" s="1479">
        <f ca="1">IF(B127&gt;=$J$5,0,(CONTADORES!AH125-CONTADORES!AH124))</f>
        <v>4.930000000000291</v>
      </c>
      <c r="AZ127" s="1479">
        <f ca="1">IF(B127&gt;=$J$5,0,(CONTADORES!P125-CONTADORES!P124))</f>
        <v>10.119999999995343</v>
      </c>
      <c r="BA127" s="1450">
        <f t="shared" ca="1" si="45"/>
        <v>10.111000000017526</v>
      </c>
      <c r="BB127" s="1450">
        <f ca="1">IF(B126&gt;=$J$5,0,(((CONTADORES!G125-CONTADORES!G124)+(CONTADORES!AP125-CONTADORES!AP124))))-AV127-BC127-BK127-BN127-BQ127-BV127</f>
        <v>9.0949999999905202</v>
      </c>
      <c r="BC127" s="1479">
        <f ca="1">IF(B127&gt;=$J$5,0,(CONTADORES!AW125-CONTADORES!AW124)+(CONTADORES!AY125-CONTADORES!AY124)+(CONTADORES!BD125-CONTADORES!BD124))-BT127</f>
        <v>1.1009999999996953</v>
      </c>
      <c r="BD127" s="1438">
        <f t="shared" ca="1" si="46"/>
        <v>233.34999999998763</v>
      </c>
      <c r="BE127" s="1439">
        <f ca="1">IF($B127&gt;=$J$5,0,CONTADORES!$BE125)</f>
        <v>6038.57</v>
      </c>
      <c r="BF127" s="1438">
        <f ca="1">IF($B127&gt;=$J$5,0,CONTADORES!$BF125)</f>
        <v>33383.052631578903</v>
      </c>
      <c r="BG127" s="1438">
        <f ca="1">IF($B127&gt;=$J$5,0,CONTADORES!$BH125)</f>
        <v>7164.13</v>
      </c>
      <c r="BH127" s="1438">
        <f ca="1">IF(B127&gt;=$J$5,0,(CONTADORES!AQ125-CONTADORES!AQ124))</f>
        <v>5.0999999999985448</v>
      </c>
      <c r="BI127" s="1438">
        <f ca="1">IF(C127&gt;=$J$5,0,(CONTADORES!AR125-CONTADORES!AR124))</f>
        <v>0</v>
      </c>
      <c r="BJ127" s="1450">
        <f ca="1">IF(B127&gt;=$J$5,0,CONTADORES!BI125-CONTADORES!BI124)/1000</f>
        <v>2.52</v>
      </c>
      <c r="BK127" s="1479">
        <f ca="1">IF(B127&gt;=$J$5,0,CONTADORES!BJ125-CONTADORES!BJ124)</f>
        <v>1</v>
      </c>
      <c r="BL127" s="1479">
        <f ca="1">IF(B127&gt;=$J$5,0,CONTADORES!BK125-CONTADORES!BK124)</f>
        <v>24</v>
      </c>
      <c r="BM127" s="1479">
        <f ca="1">IF(B127&gt;=$J$5,0,CONTADORES!BL125-CONTADORES!BL124)/1000</f>
        <v>0</v>
      </c>
      <c r="BN127" s="1479">
        <f ca="1">IF(B127&gt;=$J$5,0,CONTADORES!BM125-CONTADORES!BM124)/1000</f>
        <v>0</v>
      </c>
      <c r="BO127" s="1479">
        <f ca="1">IF(B127&gt;=$J$5,0,CONTADORES!BN125-CONTADORES!BN124)</f>
        <v>0</v>
      </c>
      <c r="BP127" s="1479">
        <f ca="1">IF(B127&gt;=$J$5,0,CONTADORES!BO125-CONTADORES!BO124)/1000</f>
        <v>5.0149999999999997</v>
      </c>
      <c r="BQ127" s="1479">
        <f ca="1">IF(B127&gt;=$J$5,0,CONTADORES!BP125-CONTADORES!BP124)/1000</f>
        <v>0.81399999999999995</v>
      </c>
      <c r="BR127" s="1479">
        <f ca="1">IF(B127&gt;=$J$5,0,CONTADORES!BQ125-CONTADORES!BQ124)</f>
        <v>23.889999999999418</v>
      </c>
      <c r="BS127" s="1450">
        <f ca="1">IF(B127&gt;=$J$5,0,(CONTADORES!BT125-CONTADORES!BT124)+(CONTADORES!BV125-CONTADORES!BV124))/1000</f>
        <v>1.8939999999999999</v>
      </c>
      <c r="BT127" s="1479">
        <f ca="1">IF(B127&gt;=$J$5,0,(CONTADORES!BU125-CONTADORES!BU124)+(CONTADORES!BW125-CONTADORES!BW124))/1000</f>
        <v>1.109</v>
      </c>
      <c r="BU127" s="1450">
        <f ca="1">IF(B127&gt;=$J$5,0,CONTADORES!BR125-CONTADORES!BR124)</f>
        <v>8.7600000000002183</v>
      </c>
      <c r="BV127" s="1479">
        <f ca="1">IF(B127&gt;=$J$5,0,CONTADORES!BS125-CONTADORES!BS124)</f>
        <v>5.3800000000001091</v>
      </c>
      <c r="BW127" s="1479">
        <f t="shared" ca="1" si="47"/>
        <v>13.722500000005873</v>
      </c>
      <c r="BX127" s="1479">
        <f t="shared" ca="1" si="48"/>
        <v>9.9274999999953693</v>
      </c>
      <c r="BY127" s="1479">
        <f t="shared" ca="1" si="49"/>
        <v>4.9625000000056536</v>
      </c>
      <c r="BZ127" s="1479">
        <f t="shared" ca="1" si="50"/>
        <v>0.31839999999969221</v>
      </c>
      <c r="CA127" s="1479">
        <f t="shared" ca="1" si="51"/>
        <v>4.9625000000056536</v>
      </c>
      <c r="CB127" s="1479">
        <f t="shared" ca="1" si="52"/>
        <v>0.47759999999953823</v>
      </c>
      <c r="CC127" s="1479">
        <f t="shared" ca="1" si="53"/>
        <v>2.2123999999996919</v>
      </c>
      <c r="CD127" s="1479">
        <f t="shared" ca="1" si="54"/>
        <v>4.5474999999952601</v>
      </c>
      <c r="CE127" s="1479">
        <f ca="1">IF(B127&gt;=$J$5,0,CONTADORES!BS125-CONTADORES!BS124)</f>
        <v>5.3800000000001091</v>
      </c>
      <c r="CF127" s="1479">
        <f t="shared" ca="1" si="55"/>
        <v>4.5474999999952601</v>
      </c>
      <c r="CG127" s="1479">
        <f t="shared" ca="1" si="56"/>
        <v>0.55049999999984767</v>
      </c>
      <c r="CH127" s="1479">
        <f t="shared" ca="1" si="57"/>
        <v>0.55049999999984767</v>
      </c>
      <c r="CI127" s="1479">
        <f t="shared" ca="1" si="58"/>
        <v>1.6594999999998477</v>
      </c>
      <c r="CJ127" s="1480">
        <f ca="1">IF($B127&gt;=$J$5,0,CONTADORES!$BG125)</f>
        <v>8297.4321643570893</v>
      </c>
      <c r="CK127" s="1384">
        <f>CONTADORES!E125</f>
        <v>0</v>
      </c>
      <c r="CL127" s="1384">
        <f>CONTADORES!BX125</f>
        <v>0</v>
      </c>
    </row>
    <row r="128" spans="2:90">
      <c r="B128" s="410">
        <v>45044</v>
      </c>
      <c r="C128" s="204">
        <f t="shared" ca="1" si="33"/>
        <v>298.85999999998603</v>
      </c>
      <c r="D128" s="202">
        <f ca="1">'CALCULO DE GAS'!D133</f>
        <v>5.0396721803277522</v>
      </c>
      <c r="E128" s="202">
        <f ca="1">IF(B128&gt;=$J$5,0,(CONTADORES!$AB126-CONTADORES!$AB125)-$H128)</f>
        <v>24</v>
      </c>
      <c r="F128" s="204">
        <f t="shared" ca="1" si="63"/>
        <v>0</v>
      </c>
      <c r="G128" s="202">
        <f ca="1">IF(B128&gt;=$J$5,0,CONTADORES!$AD126-CONTADORES!$AD125)</f>
        <v>0</v>
      </c>
      <c r="H128" s="1437">
        <f ca="1">IF(G128&gt;0,CONTADORES!$AC126-CONTADORES!$AC125,0)</f>
        <v>0</v>
      </c>
      <c r="I128" s="205">
        <f ca="1">IF(B128&gt;=$J$5,0,CONTADORES!$Z126-CONTADORES!$Z125)</f>
        <v>298.85999999998603</v>
      </c>
      <c r="J128" s="204">
        <f t="shared" ca="1" si="34"/>
        <v>151.94000000000233</v>
      </c>
      <c r="K128" s="202">
        <f ca="1">'CALCULO DE GAS'!E133</f>
        <v>3.8108121873038217</v>
      </c>
      <c r="L128" s="1437">
        <f ca="1">IF(B128&gt;=$J$5,0,(CONTADORES!$W126-CONTADORES!$W125)-$O128)</f>
        <v>24</v>
      </c>
      <c r="M128" s="1437">
        <f t="shared" ca="1" si="62"/>
        <v>0</v>
      </c>
      <c r="N128" s="1437">
        <f ca="1">IF(B128&gt;=$J$5,0,CONTADORES!$Y126-CONTADORES!$Y125)</f>
        <v>0</v>
      </c>
      <c r="O128" s="1437">
        <f ca="1">IF(N128&gt;0,CONTADORES!$X126-CONTADORES!$X125,0)</f>
        <v>0</v>
      </c>
      <c r="P128" s="208">
        <f ca="1">IF(B128&gt;=$J$5,0,CONTADORES!$U126-CONTADORES!$U125)</f>
        <v>151.94000000000233</v>
      </c>
      <c r="Q128" s="208">
        <f ca="1">IF(B128&gt;=$J$5,0,CONTADORES!$B126-CONTADORES!$B125)</f>
        <v>0</v>
      </c>
      <c r="R128" s="202">
        <f t="shared" ca="1" si="35"/>
        <v>0</v>
      </c>
      <c r="S128" s="11">
        <f ca="1">IF(B128&gt;=$J$5,0,CONTADORES!$D126-CONTADORES!$D125)</f>
        <v>0</v>
      </c>
      <c r="T128" s="204">
        <f ca="1">IF(B128&gt;=$J$5,0,CONTADORES!$AZ126-CONTADORES!$AZ125)</f>
        <v>0</v>
      </c>
      <c r="U128" s="202">
        <f t="shared" ca="1" si="61"/>
        <v>0</v>
      </c>
      <c r="V128" s="205">
        <f ca="1">IF(B128&gt;=$J$5,0,CONTADORES!$BB126-CONTADORES!$BB125)</f>
        <v>0</v>
      </c>
      <c r="W128" s="1438">
        <f t="shared" ca="1" si="37"/>
        <v>450.79999999998836</v>
      </c>
      <c r="X128" s="1438">
        <f t="shared" ca="1" si="38"/>
        <v>0</v>
      </c>
      <c r="Y128" s="1439">
        <f t="shared" ca="1" si="39"/>
        <v>450.79999999998836</v>
      </c>
      <c r="Z128" s="1439">
        <f t="shared" ca="1" si="40"/>
        <v>8.850484367631573</v>
      </c>
      <c r="AA128" s="1439">
        <f t="shared" ca="1" si="41"/>
        <v>0</v>
      </c>
      <c r="AB128" s="1439">
        <f t="shared" ca="1" si="42"/>
        <v>48</v>
      </c>
      <c r="AC128" s="1438">
        <f t="shared" ca="1" si="43"/>
        <v>0</v>
      </c>
      <c r="AD128" s="1479">
        <f ca="1">IF(B128&gt;=$J$5,0,CONTADORES!H126-CONTADORES!H125)</f>
        <v>166.93000000005122</v>
      </c>
      <c r="AE128" s="1443">
        <f ca="1">IF(B128&gt;=$J$5,0,CONTADORES!J126-CONTADORES!J125)</f>
        <v>24</v>
      </c>
      <c r="AF128" s="1479">
        <f ca="1">IF(B128&gt;=$J$5,0,CONTADORES!AS126-CONTADORES!AS125)</f>
        <v>154.79999999998836</v>
      </c>
      <c r="AG128" s="1438">
        <f ca="1">IF(B128&gt;=$J$5,0,CONTADORES!AU126-CONTADORES!AU125)</f>
        <v>24</v>
      </c>
      <c r="AH128" s="1438">
        <f ca="1">IF(B128&gt;=$J$5,0,(CONTADORES!AK126-CONTADORES!AK125)+(CONTADORES!K126-CONTADORES!K125))</f>
        <v>10.69999999999709</v>
      </c>
      <c r="AI128" s="1438">
        <f ca="1">IF(B128&gt;=$J$5,0,(CONTADORES!AI126-CONTADORES!AI125)+(CONTADORES!M126-CONTADORES!M125))</f>
        <v>38.209999999991851</v>
      </c>
      <c r="AJ128" s="1438">
        <f ca="1">IF(B128&gt;=$J$5,0,(CONTADORES!AG126-CONTADORES!AG125))</f>
        <v>6.3899999999994179</v>
      </c>
      <c r="AK128" s="1438">
        <f ca="1">IF(B128&gt;=$J$5,0,(CONTADORES!O126-CONTADORES!O125))</f>
        <v>10.930000000022119</v>
      </c>
      <c r="AL128" s="1438">
        <f t="shared" ca="1" si="44"/>
        <v>34.439999999962367</v>
      </c>
      <c r="AM128" s="1438">
        <f ca="1">IF(B128&gt;=$J$5,0,(((CONTADORES!F126-CONTADORES!F125)+(CONTADORES!AO126-CONTADORES!AO125))))-BJ128-AF128-AN128-BM128-BP128-BU128-BS128</f>
        <v>4.6899999999754325</v>
      </c>
      <c r="AN128" s="1438">
        <f ca="1">IF(B128&gt;=$J$5,0,(CONTADORES!AV126-CONTADORES!AV125)+(CONTADORES!AX126-CONTADORES!AX125)+(CONTADORES!BC126-CONTADORES!BC125))-BS128</f>
        <v>5.4790000000006369</v>
      </c>
      <c r="AO128" s="1440">
        <f ca="1">IF(B128&gt;=$J$5,0,(CONTADORES!AA126-CONTADORES!AA125))</f>
        <v>156.03999999997905</v>
      </c>
      <c r="AP128" s="1440">
        <f ca="1">IF(B128&gt;=$J$5,0,(CONTADORES!V126-CONTADORES!V125))</f>
        <v>73.829999999998108</v>
      </c>
      <c r="AQ128" s="1445">
        <f ca="1">IF(B128&gt;=$J$5,0,(CONTADORES!C126-CONTADORES!C125))</f>
        <v>0</v>
      </c>
      <c r="AR128" s="1440">
        <f ca="1">IF(B128&gt;=$J$5,0,(CONTADORES!BA126-CONTADORES!BA125))</f>
        <v>0</v>
      </c>
      <c r="AS128" s="1479">
        <f ca="1">IF(B128&gt;=$J$5,0,CONTADORES!Q126-CONTADORES!Q125)</f>
        <v>15.149999999994179</v>
      </c>
      <c r="AT128" s="1479">
        <f ca="1">IF(B128&gt;=$J$5,0,(CONTADORES!S126-CONTADORES!S125)+(CONTADORES!AE126-CONTADORES!AE125))</f>
        <v>2.5199999999967986</v>
      </c>
      <c r="AU128" s="1450">
        <f>CONTADORES!I126-CONTADORES!I125</f>
        <v>83.809999999997672</v>
      </c>
      <c r="AV128" s="1479">
        <f>CONTADORES!AT126-CONTADORES!AT125</f>
        <v>67.100000000005821</v>
      </c>
      <c r="AW128" s="1479">
        <f ca="1">IF(B128&gt;=$J$5,0,(CONTADORES!L126-CONTADORES!L125)+(CONTADORES!AL126-CONTADORES!AL125))</f>
        <v>3.7000000000007276</v>
      </c>
      <c r="AX128" s="1479">
        <f ca="1">IF(B128&gt;=$J$5,0,(CONTADORES!N126-CONTADORES!N125)+(CONTADORES!AJ126-CONTADORES!AJ125))</f>
        <v>32.530000000006112</v>
      </c>
      <c r="AY128" s="1479">
        <f ca="1">IF(B128&gt;=$J$5,0,(CONTADORES!AH126-CONTADORES!AH125))</f>
        <v>4.819999999999709</v>
      </c>
      <c r="AZ128" s="1479">
        <f ca="1">IF(B128&gt;=$J$5,0,(CONTADORES!P126-CONTADORES!P125))</f>
        <v>8.930000000007567</v>
      </c>
      <c r="BA128" s="1450">
        <f t="shared" ca="1" si="45"/>
        <v>10.830999999977024</v>
      </c>
      <c r="BB128" s="1450">
        <f ca="1">IF(B127&gt;=$J$5,0,(((CONTADORES!G126-CONTADORES!G125)+(CONTADORES!AP126-CONTADORES!AP125))))-AV128-BC128-BK128-BN128-BQ128-BV128</f>
        <v>8.9249999999825302</v>
      </c>
      <c r="BC128" s="1479">
        <f ca="1">IF(B128&gt;=$J$5,0,(CONTADORES!AW126-CONTADORES!AW125)+(CONTADORES!AY126-CONTADORES!AY125)+(CONTADORES!BD126-CONTADORES!BD125))-BT128</f>
        <v>0.87099999999993638</v>
      </c>
      <c r="BD128" s="1438">
        <f t="shared" ca="1" si="46"/>
        <v>229.86999999997715</v>
      </c>
      <c r="BE128" s="1439">
        <f ca="1">IF($B128&gt;=$J$5,0,CONTADORES!$BE126)</f>
        <v>5857.72</v>
      </c>
      <c r="BF128" s="1438">
        <f ca="1">IF($B128&gt;=$J$5,0,CONTADORES!$BF126)</f>
        <v>34187.477192982398</v>
      </c>
      <c r="BG128" s="1438">
        <f ca="1">IF($B128&gt;=$J$5,0,CONTADORES!$BH126)</f>
        <v>6739.38</v>
      </c>
      <c r="BH128" s="1438">
        <f ca="1">IF(B128&gt;=$J$5,0,(CONTADORES!AQ126-CONTADORES!AQ125))</f>
        <v>5.1999999999970896</v>
      </c>
      <c r="BI128" s="1438">
        <f ca="1">IF(C128&gt;=$J$5,0,(CONTADORES!AR126-CONTADORES!AR125))</f>
        <v>0</v>
      </c>
      <c r="BJ128" s="1450">
        <f ca="1">IF(B128&gt;=$J$5,0,CONTADORES!BI126-CONTADORES!BI125)/1000</f>
        <v>2.76</v>
      </c>
      <c r="BK128" s="1479">
        <f ca="1">IF(B128&gt;=$J$5,0,CONTADORES!BJ126-CONTADORES!BJ125)</f>
        <v>1</v>
      </c>
      <c r="BL128" s="1479">
        <f ca="1">IF(B128&gt;=$J$5,0,CONTADORES!BK126-CONTADORES!BK125)</f>
        <v>24</v>
      </c>
      <c r="BM128" s="1479">
        <f ca="1">IF(B128&gt;=$J$5,0,CONTADORES!BL126-CONTADORES!BL125)/1000</f>
        <v>0</v>
      </c>
      <c r="BN128" s="1479">
        <f ca="1">IF(B128&gt;=$J$5,0,CONTADORES!BM126-CONTADORES!BM125)/1000</f>
        <v>0</v>
      </c>
      <c r="BO128" s="1479">
        <f ca="1">IF(B128&gt;=$J$5,0,CONTADORES!BN126-CONTADORES!BN125)</f>
        <v>0</v>
      </c>
      <c r="BP128" s="1479">
        <f ca="1">IF(B128&gt;=$J$5,0,CONTADORES!BO126-CONTADORES!BO125)/1000</f>
        <v>5.07</v>
      </c>
      <c r="BQ128" s="1479">
        <f ca="1">IF(B128&gt;=$J$5,0,CONTADORES!BP126-CONTADORES!BP125)/1000</f>
        <v>0.98399999999999999</v>
      </c>
      <c r="BR128" s="1479">
        <f ca="1">IF(B128&gt;=$J$5,0,CONTADORES!BQ126-CONTADORES!BQ125)</f>
        <v>24.229999999999563</v>
      </c>
      <c r="BS128" s="1450">
        <f ca="1">IF(B128&gt;=$J$5,0,(CONTADORES!BT126-CONTADORES!BT125)+(CONTADORES!BV126-CONTADORES!BV125))/1000</f>
        <v>1.571</v>
      </c>
      <c r="BT128" s="1479">
        <f ca="1">IF(B128&gt;=$J$5,0,(CONTADORES!BU126-CONTADORES!BU125)+(CONTADORES!BW126-CONTADORES!BW125))/1000</f>
        <v>0.94899999999999995</v>
      </c>
      <c r="BU128" s="1450">
        <f ca="1">IF(B128&gt;=$J$5,0,CONTADORES!BR126-CONTADORES!BR125)</f>
        <v>8.8299999999999272</v>
      </c>
      <c r="BV128" s="1479">
        <f ca="1">IF(B128&gt;=$J$5,0,CONTADORES!BS126-CONTADORES!BS125)</f>
        <v>5.4200000000000728</v>
      </c>
      <c r="BW128" s="1479">
        <f t="shared" ca="1" si="47"/>
        <v>11.174999999987644</v>
      </c>
      <c r="BX128" s="1479">
        <f t="shared" ca="1" si="48"/>
        <v>9.8824999999913388</v>
      </c>
      <c r="BY128" s="1479">
        <f t="shared" ca="1" si="49"/>
        <v>2.3449999999877162</v>
      </c>
      <c r="BZ128" s="1479">
        <f t="shared" ca="1" si="50"/>
        <v>2.1916000000002547</v>
      </c>
      <c r="CA128" s="1479">
        <f t="shared" ca="1" si="51"/>
        <v>2.3449999999877162</v>
      </c>
      <c r="CB128" s="1479">
        <f t="shared" ca="1" si="52"/>
        <v>3.2874000000003822</v>
      </c>
      <c r="CC128" s="1479">
        <f t="shared" ca="1" si="53"/>
        <v>3.7626000000002549</v>
      </c>
      <c r="CD128" s="1479">
        <f t="shared" ca="1" si="54"/>
        <v>4.4624999999912651</v>
      </c>
      <c r="CE128" s="1479">
        <f ca="1">IF(B128&gt;=$J$5,0,CONTADORES!BS126-CONTADORES!BS125)</f>
        <v>5.4200000000000728</v>
      </c>
      <c r="CF128" s="1479">
        <f t="shared" ca="1" si="55"/>
        <v>4.4624999999912651</v>
      </c>
      <c r="CG128" s="1479">
        <f t="shared" ca="1" si="56"/>
        <v>0.43549999999996819</v>
      </c>
      <c r="CH128" s="1479">
        <f t="shared" ca="1" si="57"/>
        <v>0.43549999999996819</v>
      </c>
      <c r="CI128" s="1479">
        <f t="shared" ca="1" si="58"/>
        <v>1.3844999999999681</v>
      </c>
      <c r="CJ128" s="1480">
        <f ca="1">IF($B128&gt;=$J$5,0,CONTADORES!$BG126)</f>
        <v>9094.1833088041894</v>
      </c>
      <c r="CK128" s="1384">
        <f>CONTADORES!E126</f>
        <v>0</v>
      </c>
      <c r="CL128" s="1384">
        <f>CONTADORES!BX126</f>
        <v>0</v>
      </c>
    </row>
    <row r="129" spans="2:90">
      <c r="B129" s="410">
        <v>45045</v>
      </c>
      <c r="C129" s="204">
        <f t="shared" ca="1" si="33"/>
        <v>291.6600000000326</v>
      </c>
      <c r="D129" s="202">
        <f ca="1">'CALCULO DE GAS'!D134</f>
        <v>4.9794503456577548</v>
      </c>
      <c r="E129" s="202">
        <f ca="1">IF(B129&gt;=$J$5,0,(CONTADORES!$AB127-CONTADORES!$AB126)-$H129)</f>
        <v>24</v>
      </c>
      <c r="F129" s="204">
        <f t="shared" ca="1" si="63"/>
        <v>0</v>
      </c>
      <c r="G129" s="202">
        <f ca="1">IF(B129&gt;=$J$5,0,CONTADORES!$AD127-CONTADORES!$AD126)</f>
        <v>0</v>
      </c>
      <c r="H129" s="1437">
        <f ca="1">IF(G129&gt;0,CONTADORES!$AC127-CONTADORES!$AC126,0)</f>
        <v>0</v>
      </c>
      <c r="I129" s="205">
        <f ca="1">IF(B129&gt;=$J$5,0,CONTADORES!$Z127-CONTADORES!$Z126)</f>
        <v>291.6600000000326</v>
      </c>
      <c r="J129" s="204">
        <f t="shared" ca="1" si="34"/>
        <v>147.88999999999942</v>
      </c>
      <c r="K129" s="202">
        <f ca="1">'CALCULO DE GAS'!E134</f>
        <v>3.7769374053017044</v>
      </c>
      <c r="L129" s="1437">
        <f ca="1">IF(B129&gt;=$J$5,0,(CONTADORES!$W127-CONTADORES!$W126)-$O129)</f>
        <v>24</v>
      </c>
      <c r="M129" s="1437">
        <f t="shared" ca="1" si="62"/>
        <v>0</v>
      </c>
      <c r="N129" s="1437">
        <f ca="1">IF(B129&gt;=$J$5,0,CONTADORES!$Y127-CONTADORES!$Y126)</f>
        <v>0</v>
      </c>
      <c r="O129" s="1437">
        <f ca="1">IF(N129&gt;0,CONTADORES!$X127-CONTADORES!$X126,0)</f>
        <v>0</v>
      </c>
      <c r="P129" s="208">
        <f ca="1">IF(B129&gt;=$J$5,0,CONTADORES!$U127-CONTADORES!$U126)</f>
        <v>147.88999999999942</v>
      </c>
      <c r="Q129" s="208">
        <f ca="1">IF(B129&gt;=$J$5,0,CONTADORES!$B127-CONTADORES!$B126)</f>
        <v>0</v>
      </c>
      <c r="R129" s="202">
        <f t="shared" ca="1" si="35"/>
        <v>0</v>
      </c>
      <c r="S129" s="11">
        <f ca="1">IF(B129&gt;=$J$5,0,CONTADORES!$D127-CONTADORES!$D126)</f>
        <v>0</v>
      </c>
      <c r="T129" s="204">
        <f ca="1">IF(B129&gt;=$J$5,0,CONTADORES!$AZ127-CONTADORES!$AZ126)</f>
        <v>0</v>
      </c>
      <c r="U129" s="202">
        <f t="shared" ca="1" si="61"/>
        <v>0</v>
      </c>
      <c r="V129" s="205">
        <f ca="1">IF(B129&gt;=$J$5,0,CONTADORES!$BB127-CONTADORES!$BB126)</f>
        <v>0</v>
      </c>
      <c r="W129" s="1438">
        <f t="shared" ca="1" si="37"/>
        <v>439.55000000003201</v>
      </c>
      <c r="X129" s="1438">
        <f t="shared" ca="1" si="38"/>
        <v>0</v>
      </c>
      <c r="Y129" s="1439">
        <f t="shared" ca="1" si="39"/>
        <v>439.55000000003201</v>
      </c>
      <c r="Z129" s="1439">
        <f t="shared" ca="1" si="40"/>
        <v>8.7563877509594583</v>
      </c>
      <c r="AA129" s="1439">
        <f t="shared" ca="1" si="41"/>
        <v>0</v>
      </c>
      <c r="AB129" s="1439">
        <f t="shared" ca="1" si="42"/>
        <v>48</v>
      </c>
      <c r="AC129" s="1438">
        <f t="shared" ca="1" si="43"/>
        <v>0</v>
      </c>
      <c r="AD129" s="1479">
        <f ca="1">IF(B129&gt;=$J$5,0,CONTADORES!H127-CONTADORES!H126)</f>
        <v>165.54000000003725</v>
      </c>
      <c r="AE129" s="1443">
        <f ca="1">IF(B129&gt;=$J$5,0,CONTADORES!J127-CONTADORES!J126)</f>
        <v>24</v>
      </c>
      <c r="AF129" s="1479">
        <f ca="1">IF(B129&gt;=$J$5,0,CONTADORES!AS127-CONTADORES!AS126)</f>
        <v>143.85999999998603</v>
      </c>
      <c r="AG129" s="1438">
        <f ca="1">IF(B129&gt;=$J$5,0,CONTADORES!AU127-CONTADORES!AU126)</f>
        <v>22.600000000005821</v>
      </c>
      <c r="AH129" s="1438">
        <f ca="1">IF(B129&gt;=$J$5,0,(CONTADORES!AK127-CONTADORES!AK126)+(CONTADORES!K127-CONTADORES!K126))</f>
        <v>9.2000000000043656</v>
      </c>
      <c r="AI129" s="1438">
        <f ca="1">IF(B129&gt;=$J$5,0,(CONTADORES!AI127-CONTADORES!AI126)+(CONTADORES!M127-CONTADORES!M126))</f>
        <v>38.160000000003492</v>
      </c>
      <c r="AJ129" s="1438">
        <f ca="1">IF(B129&gt;=$J$5,0,(CONTADORES!AG127-CONTADORES!AG126))</f>
        <v>6.5299999999988358</v>
      </c>
      <c r="AK129" s="1438">
        <f ca="1">IF(B129&gt;=$J$5,0,(CONTADORES!O127-CONTADORES!O126))</f>
        <v>12.5</v>
      </c>
      <c r="AL129" s="1438">
        <f t="shared" ca="1" si="44"/>
        <v>33.81999999996691</v>
      </c>
      <c r="AM129" s="1438">
        <f ca="1">IF(B129&gt;=$J$5,0,(((CONTADORES!F127-CONTADORES!F126)+(CONTADORES!AO127-CONTADORES!AO126))))-BJ129-AF129-AN129-BM129-BP129-BU129-BS129</f>
        <v>9.1390000000349723</v>
      </c>
      <c r="AN129" s="1438">
        <f ca="1">IF(B129&gt;=$J$5,0,(CONTADORES!AV127-CONTADORES!AV126)+(CONTADORES!AX127-CONTADORES!AX126)+(CONTADORES!BC127-CONTADORES!BC126))-BS129</f>
        <v>3.5149999999997457</v>
      </c>
      <c r="AO129" s="1440">
        <f ca="1">IF(B129&gt;=$J$5,0,(CONTADORES!AA127-CONTADORES!AA126))</f>
        <v>150.5</v>
      </c>
      <c r="AP129" s="1440">
        <f ca="1">IF(B129&gt;=$J$5,0,(CONTADORES!V127-CONTADORES!V126))</f>
        <v>73.06000000000131</v>
      </c>
      <c r="AQ129" s="1445">
        <f ca="1">IF(B129&gt;=$J$5,0,(CONTADORES!C127-CONTADORES!C126))</f>
        <v>0</v>
      </c>
      <c r="AR129" s="1440">
        <f ca="1">IF(B129&gt;=$J$5,0,(CONTADORES!BA127-CONTADORES!BA126))</f>
        <v>0</v>
      </c>
      <c r="AS129" s="1479">
        <f ca="1">IF(B129&gt;=$J$5,0,CONTADORES!Q127-CONTADORES!Q126)</f>
        <v>14.540000000008149</v>
      </c>
      <c r="AT129" s="1479">
        <f ca="1">IF(B129&gt;=$J$5,0,(CONTADORES!S127-CONTADORES!S126)+(CONTADORES!AE127-CONTADORES!AE126))</f>
        <v>2.4800000000032014</v>
      </c>
      <c r="AU129" s="1450">
        <f>CONTADORES!I127-CONTADORES!I126</f>
        <v>83.460000000020955</v>
      </c>
      <c r="AV129" s="1479">
        <f>CONTADORES!AT127-CONTADORES!AT126</f>
        <v>62.470000000001164</v>
      </c>
      <c r="AW129" s="1479">
        <f ca="1">IF(B129&gt;=$J$5,0,(CONTADORES!L127-CONTADORES!L126)+(CONTADORES!AL127-CONTADORES!AL126))</f>
        <v>3.9000000000014552</v>
      </c>
      <c r="AX129" s="1479">
        <f ca="1">IF(B129&gt;=$J$5,0,(CONTADORES!N127-CONTADORES!N126)+(CONTADORES!AJ127-CONTADORES!AJ126))</f>
        <v>32.419999999998254</v>
      </c>
      <c r="AY129" s="1479">
        <f ca="1">IF(B129&gt;=$J$5,0,(CONTADORES!AH127-CONTADORES!AH126))</f>
        <v>4.9500000000043656</v>
      </c>
      <c r="AZ129" s="1479">
        <f ca="1">IF(B129&gt;=$J$5,0,(CONTADORES!P127-CONTADORES!P126))</f>
        <v>9.9799999999959255</v>
      </c>
      <c r="BA129" s="1450">
        <f t="shared" ca="1" si="45"/>
        <v>10.421999999956711</v>
      </c>
      <c r="BB129" s="1450">
        <f ca="1">IF(B128&gt;=$J$5,0,(((CONTADORES!G127-CONTADORES!G126)+(CONTADORES!AP127-CONTADORES!AP126))))-AV129-BC129-BK129-BN129-BQ129-BV129</f>
        <v>6.7650000000222281</v>
      </c>
      <c r="BC129" s="1479">
        <f ca="1">IF(B129&gt;=$J$5,0,(CONTADORES!AW127-CONTADORES!AW126)+(CONTADORES!AY127-CONTADORES!AY126)+(CONTADORES!BD127-CONTADORES!BD126))-BT129</f>
        <v>1.0820000000002183</v>
      </c>
      <c r="BD129" s="1438">
        <f t="shared" ca="1" si="46"/>
        <v>223.56000000000131</v>
      </c>
      <c r="BE129" s="1439">
        <f ca="1">IF($B129&gt;=$J$5,0,CONTADORES!$BE127)</f>
        <v>6073.63</v>
      </c>
      <c r="BF129" s="1438">
        <f ca="1">IF($B129&gt;=$J$5,0,CONTADORES!$BF127)</f>
        <v>33829.589473684202</v>
      </c>
      <c r="BG129" s="1438">
        <f ca="1">IF($B129&gt;=$J$5,0,CONTADORES!$BH127)</f>
        <v>6956.41</v>
      </c>
      <c r="BH129" s="1438">
        <f ca="1">IF(B129&gt;=$J$5,0,(CONTADORES!AQ127-CONTADORES!AQ126))</f>
        <v>4.6929999999993015</v>
      </c>
      <c r="BI129" s="1438">
        <f ca="1">IF(C129&gt;=$J$5,0,(CONTADORES!AR127-CONTADORES!AR126))</f>
        <v>0</v>
      </c>
      <c r="BJ129" s="1450">
        <f ca="1">IF(B129&gt;=$J$5,0,CONTADORES!BI127-CONTADORES!BI126)/1000</f>
        <v>1.968</v>
      </c>
      <c r="BK129" s="1479">
        <f ca="1">IF(B129&gt;=$J$5,0,CONTADORES!BJ127-CONTADORES!BJ126)</f>
        <v>1</v>
      </c>
      <c r="BL129" s="1479">
        <f ca="1">IF(B129&gt;=$J$5,0,CONTADORES!BK127-CONTADORES!BK126)</f>
        <v>24</v>
      </c>
      <c r="BM129" s="1479">
        <f ca="1">IF(B129&gt;=$J$5,0,CONTADORES!BL127-CONTADORES!BL126)/1000</f>
        <v>0</v>
      </c>
      <c r="BN129" s="1479">
        <f ca="1">IF(B129&gt;=$J$5,0,CONTADORES!BM127-CONTADORES!BM126)/1000</f>
        <v>0</v>
      </c>
      <c r="BO129" s="1479">
        <f ca="1">IF(B129&gt;=$J$5,0,CONTADORES!BN127-CONTADORES!BN126)</f>
        <v>0</v>
      </c>
      <c r="BP129" s="1479">
        <f ca="1">IF(B129&gt;=$J$5,0,CONTADORES!BO127-CONTADORES!BO126)/1000</f>
        <v>4.9530000000000003</v>
      </c>
      <c r="BQ129" s="1479">
        <f ca="1">IF(B129&gt;=$J$5,0,CONTADORES!BP127-CONTADORES!BP126)/1000</f>
        <v>0.72299999999999998</v>
      </c>
      <c r="BR129" s="1479">
        <f ca="1">IF(B129&gt;=$J$5,0,CONTADORES!BQ127-CONTADORES!BQ126)</f>
        <v>24</v>
      </c>
      <c r="BS129" s="1450">
        <f ca="1">IF(B129&gt;=$J$5,0,(CONTADORES!BT127-CONTADORES!BT126)+(CONTADORES!BV127-CONTADORES!BV126))/1000</f>
        <v>1.5149999999999999</v>
      </c>
      <c r="BT129" s="1479">
        <f ca="1">IF(B129&gt;=$J$5,0,(CONTADORES!BU127-CONTADORES!BU126)+(CONTADORES!BW127-CONTADORES!BW126))/1000</f>
        <v>0.92800000000000005</v>
      </c>
      <c r="BU129" s="1450">
        <f ca="1">IF(B129&gt;=$J$5,0,CONTADORES!BR127-CONTADORES!BR126)</f>
        <v>8.8500000000003638</v>
      </c>
      <c r="BV129" s="1479">
        <f ca="1">IF(B129&gt;=$J$5,0,CONTADORES!BS127-CONTADORES!BS126)</f>
        <v>5.4600000000000364</v>
      </c>
      <c r="BW129" s="1479">
        <f t="shared" ca="1" si="47"/>
        <v>13.41950000001785</v>
      </c>
      <c r="BX129" s="1479">
        <f t="shared" ca="1" si="48"/>
        <v>8.8425000000111496</v>
      </c>
      <c r="BY129" s="1479">
        <f t="shared" ca="1" si="49"/>
        <v>4.5695000000174861</v>
      </c>
      <c r="BZ129" s="1479">
        <f t="shared" ca="1" si="50"/>
        <v>1.4059999999998984</v>
      </c>
      <c r="CA129" s="1479">
        <f t="shared" ca="1" si="51"/>
        <v>4.5695000000174861</v>
      </c>
      <c r="CB129" s="1479">
        <f t="shared" ca="1" si="52"/>
        <v>2.1089999999998472</v>
      </c>
      <c r="CC129" s="1479">
        <f t="shared" ca="1" si="53"/>
        <v>2.9209999999998981</v>
      </c>
      <c r="CD129" s="1479">
        <f t="shared" ca="1" si="54"/>
        <v>3.3825000000111141</v>
      </c>
      <c r="CE129" s="1479">
        <f ca="1">IF(B129&gt;=$J$5,0,CONTADORES!BS127-CONTADORES!BS126)</f>
        <v>5.4600000000000364</v>
      </c>
      <c r="CF129" s="1479">
        <f t="shared" ca="1" si="55"/>
        <v>3.3825000000111141</v>
      </c>
      <c r="CG129" s="1479">
        <f t="shared" ca="1" si="56"/>
        <v>0.54100000000010917</v>
      </c>
      <c r="CH129" s="1479">
        <f t="shared" ca="1" si="57"/>
        <v>0.54100000000010917</v>
      </c>
      <c r="CI129" s="1479">
        <f t="shared" ca="1" si="58"/>
        <v>1.4690000000001091</v>
      </c>
      <c r="CJ129" s="1480">
        <f ca="1">IF($B129&gt;=$J$5,0,CONTADORES!$BG127)</f>
        <v>9644.5303851075605</v>
      </c>
      <c r="CK129" s="1384">
        <f>CONTADORES!E127</f>
        <v>0</v>
      </c>
      <c r="CL129" s="1384">
        <f>CONTADORES!BX127</f>
        <v>0</v>
      </c>
    </row>
    <row r="130" spans="2:90" ht="15" thickBot="1">
      <c r="B130" s="1069">
        <v>45046</v>
      </c>
      <c r="C130" s="206">
        <f t="shared" ca="1" si="33"/>
        <v>302.98999999999069</v>
      </c>
      <c r="D130" s="203">
        <f ca="1">'CALCULO DE GAS'!D135</f>
        <v>5.0742160938262222</v>
      </c>
      <c r="E130" s="203">
        <f ca="1">IF(B130&gt;=$J$5,0,(CONTADORES!$AB128-CONTADORES!$AB127)-$H130)</f>
        <v>24</v>
      </c>
      <c r="F130" s="206">
        <f t="shared" ca="1" si="63"/>
        <v>0</v>
      </c>
      <c r="G130" s="203">
        <f ca="1">IF(B130&gt;=$J$5,0,CONTADORES!$AD128-CONTADORES!$AD127)</f>
        <v>0</v>
      </c>
      <c r="H130" s="1465">
        <f ca="1">IF(G130&gt;0,CONTADORES!$AC128-CONTADORES!$AC127,0)</f>
        <v>0</v>
      </c>
      <c r="I130" s="207">
        <f ca="1">IF(B130&gt;=$J$5,0,CONTADORES!$Z128-CONTADORES!$Z127)</f>
        <v>302.98999999999069</v>
      </c>
      <c r="J130" s="206">
        <f t="shared" ca="1" si="34"/>
        <v>144</v>
      </c>
      <c r="K130" s="203">
        <f ca="1">'CALCULO DE GAS'!E135</f>
        <v>3.7444008862922917</v>
      </c>
      <c r="L130" s="1465">
        <f ca="1">IF(B130&gt;=$J$5,0,(CONTADORES!$W128-CONTADORES!$W127)-$O130)</f>
        <v>24</v>
      </c>
      <c r="M130" s="1465">
        <f t="shared" ca="1" si="62"/>
        <v>0</v>
      </c>
      <c r="N130" s="1465">
        <f ca="1">IF(B130&gt;=$J$5,0,CONTADORES!$Y128-CONTADORES!$Y127)</f>
        <v>0</v>
      </c>
      <c r="O130" s="1465">
        <f ca="1">IF(N130&gt;0,CONTADORES!$X128-CONTADORES!$X127,0)</f>
        <v>0</v>
      </c>
      <c r="P130" s="209">
        <f ca="1">IF(B130&gt;=$J$5,0,CONTADORES!$U128-CONTADORES!$U127)</f>
        <v>144</v>
      </c>
      <c r="Q130" s="209">
        <f ca="1">IF(B130&gt;=$J$5,0,CONTADORES!$B128-CONTADORES!$B127)</f>
        <v>0</v>
      </c>
      <c r="R130" s="203">
        <f t="shared" ca="1" si="35"/>
        <v>0</v>
      </c>
      <c r="S130" s="65">
        <f ca="1">IF(B130&gt;=$J$5,0,CONTADORES!$D128-CONTADORES!$D127)</f>
        <v>0</v>
      </c>
      <c r="T130" s="206">
        <f ca="1">IF(B130&gt;=$J$5,0,CONTADORES!$AZ128-CONTADORES!$AZ127)</f>
        <v>0</v>
      </c>
      <c r="U130" s="203">
        <f t="shared" ca="1" si="61"/>
        <v>0</v>
      </c>
      <c r="V130" s="207">
        <f ca="1">IF(B130&gt;=$J$5,0,CONTADORES!$BB128-CONTADORES!$BB127)</f>
        <v>0</v>
      </c>
      <c r="W130" s="1466">
        <f t="shared" ca="1" si="37"/>
        <v>446.98999999999069</v>
      </c>
      <c r="X130" s="1466">
        <f t="shared" ca="1" si="38"/>
        <v>0</v>
      </c>
      <c r="Y130" s="1467">
        <f t="shared" ca="1" si="39"/>
        <v>446.98999999999069</v>
      </c>
      <c r="Z130" s="1467">
        <f t="shared" ca="1" si="40"/>
        <v>8.818616980118513</v>
      </c>
      <c r="AA130" s="1467">
        <f t="shared" ca="1" si="41"/>
        <v>0</v>
      </c>
      <c r="AB130" s="1467">
        <f t="shared" ca="1" si="42"/>
        <v>48</v>
      </c>
      <c r="AC130" s="1466">
        <f t="shared" ca="1" si="43"/>
        <v>0</v>
      </c>
      <c r="AD130" s="1466">
        <f ca="1">IF(B130&gt;=$J$5,0,CONTADORES!H128-CONTADORES!H127)</f>
        <v>163.19999999995343</v>
      </c>
      <c r="AE130" s="1487">
        <f ca="1">IF(B130&gt;=$J$5,0,CONTADORES!J128-CONTADORES!J127)</f>
        <v>24</v>
      </c>
      <c r="AF130" s="1466">
        <f ca="1">IF(B130&gt;=$J$5,0,CONTADORES!AS128-CONTADORES!AS127)</f>
        <v>152.64000000001397</v>
      </c>
      <c r="AG130" s="1466">
        <f ca="1">IF(B130&gt;=$J$5,0,CONTADORES!AU128-CONTADORES!AU127)</f>
        <v>24</v>
      </c>
      <c r="AH130" s="1466">
        <f ca="1">IF(B130&gt;=$J$5,0,(CONTADORES!AK128-CONTADORES!AK127)+(CONTADORES!K128-CONTADORES!K127))</f>
        <v>13.19999999999709</v>
      </c>
      <c r="AI130" s="1466">
        <f ca="1">IF(B130&gt;=$J$5,0,(CONTADORES!AI128-CONTADORES!AI127)+(CONTADORES!M128-CONTADORES!M127))</f>
        <v>38.279999999998836</v>
      </c>
      <c r="AJ130" s="1466">
        <f ca="1">IF(B130&gt;=$J$5,0,(CONTADORES!AG128-CONTADORES!AG127))</f>
        <v>6.6999999999970896</v>
      </c>
      <c r="AK130" s="1466">
        <f ca="1">IF(B130&gt;=$J$5,0,(CONTADORES!O128-CONTADORES!O127))</f>
        <v>12.429999999993015</v>
      </c>
      <c r="AL130" s="1466">
        <f t="shared" ca="1" si="44"/>
        <v>33.280000000071539</v>
      </c>
      <c r="AM130" s="1466">
        <f ca="1">IF(B130&gt;=$J$5,0,(((CONTADORES!F128-CONTADORES!F127)+(CONTADORES!AO128-CONTADORES!AO127))))-BJ130-AF130-AN130-BM130-BP130-BU130-BS130</f>
        <v>6.5129999999666826</v>
      </c>
      <c r="AN130" s="1466">
        <f ca="1">IF(B130&gt;=$J$5,0,(CONTADORES!AV128-CONTADORES!AV127)+(CONTADORES!AX128-CONTADORES!AX127)+(CONTADORES!BC128-CONTADORES!BC127))-BS130</f>
        <v>2.6749999999996361</v>
      </c>
      <c r="AO130" s="1468">
        <f ca="1">IF(B130&gt;=$J$5,0,(CONTADORES!AA128-CONTADORES!AA127))</f>
        <v>148.28000000002794</v>
      </c>
      <c r="AP130" s="1468">
        <f ca="1">IF(B130&gt;=$J$5,0,(CONTADORES!V128-CONTADORES!V127))</f>
        <v>74.56000000000131</v>
      </c>
      <c r="AQ130" s="1469">
        <f ca="1">IF(B130&gt;=$J$5,0,(CONTADORES!C128-CONTADORES!C127))</f>
        <v>0</v>
      </c>
      <c r="AR130" s="1468">
        <f ca="1">IF(B130&gt;=$J$5,0,(CONTADORES!BA128-CONTADORES!BA127))</f>
        <v>0</v>
      </c>
      <c r="AS130" s="1466">
        <f ca="1">IF(B130&gt;=$J$5,0,CONTADORES!Q128-CONTADORES!Q127)</f>
        <v>14.079999999987194</v>
      </c>
      <c r="AT130" s="1466">
        <f ca="1">IF(B130&gt;=$J$5,0,(CONTADORES!S128-CONTADORES!S127)+(CONTADORES!AE128-CONTADORES!AE127))</f>
        <v>2.3899999999994179</v>
      </c>
      <c r="AU130" s="1467">
        <f ca="1">IF(B130&gt;=$J$5,0,(CONTADORES!I128-CONTADORES!I127))</f>
        <v>81.820000000006985</v>
      </c>
      <c r="AV130" s="1466">
        <f>CONTADORES!AT128-CONTADORES!AT127</f>
        <v>66.220000000001164</v>
      </c>
      <c r="AW130" s="1466">
        <f ca="1">IF(B130&gt;=$J$5,0,(CONTADORES!L128-CONTADORES!L127)+(CONTADORES!AL128-CONTADORES!AL127))</f>
        <v>5.1999999999970896</v>
      </c>
      <c r="AX130" s="1466">
        <f ca="1">IF(B130&gt;=$J$5,0,(CONTADORES!N128-CONTADORES!N127)+(CONTADORES!AJ128-CONTADORES!AJ127))</f>
        <v>32.330000000001746</v>
      </c>
      <c r="AY130" s="1466">
        <f ca="1">IF(B130&gt;=$J$5,0,(CONTADORES!AH128-CONTADORES!AH127))</f>
        <v>4.9499999999970896</v>
      </c>
      <c r="AZ130" s="1466">
        <f ca="1">IF(B130&gt;=$J$5,0,(CONTADORES!P128-CONTADORES!P127))</f>
        <v>9.6999999999970896</v>
      </c>
      <c r="BA130" s="1467">
        <f t="shared" ca="1" si="45"/>
        <v>10.038000000029626</v>
      </c>
      <c r="BB130" s="1467">
        <f ca="1">IF(B129&gt;=$J$5,0,(((CONTADORES!G128-CONTADORES!G127)+(CONTADORES!AP128-CONTADORES!AP127))))-AV130-BC130-BK130-BN130-BQ130-BV130</f>
        <v>4.0229999999987811</v>
      </c>
      <c r="BC130" s="1466">
        <f ca="1">IF(B130&gt;=$J$5,0,(CONTADORES!AW128-CONTADORES!AW127)+(CONTADORES!AY128-CONTADORES!AY127)+(CONTADORES!BD128-CONTADORES!BD127))-BT130</f>
        <v>0.57800000000001817</v>
      </c>
      <c r="BD130" s="1466">
        <f t="shared" ca="1" si="46"/>
        <v>222.84000000002925</v>
      </c>
      <c r="BE130" s="1467">
        <f ca="1">IF($B130&gt;=$J$5,0,CONTADORES!$BE128)</f>
        <v>6517.29</v>
      </c>
      <c r="BF130" s="1466">
        <f ca="1">IF($B130&gt;=$J$5,0,CONTADORES!$BF128)</f>
        <v>31535.787719298241</v>
      </c>
      <c r="BG130" s="1466">
        <f ca="1">IF($B130&gt;=$J$5,0,CONTADORES!$BH128)</f>
        <v>7583.88</v>
      </c>
      <c r="BH130" s="1466">
        <f ca="1">IF(B130&gt;=$J$5,0,(CONTADORES!AQ128-CONTADORES!AQ127))</f>
        <v>4.7000000000043656</v>
      </c>
      <c r="BI130" s="1466">
        <f ca="1">IF(C130&gt;=$J$5,0,(CONTADORES!AR128-CONTADORES!AR127))</f>
        <v>0</v>
      </c>
      <c r="BJ130" s="1467">
        <f ca="1">IF(B130&gt;=$J$5,0,CONTADORES!BI128-CONTADORES!BI127)/1000</f>
        <v>2.9039999999999999</v>
      </c>
      <c r="BK130" s="1466">
        <f ca="1">IF(B130&gt;=$J$5,0,CONTADORES!BJ128-CONTADORES!BJ127)</f>
        <v>1</v>
      </c>
      <c r="BL130" s="1466">
        <f ca="1">IF(B130&gt;=$J$5,0,CONTADORES!BK128-CONTADORES!BK127)</f>
        <v>23.150000000001455</v>
      </c>
      <c r="BM130" s="1466">
        <f ca="1">IF(B130&gt;=$J$5,0,CONTADORES!BL128-CONTADORES!BL127)/1000</f>
        <v>0</v>
      </c>
      <c r="BN130" s="1466">
        <f ca="1">IF(B130&gt;=$J$5,0,CONTADORES!BM128-CONTADORES!BM127)/1000</f>
        <v>0</v>
      </c>
      <c r="BO130" s="1466">
        <f ca="1">IF(B130&gt;=$J$5,0,CONTADORES!BN128-CONTADORES!BN127)</f>
        <v>0</v>
      </c>
      <c r="BP130" s="1466">
        <f ca="1">IF(B130&gt;=$J$5,0,CONTADORES!BO128-CONTADORES!BO127)/1000</f>
        <v>4.9729999999999999</v>
      </c>
      <c r="BQ130" s="1466">
        <f ca="1">IF(B130&gt;=$J$5,0,CONTADORES!BP128-CONTADORES!BP127)/1000</f>
        <v>0.71899999999999997</v>
      </c>
      <c r="BR130" s="1466">
        <f ca="1">IF(B130&gt;=$J$5,0,CONTADORES!BQ128-CONTADORES!BQ127)</f>
        <v>24</v>
      </c>
      <c r="BS130" s="1467">
        <f ca="1">IF(B130&gt;=$J$5,0,(CONTADORES!BT128-CONTADORES!BT127)+(CONTADORES!BV128-CONTADORES!BV127))/1000</f>
        <v>1.4750000000000001</v>
      </c>
      <c r="BT130" s="1466">
        <f ca="1">IF(B130&gt;=$J$5,0,(CONTADORES!BU128-CONTADORES!BU127)+(CONTADORES!BW128-CONTADORES!BW127))/1000</f>
        <v>0.90200000000000002</v>
      </c>
      <c r="BU130" s="1467">
        <f ca="1">IF(B130&gt;=$J$5,0,CONTADORES!BR128-CONTADORES!BR127)</f>
        <v>8.7199999999993452</v>
      </c>
      <c r="BV130" s="1466">
        <f ca="1">IF(B130&gt;=$J$5,0,CONTADORES!BS128-CONTADORES!BS127)</f>
        <v>5.3599999999996726</v>
      </c>
      <c r="BW130" s="1466">
        <f t="shared" ca="1" si="47"/>
        <v>11.976499999982686</v>
      </c>
      <c r="BX130" s="1466">
        <f t="shared" ca="1" si="48"/>
        <v>7.3714999999990631</v>
      </c>
      <c r="BY130" s="1466">
        <f t="shared" ca="1" si="49"/>
        <v>3.2564999999833413</v>
      </c>
      <c r="BZ130" s="1466">
        <f t="shared" ca="1" si="50"/>
        <v>1.0699999999998544</v>
      </c>
      <c r="CA130" s="1466">
        <f t="shared" ca="1" si="51"/>
        <v>3.2564999999833413</v>
      </c>
      <c r="CB130" s="1466">
        <f t="shared" ca="1" si="52"/>
        <v>1.6049999999997817</v>
      </c>
      <c r="CC130" s="1466">
        <f t="shared" ca="1" si="53"/>
        <v>2.5449999999998543</v>
      </c>
      <c r="CD130" s="1466">
        <f t="shared" ca="1" si="54"/>
        <v>2.0114999999993906</v>
      </c>
      <c r="CE130" s="1466">
        <f ca="1">IF(B130&gt;=$J$5,0,CONTADORES!BS128-CONTADORES!BS127)</f>
        <v>5.3599999999996726</v>
      </c>
      <c r="CF130" s="1466">
        <f t="shared" ca="1" si="55"/>
        <v>2.0114999999993906</v>
      </c>
      <c r="CG130" s="1466">
        <f t="shared" ca="1" si="56"/>
        <v>0.28900000000000908</v>
      </c>
      <c r="CH130" s="1466">
        <f t="shared" ca="1" si="57"/>
        <v>0.28900000000000908</v>
      </c>
      <c r="CI130" s="1466">
        <f t="shared" ca="1" si="58"/>
        <v>1.1910000000000092</v>
      </c>
      <c r="CJ130" s="1471">
        <f ca="1">IF($B130&gt;=$J$5,0,CONTADORES!$BG128)</f>
        <v>7608.1909239212346</v>
      </c>
      <c r="CK130" s="1385">
        <f>CONTADORES!E128</f>
        <v>0</v>
      </c>
      <c r="CL130" s="1385">
        <f>CONTADORES!BX128</f>
        <v>0</v>
      </c>
    </row>
    <row r="131" spans="2:90">
      <c r="B131" s="410">
        <v>45047</v>
      </c>
      <c r="C131" s="204">
        <f t="shared" ca="1" si="33"/>
        <v>307.15000000002328</v>
      </c>
      <c r="D131" s="202">
        <f ca="1">'CALCULO DE GAS'!D140</f>
        <v>5.2262848504997255</v>
      </c>
      <c r="E131" s="202">
        <f ca="1">IF(B131&gt;=$J$5,0,(CONTADORES!$AB131-CONTADORES!$AB130)-$H131)</f>
        <v>24</v>
      </c>
      <c r="F131" s="204">
        <f t="shared" ca="1" si="63"/>
        <v>0</v>
      </c>
      <c r="G131" s="202">
        <f ca="1">IF(B131&gt;=$J$5,0,CONTADORES!$AD131-CONTADORES!$AD130)</f>
        <v>0</v>
      </c>
      <c r="H131" s="202">
        <f ca="1">IF(G131&gt;0,CONTADORES!$AC131-CONTADORES!$AC130,0)</f>
        <v>0</v>
      </c>
      <c r="I131" s="205">
        <f ca="1">IF(B131&gt;=$J$5,0,CONTADORES!$Z131-CONTADORES!$Z130)</f>
        <v>307.15000000002328</v>
      </c>
      <c r="J131" s="204">
        <f t="shared" ca="1" si="34"/>
        <v>145.09999999999854</v>
      </c>
      <c r="K131" s="202">
        <f ca="1">'CALCULO DE GAS'!E140</f>
        <v>3.8397628476450887</v>
      </c>
      <c r="L131" s="1437">
        <f ca="1">IF(B131&gt;=$J$5,0,(CONTADORES!$W131-CONTADORES!$W130)-$O131)</f>
        <v>24</v>
      </c>
      <c r="M131" s="1437">
        <f t="shared" ca="1" si="62"/>
        <v>0</v>
      </c>
      <c r="N131" s="1437">
        <f ca="1">IF(B131&gt;=$J$5,0,CONTADORES!$Y131-CONTADORES!$Y130)</f>
        <v>0</v>
      </c>
      <c r="O131" s="1437">
        <f ca="1">IF(N131&gt;0,CONTADORES!$X131-CONTADORES!$X130,0)</f>
        <v>0</v>
      </c>
      <c r="P131" s="208">
        <f ca="1">IF(B131&gt;=$J$5,0,CONTADORES!$U131-CONTADORES!$U130)</f>
        <v>145.09999999999854</v>
      </c>
      <c r="Q131" s="208">
        <f ca="1">IF(B131&gt;=$J$5,0,CONTADORES!$B131-CONTADORES!$B130)</f>
        <v>0</v>
      </c>
      <c r="R131" s="202">
        <f t="shared" ca="1" si="35"/>
        <v>0</v>
      </c>
      <c r="S131" s="11">
        <f ca="1">IF(B131&gt;=$J$5,0,CONTADORES!$D131-CONTADORES!$D130)</f>
        <v>0</v>
      </c>
      <c r="T131" s="204">
        <f ca="1">IF(B131&gt;=$J$5,0,CONTADORES!$AZ131-CONTADORES!$AZ130)</f>
        <v>0</v>
      </c>
      <c r="U131" s="202">
        <f t="shared" ca="1" si="61"/>
        <v>0</v>
      </c>
      <c r="V131" s="205">
        <f ca="1">IF(B131&gt;=$J$5,0,CONTADORES!$BB131-CONTADORES!$BB130)</f>
        <v>0</v>
      </c>
      <c r="W131" s="1438">
        <f t="shared" ca="1" si="37"/>
        <v>452.25000000002183</v>
      </c>
      <c r="X131" s="1438">
        <f t="shared" ca="1" si="38"/>
        <v>0</v>
      </c>
      <c r="Y131" s="1439">
        <f t="shared" ca="1" si="39"/>
        <v>452.25000000002183</v>
      </c>
      <c r="Z131" s="1439">
        <f t="shared" ca="1" si="40"/>
        <v>9.0660476981448141</v>
      </c>
      <c r="AA131" s="1439">
        <f t="shared" ca="1" si="41"/>
        <v>0</v>
      </c>
      <c r="AB131" s="1439">
        <f t="shared" ca="1" si="42"/>
        <v>48</v>
      </c>
      <c r="AC131" s="1438">
        <f t="shared" ca="1" si="43"/>
        <v>0</v>
      </c>
      <c r="AD131" s="1438">
        <f ca="1">IF(B131&gt;=$J$5,0,CONTADORES!H131-CONTADORES!H130)</f>
        <v>163.69999999999982</v>
      </c>
      <c r="AE131" s="1439">
        <f ca="1">IF(B131&gt;=$J$5,0,CONTADORES!J131-CONTADORES!J130)</f>
        <v>24</v>
      </c>
      <c r="AF131" s="1438">
        <f ca="1">IF(B131&gt;=$J$5,0,CONTADORES!AS131-CONTADORES!AS130)</f>
        <v>153.05999999999767</v>
      </c>
      <c r="AG131" s="1439">
        <f ca="1">IF(B131&gt;=$J$5,0,CONTADORES!AU131-CONTADORES!AU130)</f>
        <v>24</v>
      </c>
      <c r="AH131" s="1439">
        <f ca="1">IF(B131&gt;=$J$5,0,(CONTADORES!AK131-CONTADORES!AK130)+(CONTADORES!K131-CONTADORES!K130))</f>
        <v>12.900000000001455</v>
      </c>
      <c r="AI131" s="1438">
        <f ca="1">IF(B131&gt;=$J$5,0,(CONTADORES!AI131-CONTADORES!AI130)+(CONTADORES!M131-CONTADORES!M130))</f>
        <v>38.180000000007567</v>
      </c>
      <c r="AJ131" s="1438">
        <f ca="1">IF(B131&gt;=$J$5,0,(CONTADORES!AG131-CONTADORES!AG130))</f>
        <v>8.1699999999982538</v>
      </c>
      <c r="AK131" s="1438">
        <f ca="1">IF(B131&gt;=$J$5,0,(CONTADORES!O131-CONTADORES!O130))</f>
        <v>13.619999999995343</v>
      </c>
      <c r="AL131" s="1439">
        <f t="shared" ca="1" si="44"/>
        <v>34.080000000020846</v>
      </c>
      <c r="AM131" s="1438">
        <f ca="1">IF(B131&gt;=$J$5,0,(((CONTADORES!F131-CONTADORES!F130)+(CONTADORES!AO131-CONTADORES!AO130))))-BJ131-AF131-AN131-BM131-BP131-BU131-BS131</f>
        <v>7.1299999999998773</v>
      </c>
      <c r="AN131" s="1438">
        <f ca="1">IF(B131&gt;=$J$5,0,(CONTADORES!AV131-CONTADORES!AV130)+(CONTADORES!AX131-CONTADORES!AX130)+(CONTADORES!BC131-CONTADORES!BC130))-BS131</f>
        <v>3.1980000000001274</v>
      </c>
      <c r="AO131" s="1438">
        <f ca="1">IF(B131&gt;=$J$5,0,(CONTADORES!AA131-CONTADORES!AA130))</f>
        <v>155.4199999999837</v>
      </c>
      <c r="AP131" s="1438">
        <f ca="1">IF(B131&gt;=$J$5,0,(CONTADORES!V131-CONTADORES!V130))</f>
        <v>71.539999999997235</v>
      </c>
      <c r="AQ131" s="1438">
        <f ca="1">IF(B131&gt;=$J$5,0,(CONTADORES!C131-CONTADORES!C130))</f>
        <v>0</v>
      </c>
      <c r="AR131" s="1438">
        <f ca="1">IF(B131&gt;=$J$5,0,(CONTADORES!BA131-CONTADORES!BA130))</f>
        <v>0</v>
      </c>
      <c r="AS131" s="1438">
        <f ca="1">IF(B131&gt;=$J$5,0,CONTADORES!Q131-CONTADORES!Q130)</f>
        <v>14.310000000026776</v>
      </c>
      <c r="AT131" s="1438">
        <f ca="1">IF(B131&gt;=$J$5,0,(CONTADORES!S131-CONTADORES!S130)+(CONTADORES!AE131-CONTADORES!AE130))</f>
        <v>2.430000000000291</v>
      </c>
      <c r="AU131" s="1438">
        <f ca="1">IF(B131&gt;=$J$5,0,(CONTADORES!I131-CONTADORES!I130))</f>
        <v>82.2800000000002</v>
      </c>
      <c r="AV131" s="1438">
        <f ca="1">IF(B131&gt;=$J$5,0,(CONTADORES!AT131-CONTADORES!AT130))</f>
        <v>66.309999999997672</v>
      </c>
      <c r="AW131" s="1438">
        <f ca="1">IF(B131&gt;=$J$5,0,(CONTADORES!L131-CONTADORES!L130)+(CONTADORES!AL131-CONTADORES!AL130))</f>
        <v>5</v>
      </c>
      <c r="AX131" s="1438">
        <f ca="1">IF(B131&gt;=$J$5,0,(CONTADORES!N131-CONTADORES!N130)+(CONTADORES!AJ131-CONTADORES!AJ130))</f>
        <v>32.349999999998545</v>
      </c>
      <c r="AY131" s="1438">
        <f ca="1">IF(B131&gt;=$J$5,0,(CONTADORES!AH131-CONTADORES!AH130))</f>
        <v>6.3000000000029104</v>
      </c>
      <c r="AZ131" s="1438">
        <f ca="1">IF(B131&gt;=$J$5,0,(CONTADORES!P131-CONTADORES!P130))</f>
        <v>10.639999999999418</v>
      </c>
      <c r="BA131" s="1439">
        <f t="shared" ca="1" si="45"/>
        <v>3.4489999999966869</v>
      </c>
      <c r="BB131" s="1438">
        <f ca="1">IF(B131&gt;=$J$5,0,(((CONTADORES!G131-CONTADORES!G130)+(CONTADORES!AP131-CONTADORES!AP130)+AR131)-(AV131+BC131)))</f>
        <v>10.679999999985284</v>
      </c>
      <c r="BC131" s="1438">
        <f ca="1">IF(B131&gt;=$J$5,0,(CONTADORES!AW131-CONTADORES!AW130)+(CONTADORES!AY131-CONTADORES!AY130)+(CONTADORES!BD131-CONTADORES!BD130))</f>
        <v>1.8099999999999454</v>
      </c>
      <c r="BD131" s="1438">
        <f t="shared" ca="1" si="46"/>
        <v>226.95999999998094</v>
      </c>
      <c r="BE131" s="1439">
        <f ca="1">IF($B131&gt;=$J$5,0,CONTADORES!$BE131)</f>
        <v>6464.8</v>
      </c>
      <c r="BF131" s="1438">
        <f ca="1">IF($B131&gt;=$J$5,0,CONTADORES!$BF131)</f>
        <v>31984.514035087701</v>
      </c>
      <c r="BG131" s="1438">
        <f ca="1">IF($B131&gt;=$J$5,0,CONTADORES!$BH131)</f>
        <v>6806.3</v>
      </c>
      <c r="BH131" s="1438">
        <f ca="1">IF(B131&gt;=$J$5,0,(CONTADORES!AQ131-CONTADORES!AQ130))</f>
        <v>5.0999999999985448</v>
      </c>
      <c r="BI131" s="1438">
        <f ca="1">IF(B131&gt;=$J$5,0,(CONTADORES!AR131-CONTADORES!AR130))</f>
        <v>0</v>
      </c>
      <c r="BJ131" s="1439">
        <f ca="1">IF(B131&gt;=$J$5,0,CONTADORES!BI131-CONTADORES!BI130)/1000</f>
        <v>2.8559999999999999</v>
      </c>
      <c r="BK131" s="1439">
        <f ca="1">IF(B131&gt;=$J$5,0,CONTADORES!BJ131-CONTADORES!BJ130)</f>
        <v>1</v>
      </c>
      <c r="BL131" s="1439">
        <f ca="1">IF(B131&gt;=$J$5,0,CONTADORES!BK131-CONTADORES!BK130)</f>
        <v>24</v>
      </c>
      <c r="BM131" s="1439">
        <f ca="1">IF(B131&gt;=$J$5,0,CONTADORES!BL131-CONTADORES!BL130)/1000</f>
        <v>0</v>
      </c>
      <c r="BN131" s="1439">
        <f ca="1">IF(B131&gt;=$J$5,0,CONTADORES!BM131-CONTADORES!BM130)/1000</f>
        <v>0</v>
      </c>
      <c r="BO131" s="1439">
        <f ca="1">IF(B131&gt;=$J$5,0,CONTADORES!BN131-CONTADORES!BN130)</f>
        <v>0</v>
      </c>
      <c r="BP131" s="1439">
        <f ca="1">IF(B131&gt;=$J$5,0,CONTADORES!BO131-CONTADORES!BO130)/1000</f>
        <v>5.1539999999999999</v>
      </c>
      <c r="BQ131" s="1439">
        <f ca="1">IF(B131&gt;=$J$5,0,CONTADORES!BP131-CONTADORES!BP130)/1000</f>
        <v>0.85599999999999998</v>
      </c>
      <c r="BR131" s="1439">
        <f ca="1">IF(B131&gt;=$J$5,0,CONTADORES!BQ131-CONTADORES!BQ130)</f>
        <v>24</v>
      </c>
      <c r="BS131" s="1439">
        <f ca="1">IF(B131&gt;=$J$5,0,(CONTADORES!BT131-CONTADORES!BT130)+(CONTADORES!BV131-CONTADORES!BV130))/1000</f>
        <v>1.4119999999999999</v>
      </c>
      <c r="BT131" s="1439">
        <f ca="1">IF(B131&gt;=$J$5,0,(CONTADORES!BU131-CONTADORES!BU130)+(CONTADORES!BW131-CONTADORES!BW130))/1000</f>
        <v>0.85499999999999998</v>
      </c>
      <c r="BU131" s="1439">
        <f ca="1">IF(B131&gt;=$J$5,0,CONTADORES!BR131-CONTADORES!BR130)</f>
        <v>8.7900000000008731</v>
      </c>
      <c r="BV131" s="1439">
        <f ca="1">IF(B131&gt;=$J$5,0,CONTADORES!BS131-CONTADORES!BS130)</f>
        <v>5.430000000000291</v>
      </c>
      <c r="BW131" s="1439">
        <f t="shared" ca="1" si="47"/>
        <v>12.355000000000812</v>
      </c>
      <c r="BX131" s="1439">
        <f t="shared" ca="1" si="48"/>
        <v>10.769999999992933</v>
      </c>
      <c r="BY131" s="1439">
        <f t="shared" ca="1" si="49"/>
        <v>3.5649999999999387</v>
      </c>
      <c r="BZ131" s="1439">
        <f t="shared" ca="1" si="50"/>
        <v>1.279200000000051</v>
      </c>
      <c r="CA131" s="1439">
        <f t="shared" ca="1" si="51"/>
        <v>3.5649999999999387</v>
      </c>
      <c r="CB131" s="1439">
        <f t="shared" ca="1" si="52"/>
        <v>1.9188000000000764</v>
      </c>
      <c r="CC131" s="1439">
        <f t="shared" ca="1" si="53"/>
        <v>2.6912000000000509</v>
      </c>
      <c r="CD131" s="1439">
        <f t="shared" ca="1" si="54"/>
        <v>5.3399999999926422</v>
      </c>
      <c r="CE131" s="1439">
        <f ca="1">IF(B131&gt;=$J$5,0,CONTADORES!BS131-CONTADORES!BS130)</f>
        <v>5.430000000000291</v>
      </c>
      <c r="CF131" s="1439">
        <f t="shared" ca="1" si="55"/>
        <v>5.3399999999926422</v>
      </c>
      <c r="CG131" s="1439">
        <f t="shared" ca="1" si="56"/>
        <v>0.90499999999997272</v>
      </c>
      <c r="CH131" s="1439">
        <f t="shared" ca="1" si="57"/>
        <v>0.90499999999997272</v>
      </c>
      <c r="CI131" s="1439">
        <f t="shared" ca="1" si="58"/>
        <v>1.7599999999999727</v>
      </c>
      <c r="CJ131" s="1488">
        <f ca="1">IF($B131&gt;=$J$5,0,CONTADORES!$BG131)</f>
        <v>7677.3688134100503</v>
      </c>
      <c r="CK131" s="1406">
        <f>CONTADORES!E131</f>
        <v>0</v>
      </c>
      <c r="CL131" s="1406">
        <f>CONTADORES!BX131</f>
        <v>0</v>
      </c>
    </row>
    <row r="132" spans="2:90">
      <c r="B132" s="410">
        <v>45048</v>
      </c>
      <c r="C132" s="204">
        <f t="shared" ca="1" si="33"/>
        <v>312.69999999995343</v>
      </c>
      <c r="D132" s="202">
        <f ca="1">'CALCULO DE GAS'!D141</f>
        <v>5.2737714109177771</v>
      </c>
      <c r="E132" s="202">
        <f ca="1">IF(B132&gt;=$J$5,0,(CONTADORES!$AB132-CONTADORES!$AB131)-$H132)</f>
        <v>24</v>
      </c>
      <c r="F132" s="204">
        <f t="shared" ca="1" si="63"/>
        <v>0</v>
      </c>
      <c r="G132" s="202">
        <f ca="1">IF(B132&gt;=$J$5,0,CONTADORES!$AD132-CONTADORES!$AD131)</f>
        <v>0</v>
      </c>
      <c r="H132" s="202">
        <f ca="1">IF(G132&gt;0,CONTADORES!$AC132-CONTADORES!$AC131,0)</f>
        <v>0</v>
      </c>
      <c r="I132" s="205">
        <f ca="1">IF(B132&gt;=$J$5,0,CONTADORES!$Z132-CONTADORES!$Z131)</f>
        <v>312.69999999995343</v>
      </c>
      <c r="J132" s="204">
        <f t="shared" ca="1" si="34"/>
        <v>148</v>
      </c>
      <c r="K132" s="202">
        <f ca="1">'CALCULO DE GAS'!E141</f>
        <v>3.8645756449809716</v>
      </c>
      <c r="L132" s="1437">
        <f ca="1">IF(B132&gt;=$J$5,0,(CONTADORES!$W132-CONTADORES!$W131)-$O132)</f>
        <v>24</v>
      </c>
      <c r="M132" s="1437">
        <f t="shared" ca="1" si="62"/>
        <v>0</v>
      </c>
      <c r="N132" s="1437">
        <f ca="1">IF(B132&gt;=$J$5,0,CONTADORES!$Y132-CONTADORES!$Y131)</f>
        <v>0</v>
      </c>
      <c r="O132" s="1437">
        <f ca="1">IF(N132&gt;0,CONTADORES!$X132-CONTADORES!$X131,0)</f>
        <v>0</v>
      </c>
      <c r="P132" s="208">
        <f ca="1">IF(B132&gt;=$J$5,0,CONTADORES!$U132-CONTADORES!$U131)</f>
        <v>148</v>
      </c>
      <c r="Q132" s="208">
        <f ca="1">IF(B132&gt;=$J$5,0,CONTADORES!$B132-CONTADORES!$B131)</f>
        <v>0.17599999999993088</v>
      </c>
      <c r="R132" s="202">
        <f t="shared" ca="1" si="35"/>
        <v>21.119999999991705</v>
      </c>
      <c r="S132" s="11">
        <f ca="1">IF(B132&gt;=$J$5,0,CONTADORES!$D132-CONTADORES!$D131)</f>
        <v>0.5999999999994543</v>
      </c>
      <c r="T132" s="204">
        <f ca="1">IF(B132&gt;=$J$5,0,CONTADORES!$AZ132-CONTADORES!$AZ131)</f>
        <v>0.20299999999997453</v>
      </c>
      <c r="U132" s="202">
        <f t="shared" ca="1" si="61"/>
        <v>24.359999999996944</v>
      </c>
      <c r="V132" s="205">
        <f ca="1">IF(B132&gt;=$J$5,0,CONTADORES!$BB132-CONTADORES!$BB131)</f>
        <v>0.29999999999995453</v>
      </c>
      <c r="W132" s="1438">
        <f t="shared" ca="1" si="37"/>
        <v>460.69999999995343</v>
      </c>
      <c r="X132" s="1438">
        <f t="shared" ca="1" si="38"/>
        <v>0.37899999999990541</v>
      </c>
      <c r="Y132" s="1439">
        <f t="shared" ca="1" si="39"/>
        <v>461.07899999995334</v>
      </c>
      <c r="Z132" s="1439">
        <f t="shared" ca="1" si="40"/>
        <v>9.1383470558987483</v>
      </c>
      <c r="AA132" s="1439">
        <f t="shared" ca="1" si="41"/>
        <v>45.47999999998865</v>
      </c>
      <c r="AB132" s="1439">
        <f t="shared" ca="1" si="42"/>
        <v>48</v>
      </c>
      <c r="AC132" s="1438">
        <f t="shared" ca="1" si="43"/>
        <v>0.89999999999940883</v>
      </c>
      <c r="AD132" s="1438">
        <f ca="1">IF(B132&gt;=$J$5,0,CONTADORES!H132-CONTADORES!H131)</f>
        <v>167.59999999999991</v>
      </c>
      <c r="AE132" s="1439">
        <f ca="1">IF(B132&gt;=$J$5,0,CONTADORES!J132-CONTADORES!J131)</f>
        <v>24</v>
      </c>
      <c r="AF132" s="1438">
        <f ca="1">IF(B132&gt;=$J$5,0,CONTADORES!AS132-CONTADORES!AS131)</f>
        <v>153.73999999999069</v>
      </c>
      <c r="AG132" s="1439">
        <f ca="1">IF(B132&gt;=$J$5,0,CONTADORES!AU132-CONTADORES!AU131)</f>
        <v>24</v>
      </c>
      <c r="AH132" s="1439">
        <f ca="1">IF(B132&gt;=$J$5,0,(CONTADORES!AK132-CONTADORES!AK131)+(CONTADORES!K132-CONTADORES!K131))</f>
        <v>14.30000000000291</v>
      </c>
      <c r="AI132" s="1438">
        <f ca="1">IF(B132&gt;=$J$5,0,(CONTADORES!AI132-CONTADORES!AI131)+(CONTADORES!M132-CONTADORES!M131))</f>
        <v>38.529999999998836</v>
      </c>
      <c r="AJ132" s="1438">
        <f ca="1">IF(B132&gt;=$J$5,0,(CONTADORES!AG132-CONTADORES!AG131))</f>
        <v>7.1000000000058208</v>
      </c>
      <c r="AK132" s="1438">
        <f ca="1">IF(B132&gt;=$J$5,0,(CONTADORES!O132-CONTADORES!O131))</f>
        <v>14.880000000004657</v>
      </c>
      <c r="AL132" s="1439">
        <f t="shared" ca="1" si="44"/>
        <v>36.068999999917196</v>
      </c>
      <c r="AM132" s="1438">
        <f ca="1">IF(B132&gt;=$J$5,0,(((CONTADORES!F132-CONTADORES!F131)+(CONTADORES!AO132-CONTADORES!AO131))))-BJ132-AF132-AN132-BM132-BP132-BU132-BS132</f>
        <v>7.4810000000343138</v>
      </c>
      <c r="AN132" s="1438">
        <f ca="1">IF(B132&gt;=$J$5,0,(CONTADORES!AV132-CONTADORES!AV131)+(CONTADORES!AX132-CONTADORES!AX131)+(CONTADORES!BC132-CONTADORES!BC131))-BS132</f>
        <v>3.1139999999998906</v>
      </c>
      <c r="AO132" s="1438">
        <f ca="1">IF(B132&gt;=$J$5,0,(CONTADORES!AA132-CONTADORES!AA131))</f>
        <v>155.20000000001164</v>
      </c>
      <c r="AP132" s="1438">
        <f ca="1">IF(B132&gt;=$J$5,0,(CONTADORES!V132-CONTADORES!V131))</f>
        <v>75.400000000001455</v>
      </c>
      <c r="AQ132" s="1438">
        <f ca="1">IF(B132&gt;=$J$5,0,(CONTADORES!C132-CONTADORES!C131))</f>
        <v>8.7999999999965439E-2</v>
      </c>
      <c r="AR132" s="1438">
        <f ca="1">IF(B132&gt;=$J$5,0,(CONTADORES!BA132-CONTADORES!BA131))</f>
        <v>7.6999999999998181E-2</v>
      </c>
      <c r="AS132" s="1438">
        <f ca="1">IF(B132&gt;=$J$5,0,CONTADORES!Q132-CONTADORES!Q131)</f>
        <v>14.819999999977881</v>
      </c>
      <c r="AT132" s="1438">
        <f ca="1">IF(B132&gt;=$J$5,0,(CONTADORES!S132-CONTADORES!S131)+(CONTADORES!AE132-CONTADORES!AE131))</f>
        <v>2.5</v>
      </c>
      <c r="AU132" s="1438">
        <f ca="1">IF(B132&gt;=$J$5,0,(CONTADORES!I132-CONTADORES!I131))</f>
        <v>83.7199999999998</v>
      </c>
      <c r="AV132" s="1438">
        <f ca="1">IF(B132&gt;=$J$5,0,(CONTADORES!AT132-CONTADORES!AT131))</f>
        <v>66.399999999994179</v>
      </c>
      <c r="AW132" s="1438">
        <f ca="1">IF(B132&gt;=$J$5,0,(CONTADORES!L132-CONTADORES!L131)+(CONTADORES!AL132-CONTADORES!AL131))</f>
        <v>5.7000000000007276</v>
      </c>
      <c r="AX132" s="1438">
        <f ca="1">IF(B132&gt;=$J$5,0,(CONTADORES!N132-CONTADORES!N131)+(CONTADORES!AJ132-CONTADORES!AJ131))</f>
        <v>32.69999999999709</v>
      </c>
      <c r="AY132" s="1438">
        <f ca="1">IF(B132&gt;=$J$5,0,(CONTADORES!AH132-CONTADORES!AH131))</f>
        <v>5.6699999999982538</v>
      </c>
      <c r="AZ132" s="1438">
        <f ca="1">IF(B132&gt;=$J$5,0,(CONTADORES!P132-CONTADORES!P131))</f>
        <v>11.559999999997672</v>
      </c>
      <c r="BA132" s="1439">
        <f t="shared" ca="1" si="45"/>
        <v>4.016000000014543</v>
      </c>
      <c r="BB132" s="1438">
        <f ca="1">IF(B132&gt;=$J$5,0,(((CONTADORES!G132-CONTADORES!G131)+(CONTADORES!AP132-CONTADORES!AP131)+AR132)-(AV132+BC132)))</f>
        <v>10.217000000011211</v>
      </c>
      <c r="BC132" s="1438">
        <f ca="1">IF(B132&gt;=$J$5,0,(CONTADORES!AW132-CONTADORES!AW131)+(CONTADORES!AY132-CONTADORES!AY131)+(CONTADORES!BD132-CONTADORES!BD131))</f>
        <v>2.6599999999998829</v>
      </c>
      <c r="BD132" s="1438">
        <f t="shared" ca="1" si="46"/>
        <v>230.76500000001306</v>
      </c>
      <c r="BE132" s="1439">
        <f ca="1">IF($B132&gt;=$J$5,0,CONTADORES!$BE132)</f>
        <v>6386.78</v>
      </c>
      <c r="BF132" s="1438">
        <f ca="1">IF($B132&gt;=$J$5,0,CONTADORES!$BF132)</f>
        <v>30225.768421052599</v>
      </c>
      <c r="BG132" s="1438">
        <f ca="1">IF($B132&gt;=$J$5,0,CONTADORES!$BH132)</f>
        <v>7587.6</v>
      </c>
      <c r="BH132" s="1438">
        <f ca="1">IF(B132&gt;=$J$5,0,(CONTADORES!AQ132-CONTADORES!AQ131))</f>
        <v>4.9000000000014552</v>
      </c>
      <c r="BI132" s="1438">
        <f ca="1">IF(B132&gt;=$J$5,0,(CONTADORES!AR132-CONTADORES!AR131))</f>
        <v>0</v>
      </c>
      <c r="BJ132" s="1439">
        <f ca="1">IF(B132&gt;=$J$5,0,CONTADORES!BI132-CONTADORES!BI131)/1000</f>
        <v>2.8319999999999999</v>
      </c>
      <c r="BK132" s="1439">
        <f ca="1">IF(B132&gt;=$J$5,0,CONTADORES!BJ132-CONTADORES!BJ131)</f>
        <v>1</v>
      </c>
      <c r="BL132" s="1439">
        <f ca="1">IF(B132&gt;=$J$5,0,CONTADORES!BK132-CONTADORES!BK131)</f>
        <v>23.94999999999709</v>
      </c>
      <c r="BM132" s="1439">
        <f ca="1">IF(B132&gt;=$J$5,0,CONTADORES!BL132-CONTADORES!BL131)/1000</f>
        <v>0</v>
      </c>
      <c r="BN132" s="1439">
        <f ca="1">IF(B132&gt;=$J$5,0,CONTADORES!BM132-CONTADORES!BM131)/1000</f>
        <v>0</v>
      </c>
      <c r="BO132" s="1439">
        <f ca="1">IF(B132&gt;=$J$5,0,CONTADORES!BN132-CONTADORES!BN131)</f>
        <v>0</v>
      </c>
      <c r="BP132" s="1439">
        <f ca="1">IF(B132&gt;=$J$5,0,CONTADORES!BO132-CONTADORES!BO131)/1000</f>
        <v>5.2169999999999996</v>
      </c>
      <c r="BQ132" s="1439">
        <f ca="1">IF(B132&gt;=$J$5,0,CONTADORES!BP132-CONTADORES!BP131)/1000</f>
        <v>0.89300000000000002</v>
      </c>
      <c r="BR132" s="1439">
        <f ca="1">IF(B132&gt;=$J$5,0,CONTADORES!BQ132-CONTADORES!BQ131)</f>
        <v>23.979999999999563</v>
      </c>
      <c r="BS132" s="1439">
        <f ca="1">IF(B132&gt;=$J$5,0,(CONTADORES!BT132-CONTADORES!BT131)+(CONTADORES!BV132-CONTADORES!BV131))/1000</f>
        <v>1.506</v>
      </c>
      <c r="BT132" s="1439">
        <f ca="1">IF(B132&gt;=$J$5,0,(CONTADORES!BU132-CONTADORES!BU131)+(CONTADORES!BW132-CONTADORES!BW131))/1000</f>
        <v>0.90900000000000003</v>
      </c>
      <c r="BU132" s="1439">
        <f ca="1">IF(B132&gt;=$J$5,0,CONTADORES!BR132-CONTADORES!BR131)</f>
        <v>8.7099999999991269</v>
      </c>
      <c r="BV132" s="1439">
        <f ca="1">IF(B132&gt;=$J$5,0,CONTADORES!BS132-CONTADORES!BS131)</f>
        <v>5.319999999999709</v>
      </c>
      <c r="BW132" s="1439">
        <f t="shared" ca="1" si="47"/>
        <v>12.450500000016284</v>
      </c>
      <c r="BX132" s="1439">
        <f t="shared" ca="1" si="48"/>
        <v>10.428500000005315</v>
      </c>
      <c r="BY132" s="1439">
        <f t="shared" ca="1" si="49"/>
        <v>3.7405000000171569</v>
      </c>
      <c r="BZ132" s="1439">
        <f t="shared" ca="1" si="50"/>
        <v>1.2455999999999563</v>
      </c>
      <c r="CA132" s="1439">
        <f t="shared" ca="1" si="51"/>
        <v>3.7405000000171569</v>
      </c>
      <c r="CB132" s="1439">
        <f t="shared" ca="1" si="52"/>
        <v>1.8683999999999343</v>
      </c>
      <c r="CC132" s="1439">
        <f t="shared" ca="1" si="53"/>
        <v>2.7515999999999563</v>
      </c>
      <c r="CD132" s="1439">
        <f t="shared" ca="1" si="54"/>
        <v>5.1085000000056056</v>
      </c>
      <c r="CE132" s="1439">
        <f ca="1">IF(B132&gt;=$J$5,0,CONTADORES!BS132-CONTADORES!BS131)</f>
        <v>5.319999999999709</v>
      </c>
      <c r="CF132" s="1439">
        <f t="shared" ca="1" si="55"/>
        <v>5.1085000000056056</v>
      </c>
      <c r="CG132" s="1439">
        <f t="shared" ca="1" si="56"/>
        <v>1.3299999999999415</v>
      </c>
      <c r="CH132" s="1439">
        <f t="shared" ca="1" si="57"/>
        <v>1.3299999999999415</v>
      </c>
      <c r="CI132" s="1439">
        <f t="shared" ca="1" si="58"/>
        <v>2.2389999999999413</v>
      </c>
      <c r="CJ132" s="1488">
        <f ca="1">IF($B132&gt;=$J$5,0,CONTADORES!$BG132)</f>
        <v>5970.7538574295204</v>
      </c>
      <c r="CK132" s="1406">
        <f>CONTADORES!E132</f>
        <v>1</v>
      </c>
      <c r="CL132" s="1406">
        <f>CONTADORES!BX132</f>
        <v>1</v>
      </c>
    </row>
    <row r="133" spans="2:90">
      <c r="B133" s="410">
        <v>45049</v>
      </c>
      <c r="C133" s="204">
        <f t="shared" ca="1" si="33"/>
        <v>286</v>
      </c>
      <c r="D133" s="202">
        <f ca="1">'CALCULO DE GAS'!D142</f>
        <v>5.0453225526879191</v>
      </c>
      <c r="E133" s="202">
        <f ca="1">IF(B133&gt;=$J$5,0,(CONTADORES!$AB133-CONTADORES!$AB132)-$H133)</f>
        <v>24</v>
      </c>
      <c r="F133" s="204">
        <f t="shared" ca="1" si="63"/>
        <v>0</v>
      </c>
      <c r="G133" s="202">
        <f ca="1">IF(B133&gt;=$J$5,0,CONTADORES!$AD133-CONTADORES!$AD132)</f>
        <v>0</v>
      </c>
      <c r="H133" s="202">
        <f ca="1">IF(G133&gt;0,CONTADORES!$AC133-CONTADORES!$AC132,0)</f>
        <v>0</v>
      </c>
      <c r="I133" s="205">
        <f ca="1">IF(B133&gt;=$J$5,0,CONTADORES!$Z133-CONTADORES!$Z132)</f>
        <v>286</v>
      </c>
      <c r="J133" s="204">
        <f t="shared" ca="1" si="34"/>
        <v>146</v>
      </c>
      <c r="K133" s="202">
        <f ca="1">'CALCULO DE GAS'!E142</f>
        <v>3.8474633709562331</v>
      </c>
      <c r="L133" s="1437">
        <f ca="1">IF(B133&gt;=$J$5,0,(CONTADORES!$W133-CONTADORES!$W132)-$O133)</f>
        <v>24</v>
      </c>
      <c r="M133" s="1437">
        <f t="shared" ca="1" si="62"/>
        <v>0</v>
      </c>
      <c r="N133" s="1437">
        <f ca="1">IF(B133&gt;=$J$5,0,CONTADORES!$Y133-CONTADORES!$Y132)</f>
        <v>0</v>
      </c>
      <c r="O133" s="1437">
        <f ca="1">IF(N133&gt;0,CONTADORES!$X133-CONTADORES!$X132,0)</f>
        <v>0</v>
      </c>
      <c r="P133" s="208">
        <f ca="1">IF(B133&gt;=$J$5,0,CONTADORES!$U133-CONTADORES!$U132)</f>
        <v>146</v>
      </c>
      <c r="Q133" s="208">
        <f ca="1">IF(B133&gt;=$J$5,0,CONTADORES!$B133-CONTADORES!$B132)</f>
        <v>0</v>
      </c>
      <c r="R133" s="202">
        <f t="shared" ca="1" si="35"/>
        <v>0</v>
      </c>
      <c r="S133" s="11">
        <f ca="1">IF(B133&gt;=$J$5,0,CONTADORES!$D133-CONTADORES!$D132)</f>
        <v>0</v>
      </c>
      <c r="T133" s="204">
        <f ca="1">IF(B133&gt;=$J$5,0,CONTADORES!$AZ133-CONTADORES!$AZ132)</f>
        <v>0</v>
      </c>
      <c r="U133" s="202">
        <f t="shared" ca="1" si="61"/>
        <v>0</v>
      </c>
      <c r="V133" s="205">
        <f ca="1">IF(B133&gt;=$J$5,0,CONTADORES!$BB133-CONTADORES!$BB132)</f>
        <v>0</v>
      </c>
      <c r="W133" s="1438">
        <f t="shared" ca="1" si="37"/>
        <v>432</v>
      </c>
      <c r="X133" s="1438">
        <f t="shared" ca="1" si="38"/>
        <v>0</v>
      </c>
      <c r="Y133" s="1439">
        <f t="shared" ca="1" si="39"/>
        <v>432</v>
      </c>
      <c r="Z133" s="1439">
        <f t="shared" ca="1" si="40"/>
        <v>8.8927859236441513</v>
      </c>
      <c r="AA133" s="1439">
        <f t="shared" ca="1" si="41"/>
        <v>0</v>
      </c>
      <c r="AB133" s="1439">
        <f t="shared" ca="1" si="42"/>
        <v>48</v>
      </c>
      <c r="AC133" s="1438">
        <f t="shared" ca="1" si="43"/>
        <v>0</v>
      </c>
      <c r="AD133" s="1438">
        <f ca="1">IF(B133&gt;=$J$5,0,CONTADORES!H133-CONTADORES!H132)</f>
        <v>155</v>
      </c>
      <c r="AE133" s="1439">
        <f ca="1">IF(B133&gt;=$J$5,0,CONTADORES!J133-CONTADORES!J132)</f>
        <v>22.399999999994179</v>
      </c>
      <c r="AF133" s="1438">
        <f ca="1">IF(B133&gt;=$J$5,0,CONTADORES!AS133-CONTADORES!AS132)</f>
        <v>152</v>
      </c>
      <c r="AG133" s="1439">
        <f ca="1">IF(B133&gt;=$J$5,0,CONTADORES!AU133-CONTADORES!AU132)</f>
        <v>24</v>
      </c>
      <c r="AH133" s="1439">
        <f ca="1">IF(B133&gt;=$J$5,0,(CONTADORES!AK133-CONTADORES!AK132)+(CONTADORES!K133-CONTADORES!K132))</f>
        <v>6.1999999999989086</v>
      </c>
      <c r="AI133" s="1438">
        <f ca="1">IF(B133&gt;=$J$5,0,(CONTADORES!AI133-CONTADORES!AI132)+(CONTADORES!M133-CONTADORES!M132))</f>
        <v>38.5</v>
      </c>
      <c r="AJ133" s="1438">
        <f ca="1">IF(B133&gt;=$J$5,0,(CONTADORES!AG133-CONTADORES!AG132))</f>
        <v>4.1999999999970896</v>
      </c>
      <c r="AK133" s="1438">
        <f ca="1">IF(B133&gt;=$J$5,0,(CONTADORES!O133-CONTADORES!O132))</f>
        <v>13.399999999994179</v>
      </c>
      <c r="AL133" s="1439">
        <f t="shared" ca="1" si="44"/>
        <v>33.000000000009095</v>
      </c>
      <c r="AM133" s="1438">
        <f ca="1">IF(B133&gt;=$J$5,0,(((CONTADORES!F133-CONTADORES!F132)+(CONTADORES!AO133-CONTADORES!AO132))))-BJ133-AF133-AN133-BM133-BP133-BU133-BS133</f>
        <v>7.9159999999999133</v>
      </c>
      <c r="AN133" s="1438">
        <f ca="1">IF(B133&gt;=$J$5,0,(CONTADORES!AV133-CONTADORES!AV132)+(CONTADORES!AX133-CONTADORES!AX132)+(CONTADORES!BC133-CONTADORES!BC132))-BS133</f>
        <v>3.355000000000091</v>
      </c>
      <c r="AO133" s="1438">
        <f ca="1">IF(B133&gt;=$J$5,0,(CONTADORES!AA133-CONTADORES!AA132))</f>
        <v>143</v>
      </c>
      <c r="AP133" s="1438">
        <f ca="1">IF(B133&gt;=$J$5,0,(CONTADORES!V133-CONTADORES!V132))</f>
        <v>74</v>
      </c>
      <c r="AQ133" s="1438">
        <f ca="1">IF(B133&gt;=$J$5,0,(CONTADORES!C133-CONTADORES!C132))</f>
        <v>0</v>
      </c>
      <c r="AR133" s="1438">
        <f ca="1">IF(B133&gt;=$J$5,0,(CONTADORES!BA133-CONTADORES!BA132))</f>
        <v>0</v>
      </c>
      <c r="AS133" s="1438">
        <f ca="1">IF(B133&gt;=$J$5,0,CONTADORES!Q133-CONTADORES!Q132)</f>
        <v>14.960000000020955</v>
      </c>
      <c r="AT133" s="1438">
        <f ca="1">IF(B133&gt;=$J$5,0,(CONTADORES!S133-CONTADORES!S132)+(CONTADORES!AE133-CONTADORES!AE132))</f>
        <v>2.5</v>
      </c>
      <c r="AU133" s="1438">
        <f ca="1">IF(B133&gt;=$J$5,0,(CONTADORES!I133-CONTADORES!I132))</f>
        <v>78.900000000000091</v>
      </c>
      <c r="AV133" s="1438">
        <f ca="1">IF(B133&gt;=$J$5,0,(CONTADORES!AT133-CONTADORES!AT132))</f>
        <v>66</v>
      </c>
      <c r="AW133" s="1438">
        <f ca="1">IF(B133&gt;=$J$5,0,(CONTADORES!L133-CONTADORES!L132)+(CONTADORES!AL133-CONTADORES!AL132))</f>
        <v>2.4000000000014552</v>
      </c>
      <c r="AX133" s="1438">
        <f ca="1">IF(B133&gt;=$J$5,0,(CONTADORES!N133-CONTADORES!N132)+(CONTADORES!AJ133-CONTADORES!AJ132))</f>
        <v>32.700000000004366</v>
      </c>
      <c r="AY133" s="1438">
        <f ca="1">IF(B133&gt;=$J$5,0,(CONTADORES!AH133-CONTADORES!AH132))</f>
        <v>3.2999999999956344</v>
      </c>
      <c r="AZ133" s="1438">
        <f ca="1">IF(B133&gt;=$J$5,0,(CONTADORES!P133-CONTADORES!P132))</f>
        <v>10.700000000011642</v>
      </c>
      <c r="BA133" s="1439">
        <f t="shared" ca="1" si="45"/>
        <v>1.9099999999862689</v>
      </c>
      <c r="BB133" s="1438">
        <f ca="1">IF(B133&gt;=$J$5,0,(((CONTADORES!G133-CONTADORES!G132)+(CONTADORES!AP133-CONTADORES!AP132)+AR133)-(AV133+BC133)))</f>
        <v>10.439999999999998</v>
      </c>
      <c r="BC133" s="1438">
        <f ca="1">IF(B133&gt;=$J$5,0,(CONTADORES!AW133-CONTADORES!AW132)+(CONTADORES!AY133-CONTADORES!AY132)+(CONTADORES!BD133-CONTADORES!BD132))</f>
        <v>2.5600000000000023</v>
      </c>
      <c r="BD133" s="1438">
        <f t="shared" ca="1" si="46"/>
        <v>217</v>
      </c>
      <c r="BE133" s="1439">
        <f ca="1">IF($B133&gt;=$J$5,0,CONTADORES!$BE133)</f>
        <v>6240.02</v>
      </c>
      <c r="BF133" s="1438">
        <f ca="1">IF($B133&gt;=$J$5,0,CONTADORES!$BF133)</f>
        <v>30956.035087719294</v>
      </c>
      <c r="BG133" s="1438">
        <f ca="1">IF($B133&gt;=$J$5,0,CONTADORES!$BH133)</f>
        <v>7128.04</v>
      </c>
      <c r="BH133" s="1438">
        <f ca="1">IF(B133&gt;=$J$5,0,(CONTADORES!AQ133-CONTADORES!AQ132))</f>
        <v>5.2999999999956344</v>
      </c>
      <c r="BI133" s="1438">
        <f ca="1">IF(B133&gt;=$J$5,0,(CONTADORES!AR133-CONTADORES!AR132))</f>
        <v>0</v>
      </c>
      <c r="BJ133" s="1439">
        <f ca="1">IF(B133&gt;=$J$5,0,CONTADORES!BI133-CONTADORES!BI132)/1000</f>
        <v>2.88</v>
      </c>
      <c r="BK133" s="1439">
        <f ca="1">IF(B133&gt;=$J$5,0,CONTADORES!BJ133-CONTADORES!BJ132)</f>
        <v>1</v>
      </c>
      <c r="BL133" s="1439">
        <f ca="1">IF(B133&gt;=$J$5,0,CONTADORES!BK133-CONTADORES!BK132)</f>
        <v>24</v>
      </c>
      <c r="BM133" s="1439">
        <f ca="1">IF(B133&gt;=$J$5,0,CONTADORES!BL133-CONTADORES!BL132)/1000</f>
        <v>0</v>
      </c>
      <c r="BN133" s="1439">
        <f ca="1">IF(B133&gt;=$J$5,0,CONTADORES!BM133-CONTADORES!BM132)/1000</f>
        <v>0</v>
      </c>
      <c r="BO133" s="1439">
        <f ca="1">IF(B133&gt;=$J$5,0,CONTADORES!BN133-CONTADORES!BN132)</f>
        <v>0</v>
      </c>
      <c r="BP133" s="1439">
        <f ca="1">IF(B133&gt;=$J$5,0,CONTADORES!BO133-CONTADORES!BO132)/1000</f>
        <v>5.3040000000000003</v>
      </c>
      <c r="BQ133" s="1439">
        <f ca="1">IF(B133&gt;=$J$5,0,CONTADORES!BP133-CONTADORES!BP132)/1000</f>
        <v>0.76100000000000001</v>
      </c>
      <c r="BR133" s="1439">
        <f ca="1">IF(B133&gt;=$J$5,0,CONTADORES!BQ133-CONTADORES!BQ132)</f>
        <v>24</v>
      </c>
      <c r="BS133" s="1439">
        <f ca="1">IF(B133&gt;=$J$5,0,(CONTADORES!BT133-CONTADORES!BT132)+(CONTADORES!BV133-CONTADORES!BV132))/1000</f>
        <v>1.5449999999999999</v>
      </c>
      <c r="BT133" s="1439">
        <f ca="1">IF(B133&gt;=$J$5,0,(CONTADORES!BU133-CONTADORES!BU132)+(CONTADORES!BW133-CONTADORES!BW132))/1000</f>
        <v>0.92900000000000005</v>
      </c>
      <c r="BU133" s="1439">
        <f ca="1">IF(B133&gt;=$J$5,0,CONTADORES!BR133-CONTADORES!BR132)</f>
        <v>8.7000000000007276</v>
      </c>
      <c r="BV133" s="1439">
        <f ca="1">IF(B133&gt;=$J$5,0,CONTADORES!BS133-CONTADORES!BS132)</f>
        <v>5.4000000000005457</v>
      </c>
      <c r="BW133" s="1439">
        <f t="shared" ca="1" si="47"/>
        <v>12.658000000000683</v>
      </c>
      <c r="BX133" s="1439">
        <f t="shared" ca="1" si="48"/>
        <v>10.620000000000545</v>
      </c>
      <c r="BY133" s="1439">
        <f t="shared" ca="1" si="49"/>
        <v>3.9579999999999567</v>
      </c>
      <c r="BZ133" s="1439">
        <f t="shared" ca="1" si="50"/>
        <v>1.3420000000000365</v>
      </c>
      <c r="CA133" s="1439">
        <f t="shared" ca="1" si="51"/>
        <v>3.9579999999999567</v>
      </c>
      <c r="CB133" s="1439">
        <f t="shared" ca="1" si="52"/>
        <v>2.0130000000000545</v>
      </c>
      <c r="CC133" s="1439">
        <f t="shared" ca="1" si="53"/>
        <v>2.8870000000000364</v>
      </c>
      <c r="CD133" s="1439">
        <f t="shared" ca="1" si="54"/>
        <v>5.2199999999999989</v>
      </c>
      <c r="CE133" s="1439">
        <f ca="1">IF(B133&gt;=$J$5,0,CONTADORES!BS133-CONTADORES!BS132)</f>
        <v>5.4000000000005457</v>
      </c>
      <c r="CF133" s="1439">
        <f t="shared" ca="1" si="55"/>
        <v>5.2199999999999989</v>
      </c>
      <c r="CG133" s="1439">
        <f t="shared" ca="1" si="56"/>
        <v>1.2800000000000011</v>
      </c>
      <c r="CH133" s="1439">
        <f t="shared" ca="1" si="57"/>
        <v>1.2800000000000011</v>
      </c>
      <c r="CI133" s="1439">
        <f t="shared" ca="1" si="58"/>
        <v>2.2090000000000014</v>
      </c>
      <c r="CJ133" s="1488">
        <f ca="1">IF($B133&gt;=$J$5,0,CONTADORES!$BG133)</f>
        <v>8966.2605874286655</v>
      </c>
      <c r="CK133" s="1406">
        <f>CONTADORES!E133</f>
        <v>0</v>
      </c>
      <c r="CL133" s="1406">
        <f>CONTADORES!BX133</f>
        <v>0</v>
      </c>
    </row>
    <row r="134" spans="2:90">
      <c r="B134" s="410">
        <v>45050</v>
      </c>
      <c r="C134" s="204">
        <f t="shared" ca="1" si="33"/>
        <v>295</v>
      </c>
      <c r="D134" s="202">
        <f ca="1">'CALCULO DE GAS'!D143</f>
        <v>5.1223277857992411</v>
      </c>
      <c r="E134" s="202">
        <f ca="1">IF(B134&gt;=$J$5,0,(CONTADORES!$AB134-CONTADORES!$AB133)-$H134)</f>
        <v>24</v>
      </c>
      <c r="F134" s="204">
        <f t="shared" ca="1" si="63"/>
        <v>0</v>
      </c>
      <c r="G134" s="202">
        <f ca="1">IF(B134&gt;=$J$5,0,CONTADORES!$AD134-CONTADORES!$AD133)</f>
        <v>0</v>
      </c>
      <c r="H134" s="202">
        <f ca="1">IF(G134&gt;0,CONTADORES!$AC134-CONTADORES!$AC133,0)</f>
        <v>0</v>
      </c>
      <c r="I134" s="205">
        <f ca="1">IF(B134&gt;=$J$5,0,CONTADORES!$Z134-CONTADORES!$Z133)</f>
        <v>295</v>
      </c>
      <c r="J134" s="204">
        <f t="shared" ca="1" si="34"/>
        <v>150</v>
      </c>
      <c r="K134" s="202">
        <f ca="1">'CALCULO DE GAS'!E143</f>
        <v>3.8816879190057101</v>
      </c>
      <c r="L134" s="1437">
        <f ca="1">IF(B134&gt;=$J$5,0,(CONTADORES!$W134-CONTADORES!$W133)-$O134)</f>
        <v>24</v>
      </c>
      <c r="M134" s="1437">
        <f t="shared" ca="1" si="62"/>
        <v>0</v>
      </c>
      <c r="N134" s="1437">
        <f ca="1">IF(B134&gt;=$J$5,0,CONTADORES!$Y134-CONTADORES!$Y133)</f>
        <v>0</v>
      </c>
      <c r="O134" s="1437">
        <f ca="1">IF(N134&gt;0,CONTADORES!$X134-CONTADORES!$X133,0)</f>
        <v>0</v>
      </c>
      <c r="P134" s="208">
        <f ca="1">IF(B134&gt;=$J$5,0,CONTADORES!$U134-CONTADORES!$U133)</f>
        <v>150</v>
      </c>
      <c r="Q134" s="208">
        <f ca="1">IF(B134&gt;=$J$5,0,CONTADORES!$B134-CONTADORES!$B133)</f>
        <v>0</v>
      </c>
      <c r="R134" s="202">
        <f t="shared" ca="1" si="35"/>
        <v>0</v>
      </c>
      <c r="S134" s="11">
        <f ca="1">IF(B134&gt;=$J$5,0,CONTADORES!$D134-CONTADORES!$D133)</f>
        <v>0</v>
      </c>
      <c r="T134" s="204">
        <f ca="1">IF(B134&gt;=$J$5,0,CONTADORES!$AZ134-CONTADORES!$AZ133)</f>
        <v>0</v>
      </c>
      <c r="U134" s="202">
        <f t="shared" ca="1" si="61"/>
        <v>0</v>
      </c>
      <c r="V134" s="205">
        <f ca="1">IF(B134&gt;=$J$5,0,CONTADORES!$BB134-CONTADORES!$BB133)</f>
        <v>0</v>
      </c>
      <c r="W134" s="1438">
        <f t="shared" ca="1" si="37"/>
        <v>445</v>
      </c>
      <c r="X134" s="1438">
        <f t="shared" ca="1" si="38"/>
        <v>0</v>
      </c>
      <c r="Y134" s="1439">
        <f t="shared" ca="1" si="39"/>
        <v>445</v>
      </c>
      <c r="Z134" s="1439">
        <f t="shared" ca="1" si="40"/>
        <v>9.0040157048049512</v>
      </c>
      <c r="AA134" s="1439">
        <f t="shared" ca="1" si="41"/>
        <v>0</v>
      </c>
      <c r="AB134" s="1439">
        <f t="shared" ca="1" si="42"/>
        <v>48</v>
      </c>
      <c r="AC134" s="1438">
        <f t="shared" ca="1" si="43"/>
        <v>0</v>
      </c>
      <c r="AD134" s="1438">
        <f ca="1">IF(B134&gt;=$J$5,0,CONTADORES!H134-CONTADORES!H133)</f>
        <v>165.40000000000009</v>
      </c>
      <c r="AE134" s="1439">
        <f ca="1">IF(B134&gt;=$J$5,0,CONTADORES!J134-CONTADORES!J133)</f>
        <v>24</v>
      </c>
      <c r="AF134" s="1438">
        <f ca="1">IF(B134&gt;=$J$5,0,CONTADORES!AS134-CONTADORES!AS133)</f>
        <v>154</v>
      </c>
      <c r="AG134" s="1439">
        <f ca="1">IF(B134&gt;=$J$5,0,CONTADORES!AU134-CONTADORES!AU133)</f>
        <v>24</v>
      </c>
      <c r="AH134" s="1439">
        <f ca="1">IF(B134&gt;=$J$5,0,(CONTADORES!AK134-CONTADORES!AK133)+(CONTADORES!K134-CONTADORES!K133))</f>
        <v>7.2999999999956344</v>
      </c>
      <c r="AI134" s="1438">
        <f ca="1">IF(B134&gt;=$J$5,0,(CONTADORES!AI134-CONTADORES!AI133)+(CONTADORES!M134-CONTADORES!M133))</f>
        <v>38.599999999991269</v>
      </c>
      <c r="AJ134" s="1438">
        <f ca="1">IF(B134&gt;=$J$5,0,(CONTADORES!AG134-CONTADORES!AG133))</f>
        <v>4.8000000000029104</v>
      </c>
      <c r="AK134" s="1438">
        <f ca="1">IF(B134&gt;=$J$5,0,(CONTADORES!O134-CONTADORES!O133))</f>
        <v>12.700000000011642</v>
      </c>
      <c r="AL134" s="1439">
        <f t="shared" ca="1" si="44"/>
        <v>34.099999999999966</v>
      </c>
      <c r="AM134" s="1438">
        <f ca="1">IF(B134&gt;=$J$5,0,(((CONTADORES!F134-CONTADORES!F133)+(CONTADORES!AO134-CONTADORES!AO133))))-BJ134-AF134-AN134-BM134-BP134-BU134-BS134</f>
        <v>5.9519999999990141</v>
      </c>
      <c r="AN134" s="1438">
        <f ca="1">IF(B134&gt;=$J$5,0,(CONTADORES!AV134-CONTADORES!AV133)+(CONTADORES!AX134-CONTADORES!AX133)+(CONTADORES!BC134-CONTADORES!BC133))-BS134</f>
        <v>3.863999999999908</v>
      </c>
      <c r="AO134" s="1438">
        <f ca="1">IF(B134&gt;=$J$5,0,(CONTADORES!AA134-CONTADORES!AA133))</f>
        <v>148</v>
      </c>
      <c r="AP134" s="1438">
        <f ca="1">IF(B134&gt;=$J$5,0,(CONTADORES!V134-CONTADORES!V133))</f>
        <v>74</v>
      </c>
      <c r="AQ134" s="1438">
        <f ca="1">IF(B134&gt;=$J$5,0,(CONTADORES!C134-CONTADORES!C133))</f>
        <v>0</v>
      </c>
      <c r="AR134" s="1438">
        <f ca="1">IF(B134&gt;=$J$5,0,(CONTADORES!BA134-CONTADORES!BA133))</f>
        <v>0</v>
      </c>
      <c r="AS134" s="1438">
        <f ca="1">IF(B134&gt;=$J$5,0,CONTADORES!Q134-CONTADORES!Q133)</f>
        <v>14.099999999976717</v>
      </c>
      <c r="AT134" s="1438">
        <f ca="1">IF(B134&gt;=$J$5,0,(CONTADORES!S134-CONTADORES!S133)+(CONTADORES!AE134-CONTADORES!AE133))</f>
        <v>2.5</v>
      </c>
      <c r="AU134" s="1438">
        <f ca="1">IF(B134&gt;=$J$5,0,(CONTADORES!I134-CONTADORES!I133))</f>
        <v>83.5</v>
      </c>
      <c r="AV134" s="1438">
        <f ca="1">IF(B134&gt;=$J$5,0,(CONTADORES!AT134-CONTADORES!AT133))</f>
        <v>66</v>
      </c>
      <c r="AW134" s="1438">
        <f ca="1">IF(B134&gt;=$J$5,0,(CONTADORES!L134-CONTADORES!L133)+(CONTADORES!AL134-CONTADORES!AL133))</f>
        <v>2.7999999999992724</v>
      </c>
      <c r="AX134" s="1438">
        <f ca="1">IF(B134&gt;=$J$5,0,(CONTADORES!N134-CONTADORES!N133)+(CONTADORES!AJ134-CONTADORES!AJ133))</f>
        <v>32.69999999999709</v>
      </c>
      <c r="AY134" s="1438">
        <f ca="1">IF(B134&gt;=$J$5,0,(CONTADORES!AH134-CONTADORES!AH133))</f>
        <v>3.5</v>
      </c>
      <c r="AZ134" s="1438">
        <f ca="1">IF(B134&gt;=$J$5,0,(CONTADORES!P134-CONTADORES!P133))</f>
        <v>10.19999999999709</v>
      </c>
      <c r="BA134" s="1439">
        <f t="shared" ca="1" si="45"/>
        <v>3.0960000000061996</v>
      </c>
      <c r="BB134" s="1438">
        <f ca="1">IF(B134&gt;=$J$5,0,(((CONTADORES!G134-CONTADORES!G133)+(CONTADORES!AP134-CONTADORES!AP133)+AR134)-(AV134+BC134)))</f>
        <v>10.060000000000372</v>
      </c>
      <c r="BC134" s="1438">
        <f ca="1">IF(B134&gt;=$J$5,0,(CONTADORES!AW134-CONTADORES!AW133)+(CONTADORES!AY134-CONTADORES!AY133)+(CONTADORES!BD134-CONTADORES!BD133))</f>
        <v>2.039999999999992</v>
      </c>
      <c r="BD134" s="1438">
        <f t="shared" ca="1" si="46"/>
        <v>222</v>
      </c>
      <c r="BE134" s="1439">
        <f ca="1">IF($B134&gt;=$J$5,0,CONTADORES!$BE134)</f>
        <v>6067.45</v>
      </c>
      <c r="BF134" s="1438">
        <f ca="1">IF($B134&gt;=$J$5,0,CONTADORES!$BF134)</f>
        <v>31565.14736842105</v>
      </c>
      <c r="BG134" s="1438">
        <f ca="1">IF($B134&gt;=$J$5,0,CONTADORES!$BH134)</f>
        <v>6754.2100000000009</v>
      </c>
      <c r="BH134" s="1438">
        <f ca="1">IF(B134&gt;=$J$5,0,(CONTADORES!AQ134-CONTADORES!AQ133))</f>
        <v>5.4000000000014552</v>
      </c>
      <c r="BI134" s="1438">
        <f ca="1">IF(B134&gt;=$J$5,0,(CONTADORES!AR134-CONTADORES!AR133))</f>
        <v>0</v>
      </c>
      <c r="BJ134" s="1439">
        <f ca="1">IF(B134&gt;=$J$5,0,CONTADORES!BI134-CONTADORES!BI133)/1000</f>
        <v>2.64</v>
      </c>
      <c r="BK134" s="1439">
        <f ca="1">IF(B134&gt;=$J$5,0,CONTADORES!BJ134-CONTADORES!BJ133)</f>
        <v>1</v>
      </c>
      <c r="BL134" s="1439">
        <f ca="1">IF(B134&gt;=$J$5,0,CONTADORES!BK134-CONTADORES!BK133)</f>
        <v>24</v>
      </c>
      <c r="BM134" s="1439">
        <f ca="1">IF(B134&gt;=$J$5,0,CONTADORES!BL134-CONTADORES!BL133)/1000</f>
        <v>0</v>
      </c>
      <c r="BN134" s="1439">
        <f ca="1">IF(B134&gt;=$J$5,0,CONTADORES!BM134-CONTADORES!BM133)/1000</f>
        <v>0</v>
      </c>
      <c r="BO134" s="1439">
        <f ca="1">IF(B134&gt;=$J$5,0,CONTADORES!BN134-CONTADORES!BN133)</f>
        <v>0</v>
      </c>
      <c r="BP134" s="1439">
        <f ca="1">IF(B134&gt;=$J$5,0,CONTADORES!BO134-CONTADORES!BO133)/1000</f>
        <v>5.2880000000000003</v>
      </c>
      <c r="BQ134" s="1439">
        <f ca="1">IF(B134&gt;=$J$5,0,CONTADORES!BP134-CONTADORES!BP133)/1000</f>
        <v>0.751</v>
      </c>
      <c r="BR134" s="1439">
        <f ca="1">IF(B134&gt;=$J$5,0,CONTADORES!BQ134-CONTADORES!BQ133)</f>
        <v>24</v>
      </c>
      <c r="BS134" s="1439">
        <f ca="1">IF(B134&gt;=$J$5,0,(CONTADORES!BT134-CONTADORES!BT133)+(CONTADORES!BV134-CONTADORES!BV133))/1000</f>
        <v>1.456</v>
      </c>
      <c r="BT134" s="1439">
        <f ca="1">IF(B134&gt;=$J$5,0,(CONTADORES!BU134-CONTADORES!BU133)+(CONTADORES!BW134-CONTADORES!BW133))/1000</f>
        <v>0.85299999999999998</v>
      </c>
      <c r="BU134" s="1439">
        <f ca="1">IF(B134&gt;=$J$5,0,CONTADORES!BR134-CONTADORES!BR133)</f>
        <v>8.8999999999996362</v>
      </c>
      <c r="BV134" s="1439">
        <f ca="1">IF(B134&gt;=$J$5,0,CONTADORES!BS134-CONTADORES!BS133)</f>
        <v>5.5</v>
      </c>
      <c r="BW134" s="1439">
        <f t="shared" ca="1" si="47"/>
        <v>11.875999999999143</v>
      </c>
      <c r="BX134" s="1439">
        <f t="shared" ca="1" si="48"/>
        <v>10.530000000000186</v>
      </c>
      <c r="BY134" s="1439">
        <f t="shared" ca="1" si="49"/>
        <v>2.975999999999507</v>
      </c>
      <c r="BZ134" s="1439">
        <f t="shared" ca="1" si="50"/>
        <v>1.5455999999999632</v>
      </c>
      <c r="CA134" s="1439">
        <f t="shared" ca="1" si="51"/>
        <v>2.975999999999507</v>
      </c>
      <c r="CB134" s="1439">
        <f t="shared" ca="1" si="52"/>
        <v>2.3183999999999445</v>
      </c>
      <c r="CC134" s="1439">
        <f t="shared" ca="1" si="53"/>
        <v>3.0015999999999634</v>
      </c>
      <c r="CD134" s="1439">
        <f t="shared" ca="1" si="54"/>
        <v>5.0300000000001859</v>
      </c>
      <c r="CE134" s="1439">
        <f ca="1">IF(B134&gt;=$J$5,0,CONTADORES!BS134-CONTADORES!BS133)</f>
        <v>5.5</v>
      </c>
      <c r="CF134" s="1439">
        <f t="shared" ca="1" si="55"/>
        <v>5.0300000000001859</v>
      </c>
      <c r="CG134" s="1439">
        <f t="shared" ca="1" si="56"/>
        <v>1.019999999999996</v>
      </c>
      <c r="CH134" s="1439">
        <f t="shared" ca="1" si="57"/>
        <v>1.019999999999996</v>
      </c>
      <c r="CI134" s="1439">
        <f t="shared" ca="1" si="58"/>
        <v>1.872999999999996</v>
      </c>
      <c r="CJ134" s="1488">
        <f ca="1">IF($B134&gt;=$J$5,0,CONTADORES!$BG134)</f>
        <v>11404.249954931394</v>
      </c>
      <c r="CK134" s="1406">
        <f>CONTADORES!E134</f>
        <v>0</v>
      </c>
      <c r="CL134" s="1406">
        <f>CONTADORES!BX134</f>
        <v>0</v>
      </c>
    </row>
    <row r="135" spans="2:90">
      <c r="B135" s="410">
        <v>45051</v>
      </c>
      <c r="C135" s="204">
        <f t="shared" ca="1" si="33"/>
        <v>314</v>
      </c>
      <c r="D135" s="202">
        <f ca="1">'CALCULO DE GAS'!D144</f>
        <v>5.2848943890342559</v>
      </c>
      <c r="E135" s="202">
        <f ca="1">IF(B135&gt;=$J$5,0,(CONTADORES!$AB135-CONTADORES!$AB134)-$H135)</f>
        <v>24</v>
      </c>
      <c r="F135" s="204">
        <f t="shared" ca="1" si="63"/>
        <v>0</v>
      </c>
      <c r="G135" s="202">
        <f ca="1">IF(B135&gt;=$J$5,0,CONTADORES!$AD135-CONTADORES!$AD134)</f>
        <v>0</v>
      </c>
      <c r="H135" s="202">
        <f ca="1">IF(G135&gt;0,CONTADORES!$AC135-CONTADORES!$AC134,0)</f>
        <v>0</v>
      </c>
      <c r="I135" s="205">
        <f ca="1">IF(B135&gt;=$J$5,0,CONTADORES!$Z135-CONTADORES!$Z134)</f>
        <v>314</v>
      </c>
      <c r="J135" s="204">
        <f t="shared" ca="1" si="34"/>
        <v>148</v>
      </c>
      <c r="K135" s="202">
        <f ca="1">'CALCULO DE GAS'!E144</f>
        <v>3.8645756449809716</v>
      </c>
      <c r="L135" s="1437">
        <f ca="1">IF(B135&gt;=$J$5,0,(CONTADORES!$W135-CONTADORES!$W134)-$O135)</f>
        <v>24</v>
      </c>
      <c r="M135" s="1437">
        <f t="shared" ca="1" si="62"/>
        <v>0</v>
      </c>
      <c r="N135" s="1437">
        <f ca="1">IF(B135&gt;=$J$5,0,CONTADORES!$Y135-CONTADORES!$Y134)</f>
        <v>0</v>
      </c>
      <c r="O135" s="1437">
        <f ca="1">IF(N135&gt;0,CONTADORES!$X135-CONTADORES!$X134,0)</f>
        <v>0</v>
      </c>
      <c r="P135" s="208">
        <f ca="1">IF(B135&gt;=$J$5,0,CONTADORES!$U135-CONTADORES!$U134)</f>
        <v>148</v>
      </c>
      <c r="Q135" s="208">
        <f ca="1">IF(B135&gt;=$J$5,0,CONTADORES!$B135-CONTADORES!$B134)</f>
        <v>0</v>
      </c>
      <c r="R135" s="202">
        <f t="shared" ca="1" si="35"/>
        <v>0</v>
      </c>
      <c r="S135" s="11">
        <f ca="1">IF(B135&gt;=$J$5,0,CONTADORES!$D135-CONTADORES!$D134)</f>
        <v>0</v>
      </c>
      <c r="T135" s="204">
        <f ca="1">IF(B135&gt;=$J$5,0,CONTADORES!$AZ135-CONTADORES!$AZ134)</f>
        <v>0</v>
      </c>
      <c r="U135" s="202">
        <f t="shared" ca="1" si="61"/>
        <v>0</v>
      </c>
      <c r="V135" s="205">
        <f ca="1">IF(B135&gt;=$J$5,0,CONTADORES!$BB135-CONTADORES!$BB134)</f>
        <v>0</v>
      </c>
      <c r="W135" s="1438">
        <f t="shared" ca="1" si="37"/>
        <v>462</v>
      </c>
      <c r="X135" s="1438">
        <f t="shared" ca="1" si="38"/>
        <v>0</v>
      </c>
      <c r="Y135" s="1439">
        <f t="shared" ca="1" si="39"/>
        <v>462</v>
      </c>
      <c r="Z135" s="1439">
        <f t="shared" ca="1" si="40"/>
        <v>9.1494700340152271</v>
      </c>
      <c r="AA135" s="1439">
        <f t="shared" ca="1" si="41"/>
        <v>0</v>
      </c>
      <c r="AB135" s="1439">
        <f t="shared" ca="1" si="42"/>
        <v>48</v>
      </c>
      <c r="AC135" s="1438">
        <f t="shared" ca="1" si="43"/>
        <v>0</v>
      </c>
      <c r="AD135" s="1438">
        <f ca="1">IF(B135&gt;=$J$5,0,CONTADORES!H135-CONTADORES!H134)</f>
        <v>164</v>
      </c>
      <c r="AE135" s="1439">
        <f ca="1">IF(B135&gt;=$J$5,0,CONTADORES!J135-CONTADORES!J134)</f>
        <v>24</v>
      </c>
      <c r="AF135" s="1438">
        <f ca="1">IF(B135&gt;=$J$5,0,CONTADORES!AS135-CONTADORES!AS134)</f>
        <v>152</v>
      </c>
      <c r="AG135" s="1439">
        <f ca="1">IF(B135&gt;=$J$5,0,CONTADORES!AU135-CONTADORES!AU134)</f>
        <v>24</v>
      </c>
      <c r="AH135" s="1439">
        <f ca="1">IF(B135&gt;=$J$5,0,(CONTADORES!AK135-CONTADORES!AK134)+(CONTADORES!K135-CONTADORES!K134))</f>
        <v>20.100000000005821</v>
      </c>
      <c r="AI135" s="1438">
        <f ca="1">IF(B135&gt;=$J$5,0,(CONTADORES!AI135-CONTADORES!AI134)+(CONTADORES!M135-CONTADORES!M134))</f>
        <v>38.80000000000291</v>
      </c>
      <c r="AJ135" s="1438">
        <f ca="1">IF(B135&gt;=$J$5,0,(CONTADORES!AG135-CONTADORES!AG134))</f>
        <v>8.0999999999912689</v>
      </c>
      <c r="AK135" s="1438">
        <f ca="1">IF(B135&gt;=$J$5,0,(CONTADORES!O135-CONTADORES!O134))</f>
        <v>15.099999999976717</v>
      </c>
      <c r="AL135" s="1439">
        <f t="shared" ca="1" si="44"/>
        <v>34.90000000002334</v>
      </c>
      <c r="AM135" s="1438">
        <f ca="1">IF(B135&gt;=$J$5,0,(((CONTADORES!F135-CONTADORES!F134)+(CONTADORES!AO135-CONTADORES!AO134))))-BJ135-AF135-AN135-BM135-BP135-BU135-BS135</f>
        <v>6.8239999999996446</v>
      </c>
      <c r="AN135" s="1438">
        <f ca="1">IF(B135&gt;=$J$5,0,(CONTADORES!AV135-CONTADORES!AV134)+(CONTADORES!AX135-CONTADORES!AX134)+(CONTADORES!BC135-CONTADORES!BC134))-BS135</f>
        <v>3.5610000000003641</v>
      </c>
      <c r="AO135" s="1438">
        <f ca="1">IF(B135&gt;=$J$5,0,(CONTADORES!AA135-CONTADORES!AA134))</f>
        <v>152</v>
      </c>
      <c r="AP135" s="1438">
        <f ca="1">IF(B135&gt;=$J$5,0,(CONTADORES!V135-CONTADORES!V134))</f>
        <v>79</v>
      </c>
      <c r="AQ135" s="1438">
        <f ca="1">IF(B135&gt;=$J$5,0,(CONTADORES!C135-CONTADORES!C134))</f>
        <v>0</v>
      </c>
      <c r="AR135" s="1438">
        <f ca="1">IF(B135&gt;=$J$5,0,(CONTADORES!BA135-CONTADORES!BA134))</f>
        <v>0</v>
      </c>
      <c r="AS135" s="1438">
        <f ca="1">IF(B135&gt;=$J$5,0,CONTADORES!Q135-CONTADORES!Q134)</f>
        <v>14.700000000011642</v>
      </c>
      <c r="AT135" s="1438">
        <f ca="1">IF(B135&gt;=$J$5,0,(CONTADORES!S135-CONTADORES!S134)+(CONTADORES!AE135-CONTADORES!AE134))</f>
        <v>2.4000000000014552</v>
      </c>
      <c r="AU135" s="1438">
        <f ca="1">IF(B135&gt;=$J$5,0,(CONTADORES!I135-CONTADORES!I134))</f>
        <v>83</v>
      </c>
      <c r="AV135" s="1438">
        <f ca="1">IF(B135&gt;=$J$5,0,(CONTADORES!AT135-CONTADORES!AT134))</f>
        <v>66</v>
      </c>
      <c r="AW135" s="1438">
        <f ca="1">IF(B135&gt;=$J$5,0,(CONTADORES!L135-CONTADORES!L134)+(CONTADORES!AL135-CONTADORES!AL134))</f>
        <v>8</v>
      </c>
      <c r="AX135" s="1438">
        <f ca="1">IF(B135&gt;=$J$5,0,(CONTADORES!N135-CONTADORES!N134)+(CONTADORES!AJ135-CONTADORES!AJ134))</f>
        <v>32.900000000001455</v>
      </c>
      <c r="AY135" s="1438">
        <f ca="1">IF(B135&gt;=$J$5,0,(CONTADORES!AH135-CONTADORES!AH134))</f>
        <v>6.1000000000058208</v>
      </c>
      <c r="AZ135" s="1438">
        <f ca="1">IF(B135&gt;=$J$5,0,(CONTADORES!P135-CONTADORES!P134))</f>
        <v>11.80000000000291</v>
      </c>
      <c r="BA135" s="1439">
        <f t="shared" ca="1" si="45"/>
        <v>2.6359999999905313</v>
      </c>
      <c r="BB135" s="1438">
        <f ca="1">IF(B135&gt;=$J$5,0,(((CONTADORES!G135-CONTADORES!G134)+(CONTADORES!AP135-CONTADORES!AP134)+AR135)-(AV135+BC135)))</f>
        <v>9.7899999999997362</v>
      </c>
      <c r="BC135" s="1438">
        <f ca="1">IF(B135&gt;=$J$5,0,(CONTADORES!AW135-CONTADORES!AW134)+(CONTADORES!AY135-CONTADORES!AY134)+(CONTADORES!BD135-CONTADORES!BD134))</f>
        <v>2.4100000000000819</v>
      </c>
      <c r="BD135" s="1438">
        <f t="shared" ca="1" si="46"/>
        <v>231</v>
      </c>
      <c r="BE135" s="1439">
        <f ca="1">IF($B135&gt;=$J$5,0,CONTADORES!$BE135)</f>
        <v>6089.87</v>
      </c>
      <c r="BF135" s="1438">
        <f ca="1">IF($B135&gt;=$J$5,0,CONTADORES!$BF135)</f>
        <v>30634.694736842099</v>
      </c>
      <c r="BG135" s="1438">
        <f ca="1">IF($B135&gt;=$J$5,0,CONTADORES!$BH135)</f>
        <v>6586.1699999999992</v>
      </c>
      <c r="BH135" s="1438">
        <f ca="1">IF(B135&gt;=$J$5,0,(CONTADORES!AQ135-CONTADORES!AQ134))</f>
        <v>5</v>
      </c>
      <c r="BI135" s="1438">
        <f ca="1">IF(B135&gt;=$J$5,0,(CONTADORES!AR135-CONTADORES!AR134))</f>
        <v>0</v>
      </c>
      <c r="BJ135" s="1439">
        <f ca="1">IF(B135&gt;=$J$5,0,CONTADORES!BI135-CONTADORES!BI134)/1000</f>
        <v>2.8079999999999998</v>
      </c>
      <c r="BK135" s="1439">
        <f ca="1">IF(B135&gt;=$J$5,0,CONTADORES!BJ135-CONTADORES!BJ134)</f>
        <v>1</v>
      </c>
      <c r="BL135" s="1439">
        <f ca="1">IF(B135&gt;=$J$5,0,CONTADORES!BK135-CONTADORES!BK134)</f>
        <v>24</v>
      </c>
      <c r="BM135" s="1439">
        <f ca="1">IF(B135&gt;=$J$5,0,CONTADORES!BL135-CONTADORES!BL134)/1000</f>
        <v>0</v>
      </c>
      <c r="BN135" s="1439">
        <f ca="1">IF(B135&gt;=$J$5,0,CONTADORES!BM135-CONTADORES!BM134)/1000</f>
        <v>0</v>
      </c>
      <c r="BO135" s="1439">
        <f ca="1">IF(B135&gt;=$J$5,0,CONTADORES!BN135-CONTADORES!BN134)</f>
        <v>0</v>
      </c>
      <c r="BP135" s="1439">
        <f ca="1">IF(B135&gt;=$J$5,0,CONTADORES!BO135-CONTADORES!BO134)/1000</f>
        <v>5.2679999999999998</v>
      </c>
      <c r="BQ135" s="1439">
        <f ca="1">IF(B135&gt;=$J$5,0,CONTADORES!BP135-CONTADORES!BP134)/1000</f>
        <v>0.82799999999999996</v>
      </c>
      <c r="BR135" s="1439">
        <f ca="1">IF(B135&gt;=$J$5,0,CONTADORES!BQ135-CONTADORES!BQ134)</f>
        <v>24</v>
      </c>
      <c r="BS135" s="1439">
        <f ca="1">IF(B135&gt;=$J$5,0,(CONTADORES!BT135-CONTADORES!BT134)+(CONTADORES!BV135-CONTADORES!BV134))/1000</f>
        <v>1.5389999999999999</v>
      </c>
      <c r="BT135" s="1439">
        <f ca="1">IF(B135&gt;=$J$5,0,(CONTADORES!BU135-CONTADORES!BU134)+(CONTADORES!BW135-CONTADORES!BW134))/1000</f>
        <v>0.93600000000000005</v>
      </c>
      <c r="BU135" s="1439">
        <f ca="1">IF(B135&gt;=$J$5,0,CONTADORES!BR135-CONTADORES!BR134)</f>
        <v>9</v>
      </c>
      <c r="BV135" s="1439">
        <f ca="1">IF(B135&gt;=$J$5,0,CONTADORES!BS135-CONTADORES!BS134)</f>
        <v>5.5999999999994543</v>
      </c>
      <c r="BW135" s="1439">
        <f t="shared" ca="1" si="47"/>
        <v>12.411999999999821</v>
      </c>
      <c r="BX135" s="1439">
        <f t="shared" ca="1" si="48"/>
        <v>10.494999999999322</v>
      </c>
      <c r="BY135" s="1439">
        <f t="shared" ca="1" si="49"/>
        <v>3.4119999999998223</v>
      </c>
      <c r="BZ135" s="1439">
        <f t="shared" ca="1" si="50"/>
        <v>1.4244000000001458</v>
      </c>
      <c r="CA135" s="1439">
        <f t="shared" ca="1" si="51"/>
        <v>3.4119999999998223</v>
      </c>
      <c r="CB135" s="1439">
        <f t="shared" ca="1" si="52"/>
        <v>2.1366000000002181</v>
      </c>
      <c r="CC135" s="1439">
        <f t="shared" ca="1" si="53"/>
        <v>2.9634000000001457</v>
      </c>
      <c r="CD135" s="1439">
        <f t="shared" ca="1" si="54"/>
        <v>4.8949999999998681</v>
      </c>
      <c r="CE135" s="1439">
        <f ca="1">IF(B135&gt;=$J$5,0,CONTADORES!BS135-CONTADORES!BS134)</f>
        <v>5.5999999999994543</v>
      </c>
      <c r="CF135" s="1439">
        <f t="shared" ca="1" si="55"/>
        <v>4.8949999999998681</v>
      </c>
      <c r="CG135" s="1439">
        <f t="shared" ca="1" si="56"/>
        <v>1.2050000000000409</v>
      </c>
      <c r="CH135" s="1439">
        <f t="shared" ca="1" si="57"/>
        <v>1.2050000000000409</v>
      </c>
      <c r="CI135" s="1439">
        <f t="shared" ca="1" si="58"/>
        <v>2.1410000000000409</v>
      </c>
      <c r="CJ135" s="1488">
        <f ca="1">IF($B135&gt;=$J$5,0,CONTADORES!$BG135)</f>
        <v>9095.0709682805682</v>
      </c>
      <c r="CK135" s="1406">
        <f>CONTADORES!E135</f>
        <v>0</v>
      </c>
      <c r="CL135" s="1406">
        <f>CONTADORES!BX135</f>
        <v>0</v>
      </c>
    </row>
    <row r="136" spans="2:90">
      <c r="B136" s="410">
        <v>45052</v>
      </c>
      <c r="C136" s="204">
        <f t="shared" ca="1" si="33"/>
        <v>216</v>
      </c>
      <c r="D136" s="202">
        <f ca="1">'CALCULO DE GAS'!D145</f>
        <v>4.4463929618220757</v>
      </c>
      <c r="E136" s="202">
        <f ca="1">IF(B136&gt;=$J$5,0,(CONTADORES!$AB136-CONTADORES!$AB135)-$H136)</f>
        <v>24</v>
      </c>
      <c r="F136" s="204">
        <f t="shared" ca="1" si="63"/>
        <v>0</v>
      </c>
      <c r="G136" s="202">
        <f ca="1">IF(B136&gt;=$J$5,0,CONTADORES!$AD136-CONTADORES!$AD135)</f>
        <v>0</v>
      </c>
      <c r="H136" s="202">
        <f ca="1">IF(G136&gt;0,CONTADORES!$AC136-CONTADORES!$AC135,0)</f>
        <v>0</v>
      </c>
      <c r="I136" s="205">
        <f ca="1">IF(B136&gt;=$J$5,0,CONTADORES!$Z136-CONTADORES!$Z135)</f>
        <v>216</v>
      </c>
      <c r="J136" s="204">
        <f t="shared" ca="1" si="34"/>
        <v>238</v>
      </c>
      <c r="K136" s="202">
        <f ca="1">'CALCULO DE GAS'!E145</f>
        <v>4.6346279760941975</v>
      </c>
      <c r="L136" s="1437">
        <f ca="1">IF(B136&gt;=$J$5,0,(CONTADORES!$W136-CONTADORES!$W135)-$O136)</f>
        <v>24</v>
      </c>
      <c r="M136" s="1437">
        <f t="shared" ca="1" si="62"/>
        <v>0</v>
      </c>
      <c r="N136" s="1437">
        <f ca="1">IF(B136&gt;=$J$5,0,CONTADORES!$Y136-CONTADORES!$Y135)</f>
        <v>0</v>
      </c>
      <c r="O136" s="1437">
        <f ca="1">IF(N136&gt;0,CONTADORES!$X136-CONTADORES!$X135,0)</f>
        <v>0</v>
      </c>
      <c r="P136" s="208">
        <f ca="1">IF(B136&gt;=$J$5,0,CONTADORES!$U136-CONTADORES!$U135)</f>
        <v>238</v>
      </c>
      <c r="Q136" s="208">
        <f ca="1">IF(B136&gt;=$J$5,0,CONTADORES!$B136-CONTADORES!$B135)</f>
        <v>0</v>
      </c>
      <c r="R136" s="202">
        <f t="shared" ca="1" si="35"/>
        <v>0</v>
      </c>
      <c r="S136" s="11">
        <f ca="1">IF(B136&gt;=$J$5,0,CONTADORES!$D136-CONTADORES!$D135)</f>
        <v>0</v>
      </c>
      <c r="T136" s="204">
        <f ca="1">IF(B136&gt;=$J$5,0,CONTADORES!$AZ136-CONTADORES!$AZ135)</f>
        <v>0</v>
      </c>
      <c r="U136" s="202">
        <f t="shared" ca="1" si="61"/>
        <v>0</v>
      </c>
      <c r="V136" s="205">
        <f ca="1">IF(B136&gt;=$J$5,0,CONTADORES!$BB136-CONTADORES!$BB135)</f>
        <v>0</v>
      </c>
      <c r="W136" s="1438">
        <f t="shared" ca="1" si="37"/>
        <v>454</v>
      </c>
      <c r="X136" s="1438">
        <f t="shared" ca="1" si="38"/>
        <v>0</v>
      </c>
      <c r="Y136" s="1439">
        <f t="shared" ca="1" si="39"/>
        <v>454</v>
      </c>
      <c r="Z136" s="1439">
        <f t="shared" ca="1" si="40"/>
        <v>9.0810209379162732</v>
      </c>
      <c r="AA136" s="1439">
        <f t="shared" ca="1" si="41"/>
        <v>0</v>
      </c>
      <c r="AB136" s="1439">
        <f t="shared" ca="1" si="42"/>
        <v>48</v>
      </c>
      <c r="AC136" s="1438">
        <f t="shared" ca="1" si="43"/>
        <v>0</v>
      </c>
      <c r="AD136" s="1438">
        <f ca="1">IF(B136&gt;=$J$5,0,CONTADORES!H136-CONTADORES!H135)</f>
        <v>165</v>
      </c>
      <c r="AE136" s="1439">
        <f ca="1">IF(B136&gt;=$J$5,0,CONTADORES!J136-CONTADORES!J135)</f>
        <v>24</v>
      </c>
      <c r="AF136" s="1438">
        <f ca="1">IF(B136&gt;=$J$5,0,CONTADORES!AS136-CONTADORES!AS135)</f>
        <v>152</v>
      </c>
      <c r="AG136" s="1439">
        <f ca="1">IF(B136&gt;=$J$5,0,CONTADORES!AU136-CONTADORES!AU135)</f>
        <v>24</v>
      </c>
      <c r="AH136" s="1439">
        <f ca="1">IF(B136&gt;=$J$5,0,(CONTADORES!AK136-CONTADORES!AK135)+(CONTADORES!K136-CONTADORES!K135))</f>
        <v>12.19999999999709</v>
      </c>
      <c r="AI136" s="1438">
        <f ca="1">IF(B136&gt;=$J$5,0,(CONTADORES!AI136-CONTADORES!AI135)+(CONTADORES!M136-CONTADORES!M135))</f>
        <v>40.5</v>
      </c>
      <c r="AJ136" s="1438">
        <f ca="1">IF(B136&gt;=$J$5,0,(CONTADORES!AG136-CONTADORES!AG135))</f>
        <v>7.8000000000029104</v>
      </c>
      <c r="AK136" s="1438">
        <f ca="1">IF(B136&gt;=$J$5,0,(CONTADORES!O136-CONTADORES!O135))</f>
        <v>13.5</v>
      </c>
      <c r="AL136" s="1439">
        <f t="shared" ca="1" si="44"/>
        <v>34</v>
      </c>
      <c r="AM136" s="1438">
        <f ca="1">IF(B136&gt;=$J$5,0,(((CONTADORES!F136-CONTADORES!F135)+(CONTADORES!AO136-CONTADORES!AO135))))-BJ136-AF136-AN136-BM136-BP136-BU136-BS136</f>
        <v>7.0479999999999929</v>
      </c>
      <c r="AN136" s="1438">
        <f ca="1">IF(B136&gt;=$J$5,0,(CONTADORES!AV136-CONTADORES!AV135)+(CONTADORES!AX136-CONTADORES!AX135)+(CONTADORES!BC136-CONTADORES!BC135))-BS136</f>
        <v>3.090000000000364</v>
      </c>
      <c r="AO136" s="1438">
        <f ca="1">IF(B136&gt;=$J$5,0,(CONTADORES!AA136-CONTADORES!AA135))</f>
        <v>112</v>
      </c>
      <c r="AP136" s="1438">
        <f ca="1">IF(B136&gt;=$J$5,0,(CONTADORES!V136-CONTADORES!V135))</f>
        <v>117</v>
      </c>
      <c r="AQ136" s="1438">
        <f ca="1">IF(B136&gt;=$J$5,0,(CONTADORES!C136-CONTADORES!C135))</f>
        <v>0</v>
      </c>
      <c r="AR136" s="1438">
        <f ca="1">IF(B136&gt;=$J$5,0,(CONTADORES!BA136-CONTADORES!BA135))</f>
        <v>0</v>
      </c>
      <c r="AS136" s="1438">
        <f ca="1">IF(B136&gt;=$J$5,0,CONTADORES!Q136-CONTADORES!Q135)</f>
        <v>14.399999999994179</v>
      </c>
      <c r="AT136" s="1438">
        <f ca="1">IF(B136&gt;=$J$5,0,(CONTADORES!S136-CONTADORES!S135)+(CONTADORES!AE136-CONTADORES!AE135))</f>
        <v>2.5999999999985448</v>
      </c>
      <c r="AU136" s="1438">
        <f ca="1">IF(B136&gt;=$J$5,0,(CONTADORES!I136-CONTADORES!I135))</f>
        <v>83</v>
      </c>
      <c r="AV136" s="1438">
        <f ca="1">IF(B136&gt;=$J$5,0,(CONTADORES!AT136-CONTADORES!AT135))</f>
        <v>66</v>
      </c>
      <c r="AW136" s="1438">
        <f ca="1">IF(B136&gt;=$J$5,0,(CONTADORES!L136-CONTADORES!L135)+(CONTADORES!AL136-CONTADORES!AL135))</f>
        <v>4.7999999999992724</v>
      </c>
      <c r="AX136" s="1438">
        <f ca="1">IF(B136&gt;=$J$5,0,(CONTADORES!N136-CONTADORES!N135)+(CONTADORES!AJ136-CONTADORES!AJ135))</f>
        <v>34.69999999999709</v>
      </c>
      <c r="AY136" s="1438">
        <f ca="1">IF(B136&gt;=$J$5,0,(CONTADORES!AH136-CONTADORES!AH135))</f>
        <v>5.8999999999941792</v>
      </c>
      <c r="AZ136" s="1438">
        <f ca="1">IF(B136&gt;=$J$5,0,(CONTADORES!P136-CONTADORES!P135))</f>
        <v>10.69999999999709</v>
      </c>
      <c r="BA136" s="1439">
        <f t="shared" ca="1" si="45"/>
        <v>3.4800000000125522</v>
      </c>
      <c r="BB136" s="1438">
        <f ca="1">IF(B136&gt;=$J$5,0,(((CONTADORES!G136-CONTADORES!G135)+(CONTADORES!AP136-CONTADORES!AP135)+AR136)-(AV136+BC136)))</f>
        <v>9.6999999999998181</v>
      </c>
      <c r="BC136" s="1438">
        <f ca="1">IF(B136&gt;=$J$5,0,(CONTADORES!AW136-CONTADORES!AW135)+(CONTADORES!AY136-CONTADORES!AY135)+(CONTADORES!BD136-CONTADORES!BD135))</f>
        <v>2.5</v>
      </c>
      <c r="BD136" s="1438">
        <f t="shared" ca="1" si="46"/>
        <v>229</v>
      </c>
      <c r="BE136" s="1439">
        <f ca="1">IF($B136&gt;=$J$5,0,CONTADORES!$BE136)</f>
        <v>5765.8899999999994</v>
      </c>
      <c r="BF136" s="1438">
        <f ca="1">IF($B136&gt;=$J$5,0,CONTADORES!$BF136)</f>
        <v>30284.508771929824</v>
      </c>
      <c r="BG136" s="1438">
        <f ca="1">IF($B136&gt;=$J$5,0,CONTADORES!$BH136)</f>
        <v>5880.92</v>
      </c>
      <c r="BH136" s="1438">
        <f ca="1">IF(B136&gt;=$J$5,0,(CONTADORES!AQ136-CONTADORES!AQ135))</f>
        <v>5</v>
      </c>
      <c r="BI136" s="1438">
        <f ca="1">IF(B136&gt;=$J$5,0,(CONTADORES!AR136-CONTADORES!AR135))</f>
        <v>0</v>
      </c>
      <c r="BJ136" s="1439">
        <f ca="1">IF(B136&gt;=$J$5,0,CONTADORES!BI136-CONTADORES!BI135)/1000</f>
        <v>3.12</v>
      </c>
      <c r="BK136" s="1439">
        <f ca="1">IF(B136&gt;=$J$5,0,CONTADORES!BJ136-CONTADORES!BJ135)</f>
        <v>1</v>
      </c>
      <c r="BL136" s="1439">
        <f ca="1">IF(B136&gt;=$J$5,0,CONTADORES!BK136-CONTADORES!BK135)</f>
        <v>24</v>
      </c>
      <c r="BM136" s="1439">
        <f ca="1">IF(B136&gt;=$J$5,0,CONTADORES!BL136-CONTADORES!BL135)/1000</f>
        <v>0</v>
      </c>
      <c r="BN136" s="1439">
        <f ca="1">IF(B136&gt;=$J$5,0,CONTADORES!BM136-CONTADORES!BM135)/1000</f>
        <v>0</v>
      </c>
      <c r="BO136" s="1439">
        <f ca="1">IF(B136&gt;=$J$5,0,CONTADORES!BN136-CONTADORES!BN135)</f>
        <v>0</v>
      </c>
      <c r="BP136" s="1439">
        <f ca="1">IF(B136&gt;=$J$5,0,CONTADORES!BO136-CONTADORES!BO135)/1000</f>
        <v>5.3319999999999999</v>
      </c>
      <c r="BQ136" s="1439">
        <f ca="1">IF(B136&gt;=$J$5,0,CONTADORES!BP136-CONTADORES!BP135)/1000</f>
        <v>0.79600000000000004</v>
      </c>
      <c r="BR136" s="1439">
        <f ca="1">IF(B136&gt;=$J$5,0,CONTADORES!BQ136-CONTADORES!BQ135)</f>
        <v>24</v>
      </c>
      <c r="BS136" s="1439">
        <f ca="1">IF(B136&gt;=$J$5,0,(CONTADORES!BT136-CONTADORES!BT135)+(CONTADORES!BV136-CONTADORES!BV135))/1000</f>
        <v>1.51</v>
      </c>
      <c r="BT136" s="1439">
        <f ca="1">IF(B136&gt;=$J$5,0,(CONTADORES!BU136-CONTADORES!BU135)+(CONTADORES!BW136-CONTADORES!BW135))/1000</f>
        <v>0.92400000000000004</v>
      </c>
      <c r="BU136" s="1439">
        <f ca="1">IF(B136&gt;=$J$5,0,CONTADORES!BR136-CONTADORES!BR135)</f>
        <v>8.8999999999996362</v>
      </c>
      <c r="BV136" s="1439">
        <f ca="1">IF(B136&gt;=$J$5,0,CONTADORES!BS136-CONTADORES!BS135)</f>
        <v>5.5</v>
      </c>
      <c r="BW136" s="1439">
        <f t="shared" ca="1" si="47"/>
        <v>12.423999999999634</v>
      </c>
      <c r="BX136" s="1439">
        <f t="shared" ca="1" si="48"/>
        <v>10.349999999999909</v>
      </c>
      <c r="BY136" s="1439">
        <f t="shared" ca="1" si="49"/>
        <v>3.5239999999999965</v>
      </c>
      <c r="BZ136" s="1439">
        <f t="shared" ca="1" si="50"/>
        <v>1.2360000000001456</v>
      </c>
      <c r="CA136" s="1439">
        <f t="shared" ca="1" si="51"/>
        <v>3.5239999999999965</v>
      </c>
      <c r="CB136" s="1439">
        <f t="shared" ca="1" si="52"/>
        <v>1.8540000000002184</v>
      </c>
      <c r="CC136" s="1439">
        <f t="shared" ca="1" si="53"/>
        <v>2.7460000000001457</v>
      </c>
      <c r="CD136" s="1439">
        <f t="shared" ca="1" si="54"/>
        <v>4.8499999999999091</v>
      </c>
      <c r="CE136" s="1439">
        <f ca="1">IF(B136&gt;=$J$5,0,CONTADORES!BS136-CONTADORES!BS135)</f>
        <v>5.5</v>
      </c>
      <c r="CF136" s="1439">
        <f t="shared" ca="1" si="55"/>
        <v>4.8499999999999091</v>
      </c>
      <c r="CG136" s="1439">
        <f t="shared" ca="1" si="56"/>
        <v>1.25</v>
      </c>
      <c r="CH136" s="1439">
        <f t="shared" ca="1" si="57"/>
        <v>1.25</v>
      </c>
      <c r="CI136" s="1439">
        <f t="shared" ca="1" si="58"/>
        <v>2.1739999999999999</v>
      </c>
      <c r="CJ136" s="1488">
        <f ca="1">IF($B136&gt;=$J$5,0,CONTADORES!$BG136)</f>
        <v>8715.8118260026677</v>
      </c>
      <c r="CK136" s="1406">
        <f>CONTADORES!E136</f>
        <v>0</v>
      </c>
      <c r="CL136" s="1406">
        <f>CONTADORES!BX136</f>
        <v>0</v>
      </c>
    </row>
    <row r="137" spans="2:90">
      <c r="B137" s="410">
        <v>45053</v>
      </c>
      <c r="C137" s="204">
        <f t="shared" ca="1" si="33"/>
        <v>149</v>
      </c>
      <c r="D137" s="202">
        <f ca="1">'CALCULO DE GAS'!D146</f>
        <v>3.8731317819933411</v>
      </c>
      <c r="E137" s="202">
        <f ca="1">IF(B137&gt;=$J$5,0,(CONTADORES!$AB137-CONTADORES!$AB136)-$H137)</f>
        <v>24</v>
      </c>
      <c r="F137" s="204">
        <f t="shared" ca="1" si="63"/>
        <v>0</v>
      </c>
      <c r="G137" s="202">
        <f ca="1">IF(B137&gt;=$J$5,0,CONTADORES!$AD137-CONTADORES!$AD136)</f>
        <v>0</v>
      </c>
      <c r="H137" s="202">
        <f ca="1">IF(G137&gt;0,CONTADORES!$AC137-CONTADORES!$AC136,0)</f>
        <v>0</v>
      </c>
      <c r="I137" s="205">
        <f ca="1">IF(B137&gt;=$J$5,0,CONTADORES!$Z137-CONTADORES!$Z136)</f>
        <v>149</v>
      </c>
      <c r="J137" s="204">
        <f t="shared" ca="1" si="34"/>
        <v>301</v>
      </c>
      <c r="K137" s="202">
        <f ca="1">'CALCULO DE GAS'!E146</f>
        <v>5.1736646078734561</v>
      </c>
      <c r="L137" s="1437">
        <f ca="1">IF(B137&gt;=$J$5,0,(CONTADORES!$W137-CONTADORES!$W136)-$O137)</f>
        <v>24</v>
      </c>
      <c r="M137" s="1437">
        <f t="shared" ca="1" si="62"/>
        <v>0</v>
      </c>
      <c r="N137" s="1437">
        <f ca="1">IF(B137&gt;=$J$5,0,CONTADORES!$Y137-CONTADORES!$Y136)</f>
        <v>0</v>
      </c>
      <c r="O137" s="1437">
        <f ca="1">IF(N137&gt;0,CONTADORES!$X137-CONTADORES!$X136,0)</f>
        <v>0</v>
      </c>
      <c r="P137" s="208">
        <f ca="1">IF(B137&gt;=$J$5,0,CONTADORES!$U137-CONTADORES!$U136)</f>
        <v>301</v>
      </c>
      <c r="Q137" s="208">
        <f ca="1">IF(B137&gt;=$J$5,0,CONTADORES!$B137-CONTADORES!$B136)</f>
        <v>0</v>
      </c>
      <c r="R137" s="202">
        <f t="shared" ca="1" si="35"/>
        <v>0</v>
      </c>
      <c r="S137" s="11">
        <f ca="1">IF(B137&gt;=$J$5,0,CONTADORES!$D137-CONTADORES!$D136)</f>
        <v>0</v>
      </c>
      <c r="T137" s="204">
        <f ca="1">IF(B137&gt;=$J$5,0,CONTADORES!$AZ137-CONTADORES!$AZ136)</f>
        <v>0</v>
      </c>
      <c r="U137" s="202">
        <f t="shared" ca="1" si="61"/>
        <v>0</v>
      </c>
      <c r="V137" s="205">
        <f ca="1">IF(B137&gt;=$J$5,0,CONTADORES!$BB137-CONTADORES!$BB136)</f>
        <v>0</v>
      </c>
      <c r="W137" s="1438">
        <f t="shared" ca="1" si="37"/>
        <v>450</v>
      </c>
      <c r="X137" s="1438">
        <f t="shared" ca="1" si="38"/>
        <v>0</v>
      </c>
      <c r="Y137" s="1439">
        <f t="shared" ca="1" si="39"/>
        <v>450</v>
      </c>
      <c r="Z137" s="1439">
        <f t="shared" ca="1" si="40"/>
        <v>9.0467963898667971</v>
      </c>
      <c r="AA137" s="1439">
        <f t="shared" ca="1" si="41"/>
        <v>0</v>
      </c>
      <c r="AB137" s="1439">
        <f t="shared" ca="1" si="42"/>
        <v>48</v>
      </c>
      <c r="AC137" s="1438">
        <f t="shared" ca="1" si="43"/>
        <v>0</v>
      </c>
      <c r="AD137" s="1438">
        <f ca="1">IF(B137&gt;=$J$5,0,CONTADORES!H137-CONTADORES!H136)</f>
        <v>168</v>
      </c>
      <c r="AE137" s="1439">
        <f ca="1">IF(B137&gt;=$J$5,0,CONTADORES!J137-CONTADORES!J136)</f>
        <v>24</v>
      </c>
      <c r="AF137" s="1438">
        <f ca="1">IF(B137&gt;=$J$5,0,CONTADORES!AS137-CONTADORES!AS136)</f>
        <v>152</v>
      </c>
      <c r="AG137" s="1439">
        <f ca="1">IF(B137&gt;=$J$5,0,CONTADORES!AU137-CONTADORES!AU136)</f>
        <v>23.999999999985448</v>
      </c>
      <c r="AH137" s="1439">
        <f ca="1">IF(B137&gt;=$J$5,0,(CONTADORES!AK137-CONTADORES!AK136)+(CONTADORES!K137-CONTADORES!K136))</f>
        <v>7.4000000000014552</v>
      </c>
      <c r="AI137" s="1438">
        <f ca="1">IF(B137&gt;=$J$5,0,(CONTADORES!AI137-CONTADORES!AI136)+(CONTADORES!M137-CONTADORES!M136))</f>
        <v>40.30000000000291</v>
      </c>
      <c r="AJ137" s="1438">
        <f ca="1">IF(B137&gt;=$J$5,0,(CONTADORES!AG137-CONTADORES!AG136))</f>
        <v>7.3000000000029104</v>
      </c>
      <c r="AK137" s="1438">
        <f ca="1">IF(B137&gt;=$J$5,0,(CONTADORES!O137-CONTADORES!O136))</f>
        <v>12.5</v>
      </c>
      <c r="AL137" s="1439">
        <f t="shared" ca="1" si="44"/>
        <v>32.499999999992781</v>
      </c>
      <c r="AM137" s="1438">
        <f ca="1">IF(B137&gt;=$J$5,0,(((CONTADORES!F137-CONTADORES!F136)+(CONTADORES!AO137-CONTADORES!AO136))))-BJ137-AF137-AN137-BM137-BP137-BU137-BS137</f>
        <v>9.1479999999989232</v>
      </c>
      <c r="AN137" s="1438">
        <f ca="1">IF(B137&gt;=$J$5,0,(CONTADORES!AV137-CONTADORES!AV136)+(CONTADORES!AX137-CONTADORES!AX136)+(CONTADORES!BC137-CONTADORES!BC136))-BS137</f>
        <v>2.5060000000000002</v>
      </c>
      <c r="AO137" s="1438">
        <f ca="1">IF(B137&gt;=$J$5,0,(CONTADORES!AA137-CONTADORES!AA136))</f>
        <v>73</v>
      </c>
      <c r="AP137" s="1438">
        <f ca="1">IF(B137&gt;=$J$5,0,(CONTADORES!V137-CONTADORES!V136))</f>
        <v>154</v>
      </c>
      <c r="AQ137" s="1438">
        <f ca="1">IF(B137&gt;=$J$5,0,(CONTADORES!C137-CONTADORES!C136))</f>
        <v>0</v>
      </c>
      <c r="AR137" s="1438">
        <f ca="1">IF(B137&gt;=$J$5,0,(CONTADORES!BA137-CONTADORES!BA136))</f>
        <v>0</v>
      </c>
      <c r="AS137" s="1438">
        <f ca="1">IF(B137&gt;=$J$5,0,CONTADORES!Q137-CONTADORES!Q136)</f>
        <v>13.899999999994179</v>
      </c>
      <c r="AT137" s="1438">
        <f ca="1">IF(B137&gt;=$J$5,0,(CONTADORES!S137-CONTADORES!S136)+(CONTADORES!AE137-CONTADORES!AE136))</f>
        <v>2.4000000000014552</v>
      </c>
      <c r="AU137" s="1438">
        <f ca="1">IF(B137&gt;=$J$5,0,(CONTADORES!I137-CONTADORES!I136))</f>
        <v>84</v>
      </c>
      <c r="AV137" s="1438">
        <f ca="1">IF(B137&gt;=$J$5,0,(CONTADORES!AT137-CONTADORES!AT136))</f>
        <v>66</v>
      </c>
      <c r="AW137" s="1438">
        <f ca="1">IF(B137&gt;=$J$5,0,(CONTADORES!L137-CONTADORES!L136)+(CONTADORES!AL137-CONTADORES!AL136))</f>
        <v>2.9000000000014552</v>
      </c>
      <c r="AX137" s="1438">
        <f ca="1">IF(B137&gt;=$J$5,0,(CONTADORES!N137-CONTADORES!N136)+(CONTADORES!AJ137-CONTADORES!AJ136))</f>
        <v>34.400000000001455</v>
      </c>
      <c r="AY137" s="1438">
        <f ca="1">IF(B137&gt;=$J$5,0,(CONTADORES!AH137-CONTADORES!AH136))</f>
        <v>5.6000000000058208</v>
      </c>
      <c r="AZ137" s="1438">
        <f ca="1">IF(B137&gt;=$J$5,0,(CONTADORES!P137-CONTADORES!P136))</f>
        <v>10.099999999991269</v>
      </c>
      <c r="BA137" s="1439">
        <f t="shared" ca="1" si="45"/>
        <v>3.8850000000000193</v>
      </c>
      <c r="BB137" s="1438">
        <f ca="1">IF(B137&gt;=$J$5,0,(((CONTADORES!G137-CONTADORES!G136)+(CONTADORES!AP137-CONTADORES!AP136)+AR137)-(AV137+BC137)))</f>
        <v>9.9000000000000909</v>
      </c>
      <c r="BC137" s="1438">
        <f ca="1">IF(B137&gt;=$J$5,0,(CONTADORES!AW137-CONTADORES!AW136)+(CONTADORES!AY137-CONTADORES!AY136)+(CONTADORES!BD137-CONTADORES!BD136))</f>
        <v>2.0999999999999091</v>
      </c>
      <c r="BD137" s="1438">
        <f t="shared" ca="1" si="46"/>
        <v>227</v>
      </c>
      <c r="BE137" s="1439">
        <f ca="1">IF($B137&gt;=$J$5,0,CONTADORES!$BE137)</f>
        <v>5638.51</v>
      </c>
      <c r="BF137" s="1438">
        <f ca="1">IF($B137&gt;=$J$5,0,CONTADORES!$BF137)</f>
        <v>29489.107017543858</v>
      </c>
      <c r="BG137" s="1438">
        <f ca="1">IF($B137&gt;=$J$5,0,CONTADORES!$BH137)</f>
        <v>6530.3099999999995</v>
      </c>
      <c r="BH137" s="1438">
        <f ca="1">IF(B137&gt;=$J$5,0,(CONTADORES!AQ137-CONTADORES!AQ136))</f>
        <v>5</v>
      </c>
      <c r="BI137" s="1438">
        <f ca="1">IF(B137&gt;=$J$5,0,(CONTADORES!AR137-CONTADORES!AR136))</f>
        <v>0</v>
      </c>
      <c r="BJ137" s="1439">
        <f ca="1">IF(B137&gt;=$J$5,0,CONTADORES!BI137-CONTADORES!BI136)/1000</f>
        <v>2.64</v>
      </c>
      <c r="BK137" s="1439">
        <f ca="1">IF(B137&gt;=$J$5,0,CONTADORES!BJ137-CONTADORES!BJ136)</f>
        <v>1</v>
      </c>
      <c r="BL137" s="1439">
        <f ca="1">IF(B137&gt;=$J$5,0,CONTADORES!BK137-CONTADORES!BK136)</f>
        <v>24</v>
      </c>
      <c r="BM137" s="1439">
        <f ca="1">IF(B137&gt;=$J$5,0,CONTADORES!BL137-CONTADORES!BL136)/1000</f>
        <v>0</v>
      </c>
      <c r="BN137" s="1439">
        <f ca="1">IF(B137&gt;=$J$5,0,CONTADORES!BM137-CONTADORES!BM136)/1000</f>
        <v>0</v>
      </c>
      <c r="BO137" s="1439">
        <f ca="1">IF(B137&gt;=$J$5,0,CONTADORES!BN137-CONTADORES!BN136)</f>
        <v>0</v>
      </c>
      <c r="BP137" s="1439">
        <f ca="1">IF(B137&gt;=$J$5,0,CONTADORES!BO137-CONTADORES!BO136)/1000</f>
        <v>5.4119999999999999</v>
      </c>
      <c r="BQ137" s="1439">
        <f ca="1">IF(B137&gt;=$J$5,0,CONTADORES!BP137-CONTADORES!BP136)/1000</f>
        <v>0.70599999999999996</v>
      </c>
      <c r="BR137" s="1439">
        <f ca="1">IF(B137&gt;=$J$5,0,CONTADORES!BQ137-CONTADORES!BQ136)</f>
        <v>24</v>
      </c>
      <c r="BS137" s="1439">
        <f ca="1">IF(B137&gt;=$J$5,0,(CONTADORES!BT137-CONTADORES!BT136)+(CONTADORES!BV137-CONTADORES!BV136))/1000</f>
        <v>1.494</v>
      </c>
      <c r="BT137" s="1439">
        <f ca="1">IF(B137&gt;=$J$5,0,(CONTADORES!BU137-CONTADORES!BU136)+(CONTADORES!BW137-CONTADORES!BW136))/1000</f>
        <v>0.90900000000000003</v>
      </c>
      <c r="BU137" s="1439">
        <f ca="1">IF(B137&gt;=$J$5,0,CONTADORES!BR137-CONTADORES!BR136)</f>
        <v>8.8000000000010914</v>
      </c>
      <c r="BV137" s="1439">
        <f ca="1">IF(B137&gt;=$J$5,0,CONTADORES!BS137-CONTADORES!BS136)</f>
        <v>5.5</v>
      </c>
      <c r="BW137" s="1439">
        <f t="shared" ca="1" si="47"/>
        <v>13.374000000000553</v>
      </c>
      <c r="BX137" s="1439">
        <f t="shared" ca="1" si="48"/>
        <v>10.450000000000045</v>
      </c>
      <c r="BY137" s="1439">
        <f t="shared" ca="1" si="49"/>
        <v>4.5739999999994616</v>
      </c>
      <c r="BZ137" s="1439">
        <f t="shared" ca="1" si="50"/>
        <v>1.0024000000000002</v>
      </c>
      <c r="CA137" s="1439">
        <f t="shared" ca="1" si="51"/>
        <v>4.5739999999994616</v>
      </c>
      <c r="CB137" s="1439">
        <f t="shared" ca="1" si="52"/>
        <v>1.5036</v>
      </c>
      <c r="CC137" s="1439">
        <f t="shared" ca="1" si="53"/>
        <v>2.4964000000000004</v>
      </c>
      <c r="CD137" s="1439">
        <f t="shared" ca="1" si="54"/>
        <v>4.9500000000000455</v>
      </c>
      <c r="CE137" s="1439">
        <f ca="1">IF(B137&gt;=$J$5,0,CONTADORES!BS137-CONTADORES!BS136)</f>
        <v>5.5</v>
      </c>
      <c r="CF137" s="1439">
        <f t="shared" ca="1" si="55"/>
        <v>4.9500000000000455</v>
      </c>
      <c r="CG137" s="1439">
        <f t="shared" ca="1" si="56"/>
        <v>1.0499999999999545</v>
      </c>
      <c r="CH137" s="1439">
        <f t="shared" ca="1" si="57"/>
        <v>1.0499999999999545</v>
      </c>
      <c r="CI137" s="1439">
        <f t="shared" ca="1" si="58"/>
        <v>1.9589999999999546</v>
      </c>
      <c r="CJ137" s="1488">
        <f ca="1">IF($B137&gt;=$J$5,0,CONTADORES!$BG137)</f>
        <v>8837.5347951816475</v>
      </c>
      <c r="CK137" s="1406">
        <f>CONTADORES!E137</f>
        <v>0</v>
      </c>
      <c r="CL137" s="1406">
        <f>CONTADORES!BX137</f>
        <v>0</v>
      </c>
    </row>
    <row r="138" spans="2:90" s="1451" customFormat="1">
      <c r="B138" s="410">
        <v>45054</v>
      </c>
      <c r="C138" s="204">
        <f t="shared" ca="1" si="33"/>
        <v>148</v>
      </c>
      <c r="D138" s="202">
        <f ca="1">'CALCULO DE GAS'!D147</f>
        <v>3.8645756449809716</v>
      </c>
      <c r="E138" s="202">
        <f ca="1">IF(B138&gt;=$J$5,0,(CONTADORES!$AB138-CONTADORES!$AB137)-$H138)</f>
        <v>24</v>
      </c>
      <c r="F138" s="204">
        <f t="shared" ca="1" si="63"/>
        <v>0</v>
      </c>
      <c r="G138" s="202">
        <f ca="1">IF(B138&gt;=$J$5,0,CONTADORES!$AD138-CONTADORES!$AD137)</f>
        <v>0</v>
      </c>
      <c r="H138" s="202">
        <f ca="1">IF(G138&gt;0,CONTADORES!$AC138-CONTADORES!$AC137,0)</f>
        <v>0</v>
      </c>
      <c r="I138" s="205">
        <f ca="1">IF(B138&gt;=$J$5,0,CONTADORES!$Z138-CONTADORES!$Z137)</f>
        <v>148</v>
      </c>
      <c r="J138" s="204">
        <f t="shared" ca="1" si="34"/>
        <v>292</v>
      </c>
      <c r="K138" s="202">
        <f ca="1">'CALCULO DE GAS'!E147</f>
        <v>5.0966593747621332</v>
      </c>
      <c r="L138" s="1437">
        <f ca="1">IF(B138&gt;=$J$5,0,(CONTADORES!$W138-CONTADORES!$W137)-$O138)</f>
        <v>24</v>
      </c>
      <c r="M138" s="1437">
        <f t="shared" ca="1" si="62"/>
        <v>0</v>
      </c>
      <c r="N138" s="1437">
        <f ca="1">IF(B138&gt;=$J$5,0,CONTADORES!$Y138-CONTADORES!$Y137)</f>
        <v>0</v>
      </c>
      <c r="O138" s="1437">
        <f ca="1">IF(N138&gt;0,CONTADORES!$X138-CONTADORES!$X137,0)</f>
        <v>0</v>
      </c>
      <c r="P138" s="208">
        <f ca="1">IF(B138&gt;=$J$5,0,CONTADORES!$U138-CONTADORES!$U137)</f>
        <v>292</v>
      </c>
      <c r="Q138" s="208">
        <f ca="1">IF(B138&gt;=$J$5,0,CONTADORES!$B138-CONTADORES!$B137)</f>
        <v>0.36800000000016553</v>
      </c>
      <c r="R138" s="202">
        <f t="shared" ca="1" si="35"/>
        <v>44.160000000019863</v>
      </c>
      <c r="S138" s="11">
        <f ca="1">IF(B138&gt;=$J$5,0,CONTADORES!$D138-CONTADORES!$D137)</f>
        <v>0.7000000000007276</v>
      </c>
      <c r="T138" s="204">
        <f ca="1">IF(B138&gt;=$J$5,0,CONTADORES!$AZ138-CONTADORES!$AZ137)</f>
        <v>0.32699999999999818</v>
      </c>
      <c r="U138" s="202">
        <f t="shared" ca="1" si="61"/>
        <v>39.239999999999782</v>
      </c>
      <c r="V138" s="205">
        <f ca="1">IF(B138&gt;=$J$5,0,CONTADORES!$BB138-CONTADORES!$BB137)</f>
        <v>0.59999999999990905</v>
      </c>
      <c r="W138" s="1438">
        <f t="shared" ca="1" si="37"/>
        <v>440</v>
      </c>
      <c r="X138" s="1438">
        <f t="shared" ca="1" si="38"/>
        <v>0.69500000000016371</v>
      </c>
      <c r="Y138" s="1439">
        <f t="shared" ca="1" si="39"/>
        <v>440.69500000000016</v>
      </c>
      <c r="Z138" s="1439">
        <f t="shared" ca="1" si="40"/>
        <v>8.9612350197431052</v>
      </c>
      <c r="AA138" s="1439">
        <f t="shared" ca="1" si="41"/>
        <v>83.400000000019645</v>
      </c>
      <c r="AB138" s="1439">
        <f t="shared" ca="1" si="42"/>
        <v>48</v>
      </c>
      <c r="AC138" s="1438">
        <f t="shared" ca="1" si="43"/>
        <v>1.3000000000006366</v>
      </c>
      <c r="AD138" s="1438">
        <f ca="1">IF(B138&gt;=$J$5,0,CONTADORES!H138-CONTADORES!H137)</f>
        <v>156</v>
      </c>
      <c r="AE138" s="1439">
        <f ca="1">IF(B138&gt;=$J$5,0,CONTADORES!J138-CONTADORES!J137)</f>
        <v>21.899999999994179</v>
      </c>
      <c r="AF138" s="1438">
        <f ca="1">IF(B138&gt;=$J$5,0,CONTADORES!AS138-CONTADORES!AS137)</f>
        <v>152</v>
      </c>
      <c r="AG138" s="1439">
        <f ca="1">IF(B138&gt;=$J$5,0,CONTADORES!AU138-CONTADORES!AU137)</f>
        <v>24</v>
      </c>
      <c r="AH138" s="1439">
        <f ca="1">IF(B138&gt;=$J$5,0,(CONTADORES!AK138-CONTADORES!AK137)+(CONTADORES!K138-CONTADORES!K137))</f>
        <v>12</v>
      </c>
      <c r="AI138" s="1438">
        <f ca="1">IF(B138&gt;=$J$5,0,(CONTADORES!AI138-CONTADORES!AI137)+(CONTADORES!M138-CONTADORES!M137))</f>
        <v>38.600000000005821</v>
      </c>
      <c r="AJ138" s="1438">
        <f ca="1">IF(B138&gt;=$J$5,0,(CONTADORES!AG138-CONTADORES!AG137))</f>
        <v>6.5999999999912689</v>
      </c>
      <c r="AK138" s="1438">
        <f ca="1">IF(B138&gt;=$J$5,0,(CONTADORES!O138-CONTADORES!O137))</f>
        <v>13.400000000023283</v>
      </c>
      <c r="AL138" s="1439">
        <f t="shared" ca="1" si="44"/>
        <v>34.094999999979848</v>
      </c>
      <c r="AM138" s="1438">
        <f ca="1">IF(B138&gt;=$J$5,0,(((CONTADORES!F138-CONTADORES!F137)+(CONTADORES!AO138-CONTADORES!AO137))))-BJ138-AF138-AN138-BM138-BP138-BU138-BS138</f>
        <v>6.5360000000010912</v>
      </c>
      <c r="AN138" s="1438">
        <f ca="1">IF(B138&gt;=$J$5,0,(CONTADORES!AV138-CONTADORES!AV137)+(CONTADORES!AX138-CONTADORES!AX137)+(CONTADORES!BC138-CONTADORES!BC137))-BS138</f>
        <v>3.2659999999992726</v>
      </c>
      <c r="AO138" s="1438">
        <f ca="1">IF(B138&gt;=$J$5,0,(CONTADORES!AA138-CONTADORES!AA137))</f>
        <v>68</v>
      </c>
      <c r="AP138" s="1438">
        <f ca="1">IF(B138&gt;=$J$5,0,(CONTADORES!V138-CONTADORES!V137))</f>
        <v>153</v>
      </c>
      <c r="AQ138" s="1438">
        <f ca="1">IF(B138&gt;=$J$5,0,(CONTADORES!C138-CONTADORES!C137))</f>
        <v>0.19200000000000728</v>
      </c>
      <c r="AR138" s="1438">
        <f ca="1">IF(B138&gt;=$J$5,0,(CONTADORES!BA138-CONTADORES!BA137))</f>
        <v>0.1239999999999668</v>
      </c>
      <c r="AS138" s="1438">
        <f ca="1">IF(B138&gt;=$J$5,0,CONTADORES!Q138-CONTADORES!Q137)</f>
        <v>14.5</v>
      </c>
      <c r="AT138" s="1438">
        <f ca="1">IF(B138&gt;=$J$5,0,(CONTADORES!S138-CONTADORES!S137)+(CONTADORES!AE138-CONTADORES!AE137))</f>
        <v>2.3999999999941792</v>
      </c>
      <c r="AU138" s="1438">
        <f ca="1">IF(B138&gt;=$J$5,0,(CONTADORES!I138-CONTADORES!I137))</f>
        <v>77</v>
      </c>
      <c r="AV138" s="1438">
        <f ca="1">IF(B138&gt;=$J$5,0,(CONTADORES!AT138-CONTADORES!AT137))</f>
        <v>66</v>
      </c>
      <c r="AW138" s="1438">
        <f ca="1">IF(B138&gt;=$J$5,0,(CONTADORES!L138-CONTADORES!L137)+(CONTADORES!AL138-CONTADORES!AL137))</f>
        <v>4.7000000000007276</v>
      </c>
      <c r="AX138" s="1438">
        <f ca="1">IF(B138&gt;=$J$5,0,(CONTADORES!N138-CONTADORES!N137)+(CONTADORES!AJ138-CONTADORES!AJ137))</f>
        <v>32.900000000001455</v>
      </c>
      <c r="AY138" s="1438">
        <f ca="1">IF(B138&gt;=$J$5,0,(CONTADORES!AH138-CONTADORES!AH137))</f>
        <v>5</v>
      </c>
      <c r="AZ138" s="1438">
        <f ca="1">IF(B138&gt;=$J$5,0,(CONTADORES!P138-CONTADORES!P137))</f>
        <v>10.600000000005821</v>
      </c>
      <c r="BA138" s="1439">
        <f t="shared" ca="1" si="45"/>
        <v>5.1529999999909251</v>
      </c>
      <c r="BB138" s="1438">
        <f ca="1">IF(B138&gt;=$J$5,0,(((CONTADORES!G138-CONTADORES!G137)+(CONTADORES!AP138-CONTADORES!AP137)+AR138)-(AV138+BC138)))</f>
        <v>9.4240000000006034</v>
      </c>
      <c r="BC138" s="1438">
        <f ca="1">IF(B138&gt;=$J$5,0,(CONTADORES!AW138-CONTADORES!AW137)+(CONTADORES!AY138-CONTADORES!AY137)+(CONTADORES!BD138-CONTADORES!BD137))</f>
        <v>2.5999999999999091</v>
      </c>
      <c r="BD138" s="1438">
        <f t="shared" ca="1" si="46"/>
        <v>221.31599999999997</v>
      </c>
      <c r="BE138" s="1439">
        <f ca="1">IF($B138&gt;=$J$5,0,CONTADORES!$BE138)</f>
        <v>5588.0599999999995</v>
      </c>
      <c r="BF138" s="1438">
        <f ca="1">IF($B138&gt;=$J$5,0,CONTADORES!$BF138)</f>
        <v>30372.764912280705</v>
      </c>
      <c r="BG138" s="1438">
        <f ca="1">IF($B138&gt;=$J$5,0,CONTADORES!$BH138)</f>
        <v>6202.95</v>
      </c>
      <c r="BH138" s="1438">
        <f ca="1">IF(B138&gt;=$J$5,0,(CONTADORES!AQ138-CONTADORES!AQ137))</f>
        <v>6</v>
      </c>
      <c r="BI138" s="1438">
        <f ca="1">IF(B138&gt;=$J$5,0,(CONTADORES!AR138-CONTADORES!AR137))</f>
        <v>0</v>
      </c>
      <c r="BJ138" s="1439">
        <f ca="1">IF(B138&gt;=$J$5,0,CONTADORES!BI138-CONTADORES!BI137)/1000</f>
        <v>2.2559999999999998</v>
      </c>
      <c r="BK138" s="1439">
        <f ca="1">IF(B138&gt;=$J$5,0,CONTADORES!BJ138-CONTADORES!BJ137)</f>
        <v>1</v>
      </c>
      <c r="BL138" s="1439">
        <f ca="1">IF(B138&gt;=$J$5,0,CONTADORES!BK138-CONTADORES!BK137)</f>
        <v>24</v>
      </c>
      <c r="BM138" s="1439">
        <f ca="1">IF(B138&gt;=$J$5,0,CONTADORES!BL138-CONTADORES!BL137)/1000</f>
        <v>0</v>
      </c>
      <c r="BN138" s="1439">
        <f ca="1">IF(B138&gt;=$J$5,0,CONTADORES!BM138-CONTADORES!BM137)/1000</f>
        <v>0</v>
      </c>
      <c r="BO138" s="1439">
        <f ca="1">IF(B138&gt;=$J$5,0,CONTADORES!BN138-CONTADORES!BN137)</f>
        <v>0</v>
      </c>
      <c r="BP138" s="1439">
        <f ca="1">IF(B138&gt;=$J$5,0,CONTADORES!BO138-CONTADORES!BO137)/1000</f>
        <v>5.508</v>
      </c>
      <c r="BQ138" s="1439">
        <f ca="1">IF(B138&gt;=$J$5,0,CONTADORES!BP138-CONTADORES!BP137)/1000</f>
        <v>0.60099999999999998</v>
      </c>
      <c r="BR138" s="1439">
        <f ca="1">IF(B138&gt;=$J$5,0,CONTADORES!BQ138-CONTADORES!BQ137)</f>
        <v>24</v>
      </c>
      <c r="BS138" s="1439">
        <f ca="1">IF(B138&gt;=$J$5,0,(CONTADORES!BT138-CONTADORES!BT137)+(CONTADORES!BV138-CONTADORES!BV137))/1000</f>
        <v>1.534</v>
      </c>
      <c r="BT138" s="1439">
        <f ca="1">IF(B138&gt;=$J$5,0,(CONTADORES!BU138-CONTADORES!BU137)+(CONTADORES!BW138-CONTADORES!BW137))/1000</f>
        <v>0.93799999999999994</v>
      </c>
      <c r="BU138" s="1439">
        <f ca="1">IF(B138&gt;=$J$5,0,CONTADORES!BR138-CONTADORES!BR137)</f>
        <v>8.8999999999996362</v>
      </c>
      <c r="BV138" s="1439">
        <f ca="1">IF(B138&gt;=$J$5,0,CONTADORES!BS138-CONTADORES!BS137)</f>
        <v>5.4000000000005457</v>
      </c>
      <c r="BW138" s="1439">
        <f t="shared" ca="1" si="47"/>
        <v>12.168000000000182</v>
      </c>
      <c r="BX138" s="1439">
        <f t="shared" ca="1" si="48"/>
        <v>10.112000000000847</v>
      </c>
      <c r="BY138" s="1439">
        <f t="shared" ca="1" si="49"/>
        <v>3.2680000000005456</v>
      </c>
      <c r="BZ138" s="1439">
        <f t="shared" ca="1" si="50"/>
        <v>1.3063999999997091</v>
      </c>
      <c r="CA138" s="1439">
        <f t="shared" ca="1" si="51"/>
        <v>3.2680000000005456</v>
      </c>
      <c r="CB138" s="1439">
        <f t="shared" ca="1" si="52"/>
        <v>1.9595999999995635</v>
      </c>
      <c r="CC138" s="1439">
        <f t="shared" ca="1" si="53"/>
        <v>2.8403999999997094</v>
      </c>
      <c r="CD138" s="1439">
        <f t="shared" ca="1" si="54"/>
        <v>4.7120000000003017</v>
      </c>
      <c r="CE138" s="1439">
        <f ca="1">IF(B138&gt;=$J$5,0,CONTADORES!BS138-CONTADORES!BS137)</f>
        <v>5.4000000000005457</v>
      </c>
      <c r="CF138" s="1439">
        <f t="shared" ca="1" si="55"/>
        <v>4.7120000000003017</v>
      </c>
      <c r="CG138" s="1439">
        <f t="shared" ca="1" si="56"/>
        <v>1.2999999999999545</v>
      </c>
      <c r="CH138" s="1439">
        <f t="shared" ca="1" si="57"/>
        <v>1.2999999999999545</v>
      </c>
      <c r="CI138" s="1439">
        <f t="shared" ca="1" si="58"/>
        <v>2.2379999999999542</v>
      </c>
      <c r="CJ138" s="1488">
        <f ca="1">IF($B138&gt;=$J$5,0,CONTADORES!$BG138)</f>
        <v>8792.6011974950743</v>
      </c>
      <c r="CK138" s="1406">
        <f>CONTADORES!E138</f>
        <v>1</v>
      </c>
      <c r="CL138" s="1406">
        <f>CONTADORES!BX138</f>
        <v>1</v>
      </c>
    </row>
    <row r="139" spans="2:90" s="1451" customFormat="1">
      <c r="B139" s="410">
        <v>45055</v>
      </c>
      <c r="C139" s="204">
        <f t="shared" ref="C139:C202" ca="1" si="64">I139-F139</f>
        <v>152.30000000004657</v>
      </c>
      <c r="D139" s="202">
        <f ca="1">'CALCULO DE GAS'!D148</f>
        <v>3.9013670341345574</v>
      </c>
      <c r="E139" s="202">
        <f ca="1">IF(B139&gt;=$J$5,0,(CONTADORES!$AB139-CONTADORES!$AB138)-$H139)</f>
        <v>24</v>
      </c>
      <c r="F139" s="204">
        <f t="shared" ca="1" si="63"/>
        <v>0</v>
      </c>
      <c r="G139" s="202">
        <f ca="1">IF(B139&gt;=$J$5,0,CONTADORES!$AD139-CONTADORES!$AD138)</f>
        <v>0</v>
      </c>
      <c r="H139" s="202">
        <f ca="1">IF(G139&gt;0,CONTADORES!$AC139-CONTADORES!$AC138,0)</f>
        <v>0</v>
      </c>
      <c r="I139" s="205">
        <f ca="1">IF(B139&gt;=$J$5,0,CONTADORES!$Z139-CONTADORES!$Z138)</f>
        <v>152.30000000004657</v>
      </c>
      <c r="J139" s="204">
        <f t="shared" ref="J139:J202" ca="1" si="65">P139-M139</f>
        <v>295.90000000000146</v>
      </c>
      <c r="K139" s="202">
        <f ca="1">'CALCULO DE GAS'!E148</f>
        <v>5.1300283091103864</v>
      </c>
      <c r="L139" s="1437">
        <f ca="1">IF(B139&gt;=$J$5,0,(CONTADORES!$W139-CONTADORES!$W138)-$O139)</f>
        <v>24</v>
      </c>
      <c r="M139" s="1437">
        <f t="shared" ca="1" si="62"/>
        <v>0</v>
      </c>
      <c r="N139" s="1437">
        <f ca="1">IF(B139&gt;=$J$5,0,CONTADORES!$Y139-CONTADORES!$Y138)</f>
        <v>0</v>
      </c>
      <c r="O139" s="1437">
        <f ca="1">IF(N139&gt;0,CONTADORES!$X139-CONTADORES!$X138,0)</f>
        <v>0</v>
      </c>
      <c r="P139" s="208">
        <f ca="1">IF(B139&gt;=$J$5,0,CONTADORES!$U139-CONTADORES!$U138)</f>
        <v>295.90000000000146</v>
      </c>
      <c r="Q139" s="208">
        <f ca="1">IF(B139&gt;=$J$5,0,CONTADORES!$B139-CONTADORES!$B138)</f>
        <v>0</v>
      </c>
      <c r="R139" s="202">
        <f t="shared" ref="R139:R202" ca="1" si="66">$Q139*120</f>
        <v>0</v>
      </c>
      <c r="S139" s="11">
        <f ca="1">IF(B139&gt;=$J$5,0,CONTADORES!$D139-CONTADORES!$D138)</f>
        <v>0</v>
      </c>
      <c r="T139" s="204">
        <f ca="1">IF(B139&gt;=$J$5,0,CONTADORES!$AZ139-CONTADORES!$AZ138)</f>
        <v>0</v>
      </c>
      <c r="U139" s="202">
        <f t="shared" ca="1" si="61"/>
        <v>0</v>
      </c>
      <c r="V139" s="205">
        <f ca="1">IF(B139&gt;=$J$5,0,CONTADORES!$BB139-CONTADORES!$BB138)</f>
        <v>0</v>
      </c>
      <c r="W139" s="1438">
        <f t="shared" ref="W139:W202" ca="1" si="67">C139+J139</f>
        <v>448.20000000004802</v>
      </c>
      <c r="X139" s="1438">
        <f t="shared" ref="X139:X202" ca="1" si="68">F139+M139+Q139+T139</f>
        <v>0</v>
      </c>
      <c r="Y139" s="1439">
        <f t="shared" ref="Y139:Y202" ca="1" si="69">W139+X139</f>
        <v>448.20000000004802</v>
      </c>
      <c r="Z139" s="1439">
        <f t="shared" ref="Z139:Z202" ca="1" si="70">D139+K139</f>
        <v>9.0313953432449434</v>
      </c>
      <c r="AA139" s="1439">
        <f t="shared" ref="AA139:AA202" ca="1" si="71">G139+N139+R139+U139</f>
        <v>0</v>
      </c>
      <c r="AB139" s="1439">
        <f t="shared" ref="AB139:AB202" ca="1" si="72">E139+L139</f>
        <v>48</v>
      </c>
      <c r="AC139" s="1438">
        <f t="shared" ref="AC139:AC202" ca="1" si="73">H139+O139+S139+V139</f>
        <v>0</v>
      </c>
      <c r="AD139" s="1438">
        <f ca="1">IF(B139&gt;=$J$5,0,CONTADORES!H139-CONTADORES!H138)</f>
        <v>167.80000000000018</v>
      </c>
      <c r="AE139" s="1439">
        <f ca="1">IF(B139&gt;=$J$5,0,CONTADORES!J139-CONTADORES!J138)</f>
        <v>24</v>
      </c>
      <c r="AF139" s="1438">
        <f ca="1">IF(B139&gt;=$J$5,0,CONTADORES!AS139-CONTADORES!AS138)</f>
        <v>152.20000000001164</v>
      </c>
      <c r="AG139" s="1439">
        <f ca="1">IF(B139&gt;=$J$5,0,CONTADORES!AU139-CONTADORES!AU138)</f>
        <v>24</v>
      </c>
      <c r="AH139" s="1439">
        <f ca="1">IF(B139&gt;=$J$5,0,(CONTADORES!AK139-CONTADORES!AK138)+(CONTADORES!K139-CONTADORES!K138))</f>
        <v>5.5</v>
      </c>
      <c r="AI139" s="1438">
        <f ca="1">IF(B139&gt;=$J$5,0,(CONTADORES!AI139-CONTADORES!AI138)+(CONTADORES!M139-CONTADORES!M138))</f>
        <v>38.19999999999709</v>
      </c>
      <c r="AJ139" s="1438">
        <f ca="1">IF(B139&gt;=$J$5,0,(CONTADORES!AG139-CONTADORES!AG138))</f>
        <v>5.3000000000029104</v>
      </c>
      <c r="AK139" s="1438">
        <f ca="1">IF(B139&gt;=$J$5,0,(CONTADORES!O139-CONTADORES!O138))</f>
        <v>12.099999999976717</v>
      </c>
      <c r="AL139" s="1439">
        <f t="shared" ref="AL139:AL202" ca="1" si="74">Y139-(AD139+AF139+AH139+AI139+AJ139+AK139+CA139+CB139+BJ139+BM139+BP139+BW139+CC139)</f>
        <v>36.400000000084219</v>
      </c>
      <c r="AM139" s="1438">
        <f ca="1">IF(B139&gt;=$J$5,0,(((CONTADORES!F139-CONTADORES!F138)+(CONTADORES!AO139-CONTADORES!AO138))))-BJ139-AF139-AN139-BM139-BP139-BU139-BS139</f>
        <v>10.635999999975702</v>
      </c>
      <c r="AN139" s="1438">
        <f ca="1">IF(B139&gt;=$J$5,0,(CONTADORES!AV139-CONTADORES!AV138)+(CONTADORES!AX139-CONTADORES!AX138)+(CONTADORES!BC139-CONTADORES!BC138))-BS139</f>
        <v>3.2500000000002727</v>
      </c>
      <c r="AO139" s="1438">
        <f ca="1">IF(B139&gt;=$J$5,0,(CONTADORES!AA139-CONTADORES!AA138))</f>
        <v>71.400000000023283</v>
      </c>
      <c r="AP139" s="1438">
        <f ca="1">IF(B139&gt;=$J$5,0,(CONTADORES!V139-CONTADORES!V138))</f>
        <v>152</v>
      </c>
      <c r="AQ139" s="1438">
        <f ca="1">IF(B139&gt;=$J$5,0,(CONTADORES!C139-CONTADORES!C138))</f>
        <v>0</v>
      </c>
      <c r="AR139" s="1438">
        <f ca="1">IF(B139&gt;=$J$5,0,(CONTADORES!BA139-CONTADORES!BA138))</f>
        <v>0</v>
      </c>
      <c r="AS139" s="1438">
        <f ca="1">IF(B139&gt;=$J$5,0,CONTADORES!Q139-CONTADORES!Q138)</f>
        <v>14.5</v>
      </c>
      <c r="AT139" s="1438">
        <f ca="1">IF(B139&gt;=$J$5,0,(CONTADORES!S139-CONTADORES!S138)+(CONTADORES!AE139-CONTADORES!AE138))</f>
        <v>2.5</v>
      </c>
      <c r="AU139" s="1438">
        <f ca="1">IF(B139&gt;=$J$5,0,(CONTADORES!I139-CONTADORES!I138))</f>
        <v>83.699999999999818</v>
      </c>
      <c r="AV139" s="1438">
        <f ca="1">IF(B139&gt;=$J$5,0,(CONTADORES!AT139-CONTADORES!AT138))</f>
        <v>66.399999999994179</v>
      </c>
      <c r="AW139" s="1438">
        <f ca="1">IF(B139&gt;=$J$5,0,(CONTADORES!L139-CONTADORES!L138)+(CONTADORES!AL139-CONTADORES!AL138))</f>
        <v>2.0999999999985448</v>
      </c>
      <c r="AX139" s="1438">
        <f ca="1">IF(B139&gt;=$J$5,0,(CONTADORES!N139-CONTADORES!N138)+(CONTADORES!AJ139-CONTADORES!AJ138))</f>
        <v>32.19999999999709</v>
      </c>
      <c r="AY139" s="1438">
        <f ca="1">IF(B139&gt;=$J$5,0,(CONTADORES!AH139-CONTADORES!AH138))</f>
        <v>3.7999999999956344</v>
      </c>
      <c r="AZ139" s="1438">
        <f ca="1">IF(B139&gt;=$J$5,0,(CONTADORES!P139-CONTADORES!P138))</f>
        <v>9.8000000000029104</v>
      </c>
      <c r="BA139" s="1439">
        <f t="shared" ref="BA139:BA202" ca="1" si="75">BD139-(AU139+AV139+AW139+AX139+AY139+AZ139+BK139+BN139+BQ139+BX139+CF139+CH139+CI139)</f>
        <v>6.3640000000300176</v>
      </c>
      <c r="BB139" s="1438">
        <f ca="1">IF(B139&gt;=$J$5,0,(((CONTADORES!G139-CONTADORES!G138)+(CONTADORES!AP139-CONTADORES!AP138)+AR139)-(AV139+BC139)))</f>
        <v>9.1000000000058208</v>
      </c>
      <c r="BC139" s="1438">
        <f ca="1">IF(B139&gt;=$J$5,0,(CONTADORES!AW139-CONTADORES!AW138)+(CONTADORES!AY139-CONTADORES!AY138)+(CONTADORES!BD139-CONTADORES!BD138))</f>
        <v>2.5</v>
      </c>
      <c r="BD139" s="1438">
        <f t="shared" ref="BD139:BD202" ca="1" si="76">SUM(AO139:AR139)</f>
        <v>223.40000000002328</v>
      </c>
      <c r="BE139" s="1439">
        <f ca="1">IF($B139&gt;=$J$5,0,CONTADORES!$BE139)</f>
        <v>5954.67</v>
      </c>
      <c r="BF139" s="1438">
        <f ca="1">IF($B139&gt;=$J$5,0,CONTADORES!$BF139)</f>
        <v>29295.264912280705</v>
      </c>
      <c r="BG139" s="1438">
        <f ca="1">IF($B139&gt;=$J$5,0,CONTADORES!$BH139)</f>
        <v>6183.32</v>
      </c>
      <c r="BH139" s="1438">
        <f ca="1">IF(B139&gt;=$J$5,0,(CONTADORES!AQ139-CONTADORES!AQ138))</f>
        <v>5</v>
      </c>
      <c r="BI139" s="1438">
        <f ca="1">IF(B139&gt;=$J$5,0,(CONTADORES!AR139-CONTADORES!AR138))</f>
        <v>0</v>
      </c>
      <c r="BJ139" s="1439">
        <f ca="1">IF(B139&gt;=$J$5,0,CONTADORES!BI139-CONTADORES!BI138)/1000</f>
        <v>2.6160000000000001</v>
      </c>
      <c r="BK139" s="1439">
        <f ca="1">IF(B139&gt;=$J$5,0,CONTADORES!BJ139-CONTADORES!BJ138)</f>
        <v>1</v>
      </c>
      <c r="BL139" s="1439">
        <f ca="1">IF(B139&gt;=$J$5,0,CONTADORES!BK139-CONTADORES!BK138)</f>
        <v>24</v>
      </c>
      <c r="BM139" s="1439">
        <f ca="1">IF(B139&gt;=$J$5,0,CONTADORES!BL139-CONTADORES!BL138)/1000</f>
        <v>0</v>
      </c>
      <c r="BN139" s="1439">
        <f ca="1">IF(B139&gt;=$J$5,0,CONTADORES!BM139-CONTADORES!BM138)/1000</f>
        <v>0</v>
      </c>
      <c r="BO139" s="1439">
        <f ca="1">IF(B139&gt;=$J$5,0,CONTADORES!BN139-CONTADORES!BN138)</f>
        <v>0</v>
      </c>
      <c r="BP139" s="1439">
        <f ca="1">IF(B139&gt;=$J$5,0,CONTADORES!BO139-CONTADORES!BO138)/1000</f>
        <v>5.4480000000000004</v>
      </c>
      <c r="BQ139" s="1439">
        <f ca="1">IF(B139&gt;=$J$5,0,CONTADORES!BP139-CONTADORES!BP138)/1000</f>
        <v>0.73599999999999999</v>
      </c>
      <c r="BR139" s="1439">
        <f ca="1">IF(B139&gt;=$J$5,0,CONTADORES!BQ139-CONTADORES!BQ138)</f>
        <v>24</v>
      </c>
      <c r="BS139" s="1439">
        <f ca="1">IF(B139&gt;=$J$5,0,(CONTADORES!BT139-CONTADORES!BT138)+(CONTADORES!BV139-CONTADORES!BV138))/1000</f>
        <v>1.45</v>
      </c>
      <c r="BT139" s="1439">
        <f ca="1">IF(B139&gt;=$J$5,0,(CONTADORES!BU139-CONTADORES!BU138)+(CONTADORES!BW139-CONTADORES!BW138))/1000</f>
        <v>0.9</v>
      </c>
      <c r="BU139" s="1439">
        <f ca="1">IF(B139&gt;=$J$5,0,CONTADORES!BR139-CONTADORES!BR138)</f>
        <v>7.2999999999992724</v>
      </c>
      <c r="BV139" s="1439">
        <f ca="1">IF(B139&gt;=$J$5,0,CONTADORES!BS139-CONTADORES!BS138)</f>
        <v>4.7999999999992724</v>
      </c>
      <c r="BW139" s="1439">
        <f t="shared" ref="BW139:BW202" ca="1" si="77">BU139+BY139</f>
        <v>12.617999999987124</v>
      </c>
      <c r="BX139" s="1439">
        <f t="shared" ref="BX139:BX202" ca="1" si="78">CE139+CD139</f>
        <v>9.3500000000021828</v>
      </c>
      <c r="BY139" s="1439">
        <f t="shared" ref="BY139:BY202" ca="1" si="79">(AM139*0.5)</f>
        <v>5.3179999999878511</v>
      </c>
      <c r="BZ139" s="1439">
        <f t="shared" ref="BZ139:BZ202" ca="1" si="80">(AN139*0.4)</f>
        <v>1.3000000000001091</v>
      </c>
      <c r="CA139" s="1439">
        <f t="shared" ref="CA139:CA202" ca="1" si="81">AM139-BY139</f>
        <v>5.3179999999878511</v>
      </c>
      <c r="CB139" s="1439">
        <f t="shared" ref="CB139:CB202" ca="1" si="82">AN139-BZ139</f>
        <v>1.9500000000001636</v>
      </c>
      <c r="CC139" s="1439">
        <f t="shared" ref="CC139:CC202" ca="1" si="83">BS139+BZ139</f>
        <v>2.7500000000001092</v>
      </c>
      <c r="CD139" s="1439">
        <f t="shared" ref="CD139:CD202" ca="1" si="84">(BB139*0.5)</f>
        <v>4.5500000000029104</v>
      </c>
      <c r="CE139" s="1439">
        <f ca="1">IF(B139&gt;=$J$5,0,CONTADORES!BS139-CONTADORES!BS138)</f>
        <v>4.7999999999992724</v>
      </c>
      <c r="CF139" s="1439">
        <f t="shared" ref="CF139:CF202" ca="1" si="85">BB139-CD139</f>
        <v>4.5500000000029104</v>
      </c>
      <c r="CG139" s="1439">
        <f t="shared" ref="CG139:CG202" ca="1" si="86">BC139*0.5</f>
        <v>1.25</v>
      </c>
      <c r="CH139" s="1439">
        <f t="shared" ref="CH139:CH202" ca="1" si="87">BC139-CG139</f>
        <v>1.25</v>
      </c>
      <c r="CI139" s="1439">
        <f t="shared" ref="CI139:CI202" ca="1" si="88">BT139+CG139</f>
        <v>2.15</v>
      </c>
      <c r="CJ139" s="1488">
        <f ca="1">IF($B139&gt;=$J$5,0,CONTADORES!$BG139)</f>
        <v>8261.0734566587762</v>
      </c>
      <c r="CK139" s="1406">
        <f>CONTADORES!E139</f>
        <v>0</v>
      </c>
      <c r="CL139" s="1406">
        <f>CONTADORES!BX139</f>
        <v>0</v>
      </c>
    </row>
    <row r="140" spans="2:90">
      <c r="B140" s="410">
        <v>45056</v>
      </c>
      <c r="C140" s="204">
        <f t="shared" ca="1" si="64"/>
        <v>147.59999999997672</v>
      </c>
      <c r="D140" s="202">
        <f ca="1">'CALCULO DE GAS'!D149</f>
        <v>3.8611531901758243</v>
      </c>
      <c r="E140" s="202">
        <f ca="1">IF(B140&gt;=$J$5,0,(CONTADORES!$AB140-CONTADORES!$AB139)-$H140)</f>
        <v>24</v>
      </c>
      <c r="F140" s="204">
        <f t="shared" ca="1" si="63"/>
        <v>0</v>
      </c>
      <c r="G140" s="202">
        <f ca="1">IF(B140&gt;=$J$5,0,CONTADORES!$AD140-CONTADORES!$AD139)</f>
        <v>0</v>
      </c>
      <c r="H140" s="202">
        <f ca="1">IF(G140&gt;0,CONTADORES!$AC140-CONTADORES!$AC139,0)</f>
        <v>0</v>
      </c>
      <c r="I140" s="205">
        <f ca="1">IF(B140&gt;=$J$5,0,CONTADORES!$Z140-CONTADORES!$Z139)</f>
        <v>147.59999999997672</v>
      </c>
      <c r="J140" s="204">
        <f t="shared" ca="1" si="65"/>
        <v>291.90000000000146</v>
      </c>
      <c r="K140" s="202">
        <f ca="1">'CALCULO DE GAS'!E149</f>
        <v>5.0958037610609095</v>
      </c>
      <c r="L140" s="1437">
        <f ca="1">IF(B140&gt;=$J$5,0,(CONTADORES!$W140-CONTADORES!$W139)-$O140)</f>
        <v>24</v>
      </c>
      <c r="M140" s="1437">
        <f t="shared" ca="1" si="62"/>
        <v>0</v>
      </c>
      <c r="N140" s="1437">
        <f ca="1">IF(B140&gt;=$J$5,0,CONTADORES!$Y140-CONTADORES!$Y139)</f>
        <v>0</v>
      </c>
      <c r="O140" s="1437">
        <f ca="1">IF(N140&gt;0,CONTADORES!$X140-CONTADORES!$X139,0)</f>
        <v>0</v>
      </c>
      <c r="P140" s="208">
        <f ca="1">IF(B140&gt;=$J$5,0,CONTADORES!$U140-CONTADORES!$U139)</f>
        <v>291.90000000000146</v>
      </c>
      <c r="Q140" s="208">
        <f ca="1">IF(B140&gt;=$J$5,0,CONTADORES!$B140-CONTADORES!$B139)</f>
        <v>0</v>
      </c>
      <c r="R140" s="202">
        <f t="shared" ca="1" si="66"/>
        <v>0</v>
      </c>
      <c r="S140" s="11">
        <f ca="1">IF(B140&gt;=$J$5,0,CONTADORES!$D140-CONTADORES!$D139)</f>
        <v>0</v>
      </c>
      <c r="T140" s="204">
        <f ca="1">IF(B140&gt;=$J$5,0,CONTADORES!$AZ140-CONTADORES!$AZ139)</f>
        <v>0</v>
      </c>
      <c r="U140" s="202">
        <f t="shared" ca="1" si="61"/>
        <v>0</v>
      </c>
      <c r="V140" s="205">
        <f ca="1">IF(B140&gt;=$J$5,0,CONTADORES!$BB140-CONTADORES!$BB139)</f>
        <v>0</v>
      </c>
      <c r="W140" s="1438">
        <f t="shared" ca="1" si="67"/>
        <v>439.49999999997817</v>
      </c>
      <c r="X140" s="1438">
        <f t="shared" ca="1" si="68"/>
        <v>0</v>
      </c>
      <c r="Y140" s="1439">
        <f t="shared" ca="1" si="69"/>
        <v>439.49999999997817</v>
      </c>
      <c r="Z140" s="1439">
        <f t="shared" ca="1" si="70"/>
        <v>8.9569569512367337</v>
      </c>
      <c r="AA140" s="1439">
        <f t="shared" ca="1" si="71"/>
        <v>0</v>
      </c>
      <c r="AB140" s="1439">
        <f t="shared" ca="1" si="72"/>
        <v>48</v>
      </c>
      <c r="AC140" s="1438">
        <f t="shared" ca="1" si="73"/>
        <v>0</v>
      </c>
      <c r="AD140" s="1438">
        <f ca="1">IF(B140&gt;=$J$5,0,CONTADORES!H140-CONTADORES!H139)</f>
        <v>165.39999999999964</v>
      </c>
      <c r="AE140" s="1439">
        <f ca="1">IF(B140&gt;=$J$5,0,CONTADORES!J140-CONTADORES!J139)</f>
        <v>24</v>
      </c>
      <c r="AF140" s="1438">
        <f ca="1">IF(B140&gt;=$J$5,0,CONTADORES!AS140-CONTADORES!AS139)</f>
        <v>147.5</v>
      </c>
      <c r="AG140" s="1439">
        <f ca="1">IF(B140&gt;=$J$5,0,CONTADORES!AU140-CONTADORES!AU139)</f>
        <v>24</v>
      </c>
      <c r="AH140" s="1439">
        <f ca="1">IF(B140&gt;=$J$5,0,(CONTADORES!AK140-CONTADORES!AK139)+(CONTADORES!K140-CONTADORES!K139))</f>
        <v>12.299999999995634</v>
      </c>
      <c r="AI140" s="1438">
        <f ca="1">IF(B140&gt;=$J$5,0,(CONTADORES!AI140-CONTADORES!AI139)+(CONTADORES!M140-CONTADORES!M139))</f>
        <v>37.099999999991269</v>
      </c>
      <c r="AJ140" s="1438">
        <f ca="1">IF(B140&gt;=$J$5,0,(CONTADORES!AG140-CONTADORES!AG139))</f>
        <v>5.1999999999970896</v>
      </c>
      <c r="AK140" s="1438">
        <f ca="1">IF(B140&gt;=$J$5,0,(CONTADORES!O140-CONTADORES!O139))</f>
        <v>10.800000000017462</v>
      </c>
      <c r="AL140" s="1439">
        <f t="shared" ca="1" si="74"/>
        <v>33.499999999939917</v>
      </c>
      <c r="AM140" s="1438">
        <f ca="1">IF(B140&gt;=$J$5,0,(((CONTADORES!F140-CONTADORES!F139)+(CONTADORES!AO140-CONTADORES!AO139))))-BJ140-AF140-AN140-BM140-BP140-BU140-BS140</f>
        <v>8.5955000000369317</v>
      </c>
      <c r="AN140" s="1438">
        <f ca="1">IF(B140&gt;=$J$5,0,(CONTADORES!AV140-CONTADORES!AV139)+(CONTADORES!AX140-CONTADORES!AX139)+(CONTADORES!BC140-CONTADORES!BC139))-BS140</f>
        <v>3.3189999999998179</v>
      </c>
      <c r="AO140" s="1438">
        <f ca="1">IF(B140&gt;=$J$5,0,(CONTADORES!AA140-CONTADORES!AA139))</f>
        <v>75.099999999976717</v>
      </c>
      <c r="AP140" s="1438">
        <f ca="1">IF(B140&gt;=$J$5,0,(CONTADORES!V140-CONTADORES!V139))</f>
        <v>143.20000000000073</v>
      </c>
      <c r="AQ140" s="1438">
        <f ca="1">IF(B140&gt;=$J$5,0,(CONTADORES!C140-CONTADORES!C139))</f>
        <v>0</v>
      </c>
      <c r="AR140" s="1438">
        <f ca="1">IF(B140&gt;=$J$5,0,(CONTADORES!BA140-CONTADORES!BA139))</f>
        <v>0</v>
      </c>
      <c r="AS140" s="1438">
        <f ca="1">IF(B140&gt;=$J$5,0,CONTADORES!Q140-CONTADORES!Q139)</f>
        <v>14.100000000005821</v>
      </c>
      <c r="AT140" s="1438">
        <f ca="1">IF(B140&gt;=$J$5,0,(CONTADORES!S140-CONTADORES!S139)+(CONTADORES!AE140-CONTADORES!AE139))</f>
        <v>2.4000000000014552</v>
      </c>
      <c r="AU140" s="1438">
        <f ca="1">IF(B140&gt;=$J$5,0,(CONTADORES!I140-CONTADORES!I139))</f>
        <v>82.600000000000364</v>
      </c>
      <c r="AV140" s="1438">
        <f ca="1">IF(B140&gt;=$J$5,0,(CONTADORES!AT140-CONTADORES!AT139))</f>
        <v>64</v>
      </c>
      <c r="AW140" s="1438">
        <f ca="1">IF(B140&gt;=$J$5,0,(CONTADORES!L140-CONTADORES!L139)+(CONTADORES!AL140-CONTADORES!AL139))</f>
        <v>4.9000000000014552</v>
      </c>
      <c r="AX140" s="1438">
        <f ca="1">IF(B140&gt;=$J$5,0,(CONTADORES!N140-CONTADORES!N139)+(CONTADORES!AJ140-CONTADORES!AJ139))</f>
        <v>31.5</v>
      </c>
      <c r="AY140" s="1438">
        <f ca="1">IF(B140&gt;=$J$5,0,(CONTADORES!AH140-CONTADORES!AH139))</f>
        <v>3.9000000000014552</v>
      </c>
      <c r="AZ140" s="1438">
        <f ca="1">IF(B140&gt;=$J$5,0,(CONTADORES!P140-CONTADORES!P139))</f>
        <v>8.5999999999912689</v>
      </c>
      <c r="BA140" s="1439">
        <f t="shared" ca="1" si="75"/>
        <v>5.7079999999891129</v>
      </c>
      <c r="BB140" s="1438">
        <f ca="1">IF(B140&gt;=$J$5,0,(((CONTADORES!G140-CONTADORES!G139)+(CONTADORES!AP140-CONTADORES!AP139)+AR140)-(AV140+BC140)))</f>
        <v>7.9999999999936335</v>
      </c>
      <c r="BC140" s="1438">
        <f ca="1">IF(B140&gt;=$J$5,0,(CONTADORES!AW140-CONTADORES!AW139)+(CONTADORES!AY140-CONTADORES!AY139)+(CONTADORES!BD140-CONTADORES!BD139))</f>
        <v>2.5</v>
      </c>
      <c r="BD140" s="1438">
        <f t="shared" ca="1" si="76"/>
        <v>218.29999999997744</v>
      </c>
      <c r="BE140" s="1439">
        <f ca="1">IF($B140&gt;=$J$5,0,CONTADORES!$BE140)</f>
        <v>5799.84</v>
      </c>
      <c r="BF140" s="1438">
        <f ca="1">IF($B140&gt;=$J$5,0,CONTADORES!$BF140)</f>
        <v>29341.110526315792</v>
      </c>
      <c r="BG140" s="1438">
        <f ca="1">IF($B140&gt;=$J$5,0,CONTADORES!$BH140)</f>
        <v>5967.74</v>
      </c>
      <c r="BH140" s="1438">
        <f ca="1">IF(B140&gt;=$J$5,0,(CONTADORES!AQ140-CONTADORES!AQ139))</f>
        <v>5</v>
      </c>
      <c r="BI140" s="1438">
        <f ca="1">IF(B140&gt;=$J$5,0,(CONTADORES!AR140-CONTADORES!AR139))</f>
        <v>0</v>
      </c>
      <c r="BJ140" s="1439">
        <f ca="1">IF(B140&gt;=$J$5,0,CONTADORES!BI140-CONTADORES!BI139)/1000</f>
        <v>0.34649999999999997</v>
      </c>
      <c r="BK140" s="1439">
        <f ca="1">IF(B140&gt;=$J$5,0,CONTADORES!BJ140-CONTADORES!BJ139)</f>
        <v>1</v>
      </c>
      <c r="BL140" s="1439">
        <f ca="1">IF(B140&gt;=$J$5,0,CONTADORES!BK140-CONTADORES!BK139)</f>
        <v>3.3300000000017462</v>
      </c>
      <c r="BM140" s="1439">
        <f ca="1">IF(B140&gt;=$J$5,0,CONTADORES!BL140-CONTADORES!BL139)/1000</f>
        <v>4.0330000000000004</v>
      </c>
      <c r="BN140" s="1439">
        <f ca="1">IF(B140&gt;=$J$5,0,CONTADORES!BM140-CONTADORES!BM139)/1000</f>
        <v>0.249</v>
      </c>
      <c r="BO140" s="1439">
        <f ca="1">IF(B140&gt;=$J$5,0,CONTADORES!BN140-CONTADORES!BN139)</f>
        <v>20.399999999997817</v>
      </c>
      <c r="BP140" s="1439">
        <f ca="1">IF(B140&gt;=$J$5,0,CONTADORES!BO140-CONTADORES!BO139)/1000</f>
        <v>3.9249999999999998</v>
      </c>
      <c r="BQ140" s="1439">
        <f ca="1">IF(B140&gt;=$J$5,0,CONTADORES!BP140-CONTADORES!BP139)/1000</f>
        <v>0.188</v>
      </c>
      <c r="BR140" s="1439">
        <f ca="1">IF(B140&gt;=$J$5,0,CONTADORES!BQ140-CONTADORES!BQ139)</f>
        <v>24</v>
      </c>
      <c r="BS140" s="1439">
        <f ca="1">IF(B140&gt;=$J$5,0,(CONTADORES!BT140-CONTADORES!BT139)+(CONTADORES!BV140-CONTADORES!BV139))/1000</f>
        <v>1.381</v>
      </c>
      <c r="BT140" s="1439">
        <f ca="1">IF(B140&gt;=$J$5,0,(CONTADORES!BU140-CONTADORES!BU139)+(CONTADORES!BW140-CONTADORES!BW139))/1000</f>
        <v>0.85499999999999998</v>
      </c>
      <c r="BU140" s="1439">
        <f ca="1">IF(B140&gt;=$J$5,0,CONTADORES!BR140-CONTADORES!BR139)</f>
        <v>6.1000000000003638</v>
      </c>
      <c r="BV140" s="1439">
        <f ca="1">IF(B140&gt;=$J$5,0,CONTADORES!BS140-CONTADORES!BS139)</f>
        <v>4.3000000000001819</v>
      </c>
      <c r="BW140" s="1439">
        <f t="shared" ca="1" si="77"/>
        <v>10.39775000001883</v>
      </c>
      <c r="BX140" s="1439">
        <f t="shared" ca="1" si="78"/>
        <v>8.2999999999969987</v>
      </c>
      <c r="BY140" s="1439">
        <f t="shared" ca="1" si="79"/>
        <v>4.2977500000184659</v>
      </c>
      <c r="BZ140" s="1439">
        <f t="shared" ca="1" si="80"/>
        <v>1.3275999999999273</v>
      </c>
      <c r="CA140" s="1439">
        <f t="shared" ca="1" si="81"/>
        <v>4.2977500000184659</v>
      </c>
      <c r="CB140" s="1439">
        <f t="shared" ca="1" si="82"/>
        <v>1.9913999999998906</v>
      </c>
      <c r="CC140" s="1439">
        <f t="shared" ca="1" si="83"/>
        <v>2.7085999999999273</v>
      </c>
      <c r="CD140" s="1439">
        <f t="shared" ca="1" si="84"/>
        <v>3.9999999999968168</v>
      </c>
      <c r="CE140" s="1439">
        <f ca="1">IF(B140&gt;=$J$5,0,CONTADORES!BS140-CONTADORES!BS139)</f>
        <v>4.3000000000001819</v>
      </c>
      <c r="CF140" s="1439">
        <f t="shared" ca="1" si="85"/>
        <v>3.9999999999968168</v>
      </c>
      <c r="CG140" s="1439">
        <f t="shared" ca="1" si="86"/>
        <v>1.25</v>
      </c>
      <c r="CH140" s="1439">
        <f t="shared" ca="1" si="87"/>
        <v>1.25</v>
      </c>
      <c r="CI140" s="1439">
        <f t="shared" ca="1" si="88"/>
        <v>2.105</v>
      </c>
      <c r="CJ140" s="1488">
        <f ca="1">IF($B140&gt;=$J$5,0,CONTADORES!$BG140)</f>
        <v>7576.1774173766835</v>
      </c>
      <c r="CK140" s="1406">
        <f>CONTADORES!E140</f>
        <v>0</v>
      </c>
      <c r="CL140" s="1406">
        <f>CONTADORES!BX140</f>
        <v>0</v>
      </c>
    </row>
    <row r="141" spans="2:90">
      <c r="B141" s="410">
        <v>45057</v>
      </c>
      <c r="C141" s="204">
        <f t="shared" ca="1" si="64"/>
        <v>149.09999999997672</v>
      </c>
      <c r="D141" s="202">
        <f ca="1">'CALCULO DE GAS'!D150</f>
        <v>3.8739873956943782</v>
      </c>
      <c r="E141" s="202">
        <f ca="1">IF(B141&gt;=$J$5,0,(CONTADORES!$AB141-CONTADORES!$AB140)-$H141)</f>
        <v>24</v>
      </c>
      <c r="F141" s="204">
        <f t="shared" ca="1" si="63"/>
        <v>0</v>
      </c>
      <c r="G141" s="202">
        <f ca="1">IF(B141&gt;=$J$5,0,CONTADORES!$AD141-CONTADORES!$AD140)</f>
        <v>0</v>
      </c>
      <c r="H141" s="202">
        <f ca="1">IF(G141&gt;0,CONTADORES!$AC141-CONTADORES!$AC140,0)</f>
        <v>0</v>
      </c>
      <c r="I141" s="205">
        <f ca="1">IF(B141&gt;=$J$5,0,CONTADORES!$Z141-CONTADORES!$Z140)</f>
        <v>149.09999999997672</v>
      </c>
      <c r="J141" s="204">
        <f t="shared" ca="1" si="65"/>
        <v>306.09999999999854</v>
      </c>
      <c r="K141" s="202">
        <f ca="1">'CALCULO DE GAS'!E150</f>
        <v>5.2173009066365266</v>
      </c>
      <c r="L141" s="1437">
        <f ca="1">IF(B141&gt;=$J$5,0,(CONTADORES!$W141-CONTADORES!$W140)-$O141)</f>
        <v>24</v>
      </c>
      <c r="M141" s="1437">
        <f t="shared" ref="M141:M172" ca="1" si="89">IF(O141=0,0,"ERROR")</f>
        <v>0</v>
      </c>
      <c r="N141" s="1437">
        <f ca="1">IF(B141&gt;=$J$5,0,CONTADORES!$Y141-CONTADORES!$Y140)</f>
        <v>0</v>
      </c>
      <c r="O141" s="1437">
        <f ca="1">IF(N141&gt;0,CONTADORES!$X141-CONTADORES!$X140,0)</f>
        <v>0</v>
      </c>
      <c r="P141" s="208">
        <f ca="1">IF(B141&gt;=$J$5,0,CONTADORES!$U141-CONTADORES!$U140)</f>
        <v>306.09999999999854</v>
      </c>
      <c r="Q141" s="208">
        <f ca="1">IF(B141&gt;=$J$5,0,CONTADORES!$B141-CONTADORES!$B140)</f>
        <v>0</v>
      </c>
      <c r="R141" s="202">
        <f t="shared" ca="1" si="66"/>
        <v>0</v>
      </c>
      <c r="S141" s="11">
        <f ca="1">IF(B141&gt;=$J$5,0,CONTADORES!$D141-CONTADORES!$D140)</f>
        <v>0</v>
      </c>
      <c r="T141" s="204">
        <f ca="1">IF(B141&gt;=$J$5,0,CONTADORES!$AZ141-CONTADORES!$AZ140)</f>
        <v>0</v>
      </c>
      <c r="U141" s="202">
        <f t="shared" ca="1" si="61"/>
        <v>0</v>
      </c>
      <c r="V141" s="205">
        <f ca="1">IF(B141&gt;=$J$5,0,CONTADORES!$BB141-CONTADORES!$BB140)</f>
        <v>0</v>
      </c>
      <c r="W141" s="1438">
        <f t="shared" ca="1" si="67"/>
        <v>455.19999999997526</v>
      </c>
      <c r="X141" s="1438">
        <f t="shared" ca="1" si="68"/>
        <v>0</v>
      </c>
      <c r="Y141" s="1439">
        <f t="shared" ca="1" si="69"/>
        <v>455.19999999997526</v>
      </c>
      <c r="Z141" s="1439">
        <f t="shared" ca="1" si="70"/>
        <v>9.0912883023309057</v>
      </c>
      <c r="AA141" s="1439">
        <f t="shared" ca="1" si="71"/>
        <v>0</v>
      </c>
      <c r="AB141" s="1439">
        <f t="shared" ca="1" si="72"/>
        <v>48</v>
      </c>
      <c r="AC141" s="1438">
        <f t="shared" ca="1" si="73"/>
        <v>0</v>
      </c>
      <c r="AD141" s="1438">
        <f ca="1">IF(B141&gt;=$J$5,0,CONTADORES!H141-CONTADORES!H140)</f>
        <v>168.40000000000055</v>
      </c>
      <c r="AE141" s="1439">
        <f ca="1">IF(B141&gt;=$J$5,0,CONTADORES!J141-CONTADORES!J140)</f>
        <v>24</v>
      </c>
      <c r="AF141" s="1438">
        <f ca="1">IF(B141&gt;=$J$5,0,CONTADORES!AS141-CONTADORES!AS140)</f>
        <v>147.39999999996508</v>
      </c>
      <c r="AG141" s="1439">
        <f ca="1">IF(B141&gt;=$J$5,0,CONTADORES!AU141-CONTADORES!AU140)</f>
        <v>24</v>
      </c>
      <c r="AH141" s="1439">
        <f ca="1">IF(B141&gt;=$J$5,0,(CONTADORES!AK141-CONTADORES!AK140)+(CONTADORES!K141-CONTADORES!K140))</f>
        <v>17.80000000000291</v>
      </c>
      <c r="AI141" s="1438">
        <f ca="1">IF(B141&gt;=$J$5,0,(CONTADORES!AI141-CONTADORES!AI140)+(CONTADORES!M141-CONTADORES!M140))</f>
        <v>37.900000000008731</v>
      </c>
      <c r="AJ141" s="1438">
        <f ca="1">IF(B141&gt;=$J$5,0,(CONTADORES!AG141-CONTADORES!AG140))</f>
        <v>6.1000000000058208</v>
      </c>
      <c r="AK141" s="1438">
        <f ca="1">IF(B141&gt;=$J$5,0,(CONTADORES!O141-CONTADORES!O140))</f>
        <v>13.399999999994179</v>
      </c>
      <c r="AL141" s="1439">
        <f t="shared" ca="1" si="74"/>
        <v>35.100000000010368</v>
      </c>
      <c r="AM141" s="1438">
        <f ca="1">IF(B141&gt;=$J$5,0,(((CONTADORES!F141-CONTADORES!F140)+(CONTADORES!AO141-CONTADORES!AO140))))-BJ141-AF141-AN141-BM141-BP141-BU141-BS141</f>
        <v>9.4489999999878105</v>
      </c>
      <c r="AN141" s="1438">
        <f ca="1">IF(B141&gt;=$J$5,0,(CONTADORES!AV141-CONTADORES!AV140)+(CONTADORES!AX141-CONTADORES!AX140)+(CONTADORES!BC141-CONTADORES!BC140))-BS141</f>
        <v>3.3720000000005457</v>
      </c>
      <c r="AO141" s="1438">
        <f ca="1">IF(B141&gt;=$J$5,0,(CONTADORES!AA141-CONTADORES!AA140))</f>
        <v>70.5</v>
      </c>
      <c r="AP141" s="1438">
        <f ca="1">IF(B141&gt;=$J$5,0,(CONTADORES!V141-CONTADORES!V140))</f>
        <v>155.70000000000073</v>
      </c>
      <c r="AQ141" s="1438">
        <f ca="1">IF(B141&gt;=$J$5,0,(CONTADORES!C141-CONTADORES!C140))</f>
        <v>0</v>
      </c>
      <c r="AR141" s="1438">
        <f ca="1">IF(B141&gt;=$J$5,0,(CONTADORES!BA141-CONTADORES!BA140))</f>
        <v>0</v>
      </c>
      <c r="AS141" s="1438">
        <f ca="1">IF(B141&gt;=$J$5,0,CONTADORES!Q141-CONTADORES!Q140)</f>
        <v>14.800000000017462</v>
      </c>
      <c r="AT141" s="1438">
        <f ca="1">IF(B141&gt;=$J$5,0,(CONTADORES!S141-CONTADORES!S140)+(CONTADORES!AE141-CONTADORES!AE140))</f>
        <v>2.5999999999985448</v>
      </c>
      <c r="AU141" s="1438">
        <f ca="1">IF(B141&gt;=$J$5,0,(CONTADORES!I141-CONTADORES!I140))</f>
        <v>83.5</v>
      </c>
      <c r="AV141" s="1438">
        <f ca="1">IF(B141&gt;=$J$5,0,(CONTADORES!AT141-CONTADORES!AT140))</f>
        <v>64</v>
      </c>
      <c r="AW141" s="1438">
        <f ca="1">IF(B141&gt;=$J$5,0,(CONTADORES!L141-CONTADORES!L140)+(CONTADORES!AL141-CONTADORES!AL140))</f>
        <v>7.0999999999985448</v>
      </c>
      <c r="AX141" s="1438">
        <f ca="1">IF(B141&gt;=$J$5,0,(CONTADORES!N141-CONTADORES!N140)+(CONTADORES!AJ141-CONTADORES!AJ140))</f>
        <v>32.099999999998545</v>
      </c>
      <c r="AY141" s="1438">
        <f ca="1">IF(B141&gt;=$J$5,0,(CONTADORES!AH141-CONTADORES!AH140))</f>
        <v>4.5</v>
      </c>
      <c r="AZ141" s="1438">
        <f ca="1">IF(B141&gt;=$J$5,0,(CONTADORES!P141-CONTADORES!P140))</f>
        <v>9.9000000000087311</v>
      </c>
      <c r="BA141" s="1439">
        <f t="shared" ca="1" si="75"/>
        <v>7.7699999999879878</v>
      </c>
      <c r="BB141" s="1438">
        <f ca="1">IF(B141&gt;=$J$5,0,(((CONTADORES!G141-CONTADORES!G140)+(CONTADORES!AP141-CONTADORES!AP140)+AR141)-(AV141+BC141)))</f>
        <v>9.1000000000062755</v>
      </c>
      <c r="BC141" s="1438">
        <f ca="1">IF(B141&gt;=$J$5,0,(CONTADORES!AW141-CONTADORES!AW140)+(CONTADORES!AY141-CONTADORES!AY140)+(CONTADORES!BD141-CONTADORES!BD140))</f>
        <v>2.4000000000000909</v>
      </c>
      <c r="BD141" s="1438">
        <f t="shared" ca="1" si="76"/>
        <v>226.20000000000073</v>
      </c>
      <c r="BE141" s="1439">
        <f ca="1">IF($B141&gt;=$J$5,0,CONTADORES!$BE141)</f>
        <v>5573.84</v>
      </c>
      <c r="BF141" s="1438">
        <f ca="1">IF($B141&gt;=$J$5,0,CONTADORES!$BF141)</f>
        <v>30119.514035087701</v>
      </c>
      <c r="BG141" s="1438">
        <f ca="1">IF($B141&gt;=$J$5,0,CONTADORES!$BH141)</f>
        <v>5586.58</v>
      </c>
      <c r="BH141" s="1438">
        <f ca="1">IF(B141&gt;=$J$5,0,(CONTADORES!AQ141-CONTADORES!AQ140))</f>
        <v>5</v>
      </c>
      <c r="BI141" s="1438">
        <f ca="1">IF(B141&gt;=$J$5,0,(CONTADORES!AR141-CONTADORES!AR140))</f>
        <v>0</v>
      </c>
      <c r="BJ141" s="1439">
        <f ca="1">IF(B141&gt;=$J$5,0,CONTADORES!BI141-CONTADORES!BI140)/1000</f>
        <v>0</v>
      </c>
      <c r="BK141" s="1439">
        <f ca="1">IF(B141&gt;=$J$5,0,CONTADORES!BJ141-CONTADORES!BJ140)</f>
        <v>0</v>
      </c>
      <c r="BL141" s="1439">
        <f ca="1">IF(B141&gt;=$J$5,0,CONTADORES!BK141-CONTADORES!BK140)</f>
        <v>0</v>
      </c>
      <c r="BM141" s="1439">
        <f ca="1">IF(B141&gt;=$J$5,0,CONTADORES!BL141-CONTADORES!BL140)/1000</f>
        <v>4.7729999999999997</v>
      </c>
      <c r="BN141" s="1439">
        <f ca="1">IF(B141&gt;=$J$5,0,CONTADORES!BM141-CONTADORES!BM140)/1000</f>
        <v>0.39300000000000002</v>
      </c>
      <c r="BO141" s="1439">
        <f ca="1">IF(B141&gt;=$J$5,0,CONTADORES!BN141-CONTADORES!BN140)</f>
        <v>24</v>
      </c>
      <c r="BP141" s="1439">
        <f ca="1">IF(B141&gt;=$J$5,0,CONTADORES!BO141-CONTADORES!BO140)/1000</f>
        <v>3.6779999999999999</v>
      </c>
      <c r="BQ141" s="1439">
        <f ca="1">IF(B141&gt;=$J$5,0,CONTADORES!BP141-CONTADORES!BP140)/1000</f>
        <v>0.104</v>
      </c>
      <c r="BR141" s="1439">
        <f ca="1">IF(B141&gt;=$J$5,0,CONTADORES!BQ141-CONTADORES!BQ140)</f>
        <v>24</v>
      </c>
      <c r="BS141" s="1439">
        <f ca="1">IF(B141&gt;=$J$5,0,(CONTADORES!BT141-CONTADORES!BT140)+(CONTADORES!BV141-CONTADORES!BV140))/1000</f>
        <v>1.528</v>
      </c>
      <c r="BT141" s="1439">
        <f ca="1">IF(B141&gt;=$J$5,0,(CONTADORES!BU141-CONTADORES!BU140)+(CONTADORES!BW141-CONTADORES!BW140))/1000</f>
        <v>0.93300000000000005</v>
      </c>
      <c r="BU141" s="1439">
        <f ca="1">IF(B141&gt;=$J$5,0,CONTADORES!BR141-CONTADORES!BR140)</f>
        <v>6.2999999999992724</v>
      </c>
      <c r="BV141" s="1439">
        <f ca="1">IF(B141&gt;=$J$5,0,CONTADORES!BS141-CONTADORES!BS140)</f>
        <v>4.4000000000005457</v>
      </c>
      <c r="BW141" s="1439">
        <f t="shared" ca="1" si="77"/>
        <v>11.024499999993179</v>
      </c>
      <c r="BX141" s="1439">
        <f t="shared" ca="1" si="78"/>
        <v>8.9500000000036835</v>
      </c>
      <c r="BY141" s="1439">
        <f t="shared" ca="1" si="79"/>
        <v>4.7244999999939052</v>
      </c>
      <c r="BZ141" s="1439">
        <f t="shared" ca="1" si="80"/>
        <v>1.3488000000002183</v>
      </c>
      <c r="CA141" s="1439">
        <f t="shared" ca="1" si="81"/>
        <v>4.7244999999939052</v>
      </c>
      <c r="CB141" s="1439">
        <f t="shared" ca="1" si="82"/>
        <v>2.0232000000003274</v>
      </c>
      <c r="CC141" s="1439">
        <f t="shared" ca="1" si="83"/>
        <v>2.8768000000002183</v>
      </c>
      <c r="CD141" s="1439">
        <f t="shared" ca="1" si="84"/>
        <v>4.5500000000031378</v>
      </c>
      <c r="CE141" s="1439">
        <f ca="1">IF(B141&gt;=$J$5,0,CONTADORES!BS141-CONTADORES!BS140)</f>
        <v>4.4000000000005457</v>
      </c>
      <c r="CF141" s="1439">
        <f t="shared" ca="1" si="85"/>
        <v>4.5500000000031378</v>
      </c>
      <c r="CG141" s="1439">
        <f t="shared" ca="1" si="86"/>
        <v>1.2000000000000455</v>
      </c>
      <c r="CH141" s="1439">
        <f t="shared" ca="1" si="87"/>
        <v>1.2000000000000455</v>
      </c>
      <c r="CI141" s="1439">
        <f t="shared" ca="1" si="88"/>
        <v>2.1330000000000453</v>
      </c>
      <c r="CJ141" s="1488">
        <f ca="1">IF($B141&gt;=$J$5,0,CONTADORES!$BG141)</f>
        <v>7321.9405397298297</v>
      </c>
      <c r="CK141" s="1406">
        <f>CONTADORES!E141</f>
        <v>0</v>
      </c>
      <c r="CL141" s="1406">
        <f>CONTADORES!BX141</f>
        <v>0</v>
      </c>
    </row>
    <row r="142" spans="2:90">
      <c r="B142" s="410">
        <v>45058</v>
      </c>
      <c r="C142" s="204">
        <f t="shared" ca="1" si="64"/>
        <v>150</v>
      </c>
      <c r="D142" s="202">
        <f ca="1">'CALCULO DE GAS'!D151</f>
        <v>3.8816879190057101</v>
      </c>
      <c r="E142" s="202">
        <f ca="1">IF(B142&gt;=$J$5,0,(CONTADORES!$AB142-CONTADORES!$AB141)-$H142)</f>
        <v>24</v>
      </c>
      <c r="F142" s="204">
        <f t="shared" ca="1" si="63"/>
        <v>0</v>
      </c>
      <c r="G142" s="202">
        <f ca="1">IF(B142&gt;=$J$5,0,CONTADORES!$AD142-CONTADORES!$AD141)</f>
        <v>0</v>
      </c>
      <c r="H142" s="202">
        <f ca="1">IF(G142&gt;0,CONTADORES!$AC142-CONTADORES!$AC141,0)</f>
        <v>0</v>
      </c>
      <c r="I142" s="205">
        <f ca="1">IF(B142&gt;=$J$5,0,CONTADORES!$Z142-CONTADORES!$Z141)</f>
        <v>150</v>
      </c>
      <c r="J142" s="204">
        <f t="shared" ca="1" si="65"/>
        <v>296.09999999999854</v>
      </c>
      <c r="K142" s="202">
        <f ca="1">'CALCULO DE GAS'!E151</f>
        <v>5.1317395365128355</v>
      </c>
      <c r="L142" s="1437">
        <f ca="1">IF(B142&gt;=$J$5,0,(CONTADORES!$W142-CONTADORES!$W141)-$O142)</f>
        <v>24</v>
      </c>
      <c r="M142" s="1437">
        <f t="shared" ca="1" si="89"/>
        <v>0</v>
      </c>
      <c r="N142" s="1437">
        <f ca="1">IF(B142&gt;=$J$5,0,CONTADORES!$Y142-CONTADORES!$Y141)</f>
        <v>0</v>
      </c>
      <c r="O142" s="1437">
        <f ca="1">IF(N142&gt;0,CONTADORES!$X142-CONTADORES!$X141,0)</f>
        <v>0</v>
      </c>
      <c r="P142" s="208">
        <f ca="1">IF(B142&gt;=$J$5,0,CONTADORES!$U142-CONTADORES!$U141)</f>
        <v>296.09999999999854</v>
      </c>
      <c r="Q142" s="208">
        <f ca="1">IF(B142&gt;=$J$5,0,CONTADORES!$B142-CONTADORES!$B141)</f>
        <v>0</v>
      </c>
      <c r="R142" s="202">
        <f t="shared" ca="1" si="66"/>
        <v>0</v>
      </c>
      <c r="S142" s="11">
        <f ca="1">IF(B142&gt;=$J$5,0,CONTADORES!$D142-CONTADORES!$D141)</f>
        <v>0</v>
      </c>
      <c r="T142" s="204">
        <f ca="1">IF(B142&gt;=$J$5,0,CONTADORES!$AZ142-CONTADORES!$AZ141)</f>
        <v>0</v>
      </c>
      <c r="U142" s="202">
        <f t="shared" ca="1" si="61"/>
        <v>0</v>
      </c>
      <c r="V142" s="205">
        <f ca="1">IF(B142&gt;=$J$5,0,CONTADORES!$BB142-CONTADORES!$BB141)</f>
        <v>0</v>
      </c>
      <c r="W142" s="1438">
        <f t="shared" ca="1" si="67"/>
        <v>446.09999999999854</v>
      </c>
      <c r="X142" s="1438">
        <f t="shared" ca="1" si="68"/>
        <v>0</v>
      </c>
      <c r="Y142" s="1439">
        <f t="shared" ca="1" si="69"/>
        <v>446.09999999999854</v>
      </c>
      <c r="Z142" s="1439">
        <f t="shared" ca="1" si="70"/>
        <v>9.0134274555185456</v>
      </c>
      <c r="AA142" s="1439">
        <f t="shared" ca="1" si="71"/>
        <v>0</v>
      </c>
      <c r="AB142" s="1439">
        <f t="shared" ca="1" si="72"/>
        <v>48</v>
      </c>
      <c r="AC142" s="1438">
        <f t="shared" ca="1" si="73"/>
        <v>0</v>
      </c>
      <c r="AD142" s="1438">
        <f ca="1">IF(B142&gt;=$J$5,0,CONTADORES!H142-CONTADORES!H141)</f>
        <v>169.39999999999964</v>
      </c>
      <c r="AE142" s="1439">
        <f ca="1">IF(B142&gt;=$J$5,0,CONTADORES!J142-CONTADORES!J141)</f>
        <v>24</v>
      </c>
      <c r="AF142" s="1438">
        <f ca="1">IF(B142&gt;=$J$5,0,CONTADORES!AS142-CONTADORES!AS141)</f>
        <v>146.90000000002328</v>
      </c>
      <c r="AG142" s="1439">
        <f ca="1">IF(B142&gt;=$J$5,0,CONTADORES!AU142-CONTADORES!AU141)</f>
        <v>24</v>
      </c>
      <c r="AH142" s="1439">
        <f ca="1">IF(B142&gt;=$J$5,0,(CONTADORES!AK142-CONTADORES!AK141)+(CONTADORES!K142-CONTADORES!K141))</f>
        <v>10.69999999999709</v>
      </c>
      <c r="AI142" s="1438">
        <f ca="1">IF(B142&gt;=$J$5,0,(CONTADORES!AI142-CONTADORES!AI141)+(CONTADORES!M142-CONTADORES!M141))</f>
        <v>36.899999999994179</v>
      </c>
      <c r="AJ142" s="1438">
        <f ca="1">IF(B142&gt;=$J$5,0,(CONTADORES!AG142-CONTADORES!AG141))</f>
        <v>5.8999999999941792</v>
      </c>
      <c r="AK142" s="1438">
        <f ca="1">IF(B142&gt;=$J$5,0,(CONTADORES!O142-CONTADORES!O141))</f>
        <v>12</v>
      </c>
      <c r="AL142" s="1439">
        <f t="shared" ca="1" si="74"/>
        <v>34.099999999989507</v>
      </c>
      <c r="AM142" s="1438">
        <f ca="1">IF(B142&gt;=$J$5,0,(((CONTADORES!F142-CONTADORES!F141)+(CONTADORES!AO142-CONTADORES!AO141))))-BJ142-AF142-AN142-BM142-BP142-BU142-BS142</f>
        <v>10.684000000000003</v>
      </c>
      <c r="AN142" s="1438">
        <f ca="1">IF(B142&gt;=$J$5,0,(CONTADORES!AV142-CONTADORES!AV141)+(CONTADORES!AX142-CONTADORES!AX141)+(CONTADORES!BC142-CONTADORES!BC141))-BS142</f>
        <v>3.3379999999996359</v>
      </c>
      <c r="AO142" s="1438">
        <f ca="1">IF(B142&gt;=$J$5,0,(CONTADORES!AA142-CONTADORES!AA141))</f>
        <v>75</v>
      </c>
      <c r="AP142" s="1438">
        <f ca="1">IF(B142&gt;=$J$5,0,(CONTADORES!V142-CONTADORES!V141))</f>
        <v>147.09999999999854</v>
      </c>
      <c r="AQ142" s="1438">
        <f ca="1">IF(B142&gt;=$J$5,0,(CONTADORES!C142-CONTADORES!C141))</f>
        <v>0</v>
      </c>
      <c r="AR142" s="1438">
        <f ca="1">IF(B142&gt;=$J$5,0,(CONTADORES!BA142-CONTADORES!BA141))</f>
        <v>0</v>
      </c>
      <c r="AS142" s="1438">
        <f ca="1">IF(B142&gt;=$J$5,0,CONTADORES!Q142-CONTADORES!Q141)</f>
        <v>14.599999999976717</v>
      </c>
      <c r="AT142" s="1438">
        <f ca="1">IF(B142&gt;=$J$5,0,(CONTADORES!S142-CONTADORES!S141)+(CONTADORES!AE142-CONTADORES!AE141))</f>
        <v>2.5</v>
      </c>
      <c r="AU142" s="1438">
        <f ca="1">IF(B142&gt;=$J$5,0,(CONTADORES!I142-CONTADORES!I141))</f>
        <v>84.199999999999818</v>
      </c>
      <c r="AV142" s="1438">
        <f ca="1">IF(B142&gt;=$J$5,0,(CONTADORES!AT142-CONTADORES!AT141))</f>
        <v>63.600000000005821</v>
      </c>
      <c r="AW142" s="1438">
        <f ca="1">IF(B142&gt;=$J$5,0,(CONTADORES!L142-CONTADORES!L141)+(CONTADORES!AL142-CONTADORES!AL141))</f>
        <v>4.2999999999992724</v>
      </c>
      <c r="AX142" s="1438">
        <f ca="1">IF(B142&gt;=$J$5,0,(CONTADORES!N142-CONTADORES!N141)+(CONTADORES!AJ142-CONTADORES!AJ141))</f>
        <v>31.200000000004366</v>
      </c>
      <c r="AY142" s="1438">
        <f ca="1">IF(B142&gt;=$J$5,0,(CONTADORES!AH142-CONTADORES!AH141))</f>
        <v>4.3000000000029104</v>
      </c>
      <c r="AZ142" s="1438">
        <f ca="1">IF(B142&gt;=$J$5,0,(CONTADORES!P142-CONTADORES!P141))</f>
        <v>9.3000000000029104</v>
      </c>
      <c r="BA142" s="1439">
        <f t="shared" ca="1" si="75"/>
        <v>7.2589999999906922</v>
      </c>
      <c r="BB142" s="1438">
        <f ca="1">IF(B142&gt;=$J$5,0,(((CONTADORES!G142-CONTADORES!G141)+(CONTADORES!AP142-CONTADORES!AP141)+AR142)-(AV142+BC142)))</f>
        <v>9.9999999999931788</v>
      </c>
      <c r="BC142" s="1438">
        <f ca="1">IF(B142&gt;=$J$5,0,(CONTADORES!AW142-CONTADORES!AW141)+(CONTADORES!AY142-CONTADORES!AY141)+(CONTADORES!BD142-CONTADORES!BD141))</f>
        <v>2.2000000000002728</v>
      </c>
      <c r="BD142" s="1438">
        <f t="shared" ca="1" si="76"/>
        <v>222.09999999999854</v>
      </c>
      <c r="BE142" s="1439">
        <f ca="1">IF($B142&gt;=$J$5,0,CONTADORES!$BE142)</f>
        <v>5838.4</v>
      </c>
      <c r="BF142" s="1438">
        <f ca="1">IF($B142&gt;=$J$5,0,CONTADORES!$BF142)</f>
        <v>30944.549122806999</v>
      </c>
      <c r="BG142" s="1438">
        <f ca="1">IF($B142&gt;=$J$5,0,CONTADORES!$BH142)</f>
        <v>5979.91</v>
      </c>
      <c r="BH142" s="1438">
        <f ca="1">IF(B142&gt;=$J$5,0,(CONTADORES!AQ142-CONTADORES!AQ141))</f>
        <v>5</v>
      </c>
      <c r="BI142" s="1438">
        <f ca="1">IF(B142&gt;=$J$5,0,(CONTADORES!AR142-CONTADORES!AR141))</f>
        <v>0</v>
      </c>
      <c r="BJ142" s="1439">
        <f ca="1">IF(B142&gt;=$J$5,0,CONTADORES!BI142-CONTADORES!BI141)/1000</f>
        <v>0</v>
      </c>
      <c r="BK142" s="1439">
        <f ca="1">IF(B142&gt;=$J$5,0,CONTADORES!BJ142-CONTADORES!BJ141)</f>
        <v>0</v>
      </c>
      <c r="BL142" s="1439">
        <f ca="1">IF(B142&gt;=$J$5,0,CONTADORES!BK142-CONTADORES!BK141)</f>
        <v>0</v>
      </c>
      <c r="BM142" s="1439">
        <f ca="1">IF(B142&gt;=$J$5,0,CONTADORES!BL142-CONTADORES!BL141)/1000</f>
        <v>4.657</v>
      </c>
      <c r="BN142" s="1439">
        <f ca="1">IF(B142&gt;=$J$5,0,CONTADORES!BM142-CONTADORES!BM141)/1000</f>
        <v>0.40100000000000002</v>
      </c>
      <c r="BO142" s="1439">
        <f ca="1">IF(B142&gt;=$J$5,0,CONTADORES!BN142-CONTADORES!BN141)</f>
        <v>24</v>
      </c>
      <c r="BP142" s="1439">
        <f ca="1">IF(B142&gt;=$J$5,0,CONTADORES!BO142-CONTADORES!BO141)/1000</f>
        <v>3.6589999999999998</v>
      </c>
      <c r="BQ142" s="1439">
        <f ca="1">IF(B142&gt;=$J$5,0,CONTADORES!BP142-CONTADORES!BP141)/1000</f>
        <v>8.5999999999999993E-2</v>
      </c>
      <c r="BR142" s="1439">
        <f ca="1">IF(B142&gt;=$J$5,0,CONTADORES!BQ142-CONTADORES!BQ141)</f>
        <v>24</v>
      </c>
      <c r="BS142" s="1439">
        <f ca="1">IF(B142&gt;=$J$5,0,(CONTADORES!BT142-CONTADORES!BT141)+(CONTADORES!BV142-CONTADORES!BV141))/1000</f>
        <v>1.5620000000000001</v>
      </c>
      <c r="BT142" s="1439">
        <f ca="1">IF(B142&gt;=$J$5,0,(CONTADORES!BU142-CONTADORES!BU141)+(CONTADORES!BW142-CONTADORES!BW141))/1000</f>
        <v>0.95399999999999996</v>
      </c>
      <c r="BU142" s="1439">
        <f ca="1">IF(B142&gt;=$J$5,0,CONTADORES!BR142-CONTADORES!BR141)</f>
        <v>6.3000000000010914</v>
      </c>
      <c r="BV142" s="1439">
        <f ca="1">IF(B142&gt;=$J$5,0,CONTADORES!BS142-CONTADORES!BS141)</f>
        <v>4.2999999999992724</v>
      </c>
      <c r="BW142" s="1439">
        <f t="shared" ca="1" si="77"/>
        <v>11.642000000001094</v>
      </c>
      <c r="BX142" s="1439">
        <f t="shared" ca="1" si="78"/>
        <v>9.2999999999958618</v>
      </c>
      <c r="BY142" s="1439">
        <f t="shared" ca="1" si="79"/>
        <v>5.3420000000000014</v>
      </c>
      <c r="BZ142" s="1439">
        <f t="shared" ca="1" si="80"/>
        <v>1.3351999999998545</v>
      </c>
      <c r="CA142" s="1439">
        <f t="shared" ca="1" si="81"/>
        <v>5.3420000000000014</v>
      </c>
      <c r="CB142" s="1439">
        <f t="shared" ca="1" si="82"/>
        <v>2.0027999999997812</v>
      </c>
      <c r="CC142" s="1439">
        <f t="shared" ca="1" si="83"/>
        <v>2.8971999999998546</v>
      </c>
      <c r="CD142" s="1439">
        <f t="shared" ca="1" si="84"/>
        <v>4.9999999999965894</v>
      </c>
      <c r="CE142" s="1439">
        <f ca="1">IF(B142&gt;=$J$5,0,CONTADORES!BS142-CONTADORES!BS141)</f>
        <v>4.2999999999992724</v>
      </c>
      <c r="CF142" s="1439">
        <f t="shared" ca="1" si="85"/>
        <v>4.9999999999965894</v>
      </c>
      <c r="CG142" s="1439">
        <f t="shared" ca="1" si="86"/>
        <v>1.1000000000001364</v>
      </c>
      <c r="CH142" s="1439">
        <f t="shared" ca="1" si="87"/>
        <v>1.1000000000001364</v>
      </c>
      <c r="CI142" s="1439">
        <f t="shared" ca="1" si="88"/>
        <v>2.0540000000001362</v>
      </c>
      <c r="CJ142" s="1488">
        <f ca="1">IF($B142&gt;=$J$5,0,CONTADORES!$BG142)</f>
        <v>8745.8427386345793</v>
      </c>
      <c r="CK142" s="1406">
        <f>CONTADORES!E142</f>
        <v>0</v>
      </c>
      <c r="CL142" s="1406">
        <f>CONTADORES!BX142</f>
        <v>0</v>
      </c>
    </row>
    <row r="143" spans="2:90">
      <c r="B143" s="410">
        <v>45059</v>
      </c>
      <c r="C143" s="204">
        <f t="shared" ca="1" si="64"/>
        <v>150</v>
      </c>
      <c r="D143" s="202">
        <f ca="1">'CALCULO DE GAS'!D152</f>
        <v>3.8816879190057101</v>
      </c>
      <c r="E143" s="202">
        <f ca="1">IF(B143&gt;=$J$5,0,(CONTADORES!$AB143-CONTADORES!$AB142)-$H143)</f>
        <v>24</v>
      </c>
      <c r="F143" s="204">
        <f t="shared" ca="1" si="63"/>
        <v>0</v>
      </c>
      <c r="G143" s="202">
        <f ca="1">IF(B143&gt;=$J$5,0,CONTADORES!$AD143-CONTADORES!$AD142)</f>
        <v>0</v>
      </c>
      <c r="H143" s="202">
        <f ca="1">IF(G143&gt;0,CONTADORES!$AC143-CONTADORES!$AC142,0)</f>
        <v>0</v>
      </c>
      <c r="I143" s="205">
        <f ca="1">IF(B143&gt;=$J$5,0,CONTADORES!$Z143-CONTADORES!$Z142)</f>
        <v>150</v>
      </c>
      <c r="J143" s="204">
        <f t="shared" ca="1" si="65"/>
        <v>280</v>
      </c>
      <c r="K143" s="202">
        <f ca="1">'CALCULO DE GAS'!E152</f>
        <v>4.9939857306137032</v>
      </c>
      <c r="L143" s="1437">
        <f ca="1">IF(B143&gt;=$J$5,0,(CONTADORES!$W143-CONTADORES!$W142)-$O143)</f>
        <v>24</v>
      </c>
      <c r="M143" s="1437">
        <f t="shared" ca="1" si="89"/>
        <v>0</v>
      </c>
      <c r="N143" s="1437">
        <f ca="1">IF(B143&gt;=$J$5,0,CONTADORES!$Y143-CONTADORES!$Y142)</f>
        <v>0</v>
      </c>
      <c r="O143" s="1437">
        <f ca="1">IF(N143&gt;0,CONTADORES!$X143-CONTADORES!$X142,0)</f>
        <v>0</v>
      </c>
      <c r="P143" s="208">
        <f ca="1">IF(B143&gt;=$J$5,0,CONTADORES!$U143-CONTADORES!$U142)</f>
        <v>280</v>
      </c>
      <c r="Q143" s="208">
        <f ca="1">IF(B143&gt;=$J$5,0,CONTADORES!$B143-CONTADORES!$B142)</f>
        <v>0</v>
      </c>
      <c r="R143" s="202">
        <f t="shared" ca="1" si="66"/>
        <v>0</v>
      </c>
      <c r="S143" s="11">
        <f ca="1">IF(B143&gt;=$J$5,0,CONTADORES!$D143-CONTADORES!$D142)</f>
        <v>0</v>
      </c>
      <c r="T143" s="204">
        <f ca="1">IF(B143&gt;=$J$5,0,CONTADORES!$AZ143-CONTADORES!$AZ142)</f>
        <v>0</v>
      </c>
      <c r="U143" s="202">
        <f t="shared" ca="1" si="61"/>
        <v>0</v>
      </c>
      <c r="V143" s="205">
        <f ca="1">IF(B143&gt;=$J$5,0,CONTADORES!$BB143-CONTADORES!$BB142)</f>
        <v>0</v>
      </c>
      <c r="W143" s="1438">
        <f t="shared" ca="1" si="67"/>
        <v>430</v>
      </c>
      <c r="X143" s="1438">
        <f t="shared" ca="1" si="68"/>
        <v>0</v>
      </c>
      <c r="Y143" s="1439">
        <f t="shared" ca="1" si="69"/>
        <v>430</v>
      </c>
      <c r="Z143" s="1439">
        <f t="shared" ca="1" si="70"/>
        <v>8.8756736496194133</v>
      </c>
      <c r="AA143" s="1439">
        <f t="shared" ca="1" si="71"/>
        <v>0</v>
      </c>
      <c r="AB143" s="1439">
        <f t="shared" ca="1" si="72"/>
        <v>48</v>
      </c>
      <c r="AC143" s="1438">
        <f t="shared" ca="1" si="73"/>
        <v>0</v>
      </c>
      <c r="AD143" s="1438">
        <f ca="1">IF(B143&gt;=$J$5,0,CONTADORES!H143-CONTADORES!H142)</f>
        <v>168</v>
      </c>
      <c r="AE143" s="1439">
        <f ca="1">IF(B143&gt;=$J$5,0,CONTADORES!J143-CONTADORES!J142)</f>
        <v>24</v>
      </c>
      <c r="AF143" s="1438">
        <f ca="1">IF(B143&gt;=$J$5,0,CONTADORES!AS143-CONTADORES!AS142)</f>
        <v>148</v>
      </c>
      <c r="AG143" s="1439">
        <f ca="1">IF(B143&gt;=$J$5,0,CONTADORES!AU143-CONTADORES!AU142)</f>
        <v>24</v>
      </c>
      <c r="AH143" s="1439">
        <f ca="1">IF(B143&gt;=$J$5,0,(CONTADORES!AK143-CONTADORES!AK142)+(CONTADORES!K143-CONTADORES!K142))</f>
        <v>0</v>
      </c>
      <c r="AI143" s="1438">
        <f ca="1">IF(B143&gt;=$J$5,0,(CONTADORES!AI143-CONTADORES!AI142)+(CONTADORES!M143-CONTADORES!M142))</f>
        <v>36.900000000008731</v>
      </c>
      <c r="AJ143" s="1438">
        <f ca="1">IF(B143&gt;=$J$5,0,(CONTADORES!AG143-CONTADORES!AG142))</f>
        <v>4.7000000000116415</v>
      </c>
      <c r="AK143" s="1438">
        <f ca="1">IF(B143&gt;=$J$5,0,(CONTADORES!O143-CONTADORES!O142))</f>
        <v>9.7999999999883585</v>
      </c>
      <c r="AL143" s="1439">
        <f t="shared" ca="1" si="74"/>
        <v>35.199999999993452</v>
      </c>
      <c r="AM143" s="1438">
        <f ca="1">IF(B143&gt;=$J$5,0,(((CONTADORES!F143-CONTADORES!F142)+(CONTADORES!AO143-CONTADORES!AO142))))-BJ143-AF143-AN143-BM143-BP143-BU143-BS143</f>
        <v>8.2639999999984521</v>
      </c>
      <c r="AN143" s="1438">
        <f ca="1">IF(B143&gt;=$J$5,0,(CONTADORES!AV143-CONTADORES!AV142)+(CONTADORES!AX143-CONTADORES!AX142)+(CONTADORES!BC143-CONTADORES!BC142))-BS143</f>
        <v>2.8370000000000912</v>
      </c>
      <c r="AO143" s="1438">
        <f ca="1">IF(B143&gt;=$J$5,0,(CONTADORES!AA143-CONTADORES!AA142))</f>
        <v>68</v>
      </c>
      <c r="AP143" s="1438">
        <f ca="1">IF(B143&gt;=$J$5,0,(CONTADORES!V143-CONTADORES!V142))</f>
        <v>142</v>
      </c>
      <c r="AQ143" s="1438">
        <f ca="1">IF(B143&gt;=$J$5,0,(CONTADORES!C143-CONTADORES!C142))</f>
        <v>0</v>
      </c>
      <c r="AR143" s="1438">
        <f ca="1">IF(B143&gt;=$J$5,0,(CONTADORES!BA143-CONTADORES!BA142))</f>
        <v>0</v>
      </c>
      <c r="AS143" s="1438">
        <f ca="1">IF(B143&gt;=$J$5,0,CONTADORES!Q143-CONTADORES!Q142)</f>
        <v>13.800000000017462</v>
      </c>
      <c r="AT143" s="1438">
        <f ca="1">IF(B143&gt;=$J$5,0,(CONTADORES!S143-CONTADORES!S142)+(CONTADORES!AE143-CONTADORES!AE142))</f>
        <v>2.4000000000014552</v>
      </c>
      <c r="AU143" s="1438">
        <f ca="1">IF(B143&gt;=$J$5,0,(CONTADORES!I143-CONTADORES!I142))</f>
        <v>83</v>
      </c>
      <c r="AV143" s="1438">
        <f ca="1">IF(B143&gt;=$J$5,0,(CONTADORES!AT143-CONTADORES!AT142))</f>
        <v>64</v>
      </c>
      <c r="AW143" s="1438">
        <f ca="1">IF(B143&gt;=$J$5,0,(CONTADORES!L143-CONTADORES!L142)+(CONTADORES!AL143-CONTADORES!AL142))</f>
        <v>0</v>
      </c>
      <c r="AX143" s="1438">
        <f ca="1">IF(B143&gt;=$J$5,0,(CONTADORES!N143-CONTADORES!N142)+(CONTADORES!AJ143-CONTADORES!AJ142))</f>
        <v>31.19999999999709</v>
      </c>
      <c r="AY143" s="1438">
        <f ca="1">IF(B143&gt;=$J$5,0,(CONTADORES!AH143-CONTADORES!AH142))</f>
        <v>3.5</v>
      </c>
      <c r="AZ143" s="1438">
        <f ca="1">IF(B143&gt;=$J$5,0,(CONTADORES!P143-CONTADORES!P142))</f>
        <v>8.0999999999912689</v>
      </c>
      <c r="BA143" s="1439">
        <f t="shared" ca="1" si="75"/>
        <v>3.5990000000109319</v>
      </c>
      <c r="BB143" s="1438">
        <f ca="1">IF(B143&gt;=$J$5,0,(((CONTADORES!G143-CONTADORES!G142)+(CONTADORES!AP143-CONTADORES!AP142)+AR143)-(AV143+BC143)))</f>
        <v>8.6000000000003638</v>
      </c>
      <c r="BC143" s="1438">
        <f ca="1">IF(B143&gt;=$J$5,0,(CONTADORES!AW143-CONTADORES!AW142)+(CONTADORES!AY143-CONTADORES!AY142)+(CONTADORES!BD143-CONTADORES!BD142))</f>
        <v>2.1999999999998181</v>
      </c>
      <c r="BD143" s="1438">
        <f t="shared" ca="1" si="76"/>
        <v>210</v>
      </c>
      <c r="BE143" s="1439">
        <f ca="1">IF($B143&gt;=$J$5,0,CONTADORES!$BE143)</f>
        <v>6266.05</v>
      </c>
      <c r="BF143" s="1438">
        <f ca="1">IF($B143&gt;=$J$5,0,CONTADORES!$BF143)</f>
        <v>31651.029824561399</v>
      </c>
      <c r="BG143" s="1438">
        <f ca="1">IF($B143&gt;=$J$5,0,CONTADORES!$BH143)</f>
        <v>6045.46</v>
      </c>
      <c r="BH143" s="1438">
        <f ca="1">IF(B143&gt;=$J$5,0,(CONTADORES!AQ143-CONTADORES!AQ142))</f>
        <v>5</v>
      </c>
      <c r="BI143" s="1438">
        <f ca="1">IF(B143&gt;=$J$5,0,(CONTADORES!AR143-CONTADORES!AR142))</f>
        <v>0</v>
      </c>
      <c r="BJ143" s="1439">
        <f ca="1">IF(B143&gt;=$J$5,0,CONTADORES!BI143-CONTADORES!BI142)/1000</f>
        <v>0</v>
      </c>
      <c r="BK143" s="1439">
        <f ca="1">IF(B143&gt;=$J$5,0,CONTADORES!BJ143-CONTADORES!BJ142)</f>
        <v>0</v>
      </c>
      <c r="BL143" s="1439">
        <f ca="1">IF(B143&gt;=$J$5,0,CONTADORES!BK143-CONTADORES!BK142)</f>
        <v>0</v>
      </c>
      <c r="BM143" s="1439">
        <f ca="1">IF(B143&gt;=$J$5,0,CONTADORES!BL143-CONTADORES!BL142)/1000</f>
        <v>4.6719999999999997</v>
      </c>
      <c r="BN143" s="1439">
        <f ca="1">IF(B143&gt;=$J$5,0,CONTADORES!BM143-CONTADORES!BM142)/1000</f>
        <v>0.35599999999999998</v>
      </c>
      <c r="BO143" s="1439">
        <f ca="1">IF(B143&gt;=$J$5,0,CONTADORES!BN143-CONTADORES!BN142)</f>
        <v>24</v>
      </c>
      <c r="BP143" s="1439">
        <f ca="1">IF(B143&gt;=$J$5,0,CONTADORES!BO143-CONTADORES!BO142)/1000</f>
        <v>3.7639999999999998</v>
      </c>
      <c r="BQ143" s="1439">
        <f ca="1">IF(B143&gt;=$J$5,0,CONTADORES!BP143-CONTADORES!BP142)/1000</f>
        <v>9.2999999999999999E-2</v>
      </c>
      <c r="BR143" s="1439">
        <f ca="1">IF(B143&gt;=$J$5,0,CONTADORES!BQ143-CONTADORES!BQ142)</f>
        <v>24</v>
      </c>
      <c r="BS143" s="1439">
        <f ca="1">IF(B143&gt;=$J$5,0,(CONTADORES!BT143-CONTADORES!BT142)+(CONTADORES!BV143-CONTADORES!BV142))/1000</f>
        <v>1.5629999999999999</v>
      </c>
      <c r="BT143" s="1439">
        <f ca="1">IF(B143&gt;=$J$5,0,(CONTADORES!BU143-CONTADORES!BU142)+(CONTADORES!BW143-CONTADORES!BW142))/1000</f>
        <v>0.95199999999999996</v>
      </c>
      <c r="BU143" s="1439">
        <f ca="1">IF(B143&gt;=$J$5,0,CONTADORES!BR143-CONTADORES!BR142)</f>
        <v>6.2999999999992724</v>
      </c>
      <c r="BV143" s="1439">
        <f ca="1">IF(B143&gt;=$J$5,0,CONTADORES!BS143-CONTADORES!BS142)</f>
        <v>4.4000000000005457</v>
      </c>
      <c r="BW143" s="1439">
        <f t="shared" ca="1" si="77"/>
        <v>10.431999999998499</v>
      </c>
      <c r="BX143" s="1439">
        <f t="shared" ca="1" si="78"/>
        <v>8.7000000000007276</v>
      </c>
      <c r="BY143" s="1439">
        <f t="shared" ca="1" si="79"/>
        <v>4.1319999999992261</v>
      </c>
      <c r="BZ143" s="1439">
        <f t="shared" ca="1" si="80"/>
        <v>1.1348000000000364</v>
      </c>
      <c r="CA143" s="1439">
        <f t="shared" ca="1" si="81"/>
        <v>4.1319999999992261</v>
      </c>
      <c r="CB143" s="1439">
        <f t="shared" ca="1" si="82"/>
        <v>1.7022000000000548</v>
      </c>
      <c r="CC143" s="1439">
        <f t="shared" ca="1" si="83"/>
        <v>2.6978000000000364</v>
      </c>
      <c r="CD143" s="1439">
        <f t="shared" ca="1" si="84"/>
        <v>4.3000000000001819</v>
      </c>
      <c r="CE143" s="1439">
        <f ca="1">IF(B143&gt;=$J$5,0,CONTADORES!BS143-CONTADORES!BS142)</f>
        <v>4.4000000000005457</v>
      </c>
      <c r="CF143" s="1439">
        <f t="shared" ca="1" si="85"/>
        <v>4.3000000000001819</v>
      </c>
      <c r="CG143" s="1439">
        <f t="shared" ca="1" si="86"/>
        <v>1.0999999999999091</v>
      </c>
      <c r="CH143" s="1439">
        <f t="shared" ca="1" si="87"/>
        <v>1.0999999999999091</v>
      </c>
      <c r="CI143" s="1439">
        <f t="shared" ca="1" si="88"/>
        <v>2.051999999999909</v>
      </c>
      <c r="CJ143" s="1488">
        <f ca="1">IF($B143&gt;=$J$5,0,CONTADORES!$BG143)</f>
        <v>9201.1224669225994</v>
      </c>
      <c r="CK143" s="1406">
        <f>CONTADORES!E143</f>
        <v>0</v>
      </c>
      <c r="CL143" s="1406">
        <f>CONTADORES!BX143</f>
        <v>0</v>
      </c>
    </row>
    <row r="144" spans="2:90">
      <c r="B144" s="410">
        <v>45060</v>
      </c>
      <c r="C144" s="204">
        <f t="shared" ca="1" si="64"/>
        <v>32</v>
      </c>
      <c r="D144" s="202">
        <f ca="1">'CALCULO DE GAS'!D153</f>
        <v>2.8720637515461465</v>
      </c>
      <c r="E144" s="202">
        <f ca="1">IF(B144&gt;=$J$5,0,(CONTADORES!$AB144-CONTADORES!$AB143)-$H144)</f>
        <v>5.1999999999825377</v>
      </c>
      <c r="F144" s="204">
        <f t="shared" ca="1" si="63"/>
        <v>0</v>
      </c>
      <c r="G144" s="202">
        <f ca="1">IF(B144&gt;=$J$5,0,CONTADORES!$AD144-CONTADORES!$AD143)</f>
        <v>0</v>
      </c>
      <c r="H144" s="202">
        <f ca="1">IF(G144&gt;0,CONTADORES!$AC144-CONTADORES!$AC143,0)</f>
        <v>0</v>
      </c>
      <c r="I144" s="205">
        <f ca="1">IF(B144&gt;=$J$5,0,CONTADORES!$Z144-CONTADORES!$Z143)</f>
        <v>32</v>
      </c>
      <c r="J144" s="204">
        <f t="shared" ca="1" si="65"/>
        <v>394</v>
      </c>
      <c r="K144" s="202">
        <f ca="1">'CALCULO DE GAS'!E153</f>
        <v>5.9693853500237903</v>
      </c>
      <c r="L144" s="1437">
        <f ca="1">IF(B144&gt;=$J$5,0,(CONTADORES!$W144-CONTADORES!$W143)-$O144)</f>
        <v>24</v>
      </c>
      <c r="M144" s="1437">
        <f t="shared" ca="1" si="89"/>
        <v>0</v>
      </c>
      <c r="N144" s="1437">
        <f ca="1">IF(B144&gt;=$J$5,0,CONTADORES!$Y144-CONTADORES!$Y143)</f>
        <v>0</v>
      </c>
      <c r="O144" s="1437">
        <f ca="1">IF(N144&gt;0,CONTADORES!$X144-CONTADORES!$X143,0)</f>
        <v>0</v>
      </c>
      <c r="P144" s="208">
        <f ca="1">IF(B144&gt;=$J$5,0,CONTADORES!$U144-CONTADORES!$U143)</f>
        <v>394</v>
      </c>
      <c r="Q144" s="208">
        <f ca="1">IF(B144&gt;=$J$5,0,CONTADORES!$B144-CONTADORES!$B143)</f>
        <v>0</v>
      </c>
      <c r="R144" s="202">
        <f t="shared" ca="1" si="66"/>
        <v>0</v>
      </c>
      <c r="S144" s="11">
        <f ca="1">IF(B144&gt;=$J$5,0,CONTADORES!$D144-CONTADORES!$D143)</f>
        <v>0</v>
      </c>
      <c r="T144" s="204">
        <f ca="1">IF(B144&gt;=$J$5,0,CONTADORES!$AZ144-CONTADORES!$AZ143)</f>
        <v>1.8809999999999718</v>
      </c>
      <c r="U144" s="202">
        <f t="shared" ca="1" si="61"/>
        <v>225.71999999999662</v>
      </c>
      <c r="V144" s="205">
        <f ca="1">IF(B144&gt;=$J$5,0,CONTADORES!$BB144-CONTADORES!$BB143)</f>
        <v>2.1000000000001364</v>
      </c>
      <c r="W144" s="1438">
        <f t="shared" ca="1" si="67"/>
        <v>426</v>
      </c>
      <c r="X144" s="1438">
        <f t="shared" ca="1" si="68"/>
        <v>1.8809999999999718</v>
      </c>
      <c r="Y144" s="1439">
        <f t="shared" ca="1" si="69"/>
        <v>427.88099999999997</v>
      </c>
      <c r="Z144" s="1439">
        <f t="shared" ca="1" si="70"/>
        <v>8.8414491015699372</v>
      </c>
      <c r="AA144" s="1439">
        <f t="shared" ca="1" si="71"/>
        <v>225.71999999999662</v>
      </c>
      <c r="AB144" s="1439">
        <f t="shared" ca="1" si="72"/>
        <v>29.199999999982538</v>
      </c>
      <c r="AC144" s="1438">
        <f t="shared" ca="1" si="73"/>
        <v>2.1000000000001364</v>
      </c>
      <c r="AD144" s="1438">
        <f ca="1">IF(B144&gt;=$J$5,0,CONTADORES!H144-CONTADORES!H143)</f>
        <v>156</v>
      </c>
      <c r="AE144" s="1439">
        <f ca="1">IF(B144&gt;=$J$5,0,CONTADORES!J144-CONTADORES!J143)</f>
        <v>22.200000000011642</v>
      </c>
      <c r="AF144" s="1438">
        <f ca="1">IF(B144&gt;=$J$5,0,CONTADORES!AS144-CONTADORES!AS143)</f>
        <v>150</v>
      </c>
      <c r="AG144" s="1439">
        <f ca="1">IF(B144&gt;=$J$5,0,CONTADORES!AU144-CONTADORES!AU143)</f>
        <v>24</v>
      </c>
      <c r="AH144" s="1439">
        <f ca="1">IF(B144&gt;=$J$5,0,(CONTADORES!AK144-CONTADORES!AK143)+(CONTADORES!K144-CONTADORES!K143))</f>
        <v>10.600000000000364</v>
      </c>
      <c r="AI144" s="1438">
        <f ca="1">IF(B144&gt;=$J$5,0,(CONTADORES!AI144-CONTADORES!AI143)+(CONTADORES!M144-CONTADORES!M143))</f>
        <v>35.899999999994179</v>
      </c>
      <c r="AJ144" s="1438">
        <f ca="1">IF(B144&gt;=$J$5,0,(CONTADORES!AG144-CONTADORES!AG143))</f>
        <v>3.8999999999941792</v>
      </c>
      <c r="AK144" s="1438">
        <f ca="1">IF(B144&gt;=$J$5,0,(CONTADORES!O144-CONTADORES!O143))</f>
        <v>11.900000000023283</v>
      </c>
      <c r="AL144" s="1439">
        <f t="shared" ca="1" si="74"/>
        <v>31.58099999998791</v>
      </c>
      <c r="AM144" s="1438">
        <f ca="1">IF(B144&gt;=$J$5,0,(((CONTADORES!F144-CONTADORES!F143)+(CONTADORES!AO144-CONTADORES!AO143))))-BJ144-AF144-AN144-BM144-BP144-BU144-BS144</f>
        <v>8.666999999999998</v>
      </c>
      <c r="AN144" s="1438">
        <f ca="1">IF(B144&gt;=$J$5,0,(CONTADORES!AV144-CONTADORES!AV143)+(CONTADORES!AX144-CONTADORES!AX143)+(CONTADORES!BC144-CONTADORES!BC143))-BS144</f>
        <v>2.5830000000003639</v>
      </c>
      <c r="AO144" s="1438">
        <f ca="1">IF(B144&gt;=$J$5,0,(CONTADORES!AA144-CONTADORES!AA143))</f>
        <v>20</v>
      </c>
      <c r="AP144" s="1438">
        <f ca="1">IF(B144&gt;=$J$5,0,(CONTADORES!V144-CONTADORES!V143))</f>
        <v>199</v>
      </c>
      <c r="AQ144" s="1438">
        <f ca="1">IF(B144&gt;=$J$5,0,(CONTADORES!C144-CONTADORES!C143))</f>
        <v>0</v>
      </c>
      <c r="AR144" s="1438">
        <f ca="1">IF(B144&gt;=$J$5,0,(CONTADORES!BA144-CONTADORES!BA143))</f>
        <v>0.72200000000003683</v>
      </c>
      <c r="AS144" s="1438">
        <f ca="1">IF(B144&gt;=$J$5,0,CONTADORES!Q144-CONTADORES!Q143)</f>
        <v>14</v>
      </c>
      <c r="AT144" s="1438">
        <f ca="1">IF(B144&gt;=$J$5,0,(CONTADORES!S144-CONTADORES!S143)+(CONTADORES!AE144-CONTADORES!AE143))</f>
        <v>2.2000000000043656</v>
      </c>
      <c r="AU144" s="1438">
        <f ca="1">IF(B144&gt;=$J$5,0,(CONTADORES!I144-CONTADORES!I143))</f>
        <v>79</v>
      </c>
      <c r="AV144" s="1438">
        <f ca="1">IF(B144&gt;=$J$5,0,(CONTADORES!AT144-CONTADORES!AT143))</f>
        <v>66</v>
      </c>
      <c r="AW144" s="1438">
        <f ca="1">IF(B144&gt;=$J$5,0,(CONTADORES!L144-CONTADORES!L143)+(CONTADORES!AL144-CONTADORES!AL143))</f>
        <v>4.1000000000021828</v>
      </c>
      <c r="AX144" s="1438">
        <f ca="1">IF(B144&gt;=$J$5,0,(CONTADORES!N144-CONTADORES!N143)+(CONTADORES!AJ144-CONTADORES!AJ143))</f>
        <v>30.099999999998545</v>
      </c>
      <c r="AY144" s="1438">
        <f ca="1">IF(B144&gt;=$J$5,0,(CONTADORES!AH144-CONTADORES!AH143))</f>
        <v>2.7999999999956344</v>
      </c>
      <c r="AZ144" s="1438">
        <f ca="1">IF(B144&gt;=$J$5,0,(CONTADORES!P144-CONTADORES!P143))</f>
        <v>9.5</v>
      </c>
      <c r="BA144" s="1439">
        <f t="shared" ca="1" si="75"/>
        <v>11.294000000003649</v>
      </c>
      <c r="BB144" s="1438">
        <f ca="1">IF(B144&gt;=$J$5,0,(((CONTADORES!G144-CONTADORES!G143)+(CONTADORES!AP144-CONTADORES!AP143)+AR144)-(AV144+BC144)))</f>
        <v>8.4219999999998549</v>
      </c>
      <c r="BC144" s="1438">
        <f ca="1">IF(B144&gt;=$J$5,0,(CONTADORES!AW144-CONTADORES!AW143)+(CONTADORES!AY144-CONTADORES!AY143)+(CONTADORES!BD144-CONTADORES!BD143))</f>
        <v>2.3000000000001819</v>
      </c>
      <c r="BD144" s="1438">
        <f t="shared" ca="1" si="76"/>
        <v>219.72200000000004</v>
      </c>
      <c r="BE144" s="1439">
        <f ca="1">IF($B144&gt;=$J$5,0,CONTADORES!$BE144)</f>
        <v>5862.03</v>
      </c>
      <c r="BF144" s="1438">
        <f ca="1">IF($B144&gt;=$J$5,0,CONTADORES!$BF144)</f>
        <v>31216.312280701801</v>
      </c>
      <c r="BG144" s="1438">
        <f ca="1">IF($B144&gt;=$J$5,0,CONTADORES!$BH144)</f>
        <v>6767.44</v>
      </c>
      <c r="BH144" s="1438">
        <f ca="1">IF(B144&gt;=$J$5,0,(CONTADORES!AQ144-CONTADORES!AQ143))</f>
        <v>5</v>
      </c>
      <c r="BI144" s="1438">
        <f ca="1">IF(B144&gt;=$J$5,0,(CONTADORES!AR144-CONTADORES!AR143))</f>
        <v>0</v>
      </c>
      <c r="BJ144" s="1439">
        <f ca="1">IF(B144&gt;=$J$5,0,CONTADORES!BI144-CONTADORES!BI143)/1000</f>
        <v>0</v>
      </c>
      <c r="BK144" s="1439">
        <f ca="1">IF(B144&gt;=$J$5,0,CONTADORES!BJ144-CONTADORES!BJ143)</f>
        <v>0</v>
      </c>
      <c r="BL144" s="1439">
        <f ca="1">IF(B144&gt;=$J$5,0,CONTADORES!BK144-CONTADORES!BK143)</f>
        <v>0</v>
      </c>
      <c r="BM144" s="1439">
        <f ca="1">IF(B144&gt;=$J$5,0,CONTADORES!BL144-CONTADORES!BL143)/1000</f>
        <v>4.625</v>
      </c>
      <c r="BN144" s="1439">
        <f ca="1">IF(B144&gt;=$J$5,0,CONTADORES!BM144-CONTADORES!BM143)/1000</f>
        <v>0.39</v>
      </c>
      <c r="BO144" s="1439">
        <f ca="1">IF(B144&gt;=$J$5,0,CONTADORES!BN144-CONTADORES!BN143)</f>
        <v>24</v>
      </c>
      <c r="BP144" s="1439">
        <f ca="1">IF(B144&gt;=$J$5,0,CONTADORES!BO144-CONTADORES!BO143)/1000</f>
        <v>3.7080000000000002</v>
      </c>
      <c r="BQ144" s="1439">
        <f ca="1">IF(B144&gt;=$J$5,0,CONTADORES!BP144-CONTADORES!BP143)/1000</f>
        <v>9.4E-2</v>
      </c>
      <c r="BR144" s="1439">
        <f ca="1">IF(B144&gt;=$J$5,0,CONTADORES!BQ144-CONTADORES!BQ143)</f>
        <v>24</v>
      </c>
      <c r="BS144" s="1439">
        <f ca="1">IF(B144&gt;=$J$5,0,(CONTADORES!BT144-CONTADORES!BT143)+(CONTADORES!BV144-CONTADORES!BV143))/1000</f>
        <v>2.0169999999999999</v>
      </c>
      <c r="BT144" s="1439">
        <f ca="1">IF(B144&gt;=$J$5,0,(CONTADORES!BU144-CONTADORES!BU143)+(CONTADORES!BW144-CONTADORES!BW143))/1000</f>
        <v>1.222</v>
      </c>
      <c r="BU144" s="1439">
        <f ca="1">IF(B144&gt;=$J$5,0,CONTADORES!BR144-CONTADORES!BR143)</f>
        <v>6.3999999999996362</v>
      </c>
      <c r="BV144" s="1439">
        <f ca="1">IF(B144&gt;=$J$5,0,CONTADORES!BS144-CONTADORES!BS143)</f>
        <v>4.5</v>
      </c>
      <c r="BW144" s="1439">
        <f t="shared" ca="1" si="77"/>
        <v>10.733499999999635</v>
      </c>
      <c r="BX144" s="1439">
        <f t="shared" ca="1" si="78"/>
        <v>8.7109999999999275</v>
      </c>
      <c r="BY144" s="1439">
        <f t="shared" ca="1" si="79"/>
        <v>4.333499999999999</v>
      </c>
      <c r="BZ144" s="1439">
        <f t="shared" ca="1" si="80"/>
        <v>1.0332000000001456</v>
      </c>
      <c r="CA144" s="1439">
        <f t="shared" ca="1" si="81"/>
        <v>4.333499999999999</v>
      </c>
      <c r="CB144" s="1439">
        <f t="shared" ca="1" si="82"/>
        <v>1.5498000000002183</v>
      </c>
      <c r="CC144" s="1439">
        <f t="shared" ca="1" si="83"/>
        <v>3.0502000000001455</v>
      </c>
      <c r="CD144" s="1439">
        <f t="shared" ca="1" si="84"/>
        <v>4.2109999999999275</v>
      </c>
      <c r="CE144" s="1439">
        <f ca="1">IF(B144&gt;=$J$5,0,CONTADORES!BS144-CONTADORES!BS143)</f>
        <v>4.5</v>
      </c>
      <c r="CF144" s="1439">
        <f t="shared" ca="1" si="85"/>
        <v>4.2109999999999275</v>
      </c>
      <c r="CG144" s="1439">
        <f t="shared" ca="1" si="86"/>
        <v>1.1500000000000909</v>
      </c>
      <c r="CH144" s="1439">
        <f t="shared" ca="1" si="87"/>
        <v>1.1500000000000909</v>
      </c>
      <c r="CI144" s="1439">
        <f t="shared" ca="1" si="88"/>
        <v>2.3720000000000909</v>
      </c>
      <c r="CJ144" s="1488">
        <f ca="1">IF($B144&gt;=$J$5,0,CONTADORES!$BG144)</f>
        <v>8672.3310111917908</v>
      </c>
      <c r="CK144" s="1406">
        <f>CONTADORES!E144</f>
        <v>0</v>
      </c>
      <c r="CL144" s="1406">
        <f>CONTADORES!BX144</f>
        <v>1.88</v>
      </c>
    </row>
    <row r="145" spans="2:90">
      <c r="B145" s="410">
        <v>45061</v>
      </c>
      <c r="C145" s="204">
        <f t="shared" ca="1" si="64"/>
        <v>146</v>
      </c>
      <c r="D145" s="202">
        <f ca="1">'CALCULO DE GAS'!D154</f>
        <v>3.8474633709562331</v>
      </c>
      <c r="E145" s="202">
        <f ca="1">IF(B145&gt;=$J$5,0,(CONTADORES!$AB145-CONTADORES!$AB144)-$H145)</f>
        <v>24</v>
      </c>
      <c r="F145" s="204">
        <f t="shared" ca="1" si="63"/>
        <v>0</v>
      </c>
      <c r="G145" s="202">
        <f ca="1">IF(B145&gt;=$J$5,0,CONTADORES!$AD145-CONTADORES!$AD144)</f>
        <v>0</v>
      </c>
      <c r="H145" s="202">
        <f ca="1">IF(G145&gt;0,CONTADORES!$AC145-CONTADORES!$AC144,0)</f>
        <v>0</v>
      </c>
      <c r="I145" s="205">
        <f ca="1">IF(B145&gt;=$J$5,0,CONTADORES!$Z145-CONTADORES!$Z144)</f>
        <v>146</v>
      </c>
      <c r="J145" s="204">
        <f t="shared" ca="1" si="65"/>
        <v>302</v>
      </c>
      <c r="K145" s="202">
        <f ca="1">'CALCULO DE GAS'!E154</f>
        <v>5.1822207448858251</v>
      </c>
      <c r="L145" s="1437">
        <f ca="1">IF(B145&gt;=$J$5,0,(CONTADORES!$W145-CONTADORES!$W144)-$O145)</f>
        <v>24</v>
      </c>
      <c r="M145" s="1437">
        <f t="shared" ca="1" si="89"/>
        <v>0</v>
      </c>
      <c r="N145" s="1437">
        <f ca="1">IF(B145&gt;=$J$5,0,CONTADORES!$Y145-CONTADORES!$Y144)</f>
        <v>0</v>
      </c>
      <c r="O145" s="1437">
        <f ca="1">IF(N145&gt;0,CONTADORES!$X145-CONTADORES!$X144,0)</f>
        <v>0</v>
      </c>
      <c r="P145" s="208">
        <f ca="1">IF(B145&gt;=$J$5,0,CONTADORES!$U145-CONTADORES!$U144)</f>
        <v>302</v>
      </c>
      <c r="Q145" s="208">
        <f ca="1">IF(B145&gt;=$J$5,0,CONTADORES!$B145-CONTADORES!$B144)</f>
        <v>0</v>
      </c>
      <c r="R145" s="202">
        <f t="shared" ca="1" si="66"/>
        <v>0</v>
      </c>
      <c r="S145" s="11">
        <f ca="1">IF(B145&gt;=$J$5,0,CONTADORES!$D145-CONTADORES!$D144)</f>
        <v>0</v>
      </c>
      <c r="T145" s="204">
        <f ca="1">IF(B145&gt;=$J$5,0,CONTADORES!$AZ145-CONTADORES!$AZ144)</f>
        <v>0</v>
      </c>
      <c r="U145" s="202">
        <f t="shared" ca="1" si="61"/>
        <v>0</v>
      </c>
      <c r="V145" s="205">
        <f ca="1">IF(B145&gt;=$J$5,0,CONTADORES!$BB145-CONTADORES!$BB144)</f>
        <v>0</v>
      </c>
      <c r="W145" s="1438">
        <f t="shared" ca="1" si="67"/>
        <v>448</v>
      </c>
      <c r="X145" s="1438">
        <f t="shared" ca="1" si="68"/>
        <v>0</v>
      </c>
      <c r="Y145" s="1439">
        <f t="shared" ca="1" si="69"/>
        <v>448</v>
      </c>
      <c r="Z145" s="1439">
        <f t="shared" ca="1" si="70"/>
        <v>9.0296841158420591</v>
      </c>
      <c r="AA145" s="1439">
        <f t="shared" ca="1" si="71"/>
        <v>0</v>
      </c>
      <c r="AB145" s="1439">
        <f t="shared" ca="1" si="72"/>
        <v>48</v>
      </c>
      <c r="AC145" s="1438">
        <f t="shared" ca="1" si="73"/>
        <v>0</v>
      </c>
      <c r="AD145" s="1438">
        <f ca="1">IF(B145&gt;=$J$5,0,CONTADORES!H145-CONTADORES!H144)</f>
        <v>163</v>
      </c>
      <c r="AE145" s="1439">
        <f ca="1">IF(B145&gt;=$J$5,0,CONTADORES!J145-CONTADORES!J144)</f>
        <v>24</v>
      </c>
      <c r="AF145" s="1438">
        <f ca="1">IF(B145&gt;=$J$5,0,CONTADORES!AS145-CONTADORES!AS144)</f>
        <v>146</v>
      </c>
      <c r="AG145" s="1439">
        <f ca="1">IF(B145&gt;=$J$5,0,CONTADORES!AU145-CONTADORES!AU144)</f>
        <v>24</v>
      </c>
      <c r="AH145" s="1439">
        <f ca="1">IF(B145&gt;=$J$5,0,(CONTADORES!AK145-CONTADORES!AK144)+(CONTADORES!K145-CONTADORES!K144))</f>
        <v>21.100000000005821</v>
      </c>
      <c r="AI145" s="1438">
        <f ca="1">IF(B145&gt;=$J$5,0,(CONTADORES!AI145-CONTADORES!AI144)+(CONTADORES!M145-CONTADORES!M144))</f>
        <v>34.899999999994179</v>
      </c>
      <c r="AJ145" s="1438">
        <f ca="1">IF(B145&gt;=$J$5,0,(CONTADORES!AG145-CONTADORES!AG144))</f>
        <v>5.5</v>
      </c>
      <c r="AK145" s="1438">
        <f ca="1">IF(B145&gt;=$J$5,0,(CONTADORES!O145-CONTADORES!O144))</f>
        <v>13.799999999988358</v>
      </c>
      <c r="AL145" s="1439">
        <f t="shared" ca="1" si="74"/>
        <v>35.900000000008731</v>
      </c>
      <c r="AM145" s="1438">
        <f ca="1">IF(B145&gt;=$J$5,0,(((CONTADORES!F145-CONTADORES!F144)+(CONTADORES!AO145-CONTADORES!AO144))))-BJ145-AF145-AN145-BM145-BP145-BU145-BS145</f>
        <v>8.7380000000019091</v>
      </c>
      <c r="AN145" s="1438">
        <f ca="1">IF(B145&gt;=$J$5,0,(CONTADORES!AV145-CONTADORES!AV144)+(CONTADORES!AX145-CONTADORES!AX144)+(CONTADORES!BC145-CONTADORES!BC144))-BS145</f>
        <v>3.777999999999909</v>
      </c>
      <c r="AO145" s="1438">
        <f ca="1">IF(B145&gt;=$J$5,0,(CONTADORES!AA145-CONTADORES!AA144))</f>
        <v>72</v>
      </c>
      <c r="AP145" s="1438">
        <f ca="1">IF(B145&gt;=$J$5,0,(CONTADORES!V145-CONTADORES!V144))</f>
        <v>151</v>
      </c>
      <c r="AQ145" s="1438">
        <f ca="1">IF(B145&gt;=$J$5,0,(CONTADORES!C145-CONTADORES!C144))</f>
        <v>0</v>
      </c>
      <c r="AR145" s="1438">
        <f ca="1">IF(B145&gt;=$J$5,0,(CONTADORES!BA145-CONTADORES!BA144))</f>
        <v>0</v>
      </c>
      <c r="AS145" s="1438">
        <f ca="1">IF(B145&gt;=$J$5,0,CONTADORES!Q145-CONTADORES!Q144)</f>
        <v>13.199999999982538</v>
      </c>
      <c r="AT145" s="1438">
        <f ca="1">IF(B145&gt;=$J$5,0,(CONTADORES!S145-CONTADORES!S144)+(CONTADORES!AE145-CONTADORES!AE144))</f>
        <v>2.3999999999941792</v>
      </c>
      <c r="AU145" s="1438">
        <f ca="1">IF(B145&gt;=$J$5,0,(CONTADORES!I145-CONTADORES!I144))</f>
        <v>82</v>
      </c>
      <c r="AV145" s="1438">
        <f ca="1">IF(B145&gt;=$J$5,0,(CONTADORES!AT145-CONTADORES!AT144))</f>
        <v>63</v>
      </c>
      <c r="AW145" s="1438">
        <f ca="1">IF(B145&gt;=$J$5,0,(CONTADORES!L145-CONTADORES!L144)+(CONTADORES!AL145-CONTADORES!AL144))</f>
        <v>8.2999999999992724</v>
      </c>
      <c r="AX145" s="1438">
        <f ca="1">IF(B145&gt;=$J$5,0,(CONTADORES!N145-CONTADORES!N144)+(CONTADORES!AJ145-CONTADORES!AJ144))</f>
        <v>29.30000000000291</v>
      </c>
      <c r="AY145" s="1438">
        <f ca="1">IF(B145&gt;=$J$5,0,(CONTADORES!AH145-CONTADORES!AH144))</f>
        <v>4.0999999999985448</v>
      </c>
      <c r="AZ145" s="1438">
        <f ca="1">IF(B145&gt;=$J$5,0,(CONTADORES!P145-CONTADORES!P144))</f>
        <v>10.400000000008731</v>
      </c>
      <c r="BA145" s="1439">
        <f t="shared" ca="1" si="75"/>
        <v>9.1099999999900092</v>
      </c>
      <c r="BB145" s="1438">
        <f ca="1">IF(B145&gt;=$J$5,0,(((CONTADORES!G145-CONTADORES!G144)+(CONTADORES!AP145-CONTADORES!AP144)+AR145)-(AV145+BC145)))</f>
        <v>9.1000000000003638</v>
      </c>
      <c r="BC145" s="1438">
        <f ca="1">IF(B145&gt;=$J$5,0,(CONTADORES!AW145-CONTADORES!AW144)+(CONTADORES!AY145-CONTADORES!AY144)+(CONTADORES!BD145-CONTADORES!BD144))</f>
        <v>2.5</v>
      </c>
      <c r="BD145" s="1438">
        <f t="shared" ca="1" si="76"/>
        <v>223</v>
      </c>
      <c r="BE145" s="1439">
        <f ca="1">IF($B145&gt;=$J$5,0,CONTADORES!$BE145)</f>
        <v>5861.16</v>
      </c>
      <c r="BF145" s="1438">
        <f ca="1">IF($B145&gt;=$J$5,0,CONTADORES!$BF145)</f>
        <v>31373.6456140351</v>
      </c>
      <c r="BG145" s="1438">
        <f ca="1">IF($B145&gt;=$J$5,0,CONTADORES!$BH145)</f>
        <v>6170.5</v>
      </c>
      <c r="BH145" s="1438">
        <f ca="1">IF(B145&gt;=$J$5,0,(CONTADORES!AQ145-CONTADORES!AQ144))</f>
        <v>5</v>
      </c>
      <c r="BI145" s="1438">
        <f ca="1">IF(B145&gt;=$J$5,0,(CONTADORES!AR145-CONTADORES!AR144))</f>
        <v>0</v>
      </c>
      <c r="BJ145" s="1439">
        <f ca="1">IF(B145&gt;=$J$5,0,CONTADORES!BI145-CONTADORES!BI144)/1000</f>
        <v>0</v>
      </c>
      <c r="BK145" s="1439">
        <f ca="1">IF(B145&gt;=$J$5,0,CONTADORES!BJ145-CONTADORES!BJ144)</f>
        <v>0</v>
      </c>
      <c r="BL145" s="1439">
        <f ca="1">IF(B145&gt;=$J$5,0,CONTADORES!BK145-CONTADORES!BK144)</f>
        <v>0</v>
      </c>
      <c r="BM145" s="1439">
        <f ca="1">IF(B145&gt;=$J$5,0,CONTADORES!BL145-CONTADORES!BL144)/1000</f>
        <v>4.5910000000000002</v>
      </c>
      <c r="BN145" s="1439">
        <f ca="1">IF(B145&gt;=$J$5,0,CONTADORES!BM145-CONTADORES!BM144)/1000</f>
        <v>0.28399999999999997</v>
      </c>
      <c r="BO145" s="1439">
        <f ca="1">IF(B145&gt;=$J$5,0,CONTADORES!BN145-CONTADORES!BN144)</f>
        <v>24</v>
      </c>
      <c r="BP145" s="1439">
        <f ca="1">IF(B145&gt;=$J$5,0,CONTADORES!BO145-CONTADORES!BO144)/1000</f>
        <v>3.5710000000000002</v>
      </c>
      <c r="BQ145" s="1439">
        <f ca="1">IF(B145&gt;=$J$5,0,CONTADORES!BP145-CONTADORES!BP144)/1000</f>
        <v>0.106</v>
      </c>
      <c r="BR145" s="1439">
        <f ca="1">IF(B145&gt;=$J$5,0,CONTADORES!BQ145-CONTADORES!BQ144)</f>
        <v>24</v>
      </c>
      <c r="BS145" s="1439">
        <f ca="1">IF(B145&gt;=$J$5,0,(CONTADORES!BT145-CONTADORES!BT144)+(CONTADORES!BV145-CONTADORES!BV144))/1000</f>
        <v>0.82199999999999995</v>
      </c>
      <c r="BT145" s="1439">
        <f ca="1">IF(B145&gt;=$J$5,0,(CONTADORES!BU145-CONTADORES!BU144)+(CONTADORES!BW145-CONTADORES!BW144))/1000</f>
        <v>0.5</v>
      </c>
      <c r="BU145" s="1439">
        <f ca="1">IF(B145&gt;=$J$5,0,CONTADORES!BR145-CONTADORES!BR144)</f>
        <v>6.3000000000010914</v>
      </c>
      <c r="BV145" s="1439">
        <f ca="1">IF(B145&gt;=$J$5,0,CONTADORES!BS145-CONTADORES!BS144)</f>
        <v>4.3000000000001819</v>
      </c>
      <c r="BW145" s="1439">
        <f t="shared" ca="1" si="77"/>
        <v>10.669000000002047</v>
      </c>
      <c r="BX145" s="1439">
        <f t="shared" ca="1" si="78"/>
        <v>8.8500000000003638</v>
      </c>
      <c r="BY145" s="1439">
        <f t="shared" ca="1" si="79"/>
        <v>4.3690000000009546</v>
      </c>
      <c r="BZ145" s="1439">
        <f t="shared" ca="1" si="80"/>
        <v>1.5111999999999637</v>
      </c>
      <c r="CA145" s="1439">
        <f t="shared" ca="1" si="81"/>
        <v>4.3690000000009546</v>
      </c>
      <c r="CB145" s="1439">
        <f t="shared" ca="1" si="82"/>
        <v>2.2667999999999453</v>
      </c>
      <c r="CC145" s="1439">
        <f t="shared" ca="1" si="83"/>
        <v>2.3331999999999637</v>
      </c>
      <c r="CD145" s="1439">
        <f t="shared" ca="1" si="84"/>
        <v>4.5500000000001819</v>
      </c>
      <c r="CE145" s="1439">
        <f ca="1">IF(B145&gt;=$J$5,0,CONTADORES!BS145-CONTADORES!BS144)</f>
        <v>4.3000000000001819</v>
      </c>
      <c r="CF145" s="1439">
        <f t="shared" ca="1" si="85"/>
        <v>4.5500000000001819</v>
      </c>
      <c r="CG145" s="1439">
        <f t="shared" ca="1" si="86"/>
        <v>1.25</v>
      </c>
      <c r="CH145" s="1439">
        <f t="shared" ca="1" si="87"/>
        <v>1.25</v>
      </c>
      <c r="CI145" s="1439">
        <f t="shared" ca="1" si="88"/>
        <v>1.75</v>
      </c>
      <c r="CJ145" s="1488">
        <f ca="1">IF($B145&gt;=$J$5,0,CONTADORES!$BG145)</f>
        <v>6637.3947574126796</v>
      </c>
      <c r="CK145" s="1406">
        <f>CONTADORES!E145</f>
        <v>0</v>
      </c>
      <c r="CL145" s="1406">
        <f>CONTADORES!BX145</f>
        <v>0</v>
      </c>
    </row>
    <row r="146" spans="2:90">
      <c r="B146" s="410">
        <v>45062</v>
      </c>
      <c r="C146" s="204">
        <f t="shared" ca="1" si="64"/>
        <v>138</v>
      </c>
      <c r="D146" s="202">
        <f ca="1">'CALCULO DE GAS'!D155</f>
        <v>3.7790142748572797</v>
      </c>
      <c r="E146" s="202">
        <f ca="1">IF(B146&gt;=$J$5,0,(CONTADORES!$AB146-CONTADORES!$AB145)-$H146)</f>
        <v>24</v>
      </c>
      <c r="F146" s="204">
        <f t="shared" ca="1" si="63"/>
        <v>0</v>
      </c>
      <c r="G146" s="202">
        <f ca="1">IF(B146&gt;=$J$5,0,CONTADORES!$AD146-CONTADORES!$AD145)</f>
        <v>0</v>
      </c>
      <c r="H146" s="202">
        <f ca="1">IF(G146&gt;0,CONTADORES!$AC146-CONTADORES!$AC145,0)</f>
        <v>0</v>
      </c>
      <c r="I146" s="205">
        <f ca="1">IF(B146&gt;=$J$5,0,CONTADORES!$Z146-CONTADORES!$Z145)</f>
        <v>138</v>
      </c>
      <c r="J146" s="204">
        <f t="shared" ca="1" si="65"/>
        <v>298</v>
      </c>
      <c r="K146" s="202">
        <f ca="1">'CALCULO DE GAS'!E155</f>
        <v>5.147996196836349</v>
      </c>
      <c r="L146" s="1437">
        <f ca="1">IF(B146&gt;=$J$5,0,(CONTADORES!$W146-CONTADORES!$W145)-$O146)</f>
        <v>24</v>
      </c>
      <c r="M146" s="1437">
        <f t="shared" ca="1" si="89"/>
        <v>0</v>
      </c>
      <c r="N146" s="1437">
        <f ca="1">IF(B146&gt;=$J$5,0,CONTADORES!$Y146-CONTADORES!$Y145)</f>
        <v>0</v>
      </c>
      <c r="O146" s="1437">
        <f ca="1">IF(N146&gt;0,CONTADORES!$X146-CONTADORES!$X145,0)</f>
        <v>0</v>
      </c>
      <c r="P146" s="208">
        <f ca="1">IF(B146&gt;=$J$5,0,CONTADORES!$U146-CONTADORES!$U145)</f>
        <v>298</v>
      </c>
      <c r="Q146" s="208">
        <f ca="1">IF(B146&gt;=$J$5,0,CONTADORES!$B146-CONTADORES!$B145)</f>
        <v>0.68799999999987449</v>
      </c>
      <c r="R146" s="202">
        <f t="shared" ca="1" si="66"/>
        <v>82.559999999984939</v>
      </c>
      <c r="S146" s="11">
        <f ca="1">IF(B146&gt;=$J$5,0,CONTADORES!$D146-CONTADORES!$D145)</f>
        <v>1</v>
      </c>
      <c r="T146" s="204">
        <f ca="1">IF(B146&gt;=$J$5,0,CONTADORES!$AZ146-CONTADORES!$AZ145)</f>
        <v>0</v>
      </c>
      <c r="U146" s="202">
        <f t="shared" ca="1" si="61"/>
        <v>0</v>
      </c>
      <c r="V146" s="205">
        <f ca="1">IF(B146&gt;=$J$5,0,CONTADORES!$BB146-CONTADORES!$BB145)</f>
        <v>0</v>
      </c>
      <c r="W146" s="1438">
        <f t="shared" ca="1" si="67"/>
        <v>436</v>
      </c>
      <c r="X146" s="1438">
        <f t="shared" ca="1" si="68"/>
        <v>0.68799999999987449</v>
      </c>
      <c r="Y146" s="1439">
        <f t="shared" ca="1" si="69"/>
        <v>436.68799999999987</v>
      </c>
      <c r="Z146" s="1439">
        <f t="shared" ca="1" si="70"/>
        <v>8.9270104716936292</v>
      </c>
      <c r="AA146" s="1439">
        <f t="shared" ca="1" si="71"/>
        <v>82.559999999984939</v>
      </c>
      <c r="AB146" s="1439">
        <f t="shared" ca="1" si="72"/>
        <v>48</v>
      </c>
      <c r="AC146" s="1438">
        <f t="shared" ca="1" si="73"/>
        <v>1</v>
      </c>
      <c r="AD146" s="1438">
        <f ca="1">IF(B146&gt;=$J$5,0,CONTADORES!H146-CONTADORES!H145)</f>
        <v>166</v>
      </c>
      <c r="AE146" s="1439">
        <f ca="1">IF(B146&gt;=$J$5,0,CONTADORES!J146-CONTADORES!J145)</f>
        <v>24</v>
      </c>
      <c r="AF146" s="1438">
        <f ca="1">IF(B146&gt;=$J$5,0,CONTADORES!AS146-CONTADORES!AS145)</f>
        <v>147</v>
      </c>
      <c r="AG146" s="1439">
        <f ca="1">IF(B146&gt;=$J$5,0,CONTADORES!AU146-CONTADORES!AU145)</f>
        <v>24</v>
      </c>
      <c r="AH146" s="1439">
        <f ca="1">IF(B146&gt;=$J$5,0,(CONTADORES!AK146-CONTADORES!AK145)+(CONTADORES!K146-CONTADORES!K145))</f>
        <v>6.5</v>
      </c>
      <c r="AI146" s="1438">
        <f ca="1">IF(B146&gt;=$J$5,0,(CONTADORES!AI146-CONTADORES!AI145)+(CONTADORES!M146-CONTADORES!M145))</f>
        <v>35.100000000005821</v>
      </c>
      <c r="AJ146" s="1438">
        <f ca="1">IF(B146&gt;=$J$5,0,(CONTADORES!AG146-CONTADORES!AG145))</f>
        <v>6.6999999999970896</v>
      </c>
      <c r="AK146" s="1438">
        <f ca="1">IF(B146&gt;=$J$5,0,(CONTADORES!O146-CONTADORES!O145))</f>
        <v>12.299999999988358</v>
      </c>
      <c r="AL146" s="1439">
        <f t="shared" ca="1" si="74"/>
        <v>33.888000000011459</v>
      </c>
      <c r="AM146" s="1438">
        <f ca="1">IF(B146&gt;=$J$5,0,(((CONTADORES!F146-CONTADORES!F145)+(CONTADORES!AO146-CONTADORES!AO145))))-BJ146-AF146-AN146-BM146-BP146-BU146-BS146</f>
        <v>8.2869999999977164</v>
      </c>
      <c r="AN146" s="1438">
        <f ca="1">IF(B146&gt;=$J$5,0,(CONTADORES!AV146-CONTADORES!AV145)+(CONTADORES!AX146-CONTADORES!AX145)+(CONTADORES!BC146-CONTADORES!BC145))-BS146</f>
        <v>4.0069999999997341</v>
      </c>
      <c r="AO146" s="1438">
        <f ca="1">IF(B146&gt;=$J$5,0,(CONTADORES!AA146-CONTADORES!AA145))</f>
        <v>71</v>
      </c>
      <c r="AP146" s="1438">
        <f ca="1">IF(B146&gt;=$J$5,0,(CONTADORES!V146-CONTADORES!V145))</f>
        <v>148</v>
      </c>
      <c r="AQ146" s="1438">
        <f ca="1">IF(B146&gt;=$J$5,0,(CONTADORES!C146-CONTADORES!C145))</f>
        <v>0.34500000000002728</v>
      </c>
      <c r="AR146" s="1438">
        <f ca="1">IF(B146&gt;=$J$5,0,(CONTADORES!BA146-CONTADORES!BA145))</f>
        <v>0</v>
      </c>
      <c r="AS146" s="1438">
        <f ca="1">IF(B146&gt;=$J$5,0,CONTADORES!Q146-CONTADORES!Q145)</f>
        <v>14.400000000023283</v>
      </c>
      <c r="AT146" s="1438">
        <f ca="1">IF(B146&gt;=$J$5,0,(CONTADORES!S146-CONTADORES!S145)+(CONTADORES!AE146-CONTADORES!AE145))</f>
        <v>2.6000000000058208</v>
      </c>
      <c r="AU146" s="1438">
        <f ca="1">IF(B146&gt;=$J$5,0,(CONTADORES!I146-CONTADORES!I145))</f>
        <v>83</v>
      </c>
      <c r="AV146" s="1438">
        <f ca="1">IF(B146&gt;=$J$5,0,(CONTADORES!AT146-CONTADORES!AT145))</f>
        <v>64</v>
      </c>
      <c r="AW146" s="1438">
        <f ca="1">IF(B146&gt;=$J$5,0,(CONTADORES!L146-CONTADORES!L145)+(CONTADORES!AL146-CONTADORES!AL145))</f>
        <v>2.5</v>
      </c>
      <c r="AX146" s="1438">
        <f ca="1">IF(B146&gt;=$J$5,0,(CONTADORES!N146-CONTADORES!N145)+(CONTADORES!AJ146-CONTADORES!AJ145))</f>
        <v>29.69999999999709</v>
      </c>
      <c r="AY146" s="1438">
        <f ca="1">IF(B146&gt;=$J$5,0,(CONTADORES!AH146-CONTADORES!AH145))</f>
        <v>5.1000000000058208</v>
      </c>
      <c r="AZ146" s="1438">
        <f ca="1">IF(B146&gt;=$J$5,0,(CONTADORES!P146-CONTADORES!P145))</f>
        <v>10</v>
      </c>
      <c r="BA146" s="1439">
        <f t="shared" ca="1" si="75"/>
        <v>7.7439999999980103</v>
      </c>
      <c r="BB146" s="1438">
        <f ca="1">IF(B146&gt;=$J$5,0,(((CONTADORES!G146-CONTADORES!G145)+(CONTADORES!AP146-CONTADORES!AP145)+AR146)-(AV146+BC146)))</f>
        <v>8.2399999999994407</v>
      </c>
      <c r="BC146" s="1438">
        <f ca="1">IF(B146&gt;=$J$5,0,(CONTADORES!AW146-CONTADORES!AW145)+(CONTADORES!AY146-CONTADORES!AY145)+(CONTADORES!BD146-CONTADORES!BD145))</f>
        <v>2.8600000000000136</v>
      </c>
      <c r="BD146" s="1438">
        <f t="shared" ca="1" si="76"/>
        <v>219.34500000000003</v>
      </c>
      <c r="BE146" s="1439">
        <f ca="1">IF($B146&gt;=$J$5,0,CONTADORES!$BE146)</f>
        <v>5755.4299999999994</v>
      </c>
      <c r="BF146" s="1438">
        <f ca="1">IF($B146&gt;=$J$5,0,CONTADORES!$BF146)</f>
        <v>31916.333333333336</v>
      </c>
      <c r="BG146" s="1438">
        <f ca="1">IF($B146&gt;=$J$5,0,CONTADORES!$BH146)</f>
        <v>4883.4900000000007</v>
      </c>
      <c r="BH146" s="1438">
        <f ca="1">IF(B146&gt;=$J$5,0,(CONTADORES!AQ146-CONTADORES!AQ145))</f>
        <v>5</v>
      </c>
      <c r="BI146" s="1438">
        <f ca="1">IF(B146&gt;=$J$5,0,(CONTADORES!AR146-CONTADORES!AR145))</f>
        <v>0</v>
      </c>
      <c r="BJ146" s="1439">
        <f ca="1">IF(B146&gt;=$J$5,0,CONTADORES!BI146-CONTADORES!BI145)/1000</f>
        <v>0</v>
      </c>
      <c r="BK146" s="1439">
        <f ca="1">IF(B146&gt;=$J$5,0,CONTADORES!BJ146-CONTADORES!BJ145)</f>
        <v>0</v>
      </c>
      <c r="BL146" s="1439">
        <f ca="1">IF(B146&gt;=$J$5,0,CONTADORES!BK146-CONTADORES!BK145)</f>
        <v>0</v>
      </c>
      <c r="BM146" s="1439">
        <f ca="1">IF(B146&gt;=$J$5,0,CONTADORES!BL146-CONTADORES!BL145)/1000</f>
        <v>4.548</v>
      </c>
      <c r="BN146" s="1439">
        <f ca="1">IF(B146&gt;=$J$5,0,CONTADORES!BM146-CONTADORES!BM145)/1000</f>
        <v>0.27600000000000002</v>
      </c>
      <c r="BO146" s="1439">
        <f ca="1">IF(B146&gt;=$J$5,0,CONTADORES!BN146-CONTADORES!BN145)</f>
        <v>24</v>
      </c>
      <c r="BP146" s="1439">
        <f ca="1">IF(B146&gt;=$J$5,0,CONTADORES!BO146-CONTADORES!BO145)/1000</f>
        <v>3.4849999999999999</v>
      </c>
      <c r="BQ146" s="1439">
        <f ca="1">IF(B146&gt;=$J$5,0,CONTADORES!BP146-CONTADORES!BP145)/1000</f>
        <v>0.11600000000000001</v>
      </c>
      <c r="BR146" s="1439">
        <f ca="1">IF(B146&gt;=$J$5,0,CONTADORES!BQ146-CONTADORES!BQ145)</f>
        <v>24</v>
      </c>
      <c r="BS146" s="1439">
        <f ca="1">IF(B146&gt;=$J$5,0,(CONTADORES!BT146-CONTADORES!BT145)+(CONTADORES!BV146-CONTADORES!BV145))/1000</f>
        <v>1.4730000000000001</v>
      </c>
      <c r="BT146" s="1439">
        <f ca="1">IF(B146&gt;=$J$5,0,(CONTADORES!BU146-CONTADORES!BU145)+(CONTADORES!BW146-CONTADORES!BW145))/1000</f>
        <v>0.90900000000000003</v>
      </c>
      <c r="BU146" s="1439">
        <f ca="1">IF(B146&gt;=$J$5,0,CONTADORES!BR146-CONTADORES!BR145)</f>
        <v>7.3999999999996362</v>
      </c>
      <c r="BV146" s="1439">
        <f ca="1">IF(B146&gt;=$J$5,0,CONTADORES!BS146-CONTADORES!BS145)</f>
        <v>4.8999999999996362</v>
      </c>
      <c r="BW146" s="1439">
        <f t="shared" ca="1" si="77"/>
        <v>11.543499999998495</v>
      </c>
      <c r="BX146" s="1439">
        <f t="shared" ca="1" si="78"/>
        <v>9.0199999999993565</v>
      </c>
      <c r="BY146" s="1439">
        <f t="shared" ca="1" si="79"/>
        <v>4.1434999999988582</v>
      </c>
      <c r="BZ146" s="1439">
        <f t="shared" ca="1" si="80"/>
        <v>1.6027999999998936</v>
      </c>
      <c r="CA146" s="1439">
        <f t="shared" ca="1" si="81"/>
        <v>4.1434999999988582</v>
      </c>
      <c r="CB146" s="1439">
        <f t="shared" ca="1" si="82"/>
        <v>2.4041999999998405</v>
      </c>
      <c r="CC146" s="1439">
        <f t="shared" ca="1" si="83"/>
        <v>3.0757999999998935</v>
      </c>
      <c r="CD146" s="1439">
        <f t="shared" ca="1" si="84"/>
        <v>4.1199999999997203</v>
      </c>
      <c r="CE146" s="1439">
        <f ca="1">IF(B146&gt;=$J$5,0,CONTADORES!BS146-CONTADORES!BS145)</f>
        <v>4.8999999999996362</v>
      </c>
      <c r="CF146" s="1439">
        <f t="shared" ca="1" si="85"/>
        <v>4.1199999999997203</v>
      </c>
      <c r="CG146" s="1439">
        <f t="shared" ca="1" si="86"/>
        <v>1.4300000000000068</v>
      </c>
      <c r="CH146" s="1439">
        <f t="shared" ca="1" si="87"/>
        <v>1.4300000000000068</v>
      </c>
      <c r="CI146" s="1439">
        <f t="shared" ca="1" si="88"/>
        <v>2.3390000000000066</v>
      </c>
      <c r="CJ146" s="1488">
        <f ca="1">IF($B146&gt;=$J$5,0,CONTADORES!$BG146)</f>
        <v>11411.131561915401</v>
      </c>
      <c r="CK146" s="1406">
        <f>CONTADORES!E146</f>
        <v>0.7</v>
      </c>
      <c r="CL146" s="1406">
        <f>CONTADORES!BX146</f>
        <v>0</v>
      </c>
    </row>
    <row r="147" spans="2:90">
      <c r="B147" s="410">
        <v>45063</v>
      </c>
      <c r="C147" s="204">
        <f t="shared" ca="1" si="64"/>
        <v>134.98999999999069</v>
      </c>
      <c r="D147" s="202">
        <f ca="1">'CALCULO DE GAS'!D156</f>
        <v>3.7532603024499691</v>
      </c>
      <c r="E147" s="202">
        <f ca="1">IF(B147&gt;=$J$5,0,(CONTADORES!$AB147-CONTADORES!$AB146)-$H147)</f>
        <v>24</v>
      </c>
      <c r="F147" s="204">
        <f t="shared" ca="1" si="63"/>
        <v>0</v>
      </c>
      <c r="G147" s="202">
        <f ca="1">IF(B147&gt;=$J$5,0,CONTADORES!$AD147-CONTADORES!$AD146)</f>
        <v>0</v>
      </c>
      <c r="H147" s="202">
        <f ca="1">IF(G147&gt;0,CONTADORES!$AC147-CONTADORES!$AC146,0)</f>
        <v>0</v>
      </c>
      <c r="I147" s="205">
        <f ca="1">IF(B147&gt;=$J$5,0,CONTADORES!$Z147-CONTADORES!$Z146)</f>
        <v>134.98999999999069</v>
      </c>
      <c r="J147" s="204">
        <f t="shared" ca="1" si="65"/>
        <v>304.44999999999709</v>
      </c>
      <c r="K147" s="202">
        <f ca="1">'CALCULO DE GAS'!E156</f>
        <v>5.2031832805661047</v>
      </c>
      <c r="L147" s="1437">
        <f ca="1">IF(B147&gt;=$J$5,0,(CONTADORES!$W147-CONTADORES!$W146)-$O147)</f>
        <v>24</v>
      </c>
      <c r="M147" s="1437">
        <f t="shared" ca="1" si="89"/>
        <v>0</v>
      </c>
      <c r="N147" s="1437">
        <f ca="1">IF(B147&gt;=$J$5,0,CONTADORES!$Y147-CONTADORES!$Y146)</f>
        <v>0</v>
      </c>
      <c r="O147" s="1437">
        <f ca="1">IF(N147&gt;0,CONTADORES!$X147-CONTADORES!$X146,0)</f>
        <v>0</v>
      </c>
      <c r="P147" s="208">
        <f ca="1">IF(B147&gt;=$J$5,0,CONTADORES!$U147-CONTADORES!$U146)</f>
        <v>304.44999999999709</v>
      </c>
      <c r="Q147" s="208">
        <f ca="1">IF(B147&gt;=$J$5,0,CONTADORES!$B147-CONTADORES!$B146)</f>
        <v>0</v>
      </c>
      <c r="R147" s="202">
        <f t="shared" ca="1" si="66"/>
        <v>0</v>
      </c>
      <c r="S147" s="11">
        <f ca="1">IF(B147&gt;=$J$5,0,CONTADORES!$D147-CONTADORES!$D146)</f>
        <v>0</v>
      </c>
      <c r="T147" s="204">
        <f ca="1">IF(B147&gt;=$J$5,0,CONTADORES!$AZ147-CONTADORES!$AZ146)</f>
        <v>0</v>
      </c>
      <c r="U147" s="202">
        <f t="shared" ca="1" si="61"/>
        <v>0</v>
      </c>
      <c r="V147" s="205">
        <f ca="1">IF(B147&gt;=$J$5,0,CONTADORES!$BB147-CONTADORES!$BB146)</f>
        <v>0</v>
      </c>
      <c r="W147" s="1438">
        <f t="shared" ca="1" si="67"/>
        <v>439.43999999998778</v>
      </c>
      <c r="X147" s="1438">
        <f t="shared" ca="1" si="68"/>
        <v>0</v>
      </c>
      <c r="Y147" s="1439">
        <f t="shared" ca="1" si="69"/>
        <v>439.43999999998778</v>
      </c>
      <c r="Z147" s="1439">
        <f t="shared" ca="1" si="70"/>
        <v>8.9564435830160747</v>
      </c>
      <c r="AA147" s="1439">
        <f t="shared" ca="1" si="71"/>
        <v>0</v>
      </c>
      <c r="AB147" s="1439">
        <f t="shared" ca="1" si="72"/>
        <v>48</v>
      </c>
      <c r="AC147" s="1438">
        <f t="shared" ca="1" si="73"/>
        <v>0</v>
      </c>
      <c r="AD147" s="1438">
        <f ca="1">IF(B147&gt;=$J$5,0,CONTADORES!H147-CONTADORES!H146)</f>
        <v>165.77000000000044</v>
      </c>
      <c r="AE147" s="1439">
        <f ca="1">IF(B147&gt;=$J$5,0,CONTADORES!J147-CONTADORES!J146)</f>
        <v>24</v>
      </c>
      <c r="AF147" s="1438">
        <f ca="1">IF(B147&gt;=$J$5,0,CONTADORES!AS147-CONTADORES!AS146)</f>
        <v>146.95000000001164</v>
      </c>
      <c r="AG147" s="1439">
        <f ca="1">IF(B147&gt;=$J$5,0,CONTADORES!AU147-CONTADORES!AU146)</f>
        <v>24</v>
      </c>
      <c r="AH147" s="1439">
        <f ca="1">IF(B147&gt;=$J$5,0,(CONTADORES!AK147-CONTADORES!AK146)+(CONTADORES!K147-CONTADORES!K146))</f>
        <v>10</v>
      </c>
      <c r="AI147" s="1438">
        <f ca="1">IF(B147&gt;=$J$5,0,(CONTADORES!AI147-CONTADORES!AI146)+(CONTADORES!M147-CONTADORES!M146))</f>
        <v>35.600000000005821</v>
      </c>
      <c r="AJ147" s="1438">
        <f ca="1">IF(B147&gt;=$J$5,0,(CONTADORES!AG147-CONTADORES!AG146))</f>
        <v>5.3700000000098953</v>
      </c>
      <c r="AK147" s="1438">
        <f ca="1">IF(B147&gt;=$J$5,0,(CONTADORES!O147-CONTADORES!O146))</f>
        <v>13.220000000001164</v>
      </c>
      <c r="AL147" s="1439">
        <f t="shared" ca="1" si="74"/>
        <v>34.679999999982158</v>
      </c>
      <c r="AM147" s="1438">
        <f ca="1">IF(B147&gt;=$J$5,0,(((CONTADORES!F147-CONTADORES!F146)+(CONTADORES!AO147-CONTADORES!AO146))))-BJ147-AF147-AN147-BM147-BP147-BU147-BS147</f>
        <v>8.2939999999772667</v>
      </c>
      <c r="AN147" s="1438">
        <f ca="1">IF(B147&gt;=$J$5,0,(CONTADORES!AV147-CONTADORES!AV146)+(CONTADORES!AX147-CONTADORES!AX146)+(CONTADORES!BC147-CONTADORES!BC146))-BS147</f>
        <v>3.3459999999997407</v>
      </c>
      <c r="AO147" s="1438">
        <f ca="1">IF(B147&gt;=$J$5,0,(CONTADORES!AA147-CONTADORES!AA146))</f>
        <v>67.700000000011642</v>
      </c>
      <c r="AP147" s="1438">
        <f ca="1">IF(B147&gt;=$J$5,0,(CONTADORES!V147-CONTADORES!V146))</f>
        <v>151.84000000000015</v>
      </c>
      <c r="AQ147" s="1438">
        <f ca="1">IF(B147&gt;=$J$5,0,(CONTADORES!C147-CONTADORES!C146))</f>
        <v>0</v>
      </c>
      <c r="AR147" s="1438">
        <f ca="1">IF(B147&gt;=$J$5,0,(CONTADORES!BA147-CONTADORES!BA146))</f>
        <v>0</v>
      </c>
      <c r="AS147" s="1438">
        <f ca="1">IF(B147&gt;=$J$5,0,CONTADORES!Q147-CONTADORES!Q146)</f>
        <v>14.539999999979045</v>
      </c>
      <c r="AT147" s="1438">
        <f ca="1">IF(B147&gt;=$J$5,0,(CONTADORES!S147-CONTADORES!S146)+(CONTADORES!AE147-CONTADORES!AE146))</f>
        <v>2.3600000000005821</v>
      </c>
      <c r="AU147" s="1438">
        <f ca="1">IF(B147&gt;=$J$5,0,(CONTADORES!I147-CONTADORES!I146))</f>
        <v>82.860000000000127</v>
      </c>
      <c r="AV147" s="1438">
        <f ca="1">IF(B147&gt;=$J$5,0,(CONTADORES!AT147-CONTADORES!AT146))</f>
        <v>63.549999999988358</v>
      </c>
      <c r="AW147" s="1438">
        <f ca="1">IF(B147&gt;=$J$5,0,(CONTADORES!L147-CONTADORES!L146)+(CONTADORES!AL147-CONTADORES!AL146))</f>
        <v>4</v>
      </c>
      <c r="AX147" s="1438">
        <f ca="1">IF(B147&gt;=$J$5,0,(CONTADORES!N147-CONTADORES!N146)+(CONTADORES!AJ147-CONTADORES!AJ146))</f>
        <v>30.190000000002328</v>
      </c>
      <c r="AY147" s="1438">
        <f ca="1">IF(B147&gt;=$J$5,0,(CONTADORES!AH147-CONTADORES!AH146))</f>
        <v>3.9499999999970896</v>
      </c>
      <c r="AZ147" s="1438">
        <f ca="1">IF(B147&gt;=$J$5,0,(CONTADORES!P147-CONTADORES!P146))</f>
        <v>10.549999999988358</v>
      </c>
      <c r="BA147" s="1439">
        <f t="shared" ca="1" si="75"/>
        <v>7.6750000000120622</v>
      </c>
      <c r="BB147" s="1438">
        <f ca="1">IF(B147&gt;=$J$5,0,(((CONTADORES!G147-CONTADORES!G146)+(CONTADORES!AP147-CONTADORES!AP146)+AR147)-(AV147+BC147)))</f>
        <v>8.6600000000234445</v>
      </c>
      <c r="BC147" s="1438">
        <f ca="1">IF(B147&gt;=$J$5,0,(CONTADORES!AW147-CONTADORES!AW146)+(CONTADORES!AY147-CONTADORES!AY146)+(CONTADORES!BD147-CONTADORES!BD146))</f>
        <v>2.2900000000000205</v>
      </c>
      <c r="BD147" s="1438">
        <f t="shared" ca="1" si="76"/>
        <v>219.54000000001179</v>
      </c>
      <c r="BE147" s="1439">
        <f ca="1">IF($B147&gt;=$J$5,0,CONTADORES!$BE147)</f>
        <v>5687.95</v>
      </c>
      <c r="BF147" s="1438">
        <f ca="1">IF($B147&gt;=$J$5,0,CONTADORES!$BF147)</f>
        <v>28775.877192982502</v>
      </c>
      <c r="BG147" s="1438">
        <f ca="1">IF($B147&gt;=$J$5,0,CONTADORES!$BH147)</f>
        <v>4801.01</v>
      </c>
      <c r="BH147" s="1438">
        <f ca="1">IF(B147&gt;=$J$5,0,(CONTADORES!AQ147-CONTADORES!AQ146))</f>
        <v>4.6920000000027358</v>
      </c>
      <c r="BI147" s="1438">
        <f ca="1">IF(B147&gt;=$J$5,0,(CONTADORES!AR147-CONTADORES!AR146))</f>
        <v>0</v>
      </c>
      <c r="BJ147" s="1439">
        <f ca="1">IF(B147&gt;=$J$5,0,CONTADORES!BI147-CONTADORES!BI146)/1000</f>
        <v>0</v>
      </c>
      <c r="BK147" s="1439">
        <f ca="1">IF(B147&gt;=$J$5,0,CONTADORES!BJ147-CONTADORES!BJ146)</f>
        <v>0</v>
      </c>
      <c r="BL147" s="1439">
        <f ca="1">IF(B147&gt;=$J$5,0,CONTADORES!BK147-CONTADORES!BK146)</f>
        <v>0</v>
      </c>
      <c r="BM147" s="1439">
        <f ca="1">IF(B147&gt;=$J$5,0,CONTADORES!BL147-CONTADORES!BL146)/1000</f>
        <v>4.5369999999999999</v>
      </c>
      <c r="BN147" s="1439">
        <f ca="1">IF(B147&gt;=$J$5,0,CONTADORES!BM147-CONTADORES!BM146)/1000</f>
        <v>0.30299999999999999</v>
      </c>
      <c r="BO147" s="1439">
        <f ca="1">IF(B147&gt;=$J$5,0,CONTADORES!BN147-CONTADORES!BN146)</f>
        <v>24</v>
      </c>
      <c r="BP147" s="1439">
        <f ca="1">IF(B147&gt;=$J$5,0,CONTADORES!BO147-CONTADORES!BO146)/1000</f>
        <v>3.5390000000000001</v>
      </c>
      <c r="BQ147" s="1439">
        <f ca="1">IF(B147&gt;=$J$5,0,CONTADORES!BP147-CONTADORES!BP146)/1000</f>
        <v>0.108</v>
      </c>
      <c r="BR147" s="1439">
        <f ca="1">IF(B147&gt;=$J$5,0,CONTADORES!BQ147-CONTADORES!BQ146)</f>
        <v>24</v>
      </c>
      <c r="BS147" s="1439">
        <f ca="1">IF(B147&gt;=$J$5,0,(CONTADORES!BT147-CONTADORES!BT146)+(CONTADORES!BV147-CONTADORES!BV146))/1000</f>
        <v>1.0640000000000001</v>
      </c>
      <c r="BT147" s="1439">
        <f ca="1">IF(B147&gt;=$J$5,0,(CONTADORES!BU147-CONTADORES!BU146)+(CONTADORES!BW147-CONTADORES!BW146))/1000</f>
        <v>0.65400000000000003</v>
      </c>
      <c r="BU147" s="1439">
        <f ca="1">IF(B147&gt;=$J$5,0,CONTADORES!BR147-CONTADORES!BR146)</f>
        <v>7.069999999999709</v>
      </c>
      <c r="BV147" s="1439">
        <f ca="1">IF(B147&gt;=$J$5,0,CONTADORES!BS147-CONTADORES!BS146)</f>
        <v>4.75</v>
      </c>
      <c r="BW147" s="1439">
        <f t="shared" ca="1" si="77"/>
        <v>11.216999999988342</v>
      </c>
      <c r="BX147" s="1439">
        <f t="shared" ca="1" si="78"/>
        <v>9.0800000000117222</v>
      </c>
      <c r="BY147" s="1439">
        <f t="shared" ca="1" si="79"/>
        <v>4.1469999999886333</v>
      </c>
      <c r="BZ147" s="1439">
        <f t="shared" ca="1" si="80"/>
        <v>1.3383999999998963</v>
      </c>
      <c r="CA147" s="1439">
        <f t="shared" ca="1" si="81"/>
        <v>4.1469999999886333</v>
      </c>
      <c r="CB147" s="1439">
        <f t="shared" ca="1" si="82"/>
        <v>2.0075999999998446</v>
      </c>
      <c r="CC147" s="1439">
        <f t="shared" ca="1" si="83"/>
        <v>2.4023999999998962</v>
      </c>
      <c r="CD147" s="1439">
        <f t="shared" ca="1" si="84"/>
        <v>4.3300000000117222</v>
      </c>
      <c r="CE147" s="1439">
        <f ca="1">IF(B147&gt;=$J$5,0,CONTADORES!BS147-CONTADORES!BS146)</f>
        <v>4.75</v>
      </c>
      <c r="CF147" s="1439">
        <f t="shared" ca="1" si="85"/>
        <v>4.3300000000117222</v>
      </c>
      <c r="CG147" s="1439">
        <f t="shared" ca="1" si="86"/>
        <v>1.1450000000000102</v>
      </c>
      <c r="CH147" s="1439">
        <f t="shared" ca="1" si="87"/>
        <v>1.1450000000000102</v>
      </c>
      <c r="CI147" s="1439">
        <f t="shared" ca="1" si="88"/>
        <v>1.7990000000000101</v>
      </c>
      <c r="CJ147" s="1488">
        <f ca="1">IF($B147&gt;=$J$5,0,CONTADORES!$BG147)</f>
        <v>8044.7365776820297</v>
      </c>
      <c r="CK147" s="1406">
        <f>CONTADORES!E147</f>
        <v>0</v>
      </c>
      <c r="CL147" s="1406">
        <f>CONTADORES!BX147</f>
        <v>0</v>
      </c>
    </row>
    <row r="148" spans="2:90">
      <c r="B148" s="410">
        <v>45064</v>
      </c>
      <c r="C148" s="204">
        <f t="shared" ca="1" si="64"/>
        <v>176.77500000002328</v>
      </c>
      <c r="D148" s="202">
        <f ca="1">'CALCULO DE GAS'!D157</f>
        <v>4.1107784875120945</v>
      </c>
      <c r="E148" s="202">
        <f ca="1">IF(B148&gt;=$J$5,0,(CONTADORES!$AB148-CONTADORES!$AB147)-$H148)</f>
        <v>24</v>
      </c>
      <c r="F148" s="204">
        <f t="shared" ca="1" si="63"/>
        <v>0</v>
      </c>
      <c r="G148" s="202">
        <f ca="1">IF(B148&gt;=$J$5,0,CONTADORES!$AD148-CONTADORES!$AD147)</f>
        <v>0</v>
      </c>
      <c r="H148" s="202">
        <f ca="1">IF(G148&gt;0,CONTADORES!$AC148-CONTADORES!$AC147,0)</f>
        <v>0</v>
      </c>
      <c r="I148" s="205">
        <f ca="1">IF(B148&gt;=$J$5,0,CONTADORES!$Z148-CONTADORES!$Z147)</f>
        <v>176.77500000002328</v>
      </c>
      <c r="J148" s="204">
        <f t="shared" ca="1" si="65"/>
        <v>268.37800000000425</v>
      </c>
      <c r="K148" s="202">
        <f ca="1">'CALCULO DE GAS'!E157</f>
        <v>4.894546306255986</v>
      </c>
      <c r="L148" s="1437">
        <f ca="1">IF(B148&gt;=$J$5,0,(CONTADORES!$W148-CONTADORES!$W147)-$O148)</f>
        <v>24</v>
      </c>
      <c r="M148" s="1437">
        <f t="shared" ca="1" si="89"/>
        <v>0</v>
      </c>
      <c r="N148" s="1437">
        <f ca="1">IF(B148&gt;=$J$5,0,CONTADORES!$Y148-CONTADORES!$Y147)</f>
        <v>0</v>
      </c>
      <c r="O148" s="1437">
        <f ca="1">IF(N148&gt;0,CONTADORES!$X148-CONTADORES!$X147,0)</f>
        <v>0</v>
      </c>
      <c r="P148" s="208">
        <f ca="1">IF(B148&gt;=$J$5,0,CONTADORES!$U148-CONTADORES!$U147)</f>
        <v>268.37800000000425</v>
      </c>
      <c r="Q148" s="208">
        <f ca="1">IF(B148&gt;=$J$5,0,CONTADORES!$B148-CONTADORES!$B147)</f>
        <v>0</v>
      </c>
      <c r="R148" s="202">
        <f t="shared" ca="1" si="66"/>
        <v>0</v>
      </c>
      <c r="S148" s="11">
        <f ca="1">IF(B148&gt;=$J$5,0,CONTADORES!$D148-CONTADORES!$D147)</f>
        <v>0</v>
      </c>
      <c r="T148" s="204">
        <f ca="1">IF(B148&gt;=$J$5,0,CONTADORES!$AZ148-CONTADORES!$AZ147)</f>
        <v>0</v>
      </c>
      <c r="U148" s="202">
        <f t="shared" ca="1" si="61"/>
        <v>0</v>
      </c>
      <c r="V148" s="205">
        <f ca="1">IF(B148&gt;=$J$5,0,CONTADORES!$BB148-CONTADORES!$BB147)</f>
        <v>0</v>
      </c>
      <c r="W148" s="1438">
        <f t="shared" ca="1" si="67"/>
        <v>445.15300000002753</v>
      </c>
      <c r="X148" s="1438">
        <f t="shared" ca="1" si="68"/>
        <v>0</v>
      </c>
      <c r="Y148" s="1439">
        <f t="shared" ca="1" si="69"/>
        <v>445.15300000002753</v>
      </c>
      <c r="Z148" s="1439">
        <f t="shared" ca="1" si="70"/>
        <v>9.0053247937680805</v>
      </c>
      <c r="AA148" s="1439">
        <f t="shared" ca="1" si="71"/>
        <v>0</v>
      </c>
      <c r="AB148" s="1439">
        <f t="shared" ca="1" si="72"/>
        <v>48</v>
      </c>
      <c r="AC148" s="1438">
        <f t="shared" ca="1" si="73"/>
        <v>0</v>
      </c>
      <c r="AD148" s="1438">
        <f ca="1">IF(B148&gt;=$J$5,0,CONTADORES!H148-CONTADORES!H147)</f>
        <v>167.73199999999997</v>
      </c>
      <c r="AE148" s="1439">
        <f ca="1">IF(B148&gt;=$J$5,0,CONTADORES!J148-CONTADORES!J147)</f>
        <v>24</v>
      </c>
      <c r="AF148" s="1438">
        <f ca="1">IF(B148&gt;=$J$5,0,CONTADORES!AS148-CONTADORES!AS147)</f>
        <v>150.64999999996508</v>
      </c>
      <c r="AG148" s="1439">
        <f ca="1">IF(B148&gt;=$J$5,0,CONTADORES!AU148-CONTADORES!AU147)</f>
        <v>24</v>
      </c>
      <c r="AH148" s="1439">
        <f ca="1">IF(B148&gt;=$J$5,0,(CONTADORES!AK148-CONTADORES!AK147)+(CONTADORES!K148-CONTADORES!K147))</f>
        <v>10.399999999994179</v>
      </c>
      <c r="AI148" s="1438">
        <f ca="1">IF(B148&gt;=$J$5,0,(CONTADORES!AI148-CONTADORES!AI147)+(CONTADORES!M148-CONTADORES!M147))</f>
        <v>36.720000000001164</v>
      </c>
      <c r="AJ148" s="1438">
        <f ca="1">IF(B148&gt;=$J$5,0,(CONTADORES!AG148-CONTADORES!AG147))</f>
        <v>4.8799999999901047</v>
      </c>
      <c r="AK148" s="1438">
        <f ca="1">IF(B148&gt;=$J$5,0,(CONTADORES!O148-CONTADORES!O147))</f>
        <v>12.550000000017462</v>
      </c>
      <c r="AL148" s="1439">
        <f t="shared" ca="1" si="74"/>
        <v>35.570999999999913</v>
      </c>
      <c r="AM148" s="1438">
        <f ca="1">IF(B148&gt;=$J$5,0,(((CONTADORES!F148-CONTADORES!F147)+(CONTADORES!AO148-CONTADORES!AO147))))-BJ148-AF148-AN148-BM148-BP148-BU148-BS148</f>
        <v>7.7509000000595369</v>
      </c>
      <c r="AN148" s="1438">
        <f ca="1">IF(B148&gt;=$J$5,0,(CONTADORES!AV148-CONTADORES!AV147)+(CONTADORES!AX148-CONTADORES!AX147)+(CONTADORES!BC148-CONTADORES!BC147))-BS148</f>
        <v>3.0290000000003294</v>
      </c>
      <c r="AO148" s="1438">
        <f ca="1">IF(B148&gt;=$J$5,0,(CONTADORES!AA148-CONTADORES!AA147))</f>
        <v>89.856999999959953</v>
      </c>
      <c r="AP148" s="1438">
        <f ca="1">IF(B148&gt;=$J$5,0,(CONTADORES!V148-CONTADORES!V147))</f>
        <v>134.89700000000084</v>
      </c>
      <c r="AQ148" s="1438">
        <f ca="1">IF(B148&gt;=$J$5,0,(CONTADORES!C148-CONTADORES!C147))</f>
        <v>0</v>
      </c>
      <c r="AR148" s="1438">
        <f ca="1">IF(B148&gt;=$J$5,0,(CONTADORES!BA148-CONTADORES!BA147))</f>
        <v>0</v>
      </c>
      <c r="AS148" s="1438">
        <f ca="1">IF(B148&gt;=$J$5,0,CONTADORES!Q148-CONTADORES!Q147)</f>
        <v>14.880000000004657</v>
      </c>
      <c r="AT148" s="1438">
        <f ca="1">IF(B148&gt;=$J$5,0,(CONTADORES!S148-CONTADORES!S147)+(CONTADORES!AE148-CONTADORES!AE147))</f>
        <v>2.5299999999988358</v>
      </c>
      <c r="AU148" s="1438">
        <f ca="1">IF(B148&gt;=$J$5,0,(CONTADORES!I148-CONTADORES!I147))</f>
        <v>83.808999999999742</v>
      </c>
      <c r="AV148" s="1438">
        <f ca="1">IF(B148&gt;=$J$5,0,(CONTADORES!AT148-CONTADORES!AT147))</f>
        <v>65.350000000005821</v>
      </c>
      <c r="AW148" s="1438">
        <f ca="1">IF(B148&gt;=$J$5,0,(CONTADORES!L148-CONTADORES!L147)+(CONTADORES!AL148-CONTADORES!AL147))</f>
        <v>4.0999999999985448</v>
      </c>
      <c r="AX148" s="1438">
        <f ca="1">IF(B148&gt;=$J$5,0,(CONTADORES!N148-CONTADORES!N147)+(CONTADORES!AJ148-CONTADORES!AJ147))</f>
        <v>31.209999999999127</v>
      </c>
      <c r="AY148" s="1438">
        <f ca="1">IF(B148&gt;=$J$5,0,(CONTADORES!AH148-CONTADORES!AH147))</f>
        <v>3.6600000000034925</v>
      </c>
      <c r="AZ148" s="1438">
        <f ca="1">IF(B148&gt;=$J$5,0,(CONTADORES!P148-CONTADORES!P147))</f>
        <v>10.06600000000617</v>
      </c>
      <c r="BA148" s="1439">
        <f t="shared" ca="1" si="75"/>
        <v>6.3139999999592646</v>
      </c>
      <c r="BB148" s="1438">
        <f ca="1">IF(B148&gt;=$J$5,0,(((CONTADORES!G148-CONTADORES!G147)+(CONTADORES!AP148-CONTADORES!AP147)+AR148)-(AV148+BC148)))</f>
        <v>10.349999999988711</v>
      </c>
      <c r="BC148" s="1438">
        <f ca="1">IF(B148&gt;=$J$5,0,(CONTADORES!AW148-CONTADORES!AW147)+(CONTADORES!AY148-CONTADORES!AY147)+(CONTADORES!BD148-CONTADORES!BD147))</f>
        <v>2.8000000000000114</v>
      </c>
      <c r="BD148" s="1438">
        <f t="shared" ca="1" si="76"/>
        <v>224.7539999999608</v>
      </c>
      <c r="BE148" s="1439">
        <f ca="1">IF($B148&gt;=$J$5,0,CONTADORES!$BE148)</f>
        <v>5513.42</v>
      </c>
      <c r="BF148" s="1438">
        <f ca="1">IF($B148&gt;=$J$5,0,CONTADORES!$BF148)</f>
        <v>30427.087719298299</v>
      </c>
      <c r="BG148" s="1438">
        <f ca="1">IF($B148&gt;=$J$5,0,CONTADORES!$BH148)</f>
        <v>5136.8100000000004</v>
      </c>
      <c r="BH148" s="1438">
        <f ca="1">IF(B148&gt;=$J$5,0,(CONTADORES!AQ148-CONTADORES!AQ147))</f>
        <v>5.2379999999975553</v>
      </c>
      <c r="BI148" s="1438">
        <f ca="1">IF(B148&gt;=$J$5,0,(CONTADORES!AR148-CONTADORES!AR147))</f>
        <v>0</v>
      </c>
      <c r="BJ148" s="1439">
        <f ca="1">IF(B148&gt;=$J$5,0,CONTADORES!BI148-CONTADORES!BI147)/1000</f>
        <v>1.1541000000000932</v>
      </c>
      <c r="BK148" s="1439">
        <f ca="1">IF(B148&gt;=$J$5,0,CONTADORES!BJ148-CONTADORES!BJ147)</f>
        <v>1</v>
      </c>
      <c r="BL148" s="1439">
        <f ca="1">IF(B148&gt;=$J$5,0,CONTADORES!BK148-CONTADORES!BK147)</f>
        <v>13.470000000001164</v>
      </c>
      <c r="BM148" s="1439">
        <f ca="1">IF(B148&gt;=$J$5,0,CONTADORES!BL148-CONTADORES!BL147)/1000</f>
        <v>2.0030000000000001</v>
      </c>
      <c r="BN148" s="1439">
        <f ca="1">IF(B148&gt;=$J$5,0,CONTADORES!BM148-CONTADORES!BM147)/1000</f>
        <v>0.15</v>
      </c>
      <c r="BO148" s="1439">
        <f ca="1">IF(B148&gt;=$J$5,0,CONTADORES!BN148-CONTADORES!BN147)</f>
        <v>10.530000000002474</v>
      </c>
      <c r="BP148" s="1439">
        <f ca="1">IF(B148&gt;=$J$5,0,CONTADORES!BO148-CONTADORES!BO147)/1000</f>
        <v>4.7220000000000004</v>
      </c>
      <c r="BQ148" s="1439">
        <f ca="1">IF(B148&gt;=$J$5,0,CONTADORES!BP148-CONTADORES!BP147)/1000</f>
        <v>0.43</v>
      </c>
      <c r="BR148" s="1439">
        <f ca="1">IF(B148&gt;=$J$5,0,CONTADORES!BQ148-CONTADORES!BQ147)</f>
        <v>24</v>
      </c>
      <c r="BS148" s="1439">
        <f ca="1">IF(B148&gt;=$J$5,0,(CONTADORES!BT148-CONTADORES!BT147)+(CONTADORES!BV148-CONTADORES!BV147))/1000</f>
        <v>1.421</v>
      </c>
      <c r="BT148" s="1439">
        <f ca="1">IF(B148&gt;=$J$5,0,(CONTADORES!BU148-CONTADORES!BU147)+(CONTADORES!BW148-CONTADORES!BW147))/1000</f>
        <v>0.89500000000000002</v>
      </c>
      <c r="BU148" s="1439">
        <f ca="1">IF(B148&gt;=$J$5,0,CONTADORES!BR148-CONTADORES!BR147)</f>
        <v>6.569999999999709</v>
      </c>
      <c r="BV148" s="1439">
        <f ca="1">IF(B148&gt;=$J$5,0,CONTADORES!BS148-CONTADORES!BS147)</f>
        <v>4.6199999999998909</v>
      </c>
      <c r="BW148" s="1439">
        <f t="shared" ca="1" si="77"/>
        <v>10.445450000029478</v>
      </c>
      <c r="BX148" s="1439">
        <f t="shared" ca="1" si="78"/>
        <v>9.7949999999942463</v>
      </c>
      <c r="BY148" s="1439">
        <f t="shared" ca="1" si="79"/>
        <v>3.8754500000297685</v>
      </c>
      <c r="BZ148" s="1439">
        <f t="shared" ca="1" si="80"/>
        <v>1.2116000000001319</v>
      </c>
      <c r="CA148" s="1439">
        <f t="shared" ca="1" si="81"/>
        <v>3.8754500000297685</v>
      </c>
      <c r="CB148" s="1439">
        <f t="shared" ca="1" si="82"/>
        <v>1.8174000000001975</v>
      </c>
      <c r="CC148" s="1439">
        <f t="shared" ca="1" si="83"/>
        <v>2.6326000000001319</v>
      </c>
      <c r="CD148" s="1439">
        <f t="shared" ca="1" si="84"/>
        <v>5.1749999999943554</v>
      </c>
      <c r="CE148" s="1439">
        <f ca="1">IF(B148&gt;=$J$5,0,CONTADORES!BS148-CONTADORES!BS147)</f>
        <v>4.6199999999998909</v>
      </c>
      <c r="CF148" s="1439">
        <f t="shared" ca="1" si="85"/>
        <v>5.1749999999943554</v>
      </c>
      <c r="CG148" s="1439">
        <f t="shared" ca="1" si="86"/>
        <v>1.4000000000000057</v>
      </c>
      <c r="CH148" s="1439">
        <f t="shared" ca="1" si="87"/>
        <v>1.4000000000000057</v>
      </c>
      <c r="CI148" s="1439">
        <f t="shared" ca="1" si="88"/>
        <v>2.2950000000000057</v>
      </c>
      <c r="CJ148" s="1488">
        <f ca="1">IF($B148&gt;=$J$5,0,CONTADORES!$BG148)</f>
        <v>8342.5197304453995</v>
      </c>
      <c r="CK148" s="1406">
        <f>CONTADORES!E148</f>
        <v>0</v>
      </c>
      <c r="CL148" s="1406">
        <f>CONTADORES!BX148</f>
        <v>0</v>
      </c>
    </row>
    <row r="149" spans="2:90">
      <c r="B149" s="410">
        <v>45065</v>
      </c>
      <c r="C149" s="204">
        <f t="shared" ca="1" si="64"/>
        <v>291.56499999994412</v>
      </c>
      <c r="D149" s="202">
        <f ca="1">'CALCULO DE GAS'!D158</f>
        <v>5.0929374551612749</v>
      </c>
      <c r="E149" s="202">
        <f ca="1">IF(B149&gt;=$J$5,0,(CONTADORES!$AB149-CONTADORES!$AB148)-$H149)</f>
        <v>24</v>
      </c>
      <c r="F149" s="204">
        <f t="shared" ca="1" si="63"/>
        <v>0</v>
      </c>
      <c r="G149" s="202">
        <f ca="1">IF(B149&gt;=$J$5,0,CONTADORES!$AD149-CONTADORES!$AD148)</f>
        <v>0</v>
      </c>
      <c r="H149" s="202">
        <f ca="1">IF(G149&gt;0,CONTADORES!$AC149-CONTADORES!$AC148,0)</f>
        <v>0</v>
      </c>
      <c r="I149" s="205">
        <f ca="1">IF(B149&gt;=$J$5,0,CONTADORES!$Z149-CONTADORES!$Z148)</f>
        <v>291.56499999994412</v>
      </c>
      <c r="J149" s="204">
        <f t="shared" ca="1" si="65"/>
        <v>147.50299999999697</v>
      </c>
      <c r="K149" s="202">
        <f ca="1">'CALCULO DE GAS'!E158</f>
        <v>3.860323244885798</v>
      </c>
      <c r="L149" s="1437">
        <f ca="1">IF(B149&gt;=$J$5,0,(CONTADORES!$W149-CONTADORES!$W148)-$O149)</f>
        <v>24</v>
      </c>
      <c r="M149" s="1437">
        <f t="shared" ca="1" si="89"/>
        <v>0</v>
      </c>
      <c r="N149" s="1437">
        <f ca="1">IF(B149&gt;=$J$5,0,CONTADORES!$Y149-CONTADORES!$Y148)</f>
        <v>0</v>
      </c>
      <c r="O149" s="1437">
        <f ca="1">IF(N149&gt;0,CONTADORES!$X149-CONTADORES!$X148,0)</f>
        <v>0</v>
      </c>
      <c r="P149" s="208">
        <f ca="1">IF(B149&gt;=$J$5,0,CONTADORES!$U149-CONTADORES!$U148)</f>
        <v>147.50299999999697</v>
      </c>
      <c r="Q149" s="208">
        <f ca="1">IF(B149&gt;=$J$5,0,CONTADORES!$B149-CONTADORES!$B148)</f>
        <v>0</v>
      </c>
      <c r="R149" s="202">
        <f t="shared" ca="1" si="66"/>
        <v>0</v>
      </c>
      <c r="S149" s="11">
        <f ca="1">IF(B149&gt;=$J$5,0,CONTADORES!$D149-CONTADORES!$D148)</f>
        <v>0</v>
      </c>
      <c r="T149" s="204">
        <f ca="1">IF(B149&gt;=$J$5,0,CONTADORES!$AZ149-CONTADORES!$AZ148)</f>
        <v>0</v>
      </c>
      <c r="U149" s="202">
        <f t="shared" ca="1" si="61"/>
        <v>0</v>
      </c>
      <c r="V149" s="205">
        <f ca="1">IF(B149&gt;=$J$5,0,CONTADORES!$BB149-CONTADORES!$BB148)</f>
        <v>0</v>
      </c>
      <c r="W149" s="1438">
        <f t="shared" ca="1" si="67"/>
        <v>439.06799999994109</v>
      </c>
      <c r="X149" s="1438">
        <f t="shared" ca="1" si="68"/>
        <v>0</v>
      </c>
      <c r="Y149" s="1439">
        <f t="shared" ca="1" si="69"/>
        <v>439.06799999994109</v>
      </c>
      <c r="Z149" s="1439">
        <f t="shared" ca="1" si="70"/>
        <v>8.953260700047073</v>
      </c>
      <c r="AA149" s="1439">
        <f t="shared" ca="1" si="71"/>
        <v>0</v>
      </c>
      <c r="AB149" s="1439">
        <f t="shared" ca="1" si="72"/>
        <v>48</v>
      </c>
      <c r="AC149" s="1438">
        <f t="shared" ca="1" si="73"/>
        <v>0</v>
      </c>
      <c r="AD149" s="1438">
        <f ca="1">IF(B149&gt;=$J$5,0,CONTADORES!H149-CONTADORES!H148)</f>
        <v>165.33799999999974</v>
      </c>
      <c r="AE149" s="1439">
        <f ca="1">IF(B149&gt;=$J$5,0,CONTADORES!J149-CONTADORES!J148)</f>
        <v>24</v>
      </c>
      <c r="AF149" s="1438">
        <f ca="1">IF(B149&gt;=$J$5,0,CONTADORES!AS149-CONTADORES!AS148)</f>
        <v>145.50900000002002</v>
      </c>
      <c r="AG149" s="1439">
        <f ca="1">IF(B149&gt;=$J$5,0,CONTADORES!AU149-CONTADORES!AU148)</f>
        <v>24</v>
      </c>
      <c r="AH149" s="1439">
        <f ca="1">IF(B149&gt;=$J$5,0,(CONTADORES!AK149-CONTADORES!AK148)+(CONTADORES!K149-CONTADORES!K148))</f>
        <v>10.400000000001455</v>
      </c>
      <c r="AI149" s="1438">
        <f ca="1">IF(B149&gt;=$J$5,0,(CONTADORES!AI149-CONTADORES!AI148)+(CONTADORES!M149-CONTADORES!M148))</f>
        <v>34.969999999986612</v>
      </c>
      <c r="AJ149" s="1438">
        <f ca="1">IF(B149&gt;=$J$5,0,(CONTADORES!AG149-CONTADORES!AG148))</f>
        <v>6.8700000000098953</v>
      </c>
      <c r="AK149" s="1438">
        <f ca="1">IF(B149&gt;=$J$5,0,(CONTADORES!O149-CONTADORES!O148))</f>
        <v>12.299999999988358</v>
      </c>
      <c r="AL149" s="1439">
        <f t="shared" ca="1" si="74"/>
        <v>34.189999999976976</v>
      </c>
      <c r="AM149" s="1438">
        <f ca="1">IF(B149&gt;=$J$5,0,(((CONTADORES!F149-CONTADORES!F148)+(CONTADORES!AO149-CONTADORES!AO148))))-BJ149-AF149-AN149-BM149-BP149-BU149-BS149</f>
        <v>13.237999999957811</v>
      </c>
      <c r="AN149" s="1438">
        <f ca="1">IF(B149&gt;=$J$5,0,(CONTADORES!AV149-CONTADORES!AV148)+(CONTADORES!AX149-CONTADORES!AX148)+(CONTADORES!BC149-CONTADORES!BC148))-BS149</f>
        <v>0.78299999999931891</v>
      </c>
      <c r="AO149" s="1438">
        <f ca="1">IF(B149&gt;=$J$5,0,(CONTADORES!AA149-CONTADORES!AA148))</f>
        <v>148.75300000002608</v>
      </c>
      <c r="AP149" s="1438">
        <f ca="1">IF(B149&gt;=$J$5,0,(CONTADORES!V149-CONTADORES!V148))</f>
        <v>75.076999999997497</v>
      </c>
      <c r="AQ149" s="1438">
        <f ca="1">IF(B149&gt;=$J$5,0,(CONTADORES!C149-CONTADORES!C148))</f>
        <v>0</v>
      </c>
      <c r="AR149" s="1438">
        <f ca="1">IF(B149&gt;=$J$5,0,(CONTADORES!BA149-CONTADORES!BA148))</f>
        <v>0</v>
      </c>
      <c r="AS149" s="1438">
        <f ca="1">IF(B149&gt;=$J$5,0,CONTADORES!Q149-CONTADORES!Q148)</f>
        <v>14.360000000015134</v>
      </c>
      <c r="AT149" s="1438">
        <f ca="1">IF(B149&gt;=$J$5,0,(CONTADORES!S149-CONTADORES!S148)+(CONTADORES!AE149-CONTADORES!AE148))</f>
        <v>2.4599999999991269</v>
      </c>
      <c r="AU149" s="1438">
        <f ca="1">IF(B149&gt;=$J$5,0,(CONTADORES!I149-CONTADORES!I148))</f>
        <v>82.911000000000058</v>
      </c>
      <c r="AV149" s="1438">
        <f ca="1">IF(B149&gt;=$J$5,0,(CONTADORES!AT149-CONTADORES!AT148))</f>
        <v>63.159000000014203</v>
      </c>
      <c r="AW149" s="1438">
        <f ca="1">IF(B149&gt;=$J$5,0,(CONTADORES!L149-CONTADORES!L148)+(CONTADORES!AL149-CONTADORES!AL148))</f>
        <v>4.1000000000021828</v>
      </c>
      <c r="AX149" s="1438">
        <f ca="1">IF(B149&gt;=$J$5,0,(CONTADORES!N149-CONTADORES!N148)+(CONTADORES!AJ149-CONTADORES!AJ148))</f>
        <v>29.889999999999418</v>
      </c>
      <c r="AY149" s="1438">
        <f ca="1">IF(B149&gt;=$J$5,0,(CONTADORES!AH149-CONTADORES!AH148))</f>
        <v>5.1599999999962165</v>
      </c>
      <c r="AZ149" s="1438">
        <f ca="1">IF(B149&gt;=$J$5,0,(CONTADORES!P149-CONTADORES!P148))</f>
        <v>9.7440000000060536</v>
      </c>
      <c r="BA149" s="1448">
        <f t="shared" ca="1" si="75"/>
        <v>5.6680000000305881</v>
      </c>
      <c r="BB149" s="1438">
        <f ca="1">IF(B149&gt;=$J$5,0,(((CONTADORES!G149-CONTADORES!G148)+(CONTADORES!AP149-CONTADORES!AP148)+AR149)-(AV149+BC149)))</f>
        <v>14.460999999974547</v>
      </c>
      <c r="BC149" s="1438">
        <f ca="1">IF(B149&gt;=$J$5,0,(CONTADORES!AW149-CONTADORES!AW148)+(CONTADORES!AY149-CONTADORES!AY148)+(CONTADORES!BD149-CONTADORES!BD148))</f>
        <v>1.4799999999997908</v>
      </c>
      <c r="BD149" s="1438">
        <f t="shared" ca="1" si="76"/>
        <v>223.83000000002357</v>
      </c>
      <c r="BE149" s="1439">
        <f ca="1">IF($B149&gt;=$J$5,0,CONTADORES!$BE149)</f>
        <v>5610.01</v>
      </c>
      <c r="BF149" s="1438">
        <f ca="1">IF($B149&gt;=$J$5,0,CONTADORES!$BF149)</f>
        <v>29876.659649122801</v>
      </c>
      <c r="BG149" s="1438">
        <f ca="1">IF($B149&gt;=$J$5,0,CONTADORES!$BH149)</f>
        <v>4131.09</v>
      </c>
      <c r="BH149" s="1438">
        <f ca="1">IF(B149&gt;=$J$5,0,(CONTADORES!AQ149-CONTADORES!AQ148))</f>
        <v>4.9479999999966822</v>
      </c>
      <c r="BI149" s="1438">
        <f ca="1">IF(B149&gt;=$J$5,0,(CONTADORES!AR149-CONTADORES!AR148))</f>
        <v>0</v>
      </c>
      <c r="BJ149" s="1439">
        <f ca="1">IF(B149&gt;=$J$5,0,CONTADORES!BI149-CONTADORES!BI148)/1000</f>
        <v>2.2559999999999998</v>
      </c>
      <c r="BK149" s="1439">
        <f ca="1">IF(B149&gt;=$J$5,0,CONTADORES!BJ149-CONTADORES!BJ148)</f>
        <v>1</v>
      </c>
      <c r="BL149" s="1439">
        <f ca="1">IF(B149&gt;=$J$5,0,CONTADORES!BK149-CONTADORES!BK148)</f>
        <v>24</v>
      </c>
      <c r="BM149" s="1439">
        <f ca="1">IF(B149&gt;=$J$5,0,CONTADORES!BL149-CONTADORES!BL148)/1000</f>
        <v>0</v>
      </c>
      <c r="BN149" s="1439">
        <f ca="1">IF(B149&gt;=$J$5,0,CONTADORES!BM149-CONTADORES!BM148)/1000</f>
        <v>0</v>
      </c>
      <c r="BO149" s="1439">
        <f ca="1">IF(B149&gt;=$J$5,0,CONTADORES!BN149-CONTADORES!BN148)</f>
        <v>0</v>
      </c>
      <c r="BP149" s="1439">
        <f ca="1">IF(B149&gt;=$J$5,0,CONTADORES!BO149-CONTADORES!BO148)/1000</f>
        <v>5.0869999999999997</v>
      </c>
      <c r="BQ149" s="1439">
        <f ca="1">IF(B149&gt;=$J$5,0,CONTADORES!BP149-CONTADORES!BP148)/1000</f>
        <v>0.63800000000000001</v>
      </c>
      <c r="BR149" s="1439">
        <f ca="1">IF(B149&gt;=$J$5,0,CONTADORES!BQ149-CONTADORES!BQ148)</f>
        <v>24</v>
      </c>
      <c r="BS149" s="1439">
        <f ca="1">IF(B149&gt;=$J$5,0,(CONTADORES!BT149-CONTADORES!BT148)+(CONTADORES!BV149-CONTADORES!BV148))/1000</f>
        <v>1.4970000000000001</v>
      </c>
      <c r="BT149" s="1439">
        <f ca="1">IF(B149&gt;=$J$5,0,(CONTADORES!BU149-CONTADORES!BU148)+(CONTADORES!BW149-CONTADORES!BW148))/1000</f>
        <v>0.92900000000000005</v>
      </c>
      <c r="BU149" s="1439">
        <f ca="1">IF(B149&gt;=$J$5,0,CONTADORES!BR149-CONTADORES!BR148)</f>
        <v>6.6300000000010186</v>
      </c>
      <c r="BV149" s="1439">
        <f ca="1">IF(B149&gt;=$J$5,0,CONTADORES!BS149-CONTADORES!BS148)</f>
        <v>4.6900000000005093</v>
      </c>
      <c r="BW149" s="1439">
        <f t="shared" ca="1" si="77"/>
        <v>13.248999999979924</v>
      </c>
      <c r="BX149" s="1439">
        <f t="shared" ca="1" si="78"/>
        <v>11.920499999987783</v>
      </c>
      <c r="BY149" s="1439">
        <f t="shared" ca="1" si="79"/>
        <v>6.6189999999789055</v>
      </c>
      <c r="BZ149" s="1439">
        <f t="shared" ca="1" si="80"/>
        <v>0.31319999999972759</v>
      </c>
      <c r="CA149" s="1439">
        <f t="shared" ca="1" si="81"/>
        <v>6.6189999999789055</v>
      </c>
      <c r="CB149" s="1439">
        <f t="shared" ca="1" si="82"/>
        <v>0.46979999999959132</v>
      </c>
      <c r="CC149" s="1439">
        <f t="shared" ca="1" si="83"/>
        <v>1.8101999999997278</v>
      </c>
      <c r="CD149" s="1439">
        <f t="shared" ca="1" si="84"/>
        <v>7.2304999999872734</v>
      </c>
      <c r="CE149" s="1439">
        <f ca="1">IF(B149&gt;=$J$5,0,CONTADORES!BS149-CONTADORES!BS148)</f>
        <v>4.6900000000005093</v>
      </c>
      <c r="CF149" s="1439">
        <f t="shared" ca="1" si="85"/>
        <v>7.2304999999872734</v>
      </c>
      <c r="CG149" s="1439">
        <f t="shared" ca="1" si="86"/>
        <v>0.73999999999989541</v>
      </c>
      <c r="CH149" s="1439">
        <f t="shared" ca="1" si="87"/>
        <v>0.73999999999989541</v>
      </c>
      <c r="CI149" s="1439">
        <f t="shared" ca="1" si="88"/>
        <v>1.6689999999998955</v>
      </c>
      <c r="CJ149" s="1488">
        <f ca="1">IF($B149&gt;=$J$5,0,CONTADORES!$BG149)</f>
        <v>2487.85129502058</v>
      </c>
      <c r="CK149" s="1406">
        <f>CONTADORES!E149</f>
        <v>0</v>
      </c>
      <c r="CL149" s="1406">
        <f>CONTADORES!BX149</f>
        <v>0</v>
      </c>
    </row>
    <row r="150" spans="2:90">
      <c r="B150" s="410">
        <v>45066</v>
      </c>
      <c r="C150" s="204">
        <f t="shared" ca="1" si="64"/>
        <v>307.67000000004191</v>
      </c>
      <c r="D150" s="202">
        <f ca="1">'CALCULO DE GAS'!D159</f>
        <v>5.2307340417463175</v>
      </c>
      <c r="E150" s="202">
        <f ca="1">IF(B150&gt;=$J$5,0,(CONTADORES!$AB150-CONTADORES!$AB149)-$H150)</f>
        <v>24</v>
      </c>
      <c r="F150" s="204">
        <f t="shared" ca="1" si="63"/>
        <v>0</v>
      </c>
      <c r="G150" s="202">
        <f ca="1">IF(B150&gt;=$J$5,0,CONTADORES!$AD150-CONTADORES!$AD149)</f>
        <v>0</v>
      </c>
      <c r="H150" s="202">
        <f ca="1">IF(G150&gt;0,CONTADORES!$AC150-CONTADORES!$AC149,0)</f>
        <v>0</v>
      </c>
      <c r="I150" s="205">
        <f ca="1">IF(B150&gt;=$J$5,0,CONTADORES!$Z150-CONTADORES!$Z149)</f>
        <v>307.67000000004191</v>
      </c>
      <c r="J150" s="204">
        <f t="shared" ca="1" si="65"/>
        <v>147.64199999999983</v>
      </c>
      <c r="K150" s="202">
        <f ca="1">'CALCULO DE GAS'!E159</f>
        <v>3.8615125479305421</v>
      </c>
      <c r="L150" s="1437">
        <f ca="1">IF(B150&gt;=$J$5,0,(CONTADORES!$W150-CONTADORES!$W149)-$O150)</f>
        <v>24</v>
      </c>
      <c r="M150" s="1437">
        <f t="shared" ca="1" si="89"/>
        <v>0</v>
      </c>
      <c r="N150" s="1437">
        <f ca="1">IF(B150&gt;=$J$5,0,CONTADORES!$Y150-CONTADORES!$Y149)</f>
        <v>0</v>
      </c>
      <c r="O150" s="1437">
        <f ca="1">IF(N150&gt;0,CONTADORES!$X150-CONTADORES!$X149,0)</f>
        <v>0</v>
      </c>
      <c r="P150" s="208">
        <f ca="1">IF(B150&gt;=$J$5,0,CONTADORES!$U150-CONTADORES!$U149)</f>
        <v>147.64199999999983</v>
      </c>
      <c r="Q150" s="208">
        <f ca="1">IF(B150&gt;=$J$5,0,CONTADORES!$B150-CONTADORES!$B149)</f>
        <v>0</v>
      </c>
      <c r="R150" s="202">
        <f t="shared" ca="1" si="66"/>
        <v>0</v>
      </c>
      <c r="S150" s="11">
        <f ca="1">IF(B150&gt;=$J$5,0,CONTADORES!$D150-CONTADORES!$D149)</f>
        <v>0</v>
      </c>
      <c r="T150" s="204">
        <f ca="1">IF(B150&gt;=$J$5,0,CONTADORES!$AZ150-CONTADORES!$AZ149)</f>
        <v>0</v>
      </c>
      <c r="U150" s="202">
        <f t="shared" ca="1" si="61"/>
        <v>0</v>
      </c>
      <c r="V150" s="205">
        <f ca="1">IF(B150&gt;=$J$5,0,CONTADORES!$BB150-CONTADORES!$BB149)</f>
        <v>0</v>
      </c>
      <c r="W150" s="1438">
        <f t="shared" ca="1" si="67"/>
        <v>455.31200000004173</v>
      </c>
      <c r="X150" s="1438">
        <f t="shared" ca="1" si="68"/>
        <v>0</v>
      </c>
      <c r="Y150" s="1439">
        <f t="shared" ca="1" si="69"/>
        <v>455.31200000004173</v>
      </c>
      <c r="Z150" s="1439">
        <f t="shared" ca="1" si="70"/>
        <v>9.0922465896768596</v>
      </c>
      <c r="AA150" s="1439">
        <f t="shared" ca="1" si="71"/>
        <v>0</v>
      </c>
      <c r="AB150" s="1439">
        <f t="shared" ca="1" si="72"/>
        <v>48</v>
      </c>
      <c r="AC150" s="1438">
        <f t="shared" ca="1" si="73"/>
        <v>0</v>
      </c>
      <c r="AD150" s="1438">
        <f ca="1">IF(B150&gt;=$J$5,0,CONTADORES!H150-CONTADORES!H149)</f>
        <v>173.96000000000004</v>
      </c>
      <c r="AE150" s="1439">
        <f ca="1">IF(B150&gt;=$J$5,0,CONTADORES!J150-CONTADORES!J149)</f>
        <v>24</v>
      </c>
      <c r="AF150" s="1438">
        <f ca="1">IF(B150&gt;=$J$5,0,CONTADORES!AS150-CONTADORES!AS149)</f>
        <v>150.39100000000326</v>
      </c>
      <c r="AG150" s="1439">
        <f ca="1">IF(B150&gt;=$J$5,0,CONTADORES!AU150-CONTADORES!AU149)</f>
        <v>24</v>
      </c>
      <c r="AH150" s="1439">
        <f ca="1">IF(B150&gt;=$J$5,0,(CONTADORES!AK150-CONTADORES!AK149)+(CONTADORES!K150-CONTADORES!K149))</f>
        <v>13.30000000000291</v>
      </c>
      <c r="AI150" s="1438">
        <f ca="1">IF(B150&gt;=$J$5,0,(CONTADORES!AI150-CONTADORES!AI149)+(CONTADORES!M150-CONTADORES!M149))</f>
        <v>34.690000000002328</v>
      </c>
      <c r="AJ150" s="1438">
        <f ca="1">IF(B150&gt;=$J$5,0,(CONTADORES!AG150-CONTADORES!AG149))</f>
        <v>10.369999999995343</v>
      </c>
      <c r="AK150" s="1438">
        <f ca="1">IF(B150&gt;=$J$5,0,(CONTADORES!O150-CONTADORES!O149))</f>
        <v>14.540000000008149</v>
      </c>
      <c r="AL150" s="1439">
        <f t="shared" ca="1" si="74"/>
        <v>35.052000000009684</v>
      </c>
      <c r="AM150" s="1438">
        <f ca="1">IF(B150&gt;=$J$5,0,(((CONTADORES!F150-CONTADORES!F149)+(CONTADORES!AO150-CONTADORES!AO149))))-BJ150-AF150-AN150-BM150-BP150-BU150-BS150</f>
        <v>9.887100000020272</v>
      </c>
      <c r="AN150" s="1438">
        <f ca="1">IF(B150&gt;=$J$5,0,(CONTADORES!AV150-CONTADORES!AV149)+(CONTADORES!AX150-CONTADORES!AX149)+(CONTADORES!BC150-CONTADORES!BC149))-BS150</f>
        <v>0.2250000000003638</v>
      </c>
      <c r="AO150" s="1438">
        <f ca="1">IF(B150&gt;=$J$5,0,(CONTADORES!AA150-CONTADORES!AA149))</f>
        <v>148.78999999997905</v>
      </c>
      <c r="AP150" s="1438">
        <f ca="1">IF(B150&gt;=$J$5,0,(CONTADORES!V150-CONTADORES!V149))</f>
        <v>79.186000000001513</v>
      </c>
      <c r="AQ150" s="1438">
        <f ca="1">IF(B150&gt;=$J$5,0,(CONTADORES!C150-CONTADORES!C149))</f>
        <v>0</v>
      </c>
      <c r="AR150" s="1438">
        <f ca="1">IF(B150&gt;=$J$5,0,(CONTADORES!BA150-CONTADORES!BA149))</f>
        <v>0</v>
      </c>
      <c r="AS150" s="1438">
        <f ca="1">IF(B150&gt;=$J$5,0,CONTADORES!Q150-CONTADORES!Q149)</f>
        <v>14.690000000002328</v>
      </c>
      <c r="AT150" s="1438">
        <f ca="1">IF(B150&gt;=$J$5,0,(CONTADORES!S150-CONTADORES!S149)+(CONTADORES!AE150-CONTADORES!AE149))</f>
        <v>2.4599999999991269</v>
      </c>
      <c r="AU150" s="1438">
        <f ca="1">IF(B150&gt;=$J$5,0,(CONTADORES!I150-CONTADORES!I149))</f>
        <v>84.519999999999982</v>
      </c>
      <c r="AV150" s="1438">
        <f ca="1">IF(B150&gt;=$J$5,0,(CONTADORES!AT150-CONTADORES!AT149))</f>
        <v>65.14100000000326</v>
      </c>
      <c r="AW150" s="1438">
        <f ca="1">IF(B150&gt;=$J$5,0,(CONTADORES!L150-CONTADORES!L149)+(CONTADORES!AL150-CONTADORES!AL149))</f>
        <v>5.1999999999970896</v>
      </c>
      <c r="AX150" s="1438">
        <f ca="1">IF(B150&gt;=$J$5,0,(CONTADORES!N150-CONTADORES!N149)+(CONTADORES!AJ150-CONTADORES!AJ149))</f>
        <v>29.590000000003783</v>
      </c>
      <c r="AY150" s="1438">
        <f ca="1">IF(B150&gt;=$J$5,0,(CONTADORES!AH150-CONTADORES!AH149))</f>
        <v>7.9599999999991269</v>
      </c>
      <c r="AZ150" s="1438">
        <f ca="1">IF(B150&gt;=$J$5,0,(CONTADORES!P150-CONTADORES!P149))</f>
        <v>11.639999999999418</v>
      </c>
      <c r="BA150" s="1439">
        <f t="shared" ca="1" si="75"/>
        <v>6.3689999999698159</v>
      </c>
      <c r="BB150" s="1438">
        <f ca="1">IF(B150&gt;=$J$5,0,(((CONTADORES!G150-CONTADORES!G149)+(CONTADORES!AP150-CONTADORES!AP149)+AR150)-(AV150+BC150)))</f>
        <v>11.249000000008436</v>
      </c>
      <c r="BC150" s="1438">
        <f ca="1">IF(B150&gt;=$J$5,0,(CONTADORES!AW150-CONTADORES!AW149)+(CONTADORES!AY150-CONTADORES!AY149)+(CONTADORES!BD150-CONTADORES!BD149))</f>
        <v>9.9999999997635314E-3</v>
      </c>
      <c r="BD150" s="1438">
        <f t="shared" ca="1" si="76"/>
        <v>227.97599999998056</v>
      </c>
      <c r="BE150" s="1439">
        <f ca="1">IF($B150&gt;=$J$5,0,CONTADORES!$BE150)</f>
        <v>6318.21</v>
      </c>
      <c r="BF150" s="1438">
        <f ca="1">IF($B150&gt;=$J$5,0,CONTADORES!$BF150)</f>
        <v>28646.8421052632</v>
      </c>
      <c r="BG150" s="1438">
        <f ca="1">IF($B150&gt;=$J$5,0,CONTADORES!$BH150)</f>
        <v>4105.3900000000003</v>
      </c>
      <c r="BH150" s="1438">
        <f ca="1">IF(B150&gt;=$J$5,0,(CONTADORES!AQ150-CONTADORES!AQ149))</f>
        <v>5.0140000000028522</v>
      </c>
      <c r="BI150" s="1438">
        <f ca="1">IF(B150&gt;=$J$5,0,(CONTADORES!AR150-CONTADORES!AR149))</f>
        <v>0</v>
      </c>
      <c r="BJ150" s="1439">
        <f ca="1">IF(B150&gt;=$J$5,0,CONTADORES!BI150-CONTADORES!BI149)/1000</f>
        <v>2.067899999999907</v>
      </c>
      <c r="BK150" s="1439">
        <f ca="1">IF(B150&gt;=$J$5,0,CONTADORES!BJ150-CONTADORES!BJ149)</f>
        <v>1</v>
      </c>
      <c r="BL150" s="1439">
        <f ca="1">IF(B150&gt;=$J$5,0,CONTADORES!BK150-CONTADORES!BK149)</f>
        <v>22</v>
      </c>
      <c r="BM150" s="1439">
        <f ca="1">IF(B150&gt;=$J$5,0,CONTADORES!BL150-CONTADORES!BL149)/1000</f>
        <v>1.1399999999999999</v>
      </c>
      <c r="BN150" s="1439">
        <f ca="1">IF(B150&gt;=$J$5,0,CONTADORES!BM150-CONTADORES!BM149)/1000</f>
        <v>1E-3</v>
      </c>
      <c r="BO150" s="1439">
        <f ca="1">IF(B150&gt;=$J$5,0,CONTADORES!BN150-CONTADORES!BN149)</f>
        <v>9.3699999999989814</v>
      </c>
      <c r="BP150" s="1439">
        <f ca="1">IF(B150&gt;=$J$5,0,CONTADORES!BO150-CONTADORES!BO149)/1000</f>
        <v>2.254</v>
      </c>
      <c r="BQ150" s="1439">
        <f ca="1">IF(B150&gt;=$J$5,0,CONTADORES!BP150-CONTADORES!BP149)/1000</f>
        <v>0.161</v>
      </c>
      <c r="BR150" s="1439">
        <f ca="1">IF(B150&gt;=$J$5,0,CONTADORES!BQ150-CONTADORES!BQ149)</f>
        <v>15.229999999999563</v>
      </c>
      <c r="BS150" s="1439">
        <f ca="1">IF(B150&gt;=$J$5,0,(CONTADORES!BT150-CONTADORES!BT149)+(CONTADORES!BV150-CONTADORES!BV149))/1000</f>
        <v>0.875</v>
      </c>
      <c r="BT150" s="1439">
        <f ca="1">IF(B150&gt;=$J$5,0,(CONTADORES!BU150-CONTADORES!BU149)+(CONTADORES!BW150-CONTADORES!BW149))/1000</f>
        <v>0.51500000000000001</v>
      </c>
      <c r="BU150" s="1439">
        <f ca="1">IF(B150&gt;=$J$5,0,CONTADORES!BR150-CONTADORES!BR149)</f>
        <v>6.5599999999994907</v>
      </c>
      <c r="BV150" s="1439">
        <f ca="1">IF(B150&gt;=$J$5,0,CONTADORES!BS150-CONTADORES!BS149)</f>
        <v>4.6199999999998909</v>
      </c>
      <c r="BW150" s="1439">
        <f t="shared" ca="1" si="77"/>
        <v>11.503550000009627</v>
      </c>
      <c r="BX150" s="1439">
        <f t="shared" ca="1" si="78"/>
        <v>10.244500000004109</v>
      </c>
      <c r="BY150" s="1439">
        <f t="shared" ca="1" si="79"/>
        <v>4.943550000010136</v>
      </c>
      <c r="BZ150" s="1439">
        <f t="shared" ca="1" si="80"/>
        <v>9.0000000000145519E-2</v>
      </c>
      <c r="CA150" s="1439">
        <f t="shared" ca="1" si="81"/>
        <v>4.943550000010136</v>
      </c>
      <c r="CB150" s="1439">
        <f t="shared" ca="1" si="82"/>
        <v>0.13500000000021828</v>
      </c>
      <c r="CC150" s="1439">
        <f t="shared" ca="1" si="83"/>
        <v>0.96500000000014552</v>
      </c>
      <c r="CD150" s="1439">
        <f t="shared" ca="1" si="84"/>
        <v>5.6245000000042182</v>
      </c>
      <c r="CE150" s="1439">
        <f ca="1">IF(B150&gt;=$J$5,0,CONTADORES!BS150-CONTADORES!BS149)</f>
        <v>4.6199999999998909</v>
      </c>
      <c r="CF150" s="1439">
        <f t="shared" ca="1" si="85"/>
        <v>5.6245000000042182</v>
      </c>
      <c r="CG150" s="1439">
        <f t="shared" ca="1" si="86"/>
        <v>4.9999999998817657E-3</v>
      </c>
      <c r="CH150" s="1439">
        <f t="shared" ca="1" si="87"/>
        <v>4.9999999998817657E-3</v>
      </c>
      <c r="CI150" s="1439">
        <f t="shared" ca="1" si="88"/>
        <v>0.51999999999988178</v>
      </c>
      <c r="CJ150" s="1488">
        <f ca="1">IF($B150&gt;=$J$5,0,CONTADORES!$BG150)</f>
        <v>2562.15979850638</v>
      </c>
      <c r="CK150" s="1406">
        <f>CONTADORES!E150</f>
        <v>0</v>
      </c>
      <c r="CL150" s="1406">
        <f>CONTADORES!BX150</f>
        <v>0</v>
      </c>
    </row>
    <row r="151" spans="2:90">
      <c r="B151" s="410">
        <v>45067</v>
      </c>
      <c r="C151" s="204">
        <f t="shared" ca="1" si="64"/>
        <v>303.25</v>
      </c>
      <c r="D151" s="202">
        <f ca="1">'CALCULO DE GAS'!D160</f>
        <v>5.1929159161512874</v>
      </c>
      <c r="E151" s="202">
        <f ca="1">IF(B151&gt;=$J$5,0,(CONTADORES!$AB151-CONTADORES!$AB150)-$H151)</f>
        <v>24</v>
      </c>
      <c r="F151" s="204">
        <f t="shared" ref="F151:F182" ca="1" si="90">IF(H151=0,0,"ERROR")</f>
        <v>0</v>
      </c>
      <c r="G151" s="202">
        <f ca="1">IF(B151&gt;=$J$5,0,CONTADORES!$AD151-CONTADORES!$AD150)</f>
        <v>0</v>
      </c>
      <c r="H151" s="202">
        <f ca="1">IF(G151&gt;0,CONTADORES!$AC151-CONTADORES!$AC150,0)</f>
        <v>0</v>
      </c>
      <c r="I151" s="205">
        <f ca="1">IF(B151&gt;=$J$5,0,CONTADORES!$Z151-CONTADORES!$Z150)</f>
        <v>303.25</v>
      </c>
      <c r="J151" s="204">
        <f t="shared" ca="1" si="65"/>
        <v>147.62299999999959</v>
      </c>
      <c r="K151" s="202">
        <f ca="1">'CALCULO DE GAS'!E160</f>
        <v>3.8613499813273053</v>
      </c>
      <c r="L151" s="1437">
        <f ca="1">IF(B151&gt;=$J$5,0,(CONTADORES!$W151-CONTADORES!$W150)-$O151)</f>
        <v>24</v>
      </c>
      <c r="M151" s="1437">
        <f t="shared" ca="1" si="89"/>
        <v>0</v>
      </c>
      <c r="N151" s="1437">
        <f ca="1">IF(B151&gt;=$J$5,0,CONTADORES!$Y151-CONTADORES!$Y150)</f>
        <v>0</v>
      </c>
      <c r="O151" s="1437">
        <f ca="1">IF(N151&gt;0,CONTADORES!$X151-CONTADORES!$X150,0)</f>
        <v>0</v>
      </c>
      <c r="P151" s="208">
        <f ca="1">IF(B151&gt;=$J$5,0,CONTADORES!$U151-CONTADORES!$U150)</f>
        <v>147.62299999999959</v>
      </c>
      <c r="Q151" s="208">
        <f ca="1">IF(B151&gt;=$J$5,0,CONTADORES!$B151-CONTADORES!$B150)</f>
        <v>0</v>
      </c>
      <c r="R151" s="202">
        <f t="shared" ca="1" si="66"/>
        <v>0</v>
      </c>
      <c r="S151" s="11">
        <f ca="1">IF(B151&gt;=$J$5,0,CONTADORES!$D151-CONTADORES!$D150)</f>
        <v>0</v>
      </c>
      <c r="T151" s="204">
        <f ca="1">IF(B151&gt;=$J$5,0,CONTADORES!$AZ151-CONTADORES!$AZ150)</f>
        <v>0</v>
      </c>
      <c r="U151" s="202">
        <f t="shared" ca="1" si="61"/>
        <v>0</v>
      </c>
      <c r="V151" s="205">
        <f ca="1">IF(B151&gt;=$J$5,0,CONTADORES!$BB151-CONTADORES!$BB150)</f>
        <v>0</v>
      </c>
      <c r="W151" s="1438">
        <f t="shared" ca="1" si="67"/>
        <v>450.87299999999959</v>
      </c>
      <c r="X151" s="1438">
        <f t="shared" ca="1" si="68"/>
        <v>0</v>
      </c>
      <c r="Y151" s="1439">
        <f t="shared" ca="1" si="69"/>
        <v>450.87299999999959</v>
      </c>
      <c r="Z151" s="1439">
        <f t="shared" ca="1" si="70"/>
        <v>9.0542658974785937</v>
      </c>
      <c r="AA151" s="1439">
        <f t="shared" ca="1" si="71"/>
        <v>0</v>
      </c>
      <c r="AB151" s="1439">
        <f t="shared" ca="1" si="72"/>
        <v>48</v>
      </c>
      <c r="AC151" s="1438">
        <f t="shared" ca="1" si="73"/>
        <v>0</v>
      </c>
      <c r="AD151" s="1438">
        <f ca="1">IF(B151&gt;=$J$5,0,CONTADORES!H151-CONTADORES!H150)</f>
        <v>177.59999999999945</v>
      </c>
      <c r="AE151" s="1439">
        <f ca="1">IF(B151&gt;=$J$5,0,CONTADORES!J151-CONTADORES!J150)</f>
        <v>24</v>
      </c>
      <c r="AF151" s="1438">
        <f ca="1">IF(B151&gt;=$J$5,0,CONTADORES!AS151-CONTADORES!AS150)</f>
        <v>147.09999999997672</v>
      </c>
      <c r="AG151" s="1439">
        <f ca="1">IF(B151&gt;=$J$5,0,CONTADORES!AU151-CONTADORES!AU150)</f>
        <v>24</v>
      </c>
      <c r="AH151" s="1439">
        <f ca="1">IF(B151&gt;=$J$5,0,(CONTADORES!AK151-CONTADORES!AK150)+(CONTADORES!K151-CONTADORES!K150))</f>
        <v>11</v>
      </c>
      <c r="AI151" s="1438">
        <f ca="1">IF(B151&gt;=$J$5,0,(CONTADORES!AI151-CONTADORES!AI150)+(CONTADORES!M151-CONTADORES!M150))</f>
        <v>34.669999999998254</v>
      </c>
      <c r="AJ151" s="1438">
        <f ca="1">IF(B151&gt;=$J$5,0,(CONTADORES!AG151-CONTADORES!AG150))</f>
        <v>8.6499999999941792</v>
      </c>
      <c r="AK151" s="1438">
        <f ca="1">IF(B151&gt;=$J$5,0,(CONTADORES!O151-CONTADORES!O150))</f>
        <v>14.049999999988358</v>
      </c>
      <c r="AL151" s="1439">
        <f t="shared" ca="1" si="74"/>
        <v>31.303000000057239</v>
      </c>
      <c r="AM151" s="1438">
        <f ca="1">IF(B151&gt;=$J$5,0,(((CONTADORES!F151-CONTADORES!F150)+(CONTADORES!AO151-CONTADORES!AO150))))-BJ151-AF151-AN151-BM151-BP151-BU151-BS151</f>
        <v>10.589999999986318</v>
      </c>
      <c r="AN151" s="1438">
        <f ca="1">IF(B151&gt;=$J$5,0,(CONTADORES!AV151-CONTADORES!AV150)+(CONTADORES!AX151-CONTADORES!AX150)+(CONTADORES!BC151-CONTADORES!BC150))-BS151</f>
        <v>1.2279999999997271</v>
      </c>
      <c r="AO151" s="1438">
        <f ca="1">IF(B151&gt;=$J$5,0,(CONTADORES!AA151-CONTADORES!AA150))</f>
        <v>150.78000000002794</v>
      </c>
      <c r="AP151" s="1438">
        <f ca="1">IF(B151&gt;=$J$5,0,(CONTADORES!V151-CONTADORES!V150))</f>
        <v>70</v>
      </c>
      <c r="AQ151" s="1438">
        <f ca="1">IF(B151&gt;=$J$5,0,(CONTADORES!C151-CONTADORES!C150))</f>
        <v>0</v>
      </c>
      <c r="AR151" s="1438">
        <f ca="1">IF(B151&gt;=$J$5,0,(CONTADORES!BA151-CONTADORES!BA150))</f>
        <v>0</v>
      </c>
      <c r="AS151" s="1438">
        <f ca="1">IF(B151&gt;=$J$5,0,CONTADORES!Q151-CONTADORES!Q150)</f>
        <v>14.349999999976717</v>
      </c>
      <c r="AT151" s="1438">
        <f ca="1">IF(B151&gt;=$J$5,0,(CONTADORES!S151-CONTADORES!S150)+(CONTADORES!AE151-CONTADORES!AE150))</f>
        <v>2.4400000000023283</v>
      </c>
      <c r="AU151" s="1438">
        <f ca="1">IF(B151&gt;=$J$5,0,(CONTADORES!I151-CONTADORES!I150))</f>
        <v>85.5</v>
      </c>
      <c r="AV151" s="1438">
        <f ca="1">IF(B151&gt;=$J$5,0,(CONTADORES!AT151-CONTADORES!AT150))</f>
        <v>63.899999999994179</v>
      </c>
      <c r="AW151" s="1438">
        <f ca="1">IF(B151&gt;=$J$5,0,(CONTADORES!L151-CONTADORES!L150)+(CONTADORES!AL151-CONTADORES!AL150))</f>
        <v>4.2000000000007276</v>
      </c>
      <c r="AX151" s="1438">
        <f ca="1">IF(B151&gt;=$J$5,0,(CONTADORES!N151-CONTADORES!N150)+(CONTADORES!AJ151-CONTADORES!AJ150))</f>
        <v>29.330000000001746</v>
      </c>
      <c r="AY151" s="1438">
        <f ca="1">IF(B151&gt;=$J$5,0,(CONTADORES!AH151-CONTADORES!AH150))</f>
        <v>6.6100000000005821</v>
      </c>
      <c r="AZ151" s="1438">
        <f ca="1">IF(B151&gt;=$J$5,0,(CONTADORES!P151-CONTADORES!P150))</f>
        <v>11.289999999993597</v>
      </c>
      <c r="BA151" s="1439">
        <f t="shared" ca="1" si="75"/>
        <v>3.7830000000324446</v>
      </c>
      <c r="BB151" s="1438">
        <f ca="1">IF(B151&gt;=$J$5,0,(((CONTADORES!G151-CONTADORES!G150)+(CONTADORES!AP151-CONTADORES!AP150)+AR151)-(AV151+BC151)))</f>
        <v>9.7000000000052751</v>
      </c>
      <c r="BC151" s="1438">
        <f ca="1">IF(B151&gt;=$J$5,0,(CONTADORES!AW151-CONTADORES!AW150)+(CONTADORES!AY151-CONTADORES!AY150)+(CONTADORES!BD151-CONTADORES!BD150))</f>
        <v>0</v>
      </c>
      <c r="BD151" s="1438">
        <f t="shared" ca="1" si="76"/>
        <v>220.78000000002794</v>
      </c>
      <c r="BE151" s="1439">
        <f ca="1">IF($B151&gt;=$J$5,0,CONTADORES!$BE151)</f>
        <v>6545.74</v>
      </c>
      <c r="BF151" s="1438">
        <f ca="1">IF($B151&gt;=$J$5,0,CONTADORES!$BF151)</f>
        <v>25277.633333333299</v>
      </c>
      <c r="BG151" s="1438">
        <f ca="1">IF($B151&gt;=$J$5,0,CONTADORES!$BH151)</f>
        <v>5032.6000000000004</v>
      </c>
      <c r="BH151" s="1438">
        <f ca="1">IF(B151&gt;=$J$5,0,(CONTADORES!AQ151-CONTADORES!AQ150))</f>
        <v>4.6840000000011059</v>
      </c>
      <c r="BI151" s="1438">
        <f ca="1">IF(B151&gt;=$J$5,0,(CONTADORES!AR151-CONTADORES!AR150))</f>
        <v>0</v>
      </c>
      <c r="BJ151" s="1439">
        <f ca="1">IF(B151&gt;=$J$5,0,CONTADORES!BI151-CONTADORES!BI150)/1000</f>
        <v>2.6640000000000001</v>
      </c>
      <c r="BK151" s="1439">
        <f ca="1">IF(B151&gt;=$J$5,0,CONTADORES!BJ151-CONTADORES!BJ150)</f>
        <v>1</v>
      </c>
      <c r="BL151" s="1439">
        <f ca="1">IF(B151&gt;=$J$5,0,CONTADORES!BK151-CONTADORES!BK150)</f>
        <v>17.599999999998545</v>
      </c>
      <c r="BM151" s="1439">
        <f ca="1">IF(B151&gt;=$J$5,0,CONTADORES!BL151-CONTADORES!BL150)/1000</f>
        <v>4.4109999999999996</v>
      </c>
      <c r="BN151" s="1439">
        <f ca="1">IF(B151&gt;=$J$5,0,CONTADORES!BM151-CONTADORES!BM150)/1000</f>
        <v>0.38</v>
      </c>
      <c r="BO151" s="1439">
        <f ca="1">IF(B151&gt;=$J$5,0,CONTADORES!BN151-CONTADORES!BN150)</f>
        <v>24</v>
      </c>
      <c r="BP151" s="1439">
        <f ca="1">IF(B151&gt;=$J$5,0,CONTADORES!BO151-CONTADORES!BO150)/1000</f>
        <v>0.14499999999999999</v>
      </c>
      <c r="BQ151" s="1439">
        <f ca="1">IF(B151&gt;=$J$5,0,CONTADORES!BP151-CONTADORES!BP150)/1000</f>
        <v>0</v>
      </c>
      <c r="BR151" s="1439">
        <f ca="1">IF(B151&gt;=$J$5,0,CONTADORES!BQ151-CONTADORES!BQ150)</f>
        <v>0.97000000000116415</v>
      </c>
      <c r="BS151" s="1439">
        <f ca="1">IF(B151&gt;=$J$5,0,(CONTADORES!BT151-CONTADORES!BT150)+(CONTADORES!BV151-CONTADORES!BV150))/1000</f>
        <v>1.0720000000000001</v>
      </c>
      <c r="BT151" s="1439">
        <f ca="1">IF(B151&gt;=$J$5,0,(CONTADORES!BU151-CONTADORES!BU150)+(CONTADORES!BW151-CONTADORES!BW150))/1000</f>
        <v>0.65700000000000003</v>
      </c>
      <c r="BU151" s="1439">
        <f ca="1">IF(B151&gt;=$J$5,0,CONTADORES!BR151-CONTADORES!BR150)</f>
        <v>6.3899999999994179</v>
      </c>
      <c r="BV151" s="1439">
        <f ca="1">IF(B151&gt;=$J$5,0,CONTADORES!BS151-CONTADORES!BS150)</f>
        <v>4.4299999999993815</v>
      </c>
      <c r="BW151" s="1439">
        <f t="shared" ca="1" si="77"/>
        <v>11.684999999992577</v>
      </c>
      <c r="BX151" s="1439">
        <f t="shared" ca="1" si="78"/>
        <v>9.2800000000020191</v>
      </c>
      <c r="BY151" s="1439">
        <f t="shared" ca="1" si="79"/>
        <v>5.2949999999931592</v>
      </c>
      <c r="BZ151" s="1439">
        <f t="shared" ca="1" si="80"/>
        <v>0.49119999999989084</v>
      </c>
      <c r="CA151" s="1439">
        <f t="shared" ca="1" si="81"/>
        <v>5.2949999999931592</v>
      </c>
      <c r="CB151" s="1439">
        <f t="shared" ca="1" si="82"/>
        <v>0.73679999999983625</v>
      </c>
      <c r="CC151" s="1439">
        <f t="shared" ca="1" si="83"/>
        <v>1.5631999999998909</v>
      </c>
      <c r="CD151" s="1439">
        <f t="shared" ca="1" si="84"/>
        <v>4.8500000000026375</v>
      </c>
      <c r="CE151" s="1439">
        <f ca="1">IF(B151&gt;=$J$5,0,CONTADORES!BS151-CONTADORES!BS150)</f>
        <v>4.4299999999993815</v>
      </c>
      <c r="CF151" s="1439">
        <f t="shared" ca="1" si="85"/>
        <v>4.8500000000026375</v>
      </c>
      <c r="CG151" s="1439">
        <f t="shared" ca="1" si="86"/>
        <v>0</v>
      </c>
      <c r="CH151" s="1439">
        <f t="shared" ca="1" si="87"/>
        <v>0</v>
      </c>
      <c r="CI151" s="1439">
        <f t="shared" ca="1" si="88"/>
        <v>0.65700000000000003</v>
      </c>
      <c r="CJ151" s="1488">
        <f ca="1">IF($B151&gt;=$J$5,0,CONTADORES!$BG151)</f>
        <v>1369.3191721857199</v>
      </c>
      <c r="CK151" s="1406">
        <f>CONTADORES!E151</f>
        <v>0</v>
      </c>
      <c r="CL151" s="1406">
        <f>CONTADORES!BX151</f>
        <v>0</v>
      </c>
    </row>
    <row r="152" spans="2:90">
      <c r="B152" s="410">
        <v>45068</v>
      </c>
      <c r="C152" s="204">
        <f t="shared" ca="1" si="64"/>
        <v>306.81000000005588</v>
      </c>
      <c r="D152" s="202">
        <f ca="1">'CALCULO DE GAS'!D161</f>
        <v>5.2233757639157989</v>
      </c>
      <c r="E152" s="202">
        <f ca="1">IF(B152&gt;=$J$5,0,(CONTADORES!$AB152-CONTADORES!$AB151)-$H152)</f>
        <v>24</v>
      </c>
      <c r="F152" s="204">
        <f t="shared" ca="1" si="90"/>
        <v>0</v>
      </c>
      <c r="G152" s="202">
        <f ca="1">IF(B152&gt;=$J$5,0,CONTADORES!$AD152-CONTADORES!$AD151)</f>
        <v>0</v>
      </c>
      <c r="H152" s="202">
        <f ca="1">IF(G152&gt;0,CONTADORES!$AC152-CONTADORES!$AC151,0)</f>
        <v>0</v>
      </c>
      <c r="I152" s="205">
        <f ca="1">IF(B152&gt;=$J$5,0,CONTADORES!$Z152-CONTADORES!$Z151)</f>
        <v>306.81000000005588</v>
      </c>
      <c r="J152" s="204">
        <f t="shared" ca="1" si="65"/>
        <v>150.19400000000314</v>
      </c>
      <c r="K152" s="202">
        <f ca="1">'CALCULO DE GAS'!E161</f>
        <v>3.8833478095861365</v>
      </c>
      <c r="L152" s="1437">
        <f ca="1">IF(B152&gt;=$J$5,0,(CONTADORES!$W152-CONTADORES!$W151)-$O152)</f>
        <v>24</v>
      </c>
      <c r="M152" s="1437">
        <f t="shared" ca="1" si="89"/>
        <v>0</v>
      </c>
      <c r="N152" s="1437">
        <f ca="1">IF(B152&gt;=$J$5,0,CONTADORES!$Y152-CONTADORES!$Y151)</f>
        <v>0</v>
      </c>
      <c r="O152" s="1437">
        <f ca="1">IF(N152&gt;0,CONTADORES!$X152-CONTADORES!$X151,0)</f>
        <v>0</v>
      </c>
      <c r="P152" s="208">
        <f ca="1">IF(B152&gt;=$J$5,0,CONTADORES!$U152-CONTADORES!$U151)</f>
        <v>150.19400000000314</v>
      </c>
      <c r="Q152" s="208">
        <f ca="1">IF(B152&gt;=$J$5,0,CONTADORES!$B152-CONTADORES!$B151)</f>
        <v>0.24500000000011823</v>
      </c>
      <c r="R152" s="202">
        <f t="shared" ca="1" si="66"/>
        <v>29.400000000014188</v>
      </c>
      <c r="S152" s="11">
        <f ca="1">IF(B152&gt;=$J$5,0,CONTADORES!$D152-CONTADORES!$D151)</f>
        <v>0.5</v>
      </c>
      <c r="T152" s="204">
        <f ca="1">IF(B152&gt;=$J$5,0,CONTADORES!$AZ152-CONTADORES!$AZ151)</f>
        <v>0.40899999999999181</v>
      </c>
      <c r="U152" s="202">
        <f t="shared" ca="1" si="61"/>
        <v>49.079999999999018</v>
      </c>
      <c r="V152" s="205">
        <f ca="1">IF(B152&gt;=$J$5,0,CONTADORES!$BB152-CONTADORES!$BB151)</f>
        <v>0.5</v>
      </c>
      <c r="W152" s="1438">
        <f t="shared" ca="1" si="67"/>
        <v>457.00400000005902</v>
      </c>
      <c r="X152" s="1438">
        <f t="shared" ca="1" si="68"/>
        <v>0.65400000000011005</v>
      </c>
      <c r="Y152" s="1439">
        <f t="shared" ca="1" si="69"/>
        <v>457.65800000005913</v>
      </c>
      <c r="Z152" s="1439">
        <f t="shared" ca="1" si="70"/>
        <v>9.1067235735019345</v>
      </c>
      <c r="AA152" s="1439">
        <f t="shared" ca="1" si="71"/>
        <v>78.480000000013206</v>
      </c>
      <c r="AB152" s="1439">
        <f t="shared" ca="1" si="72"/>
        <v>48</v>
      </c>
      <c r="AC152" s="1438">
        <f t="shared" ca="1" si="73"/>
        <v>1</v>
      </c>
      <c r="AD152" s="1438">
        <f ca="1">IF(B152&gt;=$J$5,0,CONTADORES!H152-CONTADORES!H151)</f>
        <v>178</v>
      </c>
      <c r="AE152" s="1439">
        <f ca="1">IF(B152&gt;=$J$5,0,CONTADORES!J152-CONTADORES!J151)</f>
        <v>24</v>
      </c>
      <c r="AF152" s="1438">
        <f ca="1">IF(B152&gt;=$J$5,0,CONTADORES!AS152-CONTADORES!AS151)</f>
        <v>147.20000000001164</v>
      </c>
      <c r="AG152" s="1439">
        <f ca="1">IF(B152&gt;=$J$5,0,CONTADORES!AU152-CONTADORES!AU151)</f>
        <v>24</v>
      </c>
      <c r="AH152" s="1439">
        <f ca="1">IF(B152&gt;=$J$5,0,(CONTADORES!AK152-CONTADORES!AK151)+(CONTADORES!K152-CONTADORES!K151))</f>
        <v>14.099999999998545</v>
      </c>
      <c r="AI152" s="1438">
        <f ca="1">IF(B152&gt;=$J$5,0,(CONTADORES!AI152-CONTADORES!AI151)+(CONTADORES!M152-CONTADORES!M151))</f>
        <v>32.389999999999418</v>
      </c>
      <c r="AJ152" s="1438">
        <f ca="1">IF(B152&gt;=$J$5,0,(CONTADORES!AG152-CONTADORES!AG151))</f>
        <v>8.6699999999982538</v>
      </c>
      <c r="AK152" s="1438">
        <f ca="1">IF(B152&gt;=$J$5,0,(CONTADORES!O152-CONTADORES!O151))</f>
        <v>13.990000000019791</v>
      </c>
      <c r="AL152" s="1439">
        <f t="shared" ca="1" si="74"/>
        <v>40.108000000030813</v>
      </c>
      <c r="AM152" s="1438">
        <f ca="1">IF(B152&gt;=$J$5,0,(((CONTADORES!F152-CONTADORES!F151)+(CONTADORES!AO152-CONTADORES!AO151))))-BJ152-AF152-AN152-BM152-BP152-BU152-BS152</f>
        <v>7.044000000000092</v>
      </c>
      <c r="AN152" s="1438">
        <f ca="1">IF(B152&gt;=$J$5,0,(CONTADORES!AV152-CONTADORES!AV151)+(CONTADORES!AX152-CONTADORES!AX151)+(CONTADORES!BC152-CONTADORES!BC151))-BS152</f>
        <v>1.0220000000002729</v>
      </c>
      <c r="AO152" s="1438">
        <f ca="1">IF(B152&gt;=$J$5,0,(CONTADORES!AA152-CONTADORES!AA151))</f>
        <v>149.75</v>
      </c>
      <c r="AP152" s="1438">
        <f ca="1">IF(B152&gt;=$J$5,0,(CONTADORES!V152-CONTADORES!V151))</f>
        <v>77</v>
      </c>
      <c r="AQ152" s="1438">
        <f ca="1">IF(B152&gt;=$J$5,0,(CONTADORES!C152-CONTADORES!C151))</f>
        <v>0.1169999999999618</v>
      </c>
      <c r="AR152" s="1438">
        <f ca="1">IF(B152&gt;=$J$5,0,(CONTADORES!BA152-CONTADORES!BA151))</f>
        <v>0.15600000000000591</v>
      </c>
      <c r="AS152" s="1438">
        <f ca="1">IF(B152&gt;=$J$5,0,CONTADORES!Q152-CONTADORES!Q151)</f>
        <v>13.870000000024447</v>
      </c>
      <c r="AT152" s="1438">
        <f ca="1">IF(B152&gt;=$J$5,0,(CONTADORES!S152-CONTADORES!S151)+(CONTADORES!AE152-CONTADORES!AE151))</f>
        <v>2.3899999999994179</v>
      </c>
      <c r="AU152" s="1438">
        <f ca="1">IF(B152&gt;=$J$5,0,(CONTADORES!I152-CONTADORES!I151))</f>
        <v>85.200000000000273</v>
      </c>
      <c r="AV152" s="1438">
        <f ca="1">IF(B152&gt;=$J$5,0,(CONTADORES!AT152-CONTADORES!AT151))</f>
        <v>63.799999999988358</v>
      </c>
      <c r="AW152" s="1438">
        <f ca="1">IF(B152&gt;=$J$5,0,(CONTADORES!L152-CONTADORES!L151)+(CONTADORES!AL152-CONTADORES!AL151))</f>
        <v>5.4000000000014552</v>
      </c>
      <c r="AX152" s="1438">
        <f ca="1">IF(B152&gt;=$J$5,0,(CONTADORES!N152-CONTADORES!N151)+(CONTADORES!AJ152-CONTADORES!AJ151))</f>
        <v>27.489999999997963</v>
      </c>
      <c r="AY152" s="1438">
        <f ca="1">IF(B152&gt;=$J$5,0,(CONTADORES!AH152-CONTADORES!AH151))</f>
        <v>6.6600000000034925</v>
      </c>
      <c r="AZ152" s="1438">
        <f ca="1">IF(B152&gt;=$J$5,0,(CONTADORES!P152-CONTADORES!P151))</f>
        <v>11.070000000006985</v>
      </c>
      <c r="BA152" s="1439">
        <f t="shared" ca="1" si="75"/>
        <v>9.3209999999827744</v>
      </c>
      <c r="BB152" s="1438">
        <f ca="1">IF(B152&gt;=$J$5,0,(((CONTADORES!G152-CONTADORES!G151)+(CONTADORES!AP152-CONTADORES!AP151)+AR152)-(AV152+BC152)))</f>
        <v>10.986000000018123</v>
      </c>
      <c r="BC152" s="1438">
        <f ca="1">IF(B152&gt;=$J$5,0,(CONTADORES!AW152-CONTADORES!AW151)+(CONTADORES!AY152-CONTADORES!AY151)+(CONTADORES!BD152-CONTADORES!BD151))</f>
        <v>0.17000000000007276</v>
      </c>
      <c r="BD152" s="1438">
        <f t="shared" ca="1" si="76"/>
        <v>227.02299999999997</v>
      </c>
      <c r="BE152" s="1439">
        <f ca="1">IF($B152&gt;=$J$5,0,CONTADORES!$BE152)</f>
        <v>6389.46</v>
      </c>
      <c r="BF152" s="1438">
        <f ca="1">IF($B152&gt;=$J$5,0,CONTADORES!$BF152)</f>
        <v>26867.2192982456</v>
      </c>
      <c r="BG152" s="1438">
        <f ca="1">IF($B152&gt;=$J$5,0,CONTADORES!$BH152)</f>
        <v>4293.07</v>
      </c>
      <c r="BH152" s="1438">
        <f ca="1">IF(B152&gt;=$J$5,0,(CONTADORES!AQ152-CONTADORES!AQ151))</f>
        <v>4.6710000000020955</v>
      </c>
      <c r="BI152" s="1438">
        <f ca="1">IF(B152&gt;=$J$5,0,(CONTADORES!AR152-CONTADORES!AR151))</f>
        <v>0</v>
      </c>
      <c r="BJ152" s="1439">
        <f ca="1">IF(B152&gt;=$J$5,0,CONTADORES!BI152-CONTADORES!BI151)/1000</f>
        <v>2.2559999999999998</v>
      </c>
      <c r="BK152" s="1439">
        <f ca="1">IF(B152&gt;=$J$5,0,CONTADORES!BJ152-CONTADORES!BJ151)</f>
        <v>1</v>
      </c>
      <c r="BL152" s="1439">
        <f ca="1">IF(B152&gt;=$J$5,0,CONTADORES!BK152-CONTADORES!BK151)</f>
        <v>24</v>
      </c>
      <c r="BM152" s="1439">
        <f ca="1">IF(B152&gt;=$J$5,0,CONTADORES!BL152-CONTADORES!BL151)/1000</f>
        <v>4.3040000000000003</v>
      </c>
      <c r="BN152" s="1439">
        <f ca="1">IF(B152&gt;=$J$5,0,CONTADORES!BM152-CONTADORES!BM151)/1000</f>
        <v>0.88300000000000001</v>
      </c>
      <c r="BO152" s="1439">
        <f ca="1">IF(B152&gt;=$J$5,0,CONTADORES!BN152-CONTADORES!BN151)</f>
        <v>24</v>
      </c>
      <c r="BP152" s="1439">
        <f ca="1">IF(B152&gt;=$J$5,0,CONTADORES!BO152-CONTADORES!BO151)/1000</f>
        <v>1.046</v>
      </c>
      <c r="BQ152" s="1439">
        <f ca="1">IF(B152&gt;=$J$5,0,CONTADORES!BP152-CONTADORES!BP151)/1000</f>
        <v>0</v>
      </c>
      <c r="BR152" s="1439">
        <f ca="1">IF(B152&gt;=$J$5,0,CONTADORES!BQ152-CONTADORES!BQ151)</f>
        <v>10.930000000000291</v>
      </c>
      <c r="BS152" s="1439">
        <f ca="1">IF(B152&gt;=$J$5,0,(CONTADORES!BT152-CONTADORES!BT151)+(CONTADORES!BV152-CONTADORES!BV151))/1000</f>
        <v>1.4279999999999999</v>
      </c>
      <c r="BT152" s="1439">
        <f ca="1">IF(B152&gt;=$J$5,0,(CONTADORES!BU152-CONTADORES!BU151)+(CONTADORES!BW152-CONTADORES!BW151))/1000</f>
        <v>0.81299999999999994</v>
      </c>
      <c r="BU152" s="1439">
        <f ca="1">IF(B152&gt;=$J$5,0,CONTADORES!BR152-CONTADORES!BR151)</f>
        <v>6.1000000000003638</v>
      </c>
      <c r="BV152" s="1439">
        <f ca="1">IF(B152&gt;=$J$5,0,CONTADORES!BS152-CONTADORES!BS151)</f>
        <v>4.2300000000004729</v>
      </c>
      <c r="BW152" s="1439">
        <f t="shared" ca="1" si="77"/>
        <v>9.6220000000004102</v>
      </c>
      <c r="BX152" s="1439">
        <f t="shared" ca="1" si="78"/>
        <v>9.7230000000095345</v>
      </c>
      <c r="BY152" s="1439">
        <f t="shared" ca="1" si="79"/>
        <v>3.522000000000046</v>
      </c>
      <c r="BZ152" s="1439">
        <f t="shared" ca="1" si="80"/>
        <v>0.40880000000010919</v>
      </c>
      <c r="CA152" s="1439">
        <f t="shared" ca="1" si="81"/>
        <v>3.522000000000046</v>
      </c>
      <c r="CB152" s="1439">
        <f t="shared" ca="1" si="82"/>
        <v>0.61320000000016373</v>
      </c>
      <c r="CC152" s="1439">
        <f t="shared" ca="1" si="83"/>
        <v>1.836800000000109</v>
      </c>
      <c r="CD152" s="1439">
        <f t="shared" ca="1" si="84"/>
        <v>5.4930000000090615</v>
      </c>
      <c r="CE152" s="1439">
        <f ca="1">IF(B152&gt;=$J$5,0,CONTADORES!BS152-CONTADORES!BS151)</f>
        <v>4.2300000000004729</v>
      </c>
      <c r="CF152" s="1439">
        <f t="shared" ca="1" si="85"/>
        <v>5.4930000000090615</v>
      </c>
      <c r="CG152" s="1439">
        <f t="shared" ca="1" si="86"/>
        <v>8.500000000003638E-2</v>
      </c>
      <c r="CH152" s="1439">
        <f t="shared" ca="1" si="87"/>
        <v>8.500000000003638E-2</v>
      </c>
      <c r="CI152" s="1439">
        <f t="shared" ca="1" si="88"/>
        <v>0.89800000000003632</v>
      </c>
      <c r="CJ152" s="1488">
        <f ca="1">IF($B152&gt;=$J$5,0,CONTADORES!$BG152)</f>
        <v>4026.9658815862999</v>
      </c>
      <c r="CK152" s="1406">
        <f>CONTADORES!E152</f>
        <v>0.2</v>
      </c>
      <c r="CL152" s="1406">
        <f>CONTADORES!BX152</f>
        <v>0.4</v>
      </c>
    </row>
    <row r="153" spans="2:90">
      <c r="B153" s="410">
        <v>45069</v>
      </c>
      <c r="C153" s="204">
        <f t="shared" ca="1" si="64"/>
        <v>246.93999999994412</v>
      </c>
      <c r="D153" s="202">
        <f ca="1">'CALCULO DE GAS'!D162</f>
        <v>4.7111198409843</v>
      </c>
      <c r="E153" s="202">
        <f ca="1">IF(B153&gt;=$J$5,0,(CONTADORES!$AB153-CONTADORES!$AB152)-$H153)</f>
        <v>24</v>
      </c>
      <c r="F153" s="204">
        <f t="shared" ca="1" si="90"/>
        <v>0</v>
      </c>
      <c r="G153" s="202">
        <f ca="1">IF(B153&gt;=$J$5,0,CONTADORES!$AD153-CONTADORES!$AD152)</f>
        <v>0</v>
      </c>
      <c r="H153" s="202">
        <f ca="1">IF(G153&gt;0,CONTADORES!$AC153-CONTADORES!$AC152,0)</f>
        <v>0</v>
      </c>
      <c r="I153" s="205">
        <f ca="1">IF(B153&gt;=$J$5,0,CONTADORES!$Z153-CONTADORES!$Z152)</f>
        <v>246.93999999994412</v>
      </c>
      <c r="J153" s="204">
        <f t="shared" ca="1" si="65"/>
        <v>127.20999999999913</v>
      </c>
      <c r="K153" s="202">
        <f ca="1">'CALCULO DE GAS'!E162</f>
        <v>3.6866935564938088</v>
      </c>
      <c r="L153" s="1437">
        <f ca="1">IF(B153&gt;=$J$5,0,(CONTADORES!$W153-CONTADORES!$W152)-$O153)</f>
        <v>24</v>
      </c>
      <c r="M153" s="1437">
        <f t="shared" ca="1" si="89"/>
        <v>0</v>
      </c>
      <c r="N153" s="1437">
        <f ca="1">IF(B153&gt;=$J$5,0,CONTADORES!$Y153-CONTADORES!$Y152)</f>
        <v>0</v>
      </c>
      <c r="O153" s="1437">
        <f ca="1">IF(N153&gt;0,CONTADORES!$X153-CONTADORES!$X152,0)</f>
        <v>0</v>
      </c>
      <c r="P153" s="208">
        <f ca="1">IF(B153&gt;=$J$5,0,CONTADORES!$U153-CONTADORES!$U152)</f>
        <v>127.20999999999913</v>
      </c>
      <c r="Q153" s="208">
        <f ca="1">IF(B153&gt;=$J$5,0,CONTADORES!$B153-CONTADORES!$B152)</f>
        <v>0</v>
      </c>
      <c r="R153" s="202">
        <f t="shared" ca="1" si="66"/>
        <v>0</v>
      </c>
      <c r="S153" s="11">
        <f ca="1">IF(B153&gt;=$J$5,0,CONTADORES!$D153-CONTADORES!$D152)</f>
        <v>0</v>
      </c>
      <c r="T153" s="204">
        <f ca="1">IF(B153&gt;=$J$5,0,CONTADORES!$AZ153-CONTADORES!$AZ152)</f>
        <v>0</v>
      </c>
      <c r="U153" s="202">
        <f t="shared" ca="1" si="61"/>
        <v>0</v>
      </c>
      <c r="V153" s="205">
        <f ca="1">IF(B153&gt;=$J$5,0,CONTADORES!$BB153-CONTADORES!$BB152)</f>
        <v>0</v>
      </c>
      <c r="W153" s="1438">
        <f t="shared" ca="1" si="67"/>
        <v>374.14999999994325</v>
      </c>
      <c r="X153" s="1438">
        <f t="shared" ca="1" si="68"/>
        <v>0</v>
      </c>
      <c r="Y153" s="1439">
        <f t="shared" ca="1" si="69"/>
        <v>374.14999999994325</v>
      </c>
      <c r="Z153" s="1439">
        <f t="shared" ca="1" si="70"/>
        <v>8.3978133974781084</v>
      </c>
      <c r="AA153" s="1439">
        <f t="shared" ca="1" si="71"/>
        <v>0</v>
      </c>
      <c r="AB153" s="1439">
        <f t="shared" ca="1" si="72"/>
        <v>48</v>
      </c>
      <c r="AC153" s="1438">
        <f t="shared" ca="1" si="73"/>
        <v>0</v>
      </c>
      <c r="AD153" s="1438">
        <f ca="1">IF(B153&gt;=$J$5,0,CONTADORES!H153-CONTADORES!H152)</f>
        <v>103.10000000000036</v>
      </c>
      <c r="AE153" s="1439">
        <f ca="1">IF(B153&gt;=$J$5,0,CONTADORES!J153-CONTADORES!J152)</f>
        <v>15</v>
      </c>
      <c r="AF153" s="1438">
        <f ca="1">IF(B153&gt;=$J$5,0,CONTADORES!AS153-CONTADORES!AS152)</f>
        <v>143.20000000001164</v>
      </c>
      <c r="AG153" s="1439">
        <f ca="1">IF(B153&gt;=$J$5,0,CONTADORES!AU153-CONTADORES!AU152)</f>
        <v>24</v>
      </c>
      <c r="AH153" s="1439">
        <f ca="1">IF(B153&gt;=$J$5,0,(CONTADORES!AK153-CONTADORES!AK152)+(CONTADORES!K153-CONTADORES!K152))</f>
        <v>9.0999999999985448</v>
      </c>
      <c r="AI153" s="1438">
        <f ca="1">IF(B153&gt;=$J$5,0,(CONTADORES!AI153-CONTADORES!AI152)+(CONTADORES!M153-CONTADORES!M152))</f>
        <v>32.760000000009313</v>
      </c>
      <c r="AJ153" s="1438">
        <f ca="1">IF(B153&gt;=$J$5,0,(CONTADORES!AG153-CONTADORES!AG152))</f>
        <v>7.9900000000052387</v>
      </c>
      <c r="AK153" s="1438">
        <f ca="1">IF(B153&gt;=$J$5,0,(CONTADORES!O153-CONTADORES!O152))</f>
        <v>12.049999999988358</v>
      </c>
      <c r="AL153" s="1439">
        <f t="shared" ca="1" si="74"/>
        <v>35.049999999928275</v>
      </c>
      <c r="AM153" s="1438">
        <f ca="1">IF(B153&gt;=$J$5,0,(((CONTADORES!F153-CONTADORES!F152)+(CONTADORES!AO153-CONTADORES!AO152))))-BJ153-AF153-AN153-BM153-BP153-BU153-BS153</f>
        <v>12.837000000001993</v>
      </c>
      <c r="AN153" s="1438">
        <f ca="1">IF(B153&gt;=$J$5,0,(CONTADORES!AV153-CONTADORES!AV152)+(CONTADORES!AX153-CONTADORES!AX152)+(CONTADORES!BC153-CONTADORES!BC152))-BS153</f>
        <v>3.1339999999998942</v>
      </c>
      <c r="AO153" s="1438">
        <f ca="1">IF(B153&gt;=$J$5,0,(CONTADORES!AA153-CONTADORES!AA152))</f>
        <v>124.36999999999534</v>
      </c>
      <c r="AP153" s="1438">
        <f ca="1">IF(B153&gt;=$J$5,0,(CONTADORES!V153-CONTADORES!V152))</f>
        <v>62</v>
      </c>
      <c r="AQ153" s="1438">
        <f ca="1">IF(B153&gt;=$J$5,0,(CONTADORES!C153-CONTADORES!C152))</f>
        <v>0</v>
      </c>
      <c r="AR153" s="1438">
        <f ca="1">IF(B153&gt;=$J$5,0,(CONTADORES!BA153-CONTADORES!BA152))</f>
        <v>0</v>
      </c>
      <c r="AS153" s="1438">
        <f ca="1">IF(B153&gt;=$J$5,0,CONTADORES!Q153-CONTADORES!Q152)</f>
        <v>15.10999999998603</v>
      </c>
      <c r="AT153" s="1438">
        <f ca="1">IF(B153&gt;=$J$5,0,(CONTADORES!S153-CONTADORES!S152)+(CONTADORES!AE153-CONTADORES!AE152))</f>
        <v>2.4599999999991269</v>
      </c>
      <c r="AU153" s="1438">
        <f ca="1">IF(B153&gt;=$J$5,0,(CONTADORES!I153-CONTADORES!I152))</f>
        <v>51.099999999999909</v>
      </c>
      <c r="AV153" s="1438">
        <f ca="1">IF(B153&gt;=$J$5,0,(CONTADORES!AT153-CONTADORES!AT152))</f>
        <v>62.100000000005821</v>
      </c>
      <c r="AW153" s="1438">
        <f ca="1">IF(B153&gt;=$J$5,0,(CONTADORES!L153-CONTADORES!L152)+(CONTADORES!AL153-CONTADORES!AL152))</f>
        <v>3.5</v>
      </c>
      <c r="AX153" s="1438">
        <f ca="1">IF(B153&gt;=$J$5,0,(CONTADORES!N153-CONTADORES!N152)+(CONTADORES!AJ153-CONTADORES!AJ152))</f>
        <v>27.69999999999709</v>
      </c>
      <c r="AY153" s="1438">
        <f ca="1">IF(B153&gt;=$J$5,0,(CONTADORES!AH153-CONTADORES!AH152))</f>
        <v>6.0999999999985448</v>
      </c>
      <c r="AZ153" s="1438">
        <f ca="1">IF(B153&gt;=$J$5,0,(CONTADORES!P153-CONTADORES!P152))</f>
        <v>10.039999999993597</v>
      </c>
      <c r="BA153" s="1439">
        <f t="shared" ca="1" si="75"/>
        <v>5.3250000000188891</v>
      </c>
      <c r="BB153" s="1438">
        <f ca="1">IF(B153&gt;=$J$5,0,(((CONTADORES!G153-CONTADORES!G152)+(CONTADORES!AP153-CONTADORES!AP152)+AR153)-(AV153+BC153)))</f>
        <v>11.119999999981928</v>
      </c>
      <c r="BC153" s="1438">
        <f ca="1">IF(B153&gt;=$J$5,0,(CONTADORES!AW153-CONTADORES!AW152)+(CONTADORES!AY153-CONTADORES!AY152)+(CONTADORES!BD153-CONTADORES!BD152))</f>
        <v>2.1800000000000637</v>
      </c>
      <c r="BD153" s="1438">
        <f t="shared" ca="1" si="76"/>
        <v>186.36999999999534</v>
      </c>
      <c r="BE153" s="1439">
        <f ca="1">IF($B153&gt;=$J$5,0,CONTADORES!$BE153)</f>
        <v>5483.98</v>
      </c>
      <c r="BF153" s="1438">
        <f ca="1">IF($B153&gt;=$J$5,0,CONTADORES!$BF153)</f>
        <v>29353.9385964912</v>
      </c>
      <c r="BG153" s="1438">
        <f ca="1">IF($B153&gt;=$J$5,0,CONTADORES!$BH153)</f>
        <v>3518.36</v>
      </c>
      <c r="BH153" s="1438">
        <f ca="1">IF(B153&gt;=$J$5,0,(CONTADORES!AQ153-CONTADORES!AQ152))</f>
        <v>5.7529999999969732</v>
      </c>
      <c r="BI153" s="1438">
        <f ca="1">IF(B153&gt;=$J$5,0,(CONTADORES!AR153-CONTADORES!AR152))</f>
        <v>0</v>
      </c>
      <c r="BJ153" s="1439">
        <f ca="1">IF(B153&gt;=$J$5,0,CONTADORES!BI153-CONTADORES!BI152)/1000</f>
        <v>2.4180000000000001</v>
      </c>
      <c r="BK153" s="1439">
        <f ca="1">IF(B153&gt;=$J$5,0,CONTADORES!BJ153-CONTADORES!BJ152)</f>
        <v>1</v>
      </c>
      <c r="BL153" s="1439">
        <f ca="1">IF(B153&gt;=$J$5,0,CONTADORES!BK153-CONTADORES!BK152)</f>
        <v>24</v>
      </c>
      <c r="BM153" s="1439">
        <f ca="1">IF(B153&gt;=$J$5,0,CONTADORES!BL153-CONTADORES!BL152)/1000</f>
        <v>4.4550000000000001</v>
      </c>
      <c r="BN153" s="1439">
        <f ca="1">IF(B153&gt;=$J$5,0,CONTADORES!BM153-CONTADORES!BM152)/1000</f>
        <v>0.74099999999999999</v>
      </c>
      <c r="BO153" s="1439">
        <f ca="1">IF(B153&gt;=$J$5,0,CONTADORES!BN153-CONTADORES!BN152)</f>
        <v>24</v>
      </c>
      <c r="BP153" s="1439">
        <f ca="1">IF(B153&gt;=$J$5,0,CONTADORES!BO153-CONTADORES!BO152)/1000</f>
        <v>0</v>
      </c>
      <c r="BQ153" s="1439">
        <f ca="1">IF(B153&gt;=$J$5,0,CONTADORES!BP153-CONTADORES!BP152)/1000</f>
        <v>0</v>
      </c>
      <c r="BR153" s="1439">
        <f ca="1">IF(B153&gt;=$J$5,0,CONTADORES!BQ153-CONTADORES!BQ152)</f>
        <v>0</v>
      </c>
      <c r="BS153" s="1439">
        <f ca="1">IF(B153&gt;=$J$5,0,(CONTADORES!BT153-CONTADORES!BT152)+(CONTADORES!BV153-CONTADORES!BV152))/1000</f>
        <v>1.5760000000000001</v>
      </c>
      <c r="BT153" s="1439">
        <f ca="1">IF(B153&gt;=$J$5,0,(CONTADORES!BU153-CONTADORES!BU152)+(CONTADORES!BW153-CONTADORES!BW152))/1000</f>
        <v>0.90400000000000003</v>
      </c>
      <c r="BU153" s="1439">
        <f ca="1">IF(B153&gt;=$J$5,0,CONTADORES!BR153-CONTADORES!BR152)</f>
        <v>6.4799999999995634</v>
      </c>
      <c r="BV153" s="1439">
        <f ca="1">IF(B153&gt;=$J$5,0,CONTADORES!BS153-CONTADORES!BS152)</f>
        <v>4.5599999999994907</v>
      </c>
      <c r="BW153" s="1439">
        <f t="shared" ca="1" si="77"/>
        <v>12.89850000000056</v>
      </c>
      <c r="BX153" s="1439">
        <f t="shared" ca="1" si="78"/>
        <v>10.119999999990455</v>
      </c>
      <c r="BY153" s="1439">
        <f t="shared" ca="1" si="79"/>
        <v>6.4185000000009964</v>
      </c>
      <c r="BZ153" s="1439">
        <f t="shared" ca="1" si="80"/>
        <v>1.2535999999999579</v>
      </c>
      <c r="CA153" s="1439">
        <f t="shared" ca="1" si="81"/>
        <v>6.4185000000009964</v>
      </c>
      <c r="CB153" s="1439">
        <f t="shared" ca="1" si="82"/>
        <v>1.8803999999999363</v>
      </c>
      <c r="CC153" s="1439">
        <f t="shared" ca="1" si="83"/>
        <v>2.8295999999999579</v>
      </c>
      <c r="CD153" s="1439">
        <f t="shared" ca="1" si="84"/>
        <v>5.5599999999909642</v>
      </c>
      <c r="CE153" s="1439">
        <f ca="1">IF(B153&gt;=$J$5,0,CONTADORES!BS153-CONTADORES!BS152)</f>
        <v>4.5599999999994907</v>
      </c>
      <c r="CF153" s="1439">
        <f t="shared" ca="1" si="85"/>
        <v>5.5599999999909642</v>
      </c>
      <c r="CG153" s="1439">
        <f t="shared" ca="1" si="86"/>
        <v>1.0900000000000318</v>
      </c>
      <c r="CH153" s="1439">
        <f t="shared" ca="1" si="87"/>
        <v>1.0900000000000318</v>
      </c>
      <c r="CI153" s="1439">
        <f t="shared" ca="1" si="88"/>
        <v>1.9940000000000317</v>
      </c>
      <c r="CJ153" s="1488">
        <f ca="1">IF($B153&gt;=$J$5,0,CONTADORES!$BG153)</f>
        <v>16392.339300860302</v>
      </c>
      <c r="CK153" s="1406">
        <f>CONTADORES!E153</f>
        <v>0</v>
      </c>
      <c r="CL153" s="1406">
        <f>CONTADORES!BX153</f>
        <v>0</v>
      </c>
    </row>
    <row r="154" spans="2:90">
      <c r="B154" s="410">
        <v>45070</v>
      </c>
      <c r="C154" s="204">
        <f t="shared" ca="1" si="64"/>
        <v>166</v>
      </c>
      <c r="D154" s="202">
        <f ca="1">'CALCULO DE GAS'!D163</f>
        <v>4.018586111203617</v>
      </c>
      <c r="E154" s="202">
        <f ca="1">IF(B154&gt;=$J$5,0,(CONTADORES!$AB154-CONTADORES!$AB153)-$H154)</f>
        <v>24</v>
      </c>
      <c r="F154" s="204">
        <f t="shared" ca="1" si="90"/>
        <v>0</v>
      </c>
      <c r="G154" s="202">
        <f ca="1">IF(B154&gt;=$J$5,0,CONTADORES!$AD154-CONTADORES!$AD153)</f>
        <v>0</v>
      </c>
      <c r="H154" s="202">
        <f ca="1">IF(G154&gt;0,CONTADORES!$AC154-CONTADORES!$AC153,0)</f>
        <v>0</v>
      </c>
      <c r="I154" s="205">
        <f ca="1">IF(B154&gt;=$J$5,0,CONTADORES!$Z154-CONTADORES!$Z153)</f>
        <v>166</v>
      </c>
      <c r="J154" s="204">
        <f t="shared" ca="1" si="65"/>
        <v>84</v>
      </c>
      <c r="K154" s="202">
        <f ca="1">'CALCULO DE GAS'!E163</f>
        <v>3.3169828761893441</v>
      </c>
      <c r="L154" s="1437">
        <f ca="1">IF(B154&gt;=$J$5,0,(CONTADORES!$W154-CONTADORES!$W153)-$O154)</f>
        <v>24</v>
      </c>
      <c r="M154" s="1437">
        <f t="shared" ca="1" si="89"/>
        <v>0</v>
      </c>
      <c r="N154" s="1437">
        <f ca="1">IF(B154&gt;=$J$5,0,CONTADORES!$Y154-CONTADORES!$Y153)</f>
        <v>0</v>
      </c>
      <c r="O154" s="1437">
        <f ca="1">IF(N154&gt;0,CONTADORES!$X154-CONTADORES!$X153,0)</f>
        <v>0</v>
      </c>
      <c r="P154" s="208">
        <f ca="1">IF(B154&gt;=$J$5,0,CONTADORES!$U154-CONTADORES!$U153)</f>
        <v>84</v>
      </c>
      <c r="Q154" s="208">
        <f ca="1">IF(B154&gt;=$J$5,0,CONTADORES!$B154-CONTADORES!$B153)</f>
        <v>0</v>
      </c>
      <c r="R154" s="202">
        <f t="shared" ca="1" si="66"/>
        <v>0</v>
      </c>
      <c r="S154" s="11">
        <f ca="1">IF(B154&gt;=$J$5,0,CONTADORES!$D154-CONTADORES!$D153)</f>
        <v>0</v>
      </c>
      <c r="T154" s="204">
        <f ca="1">IF(B154&gt;=$J$5,0,CONTADORES!$AZ154-CONTADORES!$AZ153)</f>
        <v>0</v>
      </c>
      <c r="U154" s="202">
        <f t="shared" ca="1" si="61"/>
        <v>0</v>
      </c>
      <c r="V154" s="205">
        <f ca="1">IF(B154&gt;=$J$5,0,CONTADORES!$BB154-CONTADORES!$BB153)</f>
        <v>0</v>
      </c>
      <c r="W154" s="1438">
        <f t="shared" ca="1" si="67"/>
        <v>250</v>
      </c>
      <c r="X154" s="1438">
        <f t="shared" ca="1" si="68"/>
        <v>0</v>
      </c>
      <c r="Y154" s="1439">
        <f t="shared" ca="1" si="69"/>
        <v>250</v>
      </c>
      <c r="Z154" s="1439">
        <f t="shared" ca="1" si="70"/>
        <v>7.3355689873929606</v>
      </c>
      <c r="AA154" s="1439">
        <f t="shared" ca="1" si="71"/>
        <v>0</v>
      </c>
      <c r="AB154" s="1439">
        <f t="shared" ca="1" si="72"/>
        <v>48</v>
      </c>
      <c r="AC154" s="1438">
        <f t="shared" ca="1" si="73"/>
        <v>0</v>
      </c>
      <c r="AD154" s="1438">
        <f ca="1">IF(B154&gt;=$J$5,0,CONTADORES!H154-CONTADORES!H153)</f>
        <v>0</v>
      </c>
      <c r="AE154" s="1439">
        <f ca="1">IF(B154&gt;=$J$5,0,CONTADORES!J154-CONTADORES!J153)</f>
        <v>0</v>
      </c>
      <c r="AF154" s="1438">
        <f ca="1">IF(B154&gt;=$J$5,0,CONTADORES!AS154-CONTADORES!AS153)</f>
        <v>134</v>
      </c>
      <c r="AG154" s="1439">
        <f ca="1">IF(B154&gt;=$J$5,0,CONTADORES!AU154-CONTADORES!AU153)</f>
        <v>24</v>
      </c>
      <c r="AH154" s="1439">
        <f ca="1">IF(B154&gt;=$J$5,0,(CONTADORES!AK154-CONTADORES!AK153)+(CONTADORES!K154-CONTADORES!K153))</f>
        <v>5.2000000000043656</v>
      </c>
      <c r="AI154" s="1438">
        <f ca="1">IF(B154&gt;=$J$5,0,(CONTADORES!AI154-CONTADORES!AI153)+(CONTADORES!M154-CONTADORES!M153))</f>
        <v>34.80000000000291</v>
      </c>
      <c r="AJ154" s="1438">
        <f ca="1">IF(B154&gt;=$J$5,0,(CONTADORES!AG154-CONTADORES!AG153))</f>
        <v>5.3000000000029104</v>
      </c>
      <c r="AK154" s="1438">
        <f ca="1">IF(B154&gt;=$J$5,0,(CONTADORES!O154-CONTADORES!O153))</f>
        <v>12</v>
      </c>
      <c r="AL154" s="1439">
        <f t="shared" ca="1" si="74"/>
        <v>31.599999999991297</v>
      </c>
      <c r="AM154" s="1438">
        <f ca="1">IF(B154&gt;=$J$5,0,(((CONTADORES!F154-CONTADORES!F153)+(CONTADORES!AO154-CONTADORES!AO153))))-BJ154-AF154-AN154-BM154-BP154-BU154-BS154</f>
        <v>9.7829999999969139</v>
      </c>
      <c r="AN154" s="1438">
        <f ca="1">IF(B154&gt;=$J$5,0,(CONTADORES!AV154-CONTADORES!AV153)+(CONTADORES!AX154-CONTADORES!AX153)+(CONTADORES!BC154-CONTADORES!BC153))-BS154</f>
        <v>2.9560000000005457</v>
      </c>
      <c r="AO154" s="1438">
        <f ca="1">IF(B154&gt;=$J$5,0,(CONTADORES!AA154-CONTADORES!AA153))</f>
        <v>85</v>
      </c>
      <c r="AP154" s="1438">
        <f ca="1">IF(B154&gt;=$J$5,0,(CONTADORES!V154-CONTADORES!V153))</f>
        <v>44</v>
      </c>
      <c r="AQ154" s="1438">
        <f ca="1">IF(B154&gt;=$J$5,0,(CONTADORES!C154-CONTADORES!C153))</f>
        <v>0</v>
      </c>
      <c r="AR154" s="1438">
        <f ca="1">IF(B154&gt;=$J$5,0,(CONTADORES!BA154-CONTADORES!BA153))</f>
        <v>0</v>
      </c>
      <c r="AS154" s="1438">
        <f ca="1">IF(B154&gt;=$J$5,0,CONTADORES!Q154-CONTADORES!Q153)</f>
        <v>15</v>
      </c>
      <c r="AT154" s="1438">
        <f ca="1">IF(B154&gt;=$J$5,0,(CONTADORES!S154-CONTADORES!S153)+(CONTADORES!AE154-CONTADORES!AE153))</f>
        <v>2.5</v>
      </c>
      <c r="AU154" s="1438">
        <f ca="1">IF(B154&gt;=$J$5,0,(CONTADORES!I154-CONTADORES!I153))</f>
        <v>0</v>
      </c>
      <c r="AV154" s="1438">
        <f ca="1">IF(B154&gt;=$J$5,0,(CONTADORES!AT154-CONTADORES!AT153))</f>
        <v>59</v>
      </c>
      <c r="AW154" s="1438">
        <f ca="1">IF(B154&gt;=$J$5,0,(CONTADORES!L154-CONTADORES!L153)+(CONTADORES!AL154-CONTADORES!AL153))</f>
        <v>2.0999999999985448</v>
      </c>
      <c r="AX154" s="1438">
        <f ca="1">IF(B154&gt;=$J$5,0,(CONTADORES!N154-CONTADORES!N153)+(CONTADORES!AJ154-CONTADORES!AJ153))</f>
        <v>29.80000000000291</v>
      </c>
      <c r="AY154" s="1438">
        <f ca="1">IF(B154&gt;=$J$5,0,(CONTADORES!AH154-CONTADORES!AH153))</f>
        <v>4</v>
      </c>
      <c r="AZ154" s="1438">
        <f ca="1">IF(B154&gt;=$J$5,0,(CONTADORES!P154-CONTADORES!P153))</f>
        <v>9</v>
      </c>
      <c r="BA154" s="1439">
        <f t="shared" ca="1" si="75"/>
        <v>6.9429999999979941</v>
      </c>
      <c r="BB154" s="1438">
        <f ca="1">IF(B154&gt;=$J$5,0,(((CONTADORES!G154-CONTADORES!G153)+(CONTADORES!AP154-CONTADORES!AP153)+AR154)-(AV154+BC154)))</f>
        <v>9.2999999999997272</v>
      </c>
      <c r="BC154" s="1438">
        <f ca="1">IF(B154&gt;=$J$5,0,(CONTADORES!AW154-CONTADORES!AW153)+(CONTADORES!AY154-CONTADORES!AY153)+(CONTADORES!BD154-CONTADORES!BD153))</f>
        <v>2.2000000000002728</v>
      </c>
      <c r="BD154" s="1438">
        <f t="shared" ca="1" si="76"/>
        <v>129</v>
      </c>
      <c r="BE154" s="1439">
        <f ca="1">IF($B154&gt;=$J$5,0,CONTADORES!$BE154)</f>
        <v>5710.47</v>
      </c>
      <c r="BF154" s="1438">
        <f ca="1">IF($B154&gt;=$J$5,0,CONTADORES!$BF154)</f>
        <v>26294.419298245601</v>
      </c>
      <c r="BG154" s="1438">
        <f ca="1">IF($B154&gt;=$J$5,0,CONTADORES!$BH154)</f>
        <v>4110.7299999999996</v>
      </c>
      <c r="BH154" s="1438">
        <f ca="1">IF(B154&gt;=$J$5,0,(CONTADORES!AQ154-CONTADORES!AQ153))</f>
        <v>5</v>
      </c>
      <c r="BI154" s="1438">
        <f ca="1">IF(B154&gt;=$J$5,0,(CONTADORES!AR154-CONTADORES!AR153))</f>
        <v>0</v>
      </c>
      <c r="BJ154" s="1439">
        <f ca="1">IF(B154&gt;=$J$5,0,CONTADORES!BI154-CONTADORES!BI153)/1000</f>
        <v>2.1</v>
      </c>
      <c r="BK154" s="1439">
        <f ca="1">IF(B154&gt;=$J$5,0,CONTADORES!BJ154-CONTADORES!BJ153)</f>
        <v>1</v>
      </c>
      <c r="BL154" s="1439">
        <f ca="1">IF(B154&gt;=$J$5,0,CONTADORES!BK154-CONTADORES!BK153)</f>
        <v>24</v>
      </c>
      <c r="BM154" s="1439">
        <f ca="1">IF(B154&gt;=$J$5,0,CONTADORES!BL154-CONTADORES!BL153)/1000</f>
        <v>4.0170000000000003</v>
      </c>
      <c r="BN154" s="1439">
        <f ca="1">IF(B154&gt;=$J$5,0,CONTADORES!BM154-CONTADORES!BM153)/1000</f>
        <v>0.18</v>
      </c>
      <c r="BO154" s="1439">
        <f ca="1">IF(B154&gt;=$J$5,0,CONTADORES!BN154-CONTADORES!BN153)</f>
        <v>24</v>
      </c>
      <c r="BP154" s="1439">
        <f ca="1">IF(B154&gt;=$J$5,0,CONTADORES!BO154-CONTADORES!BO153)/1000</f>
        <v>0</v>
      </c>
      <c r="BQ154" s="1439">
        <f ca="1">IF(B154&gt;=$J$5,0,CONTADORES!BP154-CONTADORES!BP153)/1000</f>
        <v>0</v>
      </c>
      <c r="BR154" s="1439">
        <f ca="1">IF(B154&gt;=$J$5,0,CONTADORES!BQ154-CONTADORES!BQ153)</f>
        <v>0</v>
      </c>
      <c r="BS154" s="1439">
        <f ca="1">IF(B154&gt;=$J$5,0,(CONTADORES!BT154-CONTADORES!BT153)+(CONTADORES!BV154-CONTADORES!BV153))/1000</f>
        <v>1.944</v>
      </c>
      <c r="BT154" s="1439">
        <f ca="1">IF(B154&gt;=$J$5,0,(CONTADORES!BU154-CONTADORES!BU153)+(CONTADORES!BW154-CONTADORES!BW153))/1000</f>
        <v>1.077</v>
      </c>
      <c r="BU154" s="1439">
        <f ca="1">IF(B154&gt;=$J$5,0,CONTADORES!BR154-CONTADORES!BR153)</f>
        <v>6.3000000000010914</v>
      </c>
      <c r="BV154" s="1439">
        <f ca="1">IF(B154&gt;=$J$5,0,CONTADORES!BS154-CONTADORES!BS153)</f>
        <v>4.4000000000005457</v>
      </c>
      <c r="BW154" s="1439">
        <f t="shared" ca="1" si="77"/>
        <v>11.191499999999548</v>
      </c>
      <c r="BX154" s="1439">
        <f t="shared" ca="1" si="78"/>
        <v>9.0500000000004093</v>
      </c>
      <c r="BY154" s="1439">
        <f t="shared" ca="1" si="79"/>
        <v>4.891499999998457</v>
      </c>
      <c r="BZ154" s="1439">
        <f t="shared" ca="1" si="80"/>
        <v>1.1824000000002184</v>
      </c>
      <c r="CA154" s="1439">
        <f t="shared" ca="1" si="81"/>
        <v>4.891499999998457</v>
      </c>
      <c r="CB154" s="1439">
        <f t="shared" ca="1" si="82"/>
        <v>1.7736000000003274</v>
      </c>
      <c r="CC154" s="1439">
        <f t="shared" ca="1" si="83"/>
        <v>3.1264000000002183</v>
      </c>
      <c r="CD154" s="1439">
        <f t="shared" ca="1" si="84"/>
        <v>4.6499999999998636</v>
      </c>
      <c r="CE154" s="1439">
        <f ca="1">IF(B154&gt;=$J$5,0,CONTADORES!BS154-CONTADORES!BS153)</f>
        <v>4.4000000000005457</v>
      </c>
      <c r="CF154" s="1439">
        <f t="shared" ca="1" si="85"/>
        <v>4.6499999999998636</v>
      </c>
      <c r="CG154" s="1439">
        <f t="shared" ca="1" si="86"/>
        <v>1.1000000000001364</v>
      </c>
      <c r="CH154" s="1439">
        <f t="shared" ca="1" si="87"/>
        <v>1.1000000000001364</v>
      </c>
      <c r="CI154" s="1439">
        <f t="shared" ca="1" si="88"/>
        <v>2.1770000000001364</v>
      </c>
      <c r="CJ154" s="1488">
        <f ca="1">IF($B154&gt;=$J$5,0,CONTADORES!$BG154)</f>
        <v>13235.0252605852</v>
      </c>
      <c r="CK154" s="1406">
        <f>CONTADORES!E154</f>
        <v>0</v>
      </c>
      <c r="CL154" s="1406">
        <f>CONTADORES!BX154</f>
        <v>0</v>
      </c>
    </row>
    <row r="155" spans="2:90">
      <c r="B155" s="410">
        <v>45071</v>
      </c>
      <c r="C155" s="204">
        <f t="shared" ca="1" si="64"/>
        <v>188</v>
      </c>
      <c r="D155" s="202">
        <f ca="1">'CALCULO DE GAS'!D164</f>
        <v>4.2068211254757388</v>
      </c>
      <c r="E155" s="202">
        <f ca="1">IF(B155&gt;=$J$5,0,(CONTADORES!$AB155-CONTADORES!$AB154)-$H155)</f>
        <v>24</v>
      </c>
      <c r="F155" s="204">
        <f t="shared" ca="1" si="90"/>
        <v>0</v>
      </c>
      <c r="G155" s="202">
        <f ca="1">IF(B155&gt;=$J$5,0,CONTADORES!$AD155-CONTADORES!$AD154)</f>
        <v>0</v>
      </c>
      <c r="H155" s="202">
        <f ca="1">IF(G155&gt;0,CONTADORES!$AC155-CONTADORES!$AC154,0)</f>
        <v>0</v>
      </c>
      <c r="I155" s="205">
        <f ca="1">IF(B155&gt;=$J$5,0,CONTADORES!$Z155-CONTADORES!$Z154)</f>
        <v>188</v>
      </c>
      <c r="J155" s="204">
        <f t="shared" ca="1" si="65"/>
        <v>84</v>
      </c>
      <c r="K155" s="202">
        <f ca="1">'CALCULO DE GAS'!E164</f>
        <v>3.3169828761893441</v>
      </c>
      <c r="L155" s="1437">
        <f ca="1">IF(B155&gt;=$J$5,0,(CONTADORES!$W155-CONTADORES!$W154)-$O155)</f>
        <v>24</v>
      </c>
      <c r="M155" s="1437">
        <f t="shared" ca="1" si="89"/>
        <v>0</v>
      </c>
      <c r="N155" s="1437">
        <f ca="1">IF(B155&gt;=$J$5,0,CONTADORES!$Y155-CONTADORES!$Y154)</f>
        <v>0</v>
      </c>
      <c r="O155" s="1437">
        <f ca="1">IF(N155&gt;0,CONTADORES!$X155-CONTADORES!$X154,0)</f>
        <v>0</v>
      </c>
      <c r="P155" s="208">
        <f ca="1">IF(B155&gt;=$J$5,0,CONTADORES!$U155-CONTADORES!$U154)</f>
        <v>84</v>
      </c>
      <c r="Q155" s="208">
        <f ca="1">IF(B155&gt;=$J$5,0,CONTADORES!$B155-CONTADORES!$B154)</f>
        <v>0</v>
      </c>
      <c r="R155" s="202">
        <f t="shared" ca="1" si="66"/>
        <v>0</v>
      </c>
      <c r="S155" s="11">
        <f ca="1">IF(B155&gt;=$J$5,0,CONTADORES!$D155-CONTADORES!$D154)</f>
        <v>0</v>
      </c>
      <c r="T155" s="204">
        <f ca="1">IF(B155&gt;=$J$5,0,CONTADORES!$AZ155-CONTADORES!$AZ154)</f>
        <v>0</v>
      </c>
      <c r="U155" s="202">
        <f t="shared" ca="1" si="61"/>
        <v>0</v>
      </c>
      <c r="V155" s="205">
        <f ca="1">IF(B155&gt;=$J$5,0,CONTADORES!$BB155-CONTADORES!$BB154)</f>
        <v>0</v>
      </c>
      <c r="W155" s="1438">
        <f t="shared" ca="1" si="67"/>
        <v>272</v>
      </c>
      <c r="X155" s="1438">
        <f t="shared" ca="1" si="68"/>
        <v>0</v>
      </c>
      <c r="Y155" s="1439">
        <f t="shared" ca="1" si="69"/>
        <v>272</v>
      </c>
      <c r="Z155" s="1439">
        <f t="shared" ca="1" si="70"/>
        <v>7.5238040016650825</v>
      </c>
      <c r="AA155" s="1439">
        <f t="shared" ca="1" si="71"/>
        <v>0</v>
      </c>
      <c r="AB155" s="1439">
        <f t="shared" ca="1" si="72"/>
        <v>48</v>
      </c>
      <c r="AC155" s="1438">
        <f t="shared" ca="1" si="73"/>
        <v>0</v>
      </c>
      <c r="AD155" s="1438">
        <f ca="1">IF(B155&gt;=$J$5,0,CONTADORES!H155-CONTADORES!H154)</f>
        <v>0</v>
      </c>
      <c r="AE155" s="1439">
        <f ca="1">IF(B155&gt;=$J$5,0,CONTADORES!J155-CONTADORES!J154)</f>
        <v>0</v>
      </c>
      <c r="AF155" s="1438">
        <f ca="1">IF(B155&gt;=$J$5,0,CONTADORES!AS155-CONTADORES!AS154)</f>
        <v>147</v>
      </c>
      <c r="AG155" s="1439">
        <f ca="1">IF(B155&gt;=$J$5,0,CONTADORES!AU155-CONTADORES!AU154)</f>
        <v>24</v>
      </c>
      <c r="AH155" s="1439">
        <f ca="1">IF(B155&gt;=$J$5,0,(CONTADORES!AK155-CONTADORES!AK154)+(CONTADORES!K155-CONTADORES!K154))</f>
        <v>9.0999999999985448</v>
      </c>
      <c r="AI155" s="1438">
        <f ca="1">IF(B155&gt;=$J$5,0,(CONTADORES!AI155-CONTADORES!AI154)+(CONTADORES!M155-CONTADORES!M154))</f>
        <v>36.399999999994179</v>
      </c>
      <c r="AJ155" s="1438">
        <f ca="1">IF(B155&gt;=$J$5,0,(CONTADORES!AG155-CONTADORES!AG154))</f>
        <v>6.3000000000029104</v>
      </c>
      <c r="AK155" s="1438">
        <f ca="1">IF(B155&gt;=$J$5,0,(CONTADORES!O155-CONTADORES!O154))</f>
        <v>11</v>
      </c>
      <c r="AL155" s="1439">
        <f t="shared" ca="1" si="74"/>
        <v>33.600000000002183</v>
      </c>
      <c r="AM155" s="1438">
        <f ca="1">IF(B155&gt;=$J$5,0,(((CONTADORES!F155-CONTADORES!F154)+(CONTADORES!AO155-CONTADORES!AO154))))-BJ155-AF155-AN155-BM155-BP155-BU155-BS155</f>
        <v>10.510000000003453</v>
      </c>
      <c r="AN155" s="1438">
        <f ca="1">IF(B155&gt;=$J$5,0,(CONTADORES!AV155-CONTADORES!AV154)+(CONTADORES!AX155-CONTADORES!AX154)+(CONTADORES!BC155-CONTADORES!BC154))-BS155</f>
        <v>4.1589999999994545</v>
      </c>
      <c r="AO155" s="1438">
        <f ca="1">IF(B155&gt;=$J$5,0,(CONTADORES!AA155-CONTADORES!AA154))</f>
        <v>97</v>
      </c>
      <c r="AP155" s="1438">
        <f ca="1">IF(B155&gt;=$J$5,0,(CONTADORES!V155-CONTADORES!V154))</f>
        <v>41</v>
      </c>
      <c r="AQ155" s="1438">
        <f ca="1">IF(B155&gt;=$J$5,0,(CONTADORES!C155-CONTADORES!C154))</f>
        <v>0</v>
      </c>
      <c r="AR155" s="1438">
        <f ca="1">IF(B155&gt;=$J$5,0,(CONTADORES!BA155-CONTADORES!BA154))</f>
        <v>0</v>
      </c>
      <c r="AS155" s="1438">
        <f ca="1">IF(B155&gt;=$J$5,0,CONTADORES!Q155-CONTADORES!Q154)</f>
        <v>15</v>
      </c>
      <c r="AT155" s="1438">
        <f ca="1">IF(B155&gt;=$J$5,0,(CONTADORES!S155-CONTADORES!S154)+(CONTADORES!AE155-CONTADORES!AE154))</f>
        <v>2.5</v>
      </c>
      <c r="AU155" s="1438">
        <f ca="1">IF(B155&gt;=$J$5,0,(CONTADORES!I155-CONTADORES!I154))</f>
        <v>0</v>
      </c>
      <c r="AV155" s="1438">
        <f ca="1">IF(B155&gt;=$J$5,0,(CONTADORES!AT155-CONTADORES!AT154))</f>
        <v>64</v>
      </c>
      <c r="AW155" s="1438">
        <f ca="1">IF(B155&gt;=$J$5,0,(CONTADORES!L155-CONTADORES!L154)+(CONTADORES!AL155-CONTADORES!AL154))</f>
        <v>3.6000000000021828</v>
      </c>
      <c r="AX155" s="1438">
        <f ca="1">IF(B155&gt;=$J$5,0,(CONTADORES!N155-CONTADORES!N154)+(CONTADORES!AJ155-CONTADORES!AJ154))</f>
        <v>31.299999999995634</v>
      </c>
      <c r="AY155" s="1438">
        <f ca="1">IF(B155&gt;=$J$5,0,(CONTADORES!AH155-CONTADORES!AH154))</f>
        <v>4.6999999999970896</v>
      </c>
      <c r="AZ155" s="1438">
        <f ca="1">IF(B155&gt;=$J$5,0,(CONTADORES!P155-CONTADORES!P154))</f>
        <v>9</v>
      </c>
      <c r="BA155" s="1439">
        <f t="shared" ca="1" si="75"/>
        <v>7.1740000000048951</v>
      </c>
      <c r="BB155" s="1438">
        <f ca="1">IF(B155&gt;=$J$5,0,(((CONTADORES!G155-CONTADORES!G154)+(CONTADORES!AP155-CONTADORES!AP154)+AR155)-(AV155+BC155)))</f>
        <v>9.6000000000003638</v>
      </c>
      <c r="BC155" s="1438">
        <f ca="1">IF(B155&gt;=$J$5,0,(CONTADORES!AW155-CONTADORES!AW154)+(CONTADORES!AY155-CONTADORES!AY154)+(CONTADORES!BD155-CONTADORES!BD154))</f>
        <v>2.3999999999996362</v>
      </c>
      <c r="BD155" s="1438">
        <f t="shared" ca="1" si="76"/>
        <v>138</v>
      </c>
      <c r="BE155" s="1439">
        <f ca="1">IF($B155&gt;=$J$5,0,CONTADORES!$BE155)</f>
        <v>5217.12</v>
      </c>
      <c r="BF155" s="1438">
        <f ca="1">IF($B155&gt;=$J$5,0,CONTADORES!$BF155)</f>
        <v>29149.498245613999</v>
      </c>
      <c r="BG155" s="1438">
        <f ca="1">IF($B155&gt;=$J$5,0,CONTADORES!$BH155)</f>
        <v>4472.88</v>
      </c>
      <c r="BH155" s="1438">
        <f ca="1">IF(B155&gt;=$J$5,0,(CONTADORES!AQ155-CONTADORES!AQ154))</f>
        <v>6</v>
      </c>
      <c r="BI155" s="1438">
        <f ca="1">IF(B155&gt;=$J$5,0,(CONTADORES!AR155-CONTADORES!AR154))</f>
        <v>0</v>
      </c>
      <c r="BJ155" s="1439">
        <f ca="1">IF(B155&gt;=$J$5,0,CONTADORES!BI155-CONTADORES!BI154)/1000</f>
        <v>2</v>
      </c>
      <c r="BK155" s="1439">
        <f ca="1">IF(B155&gt;=$J$5,0,CONTADORES!BJ155-CONTADORES!BJ154)</f>
        <v>1</v>
      </c>
      <c r="BL155" s="1439">
        <f ca="1">IF(B155&gt;=$J$5,0,CONTADORES!BK155-CONTADORES!BK154)</f>
        <v>24</v>
      </c>
      <c r="BM155" s="1439">
        <f ca="1">IF(B155&gt;=$J$5,0,CONTADORES!BL155-CONTADORES!BL154)/1000</f>
        <v>4.1900000000000004</v>
      </c>
      <c r="BN155" s="1439">
        <f ca="1">IF(B155&gt;=$J$5,0,CONTADORES!BM155-CONTADORES!BM154)/1000</f>
        <v>0.11700000000000001</v>
      </c>
      <c r="BO155" s="1439">
        <f ca="1">IF(B155&gt;=$J$5,0,CONTADORES!BN155-CONTADORES!BN154)</f>
        <v>24</v>
      </c>
      <c r="BP155" s="1439">
        <f ca="1">IF(B155&gt;=$J$5,0,CONTADORES!BO155-CONTADORES!BO154)/1000</f>
        <v>0</v>
      </c>
      <c r="BQ155" s="1439">
        <f ca="1">IF(B155&gt;=$J$5,0,CONTADORES!BP155-CONTADORES!BP154)/1000</f>
        <v>0</v>
      </c>
      <c r="BR155" s="1439">
        <f ca="1">IF(B155&gt;=$J$5,0,CONTADORES!BQ155-CONTADORES!BQ154)</f>
        <v>0</v>
      </c>
      <c r="BS155" s="1439">
        <f ca="1">IF(B155&gt;=$J$5,0,(CONTADORES!BT155-CONTADORES!BT154)+(CONTADORES!BV155-CONTADORES!BV154))/1000</f>
        <v>1.4410000000000001</v>
      </c>
      <c r="BT155" s="1439">
        <f ca="1">IF(B155&gt;=$J$5,0,(CONTADORES!BU155-CONTADORES!BU154)+(CONTADORES!BW155-CONTADORES!BW154))/1000</f>
        <v>0.80900000000000005</v>
      </c>
      <c r="BU155" s="1439">
        <f ca="1">IF(B155&gt;=$J$5,0,CONTADORES!BR155-CONTADORES!BR154)</f>
        <v>6.2999999999992724</v>
      </c>
      <c r="BV155" s="1439">
        <f ca="1">IF(B155&gt;=$J$5,0,CONTADORES!BS155-CONTADORES!BS154)</f>
        <v>4.3000000000001819</v>
      </c>
      <c r="BW155" s="1439">
        <f t="shared" ca="1" si="77"/>
        <v>11.555000000000998</v>
      </c>
      <c r="BX155" s="1439">
        <f t="shared" ca="1" si="78"/>
        <v>9.1000000000003638</v>
      </c>
      <c r="BY155" s="1439">
        <f t="shared" ca="1" si="79"/>
        <v>5.2550000000017265</v>
      </c>
      <c r="BZ155" s="1439">
        <f t="shared" ca="1" si="80"/>
        <v>1.6635999999997819</v>
      </c>
      <c r="CA155" s="1439">
        <f t="shared" ca="1" si="81"/>
        <v>5.2550000000017265</v>
      </c>
      <c r="CB155" s="1439">
        <f t="shared" ca="1" si="82"/>
        <v>2.4953999999996723</v>
      </c>
      <c r="CC155" s="1439">
        <f t="shared" ca="1" si="83"/>
        <v>3.104599999999782</v>
      </c>
      <c r="CD155" s="1439">
        <f t="shared" ca="1" si="84"/>
        <v>4.8000000000001819</v>
      </c>
      <c r="CE155" s="1439">
        <f ca="1">IF(B155&gt;=$J$5,0,CONTADORES!BS155-CONTADORES!BS154)</f>
        <v>4.3000000000001819</v>
      </c>
      <c r="CF155" s="1439">
        <f t="shared" ca="1" si="85"/>
        <v>4.8000000000001819</v>
      </c>
      <c r="CG155" s="1439">
        <f t="shared" ca="1" si="86"/>
        <v>1.1999999999998181</v>
      </c>
      <c r="CH155" s="1439">
        <f t="shared" ca="1" si="87"/>
        <v>1.1999999999998181</v>
      </c>
      <c r="CI155" s="1439">
        <f t="shared" ca="1" si="88"/>
        <v>2.0089999999998183</v>
      </c>
      <c r="CJ155" s="1488">
        <f ca="1">IF($B155&gt;=$J$5,0,CONTADORES!$BG155)</f>
        <v>7335.02262296342</v>
      </c>
      <c r="CK155" s="1406">
        <f>CONTADORES!E155</f>
        <v>0</v>
      </c>
      <c r="CL155" s="1406">
        <f>CONTADORES!BX155</f>
        <v>0</v>
      </c>
    </row>
    <row r="156" spans="2:90">
      <c r="B156" s="410">
        <v>45072</v>
      </c>
      <c r="C156" s="204">
        <f t="shared" ca="1" si="64"/>
        <v>194</v>
      </c>
      <c r="D156" s="202">
        <f ca="1">'CALCULO DE GAS'!D165</f>
        <v>4.2581579475499538</v>
      </c>
      <c r="E156" s="202">
        <f ca="1">IF(B156&gt;=$J$5,0,(CONTADORES!$AB156-CONTADORES!$AB155)-$H156)</f>
        <v>24</v>
      </c>
      <c r="F156" s="204">
        <f t="shared" ca="1" si="90"/>
        <v>0</v>
      </c>
      <c r="G156" s="202">
        <f ca="1">IF(B156&gt;=$J$5,0,CONTADORES!$AD156-CONTADORES!$AD155)</f>
        <v>0</v>
      </c>
      <c r="H156" s="202">
        <f ca="1">IF(G156&gt;0,CONTADORES!$AC156-CONTADORES!$AC155,0)</f>
        <v>0</v>
      </c>
      <c r="I156" s="205">
        <f ca="1">IF(B156&gt;=$J$5,0,CONTADORES!$Z156-CONTADORES!$Z155)</f>
        <v>194</v>
      </c>
      <c r="J156" s="204">
        <f t="shared" ca="1" si="65"/>
        <v>84</v>
      </c>
      <c r="K156" s="202">
        <f ca="1">'CALCULO DE GAS'!E165</f>
        <v>3.3169828761893441</v>
      </c>
      <c r="L156" s="1437">
        <f ca="1">IF(B156&gt;=$J$5,0,(CONTADORES!$W156-CONTADORES!$W155)-$O156)</f>
        <v>24</v>
      </c>
      <c r="M156" s="1437">
        <f t="shared" ca="1" si="89"/>
        <v>0</v>
      </c>
      <c r="N156" s="1437">
        <f ca="1">IF(B156&gt;=$J$5,0,CONTADORES!$Y156-CONTADORES!$Y155)</f>
        <v>0</v>
      </c>
      <c r="O156" s="1437">
        <f ca="1">IF(N156&gt;0,CONTADORES!$X156-CONTADORES!$X155,0)</f>
        <v>0</v>
      </c>
      <c r="P156" s="208">
        <f ca="1">IF(B156&gt;=$J$5,0,CONTADORES!$U156-CONTADORES!$U155)</f>
        <v>84</v>
      </c>
      <c r="Q156" s="208">
        <f ca="1">IF(B156&gt;=$J$5,0,CONTADORES!$B156-CONTADORES!$B155)</f>
        <v>0</v>
      </c>
      <c r="R156" s="202">
        <f t="shared" ca="1" si="66"/>
        <v>0</v>
      </c>
      <c r="S156" s="11">
        <f ca="1">IF(B156&gt;=$J$5,0,CONTADORES!$D156-CONTADORES!$D155)</f>
        <v>0</v>
      </c>
      <c r="T156" s="204">
        <f ca="1">IF(B156&gt;=$J$5,0,CONTADORES!$AZ156-CONTADORES!$AZ155)</f>
        <v>0</v>
      </c>
      <c r="U156" s="202">
        <f t="shared" ca="1" si="61"/>
        <v>0</v>
      </c>
      <c r="V156" s="205">
        <f ca="1">IF(B156&gt;=$J$5,0,CONTADORES!$BB156-CONTADORES!$BB155)</f>
        <v>0</v>
      </c>
      <c r="W156" s="1438">
        <f t="shared" ca="1" si="67"/>
        <v>278</v>
      </c>
      <c r="X156" s="1438">
        <f t="shared" ca="1" si="68"/>
        <v>0</v>
      </c>
      <c r="Y156" s="1439">
        <f t="shared" ca="1" si="69"/>
        <v>278</v>
      </c>
      <c r="Z156" s="1439">
        <f t="shared" ca="1" si="70"/>
        <v>7.5751408237392983</v>
      </c>
      <c r="AA156" s="1439">
        <f t="shared" ca="1" si="71"/>
        <v>0</v>
      </c>
      <c r="AB156" s="1439">
        <f t="shared" ca="1" si="72"/>
        <v>48</v>
      </c>
      <c r="AC156" s="1438">
        <f t="shared" ca="1" si="73"/>
        <v>0</v>
      </c>
      <c r="AD156" s="1438">
        <f ca="1">IF(B156&gt;=$J$5,0,CONTADORES!H156-CONTADORES!H155)</f>
        <v>0</v>
      </c>
      <c r="AE156" s="1439">
        <f ca="1">IF(B156&gt;=$J$5,0,CONTADORES!J156-CONTADORES!J155)</f>
        <v>0</v>
      </c>
      <c r="AF156" s="1438">
        <f ca="1">IF(B156&gt;=$J$5,0,CONTADORES!AS156-CONTADORES!AS155)</f>
        <v>153</v>
      </c>
      <c r="AG156" s="1439">
        <f ca="1">IF(B156&gt;=$J$5,0,CONTADORES!AU156-CONTADORES!AU155)</f>
        <v>24</v>
      </c>
      <c r="AH156" s="1439">
        <f ca="1">IF(B156&gt;=$J$5,0,(CONTADORES!AK156-CONTADORES!AK155)+(CONTADORES!K156-CONTADORES!K155))</f>
        <v>16.299999999995634</v>
      </c>
      <c r="AI156" s="1438">
        <f ca="1">IF(B156&gt;=$J$5,0,(CONTADORES!AI156-CONTADORES!AI155)+(CONTADORES!M156-CONTADORES!M155))</f>
        <v>34</v>
      </c>
      <c r="AJ156" s="1438">
        <f ca="1">IF(B156&gt;=$J$5,0,(CONTADORES!AG156-CONTADORES!AG155))</f>
        <v>7.6999999999970896</v>
      </c>
      <c r="AK156" s="1438">
        <f ca="1">IF(B156&gt;=$J$5,0,(CONTADORES!O156-CONTADORES!O155))</f>
        <v>12</v>
      </c>
      <c r="AL156" s="1439">
        <f t="shared" ca="1" si="74"/>
        <v>27.500000000007276</v>
      </c>
      <c r="AM156" s="1438">
        <f ca="1">IF(B156&gt;=$J$5,0,(((CONTADORES!F156-CONTADORES!F155)+(CONTADORES!AO156-CONTADORES!AO155))))-BJ156-AF156-AN156-BM156-BP156-BU156-BS156</f>
        <v>9.6729999999989094</v>
      </c>
      <c r="AN156" s="1438">
        <f ca="1">IF(B156&gt;=$J$5,0,(CONTADORES!AV156-CONTADORES!AV155)+(CONTADORES!AX156-CONTADORES!AX155)+(CONTADORES!BC156-CONTADORES!BC155))-BS156</f>
        <v>4.2280000000007281</v>
      </c>
      <c r="AO156" s="1438">
        <f ca="1">IF(B156&gt;=$J$5,0,(CONTADORES!AA156-CONTADORES!AA155))</f>
        <v>94</v>
      </c>
      <c r="AP156" s="1438">
        <f ca="1">IF(B156&gt;=$J$5,0,(CONTADORES!V156-CONTADORES!V155))</f>
        <v>44</v>
      </c>
      <c r="AQ156" s="1438">
        <f ca="1">IF(B156&gt;=$J$5,0,(CONTADORES!C156-CONTADORES!C155))</f>
        <v>0</v>
      </c>
      <c r="AR156" s="1438">
        <f ca="1">IF(B156&gt;=$J$5,0,(CONTADORES!BA156-CONTADORES!BA155))</f>
        <v>0</v>
      </c>
      <c r="AS156" s="1438">
        <f ca="1">IF(B156&gt;=$J$5,0,CONTADORES!Q156-CONTADORES!Q155)</f>
        <v>15</v>
      </c>
      <c r="AT156" s="1438">
        <f ca="1">IF(B156&gt;=$J$5,0,(CONTADORES!S156-CONTADORES!S155)+(CONTADORES!AE156-CONTADORES!AE155))</f>
        <v>2.4000000000014552</v>
      </c>
      <c r="AU156" s="1438">
        <f ca="1">IF(B156&gt;=$J$5,0,(CONTADORES!I156-CONTADORES!I155))</f>
        <v>0</v>
      </c>
      <c r="AV156" s="1438">
        <f ca="1">IF(B156&gt;=$J$5,0,(CONTADORES!AT156-CONTADORES!AT155))</f>
        <v>66</v>
      </c>
      <c r="AW156" s="1438">
        <f ca="1">IF(B156&gt;=$J$5,0,(CONTADORES!L156-CONTADORES!L155)+(CONTADORES!AL156-CONTADORES!AL155))</f>
        <v>5.1000000000003638</v>
      </c>
      <c r="AX156" s="1438">
        <f ca="1">IF(B156&gt;=$J$5,0,(CONTADORES!N156-CONTADORES!N155)+(CONTADORES!AJ156-CONTADORES!AJ155))</f>
        <v>28.80000000000291</v>
      </c>
      <c r="AY156" s="1438">
        <f ca="1">IF(B156&gt;=$J$5,0,(CONTADORES!AH156-CONTADORES!AH155))</f>
        <v>5.9000000000014552</v>
      </c>
      <c r="AZ156" s="1438">
        <f ca="1">IF(B156&gt;=$J$5,0,(CONTADORES!P156-CONTADORES!P155))</f>
        <v>8</v>
      </c>
      <c r="BA156" s="1439">
        <f t="shared" ca="1" si="75"/>
        <v>5.744999999995656</v>
      </c>
      <c r="BB156" s="1438">
        <f ca="1">IF(B156&gt;=$J$5,0,(((CONTADORES!G156-CONTADORES!G155)+(CONTADORES!AP156-CONTADORES!AP155)+AR156)-(AV156+BC156)))</f>
        <v>9.6000000000003638</v>
      </c>
      <c r="BC156" s="1438">
        <f ca="1">IF(B156&gt;=$J$5,0,(CONTADORES!AW156-CONTADORES!AW155)+(CONTADORES!AY156-CONTADORES!AY155)+(CONTADORES!BD156-CONTADORES!BD155))</f>
        <v>2.5</v>
      </c>
      <c r="BD156" s="1438">
        <f t="shared" ca="1" si="76"/>
        <v>138</v>
      </c>
      <c r="BE156" s="1439">
        <f ca="1">IF($B156&gt;=$J$5,0,CONTADORES!$BE156)</f>
        <v>5650.24</v>
      </c>
      <c r="BF156" s="1438">
        <f ca="1">IF($B156&gt;=$J$5,0,CONTADORES!$BF156)</f>
        <v>30304.161403508799</v>
      </c>
      <c r="BG156" s="1438">
        <f ca="1">IF($B156&gt;=$J$5,0,CONTADORES!$BH156)</f>
        <v>6422.38</v>
      </c>
      <c r="BH156" s="1438">
        <f ca="1">IF(B156&gt;=$J$5,0,(CONTADORES!AQ156-CONTADORES!AQ155))</f>
        <v>5</v>
      </c>
      <c r="BI156" s="1438">
        <f ca="1">IF(B156&gt;=$J$5,0,(CONTADORES!AR156-CONTADORES!AR155))</f>
        <v>0</v>
      </c>
      <c r="BJ156" s="1439">
        <f ca="1">IF(B156&gt;=$J$5,0,CONTADORES!BI156-CONTADORES!BI155)/1000</f>
        <v>2</v>
      </c>
      <c r="BK156" s="1439">
        <f ca="1">IF(B156&gt;=$J$5,0,CONTADORES!BJ156-CONTADORES!BJ155)</f>
        <v>1</v>
      </c>
      <c r="BL156" s="1439">
        <f ca="1">IF(B156&gt;=$J$5,0,CONTADORES!BK156-CONTADORES!BK155)</f>
        <v>24</v>
      </c>
      <c r="BM156" s="1439">
        <f ca="1">IF(B156&gt;=$J$5,0,CONTADORES!BL156-CONTADORES!BL155)/1000</f>
        <v>4.0270000000000001</v>
      </c>
      <c r="BN156" s="1439">
        <f ca="1">IF(B156&gt;=$J$5,0,CONTADORES!BM156-CONTADORES!BM155)/1000</f>
        <v>0.23599999999999999</v>
      </c>
      <c r="BO156" s="1439">
        <f ca="1">IF(B156&gt;=$J$5,0,CONTADORES!BN156-CONTADORES!BN155)</f>
        <v>24</v>
      </c>
      <c r="BP156" s="1439">
        <f ca="1">IF(B156&gt;=$J$5,0,CONTADORES!BO156-CONTADORES!BO155)/1000</f>
        <v>0</v>
      </c>
      <c r="BQ156" s="1439">
        <f ca="1">IF(B156&gt;=$J$5,0,CONTADORES!BP156-CONTADORES!BP155)/1000</f>
        <v>0</v>
      </c>
      <c r="BR156" s="1439">
        <f ca="1">IF(B156&gt;=$J$5,0,CONTADORES!BQ156-CONTADORES!BQ155)</f>
        <v>0</v>
      </c>
      <c r="BS156" s="1439">
        <f ca="1">IF(B156&gt;=$J$5,0,(CONTADORES!BT156-CONTADORES!BT155)+(CONTADORES!BV156-CONTADORES!BV155))/1000</f>
        <v>1.472</v>
      </c>
      <c r="BT156" s="1439">
        <f ca="1">IF(B156&gt;=$J$5,0,(CONTADORES!BU156-CONTADORES!BU155)+(CONTADORES!BW156-CONTADORES!BW155))/1000</f>
        <v>0.81899999999999995</v>
      </c>
      <c r="BU156" s="1439">
        <f ca="1">IF(B156&gt;=$J$5,0,CONTADORES!BR156-CONTADORES!BR155)</f>
        <v>6.1000000000003638</v>
      </c>
      <c r="BV156" s="1439">
        <f ca="1">IF(B156&gt;=$J$5,0,CONTADORES!BS156-CONTADORES!BS155)</f>
        <v>4.2999999999992724</v>
      </c>
      <c r="BW156" s="1439">
        <f t="shared" ca="1" si="77"/>
        <v>10.936499999999818</v>
      </c>
      <c r="BX156" s="1439">
        <f t="shared" ca="1" si="78"/>
        <v>9.0999999999994543</v>
      </c>
      <c r="BY156" s="1439">
        <f t="shared" ca="1" si="79"/>
        <v>4.8364999999994547</v>
      </c>
      <c r="BZ156" s="1439">
        <f t="shared" ca="1" si="80"/>
        <v>1.6912000000002914</v>
      </c>
      <c r="CA156" s="1439">
        <f t="shared" ca="1" si="81"/>
        <v>4.8364999999994547</v>
      </c>
      <c r="CB156" s="1439">
        <f t="shared" ca="1" si="82"/>
        <v>2.5368000000004365</v>
      </c>
      <c r="CC156" s="1439">
        <f t="shared" ca="1" si="83"/>
        <v>3.1632000000002911</v>
      </c>
      <c r="CD156" s="1439">
        <f t="shared" ca="1" si="84"/>
        <v>4.8000000000001819</v>
      </c>
      <c r="CE156" s="1439">
        <f ca="1">IF(B156&gt;=$J$5,0,CONTADORES!BS156-CONTADORES!BS155)</f>
        <v>4.2999999999992724</v>
      </c>
      <c r="CF156" s="1439">
        <f t="shared" ca="1" si="85"/>
        <v>4.8000000000001819</v>
      </c>
      <c r="CG156" s="1439">
        <f t="shared" ca="1" si="86"/>
        <v>1.25</v>
      </c>
      <c r="CH156" s="1439">
        <f t="shared" ca="1" si="87"/>
        <v>1.25</v>
      </c>
      <c r="CI156" s="1439">
        <f t="shared" ca="1" si="88"/>
        <v>2.069</v>
      </c>
      <c r="CJ156" s="1488">
        <f ca="1">IF($B156&gt;=$J$5,0,CONTADORES!$BG156)</f>
        <v>7638.2416962937396</v>
      </c>
      <c r="CK156" s="1406">
        <f>CONTADORES!E156</f>
        <v>0</v>
      </c>
      <c r="CL156" s="1406">
        <f>CONTADORES!BX156</f>
        <v>0</v>
      </c>
    </row>
    <row r="157" spans="2:90">
      <c r="B157" s="410">
        <v>45073</v>
      </c>
      <c r="C157" s="204">
        <f t="shared" ca="1" si="64"/>
        <v>222</v>
      </c>
      <c r="D157" s="202">
        <f ca="1">'CALCULO DE GAS'!D166</f>
        <v>4.4977297838962915</v>
      </c>
      <c r="E157" s="202">
        <f ca="1">IF(B157&gt;=$J$5,0,(CONTADORES!$AB157-CONTADORES!$AB156)-$H157)</f>
        <v>24</v>
      </c>
      <c r="F157" s="204">
        <f t="shared" ca="1" si="90"/>
        <v>0</v>
      </c>
      <c r="G157" s="202">
        <f ca="1">IF(B157&gt;=$J$5,0,CONTADORES!$AD157-CONTADORES!$AD156)</f>
        <v>0</v>
      </c>
      <c r="H157" s="202">
        <f ca="1">IF(G157&gt;0,CONTADORES!$AC157-CONTADORES!$AC156,0)</f>
        <v>0</v>
      </c>
      <c r="I157" s="205">
        <f ca="1">IF(B157&gt;=$J$5,0,CONTADORES!$Z157-CONTADORES!$Z156)</f>
        <v>222</v>
      </c>
      <c r="J157" s="204">
        <f t="shared" ca="1" si="65"/>
        <v>101</v>
      </c>
      <c r="K157" s="202">
        <f ca="1">'CALCULO DE GAS'!E166</f>
        <v>3.46243720539962</v>
      </c>
      <c r="L157" s="1437">
        <f ca="1">IF(B157&gt;=$J$5,0,(CONTADORES!$W157-CONTADORES!$W156)-$O157)</f>
        <v>24</v>
      </c>
      <c r="M157" s="1437">
        <f t="shared" ca="1" si="89"/>
        <v>0</v>
      </c>
      <c r="N157" s="1437">
        <f ca="1">IF(B157&gt;=$J$5,0,CONTADORES!$Y157-CONTADORES!$Y156)</f>
        <v>0</v>
      </c>
      <c r="O157" s="1437">
        <f ca="1">IF(N157&gt;0,CONTADORES!$X157-CONTADORES!$X156,0)</f>
        <v>0</v>
      </c>
      <c r="P157" s="208">
        <f ca="1">IF(B157&gt;=$J$5,0,CONTADORES!$U157-CONTADORES!$U156)</f>
        <v>101</v>
      </c>
      <c r="Q157" s="208">
        <f ca="1">IF(B157&gt;=$J$5,0,CONTADORES!$B157-CONTADORES!$B156)</f>
        <v>0</v>
      </c>
      <c r="R157" s="202">
        <f t="shared" ca="1" si="66"/>
        <v>0</v>
      </c>
      <c r="S157" s="11">
        <f ca="1">IF(B157&gt;=$J$5,0,CONTADORES!$D157-CONTADORES!$D156)</f>
        <v>0</v>
      </c>
      <c r="T157" s="204">
        <f ca="1">IF(B157&gt;=$J$5,0,CONTADORES!$AZ157-CONTADORES!$AZ156)</f>
        <v>0</v>
      </c>
      <c r="U157" s="202">
        <f t="shared" ca="1" si="61"/>
        <v>0</v>
      </c>
      <c r="V157" s="205">
        <f ca="1">IF(B157&gt;=$J$5,0,CONTADORES!$BB157-CONTADORES!$BB156)</f>
        <v>0</v>
      </c>
      <c r="W157" s="1438">
        <f t="shared" ca="1" si="67"/>
        <v>323</v>
      </c>
      <c r="X157" s="1438">
        <f t="shared" ca="1" si="68"/>
        <v>0</v>
      </c>
      <c r="Y157" s="1439">
        <f t="shared" ca="1" si="69"/>
        <v>323</v>
      </c>
      <c r="Z157" s="1439">
        <f t="shared" ca="1" si="70"/>
        <v>7.9601669892959119</v>
      </c>
      <c r="AA157" s="1439">
        <f t="shared" ca="1" si="71"/>
        <v>0</v>
      </c>
      <c r="AB157" s="1439">
        <f t="shared" ca="1" si="72"/>
        <v>48</v>
      </c>
      <c r="AC157" s="1438">
        <f t="shared" ca="1" si="73"/>
        <v>0</v>
      </c>
      <c r="AD157" s="1438">
        <f ca="1">IF(B157&gt;=$J$5,0,CONTADORES!H157-CONTADORES!H156)</f>
        <v>43</v>
      </c>
      <c r="AE157" s="1439">
        <f ca="1">IF(B157&gt;=$J$5,0,CONTADORES!J157-CONTADORES!J156)</f>
        <v>6</v>
      </c>
      <c r="AF157" s="1438">
        <f ca="1">IF(B157&gt;=$J$5,0,CONTADORES!AS157-CONTADORES!AS156)</f>
        <v>158</v>
      </c>
      <c r="AG157" s="1439">
        <f ca="1">IF(B157&gt;=$J$5,0,CONTADORES!AU157-CONTADORES!AU156)</f>
        <v>24</v>
      </c>
      <c r="AH157" s="1439">
        <f ca="1">IF(B157&gt;=$J$5,0,(CONTADORES!AK157-CONTADORES!AK156)+(CONTADORES!K157-CONTADORES!K156))</f>
        <v>9.5</v>
      </c>
      <c r="AI157" s="1438">
        <f ca="1">IF(B157&gt;=$J$5,0,(CONTADORES!AI157-CONTADORES!AI156)+(CONTADORES!M157-CONTADORES!M156))</f>
        <v>34.19999999999709</v>
      </c>
      <c r="AJ157" s="1438">
        <f ca="1">IF(B157&gt;=$J$5,0,(CONTADORES!AG157-CONTADORES!AG156))</f>
        <v>8.3999999999941792</v>
      </c>
      <c r="AK157" s="1438">
        <f ca="1">IF(B157&gt;=$J$5,0,(CONTADORES!O157-CONTADORES!O156))</f>
        <v>9</v>
      </c>
      <c r="AL157" s="1439">
        <f t="shared" ca="1" si="74"/>
        <v>32.500000000010914</v>
      </c>
      <c r="AM157" s="1438">
        <f ca="1">IF(B157&gt;=$J$5,0,(((CONTADORES!F157-CONTADORES!F156)+(CONTADORES!AO157-CONTADORES!AO156))))-BJ157-AF157-AN157-BM157-BP157-BU157-BS157</f>
        <v>8.2499999999991953</v>
      </c>
      <c r="AN157" s="1438">
        <f ca="1">IF(B157&gt;=$J$5,0,(CONTADORES!AV157-CONTADORES!AV156)+(CONTADORES!AX157-CONTADORES!AX156)+(CONTADORES!BC157-CONTADORES!BC156))-BS157</f>
        <v>4.8189999999993471</v>
      </c>
      <c r="AO157" s="1438">
        <f ca="1">IF(B157&gt;=$J$5,0,(CONTADORES!AA157-CONTADORES!AA156))</f>
        <v>106</v>
      </c>
      <c r="AP157" s="1438">
        <f ca="1">IF(B157&gt;=$J$5,0,(CONTADORES!V157-CONTADORES!V156))</f>
        <v>54</v>
      </c>
      <c r="AQ157" s="1438">
        <f ca="1">IF(B157&gt;=$J$5,0,(CONTADORES!C157-CONTADORES!C156))</f>
        <v>0</v>
      </c>
      <c r="AR157" s="1438">
        <f ca="1">IF(B157&gt;=$J$5,0,(CONTADORES!BA157-CONTADORES!BA156))</f>
        <v>0</v>
      </c>
      <c r="AS157" s="1438">
        <f ca="1">IF(B157&gt;=$J$5,0,CONTADORES!Q157-CONTADORES!Q156)</f>
        <v>14</v>
      </c>
      <c r="AT157" s="1438">
        <f ca="1">IF(B157&gt;=$J$5,0,(CONTADORES!S157-CONTADORES!S156)+(CONTADORES!AE157-CONTADORES!AE156))</f>
        <v>2.5</v>
      </c>
      <c r="AU157" s="1438">
        <f ca="1">IF(B157&gt;=$J$5,0,(CONTADORES!I157-CONTADORES!I156))</f>
        <v>21.400000000000091</v>
      </c>
      <c r="AV157" s="1438">
        <f ca="1">IF(B157&gt;=$J$5,0,(CONTADORES!AT157-CONTADORES!AT156))</f>
        <v>68</v>
      </c>
      <c r="AW157" s="1438">
        <f ca="1">IF(B157&gt;=$J$5,0,(CONTADORES!L157-CONTADORES!L156)+(CONTADORES!AL157-CONTADORES!AL156))</f>
        <v>3.0999999999985448</v>
      </c>
      <c r="AX157" s="1438">
        <f ca="1">IF(B157&gt;=$J$5,0,(CONTADORES!N157-CONTADORES!N156)+(CONTADORES!AJ157-CONTADORES!AJ156))</f>
        <v>28.900000000001455</v>
      </c>
      <c r="AY157" s="1438">
        <f ca="1">IF(B157&gt;=$J$5,0,(CONTADORES!AH157-CONTADORES!AH156))</f>
        <v>6.5</v>
      </c>
      <c r="AZ157" s="1438">
        <f ca="1">IF(B157&gt;=$J$5,0,(CONTADORES!P157-CONTADORES!P156))</f>
        <v>7</v>
      </c>
      <c r="BA157" s="1439">
        <f t="shared" ca="1" si="75"/>
        <v>7.2469999999995593</v>
      </c>
      <c r="BB157" s="1438">
        <f ca="1">IF(B157&gt;=$J$5,0,(((CONTADORES!G157-CONTADORES!G156)+(CONTADORES!AP157-CONTADORES!AP156)+AR157)-(AV157+BC157)))</f>
        <v>8.4300000000001774</v>
      </c>
      <c r="BC157" s="1438">
        <f ca="1">IF(B157&gt;=$J$5,0,(CONTADORES!AW157-CONTADORES!AW156)+(CONTADORES!AY157-CONTADORES!AY156)+(CONTADORES!BD157-CONTADORES!BD156))</f>
        <v>2.8700000000000045</v>
      </c>
      <c r="BD157" s="1438">
        <f t="shared" ca="1" si="76"/>
        <v>160</v>
      </c>
      <c r="BE157" s="1439">
        <f ca="1">IF($B157&gt;=$J$5,0,CONTADORES!$BE157)</f>
        <v>5505.11</v>
      </c>
      <c r="BF157" s="1438">
        <f ca="1">IF($B157&gt;=$J$5,0,CONTADORES!$BF157)</f>
        <v>31047.6754385965</v>
      </c>
      <c r="BG157" s="1438">
        <f ca="1">IF($B157&gt;=$J$5,0,CONTADORES!$BH157)</f>
        <v>7784.51</v>
      </c>
      <c r="BH157" s="1438">
        <f ca="1">IF(B157&gt;=$J$5,0,(CONTADORES!AQ157-CONTADORES!AQ156))</f>
        <v>5</v>
      </c>
      <c r="BI157" s="1438">
        <f ca="1">IF(B157&gt;=$J$5,0,(CONTADORES!AR157-CONTADORES!AR156))</f>
        <v>0</v>
      </c>
      <c r="BJ157" s="1439">
        <f ca="1">IF(B157&gt;=$J$5,0,CONTADORES!BI157-CONTADORES!BI156)/1000</f>
        <v>3</v>
      </c>
      <c r="BK157" s="1439">
        <f ca="1">IF(B157&gt;=$J$5,0,CONTADORES!BJ157-CONTADORES!BJ156)</f>
        <v>1</v>
      </c>
      <c r="BL157" s="1439">
        <f ca="1">IF(B157&gt;=$J$5,0,CONTADORES!BK157-CONTADORES!BK156)</f>
        <v>24</v>
      </c>
      <c r="BM157" s="1439">
        <f ca="1">IF(B157&gt;=$J$5,0,CONTADORES!BL157-CONTADORES!BL156)/1000</f>
        <v>4.57</v>
      </c>
      <c r="BN157" s="1439">
        <f ca="1">IF(B157&gt;=$J$5,0,CONTADORES!BM157-CONTADORES!BM156)/1000</f>
        <v>0.44600000000000001</v>
      </c>
      <c r="BO157" s="1439">
        <f ca="1">IF(B157&gt;=$J$5,0,CONTADORES!BN157-CONTADORES!BN156)</f>
        <v>24</v>
      </c>
      <c r="BP157" s="1439">
        <f ca="1">IF(B157&gt;=$J$5,0,CONTADORES!BO157-CONTADORES!BO156)/1000</f>
        <v>0</v>
      </c>
      <c r="BQ157" s="1439">
        <f ca="1">IF(B157&gt;=$J$5,0,CONTADORES!BP157-CONTADORES!BP156)/1000</f>
        <v>0</v>
      </c>
      <c r="BR157" s="1439">
        <f ca="1">IF(B157&gt;=$J$5,0,CONTADORES!BQ157-CONTADORES!BQ156)</f>
        <v>0</v>
      </c>
      <c r="BS157" s="1439">
        <f ca="1">IF(B157&gt;=$J$5,0,(CONTADORES!BT157-CONTADORES!BT156)+(CONTADORES!BV157-CONTADORES!BV156))/1000</f>
        <v>1.4610000000000001</v>
      </c>
      <c r="BT157" s="1439">
        <f ca="1">IF(B157&gt;=$J$5,0,(CONTADORES!BU157-CONTADORES!BU156)+(CONTADORES!BW157-CONTADORES!BW156))/1000</f>
        <v>0.80700000000000005</v>
      </c>
      <c r="BU157" s="1439">
        <f ca="1">IF(B157&gt;=$J$5,0,CONTADORES!BR157-CONTADORES!BR156)</f>
        <v>6.2999999999992724</v>
      </c>
      <c r="BV157" s="1439">
        <f ca="1">IF(B157&gt;=$J$5,0,CONTADORES!BS157-CONTADORES!BS156)</f>
        <v>4.3000000000001819</v>
      </c>
      <c r="BW157" s="1439">
        <f t="shared" ca="1" si="77"/>
        <v>10.424999999998871</v>
      </c>
      <c r="BX157" s="1439">
        <f t="shared" ca="1" si="78"/>
        <v>8.5150000000002706</v>
      </c>
      <c r="BY157" s="1439">
        <f t="shared" ca="1" si="79"/>
        <v>4.1249999999995977</v>
      </c>
      <c r="BZ157" s="1439">
        <f t="shared" ca="1" si="80"/>
        <v>1.9275999999997389</v>
      </c>
      <c r="CA157" s="1439">
        <f t="shared" ca="1" si="81"/>
        <v>4.1249999999995977</v>
      </c>
      <c r="CB157" s="1439">
        <f t="shared" ca="1" si="82"/>
        <v>2.8913999999996083</v>
      </c>
      <c r="CC157" s="1439">
        <f t="shared" ca="1" si="83"/>
        <v>3.3885999999997392</v>
      </c>
      <c r="CD157" s="1439">
        <f t="shared" ca="1" si="84"/>
        <v>4.2150000000000887</v>
      </c>
      <c r="CE157" s="1439">
        <f ca="1">IF(B157&gt;=$J$5,0,CONTADORES!BS157-CONTADORES!BS156)</f>
        <v>4.3000000000001819</v>
      </c>
      <c r="CF157" s="1439">
        <f t="shared" ca="1" si="85"/>
        <v>4.2150000000000887</v>
      </c>
      <c r="CG157" s="1439">
        <f t="shared" ca="1" si="86"/>
        <v>1.4350000000000023</v>
      </c>
      <c r="CH157" s="1439">
        <f t="shared" ca="1" si="87"/>
        <v>1.4350000000000023</v>
      </c>
      <c r="CI157" s="1439">
        <f t="shared" ca="1" si="88"/>
        <v>2.2420000000000022</v>
      </c>
      <c r="CJ157" s="1488">
        <f ca="1">IF($B157&gt;=$J$5,0,CONTADORES!$BG157)</f>
        <v>7472.8917644138301</v>
      </c>
      <c r="CK157" s="1406">
        <f>CONTADORES!E157</f>
        <v>0</v>
      </c>
      <c r="CL157" s="1406">
        <f>CONTADORES!BX157</f>
        <v>0</v>
      </c>
    </row>
    <row r="158" spans="2:90">
      <c r="B158" s="410">
        <v>45074</v>
      </c>
      <c r="C158" s="204">
        <f t="shared" ca="1" si="64"/>
        <v>309</v>
      </c>
      <c r="D158" s="202">
        <f ca="1">'CALCULO DE GAS'!D167</f>
        <v>5.2421137039724091</v>
      </c>
      <c r="E158" s="202">
        <f ca="1">IF(B158&gt;=$J$5,0,(CONTADORES!$AB158-CONTADORES!$AB157)-$H158)</f>
        <v>24</v>
      </c>
      <c r="F158" s="204">
        <f t="shared" ca="1" si="90"/>
        <v>0</v>
      </c>
      <c r="G158" s="202">
        <f ca="1">IF(B158&gt;=$J$5,0,CONTADORES!$AD158-CONTADORES!$AD157)</f>
        <v>0</v>
      </c>
      <c r="H158" s="202">
        <f ca="1">IF(G158&gt;0,CONTADORES!$AC158-CONTADORES!$AC157,0)</f>
        <v>0</v>
      </c>
      <c r="I158" s="205">
        <f ca="1">IF(B158&gt;=$J$5,0,CONTADORES!$Z158-CONTADORES!$Z157)</f>
        <v>309</v>
      </c>
      <c r="J158" s="204">
        <f t="shared" ca="1" si="65"/>
        <v>144.59999999999854</v>
      </c>
      <c r="K158" s="202">
        <f ca="1">'CALCULO DE GAS'!E167</f>
        <v>3.8354847791389037</v>
      </c>
      <c r="L158" s="1437">
        <f ca="1">IF(B158&gt;=$J$5,0,(CONTADORES!$W158-CONTADORES!$W157)-$O158)</f>
        <v>24</v>
      </c>
      <c r="M158" s="1437">
        <f t="shared" ca="1" si="89"/>
        <v>0</v>
      </c>
      <c r="N158" s="1437">
        <f ca="1">IF(B158&gt;=$J$5,0,CONTADORES!$Y158-CONTADORES!$Y157)</f>
        <v>0</v>
      </c>
      <c r="O158" s="1437">
        <f ca="1">IF(N158&gt;0,CONTADORES!$X158-CONTADORES!$X157,0)</f>
        <v>0</v>
      </c>
      <c r="P158" s="208">
        <f ca="1">IF(B158&gt;=$J$5,0,CONTADORES!$U158-CONTADORES!$U157)</f>
        <v>144.59999999999854</v>
      </c>
      <c r="Q158" s="208">
        <f ca="1">IF(B158&gt;=$J$5,0,CONTADORES!$B158-CONTADORES!$B157)</f>
        <v>0</v>
      </c>
      <c r="R158" s="202">
        <f t="shared" ca="1" si="66"/>
        <v>0</v>
      </c>
      <c r="S158" s="11">
        <f ca="1">IF(B158&gt;=$J$5,0,CONTADORES!$D158-CONTADORES!$D157)</f>
        <v>0</v>
      </c>
      <c r="T158" s="204">
        <f ca="1">IF(B158&gt;=$J$5,0,CONTADORES!$AZ158-CONTADORES!$AZ157)</f>
        <v>0</v>
      </c>
      <c r="U158" s="202">
        <f t="shared" ca="1" si="61"/>
        <v>0</v>
      </c>
      <c r="V158" s="205">
        <f ca="1">IF(B158&gt;=$J$5,0,CONTADORES!$BB158-CONTADORES!$BB157)</f>
        <v>0</v>
      </c>
      <c r="W158" s="1438">
        <f t="shared" ca="1" si="67"/>
        <v>453.59999999999854</v>
      </c>
      <c r="X158" s="1438">
        <f t="shared" ca="1" si="68"/>
        <v>0</v>
      </c>
      <c r="Y158" s="1439">
        <f t="shared" ca="1" si="69"/>
        <v>453.59999999999854</v>
      </c>
      <c r="Z158" s="1439">
        <f t="shared" ca="1" si="70"/>
        <v>9.0775984831113128</v>
      </c>
      <c r="AA158" s="1439">
        <f t="shared" ca="1" si="71"/>
        <v>0</v>
      </c>
      <c r="AB158" s="1439">
        <f t="shared" ca="1" si="72"/>
        <v>48</v>
      </c>
      <c r="AC158" s="1438">
        <f t="shared" ca="1" si="73"/>
        <v>0</v>
      </c>
      <c r="AD158" s="1438">
        <f ca="1">IF(B158&gt;=$J$5,0,CONTADORES!H158-CONTADORES!H157)</f>
        <v>166.16499999999996</v>
      </c>
      <c r="AE158" s="1439">
        <f ca="1">IF(B158&gt;=$J$5,0,CONTADORES!J158-CONTADORES!J157)</f>
        <v>24</v>
      </c>
      <c r="AF158" s="1438">
        <f ca="1">IF(B158&gt;=$J$5,0,CONTADORES!AS158-CONTADORES!AS157)</f>
        <v>155</v>
      </c>
      <c r="AG158" s="1439">
        <f ca="1">IF(B158&gt;=$J$5,0,CONTADORES!AU158-CONTADORES!AU157)</f>
        <v>24</v>
      </c>
      <c r="AH158" s="1439">
        <f ca="1">IF(B158&gt;=$J$5,0,(CONTADORES!AK158-CONTADORES!AK157)+(CONTADORES!K158-CONTADORES!K157))</f>
        <v>11.799999999999272</v>
      </c>
      <c r="AI158" s="1438">
        <f ca="1">IF(B158&gt;=$J$5,0,(CONTADORES!AI158-CONTADORES!AI157)+(CONTADORES!M158-CONTADORES!M157))</f>
        <v>35.19999999999709</v>
      </c>
      <c r="AJ158" s="1438">
        <f ca="1">IF(B158&gt;=$J$5,0,(CONTADORES!AG158-CONTADORES!AG157))</f>
        <v>7.1000000000058208</v>
      </c>
      <c r="AK158" s="1438">
        <f ca="1">IF(B158&gt;=$J$5,0,(CONTADORES!O158-CONTADORES!O157))</f>
        <v>13</v>
      </c>
      <c r="AL158" s="1439">
        <f t="shared" ca="1" si="74"/>
        <v>34.834999999996398</v>
      </c>
      <c r="AM158" s="1438">
        <f ca="1">IF(B158&gt;=$J$5,0,(((CONTADORES!F158-CONTADORES!F157)+(CONTADORES!AO158-CONTADORES!AO157))))-BJ158-AF158-AN158-BM158-BP158-BU158-BS158</f>
        <v>11.207999999998286</v>
      </c>
      <c r="AN158" s="1438">
        <f ca="1">IF(B158&gt;=$J$5,0,(CONTADORES!AV158-CONTADORES!AV157)+(CONTADORES!AX158-CONTADORES!AX157)+(CONTADORES!BC158-CONTADORES!BC157))-BS158</f>
        <v>4.4330000000002734</v>
      </c>
      <c r="AO158" s="1438">
        <f ca="1">IF(B158&gt;=$J$5,0,(CONTADORES!AA158-CONTADORES!AA157))</f>
        <v>145</v>
      </c>
      <c r="AP158" s="1438">
        <f ca="1">IF(B158&gt;=$J$5,0,(CONTADORES!V158-CONTADORES!V157))</f>
        <v>78.700000000000728</v>
      </c>
      <c r="AQ158" s="1438">
        <f ca="1">IF(B158&gt;=$J$5,0,(CONTADORES!C158-CONTADORES!C157))</f>
        <v>0</v>
      </c>
      <c r="AR158" s="1438">
        <f ca="1">IF(B158&gt;=$J$5,0,(CONTADORES!BA158-CONTADORES!BA157))</f>
        <v>0</v>
      </c>
      <c r="AS158" s="1438">
        <f ca="1">IF(B158&gt;=$J$5,0,CONTADORES!Q158-CONTADORES!Q157)</f>
        <v>15</v>
      </c>
      <c r="AT158" s="1438">
        <f ca="1">IF(B158&gt;=$J$5,0,(CONTADORES!S158-CONTADORES!S157)+(CONTADORES!AE158-CONTADORES!AE157))</f>
        <v>2.3999999999941792</v>
      </c>
      <c r="AU158" s="1438">
        <f ca="1">IF(B158&gt;=$J$5,0,(CONTADORES!I158-CONTADORES!I157))</f>
        <v>82.66399999999976</v>
      </c>
      <c r="AV158" s="1438">
        <f ca="1">IF(B158&gt;=$J$5,0,(CONTADORES!AT158-CONTADORES!AT157))</f>
        <v>67</v>
      </c>
      <c r="AW158" s="1438">
        <f ca="1">IF(B158&gt;=$J$5,0,(CONTADORES!L158-CONTADORES!L157)+(CONTADORES!AL158-CONTADORES!AL157))</f>
        <v>4.2999999999992724</v>
      </c>
      <c r="AX158" s="1438">
        <f ca="1">IF(B158&gt;=$J$5,0,(CONTADORES!N158-CONTADORES!N157)+(CONTADORES!AJ158-CONTADORES!AJ157))</f>
        <v>29.69999999999709</v>
      </c>
      <c r="AY158" s="1438">
        <f ca="1">IF(B158&gt;=$J$5,0,(CONTADORES!AH158-CONTADORES!AH157))</f>
        <v>5.3000000000029104</v>
      </c>
      <c r="AZ158" s="1438">
        <f ca="1">IF(B158&gt;=$J$5,0,(CONTADORES!P158-CONTADORES!P157))</f>
        <v>10</v>
      </c>
      <c r="BA158" s="1439">
        <f t="shared" ca="1" si="75"/>
        <v>4.4950000000024204</v>
      </c>
      <c r="BB158" s="1438">
        <f ca="1">IF(B158&gt;=$J$5,0,(((CONTADORES!G158-CONTADORES!G157)+(CONTADORES!AP158-CONTADORES!AP157)+AR158)-(AV158+BC158)))</f>
        <v>10.799999999999272</v>
      </c>
      <c r="BC158" s="1438">
        <f ca="1">IF(B158&gt;=$J$5,0,(CONTADORES!AW158-CONTADORES!AW157)+(CONTADORES!AY158-CONTADORES!AY157)+(CONTADORES!BD158-CONTADORES!BD157))</f>
        <v>2.5</v>
      </c>
      <c r="BD158" s="1438">
        <f t="shared" ca="1" si="76"/>
        <v>223.70000000000073</v>
      </c>
      <c r="BE158" s="1439">
        <f ca="1">IF($B158&gt;=$J$5,0,CONTADORES!$BE158)</f>
        <v>5952.86</v>
      </c>
      <c r="BF158" s="1438">
        <f ca="1">IF($B158&gt;=$J$5,0,CONTADORES!$BF158)</f>
        <v>30759.2929824561</v>
      </c>
      <c r="BG158" s="1438">
        <f ca="1">IF($B158&gt;=$J$5,0,CONTADORES!$BH158)</f>
        <v>7299.22</v>
      </c>
      <c r="BH158" s="1438">
        <f ca="1">IF(B158&gt;=$J$5,0,(CONTADORES!AQ158-CONTADORES!AQ157))</f>
        <v>4.8000000000029104</v>
      </c>
      <c r="BI158" s="1438">
        <f ca="1">IF(B158&gt;=$J$5,0,(CONTADORES!AR158-CONTADORES!AR157))</f>
        <v>0</v>
      </c>
      <c r="BJ158" s="1439">
        <f ca="1">IF(B158&gt;=$J$5,0,CONTADORES!BI158-CONTADORES!BI157)/1000</f>
        <v>2.64</v>
      </c>
      <c r="BK158" s="1439">
        <f ca="1">IF(B158&gt;=$J$5,0,CONTADORES!BJ158-CONTADORES!BJ157)</f>
        <v>1</v>
      </c>
      <c r="BL158" s="1439">
        <f ca="1">IF(B158&gt;=$J$5,0,CONTADORES!BK158-CONTADORES!BK157)</f>
        <v>24</v>
      </c>
      <c r="BM158" s="1439">
        <f ca="1">IF(B158&gt;=$J$5,0,CONTADORES!BL158-CONTADORES!BL157)/1000</f>
        <v>4.5519999999999996</v>
      </c>
      <c r="BN158" s="1439">
        <f ca="1">IF(B158&gt;=$J$5,0,CONTADORES!BM158-CONTADORES!BM157)/1000</f>
        <v>0.73899999999999999</v>
      </c>
      <c r="BO158" s="1439">
        <f ca="1">IF(B158&gt;=$J$5,0,CONTADORES!BN158-CONTADORES!BN157)</f>
        <v>24</v>
      </c>
      <c r="BP158" s="1439">
        <f ca="1">IF(B158&gt;=$J$5,0,CONTADORES!BO158-CONTADORES!BO157)/1000</f>
        <v>0</v>
      </c>
      <c r="BQ158" s="1439">
        <f ca="1">IF(B158&gt;=$J$5,0,CONTADORES!BP158-CONTADORES!BP157)/1000</f>
        <v>0</v>
      </c>
      <c r="BR158" s="1439">
        <f ca="1">IF(B158&gt;=$J$5,0,CONTADORES!BQ158-CONTADORES!BQ157)</f>
        <v>0</v>
      </c>
      <c r="BS158" s="1439">
        <f ca="1">IF(B158&gt;=$J$5,0,(CONTADORES!BT158-CONTADORES!BT157)+(CONTADORES!BV158-CONTADORES!BV157))/1000</f>
        <v>1.2669999999999999</v>
      </c>
      <c r="BT158" s="1439">
        <f ca="1">IF(B158&gt;=$J$5,0,(CONTADORES!BU158-CONTADORES!BU157)+(CONTADORES!BW158-CONTADORES!BW157))/1000</f>
        <v>0.70199999999999996</v>
      </c>
      <c r="BU158" s="1439">
        <f ca="1">IF(B158&gt;=$J$5,0,CONTADORES!BR158-CONTADORES!BR157)</f>
        <v>6.4000000000014552</v>
      </c>
      <c r="BV158" s="1439">
        <f ca="1">IF(B158&gt;=$J$5,0,CONTADORES!BS158-CONTADORES!BS157)</f>
        <v>4.5</v>
      </c>
      <c r="BW158" s="1439">
        <f t="shared" ca="1" si="77"/>
        <v>12.004000000000598</v>
      </c>
      <c r="BX158" s="1439">
        <f t="shared" ca="1" si="78"/>
        <v>9.8999999999996362</v>
      </c>
      <c r="BY158" s="1439">
        <f t="shared" ca="1" si="79"/>
        <v>5.603999999999143</v>
      </c>
      <c r="BZ158" s="1439">
        <f t="shared" ca="1" si="80"/>
        <v>1.7732000000001094</v>
      </c>
      <c r="CA158" s="1439">
        <f t="shared" ca="1" si="81"/>
        <v>5.603999999999143</v>
      </c>
      <c r="CB158" s="1439">
        <f t="shared" ca="1" si="82"/>
        <v>2.659800000000164</v>
      </c>
      <c r="CC158" s="1439">
        <f t="shared" ca="1" si="83"/>
        <v>3.0402000000001093</v>
      </c>
      <c r="CD158" s="1439">
        <f t="shared" ca="1" si="84"/>
        <v>5.3999999999996362</v>
      </c>
      <c r="CE158" s="1439">
        <f ca="1">IF(B158&gt;=$J$5,0,CONTADORES!BS158-CONTADORES!BS157)</f>
        <v>4.5</v>
      </c>
      <c r="CF158" s="1439">
        <f t="shared" ca="1" si="85"/>
        <v>5.3999999999996362</v>
      </c>
      <c r="CG158" s="1439">
        <f t="shared" ca="1" si="86"/>
        <v>1.25</v>
      </c>
      <c r="CH158" s="1439">
        <f t="shared" ca="1" si="87"/>
        <v>1.25</v>
      </c>
      <c r="CI158" s="1439">
        <f t="shared" ca="1" si="88"/>
        <v>1.952</v>
      </c>
      <c r="CJ158" s="1488">
        <f ca="1">IF($B158&gt;=$J$5,0,CONTADORES!$BG158)</f>
        <v>8802.9058723656999</v>
      </c>
      <c r="CK158" s="1406">
        <f>CONTADORES!E158</f>
        <v>0</v>
      </c>
      <c r="CL158" s="1406">
        <f>CONTADORES!BX158</f>
        <v>0</v>
      </c>
    </row>
    <row r="159" spans="2:90">
      <c r="B159" s="410">
        <v>45075</v>
      </c>
      <c r="C159" s="204">
        <f t="shared" ca="1" si="64"/>
        <v>302</v>
      </c>
      <c r="D159" s="202">
        <f ca="1">'CALCULO DE GAS'!D168</f>
        <v>5.1822207448858251</v>
      </c>
      <c r="E159" s="202">
        <f ca="1">IF(B159&gt;=$J$5,0,(CONTADORES!$AB159-CONTADORES!$AB158)-$H159)</f>
        <v>24</v>
      </c>
      <c r="F159" s="204">
        <f t="shared" ca="1" si="90"/>
        <v>0</v>
      </c>
      <c r="G159" s="202">
        <f ca="1">IF(B159&gt;=$J$5,0,CONTADORES!$AD159-CONTADORES!$AD158)</f>
        <v>0</v>
      </c>
      <c r="H159" s="202">
        <f ca="1">IF(G159&gt;0,CONTADORES!$AC159-CONTADORES!$AC158,0)</f>
        <v>0</v>
      </c>
      <c r="I159" s="205">
        <f ca="1">IF(B159&gt;=$J$5,0,CONTADORES!$Z159-CONTADORES!$Z158)</f>
        <v>302</v>
      </c>
      <c r="J159" s="204">
        <f t="shared" ca="1" si="65"/>
        <v>148.30000000000291</v>
      </c>
      <c r="K159" s="202">
        <f ca="1">'CALCULO DE GAS'!E168</f>
        <v>3.867142486084707</v>
      </c>
      <c r="L159" s="1437">
        <f ca="1">IF(B159&gt;=$J$5,0,(CONTADORES!$W159-CONTADORES!$W158)-$O159)</f>
        <v>24</v>
      </c>
      <c r="M159" s="1437">
        <f t="shared" ca="1" si="89"/>
        <v>0</v>
      </c>
      <c r="N159" s="1437">
        <f ca="1">IF(B159&gt;=$J$5,0,CONTADORES!$Y159-CONTADORES!$Y158)</f>
        <v>0</v>
      </c>
      <c r="O159" s="1437">
        <f ca="1">IF(N159&gt;0,CONTADORES!$X159-CONTADORES!$X158,0)</f>
        <v>0</v>
      </c>
      <c r="P159" s="208">
        <f ca="1">IF(B159&gt;=$J$5,0,CONTADORES!$U159-CONTADORES!$U158)</f>
        <v>148.30000000000291</v>
      </c>
      <c r="Q159" s="208">
        <f ca="1">IF(B159&gt;=$J$5,0,CONTADORES!$B159-CONTADORES!$B158)</f>
        <v>0</v>
      </c>
      <c r="R159" s="202">
        <f t="shared" ca="1" si="66"/>
        <v>0</v>
      </c>
      <c r="S159" s="11">
        <f ca="1">IF(B159&gt;=$J$5,0,CONTADORES!$D159-CONTADORES!$D158)</f>
        <v>0</v>
      </c>
      <c r="T159" s="204">
        <f ca="1">IF(B159&gt;=$J$5,0,CONTADORES!$AZ159-CONTADORES!$AZ158)</f>
        <v>0</v>
      </c>
      <c r="U159" s="202">
        <f t="shared" ca="1" si="61"/>
        <v>0</v>
      </c>
      <c r="V159" s="205">
        <f ca="1">IF(B159&gt;=$J$5,0,CONTADORES!$BB159-CONTADORES!$BB158)</f>
        <v>0</v>
      </c>
      <c r="W159" s="1438">
        <f t="shared" ca="1" si="67"/>
        <v>450.30000000000291</v>
      </c>
      <c r="X159" s="1438">
        <f t="shared" ca="1" si="68"/>
        <v>0</v>
      </c>
      <c r="Y159" s="1439">
        <f t="shared" ca="1" si="69"/>
        <v>450.30000000000291</v>
      </c>
      <c r="Z159" s="1439">
        <f t="shared" ca="1" si="70"/>
        <v>9.0493632309705312</v>
      </c>
      <c r="AA159" s="1439">
        <f t="shared" ca="1" si="71"/>
        <v>0</v>
      </c>
      <c r="AB159" s="1439">
        <f t="shared" ca="1" si="72"/>
        <v>48</v>
      </c>
      <c r="AC159" s="1438">
        <f t="shared" ca="1" si="73"/>
        <v>0</v>
      </c>
      <c r="AD159" s="1438">
        <f ca="1">IF(B159&gt;=$J$5,0,CONTADORES!H159-CONTADORES!H158)</f>
        <v>164.55599999999959</v>
      </c>
      <c r="AE159" s="1439">
        <f ca="1">IF(B159&gt;=$J$5,0,CONTADORES!J159-CONTADORES!J158)</f>
        <v>24</v>
      </c>
      <c r="AF159" s="1438">
        <f ca="1">IF(B159&gt;=$J$5,0,CONTADORES!AS159-CONTADORES!AS158)</f>
        <v>154</v>
      </c>
      <c r="AG159" s="1439">
        <f ca="1">IF(B159&gt;=$J$5,0,CONTADORES!AU159-CONTADORES!AU158)</f>
        <v>24</v>
      </c>
      <c r="AH159" s="1439">
        <f ca="1">IF(B159&gt;=$J$5,0,(CONTADORES!AK159-CONTADORES!AK158)+(CONTADORES!K159-CONTADORES!K158))</f>
        <v>11</v>
      </c>
      <c r="AI159" s="1438">
        <f ca="1">IF(B159&gt;=$J$5,0,(CONTADORES!AI159-CONTADORES!AI158)+(CONTADORES!M159-CONTADORES!M158))</f>
        <v>35.400000000008731</v>
      </c>
      <c r="AJ159" s="1438">
        <f ca="1">IF(B159&gt;=$J$5,0,(CONTADORES!AG159-CONTADORES!AG158))</f>
        <v>6.5</v>
      </c>
      <c r="AK159" s="1438">
        <f ca="1">IF(B159&gt;=$J$5,0,(CONTADORES!O159-CONTADORES!O158))</f>
        <v>12</v>
      </c>
      <c r="AL159" s="1439">
        <f t="shared" ca="1" si="74"/>
        <v>35.343999999994651</v>
      </c>
      <c r="AM159" s="1438">
        <f ca="1">IF(B159&gt;=$J$5,0,(((CONTADORES!F159-CONTADORES!F158)+(CONTADORES!AO159-CONTADORES!AO158))))-BJ159-AF159-AN159-BM159-BP159-BU159-BS159</f>
        <v>13.812000000001275</v>
      </c>
      <c r="AN159" s="1438">
        <f ca="1">IF(B159&gt;=$J$5,0,(CONTADORES!AV159-CONTADORES!AV158)+(CONTADORES!AX159-CONTADORES!AX158)+(CONTADORES!BC159-CONTADORES!BC158))-BS159</f>
        <v>4.2829999999998183</v>
      </c>
      <c r="AO159" s="1438">
        <f ca="1">IF(B159&gt;=$J$5,0,(CONTADORES!AA159-CONTADORES!AA158))</f>
        <v>147</v>
      </c>
      <c r="AP159" s="1438">
        <f ca="1">IF(B159&gt;=$J$5,0,(CONTADORES!V159-CONTADORES!V158))</f>
        <v>75</v>
      </c>
      <c r="AQ159" s="1438">
        <f ca="1">IF(B159&gt;=$J$5,0,(CONTADORES!C159-CONTADORES!C158))</f>
        <v>0</v>
      </c>
      <c r="AR159" s="1438">
        <f ca="1">IF(B159&gt;=$J$5,0,(CONTADORES!BA159-CONTADORES!BA158))</f>
        <v>0</v>
      </c>
      <c r="AS159" s="1438">
        <f ca="1">IF(B159&gt;=$J$5,0,CONTADORES!Q159-CONTADORES!Q158)</f>
        <v>15</v>
      </c>
      <c r="AT159" s="1438">
        <f ca="1">IF(B159&gt;=$J$5,0,(CONTADORES!S159-CONTADORES!S158)+(CONTADORES!AE159-CONTADORES!AE158))</f>
        <v>2.3700000000008004</v>
      </c>
      <c r="AU159" s="1438">
        <f ca="1">IF(B159&gt;=$J$5,0,(CONTADORES!I159-CONTADORES!I158))</f>
        <v>82.566000000000258</v>
      </c>
      <c r="AV159" s="1438">
        <f ca="1">IF(B159&gt;=$J$5,0,(CONTADORES!AT159-CONTADORES!AT158))</f>
        <v>66</v>
      </c>
      <c r="AW159" s="1438">
        <f ca="1">IF(B159&gt;=$J$5,0,(CONTADORES!L159-CONTADORES!L158)+(CONTADORES!AL159-CONTADORES!AL158))</f>
        <v>4.4000000000014552</v>
      </c>
      <c r="AX159" s="1438">
        <f ca="1">IF(B159&gt;=$J$5,0,(CONTADORES!N159-CONTADORES!N158)+(CONTADORES!AJ159-CONTADORES!AJ158))</f>
        <v>29.900000000001455</v>
      </c>
      <c r="AY159" s="1438">
        <f ca="1">IF(B159&gt;=$J$5,0,(CONTADORES!AH159-CONTADORES!AH158))</f>
        <v>4.6999999999970896</v>
      </c>
      <c r="AZ159" s="1438">
        <f ca="1">IF(B159&gt;=$J$5,0,(CONTADORES!P159-CONTADORES!P158))</f>
        <v>10</v>
      </c>
      <c r="BA159" s="1439">
        <f t="shared" ca="1" si="75"/>
        <v>5.9429999999993868</v>
      </c>
      <c r="BB159" s="1438">
        <f ca="1">IF(B159&gt;=$J$5,0,(((CONTADORES!G159-CONTADORES!G158)+(CONTADORES!AP159-CONTADORES!AP158)+AR159)-(AV159+BC159)))</f>
        <v>10.300000000000182</v>
      </c>
      <c r="BC159" s="1438">
        <f ca="1">IF(B159&gt;=$J$5,0,(CONTADORES!AW159-CONTADORES!AW158)+(CONTADORES!AY159-CONTADORES!AY158)+(CONTADORES!BD159-CONTADORES!BD158))</f>
        <v>2.5</v>
      </c>
      <c r="BD159" s="1438">
        <f t="shared" ca="1" si="76"/>
        <v>222</v>
      </c>
      <c r="BE159" s="1439">
        <f ca="1">IF($B159&gt;=$J$5,0,CONTADORES!$BE159)</f>
        <v>5698.03</v>
      </c>
      <c r="BF159" s="1438">
        <f ca="1">IF($B159&gt;=$J$5,0,CONTADORES!$BF159)</f>
        <v>31638.859649122805</v>
      </c>
      <c r="BG159" s="1438">
        <f ca="1">IF($B159&gt;=$J$5,0,CONTADORES!$BH159)</f>
        <v>5524.079999999999</v>
      </c>
      <c r="BH159" s="1438">
        <f ca="1">IF(B159&gt;=$J$5,0,(CONTADORES!AQ159-CONTADORES!AQ158))</f>
        <v>5.2999999999956344</v>
      </c>
      <c r="BI159" s="1438">
        <f ca="1">IF(B159&gt;=$J$5,0,(CONTADORES!AR159-CONTADORES!AR158))</f>
        <v>0</v>
      </c>
      <c r="BJ159" s="1439">
        <f ca="1">IF(B159&gt;=$J$5,0,CONTADORES!BI159-CONTADORES!BI158)/1000</f>
        <v>0</v>
      </c>
      <c r="BK159" s="1439">
        <f ca="1">IF(B159&gt;=$J$5,0,CONTADORES!BJ159-CONTADORES!BJ158)</f>
        <v>0</v>
      </c>
      <c r="BL159" s="1439">
        <f ca="1">IF(B159&gt;=$J$5,0,CONTADORES!BK159-CONTADORES!BK158)</f>
        <v>13</v>
      </c>
      <c r="BM159" s="1439">
        <f ca="1">IF(B159&gt;=$J$5,0,CONTADORES!BL159-CONTADORES!BL158)/1000</f>
        <v>4.008</v>
      </c>
      <c r="BN159" s="1439">
        <f ca="1">IF(B159&gt;=$J$5,0,CONTADORES!BM159-CONTADORES!BM158)/1000</f>
        <v>0.46300000000000002</v>
      </c>
      <c r="BO159" s="1439">
        <f ca="1">IF(B159&gt;=$J$5,0,CONTADORES!BN159-CONTADORES!BN158)</f>
        <v>24</v>
      </c>
      <c r="BP159" s="1439">
        <f ca="1">IF(B159&gt;=$J$5,0,CONTADORES!BO159-CONTADORES!BO158)/1000</f>
        <v>1.78</v>
      </c>
      <c r="BQ159" s="1439">
        <f ca="1">IF(B159&gt;=$J$5,0,CONTADORES!BP159-CONTADORES!BP158)/1000</f>
        <v>0.152</v>
      </c>
      <c r="BR159" s="1439">
        <f ca="1">IF(B159&gt;=$J$5,0,CONTADORES!BQ159-CONTADORES!BQ158)</f>
        <v>7.6699999999982538</v>
      </c>
      <c r="BS159" s="1439">
        <f ca="1">IF(B159&gt;=$J$5,0,(CONTADORES!BT159-CONTADORES!BT158)+(CONTADORES!BV159-CONTADORES!BV158))/1000</f>
        <v>1.417</v>
      </c>
      <c r="BT159" s="1439">
        <f ca="1">IF(B159&gt;=$J$5,0,(CONTADORES!BU159-CONTADORES!BU158)+(CONTADORES!BW159-CONTADORES!BW158))/1000</f>
        <v>0.77600000000000002</v>
      </c>
      <c r="BU159" s="1439">
        <f ca="1">IF(B159&gt;=$J$5,0,CONTADORES!BR159-CONTADORES!BR158)</f>
        <v>6.1999999999989086</v>
      </c>
      <c r="BV159" s="1439">
        <f ca="1">IF(B159&gt;=$J$5,0,CONTADORES!BS159-CONTADORES!BS158)</f>
        <v>4.3000000000001819</v>
      </c>
      <c r="BW159" s="1439">
        <f t="shared" ca="1" si="77"/>
        <v>13.105999999999547</v>
      </c>
      <c r="BX159" s="1439">
        <f t="shared" ca="1" si="78"/>
        <v>9.4500000000002728</v>
      </c>
      <c r="BY159" s="1439">
        <f t="shared" ca="1" si="79"/>
        <v>6.9060000000006374</v>
      </c>
      <c r="BZ159" s="1439">
        <f t="shared" ca="1" si="80"/>
        <v>1.7131999999999274</v>
      </c>
      <c r="CA159" s="1439">
        <f t="shared" ca="1" si="81"/>
        <v>6.9060000000006374</v>
      </c>
      <c r="CB159" s="1439">
        <f t="shared" ca="1" si="82"/>
        <v>2.5697999999998906</v>
      </c>
      <c r="CC159" s="1439">
        <f t="shared" ca="1" si="83"/>
        <v>3.1301999999999275</v>
      </c>
      <c r="CD159" s="1439">
        <f t="shared" ca="1" si="84"/>
        <v>5.1500000000000909</v>
      </c>
      <c r="CE159" s="1439">
        <f ca="1">IF(B159&gt;=$J$5,0,CONTADORES!BS159-CONTADORES!BS158)</f>
        <v>4.3000000000001819</v>
      </c>
      <c r="CF159" s="1439">
        <f t="shared" ca="1" si="85"/>
        <v>5.1500000000000909</v>
      </c>
      <c r="CG159" s="1439">
        <f t="shared" ca="1" si="86"/>
        <v>1.25</v>
      </c>
      <c r="CH159" s="1439">
        <f t="shared" ca="1" si="87"/>
        <v>1.25</v>
      </c>
      <c r="CI159" s="1439">
        <f t="shared" ca="1" si="88"/>
        <v>2.0259999999999998</v>
      </c>
      <c r="CJ159" s="1488">
        <f ca="1">IF($B159&gt;=$J$5,0,CONTADORES!$BG159)</f>
        <v>8816.8883857459077</v>
      </c>
      <c r="CK159" s="1406">
        <f>CONTADORES!E159</f>
        <v>0</v>
      </c>
      <c r="CL159" s="1406">
        <f>CONTADORES!BX159</f>
        <v>0</v>
      </c>
    </row>
    <row r="160" spans="2:90">
      <c r="B160" s="410">
        <v>45076</v>
      </c>
      <c r="C160" s="204">
        <f t="shared" ca="1" si="64"/>
        <v>307.30000000004657</v>
      </c>
      <c r="D160" s="202">
        <f ca="1">'CALCULO DE GAS'!D169</f>
        <v>5.2275682710517799</v>
      </c>
      <c r="E160" s="202">
        <f ca="1">IF(B160&gt;=$J$5,0,(CONTADORES!$AB160-CONTADORES!$AB159)-$H160)</f>
        <v>24</v>
      </c>
      <c r="F160" s="204">
        <f t="shared" ca="1" si="90"/>
        <v>0</v>
      </c>
      <c r="G160" s="202">
        <f ca="1">IF(B160&gt;=$J$5,0,CONTADORES!$AD160-CONTADORES!$AD159)</f>
        <v>0</v>
      </c>
      <c r="H160" s="202">
        <f ca="1">IF(G160&gt;0,CONTADORES!$AC160-CONTADORES!$AC159,0)</f>
        <v>0</v>
      </c>
      <c r="I160" s="205">
        <f ca="1">IF(B160&gt;=$J$5,0,CONTADORES!$Z160-CONTADORES!$Z159)</f>
        <v>307.30000000004657</v>
      </c>
      <c r="J160" s="204">
        <f t="shared" ca="1" si="65"/>
        <v>151</v>
      </c>
      <c r="K160" s="202">
        <f ca="1">'CALCULO DE GAS'!E169</f>
        <v>3.8902440560180791</v>
      </c>
      <c r="L160" s="1437">
        <f ca="1">IF(B160&gt;=$J$5,0,(CONTADORES!$W160-CONTADORES!$W159)-$O160)</f>
        <v>24</v>
      </c>
      <c r="M160" s="1437">
        <f t="shared" ca="1" si="89"/>
        <v>0</v>
      </c>
      <c r="N160" s="1437">
        <f ca="1">IF(B160&gt;=$J$5,0,CONTADORES!$Y160-CONTADORES!$Y159)</f>
        <v>0</v>
      </c>
      <c r="O160" s="1437">
        <f ca="1">IF(N160&gt;0,CONTADORES!$X160-CONTADORES!$X159,0)</f>
        <v>0</v>
      </c>
      <c r="P160" s="208">
        <f ca="1">IF(B160&gt;=$J$5,0,CONTADORES!$U160-CONTADORES!$U159)</f>
        <v>151</v>
      </c>
      <c r="Q160" s="208">
        <f ca="1">IF(B160&gt;=$J$5,0,CONTADORES!$B160-CONTADORES!$B159)</f>
        <v>0</v>
      </c>
      <c r="R160" s="202">
        <f t="shared" ca="1" si="66"/>
        <v>0</v>
      </c>
      <c r="S160" s="11">
        <f ca="1">IF(B160&gt;=$J$5,0,CONTADORES!$D160-CONTADORES!$D159)</f>
        <v>0</v>
      </c>
      <c r="T160" s="204">
        <f ca="1">IF(B160&gt;=$J$5,0,CONTADORES!$AZ160-CONTADORES!$AZ159)</f>
        <v>0</v>
      </c>
      <c r="U160" s="202">
        <f t="shared" ca="1" si="61"/>
        <v>0</v>
      </c>
      <c r="V160" s="205">
        <f ca="1">IF(B160&gt;=$J$5,0,CONTADORES!$BB160-CONTADORES!$BB159)</f>
        <v>0</v>
      </c>
      <c r="W160" s="1438">
        <f t="shared" ca="1" si="67"/>
        <v>458.30000000004657</v>
      </c>
      <c r="X160" s="1438">
        <f t="shared" ca="1" si="68"/>
        <v>0</v>
      </c>
      <c r="Y160" s="1439">
        <f t="shared" ca="1" si="69"/>
        <v>458.30000000004657</v>
      </c>
      <c r="Z160" s="1439">
        <f t="shared" ca="1" si="70"/>
        <v>9.1178123270698599</v>
      </c>
      <c r="AA160" s="1439">
        <f t="shared" ca="1" si="71"/>
        <v>0</v>
      </c>
      <c r="AB160" s="1439">
        <f t="shared" ca="1" si="72"/>
        <v>48</v>
      </c>
      <c r="AC160" s="1438">
        <f t="shared" ca="1" si="73"/>
        <v>0</v>
      </c>
      <c r="AD160" s="1438">
        <f ca="1">IF(B160&gt;=$J$5,0,CONTADORES!H160-CONTADORES!H159)</f>
        <v>163.8690000000006</v>
      </c>
      <c r="AE160" s="1439">
        <f ca="1">IF(B160&gt;=$J$5,0,CONTADORES!J160-CONTADORES!J159)</f>
        <v>24</v>
      </c>
      <c r="AF160" s="1438">
        <f ca="1">IF(B160&gt;=$J$5,0,CONTADORES!AS160-CONTADORES!AS159)</f>
        <v>160</v>
      </c>
      <c r="AG160" s="1439">
        <f ca="1">IF(B160&gt;=$J$5,0,CONTADORES!AU160-CONTADORES!AU159)</f>
        <v>24</v>
      </c>
      <c r="AH160" s="1439">
        <f ca="1">IF(B160&gt;=$J$5,0,(CONTADORES!AK160-CONTADORES!AK159)+(CONTADORES!K160-CONTADORES!K159))</f>
        <v>11.5</v>
      </c>
      <c r="AI160" s="1438">
        <f ca="1">IF(B160&gt;=$J$5,0,(CONTADORES!AI160-CONTADORES!AI159)+(CONTADORES!M160-CONTADORES!M159))</f>
        <v>35.5</v>
      </c>
      <c r="AJ160" s="1438">
        <f ca="1">IF(B160&gt;=$J$5,0,(CONTADORES!AG160-CONTADORES!AG159))</f>
        <v>7.8000000000029104</v>
      </c>
      <c r="AK160" s="1438">
        <f ca="1">IF(B160&gt;=$J$5,0,(CONTADORES!O160-CONTADORES!O159))</f>
        <v>14.399999999994179</v>
      </c>
      <c r="AL160" s="1439">
        <f t="shared" ca="1" si="74"/>
        <v>35.431000000035056</v>
      </c>
      <c r="AM160" s="1438">
        <f ca="1">IF(B160&gt;=$J$5,0,(((CONTADORES!F160-CONTADORES!F159)+(CONTADORES!AO160-CONTADORES!AO159))))-BJ160-AF160-AN160-BM160-BP160-BU160-BS160</f>
        <v>9.6518000000130932</v>
      </c>
      <c r="AN160" s="1438">
        <f ca="1">IF(B160&gt;=$J$5,0,(CONTADORES!AV160-CONTADORES!AV159)+(CONTADORES!AX160-CONTADORES!AX159)+(CONTADORES!BC160-CONTADORES!BC159))-BS160</f>
        <v>4.3470000000001816</v>
      </c>
      <c r="AO160" s="1438">
        <f ca="1">IF(B160&gt;=$J$5,0,(CONTADORES!AA160-CONTADORES!AA159))</f>
        <v>150.79999999998836</v>
      </c>
      <c r="AP160" s="1438">
        <f ca="1">IF(B160&gt;=$J$5,0,(CONTADORES!V160-CONTADORES!V159))</f>
        <v>77.700000000000728</v>
      </c>
      <c r="AQ160" s="1438">
        <f ca="1">IF(B160&gt;=$J$5,0,(CONTADORES!C160-CONTADORES!C159))</f>
        <v>0</v>
      </c>
      <c r="AR160" s="1438">
        <f ca="1">IF(B160&gt;=$J$5,0,(CONTADORES!BA160-CONTADORES!BA159))</f>
        <v>0</v>
      </c>
      <c r="AS160" s="1438">
        <f ca="1">IF(B160&gt;=$J$5,0,CONTADORES!Q160-CONTADORES!Q159)</f>
        <v>15.600000000005821</v>
      </c>
      <c r="AT160" s="1438">
        <f ca="1">IF(B160&gt;=$J$5,0,(CONTADORES!S160-CONTADORES!S159)+(CONTADORES!AE160-CONTADORES!AE159))</f>
        <v>4.1000000000003638</v>
      </c>
      <c r="AU160" s="1438">
        <f ca="1">IF(B160&gt;=$J$5,0,(CONTADORES!I160-CONTADORES!I159))</f>
        <v>82.869999999999891</v>
      </c>
      <c r="AV160" s="1438">
        <f ca="1">IF(B160&gt;=$J$5,0,(CONTADORES!AT160-CONTADORES!AT159))</f>
        <v>69</v>
      </c>
      <c r="AW160" s="1438">
        <f ca="1">IF(B160&gt;=$J$5,0,(CONTADORES!L160-CONTADORES!L159)+(CONTADORES!AL160-CONTADORES!AL159))</f>
        <v>4.5</v>
      </c>
      <c r="AX160" s="1438">
        <f ca="1">IF(B160&gt;=$J$5,0,(CONTADORES!N160-CONTADORES!N159)+(CONTADORES!AJ160-CONTADORES!AJ159))</f>
        <v>29.900000000001455</v>
      </c>
      <c r="AY160" s="1438">
        <f ca="1">IF(B160&gt;=$J$5,0,(CONTADORES!AH160-CONTADORES!AH159))</f>
        <v>6</v>
      </c>
      <c r="AZ160" s="1438">
        <f ca="1">IF(B160&gt;=$J$5,0,(CONTADORES!P160-CONTADORES!P159))</f>
        <v>11.100000000005821</v>
      </c>
      <c r="BA160" s="1439">
        <f t="shared" ca="1" si="75"/>
        <v>5.2659999999695231</v>
      </c>
      <c r="BB160" s="1438">
        <f ca="1">IF(B160&gt;=$J$5,0,(((CONTADORES!G160-CONTADORES!G159)+(CONTADORES!AP160-CONTADORES!AP159)+AR160)-(AV160+BC160)))</f>
        <v>10.400000000011914</v>
      </c>
      <c r="BC160" s="1438">
        <f ca="1">IF(B160&gt;=$J$5,0,(CONTADORES!AW160-CONTADORES!AW159)+(CONTADORES!AY160-CONTADORES!AY159)+(CONTADORES!BD160-CONTADORES!BD159))</f>
        <v>2.4000000000000909</v>
      </c>
      <c r="BD160" s="1438">
        <f t="shared" ca="1" si="76"/>
        <v>228.49999999998909</v>
      </c>
      <c r="BE160" s="1439">
        <f ca="1">IF($B160&gt;=$J$5,0,CONTADORES!$BE160)</f>
        <v>5968.94</v>
      </c>
      <c r="BF160" s="1438">
        <f ca="1">IF($B160&gt;=$J$5,0,CONTADORES!$BF160)</f>
        <v>30440.475438596499</v>
      </c>
      <c r="BG160" s="1438">
        <f ca="1">IF($B160&gt;=$J$5,0,CONTADORES!$BH160)</f>
        <v>8331.84</v>
      </c>
      <c r="BH160" s="1438">
        <f ca="1">IF(B160&gt;=$J$5,0,(CONTADORES!AQ160-CONTADORES!AQ159))</f>
        <v>5.9000000000014552</v>
      </c>
      <c r="BI160" s="1438">
        <f ca="1">IF(B160&gt;=$J$5,0,(CONTADORES!AR160-CONTADORES!AR159))</f>
        <v>0</v>
      </c>
      <c r="BJ160" s="1439">
        <f ca="1">IF(B160&gt;=$J$5,0,CONTADORES!BI160-CONTADORES!BI159)/1000</f>
        <v>0.83520000000018624</v>
      </c>
      <c r="BK160" s="1439">
        <f ca="1">IF(B160&gt;=$J$5,0,CONTADORES!BJ160-CONTADORES!BJ159)</f>
        <v>1</v>
      </c>
      <c r="BL160" s="1439">
        <f ca="1">IF(B160&gt;=$J$5,0,CONTADORES!BK160-CONTADORES!BK159)</f>
        <v>8.7999999999992724</v>
      </c>
      <c r="BM160" s="1439">
        <f ca="1">IF(B160&gt;=$J$5,0,CONTADORES!BL160-CONTADORES!BL159)/1000</f>
        <v>3.262</v>
      </c>
      <c r="BN160" s="1439">
        <f ca="1">IF(B160&gt;=$J$5,0,CONTADORES!BM160-CONTADORES!BM159)/1000</f>
        <v>0.35299999999999998</v>
      </c>
      <c r="BO160" s="1439">
        <f ca="1">IF(B160&gt;=$J$5,0,CONTADORES!BN160-CONTADORES!BN159)</f>
        <v>23.700000000000728</v>
      </c>
      <c r="BP160" s="1439">
        <f ca="1">IF(B160&gt;=$J$5,0,CONTADORES!BO160-CONTADORES!BO159)/1000</f>
        <v>3.6509999999999998</v>
      </c>
      <c r="BQ160" s="1439">
        <f ca="1">IF(B160&gt;=$J$5,0,CONTADORES!BP160-CONTADORES!BP159)/1000</f>
        <v>0.30599999999999999</v>
      </c>
      <c r="BR160" s="1439">
        <f ca="1">IF(B160&gt;=$J$5,0,CONTADORES!BQ160-CONTADORES!BQ159)</f>
        <v>15.80000000000291</v>
      </c>
      <c r="BS160" s="1439">
        <f ca="1">IF(B160&gt;=$J$5,0,(CONTADORES!BT160-CONTADORES!BT159)+(CONTADORES!BV160-CONTADORES!BV159))/1000</f>
        <v>1.4530000000000001</v>
      </c>
      <c r="BT160" s="1439">
        <f ca="1">IF(B160&gt;=$J$5,0,(CONTADORES!BU160-CONTADORES!BU159)+(CONTADORES!BW160-CONTADORES!BW159))/1000</f>
        <v>0.80500000000000005</v>
      </c>
      <c r="BU160" s="1439">
        <f ca="1">IF(B160&gt;=$J$5,0,CONTADORES!BR160-CONTADORES!BR159)</f>
        <v>6.6000000000003638</v>
      </c>
      <c r="BV160" s="1439">
        <f ca="1">IF(B160&gt;=$J$5,0,CONTADORES!BS160-CONTADORES!BS159)</f>
        <v>4.6000000000003638</v>
      </c>
      <c r="BW160" s="1439">
        <f t="shared" ca="1" si="77"/>
        <v>11.42590000000691</v>
      </c>
      <c r="BX160" s="1439">
        <f t="shared" ca="1" si="78"/>
        <v>9.800000000006321</v>
      </c>
      <c r="BY160" s="1439">
        <f t="shared" ca="1" si="79"/>
        <v>4.8259000000065466</v>
      </c>
      <c r="BZ160" s="1439">
        <f t="shared" ca="1" si="80"/>
        <v>1.7388000000000727</v>
      </c>
      <c r="CA160" s="1439">
        <f t="shared" ca="1" si="81"/>
        <v>4.8259000000065466</v>
      </c>
      <c r="CB160" s="1439">
        <f t="shared" ca="1" si="82"/>
        <v>2.6082000000001089</v>
      </c>
      <c r="CC160" s="1439">
        <f t="shared" ca="1" si="83"/>
        <v>3.1918000000000726</v>
      </c>
      <c r="CD160" s="1439">
        <f t="shared" ca="1" si="84"/>
        <v>5.2000000000059572</v>
      </c>
      <c r="CE160" s="1439">
        <f ca="1">IF(B160&gt;=$J$5,0,CONTADORES!BS160-CONTADORES!BS159)</f>
        <v>4.6000000000003638</v>
      </c>
      <c r="CF160" s="1439">
        <f t="shared" ca="1" si="85"/>
        <v>5.2000000000059572</v>
      </c>
      <c r="CG160" s="1439">
        <f t="shared" ca="1" si="86"/>
        <v>1.2000000000000455</v>
      </c>
      <c r="CH160" s="1439">
        <f t="shared" ca="1" si="87"/>
        <v>1.2000000000000455</v>
      </c>
      <c r="CI160" s="1439">
        <f t="shared" ca="1" si="88"/>
        <v>2.0050000000000456</v>
      </c>
      <c r="CJ160" s="1488">
        <f ca="1">IF($B160&gt;=$J$5,0,CONTADORES!$BG160)</f>
        <v>8767.6283199309692</v>
      </c>
      <c r="CK160" s="1406">
        <f>CONTADORES!E160</f>
        <v>0</v>
      </c>
      <c r="CL160" s="1406">
        <f>CONTADORES!BX160</f>
        <v>0</v>
      </c>
    </row>
    <row r="161" spans="2:90" ht="15" thickBot="1">
      <c r="B161" s="1069">
        <v>45077</v>
      </c>
      <c r="C161" s="209">
        <f t="shared" ca="1" si="64"/>
        <v>301.69999999995343</v>
      </c>
      <c r="D161" s="203">
        <f ca="1">'CALCULO DE GAS'!D170</f>
        <v>5.1796539037817162</v>
      </c>
      <c r="E161" s="203">
        <f ca="1">IF(B161&gt;=$J$5,0,(CONTADORES!$AB161-CONTADORES!$AB160)-$H161)</f>
        <v>24</v>
      </c>
      <c r="F161" s="206">
        <f t="shared" ca="1" si="90"/>
        <v>0</v>
      </c>
      <c r="G161" s="203">
        <f ca="1">IF(B161&gt;=$J$5,0,CONTADORES!$AD161-CONTADORES!$AD160)</f>
        <v>0</v>
      </c>
      <c r="H161" s="203">
        <f ca="1">IF(G161&gt;0,CONTADORES!$AC161-CONTADORES!$AC160,0)</f>
        <v>0</v>
      </c>
      <c r="I161" s="207">
        <f ca="1">IF(B161&gt;=$J$5,0,CONTADORES!$Z161-CONTADORES!$Z160)</f>
        <v>301.69999999995343</v>
      </c>
      <c r="J161" s="206">
        <f t="shared" ca="1" si="65"/>
        <v>149.09999999999854</v>
      </c>
      <c r="K161" s="203">
        <f ca="1">'CALCULO DE GAS'!E170</f>
        <v>3.8739873956945652</v>
      </c>
      <c r="L161" s="1465">
        <f ca="1">IF(B161&gt;=$J$5,0,(CONTADORES!$W161-CONTADORES!$W160)-$O161)</f>
        <v>24</v>
      </c>
      <c r="M161" s="1465">
        <f t="shared" ca="1" si="89"/>
        <v>0</v>
      </c>
      <c r="N161" s="1465">
        <f ca="1">IF(B161&gt;=$J$5,0,CONTADORES!$Y161-CONTADORES!$Y160)</f>
        <v>0</v>
      </c>
      <c r="O161" s="1465">
        <f ca="1">IF(N161&gt;0,CONTADORES!$X161-CONTADORES!$X160,0)</f>
        <v>0</v>
      </c>
      <c r="P161" s="209">
        <f ca="1">IF(B161&gt;=$J$5,0,CONTADORES!$U161-CONTADORES!$U160)</f>
        <v>149.09999999999854</v>
      </c>
      <c r="Q161" s="209">
        <f ca="1">IF(B161&gt;=$J$5,0,CONTADORES!$B161-CONTADORES!$B160)</f>
        <v>0</v>
      </c>
      <c r="R161" s="203">
        <f t="shared" ca="1" si="66"/>
        <v>0</v>
      </c>
      <c r="S161" s="65">
        <f ca="1">IF(B161&gt;=$J$5,0,CONTADORES!$D161-CONTADORES!$D160)</f>
        <v>0</v>
      </c>
      <c r="T161" s="206">
        <f ca="1">IF(B161&gt;=$J$5,0,CONTADORES!$AZ161-CONTADORES!$AZ160)</f>
        <v>0</v>
      </c>
      <c r="U161" s="203">
        <f t="shared" ca="1" si="61"/>
        <v>0</v>
      </c>
      <c r="V161" s="207">
        <f ca="1">IF(B161&gt;=$J$5,0,CONTADORES!$BB161-CONTADORES!$BB160)</f>
        <v>0</v>
      </c>
      <c r="W161" s="1466">
        <f t="shared" ca="1" si="67"/>
        <v>450.79999999995198</v>
      </c>
      <c r="X161" s="1466">
        <f t="shared" ca="1" si="68"/>
        <v>0</v>
      </c>
      <c r="Y161" s="1467">
        <f t="shared" ca="1" si="69"/>
        <v>450.79999999995198</v>
      </c>
      <c r="Z161" s="1467">
        <f t="shared" ca="1" si="70"/>
        <v>9.0536412994762809</v>
      </c>
      <c r="AA161" s="1467">
        <f t="shared" ca="1" si="71"/>
        <v>0</v>
      </c>
      <c r="AB161" s="1467">
        <f t="shared" ca="1" si="72"/>
        <v>48</v>
      </c>
      <c r="AC161" s="1466">
        <f t="shared" ca="1" si="73"/>
        <v>0</v>
      </c>
      <c r="AD161" s="1466">
        <f ca="1">IF(B161&gt;=$J$5,0,CONTADORES!H161-CONTADORES!H160)</f>
        <v>164.90999999999985</v>
      </c>
      <c r="AE161" s="1467">
        <f ca="1">IF(B161&gt;=$J$5,0,CONTADORES!J161-CONTADORES!J160)</f>
        <v>24</v>
      </c>
      <c r="AF161" s="1466">
        <f ca="1">IF(B161&gt;=$J$5,0,CONTADORES!AS161-CONTADORES!AS160)</f>
        <v>153</v>
      </c>
      <c r="AG161" s="1467">
        <f ca="1">IF(B161&gt;=$J$5,0,CONTADORES!AU161-CONTADORES!AU160)</f>
        <v>24</v>
      </c>
      <c r="AH161" s="1467">
        <f ca="1">IF(B161&gt;=$J$5,0,(CONTADORES!AK161-CONTADORES!AK160)+(CONTADORES!K161-CONTADORES!K160))</f>
        <v>11.100000000005821</v>
      </c>
      <c r="AI161" s="1466">
        <f ca="1">IF(B161&gt;=$J$5,0,(CONTADORES!AI161-CONTADORES!AI160)+(CONTADORES!M161-CONTADORES!M160))</f>
        <v>36.30000000000291</v>
      </c>
      <c r="AJ161" s="1466">
        <f ca="1">IF(B161&gt;=$J$5,0,(CONTADORES!AG161-CONTADORES!AG160))</f>
        <v>6.7999999999883585</v>
      </c>
      <c r="AK161" s="1466">
        <f ca="1">IF(B161&gt;=$J$5,0,(CONTADORES!O161-CONTADORES!O160))</f>
        <v>13.200000000011642</v>
      </c>
      <c r="AL161" s="1467">
        <f t="shared" ca="1" si="74"/>
        <v>35.389999999955762</v>
      </c>
      <c r="AM161" s="1466">
        <f ca="1">IF(B161&gt;=$J$5,0,(((CONTADORES!F161-CONTADORES!F160)+(CONTADORES!AO161-CONTADORES!AO160))))-BJ161-AF161-AN161-BM161-BP161-BU161-BS161</f>
        <v>10.07019999998837</v>
      </c>
      <c r="AN161" s="1466">
        <f ca="1">IF(B161&gt;=$J$5,0,(CONTADORES!AV161-CONTADORES!AV160)+(CONTADORES!AX161-CONTADORES!AX160)+(CONTADORES!BC161-CONTADORES!BC160))-BS161</f>
        <v>4.8339999999998104</v>
      </c>
      <c r="AO161" s="1466">
        <f ca="1">IF(B161&gt;=$J$5,0,(CONTADORES!AA161-CONTADORES!AA160))</f>
        <v>148.20000000001164</v>
      </c>
      <c r="AP161" s="1466">
        <f ca="1">IF(B161&gt;=$J$5,0,(CONTADORES!V161-CONTADORES!V160))</f>
        <v>76.599999999998545</v>
      </c>
      <c r="AQ161" s="1466">
        <f ca="1">IF(B161&gt;=$J$5,0,(CONTADORES!C161-CONTADORES!C160))</f>
        <v>0</v>
      </c>
      <c r="AR161" s="1466">
        <f ca="1">IF(B161&gt;=$J$5,0,(CONTADORES!BA161-CONTADORES!BA160))</f>
        <v>0</v>
      </c>
      <c r="AS161" s="1466">
        <f ca="1">IF(B161&gt;=$J$5,0,CONTADORES!Q161-CONTADORES!Q160)</f>
        <v>14.899999999994179</v>
      </c>
      <c r="AT161" s="1466">
        <f ca="1">IF(B161&gt;=$J$5,0,(CONTADORES!S161-CONTADORES!S160)+(CONTADORES!AE161-CONTADORES!AE160))</f>
        <v>4.1000000000003638</v>
      </c>
      <c r="AU161" s="1466">
        <f ca="1">IF(B161&gt;=$J$5,0,(CONTADORES!I161-CONTADORES!I160))</f>
        <v>82.599999999999909</v>
      </c>
      <c r="AV161" s="1466">
        <f ca="1">IF(B161&gt;=$J$5,0,(CONTADORES!AT161-CONTADORES!AT160))</f>
        <v>66</v>
      </c>
      <c r="AW161" s="1466">
        <f ca="1">IF(B161&gt;=$J$5,0,(CONTADORES!L161-CONTADORES!L160)+(CONTADORES!AL161-CONTADORES!AL160))</f>
        <v>4</v>
      </c>
      <c r="AX161" s="1466">
        <f ca="1">IF(B161&gt;=$J$5,0,(CONTADORES!N161-CONTADORES!N160)+(CONTADORES!AJ161-CONTADORES!AJ160))</f>
        <v>30.69999999999709</v>
      </c>
      <c r="AY161" s="1466">
        <f ca="1">IF(B161&gt;=$J$5,0,(CONTADORES!AH161-CONTADORES!AH160))</f>
        <v>5.1999999999970896</v>
      </c>
      <c r="AZ161" s="1466">
        <f ca="1">IF(B161&gt;=$J$5,0,(CONTADORES!P161-CONTADORES!P160))</f>
        <v>10.299999999988358</v>
      </c>
      <c r="BA161" s="1467">
        <f t="shared" ca="1" si="75"/>
        <v>6.2960000000391858</v>
      </c>
      <c r="BB161" s="1467">
        <f ca="1">IF(B161&gt;=$J$5,0,(((CONTADORES!G161-CONTADORES!G160)+(CONTADORES!AP161-CONTADORES!AP160)+AR161)-(AV161+BC161)))</f>
        <v>9.9699999999886302</v>
      </c>
      <c r="BC161" s="1466">
        <f ca="1">IF(B161&gt;=$J$5,0,(CONTADORES!AW161-CONTADORES!AW160)+(CONTADORES!AY161-CONTADORES!AY160)+(CONTADORES!BD161-CONTADORES!BD160))</f>
        <v>2.6299999999999102</v>
      </c>
      <c r="BD161" s="1466">
        <f t="shared" ca="1" si="76"/>
        <v>224.80000000001019</v>
      </c>
      <c r="BE161" s="1467">
        <f ca="1">IF($B161&gt;=$J$5,0,CONTADORES!$BE161)</f>
        <v>5815.34</v>
      </c>
      <c r="BF161" s="1466">
        <f ca="1">IF($B161&gt;=$J$5,0,CONTADORES!$BF161)</f>
        <v>30099.5105263158</v>
      </c>
      <c r="BG161" s="1466">
        <f ca="1">IF($B161&gt;=$J$5,0,CONTADORES!$BH161)</f>
        <v>7461.17</v>
      </c>
      <c r="BH161" s="1466">
        <f ca="1">IF(B161&gt;=$J$5,0,(CONTADORES!AQ161-CONTADORES!AQ160))</f>
        <v>5</v>
      </c>
      <c r="BI161" s="1466">
        <f ca="1">IF(B161&gt;=$J$5,0,(CONTADORES!AR161-CONTADORES!AR160))</f>
        <v>0</v>
      </c>
      <c r="BJ161" s="1467">
        <f ca="1">IF(B161&gt;=$J$5,0,CONTADORES!BI161-CONTADORES!BI160)/1000</f>
        <v>2.8247999999998137</v>
      </c>
      <c r="BK161" s="1467">
        <f ca="1">IF(B161&gt;=$J$5,0,CONTADORES!BJ161-CONTADORES!BJ160)</f>
        <v>1</v>
      </c>
      <c r="BL161" s="1467">
        <f ca="1">IF(B161&gt;=$J$5,0,CONTADORES!BK161-CONTADORES!BK160)</f>
        <v>24</v>
      </c>
      <c r="BM161" s="1467">
        <f ca="1">IF(B161&gt;=$J$5,0,CONTADORES!BL161-CONTADORES!BL160)/1000</f>
        <v>4.5650000000000004</v>
      </c>
      <c r="BN161" s="1467">
        <f ca="1">IF(B161&gt;=$J$5,0,CONTADORES!BM161-CONTADORES!BM160)/1000</f>
        <v>0.83399999999999996</v>
      </c>
      <c r="BO161" s="1467">
        <f ca="1">IF(B161&gt;=$J$5,0,CONTADORES!BN161-CONTADORES!BN160)</f>
        <v>24</v>
      </c>
      <c r="BP161" s="1467">
        <f ca="1">IF(B161&gt;=$J$5,0,CONTADORES!BO161-CONTADORES!BO160)/1000</f>
        <v>0</v>
      </c>
      <c r="BQ161" s="1467">
        <f ca="1">IF(B161&gt;=$J$5,0,CONTADORES!BP161-CONTADORES!BP160)/1000</f>
        <v>0</v>
      </c>
      <c r="BR161" s="1467">
        <f ca="1">IF(B161&gt;=$J$5,0,CONTADORES!BQ161-CONTADORES!BQ160)</f>
        <v>0</v>
      </c>
      <c r="BS161" s="1467">
        <f ca="1">IF(B161&gt;=$J$5,0,(CONTADORES!BT161-CONTADORES!BT160)+(CONTADORES!BV161-CONTADORES!BV160))/1000</f>
        <v>1.4059999999999999</v>
      </c>
      <c r="BT161" s="1467">
        <f ca="1">IF(B161&gt;=$J$5,0,(CONTADORES!BU161-CONTADORES!BU160)+(CONTADORES!BW161-CONTADORES!BW160))/1000</f>
        <v>0.77</v>
      </c>
      <c r="BU161" s="1467">
        <f ca="1">IF(B161&gt;=$J$5,0,CONTADORES!BR161-CONTADORES!BR160)</f>
        <v>6.3999999999996362</v>
      </c>
      <c r="BV161" s="1467">
        <f ca="1">IF(B161&gt;=$J$5,0,CONTADORES!BS161-CONTADORES!BS160)</f>
        <v>4.5</v>
      </c>
      <c r="BW161" s="1467">
        <f t="shared" ca="1" si="77"/>
        <v>11.43509999999382</v>
      </c>
      <c r="BX161" s="1467">
        <f t="shared" ca="1" si="78"/>
        <v>9.4849999999943151</v>
      </c>
      <c r="BY161" s="1467">
        <f t="shared" ca="1" si="79"/>
        <v>5.035099999994185</v>
      </c>
      <c r="BZ161" s="1467">
        <f t="shared" ca="1" si="80"/>
        <v>1.9335999999999243</v>
      </c>
      <c r="CA161" s="1467">
        <f t="shared" ca="1" si="81"/>
        <v>5.035099999994185</v>
      </c>
      <c r="CB161" s="1467">
        <f t="shared" ca="1" si="82"/>
        <v>2.9003999999998862</v>
      </c>
      <c r="CC161" s="1467">
        <f t="shared" ca="1" si="83"/>
        <v>3.3395999999999244</v>
      </c>
      <c r="CD161" s="1467">
        <f t="shared" ca="1" si="84"/>
        <v>4.9849999999943151</v>
      </c>
      <c r="CE161" s="1467">
        <f ca="1">IF(B161&gt;=$J$5,0,CONTADORES!BS161-CONTADORES!BS160)</f>
        <v>4.5</v>
      </c>
      <c r="CF161" s="1467">
        <f t="shared" ca="1" si="85"/>
        <v>4.9849999999943151</v>
      </c>
      <c r="CG161" s="1467">
        <f t="shared" ca="1" si="86"/>
        <v>1.3149999999999551</v>
      </c>
      <c r="CH161" s="1467">
        <f t="shared" ca="1" si="87"/>
        <v>1.3149999999999551</v>
      </c>
      <c r="CI161" s="1467">
        <f t="shared" ca="1" si="88"/>
        <v>2.0849999999999551</v>
      </c>
      <c r="CJ161" s="1489">
        <f ca="1">IF($B161&gt;=$J$5,0,CONTADORES!$BG161)</f>
        <v>8988.8021687605105</v>
      </c>
      <c r="CK161" s="1385">
        <f>CONTADORES!E161</f>
        <v>0</v>
      </c>
      <c r="CL161" s="1385">
        <f>CONTADORES!BX161</f>
        <v>0</v>
      </c>
    </row>
    <row r="162" spans="2:90">
      <c r="B162" s="410">
        <v>45078</v>
      </c>
      <c r="C162" s="204">
        <f t="shared" ca="1" si="64"/>
        <v>296</v>
      </c>
      <c r="D162" s="202">
        <f ca="1">'CALCULO DE GAS'!D174</f>
        <v>5.1013664174811186</v>
      </c>
      <c r="E162" s="202">
        <f ca="1">IF(B162&gt;=$J$5,0,(CONTADORES!$AB164-CONTADORES!$AB163)-$H162)</f>
        <v>24</v>
      </c>
      <c r="F162" s="204">
        <f t="shared" ca="1" si="90"/>
        <v>0</v>
      </c>
      <c r="G162" s="202">
        <f ca="1">IF(B162&gt;=$J$5,0,CONTADORES!$AD164-CONTADORES!$AD163)</f>
        <v>0</v>
      </c>
      <c r="H162" s="202">
        <f ca="1">IF(G162&gt;0,CONTADORES!$AC164-CONTADORES!$AC163,0)</f>
        <v>0</v>
      </c>
      <c r="I162" s="205">
        <f ca="1">IF(B162&gt;=$J$5,0,CONTADORES!$Z164-CONTADORES!$Z163)</f>
        <v>296</v>
      </c>
      <c r="J162" s="204">
        <f t="shared" ca="1" si="65"/>
        <v>148</v>
      </c>
      <c r="K162" s="202">
        <f ca="1">'CALCULO DE GAS'!E174</f>
        <v>3.7362854756774766</v>
      </c>
      <c r="L162" s="1437">
        <f ca="1">IF(B162&gt;=$J$5,0,(CONTADORES!$W164-CONTADORES!$W163)-$O162)</f>
        <v>24</v>
      </c>
      <c r="M162" s="1437">
        <f t="shared" ca="1" si="89"/>
        <v>0</v>
      </c>
      <c r="N162" s="1437">
        <f ca="1">IF(B162&gt;=$J$5,0,CONTADORES!$Y164-CONTADORES!$Y163)</f>
        <v>0</v>
      </c>
      <c r="O162" s="1437">
        <f ca="1">IF(N162&gt;0,CONTADORES!$X164-CONTADORES!$X163,0)</f>
        <v>0</v>
      </c>
      <c r="P162" s="208">
        <f ca="1">IF(B162&gt;=$J$5,0,CONTADORES!$U164-CONTADORES!$U163)</f>
        <v>148</v>
      </c>
      <c r="Q162" s="208">
        <f ca="1">IF(B162&gt;=$J$5,0,CONTADORES!$B164-CONTADORES!$B163)</f>
        <v>0</v>
      </c>
      <c r="R162" s="202">
        <f t="shared" ca="1" si="66"/>
        <v>0</v>
      </c>
      <c r="S162" s="11">
        <f ca="1">IF(B162&gt;=$J$5,0,CONTADORES!$D164-CONTADORES!$D163)</f>
        <v>0</v>
      </c>
      <c r="T162" s="204">
        <f ca="1">IF(B162&gt;=$J$5,0,CONTADORES!$AZ164-CONTADORES!$AZ163)</f>
        <v>0</v>
      </c>
      <c r="U162" s="202">
        <f t="shared" ca="1" si="61"/>
        <v>0</v>
      </c>
      <c r="V162" s="205">
        <f ca="1">IF(B162&gt;=$J$5,0,CONTADORES!$BB164-CONTADORES!$BB163)</f>
        <v>0</v>
      </c>
      <c r="W162" s="1438">
        <f t="shared" ca="1" si="67"/>
        <v>444</v>
      </c>
      <c r="X162" s="1438">
        <f t="shared" ca="1" si="68"/>
        <v>0</v>
      </c>
      <c r="Y162" s="1439">
        <f t="shared" ca="1" si="69"/>
        <v>444</v>
      </c>
      <c r="Z162" s="1439">
        <f t="shared" ca="1" si="70"/>
        <v>8.8376518931585952</v>
      </c>
      <c r="AA162" s="1439">
        <f t="shared" ca="1" si="71"/>
        <v>0</v>
      </c>
      <c r="AB162" s="1439">
        <f t="shared" ca="1" si="72"/>
        <v>48</v>
      </c>
      <c r="AC162" s="1438">
        <f t="shared" ca="1" si="73"/>
        <v>0</v>
      </c>
      <c r="AD162" s="1438">
        <f ca="1">IF(B162&gt;=$J$5,0,CONTADORES!H164-CONTADORES!H163)</f>
        <v>166</v>
      </c>
      <c r="AE162" s="1438">
        <f ca="1">IF(B162&gt;=$J$5,0,CONTADORES!J164-CONTADORES!J163)</f>
        <v>24</v>
      </c>
      <c r="AF162" s="1438">
        <f ca="1">IF(B162&gt;=$J$5,0,CONTADORES!AS164-CONTADORES!AS163)</f>
        <v>145</v>
      </c>
      <c r="AG162" s="1438">
        <f ca="1">IF(B162&gt;=$J$5,0,CONTADORES!AU164-CONTADORES!AU163)</f>
        <v>24</v>
      </c>
      <c r="AH162" s="1439">
        <f ca="1">IF(B162&gt;=$J$5,0,(CONTADORES!AK164-CONTADORES!AK163)+(CONTADORES!K164-CONTADORES!K163))</f>
        <v>12.599999999998545</v>
      </c>
      <c r="AI162" s="1438">
        <f ca="1">IF(B162&gt;=$J$5,0,(CONTADORES!AI164-CONTADORES!AI163)+(CONTADORES!M164-CONTADORES!M163))</f>
        <v>36.69999999999709</v>
      </c>
      <c r="AJ162" s="1438">
        <f ca="1">IF(B162&gt;=$J$5,0,(CONTADORES!AG164-CONTADORES!AG163))</f>
        <v>5.4000000000087311</v>
      </c>
      <c r="AK162" s="1438">
        <f ca="1">IF(B162&gt;=$J$5,0,(CONTADORES!O164-CONTADORES!O163))</f>
        <v>13</v>
      </c>
      <c r="AL162" s="1475">
        <f t="shared" ca="1" si="74"/>
        <v>34.999999999996362</v>
      </c>
      <c r="AM162" s="1438">
        <f ca="1">IF(B162&gt;=$J$5,0,(((CONTADORES!F164-CONTADORES!F163)+(CONTADORES!AO164-CONTADORES!AO163))))-BJ162-AF162-AN162-BM162-BP162-BU162-BS162</f>
        <v>11.255999999998364</v>
      </c>
      <c r="AN162" s="1438">
        <f ca="1">IF(B162&gt;=$J$5,0,(CONTADORES!AV164-CONTADORES!AV163)+(CONTADORES!AX164-CONTADORES!AX163)+(CONTADORES!BC164-CONTADORES!BC163))-BS162</f>
        <v>4.3469999999998183</v>
      </c>
      <c r="AO162" s="1440">
        <f ca="1">IF(B162&gt;=$J$5,0,(CONTADORES!AA164-CONTADORES!AA163))</f>
        <v>147</v>
      </c>
      <c r="AP162" s="1475">
        <f ca="1">IF(B162&gt;=$J$5,0,(CONTADORES!V164-CONTADORES!V163))</f>
        <v>74</v>
      </c>
      <c r="AQ162" s="1475">
        <f ca="1">IF(B162&gt;=$J$5,0,(CONTADORES!C164-CONTADORES!C163))</f>
        <v>0</v>
      </c>
      <c r="AR162" s="1475">
        <f ca="1">IF(B162&gt;=$J$5,0,(CONTADORES!BA164-CONTADORES!BA163))</f>
        <v>0</v>
      </c>
      <c r="AS162" s="1475">
        <f ca="1">IF(B162&gt;=$J$5,0,CONTADORES!Q164-CONTADORES!Q163)</f>
        <v>14.899999999994179</v>
      </c>
      <c r="AT162" s="1475">
        <f ca="1">IF(B162&gt;=$J$5,0,(CONTADORES!S164-CONTADORES!S163)+(CONTADORES!AE164-CONTADORES!AE163))</f>
        <v>3.3299999999996359</v>
      </c>
      <c r="AU162" s="1475">
        <f ca="1">IF(B162&gt;=$J$5,0,(CONTADORES!I164-CONTADORES!I163))</f>
        <v>82</v>
      </c>
      <c r="AV162" s="1475">
        <f ca="1">IF(B162&gt;=$J$5,0,(CONTADORES!AT164-CONTADORES!AT163))</f>
        <v>64</v>
      </c>
      <c r="AW162" s="1475">
        <f ca="1">IF(B162&gt;=$J$5,0,(CONTADORES!L164-CONTADORES!L163)+(CONTADORES!AL164-CONTADORES!AL163))</f>
        <v>5</v>
      </c>
      <c r="AX162" s="1475">
        <f ca="1">IF(B162&gt;=$J$5,0,(CONTADORES!N164-CONTADORES!N163)+(CONTADORES!AJ164-CONTADORES!AJ163))</f>
        <v>31.200000000004366</v>
      </c>
      <c r="AY162" s="1475">
        <f ca="1">IF(B162&gt;=$J$5,0,(CONTADORES!AH164-CONTADORES!AH163))</f>
        <v>4.1000000000058208</v>
      </c>
      <c r="AZ162" s="1475">
        <f ca="1">IF(B162&gt;=$J$5,0,(CONTADORES!P164-CONTADORES!P163))</f>
        <v>10.100000000005821</v>
      </c>
      <c r="BA162" s="1439">
        <f t="shared" ca="1" si="75"/>
        <v>5.7559999999852494</v>
      </c>
      <c r="BB162" s="1439">
        <f ca="1">IF(B162&gt;=$J$5,0,(((CONTADORES!G164-CONTADORES!G163)+(CONTADORES!AP164-CONTADORES!AP163)+AR162)-(AV162+BC162)))</f>
        <v>9.0999999999994543</v>
      </c>
      <c r="BC162" s="1438">
        <f ca="1">IF(B162&gt;=$J$5,0,(CONTADORES!AW164-CONTADORES!AW163)+(CONTADORES!AY164-CONTADORES!AY163)+(CONTADORES!BD164-CONTADORES!BD163))</f>
        <v>3</v>
      </c>
      <c r="BD162" s="1438">
        <f t="shared" ca="1" si="76"/>
        <v>221</v>
      </c>
      <c r="BE162" s="1439">
        <f ca="1">IF($B162&gt;=$J$5,0,CONTADORES!$BE164)</f>
        <v>5641.34</v>
      </c>
      <c r="BF162" s="1438">
        <f ca="1">IF($B162&gt;=$J$5,0,CONTADORES!$BF164)</f>
        <v>30333.952631578901</v>
      </c>
      <c r="BG162" s="1438">
        <f ca="1">IF($B162&gt;=$J$5,0,CONTADORES!$BH164)</f>
        <v>6702.79</v>
      </c>
      <c r="BH162" s="1438">
        <f ca="1">IF(B162&gt;=$J$5,0,(CONTADORES!AQ164-CONTADORES!AQ163))</f>
        <v>6</v>
      </c>
      <c r="BI162" s="1438">
        <f ca="1">IF(C162&gt;=$J$5,0,(CONTADORES!AR164-CONTADORES!AR163))</f>
        <v>0</v>
      </c>
      <c r="BJ162" s="1439">
        <f ca="1">IF(B162&gt;=$J$5,0,CONTADORES!BI164-CONTADORES!BI163)/1000</f>
        <v>2.5</v>
      </c>
      <c r="BK162" s="1439">
        <f ca="1">IF(B162&gt;=$J$5,0,CONTADORES!BJ164-CONTADORES!BJ163)</f>
        <v>1</v>
      </c>
      <c r="BL162" s="1439">
        <f ca="1">IF(B162&gt;=$J$5,0,CONTADORES!BK164-CONTADORES!BK163)</f>
        <v>24</v>
      </c>
      <c r="BM162" s="1439">
        <f ca="1">IF(B162&gt;=$J$5,0,CONTADORES!BL164-CONTADORES!BL163)/1000</f>
        <v>4.5439999999999996</v>
      </c>
      <c r="BN162" s="1439">
        <f ca="1">IF(B162&gt;=$J$5,0,CONTADORES!BM164-CONTADORES!BM163)/1000</f>
        <v>0.70399999999999996</v>
      </c>
      <c r="BO162" s="1439">
        <f ca="1">IF(B162&gt;=$J$5,0,CONTADORES!BN164-CONTADORES!BN163)</f>
        <v>24</v>
      </c>
      <c r="BP162" s="1439">
        <f ca="1">IF(B162&gt;=$J$5,0,CONTADORES!BO164-CONTADORES!BO163)/1000</f>
        <v>0</v>
      </c>
      <c r="BQ162" s="1439">
        <f ca="1">IF(B162&gt;=$J$5,0,CONTADORES!BP164-CONTADORES!BP163)/1000</f>
        <v>0</v>
      </c>
      <c r="BR162" s="1439">
        <f ca="1">IF(B162&gt;=$J$5,0,CONTADORES!BQ164-CONTADORES!BQ163)</f>
        <v>0</v>
      </c>
      <c r="BS162" s="1439">
        <f ca="1">IF(B162&gt;=$J$5,0,(CONTADORES!BT164-CONTADORES!BT163)+(CONTADORES!BV164-CONTADORES!BV163))/1000</f>
        <v>1.353</v>
      </c>
      <c r="BT162" s="1439">
        <f ca="1">IF(B162&gt;=$J$5,0,(CONTADORES!BU164-CONTADORES!BU163)+(CONTADORES!BW164-CONTADORES!BW163))/1000</f>
        <v>0.74</v>
      </c>
      <c r="BU162" s="1439">
        <f ca="1">IF(B162&gt;=$J$5,0,CONTADORES!BR164-CONTADORES!BR163)</f>
        <v>6.3000000000010914</v>
      </c>
      <c r="BV162" s="1439">
        <f ca="1">IF(B162&gt;=$J$5,0,CONTADORES!BS164-CONTADORES!BS163)</f>
        <v>4.2999999999992724</v>
      </c>
      <c r="BW162" s="1439">
        <f t="shared" ca="1" si="77"/>
        <v>11.928000000000274</v>
      </c>
      <c r="BX162" s="1439">
        <f t="shared" ca="1" si="78"/>
        <v>8.8499999999989996</v>
      </c>
      <c r="BY162" s="1439">
        <f t="shared" ca="1" si="79"/>
        <v>5.6279999999991821</v>
      </c>
      <c r="BZ162" s="1439">
        <f t="shared" ca="1" si="80"/>
        <v>1.7387999999999275</v>
      </c>
      <c r="CA162" s="1439">
        <f t="shared" ca="1" si="81"/>
        <v>5.6279999999991821</v>
      </c>
      <c r="CB162" s="1439">
        <f t="shared" ca="1" si="82"/>
        <v>2.6081999999998908</v>
      </c>
      <c r="CC162" s="1439">
        <f t="shared" ca="1" si="83"/>
        <v>3.0917999999999273</v>
      </c>
      <c r="CD162" s="1439">
        <f t="shared" ca="1" si="84"/>
        <v>4.5499999999997272</v>
      </c>
      <c r="CE162" s="1439">
        <f ca="1">IF(B162&gt;=$J$5,0,CONTADORES!BS164-CONTADORES!BS163)</f>
        <v>4.2999999999992724</v>
      </c>
      <c r="CF162" s="1439">
        <f t="shared" ca="1" si="85"/>
        <v>4.5499999999997272</v>
      </c>
      <c r="CG162" s="1439">
        <f t="shared" ca="1" si="86"/>
        <v>1.5</v>
      </c>
      <c r="CH162" s="1439">
        <f t="shared" ca="1" si="87"/>
        <v>1.5</v>
      </c>
      <c r="CI162" s="1439">
        <f t="shared" ca="1" si="88"/>
        <v>2.2400000000000002</v>
      </c>
      <c r="CJ162" s="1488">
        <f ca="1">IF($B162&gt;=$J$5,0,CONTADORES!$BG164)</f>
        <v>4292.71940284834</v>
      </c>
      <c r="CK162" s="1406">
        <f>CONTADORES!E164</f>
        <v>0</v>
      </c>
      <c r="CL162" s="1406">
        <f>CONTADORES!BX164</f>
        <v>0</v>
      </c>
    </row>
    <row r="163" spans="2:90">
      <c r="B163" s="410">
        <v>45079</v>
      </c>
      <c r="C163" s="204">
        <f t="shared" ca="1" si="64"/>
        <v>292</v>
      </c>
      <c r="D163" s="202">
        <f ca="1">'CALCULO DE GAS'!D175</f>
        <v>5.064080766659262</v>
      </c>
      <c r="E163" s="202">
        <f ca="1">IF(B163&gt;=$J$5,0,(CONTADORES!$AB165-CONTADORES!$AB164)-$H163)</f>
        <v>24</v>
      </c>
      <c r="F163" s="204">
        <f t="shared" ca="1" si="90"/>
        <v>0</v>
      </c>
      <c r="G163" s="202">
        <f ca="1">IF(B163&gt;=$J$5,0,CONTADORES!$AD165-CONTADORES!$AD164)</f>
        <v>0</v>
      </c>
      <c r="H163" s="202">
        <f ca="1">IF(G163&gt;0,CONTADORES!$AC165-CONTADORES!$AC164,0)</f>
        <v>0</v>
      </c>
      <c r="I163" s="205">
        <f ca="1">IF(B163&gt;=$J$5,0,CONTADORES!$Z165-CONTADORES!$Z164)</f>
        <v>292</v>
      </c>
      <c r="J163" s="204">
        <f t="shared" ca="1" si="65"/>
        <v>150</v>
      </c>
      <c r="K163" s="202">
        <f ca="1">'CALCULO DE GAS'!E175</f>
        <v>3.7562599314748999</v>
      </c>
      <c r="L163" s="1437">
        <f ca="1">IF(B163&gt;=$J$5,0,(CONTADORES!$W165-CONTADORES!$W164)-$O163)</f>
        <v>24</v>
      </c>
      <c r="M163" s="1437">
        <f t="shared" ca="1" si="89"/>
        <v>0</v>
      </c>
      <c r="N163" s="1437">
        <f ca="1">IF(B163&gt;=$J$5,0,CONTADORES!$Y165-CONTADORES!$Y164)</f>
        <v>0</v>
      </c>
      <c r="O163" s="1437">
        <f ca="1">IF(N163&gt;0,CONTADORES!$X165-CONTADORES!$X164,0)</f>
        <v>0</v>
      </c>
      <c r="P163" s="208">
        <f ca="1">IF(B163&gt;=$J$5,0,CONTADORES!$U165-CONTADORES!$U164)</f>
        <v>150</v>
      </c>
      <c r="Q163" s="208">
        <f ca="1">IF(B163&gt;=$J$5,0,CONTADORES!$B165-CONTADORES!$B164)</f>
        <v>0</v>
      </c>
      <c r="R163" s="202">
        <f t="shared" ca="1" si="66"/>
        <v>0</v>
      </c>
      <c r="S163" s="11">
        <f ca="1">IF(B163&gt;=$J$5,0,CONTADORES!$D165-CONTADORES!$D164)</f>
        <v>0</v>
      </c>
      <c r="T163" s="204">
        <f ca="1">IF(B163&gt;=$J$5,0,CONTADORES!$AZ165-CONTADORES!$AZ164)</f>
        <v>0</v>
      </c>
      <c r="U163" s="202">
        <f t="shared" ca="1" si="61"/>
        <v>0</v>
      </c>
      <c r="V163" s="205">
        <f ca="1">IF(B163&gt;=$J$5,0,CONTADORES!$BB165-CONTADORES!$BB164)</f>
        <v>0</v>
      </c>
      <c r="W163" s="1438">
        <f t="shared" ca="1" si="67"/>
        <v>442</v>
      </c>
      <c r="X163" s="1438">
        <f t="shared" ca="1" si="68"/>
        <v>0</v>
      </c>
      <c r="Y163" s="1439">
        <f t="shared" ca="1" si="69"/>
        <v>442</v>
      </c>
      <c r="Z163" s="1439">
        <f t="shared" ca="1" si="70"/>
        <v>8.8203406981341619</v>
      </c>
      <c r="AA163" s="1439">
        <f t="shared" ca="1" si="71"/>
        <v>0</v>
      </c>
      <c r="AB163" s="1439">
        <f t="shared" ca="1" si="72"/>
        <v>48</v>
      </c>
      <c r="AC163" s="1438">
        <f t="shared" ca="1" si="73"/>
        <v>0</v>
      </c>
      <c r="AD163" s="1438">
        <f ca="1">IF(B163&gt;=$J$5,0,CONTADORES!H165-CONTADORES!H164)</f>
        <v>170</v>
      </c>
      <c r="AE163" s="1438">
        <f ca="1">IF(B163&gt;=$J$5,0,CONTADORES!J165-CONTADORES!J164)</f>
        <v>24</v>
      </c>
      <c r="AF163" s="1438">
        <f ca="1">IF(B163&gt;=$J$5,0,CONTADORES!AS165-CONTADORES!AS164)</f>
        <v>147</v>
      </c>
      <c r="AG163" s="1438">
        <f ca="1">IF(B163&gt;=$J$5,0,CONTADORES!AU165-CONTADORES!AU164)</f>
        <v>24</v>
      </c>
      <c r="AH163" s="1439">
        <f ca="1">IF(B163&gt;=$J$5,0,(CONTADORES!AK165-CONTADORES!AK164)+(CONTADORES!K165-CONTADORES!K164))</f>
        <v>9.6999999999970896</v>
      </c>
      <c r="AI163" s="1438">
        <f ca="1">IF(B163&gt;=$J$5,0,(CONTADORES!AI165-CONTADORES!AI164)+(CONTADORES!M165-CONTADORES!M164))</f>
        <v>35.599999999991269</v>
      </c>
      <c r="AJ163" s="1438">
        <f ca="1">IF(B163&gt;=$J$5,0,(CONTADORES!AG165-CONTADORES!AG164))</f>
        <v>5.5</v>
      </c>
      <c r="AK163" s="1438">
        <f ca="1">IF(B163&gt;=$J$5,0,(CONTADORES!O165-CONTADORES!O164))</f>
        <v>13</v>
      </c>
      <c r="AL163" s="1450">
        <f t="shared" ca="1" si="74"/>
        <v>32.700000000011698</v>
      </c>
      <c r="AM163" s="1438">
        <f ca="1">IF(B163&gt;=$J$5,0,(((CONTADORES!F165-CONTADORES!F164)+(CONTADORES!AO165-CONTADORES!AO164))))-BJ163-AF163-AN163-BM163-BP163-BU163-BS163</f>
        <v>9.0070000000001045</v>
      </c>
      <c r="AN163" s="1438">
        <f ca="1">IF(B163&gt;=$J$5,0,(CONTADORES!AV165-CONTADORES!AV164)+(CONTADORES!AX165-CONTADORES!AX164)+(CONTADORES!BC165-CONTADORES!BC164))-BS163</f>
        <v>4.8100000000002732</v>
      </c>
      <c r="AO163" s="1440">
        <f ca="1">IF(B163&gt;=$J$5,0,(CONTADORES!AA165-CONTADORES!AA164))</f>
        <v>143</v>
      </c>
      <c r="AP163" s="1450">
        <f ca="1">IF(B163&gt;=$J$5,0,(CONTADORES!V165-CONTADORES!V164))</f>
        <v>76</v>
      </c>
      <c r="AQ163" s="1450">
        <f ca="1">IF(B163&gt;=$J$5,0,(CONTADORES!C165-CONTADORES!C164))</f>
        <v>0</v>
      </c>
      <c r="AR163" s="1450">
        <f ca="1">IF(B163&gt;=$J$5,0,(CONTADORES!BA165-CONTADORES!BA164))</f>
        <v>0</v>
      </c>
      <c r="AS163" s="1450">
        <f ca="1">IF(B163&gt;=$J$5,0,CONTADORES!Q165-CONTADORES!Q164)</f>
        <v>14.600000000005821</v>
      </c>
      <c r="AT163" s="1450">
        <f ca="1">IF(B163&gt;=$J$5,0,(CONTADORES!S165-CONTADORES!S164)+(CONTADORES!AE165-CONTADORES!AE164))</f>
        <v>3.2700000000000005</v>
      </c>
      <c r="AU163" s="1450">
        <f ca="1">IF(B163&gt;=$J$5,0,(CONTADORES!I165-CONTADORES!I164))</f>
        <v>84</v>
      </c>
      <c r="AV163" s="1450">
        <f ca="1">IF(B163&gt;=$J$5,0,(CONTADORES!AT165-CONTADORES!AT164))</f>
        <v>63</v>
      </c>
      <c r="AW163" s="1450">
        <f ca="1">IF(B163&gt;=$J$5,0,(CONTADORES!L165-CONTADORES!L164)+(CONTADORES!AL165-CONTADORES!AL164))</f>
        <v>3.7000000000007276</v>
      </c>
      <c r="AX163" s="1450">
        <f ca="1">IF(B163&gt;=$J$5,0,(CONTADORES!N165-CONTADORES!N164)+(CONTADORES!AJ165-CONTADORES!AJ164))</f>
        <v>30.19999999999709</v>
      </c>
      <c r="AY163" s="1450">
        <f ca="1">IF(B163&gt;=$J$5,0,(CONTADORES!AH165-CONTADORES!AH164))</f>
        <v>3.8999999999941792</v>
      </c>
      <c r="AZ163" s="1450">
        <f ca="1">IF(B163&gt;=$J$5,0,(CONTADORES!P165-CONTADORES!P164))</f>
        <v>10.30000000000291</v>
      </c>
      <c r="BA163" s="1439">
        <f t="shared" ca="1" si="75"/>
        <v>4.2790000000042028</v>
      </c>
      <c r="BB163" s="1450">
        <f ca="1">IF(B163&gt;=$J$5,0,(((CONTADORES!G165-CONTADORES!G164)+(CONTADORES!AP165-CONTADORES!AP164)+AR163)-(AV163+BC163)))</f>
        <v>9.5000000000004547</v>
      </c>
      <c r="BC163" s="1438">
        <f ca="1">IF(B163&gt;=$J$5,0,(CONTADORES!AW165-CONTADORES!AW164)+(CONTADORES!AY165-CONTADORES!AY164)+(CONTADORES!BD165-CONTADORES!BD164))</f>
        <v>2.9000000000000909</v>
      </c>
      <c r="BD163" s="1438">
        <f t="shared" ca="1" si="76"/>
        <v>219</v>
      </c>
      <c r="BE163" s="1439">
        <f ca="1">IF($B163&gt;=$J$5,0,CONTADORES!$BE165)</f>
        <v>5796.19</v>
      </c>
      <c r="BF163" s="1438">
        <f ca="1">IF($B163&gt;=$J$5,0,CONTADORES!$BF165)</f>
        <v>30951.3438596491</v>
      </c>
      <c r="BG163" s="1438">
        <f ca="1">IF($B163&gt;=$J$5,0,CONTADORES!$BH165)</f>
        <v>6801.68</v>
      </c>
      <c r="BH163" s="1438">
        <f ca="1">IF(B163&gt;=$J$5,0,(CONTADORES!AQ165-CONTADORES!AQ164))</f>
        <v>5</v>
      </c>
      <c r="BI163" s="1438">
        <f ca="1">IF(C163&gt;=$J$5,0,(CONTADORES!AR165-CONTADORES!AR164))</f>
        <v>0</v>
      </c>
      <c r="BJ163" s="1439">
        <f ca="1">IF(B163&gt;=$J$5,0,CONTADORES!BI165-CONTADORES!BI164)/1000</f>
        <v>2.2000000000000002</v>
      </c>
      <c r="BK163" s="1439">
        <f ca="1">IF(B163&gt;=$J$5,0,CONTADORES!BJ165-CONTADORES!BJ164)</f>
        <v>1</v>
      </c>
      <c r="BL163" s="1439">
        <f ca="1">IF(B163&gt;=$J$5,0,CONTADORES!BK165-CONTADORES!BK164)</f>
        <v>24</v>
      </c>
      <c r="BM163" s="1439">
        <f ca="1">IF(B163&gt;=$J$5,0,CONTADORES!BL165-CONTADORES!BL164)/1000</f>
        <v>4.6929999999999996</v>
      </c>
      <c r="BN163" s="1439">
        <f ca="1">IF(B163&gt;=$J$5,0,CONTADORES!BM165-CONTADORES!BM164)/1000</f>
        <v>0.85599999999999998</v>
      </c>
      <c r="BO163" s="1439">
        <f ca="1">IF(B163&gt;=$J$5,0,CONTADORES!BN165-CONTADORES!BN164)</f>
        <v>24</v>
      </c>
      <c r="BP163" s="1439">
        <f ca="1">IF(B163&gt;=$J$5,0,CONTADORES!BO165-CONTADORES!BO164)/1000</f>
        <v>0</v>
      </c>
      <c r="BQ163" s="1439">
        <f ca="1">IF(B163&gt;=$J$5,0,CONTADORES!BP165-CONTADORES!BP164)/1000</f>
        <v>0</v>
      </c>
      <c r="BR163" s="1439">
        <f ca="1">IF(B163&gt;=$J$5,0,CONTADORES!BQ165-CONTADORES!BQ164)</f>
        <v>0</v>
      </c>
      <c r="BS163" s="1439">
        <f ca="1">IF(B163&gt;=$J$5,0,(CONTADORES!BT165-CONTADORES!BT164)+(CONTADORES!BV165-CONTADORES!BV164))/1000</f>
        <v>1.39</v>
      </c>
      <c r="BT163" s="1439">
        <f ca="1">IF(B163&gt;=$J$5,0,(CONTADORES!BU165-CONTADORES!BU164)+(CONTADORES!BW165-CONTADORES!BW164))/1000</f>
        <v>0.76500000000000001</v>
      </c>
      <c r="BU163" s="1439">
        <f ca="1">IF(B163&gt;=$J$5,0,CONTADORES!BR165-CONTADORES!BR164)</f>
        <v>6.3999999999996362</v>
      </c>
      <c r="BV163" s="1439">
        <f ca="1">IF(B163&gt;=$J$5,0,CONTADORES!BS165-CONTADORES!BS164)</f>
        <v>4.6000000000003638</v>
      </c>
      <c r="BW163" s="1439">
        <f t="shared" ca="1" si="77"/>
        <v>10.903499999999688</v>
      </c>
      <c r="BX163" s="1439">
        <f t="shared" ca="1" si="78"/>
        <v>9.3500000000005912</v>
      </c>
      <c r="BY163" s="1439">
        <f t="shared" ca="1" si="79"/>
        <v>4.5035000000000522</v>
      </c>
      <c r="BZ163" s="1439">
        <f t="shared" ca="1" si="80"/>
        <v>1.9240000000001094</v>
      </c>
      <c r="CA163" s="1439">
        <f t="shared" ca="1" si="81"/>
        <v>4.5035000000000522</v>
      </c>
      <c r="CB163" s="1439">
        <f t="shared" ca="1" si="82"/>
        <v>2.8860000000001635</v>
      </c>
      <c r="CC163" s="1439">
        <f t="shared" ca="1" si="83"/>
        <v>3.3140000000001093</v>
      </c>
      <c r="CD163" s="1439">
        <f t="shared" ca="1" si="84"/>
        <v>4.7500000000002274</v>
      </c>
      <c r="CE163" s="1439">
        <f ca="1">IF(B163&gt;=$J$5,0,CONTADORES!BS165-CONTADORES!BS164)</f>
        <v>4.6000000000003638</v>
      </c>
      <c r="CF163" s="1439">
        <f t="shared" ca="1" si="85"/>
        <v>4.7500000000002274</v>
      </c>
      <c r="CG163" s="1439">
        <f t="shared" ca="1" si="86"/>
        <v>1.4500000000000455</v>
      </c>
      <c r="CH163" s="1439">
        <f t="shared" ca="1" si="87"/>
        <v>1.4500000000000455</v>
      </c>
      <c r="CI163" s="1439">
        <f t="shared" ca="1" si="88"/>
        <v>2.2150000000000456</v>
      </c>
      <c r="CJ163" s="1488">
        <f ca="1">IF($B163&gt;=$J$5,0,CONTADORES!$BG165)</f>
        <v>8880.9331418286893</v>
      </c>
      <c r="CK163" s="1406">
        <f>CONTADORES!E165</f>
        <v>0</v>
      </c>
      <c r="CL163" s="1406">
        <f>CONTADORES!BX165</f>
        <v>0</v>
      </c>
    </row>
    <row r="164" spans="2:90">
      <c r="B164" s="410">
        <v>45080</v>
      </c>
      <c r="C164" s="204">
        <f t="shared" ca="1" si="64"/>
        <v>290</v>
      </c>
      <c r="D164" s="202">
        <f ca="1">'CALCULO DE GAS'!D176</f>
        <v>5.0454379412483341</v>
      </c>
      <c r="E164" s="202">
        <f ca="1">IF(B164&gt;=$J$5,0,(CONTADORES!$AB166-CONTADORES!$AB165)-$H164)</f>
        <v>24</v>
      </c>
      <c r="F164" s="204">
        <f t="shared" ca="1" si="90"/>
        <v>0</v>
      </c>
      <c r="G164" s="202">
        <f ca="1">IF(B164&gt;=$J$5,0,CONTADORES!$AD166-CONTADORES!$AD165)</f>
        <v>0</v>
      </c>
      <c r="H164" s="202">
        <f ca="1">IF(G164&gt;0,CONTADORES!$AC166-CONTADORES!$AC165,0)</f>
        <v>0</v>
      </c>
      <c r="I164" s="205">
        <f ca="1">IF(B164&gt;=$J$5,0,CONTADORES!$Z166-CONTADORES!$Z165)</f>
        <v>290</v>
      </c>
      <c r="J164" s="204">
        <f t="shared" ca="1" si="65"/>
        <v>148</v>
      </c>
      <c r="K164" s="202">
        <f ca="1">'CALCULO DE GAS'!E176</f>
        <v>3.7362854756774766</v>
      </c>
      <c r="L164" s="1437">
        <f ca="1">IF(B164&gt;=$J$5,0,(CONTADORES!$W166-CONTADORES!$W165)-$O164)</f>
        <v>24</v>
      </c>
      <c r="M164" s="1437">
        <f t="shared" ca="1" si="89"/>
        <v>0</v>
      </c>
      <c r="N164" s="1437">
        <f ca="1">IF(B164&gt;=$J$5,0,CONTADORES!$Y166-CONTADORES!$Y165)</f>
        <v>0</v>
      </c>
      <c r="O164" s="1437">
        <f ca="1">IF(N164&gt;0,CONTADORES!$X166-CONTADORES!$X165,0)</f>
        <v>0</v>
      </c>
      <c r="P164" s="208">
        <f ca="1">IF(B164&gt;=$J$5,0,CONTADORES!$U166-CONTADORES!$U165)</f>
        <v>148</v>
      </c>
      <c r="Q164" s="208">
        <f ca="1">IF(B164&gt;=$J$5,0,CONTADORES!$B166-CONTADORES!$B165)</f>
        <v>0</v>
      </c>
      <c r="R164" s="202">
        <f t="shared" ca="1" si="66"/>
        <v>0</v>
      </c>
      <c r="S164" s="11">
        <f ca="1">IF(B164&gt;=$J$5,0,CONTADORES!$D166-CONTADORES!$D165)</f>
        <v>0</v>
      </c>
      <c r="T164" s="204">
        <f ca="1">IF(B164&gt;=$J$5,0,CONTADORES!$AZ166-CONTADORES!$AZ165)</f>
        <v>0</v>
      </c>
      <c r="U164" s="202">
        <f t="shared" ca="1" si="61"/>
        <v>0</v>
      </c>
      <c r="V164" s="205">
        <f ca="1">IF(B164&gt;=$J$5,0,CONTADORES!$BB166-CONTADORES!$BB165)</f>
        <v>0</v>
      </c>
      <c r="W164" s="1438">
        <f t="shared" ca="1" si="67"/>
        <v>438</v>
      </c>
      <c r="X164" s="1438">
        <f t="shared" ca="1" si="68"/>
        <v>0</v>
      </c>
      <c r="Y164" s="1439">
        <f t="shared" ca="1" si="69"/>
        <v>438</v>
      </c>
      <c r="Z164" s="1439">
        <f t="shared" ca="1" si="70"/>
        <v>8.7817234169258107</v>
      </c>
      <c r="AA164" s="1439">
        <f t="shared" ca="1" si="71"/>
        <v>0</v>
      </c>
      <c r="AB164" s="1439">
        <f t="shared" ca="1" si="72"/>
        <v>48</v>
      </c>
      <c r="AC164" s="1438">
        <f t="shared" ca="1" si="73"/>
        <v>0</v>
      </c>
      <c r="AD164" s="1438">
        <f ca="1">IF(B164&gt;=$J$5,0,CONTADORES!H166-CONTADORES!H165)</f>
        <v>164</v>
      </c>
      <c r="AE164" s="1438">
        <f ca="1">IF(B164&gt;=$J$5,0,CONTADORES!J166-CONTADORES!J165)</f>
        <v>24</v>
      </c>
      <c r="AF164" s="1438">
        <f ca="1">IF(B164&gt;=$J$5,0,CONTADORES!AS166-CONTADORES!AS165)</f>
        <v>145</v>
      </c>
      <c r="AG164" s="1438">
        <f ca="1">IF(B164&gt;=$J$5,0,CONTADORES!AU166-CONTADORES!AU165)</f>
        <v>24</v>
      </c>
      <c r="AH164" s="1439">
        <f ca="1">IF(B164&gt;=$J$5,0,(CONTADORES!AK166-CONTADORES!AK165)+(CONTADORES!K166-CONTADORES!K165))</f>
        <v>9.8000000000047294</v>
      </c>
      <c r="AI164" s="1438">
        <f ca="1">IF(B164&gt;=$J$5,0,(CONTADORES!AI166-CONTADORES!AI165)+(CONTADORES!M166-CONTADORES!M165))</f>
        <v>35</v>
      </c>
      <c r="AJ164" s="1438">
        <f ca="1">IF(B164&gt;=$J$5,0,(CONTADORES!AG166-CONTADORES!AG165))</f>
        <v>5.6999999999970896</v>
      </c>
      <c r="AK164" s="1438">
        <f ca="1">IF(B164&gt;=$J$5,0,(CONTADORES!O166-CONTADORES!O165))</f>
        <v>13</v>
      </c>
      <c r="AL164" s="1450">
        <f t="shared" ca="1" si="74"/>
        <v>36.399999999999636</v>
      </c>
      <c r="AM164" s="1438">
        <f ca="1">IF(B164&gt;=$J$5,0,(((CONTADORES!F166-CONTADORES!F165)+(CONTADORES!AO166-CONTADORES!AO165))))-BJ164-AF164-AN164-BM164-BP164-BU164-BS164</f>
        <v>10.273999999999633</v>
      </c>
      <c r="AN164" s="1438">
        <f ca="1">IF(B164&gt;=$J$5,0,(CONTADORES!AV166-CONTADORES!AV165)+(CONTADORES!AX166-CONTADORES!AX165)+(CONTADORES!BC166-CONTADORES!BC165))-BS164</f>
        <v>4.6340000000000128</v>
      </c>
      <c r="AO164" s="1440">
        <f ca="1">IF(B164&gt;=$J$5,0,(CONTADORES!AA166-CONTADORES!AA165))</f>
        <v>145</v>
      </c>
      <c r="AP164" s="1450">
        <f ca="1">IF(B164&gt;=$J$5,0,(CONTADORES!V166-CONTADORES!V165))</f>
        <v>75</v>
      </c>
      <c r="AQ164" s="1450">
        <f ca="1">IF(B164&gt;=$J$5,0,(CONTADORES!C166-CONTADORES!C165))</f>
        <v>0</v>
      </c>
      <c r="AR164" s="1450">
        <f ca="1">IF(B164&gt;=$J$5,0,(CONTADORES!BA166-CONTADORES!BA165))</f>
        <v>0</v>
      </c>
      <c r="AS164" s="1450">
        <f ca="1">IF(B164&gt;=$J$5,0,CONTADORES!Q166-CONTADORES!Q165)</f>
        <v>15.100000000005821</v>
      </c>
      <c r="AT164" s="1450">
        <f ca="1">IF(B164&gt;=$J$5,0,(CONTADORES!S166-CONTADORES!S165)+(CONTADORES!AE166-CONTADORES!AE165))</f>
        <v>2.9999999999999991</v>
      </c>
      <c r="AU164" s="1450">
        <f ca="1">IF(B164&gt;=$J$5,0,(CONTADORES!I166-CONTADORES!I165))</f>
        <v>82</v>
      </c>
      <c r="AV164" s="1450">
        <f ca="1">IF(B164&gt;=$J$5,0,(CONTADORES!AT166-CONTADORES!AT165))</f>
        <v>63</v>
      </c>
      <c r="AW164" s="1450">
        <f ca="1">IF(B164&gt;=$J$5,0,(CONTADORES!L166-CONTADORES!L165)+(CONTADORES!AL166-CONTADORES!AL165))</f>
        <v>3.5999999999985448</v>
      </c>
      <c r="AX164" s="1450">
        <f ca="1">IF(B164&gt;=$J$5,0,(CONTADORES!N166-CONTADORES!N165)+(CONTADORES!AJ166-CONTADORES!AJ165))</f>
        <v>29.69999999999709</v>
      </c>
      <c r="AY164" s="1450">
        <f ca="1">IF(B164&gt;=$J$5,0,(CONTADORES!AH166-CONTADORES!AH165))</f>
        <v>4.4000000000014552</v>
      </c>
      <c r="AZ164" s="1450">
        <f ca="1">IF(B164&gt;=$J$5,0,(CONTADORES!P166-CONTADORES!P165))</f>
        <v>10.19999999999709</v>
      </c>
      <c r="BA164" s="1439">
        <f t="shared" ca="1" si="75"/>
        <v>7.8790000000063571</v>
      </c>
      <c r="BB164" s="1450">
        <f ca="1">IF(B164&gt;=$J$5,0,(((CONTADORES!G166-CONTADORES!G165)+(CONTADORES!AP166-CONTADORES!AP165)+AR164)-(AV164+BC164)))</f>
        <v>9.3599999999991894</v>
      </c>
      <c r="BC164" s="1438">
        <f ca="1">IF(B164&gt;=$J$5,0,(CONTADORES!AW166-CONTADORES!AW165)+(CONTADORES!AY166-CONTADORES!AY165)+(CONTADORES!BD166-CONTADORES!BD165))</f>
        <v>2.940000000000083</v>
      </c>
      <c r="BD164" s="1438">
        <f t="shared" ca="1" si="76"/>
        <v>220</v>
      </c>
      <c r="BE164" s="1439">
        <f ca="1">IF($B164&gt;=$J$5,0,CONTADORES!$BE166)</f>
        <v>5260.75</v>
      </c>
      <c r="BF164" s="1438">
        <f ca="1">IF($B164&gt;=$J$5,0,CONTADORES!$BF166)</f>
        <v>29760.5438596491</v>
      </c>
      <c r="BG164" s="1438">
        <f ca="1">IF($B164&gt;=$J$5,0,CONTADORES!$BH166)</f>
        <v>6875.34</v>
      </c>
      <c r="BH164" s="1438">
        <f ca="1">IF(B164&gt;=$J$5,0,(CONTADORES!AQ166-CONTADORES!AQ165))</f>
        <v>5</v>
      </c>
      <c r="BI164" s="1438">
        <f ca="1">IF(C164&gt;=$J$5,0,(CONTADORES!AR166-CONTADORES!AR165))</f>
        <v>0</v>
      </c>
      <c r="BJ164" s="1439">
        <f ca="1">IF(B164&gt;=$J$5,0,CONTADORES!BI166-CONTADORES!BI165)/1000</f>
        <v>2.2000000000000002</v>
      </c>
      <c r="BK164" s="1439">
        <f ca="1">IF(B164&gt;=$J$5,0,CONTADORES!BJ166-CONTADORES!BJ165)</f>
        <v>1</v>
      </c>
      <c r="BL164" s="1439">
        <f ca="1">IF(B164&gt;=$J$5,0,CONTADORES!BK166-CONTADORES!BK165)</f>
        <v>23.200000000000728</v>
      </c>
      <c r="BM164" s="1439">
        <f ca="1">IF(B164&gt;=$J$5,0,CONTADORES!BL166-CONTADORES!BL165)/1000</f>
        <v>4.3460000000000001</v>
      </c>
      <c r="BN164" s="1439">
        <f ca="1">IF(B164&gt;=$J$5,0,CONTADORES!BM166-CONTADORES!BM165)/1000</f>
        <v>0.81</v>
      </c>
      <c r="BO164" s="1439">
        <f ca="1">IF(B164&gt;=$J$5,0,CONTADORES!BN166-CONTADORES!BN165)</f>
        <v>24</v>
      </c>
      <c r="BP164" s="1439">
        <f ca="1">IF(B164&gt;=$J$5,0,CONTADORES!BO166-CONTADORES!BO165)/1000</f>
        <v>0</v>
      </c>
      <c r="BQ164" s="1439">
        <f ca="1">IF(B164&gt;=$J$5,0,CONTADORES!BP166-CONTADORES!BP165)/1000</f>
        <v>0</v>
      </c>
      <c r="BR164" s="1439">
        <f ca="1">IF(B164&gt;=$J$5,0,CONTADORES!BQ166-CONTADORES!BQ165)</f>
        <v>0</v>
      </c>
      <c r="BS164" s="1439">
        <f ca="1">IF(B164&gt;=$J$5,0,(CONTADORES!BT166-CONTADORES!BT165)+(CONTADORES!BV166-CONTADORES!BV165))/1000</f>
        <v>1.446</v>
      </c>
      <c r="BT164" s="1439">
        <f ca="1">IF(B164&gt;=$J$5,0,(CONTADORES!BU166-CONTADORES!BU165)+(CONTADORES!BW166-CONTADORES!BW165))/1000</f>
        <v>0.81100000000000005</v>
      </c>
      <c r="BU164" s="1439">
        <f ca="1">IF(B164&gt;=$J$5,0,CONTADORES!BR166-CONTADORES!BR165)</f>
        <v>6.1999999999989086</v>
      </c>
      <c r="BV164" s="1439">
        <f ca="1">IF(B164&gt;=$J$5,0,CONTADORES!BS166-CONTADORES!BS165)</f>
        <v>4.3000000000001819</v>
      </c>
      <c r="BW164" s="1439">
        <f t="shared" ca="1" si="77"/>
        <v>11.336999999998724</v>
      </c>
      <c r="BX164" s="1439">
        <f t="shared" ca="1" si="78"/>
        <v>8.9799999999997766</v>
      </c>
      <c r="BY164" s="1439">
        <f t="shared" ca="1" si="79"/>
        <v>5.1369999999998166</v>
      </c>
      <c r="BZ164" s="1439">
        <f t="shared" ca="1" si="80"/>
        <v>1.8536000000000052</v>
      </c>
      <c r="CA164" s="1439">
        <f t="shared" ca="1" si="81"/>
        <v>5.1369999999998166</v>
      </c>
      <c r="CB164" s="1439">
        <f t="shared" ca="1" si="82"/>
        <v>2.7804000000000073</v>
      </c>
      <c r="CC164" s="1439">
        <f t="shared" ca="1" si="83"/>
        <v>3.2996000000000052</v>
      </c>
      <c r="CD164" s="1439">
        <f t="shared" ca="1" si="84"/>
        <v>4.6799999999995947</v>
      </c>
      <c r="CE164" s="1439">
        <f ca="1">IF(B164&gt;=$J$5,0,CONTADORES!BS166-CONTADORES!BS165)</f>
        <v>4.3000000000001819</v>
      </c>
      <c r="CF164" s="1439">
        <f t="shared" ca="1" si="85"/>
        <v>4.6799999999995947</v>
      </c>
      <c r="CG164" s="1439">
        <f t="shared" ca="1" si="86"/>
        <v>1.4700000000000415</v>
      </c>
      <c r="CH164" s="1439">
        <f t="shared" ca="1" si="87"/>
        <v>1.4700000000000415</v>
      </c>
      <c r="CI164" s="1439">
        <f t="shared" ca="1" si="88"/>
        <v>2.2810000000000414</v>
      </c>
      <c r="CJ164" s="1488">
        <f ca="1">IF($B164&gt;=$J$5,0,CONTADORES!$BG166)</f>
        <v>9659.0103894223303</v>
      </c>
      <c r="CK164" s="1406">
        <f>CONTADORES!E166</f>
        <v>0</v>
      </c>
      <c r="CL164" s="1406">
        <f>CONTADORES!BX166</f>
        <v>0</v>
      </c>
    </row>
    <row r="165" spans="2:90">
      <c r="B165" s="410">
        <v>45081</v>
      </c>
      <c r="C165" s="204">
        <f t="shared" ca="1" si="64"/>
        <v>298</v>
      </c>
      <c r="D165" s="202">
        <f ca="1">'CALCULO DE GAS'!D177</f>
        <v>5.1200092428920474</v>
      </c>
      <c r="E165" s="202">
        <f ca="1">IF(B165&gt;=$J$5,0,(CONTADORES!$AB167-CONTADORES!$AB166)-$H165)</f>
        <v>24</v>
      </c>
      <c r="F165" s="204">
        <f t="shared" ca="1" si="90"/>
        <v>0</v>
      </c>
      <c r="G165" s="202">
        <f ca="1">IF(B165&gt;=$J$5,0,CONTADORES!$AD167-CONTADORES!$AD166)</f>
        <v>0</v>
      </c>
      <c r="H165" s="202">
        <f ca="1">IF(G165&gt;0,CONTADORES!$AC167-CONTADORES!$AC166,0)</f>
        <v>0</v>
      </c>
      <c r="I165" s="205">
        <f ca="1">IF(B165&gt;=$J$5,0,CONTADORES!$Z167-CONTADORES!$Z166)</f>
        <v>298</v>
      </c>
      <c r="J165" s="204">
        <f t="shared" ca="1" si="65"/>
        <v>150</v>
      </c>
      <c r="K165" s="202">
        <f ca="1">'CALCULO DE GAS'!E177</f>
        <v>3.7562599314748999</v>
      </c>
      <c r="L165" s="1437">
        <f ca="1">IF(B165&gt;=$J$5,0,(CONTADORES!$W167-CONTADORES!$W166)-$O165)</f>
        <v>24</v>
      </c>
      <c r="M165" s="1437">
        <f t="shared" ca="1" si="89"/>
        <v>0</v>
      </c>
      <c r="N165" s="1437">
        <f ca="1">IF(B165&gt;=$J$5,0,CONTADORES!$Y167-CONTADORES!$Y166)</f>
        <v>0</v>
      </c>
      <c r="O165" s="1437">
        <f ca="1">IF(N165&gt;0,CONTADORES!$X167-CONTADORES!$X166,0)</f>
        <v>0</v>
      </c>
      <c r="P165" s="208">
        <f ca="1">IF(B165&gt;=$J$5,0,CONTADORES!$U167-CONTADORES!$U166)</f>
        <v>150</v>
      </c>
      <c r="Q165" s="208">
        <f ca="1">IF(B165&gt;=$J$5,0,CONTADORES!$B167-CONTADORES!$B166)</f>
        <v>0</v>
      </c>
      <c r="R165" s="202">
        <f t="shared" ca="1" si="66"/>
        <v>0</v>
      </c>
      <c r="S165" s="11">
        <f ca="1">IF(B165&gt;=$J$5,0,CONTADORES!$D167-CONTADORES!$D166)</f>
        <v>0</v>
      </c>
      <c r="T165" s="204">
        <f ca="1">IF(B165&gt;=$J$5,0,CONTADORES!$AZ167-CONTADORES!$AZ166)</f>
        <v>0</v>
      </c>
      <c r="U165" s="202">
        <f t="shared" ref="U165:U228" ca="1" si="91">$T165*120</f>
        <v>0</v>
      </c>
      <c r="V165" s="205">
        <f ca="1">IF(B165&gt;=$J$5,0,CONTADORES!$BB167-CONTADORES!$BB166)</f>
        <v>0</v>
      </c>
      <c r="W165" s="1438">
        <f t="shared" ca="1" si="67"/>
        <v>448</v>
      </c>
      <c r="X165" s="1438">
        <f t="shared" ca="1" si="68"/>
        <v>0</v>
      </c>
      <c r="Y165" s="1439">
        <f t="shared" ca="1" si="69"/>
        <v>448</v>
      </c>
      <c r="Z165" s="1439">
        <f t="shared" ca="1" si="70"/>
        <v>8.8762691743669464</v>
      </c>
      <c r="AA165" s="1439">
        <f t="shared" ca="1" si="71"/>
        <v>0</v>
      </c>
      <c r="AB165" s="1439">
        <f t="shared" ca="1" si="72"/>
        <v>48</v>
      </c>
      <c r="AC165" s="1438">
        <f t="shared" ca="1" si="73"/>
        <v>0</v>
      </c>
      <c r="AD165" s="1438">
        <f ca="1">IF(B165&gt;=$J$5,0,CONTADORES!H167-CONTADORES!H166)</f>
        <v>164</v>
      </c>
      <c r="AE165" s="1438">
        <f ca="1">IF(B165&gt;=$J$5,0,CONTADORES!J167-CONTADORES!J166)</f>
        <v>24</v>
      </c>
      <c r="AF165" s="1438">
        <f ca="1">IF(B165&gt;=$J$5,0,CONTADORES!AS167-CONTADORES!AS166)</f>
        <v>152</v>
      </c>
      <c r="AG165" s="1438">
        <f ca="1">IF(B165&gt;=$J$5,0,CONTADORES!AU167-CONTADORES!AU166)</f>
        <v>24</v>
      </c>
      <c r="AH165" s="1439">
        <f ca="1">IF(B165&gt;=$J$5,0,(CONTADORES!AK167-CONTADORES!AK166)+(CONTADORES!K167-CONTADORES!K166))</f>
        <v>10.69999999999709</v>
      </c>
      <c r="AI165" s="1438">
        <f ca="1">IF(B165&gt;=$J$5,0,(CONTADORES!AI167-CONTADORES!AI166)+(CONTADORES!M167-CONTADORES!M166))</f>
        <v>37.30000000000291</v>
      </c>
      <c r="AJ165" s="1438">
        <f ca="1">IF(B165&gt;=$J$5,0,(CONTADORES!AG167-CONTADORES!AG166))</f>
        <v>7.5</v>
      </c>
      <c r="AK165" s="1438">
        <f ca="1">IF(B165&gt;=$J$5,0,(CONTADORES!O167-CONTADORES!O166))</f>
        <v>12.899999999994179</v>
      </c>
      <c r="AL165" s="1450">
        <f t="shared" ca="1" si="74"/>
        <v>32.600000000005878</v>
      </c>
      <c r="AM165" s="1438">
        <f ca="1">IF(B165&gt;=$J$5,0,(((CONTADORES!F167-CONTADORES!F166)+(CONTADORES!AO167-CONTADORES!AO166))))-BJ165-AF165-AN165-BM165-BP165-BU165-BS165</f>
        <v>11.238999999999727</v>
      </c>
      <c r="AN165" s="1438">
        <f ca="1">IF(B165&gt;=$J$5,0,(CONTADORES!AV167-CONTADORES!AV166)+(CONTADORES!AX167-CONTADORES!AX166)+(CONTADORES!BC167-CONTADORES!BC166))-BS165</f>
        <v>4.7370000000002728</v>
      </c>
      <c r="AO165" s="1440">
        <f ca="1">IF(B165&gt;=$J$5,0,(CONTADORES!AA167-CONTADORES!AA166))</f>
        <v>152</v>
      </c>
      <c r="AP165" s="1450">
        <f ca="1">IF(B165&gt;=$J$5,0,(CONTADORES!V167-CONTADORES!V166))</f>
        <v>74</v>
      </c>
      <c r="AQ165" s="1450">
        <f ca="1">IF(B165&gt;=$J$5,0,(CONTADORES!C167-CONTADORES!C166))</f>
        <v>0</v>
      </c>
      <c r="AR165" s="1450">
        <f ca="1">IF(B165&gt;=$J$5,0,(CONTADORES!BA167-CONTADORES!BA166))</f>
        <v>0</v>
      </c>
      <c r="AS165" s="1450">
        <f ca="1">IF(B165&gt;=$J$5,0,CONTADORES!Q167-CONTADORES!Q166)</f>
        <v>14.5</v>
      </c>
      <c r="AT165" s="1450">
        <f ca="1">IF(B165&gt;=$J$5,0,(CONTADORES!S167-CONTADORES!S166)+(CONTADORES!AE167-CONTADORES!AE166))</f>
        <v>3.3000000000000007</v>
      </c>
      <c r="AU165" s="1450">
        <f ca="1">IF(B165&gt;=$J$5,0,(CONTADORES!I167-CONTADORES!I166))</f>
        <v>82</v>
      </c>
      <c r="AV165" s="1450">
        <f ca="1">IF(B165&gt;=$J$5,0,(CONTADORES!AT167-CONTADORES!AT166))</f>
        <v>66</v>
      </c>
      <c r="AW165" s="1450">
        <f ca="1">IF(B165&gt;=$J$5,0,(CONTADORES!L167-CONTADORES!L166)+(CONTADORES!AL167-CONTADORES!AL166))</f>
        <v>4.2000000000007276</v>
      </c>
      <c r="AX165" s="1450">
        <f ca="1">IF(B165&gt;=$J$5,0,(CONTADORES!N167-CONTADORES!N166)+(CONTADORES!AJ167-CONTADORES!AJ166))</f>
        <v>31.700000000004366</v>
      </c>
      <c r="AY165" s="1450">
        <f ca="1">IF(B165&gt;=$J$5,0,(CONTADORES!AH167-CONTADORES!AH166))</f>
        <v>5.8000000000029104</v>
      </c>
      <c r="AZ165" s="1450">
        <f ca="1">IF(B165&gt;=$J$5,0,(CONTADORES!P167-CONTADORES!P166))</f>
        <v>10.399999999994179</v>
      </c>
      <c r="BA165" s="1439">
        <f t="shared" ca="1" si="75"/>
        <v>5.6819999999979984</v>
      </c>
      <c r="BB165" s="1450">
        <f ca="1">IF(B165&gt;=$J$5,0,(((CONTADORES!G167-CONTADORES!G166)+(CONTADORES!AP167-CONTADORES!AP166)+AR165)-(AV165+BC165)))</f>
        <v>10.100000000000364</v>
      </c>
      <c r="BC165" s="1438">
        <f ca="1">IF(B165&gt;=$J$5,0,(CONTADORES!AW167-CONTADORES!AW166)+(CONTADORES!AY167-CONTADORES!AY166)+(CONTADORES!BD167-CONTADORES!BD166))</f>
        <v>3</v>
      </c>
      <c r="BD165" s="1438">
        <f t="shared" ca="1" si="76"/>
        <v>226</v>
      </c>
      <c r="BE165" s="1439">
        <f ca="1">IF($B165&gt;=$J$5,0,CONTADORES!$BE167)</f>
        <v>5742.27</v>
      </c>
      <c r="BF165" s="1438">
        <f ca="1">IF($B165&gt;=$J$5,0,CONTADORES!$BF167)</f>
        <v>30269.587719298244</v>
      </c>
      <c r="BG165" s="1438">
        <f ca="1">IF($B165&gt;=$J$5,0,CONTADORES!$BH167)</f>
        <v>7622.7</v>
      </c>
      <c r="BH165" s="1438">
        <f ca="1">IF(B165&gt;=$J$5,0,(CONTADORES!AQ167-CONTADORES!AQ166))</f>
        <v>5</v>
      </c>
      <c r="BI165" s="1438">
        <f ca="1">IF(C165&gt;=$J$5,0,(CONTADORES!AR167-CONTADORES!AR166))</f>
        <v>0</v>
      </c>
      <c r="BJ165" s="1439">
        <f ca="1">IF(B165&gt;=$J$5,0,CONTADORES!BI167-CONTADORES!BI166)/1000</f>
        <v>2</v>
      </c>
      <c r="BK165" s="1439">
        <f ca="1">IF(B165&gt;=$J$5,0,CONTADORES!BJ167-CONTADORES!BJ166)</f>
        <v>1</v>
      </c>
      <c r="BL165" s="1439">
        <f ca="1">IF(B165&gt;=$J$5,0,CONTADORES!BK167-CONTADORES!BK166)</f>
        <v>24</v>
      </c>
      <c r="BM165" s="1439">
        <f ca="1">IF(B165&gt;=$J$5,0,CONTADORES!BL167-CONTADORES!BL166)/1000</f>
        <v>5.0609999999999999</v>
      </c>
      <c r="BN165" s="1439">
        <f ca="1">IF(B165&gt;=$J$5,0,CONTADORES!BM167-CONTADORES!BM166)/1000</f>
        <v>0.70199999999999996</v>
      </c>
      <c r="BO165" s="1439">
        <f ca="1">IF(B165&gt;=$J$5,0,CONTADORES!BN167-CONTADORES!BN166)</f>
        <v>23.599999999998545</v>
      </c>
      <c r="BP165" s="1439">
        <f ca="1">IF(B165&gt;=$J$5,0,CONTADORES!BO167-CONTADORES!BO166)/1000</f>
        <v>0</v>
      </c>
      <c r="BQ165" s="1439">
        <f ca="1">IF(B165&gt;=$J$5,0,CONTADORES!BP167-CONTADORES!BP166)/1000</f>
        <v>0</v>
      </c>
      <c r="BR165" s="1439">
        <f ca="1">IF(B165&gt;=$J$5,0,CONTADORES!BQ167-CONTADORES!BQ166)</f>
        <v>0</v>
      </c>
      <c r="BS165" s="1439">
        <f ca="1">IF(B165&gt;=$J$5,0,(CONTADORES!BT167-CONTADORES!BT166)+(CONTADORES!BV167-CONTADORES!BV166))/1000</f>
        <v>1.4630000000000001</v>
      </c>
      <c r="BT165" s="1439">
        <f ca="1">IF(B165&gt;=$J$5,0,(CONTADORES!BU167-CONTADORES!BU166)+(CONTADORES!BW167-CONTADORES!BW166))/1000</f>
        <v>0.81599999999999995</v>
      </c>
      <c r="BU165" s="1439">
        <f ca="1">IF(B165&gt;=$J$5,0,CONTADORES!BR167-CONTADORES!BR166)</f>
        <v>6.5</v>
      </c>
      <c r="BV165" s="1439">
        <f ca="1">IF(B165&gt;=$J$5,0,CONTADORES!BS167-CONTADORES!BS166)</f>
        <v>4.5999999999994543</v>
      </c>
      <c r="BW165" s="1439">
        <f t="shared" ca="1" si="77"/>
        <v>12.119499999999864</v>
      </c>
      <c r="BX165" s="1439">
        <f t="shared" ca="1" si="78"/>
        <v>9.6499999999996362</v>
      </c>
      <c r="BY165" s="1439">
        <f t="shared" ca="1" si="79"/>
        <v>5.6194999999998636</v>
      </c>
      <c r="BZ165" s="1439">
        <f t="shared" ca="1" si="80"/>
        <v>1.8948000000001093</v>
      </c>
      <c r="CA165" s="1439">
        <f t="shared" ca="1" si="81"/>
        <v>5.6194999999998636</v>
      </c>
      <c r="CB165" s="1439">
        <f t="shared" ca="1" si="82"/>
        <v>2.8422000000001635</v>
      </c>
      <c r="CC165" s="1439">
        <f t="shared" ca="1" si="83"/>
        <v>3.3578000000001094</v>
      </c>
      <c r="CD165" s="1439">
        <f t="shared" ca="1" si="84"/>
        <v>5.0500000000001819</v>
      </c>
      <c r="CE165" s="1439">
        <f ca="1">IF(B165&gt;=$J$5,0,CONTADORES!BS167-CONTADORES!BS166)</f>
        <v>4.5999999999994543</v>
      </c>
      <c r="CF165" s="1439">
        <f t="shared" ca="1" si="85"/>
        <v>5.0500000000001819</v>
      </c>
      <c r="CG165" s="1439">
        <f t="shared" ca="1" si="86"/>
        <v>1.5</v>
      </c>
      <c r="CH165" s="1439">
        <f t="shared" ca="1" si="87"/>
        <v>1.5</v>
      </c>
      <c r="CI165" s="1439">
        <f t="shared" ca="1" si="88"/>
        <v>2.3159999999999998</v>
      </c>
      <c r="CJ165" s="1488">
        <f ca="1">IF($B165&gt;=$J$5,0,CONTADORES!$BG167)</f>
        <v>8841.8272660643743</v>
      </c>
      <c r="CK165" s="1406">
        <f>CONTADORES!E167</f>
        <v>0</v>
      </c>
      <c r="CL165" s="1406">
        <f>CONTADORES!BX167</f>
        <v>0</v>
      </c>
    </row>
    <row r="166" spans="2:90">
      <c r="B166" s="410">
        <v>45082</v>
      </c>
      <c r="C166" s="204">
        <f t="shared" ca="1" si="64"/>
        <v>279</v>
      </c>
      <c r="D166" s="202">
        <f ca="1">'CALCULO DE GAS'!D178</f>
        <v>4.9429024014882268</v>
      </c>
      <c r="E166" s="202">
        <f ca="1">IF(B166&gt;=$J$5,0,(CONTADORES!$AB168-CONTADORES!$AB167)-$H166)</f>
        <v>24</v>
      </c>
      <c r="F166" s="204">
        <f t="shared" ca="1" si="90"/>
        <v>0</v>
      </c>
      <c r="G166" s="202">
        <f ca="1">IF(B166&gt;=$J$5,0,CONTADORES!$AD168-CONTADORES!$AD167)</f>
        <v>0</v>
      </c>
      <c r="H166" s="202">
        <f ca="1">IF(G166&gt;0,CONTADORES!$AC168-CONTADORES!$AC167,0)</f>
        <v>0</v>
      </c>
      <c r="I166" s="205">
        <f ca="1">IF(B166&gt;=$J$5,0,CONTADORES!$Z168-CONTADORES!$Z167)</f>
        <v>279</v>
      </c>
      <c r="J166" s="204">
        <f t="shared" ca="1" si="65"/>
        <v>146</v>
      </c>
      <c r="K166" s="202">
        <f ca="1">'CALCULO DE GAS'!E178</f>
        <v>3.7163110198800533</v>
      </c>
      <c r="L166" s="1437">
        <f ca="1">IF(B166&gt;=$J$5,0,(CONTADORES!$W168-CONTADORES!$W167)-$O166)</f>
        <v>24</v>
      </c>
      <c r="M166" s="1437">
        <f t="shared" ca="1" si="89"/>
        <v>0</v>
      </c>
      <c r="N166" s="1437">
        <f ca="1">IF(B166&gt;=$J$5,0,CONTADORES!$Y168-CONTADORES!$Y167)</f>
        <v>0</v>
      </c>
      <c r="O166" s="1437">
        <f ca="1">IF(N166&gt;0,CONTADORES!$X168-CONTADORES!$X167,0)</f>
        <v>0</v>
      </c>
      <c r="P166" s="208">
        <f ca="1">IF(B166&gt;=$J$5,0,CONTADORES!$U168-CONTADORES!$U167)</f>
        <v>146</v>
      </c>
      <c r="Q166" s="208">
        <f ca="1">IF(B166&gt;=$J$5,0,CONTADORES!$B168-CONTADORES!$B167)</f>
        <v>0.25900000000001455</v>
      </c>
      <c r="R166" s="202">
        <f t="shared" ca="1" si="66"/>
        <v>31.080000000001746</v>
      </c>
      <c r="S166" s="11">
        <f ca="1">IF(B166&gt;=$J$5,0,CONTADORES!$D168-CONTADORES!$D167)</f>
        <v>0.5999999999994543</v>
      </c>
      <c r="T166" s="204">
        <f ca="1">IF(B166&gt;=$J$5,0,CONTADORES!$AZ168-CONTADORES!$AZ167)</f>
        <v>0.375</v>
      </c>
      <c r="U166" s="202">
        <f t="shared" ca="1" si="91"/>
        <v>45</v>
      </c>
      <c r="V166" s="205">
        <f ca="1">IF(B166&gt;=$J$5,0,CONTADORES!$BB168-CONTADORES!$BB167)</f>
        <v>0.30999999999994543</v>
      </c>
      <c r="W166" s="1438">
        <f t="shared" ca="1" si="67"/>
        <v>425</v>
      </c>
      <c r="X166" s="1438">
        <f t="shared" ca="1" si="68"/>
        <v>0.63400000000001455</v>
      </c>
      <c r="Y166" s="1439">
        <f t="shared" ca="1" si="69"/>
        <v>425.63400000000001</v>
      </c>
      <c r="Z166" s="1439">
        <f t="shared" ca="1" si="70"/>
        <v>8.6592134213682801</v>
      </c>
      <c r="AA166" s="1439">
        <f t="shared" ca="1" si="71"/>
        <v>76.080000000001746</v>
      </c>
      <c r="AB166" s="1439">
        <f t="shared" ca="1" si="72"/>
        <v>48</v>
      </c>
      <c r="AC166" s="1438">
        <f t="shared" ca="1" si="73"/>
        <v>0.90999999999939973</v>
      </c>
      <c r="AD166" s="1438">
        <f ca="1">IF(B166&gt;=$J$5,0,CONTADORES!H168-CONTADORES!H167)</f>
        <v>157</v>
      </c>
      <c r="AE166" s="1438">
        <f ca="1">IF(B166&gt;=$J$5,0,CONTADORES!J168-CONTADORES!J167)</f>
        <v>24</v>
      </c>
      <c r="AF166" s="1438">
        <f ca="1">IF(B166&gt;=$J$5,0,CONTADORES!AS168-CONTADORES!AS167)</f>
        <v>149</v>
      </c>
      <c r="AG166" s="1438">
        <f ca="1">IF(B166&gt;=$J$5,0,CONTADORES!AU168-CONTADORES!AU167)</f>
        <v>24</v>
      </c>
      <c r="AH166" s="1439">
        <f ca="1">IF(B166&gt;=$J$5,0,(CONTADORES!AK168-CONTADORES!AK167)+(CONTADORES!K168-CONTADORES!K167))</f>
        <v>0.80000000000291038</v>
      </c>
      <c r="AI166" s="1438">
        <f ca="1">IF(B166&gt;=$J$5,0,(CONTADORES!AI168-CONTADORES!AI167)+(CONTADORES!M168-CONTADORES!M167))</f>
        <v>38.5</v>
      </c>
      <c r="AJ166" s="1438">
        <f ca="1">IF(B166&gt;=$J$5,0,(CONTADORES!AG168-CONTADORES!AG167))</f>
        <v>6.6000000000058208</v>
      </c>
      <c r="AK166" s="1438">
        <f ca="1">IF(B166&gt;=$J$5,0,(CONTADORES!O168-CONTADORES!O167))</f>
        <v>11.299999999988358</v>
      </c>
      <c r="AL166" s="1450">
        <f t="shared" ca="1" si="74"/>
        <v>34.73400000000214</v>
      </c>
      <c r="AM166" s="1438">
        <f ca="1">IF(B166&gt;=$J$5,0,(((CONTADORES!F168-CONTADORES!F167)+(CONTADORES!AO168-CONTADORES!AO167))))-BJ166-AF166-AN166-BM166-BP166-BU166-BS166</f>
        <v>8.8950000000001932</v>
      </c>
      <c r="AN166" s="1438">
        <f ca="1">IF(B166&gt;=$J$5,0,(CONTADORES!AV168-CONTADORES!AV167)+(CONTADORES!AX168-CONTADORES!AX167)+(CONTADORES!BC168-CONTADORES!BC167))-BS166</f>
        <v>4.2759999999994545</v>
      </c>
      <c r="AO166" s="1440">
        <f ca="1">IF(B166&gt;=$J$5,0,(CONTADORES!AA168-CONTADORES!AA167))</f>
        <v>142</v>
      </c>
      <c r="AP166" s="1450">
        <f ca="1">IF(B166&gt;=$J$5,0,(CONTADORES!V168-CONTADORES!V167))</f>
        <v>73</v>
      </c>
      <c r="AQ166" s="1450">
        <f ca="1">IF(B166&gt;=$J$5,0,(CONTADORES!C168-CONTADORES!C167))</f>
        <v>0.13400000000001455</v>
      </c>
      <c r="AR166" s="1450">
        <f ca="1">IF(B166&gt;=$J$5,0,(CONTADORES!BA168-CONTADORES!BA167))</f>
        <v>0.14400000000000546</v>
      </c>
      <c r="AS166" s="1450">
        <f ca="1">IF(B166&gt;=$J$5,0,CONTADORES!Q168-CONTADORES!Q167)</f>
        <v>14.100000000005821</v>
      </c>
      <c r="AT166" s="1450">
        <f ca="1">IF(B166&gt;=$J$5,0,(CONTADORES!S168-CONTADORES!S167)+(CONTADORES!AE168-CONTADORES!AE167))</f>
        <v>3.1999999999999993</v>
      </c>
      <c r="AU166" s="1450">
        <f ca="1">IF(B166&gt;=$J$5,0,(CONTADORES!I168-CONTADORES!I167))</f>
        <v>81</v>
      </c>
      <c r="AV166" s="1450">
        <f ca="1">IF(B166&gt;=$J$5,0,(CONTADORES!AT168-CONTADORES!AT167))</f>
        <v>65</v>
      </c>
      <c r="AW166" s="1450">
        <f ca="1">IF(B166&gt;=$J$5,0,(CONTADORES!L168-CONTADORES!L167)+(CONTADORES!AL168-CONTADORES!AL167))</f>
        <v>0.2999999999992724</v>
      </c>
      <c r="AX166" s="1450">
        <f ca="1">IF(B166&gt;=$J$5,0,(CONTADORES!N168-CONTADORES!N167)+(CONTADORES!AJ168-CONTADORES!AJ167))</f>
        <v>32.400000000001455</v>
      </c>
      <c r="AY166" s="1450">
        <f ca="1">IF(B166&gt;=$J$5,0,(CONTADORES!AH168-CONTADORES!AH167))</f>
        <v>5</v>
      </c>
      <c r="AZ166" s="1450">
        <f ca="1">IF(B166&gt;=$J$5,0,(CONTADORES!P168-CONTADORES!P167))</f>
        <v>9.3000000000029104</v>
      </c>
      <c r="BA166" s="1439">
        <f t="shared" ca="1" si="75"/>
        <v>4.0909999999954607</v>
      </c>
      <c r="BB166" s="1450">
        <f ca="1">IF(B166&gt;=$J$5,0,(((CONTADORES!G168-CONTADORES!G167)+(CONTADORES!AP168-CONTADORES!AP167)+AR166)-(AV166+BC166)))</f>
        <v>8.4440000000001874</v>
      </c>
      <c r="BC166" s="1438">
        <f ca="1">IF(B166&gt;=$J$5,0,(CONTADORES!AW168-CONTADORES!AW167)+(CONTADORES!AY168-CONTADORES!AY167)+(CONTADORES!BD168-CONTADORES!BD167))</f>
        <v>2.8000000000001819</v>
      </c>
      <c r="BD166" s="1438">
        <f t="shared" ca="1" si="76"/>
        <v>215.27800000000002</v>
      </c>
      <c r="BE166" s="1439">
        <f ca="1">IF($B166&gt;=$J$5,0,CONTADORES!$BE168)</f>
        <v>5935</v>
      </c>
      <c r="BF166" s="1438">
        <f ca="1">IF($B166&gt;=$J$5,0,CONTADORES!$BF168)</f>
        <v>30301.412280701752</v>
      </c>
      <c r="BG166" s="1438">
        <f ca="1">IF($B166&gt;=$J$5,0,CONTADORES!$BH168)</f>
        <v>6603.25</v>
      </c>
      <c r="BH166" s="1438">
        <f ca="1">IF(B166&gt;=$J$5,0,(CONTADORES!AQ168-CONTADORES!AQ167))</f>
        <v>5</v>
      </c>
      <c r="BI166" s="1438">
        <f ca="1">IF(C166&gt;=$J$5,0,(CONTADORES!AR168-CONTADORES!AR167))</f>
        <v>0</v>
      </c>
      <c r="BJ166" s="1439">
        <f ca="1">IF(B166&gt;=$J$5,0,CONTADORES!BI168-CONTADORES!BI167)/1000</f>
        <v>1.92</v>
      </c>
      <c r="BK166" s="1439">
        <f ca="1">IF(B166&gt;=$J$5,0,CONTADORES!BJ168-CONTADORES!BJ167)</f>
        <v>1</v>
      </c>
      <c r="BL166" s="1439">
        <f ca="1">IF(B166&gt;=$J$5,0,CONTADORES!BK168-CONTADORES!BK167)</f>
        <v>24</v>
      </c>
      <c r="BM166" s="1439">
        <f ca="1">IF(B166&gt;=$J$5,0,CONTADORES!BL168-CONTADORES!BL167)/1000</f>
        <v>4.9850000000000003</v>
      </c>
      <c r="BN166" s="1439">
        <f ca="1">IF(B166&gt;=$J$5,0,CONTADORES!BM168-CONTADORES!BM167)/1000</f>
        <v>0.82</v>
      </c>
      <c r="BO166" s="1439">
        <f ca="1">IF(B166&gt;=$J$5,0,CONTADORES!BN168-CONTADORES!BN167)</f>
        <v>24</v>
      </c>
      <c r="BP166" s="1439">
        <f ca="1">IF(B166&gt;=$J$5,0,CONTADORES!BO168-CONTADORES!BO167)/1000</f>
        <v>0</v>
      </c>
      <c r="BQ166" s="1439">
        <f ca="1">IF(B166&gt;=$J$5,0,CONTADORES!BP168-CONTADORES!BP167)/1000</f>
        <v>0</v>
      </c>
      <c r="BR166" s="1439">
        <f ca="1">IF(B166&gt;=$J$5,0,CONTADORES!BQ168-CONTADORES!BQ167)</f>
        <v>0</v>
      </c>
      <c r="BS166" s="1439">
        <f ca="1">IF(B166&gt;=$J$5,0,(CONTADORES!BT168-CONTADORES!BT167)+(CONTADORES!BV168-CONTADORES!BV167))/1000</f>
        <v>1.3240000000000001</v>
      </c>
      <c r="BT166" s="1439">
        <f ca="1">IF(B166&gt;=$J$5,0,(CONTADORES!BU168-CONTADORES!BU167)+(CONTADORES!BW168-CONTADORES!BW167))/1000</f>
        <v>0.72299999999999998</v>
      </c>
      <c r="BU166" s="1439">
        <f ca="1">IF(B166&gt;=$J$5,0,CONTADORES!BR168-CONTADORES!BR167)</f>
        <v>6.3000000000010914</v>
      </c>
      <c r="BV166" s="1439">
        <f ca="1">IF(B166&gt;=$J$5,0,CONTADORES!BS168-CONTADORES!BS167)</f>
        <v>4.4000000000005457</v>
      </c>
      <c r="BW166" s="1439">
        <f t="shared" ca="1" si="77"/>
        <v>10.747500000001189</v>
      </c>
      <c r="BX166" s="1439">
        <f t="shared" ca="1" si="78"/>
        <v>8.6220000000006394</v>
      </c>
      <c r="BY166" s="1439">
        <f t="shared" ca="1" si="79"/>
        <v>4.4475000000000966</v>
      </c>
      <c r="BZ166" s="1439">
        <f t="shared" ca="1" si="80"/>
        <v>1.7103999999997819</v>
      </c>
      <c r="CA166" s="1439">
        <f t="shared" ca="1" si="81"/>
        <v>4.4475000000000966</v>
      </c>
      <c r="CB166" s="1439">
        <f t="shared" ca="1" si="82"/>
        <v>2.5655999999996726</v>
      </c>
      <c r="CC166" s="1439">
        <f t="shared" ca="1" si="83"/>
        <v>3.0343999999997822</v>
      </c>
      <c r="CD166" s="1439">
        <f t="shared" ca="1" si="84"/>
        <v>4.2220000000000937</v>
      </c>
      <c r="CE166" s="1439">
        <f ca="1">IF(B166&gt;=$J$5,0,CONTADORES!BS168-CONTADORES!BS167)</f>
        <v>4.4000000000005457</v>
      </c>
      <c r="CF166" s="1439">
        <f t="shared" ca="1" si="85"/>
        <v>4.2220000000000937</v>
      </c>
      <c r="CG166" s="1439">
        <f t="shared" ca="1" si="86"/>
        <v>1.4000000000000909</v>
      </c>
      <c r="CH166" s="1439">
        <f t="shared" ca="1" si="87"/>
        <v>1.4000000000000909</v>
      </c>
      <c r="CI166" s="1439">
        <f t="shared" ca="1" si="88"/>
        <v>2.1230000000000908</v>
      </c>
      <c r="CJ166" s="1488">
        <f ca="1">IF($B166&gt;=$J$5,0,CONTADORES!$BG168)</f>
        <v>7861.0369547806713</v>
      </c>
      <c r="CK166" s="1406">
        <f>CONTADORES!E168</f>
        <v>1</v>
      </c>
      <c r="CL166" s="1406">
        <f>CONTADORES!BX168</f>
        <v>1</v>
      </c>
    </row>
    <row r="167" spans="2:90">
      <c r="B167" s="410">
        <v>45083</v>
      </c>
      <c r="C167" s="204">
        <f t="shared" ca="1" si="64"/>
        <v>311.35999999998603</v>
      </c>
      <c r="D167" s="202">
        <f ca="1">'CALCULO DE GAS'!D179</f>
        <v>5.2445433166369195</v>
      </c>
      <c r="E167" s="202">
        <f ca="1">IF(B167&gt;=$J$5,0,(CONTADORES!$AB169-CONTADORES!$AB168)-$H167)</f>
        <v>24</v>
      </c>
      <c r="F167" s="204">
        <f t="shared" ca="1" si="90"/>
        <v>0</v>
      </c>
      <c r="G167" s="202">
        <f ca="1">IF(B167&gt;=$J$5,0,CONTADORES!$AD169-CONTADORES!$AD168)</f>
        <v>0</v>
      </c>
      <c r="H167" s="202">
        <f ca="1">IF(G167&gt;0,CONTADORES!$AC169-CONTADORES!$AC168,0)</f>
        <v>0</v>
      </c>
      <c r="I167" s="205">
        <f ca="1">IF(B167&gt;=$J$5,0,CONTADORES!$Z169-CONTADORES!$Z168)</f>
        <v>311.35999999998603</v>
      </c>
      <c r="J167" s="204">
        <f t="shared" ca="1" si="65"/>
        <v>153.44700000000012</v>
      </c>
      <c r="K167" s="202">
        <f ca="1">'CALCULO DE GAS'!E179</f>
        <v>3.7906859060417606</v>
      </c>
      <c r="L167" s="1437">
        <f ca="1">IF(B167&gt;=$J$5,0,(CONTADORES!$W169-CONTADORES!$W168)-$O167)</f>
        <v>24</v>
      </c>
      <c r="M167" s="1437">
        <f t="shared" ca="1" si="89"/>
        <v>0</v>
      </c>
      <c r="N167" s="1437">
        <f ca="1">IF(B167&gt;=$J$5,0,CONTADORES!$Y169-CONTADORES!$Y168)</f>
        <v>0</v>
      </c>
      <c r="O167" s="1437">
        <f ca="1">IF(N167&gt;0,CONTADORES!$X169-CONTADORES!$X168,0)</f>
        <v>0</v>
      </c>
      <c r="P167" s="208">
        <f ca="1">IF(B167&gt;=$J$5,0,CONTADORES!$U169-CONTADORES!$U168)</f>
        <v>153.44700000000012</v>
      </c>
      <c r="Q167" s="208">
        <f ca="1">IF(B167&gt;=$J$5,0,CONTADORES!$B169-CONTADORES!$B168)</f>
        <v>0</v>
      </c>
      <c r="R167" s="202">
        <f t="shared" ca="1" si="66"/>
        <v>0</v>
      </c>
      <c r="S167" s="11">
        <f ca="1">IF(B167&gt;=$J$5,0,CONTADORES!$D169-CONTADORES!$D168)</f>
        <v>0</v>
      </c>
      <c r="T167" s="204">
        <f ca="1">IF(B167&gt;=$J$5,0,CONTADORES!$AZ169-CONTADORES!$AZ168)</f>
        <v>0</v>
      </c>
      <c r="U167" s="202">
        <f t="shared" ca="1" si="91"/>
        <v>0</v>
      </c>
      <c r="V167" s="205">
        <f ca="1">IF(B167&gt;=$J$5,0,CONTADORES!$BB169-CONTADORES!$BB168)</f>
        <v>0</v>
      </c>
      <c r="W167" s="1438">
        <f t="shared" ca="1" si="67"/>
        <v>464.80699999998615</v>
      </c>
      <c r="X167" s="1438">
        <f t="shared" ca="1" si="68"/>
        <v>0</v>
      </c>
      <c r="Y167" s="1439">
        <f t="shared" ca="1" si="69"/>
        <v>464.80699999998615</v>
      </c>
      <c r="Z167" s="1439">
        <f t="shared" ca="1" si="70"/>
        <v>9.0352292226786801</v>
      </c>
      <c r="AA167" s="1439">
        <f t="shared" ca="1" si="71"/>
        <v>0</v>
      </c>
      <c r="AB167" s="1439">
        <f t="shared" ca="1" si="72"/>
        <v>48</v>
      </c>
      <c r="AC167" s="1438">
        <f t="shared" ca="1" si="73"/>
        <v>0</v>
      </c>
      <c r="AD167" s="1438">
        <f ca="1">IF(B167&gt;=$J$5,0,CONTADORES!H169-CONTADORES!H168)</f>
        <v>164.48999999999978</v>
      </c>
      <c r="AE167" s="1438">
        <f ca="1">IF(B167&gt;=$J$5,0,CONTADORES!J169-CONTADORES!J168)</f>
        <v>24</v>
      </c>
      <c r="AF167" s="1438">
        <f ca="1">IF(B167&gt;=$J$5,0,CONTADORES!AS169-CONTADORES!AS168)</f>
        <v>151</v>
      </c>
      <c r="AG167" s="1438">
        <f ca="1">IF(B167&gt;=$J$5,0,CONTADORES!AU169-CONTADORES!AU168)</f>
        <v>24</v>
      </c>
      <c r="AH167" s="1439">
        <f ca="1">IF(B167&gt;=$J$5,0,(CONTADORES!AK169-CONTADORES!AK168)+(CONTADORES!K169-CONTADORES!K168))</f>
        <v>18.599999999998545</v>
      </c>
      <c r="AI167" s="1438">
        <f ca="1">IF(B167&gt;=$J$5,0,(CONTADORES!AI169-CONTADORES!AI168)+(CONTADORES!M169-CONTADORES!M168))</f>
        <v>39.470000000001164</v>
      </c>
      <c r="AJ167" s="1438">
        <f ca="1">IF(B167&gt;=$J$5,0,(CONTADORES!AG169-CONTADORES!AG168))</f>
        <v>5.2999999999883585</v>
      </c>
      <c r="AK167" s="1438">
        <f ca="1">IF(B167&gt;=$J$5,0,(CONTADORES!O169-CONTADORES!O168))</f>
        <v>14.25</v>
      </c>
      <c r="AL167" s="1450">
        <f t="shared" ca="1" si="74"/>
        <v>36.597000000010667</v>
      </c>
      <c r="AM167" s="1438">
        <f ca="1">IF(B167&gt;=$J$5,0,(((CONTADORES!F169-CONTADORES!F168)+(CONTADORES!AO169-CONTADORES!AO168))))-BJ167-AF167-AN167-BM167-BP167-BU167-BS167</f>
        <v>15.199999999988005</v>
      </c>
      <c r="AN167" s="1438">
        <f ca="1">IF(B167&gt;=$J$5,0,(CONTADORES!AV169-CONTADORES!AV168)+(CONTADORES!AX169-CONTADORES!AX168)+(CONTADORES!BC169-CONTADORES!BC168))-BS167</f>
        <v>4.5120000000005014</v>
      </c>
      <c r="AO167" s="1440">
        <f ca="1">IF(B167&gt;=$J$5,0,(CONTADORES!AA169-CONTADORES!AA168))</f>
        <v>151.45000000001164</v>
      </c>
      <c r="AP167" s="1450">
        <f ca="1">IF(B167&gt;=$J$5,0,(CONTADORES!V169-CONTADORES!V168))</f>
        <v>79.840000000000146</v>
      </c>
      <c r="AQ167" s="1450">
        <f ca="1">IF(B167&gt;=$J$5,0,(CONTADORES!C169-CONTADORES!C168))</f>
        <v>0</v>
      </c>
      <c r="AR167" s="1450">
        <f ca="1">IF(B167&gt;=$J$5,0,(CONTADORES!BA169-CONTADORES!BA168))</f>
        <v>0</v>
      </c>
      <c r="AS167" s="1450">
        <f ca="1">IF(B167&gt;=$J$5,0,CONTADORES!Q169-CONTADORES!Q168)</f>
        <v>15.089999999996508</v>
      </c>
      <c r="AT167" s="1450">
        <f ca="1">IF(B167&gt;=$J$5,0,(CONTADORES!S169-CONTADORES!S168)+(CONTADORES!AE169-CONTADORES!AE168))</f>
        <v>3.4000000000000021</v>
      </c>
      <c r="AU167" s="1450">
        <f ca="1">IF(B167&gt;=$J$5,0,(CONTADORES!I169-CONTADORES!I168))</f>
        <v>82.899999999999636</v>
      </c>
      <c r="AV167" s="1450">
        <f ca="1">IF(B167&gt;=$J$5,0,(CONTADORES!AT169-CONTADORES!AT168))</f>
        <v>65.10999999998603</v>
      </c>
      <c r="AW167" s="1450">
        <f ca="1">IF(B167&gt;=$J$5,0,(CONTADORES!L169-CONTADORES!L168)+(CONTADORES!AL169-CONTADORES!AL168))</f>
        <v>7.2999999999992724</v>
      </c>
      <c r="AX167" s="1450">
        <f ca="1">IF(B167&gt;=$J$5,0,(CONTADORES!N169-CONTADORES!N168)+(CONTADORES!AJ169-CONTADORES!AJ168))</f>
        <v>33.430000000000291</v>
      </c>
      <c r="AY167" s="1450">
        <f ca="1">IF(B167&gt;=$J$5,0,(CONTADORES!AH169-CONTADORES!AH168))</f>
        <v>4.0400000000008731</v>
      </c>
      <c r="AZ167" s="1450">
        <f ca="1">IF(B167&gt;=$J$5,0,(CONTADORES!P169-CONTADORES!P168))</f>
        <v>10.880000000004657</v>
      </c>
      <c r="BA167" s="1439">
        <f t="shared" ca="1" si="75"/>
        <v>6.4320000000132893</v>
      </c>
      <c r="BB167" s="1450">
        <f ca="1">IF(B167&gt;=$J$5,0,(((CONTADORES!G169-CONTADORES!G168)+(CONTADORES!AP169-CONTADORES!AP168)+AR167)-(AV167+BC167)))</f>
        <v>11.350000000008521</v>
      </c>
      <c r="BC167" s="1438">
        <f ca="1">IF(B167&gt;=$J$5,0,(CONTADORES!AW169-CONTADORES!AW168)+(CONTADORES!AY169-CONTADORES!AY168)+(CONTADORES!BD169-CONTADORES!BD168))</f>
        <v>2.9399999999996282</v>
      </c>
      <c r="BD167" s="1438">
        <f t="shared" ca="1" si="76"/>
        <v>231.29000000001179</v>
      </c>
      <c r="BE167" s="1439">
        <f ca="1">IF($B167&gt;=$J$5,0,CONTADORES!$BE169)</f>
        <v>6138.98</v>
      </c>
      <c r="BF167" s="1438">
        <f ca="1">IF($B167&gt;=$J$5,0,CONTADORES!$BF169)</f>
        <v>30604.101754385967</v>
      </c>
      <c r="BG167" s="1438">
        <f ca="1">IF($B167&gt;=$J$5,0,CONTADORES!$BH169)</f>
        <v>6456.7800000000007</v>
      </c>
      <c r="BH167" s="1438">
        <f ca="1">IF(B167&gt;=$J$5,0,(CONTADORES!AQ169-CONTADORES!AQ168))</f>
        <v>5</v>
      </c>
      <c r="BI167" s="1438">
        <f ca="1">IF(C167&gt;=$J$5,0,(CONTADORES!AR169-CONTADORES!AR168))</f>
        <v>0</v>
      </c>
      <c r="BJ167" s="1439">
        <f ca="1">IF(B167&gt;=$J$5,0,CONTADORES!BI169-CONTADORES!BI168)/1000</f>
        <v>2.16</v>
      </c>
      <c r="BK167" s="1439">
        <f ca="1">IF(B167&gt;=$J$5,0,CONTADORES!BJ169-CONTADORES!BJ168)</f>
        <v>1</v>
      </c>
      <c r="BL167" s="1439">
        <f ca="1">IF(B167&gt;=$J$5,0,CONTADORES!BK169-CONTADORES!BK168)</f>
        <v>24</v>
      </c>
      <c r="BM167" s="1439">
        <f ca="1">IF(B167&gt;=$J$5,0,CONTADORES!BL169-CONTADORES!BL168)/1000</f>
        <v>5.3</v>
      </c>
      <c r="BN167" s="1439">
        <f ca="1">IF(B167&gt;=$J$5,0,CONTADORES!BM169-CONTADORES!BM168)/1000</f>
        <v>0.61</v>
      </c>
      <c r="BO167" s="1439">
        <f ca="1">IF(B167&gt;=$J$5,0,CONTADORES!BN169-CONTADORES!BN168)</f>
        <v>24</v>
      </c>
      <c r="BP167" s="1439">
        <f ca="1">IF(B167&gt;=$J$5,0,CONTADORES!BO169-CONTADORES!BO168)/1000</f>
        <v>0</v>
      </c>
      <c r="BQ167" s="1439">
        <f ca="1">IF(B167&gt;=$J$5,0,CONTADORES!BP169-CONTADORES!BP168)/1000</f>
        <v>0</v>
      </c>
      <c r="BR167" s="1439">
        <f ca="1">IF(B167&gt;=$J$5,0,CONTADORES!BQ169-CONTADORES!BQ168)</f>
        <v>0</v>
      </c>
      <c r="BS167" s="1439">
        <f ca="1">IF(B167&gt;=$J$5,0,(CONTADORES!BT169-CONTADORES!BT168)+(CONTADORES!BV169-CONTADORES!BV168))/1000</f>
        <v>1.468</v>
      </c>
      <c r="BT167" s="1439">
        <f ca="1">IF(B167&gt;=$J$5,0,(CONTADORES!BU169-CONTADORES!BU168)+(CONTADORES!BW169-CONTADORES!BW168))/1000</f>
        <v>0.81799999999999995</v>
      </c>
      <c r="BU167" s="1439">
        <f ca="1">IF(B167&gt;=$J$5,0,CONTADORES!BR169-CONTADORES!BR168)</f>
        <v>6.4599999999991269</v>
      </c>
      <c r="BV167" s="1439">
        <f ca="1">IF(B167&gt;=$J$5,0,CONTADORES!BS169-CONTADORES!BS168)</f>
        <v>4.4799999999995634</v>
      </c>
      <c r="BW167" s="1439">
        <f t="shared" ca="1" si="77"/>
        <v>14.05999999999313</v>
      </c>
      <c r="BX167" s="1439">
        <f t="shared" ca="1" si="78"/>
        <v>10.155000000003824</v>
      </c>
      <c r="BY167" s="1439">
        <f t="shared" ca="1" si="79"/>
        <v>7.5999999999940027</v>
      </c>
      <c r="BZ167" s="1439">
        <f t="shared" ca="1" si="80"/>
        <v>1.8048000000002007</v>
      </c>
      <c r="CA167" s="1439">
        <f t="shared" ca="1" si="81"/>
        <v>7.5999999999940027</v>
      </c>
      <c r="CB167" s="1439">
        <f t="shared" ca="1" si="82"/>
        <v>2.7072000000003005</v>
      </c>
      <c r="CC167" s="1439">
        <f t="shared" ca="1" si="83"/>
        <v>3.2728000000002009</v>
      </c>
      <c r="CD167" s="1439">
        <f t="shared" ca="1" si="84"/>
        <v>5.6750000000042604</v>
      </c>
      <c r="CE167" s="1439">
        <f ca="1">IF(B167&gt;=$J$5,0,CONTADORES!BS169-CONTADORES!BS168)</f>
        <v>4.4799999999995634</v>
      </c>
      <c r="CF167" s="1439">
        <f t="shared" ca="1" si="85"/>
        <v>5.6750000000042604</v>
      </c>
      <c r="CG167" s="1439">
        <f t="shared" ca="1" si="86"/>
        <v>1.4699999999998141</v>
      </c>
      <c r="CH167" s="1439">
        <f t="shared" ca="1" si="87"/>
        <v>1.4699999999998141</v>
      </c>
      <c r="CI167" s="1439">
        <f t="shared" ca="1" si="88"/>
        <v>2.2879999999998142</v>
      </c>
      <c r="CJ167" s="1488">
        <f ca="1">IF($B167&gt;=$J$5,0,CONTADORES!$BG169)</f>
        <v>8789.3119390435986</v>
      </c>
      <c r="CK167" s="1406">
        <f>CONTADORES!E169</f>
        <v>0</v>
      </c>
      <c r="CL167" s="1406">
        <f>CONTADORES!BX169</f>
        <v>0</v>
      </c>
    </row>
    <row r="168" spans="2:90">
      <c r="B168" s="410">
        <v>45084</v>
      </c>
      <c r="C168" s="204">
        <f t="shared" ca="1" si="64"/>
        <v>293.0899999999674</v>
      </c>
      <c r="D168" s="202">
        <f ca="1">'CALCULO DE GAS'!D180</f>
        <v>5.0742411065079143</v>
      </c>
      <c r="E168" s="202">
        <f ca="1">IF(B168&gt;=$J$5,0,(CONTADORES!$AB170-CONTADORES!$AB169)-$H168)</f>
        <v>24</v>
      </c>
      <c r="F168" s="204">
        <f t="shared" ca="1" si="90"/>
        <v>0</v>
      </c>
      <c r="G168" s="202">
        <f ca="1">IF(B168&gt;=$J$5,0,CONTADORES!$AD170-CONTADORES!$AD169)</f>
        <v>0</v>
      </c>
      <c r="H168" s="202">
        <f ca="1">IF(G168&gt;0,CONTADORES!$AC170-CONTADORES!$AC169,0)</f>
        <v>0</v>
      </c>
      <c r="I168" s="205">
        <f ca="1">IF(B168&gt;=$J$5,0,CONTADORES!$Z170-CONTADORES!$Z169)</f>
        <v>293.0899999999674</v>
      </c>
      <c r="J168" s="204">
        <f t="shared" ca="1" si="65"/>
        <v>147.15299999999843</v>
      </c>
      <c r="K168" s="202">
        <f ca="1">'CALCULO DE GAS'!E180</f>
        <v>3.7278262936472522</v>
      </c>
      <c r="L168" s="1437">
        <f ca="1">IF(B168&gt;=$J$5,0,(CONTADORES!$W170-CONTADORES!$W169)-$O168)</f>
        <v>24</v>
      </c>
      <c r="M168" s="1437">
        <f t="shared" ca="1" si="89"/>
        <v>0</v>
      </c>
      <c r="N168" s="1437">
        <f ca="1">IF(B168&gt;=$J$5,0,CONTADORES!$Y170-CONTADORES!$Y169)</f>
        <v>0</v>
      </c>
      <c r="O168" s="1437">
        <f ca="1">IF(N168&gt;0,CONTADORES!$X170-CONTADORES!$X169,0)</f>
        <v>0</v>
      </c>
      <c r="P168" s="208">
        <f ca="1">IF(B168&gt;=$J$5,0,CONTADORES!$U170-CONTADORES!$U169)</f>
        <v>147.15299999999843</v>
      </c>
      <c r="Q168" s="208">
        <f ca="1">IF(B168&gt;=$J$5,0,CONTADORES!$B170-CONTADORES!$B169)</f>
        <v>0</v>
      </c>
      <c r="R168" s="202">
        <f t="shared" ca="1" si="66"/>
        <v>0</v>
      </c>
      <c r="S168" s="11">
        <f ca="1">IF(B168&gt;=$J$5,0,CONTADORES!$D170-CONTADORES!$D169)</f>
        <v>0</v>
      </c>
      <c r="T168" s="204">
        <f ca="1">IF(B168&gt;=$J$5,0,CONTADORES!$AZ170-CONTADORES!$AZ169)</f>
        <v>0</v>
      </c>
      <c r="U168" s="202">
        <f t="shared" ca="1" si="91"/>
        <v>0</v>
      </c>
      <c r="V168" s="205">
        <f ca="1">IF(B168&gt;=$J$5,0,CONTADORES!$BB170-CONTADORES!$BB169)</f>
        <v>0</v>
      </c>
      <c r="W168" s="1438">
        <f t="shared" ca="1" si="67"/>
        <v>440.24299999996583</v>
      </c>
      <c r="X168" s="1438">
        <f t="shared" ca="1" si="68"/>
        <v>0</v>
      </c>
      <c r="Y168" s="1439">
        <f t="shared" ca="1" si="69"/>
        <v>440.24299999996583</v>
      </c>
      <c r="Z168" s="1439">
        <f t="shared" ca="1" si="70"/>
        <v>8.8020674001551669</v>
      </c>
      <c r="AA168" s="1439">
        <f t="shared" ca="1" si="71"/>
        <v>0</v>
      </c>
      <c r="AB168" s="1439">
        <f t="shared" ca="1" si="72"/>
        <v>48</v>
      </c>
      <c r="AC168" s="1438">
        <f t="shared" ca="1" si="73"/>
        <v>0</v>
      </c>
      <c r="AD168" s="1438">
        <f ca="1">IF(B168&gt;=$J$5,0,CONTADORES!H170-CONTADORES!H169)</f>
        <v>158.17699999999968</v>
      </c>
      <c r="AE168" s="1438">
        <f ca="1">IF(B168&gt;=$J$5,0,CONTADORES!J170-CONTADORES!J169)</f>
        <v>24</v>
      </c>
      <c r="AF168" s="1438">
        <f ca="1">IF(B168&gt;=$J$5,0,CONTADORES!AS170-CONTADORES!AS169)</f>
        <v>152</v>
      </c>
      <c r="AG168" s="1438">
        <f ca="1">IF(B168&gt;=$J$5,0,CONTADORES!AU170-CONTADORES!AU169)</f>
        <v>24</v>
      </c>
      <c r="AH168" s="1439">
        <f ca="1">IF(B168&gt;=$J$5,0,(CONTADORES!AK170-CONTADORES!AK169)+(CONTADORES!K170-CONTADORES!K169))</f>
        <v>11.69999999999709</v>
      </c>
      <c r="AI168" s="1438">
        <f ca="1">IF(B168&gt;=$J$5,0,(CONTADORES!AI170-CONTADORES!AI169)+(CONTADORES!M170-CONTADORES!M169))</f>
        <v>37.339999999996508</v>
      </c>
      <c r="AJ168" s="1438">
        <f ca="1">IF(B168&gt;=$J$5,0,(CONTADORES!AG170-CONTADORES!AG169))</f>
        <v>6.8800000000046566</v>
      </c>
      <c r="AK168" s="1438">
        <f ca="1">IF(B168&gt;=$J$5,0,(CONTADORES!O170-CONTADORES!O169))</f>
        <v>13.020000000018626</v>
      </c>
      <c r="AL168" s="1450">
        <f t="shared" ca="1" si="74"/>
        <v>34.425999999923022</v>
      </c>
      <c r="AM168" s="1438">
        <f ca="1">IF(B168&gt;=$J$5,0,(((CONTADORES!F170-CONTADORES!F169)+(CONTADORES!AO170-CONTADORES!AO169))))-BJ168-AF168-AN168-BM168-BP168-BU168-BS168</f>
        <v>6.9160000000246784</v>
      </c>
      <c r="AN168" s="1438">
        <f ca="1">IF(B168&gt;=$J$5,0,(CONTADORES!AV170-CONTADORES!AV169)+(CONTADORES!AX170-CONTADORES!AX169)+(CONTADORES!BC170-CONTADORES!BC169))-BS168</f>
        <v>4.6930000000002865</v>
      </c>
      <c r="AO168" s="1440">
        <f ca="1">IF(B168&gt;=$J$5,0,(CONTADORES!AA170-CONTADORES!AA169))</f>
        <v>144.34999999997672</v>
      </c>
      <c r="AP168" s="1450">
        <f ca="1">IF(B168&gt;=$J$5,0,(CONTADORES!V170-CONTADORES!V169))</f>
        <v>76.787000000000262</v>
      </c>
      <c r="AQ168" s="1450">
        <f ca="1">IF(B168&gt;=$J$5,0,(CONTADORES!C170-CONTADORES!C169))</f>
        <v>0</v>
      </c>
      <c r="AR168" s="1450">
        <f ca="1">IF(B168&gt;=$J$5,0,(CONTADORES!BA170-CONTADORES!BA169))</f>
        <v>0</v>
      </c>
      <c r="AS168" s="1450">
        <f ca="1">IF(B168&gt;=$J$5,0,CONTADORES!Q170-CONTADORES!Q169)</f>
        <v>14.350000000005821</v>
      </c>
      <c r="AT168" s="1450">
        <f ca="1">IF(B168&gt;=$J$5,0,(CONTADORES!S170-CONTADORES!S169)+(CONTADORES!AE170-CONTADORES!AE169))</f>
        <v>3.2399999999999984</v>
      </c>
      <c r="AU168" s="1450">
        <f ca="1">IF(B168&gt;=$J$5,0,(CONTADORES!I170-CONTADORES!I169))</f>
        <v>80.247000000000298</v>
      </c>
      <c r="AV168" s="1450">
        <f ca="1">IF(B168&gt;=$J$5,0,(CONTADORES!AT170-CONTADORES!AT169))</f>
        <v>65.39000000001397</v>
      </c>
      <c r="AW168" s="1450">
        <f ca="1">IF(B168&gt;=$J$5,0,(CONTADORES!L170-CONTADORES!L169)+(CONTADORES!AL170-CONTADORES!AL169))</f>
        <v>4.7000000000007276</v>
      </c>
      <c r="AX168" s="1450">
        <f ca="1">IF(B168&gt;=$J$5,0,(CONTADORES!N170-CONTADORES!N169)+(CONTADORES!AJ170-CONTADORES!AJ169))</f>
        <v>31.739999999997963</v>
      </c>
      <c r="AY168" s="1450">
        <f ca="1">IF(B168&gt;=$J$5,0,(CONTADORES!AH170-CONTADORES!AH169))</f>
        <v>5.2200000000011642</v>
      </c>
      <c r="AZ168" s="1450">
        <f ca="1">IF(B168&gt;=$J$5,0,(CONTADORES!P170-CONTADORES!P169))</f>
        <v>10.209999999991851</v>
      </c>
      <c r="BA168" s="1439">
        <f t="shared" ca="1" si="75"/>
        <v>5.6939999999849533</v>
      </c>
      <c r="BB168" s="1450">
        <f ca="1">IF(B168&gt;=$J$5,0,(((CONTADORES!G170-CONTADORES!G169)+(CONTADORES!AP170-CONTADORES!AP169)+AR168)-(AV168+BC168)))</f>
        <v>8.1699999999859756</v>
      </c>
      <c r="BC168" s="1438">
        <f ca="1">IF(B168&gt;=$J$5,0,(CONTADORES!AW170-CONTADORES!AW169)+(CONTADORES!AY170-CONTADORES!AY169)+(CONTADORES!BD170-CONTADORES!BD169))</f>
        <v>2.9400000000000546</v>
      </c>
      <c r="BD168" s="1438">
        <f t="shared" ca="1" si="76"/>
        <v>221.13699999997698</v>
      </c>
      <c r="BE168" s="1439">
        <f ca="1">IF($B168&gt;=$J$5,0,CONTADORES!$BE170)</f>
        <v>6087.11</v>
      </c>
      <c r="BF168" s="1438">
        <f ca="1">IF($B168&gt;=$J$5,0,CONTADORES!$BF170)</f>
        <v>30383.661403508777</v>
      </c>
      <c r="BG168" s="1438">
        <f ca="1">IF($B168&gt;=$J$5,0,CONTADORES!$BH170)</f>
        <v>7192.2099999999991</v>
      </c>
      <c r="BH168" s="1438">
        <f ca="1">IF(B168&gt;=$J$5,0,(CONTADORES!AQ170-CONTADORES!AQ169))</f>
        <v>6</v>
      </c>
      <c r="BI168" s="1438">
        <f ca="1">IF(C168&gt;=$J$5,0,(CONTADORES!AR170-CONTADORES!AR169))</f>
        <v>0</v>
      </c>
      <c r="BJ168" s="1439">
        <f ca="1">IF(B168&gt;=$J$5,0,CONTADORES!BI170-CONTADORES!BI169)/1000</f>
        <v>2.0640000000000001</v>
      </c>
      <c r="BK168" s="1439">
        <f ca="1">IF(B168&gt;=$J$5,0,CONTADORES!BJ170-CONTADORES!BJ169)</f>
        <v>1</v>
      </c>
      <c r="BL168" s="1439">
        <f ca="1">IF(B168&gt;=$J$5,0,CONTADORES!BK170-CONTADORES!BK169)</f>
        <v>23.759999999998399</v>
      </c>
      <c r="BM168" s="1439">
        <f ca="1">IF(B168&gt;=$J$5,0,CONTADORES!BL170-CONTADORES!BL169)/1000</f>
        <v>5.27</v>
      </c>
      <c r="BN168" s="1439">
        <f ca="1">IF(B168&gt;=$J$5,0,CONTADORES!BM170-CONTADORES!BM169)/1000</f>
        <v>0.624</v>
      </c>
      <c r="BO168" s="1439">
        <f ca="1">IF(B168&gt;=$J$5,0,CONTADORES!BN170-CONTADORES!BN169)</f>
        <v>23.639999999999418</v>
      </c>
      <c r="BP168" s="1439">
        <f ca="1">IF(B168&gt;=$J$5,0,CONTADORES!BO170-CONTADORES!BO169)/1000</f>
        <v>0</v>
      </c>
      <c r="BQ168" s="1439">
        <f ca="1">IF(B168&gt;=$J$5,0,CONTADORES!BP170-CONTADORES!BP169)/1000</f>
        <v>0</v>
      </c>
      <c r="BR168" s="1439">
        <f ca="1">IF(B168&gt;=$J$5,0,CONTADORES!BQ170-CONTADORES!BQ169)</f>
        <v>0</v>
      </c>
      <c r="BS168" s="1439">
        <f ca="1">IF(B168&gt;=$J$5,0,(CONTADORES!BT170-CONTADORES!BT169)+(CONTADORES!BV170-CONTADORES!BV169))/1000</f>
        <v>1.367</v>
      </c>
      <c r="BT168" s="1439">
        <f ca="1">IF(B168&gt;=$J$5,0,(CONTADORES!BU170-CONTADORES!BU169)+(CONTADORES!BW170-CONTADORES!BW169))/1000</f>
        <v>0.74199999999999999</v>
      </c>
      <c r="BU168" s="1439">
        <f ca="1">IF(B168&gt;=$J$5,0,CONTADORES!BR170-CONTADORES!BR169)</f>
        <v>6.3900000000012369</v>
      </c>
      <c r="BV168" s="1439">
        <f ca="1">IF(B168&gt;=$J$5,0,CONTADORES!BS170-CONTADORES!BS169)</f>
        <v>4.4600000000000364</v>
      </c>
      <c r="BW168" s="1439">
        <f t="shared" ca="1" si="77"/>
        <v>9.8480000000135757</v>
      </c>
      <c r="BX168" s="1439">
        <f t="shared" ca="1" si="78"/>
        <v>8.5449999999930242</v>
      </c>
      <c r="BY168" s="1439">
        <f t="shared" ca="1" si="79"/>
        <v>3.4580000000123392</v>
      </c>
      <c r="BZ168" s="1439">
        <f t="shared" ca="1" si="80"/>
        <v>1.8772000000001148</v>
      </c>
      <c r="CA168" s="1439">
        <f t="shared" ca="1" si="81"/>
        <v>3.4580000000123392</v>
      </c>
      <c r="CB168" s="1439">
        <f t="shared" ca="1" si="82"/>
        <v>2.8158000000001717</v>
      </c>
      <c r="CC168" s="1439">
        <f t="shared" ca="1" si="83"/>
        <v>3.2442000000001148</v>
      </c>
      <c r="CD168" s="1439">
        <f t="shared" ca="1" si="84"/>
        <v>4.0849999999929878</v>
      </c>
      <c r="CE168" s="1439">
        <f ca="1">IF(B168&gt;=$J$5,0,CONTADORES!BS170-CONTADORES!BS169)</f>
        <v>4.4600000000000364</v>
      </c>
      <c r="CF168" s="1439">
        <f t="shared" ca="1" si="85"/>
        <v>4.0849999999929878</v>
      </c>
      <c r="CG168" s="1439">
        <f t="shared" ca="1" si="86"/>
        <v>1.4700000000000273</v>
      </c>
      <c r="CH168" s="1439">
        <f t="shared" ca="1" si="87"/>
        <v>1.4700000000000273</v>
      </c>
      <c r="CI168" s="1439">
        <f t="shared" ca="1" si="88"/>
        <v>2.2120000000000273</v>
      </c>
      <c r="CJ168" s="1488">
        <f ca="1">IF($B168&gt;=$J$5,0,CONTADORES!$BG170)</f>
        <v>9628.9988415151292</v>
      </c>
      <c r="CK168" s="1406">
        <f>CONTADORES!E170</f>
        <v>0</v>
      </c>
      <c r="CL168" s="1406">
        <f>CONTADORES!BX170</f>
        <v>0</v>
      </c>
    </row>
    <row r="169" spans="2:90">
      <c r="B169" s="410">
        <v>45085</v>
      </c>
      <c r="C169" s="204">
        <f t="shared" ca="1" si="64"/>
        <v>282.60000000009313</v>
      </c>
      <c r="D169" s="202">
        <f ca="1">'CALCULO DE GAS'!D181</f>
        <v>4.976459487228766</v>
      </c>
      <c r="E169" s="202">
        <f ca="1">IF(B169&gt;=$J$5,0,(CONTADORES!$AB171-CONTADORES!$AB170)-$H169)</f>
        <v>24</v>
      </c>
      <c r="F169" s="204">
        <f t="shared" ca="1" si="90"/>
        <v>0</v>
      </c>
      <c r="G169" s="202">
        <f ca="1">IF(B169&gt;=$J$5,0,CONTADORES!$AD171-CONTADORES!$AD170)</f>
        <v>0</v>
      </c>
      <c r="H169" s="202">
        <f ca="1">IF(G169&gt;0,CONTADORES!$AC171-CONTADORES!$AC170,0)</f>
        <v>0</v>
      </c>
      <c r="I169" s="205">
        <f ca="1">IF(B169&gt;=$J$5,0,CONTADORES!$Z171-CONTADORES!$Z170)</f>
        <v>282.60000000009313</v>
      </c>
      <c r="J169" s="204">
        <f t="shared" ca="1" si="65"/>
        <v>146.57400000000052</v>
      </c>
      <c r="K169" s="202">
        <f ca="1">'CALCULO DE GAS'!E181</f>
        <v>3.722043688693919</v>
      </c>
      <c r="L169" s="1437">
        <f ca="1">IF(B169&gt;=$J$5,0,(CONTADORES!$W171-CONTADORES!$W170)-$O169)</f>
        <v>24</v>
      </c>
      <c r="M169" s="1437">
        <f t="shared" ca="1" si="89"/>
        <v>0</v>
      </c>
      <c r="N169" s="1437">
        <f ca="1">IF(B169&gt;=$J$5,0,CONTADORES!$Y171-CONTADORES!$Y170)</f>
        <v>0</v>
      </c>
      <c r="O169" s="1437">
        <f ca="1">IF(N169&gt;0,CONTADORES!$X171-CONTADORES!$X170,0)</f>
        <v>0</v>
      </c>
      <c r="P169" s="208">
        <f ca="1">IF(B169&gt;=$J$5,0,CONTADORES!$U171-CONTADORES!$U170)</f>
        <v>146.57400000000052</v>
      </c>
      <c r="Q169" s="208">
        <f ca="1">IF(B169&gt;=$J$5,0,CONTADORES!$B171-CONTADORES!$B170)</f>
        <v>0</v>
      </c>
      <c r="R169" s="202">
        <f t="shared" ca="1" si="66"/>
        <v>0</v>
      </c>
      <c r="S169" s="11">
        <f ca="1">IF(B169&gt;=$J$5,0,CONTADORES!$D171-CONTADORES!$D170)</f>
        <v>0</v>
      </c>
      <c r="T169" s="204">
        <f ca="1">IF(B169&gt;=$J$5,0,CONTADORES!$AZ171-CONTADORES!$AZ170)</f>
        <v>0</v>
      </c>
      <c r="U169" s="202">
        <f t="shared" ca="1" si="91"/>
        <v>0</v>
      </c>
      <c r="V169" s="205">
        <f ca="1">IF(B169&gt;=$J$5,0,CONTADORES!$BB171-CONTADORES!$BB170)</f>
        <v>0</v>
      </c>
      <c r="W169" s="1438">
        <f t="shared" ca="1" si="67"/>
        <v>429.17400000009366</v>
      </c>
      <c r="X169" s="1438">
        <f t="shared" ca="1" si="68"/>
        <v>0</v>
      </c>
      <c r="Y169" s="1439">
        <f t="shared" ca="1" si="69"/>
        <v>429.17400000009366</v>
      </c>
      <c r="Z169" s="1439">
        <f t="shared" ca="1" si="70"/>
        <v>8.698503175922685</v>
      </c>
      <c r="AA169" s="1439">
        <f t="shared" ca="1" si="71"/>
        <v>0</v>
      </c>
      <c r="AB169" s="1439">
        <f t="shared" ca="1" si="72"/>
        <v>48</v>
      </c>
      <c r="AC169" s="1438">
        <f t="shared" ca="1" si="73"/>
        <v>0</v>
      </c>
      <c r="AD169" s="1438">
        <f ca="1">IF(B169&gt;=$J$5,0,CONTADORES!H171-CONTADORES!H170)</f>
        <v>156.57300000000032</v>
      </c>
      <c r="AE169" s="1438">
        <f ca="1">IF(B169&gt;=$J$5,0,CONTADORES!J171-CONTADORES!J170)</f>
        <v>22.899999999994179</v>
      </c>
      <c r="AF169" s="1438">
        <f ca="1">IF(B169&gt;=$J$5,0,CONTADORES!AS171-CONTADORES!AS170)</f>
        <v>150.90000000002328</v>
      </c>
      <c r="AG169" s="1438">
        <f ca="1">IF(B169&gt;=$J$5,0,CONTADORES!AU171-CONTADORES!AU170)</f>
        <v>24</v>
      </c>
      <c r="AH169" s="1439">
        <f ca="1">IF(B169&gt;=$J$5,0,(CONTADORES!AK171-CONTADORES!AK170)+(CONTADORES!K171-CONTADORES!K170))</f>
        <v>6.8000000000029104</v>
      </c>
      <c r="AI169" s="1438">
        <f ca="1">IF(B169&gt;=$J$5,0,(CONTADORES!AI171-CONTADORES!AI170)+(CONTADORES!M171-CONTADORES!M170))</f>
        <v>39.169999999998254</v>
      </c>
      <c r="AJ169" s="1438">
        <f ca="1">IF(B169&gt;=$J$5,0,(CONTADORES!AG171-CONTADORES!AG170))</f>
        <v>3.3200000000069849</v>
      </c>
      <c r="AK169" s="1438">
        <f ca="1">IF(B169&gt;=$J$5,0,(CONTADORES!O171-CONTADORES!O170))</f>
        <v>12.070000000006985</v>
      </c>
      <c r="AL169" s="1450">
        <f t="shared" ca="1" si="74"/>
        <v>33.241000000067288</v>
      </c>
      <c r="AM169" s="1438">
        <f ca="1">IF(B169&gt;=$J$5,0,(((CONTADORES!F171-CONTADORES!F170)+(CONTADORES!AO171-CONTADORES!AO170))))-BJ169-AF169-AN169-BM169-BP169-BU169-BS169</f>
        <v>8.6399999999888912</v>
      </c>
      <c r="AN169" s="1438">
        <f ca="1">IF(B169&gt;=$J$5,0,(CONTADORES!AV171-CONTADORES!AV170)+(CONTADORES!AX171-CONTADORES!AX170)+(CONTADORES!BC171-CONTADORES!BC170))-BS169</f>
        <v>3.6139999999996952</v>
      </c>
      <c r="AO169" s="1440">
        <f ca="1">IF(B169&gt;=$J$5,0,(CONTADORES!AA171-CONTADORES!AA170))</f>
        <v>133.10000000003492</v>
      </c>
      <c r="AP169" s="1450">
        <f ca="1">IF(B169&gt;=$J$5,0,(CONTADORES!V171-CONTADORES!V170))</f>
        <v>81.217000000000553</v>
      </c>
      <c r="AQ169" s="1450">
        <f ca="1">IF(B169&gt;=$J$5,0,(CONTADORES!C171-CONTADORES!C170))</f>
        <v>0</v>
      </c>
      <c r="AR169" s="1450">
        <f ca="1">IF(B169&gt;=$J$5,0,(CONTADORES!BA171-CONTADORES!BA170))</f>
        <v>0</v>
      </c>
      <c r="AS169" s="1450">
        <f ca="1">IF(B169&gt;=$J$5,0,CONTADORES!Q171-CONTADORES!Q170)</f>
        <v>13.819999999977881</v>
      </c>
      <c r="AT169" s="1450">
        <f ca="1">IF(B169&gt;=$J$5,0,(CONTADORES!S171-CONTADORES!S170)+(CONTADORES!AE171-CONTADORES!AE170))</f>
        <v>3.1999999999999993</v>
      </c>
      <c r="AU169" s="1450">
        <f ca="1">IF(B169&gt;=$J$5,0,(CONTADORES!I171-CONTADORES!I170))</f>
        <v>78.154000000000451</v>
      </c>
      <c r="AV169" s="1450">
        <f ca="1">IF(B169&gt;=$J$5,0,(CONTADORES!AT171-CONTADORES!AT170))</f>
        <v>65.100000000005821</v>
      </c>
      <c r="AW169" s="1450">
        <f ca="1">IF(B169&gt;=$J$5,0,(CONTADORES!L171-CONTADORES!L170)+(CONTADORES!AL171-CONTADORES!AL170))</f>
        <v>2.5999999999985448</v>
      </c>
      <c r="AX169" s="1450">
        <f ca="1">IF(B169&gt;=$J$5,0,(CONTADORES!N171-CONTADORES!N170)+(CONTADORES!AJ171-CONTADORES!AJ170))</f>
        <v>33.180000000000291</v>
      </c>
      <c r="AY169" s="1450">
        <f ca="1">IF(B169&gt;=$J$5,0,(CONTADORES!AH171-CONTADORES!AH170))</f>
        <v>2.3999999999941792</v>
      </c>
      <c r="AZ169" s="1450">
        <f ca="1">IF(B169&gt;=$J$5,0,(CONTADORES!P171-CONTADORES!P170))</f>
        <v>9.7000000000116415</v>
      </c>
      <c r="BA169" s="1439">
        <f t="shared" ca="1" si="75"/>
        <v>5.1960000000366335</v>
      </c>
      <c r="BB169" s="1450">
        <f ca="1">IF(B169&gt;=$J$5,0,(((CONTADORES!G171-CONTADORES!G170)+(CONTADORES!AP171-CONTADORES!AP170)+AR169)-(AV169+BC169)))</f>
        <v>7.8399999999877252</v>
      </c>
      <c r="BC169" s="1438">
        <f ca="1">IF(B169&gt;=$J$5,0,(CONTADORES!AW171-CONTADORES!AW170)+(CONTADORES!AY171-CONTADORES!AY170)+(CONTADORES!BD171-CONTADORES!BD170))</f>
        <v>3.0600000000000875</v>
      </c>
      <c r="BD169" s="1438">
        <f t="shared" ca="1" si="76"/>
        <v>214.31700000003548</v>
      </c>
      <c r="BE169" s="1439">
        <f ca="1">IF($B169&gt;=$J$5,0,CONTADORES!$BE171)</f>
        <v>6154.84</v>
      </c>
      <c r="BF169" s="1438">
        <f ca="1">IF($B169&gt;=$J$5,0,CONTADORES!$BF171)</f>
        <v>30344.242105263202</v>
      </c>
      <c r="BG169" s="1438">
        <f ca="1">IF($B169&gt;=$J$5,0,CONTADORES!$BH171)</f>
        <v>7204.89</v>
      </c>
      <c r="BH169" s="1438">
        <f ca="1">IF(B169&gt;=$J$5,0,(CONTADORES!AQ171-CONTADORES!AQ170))</f>
        <v>4</v>
      </c>
      <c r="BI169" s="1438">
        <f ca="1">IF(C169&gt;=$J$5,0,(CONTADORES!AR171-CONTADORES!AR170))</f>
        <v>0</v>
      </c>
      <c r="BJ169" s="1439">
        <f ca="1">IF(B169&gt;=$J$5,0,CONTADORES!BI171-CONTADORES!BI170)/1000</f>
        <v>2.04</v>
      </c>
      <c r="BK169" s="1439">
        <f ca="1">IF(B169&gt;=$J$5,0,CONTADORES!BJ171-CONTADORES!BJ170)</f>
        <v>1</v>
      </c>
      <c r="BL169" s="1439">
        <f ca="1">IF(B169&gt;=$J$5,0,CONTADORES!BK171-CONTADORES!BK170)</f>
        <v>24</v>
      </c>
      <c r="BM169" s="1439">
        <f ca="1">IF(B169&gt;=$J$5,0,CONTADORES!BL171-CONTADORES!BL170)/1000</f>
        <v>4.92</v>
      </c>
      <c r="BN169" s="1439">
        <f ca="1">IF(B169&gt;=$J$5,0,CONTADORES!BM171-CONTADORES!BM170)/1000</f>
        <v>0.82599999999999996</v>
      </c>
      <c r="BO169" s="1439">
        <f ca="1">IF(B169&gt;=$J$5,0,CONTADORES!BN171-CONTADORES!BN170)</f>
        <v>24</v>
      </c>
      <c r="BP169" s="1439">
        <f ca="1">IF(B169&gt;=$J$5,0,CONTADORES!BO171-CONTADORES!BO170)/1000</f>
        <v>0</v>
      </c>
      <c r="BQ169" s="1439">
        <f ca="1">IF(B169&gt;=$J$5,0,CONTADORES!BP171-CONTADORES!BP170)/1000</f>
        <v>0</v>
      </c>
      <c r="BR169" s="1439">
        <f ca="1">IF(B169&gt;=$J$5,0,CONTADORES!BQ171-CONTADORES!BQ170)</f>
        <v>0</v>
      </c>
      <c r="BS169" s="1439">
        <f ca="1">IF(B169&gt;=$J$5,0,(CONTADORES!BT171-CONTADORES!BT170)+(CONTADORES!BV171-CONTADORES!BV170))/1000</f>
        <v>1.5960000000000001</v>
      </c>
      <c r="BT169" s="1439">
        <f ca="1">IF(B169&gt;=$J$5,0,(CONTADORES!BU171-CONTADORES!BU170)+(CONTADORES!BW171-CONTADORES!BW170))/1000</f>
        <v>0.88100000000000001</v>
      </c>
      <c r="BU169" s="1439">
        <f ca="1">IF(B169&gt;=$J$5,0,CONTADORES!BR171-CONTADORES!BR170)</f>
        <v>6.2899999999990541</v>
      </c>
      <c r="BV169" s="1439">
        <f ca="1">IF(B169&gt;=$J$5,0,CONTADORES!BS171-CONTADORES!BS170)</f>
        <v>4.3800000000001091</v>
      </c>
      <c r="BW169" s="1439">
        <f t="shared" ca="1" si="77"/>
        <v>10.6099999999935</v>
      </c>
      <c r="BX169" s="1439">
        <f t="shared" ca="1" si="78"/>
        <v>8.2999999999939718</v>
      </c>
      <c r="BY169" s="1439">
        <f t="shared" ca="1" si="79"/>
        <v>4.3199999999944456</v>
      </c>
      <c r="BZ169" s="1439">
        <f t="shared" ca="1" si="80"/>
        <v>1.4455999999998781</v>
      </c>
      <c r="CA169" s="1439">
        <f t="shared" ca="1" si="81"/>
        <v>4.3199999999944456</v>
      </c>
      <c r="CB169" s="1439">
        <f t="shared" ca="1" si="82"/>
        <v>2.1683999999998171</v>
      </c>
      <c r="CC169" s="1439">
        <f t="shared" ca="1" si="83"/>
        <v>3.0415999999998782</v>
      </c>
      <c r="CD169" s="1439">
        <f t="shared" ca="1" si="84"/>
        <v>3.9199999999938626</v>
      </c>
      <c r="CE169" s="1439">
        <f ca="1">IF(B169&gt;=$J$5,0,CONTADORES!BS171-CONTADORES!BS170)</f>
        <v>4.3800000000001091</v>
      </c>
      <c r="CF169" s="1439">
        <f t="shared" ca="1" si="85"/>
        <v>3.9199999999938626</v>
      </c>
      <c r="CG169" s="1439">
        <f t="shared" ca="1" si="86"/>
        <v>1.5300000000000438</v>
      </c>
      <c r="CH169" s="1439">
        <f t="shared" ca="1" si="87"/>
        <v>1.5300000000000438</v>
      </c>
      <c r="CI169" s="1439">
        <f t="shared" ca="1" si="88"/>
        <v>2.411000000000044</v>
      </c>
      <c r="CJ169" s="1488">
        <f ca="1">IF($B169&gt;=$J$5,0,CONTADORES!$BG171)</f>
        <v>7513.5303348671396</v>
      </c>
      <c r="CK169" s="1406">
        <f>CONTADORES!E171</f>
        <v>0</v>
      </c>
      <c r="CL169" s="1406">
        <f>CONTADORES!BX171</f>
        <v>0</v>
      </c>
    </row>
    <row r="170" spans="2:90">
      <c r="B170" s="410">
        <v>45086</v>
      </c>
      <c r="C170" s="204">
        <f t="shared" ca="1" si="64"/>
        <v>285.46899999992456</v>
      </c>
      <c r="D170" s="202">
        <f ca="1">'CALCULO DE GAS'!D182</f>
        <v>5.003202620279172</v>
      </c>
      <c r="E170" s="202">
        <f ca="1">IF(B170&gt;=$J$5,0,(CONTADORES!$AB172-CONTADORES!$AB171)-$H170)</f>
        <v>24</v>
      </c>
      <c r="F170" s="204">
        <f t="shared" ca="1" si="90"/>
        <v>0</v>
      </c>
      <c r="G170" s="202">
        <f ca="1">IF(B170&gt;=$J$5,0,CONTADORES!$AD172-CONTADORES!$AD171)</f>
        <v>0</v>
      </c>
      <c r="H170" s="202">
        <f ca="1">IF(G170&gt;0,CONTADORES!$AC172-CONTADORES!$AC171,0)</f>
        <v>0</v>
      </c>
      <c r="I170" s="205">
        <f ca="1">IF(B170&gt;=$J$5,0,CONTADORES!$Z172-CONTADORES!$Z171)</f>
        <v>285.46899999992456</v>
      </c>
      <c r="J170" s="204">
        <f t="shared" ca="1" si="65"/>
        <v>153.79299999999785</v>
      </c>
      <c r="K170" s="202">
        <f ca="1">'CALCULO DE GAS'!E182</f>
        <v>3.7941414868946919</v>
      </c>
      <c r="L170" s="1437">
        <f ca="1">IF(B170&gt;=$J$5,0,(CONTADORES!$W172-CONTADORES!$W171)-$O170)</f>
        <v>24</v>
      </c>
      <c r="M170" s="1437">
        <f t="shared" ca="1" si="89"/>
        <v>0</v>
      </c>
      <c r="N170" s="1437">
        <f ca="1">IF(B170&gt;=$J$5,0,CONTADORES!$Y172-CONTADORES!$Y171)</f>
        <v>0</v>
      </c>
      <c r="O170" s="1437">
        <f ca="1">IF(N170&gt;0,CONTADORES!$X172-CONTADORES!$X171,0)</f>
        <v>0</v>
      </c>
      <c r="P170" s="208">
        <f ca="1">IF(B170&gt;=$J$5,0,CONTADORES!$U172-CONTADORES!$U171)</f>
        <v>153.79299999999785</v>
      </c>
      <c r="Q170" s="208">
        <f ca="1">IF(B170&gt;=$J$5,0,CONTADORES!$B172-CONTADORES!$B171)</f>
        <v>0</v>
      </c>
      <c r="R170" s="202">
        <f t="shared" ca="1" si="66"/>
        <v>0</v>
      </c>
      <c r="S170" s="11">
        <f ca="1">IF(B170&gt;=$J$5,0,CONTADORES!$D172-CONTADORES!$D171)</f>
        <v>0</v>
      </c>
      <c r="T170" s="204">
        <f ca="1">IF(B170&gt;=$J$5,0,CONTADORES!$AZ172-CONTADORES!$AZ171)</f>
        <v>0</v>
      </c>
      <c r="U170" s="202">
        <f t="shared" ca="1" si="91"/>
        <v>0</v>
      </c>
      <c r="V170" s="205">
        <f ca="1">IF(B170&gt;=$J$5,0,CONTADORES!$BB172-CONTADORES!$BB171)</f>
        <v>0.19000000000005457</v>
      </c>
      <c r="W170" s="1438">
        <f t="shared" ca="1" si="67"/>
        <v>439.26199999992241</v>
      </c>
      <c r="X170" s="1438">
        <f t="shared" ca="1" si="68"/>
        <v>0</v>
      </c>
      <c r="Y170" s="1439">
        <f t="shared" ca="1" si="69"/>
        <v>439.26199999992241</v>
      </c>
      <c r="Z170" s="1439">
        <f t="shared" ca="1" si="70"/>
        <v>8.7973441071738634</v>
      </c>
      <c r="AA170" s="1439">
        <f t="shared" ca="1" si="71"/>
        <v>0</v>
      </c>
      <c r="AB170" s="1439">
        <f t="shared" ca="1" si="72"/>
        <v>48</v>
      </c>
      <c r="AC170" s="1438">
        <f t="shared" ca="1" si="73"/>
        <v>0.19000000000005457</v>
      </c>
      <c r="AD170" s="1438">
        <f ca="1">IF(B170&gt;=$J$5,0,CONTADORES!H172-CONTADORES!H171)</f>
        <v>168.76000000000022</v>
      </c>
      <c r="AE170" s="1438">
        <f ca="1">IF(B170&gt;=$J$5,0,CONTADORES!J172-CONTADORES!J171)</f>
        <v>24</v>
      </c>
      <c r="AF170" s="1438">
        <f ca="1">IF(B170&gt;=$J$5,0,CONTADORES!AS172-CONTADORES!AS171)</f>
        <v>143</v>
      </c>
      <c r="AG170" s="1438">
        <f ca="1">IF(B170&gt;=$J$5,0,CONTADORES!AU172-CONTADORES!AU171)</f>
        <v>24</v>
      </c>
      <c r="AH170" s="1439">
        <f ca="1">IF(B170&gt;=$J$5,0,(CONTADORES!AK172-CONTADORES!AK171)+(CONTADORES!K172-CONTADORES!K171))</f>
        <v>4.7099999999991269</v>
      </c>
      <c r="AI170" s="1438">
        <f ca="1">IF(B170&gt;=$J$5,0,(CONTADORES!AI172-CONTADORES!AI171)+(CONTADORES!M172-CONTADORES!M171))</f>
        <v>40.160000000003492</v>
      </c>
      <c r="AJ170" s="1438">
        <f ca="1">IF(B170&gt;=$J$5,0,(CONTADORES!AG172-CONTADORES!AG171))</f>
        <v>7.5799999999871943</v>
      </c>
      <c r="AK170" s="1438">
        <f ca="1">IF(B170&gt;=$J$5,0,(CONTADORES!O172-CONTADORES!O171))</f>
        <v>12.119999999995343</v>
      </c>
      <c r="AL170" s="1450">
        <f t="shared" ca="1" si="74"/>
        <v>35.931999999962557</v>
      </c>
      <c r="AM170" s="1438">
        <f ca="1">IF(B170&gt;=$J$5,0,(((CONTADORES!F172-CONTADORES!F171)+(CONTADORES!AO172-CONTADORES!AO171))))-BJ170-AF170-AN170-BM170-BP170-BU170-BS170</f>
        <v>10.019199999974965</v>
      </c>
      <c r="AN170" s="1438">
        <f ca="1">IF(B170&gt;=$J$5,0,(CONTADORES!AV172-CONTADORES!AV171)+(CONTADORES!AX172-CONTADORES!AX171)+(CONTADORES!BC172-CONTADORES!BC171))-BS170</f>
        <v>3.0619999999998191</v>
      </c>
      <c r="AO170" s="1440">
        <f ca="1">IF(B170&gt;=$J$5,0,(CONTADORES!AA172-CONTADORES!AA171))</f>
        <v>138.61799999995856</v>
      </c>
      <c r="AP170" s="1450">
        <f ca="1">IF(B170&gt;=$J$5,0,(CONTADORES!V172-CONTADORES!V171))</f>
        <v>82.807000000000698</v>
      </c>
      <c r="AQ170" s="1450">
        <f ca="1">IF(B170&gt;=$J$5,0,(CONTADORES!C172-CONTADORES!C171))</f>
        <v>0</v>
      </c>
      <c r="AR170" s="1450">
        <f ca="1">IF(B170&gt;=$J$5,0,(CONTADORES!BA172-CONTADORES!BA171))</f>
        <v>0</v>
      </c>
      <c r="AS170" s="1450">
        <f ca="1">IF(B170&gt;=$J$5,0,CONTADORES!Q172-CONTADORES!Q171)</f>
        <v>14.410000000003492</v>
      </c>
      <c r="AT170" s="1450">
        <f ca="1">IF(B170&gt;=$J$5,0,(CONTADORES!S172-CONTADORES!S171)+(CONTADORES!AE172-CONTADORES!AE171))</f>
        <v>3.3300000000000018</v>
      </c>
      <c r="AU170" s="1450">
        <f ca="1">IF(B170&gt;=$J$5,0,(CONTADORES!I172-CONTADORES!I171))</f>
        <v>83.798999999999978</v>
      </c>
      <c r="AV170" s="1450">
        <f ca="1">IF(B170&gt;=$J$5,0,(CONTADORES!AT172-CONTADORES!AT171))</f>
        <v>62.509999999980209</v>
      </c>
      <c r="AW170" s="1450">
        <f ca="1">IF(B170&gt;=$J$5,0,(CONTADORES!L172-CONTADORES!L171)+(CONTADORES!AL172-CONTADORES!AL171))</f>
        <v>1.7000000000007276</v>
      </c>
      <c r="AX170" s="1450">
        <f ca="1">IF(B170&gt;=$J$5,0,(CONTADORES!N172-CONTADORES!N171)+(CONTADORES!AJ172-CONTADORES!AJ171))</f>
        <v>34.129999999997381</v>
      </c>
      <c r="AY170" s="1450">
        <f ca="1">IF(B170&gt;=$J$5,0,(CONTADORES!AH172-CONTADORES!AH171))</f>
        <v>5.6300000000046566</v>
      </c>
      <c r="AZ170" s="1450">
        <f ca="1">IF(B170&gt;=$J$5,0,(CONTADORES!P172-CONTADORES!P171))</f>
        <v>9.8699999999953434</v>
      </c>
      <c r="BA170" s="1439">
        <f t="shared" ca="1" si="75"/>
        <v>6.9649999999438137</v>
      </c>
      <c r="BB170" s="1450">
        <f ca="1">IF(B170&gt;=$J$5,0,(((CONTADORES!G172-CONTADORES!G171)+(CONTADORES!AP172-CONTADORES!AP171)+AR170)-(AV170+BC170)))</f>
        <v>8.6100000000374166</v>
      </c>
      <c r="BC170" s="1438">
        <f ca="1">IF(B170&gt;=$J$5,0,(CONTADORES!AW172-CONTADORES!AW171)+(CONTADORES!AY172-CONTADORES!AY171)+(CONTADORES!BD172-CONTADORES!BD171))</f>
        <v>2.6799999999998363</v>
      </c>
      <c r="BD170" s="1438">
        <f t="shared" ca="1" si="76"/>
        <v>221.42499999995925</v>
      </c>
      <c r="BE170" s="1439">
        <f ca="1">IF($B170&gt;=$J$5,0,CONTADORES!$BE172)</f>
        <v>6035.87</v>
      </c>
      <c r="BF170" s="1438">
        <f ca="1">IF($B170&gt;=$J$5,0,CONTADORES!$BF172)</f>
        <v>18037.515789473699</v>
      </c>
      <c r="BG170" s="1438">
        <f ca="1">IF($B170&gt;=$J$5,0,CONTADORES!$BH172)</f>
        <v>6661.19</v>
      </c>
      <c r="BH170" s="1438">
        <f ca="1">IF(B170&gt;=$J$5,0,(CONTADORES!AQ172-CONTADORES!AQ171))</f>
        <v>6.0639999999984866</v>
      </c>
      <c r="BI170" s="1438">
        <f ca="1">IF(C170&gt;=$J$5,0,(CONTADORES!AR172-CONTADORES!AR171))</f>
        <v>0</v>
      </c>
      <c r="BJ170" s="1439">
        <f ca="1">IF(B170&gt;=$J$5,0,CONTADORES!BI172-CONTADORES!BI171)/1000</f>
        <v>0.51679999999981374</v>
      </c>
      <c r="BK170" s="1439">
        <f ca="1">IF(B170&gt;=$J$5,0,CONTADORES!BJ172-CONTADORES!BJ171)</f>
        <v>0</v>
      </c>
      <c r="BL170" s="1439">
        <f ca="1">IF(B170&gt;=$J$5,0,CONTADORES!BK172-CONTADORES!BK171)</f>
        <v>6.0800000000017462</v>
      </c>
      <c r="BM170" s="1439">
        <f ca="1">IF(B170&gt;=$J$5,0,CONTADORES!BL172-CONTADORES!BL171)/1000</f>
        <v>4.42</v>
      </c>
      <c r="BN170" s="1439">
        <f ca="1">IF(B170&gt;=$J$5,0,CONTADORES!BM172-CONTADORES!BM171)/1000</f>
        <v>0.34</v>
      </c>
      <c r="BO170" s="1439">
        <f ca="1">IF(B170&gt;=$J$5,0,CONTADORES!BN172-CONTADORES!BN171)</f>
        <v>23.960000000002765</v>
      </c>
      <c r="BP170" s="1439">
        <f ca="1">IF(B170&gt;=$J$5,0,CONTADORES!BO172-CONTADORES!BO171)/1000</f>
        <v>1.234</v>
      </c>
      <c r="BQ170" s="1439">
        <f ca="1">IF(B170&gt;=$J$5,0,CONTADORES!BP172-CONTADORES!BP171)/1000</f>
        <v>3.5999999999999997E-2</v>
      </c>
      <c r="BR170" s="1439">
        <f ca="1">IF(B170&gt;=$J$5,0,CONTADORES!BQ172-CONTADORES!BQ171)</f>
        <v>7.5900000000001455</v>
      </c>
      <c r="BS170" s="1439">
        <f ca="1">IF(B170&gt;=$J$5,0,(CONTADORES!BT172-CONTADORES!BT171)+(CONTADORES!BV172-CONTADORES!BV171))/1000</f>
        <v>1.4179999999999999</v>
      </c>
      <c r="BT170" s="1439">
        <f ca="1">IF(B170&gt;=$J$5,0,(CONTADORES!BU172-CONTADORES!BU171)+(CONTADORES!BW172-CONTADORES!BW171))/1000</f>
        <v>0.78500000000000003</v>
      </c>
      <c r="BU170" s="1439">
        <f ca="1">IF(B170&gt;=$J$5,0,CONTADORES!BR172-CONTADORES!BR171)</f>
        <v>6.3299999999999272</v>
      </c>
      <c r="BV170" s="1439">
        <f ca="1">IF(B170&gt;=$J$5,0,CONTADORES!BS172-CONTADORES!BS171)</f>
        <v>4.3699999999998909</v>
      </c>
      <c r="BW170" s="1439">
        <f t="shared" ca="1" si="77"/>
        <v>11.33959999998741</v>
      </c>
      <c r="BX170" s="1439">
        <f t="shared" ca="1" si="78"/>
        <v>8.6750000000185992</v>
      </c>
      <c r="BY170" s="1439">
        <f t="shared" ca="1" si="79"/>
        <v>5.0095999999874827</v>
      </c>
      <c r="BZ170" s="1439">
        <f t="shared" ca="1" si="80"/>
        <v>1.2247999999999277</v>
      </c>
      <c r="CA170" s="1439">
        <f t="shared" ca="1" si="81"/>
        <v>5.0095999999874827</v>
      </c>
      <c r="CB170" s="1439">
        <f t="shared" ca="1" si="82"/>
        <v>1.8371999999998914</v>
      </c>
      <c r="CC170" s="1439">
        <f t="shared" ca="1" si="83"/>
        <v>2.6427999999999274</v>
      </c>
      <c r="CD170" s="1439">
        <f t="shared" ca="1" si="84"/>
        <v>4.3050000000187083</v>
      </c>
      <c r="CE170" s="1439">
        <f ca="1">IF(B170&gt;=$J$5,0,CONTADORES!BS172-CONTADORES!BS171)</f>
        <v>4.3699999999998909</v>
      </c>
      <c r="CF170" s="1439">
        <f t="shared" ca="1" si="85"/>
        <v>4.3050000000187083</v>
      </c>
      <c r="CG170" s="1439">
        <f t="shared" ca="1" si="86"/>
        <v>1.3399999999999181</v>
      </c>
      <c r="CH170" s="1439">
        <f t="shared" ca="1" si="87"/>
        <v>1.3399999999999181</v>
      </c>
      <c r="CI170" s="1439">
        <f t="shared" ca="1" si="88"/>
        <v>2.1249999999999183</v>
      </c>
      <c r="CJ170" s="1488">
        <f ca="1">IF($B170&gt;=$J$5,0,CONTADORES!$BG172)</f>
        <v>8904.6104668516691</v>
      </c>
      <c r="CK170" s="1406">
        <f>CONTADORES!E172</f>
        <v>0</v>
      </c>
      <c r="CL170" s="1406">
        <f>CONTADORES!BX172</f>
        <v>0</v>
      </c>
    </row>
    <row r="171" spans="2:90">
      <c r="B171" s="410">
        <v>45087</v>
      </c>
      <c r="C171" s="204">
        <f t="shared" ca="1" si="64"/>
        <v>279.38100000005215</v>
      </c>
      <c r="D171" s="202">
        <f ca="1">'CALCULO DE GAS'!D183</f>
        <v>4.9464538597294956</v>
      </c>
      <c r="E171" s="202">
        <f ca="1">IF(B171&gt;=$J$5,0,(CONTADORES!$AB173-CONTADORES!$AB172)-$H171)</f>
        <v>24</v>
      </c>
      <c r="F171" s="204">
        <f t="shared" ca="1" si="90"/>
        <v>0</v>
      </c>
      <c r="G171" s="202">
        <f ca="1">IF(B171&gt;=$J$5,0,CONTADORES!$AD173-CONTADORES!$AD172)</f>
        <v>0</v>
      </c>
      <c r="H171" s="202">
        <f ca="1">IF(G171&gt;0,CONTADORES!$AC173-CONTADORES!$AC172,0)</f>
        <v>0</v>
      </c>
      <c r="I171" s="205">
        <f ca="1">IF(B171&gt;=$J$5,0,CONTADORES!$Z173-CONTADORES!$Z172)</f>
        <v>279.38100000005215</v>
      </c>
      <c r="J171" s="204">
        <f t="shared" ca="1" si="65"/>
        <v>149.6730000000025</v>
      </c>
      <c r="K171" s="202">
        <f ca="1">'CALCULO DE GAS'!E183</f>
        <v>3.7529941079520466</v>
      </c>
      <c r="L171" s="1437">
        <f ca="1">IF(B171&gt;=$J$5,0,(CONTADORES!$W173-CONTADORES!$W172)-$O171)</f>
        <v>24</v>
      </c>
      <c r="M171" s="1437">
        <f t="shared" ca="1" si="89"/>
        <v>0</v>
      </c>
      <c r="N171" s="1437">
        <f ca="1">IF(B171&gt;=$J$5,0,CONTADORES!$Y173-CONTADORES!$Y172)</f>
        <v>0</v>
      </c>
      <c r="O171" s="1437">
        <f ca="1">IF(N171&gt;0,CONTADORES!$X173-CONTADORES!$X172,0)</f>
        <v>0</v>
      </c>
      <c r="P171" s="208">
        <f ca="1">IF(B171&gt;=$J$5,0,CONTADORES!$U173-CONTADORES!$U172)</f>
        <v>149.6730000000025</v>
      </c>
      <c r="Q171" s="208">
        <f ca="1">IF(B171&gt;=$J$5,0,CONTADORES!$B173-CONTADORES!$B172)</f>
        <v>0</v>
      </c>
      <c r="R171" s="202">
        <f t="shared" ca="1" si="66"/>
        <v>0</v>
      </c>
      <c r="S171" s="11">
        <f ca="1">IF(B171&gt;=$J$5,0,CONTADORES!$D173-CONTADORES!$D172)</f>
        <v>0</v>
      </c>
      <c r="T171" s="204">
        <f ca="1">IF(B171&gt;=$J$5,0,CONTADORES!$AZ173-CONTADORES!$AZ172)</f>
        <v>0</v>
      </c>
      <c r="U171" s="202">
        <f t="shared" ca="1" si="91"/>
        <v>0</v>
      </c>
      <c r="V171" s="205">
        <f ca="1">IF(B171&gt;=$J$5,0,CONTADORES!$BB173-CONTADORES!$BB172)</f>
        <v>0</v>
      </c>
      <c r="W171" s="1438">
        <f t="shared" ca="1" si="67"/>
        <v>429.05400000005466</v>
      </c>
      <c r="X171" s="1438">
        <f t="shared" ca="1" si="68"/>
        <v>0</v>
      </c>
      <c r="Y171" s="1439">
        <f t="shared" ca="1" si="69"/>
        <v>429.05400000005466</v>
      </c>
      <c r="Z171" s="1439">
        <f t="shared" ca="1" si="70"/>
        <v>8.699447967681543</v>
      </c>
      <c r="AA171" s="1439">
        <f t="shared" ca="1" si="71"/>
        <v>0</v>
      </c>
      <c r="AB171" s="1439">
        <f t="shared" ca="1" si="72"/>
        <v>48</v>
      </c>
      <c r="AC171" s="1438">
        <f t="shared" ca="1" si="73"/>
        <v>0</v>
      </c>
      <c r="AD171" s="1438">
        <f ca="1">IF(B171&gt;=$J$5,0,CONTADORES!H173-CONTADORES!H172)</f>
        <v>165.79999999999927</v>
      </c>
      <c r="AE171" s="1438">
        <f ca="1">IF(B171&gt;=$J$5,0,CONTADORES!J173-CONTADORES!J172)</f>
        <v>24</v>
      </c>
      <c r="AF171" s="1438">
        <f ca="1">IF(B171&gt;=$J$5,0,CONTADORES!AS173-CONTADORES!AS172)</f>
        <v>137.25999999995111</v>
      </c>
      <c r="AG171" s="1438">
        <f ca="1">IF(B171&gt;=$J$5,0,CONTADORES!AU173-CONTADORES!AU172)</f>
        <v>24</v>
      </c>
      <c r="AH171" s="1439">
        <f ca="1">IF(B171&gt;=$J$5,0,(CONTADORES!AK173-CONTADORES!AK172)+(CONTADORES!K173-CONTADORES!K172))</f>
        <v>10.389999999999418</v>
      </c>
      <c r="AI171" s="1438">
        <f ca="1">IF(B171&gt;=$J$5,0,(CONTADORES!AI173-CONTADORES!AI172)+(CONTADORES!M173-CONTADORES!M172))</f>
        <v>36.080000000001746</v>
      </c>
      <c r="AJ171" s="1438">
        <f ca="1">IF(B171&gt;=$J$5,0,(CONTADORES!AG173-CONTADORES!AG172))</f>
        <v>8.9200000000128057</v>
      </c>
      <c r="AK171" s="1438">
        <f ca="1">IF(B171&gt;=$J$5,0,(CONTADORES!O173-CONTADORES!O172))</f>
        <v>12.380000000004657</v>
      </c>
      <c r="AL171" s="1450">
        <f t="shared" ca="1" si="74"/>
        <v>31.6840000000484</v>
      </c>
      <c r="AM171" s="1438">
        <f ca="1">IF(B171&gt;=$J$5,0,(((CONTADORES!F173-CONTADORES!F172)+(CONTADORES!AO173-CONTADORES!AO172))))-BJ171-AF171-AN171-BM171-BP171-BU171-BS171</f>
        <v>9.8360000000370729</v>
      </c>
      <c r="AN171" s="1438">
        <f ca="1">IF(B171&gt;=$J$5,0,(CONTADORES!AV173-CONTADORES!AV172)+(CONTADORES!AX173-CONTADORES!AX172)+(CONTADORES!BC173-CONTADORES!BC172))-BS171</f>
        <v>2.2960000000000367</v>
      </c>
      <c r="AO171" s="1440">
        <f ca="1">IF(B171&gt;=$J$5,0,(CONTADORES!AA173-CONTADORES!AA172))</f>
        <v>137.64199999999255</v>
      </c>
      <c r="AP171" s="1450">
        <f ca="1">IF(B171&gt;=$J$5,0,(CONTADORES!V173-CONTADORES!V172))</f>
        <v>77.348999999998341</v>
      </c>
      <c r="AQ171" s="1450">
        <f ca="1">IF(B171&gt;=$J$5,0,(CONTADORES!C173-CONTADORES!C172))</f>
        <v>0</v>
      </c>
      <c r="AR171" s="1450">
        <f ca="1">IF(B171&gt;=$J$5,0,(CONTADORES!BA173-CONTADORES!BA172))</f>
        <v>0</v>
      </c>
      <c r="AS171" s="1450">
        <f ca="1">IF(B171&gt;=$J$5,0,CONTADORES!Q173-CONTADORES!Q172)</f>
        <v>14.339999999996508</v>
      </c>
      <c r="AT171" s="1450">
        <f ca="1">IF(B171&gt;=$J$5,0,(CONTADORES!S173-CONTADORES!S172)+(CONTADORES!AE173-CONTADORES!AE172))</f>
        <v>3.2799999999999976</v>
      </c>
      <c r="AU171" s="1450">
        <f ca="1">IF(B171&gt;=$J$5,0,(CONTADORES!I173-CONTADORES!I172))</f>
        <v>81.799999999999272</v>
      </c>
      <c r="AV171" s="1450">
        <f ca="1">IF(B171&gt;=$J$5,0,(CONTADORES!AT173-CONTADORES!AT172))</f>
        <v>60.110000000015134</v>
      </c>
      <c r="AW171" s="1450">
        <f ca="1">IF(B171&gt;=$J$5,0,(CONTADORES!L173-CONTADORES!L172)+(CONTADORES!AL173-CONTADORES!AL172))</f>
        <v>4</v>
      </c>
      <c r="AX171" s="1450">
        <f ca="1">IF(B171&gt;=$J$5,0,(CONTADORES!N173-CONTADORES!N172)+(CONTADORES!AJ173-CONTADORES!AJ172))</f>
        <v>30.860000000000582</v>
      </c>
      <c r="AY171" s="1450">
        <f ca="1">IF(B171&gt;=$J$5,0,(CONTADORES!AH173-CONTADORES!AH172))</f>
        <v>6.4899999999979627</v>
      </c>
      <c r="AZ171" s="1450">
        <f ca="1">IF(B171&gt;=$J$5,0,(CONTADORES!P173-CONTADORES!P172))</f>
        <v>9.569999999992433</v>
      </c>
      <c r="BA171" s="1439">
        <f t="shared" ca="1" si="75"/>
        <v>7.1499999999949182</v>
      </c>
      <c r="BB171" s="1450">
        <f ca="1">IF(B171&gt;=$J$5,0,(((CONTADORES!G173-CONTADORES!G172)+(CONTADORES!AP173-CONTADORES!AP172)+AR171)-(AV171+BC171)))</f>
        <v>7.0999999999903594</v>
      </c>
      <c r="BC171" s="1438">
        <f ca="1">IF(B171&gt;=$J$5,0,(CONTADORES!AW173-CONTADORES!AW172)+(CONTADORES!AY173-CONTADORES!AY172)+(CONTADORES!BD173-CONTADORES!BD172))</f>
        <v>2.5900000000001455</v>
      </c>
      <c r="BD171" s="1438">
        <f t="shared" ca="1" si="76"/>
        <v>214.99099999999089</v>
      </c>
      <c r="BE171" s="1439">
        <f ca="1">IF($B171&gt;=$J$5,0,CONTADORES!$BE173)</f>
        <v>6076.16</v>
      </c>
      <c r="BF171" s="1438">
        <f ca="1">IF($B171&gt;=$J$5,0,CONTADORES!$BF173)</f>
        <v>15109.929824561401</v>
      </c>
      <c r="BG171" s="1438">
        <f ca="1">IF($B171&gt;=$J$5,0,CONTADORES!$BH173)</f>
        <v>6280.44</v>
      </c>
      <c r="BH171" s="1438">
        <f ca="1">IF(B171&gt;=$J$5,0,(CONTADORES!AQ173-CONTADORES!AQ172))</f>
        <v>5.0999999999985448</v>
      </c>
      <c r="BI171" s="1438">
        <f ca="1">IF(C171&gt;=$J$5,0,(CONTADORES!AR173-CONTADORES!AR172))</f>
        <v>0</v>
      </c>
      <c r="BJ171" s="1439">
        <f ca="1">IF(B171&gt;=$J$5,0,CONTADORES!BI173-CONTADORES!BI172)/1000</f>
        <v>0</v>
      </c>
      <c r="BK171" s="1439">
        <f ca="1">IF(B171&gt;=$J$5,0,CONTADORES!BJ173-CONTADORES!BJ172)</f>
        <v>0</v>
      </c>
      <c r="BL171" s="1439">
        <f ca="1">IF(B171&gt;=$J$5,0,CONTADORES!BK173-CONTADORES!BK172)</f>
        <v>0</v>
      </c>
      <c r="BM171" s="1439">
        <f ca="1">IF(B171&gt;=$J$5,0,CONTADORES!BL173-CONTADORES!BL172)/1000</f>
        <v>2.56</v>
      </c>
      <c r="BN171" s="1439">
        <f ca="1">IF(B171&gt;=$J$5,0,CONTADORES!BM173-CONTADORES!BM172)/1000</f>
        <v>0</v>
      </c>
      <c r="BO171" s="1439">
        <f ca="1">IF(B171&gt;=$J$5,0,CONTADORES!BN173-CONTADORES!BN172)</f>
        <v>24</v>
      </c>
      <c r="BP171" s="1439">
        <f ca="1">IF(B171&gt;=$J$5,0,CONTADORES!BO173-CONTADORES!BO172)/1000</f>
        <v>4.0940000000000003</v>
      </c>
      <c r="BQ171" s="1439">
        <f ca="1">IF(B171&gt;=$J$5,0,CONTADORES!BP173-CONTADORES!BP172)/1000</f>
        <v>0.12</v>
      </c>
      <c r="BR171" s="1439">
        <f ca="1">IF(B171&gt;=$J$5,0,CONTADORES!BQ173-CONTADORES!BQ172)</f>
        <v>24.009999999998399</v>
      </c>
      <c r="BS171" s="1439">
        <f ca="1">IF(B171&gt;=$J$5,0,(CONTADORES!BT173-CONTADORES!BT172)+(CONTADORES!BV173-CONTADORES!BV172))/1000</f>
        <v>1.4139999999999999</v>
      </c>
      <c r="BT171" s="1439">
        <f ca="1">IF(B171&gt;=$J$5,0,(CONTADORES!BU173-CONTADORES!BU172)+(CONTADORES!BW173-CONTADORES!BW172))/1000</f>
        <v>0.78100000000000003</v>
      </c>
      <c r="BU171" s="1439">
        <f ca="1">IF(B171&gt;=$J$5,0,CONTADORES!BR173-CONTADORES!BR172)</f>
        <v>6.3400000000001455</v>
      </c>
      <c r="BV171" s="1439">
        <f ca="1">IF(B171&gt;=$J$5,0,CONTADORES!BS173-CONTADORES!BS172)</f>
        <v>4.4200000000000728</v>
      </c>
      <c r="BW171" s="1439">
        <f t="shared" ca="1" si="77"/>
        <v>11.258000000018683</v>
      </c>
      <c r="BX171" s="1439">
        <f t="shared" ca="1" si="78"/>
        <v>7.9699999999952524</v>
      </c>
      <c r="BY171" s="1439">
        <f t="shared" ca="1" si="79"/>
        <v>4.9180000000185364</v>
      </c>
      <c r="BZ171" s="1439">
        <f t="shared" ca="1" si="80"/>
        <v>0.91840000000001476</v>
      </c>
      <c r="CA171" s="1439">
        <f t="shared" ca="1" si="81"/>
        <v>4.9180000000185364</v>
      </c>
      <c r="CB171" s="1439">
        <f t="shared" ca="1" si="82"/>
        <v>1.3776000000000219</v>
      </c>
      <c r="CC171" s="1439">
        <f t="shared" ca="1" si="83"/>
        <v>2.3324000000000149</v>
      </c>
      <c r="CD171" s="1439">
        <f t="shared" ca="1" si="84"/>
        <v>3.5499999999951797</v>
      </c>
      <c r="CE171" s="1439">
        <f ca="1">IF(B171&gt;=$J$5,0,CONTADORES!BS173-CONTADORES!BS172)</f>
        <v>4.4200000000000728</v>
      </c>
      <c r="CF171" s="1439">
        <f t="shared" ca="1" si="85"/>
        <v>3.5499999999951797</v>
      </c>
      <c r="CG171" s="1439">
        <f t="shared" ca="1" si="86"/>
        <v>1.2950000000000728</v>
      </c>
      <c r="CH171" s="1439">
        <f t="shared" ca="1" si="87"/>
        <v>1.2950000000000728</v>
      </c>
      <c r="CI171" s="1439">
        <f t="shared" ca="1" si="88"/>
        <v>2.0760000000000729</v>
      </c>
      <c r="CJ171" s="1488">
        <f ca="1">IF($B171&gt;=$J$5,0,CONTADORES!$BG173)</f>
        <v>7253.0812446619602</v>
      </c>
      <c r="CK171" s="1406">
        <f>CONTADORES!E173</f>
        <v>0</v>
      </c>
      <c r="CL171" s="1406">
        <f>CONTADORES!BX173</f>
        <v>0</v>
      </c>
    </row>
    <row r="172" spans="2:90">
      <c r="B172" s="410">
        <v>45088</v>
      </c>
      <c r="C172" s="204">
        <f t="shared" ca="1" si="64"/>
        <v>269.5</v>
      </c>
      <c r="D172" s="202">
        <f ca="1">'CALCULO DE GAS'!D184</f>
        <v>4.8543489807863169</v>
      </c>
      <c r="E172" s="202">
        <f ca="1">IF(B172&gt;=$J$5,0,(CONTADORES!$AB174-CONTADORES!$AB173)-$H172)</f>
        <v>24</v>
      </c>
      <c r="F172" s="204">
        <f t="shared" ca="1" si="90"/>
        <v>0</v>
      </c>
      <c r="G172" s="202">
        <f ca="1">IF(B172&gt;=$J$5,0,CONTADORES!$AD174-CONTADORES!$AD173)</f>
        <v>0</v>
      </c>
      <c r="H172" s="202">
        <f ca="1">IF(G172&gt;0,CONTADORES!$AC174-CONTADORES!$AC173,0)</f>
        <v>0</v>
      </c>
      <c r="I172" s="205">
        <f ca="1">IF(B172&gt;=$J$5,0,CONTADORES!$Z174-CONTADORES!$Z173)</f>
        <v>269.5</v>
      </c>
      <c r="J172" s="204">
        <f t="shared" ca="1" si="65"/>
        <v>151.20999999999913</v>
      </c>
      <c r="K172" s="202">
        <f ca="1">'CALCULO DE GAS'!E184</f>
        <v>3.7683444772323327</v>
      </c>
      <c r="L172" s="1437">
        <f ca="1">IF(B172&gt;=$J$5,0,(CONTADORES!$W174-CONTADORES!$W173)-$O172)</f>
        <v>24</v>
      </c>
      <c r="M172" s="1437">
        <f t="shared" ca="1" si="89"/>
        <v>0</v>
      </c>
      <c r="N172" s="1437">
        <f ca="1">IF(B172&gt;=$J$5,0,CONTADORES!$Y174-CONTADORES!$Y173)</f>
        <v>0</v>
      </c>
      <c r="O172" s="1437">
        <f ca="1">IF(N172&gt;0,CONTADORES!$X174-CONTADORES!$X173,0)</f>
        <v>0</v>
      </c>
      <c r="P172" s="208">
        <f ca="1">IF(B172&gt;=$J$5,0,CONTADORES!$U174-CONTADORES!$U173)</f>
        <v>151.20999999999913</v>
      </c>
      <c r="Q172" s="208">
        <f ca="1">IF(B172&gt;=$J$5,0,CONTADORES!$B174-CONTADORES!$B173)</f>
        <v>0</v>
      </c>
      <c r="R172" s="202">
        <f t="shared" ca="1" si="66"/>
        <v>0</v>
      </c>
      <c r="S172" s="11">
        <f ca="1">IF(B172&gt;=$J$5,0,CONTADORES!$D174-CONTADORES!$D173)</f>
        <v>0</v>
      </c>
      <c r="T172" s="204">
        <f ca="1">IF(B172&gt;=$J$5,0,CONTADORES!$AZ174-CONTADORES!$AZ173)</f>
        <v>0</v>
      </c>
      <c r="U172" s="202">
        <f t="shared" ca="1" si="91"/>
        <v>0</v>
      </c>
      <c r="V172" s="205">
        <f ca="1">IF(B172&gt;=$J$5,0,CONTADORES!$BB174-CONTADORES!$BB173)</f>
        <v>0</v>
      </c>
      <c r="W172" s="1438">
        <f t="shared" ca="1" si="67"/>
        <v>420.70999999999913</v>
      </c>
      <c r="X172" s="1438">
        <f t="shared" ca="1" si="68"/>
        <v>0</v>
      </c>
      <c r="Y172" s="1439">
        <f t="shared" ca="1" si="69"/>
        <v>420.70999999999913</v>
      </c>
      <c r="Z172" s="1439">
        <f t="shared" ca="1" si="70"/>
        <v>8.6226934580186487</v>
      </c>
      <c r="AA172" s="1439">
        <f t="shared" ca="1" si="71"/>
        <v>0</v>
      </c>
      <c r="AB172" s="1439">
        <f t="shared" ca="1" si="72"/>
        <v>48</v>
      </c>
      <c r="AC172" s="1438">
        <f t="shared" ca="1" si="73"/>
        <v>0</v>
      </c>
      <c r="AD172" s="1438">
        <f ca="1">IF(B172&gt;=$J$5,0,CONTADORES!H174-CONTADORES!H173)</f>
        <v>162.30000000000109</v>
      </c>
      <c r="AE172" s="1438">
        <f ca="1">IF(B172&gt;=$J$5,0,CONTADORES!J174-CONTADORES!J173)</f>
        <v>24</v>
      </c>
      <c r="AF172" s="1438">
        <f ca="1">IF(B172&gt;=$J$5,0,CONTADORES!AS174-CONTADORES!AS173)</f>
        <v>135.04000000003725</v>
      </c>
      <c r="AG172" s="1438">
        <f ca="1">IF(B172&gt;=$J$5,0,CONTADORES!AU174-CONTADORES!AU173)</f>
        <v>24</v>
      </c>
      <c r="AH172" s="1439">
        <f ca="1">IF(B172&gt;=$J$5,0,(CONTADORES!AK174-CONTADORES!AK173)+(CONTADORES!K174-CONTADORES!K173))</f>
        <v>8.5</v>
      </c>
      <c r="AI172" s="1438">
        <f ca="1">IF(B172&gt;=$J$5,0,(CONTADORES!AI174-CONTADORES!AI173)+(CONTADORES!M174-CONTADORES!M173))</f>
        <v>36.619999999995343</v>
      </c>
      <c r="AJ172" s="1438">
        <f ca="1">IF(B172&gt;=$J$5,0,(CONTADORES!AG174-CONTADORES!AG173))</f>
        <v>6.5099999999947613</v>
      </c>
      <c r="AK172" s="1438">
        <f ca="1">IF(B172&gt;=$J$5,0,(CONTADORES!O174-CONTADORES!O173))</f>
        <v>12.569999999977881</v>
      </c>
      <c r="AL172" s="1450">
        <f t="shared" ca="1" si="74"/>
        <v>31.210000000015441</v>
      </c>
      <c r="AM172" s="1438">
        <f ca="1">IF(B172&gt;=$J$5,0,(((CONTADORES!F174-CONTADORES!F173)+(CONTADORES!AO174-CONTADORES!AO173))))-BJ172-AF172-AN172-BM172-BP172-BU172-BS172</f>
        <v>10.786999999977242</v>
      </c>
      <c r="AN172" s="1438">
        <f ca="1">IF(B172&gt;=$J$5,0,(CONTADORES!AV174-CONTADORES!AV173)+(CONTADORES!AX174-CONTADORES!AX173)+(CONTADORES!BC174-CONTADORES!BC173))-BS172</f>
        <v>2.2460000000003455</v>
      </c>
      <c r="AO172" s="1440">
        <f ca="1">IF(B172&gt;=$J$5,0,(CONTADORES!AA174-CONTADORES!AA173))</f>
        <v>134.30999999999767</v>
      </c>
      <c r="AP172" s="1450">
        <f ca="1">IF(B172&gt;=$J$5,0,(CONTADORES!V174-CONTADORES!V173))</f>
        <v>78</v>
      </c>
      <c r="AQ172" s="1450">
        <f ca="1">IF(B172&gt;=$J$5,0,(CONTADORES!C174-CONTADORES!C173))</f>
        <v>0</v>
      </c>
      <c r="AR172" s="1450">
        <f ca="1">IF(B172&gt;=$J$5,0,(CONTADORES!BA174-CONTADORES!BA173))</f>
        <v>0</v>
      </c>
      <c r="AS172" s="1450">
        <f ca="1">IF(B172&gt;=$J$5,0,CONTADORES!Q174-CONTADORES!Q173)</f>
        <v>14.089999999996508</v>
      </c>
      <c r="AT172" s="1450">
        <f ca="1">IF(B172&gt;=$J$5,0,(CONTADORES!S174-CONTADORES!S173)+(CONTADORES!AE174-CONTADORES!AE173))</f>
        <v>3.25</v>
      </c>
      <c r="AU172" s="1450">
        <f ca="1">IF(B172&gt;=$J$5,0,(CONTADORES!I174-CONTADORES!I173))</f>
        <v>81.700000000000728</v>
      </c>
      <c r="AV172" s="1450">
        <f ca="1">IF(B172&gt;=$J$5,0,(CONTADORES!AT174-CONTADORES!AT173))</f>
        <v>59.480000000010477</v>
      </c>
      <c r="AW172" s="1450">
        <f ca="1">IF(B172&gt;=$J$5,0,(CONTADORES!L174-CONTADORES!L173)+(CONTADORES!AL174-CONTADORES!AL173))</f>
        <v>3.2999999999992724</v>
      </c>
      <c r="AX172" s="1450">
        <f ca="1">IF(B172&gt;=$J$5,0,(CONTADORES!N174-CONTADORES!N173)+(CONTADORES!AJ174-CONTADORES!AJ173))</f>
        <v>31.270000000004075</v>
      </c>
      <c r="AY172" s="1450">
        <f ca="1">IF(B172&gt;=$J$5,0,(CONTADORES!AH174-CONTADORES!AH173))</f>
        <v>4.9800000000032014</v>
      </c>
      <c r="AZ172" s="1450">
        <f ca="1">IF(B172&gt;=$J$5,0,(CONTADORES!P174-CONTADORES!P173))</f>
        <v>9.7400000000052387</v>
      </c>
      <c r="BA172" s="1439">
        <f t="shared" ca="1" si="75"/>
        <v>6.4449999999961562</v>
      </c>
      <c r="BB172" s="1450">
        <f ca="1">IF(B172&gt;=$J$5,0,(((CONTADORES!G174-CONTADORES!G173)+(CONTADORES!AP174-CONTADORES!AP173)+AR172)-(AV172+BC172)))</f>
        <v>7.6199999999785177</v>
      </c>
      <c r="BC172" s="1438">
        <f ca="1">IF(B172&gt;=$J$5,0,(CONTADORES!AW174-CONTADORES!AW173)+(CONTADORES!AY174-CONTADORES!AY173)+(CONTADORES!BD174-CONTADORES!BD173))</f>
        <v>2.4000000000000909</v>
      </c>
      <c r="BD172" s="1438">
        <f t="shared" ca="1" si="76"/>
        <v>212.30999999999767</v>
      </c>
      <c r="BE172" s="1439">
        <f ca="1">IF($B172&gt;=$J$5,0,CONTADORES!$BE174)</f>
        <v>5739.48</v>
      </c>
      <c r="BF172" s="1438">
        <f ca="1">IF($B172&gt;=$J$5,0,CONTADORES!$BF174)</f>
        <v>14448.3543859649</v>
      </c>
      <c r="BG172" s="1438">
        <f ca="1">IF($B172&gt;=$J$5,0,CONTADORES!$BH174)</f>
        <v>6151.48</v>
      </c>
      <c r="BH172" s="1438">
        <f ca="1">IF(B172&gt;=$J$5,0,(CONTADORES!AQ174-CONTADORES!AQ173))</f>
        <v>4.8630000000048312</v>
      </c>
      <c r="BI172" s="1438">
        <f ca="1">IF(C172&gt;=$J$5,0,(CONTADORES!AR174-CONTADORES!AR173))</f>
        <v>0</v>
      </c>
      <c r="BJ172" s="1439">
        <f ca="1">IF(B172&gt;=$J$5,0,CONTADORES!BI174-CONTADORES!BI173)/1000</f>
        <v>0</v>
      </c>
      <c r="BK172" s="1439">
        <f ca="1">IF(B172&gt;=$J$5,0,CONTADORES!BJ174-CONTADORES!BJ173)</f>
        <v>0</v>
      </c>
      <c r="BL172" s="1439">
        <f ca="1">IF(B172&gt;=$J$5,0,CONTADORES!BK174-CONTADORES!BK173)</f>
        <v>0</v>
      </c>
      <c r="BM172" s="1439">
        <f ca="1">IF(B172&gt;=$J$5,0,CONTADORES!BL174-CONTADORES!BL173)/1000</f>
        <v>2.5920000000000001</v>
      </c>
      <c r="BN172" s="1439">
        <f ca="1">IF(B172&gt;=$J$5,0,CONTADORES!BM174-CONTADORES!BM173)/1000</f>
        <v>0</v>
      </c>
      <c r="BO172" s="1439">
        <f ca="1">IF(B172&gt;=$J$5,0,CONTADORES!BN174-CONTADORES!BN173)</f>
        <v>24</v>
      </c>
      <c r="BP172" s="1439">
        <f ca="1">IF(B172&gt;=$J$5,0,CONTADORES!BO174-CONTADORES!BO173)/1000</f>
        <v>4.641</v>
      </c>
      <c r="BQ172" s="1439">
        <f ca="1">IF(B172&gt;=$J$5,0,CONTADORES!BP174-CONTADORES!BP173)/1000</f>
        <v>0.247</v>
      </c>
      <c r="BR172" s="1439">
        <f ca="1">IF(B172&gt;=$J$5,0,CONTADORES!BQ174-CONTADORES!BQ173)</f>
        <v>24</v>
      </c>
      <c r="BS172" s="1439">
        <f ca="1">IF(B172&gt;=$J$5,0,(CONTADORES!BT174-CONTADORES!BT173)+(CONTADORES!BV174-CONTADORES!BV173))/1000</f>
        <v>1.3740000000000001</v>
      </c>
      <c r="BT172" s="1439">
        <f ca="1">IF(B172&gt;=$J$5,0,(CONTADORES!BU174-CONTADORES!BU173)+(CONTADORES!BW174-CONTADORES!BW173))/1000</f>
        <v>0.75800000000000001</v>
      </c>
      <c r="BU172" s="1439">
        <f ca="1">IF(B172&gt;=$J$5,0,CONTADORES!BR174-CONTADORES!BR173)</f>
        <v>6.319999999999709</v>
      </c>
      <c r="BV172" s="1439">
        <f ca="1">IF(B172&gt;=$J$5,0,CONTADORES!BS174-CONTADORES!BS173)</f>
        <v>4.3699999999998909</v>
      </c>
      <c r="BW172" s="1439">
        <f t="shared" ca="1" si="77"/>
        <v>11.713499999988329</v>
      </c>
      <c r="BX172" s="1439">
        <f t="shared" ca="1" si="78"/>
        <v>8.1799999999891497</v>
      </c>
      <c r="BY172" s="1439">
        <f t="shared" ca="1" si="79"/>
        <v>5.3934999999886211</v>
      </c>
      <c r="BZ172" s="1439">
        <f t="shared" ca="1" si="80"/>
        <v>0.8984000000001382</v>
      </c>
      <c r="CA172" s="1439">
        <f t="shared" ca="1" si="81"/>
        <v>5.3934999999886211</v>
      </c>
      <c r="CB172" s="1439">
        <f t="shared" ca="1" si="82"/>
        <v>1.3476000000002073</v>
      </c>
      <c r="CC172" s="1439">
        <f t="shared" ca="1" si="83"/>
        <v>2.2724000000001383</v>
      </c>
      <c r="CD172" s="1439">
        <f t="shared" ca="1" si="84"/>
        <v>3.8099999999892589</v>
      </c>
      <c r="CE172" s="1439">
        <f ca="1">IF(B172&gt;=$J$5,0,CONTADORES!BS174-CONTADORES!BS173)</f>
        <v>4.3699999999998909</v>
      </c>
      <c r="CF172" s="1439">
        <f t="shared" ca="1" si="85"/>
        <v>3.8099999999892589</v>
      </c>
      <c r="CG172" s="1439">
        <f t="shared" ca="1" si="86"/>
        <v>1.2000000000000455</v>
      </c>
      <c r="CH172" s="1439">
        <f t="shared" ca="1" si="87"/>
        <v>1.2000000000000455</v>
      </c>
      <c r="CI172" s="1439">
        <f t="shared" ca="1" si="88"/>
        <v>1.9580000000000455</v>
      </c>
      <c r="CJ172" s="1488">
        <f ca="1">IF($B172&gt;=$J$5,0,CONTADORES!$BG174)</f>
        <v>7158.77915421739</v>
      </c>
      <c r="CK172" s="1406">
        <f>CONTADORES!E174</f>
        <v>0</v>
      </c>
      <c r="CL172" s="1406">
        <f>CONTADORES!BX174</f>
        <v>0</v>
      </c>
    </row>
    <row r="173" spans="2:90">
      <c r="B173" s="410">
        <v>45089</v>
      </c>
      <c r="C173" s="204">
        <f t="shared" ca="1" si="64"/>
        <v>269.69999999995343</v>
      </c>
      <c r="D173" s="202">
        <f ca="1">'CALCULO DE GAS'!D185</f>
        <v>4.8562132633269757</v>
      </c>
      <c r="E173" s="202">
        <f ca="1">IF(B173&gt;=$J$5,0,(CONTADORES!$AB175-CONTADORES!$AB174)-$H173)</f>
        <v>24</v>
      </c>
      <c r="F173" s="204">
        <f t="shared" ca="1" si="90"/>
        <v>0</v>
      </c>
      <c r="G173" s="202">
        <f ca="1">IF(B173&gt;=$J$5,0,CONTADORES!$AD175-CONTADORES!$AD174)</f>
        <v>0</v>
      </c>
      <c r="H173" s="202">
        <f ca="1">IF(G173&gt;0,CONTADORES!$AC175-CONTADORES!$AC174,0)</f>
        <v>0</v>
      </c>
      <c r="I173" s="205">
        <f ca="1">IF(B173&gt;=$J$5,0,CONTADORES!$Z175-CONTADORES!$Z174)</f>
        <v>269.69999999995343</v>
      </c>
      <c r="J173" s="204">
        <f t="shared" ca="1" si="65"/>
        <v>152.48200000000361</v>
      </c>
      <c r="K173" s="202">
        <f ca="1">'CALCULO DE GAS'!E185</f>
        <v>3.7810482311195384</v>
      </c>
      <c r="L173" s="1437">
        <f ca="1">IF(B173&gt;=$J$5,0,(CONTADORES!$W175-CONTADORES!$W174)-$O173)</f>
        <v>24</v>
      </c>
      <c r="M173" s="1437">
        <f t="shared" ref="M173:M204" ca="1" si="92">IF(O173=0,0,"ERROR")</f>
        <v>0</v>
      </c>
      <c r="N173" s="1437">
        <f ca="1">IF(B173&gt;=$J$5,0,CONTADORES!$Y175-CONTADORES!$Y174)</f>
        <v>0</v>
      </c>
      <c r="O173" s="1437">
        <f ca="1">IF(N173&gt;0,CONTADORES!$X175-CONTADORES!$X174,0)</f>
        <v>0</v>
      </c>
      <c r="P173" s="208">
        <f ca="1">IF(B173&gt;=$J$5,0,CONTADORES!$U175-CONTADORES!$U174)</f>
        <v>152.48200000000361</v>
      </c>
      <c r="Q173" s="208">
        <f ca="1">IF(B173&gt;=$J$5,0,CONTADORES!$B175-CONTADORES!$B174)</f>
        <v>0.33099999999990359</v>
      </c>
      <c r="R173" s="202">
        <f t="shared" ca="1" si="66"/>
        <v>39.719999999988431</v>
      </c>
      <c r="S173" s="11">
        <f ca="1">IF(B173&gt;=$J$5,0,CONTADORES!$D175-CONTADORES!$D174)</f>
        <v>0.6000000000003638</v>
      </c>
      <c r="T173" s="204">
        <f ca="1">IF(B173&gt;=$J$5,0,CONTADORES!$AZ175-CONTADORES!$AZ174)</f>
        <v>0.33199999999999363</v>
      </c>
      <c r="U173" s="202">
        <f t="shared" ca="1" si="91"/>
        <v>39.839999999999236</v>
      </c>
      <c r="V173" s="205">
        <f ca="1">IF(B173&gt;=$J$5,0,CONTADORES!$BB175-CONTADORES!$BB174)</f>
        <v>0.39999999999986358</v>
      </c>
      <c r="W173" s="1438">
        <f t="shared" ca="1" si="67"/>
        <v>422.18199999995704</v>
      </c>
      <c r="X173" s="1438">
        <f t="shared" ca="1" si="68"/>
        <v>0.66299999999989723</v>
      </c>
      <c r="Y173" s="1439">
        <f t="shared" ca="1" si="69"/>
        <v>422.84499999995694</v>
      </c>
      <c r="Z173" s="1439">
        <f t="shared" ca="1" si="70"/>
        <v>8.6372614944465145</v>
      </c>
      <c r="AA173" s="1439">
        <f t="shared" ca="1" si="71"/>
        <v>79.559999999987667</v>
      </c>
      <c r="AB173" s="1439">
        <f t="shared" ca="1" si="72"/>
        <v>48</v>
      </c>
      <c r="AC173" s="1438">
        <f t="shared" ca="1" si="73"/>
        <v>1.0000000000002274</v>
      </c>
      <c r="AD173" s="1438">
        <f ca="1">IF(B173&gt;=$J$5,0,CONTADORES!H175-CONTADORES!H174)</f>
        <v>164.19999999999891</v>
      </c>
      <c r="AE173" s="1438">
        <f ca="1">IF(B173&gt;=$J$5,0,CONTADORES!J175-CONTADORES!J174)</f>
        <v>24</v>
      </c>
      <c r="AF173" s="1438">
        <f ca="1">IF(B173&gt;=$J$5,0,CONTADORES!AS175-CONTADORES!AS174)</f>
        <v>134.59999999997672</v>
      </c>
      <c r="AG173" s="1438">
        <f ca="1">IF(B173&gt;=$J$5,0,CONTADORES!AU175-CONTADORES!AU174)</f>
        <v>24</v>
      </c>
      <c r="AH173" s="1439">
        <f ca="1">IF(B173&gt;=$J$5,0,(CONTADORES!AK175-CONTADORES!AK174)+(CONTADORES!K175-CONTADORES!K174))</f>
        <v>9.5</v>
      </c>
      <c r="AI173" s="1438">
        <f ca="1">IF(B173&gt;=$J$5,0,(CONTADORES!AI175-CONTADORES!AI174)+(CONTADORES!M175-CONTADORES!M174))</f>
        <v>34.460000000006403</v>
      </c>
      <c r="AJ173" s="1438">
        <f ca="1">IF(B173&gt;=$J$5,0,(CONTADORES!AG175-CONTADORES!AG174))</f>
        <v>6.0099999999947613</v>
      </c>
      <c r="AK173" s="1438">
        <f ca="1">IF(B173&gt;=$J$5,0,(CONTADORES!O175-CONTADORES!O174))</f>
        <v>12.360000000015134</v>
      </c>
      <c r="AL173" s="1450">
        <f t="shared" ca="1" si="74"/>
        <v>36.514999999953375</v>
      </c>
      <c r="AM173" s="1438">
        <f ca="1">IF(B173&gt;=$J$5,0,(((CONTADORES!F175-CONTADORES!F174)+(CONTADORES!AO175-CONTADORES!AO174))))-BJ173-AF173-AN173-BM173-BP173-BU173-BS173</f>
        <v>8.9390000000121095</v>
      </c>
      <c r="AN173" s="1438">
        <f ca="1">IF(B173&gt;=$J$5,0,(CONTADORES!AV175-CONTADORES!AV174)+(CONTADORES!AX175-CONTADORES!AX174)+(CONTADORES!BC175-CONTADORES!BC174))-BS173</f>
        <v>1.9739999999999636</v>
      </c>
      <c r="AO173" s="1440">
        <f ca="1">IF(B173&gt;=$J$5,0,(CONTADORES!AA175-CONTADORES!AA174))</f>
        <v>132.9100000000326</v>
      </c>
      <c r="AP173" s="1450">
        <f ca="1">IF(B173&gt;=$J$5,0,(CONTADORES!V175-CONTADORES!V174))</f>
        <v>79</v>
      </c>
      <c r="AQ173" s="1450">
        <f ca="1">IF(B173&gt;=$J$5,0,(CONTADORES!C175-CONTADORES!C174))</f>
        <v>0.16800000000000637</v>
      </c>
      <c r="AR173" s="1450">
        <f ca="1">IF(B173&gt;=$J$5,0,(CONTADORES!BA175-CONTADORES!BA174))</f>
        <v>0.12599999999997635</v>
      </c>
      <c r="AS173" s="1450">
        <f ca="1">IF(B173&gt;=$J$5,0,CONTADORES!Q175-CONTADORES!Q174)</f>
        <v>14.14000000001397</v>
      </c>
      <c r="AT173" s="1450">
        <f ca="1">IF(B173&gt;=$J$5,0,(CONTADORES!S175-CONTADORES!S174)+(CONTADORES!AE175-CONTADORES!AE174))</f>
        <v>3.0600000000000023</v>
      </c>
      <c r="AU173" s="1450">
        <f ca="1">IF(B173&gt;=$J$5,0,(CONTADORES!I175-CONTADORES!I174))</f>
        <v>82.399999999999636</v>
      </c>
      <c r="AV173" s="1450">
        <f ca="1">IF(B173&gt;=$J$5,0,(CONTADORES!AT175-CONTADORES!AT174))</f>
        <v>59.299999999988358</v>
      </c>
      <c r="AW173" s="1450">
        <f ca="1">IF(B173&gt;=$J$5,0,(CONTADORES!L175-CONTADORES!L174)+(CONTADORES!AL175-CONTADORES!AL174))</f>
        <v>3.7000000000007276</v>
      </c>
      <c r="AX173" s="1450">
        <f ca="1">IF(B173&gt;=$J$5,0,(CONTADORES!N175-CONTADORES!N174)+(CONTADORES!AJ175-CONTADORES!AJ174))</f>
        <v>29.19999999999709</v>
      </c>
      <c r="AY173" s="1450">
        <f ca="1">IF(B173&gt;=$J$5,0,(CONTADORES!AH175-CONTADORES!AH174))</f>
        <v>4.6399999999994179</v>
      </c>
      <c r="AZ173" s="1450">
        <f ca="1">IF(B173&gt;=$J$5,0,(CONTADORES!P175-CONTADORES!P174))</f>
        <v>9.6900000000023283</v>
      </c>
      <c r="BA173" s="1439">
        <f t="shared" ca="1" si="75"/>
        <v>8.5410000000213415</v>
      </c>
      <c r="BB173" s="1450">
        <f ca="1">IF(B173&gt;=$J$5,0,(((CONTADORES!G175-CONTADORES!G174)+(CONTADORES!AP175-CONTADORES!AP174)+AR173)-(AV173+BC173)))</f>
        <v>7.5360000000234777</v>
      </c>
      <c r="BC173" s="1438">
        <f ca="1">IF(B173&gt;=$J$5,0,(CONTADORES!AW175-CONTADORES!AW174)+(CONTADORES!AY175-CONTADORES!AY174)+(CONTADORES!BD175-CONTADORES!BD174))</f>
        <v>1.9899999999997817</v>
      </c>
      <c r="BD173" s="1438">
        <f t="shared" ca="1" si="76"/>
        <v>212.20400000003258</v>
      </c>
      <c r="BE173" s="1439">
        <f ca="1">IF($B173&gt;=$J$5,0,CONTADORES!$BE175)</f>
        <v>5879.11</v>
      </c>
      <c r="BF173" s="1438">
        <f ca="1">IF($B173&gt;=$J$5,0,CONTADORES!$BF175)</f>
        <v>13659.3245614035</v>
      </c>
      <c r="BG173" s="1438">
        <f ca="1">IF($B173&gt;=$J$5,0,CONTADORES!$BH175)</f>
        <v>6331.24</v>
      </c>
      <c r="BH173" s="1438">
        <f ca="1">IF(B173&gt;=$J$5,0,(CONTADORES!AQ175-CONTADORES!AQ174))</f>
        <v>4.4519999999974971</v>
      </c>
      <c r="BI173" s="1438">
        <f ca="1">IF(C173&gt;=$J$5,0,(CONTADORES!AR175-CONTADORES!AR174))</f>
        <v>0</v>
      </c>
      <c r="BJ173" s="1439">
        <f ca="1">IF(B173&gt;=$J$5,0,CONTADORES!BI175-CONTADORES!BI174)/1000</f>
        <v>0</v>
      </c>
      <c r="BK173" s="1439">
        <f ca="1">IF(B173&gt;=$J$5,0,CONTADORES!BJ175-CONTADORES!BJ174)</f>
        <v>0</v>
      </c>
      <c r="BL173" s="1439">
        <f ca="1">IF(B173&gt;=$J$5,0,CONTADORES!BK175-CONTADORES!BK174)</f>
        <v>0</v>
      </c>
      <c r="BM173" s="1439">
        <f ca="1">IF(B173&gt;=$J$5,0,CONTADORES!BL175-CONTADORES!BL174)/1000</f>
        <v>2.5099999999999998</v>
      </c>
      <c r="BN173" s="1439">
        <f ca="1">IF(B173&gt;=$J$5,0,CONTADORES!BM175-CONTADORES!BM174)/1000</f>
        <v>0</v>
      </c>
      <c r="BO173" s="1439">
        <f ca="1">IF(B173&gt;=$J$5,0,CONTADORES!BN175-CONTADORES!BN174)</f>
        <v>24</v>
      </c>
      <c r="BP173" s="1439">
        <f ca="1">IF(B173&gt;=$J$5,0,CONTADORES!BO175-CONTADORES!BO174)/1000</f>
        <v>4.2309999999999999</v>
      </c>
      <c r="BQ173" s="1439">
        <f ca="1">IF(B173&gt;=$J$5,0,CONTADORES!BP175-CONTADORES!BP174)/1000</f>
        <v>0.17399999999999999</v>
      </c>
      <c r="BR173" s="1439">
        <f ca="1">IF(B173&gt;=$J$5,0,CONTADORES!BQ175-CONTADORES!BQ174)</f>
        <v>24</v>
      </c>
      <c r="BS173" s="1439">
        <f ca="1">IF(B173&gt;=$J$5,0,(CONTADORES!BT175-CONTADORES!BT174)+(CONTADORES!BV175-CONTADORES!BV174))/1000</f>
        <v>1.3160000000000001</v>
      </c>
      <c r="BT173" s="1439">
        <f ca="1">IF(B173&gt;=$J$5,0,(CONTADORES!BU175-CONTADORES!BU174)+(CONTADORES!BW175-CONTADORES!BW174))/1000</f>
        <v>0.72299999999999998</v>
      </c>
      <c r="BU173" s="1439">
        <f ca="1">IF(B173&gt;=$J$5,0,CONTADORES!BR175-CONTADORES!BR174)</f>
        <v>6.2299999999995634</v>
      </c>
      <c r="BV173" s="1439">
        <f ca="1">IF(B173&gt;=$J$5,0,CONTADORES!BS175-CONTADORES!BS174)</f>
        <v>4.3100000000004002</v>
      </c>
      <c r="BW173" s="1439">
        <f t="shared" ca="1" si="77"/>
        <v>10.699500000005617</v>
      </c>
      <c r="BX173" s="1439">
        <f t="shared" ca="1" si="78"/>
        <v>8.078000000012139</v>
      </c>
      <c r="BY173" s="1439">
        <f t="shared" ca="1" si="79"/>
        <v>4.4695000000060547</v>
      </c>
      <c r="BZ173" s="1439">
        <f t="shared" ca="1" si="80"/>
        <v>0.78959999999998542</v>
      </c>
      <c r="CA173" s="1439">
        <f t="shared" ca="1" si="81"/>
        <v>4.4695000000060547</v>
      </c>
      <c r="CB173" s="1439">
        <f t="shared" ca="1" si="82"/>
        <v>1.1843999999999781</v>
      </c>
      <c r="CC173" s="1439">
        <f t="shared" ca="1" si="83"/>
        <v>2.1055999999999857</v>
      </c>
      <c r="CD173" s="1439">
        <f t="shared" ca="1" si="84"/>
        <v>3.7680000000117388</v>
      </c>
      <c r="CE173" s="1439">
        <f ca="1">IF(B173&gt;=$J$5,0,CONTADORES!BS175-CONTADORES!BS174)</f>
        <v>4.3100000000004002</v>
      </c>
      <c r="CF173" s="1439">
        <f t="shared" ca="1" si="85"/>
        <v>3.7680000000117388</v>
      </c>
      <c r="CG173" s="1439">
        <f t="shared" ca="1" si="86"/>
        <v>0.99499999999989086</v>
      </c>
      <c r="CH173" s="1439">
        <f t="shared" ca="1" si="87"/>
        <v>0.99499999999989086</v>
      </c>
      <c r="CI173" s="1439">
        <f t="shared" ca="1" si="88"/>
        <v>1.7179999999998907</v>
      </c>
      <c r="CJ173" s="1488">
        <f ca="1">IF($B173&gt;=$J$5,0,CONTADORES!$BG175)</f>
        <v>8770.2316489495297</v>
      </c>
      <c r="CK173" s="1406">
        <f>CONTADORES!E175</f>
        <v>0.3</v>
      </c>
      <c r="CL173" s="1406">
        <f>CONTADORES!BX175</f>
        <v>0.3</v>
      </c>
    </row>
    <row r="174" spans="2:90">
      <c r="B174" s="410">
        <v>45090</v>
      </c>
      <c r="C174" s="204">
        <f t="shared" ca="1" si="64"/>
        <v>284.3399999999674</v>
      </c>
      <c r="D174" s="202">
        <f ca="1">'CALCULO DE GAS'!D186</f>
        <v>4.9926787453351018</v>
      </c>
      <c r="E174" s="202">
        <f ca="1">IF(B174&gt;=$J$5,0,(CONTADORES!$AB176-CONTADORES!$AB175)-$H174)</f>
        <v>24</v>
      </c>
      <c r="F174" s="204">
        <f t="shared" ca="1" si="90"/>
        <v>0</v>
      </c>
      <c r="G174" s="202">
        <f ca="1">IF(B174&gt;=$J$5,0,CONTADORES!$AD176-CONTADORES!$AD175)</f>
        <v>0</v>
      </c>
      <c r="H174" s="202">
        <f ca="1">IF(G174&gt;0,CONTADORES!$AC176-CONTADORES!$AC175,0)</f>
        <v>0</v>
      </c>
      <c r="I174" s="205">
        <f ca="1">IF(B174&gt;=$J$5,0,CONTADORES!$Z176-CONTADORES!$Z175)</f>
        <v>284.3399999999674</v>
      </c>
      <c r="J174" s="204">
        <f t="shared" ca="1" si="65"/>
        <v>146.85599999999977</v>
      </c>
      <c r="K174" s="202">
        <f ca="1">'CALCULO DE GAS'!E186</f>
        <v>3.724860086961348</v>
      </c>
      <c r="L174" s="1437">
        <f ca="1">IF(B174&gt;=$J$5,0,(CONTADORES!$W176-CONTADORES!$W175)-$O174)</f>
        <v>24</v>
      </c>
      <c r="M174" s="1437">
        <f t="shared" ca="1" si="92"/>
        <v>0</v>
      </c>
      <c r="N174" s="1437">
        <f ca="1">IF(B174&gt;=$J$5,0,CONTADORES!$Y176-CONTADORES!$Y175)</f>
        <v>0</v>
      </c>
      <c r="O174" s="1437">
        <f ca="1">IF(N174&gt;0,CONTADORES!$X176-CONTADORES!$X175,0)</f>
        <v>0</v>
      </c>
      <c r="P174" s="208">
        <f ca="1">IF(B174&gt;=$J$5,0,CONTADORES!$U176-CONTADORES!$U175)</f>
        <v>146.85599999999977</v>
      </c>
      <c r="Q174" s="208">
        <f ca="1">IF(B174&gt;=$J$5,0,CONTADORES!$B176-CONTADORES!$B175)</f>
        <v>0</v>
      </c>
      <c r="R174" s="202">
        <f t="shared" ca="1" si="66"/>
        <v>0</v>
      </c>
      <c r="S174" s="11">
        <f ca="1">IF(B174&gt;=$J$5,0,CONTADORES!$D176-CONTADORES!$D175)</f>
        <v>0</v>
      </c>
      <c r="T174" s="204">
        <f ca="1">IF(B174&gt;=$J$5,0,CONTADORES!$AZ176-CONTADORES!$AZ175)</f>
        <v>0</v>
      </c>
      <c r="U174" s="202">
        <f t="shared" ca="1" si="91"/>
        <v>0</v>
      </c>
      <c r="V174" s="205">
        <f ca="1">IF(B174&gt;=$J$5,0,CONTADORES!$BB176-CONTADORES!$BB175)</f>
        <v>0</v>
      </c>
      <c r="W174" s="1438">
        <f t="shared" ca="1" si="67"/>
        <v>431.19599999996717</v>
      </c>
      <c r="X174" s="1438">
        <f t="shared" ca="1" si="68"/>
        <v>0</v>
      </c>
      <c r="Y174" s="1439">
        <f t="shared" ca="1" si="69"/>
        <v>431.19599999996717</v>
      </c>
      <c r="Z174" s="1439">
        <f t="shared" ca="1" si="70"/>
        <v>8.7175388322964498</v>
      </c>
      <c r="AA174" s="1439">
        <f t="shared" ca="1" si="71"/>
        <v>0</v>
      </c>
      <c r="AB174" s="1439">
        <f t="shared" ca="1" si="72"/>
        <v>48</v>
      </c>
      <c r="AC174" s="1438">
        <f t="shared" ca="1" si="73"/>
        <v>0</v>
      </c>
      <c r="AD174" s="1438">
        <f ca="1">IF(B174&gt;=$J$5,0,CONTADORES!H176-CONTADORES!H175)</f>
        <v>159.90000000000146</v>
      </c>
      <c r="AE174" s="1438">
        <f ca="1">IF(B174&gt;=$J$5,0,CONTADORES!J176-CONTADORES!J175)</f>
        <v>24</v>
      </c>
      <c r="AF174" s="1438">
        <f ca="1">IF(B174&gt;=$J$5,0,CONTADORES!AS176-CONTADORES!AS175)</f>
        <v>142</v>
      </c>
      <c r="AG174" s="1438">
        <f ca="1">IF(B174&gt;=$J$5,0,CONTADORES!AU176-CONTADORES!AU175)</f>
        <v>24</v>
      </c>
      <c r="AH174" s="1439">
        <f ca="1">IF(B174&gt;=$J$5,0,(CONTADORES!AK176-CONTADORES!AK175)+(CONTADORES!K176-CONTADORES!K175))</f>
        <v>10.30000000000291</v>
      </c>
      <c r="AI174" s="1438">
        <f ca="1">IF(B174&gt;=$J$5,0,(CONTADORES!AI176-CONTADORES!AI175)+(CONTADORES!M176-CONTADORES!M175))</f>
        <v>35.5</v>
      </c>
      <c r="AJ174" s="1438">
        <f ca="1">IF(B174&gt;=$J$5,0,(CONTADORES!AG176-CONTADORES!AG175))</f>
        <v>6.9800000000104774</v>
      </c>
      <c r="AK174" s="1438">
        <f ca="1">IF(B174&gt;=$J$5,0,(CONTADORES!O176-CONTADORES!O175))</f>
        <v>11.429999999993015</v>
      </c>
      <c r="AL174" s="1450">
        <f t="shared" ca="1" si="74"/>
        <v>37.585999999948342</v>
      </c>
      <c r="AM174" s="1438">
        <f ca="1">IF(B174&gt;=$J$5,0,(((CONTADORES!F176-CONTADORES!F175)+(CONTADORES!AO176-CONTADORES!AO175))))-BJ174-AF174-AN174-BM174-BP174-BU174-BS174</f>
        <v>9.5270000000106947</v>
      </c>
      <c r="AN174" s="1438">
        <f ca="1">IF(B174&gt;=$J$5,0,(CONTADORES!AV176-CONTADORES!AV175)+(CONTADORES!AX176-CONTADORES!AX175)+(CONTADORES!BC176-CONTADORES!BC175))-BS174</f>
        <v>2.7550000000000727</v>
      </c>
      <c r="AO174" s="1440">
        <f ca="1">IF(B174&gt;=$J$5,0,(CONTADORES!AA176-CONTADORES!AA175))</f>
        <v>142.96000000002095</v>
      </c>
      <c r="AP174" s="1450">
        <f ca="1">IF(B174&gt;=$J$5,0,(CONTADORES!V176-CONTADORES!V175))</f>
        <v>75</v>
      </c>
      <c r="AQ174" s="1450">
        <f ca="1">IF(B174&gt;=$J$5,0,(CONTADORES!C176-CONTADORES!C175))</f>
        <v>0</v>
      </c>
      <c r="AR174" s="1450">
        <f ca="1">IF(B174&gt;=$J$5,0,(CONTADORES!BA176-CONTADORES!BA175))</f>
        <v>0</v>
      </c>
      <c r="AS174" s="1450">
        <f ca="1">IF(B174&gt;=$J$5,0,CONTADORES!Q176-CONTADORES!Q175)</f>
        <v>15.059999999997672</v>
      </c>
      <c r="AT174" s="1450">
        <f ca="1">IF(B174&gt;=$J$5,0,(CONTADORES!S176-CONTADORES!S175)+(CONTADORES!AE176-CONTADORES!AE175))</f>
        <v>3.3399999999999963</v>
      </c>
      <c r="AU174" s="1450">
        <f ca="1">IF(B174&gt;=$J$5,0,(CONTADORES!I176-CONTADORES!I175))</f>
        <v>80.800000000000182</v>
      </c>
      <c r="AV174" s="1450">
        <f ca="1">IF(B174&gt;=$J$5,0,(CONTADORES!AT176-CONTADORES!AT175))</f>
        <v>61.700000000011642</v>
      </c>
      <c r="AW174" s="1450">
        <f ca="1">IF(B174&gt;=$J$5,0,(CONTADORES!L176-CONTADORES!L175)+(CONTADORES!AL176-CONTADORES!AL175))</f>
        <v>3.7999999999992724</v>
      </c>
      <c r="AX174" s="1450">
        <f ca="1">IF(B174&gt;=$J$5,0,(CONTADORES!N176-CONTADORES!N175)+(CONTADORES!AJ176-CONTADORES!AJ175))</f>
        <v>29.389999999999418</v>
      </c>
      <c r="AY174" s="1450">
        <f ca="1">IF(B174&gt;=$J$5,0,(CONTADORES!AH176-CONTADORES!AH175))</f>
        <v>5.2999999999956344</v>
      </c>
      <c r="AZ174" s="1450">
        <f ca="1">IF(B174&gt;=$J$5,0,(CONTADORES!P176-CONTADORES!P175))</f>
        <v>8.6399999999994179</v>
      </c>
      <c r="BA174" s="1439">
        <f t="shared" ca="1" si="75"/>
        <v>11.036000000039536</v>
      </c>
      <c r="BB174" s="1450">
        <f ca="1">IF(B174&gt;=$J$5,0,(((CONTADORES!G176-CONTADORES!G175)+(CONTADORES!AP176-CONTADORES!AP175)+AR174)-(AV174+BC174)))</f>
        <v>9.2199999999756983</v>
      </c>
      <c r="BC174" s="1438">
        <f ca="1">IF(B174&gt;=$J$5,0,(CONTADORES!AW176-CONTADORES!AW175)+(CONTADORES!AY176-CONTADORES!AY175)+(CONTADORES!BD176-CONTADORES!BD175))</f>
        <v>2.180000000000291</v>
      </c>
      <c r="BD174" s="1438">
        <f t="shared" ca="1" si="76"/>
        <v>217.96000000002095</v>
      </c>
      <c r="BE174" s="1439">
        <f ca="1">IF($B174&gt;=$J$5,0,CONTADORES!$BE176)</f>
        <v>5202.5200000000004</v>
      </c>
      <c r="BF174" s="1438">
        <f ca="1">IF($B174&gt;=$J$5,0,CONTADORES!$BF176)</f>
        <v>28062.866666666701</v>
      </c>
      <c r="BG174" s="1438">
        <f ca="1">IF($B174&gt;=$J$5,0,CONTADORES!$BH176)</f>
        <v>6020.27</v>
      </c>
      <c r="BH174" s="1438">
        <f ca="1">IF(B174&gt;=$J$5,0,(CONTADORES!AQ176-CONTADORES!AQ175))</f>
        <v>5.2209999999977299</v>
      </c>
      <c r="BI174" s="1438">
        <f ca="1">IF(C174&gt;=$J$5,0,(CONTADORES!AR176-CONTADORES!AR175))</f>
        <v>0</v>
      </c>
      <c r="BJ174" s="1439">
        <f ca="1">IF(B174&gt;=$J$5,0,CONTADORES!BI176-CONTADORES!BI175)/1000</f>
        <v>0</v>
      </c>
      <c r="BK174" s="1439">
        <f ca="1">IF(B174&gt;=$J$5,0,CONTADORES!BJ176-CONTADORES!BJ175)</f>
        <v>0</v>
      </c>
      <c r="BL174" s="1439">
        <f ca="1">IF(B174&gt;=$J$5,0,CONTADORES!BK176-CONTADORES!BK175)</f>
        <v>0</v>
      </c>
      <c r="BM174" s="1439">
        <f ca="1">IF(B174&gt;=$J$5,0,CONTADORES!BL176-CONTADORES!BL175)/1000</f>
        <v>2.3959999999999999</v>
      </c>
      <c r="BN174" s="1439">
        <f ca="1">IF(B174&gt;=$J$5,0,CONTADORES!BM176-CONTADORES!BM175)/1000</f>
        <v>0</v>
      </c>
      <c r="BO174" s="1439">
        <f ca="1">IF(B174&gt;=$J$5,0,CONTADORES!BN176-CONTADORES!BN175)</f>
        <v>24</v>
      </c>
      <c r="BP174" s="1439">
        <f ca="1">IF(B174&gt;=$J$5,0,CONTADORES!BO176-CONTADORES!BO175)/1000</f>
        <v>5.0670000000000002</v>
      </c>
      <c r="BQ174" s="1439">
        <f ca="1">IF(B174&gt;=$J$5,0,CONTADORES!BP176-CONTADORES!BP175)/1000</f>
        <v>0.69699999999999995</v>
      </c>
      <c r="BR174" s="1439">
        <f ca="1">IF(B174&gt;=$J$5,0,CONTADORES!BQ176-CONTADORES!BQ175)</f>
        <v>24</v>
      </c>
      <c r="BS174" s="1439">
        <f ca="1">IF(B174&gt;=$J$5,0,(CONTADORES!BT176-CONTADORES!BT175)+(CONTADORES!BV176-CONTADORES!BV175))/1000</f>
        <v>1.415</v>
      </c>
      <c r="BT174" s="1439">
        <f ca="1">IF(B174&gt;=$J$5,0,(CONTADORES!BU176-CONTADORES!BU175)+(CONTADORES!BW176-CONTADORES!BW175))/1000</f>
        <v>0.78700000000000003</v>
      </c>
      <c r="BU174" s="1439">
        <f ca="1">IF(B174&gt;=$J$5,0,CONTADORES!BR176-CONTADORES!BR175)</f>
        <v>6.3400000000001455</v>
      </c>
      <c r="BV174" s="1439">
        <f ca="1">IF(B174&gt;=$J$5,0,CONTADORES!BS176-CONTADORES!BS175)</f>
        <v>4.4099999999998545</v>
      </c>
      <c r="BW174" s="1439">
        <f t="shared" ca="1" si="77"/>
        <v>11.103500000005493</v>
      </c>
      <c r="BX174" s="1439">
        <f t="shared" ca="1" si="78"/>
        <v>9.0199999999877036</v>
      </c>
      <c r="BY174" s="1439">
        <f t="shared" ca="1" si="79"/>
        <v>4.7635000000053473</v>
      </c>
      <c r="BZ174" s="1439">
        <f t="shared" ca="1" si="80"/>
        <v>1.1020000000000292</v>
      </c>
      <c r="CA174" s="1439">
        <f t="shared" ca="1" si="81"/>
        <v>4.7635000000053473</v>
      </c>
      <c r="CB174" s="1439">
        <f t="shared" ca="1" si="82"/>
        <v>1.6530000000000435</v>
      </c>
      <c r="CC174" s="1439">
        <f t="shared" ca="1" si="83"/>
        <v>2.5170000000000292</v>
      </c>
      <c r="CD174" s="1439">
        <f t="shared" ca="1" si="84"/>
        <v>4.6099999999878492</v>
      </c>
      <c r="CE174" s="1439">
        <f ca="1">IF(B174&gt;=$J$5,0,CONTADORES!BS176-CONTADORES!BS175)</f>
        <v>4.4099999999998545</v>
      </c>
      <c r="CF174" s="1439">
        <f t="shared" ca="1" si="85"/>
        <v>4.6099999999878492</v>
      </c>
      <c r="CG174" s="1439">
        <f t="shared" ca="1" si="86"/>
        <v>1.0900000000001455</v>
      </c>
      <c r="CH174" s="1439">
        <f t="shared" ca="1" si="87"/>
        <v>1.0900000000001455</v>
      </c>
      <c r="CI174" s="1439">
        <f t="shared" ca="1" si="88"/>
        <v>1.8770000000001454</v>
      </c>
      <c r="CJ174" s="1488">
        <f ca="1">IF($B174&gt;=$J$5,0,CONTADORES!$BG176)</f>
        <v>7777.2944265797896</v>
      </c>
      <c r="CK174" s="1406">
        <f>CONTADORES!E176</f>
        <v>0</v>
      </c>
      <c r="CL174" s="1406">
        <f>CONTADORES!BX176</f>
        <v>0</v>
      </c>
    </row>
    <row r="175" spans="2:90">
      <c r="B175" s="410">
        <v>45091</v>
      </c>
      <c r="C175" s="204">
        <f t="shared" ca="1" si="64"/>
        <v>289.46000000007916</v>
      </c>
      <c r="D175" s="202">
        <f ca="1">'CALCULO DE GAS'!D187</f>
        <v>5.0404043783881205</v>
      </c>
      <c r="E175" s="202">
        <f ca="1">IF(B175&gt;=$J$5,0,(CONTADORES!$AB177-CONTADORES!$AB176)-$H175)</f>
        <v>24</v>
      </c>
      <c r="F175" s="204">
        <f t="shared" ca="1" si="90"/>
        <v>0</v>
      </c>
      <c r="G175" s="202">
        <f ca="1">IF(B175&gt;=$J$5,0,CONTADORES!$AD177-CONTADORES!$AD176)</f>
        <v>0</v>
      </c>
      <c r="H175" s="202">
        <f ca="1">IF(G175&gt;0,CONTADORES!$AC177-CONTADORES!$AC176,0)</f>
        <v>0</v>
      </c>
      <c r="I175" s="205">
        <f ca="1">IF(B175&gt;=$J$5,0,CONTADORES!$Z177-CONTADORES!$Z176)</f>
        <v>289.46000000007916</v>
      </c>
      <c r="J175" s="204">
        <f t="shared" ca="1" si="65"/>
        <v>146.79599999999482</v>
      </c>
      <c r="K175" s="202">
        <f ca="1">'CALCULO DE GAS'!E187</f>
        <v>3.724260853287376</v>
      </c>
      <c r="L175" s="1437">
        <f ca="1">IF(B175&gt;=$J$5,0,(CONTADORES!$W177-CONTADORES!$W176)-$O175)</f>
        <v>24</v>
      </c>
      <c r="M175" s="1437">
        <f t="shared" ca="1" si="92"/>
        <v>0</v>
      </c>
      <c r="N175" s="1437">
        <f ca="1">IF(B175&gt;=$J$5,0,CONTADORES!$Y177-CONTADORES!$Y176)</f>
        <v>0</v>
      </c>
      <c r="O175" s="1437">
        <f ca="1">IF(N175&gt;0,CONTADORES!$X177-CONTADORES!$X176,0)</f>
        <v>0</v>
      </c>
      <c r="P175" s="208">
        <f ca="1">IF(B175&gt;=$J$5,0,CONTADORES!$U177-CONTADORES!$U176)</f>
        <v>146.79599999999482</v>
      </c>
      <c r="Q175" s="208">
        <f ca="1">IF(B175&gt;=$J$5,0,CONTADORES!$B177-CONTADORES!$B176)</f>
        <v>0</v>
      </c>
      <c r="R175" s="202">
        <f t="shared" ca="1" si="66"/>
        <v>0</v>
      </c>
      <c r="S175" s="11">
        <f ca="1">IF(B175&gt;=$J$5,0,CONTADORES!$D177-CONTADORES!$D176)</f>
        <v>0</v>
      </c>
      <c r="T175" s="204">
        <f ca="1">IF(B175&gt;=$J$5,0,CONTADORES!$AZ177-CONTADORES!$AZ176)</f>
        <v>0</v>
      </c>
      <c r="U175" s="202">
        <f t="shared" ca="1" si="91"/>
        <v>0</v>
      </c>
      <c r="V175" s="205">
        <f ca="1">IF(B175&gt;=$J$5,0,CONTADORES!$BB177-CONTADORES!$BB176)</f>
        <v>0</v>
      </c>
      <c r="W175" s="1438">
        <f t="shared" ca="1" si="67"/>
        <v>436.25600000007398</v>
      </c>
      <c r="X175" s="1438">
        <f t="shared" ca="1" si="68"/>
        <v>0</v>
      </c>
      <c r="Y175" s="1439">
        <f t="shared" ca="1" si="69"/>
        <v>436.25600000007398</v>
      </c>
      <c r="Z175" s="1439">
        <f t="shared" ca="1" si="70"/>
        <v>8.7646652316754974</v>
      </c>
      <c r="AA175" s="1439">
        <f t="shared" ca="1" si="71"/>
        <v>0</v>
      </c>
      <c r="AB175" s="1439">
        <f t="shared" ca="1" si="72"/>
        <v>48</v>
      </c>
      <c r="AC175" s="1438">
        <f t="shared" ca="1" si="73"/>
        <v>0</v>
      </c>
      <c r="AD175" s="1438">
        <f ca="1">IF(B175&gt;=$J$5,0,CONTADORES!H177-CONTADORES!H176)</f>
        <v>162.59999999999854</v>
      </c>
      <c r="AE175" s="1438">
        <f ca="1">IF(B175&gt;=$J$5,0,CONTADORES!J177-CONTADORES!J176)</f>
        <v>24</v>
      </c>
      <c r="AF175" s="1438">
        <f ca="1">IF(B175&gt;=$J$5,0,CONTADORES!AS177-CONTADORES!AS176)</f>
        <v>147.20000000001164</v>
      </c>
      <c r="AG175" s="1438">
        <f ca="1">IF(B175&gt;=$J$5,0,CONTADORES!AU177-CONTADORES!AU176)</f>
        <v>24</v>
      </c>
      <c r="AH175" s="1439">
        <f ca="1">IF(B175&gt;=$J$5,0,(CONTADORES!AK177-CONTADORES!AK176)+(CONTADORES!K177-CONTADORES!K176))</f>
        <v>10.69999999999709</v>
      </c>
      <c r="AI175" s="1438">
        <f ca="1">IF(B175&gt;=$J$5,0,(CONTADORES!AI177-CONTADORES!AI176)+(CONTADORES!M177-CONTADORES!M176))</f>
        <v>36.899999999994179</v>
      </c>
      <c r="AJ175" s="1438">
        <f ca="1">IF(B175&gt;=$J$5,0,(CONTADORES!AG177-CONTADORES!AG176))</f>
        <v>4</v>
      </c>
      <c r="AK175" s="1438">
        <f ca="1">IF(B175&gt;=$J$5,0,(CONTADORES!O177-CONTADORES!O176))</f>
        <v>13</v>
      </c>
      <c r="AL175" s="1450">
        <f t="shared" ca="1" si="74"/>
        <v>31.656000000086351</v>
      </c>
      <c r="AM175" s="1438">
        <f ca="1">IF(B175&gt;=$J$5,0,(((CONTADORES!F177-CONTADORES!F176)+(CONTADORES!AO177-CONTADORES!AO176))))-BJ175-AF175-AN175-BM175-BP175-BU175-BS175</f>
        <v>11.675999999984903</v>
      </c>
      <c r="AN175" s="1438">
        <f ca="1">IF(B175&gt;=$J$5,0,(CONTADORES!AV177-CONTADORES!AV176)+(CONTADORES!AX177-CONTADORES!AX176)+(CONTADORES!BC177-CONTADORES!BC176))-BS175</f>
        <v>3.4800000000001816</v>
      </c>
      <c r="AO175" s="1440">
        <f ca="1">IF(B175&gt;=$J$5,0,(CONTADORES!AA177-CONTADORES!AA176))</f>
        <v>144.35999999998603</v>
      </c>
      <c r="AP175" s="1450">
        <f ca="1">IF(B175&gt;=$J$5,0,(CONTADORES!V177-CONTADORES!V176))</f>
        <v>73</v>
      </c>
      <c r="AQ175" s="1450">
        <f ca="1">IF(B175&gt;=$J$5,0,(CONTADORES!C177-CONTADORES!C176))</f>
        <v>0</v>
      </c>
      <c r="AR175" s="1450">
        <f ca="1">IF(B175&gt;=$J$5,0,(CONTADORES!BA177-CONTADORES!BA176))</f>
        <v>0</v>
      </c>
      <c r="AS175" s="1450">
        <f ca="1">IF(B175&gt;=$J$5,0,CONTADORES!Q177-CONTADORES!Q176)</f>
        <v>15</v>
      </c>
      <c r="AT175" s="1450">
        <f ca="1">IF(B175&gt;=$J$5,0,(CONTADORES!S177-CONTADORES!S176)+(CONTADORES!AE177-CONTADORES!AE176))</f>
        <v>3.230000000000004</v>
      </c>
      <c r="AU175" s="1450">
        <f ca="1">IF(B175&gt;=$J$5,0,(CONTADORES!I177-CONTADORES!I176))</f>
        <v>81.699999999999818</v>
      </c>
      <c r="AV175" s="1450">
        <f ca="1">IF(B175&gt;=$J$5,0,(CONTADORES!AT177-CONTADORES!AT176))</f>
        <v>63.599999999976717</v>
      </c>
      <c r="AW175" s="1450">
        <f ca="1">IF(B175&gt;=$J$5,0,(CONTADORES!L177-CONTADORES!L176)+(CONTADORES!AL177-CONTADORES!AL176))</f>
        <v>3.9000000000014552</v>
      </c>
      <c r="AX175" s="1450">
        <f ca="1">IF(B175&gt;=$J$5,0,(CONTADORES!N177-CONTADORES!N176)+(CONTADORES!AJ177-CONTADORES!AJ176))</f>
        <v>32</v>
      </c>
      <c r="AY175" s="1450">
        <f ca="1">IF(B175&gt;=$J$5,0,(CONTADORES!AH177-CONTADORES!AH176))</f>
        <v>2.9000000000014552</v>
      </c>
      <c r="AZ175" s="1450">
        <f ca="1">IF(B175&gt;=$J$5,0,(CONTADORES!P177-CONTADORES!P176))</f>
        <v>11</v>
      </c>
      <c r="BA175" s="1439">
        <f t="shared" ca="1" si="75"/>
        <v>4.4249999999832994</v>
      </c>
      <c r="BB175" s="1450">
        <f ca="1">IF(B175&gt;=$J$5,0,(((CONTADORES!G177-CONTADORES!G176)+(CONTADORES!AP177-CONTADORES!AP176)+AR175)-(AV175+BC175)))</f>
        <v>9.8000000000238288</v>
      </c>
      <c r="BC175" s="1438">
        <f ca="1">IF(B175&gt;=$J$5,0,(CONTADORES!AW177-CONTADORES!AW176)+(CONTADORES!AY177-CONTADORES!AY176)+(CONTADORES!BD177-CONTADORES!BD176))</f>
        <v>2.1999999999998181</v>
      </c>
      <c r="BD175" s="1438">
        <f t="shared" ca="1" si="76"/>
        <v>217.35999999998603</v>
      </c>
      <c r="BE175" s="1439">
        <f ca="1">IF($B175&gt;=$J$5,0,CONTADORES!$BE177)</f>
        <v>5950.07</v>
      </c>
      <c r="BF175" s="1438">
        <f ca="1">IF($B175&gt;=$J$5,0,CONTADORES!$BF177)</f>
        <v>30418.498245613999</v>
      </c>
      <c r="BG175" s="1438">
        <f ca="1">IF($B175&gt;=$J$5,0,CONTADORES!$BH177)</f>
        <v>5940.92</v>
      </c>
      <c r="BH175" s="1438">
        <f ca="1">IF(B175&gt;=$J$5,0,(CONTADORES!AQ177-CONTADORES!AQ176))</f>
        <v>4.5</v>
      </c>
      <c r="BI175" s="1438">
        <f ca="1">IF(C175&gt;=$J$5,0,(CONTADORES!AR177-CONTADORES!AR176))</f>
        <v>0</v>
      </c>
      <c r="BJ175" s="1439">
        <f ca="1">IF(B175&gt;=$J$5,0,CONTADORES!BI177-CONTADORES!BI176)/1000</f>
        <v>0</v>
      </c>
      <c r="BK175" s="1439">
        <f ca="1">IF(B175&gt;=$J$5,0,CONTADORES!BJ177-CONTADORES!BJ176)</f>
        <v>0</v>
      </c>
      <c r="BL175" s="1439">
        <f ca="1">IF(B175&gt;=$J$5,0,CONTADORES!BK177-CONTADORES!BK176)</f>
        <v>0</v>
      </c>
      <c r="BM175" s="1439">
        <f ca="1">IF(B175&gt;=$J$5,0,CONTADORES!BL177-CONTADORES!BL176)/1000</f>
        <v>2.3780000000000001</v>
      </c>
      <c r="BN175" s="1439">
        <f ca="1">IF(B175&gt;=$J$5,0,CONTADORES!BM177-CONTADORES!BM176)/1000</f>
        <v>0</v>
      </c>
      <c r="BO175" s="1439">
        <f ca="1">IF(B175&gt;=$J$5,0,CONTADORES!BN177-CONTADORES!BN176)</f>
        <v>24</v>
      </c>
      <c r="BP175" s="1439">
        <f ca="1">IF(B175&gt;=$J$5,0,CONTADORES!BO177-CONTADORES!BO176)/1000</f>
        <v>5.0460000000000003</v>
      </c>
      <c r="BQ175" s="1439">
        <f ca="1">IF(B175&gt;=$J$5,0,CONTADORES!BP177-CONTADORES!BP176)/1000</f>
        <v>0.71</v>
      </c>
      <c r="BR175" s="1439">
        <f ca="1">IF(B175&gt;=$J$5,0,CONTADORES!BQ177-CONTADORES!BQ176)</f>
        <v>24</v>
      </c>
      <c r="BS175" s="1439">
        <f ca="1">IF(B175&gt;=$J$5,0,(CONTADORES!BT177-CONTADORES!BT176)+(CONTADORES!BV177-CONTADORES!BV176))/1000</f>
        <v>1.32</v>
      </c>
      <c r="BT175" s="1439">
        <f ca="1">IF(B175&gt;=$J$5,0,(CONTADORES!BU177-CONTADORES!BU176)+(CONTADORES!BW177-CONTADORES!BW176))/1000</f>
        <v>0.72499999999999998</v>
      </c>
      <c r="BU175" s="1439">
        <f ca="1">IF(B175&gt;=$J$5,0,CONTADORES!BR177-CONTADORES!BR176)</f>
        <v>6.3000000000010914</v>
      </c>
      <c r="BV175" s="1439">
        <f ca="1">IF(B175&gt;=$J$5,0,CONTADORES!BS177-CONTADORES!BS176)</f>
        <v>4.3999999999996362</v>
      </c>
      <c r="BW175" s="1439">
        <f t="shared" ca="1" si="77"/>
        <v>12.137999999993543</v>
      </c>
      <c r="BX175" s="1439">
        <f t="shared" ca="1" si="78"/>
        <v>9.3000000000115506</v>
      </c>
      <c r="BY175" s="1439">
        <f t="shared" ca="1" si="79"/>
        <v>5.8379999999924514</v>
      </c>
      <c r="BZ175" s="1439">
        <f t="shared" ca="1" si="80"/>
        <v>1.3920000000000727</v>
      </c>
      <c r="CA175" s="1439">
        <f t="shared" ca="1" si="81"/>
        <v>5.8379999999924514</v>
      </c>
      <c r="CB175" s="1439">
        <f t="shared" ca="1" si="82"/>
        <v>2.0880000000001089</v>
      </c>
      <c r="CC175" s="1439">
        <f t="shared" ca="1" si="83"/>
        <v>2.7120000000000726</v>
      </c>
      <c r="CD175" s="1439">
        <f t="shared" ca="1" si="84"/>
        <v>4.9000000000119144</v>
      </c>
      <c r="CE175" s="1439">
        <f ca="1">IF(B175&gt;=$J$5,0,CONTADORES!BS177-CONTADORES!BS176)</f>
        <v>4.3999999999996362</v>
      </c>
      <c r="CF175" s="1439">
        <f t="shared" ca="1" si="85"/>
        <v>4.9000000000119144</v>
      </c>
      <c r="CG175" s="1439">
        <f t="shared" ca="1" si="86"/>
        <v>1.0999999999999091</v>
      </c>
      <c r="CH175" s="1439">
        <f t="shared" ca="1" si="87"/>
        <v>1.0999999999999091</v>
      </c>
      <c r="CI175" s="1439">
        <f t="shared" ca="1" si="88"/>
        <v>1.8249999999999091</v>
      </c>
      <c r="CJ175" s="1488">
        <f ca="1">IF($B175&gt;=$J$5,0,CONTADORES!$BG177)</f>
        <v>8697.4598446093496</v>
      </c>
      <c r="CK175" s="1406">
        <f>CONTADORES!E177</f>
        <v>0</v>
      </c>
      <c r="CL175" s="1406">
        <f>CONTADORES!BX177</f>
        <v>0</v>
      </c>
    </row>
    <row r="176" spans="2:90">
      <c r="B176" s="410">
        <v>45092</v>
      </c>
      <c r="C176" s="204">
        <f t="shared" ca="1" si="64"/>
        <v>277.34999999997672</v>
      </c>
      <c r="D176" s="202">
        <f ca="1">'CALCULO DE GAS'!D188</f>
        <v>4.9275220705239944</v>
      </c>
      <c r="E176" s="202">
        <f ca="1">IF(B176&gt;=$J$5,0,(CONTADORES!$AB178-CONTADORES!$AB177)-$H176)</f>
        <v>24</v>
      </c>
      <c r="F176" s="204">
        <f t="shared" ca="1" si="90"/>
        <v>0</v>
      </c>
      <c r="G176" s="202">
        <f ca="1">IF(B176&gt;=$J$5,0,CONTADORES!$AD178-CONTADORES!$AD177)</f>
        <v>0</v>
      </c>
      <c r="H176" s="202">
        <f ca="1">IF(G176&gt;0,CONTADORES!$AC178-CONTADORES!$AC177,0)</f>
        <v>0</v>
      </c>
      <c r="I176" s="205">
        <f ca="1">IF(B176&gt;=$J$5,0,CONTADORES!$Z178-CONTADORES!$Z177)</f>
        <v>277.34999999997672</v>
      </c>
      <c r="J176" s="204">
        <f t="shared" ca="1" si="65"/>
        <v>167.1160000000018</v>
      </c>
      <c r="K176" s="202">
        <f ca="1">'CALCULO DE GAS'!E188</f>
        <v>3.9272013241892676</v>
      </c>
      <c r="L176" s="1437">
        <f ca="1">IF(B176&gt;=$J$5,0,(CONTADORES!$W178-CONTADORES!$W177)-$O176)</f>
        <v>24</v>
      </c>
      <c r="M176" s="1437">
        <f t="shared" ca="1" si="92"/>
        <v>0</v>
      </c>
      <c r="N176" s="1437">
        <f ca="1">IF(B176&gt;=$J$5,0,CONTADORES!$Y178-CONTADORES!$Y177)</f>
        <v>0</v>
      </c>
      <c r="O176" s="1437">
        <f ca="1">IF(N176&gt;0,CONTADORES!$X178-CONTADORES!$X177,0)</f>
        <v>0</v>
      </c>
      <c r="P176" s="208">
        <f ca="1">IF(B176&gt;=$J$5,0,CONTADORES!$U178-CONTADORES!$U177)</f>
        <v>167.1160000000018</v>
      </c>
      <c r="Q176" s="208">
        <f ca="1">IF(B176&gt;=$J$5,0,CONTADORES!$B178-CONTADORES!$B177)</f>
        <v>0</v>
      </c>
      <c r="R176" s="202">
        <f t="shared" ca="1" si="66"/>
        <v>0</v>
      </c>
      <c r="S176" s="11">
        <f ca="1">IF(B176&gt;=$J$5,0,CONTADORES!$D178-CONTADORES!$D177)</f>
        <v>0</v>
      </c>
      <c r="T176" s="204">
        <f ca="1">IF(B176&gt;=$J$5,0,CONTADORES!$AZ178-CONTADORES!$AZ177)</f>
        <v>0</v>
      </c>
      <c r="U176" s="202">
        <f t="shared" ca="1" si="91"/>
        <v>0</v>
      </c>
      <c r="V176" s="205">
        <f ca="1">IF(B176&gt;=$J$5,0,CONTADORES!$BB178-CONTADORES!$BB177)</f>
        <v>0</v>
      </c>
      <c r="W176" s="1438">
        <f t="shared" ca="1" si="67"/>
        <v>444.46599999997852</v>
      </c>
      <c r="X176" s="1438">
        <f t="shared" ca="1" si="68"/>
        <v>0</v>
      </c>
      <c r="Y176" s="1439">
        <f t="shared" ca="1" si="69"/>
        <v>444.46599999997852</v>
      </c>
      <c r="Z176" s="1439">
        <f t="shared" ca="1" si="70"/>
        <v>8.8547233947132611</v>
      </c>
      <c r="AA176" s="1439">
        <f t="shared" ca="1" si="71"/>
        <v>0</v>
      </c>
      <c r="AB176" s="1439">
        <f t="shared" ca="1" si="72"/>
        <v>48</v>
      </c>
      <c r="AC176" s="1438">
        <f t="shared" ca="1" si="73"/>
        <v>0</v>
      </c>
      <c r="AD176" s="1438">
        <f ca="1">IF(B176&gt;=$J$5,0,CONTADORES!H178-CONTADORES!H177)</f>
        <v>165.70000000000073</v>
      </c>
      <c r="AE176" s="1438">
        <f ca="1">IF(B176&gt;=$J$5,0,CONTADORES!J178-CONTADORES!J177)</f>
        <v>24</v>
      </c>
      <c r="AF176" s="1438">
        <f ca="1">IF(B176&gt;=$J$5,0,CONTADORES!AS178-CONTADORES!AS177)</f>
        <v>151.70000000001164</v>
      </c>
      <c r="AG176" s="1438">
        <f ca="1">IF(B176&gt;=$J$5,0,CONTADORES!AU178-CONTADORES!AU177)</f>
        <v>24</v>
      </c>
      <c r="AH176" s="1439">
        <f ca="1">IF(B176&gt;=$J$5,0,(CONTADORES!AK178-CONTADORES!AK177)+(CONTADORES!K178-CONTADORES!K177))</f>
        <v>10.5</v>
      </c>
      <c r="AI176" s="1438">
        <f ca="1">IF(B176&gt;=$J$5,0,(CONTADORES!AI178-CONTADORES!AI177)+(CONTADORES!M178-CONTADORES!M177))</f>
        <v>36.80000000000291</v>
      </c>
      <c r="AJ176" s="1438">
        <f ca="1">IF(B176&gt;=$J$5,0,(CONTADORES!AG178-CONTADORES!AG177))</f>
        <v>4.2999999999883585</v>
      </c>
      <c r="AK176" s="1438">
        <f ca="1">IF(B176&gt;=$J$5,0,(CONTADORES!O178-CONTADORES!O177))</f>
        <v>12</v>
      </c>
      <c r="AL176" s="1450">
        <f t="shared" ca="1" si="74"/>
        <v>38.065999999984285</v>
      </c>
      <c r="AM176" s="1438">
        <f ca="1">IF(B176&gt;=$J$5,0,(((CONTADORES!F178-CONTADORES!F177)+(CONTADORES!AO178-CONTADORES!AO177))))-BJ176-AF176-AN176-BM176-BP176-BU176-BS176</f>
        <v>7.3109999999922675</v>
      </c>
      <c r="AN176" s="1438">
        <f ca="1">IF(B176&gt;=$J$5,0,(CONTADORES!AV178-CONTADORES!AV177)+(CONTADORES!AX178-CONTADORES!AX177)+(CONTADORES!BC178-CONTADORES!BC177))-BS176</f>
        <v>3.3759999999993635</v>
      </c>
      <c r="AO176" s="1440">
        <f ca="1">IF(B176&gt;=$J$5,0,(CONTADORES!AA178-CONTADORES!AA177))</f>
        <v>138.39999999996508</v>
      </c>
      <c r="AP176" s="1450">
        <f ca="1">IF(B176&gt;=$J$5,0,(CONTADORES!V178-CONTADORES!V177))</f>
        <v>84</v>
      </c>
      <c r="AQ176" s="1450">
        <f ca="1">IF(B176&gt;=$J$5,0,(CONTADORES!C178-CONTADORES!C177))</f>
        <v>0</v>
      </c>
      <c r="AR176" s="1450">
        <f ca="1">IF(B176&gt;=$J$5,0,(CONTADORES!BA178-CONTADORES!BA177))</f>
        <v>0</v>
      </c>
      <c r="AS176" s="1450">
        <f ca="1">IF(B176&gt;=$J$5,0,CONTADORES!Q178-CONTADORES!Q177)</f>
        <v>15</v>
      </c>
      <c r="AT176" s="1450">
        <f ca="1">IF(B176&gt;=$J$5,0,(CONTADORES!S178-CONTADORES!S177)+(CONTADORES!AE178-CONTADORES!AE177))</f>
        <v>3.240000000000002</v>
      </c>
      <c r="AU176" s="1450">
        <f ca="1">IF(B176&gt;=$J$5,0,(CONTADORES!I178-CONTADORES!I177))</f>
        <v>83</v>
      </c>
      <c r="AV176" s="1450">
        <f ca="1">IF(B176&gt;=$J$5,0,(CONTADORES!AT178-CONTADORES!AT177))</f>
        <v>65.600000000005821</v>
      </c>
      <c r="AW176" s="1450">
        <f ca="1">IF(B176&gt;=$J$5,0,(CONTADORES!L178-CONTADORES!L177)+(CONTADORES!AL178-CONTADORES!AL177))</f>
        <v>4.2000000000007276</v>
      </c>
      <c r="AX176" s="1450">
        <f ca="1">IF(B176&gt;=$J$5,0,(CONTADORES!N178-CONTADORES!N177)+(CONTADORES!AJ178-CONTADORES!AJ177))</f>
        <v>31.80000000000291</v>
      </c>
      <c r="AY176" s="1450">
        <f ca="1">IF(B176&gt;=$J$5,0,(CONTADORES!AH178-CONTADORES!AH177))</f>
        <v>3.1999999999970896</v>
      </c>
      <c r="AZ176" s="1450">
        <f ca="1">IF(B176&gt;=$J$5,0,(CONTADORES!P178-CONTADORES!P177))</f>
        <v>9</v>
      </c>
      <c r="BA176" s="1439">
        <f t="shared" ca="1" si="75"/>
        <v>9.8179999999634333</v>
      </c>
      <c r="BB176" s="1450">
        <f ca="1">IF(B176&gt;=$J$5,0,(((CONTADORES!G178-CONTADORES!G177)+(CONTADORES!AP178-CONTADORES!AP177)+AR176)-(AV176+BC176)))</f>
        <v>8.5999999999944521</v>
      </c>
      <c r="BC176" s="1438">
        <f ca="1">IF(B176&gt;=$J$5,0,(CONTADORES!AW178-CONTADORES!AW177)+(CONTADORES!AY178-CONTADORES!AY177)+(CONTADORES!BD178-CONTADORES!BD177))</f>
        <v>1.4000000000000909</v>
      </c>
      <c r="BD176" s="1438">
        <f t="shared" ca="1" si="76"/>
        <v>222.39999999996508</v>
      </c>
      <c r="BE176" s="1439">
        <f ca="1">IF($B176&gt;=$J$5,0,CONTADORES!$BE178)</f>
        <v>5894.1800000000012</v>
      </c>
      <c r="BF176" s="1438">
        <f ca="1">IF($B176&gt;=$J$5,0,CONTADORES!$BF178)</f>
        <v>31058.870175438595</v>
      </c>
      <c r="BG176" s="1438">
        <f ca="1">IF($B176&gt;=$J$5,0,CONTADORES!$BH178)</f>
        <v>5996.8799999999992</v>
      </c>
      <c r="BH176" s="1438">
        <f ca="1">IF(B176&gt;=$J$5,0,(CONTADORES!AQ178-CONTADORES!AQ177))</f>
        <v>5.3000000000029104</v>
      </c>
      <c r="BI176" s="1438">
        <f ca="1">IF(C176&gt;=$J$5,0,(CONTADORES!AR178-CONTADORES!AR177))</f>
        <v>0</v>
      </c>
      <c r="BJ176" s="1439">
        <f ca="1">IF(B176&gt;=$J$5,0,CONTADORES!BI178-CONTADORES!BI177)/1000</f>
        <v>0</v>
      </c>
      <c r="BK176" s="1439">
        <f ca="1">IF(B176&gt;=$J$5,0,CONTADORES!BJ178-CONTADORES!BJ177)</f>
        <v>0</v>
      </c>
      <c r="BL176" s="1439">
        <f ca="1">IF(B176&gt;=$J$5,0,CONTADORES!BK178-CONTADORES!BK177)</f>
        <v>0</v>
      </c>
      <c r="BM176" s="1439">
        <f ca="1">IF(B176&gt;=$J$5,0,CONTADORES!BL178-CONTADORES!BL177)/1000</f>
        <v>2.3029999999999999</v>
      </c>
      <c r="BN176" s="1439">
        <f ca="1">IF(B176&gt;=$J$5,0,CONTADORES!BM178-CONTADORES!BM177)/1000</f>
        <v>0</v>
      </c>
      <c r="BO176" s="1439">
        <f ca="1">IF(B176&gt;=$J$5,0,CONTADORES!BN178-CONTADORES!BN177)</f>
        <v>24</v>
      </c>
      <c r="BP176" s="1439">
        <f ca="1">IF(B176&gt;=$J$5,0,CONTADORES!BO178-CONTADORES!BO177)/1000</f>
        <v>4.8860000000000001</v>
      </c>
      <c r="BQ176" s="1439">
        <f ca="1">IF(B176&gt;=$J$5,0,CONTADORES!BP178-CONTADORES!BP177)/1000</f>
        <v>0.65500000000000003</v>
      </c>
      <c r="BR176" s="1439">
        <f ca="1">IF(B176&gt;=$J$5,0,CONTADORES!BQ178-CONTADORES!BQ177)</f>
        <v>24</v>
      </c>
      <c r="BS176" s="1439">
        <f ca="1">IF(B176&gt;=$J$5,0,(CONTADORES!BT178-CONTADORES!BT177)+(CONTADORES!BV178-CONTADORES!BV177))/1000</f>
        <v>1.3240000000000001</v>
      </c>
      <c r="BT176" s="1439">
        <f ca="1">IF(B176&gt;=$J$5,0,(CONTADORES!BU178-CONTADORES!BU177)+(CONTADORES!BW178-CONTADORES!BW177))/1000</f>
        <v>0.72699999999999998</v>
      </c>
      <c r="BU176" s="1439">
        <f ca="1">IF(B176&gt;=$J$5,0,CONTADORES!BR178-CONTADORES!BR177)</f>
        <v>6.1999999999989086</v>
      </c>
      <c r="BV176" s="1439">
        <f ca="1">IF(B176&gt;=$J$5,0,CONTADORES!BS178-CONTADORES!BS177)</f>
        <v>4.4000000000005457</v>
      </c>
      <c r="BW176" s="1439">
        <f t="shared" ca="1" si="77"/>
        <v>9.8554999999950432</v>
      </c>
      <c r="BX176" s="1439">
        <f t="shared" ca="1" si="78"/>
        <v>8.6999999999977717</v>
      </c>
      <c r="BY176" s="1439">
        <f t="shared" ca="1" si="79"/>
        <v>3.6554999999961337</v>
      </c>
      <c r="BZ176" s="1439">
        <f t="shared" ca="1" si="80"/>
        <v>1.3503999999997456</v>
      </c>
      <c r="CA176" s="1439">
        <f t="shared" ca="1" si="81"/>
        <v>3.6554999999961337</v>
      </c>
      <c r="CB176" s="1439">
        <f t="shared" ca="1" si="82"/>
        <v>2.0255999999996179</v>
      </c>
      <c r="CC176" s="1439">
        <f t="shared" ca="1" si="83"/>
        <v>2.6743999999997454</v>
      </c>
      <c r="CD176" s="1439">
        <f t="shared" ca="1" si="84"/>
        <v>4.299999999997226</v>
      </c>
      <c r="CE176" s="1439">
        <f ca="1">IF(B176&gt;=$J$5,0,CONTADORES!BS178-CONTADORES!BS177)</f>
        <v>4.4000000000005457</v>
      </c>
      <c r="CF176" s="1439">
        <f t="shared" ca="1" si="85"/>
        <v>4.299999999997226</v>
      </c>
      <c r="CG176" s="1439">
        <f t="shared" ca="1" si="86"/>
        <v>0.70000000000004547</v>
      </c>
      <c r="CH176" s="1439">
        <f t="shared" ca="1" si="87"/>
        <v>0.70000000000004547</v>
      </c>
      <c r="CI176" s="1439">
        <f t="shared" ca="1" si="88"/>
        <v>1.4270000000000453</v>
      </c>
      <c r="CJ176" s="1488">
        <f ca="1">IF($B176&gt;=$J$5,0,CONTADORES!$BG178)</f>
        <v>7713.8148323004498</v>
      </c>
      <c r="CK176" s="1406">
        <f>CONTADORES!E178</f>
        <v>0</v>
      </c>
      <c r="CL176" s="1406">
        <f>CONTADORES!BX178</f>
        <v>0</v>
      </c>
    </row>
    <row r="177" spans="2:90">
      <c r="B177" s="410">
        <v>45093</v>
      </c>
      <c r="C177" s="204">
        <f t="shared" ca="1" si="64"/>
        <v>104.75</v>
      </c>
      <c r="D177" s="202">
        <f ca="1">'CALCULO DE GAS'!D189</f>
        <v>3.3186462375610875</v>
      </c>
      <c r="E177" s="202">
        <f ca="1">IF(B177&gt;=$J$5,0,(CONTADORES!$AB179-CONTADORES!$AB178)-$H177)</f>
        <v>24</v>
      </c>
      <c r="F177" s="204">
        <f t="shared" ca="1" si="90"/>
        <v>0</v>
      </c>
      <c r="G177" s="202">
        <f ca="1">IF(B177&gt;=$J$5,0,CONTADORES!$AD179-CONTADORES!$AD178)</f>
        <v>0</v>
      </c>
      <c r="H177" s="202">
        <f ca="1">IF(G177&gt;0,CONTADORES!$AC179-CONTADORES!$AC178,0)</f>
        <v>0</v>
      </c>
      <c r="I177" s="205">
        <f ca="1">IF(B177&gt;=$J$5,0,CONTADORES!$Z179-CONTADORES!$Z178)</f>
        <v>104.75</v>
      </c>
      <c r="J177" s="204">
        <f t="shared" ca="1" si="65"/>
        <v>334.80000000000291</v>
      </c>
      <c r="K177" s="202">
        <f ca="1">'CALCULO DE GAS'!E189</f>
        <v>5.6018996471568503</v>
      </c>
      <c r="L177" s="1437">
        <f ca="1">IF(B177&gt;=$J$5,0,(CONTADORES!$W179-CONTADORES!$W178)-$O177)</f>
        <v>24</v>
      </c>
      <c r="M177" s="1437">
        <f t="shared" ca="1" si="92"/>
        <v>0</v>
      </c>
      <c r="N177" s="1437">
        <f ca="1">IF(B177&gt;=$J$5,0,CONTADORES!$Y179-CONTADORES!$Y178)</f>
        <v>0</v>
      </c>
      <c r="O177" s="1437">
        <f ca="1">IF(N177&gt;0,CONTADORES!$X179-CONTADORES!$X178,0)</f>
        <v>0</v>
      </c>
      <c r="P177" s="208">
        <f ca="1">IF(B177&gt;=$J$5,0,CONTADORES!$U179-CONTADORES!$U178)</f>
        <v>334.80000000000291</v>
      </c>
      <c r="Q177" s="208">
        <f ca="1">IF(B177&gt;=$J$5,0,CONTADORES!$B179-CONTADORES!$B178)</f>
        <v>0</v>
      </c>
      <c r="R177" s="202">
        <f t="shared" ca="1" si="66"/>
        <v>0</v>
      </c>
      <c r="S177" s="11">
        <f ca="1">IF(B177&gt;=$J$5,0,CONTADORES!$D179-CONTADORES!$D178)</f>
        <v>0</v>
      </c>
      <c r="T177" s="204">
        <f ca="1">IF(B177&gt;=$J$5,0,CONTADORES!$AZ179-CONTADORES!$AZ178)</f>
        <v>0</v>
      </c>
      <c r="U177" s="202">
        <f t="shared" ca="1" si="91"/>
        <v>0</v>
      </c>
      <c r="V177" s="205">
        <f ca="1">IF(B177&gt;=$J$5,0,CONTADORES!$BB179-CONTADORES!$BB178)</f>
        <v>0</v>
      </c>
      <c r="W177" s="1438">
        <f t="shared" ca="1" si="67"/>
        <v>439.55000000000291</v>
      </c>
      <c r="X177" s="1438">
        <f t="shared" ca="1" si="68"/>
        <v>0</v>
      </c>
      <c r="Y177" s="1439">
        <f t="shared" ca="1" si="69"/>
        <v>439.55000000000291</v>
      </c>
      <c r="Z177" s="1439">
        <f t="shared" ca="1" si="70"/>
        <v>8.9205458847179386</v>
      </c>
      <c r="AA177" s="1439">
        <f t="shared" ca="1" si="71"/>
        <v>0</v>
      </c>
      <c r="AB177" s="1439">
        <f t="shared" ca="1" si="72"/>
        <v>48</v>
      </c>
      <c r="AC177" s="1438">
        <f t="shared" ca="1" si="73"/>
        <v>0</v>
      </c>
      <c r="AD177" s="1438">
        <f ca="1">IF(B177&gt;=$J$5,0,CONTADORES!H179-CONTADORES!H178)</f>
        <v>166.60000000000036</v>
      </c>
      <c r="AE177" s="1438">
        <f ca="1">IF(B177&gt;=$J$5,0,CONTADORES!J179-CONTADORES!J178)</f>
        <v>24</v>
      </c>
      <c r="AF177" s="1438">
        <f ca="1">IF(B177&gt;=$J$5,0,CONTADORES!AS179-CONTADORES!AS178)</f>
        <v>150.29999999998836</v>
      </c>
      <c r="AG177" s="1438">
        <f ca="1">IF(B177&gt;=$J$5,0,CONTADORES!AU179-CONTADORES!AU178)</f>
        <v>24</v>
      </c>
      <c r="AH177" s="1439">
        <f ca="1">IF(B177&gt;=$J$5,0,(CONTADORES!AK179-CONTADORES!AK178)+(CONTADORES!K179-CONTADORES!K178))</f>
        <v>6.1999999999970896</v>
      </c>
      <c r="AI177" s="1438">
        <f ca="1">IF(B177&gt;=$J$5,0,(CONTADORES!AI179-CONTADORES!AI178)+(CONTADORES!M179-CONTADORES!M178))</f>
        <v>37.400000000008731</v>
      </c>
      <c r="AJ177" s="1438">
        <f ca="1">IF(B177&gt;=$J$5,0,(CONTADORES!AG179-CONTADORES!AG178))</f>
        <v>3.6000000000058208</v>
      </c>
      <c r="AK177" s="1438">
        <f ca="1">IF(B177&gt;=$J$5,0,(CONTADORES!O179-CONTADORES!O178))</f>
        <v>11</v>
      </c>
      <c r="AL177" s="1450">
        <f t="shared" ca="1" si="74"/>
        <v>32.349999999993031</v>
      </c>
      <c r="AM177" s="1438">
        <f ca="1">IF(B177&gt;=$J$5,0,(((CONTADORES!F179-CONTADORES!F178)+(CONTADORES!AO179-CONTADORES!AO178))))-BJ177-AF177-AN177-BM177-BP177-BU177-BS177</f>
        <v>13.620000000008273</v>
      </c>
      <c r="AN177" s="1438">
        <f ca="1">IF(B177&gt;=$J$5,0,(CONTADORES!AV179-CONTADORES!AV178)+(CONTADORES!AX179-CONTADORES!AX178)+(CONTADORES!BC179-CONTADORES!BC178))-BS177</f>
        <v>3.6220000000000909</v>
      </c>
      <c r="AO177" s="1440">
        <f ca="1">IF(B177&gt;=$J$5,0,(CONTADORES!AA179-CONTADORES!AA178))</f>
        <v>52.900000000023283</v>
      </c>
      <c r="AP177" s="1450">
        <f ca="1">IF(B177&gt;=$J$5,0,(CONTADORES!V179-CONTADORES!V178))</f>
        <v>167.5</v>
      </c>
      <c r="AQ177" s="1450">
        <f ca="1">IF(B177&gt;=$J$5,0,(CONTADORES!C179-CONTADORES!C178))</f>
        <v>0</v>
      </c>
      <c r="AR177" s="1450">
        <f ca="1">IF(B177&gt;=$J$5,0,(CONTADORES!BA179-CONTADORES!BA178))</f>
        <v>0</v>
      </c>
      <c r="AS177" s="1450">
        <f ca="1">IF(B177&gt;=$J$5,0,CONTADORES!Q179-CONTADORES!Q178)</f>
        <v>13</v>
      </c>
      <c r="AT177" s="1450">
        <f ca="1">IF(B177&gt;=$J$5,0,(CONTADORES!S179-CONTADORES!S178)+(CONTADORES!AE179-CONTADORES!AE178))</f>
        <v>3.25</v>
      </c>
      <c r="AU177" s="1450">
        <f ca="1">IF(B177&gt;=$J$5,0,(CONTADORES!I179-CONTADORES!I178))</f>
        <v>83</v>
      </c>
      <c r="AV177" s="1450">
        <f ca="1">IF(B177&gt;=$J$5,0,(CONTADORES!AT179-CONTADORES!AT178))</f>
        <v>64.100000000005821</v>
      </c>
      <c r="AW177" s="1450">
        <f ca="1">IF(B177&gt;=$J$5,0,(CONTADORES!L179-CONTADORES!L178)+(CONTADORES!AL179-CONTADORES!AL178))</f>
        <v>2.5</v>
      </c>
      <c r="AX177" s="1450">
        <f ca="1">IF(B177&gt;=$J$5,0,(CONTADORES!N179-CONTADORES!N178)+(CONTADORES!AJ179-CONTADORES!AJ178))</f>
        <v>32</v>
      </c>
      <c r="AY177" s="1450">
        <f ca="1">IF(B177&gt;=$J$5,0,(CONTADORES!AH179-CONTADORES!AH178))</f>
        <v>2.6000000000058208</v>
      </c>
      <c r="AZ177" s="1450">
        <f ca="1">IF(B177&gt;=$J$5,0,(CONTADORES!P179-CONTADORES!P178))</f>
        <v>9</v>
      </c>
      <c r="BA177" s="1439">
        <f t="shared" ca="1" si="75"/>
        <v>7.8680000000180144</v>
      </c>
      <c r="BB177" s="1450">
        <f ca="1">IF(B177&gt;=$J$5,0,(((CONTADORES!G179-CONTADORES!G178)+(CONTADORES!AP179-CONTADORES!AP178)+AR177)-(AV177+BC177)))</f>
        <v>10.39999999999327</v>
      </c>
      <c r="BC177" s="1438">
        <f ca="1">IF(B177&gt;=$J$5,0,(CONTADORES!AW179-CONTADORES!AW178)+(CONTADORES!AY179-CONTADORES!AY178)+(CONTADORES!BD179-CONTADORES!BD178))</f>
        <v>3.3000000000001819</v>
      </c>
      <c r="BD177" s="1438">
        <f t="shared" ca="1" si="76"/>
        <v>220.40000000002328</v>
      </c>
      <c r="BE177" s="1439">
        <f ca="1">IF($B177&gt;=$J$5,0,CONTADORES!$BE179)</f>
        <v>8781.24</v>
      </c>
      <c r="BF177" s="1438">
        <f ca="1">IF($B177&gt;=$J$5,0,CONTADORES!$BF179)</f>
        <v>31264.392982456142</v>
      </c>
      <c r="BG177" s="1438">
        <f ca="1">IF($B177&gt;=$J$5,0,CONTADORES!$BH179)</f>
        <v>5642.71</v>
      </c>
      <c r="BH177" s="1438">
        <f ca="1">IF(B177&gt;=$J$5,0,(CONTADORES!AQ179-CONTADORES!AQ178))</f>
        <v>4.1999999999970896</v>
      </c>
      <c r="BI177" s="1438">
        <f ca="1">IF(C177&gt;=$J$5,0,(CONTADORES!AR179-CONTADORES!AR178))</f>
        <v>0</v>
      </c>
      <c r="BJ177" s="1439">
        <f ca="1">IF(B177&gt;=$J$5,0,CONTADORES!BI179-CONTADORES!BI178)/1000</f>
        <v>0</v>
      </c>
      <c r="BK177" s="1439">
        <f ca="1">IF(B177&gt;=$J$5,0,CONTADORES!BJ179-CONTADORES!BJ178)</f>
        <v>0</v>
      </c>
      <c r="BL177" s="1439">
        <f ca="1">IF(B177&gt;=$J$5,0,CONTADORES!BK179-CONTADORES!BK178)</f>
        <v>0</v>
      </c>
      <c r="BM177" s="1439">
        <f ca="1">IF(B177&gt;=$J$5,0,CONTADORES!BL179-CONTADORES!BL178)/1000</f>
        <v>2.3170000000000002</v>
      </c>
      <c r="BN177" s="1439">
        <f ca="1">IF(B177&gt;=$J$5,0,CONTADORES!BM179-CONTADORES!BM178)/1000</f>
        <v>0</v>
      </c>
      <c r="BO177" s="1439">
        <f ca="1">IF(B177&gt;=$J$5,0,CONTADORES!BN179-CONTADORES!BN178)</f>
        <v>24</v>
      </c>
      <c r="BP177" s="1439">
        <f ca="1">IF(B177&gt;=$J$5,0,CONTADORES!BO179-CONTADORES!BO178)/1000</f>
        <v>4.9630000000000001</v>
      </c>
      <c r="BQ177" s="1439">
        <f ca="1">IF(B177&gt;=$J$5,0,CONTADORES!BP179-CONTADORES!BP178)/1000</f>
        <v>0.63600000000000001</v>
      </c>
      <c r="BR177" s="1439">
        <f ca="1">IF(B177&gt;=$J$5,0,CONTADORES!BQ179-CONTADORES!BQ178)</f>
        <v>24</v>
      </c>
      <c r="BS177" s="1439">
        <f ca="1">IF(B177&gt;=$J$5,0,(CONTADORES!BT179-CONTADORES!BT178)+(CONTADORES!BV179-CONTADORES!BV178))/1000</f>
        <v>1.278</v>
      </c>
      <c r="BT177" s="1439">
        <f ca="1">IF(B177&gt;=$J$5,0,(CONTADORES!BU179-CONTADORES!BU178)+(CONTADORES!BW179-CONTADORES!BW178))/1000</f>
        <v>0.69599999999999995</v>
      </c>
      <c r="BU177" s="1439">
        <f ca="1">IF(B177&gt;=$J$5,0,CONTADORES!BR179-CONTADORES!BR178)</f>
        <v>6.3000000000010914</v>
      </c>
      <c r="BV177" s="1439">
        <f ca="1">IF(B177&gt;=$J$5,0,CONTADORES!BS179-CONTADORES!BS178)</f>
        <v>4.3000000000001819</v>
      </c>
      <c r="BW177" s="1439">
        <f t="shared" ca="1" si="77"/>
        <v>13.110000000005229</v>
      </c>
      <c r="BX177" s="1439">
        <f t="shared" ca="1" si="78"/>
        <v>9.4999999999968168</v>
      </c>
      <c r="BY177" s="1439">
        <f t="shared" ca="1" si="79"/>
        <v>6.8100000000041367</v>
      </c>
      <c r="BZ177" s="1439">
        <f t="shared" ca="1" si="80"/>
        <v>1.4488000000000365</v>
      </c>
      <c r="CA177" s="1439">
        <f t="shared" ca="1" si="81"/>
        <v>6.8100000000041367</v>
      </c>
      <c r="CB177" s="1439">
        <f t="shared" ca="1" si="82"/>
        <v>2.1732000000000546</v>
      </c>
      <c r="CC177" s="1439">
        <f t="shared" ca="1" si="83"/>
        <v>2.7268000000000363</v>
      </c>
      <c r="CD177" s="1439">
        <f t="shared" ca="1" si="84"/>
        <v>5.1999999999966349</v>
      </c>
      <c r="CE177" s="1439">
        <f ca="1">IF(B177&gt;=$J$5,0,CONTADORES!BS179-CONTADORES!BS178)</f>
        <v>4.3000000000001819</v>
      </c>
      <c r="CF177" s="1439">
        <f t="shared" ca="1" si="85"/>
        <v>5.1999999999966349</v>
      </c>
      <c r="CG177" s="1439">
        <f t="shared" ca="1" si="86"/>
        <v>1.6500000000000909</v>
      </c>
      <c r="CH177" s="1439">
        <f t="shared" ca="1" si="87"/>
        <v>1.6500000000000909</v>
      </c>
      <c r="CI177" s="1439">
        <f t="shared" ca="1" si="88"/>
        <v>2.3460000000000907</v>
      </c>
      <c r="CJ177" s="1488">
        <f ca="1">IF($B177&gt;=$J$5,0,CONTADORES!$BG179)</f>
        <v>9828.5434288021661</v>
      </c>
      <c r="CK177" s="1406">
        <f>CONTADORES!E179</f>
        <v>0</v>
      </c>
      <c r="CL177" s="1406">
        <f>CONTADORES!BX179</f>
        <v>0</v>
      </c>
    </row>
    <row r="178" spans="2:90">
      <c r="B178" s="410">
        <v>45094</v>
      </c>
      <c r="C178" s="204">
        <f t="shared" ca="1" si="64"/>
        <v>152</v>
      </c>
      <c r="D178" s="202">
        <f ca="1">'CALCULO DE GAS'!D190</f>
        <v>3.7590829878942715</v>
      </c>
      <c r="E178" s="202">
        <f ca="1">IF(B178&gt;=$J$5,0,(CONTADORES!$AB180-CONTADORES!$AB179)-$H178)</f>
        <v>24</v>
      </c>
      <c r="F178" s="204">
        <f t="shared" ca="1" si="90"/>
        <v>0</v>
      </c>
      <c r="G178" s="202">
        <f ca="1">IF(B178&gt;=$J$5,0,CONTADORES!$AD180-CONTADORES!$AD179)</f>
        <v>0</v>
      </c>
      <c r="H178" s="202">
        <f ca="1">IF(G178&gt;0,CONTADORES!$AC180-CONTADORES!$AC179,0)</f>
        <v>0</v>
      </c>
      <c r="I178" s="205">
        <f ca="1">IF(B178&gt;=$J$5,0,CONTADORES!$Z180-CONTADORES!$Z179)</f>
        <v>152</v>
      </c>
      <c r="J178" s="204">
        <f t="shared" ca="1" si="65"/>
        <v>288.90000000000146</v>
      </c>
      <c r="K178" s="202">
        <f ca="1">'CALCULO DE GAS'!E190</f>
        <v>5.1434858866059692</v>
      </c>
      <c r="L178" s="1437">
        <f ca="1">IF(B178&gt;=$J$5,0,(CONTADORES!$W180-CONTADORES!$W179)-$O178)</f>
        <v>24</v>
      </c>
      <c r="M178" s="1437">
        <f t="shared" ca="1" si="92"/>
        <v>0</v>
      </c>
      <c r="N178" s="1437">
        <f ca="1">IF(B178&gt;=$J$5,0,CONTADORES!$Y180-CONTADORES!$Y179)</f>
        <v>0</v>
      </c>
      <c r="O178" s="1437">
        <f ca="1">IF(N178&gt;0,CONTADORES!$X180-CONTADORES!$X179,0)</f>
        <v>0</v>
      </c>
      <c r="P178" s="208">
        <f ca="1">IF(B178&gt;=$J$5,0,CONTADORES!$U180-CONTADORES!$U179)</f>
        <v>288.90000000000146</v>
      </c>
      <c r="Q178" s="208">
        <f ca="1">IF(B178&gt;=$J$5,0,CONTADORES!$B180-CONTADORES!$B179)</f>
        <v>0</v>
      </c>
      <c r="R178" s="202">
        <f t="shared" ca="1" si="66"/>
        <v>0</v>
      </c>
      <c r="S178" s="11">
        <f ca="1">IF(B178&gt;=$J$5,0,CONTADORES!$D180-CONTADORES!$D179)</f>
        <v>0</v>
      </c>
      <c r="T178" s="204">
        <f ca="1">IF(B178&gt;=$J$5,0,CONTADORES!$AZ180-CONTADORES!$AZ179)</f>
        <v>0</v>
      </c>
      <c r="U178" s="202">
        <f t="shared" ca="1" si="91"/>
        <v>0</v>
      </c>
      <c r="V178" s="205">
        <f ca="1">IF(B178&gt;=$J$5,0,CONTADORES!$BB180-CONTADORES!$BB179)</f>
        <v>0</v>
      </c>
      <c r="W178" s="1438">
        <f t="shared" ca="1" si="67"/>
        <v>440.90000000000146</v>
      </c>
      <c r="X178" s="1438">
        <f t="shared" ca="1" si="68"/>
        <v>0</v>
      </c>
      <c r="Y178" s="1439">
        <f t="shared" ca="1" si="69"/>
        <v>440.90000000000146</v>
      </c>
      <c r="Z178" s="1439">
        <f t="shared" ca="1" si="70"/>
        <v>8.9025688745002398</v>
      </c>
      <c r="AA178" s="1439">
        <f t="shared" ca="1" si="71"/>
        <v>0</v>
      </c>
      <c r="AB178" s="1439">
        <f t="shared" ca="1" si="72"/>
        <v>48</v>
      </c>
      <c r="AC178" s="1438">
        <f t="shared" ca="1" si="73"/>
        <v>0</v>
      </c>
      <c r="AD178" s="1438">
        <f ca="1">IF(B178&gt;=$J$5,0,CONTADORES!H180-CONTADORES!H179)</f>
        <v>164.69999999999891</v>
      </c>
      <c r="AE178" s="1438">
        <f ca="1">IF(B178&gt;=$J$5,0,CONTADORES!J180-CONTADORES!J179)</f>
        <v>24</v>
      </c>
      <c r="AF178" s="1438">
        <f ca="1">IF(B178&gt;=$J$5,0,CONTADORES!AS180-CONTADORES!AS179)</f>
        <v>153</v>
      </c>
      <c r="AG178" s="1438">
        <f ca="1">IF(B178&gt;=$J$5,0,CONTADORES!AU180-CONTADORES!AU179)</f>
        <v>24</v>
      </c>
      <c r="AH178" s="1439">
        <f ca="1">IF(B178&gt;=$J$5,0,(CONTADORES!AK180-CONTADORES!AK179)+(CONTADORES!K180-CONTADORES!K179))</f>
        <v>14.80000000000291</v>
      </c>
      <c r="AI178" s="1438">
        <f ca="1">IF(B178&gt;=$J$5,0,(CONTADORES!AI180-CONTADORES!AI179)+(CONTADORES!M180-CONTADORES!M179))</f>
        <v>35.69999999999709</v>
      </c>
      <c r="AJ178" s="1438">
        <f ca="1">IF(B178&gt;=$J$5,0,(CONTADORES!AG180-CONTADORES!AG179))</f>
        <v>3.8999999999941792</v>
      </c>
      <c r="AK178" s="1438">
        <f ca="1">IF(B178&gt;=$J$5,0,(CONTADORES!O180-CONTADORES!O179))</f>
        <v>12</v>
      </c>
      <c r="AL178" s="1450">
        <f t="shared" ca="1" si="74"/>
        <v>31.700000000006185</v>
      </c>
      <c r="AM178" s="1438">
        <f ca="1">IF(B178&gt;=$J$5,0,(((CONTADORES!F180-CONTADORES!F179)+(CONTADORES!AO180-CONTADORES!AO179))))-BJ178-AF178-AN178-BM178-BP178-BU178-BS178</f>
        <v>6.9010000000029077</v>
      </c>
      <c r="AN178" s="1438">
        <f ca="1">IF(B178&gt;=$J$5,0,(CONTADORES!AV180-CONTADORES!AV179)+(CONTADORES!AX180-CONTADORES!AX179)+(CONTADORES!BC180-CONTADORES!BC179))-BS178</f>
        <v>3.276000000000364</v>
      </c>
      <c r="AO178" s="1440">
        <f ca="1">IF(B178&gt;=$J$5,0,(CONTADORES!AA180-CONTADORES!AA179))</f>
        <v>76</v>
      </c>
      <c r="AP178" s="1450">
        <f ca="1">IF(B178&gt;=$J$5,0,(CONTADORES!V180-CONTADORES!V179))</f>
        <v>142.70000000000073</v>
      </c>
      <c r="AQ178" s="1450">
        <f ca="1">IF(B178&gt;=$J$5,0,(CONTADORES!C180-CONTADORES!C179))</f>
        <v>0</v>
      </c>
      <c r="AR178" s="1450">
        <f ca="1">IF(B178&gt;=$J$5,0,(CONTADORES!BA180-CONTADORES!BA179))</f>
        <v>0</v>
      </c>
      <c r="AS178" s="1450">
        <f ca="1">IF(B178&gt;=$J$5,0,CONTADORES!Q180-CONTADORES!Q179)</f>
        <v>13</v>
      </c>
      <c r="AT178" s="1450">
        <f ca="1">IF(B178&gt;=$J$5,0,(CONTADORES!S180-CONTADORES!S179)+(CONTADORES!AE180-CONTADORES!AE179))</f>
        <v>3.0799999999999983</v>
      </c>
      <c r="AU178" s="1450">
        <f ca="1">IF(B178&gt;=$J$5,0,(CONTADORES!I180-CONTADORES!I179))</f>
        <v>81.800000000000182</v>
      </c>
      <c r="AV178" s="1450">
        <f ca="1">IF(B178&gt;=$J$5,0,(CONTADORES!AT180-CONTADORES!AT179))</f>
        <v>66</v>
      </c>
      <c r="AW178" s="1450">
        <f ca="1">IF(B178&gt;=$J$5,0,(CONTADORES!L180-CONTADORES!L179)+(CONTADORES!AL180-CONTADORES!AL179))</f>
        <v>5.8999999999978172</v>
      </c>
      <c r="AX178" s="1450">
        <f ca="1">IF(B178&gt;=$J$5,0,(CONTADORES!N180-CONTADORES!N179)+(CONTADORES!AJ180-CONTADORES!AJ179))</f>
        <v>30.899999999994179</v>
      </c>
      <c r="AY178" s="1450">
        <f ca="1">IF(B178&gt;=$J$5,0,(CONTADORES!AH180-CONTADORES!AH179))</f>
        <v>2.7999999999956344</v>
      </c>
      <c r="AZ178" s="1450">
        <f ca="1">IF(B178&gt;=$J$5,0,(CONTADORES!P180-CONTADORES!P179))</f>
        <v>10</v>
      </c>
      <c r="BA178" s="1439">
        <f t="shared" ca="1" si="75"/>
        <v>6.3430000000130917</v>
      </c>
      <c r="BB178" s="1450">
        <f ca="1">IF(B178&gt;=$J$5,0,(((CONTADORES!G180-CONTADORES!G179)+(CONTADORES!AP180-CONTADORES!AP179)+AR178)-(AV178+BC178)))</f>
        <v>7.1000000000008185</v>
      </c>
      <c r="BC178" s="1438">
        <f ca="1">IF(B178&gt;=$J$5,0,(CONTADORES!AW180-CONTADORES!AW179)+(CONTADORES!AY180-CONTADORES!AY179)+(CONTADORES!BD180-CONTADORES!BD179))</f>
        <v>2.2999999999997272</v>
      </c>
      <c r="BD178" s="1438">
        <f t="shared" ca="1" si="76"/>
        <v>218.70000000000073</v>
      </c>
      <c r="BE178" s="1439">
        <f ca="1">IF($B178&gt;=$J$5,0,CONTADORES!$BE180)</f>
        <v>6065.0496803364404</v>
      </c>
      <c r="BF178" s="1438">
        <f ca="1">IF($B178&gt;=$J$5,0,CONTADORES!$BF180)</f>
        <v>31132.952631578948</v>
      </c>
      <c r="BG178" s="1438">
        <f ca="1">IF($B178&gt;=$J$5,0,CONTADORES!$BH180)</f>
        <v>5505.7100000000009</v>
      </c>
      <c r="BH178" s="1438">
        <f ca="1">IF(B178&gt;=$J$5,0,(CONTADORES!AQ180-CONTADORES!AQ179))</f>
        <v>4.5</v>
      </c>
      <c r="BI178" s="1438">
        <f ca="1">IF(C178&gt;=$J$5,0,(CONTADORES!AR180-CONTADORES!AR179))</f>
        <v>0</v>
      </c>
      <c r="BJ178" s="1439">
        <f ca="1">IF(B178&gt;=$J$5,0,CONTADORES!BI180-CONTADORES!BI179)/1000</f>
        <v>0</v>
      </c>
      <c r="BK178" s="1439">
        <f ca="1">IF(B178&gt;=$J$5,0,CONTADORES!BJ180-CONTADORES!BJ179)</f>
        <v>0</v>
      </c>
      <c r="BL178" s="1439">
        <f ca="1">IF(B178&gt;=$J$5,0,CONTADORES!BK180-CONTADORES!BK179)</f>
        <v>0</v>
      </c>
      <c r="BM178" s="1439">
        <f ca="1">IF(B178&gt;=$J$5,0,CONTADORES!BL180-CONTADORES!BL179)/1000</f>
        <v>2.3380000000000001</v>
      </c>
      <c r="BN178" s="1439">
        <f ca="1">IF(B178&gt;=$J$5,0,CONTADORES!BM180-CONTADORES!BM179)/1000</f>
        <v>0</v>
      </c>
      <c r="BO178" s="1439">
        <f ca="1">IF(B178&gt;=$J$5,0,CONTADORES!BN180-CONTADORES!BN179)</f>
        <v>24</v>
      </c>
      <c r="BP178" s="1439">
        <f ca="1">IF(B178&gt;=$J$5,0,CONTADORES!BO180-CONTADORES!BO179)/1000</f>
        <v>5.0609999999999999</v>
      </c>
      <c r="BQ178" s="1439">
        <f ca="1">IF(B178&gt;=$J$5,0,CONTADORES!BP180-CONTADORES!BP179)/1000</f>
        <v>0.52900000000000003</v>
      </c>
      <c r="BR178" s="1439">
        <f ca="1">IF(B178&gt;=$J$5,0,CONTADORES!BQ180-CONTADORES!BQ179)</f>
        <v>23.599999999998545</v>
      </c>
      <c r="BS178" s="1439">
        <f ca="1">IF(B178&gt;=$J$5,0,(CONTADORES!BT180-CONTADORES!BT179)+(CONTADORES!BV180-CONTADORES!BV179))/1000</f>
        <v>1.3240000000000001</v>
      </c>
      <c r="BT178" s="1439">
        <f ca="1">IF(B178&gt;=$J$5,0,(CONTADORES!BU180-CONTADORES!BU179)+(CONTADORES!BW180-CONTADORES!BW179))/1000</f>
        <v>0.72799999999999998</v>
      </c>
      <c r="BU178" s="1439">
        <f ca="1">IF(B178&gt;=$J$5,0,CONTADORES!BR180-CONTADORES!BR179)</f>
        <v>6.1999999999989086</v>
      </c>
      <c r="BV178" s="1439">
        <f ca="1">IF(B178&gt;=$J$5,0,CONTADORES!BS180-CONTADORES!BS179)</f>
        <v>4.2999999999992724</v>
      </c>
      <c r="BW178" s="1439">
        <f t="shared" ca="1" si="77"/>
        <v>9.6505000000003633</v>
      </c>
      <c r="BX178" s="1439">
        <f t="shared" ca="1" si="78"/>
        <v>7.8499999999996817</v>
      </c>
      <c r="BY178" s="1439">
        <f t="shared" ca="1" si="79"/>
        <v>3.4505000000014538</v>
      </c>
      <c r="BZ178" s="1439">
        <f t="shared" ca="1" si="80"/>
        <v>1.3104000000001457</v>
      </c>
      <c r="CA178" s="1439">
        <f t="shared" ca="1" si="81"/>
        <v>3.4505000000014538</v>
      </c>
      <c r="CB178" s="1439">
        <f t="shared" ca="1" si="82"/>
        <v>1.9656000000002183</v>
      </c>
      <c r="CC178" s="1439">
        <f t="shared" ca="1" si="83"/>
        <v>2.634400000000146</v>
      </c>
      <c r="CD178" s="1439">
        <f t="shared" ca="1" si="84"/>
        <v>3.5500000000004093</v>
      </c>
      <c r="CE178" s="1439">
        <f ca="1">IF(B178&gt;=$J$5,0,CONTADORES!BS180-CONTADORES!BS179)</f>
        <v>4.2999999999992724</v>
      </c>
      <c r="CF178" s="1439">
        <f t="shared" ca="1" si="85"/>
        <v>3.5500000000004093</v>
      </c>
      <c r="CG178" s="1439">
        <f t="shared" ca="1" si="86"/>
        <v>1.1499999999998636</v>
      </c>
      <c r="CH178" s="1439">
        <f t="shared" ca="1" si="87"/>
        <v>1.1499999999998636</v>
      </c>
      <c r="CI178" s="1439">
        <f t="shared" ca="1" si="88"/>
        <v>1.8779999999998636</v>
      </c>
      <c r="CJ178" s="1488">
        <f ca="1">IF($B178&gt;=$J$5,0,CONTADORES!$BG180)</f>
        <v>8951.2726340458612</v>
      </c>
      <c r="CK178" s="1406">
        <f>CONTADORES!E180</f>
        <v>0</v>
      </c>
      <c r="CL178" s="1406">
        <f>CONTADORES!BX180</f>
        <v>0</v>
      </c>
    </row>
    <row r="179" spans="2:90">
      <c r="B179" s="410">
        <v>45095</v>
      </c>
      <c r="C179" s="204">
        <f t="shared" ca="1" si="64"/>
        <v>152</v>
      </c>
      <c r="D179" s="202">
        <f ca="1">'CALCULO DE GAS'!D191</f>
        <v>3.7590829878942715</v>
      </c>
      <c r="E179" s="202">
        <f ca="1">IF(B179&gt;=$J$5,0,(CONTADORES!$AB181-CONTADORES!$AB180)-$H179)</f>
        <v>24</v>
      </c>
      <c r="F179" s="204">
        <f t="shared" ca="1" si="90"/>
        <v>0</v>
      </c>
      <c r="G179" s="202">
        <f ca="1">IF(B179&gt;=$J$5,0,CONTADORES!$AD181-CONTADORES!$AD180)</f>
        <v>0</v>
      </c>
      <c r="H179" s="202">
        <f ca="1">IF(G179&gt;0,CONTADORES!$AC181-CONTADORES!$AC180,0)</f>
        <v>0</v>
      </c>
      <c r="I179" s="205">
        <f ca="1">IF(B179&gt;=$J$5,0,CONTADORES!$Z181-CONTADORES!$Z180)</f>
        <v>152</v>
      </c>
      <c r="J179" s="204">
        <f t="shared" ca="1" si="65"/>
        <v>274.79999999999563</v>
      </c>
      <c r="K179" s="202">
        <f ca="1">'CALCULO DE GAS'!E191</f>
        <v>5.0026659732340759</v>
      </c>
      <c r="L179" s="1437">
        <f ca="1">IF(B179&gt;=$J$5,0,(CONTADORES!$W181-CONTADORES!$W180)-$O179)</f>
        <v>24</v>
      </c>
      <c r="M179" s="1437">
        <f t="shared" ca="1" si="92"/>
        <v>0</v>
      </c>
      <c r="N179" s="1437">
        <f ca="1">IF(B179&gt;=$J$5,0,CONTADORES!$Y181-CONTADORES!$Y180)</f>
        <v>0</v>
      </c>
      <c r="O179" s="1437">
        <f ca="1">IF(N179&gt;0,CONTADORES!$X181-CONTADORES!$X180,0)</f>
        <v>0</v>
      </c>
      <c r="P179" s="208">
        <f ca="1">IF(B179&gt;=$J$5,0,CONTADORES!$U181-CONTADORES!$U180)</f>
        <v>274.79999999999563</v>
      </c>
      <c r="Q179" s="208">
        <f ca="1">IF(B179&gt;=$J$5,0,CONTADORES!$B181-CONTADORES!$B180)</f>
        <v>0</v>
      </c>
      <c r="R179" s="202">
        <f t="shared" ca="1" si="66"/>
        <v>0</v>
      </c>
      <c r="S179" s="11">
        <f ca="1">IF(B179&gt;=$J$5,0,CONTADORES!$D181-CONTADORES!$D180)</f>
        <v>0</v>
      </c>
      <c r="T179" s="204">
        <f ca="1">IF(B179&gt;=$J$5,0,CONTADORES!$AZ181-CONTADORES!$AZ180)</f>
        <v>0</v>
      </c>
      <c r="U179" s="202">
        <f t="shared" ca="1" si="91"/>
        <v>0</v>
      </c>
      <c r="V179" s="205">
        <f ca="1">IF(B179&gt;=$J$5,0,CONTADORES!$BB181-CONTADORES!$BB180)</f>
        <v>0</v>
      </c>
      <c r="W179" s="1438">
        <f t="shared" ca="1" si="67"/>
        <v>426.79999999999563</v>
      </c>
      <c r="X179" s="1438">
        <f t="shared" ca="1" si="68"/>
        <v>0</v>
      </c>
      <c r="Y179" s="1439">
        <f t="shared" ca="1" si="69"/>
        <v>426.79999999999563</v>
      </c>
      <c r="Z179" s="1439">
        <f t="shared" ca="1" si="70"/>
        <v>8.7617489611283474</v>
      </c>
      <c r="AA179" s="1439">
        <f t="shared" ca="1" si="71"/>
        <v>0</v>
      </c>
      <c r="AB179" s="1439">
        <f t="shared" ca="1" si="72"/>
        <v>48</v>
      </c>
      <c r="AC179" s="1438">
        <f t="shared" ca="1" si="73"/>
        <v>0</v>
      </c>
      <c r="AD179" s="1438">
        <f ca="1">IF(B179&gt;=$J$5,0,CONTADORES!H181-CONTADORES!H180)</f>
        <v>162.31000000000131</v>
      </c>
      <c r="AE179" s="1438">
        <f ca="1">IF(B179&gt;=$J$5,0,CONTADORES!J181-CONTADORES!J180)</f>
        <v>24</v>
      </c>
      <c r="AF179" s="1438">
        <f ca="1">IF(B179&gt;=$J$5,0,CONTADORES!AS181-CONTADORES!AS180)</f>
        <v>152</v>
      </c>
      <c r="AG179" s="1438">
        <f ca="1">IF(B179&gt;=$J$5,0,CONTADORES!AU181-CONTADORES!AU180)</f>
        <v>24</v>
      </c>
      <c r="AH179" s="1439">
        <f ca="1">IF(B179&gt;=$J$5,0,(CONTADORES!AK181-CONTADORES!AK180)+(CONTADORES!K181-CONTADORES!K180))</f>
        <v>0</v>
      </c>
      <c r="AI179" s="1438">
        <f ca="1">IF(B179&gt;=$J$5,0,(CONTADORES!AI181-CONTADORES!AI180)+(CONTADORES!M181-CONTADORES!M180))</f>
        <v>35.69999999999709</v>
      </c>
      <c r="AJ179" s="1438">
        <f ca="1">IF(B179&gt;=$J$5,0,(CONTADORES!AG181-CONTADORES!AG180))</f>
        <v>5.4000000000087311</v>
      </c>
      <c r="AK179" s="1438">
        <f ca="1">IF(B179&gt;=$J$5,0,(CONTADORES!O181-CONTADORES!O180))</f>
        <v>10</v>
      </c>
      <c r="AL179" s="1450">
        <f t="shared" ca="1" si="74"/>
        <v>32.289999999989959</v>
      </c>
      <c r="AM179" s="1438">
        <f ca="1">IF(B179&gt;=$J$5,0,(((CONTADORES!F181-CONTADORES!F180)+(CONTADORES!AO181-CONTADORES!AO180))))-BJ179-AF179-AN179-BM179-BP179-BU179-BS179</f>
        <v>10.959999999998091</v>
      </c>
      <c r="AN179" s="1438">
        <f ca="1">IF(B179&gt;=$J$5,0,(CONTADORES!AV181-CONTADORES!AV180)+(CONTADORES!AX181-CONTADORES!AX180)+(CONTADORES!BC181-CONTADORES!BC180))-BS179</f>
        <v>3.4319999999997268</v>
      </c>
      <c r="AO179" s="1440">
        <f ca="1">IF(B179&gt;=$J$5,0,(CONTADORES!AA181-CONTADORES!AA180))</f>
        <v>69</v>
      </c>
      <c r="AP179" s="1450">
        <f ca="1">IF(B179&gt;=$J$5,0,(CONTADORES!V181-CONTADORES!V180))</f>
        <v>146.29999999999927</v>
      </c>
      <c r="AQ179" s="1450">
        <f ca="1">IF(B179&gt;=$J$5,0,(CONTADORES!C181-CONTADORES!C180))</f>
        <v>0</v>
      </c>
      <c r="AR179" s="1450">
        <f ca="1">IF(B179&gt;=$J$5,0,(CONTADORES!BA181-CONTADORES!BA180))</f>
        <v>0</v>
      </c>
      <c r="AS179" s="1450">
        <f ca="1">IF(B179&gt;=$J$5,0,CONTADORES!Q181-CONTADORES!Q180)</f>
        <v>14</v>
      </c>
      <c r="AT179" s="1450">
        <f ca="1">IF(B179&gt;=$J$5,0,(CONTADORES!S181-CONTADORES!S180)+(CONTADORES!AE181-CONTADORES!AE180))</f>
        <v>3.2199999999999989</v>
      </c>
      <c r="AU179" s="1450">
        <f ca="1">IF(B179&gt;=$J$5,0,(CONTADORES!I181-CONTADORES!I180))</f>
        <v>81.130999999999403</v>
      </c>
      <c r="AV179" s="1450">
        <f ca="1">IF(B179&gt;=$J$5,0,(CONTADORES!AT181-CONTADORES!AT180))</f>
        <v>66</v>
      </c>
      <c r="AW179" s="1450">
        <f ca="1">IF(B179&gt;=$J$5,0,(CONTADORES!L181-CONTADORES!L180)+(CONTADORES!AL181-CONTADORES!AL180))</f>
        <v>0</v>
      </c>
      <c r="AX179" s="1450">
        <f ca="1">IF(B179&gt;=$J$5,0,(CONTADORES!N181-CONTADORES!N180)+(CONTADORES!AJ181-CONTADORES!AJ180))</f>
        <v>30.900000000001455</v>
      </c>
      <c r="AY179" s="1450">
        <f ca="1">IF(B179&gt;=$J$5,0,(CONTADORES!AH181-CONTADORES!AH180))</f>
        <v>3.9000000000014552</v>
      </c>
      <c r="AZ179" s="1450">
        <f ca="1">IF(B179&gt;=$J$5,0,(CONTADORES!P181-CONTADORES!P180))</f>
        <v>9</v>
      </c>
      <c r="BA179" s="1439">
        <f t="shared" ca="1" si="75"/>
        <v>6.8899999999969452</v>
      </c>
      <c r="BB179" s="1450">
        <f ca="1">IF(B179&gt;=$J$5,0,(((CONTADORES!G181-CONTADORES!G180)+(CONTADORES!AP181-CONTADORES!AP180)+AR179)-(AV179+BC179)))</f>
        <v>9.3999999999996362</v>
      </c>
      <c r="BC179" s="1438">
        <f ca="1">IF(B179&gt;=$J$5,0,(CONTADORES!AW181-CONTADORES!AW180)+(CONTADORES!AY181-CONTADORES!AY180)+(CONTADORES!BD181-CONTADORES!BD180))</f>
        <v>2.3000000000001819</v>
      </c>
      <c r="BD179" s="1438">
        <f t="shared" ca="1" si="76"/>
        <v>215.29999999999927</v>
      </c>
      <c r="BE179" s="1439">
        <f ca="1">IF($B179&gt;=$J$5,0,CONTADORES!$BE181)</f>
        <v>5246.42</v>
      </c>
      <c r="BF179" s="1438">
        <f ca="1">IF($B179&gt;=$J$5,0,CONTADORES!$BF181)</f>
        <v>30903.0947368421</v>
      </c>
      <c r="BG179" s="1438">
        <f ca="1">IF($B179&gt;=$J$5,0,CONTADORES!$BH181)</f>
        <v>6224.5599999999995</v>
      </c>
      <c r="BH179" s="1438">
        <f ca="1">IF(B179&gt;=$J$5,0,(CONTADORES!AQ181-CONTADORES!AQ180))</f>
        <v>3.8000000000029104</v>
      </c>
      <c r="BI179" s="1438">
        <f ca="1">IF(C179&gt;=$J$5,0,(CONTADORES!AR181-CONTADORES!AR180))</f>
        <v>0</v>
      </c>
      <c r="BJ179" s="1439">
        <f ca="1">IF(B179&gt;=$J$5,0,CONTADORES!BI181-CONTADORES!BI180)/1000</f>
        <v>0</v>
      </c>
      <c r="BK179" s="1439">
        <f ca="1">IF(B179&gt;=$J$5,0,CONTADORES!BJ181-CONTADORES!BJ180)</f>
        <v>0</v>
      </c>
      <c r="BL179" s="1439">
        <f ca="1">IF(B179&gt;=$J$5,0,CONTADORES!BK181-CONTADORES!BK180)</f>
        <v>0</v>
      </c>
      <c r="BM179" s="1439">
        <f ca="1">IF(B179&gt;=$J$5,0,CONTADORES!BL181-CONTADORES!BL180)/1000</f>
        <v>2.3119999999999998</v>
      </c>
      <c r="BN179" s="1439">
        <f ca="1">IF(B179&gt;=$J$5,0,CONTADORES!BM181-CONTADORES!BM180)/1000</f>
        <v>0</v>
      </c>
      <c r="BO179" s="1439">
        <f ca="1">IF(B179&gt;=$J$5,0,CONTADORES!BN181-CONTADORES!BN180)</f>
        <v>24</v>
      </c>
      <c r="BP179" s="1439">
        <f ca="1">IF(B179&gt;=$J$5,0,CONTADORES!BO181-CONTADORES!BO180)/1000</f>
        <v>4.8280000000000003</v>
      </c>
      <c r="BQ179" s="1439">
        <f ca="1">IF(B179&gt;=$J$5,0,CONTADORES!BP181-CONTADORES!BP180)/1000</f>
        <v>0.71699999999999997</v>
      </c>
      <c r="BR179" s="1439">
        <f ca="1">IF(B179&gt;=$J$5,0,CONTADORES!BQ181-CONTADORES!BQ180)</f>
        <v>24</v>
      </c>
      <c r="BS179" s="1439">
        <f ca="1">IF(B179&gt;=$J$5,0,(CONTADORES!BT181-CONTADORES!BT180)+(CONTADORES!BV181-CONTADORES!BV180))/1000</f>
        <v>1.3680000000000001</v>
      </c>
      <c r="BT179" s="1439">
        <f ca="1">IF(B179&gt;=$J$5,0,(CONTADORES!BU181-CONTADORES!BU180)+(CONTADORES!BW181-CONTADORES!BW180))/1000</f>
        <v>0.76200000000000001</v>
      </c>
      <c r="BU179" s="1439">
        <f ca="1">IF(B179&gt;=$J$5,0,CONTADORES!BR181-CONTADORES!BR180)</f>
        <v>6.2000000000007276</v>
      </c>
      <c r="BV179" s="1439">
        <f ca="1">IF(B179&gt;=$J$5,0,CONTADORES!BS181-CONTADORES!BS180)</f>
        <v>4.3000000000001819</v>
      </c>
      <c r="BW179" s="1439">
        <f t="shared" ca="1" si="77"/>
        <v>11.679999999999772</v>
      </c>
      <c r="BX179" s="1439">
        <f t="shared" ca="1" si="78"/>
        <v>9</v>
      </c>
      <c r="BY179" s="1439">
        <f t="shared" ca="1" si="79"/>
        <v>5.4799999999990456</v>
      </c>
      <c r="BZ179" s="1439">
        <f t="shared" ca="1" si="80"/>
        <v>1.3727999999998908</v>
      </c>
      <c r="CA179" s="1439">
        <f t="shared" ca="1" si="81"/>
        <v>5.4799999999990456</v>
      </c>
      <c r="CB179" s="1439">
        <f t="shared" ca="1" si="82"/>
        <v>2.0591999999998363</v>
      </c>
      <c r="CC179" s="1439">
        <f t="shared" ca="1" si="83"/>
        <v>2.7407999999998909</v>
      </c>
      <c r="CD179" s="1439">
        <f t="shared" ca="1" si="84"/>
        <v>4.6999999999998181</v>
      </c>
      <c r="CE179" s="1439">
        <f ca="1">IF(B179&gt;=$J$5,0,CONTADORES!BS181-CONTADORES!BS180)</f>
        <v>4.3000000000001819</v>
      </c>
      <c r="CF179" s="1439">
        <f t="shared" ca="1" si="85"/>
        <v>4.6999999999998181</v>
      </c>
      <c r="CG179" s="1439">
        <f t="shared" ca="1" si="86"/>
        <v>1.1500000000000909</v>
      </c>
      <c r="CH179" s="1439">
        <f t="shared" ca="1" si="87"/>
        <v>1.1500000000000909</v>
      </c>
      <c r="CI179" s="1439">
        <f t="shared" ca="1" si="88"/>
        <v>1.912000000000091</v>
      </c>
      <c r="CJ179" s="1488">
        <f ca="1">IF($B179&gt;=$J$5,0,CONTADORES!$BG181)</f>
        <v>9247.3744971270171</v>
      </c>
      <c r="CK179" s="1406">
        <f>CONTADORES!E181</f>
        <v>0</v>
      </c>
      <c r="CL179" s="1406">
        <f>CONTADORES!BX181</f>
        <v>0</v>
      </c>
    </row>
    <row r="180" spans="2:90">
      <c r="B180" s="410">
        <v>45096</v>
      </c>
      <c r="C180" s="204">
        <f t="shared" ca="1" si="64"/>
        <v>151</v>
      </c>
      <c r="D180" s="202">
        <f ca="1">'CALCULO DE GAS'!D192</f>
        <v>3.7497615751888076</v>
      </c>
      <c r="E180" s="202">
        <f ca="1">IF(B180&gt;=$J$5,0,(CONTADORES!$AB182-CONTADORES!$AB181)-$H180)</f>
        <v>24</v>
      </c>
      <c r="F180" s="204">
        <f t="shared" ca="1" si="90"/>
        <v>0</v>
      </c>
      <c r="G180" s="202">
        <f ca="1">IF(B180&gt;=$J$5,0,CONTADORES!$AD182-CONTADORES!$AD181)</f>
        <v>0</v>
      </c>
      <c r="H180" s="202">
        <f ca="1">IF(G180&gt;0,CONTADORES!$AC182-CONTADORES!$AC181,0)</f>
        <v>0</v>
      </c>
      <c r="I180" s="205">
        <f ca="1">IF(B180&gt;=$J$5,0,CONTADORES!$Z182-CONTADORES!$Z181)</f>
        <v>151</v>
      </c>
      <c r="J180" s="204">
        <f t="shared" ca="1" si="65"/>
        <v>295</v>
      </c>
      <c r="K180" s="202">
        <f ca="1">'CALCULO DE GAS'!E192</f>
        <v>5.2044079767880955</v>
      </c>
      <c r="L180" s="1437">
        <f ca="1">IF(B180&gt;=$J$5,0,(CONTADORES!$W182-CONTADORES!$W181)-$O180)</f>
        <v>24</v>
      </c>
      <c r="M180" s="1437">
        <f t="shared" ca="1" si="92"/>
        <v>0</v>
      </c>
      <c r="N180" s="1437">
        <f ca="1">IF(B180&gt;=$J$5,0,CONTADORES!$Y182-CONTADORES!$Y181)</f>
        <v>0</v>
      </c>
      <c r="O180" s="1437">
        <f ca="1">IF(N180&gt;0,CONTADORES!$X182-CONTADORES!$X181,0)</f>
        <v>0</v>
      </c>
      <c r="P180" s="208">
        <f ca="1">IF(B180&gt;=$J$5,0,CONTADORES!$U182-CONTADORES!$U181)</f>
        <v>295</v>
      </c>
      <c r="Q180" s="208">
        <f ca="1">IF(B180&gt;=$J$5,0,CONTADORES!$B182-CONTADORES!$B181)</f>
        <v>0</v>
      </c>
      <c r="R180" s="202">
        <f t="shared" ca="1" si="66"/>
        <v>0</v>
      </c>
      <c r="S180" s="11">
        <f ca="1">IF(B180&gt;=$J$5,0,CONTADORES!$D182-CONTADORES!$D181)</f>
        <v>0</v>
      </c>
      <c r="T180" s="204">
        <f ca="1">IF(B180&gt;=$J$5,0,CONTADORES!$AZ182-CONTADORES!$AZ181)</f>
        <v>0</v>
      </c>
      <c r="U180" s="202">
        <f t="shared" ca="1" si="91"/>
        <v>0</v>
      </c>
      <c r="V180" s="205">
        <f ca="1">IF(B180&gt;=$J$5,0,CONTADORES!$BB182-CONTADORES!$BB181)</f>
        <v>0</v>
      </c>
      <c r="W180" s="1438">
        <f t="shared" ca="1" si="67"/>
        <v>446</v>
      </c>
      <c r="X180" s="1438">
        <f t="shared" ca="1" si="68"/>
        <v>0</v>
      </c>
      <c r="Y180" s="1439">
        <f t="shared" ca="1" si="69"/>
        <v>446</v>
      </c>
      <c r="Z180" s="1439">
        <f t="shared" ca="1" si="70"/>
        <v>8.9541695519769036</v>
      </c>
      <c r="AA180" s="1439">
        <f t="shared" ca="1" si="71"/>
        <v>0</v>
      </c>
      <c r="AB180" s="1439">
        <f t="shared" ca="1" si="72"/>
        <v>48</v>
      </c>
      <c r="AC180" s="1438">
        <f t="shared" ca="1" si="73"/>
        <v>0</v>
      </c>
      <c r="AD180" s="1438">
        <f ca="1">IF(B180&gt;=$J$5,0,CONTADORES!H182-CONTADORES!H181)</f>
        <v>163.56599999999889</v>
      </c>
      <c r="AE180" s="1438">
        <f ca="1">IF(B180&gt;=$J$5,0,CONTADORES!J182-CONTADORES!J181)</f>
        <v>24</v>
      </c>
      <c r="AF180" s="1438">
        <f ca="1">IF(B180&gt;=$J$5,0,CONTADORES!AS182-CONTADORES!AS181)</f>
        <v>153</v>
      </c>
      <c r="AG180" s="1438">
        <f ca="1">IF(B180&gt;=$J$5,0,CONTADORES!AU182-CONTADORES!AU181)</f>
        <v>24</v>
      </c>
      <c r="AH180" s="1439">
        <f ca="1">IF(B180&gt;=$J$5,0,(CONTADORES!AK182-CONTADORES!AK181)+(CONTADORES!K182-CONTADORES!K181))</f>
        <v>12.099999999998545</v>
      </c>
      <c r="AI180" s="1438">
        <f ca="1">IF(B180&gt;=$J$5,0,(CONTADORES!AI182-CONTADORES!AI181)+(CONTADORES!M182-CONTADORES!M181))</f>
        <v>36.19999999999709</v>
      </c>
      <c r="AJ180" s="1438">
        <f ca="1">IF(B180&gt;=$J$5,0,(CONTADORES!AG182-CONTADORES!AG181))</f>
        <v>7.8999999999941792</v>
      </c>
      <c r="AK180" s="1438">
        <f ca="1">IF(B180&gt;=$J$5,0,(CONTADORES!O182-CONTADORES!O181))</f>
        <v>11</v>
      </c>
      <c r="AL180" s="1450">
        <f t="shared" ca="1" si="74"/>
        <v>34.834000000009837</v>
      </c>
      <c r="AM180" s="1438">
        <f ca="1">IF(B180&gt;=$J$5,0,(((CONTADORES!F182-CONTADORES!F181)+(CONTADORES!AO182-CONTADORES!AO181))))-BJ180-AF180-AN180-BM180-BP180-BU180-BS180</f>
        <v>8.9990000000017254</v>
      </c>
      <c r="AN180" s="1438">
        <f ca="1">IF(B180&gt;=$J$5,0,(CONTADORES!AV182-CONTADORES!AV181)+(CONTADORES!AX182-CONTADORES!AX181)+(CONTADORES!BC182-CONTADORES!BC181))-BS180</f>
        <v>3.1010000000004547</v>
      </c>
      <c r="AO180" s="1440">
        <f ca="1">IF(B180&gt;=$J$5,0,(CONTADORES!AA182-CONTADORES!AA181))</f>
        <v>74</v>
      </c>
      <c r="AP180" s="1450">
        <f ca="1">IF(B180&gt;=$J$5,0,(CONTADORES!V182-CONTADORES!V181))</f>
        <v>149.40000000000146</v>
      </c>
      <c r="AQ180" s="1450">
        <f ca="1">IF(B180&gt;=$J$5,0,(CONTADORES!C182-CONTADORES!C181))</f>
        <v>0</v>
      </c>
      <c r="AR180" s="1450">
        <f ca="1">IF(B180&gt;=$J$5,0,(CONTADORES!BA182-CONTADORES!BA181))</f>
        <v>0</v>
      </c>
      <c r="AS180" s="1450">
        <f ca="1">IF(B180&gt;=$J$5,0,CONTADORES!Q182-CONTADORES!Q181)</f>
        <v>13</v>
      </c>
      <c r="AT180" s="1450">
        <f ca="1">IF(B180&gt;=$J$5,0,(CONTADORES!S182-CONTADORES!S181)+(CONTADORES!AE182-CONTADORES!AE181))</f>
        <v>3.240000000000002</v>
      </c>
      <c r="AU180" s="1450">
        <f ca="1">IF(B180&gt;=$J$5,0,(CONTADORES!I182-CONTADORES!I181))</f>
        <v>82.304000000000087</v>
      </c>
      <c r="AV180" s="1450">
        <f ca="1">IF(B180&gt;=$J$5,0,(CONTADORES!AT182-CONTADORES!AT181))</f>
        <v>66</v>
      </c>
      <c r="AW180" s="1450">
        <f ca="1">IF(B180&gt;=$J$5,0,(CONTADORES!L182-CONTADORES!L181)+(CONTADORES!AL182-CONTADORES!AL181))</f>
        <v>4.8000000000029104</v>
      </c>
      <c r="AX180" s="1450">
        <f ca="1">IF(B180&gt;=$J$5,0,(CONTADORES!N182-CONTADORES!N181)+(CONTADORES!AJ182-CONTADORES!AJ181))</f>
        <v>31</v>
      </c>
      <c r="AY180" s="1450">
        <f ca="1">IF(B180&gt;=$J$5,0,(CONTADORES!AH182-CONTADORES!AH181))</f>
        <v>6.0999999999985448</v>
      </c>
      <c r="AZ180" s="1450">
        <f ca="1">IF(B180&gt;=$J$5,0,(CONTADORES!P182-CONTADORES!P181))</f>
        <v>9</v>
      </c>
      <c r="BA180" s="1439">
        <f t="shared" ca="1" si="75"/>
        <v>7.7329999999995493</v>
      </c>
      <c r="BB180" s="1450">
        <f ca="1">IF(B180&gt;=$J$5,0,(((CONTADORES!G182-CONTADORES!G181)+(CONTADORES!AP182-CONTADORES!AP181)+AR180)-(AV180+BC180)))</f>
        <v>8.6999999999998181</v>
      </c>
      <c r="BC180" s="1438">
        <f ca="1">IF(B180&gt;=$J$5,0,(CONTADORES!AW182-CONTADORES!AW181)+(CONTADORES!AY182-CONTADORES!AY181)+(CONTADORES!BD182-CONTADORES!BD181))</f>
        <v>2</v>
      </c>
      <c r="BD180" s="1438">
        <f t="shared" ca="1" si="76"/>
        <v>223.40000000000146</v>
      </c>
      <c r="BE180" s="1439">
        <f ca="1">IF($B180&gt;=$J$5,0,CONTADORES!$BE182)</f>
        <v>6328.39</v>
      </c>
      <c r="BF180" s="1438">
        <f ca="1">IF($B180&gt;=$J$5,0,CONTADORES!$BF182)</f>
        <v>29119.589473684209</v>
      </c>
      <c r="BG180" s="1438">
        <f ca="1">IF($B180&gt;=$J$5,0,CONTADORES!$BH182)</f>
        <v>6227.63</v>
      </c>
      <c r="BH180" s="1438">
        <f ca="1">IF(B180&gt;=$J$5,0,(CONTADORES!AQ182-CONTADORES!AQ181))</f>
        <v>4.3000000000029104</v>
      </c>
      <c r="BI180" s="1438">
        <f ca="1">IF(C180&gt;=$J$5,0,(CONTADORES!AR182-CONTADORES!AR181))</f>
        <v>0</v>
      </c>
      <c r="BJ180" s="1439">
        <f ca="1">IF(B180&gt;=$J$5,0,CONTADORES!BI182-CONTADORES!BI181)/1000</f>
        <v>0</v>
      </c>
      <c r="BK180" s="1439">
        <f ca="1">IF(B180&gt;=$J$5,0,CONTADORES!BJ182-CONTADORES!BJ181)</f>
        <v>0</v>
      </c>
      <c r="BL180" s="1439">
        <f ca="1">IF(B180&gt;=$J$5,0,CONTADORES!BK182-CONTADORES!BK181)</f>
        <v>0</v>
      </c>
      <c r="BM180" s="1439">
        <f ca="1">IF(B180&gt;=$J$5,0,CONTADORES!BL182-CONTADORES!BL181)/1000</f>
        <v>2.3820000000000001</v>
      </c>
      <c r="BN180" s="1439">
        <f ca="1">IF(B180&gt;=$J$5,0,CONTADORES!BM182-CONTADORES!BM181)/1000</f>
        <v>0</v>
      </c>
      <c r="BO180" s="1439">
        <f ca="1">IF(B180&gt;=$J$5,0,CONTADORES!BN182-CONTADORES!BN181)</f>
        <v>24</v>
      </c>
      <c r="BP180" s="1439">
        <f ca="1">IF(B180&gt;=$J$5,0,CONTADORES!BO182-CONTADORES!BO181)/1000</f>
        <v>5.2190000000000003</v>
      </c>
      <c r="BQ180" s="1439">
        <f ca="1">IF(B180&gt;=$J$5,0,CONTADORES!BP182-CONTADORES!BP181)/1000</f>
        <v>0.57899999999999996</v>
      </c>
      <c r="BR180" s="1439">
        <f ca="1">IF(B180&gt;=$J$5,0,CONTADORES!BQ182-CONTADORES!BQ181)</f>
        <v>24</v>
      </c>
      <c r="BS180" s="1439">
        <f ca="1">IF(B180&gt;=$J$5,0,(CONTADORES!BT182-CONTADORES!BT181)+(CONTADORES!BV182-CONTADORES!BV181))/1000</f>
        <v>1.399</v>
      </c>
      <c r="BT180" s="1439">
        <f ca="1">IF(B180&gt;=$J$5,0,(CONTADORES!BU182-CONTADORES!BU181)+(CONTADORES!BW182-CONTADORES!BW181))/1000</f>
        <v>0.78400000000000003</v>
      </c>
      <c r="BU180" s="1439">
        <f ca="1">IF(B180&gt;=$J$5,0,CONTADORES!BR182-CONTADORES!BR181)</f>
        <v>6.2999999999992724</v>
      </c>
      <c r="BV180" s="1439">
        <f ca="1">IF(B180&gt;=$J$5,0,CONTADORES!BS182-CONTADORES!BS181)</f>
        <v>4.4000000000005457</v>
      </c>
      <c r="BW180" s="1439">
        <f t="shared" ca="1" si="77"/>
        <v>10.799500000000135</v>
      </c>
      <c r="BX180" s="1439">
        <f t="shared" ca="1" si="78"/>
        <v>8.7500000000004547</v>
      </c>
      <c r="BY180" s="1439">
        <f t="shared" ca="1" si="79"/>
        <v>4.4995000000008627</v>
      </c>
      <c r="BZ180" s="1439">
        <f t="shared" ca="1" si="80"/>
        <v>1.240400000000182</v>
      </c>
      <c r="CA180" s="1439">
        <f t="shared" ca="1" si="81"/>
        <v>4.4995000000008627</v>
      </c>
      <c r="CB180" s="1439">
        <f t="shared" ca="1" si="82"/>
        <v>1.8606000000002727</v>
      </c>
      <c r="CC180" s="1439">
        <f t="shared" ca="1" si="83"/>
        <v>2.6394000000001823</v>
      </c>
      <c r="CD180" s="1439">
        <f t="shared" ca="1" si="84"/>
        <v>4.3499999999999091</v>
      </c>
      <c r="CE180" s="1439">
        <f ca="1">IF(B180&gt;=$J$5,0,CONTADORES!BS182-CONTADORES!BS181)</f>
        <v>4.4000000000005457</v>
      </c>
      <c r="CF180" s="1439">
        <f t="shared" ca="1" si="85"/>
        <v>4.3499999999999091</v>
      </c>
      <c r="CG180" s="1439">
        <f t="shared" ca="1" si="86"/>
        <v>1</v>
      </c>
      <c r="CH180" s="1439">
        <f t="shared" ca="1" si="87"/>
        <v>1</v>
      </c>
      <c r="CI180" s="1439">
        <f t="shared" ca="1" si="88"/>
        <v>1.784</v>
      </c>
      <c r="CJ180" s="1488">
        <f ca="1">IF($B180&gt;=$J$5,0,CONTADORES!$BG182)</f>
        <v>8579.4260254216515</v>
      </c>
      <c r="CK180" s="1406">
        <f>CONTADORES!E182</f>
        <v>0</v>
      </c>
      <c r="CL180" s="1406">
        <f>CONTADORES!BX182</f>
        <v>0</v>
      </c>
    </row>
    <row r="181" spans="2:90">
      <c r="B181" s="410">
        <v>45097</v>
      </c>
      <c r="C181" s="204">
        <f t="shared" ca="1" si="64"/>
        <v>188</v>
      </c>
      <c r="D181" s="202">
        <f ca="1">'CALCULO DE GAS'!D193</f>
        <v>4.0946538452909831</v>
      </c>
      <c r="E181" s="202">
        <f ca="1">IF(B181&gt;=$J$5,0,(CONTADORES!$AB183-CONTADORES!$AB182)-$H181)</f>
        <v>24</v>
      </c>
      <c r="F181" s="204">
        <f t="shared" ca="1" si="90"/>
        <v>0</v>
      </c>
      <c r="G181" s="202">
        <f ca="1">IF(B181&gt;=$J$5,0,CONTADORES!$AD183-CONTADORES!$AD182)</f>
        <v>0</v>
      </c>
      <c r="H181" s="202">
        <f ca="1">IF(G181&gt;0,CONTADORES!$AC183-CONTADORES!$AC182,0)</f>
        <v>0</v>
      </c>
      <c r="I181" s="205">
        <f ca="1">IF(B181&gt;=$J$5,0,CONTADORES!$Z183-CONTADORES!$Z182)</f>
        <v>188</v>
      </c>
      <c r="J181" s="204">
        <f t="shared" ca="1" si="65"/>
        <v>255.40000000000146</v>
      </c>
      <c r="K181" s="202">
        <f ca="1">'CALCULO DE GAS'!E193</f>
        <v>4.8089137519991274</v>
      </c>
      <c r="L181" s="1437">
        <f ca="1">IF(B181&gt;=$J$5,0,(CONTADORES!$W183-CONTADORES!$W182)-$O181)</f>
        <v>24</v>
      </c>
      <c r="M181" s="1437">
        <f t="shared" ca="1" si="92"/>
        <v>0</v>
      </c>
      <c r="N181" s="1437">
        <f ca="1">IF(B181&gt;=$J$5,0,CONTADORES!$Y183-CONTADORES!$Y182)</f>
        <v>0</v>
      </c>
      <c r="O181" s="1437">
        <f ca="1">IF(N181&gt;0,CONTADORES!$X183-CONTADORES!$X182,0)</f>
        <v>0</v>
      </c>
      <c r="P181" s="208">
        <f ca="1">IF(B181&gt;=$J$5,0,CONTADORES!$U183-CONTADORES!$U182)</f>
        <v>255.40000000000146</v>
      </c>
      <c r="Q181" s="208">
        <f ca="1">IF(B181&gt;=$J$5,0,CONTADORES!$B183-CONTADORES!$B182)</f>
        <v>0</v>
      </c>
      <c r="R181" s="202">
        <f t="shared" ca="1" si="66"/>
        <v>0</v>
      </c>
      <c r="S181" s="11">
        <f ca="1">IF(B181&gt;=$J$5,0,CONTADORES!$D183-CONTADORES!$D182)</f>
        <v>0</v>
      </c>
      <c r="T181" s="204">
        <f ca="1">IF(B181&gt;=$J$5,0,CONTADORES!$AZ183-CONTADORES!$AZ182)</f>
        <v>0.34199999999998454</v>
      </c>
      <c r="U181" s="202">
        <f t="shared" ca="1" si="91"/>
        <v>41.039999999998145</v>
      </c>
      <c r="V181" s="205">
        <f ca="1">IF(B181&gt;=$J$5,0,CONTADORES!$BB183-CONTADORES!$BB182)</f>
        <v>0.50999999999999091</v>
      </c>
      <c r="W181" s="1438">
        <f t="shared" ca="1" si="67"/>
        <v>443.40000000000146</v>
      </c>
      <c r="X181" s="1438">
        <f t="shared" ca="1" si="68"/>
        <v>0.34199999999998454</v>
      </c>
      <c r="Y181" s="1439">
        <f t="shared" ca="1" si="69"/>
        <v>443.74200000000144</v>
      </c>
      <c r="Z181" s="1439">
        <f t="shared" ca="1" si="70"/>
        <v>8.9035675972901096</v>
      </c>
      <c r="AA181" s="1439">
        <f t="shared" ca="1" si="71"/>
        <v>41.039999999998145</v>
      </c>
      <c r="AB181" s="1439">
        <f t="shared" ca="1" si="72"/>
        <v>48</v>
      </c>
      <c r="AC181" s="1438">
        <f t="shared" ca="1" si="73"/>
        <v>0.50999999999999091</v>
      </c>
      <c r="AD181" s="1438">
        <f ca="1">IF(B181&gt;=$J$5,0,CONTADORES!H183-CONTADORES!H182)</f>
        <v>161.32400000000052</v>
      </c>
      <c r="AE181" s="1438">
        <f ca="1">IF(B181&gt;=$J$5,0,CONTADORES!J183-CONTADORES!J182)</f>
        <v>24</v>
      </c>
      <c r="AF181" s="1438">
        <f ca="1">IF(B181&gt;=$J$5,0,CONTADORES!AS183-CONTADORES!AS182)</f>
        <v>153</v>
      </c>
      <c r="AG181" s="1438">
        <f ca="1">IF(B181&gt;=$J$5,0,CONTADORES!AU183-CONTADORES!AU182)</f>
        <v>24</v>
      </c>
      <c r="AH181" s="1439">
        <f ca="1">IF(B181&gt;=$J$5,0,(CONTADORES!AK183-CONTADORES!AK182)+(CONTADORES!K183-CONTADORES!K182))</f>
        <v>9.9000000000014552</v>
      </c>
      <c r="AI181" s="1438">
        <f ca="1">IF(B181&gt;=$J$5,0,(CONTADORES!AI183-CONTADORES!AI182)+(CONTADORES!M183-CONTADORES!M182))</f>
        <v>36</v>
      </c>
      <c r="AJ181" s="1438">
        <f ca="1">IF(B181&gt;=$J$5,0,(CONTADORES!AG183-CONTADORES!AG182))</f>
        <v>7.6999999999970896</v>
      </c>
      <c r="AK181" s="1438">
        <f ca="1">IF(B181&gt;=$J$5,0,(CONTADORES!O183-CONTADORES!O182))</f>
        <v>12</v>
      </c>
      <c r="AL181" s="1450">
        <f t="shared" ca="1" si="74"/>
        <v>34.218000000003769</v>
      </c>
      <c r="AM181" s="1438">
        <f ca="1">IF(B181&gt;=$J$5,0,(((CONTADORES!F183-CONTADORES!F182)+(CONTADORES!AO183-CONTADORES!AO182))))-BJ181-AF181-AN181-BM181-BP181-BU181-BS181</f>
        <v>10.423999999999365</v>
      </c>
      <c r="AN181" s="1438">
        <f ca="1">IF(B181&gt;=$J$5,0,(CONTADORES!AV183-CONTADORES!AV182)+(CONTADORES!AX183-CONTADORES!AX182)+(CONTADORES!BC183-CONTADORES!BC182))-BS181</f>
        <v>3.4339999999991813</v>
      </c>
      <c r="AO181" s="1440">
        <f ca="1">IF(B181&gt;=$J$5,0,(CONTADORES!AA183-CONTADORES!AA182))</f>
        <v>94</v>
      </c>
      <c r="AP181" s="1450">
        <f ca="1">IF(B181&gt;=$J$5,0,(CONTADORES!V183-CONTADORES!V182))</f>
        <v>131.09999999999854</v>
      </c>
      <c r="AQ181" s="1450">
        <f ca="1">IF(B181&gt;=$J$5,0,(CONTADORES!C183-CONTADORES!C182))</f>
        <v>0</v>
      </c>
      <c r="AR181" s="1450">
        <f ca="1">IF(B181&gt;=$J$5,0,(CONTADORES!BA183-CONTADORES!BA182))</f>
        <v>0.12999999999999545</v>
      </c>
      <c r="AS181" s="1450">
        <f ca="1">IF(B181&gt;=$J$5,0,CONTADORES!Q183-CONTADORES!Q182)</f>
        <v>15</v>
      </c>
      <c r="AT181" s="1450">
        <f ca="1">IF(B181&gt;=$J$5,0,(CONTADORES!S183-CONTADORES!S182)+(CONTADORES!AE183-CONTADORES!AE182))</f>
        <v>3.3399999999999963</v>
      </c>
      <c r="AU181" s="1450">
        <f ca="1">IF(B181&gt;=$J$5,0,(CONTADORES!I183-CONTADORES!I182))</f>
        <v>82.265000000000327</v>
      </c>
      <c r="AV181" s="1450">
        <f ca="1">IF(B181&gt;=$J$5,0,(CONTADORES!AT183-CONTADORES!AT182))</f>
        <v>66</v>
      </c>
      <c r="AW181" s="1450">
        <f ca="1">IF(B181&gt;=$J$5,0,(CONTADORES!L183-CONTADORES!L182)+(CONTADORES!AL183-CONTADORES!AL182))</f>
        <v>3.8999999999978172</v>
      </c>
      <c r="AX181" s="1450">
        <f ca="1">IF(B181&gt;=$J$5,0,(CONTADORES!N183-CONTADORES!N182)+(CONTADORES!AJ183-CONTADORES!AJ182))</f>
        <v>31.200000000004366</v>
      </c>
      <c r="AY181" s="1450">
        <f ca="1">IF(B181&gt;=$J$5,0,(CONTADORES!AH183-CONTADORES!AH182))</f>
        <v>5.9000000000014552</v>
      </c>
      <c r="AZ181" s="1450">
        <f ca="1">IF(B181&gt;=$J$5,0,(CONTADORES!P183-CONTADORES!P182))</f>
        <v>9.3999999999941792</v>
      </c>
      <c r="BA181" s="1439">
        <f t="shared" ca="1" si="75"/>
        <v>7.8370000000002165</v>
      </c>
      <c r="BB181" s="1450">
        <f ca="1">IF(B181&gt;=$J$5,0,(((CONTADORES!G183-CONTADORES!G182)+(CONTADORES!AP183-CONTADORES!AP182)+AR181)-(AV181+BC181)))</f>
        <v>10.63000000000045</v>
      </c>
      <c r="BC181" s="1438">
        <f ca="1">IF(B181&gt;=$J$5,0,(CONTADORES!AW183-CONTADORES!AW182)+(CONTADORES!AY183-CONTADORES!AY182)+(CONTADORES!BD183-CONTADORES!BD182))</f>
        <v>2.2999999999997272</v>
      </c>
      <c r="BD181" s="1438">
        <f t="shared" ca="1" si="76"/>
        <v>225.22999999999854</v>
      </c>
      <c r="BE181" s="1439">
        <f ca="1">IF($B181&gt;=$J$5,0,CONTADORES!$BE183)</f>
        <v>5787.58</v>
      </c>
      <c r="BF181" s="1438">
        <f ca="1">IF($B181&gt;=$J$5,0,CONTADORES!$BF183)</f>
        <v>28985.466666666667</v>
      </c>
      <c r="BG181" s="1438">
        <f ca="1">IF($B181&gt;=$J$5,0,CONTADORES!$BH183)</f>
        <v>5681.43</v>
      </c>
      <c r="BH181" s="1438">
        <f ca="1">IF(B181&gt;=$J$5,0,(CONTADORES!AQ183-CONTADORES!AQ182))</f>
        <v>4.6999999999970896</v>
      </c>
      <c r="BI181" s="1438">
        <f ca="1">IF(C181&gt;=$J$5,0,(CONTADORES!AR183-CONTADORES!AR182))</f>
        <v>0</v>
      </c>
      <c r="BJ181" s="1439">
        <f ca="1">IF(B181&gt;=$J$5,0,CONTADORES!BI183-CONTADORES!BI182)/1000</f>
        <v>0</v>
      </c>
      <c r="BK181" s="1439">
        <f ca="1">IF(B181&gt;=$J$5,0,CONTADORES!BJ183-CONTADORES!BJ182)</f>
        <v>0</v>
      </c>
      <c r="BL181" s="1439">
        <f ca="1">IF(B181&gt;=$J$5,0,CONTADORES!BK183-CONTADORES!BK182)</f>
        <v>0</v>
      </c>
      <c r="BM181" s="1439">
        <f ca="1">IF(B181&gt;=$J$5,0,CONTADORES!BL183-CONTADORES!BL182)/1000</f>
        <v>2.4020000000000001</v>
      </c>
      <c r="BN181" s="1439">
        <f ca="1">IF(B181&gt;=$J$5,0,CONTADORES!BM183-CONTADORES!BM182)/1000</f>
        <v>0</v>
      </c>
      <c r="BO181" s="1439">
        <f ca="1">IF(B181&gt;=$J$5,0,CONTADORES!BN183-CONTADORES!BN182)</f>
        <v>23.799999999999272</v>
      </c>
      <c r="BP181" s="1439">
        <f ca="1">IF(B181&gt;=$J$5,0,CONTADORES!BO183-CONTADORES!BO182)/1000</f>
        <v>5.3739999999999997</v>
      </c>
      <c r="BQ181" s="1439">
        <f ca="1">IF(B181&gt;=$J$5,0,CONTADORES!BP183-CONTADORES!BP182)/1000</f>
        <v>0.47</v>
      </c>
      <c r="BR181" s="1439">
        <f ca="1">IF(B181&gt;=$J$5,0,CONTADORES!BQ183-CONTADORES!BQ182)</f>
        <v>24.200000000000728</v>
      </c>
      <c r="BS181" s="1439">
        <f ca="1">IF(B181&gt;=$J$5,0,(CONTADORES!BT183-CONTADORES!BT182)+(CONTADORES!BV183-CONTADORES!BV182))/1000</f>
        <v>1.466</v>
      </c>
      <c r="BT181" s="1439">
        <f ca="1">IF(B181&gt;=$J$5,0,(CONTADORES!BU183-CONTADORES!BU182)+(CONTADORES!BW183-CONTADORES!BW182))/1000</f>
        <v>0.82799999999999996</v>
      </c>
      <c r="BU181" s="1439">
        <f ca="1">IF(B181&gt;=$J$5,0,CONTADORES!BR183-CONTADORES!BR182)</f>
        <v>6.5</v>
      </c>
      <c r="BV181" s="1439">
        <f ca="1">IF(B181&gt;=$J$5,0,CONTADORES!BS183-CONTADORES!BS182)</f>
        <v>4.5</v>
      </c>
      <c r="BW181" s="1439">
        <f t="shared" ca="1" si="77"/>
        <v>11.711999999999684</v>
      </c>
      <c r="BX181" s="1439">
        <f t="shared" ca="1" si="78"/>
        <v>9.8150000000002251</v>
      </c>
      <c r="BY181" s="1439">
        <f t="shared" ca="1" si="79"/>
        <v>5.2119999999996827</v>
      </c>
      <c r="BZ181" s="1439">
        <f t="shared" ca="1" si="80"/>
        <v>1.3735999999996726</v>
      </c>
      <c r="CA181" s="1439">
        <f t="shared" ca="1" si="81"/>
        <v>5.2119999999996827</v>
      </c>
      <c r="CB181" s="1439">
        <f t="shared" ca="1" si="82"/>
        <v>2.0603999999995084</v>
      </c>
      <c r="CC181" s="1439">
        <f t="shared" ca="1" si="83"/>
        <v>2.8395999999996726</v>
      </c>
      <c r="CD181" s="1439">
        <f t="shared" ca="1" si="84"/>
        <v>5.3150000000002251</v>
      </c>
      <c r="CE181" s="1439">
        <f ca="1">IF(B181&gt;=$J$5,0,CONTADORES!BS183-CONTADORES!BS182)</f>
        <v>4.5</v>
      </c>
      <c r="CF181" s="1439">
        <f t="shared" ca="1" si="85"/>
        <v>5.3150000000002251</v>
      </c>
      <c r="CG181" s="1439">
        <f t="shared" ca="1" si="86"/>
        <v>1.1499999999998636</v>
      </c>
      <c r="CH181" s="1439">
        <f t="shared" ca="1" si="87"/>
        <v>1.1499999999998636</v>
      </c>
      <c r="CI181" s="1439">
        <f t="shared" ca="1" si="88"/>
        <v>1.9779999999998634</v>
      </c>
      <c r="CJ181" s="1488">
        <f ca="1">IF($B181&gt;=$J$5,0,CONTADORES!$BG183)</f>
        <v>9102.3377783598589</v>
      </c>
      <c r="CK181" s="1406">
        <f>CONTADORES!E183</f>
        <v>0</v>
      </c>
      <c r="CL181" s="1406">
        <f>CONTADORES!BX183</f>
        <v>0</v>
      </c>
    </row>
    <row r="182" spans="2:90">
      <c r="B182" s="410">
        <v>45098</v>
      </c>
      <c r="C182" s="204">
        <f t="shared" ca="1" si="64"/>
        <v>289</v>
      </c>
      <c r="D182" s="202">
        <f ca="1">'CALCULO DE GAS'!D194</f>
        <v>5.0361165285428688</v>
      </c>
      <c r="E182" s="202">
        <f ca="1">IF(B182&gt;=$J$5,0,(CONTADORES!$AB184-CONTADORES!$AB183)-$H182)</f>
        <v>24</v>
      </c>
      <c r="F182" s="204">
        <f t="shared" ca="1" si="90"/>
        <v>0</v>
      </c>
      <c r="G182" s="202">
        <f ca="1">IF(B182&gt;=$J$5,0,CONTADORES!$AD184-CONTADORES!$AD183)</f>
        <v>0</v>
      </c>
      <c r="H182" s="202">
        <f ca="1">IF(G182&gt;0,CONTADORES!$AC184-CONTADORES!$AC183,0)</f>
        <v>0</v>
      </c>
      <c r="I182" s="205">
        <f ca="1">IF(B182&gt;=$J$5,0,CONTADORES!$Z184-CONTADORES!$Z183)</f>
        <v>289</v>
      </c>
      <c r="J182" s="204">
        <f t="shared" ca="1" si="65"/>
        <v>150</v>
      </c>
      <c r="K182" s="202">
        <f ca="1">'CALCULO DE GAS'!E194</f>
        <v>3.7562599314748999</v>
      </c>
      <c r="L182" s="1437">
        <f ca="1">IF(B182&gt;=$J$5,0,(CONTADORES!$W184-CONTADORES!$W183)-$O182)</f>
        <v>24</v>
      </c>
      <c r="M182" s="1437">
        <f t="shared" ca="1" si="92"/>
        <v>0</v>
      </c>
      <c r="N182" s="1437">
        <f ca="1">IF(B182&gt;=$J$5,0,CONTADORES!$Y184-CONTADORES!$Y183)</f>
        <v>0</v>
      </c>
      <c r="O182" s="1437">
        <f ca="1">IF(N182&gt;0,CONTADORES!$X184-CONTADORES!$X183,0)</f>
        <v>0</v>
      </c>
      <c r="P182" s="208">
        <f ca="1">IF(B182&gt;=$J$5,0,CONTADORES!$U184-CONTADORES!$U183)</f>
        <v>150</v>
      </c>
      <c r="Q182" s="208">
        <f ca="1">IF(B182&gt;=$J$5,0,CONTADORES!$B184-CONTADORES!$B183)</f>
        <v>0</v>
      </c>
      <c r="R182" s="202">
        <f t="shared" ca="1" si="66"/>
        <v>0</v>
      </c>
      <c r="S182" s="11">
        <f ca="1">IF(B182&gt;=$J$5,0,CONTADORES!$D184-CONTADORES!$D183)</f>
        <v>0</v>
      </c>
      <c r="T182" s="204">
        <f ca="1">IF(B182&gt;=$J$5,0,CONTADORES!$AZ184-CONTADORES!$AZ183)</f>
        <v>0</v>
      </c>
      <c r="U182" s="202">
        <f t="shared" ca="1" si="91"/>
        <v>0</v>
      </c>
      <c r="V182" s="205">
        <f ca="1">IF(B182&gt;=$J$5,0,CONTADORES!$BB184-CONTADORES!$BB183)</f>
        <v>0</v>
      </c>
      <c r="W182" s="1438">
        <f t="shared" ca="1" si="67"/>
        <v>439</v>
      </c>
      <c r="X182" s="1438">
        <f t="shared" ca="1" si="68"/>
        <v>0</v>
      </c>
      <c r="Y182" s="1439">
        <f t="shared" ca="1" si="69"/>
        <v>439</v>
      </c>
      <c r="Z182" s="1439">
        <f t="shared" ca="1" si="70"/>
        <v>8.7923764600177687</v>
      </c>
      <c r="AA182" s="1439">
        <f t="shared" ca="1" si="71"/>
        <v>0</v>
      </c>
      <c r="AB182" s="1439">
        <f t="shared" ca="1" si="72"/>
        <v>48</v>
      </c>
      <c r="AC182" s="1438">
        <f t="shared" ca="1" si="73"/>
        <v>0</v>
      </c>
      <c r="AD182" s="1438">
        <f ca="1">IF(B182&gt;=$J$5,0,CONTADORES!H184-CONTADORES!H183)</f>
        <v>162</v>
      </c>
      <c r="AE182" s="1438">
        <f ca="1">IF(B182&gt;=$J$5,0,CONTADORES!J184-CONTADORES!J183)</f>
        <v>24</v>
      </c>
      <c r="AF182" s="1438">
        <f ca="1">IF(B182&gt;=$J$5,0,CONTADORES!AS184-CONTADORES!AS183)</f>
        <v>152</v>
      </c>
      <c r="AG182" s="1438">
        <f ca="1">IF(B182&gt;=$J$5,0,CONTADORES!AU184-CONTADORES!AU183)</f>
        <v>24</v>
      </c>
      <c r="AH182" s="1439">
        <f ca="1">IF(B182&gt;=$J$5,0,(CONTADORES!AK184-CONTADORES!AK183)+(CONTADORES!K184-CONTADORES!K183))</f>
        <v>9.5999999999985448</v>
      </c>
      <c r="AI182" s="1438">
        <f ca="1">IF(B182&gt;=$J$5,0,(CONTADORES!AI184-CONTADORES!AI183)+(CONTADORES!M184-CONTADORES!M183))</f>
        <v>35.30000000000291</v>
      </c>
      <c r="AJ182" s="1438">
        <f ca="1">IF(B182&gt;=$J$5,0,(CONTADORES!AG184-CONTADORES!AG183))</f>
        <v>6.8000000000029104</v>
      </c>
      <c r="AK182" s="1438">
        <f ca="1">IF(B182&gt;=$J$5,0,(CONTADORES!O184-CONTADORES!O183))</f>
        <v>11</v>
      </c>
      <c r="AL182" s="1450">
        <f t="shared" ca="1" si="74"/>
        <v>33.299999999995634</v>
      </c>
      <c r="AM182" s="1438">
        <f ca="1">IF(B182&gt;=$J$5,0,(((CONTADORES!F184-CONTADORES!F183)+(CONTADORES!AO184-CONTADORES!AO183))))-BJ182-AF182-AN182-BM182-BP182-BU182-BS182</f>
        <v>9.5543999999992817</v>
      </c>
      <c r="AN182" s="1438">
        <f ca="1">IF(B182&gt;=$J$5,0,(CONTADORES!AV184-CONTADORES!AV183)+(CONTADORES!AX184-CONTADORES!AX183)+(CONTADORES!BC184-CONTADORES!BC183))-BS182</f>
        <v>4.1379999999999999</v>
      </c>
      <c r="AO182" s="1440">
        <f ca="1">IF(B182&gt;=$J$5,0,(CONTADORES!AA184-CONTADORES!AA183))</f>
        <v>146</v>
      </c>
      <c r="AP182" s="1450">
        <f ca="1">IF(B182&gt;=$J$5,0,(CONTADORES!V184-CONTADORES!V183))</f>
        <v>74</v>
      </c>
      <c r="AQ182" s="1450">
        <f ca="1">IF(B182&gt;=$J$5,0,(CONTADORES!C184-CONTADORES!C183))</f>
        <v>0</v>
      </c>
      <c r="AR182" s="1450">
        <f ca="1">IF(B182&gt;=$J$5,0,(CONTADORES!BA184-CONTADORES!BA183))</f>
        <v>0</v>
      </c>
      <c r="AS182" s="1450">
        <f ca="1">IF(B182&gt;=$J$5,0,CONTADORES!Q184-CONTADORES!Q183)</f>
        <v>15</v>
      </c>
      <c r="AT182" s="1450">
        <f ca="1">IF(B182&gt;=$J$5,0,(CONTADORES!S184-CONTADORES!S183)+(CONTADORES!AE184-CONTADORES!AE183))</f>
        <v>3.3000000000000043</v>
      </c>
      <c r="AU182" s="1450">
        <f ca="1">IF(B182&gt;=$J$5,0,(CONTADORES!I184-CONTADORES!I183))</f>
        <v>81</v>
      </c>
      <c r="AV182" s="1450">
        <f ca="1">IF(B182&gt;=$J$5,0,(CONTADORES!AT184-CONTADORES!AT183))</f>
        <v>66</v>
      </c>
      <c r="AW182" s="1450">
        <f ca="1">IF(B182&gt;=$J$5,0,(CONTADORES!L184-CONTADORES!L183)+(CONTADORES!AL184-CONTADORES!AL183))</f>
        <v>3.7999999999992724</v>
      </c>
      <c r="AX182" s="1450">
        <f ca="1">IF(B182&gt;=$J$5,0,(CONTADORES!N184-CONTADORES!N183)+(CONTADORES!AJ184-CONTADORES!AJ183))</f>
        <v>30.599999999998545</v>
      </c>
      <c r="AY182" s="1450">
        <f ca="1">IF(B182&gt;=$J$5,0,(CONTADORES!AH184-CONTADORES!AH183))</f>
        <v>5</v>
      </c>
      <c r="AZ182" s="1450">
        <f ca="1">IF(B182&gt;=$J$5,0,(CONTADORES!P184-CONTADORES!P183))</f>
        <v>8.8000000000029104</v>
      </c>
      <c r="BA182" s="1439">
        <f t="shared" ca="1" si="75"/>
        <v>5.882000000000005</v>
      </c>
      <c r="BB182" s="1450">
        <f ca="1">IF(B182&gt;=$J$5,0,(((CONTADORES!G184-CONTADORES!G183)+(CONTADORES!AP184-CONTADORES!AP183)+AR182)-(AV182+BC182)))</f>
        <v>10.399999999999636</v>
      </c>
      <c r="BC182" s="1438">
        <f ca="1">IF(B182&gt;=$J$5,0,(CONTADORES!AW184-CONTADORES!AW183)+(CONTADORES!AY184-CONTADORES!AY183)+(CONTADORES!BD184-CONTADORES!BD183))</f>
        <v>2</v>
      </c>
      <c r="BD182" s="1438">
        <f t="shared" ca="1" si="76"/>
        <v>220</v>
      </c>
      <c r="BE182" s="1439">
        <f ca="1">IF($B182&gt;=$J$5,0,CONTADORES!$BE184)</f>
        <v>6159.74</v>
      </c>
      <c r="BF182" s="1438">
        <f ca="1">IF($B182&gt;=$J$5,0,CONTADORES!$BF184)</f>
        <v>30176.491228070176</v>
      </c>
      <c r="BG182" s="1438">
        <f ca="1">IF($B182&gt;=$J$5,0,CONTADORES!$BH184)</f>
        <v>5943.43</v>
      </c>
      <c r="BH182" s="1438">
        <f ca="1">IF(B182&gt;=$J$5,0,(CONTADORES!AQ184-CONTADORES!AQ183))</f>
        <v>5</v>
      </c>
      <c r="BI182" s="1438">
        <f ca="1">IF(C182&gt;=$J$5,0,(CONTADORES!AR184-CONTADORES!AR183))</f>
        <v>0</v>
      </c>
      <c r="BJ182" s="1439">
        <f ca="1">IF(B182&gt;=$J$5,0,CONTADORES!BI184-CONTADORES!BI183)/1000</f>
        <v>0.28159999999962748</v>
      </c>
      <c r="BK182" s="1439">
        <f ca="1">IF(B182&gt;=$J$5,0,CONTADORES!BJ184-CONTADORES!BJ183)</f>
        <v>1</v>
      </c>
      <c r="BL182" s="1439">
        <f ca="1">IF(B182&gt;=$J$5,0,CONTADORES!BK184-CONTADORES!BK183)</f>
        <v>1.7599999999983993</v>
      </c>
      <c r="BM182" s="1439">
        <f ca="1">IF(B182&gt;=$J$5,0,CONTADORES!BL184-CONTADORES!BL183)/1000</f>
        <v>2.1859999999999999</v>
      </c>
      <c r="BN182" s="1439">
        <f ca="1">IF(B182&gt;=$J$5,0,CONTADORES!BM184-CONTADORES!BM183)/1000</f>
        <v>0</v>
      </c>
      <c r="BO182" s="1439">
        <f ca="1">IF(B182&gt;=$J$5,0,CONTADORES!BN184-CONTADORES!BN183)</f>
        <v>22.200000000000728</v>
      </c>
      <c r="BP182" s="1439">
        <f ca="1">IF(B182&gt;=$J$5,0,CONTADORES!BO184-CONTADORES!BO183)/1000</f>
        <v>5.1779999999999999</v>
      </c>
      <c r="BQ182" s="1439">
        <f ca="1">IF(B182&gt;=$J$5,0,CONTADORES!BP184-CONTADORES!BP183)/1000</f>
        <v>0.35499999999999998</v>
      </c>
      <c r="BR182" s="1439">
        <f ca="1">IF(B182&gt;=$J$5,0,CONTADORES!BQ184-CONTADORES!BQ183)</f>
        <v>24</v>
      </c>
      <c r="BS182" s="1439">
        <f ca="1">IF(B182&gt;=$J$5,0,(CONTADORES!BT184-CONTADORES!BT183)+(CONTADORES!BV184-CONTADORES!BV183))/1000</f>
        <v>1.3620000000000001</v>
      </c>
      <c r="BT182" s="1439">
        <f ca="1">IF(B182&gt;=$J$5,0,(CONTADORES!BU184-CONTADORES!BU183)+(CONTADORES!BW184-CONTADORES!BW183))/1000</f>
        <v>0.76300000000000001</v>
      </c>
      <c r="BU182" s="1439">
        <f ca="1">IF(B182&gt;=$J$5,0,CONTADORES!BR184-CONTADORES!BR183)</f>
        <v>6.3000000000010914</v>
      </c>
      <c r="BV182" s="1439">
        <f ca="1">IF(B182&gt;=$J$5,0,CONTADORES!BS184-CONTADORES!BS183)</f>
        <v>4.3999999999996362</v>
      </c>
      <c r="BW182" s="1439">
        <f t="shared" ca="1" si="77"/>
        <v>11.077200000000733</v>
      </c>
      <c r="BX182" s="1439">
        <f t="shared" ca="1" si="78"/>
        <v>9.5999999999994543</v>
      </c>
      <c r="BY182" s="1439">
        <f t="shared" ca="1" si="79"/>
        <v>4.7771999999996408</v>
      </c>
      <c r="BZ182" s="1439">
        <f t="shared" ca="1" si="80"/>
        <v>1.6552</v>
      </c>
      <c r="CA182" s="1439">
        <f t="shared" ca="1" si="81"/>
        <v>4.7771999999996408</v>
      </c>
      <c r="CB182" s="1439">
        <f t="shared" ca="1" si="82"/>
        <v>2.4828000000000001</v>
      </c>
      <c r="CC182" s="1439">
        <f t="shared" ca="1" si="83"/>
        <v>3.0171999999999999</v>
      </c>
      <c r="CD182" s="1439">
        <f t="shared" ca="1" si="84"/>
        <v>5.1999999999998181</v>
      </c>
      <c r="CE182" s="1439">
        <f ca="1">IF(B182&gt;=$J$5,0,CONTADORES!BS184-CONTADORES!BS183)</f>
        <v>4.3999999999996362</v>
      </c>
      <c r="CF182" s="1439">
        <f t="shared" ca="1" si="85"/>
        <v>5.1999999999998181</v>
      </c>
      <c r="CG182" s="1439">
        <f t="shared" ca="1" si="86"/>
        <v>1</v>
      </c>
      <c r="CH182" s="1439">
        <f t="shared" ca="1" si="87"/>
        <v>1</v>
      </c>
      <c r="CI182" s="1439">
        <f t="shared" ca="1" si="88"/>
        <v>1.7629999999999999</v>
      </c>
      <c r="CJ182" s="1488">
        <f ca="1">IF($B182&gt;=$J$5,0,CONTADORES!$BG184)</f>
        <v>8283.4348337485608</v>
      </c>
      <c r="CK182" s="1406">
        <f>CONTADORES!E184</f>
        <v>0</v>
      </c>
      <c r="CL182" s="1406">
        <f>CONTADORES!BX184</f>
        <v>0</v>
      </c>
    </row>
    <row r="183" spans="2:90">
      <c r="B183" s="410">
        <v>45099</v>
      </c>
      <c r="C183" s="204">
        <f t="shared" ca="1" si="64"/>
        <v>290</v>
      </c>
      <c r="D183" s="202">
        <f ca="1">'CALCULO DE GAS'!D195</f>
        <v>5.0454379412483341</v>
      </c>
      <c r="E183" s="202">
        <f ca="1">IF(B183&gt;=$J$5,0,(CONTADORES!$AB185-CONTADORES!$AB184)-$H183)</f>
        <v>24</v>
      </c>
      <c r="F183" s="204">
        <f t="shared" ref="F183:F196" ca="1" si="93">IF(H183=0,0,"ERROR")</f>
        <v>0</v>
      </c>
      <c r="G183" s="202">
        <f ca="1">IF(B183&gt;=$J$5,0,CONTADORES!$AD185-CONTADORES!$AD184)</f>
        <v>0</v>
      </c>
      <c r="H183" s="202">
        <f ca="1">IF(G183&gt;0,CONTADORES!$AC185-CONTADORES!$AC184,0)</f>
        <v>0</v>
      </c>
      <c r="I183" s="205">
        <f ca="1">IF(B183&gt;=$J$5,0,CONTADORES!$Z185-CONTADORES!$Z184)</f>
        <v>290</v>
      </c>
      <c r="J183" s="204">
        <f t="shared" ca="1" si="65"/>
        <v>154</v>
      </c>
      <c r="K183" s="202">
        <f ca="1">'CALCULO DE GAS'!E195</f>
        <v>3.7962088430697469</v>
      </c>
      <c r="L183" s="1437">
        <f ca="1">IF(B183&gt;=$J$5,0,(CONTADORES!$W185-CONTADORES!$W184)-$O183)</f>
        <v>24</v>
      </c>
      <c r="M183" s="1437">
        <f t="shared" ca="1" si="92"/>
        <v>0</v>
      </c>
      <c r="N183" s="1437">
        <f ca="1">IF(B183&gt;=$J$5,0,CONTADORES!$Y185-CONTADORES!$Y184)</f>
        <v>0</v>
      </c>
      <c r="O183" s="1437">
        <f ca="1">IF(N183&gt;0,CONTADORES!$X185-CONTADORES!$X184,0)</f>
        <v>0</v>
      </c>
      <c r="P183" s="208">
        <f ca="1">IF(B183&gt;=$J$5,0,CONTADORES!$U185-CONTADORES!$U184)</f>
        <v>154</v>
      </c>
      <c r="Q183" s="208">
        <f ca="1">IF(B183&gt;=$J$5,0,CONTADORES!$B185-CONTADORES!$B184)</f>
        <v>8.0000000000381988E-3</v>
      </c>
      <c r="R183" s="202">
        <f t="shared" ca="1" si="66"/>
        <v>0.96000000000458385</v>
      </c>
      <c r="S183" s="11">
        <f ca="1">IF(B183&gt;=$J$5,0,CONTADORES!$D185-CONTADORES!$D184)</f>
        <v>0</v>
      </c>
      <c r="T183" s="204">
        <f ca="1">IF(B183&gt;=$J$5,0,CONTADORES!$AZ185-CONTADORES!$AZ184)</f>
        <v>0</v>
      </c>
      <c r="U183" s="202">
        <f t="shared" ca="1" si="91"/>
        <v>0</v>
      </c>
      <c r="V183" s="205">
        <f ca="1">IF(B183&gt;=$J$5,0,CONTADORES!$BB185-CONTADORES!$BB184)</f>
        <v>0</v>
      </c>
      <c r="W183" s="1438">
        <f t="shared" ca="1" si="67"/>
        <v>444</v>
      </c>
      <c r="X183" s="1438">
        <f t="shared" ca="1" si="68"/>
        <v>8.0000000000381988E-3</v>
      </c>
      <c r="Y183" s="1439">
        <f t="shared" ca="1" si="69"/>
        <v>444.00800000000004</v>
      </c>
      <c r="Z183" s="1439">
        <f t="shared" ca="1" si="70"/>
        <v>8.8416467843180815</v>
      </c>
      <c r="AA183" s="1439">
        <f t="shared" ca="1" si="71"/>
        <v>0.96000000000458385</v>
      </c>
      <c r="AB183" s="1439">
        <f t="shared" ca="1" si="72"/>
        <v>48</v>
      </c>
      <c r="AC183" s="1438">
        <f t="shared" ca="1" si="73"/>
        <v>0</v>
      </c>
      <c r="AD183" s="1438">
        <f ca="1">IF(B183&gt;=$J$5,0,CONTADORES!H185-CONTADORES!H184)</f>
        <v>163</v>
      </c>
      <c r="AE183" s="1438">
        <f ca="1">IF(B183&gt;=$J$5,0,CONTADORES!J185-CONTADORES!J184)</f>
        <v>24</v>
      </c>
      <c r="AF183" s="1438">
        <f ca="1">IF(B183&gt;=$J$5,0,CONTADORES!AS185-CONTADORES!AS184)</f>
        <v>154</v>
      </c>
      <c r="AG183" s="1438">
        <f ca="1">IF(B183&gt;=$J$5,0,CONTADORES!AU185-CONTADORES!AU184)</f>
        <v>24</v>
      </c>
      <c r="AH183" s="1439">
        <f ca="1">IF(B183&gt;=$J$5,0,(CONTADORES!AK185-CONTADORES!AK184)+(CONTADORES!K185-CONTADORES!K184))</f>
        <v>11.200000000004366</v>
      </c>
      <c r="AI183" s="1438">
        <f ca="1">IF(B183&gt;=$J$5,0,(CONTADORES!AI185-CONTADORES!AI184)+(CONTADORES!M185-CONTADORES!M184))</f>
        <v>35.80000000000291</v>
      </c>
      <c r="AJ183" s="1438">
        <f ca="1">IF(B183&gt;=$J$5,0,(CONTADORES!AG185-CONTADORES!AG184))</f>
        <v>6.3000000000029104</v>
      </c>
      <c r="AK183" s="1438">
        <f ca="1">IF(B183&gt;=$J$5,0,(CONTADORES!O185-CONTADORES!O184))</f>
        <v>11</v>
      </c>
      <c r="AL183" s="1450">
        <f t="shared" ca="1" si="74"/>
        <v>34.807999999988454</v>
      </c>
      <c r="AM183" s="1438">
        <f ca="1">IF(B183&gt;=$J$5,0,(((CONTADORES!F185-CONTADORES!F184)+(CONTADORES!AO185-CONTADORES!AO184))))-BJ183-AF183-AN183-BM183-BP183-BU183-BS183</f>
        <v>9.6330000000016192</v>
      </c>
      <c r="AN183" s="1438">
        <f ca="1">IF(B183&gt;=$J$5,0,(CONTADORES!AV185-CONTADORES!AV184)+(CONTADORES!AX185-CONTADORES!AX184)+(CONTADORES!BC185-CONTADORES!BC184))-BS183</f>
        <v>3.9270000000001941</v>
      </c>
      <c r="AO183" s="1440">
        <f ca="1">IF(B183&gt;=$J$5,0,(CONTADORES!AA185-CONTADORES!AA184))</f>
        <v>146</v>
      </c>
      <c r="AP183" s="1450">
        <f ca="1">IF(B183&gt;=$J$5,0,(CONTADORES!V185-CONTADORES!V184))</f>
        <v>76</v>
      </c>
      <c r="AQ183" s="1450">
        <f ca="1">IF(B183&gt;=$J$5,0,(CONTADORES!C185-CONTADORES!C184))</f>
        <v>4.0000000000190994E-3</v>
      </c>
      <c r="AR183" s="1450">
        <f ca="1">IF(B183&gt;=$J$5,0,(CONTADORES!BA185-CONTADORES!BA184))</f>
        <v>0</v>
      </c>
      <c r="AS183" s="1450">
        <f ca="1">IF(B183&gt;=$J$5,0,CONTADORES!Q185-CONTADORES!Q184)</f>
        <v>14.600000000005821</v>
      </c>
      <c r="AT183" s="1450">
        <f ca="1">IF(B183&gt;=$J$5,0,(CONTADORES!S185-CONTADORES!S184)+(CONTADORES!AE185-CONTADORES!AE184))</f>
        <v>3.2000000000000028</v>
      </c>
      <c r="AU183" s="1450">
        <f ca="1">IF(B183&gt;=$J$5,0,(CONTADORES!I185-CONTADORES!I184))</f>
        <v>82</v>
      </c>
      <c r="AV183" s="1450">
        <f ca="1">IF(B183&gt;=$J$5,0,(CONTADORES!AT185-CONTADORES!AT184))</f>
        <v>66</v>
      </c>
      <c r="AW183" s="1450">
        <f ca="1">IF(B183&gt;=$J$5,0,(CONTADORES!L185-CONTADORES!L184)+(CONTADORES!AL185-CONTADORES!AL184))</f>
        <v>4.4000000000014552</v>
      </c>
      <c r="AX183" s="1450">
        <f ca="1">IF(B183&gt;=$J$5,0,(CONTADORES!N185-CONTADORES!N184)+(CONTADORES!AJ185-CONTADORES!AJ184))</f>
        <v>31</v>
      </c>
      <c r="AY183" s="1450">
        <f ca="1">IF(B183&gt;=$J$5,0,(CONTADORES!AH185-CONTADORES!AH184))</f>
        <v>4.8000000000029104</v>
      </c>
      <c r="AZ183" s="1450">
        <f ca="1">IF(B183&gt;=$J$5,0,(CONTADORES!P185-CONTADORES!P184))</f>
        <v>8.8000000000029104</v>
      </c>
      <c r="BA183" s="1439">
        <f t="shared" ca="1" si="75"/>
        <v>3.7679999999921847</v>
      </c>
      <c r="BB183" s="1450">
        <f ca="1">IF(B183&gt;=$J$5,0,(((CONTADORES!G185-CONTADORES!G184)+(CONTADORES!AP185-CONTADORES!AP184)+AR183)-(AV183+BC183)))</f>
        <v>12.750000000000199</v>
      </c>
      <c r="BC183" s="1438">
        <f ca="1">IF(B183&gt;=$J$5,0,(CONTADORES!AW185-CONTADORES!AW184)+(CONTADORES!AY185-CONTADORES!AY184)+(CONTADORES!BD185-CONTADORES!BD184))</f>
        <v>2.1500000000003467</v>
      </c>
      <c r="BD183" s="1438">
        <f t="shared" ca="1" si="76"/>
        <v>222.00400000000002</v>
      </c>
      <c r="BE183" s="1439">
        <f ca="1">IF($B183&gt;=$J$5,0,CONTADORES!$BE185)</f>
        <v>5646.97</v>
      </c>
      <c r="BF183" s="1438">
        <f ca="1">IF($B183&gt;=$J$5,0,CONTADORES!$BF185)</f>
        <v>31200.3947368421</v>
      </c>
      <c r="BG183" s="1438">
        <f ca="1">IF($B183&gt;=$J$5,0,CONTADORES!$BH185)</f>
        <v>5185.29</v>
      </c>
      <c r="BH183" s="1438">
        <f ca="1">IF(B183&gt;=$J$5,0,(CONTADORES!AQ185-CONTADORES!AQ184))</f>
        <v>5</v>
      </c>
      <c r="BI183" s="1438">
        <f ca="1">IF(C183&gt;=$J$5,0,(CONTADORES!AR185-CONTADORES!AR184))</f>
        <v>0</v>
      </c>
      <c r="BJ183" s="1439">
        <f ca="1">IF(B183&gt;=$J$5,0,CONTADORES!BI185-CONTADORES!BI184)/1000</f>
        <v>3.12</v>
      </c>
      <c r="BK183" s="1439">
        <f ca="1">IF(B183&gt;=$J$5,0,CONTADORES!BJ185-CONTADORES!BJ184)</f>
        <v>1</v>
      </c>
      <c r="BL183" s="1439">
        <f ca="1">IF(B183&gt;=$J$5,0,CONTADORES!BK185-CONTADORES!BK184)</f>
        <v>24</v>
      </c>
      <c r="BM183" s="1439">
        <f ca="1">IF(B183&gt;=$J$5,0,CONTADORES!BL185-CONTADORES!BL184)/1000</f>
        <v>0.378</v>
      </c>
      <c r="BN183" s="1439">
        <f ca="1">IF(B183&gt;=$J$5,0,CONTADORES!BM185-CONTADORES!BM184)/1000</f>
        <v>1.7999999999999999E-2</v>
      </c>
      <c r="BO183" s="1439">
        <f ca="1">IF(B183&gt;=$J$5,0,CONTADORES!BN185-CONTADORES!BN184)</f>
        <v>2</v>
      </c>
      <c r="BP183" s="1439">
        <f ca="1">IF(B183&gt;=$J$5,0,CONTADORES!BO185-CONTADORES!BO184)/1000</f>
        <v>2.9889999999999999</v>
      </c>
      <c r="BQ183" s="1439">
        <f ca="1">IF(B183&gt;=$J$5,0,CONTADORES!BP185-CONTADORES!BP184)/1000</f>
        <v>8.0000000000000002E-3</v>
      </c>
      <c r="BR183" s="1439">
        <f ca="1">IF(B183&gt;=$J$5,0,CONTADORES!BQ185-CONTADORES!BQ184)</f>
        <v>22.200000000000728</v>
      </c>
      <c r="BS183" s="1439">
        <f ca="1">IF(B183&gt;=$J$5,0,(CONTADORES!BT185-CONTADORES!BT184)+(CONTADORES!BV185-CONTADORES!BV184))/1000</f>
        <v>1.4530000000000001</v>
      </c>
      <c r="BT183" s="1439">
        <f ca="1">IF(B183&gt;=$J$5,0,(CONTADORES!BU185-CONTADORES!BU184)+(CONTADORES!BW185-CONTADORES!BW184))/1000</f>
        <v>0.81</v>
      </c>
      <c r="BU183" s="1439">
        <f ca="1">IF(B183&gt;=$J$5,0,CONTADORES!BR185-CONTADORES!BR184)</f>
        <v>6.3999999999996362</v>
      </c>
      <c r="BV183" s="1439">
        <f ca="1">IF(B183&gt;=$J$5,0,CONTADORES!BS185-CONTADORES!BS184)</f>
        <v>4.5</v>
      </c>
      <c r="BW183" s="1439">
        <f t="shared" ca="1" si="77"/>
        <v>11.216500000000446</v>
      </c>
      <c r="BX183" s="1439">
        <f t="shared" ca="1" si="78"/>
        <v>10.875000000000099</v>
      </c>
      <c r="BY183" s="1439">
        <f t="shared" ca="1" si="79"/>
        <v>4.8165000000008096</v>
      </c>
      <c r="BZ183" s="1439">
        <f t="shared" ca="1" si="80"/>
        <v>1.5708000000000777</v>
      </c>
      <c r="CA183" s="1439">
        <f t="shared" ca="1" si="81"/>
        <v>4.8165000000008096</v>
      </c>
      <c r="CB183" s="1439">
        <f t="shared" ca="1" si="82"/>
        <v>2.3562000000001166</v>
      </c>
      <c r="CC183" s="1439">
        <f t="shared" ca="1" si="83"/>
        <v>3.0238000000000778</v>
      </c>
      <c r="CD183" s="1439">
        <f t="shared" ca="1" si="84"/>
        <v>6.3750000000000995</v>
      </c>
      <c r="CE183" s="1439">
        <f ca="1">IF(B183&gt;=$J$5,0,CONTADORES!BS185-CONTADORES!BS184)</f>
        <v>4.5</v>
      </c>
      <c r="CF183" s="1439">
        <f t="shared" ca="1" si="85"/>
        <v>6.3750000000000995</v>
      </c>
      <c r="CG183" s="1439">
        <f t="shared" ca="1" si="86"/>
        <v>1.0750000000001734</v>
      </c>
      <c r="CH183" s="1439">
        <f t="shared" ca="1" si="87"/>
        <v>1.0750000000001734</v>
      </c>
      <c r="CI183" s="1439">
        <f t="shared" ca="1" si="88"/>
        <v>1.8850000000001734</v>
      </c>
      <c r="CJ183" s="1488">
        <f ca="1">IF($B183&gt;=$J$5,0,CONTADORES!$BG185)</f>
        <v>9010.5376535883406</v>
      </c>
      <c r="CK183" s="1406">
        <f>CONTADORES!E185</f>
        <v>0</v>
      </c>
      <c r="CL183" s="1406">
        <f>CONTADORES!BX185</f>
        <v>0</v>
      </c>
    </row>
    <row r="184" spans="2:90">
      <c r="B184" s="410">
        <v>45100</v>
      </c>
      <c r="C184" s="204">
        <f t="shared" ca="1" si="64"/>
        <v>292</v>
      </c>
      <c r="D184" s="202">
        <f ca="1">'CALCULO DE GAS'!D196</f>
        <v>5.064080766659262</v>
      </c>
      <c r="E184" s="202">
        <f ca="1">IF(B184&gt;=$J$5,0,(CONTADORES!$AB186-CONTADORES!$AB185)-$H184)</f>
        <v>24</v>
      </c>
      <c r="F184" s="204">
        <f t="shared" ca="1" si="93"/>
        <v>0</v>
      </c>
      <c r="G184" s="202">
        <f ca="1">IF(B184&gt;=$J$5,0,CONTADORES!$AD186-CONTADORES!$AD185)</f>
        <v>0</v>
      </c>
      <c r="H184" s="202">
        <f ca="1">IF(G184&gt;0,CONTADORES!$AC186-CONTADORES!$AC185,0)</f>
        <v>0</v>
      </c>
      <c r="I184" s="205">
        <f ca="1">IF(B184&gt;=$J$5,0,CONTADORES!$Z186-CONTADORES!$Z185)</f>
        <v>292</v>
      </c>
      <c r="J184" s="204">
        <f t="shared" ca="1" si="65"/>
        <v>144</v>
      </c>
      <c r="K184" s="202">
        <f ca="1">'CALCULO DE GAS'!E196</f>
        <v>3.69633656408263</v>
      </c>
      <c r="L184" s="1437">
        <f ca="1">IF(B184&gt;=$J$5,0,(CONTADORES!$W186-CONTADORES!$W185)-$O184)</f>
        <v>24</v>
      </c>
      <c r="M184" s="1437">
        <f t="shared" ca="1" si="92"/>
        <v>0</v>
      </c>
      <c r="N184" s="1437">
        <f ca="1">IF(B184&gt;=$J$5,0,CONTADORES!$Y186-CONTADORES!$Y185)</f>
        <v>0</v>
      </c>
      <c r="O184" s="1437">
        <f ca="1">IF(N184&gt;0,CONTADORES!$X186-CONTADORES!$X185,0)</f>
        <v>0</v>
      </c>
      <c r="P184" s="208">
        <f ca="1">IF(B184&gt;=$J$5,0,CONTADORES!$U186-CONTADORES!$U185)</f>
        <v>144</v>
      </c>
      <c r="Q184" s="208">
        <f ca="1">IF(B184&gt;=$J$5,0,CONTADORES!$B186-CONTADORES!$B185)</f>
        <v>0</v>
      </c>
      <c r="R184" s="202">
        <f t="shared" ca="1" si="66"/>
        <v>0</v>
      </c>
      <c r="S184" s="11">
        <f ca="1">IF(B184&gt;=$J$5,0,CONTADORES!$D186-CONTADORES!$D185)</f>
        <v>0</v>
      </c>
      <c r="T184" s="204">
        <f ca="1">IF(B184&gt;=$J$5,0,CONTADORES!$AZ186-CONTADORES!$AZ185)</f>
        <v>0</v>
      </c>
      <c r="U184" s="202">
        <f t="shared" ca="1" si="91"/>
        <v>0</v>
      </c>
      <c r="V184" s="205">
        <f ca="1">IF(B184&gt;=$J$5,0,CONTADORES!$BB186-CONTADORES!$BB185)</f>
        <v>0</v>
      </c>
      <c r="W184" s="1438">
        <f t="shared" ca="1" si="67"/>
        <v>436</v>
      </c>
      <c r="X184" s="1438">
        <f t="shared" ca="1" si="68"/>
        <v>0</v>
      </c>
      <c r="Y184" s="1439">
        <f t="shared" ca="1" si="69"/>
        <v>436</v>
      </c>
      <c r="Z184" s="1439">
        <f t="shared" ca="1" si="70"/>
        <v>8.7604173307418911</v>
      </c>
      <c r="AA184" s="1439">
        <f t="shared" ca="1" si="71"/>
        <v>0</v>
      </c>
      <c r="AB184" s="1439">
        <f t="shared" ca="1" si="72"/>
        <v>48</v>
      </c>
      <c r="AC184" s="1438">
        <f t="shared" ca="1" si="73"/>
        <v>0</v>
      </c>
      <c r="AD184" s="1438">
        <f ca="1">IF(B184&gt;=$J$5,0,CONTADORES!H186-CONTADORES!H185)</f>
        <v>161</v>
      </c>
      <c r="AE184" s="1438">
        <f ca="1">IF(B184&gt;=$J$5,0,CONTADORES!J186-CONTADORES!J185)</f>
        <v>24</v>
      </c>
      <c r="AF184" s="1438">
        <f ca="1">IF(B184&gt;=$J$5,0,CONTADORES!AS186-CONTADORES!AS185)</f>
        <v>152</v>
      </c>
      <c r="AG184" s="1438">
        <f ca="1">IF(B184&gt;=$J$5,0,CONTADORES!AU186-CONTADORES!AU185)</f>
        <v>24</v>
      </c>
      <c r="AH184" s="1439">
        <f ca="1">IF(B184&gt;=$J$5,0,(CONTADORES!AK186-CONTADORES!AK185)+(CONTADORES!K186-CONTADORES!K185))</f>
        <v>8</v>
      </c>
      <c r="AI184" s="1438">
        <f ca="1">IF(B184&gt;=$J$5,0,(CONTADORES!AI186-CONTADORES!AI185)+(CONTADORES!M186-CONTADORES!M185))</f>
        <v>36.19999999999709</v>
      </c>
      <c r="AJ184" s="1438">
        <f ca="1">IF(B184&gt;=$J$5,0,(CONTADORES!AG186-CONTADORES!AG185))</f>
        <v>6.8000000000029104</v>
      </c>
      <c r="AK184" s="1438">
        <f ca="1">IF(B184&gt;=$J$5,0,(CONTADORES!O186-CONTADORES!O185))</f>
        <v>11</v>
      </c>
      <c r="AL184" s="1450">
        <f t="shared" ca="1" si="74"/>
        <v>33.799999999999329</v>
      </c>
      <c r="AM184" s="1438">
        <f ca="1">IF(B184&gt;=$J$5,0,(((CONTADORES!F186-CONTADORES!F185)+(CONTADORES!AO186-CONTADORES!AO185))))-BJ184-AF184-AN184-BM184-BP184-BU184-BS184</f>
        <v>8.5300000000012695</v>
      </c>
      <c r="AN184" s="1438">
        <f ca="1">IF(B184&gt;=$J$5,0,(CONTADORES!AV186-CONTADORES!AV185)+(CONTADORES!AX186-CONTADORES!AX185)+(CONTADORES!BC186-CONTADORES!BC185))-BS184</f>
        <v>3.9020000000001822</v>
      </c>
      <c r="AO184" s="1440">
        <f ca="1">IF(B184&gt;=$J$5,0,(CONTADORES!AA186-CONTADORES!AA185))</f>
        <v>144</v>
      </c>
      <c r="AP184" s="1450">
        <f ca="1">IF(B184&gt;=$J$5,0,(CONTADORES!V186-CONTADORES!V185))</f>
        <v>76</v>
      </c>
      <c r="AQ184" s="1450">
        <f ca="1">IF(B184&gt;=$J$5,0,(CONTADORES!C186-CONTADORES!C185))</f>
        <v>0</v>
      </c>
      <c r="AR184" s="1450">
        <f ca="1">IF(B184&gt;=$J$5,0,(CONTADORES!BA186-CONTADORES!BA185))</f>
        <v>0</v>
      </c>
      <c r="AS184" s="1450">
        <f ca="1">IF(B184&gt;=$J$5,0,CONTADORES!Q186-CONTADORES!Q185)</f>
        <v>14.399999999994179</v>
      </c>
      <c r="AT184" s="1450">
        <f ca="1">IF(B184&gt;=$J$5,0,(CONTADORES!S186-CONTADORES!S185)+(CONTADORES!AE186-CONTADORES!AE185))</f>
        <v>3.2999999999999972</v>
      </c>
      <c r="AU184" s="1450">
        <f ca="1">IF(B184&gt;=$J$5,0,(CONTADORES!I186-CONTADORES!I185))</f>
        <v>81</v>
      </c>
      <c r="AV184" s="1450">
        <f ca="1">IF(B184&gt;=$J$5,0,(CONTADORES!AT186-CONTADORES!AT185))</f>
        <v>66</v>
      </c>
      <c r="AW184" s="1450">
        <f ca="1">IF(B184&gt;=$J$5,0,(CONTADORES!L186-CONTADORES!L185)+(CONTADORES!AL186-CONTADORES!AL185))</f>
        <v>3.2000000000007276</v>
      </c>
      <c r="AX184" s="1450">
        <f ca="1">IF(B184&gt;=$J$5,0,(CONTADORES!N186-CONTADORES!N185)+(CONTADORES!AJ186-CONTADORES!AJ185))</f>
        <v>31.299999999995634</v>
      </c>
      <c r="AY184" s="1450">
        <f ca="1">IF(B184&gt;=$J$5,0,(CONTADORES!AH186-CONTADORES!AH185))</f>
        <v>5.0999999999985448</v>
      </c>
      <c r="AZ184" s="1450">
        <f ca="1">IF(B184&gt;=$J$5,0,(CONTADORES!P186-CONTADORES!P185))</f>
        <v>9</v>
      </c>
      <c r="BA184" s="1439">
        <f t="shared" ca="1" si="75"/>
        <v>6.6600000000054536</v>
      </c>
      <c r="BB184" s="1450">
        <f ca="1">IF(B184&gt;=$J$5,0,(((CONTADORES!G186-CONTADORES!G185)+(CONTADORES!AP186-CONTADORES!AP185)+AR184)-(AV184+BC184)))</f>
        <v>9.3999999999996362</v>
      </c>
      <c r="BC184" s="1438">
        <f ca="1">IF(B184&gt;=$J$5,0,(CONTADORES!AW186-CONTADORES!AW185)+(CONTADORES!AY186-CONTADORES!AY185)+(CONTADORES!BD186-CONTADORES!BD185))</f>
        <v>2.1999999999998181</v>
      </c>
      <c r="BD184" s="1438">
        <f t="shared" ca="1" si="76"/>
        <v>220</v>
      </c>
      <c r="BE184" s="1439">
        <f ca="1">IF($B184&gt;=$J$5,0,CONTADORES!$BE186)</f>
        <v>5413.27</v>
      </c>
      <c r="BF184" s="1438">
        <f ca="1">IF($B184&gt;=$J$5,0,CONTADORES!$BF186)</f>
        <v>31192.045614035102</v>
      </c>
      <c r="BG184" s="1438">
        <f ca="1">IF($B184&gt;=$J$5,0,CONTADORES!$BH186)</f>
        <v>5717.46</v>
      </c>
      <c r="BH184" s="1438">
        <f ca="1">IF(B184&gt;=$J$5,0,(CONTADORES!AQ186-CONTADORES!AQ185))</f>
        <v>5</v>
      </c>
      <c r="BI184" s="1438">
        <f ca="1">IF(C184&gt;=$J$5,0,(CONTADORES!AR186-CONTADORES!AR185))</f>
        <v>0</v>
      </c>
      <c r="BJ184" s="1439">
        <f ca="1">IF(B184&gt;=$J$5,0,CONTADORES!BI186-CONTADORES!BI185)/1000</f>
        <v>3.12</v>
      </c>
      <c r="BK184" s="1439">
        <f ca="1">IF(B184&gt;=$J$5,0,CONTADORES!BJ186-CONTADORES!BJ185)</f>
        <v>1</v>
      </c>
      <c r="BL184" s="1439">
        <f ca="1">IF(B184&gt;=$J$5,0,CONTADORES!BK186-CONTADORES!BK185)</f>
        <v>24</v>
      </c>
      <c r="BM184" s="1439">
        <f ca="1">IF(B184&gt;=$J$5,0,CONTADORES!BL186-CONTADORES!BL185)/1000</f>
        <v>3.95</v>
      </c>
      <c r="BN184" s="1439">
        <f ca="1">IF(B184&gt;=$J$5,0,CONTADORES!BM186-CONTADORES!BM185)/1000</f>
        <v>5.8999999999999997E-2</v>
      </c>
      <c r="BO184" s="1439">
        <f ca="1">IF(B184&gt;=$J$5,0,CONTADORES!BN186-CONTADORES!BN185)</f>
        <v>24</v>
      </c>
      <c r="BP184" s="1439">
        <f ca="1">IF(B184&gt;=$J$5,0,CONTADORES!BO186-CONTADORES!BO185)/1000</f>
        <v>0</v>
      </c>
      <c r="BQ184" s="1439">
        <f ca="1">IF(B184&gt;=$J$5,0,CONTADORES!BP186-CONTADORES!BP185)/1000</f>
        <v>0</v>
      </c>
      <c r="BR184" s="1439">
        <f ca="1">IF(B184&gt;=$J$5,0,CONTADORES!BQ186-CONTADORES!BQ185)</f>
        <v>0</v>
      </c>
      <c r="BS184" s="1439">
        <f ca="1">IF(B184&gt;=$J$5,0,(CONTADORES!BT186-CONTADORES!BT185)+(CONTADORES!BV186-CONTADORES!BV185))/1000</f>
        <v>1.3979999999999999</v>
      </c>
      <c r="BT184" s="1439">
        <f ca="1">IF(B184&gt;=$J$5,0,(CONTADORES!BU186-CONTADORES!BU185)+(CONTADORES!BW186-CONTADORES!BW185))/1000</f>
        <v>0.78100000000000003</v>
      </c>
      <c r="BU184" s="1439">
        <f ca="1">IF(B184&gt;=$J$5,0,CONTADORES!BR186-CONTADORES!BR185)</f>
        <v>6.2999999999992724</v>
      </c>
      <c r="BV184" s="1439">
        <f ca="1">IF(B184&gt;=$J$5,0,CONTADORES!BS186-CONTADORES!BS185)</f>
        <v>4.3000000000001819</v>
      </c>
      <c r="BW184" s="1439">
        <f t="shared" ca="1" si="77"/>
        <v>10.564999999999907</v>
      </c>
      <c r="BX184" s="1439">
        <f t="shared" ca="1" si="78"/>
        <v>9</v>
      </c>
      <c r="BY184" s="1439">
        <f t="shared" ca="1" si="79"/>
        <v>4.2650000000006347</v>
      </c>
      <c r="BZ184" s="1439">
        <f t="shared" ca="1" si="80"/>
        <v>1.560800000000073</v>
      </c>
      <c r="CA184" s="1439">
        <f t="shared" ca="1" si="81"/>
        <v>4.2650000000006347</v>
      </c>
      <c r="CB184" s="1439">
        <f t="shared" ca="1" si="82"/>
        <v>2.341200000000109</v>
      </c>
      <c r="CC184" s="1439">
        <f t="shared" ca="1" si="83"/>
        <v>2.9588000000000729</v>
      </c>
      <c r="CD184" s="1439">
        <f t="shared" ca="1" si="84"/>
        <v>4.6999999999998181</v>
      </c>
      <c r="CE184" s="1439">
        <f ca="1">IF(B184&gt;=$J$5,0,CONTADORES!BS186-CONTADORES!BS185)</f>
        <v>4.3000000000001819</v>
      </c>
      <c r="CF184" s="1439">
        <f t="shared" ca="1" si="85"/>
        <v>4.6999999999998181</v>
      </c>
      <c r="CG184" s="1439">
        <f t="shared" ca="1" si="86"/>
        <v>1.0999999999999091</v>
      </c>
      <c r="CH184" s="1439">
        <f t="shared" ca="1" si="87"/>
        <v>1.0999999999999091</v>
      </c>
      <c r="CI184" s="1439">
        <f t="shared" ca="1" si="88"/>
        <v>1.8809999999999092</v>
      </c>
      <c r="CJ184" s="1488">
        <f ca="1">IF($B184&gt;=$J$5,0,CONTADORES!$BG186)</f>
        <v>8945.9048298055695</v>
      </c>
      <c r="CK184" s="1406">
        <f>CONTADORES!E186</f>
        <v>0</v>
      </c>
      <c r="CL184" s="1406">
        <f>CONTADORES!BX186</f>
        <v>0</v>
      </c>
    </row>
    <row r="185" spans="2:90">
      <c r="B185" s="410">
        <v>45101</v>
      </c>
      <c r="C185" s="204">
        <f t="shared" ca="1" si="64"/>
        <v>296</v>
      </c>
      <c r="D185" s="202">
        <f ca="1">'CALCULO DE GAS'!D197</f>
        <v>5.1013664174811186</v>
      </c>
      <c r="E185" s="202">
        <f ca="1">IF(B185&gt;=$J$5,0,(CONTADORES!$AB187-CONTADORES!$AB186)-$H185)</f>
        <v>24</v>
      </c>
      <c r="F185" s="204">
        <f t="shared" ca="1" si="93"/>
        <v>0</v>
      </c>
      <c r="G185" s="202">
        <f ca="1">IF(B185&gt;=$J$5,0,CONTADORES!$AD187-CONTADORES!$AD186)</f>
        <v>0</v>
      </c>
      <c r="H185" s="202">
        <f ca="1">IF(G185&gt;0,CONTADORES!$AC187-CONTADORES!$AC186,0)</f>
        <v>0</v>
      </c>
      <c r="I185" s="205">
        <f ca="1">IF(B185&gt;=$J$5,0,CONTADORES!$Z187-CONTADORES!$Z186)</f>
        <v>296</v>
      </c>
      <c r="J185" s="204">
        <f t="shared" ca="1" si="65"/>
        <v>146</v>
      </c>
      <c r="K185" s="202">
        <f ca="1">'CALCULO DE GAS'!E197</f>
        <v>3.7163110198800533</v>
      </c>
      <c r="L185" s="1437">
        <f ca="1">IF(B185&gt;=$J$5,0,(CONTADORES!$W187-CONTADORES!$W186)-$O185)</f>
        <v>24</v>
      </c>
      <c r="M185" s="1437">
        <f t="shared" ca="1" si="92"/>
        <v>0</v>
      </c>
      <c r="N185" s="1437">
        <f ca="1">IF(B185&gt;=$J$5,0,CONTADORES!$Y187-CONTADORES!$Y186)</f>
        <v>0</v>
      </c>
      <c r="O185" s="1437">
        <f ca="1">IF(N185&gt;0,CONTADORES!$X187-CONTADORES!$X186,0)</f>
        <v>0</v>
      </c>
      <c r="P185" s="208">
        <f ca="1">IF(B185&gt;=$J$5,0,CONTADORES!$U187-CONTADORES!$U186)</f>
        <v>146</v>
      </c>
      <c r="Q185" s="208">
        <f ca="1">IF(B185&gt;=$J$5,0,CONTADORES!$B187-CONTADORES!$B186)</f>
        <v>0</v>
      </c>
      <c r="R185" s="202">
        <f t="shared" ca="1" si="66"/>
        <v>0</v>
      </c>
      <c r="S185" s="11">
        <f ca="1">IF(B185&gt;=$J$5,0,CONTADORES!$D187-CONTADORES!$D186)</f>
        <v>0</v>
      </c>
      <c r="T185" s="204">
        <f ca="1">IF(B185&gt;=$J$5,0,CONTADORES!$AZ187-CONTADORES!$AZ186)</f>
        <v>0</v>
      </c>
      <c r="U185" s="202">
        <f t="shared" ca="1" si="91"/>
        <v>0</v>
      </c>
      <c r="V185" s="205">
        <f ca="1">IF(B185&gt;=$J$5,0,CONTADORES!$BB187-CONTADORES!$BB186)</f>
        <v>0</v>
      </c>
      <c r="W185" s="1438">
        <f t="shared" ca="1" si="67"/>
        <v>442</v>
      </c>
      <c r="X185" s="1438">
        <f t="shared" ca="1" si="68"/>
        <v>0</v>
      </c>
      <c r="Y185" s="1439">
        <f t="shared" ca="1" si="69"/>
        <v>442</v>
      </c>
      <c r="Z185" s="1439">
        <f t="shared" ca="1" si="70"/>
        <v>8.8176774373611728</v>
      </c>
      <c r="AA185" s="1439">
        <f t="shared" ca="1" si="71"/>
        <v>0</v>
      </c>
      <c r="AB185" s="1439">
        <f t="shared" ca="1" si="72"/>
        <v>48</v>
      </c>
      <c r="AC185" s="1438">
        <f t="shared" ca="1" si="73"/>
        <v>0</v>
      </c>
      <c r="AD185" s="1438">
        <f ca="1">IF(B185&gt;=$J$5,0,CONTADORES!H187-CONTADORES!H186)</f>
        <v>164</v>
      </c>
      <c r="AE185" s="1438">
        <f ca="1">IF(B185&gt;=$J$5,0,CONTADORES!J187-CONTADORES!J186)</f>
        <v>24</v>
      </c>
      <c r="AF185" s="1438">
        <f ca="1">IF(B185&gt;=$J$5,0,CONTADORES!AS187-CONTADORES!AS186)</f>
        <v>152</v>
      </c>
      <c r="AG185" s="1438">
        <f ca="1">IF(B185&gt;=$J$5,0,CONTADORES!AU187-CONTADORES!AU186)</f>
        <v>24</v>
      </c>
      <c r="AH185" s="1439">
        <f ca="1">IF(B185&gt;=$J$5,0,(CONTADORES!AK187-CONTADORES!AK186)+(CONTADORES!K187-CONTADORES!K186))</f>
        <v>9.1999999999989086</v>
      </c>
      <c r="AI185" s="1438">
        <f ca="1">IF(B185&gt;=$J$5,0,(CONTADORES!AI187-CONTADORES!AI186)+(CONTADORES!M187-CONTADORES!M186))</f>
        <v>37.399999999994179</v>
      </c>
      <c r="AJ185" s="1438">
        <f ca="1">IF(B185&gt;=$J$5,0,(CONTADORES!AG187-CONTADORES!AG186))</f>
        <v>6.5999999999912689</v>
      </c>
      <c r="AK185" s="1438">
        <f ca="1">IF(B185&gt;=$J$5,0,(CONTADORES!O187-CONTADORES!O186))</f>
        <v>10</v>
      </c>
      <c r="AL185" s="1450">
        <f t="shared" ca="1" si="74"/>
        <v>34.3000000000157</v>
      </c>
      <c r="AM185" s="1438">
        <f ca="1">IF(B185&gt;=$J$5,0,(((CONTADORES!F187-CONTADORES!F186)+(CONTADORES!AO187-CONTADORES!AO186))))-BJ185-AF185-AN185-BM185-BP185-BU185-BS185</f>
        <v>10.740000000000174</v>
      </c>
      <c r="AN185" s="1438">
        <f ca="1">IF(B185&gt;=$J$5,0,(CONTADORES!AV187-CONTADORES!AV186)+(CONTADORES!AX187-CONTADORES!AX186)+(CONTADORES!BC187-CONTADORES!BC186))-BS185</f>
        <v>3.825999999999818</v>
      </c>
      <c r="AO185" s="1440">
        <f ca="1">IF(B185&gt;=$J$5,0,(CONTADORES!AA187-CONTADORES!AA186))</f>
        <v>153</v>
      </c>
      <c r="AP185" s="1450">
        <f ca="1">IF(B185&gt;=$J$5,0,(CONTADORES!V187-CONTADORES!V186))</f>
        <v>68</v>
      </c>
      <c r="AQ185" s="1450">
        <f ca="1">IF(B185&gt;=$J$5,0,(CONTADORES!C187-CONTADORES!C186))</f>
        <v>0</v>
      </c>
      <c r="AR185" s="1450">
        <f ca="1">IF(B185&gt;=$J$5,0,(CONTADORES!BA187-CONTADORES!BA186))</f>
        <v>0</v>
      </c>
      <c r="AS185" s="1450">
        <f ca="1">IF(B185&gt;=$J$5,0,CONTADORES!Q187-CONTADORES!Q186)</f>
        <v>14</v>
      </c>
      <c r="AT185" s="1450">
        <f ca="1">IF(B185&gt;=$J$5,0,(CONTADORES!S187-CONTADORES!S186)+(CONTADORES!AE187-CONTADORES!AE186))</f>
        <v>3.0999999999999943</v>
      </c>
      <c r="AU185" s="1450">
        <f ca="1">IF(B185&gt;=$J$5,0,(CONTADORES!I187-CONTADORES!I186))</f>
        <v>82</v>
      </c>
      <c r="AV185" s="1450">
        <f ca="1">IF(B185&gt;=$J$5,0,(CONTADORES!AT187-CONTADORES!AT186))</f>
        <v>64</v>
      </c>
      <c r="AW185" s="1450">
        <f ca="1">IF(B185&gt;=$J$5,0,(CONTADORES!L187-CONTADORES!L186)+(CONTADORES!AL187-CONTADORES!AL186))</f>
        <v>3.5999999999985448</v>
      </c>
      <c r="AX185" s="1450">
        <f ca="1">IF(B185&gt;=$J$5,0,(CONTADORES!N187-CONTADORES!N186)+(CONTADORES!AJ187-CONTADORES!AJ186))</f>
        <v>32</v>
      </c>
      <c r="AY185" s="1450">
        <f ca="1">IF(B185&gt;=$J$5,0,(CONTADORES!AH187-CONTADORES!AH186))</f>
        <v>4.6999999999970896</v>
      </c>
      <c r="AZ185" s="1450">
        <f ca="1">IF(B185&gt;=$J$5,0,(CONTADORES!P187-CONTADORES!P186))</f>
        <v>8</v>
      </c>
      <c r="BA185" s="1439">
        <f t="shared" ca="1" si="75"/>
        <v>6.099000000004537</v>
      </c>
      <c r="BB185" s="1450">
        <f ca="1">IF(B185&gt;=$J$5,0,(((CONTADORES!G187-CONTADORES!G186)+(CONTADORES!AP187-CONTADORES!AP186)+AR185)-(AV185+BC185)))</f>
        <v>12.900000000000091</v>
      </c>
      <c r="BC185" s="1438">
        <f ca="1">IF(B185&gt;=$J$5,0,(CONTADORES!AW187-CONTADORES!AW186)+(CONTADORES!AY187-CONTADORES!AY186)+(CONTADORES!BD187-CONTADORES!BD186))</f>
        <v>1.9000000000000909</v>
      </c>
      <c r="BD185" s="1438">
        <f t="shared" ca="1" si="76"/>
        <v>221</v>
      </c>
      <c r="BE185" s="1439">
        <f ca="1">IF($B185&gt;=$J$5,0,CONTADORES!$BE187)</f>
        <v>6617.15</v>
      </c>
      <c r="BF185" s="1438">
        <f ca="1">IF($B185&gt;=$J$5,0,CONTADORES!$BF187)</f>
        <v>31190.149122807001</v>
      </c>
      <c r="BG185" s="1438">
        <f ca="1">IF($B185&gt;=$J$5,0,CONTADORES!$BH187)</f>
        <v>5738.46</v>
      </c>
      <c r="BH185" s="1438">
        <f ca="1">IF(B185&gt;=$J$5,0,(CONTADORES!AQ187-CONTADORES!AQ186))</f>
        <v>4</v>
      </c>
      <c r="BI185" s="1438">
        <f ca="1">IF(C185&gt;=$J$5,0,(CONTADORES!AR187-CONTADORES!AR186))</f>
        <v>0</v>
      </c>
      <c r="BJ185" s="1439">
        <f ca="1">IF(B185&gt;=$J$5,0,CONTADORES!BI187-CONTADORES!BI186)/1000</f>
        <v>3.1680000000000001</v>
      </c>
      <c r="BK185" s="1439">
        <f ca="1">IF(B185&gt;=$J$5,0,CONTADORES!BJ187-CONTADORES!BJ186)</f>
        <v>1</v>
      </c>
      <c r="BL185" s="1439">
        <f ca="1">IF(B185&gt;=$J$5,0,CONTADORES!BK187-CONTADORES!BK186)</f>
        <v>24</v>
      </c>
      <c r="BM185" s="1439">
        <f ca="1">IF(B185&gt;=$J$5,0,CONTADORES!BL187-CONTADORES!BL186)/1000</f>
        <v>3.8919999999999999</v>
      </c>
      <c r="BN185" s="1439">
        <f ca="1">IF(B185&gt;=$J$5,0,CONTADORES!BM187-CONTADORES!BM186)/1000</f>
        <v>0.13800000000000001</v>
      </c>
      <c r="BO185" s="1439">
        <f ca="1">IF(B185&gt;=$J$5,0,CONTADORES!BN187-CONTADORES!BN186)</f>
        <v>24</v>
      </c>
      <c r="BP185" s="1439">
        <f ca="1">IF(B185&gt;=$J$5,0,CONTADORES!BO187-CONTADORES!BO186)/1000</f>
        <v>0</v>
      </c>
      <c r="BQ185" s="1439">
        <f ca="1">IF(B185&gt;=$J$5,0,CONTADORES!BP187-CONTADORES!BP186)/1000</f>
        <v>0</v>
      </c>
      <c r="BR185" s="1439">
        <f ca="1">IF(B185&gt;=$J$5,0,CONTADORES!BQ187-CONTADORES!BQ186)</f>
        <v>0</v>
      </c>
      <c r="BS185" s="1439">
        <f ca="1">IF(B185&gt;=$J$5,0,(CONTADORES!BT187-CONTADORES!BT186)+(CONTADORES!BV187-CONTADORES!BV186))/1000</f>
        <v>1.3740000000000001</v>
      </c>
      <c r="BT185" s="1439">
        <f ca="1">IF(B185&gt;=$J$5,0,(CONTADORES!BU187-CONTADORES!BU186)+(CONTADORES!BW187-CONTADORES!BW186))/1000</f>
        <v>0.76300000000000001</v>
      </c>
      <c r="BU185" s="1439">
        <f ca="1">IF(B185&gt;=$J$5,0,CONTADORES!BR187-CONTADORES!BR186)</f>
        <v>5.5</v>
      </c>
      <c r="BV185" s="1439">
        <f ca="1">IF(B185&gt;=$J$5,0,CONTADORES!BS187-CONTADORES!BS186)</f>
        <v>3.8999999999996362</v>
      </c>
      <c r="BW185" s="1439">
        <f t="shared" ca="1" si="77"/>
        <v>10.870000000000086</v>
      </c>
      <c r="BX185" s="1439">
        <f t="shared" ca="1" si="78"/>
        <v>10.349999999999682</v>
      </c>
      <c r="BY185" s="1439">
        <f t="shared" ca="1" si="79"/>
        <v>5.3700000000000871</v>
      </c>
      <c r="BZ185" s="1439">
        <f t="shared" ca="1" si="80"/>
        <v>1.5303999999999274</v>
      </c>
      <c r="CA185" s="1439">
        <f t="shared" ca="1" si="81"/>
        <v>5.3700000000000871</v>
      </c>
      <c r="CB185" s="1439">
        <f t="shared" ca="1" si="82"/>
        <v>2.2955999999998906</v>
      </c>
      <c r="CC185" s="1439">
        <f t="shared" ca="1" si="83"/>
        <v>2.9043999999999275</v>
      </c>
      <c r="CD185" s="1439">
        <f t="shared" ca="1" si="84"/>
        <v>6.4500000000000455</v>
      </c>
      <c r="CE185" s="1439">
        <f ca="1">IF(B185&gt;=$J$5,0,CONTADORES!BS187-CONTADORES!BS186)</f>
        <v>3.8999999999996362</v>
      </c>
      <c r="CF185" s="1439">
        <f t="shared" ca="1" si="85"/>
        <v>6.4500000000000455</v>
      </c>
      <c r="CG185" s="1439">
        <f t="shared" ca="1" si="86"/>
        <v>0.95000000000004547</v>
      </c>
      <c r="CH185" s="1439">
        <f t="shared" ca="1" si="87"/>
        <v>0.95000000000004547</v>
      </c>
      <c r="CI185" s="1439">
        <f t="shared" ca="1" si="88"/>
        <v>1.7130000000000454</v>
      </c>
      <c r="CJ185" s="1488">
        <f ca="1">IF($B185&gt;=$J$5,0,CONTADORES!$BG187)</f>
        <v>8429.9362722498499</v>
      </c>
      <c r="CK185" s="1406">
        <f>CONTADORES!E187</f>
        <v>0</v>
      </c>
      <c r="CL185" s="1406">
        <f>CONTADORES!BX187</f>
        <v>0</v>
      </c>
    </row>
    <row r="186" spans="2:90">
      <c r="B186" s="410">
        <v>45102</v>
      </c>
      <c r="C186" s="204">
        <f t="shared" ca="1" si="64"/>
        <v>293</v>
      </c>
      <c r="D186" s="202">
        <f ca="1">'CALCULO DE GAS'!D198</f>
        <v>5.0734021793647264</v>
      </c>
      <c r="E186" s="202">
        <f ca="1">IF(B186&gt;=$J$5,0,(CONTADORES!$AB188-CONTADORES!$AB187)-$H186)</f>
        <v>24</v>
      </c>
      <c r="F186" s="204">
        <f t="shared" ca="1" si="93"/>
        <v>0</v>
      </c>
      <c r="G186" s="202">
        <f ca="1">IF(B186&gt;=$J$5,0,CONTADORES!$AD188-CONTADORES!$AD187)</f>
        <v>0</v>
      </c>
      <c r="H186" s="202">
        <f ca="1">IF(G186&gt;0,CONTADORES!$AC188-CONTADORES!$AC187,0)</f>
        <v>0</v>
      </c>
      <c r="I186" s="205">
        <f ca="1">IF(B186&gt;=$J$5,0,CONTADORES!$Z188-CONTADORES!$Z187)</f>
        <v>293</v>
      </c>
      <c r="J186" s="204">
        <f t="shared" ca="1" si="65"/>
        <v>151</v>
      </c>
      <c r="K186" s="202">
        <f ca="1">'CALCULO DE GAS'!E198</f>
        <v>3.766247159373612</v>
      </c>
      <c r="L186" s="1437">
        <f ca="1">IF(B186&gt;=$J$5,0,(CONTADORES!$W188-CONTADORES!$W187)-$O186)</f>
        <v>24</v>
      </c>
      <c r="M186" s="1437">
        <f t="shared" ca="1" si="92"/>
        <v>0</v>
      </c>
      <c r="N186" s="1437">
        <f ca="1">IF(B186&gt;=$J$5,0,CONTADORES!$Y188-CONTADORES!$Y187)</f>
        <v>0</v>
      </c>
      <c r="O186" s="1437">
        <f ca="1">IF(N186&gt;0,CONTADORES!$X188-CONTADORES!$X187,0)</f>
        <v>0</v>
      </c>
      <c r="P186" s="208">
        <f ca="1">IF(B186&gt;=$J$5,0,CONTADORES!$U188-CONTADORES!$U187)</f>
        <v>151</v>
      </c>
      <c r="Q186" s="208">
        <f ca="1">IF(B186&gt;=$J$5,0,CONTADORES!$B188-CONTADORES!$B187)</f>
        <v>0</v>
      </c>
      <c r="R186" s="202">
        <f t="shared" ca="1" si="66"/>
        <v>0</v>
      </c>
      <c r="S186" s="11">
        <f ca="1">IF(B186&gt;=$J$5,0,CONTADORES!$D188-CONTADORES!$D187)</f>
        <v>0</v>
      </c>
      <c r="T186" s="204">
        <f ca="1">IF(B186&gt;=$J$5,0,CONTADORES!$AZ188-CONTADORES!$AZ187)</f>
        <v>0</v>
      </c>
      <c r="U186" s="202">
        <f t="shared" ca="1" si="91"/>
        <v>0</v>
      </c>
      <c r="V186" s="205">
        <f ca="1">IF(B186&gt;=$J$5,0,CONTADORES!$BB188-CONTADORES!$BB187)</f>
        <v>0</v>
      </c>
      <c r="W186" s="1438">
        <f t="shared" ca="1" si="67"/>
        <v>444</v>
      </c>
      <c r="X186" s="1438">
        <f t="shared" ca="1" si="68"/>
        <v>0</v>
      </c>
      <c r="Y186" s="1439">
        <f t="shared" ca="1" si="69"/>
        <v>444</v>
      </c>
      <c r="Z186" s="1439">
        <f t="shared" ca="1" si="70"/>
        <v>8.8396493387383384</v>
      </c>
      <c r="AA186" s="1439">
        <f t="shared" ca="1" si="71"/>
        <v>0</v>
      </c>
      <c r="AB186" s="1439">
        <f t="shared" ca="1" si="72"/>
        <v>48</v>
      </c>
      <c r="AC186" s="1438">
        <f t="shared" ca="1" si="73"/>
        <v>0</v>
      </c>
      <c r="AD186" s="1438">
        <f ca="1">IF(B186&gt;=$J$5,0,CONTADORES!H188-CONTADORES!H187)</f>
        <v>162</v>
      </c>
      <c r="AE186" s="1438">
        <f ca="1">IF(B186&gt;=$J$5,0,CONTADORES!J188-CONTADORES!J187)</f>
        <v>24</v>
      </c>
      <c r="AF186" s="1438">
        <f ca="1">IF(B186&gt;=$J$5,0,CONTADORES!AS188-CONTADORES!AS187)</f>
        <v>154</v>
      </c>
      <c r="AG186" s="1438">
        <f ca="1">IF(B186&gt;=$J$5,0,CONTADORES!AU188-CONTADORES!AU187)</f>
        <v>24</v>
      </c>
      <c r="AH186" s="1439">
        <f ca="1">IF(B186&gt;=$J$5,0,(CONTADORES!AK188-CONTADORES!AK187)+(CONTADORES!K188-CONTADORES!K187))</f>
        <v>11.69999999999709</v>
      </c>
      <c r="AI186" s="1438">
        <f ca="1">IF(B186&gt;=$J$5,0,(CONTADORES!AI188-CONTADORES!AI187)+(CONTADORES!M188-CONTADORES!M187))</f>
        <v>37.200000000011642</v>
      </c>
      <c r="AJ186" s="1438">
        <f ca="1">IF(B186&gt;=$J$5,0,(CONTADORES!AG188-CONTADORES!AG187))</f>
        <v>7.1000000000058208</v>
      </c>
      <c r="AK186" s="1438">
        <f ca="1">IF(B186&gt;=$J$5,0,(CONTADORES!O188-CONTADORES!O187))</f>
        <v>11</v>
      </c>
      <c r="AL186" s="1450">
        <f t="shared" ca="1" si="74"/>
        <v>33.399999999986846</v>
      </c>
      <c r="AM186" s="1438">
        <f ca="1">IF(B186&gt;=$J$5,0,(((CONTADORES!F188-CONTADORES!F187)+(CONTADORES!AO188-CONTADORES!AO187))))-BJ186-AF186-AN186-BM186-BP186-BU186-BS186</f>
        <v>10.818399999996432</v>
      </c>
      <c r="AN186" s="1438">
        <f ca="1">IF(B186&gt;=$J$5,0,(CONTADORES!AV188-CONTADORES!AV187)+(CONTADORES!AX188-CONTADORES!AX187)+(CONTADORES!BC188-CONTADORES!BC187))-BS186</f>
        <v>4.1260000000004542</v>
      </c>
      <c r="AO186" s="1440">
        <f ca="1">IF(B186&gt;=$J$5,0,(CONTADORES!AA188-CONTADORES!AA187))</f>
        <v>145</v>
      </c>
      <c r="AP186" s="1450">
        <f ca="1">IF(B186&gt;=$J$5,0,(CONTADORES!V188-CONTADORES!V187))</f>
        <v>77</v>
      </c>
      <c r="AQ186" s="1450">
        <f ca="1">IF(B186&gt;=$J$5,0,(CONTADORES!C188-CONTADORES!C187))</f>
        <v>0</v>
      </c>
      <c r="AR186" s="1450">
        <f ca="1">IF(B186&gt;=$J$5,0,(CONTADORES!BA188-CONTADORES!BA187))</f>
        <v>0</v>
      </c>
      <c r="AS186" s="1450">
        <f ca="1">IF(B186&gt;=$J$5,0,CONTADORES!Q188-CONTADORES!Q187)</f>
        <v>14</v>
      </c>
      <c r="AT186" s="1450">
        <f ca="1">IF(B186&gt;=$J$5,0,(CONTADORES!S188-CONTADORES!S187)+(CONTADORES!AE188-CONTADORES!AE187))</f>
        <v>3.2000000000000028</v>
      </c>
      <c r="AU186" s="1450">
        <f ca="1">IF(B186&gt;=$J$5,0,(CONTADORES!I188-CONTADORES!I187))</f>
        <v>82</v>
      </c>
      <c r="AV186" s="1450">
        <f ca="1">IF(B186&gt;=$J$5,0,(CONTADORES!AT188-CONTADORES!AT187))</f>
        <v>66</v>
      </c>
      <c r="AW186" s="1450">
        <f ca="1">IF(B186&gt;=$J$5,0,(CONTADORES!L188-CONTADORES!L187)+(CONTADORES!AL188-CONTADORES!AL187))</f>
        <v>4.6000000000021828</v>
      </c>
      <c r="AX186" s="1450">
        <f ca="1">IF(B186&gt;=$J$5,0,(CONTADORES!N188-CONTADORES!N187)+(CONTADORES!AJ188-CONTADORES!AJ187))</f>
        <v>32.200000000004366</v>
      </c>
      <c r="AY186" s="1450">
        <f ca="1">IF(B186&gt;=$J$5,0,(CONTADORES!AH188-CONTADORES!AH187))</f>
        <v>5.3000000000029104</v>
      </c>
      <c r="AZ186" s="1450">
        <f ca="1">IF(B186&gt;=$J$5,0,(CONTADORES!P188-CONTADORES!P187))</f>
        <v>8</v>
      </c>
      <c r="BA186" s="1439">
        <f t="shared" ca="1" si="75"/>
        <v>4.1189999999899953</v>
      </c>
      <c r="BB186" s="1450">
        <f ca="1">IF(B186&gt;=$J$5,0,(((CONTADORES!G188-CONTADORES!G187)+(CONTADORES!AP188-CONTADORES!AP187)+AR186)-(AV186+BC186)))</f>
        <v>12.800000000000182</v>
      </c>
      <c r="BC186" s="1438">
        <f ca="1">IF(B186&gt;=$J$5,0,(CONTADORES!AW188-CONTADORES!AW187)+(CONTADORES!AY188-CONTADORES!AY187)+(CONTADORES!BD188-CONTADORES!BD187))</f>
        <v>2</v>
      </c>
      <c r="BD186" s="1438">
        <f t="shared" ca="1" si="76"/>
        <v>222</v>
      </c>
      <c r="BE186" s="1439">
        <f ca="1">IF($B186&gt;=$J$5,0,CONTADORES!$BE188)</f>
        <v>5865.75</v>
      </c>
      <c r="BF186" s="1438">
        <f ca="1">IF($B186&gt;=$J$5,0,CONTADORES!$BF188)</f>
        <v>30600.440350877201</v>
      </c>
      <c r="BG186" s="1438">
        <f ca="1">IF($B186&gt;=$J$5,0,CONTADORES!$BH188)</f>
        <v>5773.11</v>
      </c>
      <c r="BH186" s="1438">
        <f ca="1">IF(B186&gt;=$J$5,0,(CONTADORES!AQ188-CONTADORES!AQ187))</f>
        <v>4</v>
      </c>
      <c r="BI186" s="1438">
        <f ca="1">IF(C186&gt;=$J$5,0,(CONTADORES!AR188-CONTADORES!AR187))</f>
        <v>0</v>
      </c>
      <c r="BJ186" s="1439">
        <f ca="1">IF(B186&gt;=$J$5,0,CONTADORES!BI188-CONTADORES!BI187)/1000</f>
        <v>3.1096000000005586</v>
      </c>
      <c r="BK186" s="1439">
        <f ca="1">IF(B186&gt;=$J$5,0,CONTADORES!BJ188-CONTADORES!BJ187)</f>
        <v>1</v>
      </c>
      <c r="BL186" s="1439">
        <f ca="1">IF(B186&gt;=$J$5,0,CONTADORES!BK188-CONTADORES!BK187)</f>
        <v>24</v>
      </c>
      <c r="BM186" s="1439">
        <f ca="1">IF(B186&gt;=$J$5,0,CONTADORES!BL188-CONTADORES!BL187)/1000</f>
        <v>3.8719999999999999</v>
      </c>
      <c r="BN186" s="1439">
        <f ca="1">IF(B186&gt;=$J$5,0,CONTADORES!BM188-CONTADORES!BM187)/1000</f>
        <v>0.121</v>
      </c>
      <c r="BO186" s="1439">
        <f ca="1">IF(B186&gt;=$J$5,0,CONTADORES!BN188-CONTADORES!BN187)</f>
        <v>24</v>
      </c>
      <c r="BP186" s="1439">
        <f ca="1">IF(B186&gt;=$J$5,0,CONTADORES!BO188-CONTADORES!BO187)/1000</f>
        <v>0</v>
      </c>
      <c r="BQ186" s="1439">
        <f ca="1">IF(B186&gt;=$J$5,0,CONTADORES!BP188-CONTADORES!BP187)/1000</f>
        <v>0</v>
      </c>
      <c r="BR186" s="1439">
        <f ca="1">IF(B186&gt;=$J$5,0,CONTADORES!BQ188-CONTADORES!BQ187)</f>
        <v>0</v>
      </c>
      <c r="BS186" s="1439">
        <f ca="1">IF(B186&gt;=$J$5,0,(CONTADORES!BT188-CONTADORES!BT187)+(CONTADORES!BV188-CONTADORES!BV187))/1000</f>
        <v>1.3740000000000001</v>
      </c>
      <c r="BT186" s="1439">
        <f ca="1">IF(B186&gt;=$J$5,0,(CONTADORES!BU188-CONTADORES!BU187)+(CONTADORES!BW188-CONTADORES!BW187))/1000</f>
        <v>0.76</v>
      </c>
      <c r="BU186" s="1439">
        <f ca="1">IF(B186&gt;=$J$5,0,CONTADORES!BR188-CONTADORES!BR187)</f>
        <v>4.3000000000010914</v>
      </c>
      <c r="BV186" s="1439">
        <f ca="1">IF(B186&gt;=$J$5,0,CONTADORES!BS188-CONTADORES!BS187)</f>
        <v>3.1000000000003638</v>
      </c>
      <c r="BW186" s="1439">
        <f t="shared" ca="1" si="77"/>
        <v>9.7091999999993064</v>
      </c>
      <c r="BX186" s="1439">
        <f t="shared" ca="1" si="78"/>
        <v>9.5000000000004547</v>
      </c>
      <c r="BY186" s="1439">
        <f t="shared" ca="1" si="79"/>
        <v>5.4091999999982159</v>
      </c>
      <c r="BZ186" s="1439">
        <f t="shared" ca="1" si="80"/>
        <v>1.6504000000001817</v>
      </c>
      <c r="CA186" s="1439">
        <f t="shared" ca="1" si="81"/>
        <v>5.4091999999982159</v>
      </c>
      <c r="CB186" s="1439">
        <f t="shared" ca="1" si="82"/>
        <v>2.4756000000002727</v>
      </c>
      <c r="CC186" s="1439">
        <f t="shared" ca="1" si="83"/>
        <v>3.0244000000001821</v>
      </c>
      <c r="CD186" s="1439">
        <f t="shared" ca="1" si="84"/>
        <v>6.4000000000000909</v>
      </c>
      <c r="CE186" s="1439">
        <f ca="1">IF(B186&gt;=$J$5,0,CONTADORES!BS188-CONTADORES!BS187)</f>
        <v>3.1000000000003638</v>
      </c>
      <c r="CF186" s="1439">
        <f t="shared" ca="1" si="85"/>
        <v>6.4000000000000909</v>
      </c>
      <c r="CG186" s="1439">
        <f t="shared" ca="1" si="86"/>
        <v>1</v>
      </c>
      <c r="CH186" s="1439">
        <f t="shared" ca="1" si="87"/>
        <v>1</v>
      </c>
      <c r="CI186" s="1439">
        <f t="shared" ca="1" si="88"/>
        <v>1.76</v>
      </c>
      <c r="CJ186" s="1488">
        <f ca="1">IF($B186&gt;=$J$5,0,CONTADORES!$BG188)</f>
        <v>9895.7221219073308</v>
      </c>
      <c r="CK186" s="1406">
        <f>CONTADORES!E188</f>
        <v>0</v>
      </c>
      <c r="CL186" s="1406">
        <f>CONTADORES!BX188</f>
        <v>0</v>
      </c>
    </row>
    <row r="187" spans="2:90">
      <c r="B187" s="410">
        <v>45103</v>
      </c>
      <c r="C187" s="204">
        <f t="shared" ca="1" si="64"/>
        <v>294</v>
      </c>
      <c r="D187" s="202">
        <f ca="1">'CALCULO DE GAS'!D199</f>
        <v>5.0827235920701908</v>
      </c>
      <c r="E187" s="202">
        <f ca="1">IF(B187&gt;=$J$5,0,(CONTADORES!$AB189-CONTADORES!$AB188)-$H187)</f>
        <v>24</v>
      </c>
      <c r="F187" s="204">
        <f t="shared" ca="1" si="93"/>
        <v>0</v>
      </c>
      <c r="G187" s="202">
        <f ca="1">IF(B187&gt;=$J$5,0,CONTADORES!$AD189-CONTADORES!$AD188)</f>
        <v>0</v>
      </c>
      <c r="H187" s="202">
        <f ca="1">IF(G187&gt;0,CONTADORES!$AC189-CONTADORES!$AC188,0)</f>
        <v>0</v>
      </c>
      <c r="I187" s="205">
        <f ca="1">IF(B187&gt;=$J$5,0,CONTADORES!$Z189-CONTADORES!$Z188)</f>
        <v>294</v>
      </c>
      <c r="J187" s="204">
        <f t="shared" ca="1" si="65"/>
        <v>146</v>
      </c>
      <c r="K187" s="202">
        <f ca="1">'CALCULO DE GAS'!E199</f>
        <v>3.7163110198800533</v>
      </c>
      <c r="L187" s="1437">
        <f ca="1">IF(B187&gt;=$J$5,0,(CONTADORES!$W189-CONTADORES!$W188)-$O187)</f>
        <v>24</v>
      </c>
      <c r="M187" s="1437">
        <f t="shared" ca="1" si="92"/>
        <v>0</v>
      </c>
      <c r="N187" s="1437">
        <f ca="1">IF(B187&gt;=$J$5,0,CONTADORES!$Y189-CONTADORES!$Y188)</f>
        <v>0</v>
      </c>
      <c r="O187" s="1437">
        <f ca="1">IF(N187&gt;0,CONTADORES!$X189-CONTADORES!$X188,0)</f>
        <v>0</v>
      </c>
      <c r="P187" s="208">
        <f ca="1">IF(B187&gt;=$J$5,0,CONTADORES!$U189-CONTADORES!$U188)</f>
        <v>146</v>
      </c>
      <c r="Q187" s="208">
        <f ca="1">IF(B187&gt;=$J$5,0,CONTADORES!$B189-CONTADORES!$B188)</f>
        <v>0</v>
      </c>
      <c r="R187" s="202">
        <f t="shared" ca="1" si="66"/>
        <v>0</v>
      </c>
      <c r="S187" s="11">
        <f ca="1">IF(B187&gt;=$J$5,0,CONTADORES!$D189-CONTADORES!$D188)</f>
        <v>0</v>
      </c>
      <c r="T187" s="204">
        <f ca="1">IF(B187&gt;=$J$5,0,CONTADORES!$AZ189-CONTADORES!$AZ188)</f>
        <v>0</v>
      </c>
      <c r="U187" s="202">
        <f t="shared" ca="1" si="91"/>
        <v>0</v>
      </c>
      <c r="V187" s="205">
        <f ca="1">IF(B187&gt;=$J$5,0,CONTADORES!$BB189-CONTADORES!$BB188)</f>
        <v>0</v>
      </c>
      <c r="W187" s="1438">
        <f t="shared" ca="1" si="67"/>
        <v>440</v>
      </c>
      <c r="X187" s="1438">
        <f t="shared" ca="1" si="68"/>
        <v>0</v>
      </c>
      <c r="Y187" s="1439">
        <f t="shared" ca="1" si="69"/>
        <v>440</v>
      </c>
      <c r="Z187" s="1439">
        <f t="shared" ca="1" si="70"/>
        <v>8.7990346119502441</v>
      </c>
      <c r="AA187" s="1439">
        <f t="shared" ca="1" si="71"/>
        <v>0</v>
      </c>
      <c r="AB187" s="1439">
        <f t="shared" ca="1" si="72"/>
        <v>48</v>
      </c>
      <c r="AC187" s="1438">
        <f t="shared" ca="1" si="73"/>
        <v>0</v>
      </c>
      <c r="AD187" s="1438">
        <f ca="1">IF(B187&gt;=$J$5,0,CONTADORES!H189-CONTADORES!H188)</f>
        <v>162</v>
      </c>
      <c r="AE187" s="1438">
        <f ca="1">IF(B187&gt;=$J$5,0,CONTADORES!J189-CONTADORES!J188)</f>
        <v>24</v>
      </c>
      <c r="AF187" s="1438">
        <f ca="1">IF(B187&gt;=$J$5,0,CONTADORES!AS189-CONTADORES!AS188)</f>
        <v>152</v>
      </c>
      <c r="AG187" s="1438">
        <f ca="1">IF(B187&gt;=$J$5,0,CONTADORES!AU189-CONTADORES!AU188)</f>
        <v>24</v>
      </c>
      <c r="AH187" s="1439">
        <f ca="1">IF(B187&gt;=$J$5,0,(CONTADORES!AK189-CONTADORES!AK188)+(CONTADORES!K189-CONTADORES!K188))</f>
        <v>11</v>
      </c>
      <c r="AI187" s="1438">
        <f ca="1">IF(B187&gt;=$J$5,0,(CONTADORES!AI189-CONTADORES!AI188)+(CONTADORES!M189-CONTADORES!M188))</f>
        <v>36.899999999994179</v>
      </c>
      <c r="AJ187" s="1438">
        <f ca="1">IF(B187&gt;=$J$5,0,(CONTADORES!AG189-CONTADORES!AG188))</f>
        <v>5.5</v>
      </c>
      <c r="AK187" s="1438">
        <f ca="1">IF(B187&gt;=$J$5,0,(CONTADORES!O189-CONTADORES!O188))</f>
        <v>10</v>
      </c>
      <c r="AL187" s="1450">
        <f t="shared" ca="1" si="74"/>
        <v>33.800000000006492</v>
      </c>
      <c r="AM187" s="1438">
        <f ca="1">IF(B187&gt;=$J$5,0,(((CONTADORES!F189-CONTADORES!F188)+(CONTADORES!AO189-CONTADORES!AO188))))-BJ187-AF187-AN187-BM187-BP187-BU187-BS187</f>
        <v>12.732000000000369</v>
      </c>
      <c r="AN187" s="1438">
        <f ca="1">IF(B187&gt;=$J$5,0,(CONTADORES!AV189-CONTADORES!AV188)+(CONTADORES!AX189-CONTADORES!AX188)+(CONTADORES!BC189-CONTADORES!BC188))-BS187</f>
        <v>3.6039999999996359</v>
      </c>
      <c r="AO187" s="1440">
        <f ca="1">IF(B187&gt;=$J$5,0,(CONTADORES!AA189-CONTADORES!AA188))</f>
        <v>148</v>
      </c>
      <c r="AP187" s="1450">
        <f ca="1">IF(B187&gt;=$J$5,0,(CONTADORES!V189-CONTADORES!V188))</f>
        <v>72</v>
      </c>
      <c r="AQ187" s="1450">
        <f ca="1">IF(B187&gt;=$J$5,0,(CONTADORES!C189-CONTADORES!C188))</f>
        <v>0</v>
      </c>
      <c r="AR187" s="1450">
        <f ca="1">IF(B187&gt;=$J$5,0,(CONTADORES!BA189-CONTADORES!BA188))</f>
        <v>0</v>
      </c>
      <c r="AS187" s="1450">
        <f ca="1">IF(B187&gt;=$J$5,0,CONTADORES!Q189-CONTADORES!Q188)</f>
        <v>13</v>
      </c>
      <c r="AT187" s="1450">
        <f ca="1">IF(B187&gt;=$J$5,0,(CONTADORES!S189-CONTADORES!S188)+(CONTADORES!AE189-CONTADORES!AE188))</f>
        <v>3.2000000000000028</v>
      </c>
      <c r="AU187" s="1450">
        <f ca="1">IF(B187&gt;=$J$5,0,(CONTADORES!I189-CONTADORES!I188))</f>
        <v>82</v>
      </c>
      <c r="AV187" s="1450">
        <f ca="1">IF(B187&gt;=$J$5,0,(CONTADORES!AT189-CONTADORES!AT188))</f>
        <v>68</v>
      </c>
      <c r="AW187" s="1450">
        <f ca="1">IF(B187&gt;=$J$5,0,(CONTADORES!L189-CONTADORES!L188)+(CONTADORES!AL189-CONTADORES!AL188))</f>
        <v>4.3999999999978172</v>
      </c>
      <c r="AX187" s="1450">
        <f ca="1">IF(B187&gt;=$J$5,0,(CONTADORES!N189-CONTADORES!N188)+(CONTADORES!AJ189-CONTADORES!AJ188))</f>
        <v>31.799999999995634</v>
      </c>
      <c r="AY187" s="1450">
        <f ca="1">IF(B187&gt;=$J$5,0,(CONTADORES!AH189-CONTADORES!AH188))</f>
        <v>4</v>
      </c>
      <c r="AZ187" s="1450">
        <f ca="1">IF(B187&gt;=$J$5,0,(CONTADORES!P189-CONTADORES!P188))</f>
        <v>8</v>
      </c>
      <c r="BA187" s="1439">
        <f t="shared" ca="1" si="75"/>
        <v>4.2940000000071166</v>
      </c>
      <c r="BB187" s="1450">
        <f ca="1">IF(B187&gt;=$J$5,0,(((CONTADORES!G189-CONTADORES!G188)+(CONTADORES!AP189-CONTADORES!AP188)+AR187)-(AV187+BC187)))</f>
        <v>10.300000000000239</v>
      </c>
      <c r="BC187" s="1438">
        <f ca="1">IF(B187&gt;=$J$5,0,(CONTADORES!AW189-CONTADORES!AW188)+(CONTADORES!AY189-CONTADORES!AY188)+(CONTADORES!BD189-CONTADORES!BD188))</f>
        <v>2.1999999999997613</v>
      </c>
      <c r="BD187" s="1438">
        <f t="shared" ca="1" si="76"/>
        <v>220</v>
      </c>
      <c r="BE187" s="1439">
        <f ca="1">IF($B187&gt;=$J$5,0,CONTADORES!$BE189)</f>
        <v>5869.81</v>
      </c>
      <c r="BF187" s="1438">
        <f ca="1">IF($B187&gt;=$J$5,0,CONTADORES!$BF189)</f>
        <v>30995.5842105263</v>
      </c>
      <c r="BG187" s="1438">
        <f ca="1">IF($B187&gt;=$J$5,0,CONTADORES!$BH189)</f>
        <v>6137.16</v>
      </c>
      <c r="BH187" s="1438">
        <f ca="1">IF(B187&gt;=$J$5,0,(CONTADORES!AQ189-CONTADORES!AQ188))</f>
        <v>5</v>
      </c>
      <c r="BI187" s="1438">
        <f ca="1">IF(C187&gt;=$J$5,0,(CONTADORES!AR189-CONTADORES!AR188))</f>
        <v>0</v>
      </c>
      <c r="BJ187" s="1439">
        <f ca="1">IF(B187&gt;=$J$5,0,CONTADORES!BI189-CONTADORES!BI188)/1000</f>
        <v>3.1</v>
      </c>
      <c r="BK187" s="1439">
        <f ca="1">IF(B187&gt;=$J$5,0,CONTADORES!BJ189-CONTADORES!BJ188)</f>
        <v>1</v>
      </c>
      <c r="BL187" s="1439">
        <f ca="1">IF(B187&gt;=$J$5,0,CONTADORES!BK189-CONTADORES!BK188)</f>
        <v>24</v>
      </c>
      <c r="BM187" s="1439">
        <f ca="1">IF(B187&gt;=$J$5,0,CONTADORES!BL189-CONTADORES!BL188)/1000</f>
        <v>3.7679999999999998</v>
      </c>
      <c r="BN187" s="1439">
        <f ca="1">IF(B187&gt;=$J$5,0,CONTADORES!BM189-CONTADORES!BM188)/1000</f>
        <v>0.16400000000000001</v>
      </c>
      <c r="BO187" s="1439">
        <f ca="1">IF(B187&gt;=$J$5,0,CONTADORES!BN189-CONTADORES!BN188)</f>
        <v>24</v>
      </c>
      <c r="BP187" s="1439">
        <f ca="1">IF(B187&gt;=$J$5,0,CONTADORES!BO189-CONTADORES!BO188)/1000</f>
        <v>0</v>
      </c>
      <c r="BQ187" s="1439">
        <f ca="1">IF(B187&gt;=$J$5,0,CONTADORES!BP189-CONTADORES!BP188)/1000</f>
        <v>0</v>
      </c>
      <c r="BR187" s="1439">
        <f ca="1">IF(B187&gt;=$J$5,0,CONTADORES!BQ189-CONTADORES!BQ188)</f>
        <v>0</v>
      </c>
      <c r="BS187" s="1439">
        <f ca="1">IF(B187&gt;=$J$5,0,(CONTADORES!BT189-CONTADORES!BT188)+(CONTADORES!BV189-CONTADORES!BV188))/1000</f>
        <v>1.296</v>
      </c>
      <c r="BT187" s="1439">
        <f ca="1">IF(B187&gt;=$J$5,0,(CONTADORES!BU189-CONTADORES!BU188)+(CONTADORES!BW189-CONTADORES!BW188))/1000</f>
        <v>0.74199999999999999</v>
      </c>
      <c r="BU187" s="1439">
        <f ca="1">IF(B187&gt;=$J$5,0,CONTADORES!BR189-CONTADORES!BR188)</f>
        <v>4.2999999999992724</v>
      </c>
      <c r="BV187" s="1439">
        <f ca="1">IF(B187&gt;=$J$5,0,CONTADORES!BS189-CONTADORES!BS188)</f>
        <v>3.0999999999994543</v>
      </c>
      <c r="BW187" s="1439">
        <f t="shared" ca="1" si="77"/>
        <v>10.665999999999457</v>
      </c>
      <c r="BX187" s="1439">
        <f t="shared" ca="1" si="78"/>
        <v>8.2499999999995737</v>
      </c>
      <c r="BY187" s="1439">
        <f t="shared" ca="1" si="79"/>
        <v>6.3660000000001844</v>
      </c>
      <c r="BZ187" s="1439">
        <f t="shared" ca="1" si="80"/>
        <v>1.4415999999998546</v>
      </c>
      <c r="CA187" s="1439">
        <f t="shared" ca="1" si="81"/>
        <v>6.3660000000001844</v>
      </c>
      <c r="CB187" s="1439">
        <f t="shared" ca="1" si="82"/>
        <v>2.1623999999997814</v>
      </c>
      <c r="CC187" s="1439">
        <f t="shared" ca="1" si="83"/>
        <v>2.7375999999998548</v>
      </c>
      <c r="CD187" s="1439">
        <f t="shared" ca="1" si="84"/>
        <v>5.1500000000001194</v>
      </c>
      <c r="CE187" s="1439">
        <f ca="1">IF(B187&gt;=$J$5,0,CONTADORES!BS189-CONTADORES!BS188)</f>
        <v>3.0999999999994543</v>
      </c>
      <c r="CF187" s="1439">
        <f t="shared" ca="1" si="85"/>
        <v>5.1500000000001194</v>
      </c>
      <c r="CG187" s="1439">
        <f t="shared" ca="1" si="86"/>
        <v>1.0999999999998806</v>
      </c>
      <c r="CH187" s="1439">
        <f t="shared" ca="1" si="87"/>
        <v>1.0999999999998806</v>
      </c>
      <c r="CI187" s="1439">
        <f t="shared" ca="1" si="88"/>
        <v>1.8419999999998806</v>
      </c>
      <c r="CJ187" s="1488">
        <f ca="1">IF($B187&gt;=$J$5,0,CONTADORES!$BG189)</f>
        <v>8669.4103289860595</v>
      </c>
      <c r="CK187" s="1406">
        <f>CONTADORES!E189</f>
        <v>0</v>
      </c>
      <c r="CL187" s="1406">
        <f>CONTADORES!BX189</f>
        <v>0</v>
      </c>
    </row>
    <row r="188" spans="2:90">
      <c r="B188" s="410">
        <v>45104</v>
      </c>
      <c r="C188" s="204">
        <f t="shared" ca="1" si="64"/>
        <v>289.06000000005588</v>
      </c>
      <c r="D188" s="202">
        <f ca="1">'CALCULO DE GAS'!D200</f>
        <v>5.0366758133057177</v>
      </c>
      <c r="E188" s="202">
        <f ca="1">IF(B188&gt;=$J$5,0,(CONTADORES!$AB190-CONTADORES!$AB189)-$H188)</f>
        <v>24</v>
      </c>
      <c r="F188" s="204">
        <f t="shared" ca="1" si="93"/>
        <v>0</v>
      </c>
      <c r="G188" s="202">
        <f ca="1">IF(B188&gt;=$J$5,0,CONTADORES!$AD190-CONTADORES!$AD189)</f>
        <v>0</v>
      </c>
      <c r="H188" s="202">
        <f ca="1">IF(G188&gt;0,CONTADORES!$AC190-CONTADORES!$AC189,0)</f>
        <v>0</v>
      </c>
      <c r="I188" s="205">
        <f ca="1">IF(B188&gt;=$J$5,0,CONTADORES!$Z190-CONTADORES!$Z189)</f>
        <v>289.06000000005588</v>
      </c>
      <c r="J188" s="204">
        <f t="shared" ca="1" si="65"/>
        <v>145.9800000000032</v>
      </c>
      <c r="K188" s="202">
        <f ca="1">'CALCULO DE GAS'!E200</f>
        <v>3.7161112753221111</v>
      </c>
      <c r="L188" s="1437">
        <f ca="1">IF(B188&gt;=$J$5,0,(CONTADORES!$W190-CONTADORES!$W189)-$O188)</f>
        <v>24</v>
      </c>
      <c r="M188" s="1437">
        <f t="shared" ca="1" si="92"/>
        <v>0</v>
      </c>
      <c r="N188" s="1437">
        <f ca="1">IF(B188&gt;=$J$5,0,CONTADORES!$Y190-CONTADORES!$Y189)</f>
        <v>0</v>
      </c>
      <c r="O188" s="1437">
        <f ca="1">IF(N188&gt;0,CONTADORES!$X190-CONTADORES!$X189,0)</f>
        <v>0</v>
      </c>
      <c r="P188" s="208">
        <f ca="1">IF(B188&gt;=$J$5,0,CONTADORES!$U190-CONTADORES!$U189)</f>
        <v>145.9800000000032</v>
      </c>
      <c r="Q188" s="208">
        <f ca="1">IF(B188&gt;=$J$5,0,CONTADORES!$B190-CONTADORES!$B189)</f>
        <v>0.18599999999992178</v>
      </c>
      <c r="R188" s="202">
        <f t="shared" ca="1" si="66"/>
        <v>22.319999999990614</v>
      </c>
      <c r="S188" s="11">
        <f ca="1">IF(B188&gt;=$J$5,0,CONTADORES!$D190-CONTADORES!$D189)</f>
        <v>1.5</v>
      </c>
      <c r="T188" s="204">
        <f ca="1">IF(B188&gt;=$J$5,0,CONTADORES!$AZ190-CONTADORES!$AZ189)</f>
        <v>0.25300000000004275</v>
      </c>
      <c r="U188" s="202">
        <f t="shared" ca="1" si="91"/>
        <v>30.36000000000513</v>
      </c>
      <c r="V188" s="205">
        <f ca="1">IF(B188&gt;=$J$5,0,CONTADORES!$BB190-CONTADORES!$BB189)</f>
        <v>3.999999999996362E-2</v>
      </c>
      <c r="W188" s="1438">
        <f t="shared" ca="1" si="67"/>
        <v>435.04000000005908</v>
      </c>
      <c r="X188" s="1438">
        <f t="shared" ca="1" si="68"/>
        <v>0.43899999999996453</v>
      </c>
      <c r="Y188" s="1439">
        <f t="shared" ca="1" si="69"/>
        <v>435.47900000005905</v>
      </c>
      <c r="Z188" s="1439">
        <f t="shared" ca="1" si="70"/>
        <v>8.7527870886278283</v>
      </c>
      <c r="AA188" s="1439">
        <f t="shared" ca="1" si="71"/>
        <v>52.679999999995744</v>
      </c>
      <c r="AB188" s="1439">
        <f t="shared" ca="1" si="72"/>
        <v>48</v>
      </c>
      <c r="AC188" s="1438">
        <f t="shared" ca="1" si="73"/>
        <v>1.5399999999999636</v>
      </c>
      <c r="AD188" s="1438">
        <f ca="1">IF(B188&gt;=$J$5,0,CONTADORES!H190-CONTADORES!H189)</f>
        <v>161.60000000000036</v>
      </c>
      <c r="AE188" s="1438">
        <f ca="1">IF(B188&gt;=$J$5,0,CONTADORES!J190-CONTADORES!J189)</f>
        <v>24</v>
      </c>
      <c r="AF188" s="1438">
        <f ca="1">IF(B188&gt;=$J$5,0,CONTADORES!AS190-CONTADORES!AS189)</f>
        <v>150.70000000001164</v>
      </c>
      <c r="AG188" s="1438">
        <f ca="1">IF(B188&gt;=$J$5,0,CONTADORES!AU190-CONTADORES!AU189)</f>
        <v>24</v>
      </c>
      <c r="AH188" s="1439">
        <f ca="1">IF(B188&gt;=$J$5,0,(CONTADORES!AK190-CONTADORES!AK189)+(CONTADORES!K190-CONTADORES!K189))</f>
        <v>12.700000000004366</v>
      </c>
      <c r="AI188" s="1438">
        <f ca="1">IF(B188&gt;=$J$5,0,(CONTADORES!AI190-CONTADORES!AI189)+(CONTADORES!M190-CONTADORES!M189))</f>
        <v>34.350000000005821</v>
      </c>
      <c r="AJ188" s="1438">
        <f ca="1">IF(B188&gt;=$J$5,0,(CONTADORES!AG190-CONTADORES!AG189))</f>
        <v>6.1799999999930151</v>
      </c>
      <c r="AK188" s="1438">
        <f ca="1">IF(B188&gt;=$J$5,0,(CONTADORES!O190-CONTADORES!O189))</f>
        <v>9.6799999999930151</v>
      </c>
      <c r="AL188" s="1450">
        <f t="shared" ca="1" si="74"/>
        <v>31.969000000037113</v>
      </c>
      <c r="AM188" s="1438">
        <f ca="1">IF(B188&gt;=$J$5,0,(((CONTADORES!F190-CONTADORES!F189)+(CONTADORES!AO190-CONTADORES!AO189))))-BJ188-AF188-AN188-BM188-BP188-BU188-BS188</f>
        <v>13.560000000013289</v>
      </c>
      <c r="AN188" s="1438">
        <f ca="1">IF(B188&gt;=$J$5,0,(CONTADORES!AV190-CONTADORES!AV189)+(CONTADORES!AX190-CONTADORES!AX189)+(CONTADORES!BC190-CONTADORES!BC189))-BS188</f>
        <v>2.240000000000606</v>
      </c>
      <c r="AO188" s="1440">
        <f ca="1">IF(B188&gt;=$J$5,0,(CONTADORES!AA190-CONTADORES!AA189))</f>
        <v>141.53999999997905</v>
      </c>
      <c r="AP188" s="1450">
        <f ca="1">IF(B188&gt;=$J$5,0,(CONTADORES!V190-CONTADORES!V189))</f>
        <v>75.330000000001746</v>
      </c>
      <c r="AQ188" s="1450">
        <f ca="1">IF(B188&gt;=$J$5,0,(CONTADORES!C190-CONTADORES!C189))</f>
        <v>8.6999999999989086E-2</v>
      </c>
      <c r="AR188" s="1450">
        <f ca="1">IF(B188&gt;=$J$5,0,(CONTADORES!BA190-CONTADORES!BA189))</f>
        <v>9.6999999999979991E-2</v>
      </c>
      <c r="AS188" s="1450">
        <f ca="1">IF(B188&gt;=$J$5,0,CONTADORES!Q190-CONTADORES!Q189)</f>
        <v>14.989999999990687</v>
      </c>
      <c r="AT188" s="1450">
        <f ca="1">IF(B188&gt;=$J$5,0,(CONTADORES!S190-CONTADORES!S189)+(CONTADORES!AE190-CONTADORES!AE189))</f>
        <v>3.269999999999996</v>
      </c>
      <c r="AU188" s="1450">
        <f ca="1">IF(B188&gt;=$J$5,0,(CONTADORES!I190-CONTADORES!I189))</f>
        <v>80.899999999999636</v>
      </c>
      <c r="AV188" s="1450">
        <f ca="1">IF(B188&gt;=$J$5,0,(CONTADORES!AT190-CONTADORES!AT189))</f>
        <v>64.260000000009313</v>
      </c>
      <c r="AW188" s="1450">
        <f ca="1">IF(B188&gt;=$J$5,0,(CONTADORES!L190-CONTADORES!L189)+(CONTADORES!AL190-CONTADORES!AL189))</f>
        <v>5</v>
      </c>
      <c r="AX188" s="1450">
        <f ca="1">IF(B188&gt;=$J$5,0,(CONTADORES!N190-CONTADORES!N189)+(CONTADORES!AJ190-CONTADORES!AJ189))</f>
        <v>29.510000000002037</v>
      </c>
      <c r="AY188" s="1450">
        <f ca="1">IF(B188&gt;=$J$5,0,(CONTADORES!AH190-CONTADORES!AH189))</f>
        <v>4.5499999999956344</v>
      </c>
      <c r="AZ188" s="1450">
        <f ca="1">IF(B188&gt;=$J$5,0,(CONTADORES!P190-CONTADORES!P189))</f>
        <v>7.7899999999935972</v>
      </c>
      <c r="BA188" s="1439">
        <f t="shared" ca="1" si="75"/>
        <v>6.0359999999947433</v>
      </c>
      <c r="BB188" s="1450">
        <f ca="1">IF(B188&gt;=$J$5,0,(((CONTADORES!G190-CONTADORES!G189)+(CONTADORES!AP190-CONTADORES!AP189)+AR188)-(AV188+BC188)))</f>
        <v>11.106999999985049</v>
      </c>
      <c r="BC188" s="1438">
        <f ca="1">IF(B188&gt;=$J$5,0,(CONTADORES!AW190-CONTADORES!AW189)+(CONTADORES!AY190-CONTADORES!AY189)+(CONTADORES!BD190-CONTADORES!BD189))</f>
        <v>2.4299999999999784</v>
      </c>
      <c r="BD188" s="1438">
        <f t="shared" ca="1" si="76"/>
        <v>217.05399999998076</v>
      </c>
      <c r="BE188" s="1439">
        <f ca="1">IF($B188&gt;=$J$5,0,CONTADORES!$BE190)</f>
        <v>5954.35</v>
      </c>
      <c r="BF188" s="1438">
        <f ca="1">IF($B188&gt;=$J$5,0,CONTADORES!$BF190)</f>
        <v>30876.9368421053</v>
      </c>
      <c r="BG188" s="1438">
        <f ca="1">IF($B188&gt;=$J$5,0,CONTADORES!$BH190)</f>
        <v>4989.18</v>
      </c>
      <c r="BH188" s="1438">
        <f ca="1">IF(B188&gt;=$J$5,0,(CONTADORES!AQ190-CONTADORES!AQ189))</f>
        <v>4.3899999999994179</v>
      </c>
      <c r="BI188" s="1438">
        <f ca="1">IF(C188&gt;=$J$5,0,(CONTADORES!AR190-CONTADORES!AR189))</f>
        <v>0</v>
      </c>
      <c r="BJ188" s="1439">
        <f ca="1">IF(B188&gt;=$J$5,0,CONTADORES!BI190-CONTADORES!BI189)/1000</f>
        <v>2.2799999999999998</v>
      </c>
      <c r="BK188" s="1439">
        <f ca="1">IF(B188&gt;=$J$5,0,CONTADORES!BJ190-CONTADORES!BJ189)</f>
        <v>1</v>
      </c>
      <c r="BL188" s="1439">
        <f ca="1">IF(B188&gt;=$J$5,0,CONTADORES!BK190-CONTADORES!BK189)</f>
        <v>21.640000000003056</v>
      </c>
      <c r="BM188" s="1439">
        <f ca="1">IF(B188&gt;=$J$5,0,CONTADORES!BL190-CONTADORES!BL189)/1000</f>
        <v>3.7839999999999998</v>
      </c>
      <c r="BN188" s="1439">
        <f ca="1">IF(B188&gt;=$J$5,0,CONTADORES!BM190-CONTADORES!BM189)/1000</f>
        <v>0.184</v>
      </c>
      <c r="BO188" s="1439">
        <f ca="1">IF(B188&gt;=$J$5,0,CONTADORES!BN190-CONTADORES!BN189)</f>
        <v>24.039999999997235</v>
      </c>
      <c r="BP188" s="1439">
        <f ca="1">IF(B188&gt;=$J$5,0,CONTADORES!BO190-CONTADORES!BO189)/1000</f>
        <v>0.35599999999999998</v>
      </c>
      <c r="BQ188" s="1439">
        <f ca="1">IF(B188&gt;=$J$5,0,CONTADORES!BP190-CONTADORES!BP189)/1000</f>
        <v>5.0000000000000001E-3</v>
      </c>
      <c r="BR188" s="1439">
        <f ca="1">IF(B188&gt;=$J$5,0,CONTADORES!BQ190-CONTADORES!BQ189)</f>
        <v>2.6199999999989814</v>
      </c>
      <c r="BS188" s="1439">
        <f ca="1">IF(B188&gt;=$J$5,0,(CONTADORES!BT190-CONTADORES!BT189)+(CONTADORES!BV190-CONTADORES!BV189))/1000</f>
        <v>1.5</v>
      </c>
      <c r="BT188" s="1439">
        <f ca="1">IF(B188&gt;=$J$5,0,(CONTADORES!BU190-CONTADORES!BU189)+(CONTADORES!BW190-CONTADORES!BW189))/1000</f>
        <v>0.91200000000000003</v>
      </c>
      <c r="BU188" s="1439">
        <f ca="1">IF(B188&gt;=$J$5,0,CONTADORES!BR190-CONTADORES!BR189)</f>
        <v>4.5799999999999272</v>
      </c>
      <c r="BV188" s="1439">
        <f ca="1">IF(B188&gt;=$J$5,0,CONTADORES!BS190-CONTADORES!BS189)</f>
        <v>3.3700000000008004</v>
      </c>
      <c r="BW188" s="1439">
        <f t="shared" ca="1" si="77"/>
        <v>11.360000000006572</v>
      </c>
      <c r="BX188" s="1439">
        <f t="shared" ca="1" si="78"/>
        <v>8.9234999999933251</v>
      </c>
      <c r="BY188" s="1439">
        <f t="shared" ca="1" si="79"/>
        <v>6.7800000000066447</v>
      </c>
      <c r="BZ188" s="1439">
        <f t="shared" ca="1" si="80"/>
        <v>0.89600000000024238</v>
      </c>
      <c r="CA188" s="1439">
        <f t="shared" ca="1" si="81"/>
        <v>6.7800000000066447</v>
      </c>
      <c r="CB188" s="1439">
        <f t="shared" ca="1" si="82"/>
        <v>1.3440000000003636</v>
      </c>
      <c r="CC188" s="1439">
        <f t="shared" ca="1" si="83"/>
        <v>2.3960000000002424</v>
      </c>
      <c r="CD188" s="1439">
        <f t="shared" ca="1" si="84"/>
        <v>5.5534999999925247</v>
      </c>
      <c r="CE188" s="1439">
        <f ca="1">IF(B188&gt;=$J$5,0,CONTADORES!BS190-CONTADORES!BS189)</f>
        <v>3.3700000000008004</v>
      </c>
      <c r="CF188" s="1439">
        <f t="shared" ca="1" si="85"/>
        <v>5.5534999999925247</v>
      </c>
      <c r="CG188" s="1439">
        <f t="shared" ca="1" si="86"/>
        <v>1.2149999999999892</v>
      </c>
      <c r="CH188" s="1439">
        <f t="shared" ca="1" si="87"/>
        <v>1.2149999999999892</v>
      </c>
      <c r="CI188" s="1439">
        <f t="shared" ca="1" si="88"/>
        <v>2.1269999999999891</v>
      </c>
      <c r="CJ188" s="1488">
        <f ca="1">IF($B188&gt;=$J$5,0,CONTADORES!$BG190)</f>
        <v>8932.7278803104491</v>
      </c>
      <c r="CK188" s="1406">
        <f>CONTADORES!E190</f>
        <v>0</v>
      </c>
      <c r="CL188" s="1406">
        <f>CONTADORES!BX190</f>
        <v>0</v>
      </c>
    </row>
    <row r="189" spans="2:90">
      <c r="B189" s="410">
        <v>45105</v>
      </c>
      <c r="C189" s="204">
        <f t="shared" ca="1" si="64"/>
        <v>283.39999999990687</v>
      </c>
      <c r="D189" s="202">
        <f ca="1">'CALCULO DE GAS'!D201</f>
        <v>4.9839166173914018</v>
      </c>
      <c r="E189" s="202">
        <f ca="1">IF(B189&gt;=$J$5,0,(CONTADORES!$AB191-CONTADORES!$AB190)-$H189)</f>
        <v>24</v>
      </c>
      <c r="F189" s="204">
        <f t="shared" ca="1" si="93"/>
        <v>0</v>
      </c>
      <c r="G189" s="202">
        <f ca="1">IF(B189&gt;=$J$5,0,CONTADORES!$AD191-CONTADORES!$AD190)</f>
        <v>0</v>
      </c>
      <c r="H189" s="202">
        <f ca="1">IF(G189&gt;0,CONTADORES!$AC191-CONTADORES!$AC190,0)</f>
        <v>0</v>
      </c>
      <c r="I189" s="205">
        <f ca="1">IF(B189&gt;=$J$5,0,CONTADORES!$Z191-CONTADORES!$Z190)</f>
        <v>283.39999999990687</v>
      </c>
      <c r="J189" s="204">
        <f t="shared" ca="1" si="65"/>
        <v>146.56999999999971</v>
      </c>
      <c r="K189" s="202">
        <f ca="1">'CALCULO DE GAS'!E201</f>
        <v>3.7220037397823162</v>
      </c>
      <c r="L189" s="1437">
        <f ca="1">IF(B189&gt;=$J$5,0,(CONTADORES!$W191-CONTADORES!$W190)-$O189)</f>
        <v>24</v>
      </c>
      <c r="M189" s="1437">
        <f t="shared" ca="1" si="92"/>
        <v>0</v>
      </c>
      <c r="N189" s="1437">
        <f ca="1">IF(B189&gt;=$J$5,0,CONTADORES!$Y191-CONTADORES!$Y190)</f>
        <v>0</v>
      </c>
      <c r="O189" s="1437">
        <f ca="1">IF(N189&gt;0,CONTADORES!$X191-CONTADORES!$X190,0)</f>
        <v>0</v>
      </c>
      <c r="P189" s="208">
        <f ca="1">IF(B189&gt;=$J$5,0,CONTADORES!$U191-CONTADORES!$U190)</f>
        <v>146.56999999999971</v>
      </c>
      <c r="Q189" s="208">
        <f ca="1">IF(B189&gt;=$J$5,0,CONTADORES!$B191-CONTADORES!$B190)</f>
        <v>0</v>
      </c>
      <c r="R189" s="202">
        <f t="shared" ca="1" si="66"/>
        <v>0</v>
      </c>
      <c r="S189" s="11">
        <f ca="1">IF(B189&gt;=$J$5,0,CONTADORES!$D191-CONTADORES!$D190)</f>
        <v>0</v>
      </c>
      <c r="T189" s="204">
        <f ca="1">IF(B189&gt;=$J$5,0,CONTADORES!$AZ191-CONTADORES!$AZ190)</f>
        <v>0</v>
      </c>
      <c r="U189" s="202">
        <f t="shared" ca="1" si="91"/>
        <v>0</v>
      </c>
      <c r="V189" s="205">
        <f ca="1">IF(B189&gt;=$J$5,0,CONTADORES!$BB191-CONTADORES!$BB190)</f>
        <v>0</v>
      </c>
      <c r="W189" s="1438">
        <f t="shared" ca="1" si="67"/>
        <v>429.96999999990658</v>
      </c>
      <c r="X189" s="1438">
        <f t="shared" ca="1" si="68"/>
        <v>0</v>
      </c>
      <c r="Y189" s="1439">
        <f t="shared" ca="1" si="69"/>
        <v>429.96999999990658</v>
      </c>
      <c r="Z189" s="1439">
        <f t="shared" ca="1" si="70"/>
        <v>8.7059203571737172</v>
      </c>
      <c r="AA189" s="1439">
        <f t="shared" ca="1" si="71"/>
        <v>0</v>
      </c>
      <c r="AB189" s="1439">
        <f t="shared" ca="1" si="72"/>
        <v>48</v>
      </c>
      <c r="AC189" s="1438">
        <f t="shared" ca="1" si="73"/>
        <v>0</v>
      </c>
      <c r="AD189" s="1438">
        <f ca="1">IF(B189&gt;=$J$5,0,CONTADORES!H191-CONTADORES!H190)</f>
        <v>160.77999999999884</v>
      </c>
      <c r="AE189" s="1438">
        <f ca="1">IF(B189&gt;=$J$5,0,CONTADORES!J191-CONTADORES!J190)</f>
        <v>24</v>
      </c>
      <c r="AF189" s="1438">
        <f ca="1">IF(B189&gt;=$J$5,0,CONTADORES!AS191-CONTADORES!AS190)</f>
        <v>150.32000000000698</v>
      </c>
      <c r="AG189" s="1438">
        <f ca="1">IF(B189&gt;=$J$5,0,CONTADORES!AU191-CONTADORES!AU190)</f>
        <v>24</v>
      </c>
      <c r="AH189" s="1439">
        <f ca="1">IF(B189&gt;=$J$5,0,(CONTADORES!AK191-CONTADORES!AK190)+(CONTADORES!K191-CONTADORES!K190))</f>
        <v>6.0999999999985448</v>
      </c>
      <c r="AI189" s="1438">
        <f ca="1">IF(B189&gt;=$J$5,0,(CONTADORES!AI191-CONTADORES!AI190)+(CONTADORES!M191-CONTADORES!M190))</f>
        <v>35.819999999992433</v>
      </c>
      <c r="AJ189" s="1438">
        <f ca="1">IF(B189&gt;=$J$5,0,(CONTADORES!AG191-CONTADORES!AG190))</f>
        <v>6.1400000000139698</v>
      </c>
      <c r="AK189" s="1438">
        <f ca="1">IF(B189&gt;=$J$5,0,(CONTADORES!O191-CONTADORES!O190))</f>
        <v>8.4299999999930151</v>
      </c>
      <c r="AL189" s="1450">
        <f t="shared" ca="1" si="74"/>
        <v>32.699999999957015</v>
      </c>
      <c r="AM189" s="1438">
        <f ca="1">IF(B189&gt;=$J$5,0,(((CONTADORES!F191-CONTADORES!F190)+(CONTADORES!AO191-CONTADORES!AO190))))-BJ189-AF189-AN189-BM189-BP189-BU189-BS189</f>
        <v>13.675999999945228</v>
      </c>
      <c r="AN189" s="1438">
        <f ca="1">IF(B189&gt;=$J$5,0,(CONTADORES!AV191-CONTADORES!AV190)+(CONTADORES!AX191-CONTADORES!AX190)+(CONTADORES!BC191-CONTADORES!BC190))-BS189</f>
        <v>2.403999999999693</v>
      </c>
      <c r="AO189" s="1440">
        <f ca="1">IF(B189&gt;=$J$5,0,(CONTADORES!AA191-CONTADORES!AA190))</f>
        <v>141.76000000000931</v>
      </c>
      <c r="AP189" s="1450">
        <f ca="1">IF(B189&gt;=$J$5,0,(CONTADORES!V191-CONTADORES!V190))</f>
        <v>75.039999999997235</v>
      </c>
      <c r="AQ189" s="1450">
        <f ca="1">IF(B189&gt;=$J$5,0,(CONTADORES!C191-CONTADORES!C190))</f>
        <v>0</v>
      </c>
      <c r="AR189" s="1450">
        <f ca="1">IF(B189&gt;=$J$5,0,(CONTADORES!BA191-CONTADORES!BA190))</f>
        <v>0</v>
      </c>
      <c r="AS189" s="1450">
        <f ca="1">IF(B189&gt;=$J$5,0,CONTADORES!Q191-CONTADORES!Q190)</f>
        <v>14.529999999998836</v>
      </c>
      <c r="AT189" s="1450">
        <f ca="1">IF(B189&gt;=$J$5,0,(CONTADORES!S191-CONTADORES!S190)+(CONTADORES!AE191-CONTADORES!AE190))</f>
        <v>3.25</v>
      </c>
      <c r="AU189" s="1450">
        <f ca="1">IF(B189&gt;=$J$5,0,(CONTADORES!I191-CONTADORES!I190))</f>
        <v>81.210000000000036</v>
      </c>
      <c r="AV189" s="1450">
        <f ca="1">IF(B189&gt;=$J$5,0,(CONTADORES!AT191-CONTADORES!AT190))</f>
        <v>64.839999999996508</v>
      </c>
      <c r="AW189" s="1450">
        <f ca="1">IF(B189&gt;=$J$5,0,(CONTADORES!L191-CONTADORES!L190)+(CONTADORES!AL191-CONTADORES!AL190))</f>
        <v>2.4000000000014552</v>
      </c>
      <c r="AX189" s="1450">
        <f ca="1">IF(B189&gt;=$J$5,0,(CONTADORES!N191-CONTADORES!N190)+(CONTADORES!AJ191-CONTADORES!AJ190))</f>
        <v>31.040000000000873</v>
      </c>
      <c r="AY189" s="1450">
        <f ca="1">IF(B189&gt;=$J$5,0,(CONTADORES!AH191-CONTADORES!AH190))</f>
        <v>4.5500000000029104</v>
      </c>
      <c r="AZ189" s="1450">
        <f ca="1">IF(B189&gt;=$J$5,0,(CONTADORES!P191-CONTADORES!P190))</f>
        <v>6.9200000000128057</v>
      </c>
      <c r="BA189" s="1439">
        <f t="shared" ca="1" si="75"/>
        <v>7.5869999999713684</v>
      </c>
      <c r="BB189" s="1450">
        <f ca="1">IF(B189&gt;=$J$5,0,(((CONTADORES!G191-CONTADORES!G190)+(CONTADORES!AP191-CONTADORES!AP190)+AR189)-(AV189+BC189)))</f>
        <v>10.880000000020942</v>
      </c>
      <c r="BC189" s="1438">
        <f ca="1">IF(B189&gt;=$J$5,0,(CONTADORES!AW191-CONTADORES!AW190)+(CONTADORES!AY191-CONTADORES!AY190)+(CONTADORES!BD191-CONTADORES!BD190))</f>
        <v>2.3800000000001944</v>
      </c>
      <c r="BD189" s="1438">
        <f t="shared" ca="1" si="76"/>
        <v>216.80000000000655</v>
      </c>
      <c r="BE189" s="1439">
        <f ca="1">IF($B189&gt;=$J$5,0,CONTADORES!$BE191)</f>
        <v>5947.6</v>
      </c>
      <c r="BF189" s="1438">
        <f ca="1">IF($B189&gt;=$J$5,0,CONTADORES!$BF191)</f>
        <v>30978.773684210501</v>
      </c>
      <c r="BG189" s="1438">
        <f ca="1">IF($B189&gt;=$J$5,0,CONTADORES!$BH191)</f>
        <v>5498.39</v>
      </c>
      <c r="BH189" s="1438">
        <f ca="1">IF(B189&gt;=$J$5,0,(CONTADORES!AQ191-CONTADORES!AQ190))</f>
        <v>4.9100000000034925</v>
      </c>
      <c r="BI189" s="1438">
        <f ca="1">IF(C189&gt;=$J$5,0,(CONTADORES!AR191-CONTADORES!AR190))</f>
        <v>0</v>
      </c>
      <c r="BJ189" s="1439">
        <f ca="1">IF(B189&gt;=$J$5,0,CONTADORES!BI191-CONTADORES!BI190)/1000</f>
        <v>0</v>
      </c>
      <c r="BK189" s="1439">
        <f ca="1">IF(B189&gt;=$J$5,0,CONTADORES!BJ191-CONTADORES!BJ190)</f>
        <v>0</v>
      </c>
      <c r="BL189" s="1439">
        <f ca="1">IF(B189&gt;=$J$5,0,CONTADORES!BK191-CONTADORES!BK190)</f>
        <v>0</v>
      </c>
      <c r="BM189" s="1439">
        <f ca="1">IF(B189&gt;=$J$5,0,CONTADORES!BL191-CONTADORES!BL190)/1000</f>
        <v>4.17</v>
      </c>
      <c r="BN189" s="1439">
        <f ca="1">IF(B189&gt;=$J$5,0,CONTADORES!BM191-CONTADORES!BM190)/1000</f>
        <v>0.60699999999999998</v>
      </c>
      <c r="BO189" s="1439">
        <f ca="1">IF(B189&gt;=$J$5,0,CONTADORES!BN191-CONTADORES!BN190)</f>
        <v>23.659999999999854</v>
      </c>
      <c r="BP189" s="1439">
        <f ca="1">IF(B189&gt;=$J$5,0,CONTADORES!BO191-CONTADORES!BO190)/1000</f>
        <v>3.3140000000000001</v>
      </c>
      <c r="BQ189" s="1439">
        <f ca="1">IF(B189&gt;=$J$5,0,CONTADORES!BP191-CONTADORES!BP190)/1000</f>
        <v>0.159</v>
      </c>
      <c r="BR189" s="1439">
        <f ca="1">IF(B189&gt;=$J$5,0,CONTADORES!BQ191-CONTADORES!BQ190)</f>
        <v>23.650000000001455</v>
      </c>
      <c r="BS189" s="1439">
        <f ca="1">IF(B189&gt;=$J$5,0,(CONTADORES!BT191-CONTADORES!BT190)+(CONTADORES!BV191-CONTADORES!BV190))/1000</f>
        <v>1.496</v>
      </c>
      <c r="BT189" s="1439">
        <f ca="1">IF(B189&gt;=$J$5,0,(CONTADORES!BU191-CONTADORES!BU190)+(CONTADORES!BW191-CONTADORES!BW190))/1000</f>
        <v>0.877</v>
      </c>
      <c r="BU189" s="1439">
        <f ca="1">IF(B189&gt;=$J$5,0,CONTADORES!BR191-CONTADORES!BR190)</f>
        <v>4.6200000000008004</v>
      </c>
      <c r="BV189" s="1439">
        <f ca="1">IF(B189&gt;=$J$5,0,CONTADORES!BS191-CONTADORES!BS190)</f>
        <v>3.3499999999994543</v>
      </c>
      <c r="BW189" s="1439">
        <f t="shared" ca="1" si="77"/>
        <v>11.457999999973413</v>
      </c>
      <c r="BX189" s="1439">
        <f t="shared" ca="1" si="78"/>
        <v>8.7900000000099254</v>
      </c>
      <c r="BY189" s="1439">
        <f t="shared" ca="1" si="79"/>
        <v>6.837999999972614</v>
      </c>
      <c r="BZ189" s="1439">
        <f t="shared" ca="1" si="80"/>
        <v>0.96159999999987722</v>
      </c>
      <c r="CA189" s="1439">
        <f t="shared" ca="1" si="81"/>
        <v>6.837999999972614</v>
      </c>
      <c r="CB189" s="1439">
        <f t="shared" ca="1" si="82"/>
        <v>1.4423999999998158</v>
      </c>
      <c r="CC189" s="1439">
        <f t="shared" ca="1" si="83"/>
        <v>2.4575999999998772</v>
      </c>
      <c r="CD189" s="1439">
        <f t="shared" ca="1" si="84"/>
        <v>5.4400000000104711</v>
      </c>
      <c r="CE189" s="1439">
        <f ca="1">IF(B189&gt;=$J$5,0,CONTADORES!BS191-CONTADORES!BS190)</f>
        <v>3.3499999999994543</v>
      </c>
      <c r="CF189" s="1439">
        <f t="shared" ca="1" si="85"/>
        <v>5.4400000000104711</v>
      </c>
      <c r="CG189" s="1439">
        <f t="shared" ca="1" si="86"/>
        <v>1.1900000000000972</v>
      </c>
      <c r="CH189" s="1439">
        <f t="shared" ca="1" si="87"/>
        <v>1.1900000000000972</v>
      </c>
      <c r="CI189" s="1439">
        <f t="shared" ca="1" si="88"/>
        <v>2.067000000000097</v>
      </c>
      <c r="CJ189" s="1488">
        <f ca="1">IF($B189&gt;=$J$5,0,CONTADORES!$BG191)</f>
        <v>8539.7276895615196</v>
      </c>
      <c r="CK189" s="1406">
        <f>CONTADORES!E191</f>
        <v>0</v>
      </c>
      <c r="CL189" s="1406">
        <f>CONTADORES!BX191</f>
        <v>0</v>
      </c>
    </row>
    <row r="190" spans="2:90">
      <c r="B190" s="410">
        <v>45106</v>
      </c>
      <c r="C190" s="204">
        <f t="shared" ca="1" si="64"/>
        <v>290.79000000003725</v>
      </c>
      <c r="D190" s="202">
        <f ca="1">'CALCULO DE GAS'!D202</f>
        <v>5.0528018572859974</v>
      </c>
      <c r="E190" s="202">
        <f ca="1">IF(B190&gt;=$J$5,0,(CONTADORES!$AB192-CONTADORES!$AB191)-$H190)</f>
        <v>24</v>
      </c>
      <c r="F190" s="204">
        <f t="shared" ca="1" si="93"/>
        <v>0</v>
      </c>
      <c r="G190" s="202">
        <f ca="1">IF(B190&gt;=$J$5,0,CONTADORES!$AD192-CONTADORES!$AD191)</f>
        <v>0</v>
      </c>
      <c r="H190" s="202">
        <f ca="1">IF(G190&gt;0,CONTADORES!$AC192-CONTADORES!$AC191,0)</f>
        <v>0</v>
      </c>
      <c r="I190" s="205">
        <f ca="1">IF(B190&gt;=$J$5,0,CONTADORES!$Z192-CONTADORES!$Z191)</f>
        <v>290.79000000003725</v>
      </c>
      <c r="J190" s="204">
        <f t="shared" ca="1" si="65"/>
        <v>147.78600000000006</v>
      </c>
      <c r="K190" s="202">
        <f ca="1">'CALCULO DE GAS'!E202</f>
        <v>3.7341482089071532</v>
      </c>
      <c r="L190" s="1437">
        <f ca="1">IF(B190&gt;=$J$5,0,(CONTADORES!$W192-CONTADORES!$W191)-$O190)</f>
        <v>24</v>
      </c>
      <c r="M190" s="1437">
        <f t="shared" ca="1" si="92"/>
        <v>0</v>
      </c>
      <c r="N190" s="1437">
        <f ca="1">IF(B190&gt;=$J$5,0,CONTADORES!$Y192-CONTADORES!$Y191)</f>
        <v>0</v>
      </c>
      <c r="O190" s="1437">
        <f ca="1">IF(N190&gt;0,CONTADORES!$X192-CONTADORES!$X191,0)</f>
        <v>0</v>
      </c>
      <c r="P190" s="208">
        <f ca="1">IF(B190&gt;=$J$5,0,CONTADORES!$U192-CONTADORES!$U191)</f>
        <v>147.78600000000006</v>
      </c>
      <c r="Q190" s="208">
        <f ca="1">IF(B190&gt;=$J$5,0,CONTADORES!$B192-CONTADORES!$B191)</f>
        <v>0</v>
      </c>
      <c r="R190" s="202">
        <f t="shared" ca="1" si="66"/>
        <v>0</v>
      </c>
      <c r="S190" s="11">
        <f ca="1">IF(B190&gt;=$J$5,0,CONTADORES!$D192-CONTADORES!$D191)</f>
        <v>0</v>
      </c>
      <c r="T190" s="204">
        <f ca="1">IF(B190&gt;=$J$5,0,CONTADORES!$AZ192-CONTADORES!$AZ191)</f>
        <v>0</v>
      </c>
      <c r="U190" s="202">
        <f t="shared" ca="1" si="91"/>
        <v>0</v>
      </c>
      <c r="V190" s="205">
        <f ca="1">IF(B190&gt;=$J$5,0,CONTADORES!$BB192-CONTADORES!$BB191)</f>
        <v>0</v>
      </c>
      <c r="W190" s="1438">
        <f t="shared" ca="1" si="67"/>
        <v>438.57600000003731</v>
      </c>
      <c r="X190" s="1438">
        <f t="shared" ca="1" si="68"/>
        <v>0</v>
      </c>
      <c r="Y190" s="1439">
        <f t="shared" ca="1" si="69"/>
        <v>438.57600000003731</v>
      </c>
      <c r="Z190" s="1439">
        <f t="shared" ca="1" si="70"/>
        <v>8.7869500661931497</v>
      </c>
      <c r="AA190" s="1439">
        <f t="shared" ca="1" si="71"/>
        <v>0</v>
      </c>
      <c r="AB190" s="1439">
        <f t="shared" ca="1" si="72"/>
        <v>48</v>
      </c>
      <c r="AC190" s="1438">
        <f t="shared" ca="1" si="73"/>
        <v>0</v>
      </c>
      <c r="AD190" s="1438">
        <f ca="1">IF(B190&gt;=$J$5,0,CONTADORES!H192-CONTADORES!H191)</f>
        <v>161.6200000000008</v>
      </c>
      <c r="AE190" s="1438">
        <f ca="1">IF(B190&gt;=$J$5,0,CONTADORES!J192-CONTADORES!J191)</f>
        <v>24</v>
      </c>
      <c r="AF190" s="1438">
        <f ca="1">IF(B190&gt;=$J$5,0,CONTADORES!AS192-CONTADORES!AS191)</f>
        <v>156.07999999995809</v>
      </c>
      <c r="AG190" s="1438">
        <f ca="1">IF(B190&gt;=$J$5,0,CONTADORES!AU192-CONTADORES!AU191)</f>
        <v>24</v>
      </c>
      <c r="AH190" s="1439">
        <f ca="1">IF(B190&gt;=$J$5,0,(CONTADORES!AK192-CONTADORES!AK191)+(CONTADORES!K192-CONTADORES!K191))</f>
        <v>12.900000000001455</v>
      </c>
      <c r="AI190" s="1438">
        <f ca="1">IF(B190&gt;=$J$5,0,(CONTADORES!AI192-CONTADORES!AI191)+(CONTADORES!M192-CONTADORES!M191))</f>
        <v>35.44999999999709</v>
      </c>
      <c r="AJ190" s="1438">
        <f ca="1">IF(B190&gt;=$J$5,0,(CONTADORES!AG192-CONTADORES!AG191))</f>
        <v>5.7799999999988358</v>
      </c>
      <c r="AK190" s="1438">
        <f ca="1">IF(B190&gt;=$J$5,0,(CONTADORES!O192-CONTADORES!O191))</f>
        <v>8.4100000000034925</v>
      </c>
      <c r="AL190" s="1450">
        <f t="shared" ca="1" si="74"/>
        <v>32.915999999988401</v>
      </c>
      <c r="AM190" s="1438">
        <f ca="1">IF(B190&gt;=$J$5,0,(((CONTADORES!F192-CONTADORES!F191)+(CONTADORES!AO192-CONTADORES!AO191))))-BJ190-AF190-AN190-BM190-BP190-BU190-BS190</f>
        <v>8.3430000000899316</v>
      </c>
      <c r="AN190" s="1438">
        <f ca="1">IF(B190&gt;=$J$5,0,(CONTADORES!AV192-CONTADORES!AV191)+(CONTADORES!AX192-CONTADORES!AX191)+(CONTADORES!BC192-CONTADORES!BC191))-BS190</f>
        <v>2.4219999999997093</v>
      </c>
      <c r="AO190" s="1440">
        <f ca="1">IF(B190&gt;=$J$5,0,(CONTADORES!AA192-CONTADORES!AA191))</f>
        <v>139.8300000000163</v>
      </c>
      <c r="AP190" s="1450">
        <f ca="1">IF(B190&gt;=$J$5,0,(CONTADORES!V192-CONTADORES!V191))</f>
        <v>77.630000000001019</v>
      </c>
      <c r="AQ190" s="1450">
        <f ca="1">IF(B190&gt;=$J$5,0,(CONTADORES!C192-CONTADORES!C191))</f>
        <v>0</v>
      </c>
      <c r="AR190" s="1450">
        <f ca="1">IF(B190&gt;=$J$5,0,(CONTADORES!BA192-CONTADORES!BA191))</f>
        <v>0</v>
      </c>
      <c r="AS190" s="1450">
        <f ca="1">IF(B190&gt;=$J$5,0,CONTADORES!Q192-CONTADORES!Q191)</f>
        <v>14.830000000016298</v>
      </c>
      <c r="AT190" s="1450">
        <f ca="1">IF(B190&gt;=$J$5,0,(CONTADORES!S192-CONTADORES!S191)+(CONTADORES!AE192-CONTADORES!AE191))</f>
        <v>3.2800000000000011</v>
      </c>
      <c r="AU190" s="1450">
        <f ca="1">IF(B190&gt;=$J$5,0,(CONTADORES!I192-CONTADORES!I191))</f>
        <v>81.690000000000509</v>
      </c>
      <c r="AV190" s="1450">
        <f ca="1">IF(B190&gt;=$J$5,0,(CONTADORES!AT192-CONTADORES!AT191))</f>
        <v>67.399999999994179</v>
      </c>
      <c r="AW190" s="1450">
        <f ca="1">IF(B190&gt;=$J$5,0,(CONTADORES!L192-CONTADORES!L191)+(CONTADORES!AL192-CONTADORES!AL191))</f>
        <v>5</v>
      </c>
      <c r="AX190" s="1450">
        <f ca="1">IF(B190&gt;=$J$5,0,(CONTADORES!N192-CONTADORES!N191)+(CONTADORES!AJ192-CONTADORES!AJ191))</f>
        <v>30.55000000000291</v>
      </c>
      <c r="AY190" s="1450">
        <f ca="1">IF(B190&gt;=$J$5,0,(CONTADORES!AH192-CONTADORES!AH191))</f>
        <v>4.3600000000005821</v>
      </c>
      <c r="AZ190" s="1450">
        <f ca="1">IF(B190&gt;=$J$5,0,(CONTADORES!P192-CONTADORES!P191))</f>
        <v>6.4599999999918509</v>
      </c>
      <c r="BA190" s="1439">
        <f t="shared" ca="1" si="75"/>
        <v>6.9390000000220198</v>
      </c>
      <c r="BB190" s="1450">
        <f ca="1">IF(B190&gt;=$J$5,0,(((CONTADORES!G192-CONTADORES!G191)+(CONTADORES!AP192-CONTADORES!AP191)+AR190)-(AV190+BC190)))</f>
        <v>7.4900000000052955</v>
      </c>
      <c r="BC190" s="1438">
        <f ca="1">IF(B190&gt;=$J$5,0,(CONTADORES!AW192-CONTADORES!AW191)+(CONTADORES!AY192-CONTADORES!AY191)+(CONTADORES!BD192-CONTADORES!BD191))</f>
        <v>2.4099999999997976</v>
      </c>
      <c r="BD190" s="1438">
        <f t="shared" ca="1" si="76"/>
        <v>217.46000000001732</v>
      </c>
      <c r="BE190" s="1439">
        <f ca="1">IF($B190&gt;=$J$5,0,CONTADORES!$BE192)</f>
        <v>5834.62</v>
      </c>
      <c r="BF190" s="1438">
        <f ca="1">IF($B190&gt;=$J$5,0,CONTADORES!$BF192)</f>
        <v>30899.5438596491</v>
      </c>
      <c r="BG190" s="1438">
        <f ca="1">IF($B190&gt;=$J$5,0,CONTADORES!$BH192)</f>
        <v>5557.81</v>
      </c>
      <c r="BH190" s="1438">
        <f ca="1">IF(B190&gt;=$J$5,0,(CONTADORES!AQ192-CONTADORES!AQ191))</f>
        <v>5.1929999999993015</v>
      </c>
      <c r="BI190" s="1438">
        <f ca="1">IF(C190&gt;=$J$5,0,(CONTADORES!AR192-CONTADORES!AR191))</f>
        <v>0</v>
      </c>
      <c r="BJ190" s="1439">
        <f ca="1">IF(B190&gt;=$J$5,0,CONTADORES!BI192-CONTADORES!BI191)/1000</f>
        <v>0</v>
      </c>
      <c r="BK190" s="1439">
        <f ca="1">IF(B190&gt;=$J$5,0,CONTADORES!BJ192-CONTADORES!BJ191)</f>
        <v>0</v>
      </c>
      <c r="BL190" s="1439">
        <f ca="1">IF(B190&gt;=$J$5,0,CONTADORES!BK192-CONTADORES!BK191)</f>
        <v>0</v>
      </c>
      <c r="BM190" s="1439">
        <f ca="1">IF(B190&gt;=$J$5,0,CONTADORES!BL192-CONTADORES!BL191)/1000</f>
        <v>4.351</v>
      </c>
      <c r="BN190" s="1439">
        <f ca="1">IF(B190&gt;=$J$5,0,CONTADORES!BM192-CONTADORES!BM191)/1000</f>
        <v>0.53600000000000003</v>
      </c>
      <c r="BO190" s="1439">
        <f ca="1">IF(B190&gt;=$J$5,0,CONTADORES!BN192-CONTADORES!BN191)</f>
        <v>24</v>
      </c>
      <c r="BP190" s="1439">
        <f ca="1">IF(B190&gt;=$J$5,0,CONTADORES!BO192-CONTADORES!BO191)/1000</f>
        <v>3.4260000000000002</v>
      </c>
      <c r="BQ190" s="1439">
        <f ca="1">IF(B190&gt;=$J$5,0,CONTADORES!BP192-CONTADORES!BP191)/1000</f>
        <v>0.04</v>
      </c>
      <c r="BR190" s="1439">
        <f ca="1">IF(B190&gt;=$J$5,0,CONTADORES!BQ192-CONTADORES!BQ191)</f>
        <v>24.029999999998836</v>
      </c>
      <c r="BS190" s="1439">
        <f ca="1">IF(B190&gt;=$J$5,0,(CONTADORES!BT192-CONTADORES!BT191)+(CONTADORES!BV192-CONTADORES!BV191))/1000</f>
        <v>1.3979999999999999</v>
      </c>
      <c r="BT190" s="1439">
        <f ca="1">IF(B190&gt;=$J$5,0,(CONTADORES!BU192-CONTADORES!BU191)+(CONTADORES!BW192-CONTADORES!BW191))/1000</f>
        <v>0.78500000000000003</v>
      </c>
      <c r="BU190" s="1439">
        <f ca="1">IF(B190&gt;=$J$5,0,CONTADORES!BR192-CONTADORES!BR191)</f>
        <v>5.4799999999995634</v>
      </c>
      <c r="BV190" s="1439">
        <f ca="1">IF(B190&gt;=$J$5,0,CONTADORES!BS192-CONTADORES!BS191)</f>
        <v>3.8000000000001819</v>
      </c>
      <c r="BW190" s="1439">
        <f t="shared" ca="1" si="77"/>
        <v>9.6515000000445283</v>
      </c>
      <c r="BX190" s="1439">
        <f t="shared" ca="1" si="78"/>
        <v>7.5450000000028297</v>
      </c>
      <c r="BY190" s="1439">
        <f t="shared" ca="1" si="79"/>
        <v>4.1715000000449658</v>
      </c>
      <c r="BZ190" s="1439">
        <f t="shared" ca="1" si="80"/>
        <v>0.96879999999988375</v>
      </c>
      <c r="CA190" s="1439">
        <f t="shared" ca="1" si="81"/>
        <v>4.1715000000449658</v>
      </c>
      <c r="CB190" s="1439">
        <f t="shared" ca="1" si="82"/>
        <v>1.4531999999998255</v>
      </c>
      <c r="CC190" s="1439">
        <f t="shared" ca="1" si="83"/>
        <v>2.3667999999998837</v>
      </c>
      <c r="CD190" s="1439">
        <f t="shared" ca="1" si="84"/>
        <v>3.7450000000026478</v>
      </c>
      <c r="CE190" s="1439">
        <f ca="1">IF(B190&gt;=$J$5,0,CONTADORES!BS192-CONTADORES!BS191)</f>
        <v>3.8000000000001819</v>
      </c>
      <c r="CF190" s="1439">
        <f t="shared" ca="1" si="85"/>
        <v>3.7450000000026478</v>
      </c>
      <c r="CG190" s="1439">
        <f t="shared" ca="1" si="86"/>
        <v>1.2049999999998988</v>
      </c>
      <c r="CH190" s="1439">
        <f t="shared" ca="1" si="87"/>
        <v>1.2049999999998988</v>
      </c>
      <c r="CI190" s="1439">
        <f t="shared" ca="1" si="88"/>
        <v>1.989999999999899</v>
      </c>
      <c r="CJ190" s="1488">
        <f ca="1">IF($B190&gt;=$J$5,0,CONTADORES!$BG192)</f>
        <v>8629.0754396775192</v>
      </c>
      <c r="CK190" s="1406">
        <f>CONTADORES!E192</f>
        <v>0</v>
      </c>
      <c r="CL190" s="1406">
        <f>CONTADORES!BX192</f>
        <v>0</v>
      </c>
    </row>
    <row r="191" spans="2:90" ht="15" thickBot="1">
      <c r="B191" s="1069">
        <v>45107</v>
      </c>
      <c r="C191" s="1491">
        <f t="shared" ca="1" si="64"/>
        <v>282.07600000000093</v>
      </c>
      <c r="D191" s="1492">
        <f ca="1">'CALCULO DE GAS'!D203</f>
        <v>4.9715750669702441</v>
      </c>
      <c r="E191" s="1492">
        <f ca="1">IF(B191&gt;=$J$5,0,(CONTADORES!$AB193-CONTADORES!$AB192)-$H191)</f>
        <v>24</v>
      </c>
      <c r="F191" s="1493">
        <f t="shared" ca="1" si="93"/>
        <v>0</v>
      </c>
      <c r="G191" s="1492">
        <f ca="1">IF(B191&gt;=$J$5,0,CONTADORES!$AD193-CONTADORES!$AD192)</f>
        <v>0</v>
      </c>
      <c r="H191" s="1492">
        <f ca="1">IF(G191&gt;0,CONTADORES!$AC193-CONTADORES!$AC192,0)</f>
        <v>0</v>
      </c>
      <c r="I191" s="1494">
        <f ca="1">IF(B191&gt;=$J$5,0,CONTADORES!$Z193-CONTADORES!$Z192)</f>
        <v>282.07600000000093</v>
      </c>
      <c r="J191" s="1493">
        <f t="shared" ca="1" si="65"/>
        <v>147.90399999999499</v>
      </c>
      <c r="K191" s="1492">
        <f ca="1">'CALCULO DE GAS'!E203</f>
        <v>3.7353267017991501</v>
      </c>
      <c r="L191" s="1495">
        <f ca="1">IF(B191&gt;=$J$5,0,(CONTADORES!$W193-CONTADORES!$W192)-$O191)</f>
        <v>24</v>
      </c>
      <c r="M191" s="1495">
        <f t="shared" ca="1" si="92"/>
        <v>0</v>
      </c>
      <c r="N191" s="1495">
        <f ca="1">IF(B191&gt;=$J$5,0,CONTADORES!$Y193-CONTADORES!$Y192)</f>
        <v>0</v>
      </c>
      <c r="O191" s="1495">
        <f ca="1">IF(N191&gt;0,CONTADORES!$X193-CONTADORES!$X192,0)</f>
        <v>0</v>
      </c>
      <c r="P191" s="1491">
        <f ca="1">IF(B191&gt;=$J$5,0,CONTADORES!$U193-CONTADORES!$U192)</f>
        <v>147.90399999999499</v>
      </c>
      <c r="Q191" s="1491">
        <f ca="1">IF(B191&gt;=$J$5,0,CONTADORES!$B193-CONTADORES!$B192)</f>
        <v>0</v>
      </c>
      <c r="R191" s="1492">
        <f t="shared" ca="1" si="66"/>
        <v>0</v>
      </c>
      <c r="S191" s="1378">
        <f ca="1">IF(B191&gt;=$J$5,0,CONTADORES!$D193-CONTADORES!$D192)</f>
        <v>0</v>
      </c>
      <c r="T191" s="1493">
        <f ca="1">IF(B191&gt;=$J$5,0,CONTADORES!$AZ193-CONTADORES!$AZ192)</f>
        <v>0</v>
      </c>
      <c r="U191" s="1492">
        <f t="shared" ca="1" si="91"/>
        <v>0</v>
      </c>
      <c r="V191" s="1494">
        <f ca="1">IF(B191&gt;=$J$5,0,CONTADORES!$BB193-CONTADORES!$BB192)</f>
        <v>0</v>
      </c>
      <c r="W191" s="1466">
        <f t="shared" ca="1" si="67"/>
        <v>429.97999999999593</v>
      </c>
      <c r="X191" s="1466">
        <f t="shared" ca="1" si="68"/>
        <v>0</v>
      </c>
      <c r="Y191" s="1467">
        <f t="shared" ca="1" si="69"/>
        <v>429.97999999999593</v>
      </c>
      <c r="Z191" s="1467">
        <f t="shared" ca="1" si="70"/>
        <v>8.706901768769395</v>
      </c>
      <c r="AA191" s="1467">
        <f t="shared" ca="1" si="71"/>
        <v>0</v>
      </c>
      <c r="AB191" s="1467">
        <f t="shared" ca="1" si="72"/>
        <v>48</v>
      </c>
      <c r="AC191" s="1467">
        <f t="shared" ca="1" si="73"/>
        <v>0</v>
      </c>
      <c r="AD191" s="1496">
        <f ca="1">IF(B191&gt;=$J$5,0,CONTADORES!H193-CONTADORES!H192)</f>
        <v>162.12299999999959</v>
      </c>
      <c r="AE191" s="1496">
        <f ca="1">IF(B191&gt;=$J$5,0,CONTADORES!J193-CONTADORES!J192)</f>
        <v>24</v>
      </c>
      <c r="AF191" s="1496">
        <f ca="1">IF(B191&gt;=$J$5,0,CONTADORES!AS193-CONTADORES!AS192)</f>
        <v>151.30999999999767</v>
      </c>
      <c r="AG191" s="1496">
        <f ca="1">IF(B191&gt;=$J$5,0,CONTADORES!AU193-CONTADORES!AU192)</f>
        <v>24</v>
      </c>
      <c r="AH191" s="1497">
        <f ca="1">IF(B191&gt;=$J$5,0,(CONTADORES!AK193-CONTADORES!AK192)+(CONTADORES!K193-CONTADORES!K192))</f>
        <v>3.7999999999956344</v>
      </c>
      <c r="AI191" s="1496">
        <f ca="1">IF(B191&gt;=$J$5,0,(CONTADORES!AI193-CONTADORES!AI192)+(CONTADORES!M193-CONTADORES!M192))</f>
        <v>36.360000000000582</v>
      </c>
      <c r="AJ191" s="1496">
        <f ca="1">IF(B191&gt;=$J$5,0,(CONTADORES!AG193-CONTADORES!AG192))</f>
        <v>5.3699999999953434</v>
      </c>
      <c r="AK191" s="1496">
        <f ca="1">IF(B191&gt;=$J$5,0,(CONTADORES!O193-CONTADORES!O192))</f>
        <v>7.9600000000209548</v>
      </c>
      <c r="AL191" s="1467">
        <f t="shared" ca="1" si="74"/>
        <v>33.367000000031055</v>
      </c>
      <c r="AM191" s="1496">
        <f ca="1">IF(B191&gt;=$J$5,0,(((CONTADORES!F193-CONTADORES!F192)+(CONTADORES!AO193-CONTADORES!AO192))))-BJ191-AF191-AN191-BM191-BP191-BU191-BS191</f>
        <v>11.792999999955398</v>
      </c>
      <c r="AN191" s="1496">
        <f ca="1">IF(B191&gt;=$J$5,0,(CONTADORES!AV193-CONTADORES!AV192)+(CONTADORES!AX193-CONTADORES!AX192)+(CONTADORES!BC193-CONTADORES!BC192))-BS191</f>
        <v>2.0930000000004365</v>
      </c>
      <c r="AO191" s="62">
        <f ca="1">IF(B191&gt;=$J$5,0,(CONTADORES!AA193-CONTADORES!AA192))</f>
        <v>138.6699999999837</v>
      </c>
      <c r="AP191" s="1467">
        <f ca="1">IF(B191&gt;=$J$5,0,(CONTADORES!V193-CONTADORES!V192))</f>
        <v>77.343000000000757</v>
      </c>
      <c r="AQ191" s="1467">
        <f ca="1">IF(B191&gt;=$J$5,0,(CONTADORES!C193-CONTADORES!C192))</f>
        <v>0</v>
      </c>
      <c r="AR191" s="1467">
        <f ca="1">IF(B191&gt;=$J$5,0,(CONTADORES!BA193-CONTADORES!BA192))</f>
        <v>0</v>
      </c>
      <c r="AS191" s="1467">
        <f ca="1">IF(B191&gt;=$J$5,0,CONTADORES!Q193-CONTADORES!Q192)</f>
        <v>14.989999999990687</v>
      </c>
      <c r="AT191" s="1467">
        <f ca="1">IF(B191&gt;=$J$5,0,(CONTADORES!S193-CONTADORES!S192)+(CONTADORES!AE193-CONTADORES!AE192))</f>
        <v>3.1700000000000017</v>
      </c>
      <c r="AU191" s="1467">
        <f ca="1">IF(B191&gt;=$J$5,0,(CONTADORES!I193-CONTADORES!I192))</f>
        <v>81.894999999999527</v>
      </c>
      <c r="AV191" s="1467">
        <f ca="1">IF(B191&gt;=$J$5,0,(CONTADORES!AT193-CONTADORES!AT192))</f>
        <v>65.239999999990687</v>
      </c>
      <c r="AW191" s="1467">
        <f ca="1">IF(B191&gt;=$J$5,0,(CONTADORES!L193-CONTADORES!L192)+(CONTADORES!AL193-CONTADORES!AL192))</f>
        <v>1.5</v>
      </c>
      <c r="AX191" s="1467">
        <f ca="1">IF(B191&gt;=$J$5,0,(CONTADORES!N193-CONTADORES!N192)+(CONTADORES!AJ193-CONTADORES!AJ192))</f>
        <v>31.409999999996217</v>
      </c>
      <c r="AY191" s="1467">
        <f ca="1">IF(B191&gt;=$J$5,0,(CONTADORES!AH193-CONTADORES!AH192))</f>
        <v>4.1200000000026193</v>
      </c>
      <c r="AZ191" s="1467">
        <f ca="1">IF(B191&gt;=$J$5,0,(CONTADORES!P193-CONTADORES!P192))</f>
        <v>6.6000000000058208</v>
      </c>
      <c r="BA191" s="1497">
        <f t="shared" ca="1" si="75"/>
        <v>7.6039999999852625</v>
      </c>
      <c r="BB191" s="1467">
        <f ca="1">IF(B191&gt;=$J$5,0,(((CONTADORES!G193-CONTADORES!G192)+(CONTADORES!AP193-CONTADORES!AP192)+AR191)-(AV191+BC191)))</f>
        <v>10.040000000003829</v>
      </c>
      <c r="BC191" s="1496">
        <f ca="1">IF(B191&gt;=$J$5,0,(CONTADORES!AW193-CONTADORES!AW192)+(CONTADORES!AY193-CONTADORES!AY192)+(CONTADORES!BD193-CONTADORES!BD192))</f>
        <v>1.8200000000003911</v>
      </c>
      <c r="BD191" s="1466">
        <f t="shared" ca="1" si="76"/>
        <v>216.01299999998446</v>
      </c>
      <c r="BE191" s="1497">
        <f ca="1">IF($B191&gt;=$J$5,0,CONTADORES!$BE193)</f>
        <v>5598.56</v>
      </c>
      <c r="BF191" s="1496">
        <f ca="1">IF($B191&gt;=$J$5,0,CONTADORES!$BF193)</f>
        <v>34597.280701754396</v>
      </c>
      <c r="BG191" s="1496">
        <f ca="1">IF($B191&gt;=$J$5,0,CONTADORES!$BH193)</f>
        <v>5455.28</v>
      </c>
      <c r="BH191" s="1496">
        <f ca="1">IF(B191&gt;=$J$5,0,(CONTADORES!AQ193-CONTADORES!AQ192))</f>
        <v>5.1829999999972642</v>
      </c>
      <c r="BI191" s="1496">
        <f ca="1">IF(C191&gt;=$J$5,0,(CONTADORES!AR193-CONTADORES!AR192))</f>
        <v>0</v>
      </c>
      <c r="BJ191" s="1497">
        <f ca="1">IF(B191&gt;=$J$5,0,CONTADORES!BI193-CONTADORES!BI192)/1000</f>
        <v>0</v>
      </c>
      <c r="BK191" s="1497">
        <f ca="1">IF(B191&gt;=$J$5,0,CONTADORES!BJ193-CONTADORES!BJ192)</f>
        <v>0</v>
      </c>
      <c r="BL191" s="1497">
        <f ca="1">IF(B191&gt;=$J$5,0,CONTADORES!BK193-CONTADORES!BK192)</f>
        <v>0</v>
      </c>
      <c r="BM191" s="1497">
        <f ca="1">IF(B191&gt;=$J$5,0,CONTADORES!BL193-CONTADORES!BL192)/1000</f>
        <v>4.3120000000000003</v>
      </c>
      <c r="BN191" s="1497">
        <f ca="1">IF(B191&gt;=$J$5,0,CONTADORES!BM193-CONTADORES!BM192)/1000</f>
        <v>0.505</v>
      </c>
      <c r="BO191" s="1497">
        <f ca="1">IF(B191&gt;=$J$5,0,CONTADORES!BN193-CONTADORES!BN192)</f>
        <v>24</v>
      </c>
      <c r="BP191" s="1497">
        <f ca="1">IF(B191&gt;=$J$5,0,CONTADORES!BO193-CONTADORES!BO192)/1000</f>
        <v>3.4350000000000001</v>
      </c>
      <c r="BQ191" s="1497">
        <f ca="1">IF(B191&gt;=$J$5,0,CONTADORES!BP193-CONTADORES!BP192)/1000</f>
        <v>0.105</v>
      </c>
      <c r="BR191" s="1497">
        <f ca="1">IF(B191&gt;=$J$5,0,CONTADORES!BQ193-CONTADORES!BQ192)</f>
        <v>24</v>
      </c>
      <c r="BS191" s="1497">
        <f ca="1">IF(B191&gt;=$J$5,0,(CONTADORES!BT193-CONTADORES!BT192)+(CONTADORES!BV193-CONTADORES!BV192))/1000</f>
        <v>1.427</v>
      </c>
      <c r="BT191" s="1497">
        <f ca="1">IF(B191&gt;=$J$5,0,(CONTADORES!BU193-CONTADORES!BU192)+(CONTADORES!BW193-CONTADORES!BW192))/1000</f>
        <v>0.79400000000000004</v>
      </c>
      <c r="BU191" s="1497">
        <f ca="1">IF(B191&gt;=$J$5,0,CONTADORES!BR193-CONTADORES!BR192)</f>
        <v>6.6299999999991996</v>
      </c>
      <c r="BV191" s="1497">
        <f ca="1">IF(B191&gt;=$J$5,0,CONTADORES!BS193-CONTADORES!BS192)</f>
        <v>4.3800000000001091</v>
      </c>
      <c r="BW191" s="1467">
        <f t="shared" ca="1" si="77"/>
        <v>12.526499999976899</v>
      </c>
      <c r="BX191" s="1467">
        <f t="shared" ca="1" si="78"/>
        <v>9.4000000000020236</v>
      </c>
      <c r="BY191" s="1467">
        <f t="shared" ca="1" si="79"/>
        <v>5.8964999999776992</v>
      </c>
      <c r="BZ191" s="1467">
        <f t="shared" ca="1" si="80"/>
        <v>0.83720000000017469</v>
      </c>
      <c r="CA191" s="1467">
        <f t="shared" ca="1" si="81"/>
        <v>5.8964999999776992</v>
      </c>
      <c r="CB191" s="1467">
        <f t="shared" ca="1" si="82"/>
        <v>1.2558000000002618</v>
      </c>
      <c r="CC191" s="1467">
        <f t="shared" ca="1" si="83"/>
        <v>2.2642000000001747</v>
      </c>
      <c r="CD191" s="1467">
        <f t="shared" ca="1" si="84"/>
        <v>5.0200000000019145</v>
      </c>
      <c r="CE191" s="1497">
        <f ca="1">IF(B191&gt;=$J$5,0,CONTADORES!BS193-CONTADORES!BS192)</f>
        <v>4.3800000000001091</v>
      </c>
      <c r="CF191" s="1467">
        <f t="shared" ca="1" si="85"/>
        <v>5.0200000000019145</v>
      </c>
      <c r="CG191" s="1467">
        <f t="shared" ca="1" si="86"/>
        <v>0.91000000000019554</v>
      </c>
      <c r="CH191" s="1467">
        <f t="shared" ca="1" si="87"/>
        <v>0.91000000000019554</v>
      </c>
      <c r="CI191" s="1467">
        <f t="shared" ca="1" si="88"/>
        <v>1.7040000000001956</v>
      </c>
      <c r="CJ191" s="1499">
        <f ca="1">IF($B191&gt;=$J$5,0,CONTADORES!$BG193)</f>
        <v>9898.4161174988203</v>
      </c>
      <c r="CK191" s="1472">
        <f>CONTADORES!E193</f>
        <v>0</v>
      </c>
      <c r="CL191" s="1472">
        <f>CONTADORES!BX193</f>
        <v>0</v>
      </c>
    </row>
    <row r="192" spans="2:90" ht="15" thickBot="1">
      <c r="B192" s="410">
        <v>45108</v>
      </c>
      <c r="C192" s="204">
        <f t="shared" ca="1" si="64"/>
        <v>282.68400000000838</v>
      </c>
      <c r="D192" s="202">
        <f ca="1">'CALCULO DE GAS'!P4</f>
        <v>5.1582747862569871</v>
      </c>
      <c r="E192" s="202">
        <f ca="1">IF(B192&gt;=$J$5,0,(CONTADORES!$AB196-CONTADORES!$AB195)-$H192)</f>
        <v>24</v>
      </c>
      <c r="F192" s="204">
        <f t="shared" ca="1" si="93"/>
        <v>0</v>
      </c>
      <c r="G192" s="202">
        <f ca="1">IF(B192&gt;=$J$5,0,CONTADORES!$AD196-CONTADORES!$AD195)</f>
        <v>0</v>
      </c>
      <c r="H192" s="202">
        <f ca="1">IF(G192&gt;0,CONTADORES!$AC196-CONTADORES!$AC195,0)</f>
        <v>0</v>
      </c>
      <c r="I192" s="205">
        <f ca="1">IF(B192&gt;=$J$5,0,CONTADORES!$Z196-CONTADORES!$Z195)</f>
        <v>282.68400000000838</v>
      </c>
      <c r="J192" s="204">
        <f t="shared" ca="1" si="65"/>
        <v>147.49000000000524</v>
      </c>
      <c r="K192" s="202">
        <f ca="1">'CALCULO DE GAS'!Q4</f>
        <v>3.8669029319751922</v>
      </c>
      <c r="L192" s="1437">
        <f ca="1">IF(B192&gt;=$J$5,0,(CONTADORES!$W196-CONTADORES!$W195)-$O192)</f>
        <v>24</v>
      </c>
      <c r="M192" s="1437">
        <f t="shared" ca="1" si="92"/>
        <v>0</v>
      </c>
      <c r="N192" s="1437">
        <f ca="1">IF(B192&gt;=$J$5,0,CONTADORES!$Y196-CONTADORES!$Y195)</f>
        <v>0</v>
      </c>
      <c r="O192" s="1437">
        <f ca="1">IF(N192&gt;0,CONTADORES!$X196-CONTADORES!$X195,0)</f>
        <v>0</v>
      </c>
      <c r="P192" s="208">
        <f ca="1">IF(B192&gt;=$J$5,0,CONTADORES!$U196-CONTADORES!$U195)</f>
        <v>147.49000000000524</v>
      </c>
      <c r="Q192" s="208">
        <f ca="1">IF(B192&gt;=$J$5,0,CONTADORES!$B196-CONTADORES!$B195)</f>
        <v>0</v>
      </c>
      <c r="R192" s="202">
        <f t="shared" ca="1" si="66"/>
        <v>0</v>
      </c>
      <c r="S192" s="11">
        <f ca="1">IF(B192&gt;=$J$5,0,CONTADORES!$D196-CONTADORES!$D195)</f>
        <v>0</v>
      </c>
      <c r="T192" s="204">
        <f ca="1">IF(B192&gt;=$J$5,0,CONTADORES!$AZ196-CONTADORES!$AZ195)</f>
        <v>0</v>
      </c>
      <c r="U192" s="202">
        <f t="shared" ca="1" si="91"/>
        <v>0</v>
      </c>
      <c r="V192" s="205">
        <f ca="1">IF(B192&gt;=$J$5,0,CONTADORES!$BB196-CONTADORES!$BB195)</f>
        <v>0</v>
      </c>
      <c r="W192" s="1438">
        <f t="shared" ca="1" si="67"/>
        <v>430.17400000001362</v>
      </c>
      <c r="X192" s="1438">
        <f t="shared" ca="1" si="68"/>
        <v>0</v>
      </c>
      <c r="Y192" s="1439">
        <f t="shared" ca="1" si="69"/>
        <v>430.17400000001362</v>
      </c>
      <c r="Z192" s="1439">
        <f t="shared" ca="1" si="70"/>
        <v>9.0251777182321788</v>
      </c>
      <c r="AA192" s="1439">
        <f t="shared" ca="1" si="71"/>
        <v>0</v>
      </c>
      <c r="AB192" s="1439">
        <f t="shared" ca="1" si="72"/>
        <v>48</v>
      </c>
      <c r="AC192" s="1438">
        <f t="shared" ca="1" si="73"/>
        <v>0</v>
      </c>
      <c r="AD192" s="1438">
        <f ca="1">IF(B192&gt;=$J$5,0,CONTADORES!H196-CONTADORES!H195)</f>
        <v>161.72700000000077</v>
      </c>
      <c r="AE192" s="1438">
        <f ca="1">IF(B192&gt;=$J$5,0,CONTADORES!J196-CONTADORES!J195)</f>
        <v>24</v>
      </c>
      <c r="AF192" s="1438">
        <f ca="1">IF(B192&gt;=$J$5,0,CONTADORES!AS196-CONTADORES!AS195)</f>
        <v>145.29000000003725</v>
      </c>
      <c r="AG192" s="1438">
        <f ca="1">IF(B192&gt;=$J$5,0,CONTADORES!AU196-CONTADORES!AU195)</f>
        <v>24</v>
      </c>
      <c r="AH192" s="1439">
        <f ca="1">IF(B192&gt;=$J$5,0,(CONTADORES!AK196-CONTADORES!AK195)+(CONTADORES!K196-CONTADORES!K195))</f>
        <v>13.400000000001455</v>
      </c>
      <c r="AI192" s="1438">
        <f ca="1">IF(B192&gt;=$J$5,0,(CONTADORES!AI196-CONTADORES!AI195)+(CONTADORES!M196-CONTADORES!M195))</f>
        <v>33.570000000006985</v>
      </c>
      <c r="AJ192" s="1438">
        <f ca="1">IF(B192&gt;=$J$5,0,(CONTADORES!AG196-CONTADORES!AG195))</f>
        <v>5.9100000000034925</v>
      </c>
      <c r="AK192" s="1438">
        <f ca="1">IF(B192&gt;=$J$5,0,(CONTADORES!O196-CONTADORES!O195))</f>
        <v>9.9599999999918509</v>
      </c>
      <c r="AL192" s="1490">
        <f t="shared" ca="1" si="74"/>
        <v>32.006999999985112</v>
      </c>
      <c r="AM192" s="1438">
        <f ca="1">IF(B192&gt;=$J$5,0,(((CONTADORES!F196-CONTADORES!F195)+(CONTADORES!AO196-CONTADORES!AO195))))-BJ192-AF192-AN192-BM192-BP192-BU192-BS192</f>
        <v>9.9069999999861942</v>
      </c>
      <c r="AN192" s="1438">
        <f ca="1">IF(B192&gt;=$J$5,0,(CONTADORES!AV196-CONTADORES!AV195)+(CONTADORES!AX196-CONTADORES!AX195)+(CONTADORES!BC196-CONTADORES!BC195))-BS192</f>
        <v>2.397999999999036</v>
      </c>
      <c r="AO192" s="1440">
        <f ca="1">IF(B192&gt;=$J$5,0,(CONTADORES!AA196-CONTADORES!AA195))</f>
        <v>137.47000000003027</v>
      </c>
      <c r="AP192" s="1440">
        <f ca="1">IF(B192&gt;=$J$5,0,(CONTADORES!V196-CONTADORES!V195))</f>
        <v>77.666999999997643</v>
      </c>
      <c r="AQ192" s="1474">
        <f ca="1">IF(B192&gt;=$J$5,0,(CONTADORES!C196-CONTADORES!C195))</f>
        <v>0</v>
      </c>
      <c r="AR192" s="1440">
        <f ca="1">IF(B192&gt;=$J$5,0,(CONTADORES!BA196-CONTADORES!BA195))</f>
        <v>0</v>
      </c>
      <c r="AS192" s="1438">
        <f ca="1">IF(B192&gt;=$J$5,0,CONTADORES!Q196-CONTADORES!Q195)</f>
        <v>14.260000000009313</v>
      </c>
      <c r="AT192" s="1438">
        <f ca="1">IF(B192&gt;=$J$5,0,(CONTADORES!S196-CONTADORES!S195)+(CONTADORES!AE196-CONTADORES!AE195))</f>
        <v>3.3400000000000034</v>
      </c>
      <c r="AU192" s="1474">
        <f ca="1">IF(B192&gt;=$J$5,0,(CONTADORES!I196-CONTADORES!I195))</f>
        <v>81.655000000000655</v>
      </c>
      <c r="AV192" s="1440">
        <f ca="1">IF(B192&gt;=$J$5,0,(CONTADORES!AT196-CONTADORES!AT195))</f>
        <v>63.059999999997672</v>
      </c>
      <c r="AW192" s="1440">
        <f ca="1">IF(B192&gt;=$J$5,0,(CONTADORES!L196-CONTADORES!L195)+(CONTADORES!AL196-CONTADORES!AL195))</f>
        <v>5.2999999999992724</v>
      </c>
      <c r="AX192" s="1440">
        <f ca="1">IF(B192&gt;=$J$5,0,(CONTADORES!N196-CONTADORES!N195)+(CONTADORES!AJ196-CONTADORES!AJ195))</f>
        <v>28.520000000004075</v>
      </c>
      <c r="AY192" s="1440">
        <f ca="1">IF(B192&gt;=$J$5,0,(CONTADORES!AH196-CONTADORES!AH195))</f>
        <v>4.5899999999965075</v>
      </c>
      <c r="AZ192" s="1440">
        <f ca="1">IF(B192&gt;=$J$5,0,(CONTADORES!P196-CONTADORES!P195))</f>
        <v>7.8799999999901047</v>
      </c>
      <c r="BA192" s="1439">
        <f t="shared" ca="1" si="75"/>
        <v>7.2250000000430532</v>
      </c>
      <c r="BB192" s="1474">
        <f ca="1">IF(B192&gt;=$J$5,0,(((CONTADORES!G196-CONTADORES!G195)+(CONTADORES!AP196-CONTADORES!AP195)+AR192)-(AV192+BC192)))</f>
        <v>8.6199999999963097</v>
      </c>
      <c r="BC192" s="1438">
        <f ca="1">IF(B192&gt;=$J$5,0,(CONTADORES!AW196-CONTADORES!AW195)+(CONTADORES!AY196-CONTADORES!AY195)+(CONTADORES!BD196-CONTADORES!BD195))</f>
        <v>2.4200000000000159</v>
      </c>
      <c r="BD192" s="1438">
        <f t="shared" ca="1" si="76"/>
        <v>215.13700000002791</v>
      </c>
      <c r="BE192" s="1439">
        <f ca="1">IF($B192&gt;=$J$5,0,CONTADORES!$BE196)</f>
        <v>5783.92</v>
      </c>
      <c r="BF192" s="1438">
        <f ca="1">IF($B192&gt;=$J$5,0,CONTADORES!$BF196)</f>
        <v>30044.6122807018</v>
      </c>
      <c r="BG192" s="1438">
        <f ca="1">IF($B192&gt;=$J$5,0,CONTADORES!$BH196)</f>
        <v>6049.32</v>
      </c>
      <c r="BH192" s="1438">
        <f ca="1">IF(B192&gt;=$J$5,0,(CONTADORES!AQ196-CONTADORES!AQ195))</f>
        <v>4.5740000000005239</v>
      </c>
      <c r="BI192" s="1438">
        <f ca="1">IF(C192&gt;=$J$5,0,(CONTADORES!AR196-CONTADORES!AR195))</f>
        <v>0</v>
      </c>
      <c r="BJ192" s="1475">
        <f ca="1">IF(B192&gt;=$J$5,0,CONTADORES!BI196-CONTADORES!BI195)/1000</f>
        <v>0</v>
      </c>
      <c r="BK192" s="1475">
        <f ca="1">IF(B192&gt;=$J$5,0,CONTADORES!BJ196-CONTADORES!BJ195)</f>
        <v>0</v>
      </c>
      <c r="BL192" s="1475">
        <f ca="1">IF(B192&gt;=$J$5,0,CONTADORES!BK196-CONTADORES!BK195)</f>
        <v>0</v>
      </c>
      <c r="BM192" s="1475">
        <f ca="1">IF(B192&gt;=$J$5,0,CONTADORES!BL196-CONTADORES!BL195)/1000</f>
        <v>4.1879999999999997</v>
      </c>
      <c r="BN192" s="1475">
        <f ca="1">IF(B192&gt;=$J$5,0,CONTADORES!BM196-CONTADORES!BM195)/1000</f>
        <v>0.316</v>
      </c>
      <c r="BO192" s="1475">
        <f ca="1">IF(B192&gt;=$J$5,0,CONTADORES!BN196-CONTADORES!BN195)</f>
        <v>24</v>
      </c>
      <c r="BP192" s="1475">
        <f ca="1">IF(B192&gt;=$J$5,0,CONTADORES!BO196-CONTADORES!BO195)/1000</f>
        <v>3.085</v>
      </c>
      <c r="BQ192" s="1475">
        <f ca="1">IF(B192&gt;=$J$5,0,CONTADORES!BP196-CONTADORES!BP195)/1000</f>
        <v>4.8000000000000001E-2</v>
      </c>
      <c r="BR192" s="1475">
        <f ca="1">IF(B192&gt;=$J$5,0,CONTADORES!BQ196-CONTADORES!BQ195)</f>
        <v>24</v>
      </c>
      <c r="BS192" s="1475">
        <f ca="1">IF(B192&gt;=$J$5,0,(CONTADORES!BT196-CONTADORES!BT195)+(CONTADORES!BV196-CONTADORES!BV195))/1000</f>
        <v>1.4119999999999999</v>
      </c>
      <c r="BT192" s="1475">
        <f ca="1">IF(B192&gt;=$J$5,0,(CONTADORES!BU196-CONTADORES!BU195)+(CONTADORES!BW196-CONTADORES!BW195))/1000</f>
        <v>0.78300000000000003</v>
      </c>
      <c r="BU192" s="1475">
        <f ca="1">IF(B192&gt;=$J$5,0,CONTADORES!BR196-CONTADORES!BR195)</f>
        <v>7.320000000001528</v>
      </c>
      <c r="BV192" s="1475">
        <f ca="1">IF(B192&gt;=$J$5,0,CONTADORES!BS196-CONTADORES!BS195)</f>
        <v>4.7200000000002547</v>
      </c>
      <c r="BW192" s="1490">
        <f t="shared" ca="1" si="77"/>
        <v>12.273499999994625</v>
      </c>
      <c r="BX192" s="1490">
        <f t="shared" ca="1" si="78"/>
        <v>9.0299999999984095</v>
      </c>
      <c r="BY192" s="1490">
        <f t="shared" ca="1" si="79"/>
        <v>4.9534999999930971</v>
      </c>
      <c r="BZ192" s="1490">
        <f t="shared" ca="1" si="80"/>
        <v>0.95919999999961447</v>
      </c>
      <c r="CA192" s="1490">
        <f t="shared" ca="1" si="81"/>
        <v>4.9534999999930971</v>
      </c>
      <c r="CB192" s="1490">
        <f t="shared" ca="1" si="82"/>
        <v>1.4387999999994214</v>
      </c>
      <c r="CC192" s="1490">
        <f t="shared" ca="1" si="83"/>
        <v>2.3711999999996145</v>
      </c>
      <c r="CD192" s="1490">
        <f t="shared" ca="1" si="84"/>
        <v>4.3099999999981549</v>
      </c>
      <c r="CE192" s="1475">
        <f ca="1">IF(B192&gt;=$J$5,0,CONTADORES!BS196-CONTADORES!BS195)</f>
        <v>4.7200000000002547</v>
      </c>
      <c r="CF192" s="1490">
        <f t="shared" ca="1" si="85"/>
        <v>4.3099999999981549</v>
      </c>
      <c r="CG192" s="1490">
        <f t="shared" ca="1" si="86"/>
        <v>1.210000000000008</v>
      </c>
      <c r="CH192" s="1490">
        <f t="shared" ca="1" si="87"/>
        <v>1.210000000000008</v>
      </c>
      <c r="CI192" s="1490">
        <f t="shared" ca="1" si="88"/>
        <v>1.9930000000000079</v>
      </c>
      <c r="CJ192" s="1475">
        <f ca="1">IF($B192&gt;=$J$5,0,CONTADORES!$BG196)</f>
        <v>5026.59391411253</v>
      </c>
      <c r="CK192" s="1406">
        <f>CONTADORES!E196</f>
        <v>0</v>
      </c>
      <c r="CL192" s="1406">
        <f>CONTADORES!BX196</f>
        <v>0</v>
      </c>
    </row>
    <row r="193" spans="2:90" ht="15" thickBot="1">
      <c r="B193" s="410">
        <v>45109</v>
      </c>
      <c r="C193" s="204">
        <f t="shared" ca="1" si="64"/>
        <v>289.42999999993481</v>
      </c>
      <c r="D193" s="202">
        <f ca="1">'CALCULO DE GAS'!P5</f>
        <v>5.0746701026397876</v>
      </c>
      <c r="E193" s="202">
        <f ca="1">IF(B193&gt;=$J$5,0,(CONTADORES!$AB197-CONTADORES!$AB196)-$H193)</f>
        <v>24</v>
      </c>
      <c r="F193" s="204">
        <f t="shared" ca="1" si="93"/>
        <v>0</v>
      </c>
      <c r="G193" s="202">
        <f ca="1">IF(B193&gt;=$J$5,0,CONTADORES!$AD197-CONTADORES!$AD196)</f>
        <v>0</v>
      </c>
      <c r="H193" s="202">
        <f ca="1">IF(G193&gt;0,CONTADORES!$AC197-CONTADORES!$AC196,0)</f>
        <v>0</v>
      </c>
      <c r="I193" s="205">
        <f ca="1">IF(B193&gt;=$J$5,0,CONTADORES!$Z197-CONTADORES!$Z196)</f>
        <v>289.42999999993481</v>
      </c>
      <c r="J193" s="204">
        <f t="shared" ca="1" si="65"/>
        <v>147.07999999999447</v>
      </c>
      <c r="K193" s="202">
        <f ca="1">'CALCULO DE GAS'!Q5</f>
        <v>3.8567039989295449</v>
      </c>
      <c r="L193" s="1437">
        <f ca="1">IF(B193&gt;=$J$5,0,(CONTADORES!$W197-CONTADORES!$W196)-$O193)</f>
        <v>24</v>
      </c>
      <c r="M193" s="1437">
        <f t="shared" ca="1" si="92"/>
        <v>0</v>
      </c>
      <c r="N193" s="1437">
        <f ca="1">IF(B193&gt;=$J$5,0,CONTADORES!$Y197-CONTADORES!$Y196)</f>
        <v>0</v>
      </c>
      <c r="O193" s="1437">
        <f ca="1">IF(N193&gt;0,CONTADORES!$X197-CONTADORES!$X196,0)</f>
        <v>0</v>
      </c>
      <c r="P193" s="208">
        <f ca="1">IF(B193&gt;=$J$5,0,CONTADORES!$U197-CONTADORES!$U196)</f>
        <v>147.07999999999447</v>
      </c>
      <c r="Q193" s="208">
        <f ca="1">IF(B193&gt;=$J$5,0,CONTADORES!$B197-CONTADORES!$B196)</f>
        <v>0</v>
      </c>
      <c r="R193" s="202">
        <f t="shared" ca="1" si="66"/>
        <v>0</v>
      </c>
      <c r="S193" s="11">
        <f ca="1">IF(B193&gt;=$J$5,0,CONTADORES!$D197-CONTADORES!$D196)</f>
        <v>0</v>
      </c>
      <c r="T193" s="204">
        <f ca="1">IF(B193&gt;=$J$5,0,CONTADORES!$AZ197-CONTADORES!$AZ196)</f>
        <v>0</v>
      </c>
      <c r="U193" s="202">
        <f t="shared" ca="1" si="91"/>
        <v>0</v>
      </c>
      <c r="V193" s="205">
        <f ca="1">IF(B193&gt;=$J$5,0,CONTADORES!$BB197-CONTADORES!$BB196)</f>
        <v>0</v>
      </c>
      <c r="W193" s="1438">
        <f t="shared" ca="1" si="67"/>
        <v>436.50999999992928</v>
      </c>
      <c r="X193" s="1438">
        <f t="shared" ca="1" si="68"/>
        <v>0</v>
      </c>
      <c r="Y193" s="1439">
        <f t="shared" ca="1" si="69"/>
        <v>436.50999999992928</v>
      </c>
      <c r="Z193" s="1439">
        <f t="shared" ca="1" si="70"/>
        <v>8.9313741015693324</v>
      </c>
      <c r="AA193" s="1439">
        <f t="shared" ca="1" si="71"/>
        <v>0</v>
      </c>
      <c r="AB193" s="1439">
        <f t="shared" ca="1" si="72"/>
        <v>48</v>
      </c>
      <c r="AC193" s="1438">
        <f t="shared" ca="1" si="73"/>
        <v>0</v>
      </c>
      <c r="AD193" s="1438">
        <f ca="1">IF(B193&gt;=$J$5,0,CONTADORES!H197-CONTADORES!H196)</f>
        <v>163.14999999999964</v>
      </c>
      <c r="AE193" s="1438">
        <f ca="1">IF(B193&gt;=$J$5,0,CONTADORES!J197-CONTADORES!J196)</f>
        <v>24</v>
      </c>
      <c r="AF193" s="1438">
        <f ca="1">IF(B193&gt;=$J$5,0,CONTADORES!AS197-CONTADORES!AS196)</f>
        <v>154.29999999998836</v>
      </c>
      <c r="AG193" s="1438">
        <f ca="1">IF(B193&gt;=$J$5,0,CONTADORES!AU197-CONTADORES!AU196)</f>
        <v>24</v>
      </c>
      <c r="AH193" s="1439">
        <f ca="1">IF(B193&gt;=$J$5,0,(CONTADORES!AK197-CONTADORES!AK196)+(CONTADORES!K197-CONTADORES!K196))</f>
        <v>10.900000000001455</v>
      </c>
      <c r="AI193" s="1438">
        <f ca="1">IF(B193&gt;=$J$5,0,(CONTADORES!AI197-CONTADORES!AI196)+(CONTADORES!M197-CONTADORES!M196))</f>
        <v>32.869999999995343</v>
      </c>
      <c r="AJ193" s="1438">
        <f ca="1">IF(B193&gt;=$J$5,0,(CONTADORES!AG197-CONTADORES!AG196))</f>
        <v>5.4700000000011642</v>
      </c>
      <c r="AK193" s="1438">
        <f ca="1">IF(B193&gt;=$J$5,0,(CONTADORES!O197-CONTADORES!O196))</f>
        <v>9.9800000000104774</v>
      </c>
      <c r="AL193" s="1500">
        <f t="shared" ca="1" si="74"/>
        <v>34.039999999944484</v>
      </c>
      <c r="AM193" s="1438">
        <f ca="1">IF(B193&gt;=$J$5,0,(((CONTADORES!F197-CONTADORES!F196)+(CONTADORES!AO197-CONTADORES!AO196))))-BJ193-AF193-AN193-BM193-BP193-BU193-BS193</f>
        <v>7.3279999999890837</v>
      </c>
      <c r="AN193" s="1438">
        <f ca="1">IF(B193&gt;=$J$5,0,(CONTADORES!AV197-CONTADORES!AV196)+(CONTADORES!AX197-CONTADORES!AX196)+(CONTADORES!BC197-CONTADORES!BC196))-BS193</f>
        <v>1.3280000000006549</v>
      </c>
      <c r="AO193" s="1440">
        <f ca="1">IF(B193&gt;=$J$5,0,(CONTADORES!AA197-CONTADORES!AA196))</f>
        <v>135.6699999999837</v>
      </c>
      <c r="AP193" s="1440">
        <f ca="1">IF(B193&gt;=$J$5,0,(CONTADORES!V197-CONTADORES!V196))</f>
        <v>79.990000000001601</v>
      </c>
      <c r="AQ193" s="1445">
        <f ca="1">IF(B193&gt;=$J$5,0,(CONTADORES!C197-CONTADORES!C196))</f>
        <v>0</v>
      </c>
      <c r="AR193" s="1440">
        <f ca="1">IF(B193&gt;=$J$5,0,(CONTADORES!BA197-CONTADORES!BA196))</f>
        <v>0</v>
      </c>
      <c r="AS193" s="1438">
        <f ca="1">IF(B193&gt;=$J$5,0,CONTADORES!Q197-CONTADORES!Q196)</f>
        <v>14.320000000006985</v>
      </c>
      <c r="AT193" s="1438">
        <f ca="1">IF(B193&gt;=$J$5,0,(CONTADORES!S197-CONTADORES!S196)+(CONTADORES!AE197-CONTADORES!AE196))</f>
        <v>3.2299999999999898</v>
      </c>
      <c r="AU193" s="1474">
        <f ca="1">IF(B193&gt;=$J$5,0,(CONTADORES!I197-CONTADORES!I196))</f>
        <v>81.549999999999272</v>
      </c>
      <c r="AV193" s="1440">
        <f ca="1">IF(B193&gt;=$J$5,0,(CONTADORES!AT197-CONTADORES!AT196))</f>
        <v>66.5</v>
      </c>
      <c r="AW193" s="1440">
        <f ca="1">IF(B193&gt;=$J$5,0,(CONTADORES!L197-CONTADORES!L196)+(CONTADORES!AL197-CONTADORES!AL196))</f>
        <v>4.2999999999992724</v>
      </c>
      <c r="AX193" s="1440">
        <f ca="1">IF(B193&gt;=$J$5,0,(CONTADORES!N197-CONTADORES!N196)+(CONTADORES!AJ197-CONTADORES!AJ196))</f>
        <v>27.649999999994179</v>
      </c>
      <c r="AY193" s="1440">
        <f ca="1">IF(B193&gt;=$J$5,0,(CONTADORES!AH197-CONTADORES!AH196))</f>
        <v>4.180000000000291</v>
      </c>
      <c r="AZ193" s="1440">
        <f ca="1">IF(B193&gt;=$J$5,0,(CONTADORES!P197-CONTADORES!P196))</f>
        <v>7.9700000000011642</v>
      </c>
      <c r="BA193" s="1450">
        <f t="shared" ca="1" si="75"/>
        <v>6.7269999999806487</v>
      </c>
      <c r="BB193" s="1474">
        <f ca="1">IF(B193&gt;=$J$5,0,(((CONTADORES!G197-CONTADORES!G196)+(CONTADORES!AP197-CONTADORES!AP196)+AR193)-(AV193+BC193)))</f>
        <v>8.5800000000111254</v>
      </c>
      <c r="BC193" s="1438">
        <f ca="1">IF(B193&gt;=$J$5,0,(CONTADORES!AW197-CONTADORES!AW196)+(CONTADORES!AY197-CONTADORES!AY196)+(CONTADORES!BD197-CONTADORES!BD196))</f>
        <v>1.7199999999999704</v>
      </c>
      <c r="BD193" s="1438">
        <f t="shared" ca="1" si="76"/>
        <v>215.6599999999853</v>
      </c>
      <c r="BE193" s="1439">
        <f ca="1">IF($B193&gt;=$J$5,0,CONTADORES!$BE197)</f>
        <v>5701.87</v>
      </c>
      <c r="BF193" s="1438">
        <f ca="1">IF($B193&gt;=$J$5,0,CONTADORES!$BF197)</f>
        <v>33985.764912280698</v>
      </c>
      <c r="BG193" s="1438">
        <f ca="1">IF($B193&gt;=$J$5,0,CONTADORES!$BH197)</f>
        <v>4524.3599999999997</v>
      </c>
      <c r="BH193" s="1438">
        <f ca="1">IF(B193&gt;=$J$5,0,(CONTADORES!AQ197-CONTADORES!AQ196))</f>
        <v>4.4060000000026776</v>
      </c>
      <c r="BI193" s="1438">
        <f ca="1">IF(C193&gt;=$J$5,0,(CONTADORES!AR197-CONTADORES!AR196))</f>
        <v>0</v>
      </c>
      <c r="BJ193" s="1450">
        <f ca="1">IF(B193&gt;=$J$5,0,CONTADORES!BI197-CONTADORES!BI196)/1000</f>
        <v>0</v>
      </c>
      <c r="BK193" s="1450">
        <f ca="1">IF(B193&gt;=$J$5,0,CONTADORES!BJ197-CONTADORES!BJ196)</f>
        <v>0</v>
      </c>
      <c r="BL193" s="1450">
        <f ca="1">IF(B193&gt;=$J$5,0,CONTADORES!BK197-CONTADORES!BK196)</f>
        <v>0</v>
      </c>
      <c r="BM193" s="1450">
        <f ca="1">IF(B193&gt;=$J$5,0,CONTADORES!BL197-CONTADORES!BL196)/1000</f>
        <v>4.2830000000000004</v>
      </c>
      <c r="BN193" s="1450">
        <f ca="1">IF(B193&gt;=$J$5,0,CONTADORES!BM197-CONTADORES!BM196)/1000</f>
        <v>0.495</v>
      </c>
      <c r="BO193" s="1450">
        <f ca="1">IF(B193&gt;=$J$5,0,CONTADORES!BN197-CONTADORES!BN196)</f>
        <v>24</v>
      </c>
      <c r="BP193" s="1450">
        <f ca="1">IF(B193&gt;=$J$5,0,CONTADORES!BO197-CONTADORES!BO196)/1000</f>
        <v>3.3889999999999998</v>
      </c>
      <c r="BQ193" s="1450">
        <f ca="1">IF(B193&gt;=$J$5,0,CONTADORES!BP197-CONTADORES!BP196)/1000</f>
        <v>6.9000000000000006E-2</v>
      </c>
      <c r="BR193" s="1450">
        <f ca="1">IF(B193&gt;=$J$5,0,CONTADORES!BQ197-CONTADORES!BQ196)</f>
        <v>24</v>
      </c>
      <c r="BS193" s="1475">
        <f ca="1">IF(B193&gt;=$J$5,0,(CONTADORES!BT197-CONTADORES!BT196)+(CONTADORES!BV197-CONTADORES!BV196))/1000</f>
        <v>2.202</v>
      </c>
      <c r="BT193" s="1450">
        <f ca="1">IF(B193&gt;=$J$5,0,(CONTADORES!BU197-CONTADORES!BU196)+(CONTADORES!BW197-CONTADORES!BW196))/1000</f>
        <v>1.2390000000000001</v>
      </c>
      <c r="BU193" s="1450">
        <f ca="1">IF(B193&gt;=$J$5,0,CONTADORES!BR197-CONTADORES!BR196)</f>
        <v>7.2699999999986176</v>
      </c>
      <c r="BV193" s="1450">
        <f ca="1">IF(B193&gt;=$J$5,0,CONTADORES!BS197-CONTADORES!BS196)</f>
        <v>4.6799999999993815</v>
      </c>
      <c r="BW193" s="1450">
        <f t="shared" ca="1" si="77"/>
        <v>10.933999999993159</v>
      </c>
      <c r="BX193" s="1450">
        <f t="shared" ca="1" si="78"/>
        <v>8.9700000000049442</v>
      </c>
      <c r="BY193" s="1450">
        <f t="shared" ca="1" si="79"/>
        <v>3.6639999999945418</v>
      </c>
      <c r="BZ193" s="1450">
        <f t="shared" ca="1" si="80"/>
        <v>0.53120000000026202</v>
      </c>
      <c r="CA193" s="1450">
        <f t="shared" ca="1" si="81"/>
        <v>3.6639999999945418</v>
      </c>
      <c r="CB193" s="1450">
        <f t="shared" ca="1" si="82"/>
        <v>0.79680000000039286</v>
      </c>
      <c r="CC193" s="1450">
        <f t="shared" ca="1" si="83"/>
        <v>2.7332000000002621</v>
      </c>
      <c r="CD193" s="1450">
        <f t="shared" ca="1" si="84"/>
        <v>4.2900000000055627</v>
      </c>
      <c r="CE193" s="1450">
        <f ca="1">IF(B193&gt;=$J$5,0,CONTADORES!BS197-CONTADORES!BS196)</f>
        <v>4.6799999999993815</v>
      </c>
      <c r="CF193" s="1450">
        <f t="shared" ca="1" si="85"/>
        <v>4.2900000000055627</v>
      </c>
      <c r="CG193" s="1450">
        <f t="shared" ca="1" si="86"/>
        <v>0.85999999999998522</v>
      </c>
      <c r="CH193" s="1450">
        <f t="shared" ca="1" si="87"/>
        <v>0.85999999999998522</v>
      </c>
      <c r="CI193" s="1450">
        <f t="shared" ca="1" si="88"/>
        <v>2.0989999999999851</v>
      </c>
      <c r="CJ193" s="1450">
        <f ca="1">IF($B193&gt;=$J$5,0,CONTADORES!$BG197)</f>
        <v>5279.5148082472197</v>
      </c>
      <c r="CK193" s="1406">
        <f>CONTADORES!E197</f>
        <v>0</v>
      </c>
      <c r="CL193" s="1406">
        <f>CONTADORES!BX197</f>
        <v>0</v>
      </c>
    </row>
    <row r="194" spans="2:90">
      <c r="B194" s="410">
        <v>45110</v>
      </c>
      <c r="C194" s="204">
        <f t="shared" ca="1" si="64"/>
        <v>287.56000000005588</v>
      </c>
      <c r="D194" s="202">
        <f ca="1">'CALCULO DE GAS'!P6</f>
        <v>5.0586701264276925</v>
      </c>
      <c r="E194" s="202">
        <f ca="1">IF(B194&gt;=$J$5,0,(CONTADORES!$AB198-CONTADORES!$AB197)-$H194)</f>
        <v>24</v>
      </c>
      <c r="F194" s="204">
        <f t="shared" ca="1" si="93"/>
        <v>0</v>
      </c>
      <c r="G194" s="202">
        <f ca="1">IF(B194&gt;=$J$5,0,CONTADORES!$AD198-CONTADORES!$AD197)</f>
        <v>0</v>
      </c>
      <c r="H194" s="202">
        <f ca="1">IF(G194&gt;0,CONTADORES!$AC198-CONTADORES!$AC197,0)</f>
        <v>0</v>
      </c>
      <c r="I194" s="205">
        <f ca="1">IF(B194&gt;=$J$5,0,CONTADORES!$Z198-CONTADORES!$Z197)</f>
        <v>287.56000000005588</v>
      </c>
      <c r="J194" s="204">
        <f t="shared" ca="1" si="65"/>
        <v>145.20000000000437</v>
      </c>
      <c r="K194" s="202">
        <f ca="1">'CALCULO DE GAS'!Q6</f>
        <v>3.8406184613463754</v>
      </c>
      <c r="L194" s="1437">
        <f ca="1">IF(B194&gt;=$J$5,0,(CONTADORES!$W198-CONTADORES!$W197)-$O194)</f>
        <v>24</v>
      </c>
      <c r="M194" s="1437">
        <f t="shared" ca="1" si="92"/>
        <v>0</v>
      </c>
      <c r="N194" s="1437">
        <f ca="1">IF(B194&gt;=$J$5,0,CONTADORES!$Y198-CONTADORES!$Y197)</f>
        <v>0</v>
      </c>
      <c r="O194" s="1437">
        <f ca="1">IF(N194&gt;0,CONTADORES!$X198-CONTADORES!$X197,0)</f>
        <v>0</v>
      </c>
      <c r="P194" s="208">
        <f ca="1">IF(B194&gt;=$J$5,0,CONTADORES!$U198-CONTADORES!$U197)</f>
        <v>145.20000000000437</v>
      </c>
      <c r="Q194" s="208">
        <f ca="1">IF(B194&gt;=$J$5,0,CONTADORES!$B198-CONTADORES!$B197)</f>
        <v>0</v>
      </c>
      <c r="R194" s="202">
        <f t="shared" ca="1" si="66"/>
        <v>0</v>
      </c>
      <c r="S194" s="11">
        <f ca="1">IF(B194&gt;=$J$5,0,CONTADORES!$D198-CONTADORES!$D197)</f>
        <v>0</v>
      </c>
      <c r="T194" s="204">
        <f ca="1">IF(B194&gt;=$J$5,0,CONTADORES!$AZ198-CONTADORES!$AZ197)</f>
        <v>0</v>
      </c>
      <c r="U194" s="202">
        <f t="shared" ca="1" si="91"/>
        <v>0</v>
      </c>
      <c r="V194" s="205">
        <f ca="1">IF(B194&gt;=$J$5,0,CONTADORES!$BB198-CONTADORES!$BB197)</f>
        <v>0</v>
      </c>
      <c r="W194" s="1438">
        <f t="shared" ca="1" si="67"/>
        <v>432.76000000006024</v>
      </c>
      <c r="X194" s="1438">
        <f t="shared" ca="1" si="68"/>
        <v>0</v>
      </c>
      <c r="Y194" s="1439">
        <f t="shared" ca="1" si="69"/>
        <v>432.76000000006024</v>
      </c>
      <c r="Z194" s="1439">
        <f t="shared" ca="1" si="70"/>
        <v>8.8992885877740679</v>
      </c>
      <c r="AA194" s="1439">
        <f t="shared" ca="1" si="71"/>
        <v>0</v>
      </c>
      <c r="AB194" s="1439">
        <f t="shared" ca="1" si="72"/>
        <v>48</v>
      </c>
      <c r="AC194" s="1438">
        <f t="shared" ca="1" si="73"/>
        <v>0</v>
      </c>
      <c r="AD194" s="1438">
        <f ca="1">IF(B194&gt;=$J$5,0,CONTADORES!H198-CONTADORES!H197)</f>
        <v>161.82999999999993</v>
      </c>
      <c r="AE194" s="1438">
        <f ca="1">IF(B194&gt;=$J$5,0,CONTADORES!J198-CONTADORES!J197)</f>
        <v>24</v>
      </c>
      <c r="AF194" s="1438">
        <f ca="1">IF(B194&gt;=$J$5,0,CONTADORES!AS198-CONTADORES!AS197)</f>
        <v>149.75</v>
      </c>
      <c r="AG194" s="1438">
        <f ca="1">IF(B194&gt;=$J$5,0,CONTADORES!AU198-CONTADORES!AU197)</f>
        <v>24</v>
      </c>
      <c r="AH194" s="1439">
        <f ca="1">IF(B194&gt;=$J$5,0,(CONTADORES!AK198-CONTADORES!AK197)+(CONTADORES!K198-CONTADORES!K197))</f>
        <v>12.599999999998545</v>
      </c>
      <c r="AI194" s="1438">
        <f ca="1">IF(B194&gt;=$J$5,0,(CONTADORES!AI198-CONTADORES!AI197)+(CONTADORES!M198-CONTADORES!M197))</f>
        <v>32.900000000008731</v>
      </c>
      <c r="AJ194" s="1438">
        <f ca="1">IF(B194&gt;=$J$5,0,(CONTADORES!AG198-CONTADORES!AG197))</f>
        <v>5.4399999999877764</v>
      </c>
      <c r="AK194" s="1438">
        <f ca="1">IF(B194&gt;=$J$5,0,(CONTADORES!O198-CONTADORES!O197))</f>
        <v>10.189999999973224</v>
      </c>
      <c r="AL194" s="1500">
        <f t="shared" ca="1" si="74"/>
        <v>30.600000000058571</v>
      </c>
      <c r="AM194" s="1438">
        <f ca="1">IF(B194&gt;=$J$5,0,(((CONTADORES!F198-CONTADORES!F197)+(CONTADORES!AO198-CONTADORES!AO197))))-BJ194-AF194-AN194-BM194-BP194-BU194-BS194</f>
        <v>9.9850000000330645</v>
      </c>
      <c r="AN194" s="1438">
        <f ca="1">IF(B194&gt;=$J$5,0,(CONTADORES!AV198-CONTADORES!AV197)+(CONTADORES!AX198-CONTADORES!AX197)+(CONTADORES!BC198-CONTADORES!BC197))-BS194</f>
        <v>3.2589999999994568</v>
      </c>
      <c r="AO194" s="1440">
        <f ca="1">IF(B194&gt;=$J$5,0,(CONTADORES!AA198-CONTADORES!AA197))</f>
        <v>139.25</v>
      </c>
      <c r="AP194" s="1440">
        <f ca="1">IF(B194&gt;=$J$5,0,(CONTADORES!V198-CONTADORES!V197))</f>
        <v>76.080000000001746</v>
      </c>
      <c r="AQ194" s="1445">
        <f ca="1">IF(B194&gt;=$J$5,0,(CONTADORES!C198-CONTADORES!C197))</f>
        <v>0</v>
      </c>
      <c r="AR194" s="1440">
        <f ca="1">IF(B194&gt;=$J$5,0,(CONTADORES!BA198-CONTADORES!BA197))</f>
        <v>0</v>
      </c>
      <c r="AS194" s="1438">
        <f ca="1">IF(B194&gt;=$J$5,0,CONTADORES!Q198-CONTADORES!Q197)</f>
        <v>14.449999999982538</v>
      </c>
      <c r="AT194" s="1438">
        <f ca="1">IF(B194&gt;=$J$5,0,(CONTADORES!S198-CONTADORES!S197)+(CONTADORES!AE198-CONTADORES!AE197))</f>
        <v>3.1700000000000017</v>
      </c>
      <c r="AU194" s="1474">
        <f ca="1">IF(B194&gt;=$J$5,0,(CONTADORES!I198-CONTADORES!I197))</f>
        <v>81.0600000000004</v>
      </c>
      <c r="AV194" s="1440">
        <f ca="1">IF(B194&gt;=$J$5,0,(CONTADORES!AT198-CONTADORES!AT197))</f>
        <v>64.610000000015134</v>
      </c>
      <c r="AW194" s="1440">
        <f ca="1">IF(B194&gt;=$J$5,0,(CONTADORES!L198-CONTADORES!L197)+(CONTADORES!AL198-CONTADORES!AL197))</f>
        <v>4.9000000000014552</v>
      </c>
      <c r="AX194" s="1440">
        <f ca="1">IF(B194&gt;=$J$5,0,(CONTADORES!N198-CONTADORES!N197)+(CONTADORES!AJ198-CONTADORES!AJ197))</f>
        <v>27.630000000004657</v>
      </c>
      <c r="AY194" s="1440">
        <f ca="1">IF(B194&gt;=$J$5,0,(CONTADORES!AH198-CONTADORES!AH197))</f>
        <v>4.2200000000011642</v>
      </c>
      <c r="AZ194" s="1440">
        <f ca="1">IF(B194&gt;=$J$5,0,(CONTADORES!P198-CONTADORES!P197))</f>
        <v>8.0400000000081491</v>
      </c>
      <c r="BA194" s="1450">
        <f t="shared" ca="1" si="75"/>
        <v>4.0689999999915187</v>
      </c>
      <c r="BB194" s="1474">
        <f ca="1">IF(B194&gt;=$J$5,0,(((CONTADORES!G198-CONTADORES!G197)+(CONTADORES!AP198-CONTADORES!AP197)+AR194)-(AV194+BC194)))</f>
        <v>11.999999999979707</v>
      </c>
      <c r="BC194" s="1438">
        <f ca="1">IF(B194&gt;=$J$5,0,(CONTADORES!AW198-CONTADORES!AW197)+(CONTADORES!AY198-CONTADORES!AY197)+(CONTADORES!BD198-CONTADORES!BD197))</f>
        <v>2.8899999999997021</v>
      </c>
      <c r="BD194" s="1438">
        <f t="shared" ca="1" si="76"/>
        <v>215.33000000000175</v>
      </c>
      <c r="BE194" s="1439">
        <f ca="1">IF($B194&gt;=$J$5,0,CONTADORES!$BE198)</f>
        <v>5798.08</v>
      </c>
      <c r="BF194" s="1438">
        <f ca="1">IF($B194&gt;=$J$5,0,CONTADORES!$BF198)</f>
        <v>34007.701754385998</v>
      </c>
      <c r="BG194" s="1438">
        <f ca="1">IF($B194&gt;=$J$5,0,CONTADORES!$BH198)</f>
        <v>5536.74</v>
      </c>
      <c r="BH194" s="1438">
        <f ca="1">IF(B194&gt;=$J$5,0,(CONTADORES!AQ198-CONTADORES!AQ197))</f>
        <v>4.5079999999943539</v>
      </c>
      <c r="BI194" s="1438">
        <f ca="1">IF(C194&gt;=$J$5,0,(CONTADORES!AR198-CONTADORES!AR197))</f>
        <v>0</v>
      </c>
      <c r="BJ194" s="1450">
        <f ca="1">IF(B194&gt;=$J$5,0,CONTADORES!BI198-CONTADORES!BI197)/1000</f>
        <v>0</v>
      </c>
      <c r="BK194" s="1450">
        <f ca="1">IF(B194&gt;=$J$5,0,CONTADORES!BJ198-CONTADORES!BJ197)</f>
        <v>0</v>
      </c>
      <c r="BL194" s="1450">
        <f ca="1">IF(B194&gt;=$J$5,0,CONTADORES!BK198-CONTADORES!BK197)</f>
        <v>0</v>
      </c>
      <c r="BM194" s="1450">
        <f ca="1">IF(B194&gt;=$J$5,0,CONTADORES!BL198-CONTADORES!BL197)/1000</f>
        <v>4.335</v>
      </c>
      <c r="BN194" s="1450">
        <f ca="1">IF(B194&gt;=$J$5,0,CONTADORES!BM198-CONTADORES!BM197)/1000</f>
        <v>0.433</v>
      </c>
      <c r="BO194" s="1450">
        <f ca="1">IF(B194&gt;=$J$5,0,CONTADORES!BN198-CONTADORES!BN197)</f>
        <v>24</v>
      </c>
      <c r="BP194" s="1450">
        <f ca="1">IF(B194&gt;=$J$5,0,CONTADORES!BO198-CONTADORES!BO197)/1000</f>
        <v>3.26</v>
      </c>
      <c r="BQ194" s="1450">
        <f ca="1">IF(B194&gt;=$J$5,0,CONTADORES!BP198-CONTADORES!BP197)/1000</f>
        <v>3.5999999999999997E-2</v>
      </c>
      <c r="BR194" s="1450">
        <f ca="1">IF(B194&gt;=$J$5,0,CONTADORES!BQ198-CONTADORES!BQ197)</f>
        <v>24</v>
      </c>
      <c r="BS194" s="1475">
        <f ca="1">IF(B194&gt;=$J$5,0,(CONTADORES!BT198-CONTADORES!BT197)+(CONTADORES!BV198-CONTADORES!BV197))/1000</f>
        <v>1.401</v>
      </c>
      <c r="BT194" s="1450">
        <f ca="1">IF(B194&gt;=$J$5,0,(CONTADORES!BU198-CONTADORES!BU197)+(CONTADORES!BW198-CONTADORES!BW197))/1000</f>
        <v>0.78200000000000003</v>
      </c>
      <c r="BU194" s="1450">
        <f ca="1">IF(B194&gt;=$J$5,0,CONTADORES!BR198-CONTADORES!BR197)</f>
        <v>7.2100000000009459</v>
      </c>
      <c r="BV194" s="1450">
        <f ca="1">IF(B194&gt;=$J$5,0,CONTADORES!BS198-CONTADORES!BS197)</f>
        <v>4.6599999999998545</v>
      </c>
      <c r="BW194" s="1450">
        <f t="shared" ca="1" si="77"/>
        <v>12.202500000017478</v>
      </c>
      <c r="BX194" s="1450">
        <f t="shared" ca="1" si="78"/>
        <v>10.659999999989708</v>
      </c>
      <c r="BY194" s="1450">
        <f t="shared" ca="1" si="79"/>
        <v>4.9925000000165323</v>
      </c>
      <c r="BZ194" s="1450">
        <f t="shared" ca="1" si="80"/>
        <v>1.3035999999997827</v>
      </c>
      <c r="CA194" s="1450">
        <f t="shared" ca="1" si="81"/>
        <v>4.9925000000165323</v>
      </c>
      <c r="CB194" s="1450">
        <f t="shared" ca="1" si="82"/>
        <v>1.9553999999996741</v>
      </c>
      <c r="CC194" s="1450">
        <f t="shared" ca="1" si="83"/>
        <v>2.7045999999997825</v>
      </c>
      <c r="CD194" s="1450">
        <f t="shared" ca="1" si="84"/>
        <v>5.9999999999898534</v>
      </c>
      <c r="CE194" s="1450">
        <f ca="1">IF(B194&gt;=$J$5,0,CONTADORES!BS198-CONTADORES!BS197)</f>
        <v>4.6599999999998545</v>
      </c>
      <c r="CF194" s="1450">
        <f t="shared" ca="1" si="85"/>
        <v>5.9999999999898534</v>
      </c>
      <c r="CG194" s="1450">
        <f t="shared" ca="1" si="86"/>
        <v>1.4449999999998511</v>
      </c>
      <c r="CH194" s="1450">
        <f t="shared" ca="1" si="87"/>
        <v>1.4449999999998511</v>
      </c>
      <c r="CI194" s="1450">
        <f t="shared" ca="1" si="88"/>
        <v>2.2269999999998511</v>
      </c>
      <c r="CJ194" s="1450">
        <f ca="1">IF($B194&gt;=$J$5,0,CONTADORES!$BG198)</f>
        <v>8737.7952732635295</v>
      </c>
      <c r="CK194" s="1406">
        <f>CONTADORES!E198</f>
        <v>0</v>
      </c>
      <c r="CL194" s="1406">
        <f>CONTADORES!BX198</f>
        <v>0</v>
      </c>
    </row>
    <row r="195" spans="2:90">
      <c r="B195" s="410">
        <v>45111</v>
      </c>
      <c r="C195" s="204">
        <f t="shared" ca="1" si="64"/>
        <v>289</v>
      </c>
      <c r="D195" s="202">
        <f ca="1">'CALCULO DE GAS'!P7</f>
        <v>5.0709909637250252</v>
      </c>
      <c r="E195" s="202">
        <f ca="1">IF(B195&gt;=$J$5,0,(CONTADORES!$AB199-CONTADORES!$AB198)-$H195)</f>
        <v>24</v>
      </c>
      <c r="F195" s="204">
        <f t="shared" ca="1" si="93"/>
        <v>0</v>
      </c>
      <c r="G195" s="202">
        <f ca="1">IF(B195&gt;=$J$5,0,CONTADORES!$AD199-CONTADORES!$AD198)</f>
        <v>0</v>
      </c>
      <c r="H195" s="202">
        <f ca="1">IF(G195&gt;0,CONTADORES!$AC199-CONTADORES!$AC198,0)</f>
        <v>0</v>
      </c>
      <c r="I195" s="205">
        <f ca="1">IF(B195&gt;=$J$5,0,CONTADORES!$Z199-CONTADORES!$Z198)</f>
        <v>289</v>
      </c>
      <c r="J195" s="204">
        <f t="shared" ca="1" si="65"/>
        <v>150.98999999999796</v>
      </c>
      <c r="K195" s="202">
        <f ca="1">'CALCULO DE GAS'!Q7</f>
        <v>3.8901584946479382</v>
      </c>
      <c r="L195" s="1437">
        <f ca="1">IF(B195&gt;=$J$5,0,(CONTADORES!$W199-CONTADORES!$W198)-$O195)</f>
        <v>24</v>
      </c>
      <c r="M195" s="1437">
        <f t="shared" ca="1" si="92"/>
        <v>0</v>
      </c>
      <c r="N195" s="1437">
        <f ca="1">IF(B195&gt;=$J$5,0,CONTADORES!$Y199-CONTADORES!$Y198)</f>
        <v>0</v>
      </c>
      <c r="O195" s="1437">
        <f ca="1">IF(N195&gt;0,CONTADORES!$X199-CONTADORES!$X198,0)</f>
        <v>0</v>
      </c>
      <c r="P195" s="208">
        <f ca="1">IF(B195&gt;=$J$5,0,CONTADORES!$U199-CONTADORES!$U198)</f>
        <v>150.98999999999796</v>
      </c>
      <c r="Q195" s="208">
        <f ca="1">IF(B195&gt;=$J$5,0,CONTADORES!$B199-CONTADORES!$B198)</f>
        <v>0</v>
      </c>
      <c r="R195" s="202">
        <f t="shared" ca="1" si="66"/>
        <v>0</v>
      </c>
      <c r="S195" s="11">
        <f ca="1">IF(B195&gt;=$J$5,0,CONTADORES!$D199-CONTADORES!$D198)</f>
        <v>0</v>
      </c>
      <c r="T195" s="204">
        <f ca="1">IF(B195&gt;=$J$5,0,CONTADORES!$AZ199-CONTADORES!$AZ198)</f>
        <v>0.20299999999997453</v>
      </c>
      <c r="U195" s="202">
        <f t="shared" ca="1" si="91"/>
        <v>24.359999999996944</v>
      </c>
      <c r="V195" s="205">
        <f ca="1">IF(B195&gt;=$J$5,0,CONTADORES!$BB199-CONTADORES!$BB198)</f>
        <v>0.5500000000001819</v>
      </c>
      <c r="W195" s="1438">
        <f t="shared" ca="1" si="67"/>
        <v>439.98999999999796</v>
      </c>
      <c r="X195" s="1438">
        <f t="shared" ca="1" si="68"/>
        <v>0.20299999999997453</v>
      </c>
      <c r="Y195" s="1439">
        <f t="shared" ca="1" si="69"/>
        <v>440.19299999999794</v>
      </c>
      <c r="Z195" s="1439">
        <f t="shared" ca="1" si="70"/>
        <v>8.9611494583729634</v>
      </c>
      <c r="AA195" s="1439">
        <f t="shared" ca="1" si="71"/>
        <v>24.359999999996944</v>
      </c>
      <c r="AB195" s="1439">
        <f t="shared" ca="1" si="72"/>
        <v>48</v>
      </c>
      <c r="AC195" s="1438">
        <f t="shared" ca="1" si="73"/>
        <v>0.5500000000001819</v>
      </c>
      <c r="AD195" s="1438">
        <f ca="1">IF(B195&gt;=$J$5,0,CONTADORES!H199-CONTADORES!H198)</f>
        <v>165.46000000000095</v>
      </c>
      <c r="AE195" s="1438">
        <f ca="1">IF(B195&gt;=$J$5,0,CONTADORES!J199-CONTADORES!J198)</f>
        <v>24</v>
      </c>
      <c r="AF195" s="1438">
        <f ca="1">IF(B195&gt;=$J$5,0,CONTADORES!AS199-CONTADORES!AS198)</f>
        <v>154.25</v>
      </c>
      <c r="AG195" s="1438">
        <f ca="1">IF(B195&gt;=$J$5,0,CONTADORES!AU199-CONTADORES!AU198)</f>
        <v>24</v>
      </c>
      <c r="AH195" s="1439">
        <f ca="1">IF(B195&gt;=$J$5,0,(CONTADORES!AK199-CONTADORES!AK198)+(CONTADORES!K199-CONTADORES!K198))</f>
        <v>4.2000000000007276</v>
      </c>
      <c r="AI195" s="1438">
        <f ca="1">IF(B195&gt;=$J$5,0,(CONTADORES!AI199-CONTADORES!AI198)+(CONTADORES!M199-CONTADORES!M198))</f>
        <v>34.079999999987194</v>
      </c>
      <c r="AJ195" s="1438">
        <f ca="1">IF(B195&gt;=$J$5,0,(CONTADORES!AG199-CONTADORES!AG198))</f>
        <v>8.2100000000064028</v>
      </c>
      <c r="AK195" s="1438">
        <f ca="1">IF(B195&gt;=$J$5,0,(CONTADORES!O199-CONTADORES!O198))</f>
        <v>9.3900000000139698</v>
      </c>
      <c r="AL195" s="1500">
        <f t="shared" ca="1" si="74"/>
        <v>36.253000000001009</v>
      </c>
      <c r="AM195" s="1438">
        <f ca="1">IF(B195&gt;=$J$5,0,(((CONTADORES!F199-CONTADORES!F198)+(CONTADORES!AO199-CONTADORES!AO198))))-BJ195-AF195-AN195-BM195-BP195-BU195-BS195</f>
        <v>9.2109999999870187</v>
      </c>
      <c r="AN195" s="1438">
        <f ca="1">IF(B195&gt;=$J$5,0,(CONTADORES!AV199-CONTADORES!AV198)+(CONTADORES!AX199-CONTADORES!AX198)+(CONTADORES!BC199-CONTADORES!BC198))-BS195</f>
        <v>2.4430000000001026</v>
      </c>
      <c r="AO195" s="1440">
        <f ca="1">IF(B195&gt;=$J$5,0,(CONTADORES!AA199-CONTADORES!AA198))</f>
        <v>147.80999999999767</v>
      </c>
      <c r="AP195" s="1440">
        <f ca="1">IF(B195&gt;=$J$5,0,(CONTADORES!V199-CONTADORES!V198))</f>
        <v>74.819999999999709</v>
      </c>
      <c r="AQ195" s="1445">
        <f ca="1">IF(B195&gt;=$J$5,0,(CONTADORES!C199-CONTADORES!C198))</f>
        <v>0</v>
      </c>
      <c r="AR195" s="1440">
        <f ca="1">IF(B195&gt;=$J$5,0,(CONTADORES!BA199-CONTADORES!BA198))</f>
        <v>7.6999999999998181E-2</v>
      </c>
      <c r="AS195" s="1438">
        <f ca="1">IF(B195&gt;=$J$5,0,CONTADORES!Q199-CONTADORES!Q198)</f>
        <v>14.630000000004657</v>
      </c>
      <c r="AT195" s="1438">
        <f ca="1">IF(B195&gt;=$J$5,0,(CONTADORES!S199-CONTADORES!S198)+(CONTADORES!AE199-CONTADORES!AE198))</f>
        <v>3.2400000000000091</v>
      </c>
      <c r="AU195" s="1474">
        <f ca="1">IF(B195&gt;=$J$5,0,(CONTADORES!I199-CONTADORES!I198))</f>
        <v>83.210000000000036</v>
      </c>
      <c r="AV195" s="1440">
        <f ca="1">IF(B195&gt;=$J$5,0,(CONTADORES!AT199-CONTADORES!AT198))</f>
        <v>66.089999999996508</v>
      </c>
      <c r="AW195" s="1440">
        <f ca="1">IF(B195&gt;=$J$5,0,(CONTADORES!L199-CONTADORES!L198)+(CONTADORES!AL199-CONTADORES!AL198))</f>
        <v>1.7000000000007276</v>
      </c>
      <c r="AX195" s="1440">
        <f ca="1">IF(B195&gt;=$J$5,0,(CONTADORES!N199-CONTADORES!N198)+(CONTADORES!AJ199-CONTADORES!AJ198))</f>
        <v>28.689999999995052</v>
      </c>
      <c r="AY195" s="1440">
        <f ca="1">IF(B195&gt;=$J$5,0,(CONTADORES!AH199-CONTADORES!AH198))</f>
        <v>6.3300000000017462</v>
      </c>
      <c r="AZ195" s="1440">
        <f ca="1">IF(B195&gt;=$J$5,0,(CONTADORES!P199-CONTADORES!P198))</f>
        <v>7.3399999999965075</v>
      </c>
      <c r="BA195" s="1450">
        <f t="shared" ca="1" si="75"/>
        <v>10.764000000008963</v>
      </c>
      <c r="BB195" s="1474">
        <f ca="1">IF(B195&gt;=$J$5,0,(((CONTADORES!G199-CONTADORES!G198)+(CONTADORES!AP199-CONTADORES!AP198)+AR195)-(AV195+BC195)))</f>
        <v>9.9569999999976346</v>
      </c>
      <c r="BC195" s="1438">
        <f ca="1">IF(B195&gt;=$J$5,0,(CONTADORES!AW199-CONTADORES!AW198)+(CONTADORES!AY199-CONTADORES!AY198)+(CONTADORES!BD199-CONTADORES!BD198))</f>
        <v>2.4300000000000352</v>
      </c>
      <c r="BD195" s="1438">
        <f t="shared" ca="1" si="76"/>
        <v>222.70699999999738</v>
      </c>
      <c r="BE195" s="1439">
        <f ca="1">IF($B195&gt;=$J$5,0,CONTADORES!$BE199)</f>
        <v>5506.98</v>
      </c>
      <c r="BF195" s="1438">
        <f ca="1">IF($B195&gt;=$J$5,0,CONTADORES!$BF199)</f>
        <v>31698.940350877201</v>
      </c>
      <c r="BG195" s="1438">
        <f ca="1">IF($B195&gt;=$J$5,0,CONTADORES!$BH199)</f>
        <v>4568.28</v>
      </c>
      <c r="BH195" s="1438">
        <f ca="1">IF(B195&gt;=$J$5,0,(CONTADORES!AQ199-CONTADORES!AQ198))</f>
        <v>5.2360000000044238</v>
      </c>
      <c r="BI195" s="1438">
        <f ca="1">IF(C195&gt;=$J$5,0,(CONTADORES!AR199-CONTADORES!AR198))</f>
        <v>0</v>
      </c>
      <c r="BJ195" s="1450">
        <f ca="1">IF(B195&gt;=$J$5,0,CONTADORES!BI199-CONTADORES!BI198)/1000</f>
        <v>0</v>
      </c>
      <c r="BK195" s="1450">
        <f ca="1">IF(B195&gt;=$J$5,0,CONTADORES!BJ199-CONTADORES!BJ198)</f>
        <v>0</v>
      </c>
      <c r="BL195" s="1450">
        <f ca="1">IF(B195&gt;=$J$5,0,CONTADORES!BK199-CONTADORES!BK198)</f>
        <v>0</v>
      </c>
      <c r="BM195" s="1450">
        <f ca="1">IF(B195&gt;=$J$5,0,CONTADORES!BL199-CONTADORES!BL198)/1000</f>
        <v>4.3449999999999998</v>
      </c>
      <c r="BN195" s="1450">
        <f ca="1">IF(B195&gt;=$J$5,0,CONTADORES!BM199-CONTADORES!BM198)/1000</f>
        <v>0.45300000000000001</v>
      </c>
      <c r="BO195" s="1450">
        <f ca="1">IF(B195&gt;=$J$5,0,CONTADORES!BN199-CONTADORES!BN198)</f>
        <v>24</v>
      </c>
      <c r="BP195" s="1450">
        <f ca="1">IF(B195&gt;=$J$5,0,CONTADORES!BO199-CONTADORES!BO198)/1000</f>
        <v>3.1539999999999999</v>
      </c>
      <c r="BQ195" s="1450">
        <f ca="1">IF(B195&gt;=$J$5,0,CONTADORES!BP199-CONTADORES!BP198)/1000</f>
        <v>5.8000000000000003E-2</v>
      </c>
      <c r="BR195" s="1450">
        <f ca="1">IF(B195&gt;=$J$5,0,CONTADORES!BQ199-CONTADORES!BQ198)</f>
        <v>24</v>
      </c>
      <c r="BS195" s="1450">
        <f ca="1">IF(B195&gt;=$J$5,0,(CONTADORES!BT199-CONTADORES!BT198)+(CONTADORES!BV199-CONTADORES!BV198))/1000</f>
        <v>1.5069999999999999</v>
      </c>
      <c r="BT195" s="1450">
        <f ca="1">IF(B195&gt;=$J$5,0,(CONTADORES!BU199-CONTADORES!BU198)+(CONTADORES!BW199-CONTADORES!BW198))/1000</f>
        <v>0.84499999999999997</v>
      </c>
      <c r="BU195" s="1450">
        <f ca="1">IF(B195&gt;=$J$5,0,CONTADORES!BR199-CONTADORES!BR198)</f>
        <v>7.6900000000005093</v>
      </c>
      <c r="BV195" s="1450">
        <f ca="1">IF(B195&gt;=$J$5,0,CONTADORES!BS199-CONTADORES!BS198)</f>
        <v>4.8400000000001455</v>
      </c>
      <c r="BW195" s="1450">
        <f t="shared" ca="1" si="77"/>
        <v>12.295499999994018</v>
      </c>
      <c r="BX195" s="1450">
        <f t="shared" ca="1" si="78"/>
        <v>9.8184999999989628</v>
      </c>
      <c r="BY195" s="1450">
        <f t="shared" ca="1" si="79"/>
        <v>4.6054999999935093</v>
      </c>
      <c r="BZ195" s="1450">
        <f t="shared" ca="1" si="80"/>
        <v>0.97720000000004115</v>
      </c>
      <c r="CA195" s="1450">
        <f t="shared" ca="1" si="81"/>
        <v>4.6054999999935093</v>
      </c>
      <c r="CB195" s="1450">
        <f t="shared" ca="1" si="82"/>
        <v>1.4658000000000615</v>
      </c>
      <c r="CC195" s="1450">
        <f t="shared" ca="1" si="83"/>
        <v>2.4842000000000413</v>
      </c>
      <c r="CD195" s="1450">
        <f t="shared" ca="1" si="84"/>
        <v>4.9784999999988173</v>
      </c>
      <c r="CE195" s="1450">
        <f ca="1">IF(B195&gt;=$J$5,0,CONTADORES!BS199-CONTADORES!BS198)</f>
        <v>4.8400000000001455</v>
      </c>
      <c r="CF195" s="1450">
        <f t="shared" ca="1" si="85"/>
        <v>4.9784999999988173</v>
      </c>
      <c r="CG195" s="1450">
        <f t="shared" ca="1" si="86"/>
        <v>1.2150000000000176</v>
      </c>
      <c r="CH195" s="1450">
        <f t="shared" ca="1" si="87"/>
        <v>1.2150000000000176</v>
      </c>
      <c r="CI195" s="1450">
        <f t="shared" ca="1" si="88"/>
        <v>2.0600000000000174</v>
      </c>
      <c r="CJ195" s="1450">
        <f ca="1">IF($B195&gt;=$J$5,0,CONTADORES!$BG199)</f>
        <v>7327.3042249233804</v>
      </c>
      <c r="CK195" s="1406">
        <f>CONTADORES!E199</f>
        <v>0</v>
      </c>
      <c r="CL195" s="1406">
        <f>CONTADORES!BX199</f>
        <v>0.2</v>
      </c>
    </row>
    <row r="196" spans="2:90">
      <c r="B196" s="410">
        <v>45112</v>
      </c>
      <c r="C196" s="204">
        <f t="shared" ca="1" si="64"/>
        <v>298.5</v>
      </c>
      <c r="D196" s="202">
        <f ca="1">'CALCULO DE GAS'!P8</f>
        <v>5.152274265342534</v>
      </c>
      <c r="E196" s="202">
        <f ca="1">IF(B196&gt;=$J$5,0,(CONTADORES!$AB200-CONTADORES!$AB199)-$H196)</f>
        <v>24</v>
      </c>
      <c r="F196" s="204">
        <f t="shared" ca="1" si="93"/>
        <v>0</v>
      </c>
      <c r="G196" s="202">
        <f ca="1">IF(B196&gt;=$J$5,0,CONTADORES!$AD200-CONTADORES!$AD199)</f>
        <v>0</v>
      </c>
      <c r="H196" s="202">
        <f ca="1">IF(G196&gt;0,CONTADORES!$AC200-CONTADORES!$AC199,0)</f>
        <v>0</v>
      </c>
      <c r="I196" s="205">
        <f ca="1">IF(B196&gt;=$J$5,0,CONTADORES!$Z200-CONTADORES!$Z199)</f>
        <v>298.5</v>
      </c>
      <c r="J196" s="204">
        <f t="shared" ca="1" si="65"/>
        <v>145.5</v>
      </c>
      <c r="K196" s="202">
        <f ca="1">'CALCULO DE GAS'!Q8</f>
        <v>3.8431853024500486</v>
      </c>
      <c r="L196" s="1437">
        <f ca="1">IF(B196&gt;=$J$5,0,(CONTADORES!$W200-CONTADORES!$W199)-$O196)</f>
        <v>24</v>
      </c>
      <c r="M196" s="1437">
        <f t="shared" ca="1" si="92"/>
        <v>0</v>
      </c>
      <c r="N196" s="1437">
        <f ca="1">IF(B196&gt;=$J$5,0,CONTADORES!$Y200-CONTADORES!$Y199)</f>
        <v>0</v>
      </c>
      <c r="O196" s="1437">
        <f ca="1">IF(N196&gt;0,CONTADORES!$X200-CONTADORES!$X199,0)</f>
        <v>0</v>
      </c>
      <c r="P196" s="208">
        <f ca="1">IF(B196&gt;=$J$5,0,CONTADORES!$U200-CONTADORES!$U199)</f>
        <v>145.5</v>
      </c>
      <c r="Q196" s="208">
        <f ca="1">IF(B196&gt;=$J$5,0,CONTADORES!$B200-CONTADORES!$B199)</f>
        <v>0</v>
      </c>
      <c r="R196" s="202">
        <f t="shared" ca="1" si="66"/>
        <v>0</v>
      </c>
      <c r="S196" s="11">
        <f ca="1">IF(B196&gt;=$J$5,0,CONTADORES!$D200-CONTADORES!$D199)</f>
        <v>0</v>
      </c>
      <c r="T196" s="204">
        <f ca="1">IF(B196&gt;=$J$5,0,CONTADORES!$AZ200-CONTADORES!$AZ199)</f>
        <v>0</v>
      </c>
      <c r="U196" s="202">
        <f t="shared" ca="1" si="91"/>
        <v>0</v>
      </c>
      <c r="V196" s="205">
        <f ca="1">IF(B196&gt;=$J$5,0,CONTADORES!$BB200-CONTADORES!$BB199)</f>
        <v>0</v>
      </c>
      <c r="W196" s="1438">
        <f t="shared" ca="1" si="67"/>
        <v>444</v>
      </c>
      <c r="X196" s="1438">
        <f t="shared" ca="1" si="68"/>
        <v>0</v>
      </c>
      <c r="Y196" s="1439">
        <f t="shared" ca="1" si="69"/>
        <v>444</v>
      </c>
      <c r="Z196" s="1439">
        <f t="shared" ca="1" si="70"/>
        <v>8.995459567792583</v>
      </c>
      <c r="AA196" s="1439">
        <f t="shared" ca="1" si="71"/>
        <v>0</v>
      </c>
      <c r="AB196" s="1439">
        <f t="shared" ca="1" si="72"/>
        <v>48</v>
      </c>
      <c r="AC196" s="1438">
        <f t="shared" ca="1" si="73"/>
        <v>0</v>
      </c>
      <c r="AD196" s="1438">
        <f ca="1">IF(B196&gt;=$J$5,0,CONTADORES!H200-CONTADORES!H199)</f>
        <v>167.5099999999984</v>
      </c>
      <c r="AE196" s="1438">
        <f ca="1">IF(B196&gt;=$J$5,0,CONTADORES!J200-CONTADORES!J199)</f>
        <v>24</v>
      </c>
      <c r="AF196" s="1438">
        <f ca="1">IF(B196&gt;=$J$5,0,CONTADORES!AS200-CONTADORES!AS199)</f>
        <v>152.70000000001164</v>
      </c>
      <c r="AG196" s="1438">
        <f ca="1">IF(B196&gt;=$J$5,0,CONTADORES!AU200-CONTADORES!AU199)</f>
        <v>24</v>
      </c>
      <c r="AH196" s="1439">
        <f ca="1">IF(B196&gt;=$J$5,0,(CONTADORES!AK200-CONTADORES!AK199)+(CONTADORES!K200-CONTADORES!K199))</f>
        <v>10.599999999998545</v>
      </c>
      <c r="AI196" s="1438">
        <f ca="1">IF(B196&gt;=$J$5,0,(CONTADORES!AI200-CONTADORES!AI199)+(CONTADORES!M200-CONTADORES!M199))</f>
        <v>33.30000000000291</v>
      </c>
      <c r="AJ196" s="1438">
        <f ca="1">IF(B196&gt;=$J$5,0,(CONTADORES!AG200-CONTADORES!AG199))</f>
        <v>10.30000000000291</v>
      </c>
      <c r="AK196" s="1438">
        <f ca="1">IF(B196&gt;=$J$5,0,(CONTADORES!O200-CONTADORES!O199))</f>
        <v>11</v>
      </c>
      <c r="AL196" s="1500">
        <f t="shared" ca="1" si="74"/>
        <v>33.489999999997963</v>
      </c>
      <c r="AM196" s="1438">
        <f ca="1">IF(B196&gt;=$J$5,0,(((CONTADORES!F200-CONTADORES!F199)+(CONTADORES!AO200-CONTADORES!AO199))))-BJ196-AF196-AN196-BM196-BP196-BU196-BS196</f>
        <v>6.4509999999875021</v>
      </c>
      <c r="AN196" s="1438">
        <f ca="1">IF(B196&gt;=$J$5,0,(CONTADORES!AV200-CONTADORES!AV199)+(CONTADORES!AX200-CONTADORES!AX199)+(CONTADORES!BC200-CONTADORES!BC199))-BS196</f>
        <v>2.4910000000001276</v>
      </c>
      <c r="AO196" s="1440">
        <f ca="1">IF(B196&gt;=$J$5,0,(CONTADORES!AA200-CONTADORES!AA199))</f>
        <v>145.84000000002561</v>
      </c>
      <c r="AP196" s="1440">
        <f ca="1">IF(B196&gt;=$J$5,0,(CONTADORES!V200-CONTADORES!V199))</f>
        <v>79.099999999998545</v>
      </c>
      <c r="AQ196" s="1445">
        <f ca="1">IF(B196&gt;=$J$5,0,(CONTADORES!C200-CONTADORES!C199))</f>
        <v>0</v>
      </c>
      <c r="AR196" s="1440">
        <f ca="1">IF(B196&gt;=$J$5,0,(CONTADORES!BA200-CONTADORES!BA199))</f>
        <v>0</v>
      </c>
      <c r="AS196" s="1438">
        <f ca="1">IF(B196&gt;=$J$5,0,CONTADORES!Q200-CONTADORES!Q199)</f>
        <v>15</v>
      </c>
      <c r="AT196" s="1438">
        <f ca="1">IF(B196&gt;=$J$5,0,(CONTADORES!S200-CONTADORES!S199)+(CONTADORES!AE200-CONTADORES!AE199))</f>
        <v>3.2399999999999949</v>
      </c>
      <c r="AU196" s="1474">
        <f ca="1">IF(B196&gt;=$J$5,0,(CONTADORES!I200-CONTADORES!I199))</f>
        <v>81.930000000000291</v>
      </c>
      <c r="AV196" s="1440">
        <f ca="1">IF(B196&gt;=$J$5,0,(CONTADORES!AT200-CONTADORES!AT199))</f>
        <v>66.299999999988358</v>
      </c>
      <c r="AW196" s="1440">
        <f ca="1">IF(B196&gt;=$J$5,0,(CONTADORES!L200-CONTADORES!L199)+(CONTADORES!AL200-CONTADORES!AL199))</f>
        <v>4.1999999999970896</v>
      </c>
      <c r="AX196" s="1440">
        <f ca="1">IF(B196&gt;=$J$5,0,(CONTADORES!N200-CONTADORES!N199)+(CONTADORES!AJ200-CONTADORES!AJ199))</f>
        <v>28.410000000003492</v>
      </c>
      <c r="AY196" s="1440">
        <f ca="1">IF(B196&gt;=$J$5,0,(CONTADORES!AH200-CONTADORES!AH199))</f>
        <v>7.8999999999941792</v>
      </c>
      <c r="AZ196" s="1440">
        <f ca="1">IF(B196&gt;=$J$5,0,(CONTADORES!P200-CONTADORES!P199))</f>
        <v>10</v>
      </c>
      <c r="BA196" s="1450">
        <f t="shared" ca="1" si="75"/>
        <v>5.9880000000296434</v>
      </c>
      <c r="BB196" s="1474">
        <f ca="1">IF(B196&gt;=$J$5,0,(((CONTADORES!G200-CONTADORES!G199)+(CONTADORES!AP200-CONTADORES!AP199)+AR196)-(AV196+BC196)))</f>
        <v>11.750000000011084</v>
      </c>
      <c r="BC196" s="1438">
        <f ca="1">IF(B196&gt;=$J$5,0,(CONTADORES!AW200-CONTADORES!AW199)+(CONTADORES!AY200-CONTADORES!AY199)+(CONTADORES!BD200-CONTADORES!BD199))</f>
        <v>2.3500000000001933</v>
      </c>
      <c r="BD196" s="1438">
        <f t="shared" ca="1" si="76"/>
        <v>224.94000000002416</v>
      </c>
      <c r="BE196" s="1439">
        <f ca="1">IF($B196&gt;=$J$5,0,CONTADORES!$BE200)</f>
        <v>5662.41</v>
      </c>
      <c r="BF196" s="1438">
        <f ca="1">IF($B196&gt;=$J$5,0,CONTADORES!$BF200)</f>
        <v>32457.715789473681</v>
      </c>
      <c r="BG196" s="1438">
        <f ca="1">IF($B196&gt;=$J$5,0,CONTADORES!$BH200)</f>
        <v>6537.71</v>
      </c>
      <c r="BH196" s="1438">
        <f ca="1">IF(B196&gt;=$J$5,0,(CONTADORES!AQ200-CONTADORES!AQ199))</f>
        <v>4.9000000000014552</v>
      </c>
      <c r="BI196" s="1438">
        <f ca="1">IF(C196&gt;=$J$5,0,(CONTADORES!AR200-CONTADORES!AR199))</f>
        <v>0</v>
      </c>
      <c r="BJ196" s="1450">
        <f ca="1">IF(B196&gt;=$J$5,0,CONTADORES!BI200-CONTADORES!BI199)/1000</f>
        <v>0</v>
      </c>
      <c r="BK196" s="1450">
        <f ca="1">IF(B196&gt;=$J$5,0,CONTADORES!BJ200-CONTADORES!BJ199)</f>
        <v>0</v>
      </c>
      <c r="BL196" s="1450">
        <f ca="1">IF(B196&gt;=$J$5,0,CONTADORES!BK200-CONTADORES!BK199)</f>
        <v>0</v>
      </c>
      <c r="BM196" s="1450">
        <f ca="1">IF(B196&gt;=$J$5,0,CONTADORES!BL200-CONTADORES!BL199)/1000</f>
        <v>3.782</v>
      </c>
      <c r="BN196" s="1450">
        <f ca="1">IF(B196&gt;=$J$5,0,CONTADORES!BM200-CONTADORES!BM199)/1000</f>
        <v>0.153</v>
      </c>
      <c r="BO196" s="1450">
        <f ca="1">IF(B196&gt;=$J$5,0,CONTADORES!BN200-CONTADORES!BN199)</f>
        <v>24</v>
      </c>
      <c r="BP196" s="1450">
        <f ca="1">IF(B196&gt;=$J$5,0,CONTADORES!BO200-CONTADORES!BO199)/1000</f>
        <v>2.5070000000000001</v>
      </c>
      <c r="BQ196" s="1450">
        <f ca="1">IF(B196&gt;=$J$5,0,CONTADORES!BP200-CONTADORES!BP199)/1000</f>
        <v>2E-3</v>
      </c>
      <c r="BR196" s="1450">
        <f ca="1">IF(B196&gt;=$J$5,0,CONTADORES!BQ200-CONTADORES!BQ199)</f>
        <v>24</v>
      </c>
      <c r="BS196" s="1450">
        <f ca="1">IF(B196&gt;=$J$5,0,(CONTADORES!BT200-CONTADORES!BT199)+(CONTADORES!BV200-CONTADORES!BV199))/1000</f>
        <v>1.369</v>
      </c>
      <c r="BT196" s="1450">
        <f ca="1">IF(B196&gt;=$J$5,0,(CONTADORES!BU200-CONTADORES!BU199)+(CONTADORES!BW200-CONTADORES!BW199))/1000</f>
        <v>0.75700000000000001</v>
      </c>
      <c r="BU196" s="1450">
        <f ca="1">IF(B196&gt;=$J$5,0,CONTADORES!BR200-CONTADORES!BR199)</f>
        <v>8.5</v>
      </c>
      <c r="BV196" s="1450">
        <f ca="1">IF(B196&gt;=$J$5,0,CONTADORES!BS200-CONTADORES!BS199)</f>
        <v>5.1999999999998181</v>
      </c>
      <c r="BW196" s="1450">
        <f t="shared" ca="1" si="77"/>
        <v>11.725499999993751</v>
      </c>
      <c r="BX196" s="1450">
        <f t="shared" ca="1" si="78"/>
        <v>11.07500000000536</v>
      </c>
      <c r="BY196" s="1450">
        <f t="shared" ca="1" si="79"/>
        <v>3.225499999993751</v>
      </c>
      <c r="BZ196" s="1450">
        <f t="shared" ca="1" si="80"/>
        <v>0.99640000000005102</v>
      </c>
      <c r="CA196" s="1450">
        <f t="shared" ca="1" si="81"/>
        <v>3.225499999993751</v>
      </c>
      <c r="CB196" s="1450">
        <f t="shared" ca="1" si="82"/>
        <v>1.4946000000000765</v>
      </c>
      <c r="CC196" s="1450">
        <f t="shared" ca="1" si="83"/>
        <v>2.3654000000000508</v>
      </c>
      <c r="CD196" s="1450">
        <f t="shared" ca="1" si="84"/>
        <v>5.8750000000055422</v>
      </c>
      <c r="CE196" s="1450">
        <f ca="1">IF(B196&gt;=$J$5,0,CONTADORES!BS200-CONTADORES!BS199)</f>
        <v>5.1999999999998181</v>
      </c>
      <c r="CF196" s="1450">
        <f t="shared" ca="1" si="85"/>
        <v>5.8750000000055422</v>
      </c>
      <c r="CG196" s="1450">
        <f t="shared" ca="1" si="86"/>
        <v>1.1750000000000966</v>
      </c>
      <c r="CH196" s="1450">
        <f t="shared" ca="1" si="87"/>
        <v>1.1750000000000966</v>
      </c>
      <c r="CI196" s="1450">
        <f t="shared" ca="1" si="88"/>
        <v>1.9320000000000968</v>
      </c>
      <c r="CJ196" s="1450">
        <f ca="1">IF($B196&gt;=$J$5,0,CONTADORES!$BG200)</f>
        <v>9829.0468168774696</v>
      </c>
      <c r="CK196" s="1406">
        <f>CONTADORES!E200</f>
        <v>0</v>
      </c>
      <c r="CL196" s="1406">
        <f>CONTADORES!BX200</f>
        <v>0</v>
      </c>
    </row>
    <row r="197" spans="2:90">
      <c r="B197" s="410">
        <v>45113</v>
      </c>
      <c r="C197" s="204">
        <f t="shared" ca="1" si="64"/>
        <v>298.5</v>
      </c>
      <c r="D197" s="202">
        <f ca="1">'CALCULO DE GAS'!P9</f>
        <v>5.152274265342534</v>
      </c>
      <c r="E197" s="202">
        <f ca="1">IF(B197&gt;=$J$5,0,(CONTADORES!$AB201-CONTADORES!$AB200)-$H197)</f>
        <v>24</v>
      </c>
      <c r="F197" s="204">
        <v>0</v>
      </c>
      <c r="G197" s="202">
        <f ca="1">IF(B197&gt;=$J$5,0,CONTADORES!$AD201-CONTADORES!$AD200)</f>
        <v>0</v>
      </c>
      <c r="H197" s="202">
        <f ca="1">IF(G197&gt;0,CONTADORES!$AC201-CONTADORES!$AC200,0)</f>
        <v>0</v>
      </c>
      <c r="I197" s="205">
        <f ca="1">IF(B197&gt;=$J$5,0,CONTADORES!$Z201-CONTADORES!$Z200)</f>
        <v>298.5</v>
      </c>
      <c r="J197" s="204">
        <f t="shared" ca="1" si="65"/>
        <v>148.90000000000146</v>
      </c>
      <c r="K197" s="202">
        <f ca="1">'CALCULO DE GAS'!Q9</f>
        <v>3.8722761682921161</v>
      </c>
      <c r="L197" s="1437">
        <f ca="1">IF(B197&gt;=$J$5,0,(CONTADORES!$W201-CONTADORES!$W200)-$O197)</f>
        <v>24</v>
      </c>
      <c r="M197" s="1437">
        <f t="shared" ca="1" si="92"/>
        <v>0</v>
      </c>
      <c r="N197" s="1437">
        <f ca="1">IF(B197&gt;=$J$5,0,CONTADORES!$Y201-CONTADORES!$Y200)</f>
        <v>0</v>
      </c>
      <c r="O197" s="1437">
        <f ca="1">IF(N197&gt;0,CONTADORES!$X201-CONTADORES!$X200,0)</f>
        <v>0</v>
      </c>
      <c r="P197" s="208">
        <f ca="1">IF(B197&gt;=$J$5,0,CONTADORES!$U201-CONTADORES!$U200)</f>
        <v>148.90000000000146</v>
      </c>
      <c r="Q197" s="208">
        <f ca="1">IF(B197&gt;=$J$5,0,CONTADORES!$B201-CONTADORES!$B200)</f>
        <v>0</v>
      </c>
      <c r="R197" s="202">
        <f t="shared" ca="1" si="66"/>
        <v>0</v>
      </c>
      <c r="S197" s="11">
        <f ca="1">IF(B197&gt;=$J$5,0,CONTADORES!$D201-CONTADORES!$D200)</f>
        <v>0</v>
      </c>
      <c r="T197" s="204">
        <f ca="1">IF(B197&gt;=$J$5,0,CONTADORES!$AZ201-CONTADORES!$AZ200)</f>
        <v>0</v>
      </c>
      <c r="U197" s="202">
        <f t="shared" ca="1" si="91"/>
        <v>0</v>
      </c>
      <c r="V197" s="205">
        <f ca="1">IF(B197&gt;=$J$5,0,CONTADORES!$BB201-CONTADORES!$BB200)</f>
        <v>0</v>
      </c>
      <c r="W197" s="1438">
        <f t="shared" ca="1" si="67"/>
        <v>447.40000000000146</v>
      </c>
      <c r="X197" s="1438">
        <f t="shared" ca="1" si="68"/>
        <v>0</v>
      </c>
      <c r="Y197" s="1439">
        <f t="shared" ca="1" si="69"/>
        <v>447.40000000000146</v>
      </c>
      <c r="Z197" s="1439">
        <f t="shared" ca="1" si="70"/>
        <v>9.0245504336346496</v>
      </c>
      <c r="AA197" s="1439">
        <f t="shared" ca="1" si="71"/>
        <v>0</v>
      </c>
      <c r="AB197" s="1439">
        <f t="shared" ca="1" si="72"/>
        <v>48</v>
      </c>
      <c r="AC197" s="1438">
        <f t="shared" ca="1" si="73"/>
        <v>0</v>
      </c>
      <c r="AD197" s="1438">
        <f ca="1">IF(B197&gt;=$J$5,0,CONTADORES!H201-CONTADORES!H200)</f>
        <v>167.82300000000032</v>
      </c>
      <c r="AE197" s="1438">
        <f ca="1">IF(B197&gt;=$J$5,0,CONTADORES!J201-CONTADORES!J200)</f>
        <v>24</v>
      </c>
      <c r="AF197" s="1438">
        <f ca="1">IF(B197&gt;=$J$5,0,CONTADORES!AS201-CONTADORES!AS200)</f>
        <v>150.29999999998836</v>
      </c>
      <c r="AG197" s="1438">
        <f ca="1">IF(B197&gt;=$J$5,0,CONTADORES!AU201-CONTADORES!AU200)</f>
        <v>24</v>
      </c>
      <c r="AH197" s="1439">
        <f ca="1">IF(B197&gt;=$J$5,0,(CONTADORES!AK201-CONTADORES!AK200)+(CONTADORES!K201-CONTADORES!K200))</f>
        <v>7.0999999999985448</v>
      </c>
      <c r="AI197" s="1438">
        <f ca="1">IF(B197&gt;=$J$5,0,(CONTADORES!AI201-CONTADORES!AI200)+(CONTADORES!M201-CONTADORES!M200))</f>
        <v>36.400000000008731</v>
      </c>
      <c r="AJ197" s="1438">
        <f ca="1">IF(B197&gt;=$J$5,0,(CONTADORES!AG201-CONTADORES!AG200))</f>
        <v>10.30000000000291</v>
      </c>
      <c r="AK197" s="1438">
        <f ca="1">IF(B197&gt;=$J$5,0,(CONTADORES!O201-CONTADORES!O200))</f>
        <v>11</v>
      </c>
      <c r="AL197" s="1500">
        <f t="shared" ca="1" si="74"/>
        <v>34.976999999987981</v>
      </c>
      <c r="AM197" s="1438">
        <f ca="1">IF(B197&gt;=$J$5,0,(((CONTADORES!F201-CONTADORES!F200)+(CONTADORES!AO201-CONTADORES!AO200))))-BJ197-AF197-AN197-BM197-BP197-BU197-BS197</f>
        <v>8.6910000000145509</v>
      </c>
      <c r="AN197" s="1438">
        <f ca="1">IF(B197&gt;=$J$5,0,(CONTADORES!AV201-CONTADORES!AV200)+(CONTADORES!AX201-CONTADORES!AX200)+(CONTADORES!BC201-CONTADORES!BC200))-BS197</f>
        <v>2.7220000000003637</v>
      </c>
      <c r="AO197" s="1440">
        <f ca="1">IF(B197&gt;=$J$5,0,(CONTADORES!AA201-CONTADORES!AA200))</f>
        <v>148.15999999997439</v>
      </c>
      <c r="AP197" s="1440">
        <f ca="1">IF(B197&gt;=$J$5,0,(CONTADORES!V201-CONTADORES!V200))</f>
        <v>80.599999999998545</v>
      </c>
      <c r="AQ197" s="1445">
        <f ca="1">IF(B197&gt;=$J$5,0,(CONTADORES!C201-CONTADORES!C200))</f>
        <v>0</v>
      </c>
      <c r="AR197" s="1440">
        <f ca="1">IF(B197&gt;=$J$5,0,(CONTADORES!BA201-CONTADORES!BA200))</f>
        <v>0</v>
      </c>
      <c r="AS197" s="1438">
        <f ca="1">IF(B197&gt;=$J$5,0,CONTADORES!Q201-CONTADORES!Q200)</f>
        <v>15</v>
      </c>
      <c r="AT197" s="1438">
        <f ca="1">IF(B197&gt;=$J$5,0,(CONTADORES!S201-CONTADORES!S200)+(CONTADORES!AE201-CONTADORES!AE200))</f>
        <v>3.3100000000000023</v>
      </c>
      <c r="AU197" s="1474">
        <f ca="1">IF(B197&gt;=$J$5,0,(CONTADORES!I201-CONTADORES!I200))</f>
        <v>83.099999999999454</v>
      </c>
      <c r="AV197" s="1440">
        <f ca="1">IF(B197&gt;=$J$5,0,(CONTADORES!AT201-CONTADORES!AT200))</f>
        <v>64.700000000011642</v>
      </c>
      <c r="AW197" s="1440">
        <f ca="1">IF(B197&gt;=$J$5,0,(CONTADORES!L201-CONTADORES!L200)+(CONTADORES!AL201-CONTADORES!AL200))</f>
        <v>2.7000000000007276</v>
      </c>
      <c r="AX197" s="1440">
        <f ca="1">IF(B197&gt;=$J$5,0,(CONTADORES!N201-CONTADORES!N200)+(CONTADORES!AJ201-CONTADORES!AJ200))</f>
        <v>31.389999999999418</v>
      </c>
      <c r="AY197" s="1440">
        <f ca="1">IF(B197&gt;=$J$5,0,(CONTADORES!AH201-CONTADORES!AH200))</f>
        <v>7.8000000000029104</v>
      </c>
      <c r="AZ197" s="1440">
        <f ca="1">IF(B197&gt;=$J$5,0,(CONTADORES!P201-CONTADORES!P200))</f>
        <v>8</v>
      </c>
      <c r="BA197" s="1450">
        <f t="shared" ca="1" si="75"/>
        <v>7.8449999999698719</v>
      </c>
      <c r="BB197" s="1474">
        <f ca="1">IF(B197&gt;=$J$5,0,(((CONTADORES!G201-CONTADORES!G200)+(CONTADORES!AP201-CONTADORES!AP200)+AR197)-(AV197+BC197)))</f>
        <v>13.799999999989041</v>
      </c>
      <c r="BC197" s="1438">
        <f ca="1">IF(B197&gt;=$J$5,0,(CONTADORES!AW201-CONTADORES!AW200)+(CONTADORES!AY201-CONTADORES!AY200)+(CONTADORES!BD201-CONTADORES!BD200))</f>
        <v>2.3999999999998636</v>
      </c>
      <c r="BD197" s="1438">
        <f t="shared" ca="1" si="76"/>
        <v>228.75999999997293</v>
      </c>
      <c r="BE197" s="1439">
        <f ca="1">IF($B197&gt;=$J$5,0,CONTADORES!$BE201)</f>
        <v>5596.3000000000011</v>
      </c>
      <c r="BF197" s="1438">
        <f ca="1">IF($B197&gt;=$J$5,0,CONTADORES!$BF201)</f>
        <v>33529.754385964909</v>
      </c>
      <c r="BG197" s="1438">
        <f ca="1">IF($B197&gt;=$J$5,0,CONTADORES!$BH201)</f>
        <v>6142.1699999999992</v>
      </c>
      <c r="BH197" s="1438">
        <f ca="1">IF(B197&gt;=$J$5,0,(CONTADORES!AQ201-CONTADORES!AQ200))</f>
        <v>5.0999999999985448</v>
      </c>
      <c r="BI197" s="1438">
        <f ca="1">IF(C197&gt;=$J$5,0,(CONTADORES!AR201-CONTADORES!AR200))</f>
        <v>0</v>
      </c>
      <c r="BJ197" s="1450">
        <f ca="1">IF(B197&gt;=$J$5,0,CONTADORES!BI201-CONTADORES!BI200)/1000</f>
        <v>0</v>
      </c>
      <c r="BK197" s="1450">
        <f ca="1">IF(B197&gt;=$J$5,0,CONTADORES!BJ201-CONTADORES!BJ200)</f>
        <v>0</v>
      </c>
      <c r="BL197" s="1450">
        <f ca="1">IF(B197&gt;=$J$5,0,CONTADORES!BK201-CONTADORES!BK200)</f>
        <v>0</v>
      </c>
      <c r="BM197" s="1450">
        <f ca="1">IF(B197&gt;=$J$5,0,CONTADORES!BL201-CONTADORES!BL200)/1000</f>
        <v>4.4080000000000004</v>
      </c>
      <c r="BN197" s="1450">
        <f ca="1">IF(B197&gt;=$J$5,0,CONTADORES!BM201-CONTADORES!BM200)/1000</f>
        <v>0.64400000000000002</v>
      </c>
      <c r="BO197" s="1450">
        <f ca="1">IF(B197&gt;=$J$5,0,CONTADORES!BN201-CONTADORES!BN200)</f>
        <v>24</v>
      </c>
      <c r="BP197" s="1450">
        <f ca="1">IF(B197&gt;=$J$5,0,CONTADORES!BO201-CONTADORES!BO200)/1000</f>
        <v>3.4009999999999998</v>
      </c>
      <c r="BQ197" s="1450">
        <f ca="1">IF(B197&gt;=$J$5,0,CONTADORES!BP201-CONTADORES!BP200)/1000</f>
        <v>8.6999999999999994E-2</v>
      </c>
      <c r="BR197" s="1450">
        <f ca="1">IF(B197&gt;=$J$5,0,CONTADORES!BQ201-CONTADORES!BQ200)</f>
        <v>24</v>
      </c>
      <c r="BS197" s="1450">
        <f ca="1">IF(B197&gt;=$J$5,0,(CONTADORES!BT201-CONTADORES!BT200)+(CONTADORES!BV201-CONTADORES!BV200))/1000</f>
        <v>1.3779999999999999</v>
      </c>
      <c r="BT197" s="1450">
        <f ca="1">IF(B197&gt;=$J$5,0,(CONTADORES!BU201-CONTADORES!BU200)+(CONTADORES!BW201-CONTADORES!BW200))/1000</f>
        <v>0.79400000000000004</v>
      </c>
      <c r="BU197" s="1450">
        <f ca="1">IF(B197&gt;=$J$5,0,CONTADORES!BR201-CONTADORES!BR200)</f>
        <v>8.8999999999996362</v>
      </c>
      <c r="BV197" s="1450">
        <f ca="1">IF(B197&gt;=$J$5,0,CONTADORES!BS201-CONTADORES!BS200)</f>
        <v>5.5</v>
      </c>
      <c r="BW197" s="1450">
        <f t="shared" ca="1" si="77"/>
        <v>13.245500000006912</v>
      </c>
      <c r="BX197" s="1450">
        <f t="shared" ca="1" si="78"/>
        <v>12.39999999999452</v>
      </c>
      <c r="BY197" s="1450">
        <f t="shared" ca="1" si="79"/>
        <v>4.3455000000072754</v>
      </c>
      <c r="BZ197" s="1450">
        <f t="shared" ca="1" si="80"/>
        <v>1.0888000000001454</v>
      </c>
      <c r="CA197" s="1450">
        <f t="shared" ca="1" si="81"/>
        <v>4.3455000000072754</v>
      </c>
      <c r="CB197" s="1450">
        <f t="shared" ca="1" si="82"/>
        <v>1.6332000000002183</v>
      </c>
      <c r="CC197" s="1450">
        <f t="shared" ca="1" si="83"/>
        <v>2.4668000000001453</v>
      </c>
      <c r="CD197" s="1450">
        <f t="shared" ca="1" si="84"/>
        <v>6.8999999999945203</v>
      </c>
      <c r="CE197" s="1450">
        <f ca="1">IF(B197&gt;=$J$5,0,CONTADORES!BS201-CONTADORES!BS200)</f>
        <v>5.5</v>
      </c>
      <c r="CF197" s="1450">
        <f t="shared" ca="1" si="85"/>
        <v>6.8999999999945203</v>
      </c>
      <c r="CG197" s="1450">
        <f t="shared" ca="1" si="86"/>
        <v>1.1999999999999318</v>
      </c>
      <c r="CH197" s="1450">
        <f t="shared" ca="1" si="87"/>
        <v>1.1999999999999318</v>
      </c>
      <c r="CI197" s="1450">
        <f t="shared" ca="1" si="88"/>
        <v>1.9939999999999318</v>
      </c>
      <c r="CJ197" s="1450">
        <f ca="1">IF($B197&gt;=$J$5,0,CONTADORES!$BG201)</f>
        <v>11448.25002726303</v>
      </c>
      <c r="CK197" s="1406">
        <f>CONTADORES!E201</f>
        <v>0</v>
      </c>
      <c r="CL197" s="1406">
        <f>CONTADORES!BX201</f>
        <v>0</v>
      </c>
    </row>
    <row r="198" spans="2:90">
      <c r="B198" s="410">
        <v>45114</v>
      </c>
      <c r="C198" s="204">
        <f t="shared" ca="1" si="64"/>
        <v>289</v>
      </c>
      <c r="D198" s="202">
        <f ca="1">'CALCULO DE GAS'!P10</f>
        <v>5.0709909637250252</v>
      </c>
      <c r="E198" s="202">
        <f ca="1">IF(B198&gt;=$J$5,0,(CONTADORES!$AB202-CONTADORES!$AB201)-$H198)</f>
        <v>24</v>
      </c>
      <c r="F198" s="204">
        <f t="shared" ref="F198:F225" ca="1" si="94">IF(H198=0,0,"ERROR")</f>
        <v>0</v>
      </c>
      <c r="G198" s="202">
        <f ca="1">IF(B198&gt;=$J$5,0,CONTADORES!$AD202-CONTADORES!$AD201)</f>
        <v>0</v>
      </c>
      <c r="H198" s="202">
        <f ca="1">IF(G198&gt;0,CONTADORES!$AC202-CONTADORES!$AC201,0)</f>
        <v>0</v>
      </c>
      <c r="I198" s="205">
        <f ca="1">IF(B198&gt;=$J$5,0,CONTADORES!$Z202-CONTADORES!$Z201)</f>
        <v>289</v>
      </c>
      <c r="J198" s="204">
        <f t="shared" ca="1" si="65"/>
        <v>142.59999999999854</v>
      </c>
      <c r="K198" s="202">
        <f ca="1">'CALCULO DE GAS'!Q10</f>
        <v>3.8183725051141657</v>
      </c>
      <c r="L198" s="1437">
        <f ca="1">IF(B198&gt;=$J$5,0,(CONTADORES!$W202-CONTADORES!$W201)-$O198)</f>
        <v>24</v>
      </c>
      <c r="M198" s="1437">
        <f t="shared" ca="1" si="92"/>
        <v>0</v>
      </c>
      <c r="N198" s="1437">
        <f ca="1">IF(B198&gt;=$J$5,0,CONTADORES!$Y202-CONTADORES!$Y201)</f>
        <v>0</v>
      </c>
      <c r="O198" s="1437">
        <f ca="1">IF(N198&gt;0,CONTADORES!$X202-CONTADORES!$X201,0)</f>
        <v>0</v>
      </c>
      <c r="P198" s="208">
        <f ca="1">IF(B198&gt;=$J$5,0,CONTADORES!$U202-CONTADORES!$U201)</f>
        <v>142.59999999999854</v>
      </c>
      <c r="Q198" s="208">
        <f ca="1">IF(B198&gt;=$J$5,0,CONTADORES!$B202-CONTADORES!$B201)</f>
        <v>0.23400000000015098</v>
      </c>
      <c r="R198" s="202">
        <f t="shared" ca="1" si="66"/>
        <v>28.080000000018117</v>
      </c>
      <c r="S198" s="11">
        <f ca="1">IF(B198&gt;=$J$5,0,CONTADORES!$D202-CONTADORES!$D201)</f>
        <v>2.0999999999994543</v>
      </c>
      <c r="T198" s="204">
        <f ca="1">IF(B198&gt;=$J$5,0,CONTADORES!$AZ202-CONTADORES!$AZ201)</f>
        <v>0</v>
      </c>
      <c r="U198" s="202">
        <f t="shared" ca="1" si="91"/>
        <v>0</v>
      </c>
      <c r="V198" s="205">
        <f ca="1">IF(B198&gt;=$J$5,0,CONTADORES!$BB202-CONTADORES!$BB201)</f>
        <v>0</v>
      </c>
      <c r="W198" s="1438">
        <f t="shared" ca="1" si="67"/>
        <v>431.59999999999854</v>
      </c>
      <c r="X198" s="1438">
        <f t="shared" ca="1" si="68"/>
        <v>0.23400000000015098</v>
      </c>
      <c r="Y198" s="1439">
        <f t="shared" ca="1" si="69"/>
        <v>431.8339999999987</v>
      </c>
      <c r="Z198" s="1439">
        <f t="shared" ca="1" si="70"/>
        <v>8.8893634688391909</v>
      </c>
      <c r="AA198" s="1439">
        <f t="shared" ca="1" si="71"/>
        <v>28.080000000018117</v>
      </c>
      <c r="AB198" s="1439">
        <f t="shared" ca="1" si="72"/>
        <v>48</v>
      </c>
      <c r="AC198" s="1438">
        <f t="shared" ca="1" si="73"/>
        <v>2.0999999999994543</v>
      </c>
      <c r="AD198" s="1438">
        <f ca="1">IF(B198&gt;=$J$5,0,CONTADORES!H202-CONTADORES!H201)</f>
        <v>146.97700000000077</v>
      </c>
      <c r="AE198" s="1438">
        <f ca="1">IF(B198&gt;=$J$5,0,CONTADORES!J202-CONTADORES!J201)</f>
        <v>22.399999999994179</v>
      </c>
      <c r="AF198" s="1438">
        <f ca="1">IF(B198&gt;=$J$5,0,CONTADORES!AS202-CONTADORES!AS201)</f>
        <v>151</v>
      </c>
      <c r="AG198" s="1438">
        <f ca="1">IF(B198&gt;=$J$5,0,CONTADORES!AU202-CONTADORES!AU201)</f>
        <v>24</v>
      </c>
      <c r="AH198" s="1439">
        <f ca="1">IF(B198&gt;=$J$5,0,(CONTADORES!AK202-CONTADORES!AK201)+(CONTADORES!K202-CONTADORES!K201))</f>
        <v>13</v>
      </c>
      <c r="AI198" s="1438">
        <f ca="1">IF(B198&gt;=$J$5,0,(CONTADORES!AI202-CONTADORES!AI201)+(CONTADORES!M202-CONTADORES!M201))</f>
        <v>37.5</v>
      </c>
      <c r="AJ198" s="1438">
        <f ca="1">IF(B198&gt;=$J$5,0,(CONTADORES!AG202-CONTADORES!AG201))</f>
        <v>10.69999999999709</v>
      </c>
      <c r="AK198" s="1438">
        <f ca="1">IF(B198&gt;=$J$5,0,(CONTADORES!O202-CONTADORES!O201))</f>
        <v>10</v>
      </c>
      <c r="AL198" s="1500">
        <f t="shared" ca="1" si="74"/>
        <v>33.05700000000229</v>
      </c>
      <c r="AM198" s="1438">
        <f ca="1">IF(B198&gt;=$J$5,0,(((CONTADORES!F202-CONTADORES!F201)+(CONTADORES!AO202-CONTADORES!AO201))))-BJ198-AF198-AN198-BM198-BP198-BU198-BS198</f>
        <v>8.5929999999995665</v>
      </c>
      <c r="AN198" s="1438">
        <f ca="1">IF(B198&gt;=$J$5,0,(CONTADORES!AV202-CONTADORES!AV201)+(CONTADORES!AX202-CONTADORES!AX201)+(CONTADORES!BC202-CONTADORES!BC201))-BS198</f>
        <v>2.4730000000000691</v>
      </c>
      <c r="AO198" s="1440">
        <f ca="1">IF(B198&gt;=$J$5,0,(CONTADORES!AA202-CONTADORES!AA201))</f>
        <v>148</v>
      </c>
      <c r="AP198" s="1440">
        <f ca="1">IF(B198&gt;=$J$5,0,(CONTADORES!V202-CONTADORES!V201))</f>
        <v>74.80000000000291</v>
      </c>
      <c r="AQ198" s="1445">
        <f ca="1">IF(B198&gt;=$J$5,0,(CONTADORES!C202-CONTADORES!C201))</f>
        <v>0.11599999999998545</v>
      </c>
      <c r="AR198" s="1440">
        <f ca="1">IF(B198&gt;=$J$5,0,(CONTADORES!BA202-CONTADORES!BA201))</f>
        <v>0</v>
      </c>
      <c r="AS198" s="1438">
        <f ca="1">IF(B198&gt;=$J$5,0,CONTADORES!Q202-CONTADORES!Q201)</f>
        <v>14</v>
      </c>
      <c r="AT198" s="1438">
        <f ca="1">IF(B198&gt;=$J$5,0,(CONTADORES!S202-CONTADORES!S201)+(CONTADORES!AE202-CONTADORES!AE201))</f>
        <v>3.2999999999999972</v>
      </c>
      <c r="AU198" s="1474">
        <f ca="1">IF(B198&gt;=$J$5,0,(CONTADORES!I202-CONTADORES!I201))</f>
        <v>75.100000000000364</v>
      </c>
      <c r="AV198" s="1440">
        <f ca="1">IF(B198&gt;=$J$5,0,(CONTADORES!AT202-CONTADORES!AT201))</f>
        <v>65</v>
      </c>
      <c r="AW198" s="1440">
        <f ca="1">IF(B198&gt;=$J$5,0,(CONTADORES!L202-CONTADORES!L201)+(CONTADORES!AL202-CONTADORES!AL201))</f>
        <v>5.1000000000021828</v>
      </c>
      <c r="AX198" s="1440">
        <f ca="1">IF(B198&gt;=$J$5,0,(CONTADORES!N202-CONTADORES!N201)+(CONTADORES!AJ202-CONTADORES!AJ201))</f>
        <v>26.099999999998545</v>
      </c>
      <c r="AY198" s="1440">
        <f ca="1">IF(B198&gt;=$J$5,0,(CONTADORES!AH202-CONTADORES!AH201))</f>
        <v>7.8000000000029104</v>
      </c>
      <c r="AZ198" s="1440">
        <f ca="1">IF(B198&gt;=$J$5,0,(CONTADORES!P202-CONTADORES!P201))</f>
        <v>9</v>
      </c>
      <c r="BA198" s="1450">
        <f t="shared" ca="1" si="75"/>
        <v>13.023999999998722</v>
      </c>
      <c r="BB198" s="1474">
        <f ca="1">IF(B198&gt;=$J$5,0,(((CONTADORES!G202-CONTADORES!G201)+(CONTADORES!AP202-CONTADORES!AP201)+AR198)-(AV198+BC198)))</f>
        <v>11.599999999999625</v>
      </c>
      <c r="BC198" s="1438">
        <f ca="1">IF(B198&gt;=$J$5,0,(CONTADORES!AW202-CONTADORES!AW201)+(CONTADORES!AY202-CONTADORES!AY201)+(CONTADORES!BD202-CONTADORES!BD201))</f>
        <v>2.8000000000000114</v>
      </c>
      <c r="BD198" s="1438">
        <f t="shared" ca="1" si="76"/>
        <v>222.9160000000029</v>
      </c>
      <c r="BE198" s="1439">
        <f ca="1">IF($B198&gt;=$J$5,0,CONTADORES!$BE202)</f>
        <v>5544.21</v>
      </c>
      <c r="BF198" s="1438">
        <f ca="1">IF($B198&gt;=$J$5,0,CONTADORES!$BF202)</f>
        <v>34239.973684210519</v>
      </c>
      <c r="BG198" s="1438">
        <f ca="1">IF($B198&gt;=$J$5,0,CONTADORES!$BH202)</f>
        <v>5832.0999999999995</v>
      </c>
      <c r="BH198" s="1438">
        <f ca="1">IF(B198&gt;=$J$5,0,(CONTADORES!AQ202-CONTADORES!AQ201))</f>
        <v>5.0999999999985448</v>
      </c>
      <c r="BI198" s="1438">
        <f ca="1">IF(C198&gt;=$J$5,0,(CONTADORES!AR202-CONTADORES!AR201))</f>
        <v>0</v>
      </c>
      <c r="BJ198" s="1450">
        <f ca="1">IF(B198&gt;=$J$5,0,CONTADORES!BI202-CONTADORES!BI201)/1000</f>
        <v>0</v>
      </c>
      <c r="BK198" s="1450">
        <f ca="1">IF(B198&gt;=$J$5,0,CONTADORES!BJ202-CONTADORES!BJ201)</f>
        <v>0</v>
      </c>
      <c r="BL198" s="1450">
        <f ca="1">IF(B198&gt;=$J$5,0,CONTADORES!BK202-CONTADORES!BK201)</f>
        <v>0</v>
      </c>
      <c r="BM198" s="1450">
        <f ca="1">IF(B198&gt;=$J$5,0,CONTADORES!BL202-CONTADORES!BL201)/1000</f>
        <v>4.2119999999999997</v>
      </c>
      <c r="BN198" s="1450">
        <f ca="1">IF(B198&gt;=$J$5,0,CONTADORES!BM202-CONTADORES!BM201)/1000</f>
        <v>0.60499999999999998</v>
      </c>
      <c r="BO198" s="1450">
        <f ca="1">IF(B198&gt;=$J$5,0,CONTADORES!BN202-CONTADORES!BN201)</f>
        <v>24</v>
      </c>
      <c r="BP198" s="1450">
        <f ca="1">IF(B198&gt;=$J$5,0,CONTADORES!BO202-CONTADORES!BO201)/1000</f>
        <v>3.2650000000000001</v>
      </c>
      <c r="BQ198" s="1450">
        <f ca="1">IF(B198&gt;=$J$5,0,CONTADORES!BP202-CONTADORES!BP201)/1000</f>
        <v>0.11600000000000001</v>
      </c>
      <c r="BR198" s="1450">
        <f ca="1">IF(B198&gt;=$J$5,0,CONTADORES!BQ202-CONTADORES!BQ201)</f>
        <v>25</v>
      </c>
      <c r="BS198" s="1450">
        <f ca="1">IF(B198&gt;=$J$5,0,(CONTADORES!BT202-CONTADORES!BT201)+(CONTADORES!BV202-CONTADORES!BV201))/1000</f>
        <v>2.3570000000000002</v>
      </c>
      <c r="BT198" s="1450">
        <f ca="1">IF(B198&gt;=$J$5,0,(CONTADORES!BU202-CONTADORES!BU201)+(CONTADORES!BW202-CONTADORES!BW201))/1000</f>
        <v>1.2709999999999999</v>
      </c>
      <c r="BU198" s="1450">
        <f ca="1">IF(B198&gt;=$J$5,0,CONTADORES!BR202-CONTADORES!BR201)</f>
        <v>8.6999999999989086</v>
      </c>
      <c r="BV198" s="1450">
        <f ca="1">IF(B198&gt;=$J$5,0,CONTADORES!BS202-CONTADORES!BS201)</f>
        <v>5.4000000000005457</v>
      </c>
      <c r="BW198" s="1450">
        <f t="shared" ca="1" si="77"/>
        <v>12.996499999998692</v>
      </c>
      <c r="BX198" s="1450">
        <f t="shared" ca="1" si="78"/>
        <v>11.200000000000358</v>
      </c>
      <c r="BY198" s="1450">
        <f t="shared" ca="1" si="79"/>
        <v>4.2964999999997833</v>
      </c>
      <c r="BZ198" s="1450">
        <f t="shared" ca="1" si="80"/>
        <v>0.98920000000002772</v>
      </c>
      <c r="CA198" s="1450">
        <f t="shared" ca="1" si="81"/>
        <v>4.2964999999997833</v>
      </c>
      <c r="CB198" s="1450">
        <f t="shared" ca="1" si="82"/>
        <v>1.4838000000000413</v>
      </c>
      <c r="CC198" s="1450">
        <f t="shared" ca="1" si="83"/>
        <v>3.346200000000028</v>
      </c>
      <c r="CD198" s="1450">
        <f t="shared" ca="1" si="84"/>
        <v>5.7999999999998124</v>
      </c>
      <c r="CE198" s="1450">
        <f ca="1">IF(B198&gt;=$J$5,0,CONTADORES!BS202-CONTADORES!BS201)</f>
        <v>5.4000000000005457</v>
      </c>
      <c r="CF198" s="1450">
        <f t="shared" ca="1" si="85"/>
        <v>5.7999999999998124</v>
      </c>
      <c r="CG198" s="1450">
        <f t="shared" ca="1" si="86"/>
        <v>1.4000000000000057</v>
      </c>
      <c r="CH198" s="1450">
        <f t="shared" ca="1" si="87"/>
        <v>1.4000000000000057</v>
      </c>
      <c r="CI198" s="1450">
        <f t="shared" ca="1" si="88"/>
        <v>2.6710000000000056</v>
      </c>
      <c r="CJ198" s="1450">
        <f ca="1">IF($B198&gt;=$J$5,0,CONTADORES!$BG202)</f>
        <v>10903.976818655898</v>
      </c>
      <c r="CK198" s="1406">
        <f>CONTADORES!E202</f>
        <v>1</v>
      </c>
      <c r="CL198" s="1406">
        <f>CONTADORES!BX202</f>
        <v>0</v>
      </c>
    </row>
    <row r="199" spans="2:90">
      <c r="B199" s="410">
        <v>45115</v>
      </c>
      <c r="C199" s="204">
        <f t="shared" ca="1" si="64"/>
        <v>174</v>
      </c>
      <c r="D199" s="202">
        <f ca="1">'CALCULO DE GAS'!P11</f>
        <v>4.08703520730257</v>
      </c>
      <c r="E199" s="202">
        <f ca="1">IF(B199&gt;=$J$5,0,(CONTADORES!$AB203-CONTADORES!$AB202)-$H199)</f>
        <v>24</v>
      </c>
      <c r="F199" s="204">
        <f t="shared" ca="1" si="94"/>
        <v>0</v>
      </c>
      <c r="G199" s="202">
        <f ca="1">IF(B199&gt;=$J$5,0,CONTADORES!$AD203-CONTADORES!$AD202)</f>
        <v>0</v>
      </c>
      <c r="H199" s="202">
        <f ca="1">IF(G199&gt;0,CONTADORES!$AC203-CONTADORES!$AC202,0)</f>
        <v>0</v>
      </c>
      <c r="I199" s="205">
        <f ca="1">IF(B199&gt;=$J$5,0,CONTADORES!$Z203-CONTADORES!$Z202)</f>
        <v>174</v>
      </c>
      <c r="J199" s="204">
        <f t="shared" ca="1" si="65"/>
        <v>271.69999999999709</v>
      </c>
      <c r="K199" s="202">
        <f ca="1">'CALCULO DE GAS'!Q11</f>
        <v>4.9229697934110144</v>
      </c>
      <c r="L199" s="1437">
        <f ca="1">IF(B199&gt;=$J$5,0,(CONTADORES!$W203-CONTADORES!$W202)-$O199)</f>
        <v>24</v>
      </c>
      <c r="M199" s="1437">
        <f t="shared" ca="1" si="92"/>
        <v>0</v>
      </c>
      <c r="N199" s="1437">
        <f ca="1">IF(B199&gt;=$J$5,0,CONTADORES!$Y203-CONTADORES!$Y202)</f>
        <v>0</v>
      </c>
      <c r="O199" s="1437">
        <f ca="1">IF(N199&gt;0,CONTADORES!$X203-CONTADORES!$X202,0)</f>
        <v>0</v>
      </c>
      <c r="P199" s="208">
        <f ca="1">IF(B199&gt;=$J$5,0,CONTADORES!$U203-CONTADORES!$U202)</f>
        <v>271.69999999999709</v>
      </c>
      <c r="Q199" s="208">
        <f ca="1">IF(B199&gt;=$J$5,0,CONTADORES!$B203-CONTADORES!$B202)</f>
        <v>0</v>
      </c>
      <c r="R199" s="202">
        <f t="shared" ca="1" si="66"/>
        <v>0</v>
      </c>
      <c r="S199" s="11">
        <f ca="1">IF(B199&gt;=$J$5,0,CONTADORES!$D203-CONTADORES!$D202)</f>
        <v>0</v>
      </c>
      <c r="T199" s="204">
        <f ca="1">IF(B199&gt;=$J$5,0,CONTADORES!$AZ203-CONTADORES!$AZ202)</f>
        <v>0</v>
      </c>
      <c r="U199" s="202">
        <f t="shared" ca="1" si="91"/>
        <v>0</v>
      </c>
      <c r="V199" s="205">
        <f ca="1">IF(B199&gt;=$J$5,0,CONTADORES!$BB203-CONTADORES!$BB202)</f>
        <v>0</v>
      </c>
      <c r="W199" s="1438">
        <f t="shared" ca="1" si="67"/>
        <v>445.69999999999709</v>
      </c>
      <c r="X199" s="1438">
        <f t="shared" ca="1" si="68"/>
        <v>0</v>
      </c>
      <c r="Y199" s="1439">
        <f t="shared" ca="1" si="69"/>
        <v>445.69999999999709</v>
      </c>
      <c r="Z199" s="1439">
        <f t="shared" ca="1" si="70"/>
        <v>9.0100050007135835</v>
      </c>
      <c r="AA199" s="1439">
        <f t="shared" ca="1" si="71"/>
        <v>0</v>
      </c>
      <c r="AB199" s="1439">
        <f t="shared" ca="1" si="72"/>
        <v>48</v>
      </c>
      <c r="AC199" s="1438">
        <f t="shared" ca="1" si="73"/>
        <v>0</v>
      </c>
      <c r="AD199" s="1438">
        <f ca="1">IF(B199&gt;=$J$5,0,CONTADORES!H203-CONTADORES!H202)</f>
        <v>159.29999999999927</v>
      </c>
      <c r="AE199" s="1438">
        <f ca="1">IF(B199&gt;=$J$5,0,CONTADORES!J203-CONTADORES!J202)</f>
        <v>24</v>
      </c>
      <c r="AF199" s="1438">
        <f ca="1">IF(B199&gt;=$J$5,0,CONTADORES!AS203-CONTADORES!AS202)</f>
        <v>155</v>
      </c>
      <c r="AG199" s="1438">
        <f ca="1">IF(B199&gt;=$J$5,0,CONTADORES!AU203-CONTADORES!AU202)</f>
        <v>24</v>
      </c>
      <c r="AH199" s="1439">
        <f ca="1">IF(B199&gt;=$J$5,0,(CONTADORES!AK203-CONTADORES!AK202)+(CONTADORES!K203-CONTADORES!K202))</f>
        <v>13.599999999998545</v>
      </c>
      <c r="AI199" s="1438">
        <f ca="1">IF(B199&gt;=$J$5,0,(CONTADORES!AI203-CONTADORES!AI202)+(CONTADORES!M203-CONTADORES!M202))</f>
        <v>37.399999999994179</v>
      </c>
      <c r="AJ199" s="1438">
        <f ca="1">IF(B199&gt;=$J$5,0,(CONTADORES!AG203-CONTADORES!AG202))</f>
        <v>8.8000000000029104</v>
      </c>
      <c r="AK199" s="1438">
        <f ca="1">IF(B199&gt;=$J$5,0,(CONTADORES!O203-CONTADORES!O202))</f>
        <v>11</v>
      </c>
      <c r="AL199" s="1500">
        <f t="shared" ca="1" si="74"/>
        <v>33.30000000000291</v>
      </c>
      <c r="AM199" s="1438">
        <f ca="1">IF(B199&gt;=$J$5,0,(((CONTADORES!F203-CONTADORES!F202)+(CONTADORES!AO203-CONTADORES!AO202))))-BJ199-AF199-AN199-BM199-BP199-BU199-BS199</f>
        <v>6.7897999999983689</v>
      </c>
      <c r="AN199" s="1438">
        <f ca="1">IF(B199&gt;=$J$5,0,(CONTADORES!AV203-CONTADORES!AV202)+(CONTADORES!AX203-CONTADORES!AX202)+(CONTADORES!BC203-CONTADORES!BC202))-BS199</f>
        <v>2.1699999999996362</v>
      </c>
      <c r="AO199" s="1440">
        <f ca="1">IF(B199&gt;=$J$5,0,(CONTADORES!AA203-CONTADORES!AA202))</f>
        <v>87</v>
      </c>
      <c r="AP199" s="1440">
        <f ca="1">IF(B199&gt;=$J$5,0,(CONTADORES!V203-CONTADORES!V202))</f>
        <v>137</v>
      </c>
      <c r="AQ199" s="1445">
        <f ca="1">IF(B199&gt;=$J$5,0,(CONTADORES!C203-CONTADORES!C202))</f>
        <v>0</v>
      </c>
      <c r="AR199" s="1440">
        <f ca="1">IF(B199&gt;=$J$5,0,(CONTADORES!BA203-CONTADORES!BA202))</f>
        <v>0</v>
      </c>
      <c r="AS199" s="1438">
        <f ca="1">IF(B199&gt;=$J$5,0,CONTADORES!Q203-CONTADORES!Q202)</f>
        <v>13</v>
      </c>
      <c r="AT199" s="1438">
        <f ca="1">IF(B199&gt;=$J$5,0,(CONTADORES!S203-CONTADORES!S202)+(CONTADORES!AE203-CONTADORES!AE202))</f>
        <v>3.269999999999996</v>
      </c>
      <c r="AU199" s="1474">
        <f ca="1">IF(B199&gt;=$J$5,0,(CONTADORES!I203-CONTADORES!I202))</f>
        <v>81.800000000000182</v>
      </c>
      <c r="AV199" s="1440">
        <f ca="1">IF(B199&gt;=$J$5,0,(CONTADORES!AT203-CONTADORES!AT202))</f>
        <v>67</v>
      </c>
      <c r="AW199" s="1440">
        <f ca="1">IF(B199&gt;=$J$5,0,(CONTADORES!L203-CONTADORES!L202)+(CONTADORES!AL203-CONTADORES!AL202))</f>
        <v>5.5</v>
      </c>
      <c r="AX199" s="1440">
        <f ca="1">IF(B199&gt;=$J$5,0,(CONTADORES!N203-CONTADORES!N202)+(CONTADORES!AJ203-CONTADORES!AJ202))</f>
        <v>37.700000000004366</v>
      </c>
      <c r="AY199" s="1440">
        <f ca="1">IF(B199&gt;=$J$5,0,(CONTADORES!AH203-CONTADORES!AH202))</f>
        <v>7.1999999999970896</v>
      </c>
      <c r="AZ199" s="1440">
        <f ca="1">IF(B199&gt;=$J$5,0,(CONTADORES!P203-CONTADORES!P202))</f>
        <v>8</v>
      </c>
      <c r="BA199" s="1450">
        <f t="shared" ca="1" si="75"/>
        <v>4.1699999999989075</v>
      </c>
      <c r="BB199" s="1474">
        <f ca="1">IF(B199&gt;=$J$5,0,(((CONTADORES!G203-CONTADORES!G202)+(CONTADORES!AP203-CONTADORES!AP202)+AR199)-(AV199+BC199)))</f>
        <v>2.4999999999998295</v>
      </c>
      <c r="BC199" s="1438">
        <f ca="1">IF(B199&gt;=$J$5,0,(CONTADORES!AW203-CONTADORES!AW202)+(CONTADORES!AY203-CONTADORES!AY202)+(CONTADORES!BD203-CONTADORES!BD202))</f>
        <v>2.1999999999999886</v>
      </c>
      <c r="BD199" s="1438">
        <f t="shared" ca="1" si="76"/>
        <v>224</v>
      </c>
      <c r="BE199" s="1439">
        <f ca="1">IF($B199&gt;=$J$5,0,CONTADORES!$BE203)</f>
        <v>5533.0900000000011</v>
      </c>
      <c r="BF199" s="1438">
        <f ca="1">IF($B199&gt;=$J$5,0,CONTADORES!$BF203)</f>
        <v>34615.129824561402</v>
      </c>
      <c r="BG199" s="1438">
        <f ca="1">IF($B199&gt;=$J$5,0,CONTADORES!$BH203)</f>
        <v>6293.2499999999991</v>
      </c>
      <c r="BH199" s="1438">
        <f ca="1">IF(B199&gt;=$J$5,0,(CONTADORES!AQ203-CONTADORES!AQ202))</f>
        <v>4.5</v>
      </c>
      <c r="BI199" s="1438">
        <f ca="1">IF(C199&gt;=$J$5,0,(CONTADORES!AR203-CONTADORES!AR202))</f>
        <v>0</v>
      </c>
      <c r="BJ199" s="1450">
        <f ca="1">IF(B199&gt;=$J$5,0,CONTADORES!BI203-CONTADORES!BI202)/1000</f>
        <v>0.85120000000018625</v>
      </c>
      <c r="BK199" s="1450">
        <f ca="1">IF(B199&gt;=$J$5,0,CONTADORES!BJ203-CONTADORES!BJ202)</f>
        <v>1</v>
      </c>
      <c r="BL199" s="1450">
        <f ca="1">IF(B199&gt;=$J$5,0,CONTADORES!BK203-CONTADORES!BK202)</f>
        <v>7.5599999999976717</v>
      </c>
      <c r="BM199" s="1450">
        <f ca="1">IF(B199&gt;=$J$5,0,CONTADORES!BL203-CONTADORES!BL202)/1000</f>
        <v>4.5419999999999998</v>
      </c>
      <c r="BN199" s="1450">
        <f ca="1">IF(B199&gt;=$J$5,0,CONTADORES!BM203-CONTADORES!BM202)/1000</f>
        <v>0.499</v>
      </c>
      <c r="BO199" s="1450">
        <f ca="1">IF(B199&gt;=$J$5,0,CONTADORES!BN203-CONTADORES!BN202)</f>
        <v>24</v>
      </c>
      <c r="BP199" s="1450">
        <f ca="1">IF(B199&gt;=$J$5,0,CONTADORES!BO203-CONTADORES!BO202)/1000</f>
        <v>2.4169999999999998</v>
      </c>
      <c r="BQ199" s="1450">
        <f ca="1">IF(B199&gt;=$J$5,0,CONTADORES!BP203-CONTADORES!BP202)/1000</f>
        <v>7.9000000000000001E-2</v>
      </c>
      <c r="BR199" s="1450">
        <f ca="1">IF(B199&gt;=$J$5,0,CONTADORES!BQ203-CONTADORES!BQ202)</f>
        <v>16.299999999999272</v>
      </c>
      <c r="BS199" s="1450">
        <f ca="1">IF(B199&gt;=$J$5,0,(CONTADORES!BT203-CONTADORES!BT202)+(CONTADORES!BV203-CONTADORES!BV202))/1000</f>
        <v>1.73</v>
      </c>
      <c r="BT199" s="1450">
        <f ca="1">IF(B199&gt;=$J$5,0,(CONTADORES!BU203-CONTADORES!BU202)+(CONTADORES!BW203-CONTADORES!BW202))/1000</f>
        <v>0.95199999999999996</v>
      </c>
      <c r="BU199" s="1450">
        <f ca="1">IF(B199&gt;=$J$5,0,CONTADORES!BR203-CONTADORES!BR202)</f>
        <v>8.8000000000010914</v>
      </c>
      <c r="BV199" s="1450">
        <f ca="1">IF(B199&gt;=$J$5,0,CONTADORES!BS203-CONTADORES!BS202)</f>
        <v>5.3999999999996362</v>
      </c>
      <c r="BW199" s="1450">
        <f t="shared" ca="1" si="77"/>
        <v>12.194900000000276</v>
      </c>
      <c r="BX199" s="1450">
        <f t="shared" ca="1" si="78"/>
        <v>6.6499999999995509</v>
      </c>
      <c r="BY199" s="1450">
        <f t="shared" ca="1" si="79"/>
        <v>3.3948999999991845</v>
      </c>
      <c r="BZ199" s="1450">
        <f t="shared" ca="1" si="80"/>
        <v>0.86799999999985455</v>
      </c>
      <c r="CA199" s="1450">
        <f t="shared" ca="1" si="81"/>
        <v>3.3948999999991845</v>
      </c>
      <c r="CB199" s="1450">
        <f t="shared" ca="1" si="82"/>
        <v>1.3019999999997816</v>
      </c>
      <c r="CC199" s="1450">
        <f t="shared" ca="1" si="83"/>
        <v>2.5979999999998546</v>
      </c>
      <c r="CD199" s="1450">
        <f t="shared" ca="1" si="84"/>
        <v>1.2499999999999147</v>
      </c>
      <c r="CE199" s="1450">
        <f ca="1">IF(B199&gt;=$J$5,0,CONTADORES!BS203-CONTADORES!BS202)</f>
        <v>5.3999999999996362</v>
      </c>
      <c r="CF199" s="1450">
        <f t="shared" ca="1" si="85"/>
        <v>1.2499999999999147</v>
      </c>
      <c r="CG199" s="1450">
        <f t="shared" ca="1" si="86"/>
        <v>1.0999999999999943</v>
      </c>
      <c r="CH199" s="1450">
        <f t="shared" ca="1" si="87"/>
        <v>1.0999999999999943</v>
      </c>
      <c r="CI199" s="1450">
        <f t="shared" ca="1" si="88"/>
        <v>2.0519999999999943</v>
      </c>
      <c r="CJ199" s="1450">
        <f ca="1">IF($B199&gt;=$J$5,0,CONTADORES!$BG203)</f>
        <v>9741.4343934060944</v>
      </c>
      <c r="CK199" s="1406">
        <f>CONTADORES!E203</f>
        <v>0</v>
      </c>
      <c r="CL199" s="1406">
        <f>CONTADORES!BX203</f>
        <v>0</v>
      </c>
    </row>
    <row r="200" spans="2:90">
      <c r="B200" s="410">
        <v>45116</v>
      </c>
      <c r="C200" s="204">
        <f t="shared" ca="1" si="64"/>
        <v>144</v>
      </c>
      <c r="D200" s="202">
        <f ca="1">'CALCULO DE GAS'!P12</f>
        <v>3.8303510969314951</v>
      </c>
      <c r="E200" s="202">
        <f ca="1">IF(B200&gt;=$J$5,0,(CONTADORES!$AB204-CONTADORES!$AB203)-$H200)</f>
        <v>24</v>
      </c>
      <c r="F200" s="204">
        <f t="shared" ca="1" si="94"/>
        <v>0</v>
      </c>
      <c r="G200" s="202">
        <f ca="1">IF(B200&gt;=$J$5,0,CONTADORES!$AD204-CONTADORES!$AD203)</f>
        <v>0</v>
      </c>
      <c r="H200" s="202">
        <f ca="1">IF(G200&gt;0,CONTADORES!$AC204-CONTADORES!$AC203,0)</f>
        <v>0</v>
      </c>
      <c r="I200" s="205">
        <f ca="1">IF(B200&gt;=$J$5,0,CONTADORES!$Z204-CONTADORES!$Z203)</f>
        <v>144</v>
      </c>
      <c r="J200" s="204">
        <f t="shared" ca="1" si="65"/>
        <v>301.5</v>
      </c>
      <c r="K200" s="202">
        <f ca="1">'CALCULO DE GAS'!Q12</f>
        <v>5.1779426763796401</v>
      </c>
      <c r="L200" s="1437">
        <f ca="1">IF(B200&gt;=$J$5,0,(CONTADORES!$W204-CONTADORES!$W203)-$O200)</f>
        <v>24</v>
      </c>
      <c r="M200" s="1437">
        <f t="shared" ca="1" si="92"/>
        <v>0</v>
      </c>
      <c r="N200" s="1437">
        <f ca="1">IF(B200&gt;=$J$5,0,CONTADORES!$Y204-CONTADORES!$Y203)</f>
        <v>0</v>
      </c>
      <c r="O200" s="1437">
        <f ca="1">IF(N200&gt;0,CONTADORES!$X204-CONTADORES!$X203,0)</f>
        <v>0</v>
      </c>
      <c r="P200" s="208">
        <f ca="1">IF(B200&gt;=$J$5,0,CONTADORES!$U204-CONTADORES!$U203)</f>
        <v>301.5</v>
      </c>
      <c r="Q200" s="208">
        <f ca="1">IF(B200&gt;=$J$5,0,CONTADORES!$B204-CONTADORES!$B203)</f>
        <v>0</v>
      </c>
      <c r="R200" s="202">
        <f t="shared" ca="1" si="66"/>
        <v>0</v>
      </c>
      <c r="S200" s="11">
        <f ca="1">IF(B200&gt;=$J$5,0,CONTADORES!$D204-CONTADORES!$D203)</f>
        <v>0</v>
      </c>
      <c r="T200" s="204">
        <f ca="1">IF(B200&gt;=$J$5,0,CONTADORES!$AZ204-CONTADORES!$AZ203)</f>
        <v>0</v>
      </c>
      <c r="U200" s="202">
        <f t="shared" ca="1" si="91"/>
        <v>0</v>
      </c>
      <c r="V200" s="205">
        <f ca="1">IF(B200&gt;=$J$5,0,CONTADORES!$BB204-CONTADORES!$BB203)</f>
        <v>0</v>
      </c>
      <c r="W200" s="1438">
        <f t="shared" ca="1" si="67"/>
        <v>445.5</v>
      </c>
      <c r="X200" s="1438">
        <f t="shared" ca="1" si="68"/>
        <v>0</v>
      </c>
      <c r="Y200" s="1439">
        <f t="shared" ca="1" si="69"/>
        <v>445.5</v>
      </c>
      <c r="Z200" s="1439">
        <f t="shared" ca="1" si="70"/>
        <v>9.0082937733111343</v>
      </c>
      <c r="AA200" s="1439">
        <f t="shared" ca="1" si="71"/>
        <v>0</v>
      </c>
      <c r="AB200" s="1439">
        <f t="shared" ca="1" si="72"/>
        <v>48</v>
      </c>
      <c r="AC200" s="1438">
        <f t="shared" ca="1" si="73"/>
        <v>0</v>
      </c>
      <c r="AD200" s="1438">
        <f ca="1">IF(B200&gt;=$J$5,0,CONTADORES!H204-CONTADORES!H203)</f>
        <v>162.70000000000073</v>
      </c>
      <c r="AE200" s="1438">
        <f ca="1">IF(B200&gt;=$J$5,0,CONTADORES!J204-CONTADORES!J203)</f>
        <v>24</v>
      </c>
      <c r="AF200" s="1438">
        <f ca="1">IF(B200&gt;=$J$5,0,CONTADORES!AS204-CONTADORES!AS203)</f>
        <v>150</v>
      </c>
      <c r="AG200" s="1438">
        <f ca="1">IF(B200&gt;=$J$5,0,CONTADORES!AU204-CONTADORES!AU203)</f>
        <v>24</v>
      </c>
      <c r="AH200" s="1439">
        <f ca="1">IF(B200&gt;=$J$5,0,(CONTADORES!AK204-CONTADORES!AK203)+(CONTADORES!K204-CONTADORES!K203))</f>
        <v>14.80000000000291</v>
      </c>
      <c r="AI200" s="1438">
        <f ca="1">IF(B200&gt;=$J$5,0,(CONTADORES!AI204-CONTADORES!AI203)+(CONTADORES!M204-CONTADORES!M203))</f>
        <v>37.5</v>
      </c>
      <c r="AJ200" s="1438">
        <f ca="1">IF(B200&gt;=$J$5,0,(CONTADORES!AG204-CONTADORES!AG203))</f>
        <v>9.5</v>
      </c>
      <c r="AK200" s="1438">
        <f ca="1">IF(B200&gt;=$J$5,0,(CONTADORES!O204-CONTADORES!O203))</f>
        <v>10</v>
      </c>
      <c r="AL200" s="1500">
        <f t="shared" ca="1" si="74"/>
        <v>32.299999999995691</v>
      </c>
      <c r="AM200" s="1438">
        <f ca="1">IF(B200&gt;=$J$5,0,(((CONTADORES!F204-CONTADORES!F203)+(CONTADORES!AO204-CONTADORES!AO203))))-BJ200-AF200-AN200-BM200-BP200-BU200-BS200</f>
        <v>8.6764000000004309</v>
      </c>
      <c r="AN200" s="1438">
        <f ca="1">IF(B200&gt;=$J$5,0,(CONTADORES!AV204-CONTADORES!AV203)+(CONTADORES!AX204-CONTADORES!AX203)+(CONTADORES!BC204-CONTADORES!BC203))-BS200</f>
        <v>2.5709999999998385</v>
      </c>
      <c r="AO200" s="1440">
        <f ca="1">IF(B200&gt;=$J$5,0,(CONTADORES!AA204-CONTADORES!AA203))</f>
        <v>72</v>
      </c>
      <c r="AP200" s="1440">
        <f ca="1">IF(B200&gt;=$J$5,0,(CONTADORES!V204-CONTADORES!V203))</f>
        <v>152.5</v>
      </c>
      <c r="AQ200" s="1445">
        <f ca="1">IF(B200&gt;=$J$5,0,(CONTADORES!C204-CONTADORES!C203))</f>
        <v>0</v>
      </c>
      <c r="AR200" s="1440">
        <f ca="1">IF(B200&gt;=$J$5,0,(CONTADORES!BA204-CONTADORES!BA203))</f>
        <v>0</v>
      </c>
      <c r="AS200" s="1438">
        <f ca="1">IF(B200&gt;=$J$5,0,CONTADORES!Q204-CONTADORES!Q203)</f>
        <v>14</v>
      </c>
      <c r="AT200" s="1438">
        <f ca="1">IF(B200&gt;=$J$5,0,(CONTADORES!S204-CONTADORES!S203)+(CONTADORES!AE204-CONTADORES!AE203))</f>
        <v>3.2199999999999989</v>
      </c>
      <c r="AU200" s="1474">
        <f ca="1">IF(B200&gt;=$J$5,0,(CONTADORES!I204-CONTADORES!I203))</f>
        <v>81.5</v>
      </c>
      <c r="AV200" s="1440">
        <f ca="1">IF(B200&gt;=$J$5,0,(CONTADORES!AT204-CONTADORES!AT203))</f>
        <v>65</v>
      </c>
      <c r="AW200" s="1440">
        <f ca="1">IF(B200&gt;=$J$5,0,(CONTADORES!L204-CONTADORES!L203)+(CONTADORES!AL204-CONTADORES!AL203))</f>
        <v>5.7999999999992724</v>
      </c>
      <c r="AX200" s="1440">
        <f ca="1">IF(B200&gt;=$J$5,0,(CONTADORES!N204-CONTADORES!N203)+(CONTADORES!AJ204-CONTADORES!AJ203))</f>
        <v>31.899999999994179</v>
      </c>
      <c r="AY200" s="1440">
        <f ca="1">IF(B200&gt;=$J$5,0,(CONTADORES!AH204-CONTADORES!AH203))</f>
        <v>7.0999999999985448</v>
      </c>
      <c r="AZ200" s="1440">
        <f ca="1">IF(B200&gt;=$J$5,0,(CONTADORES!P204-CONTADORES!P203))</f>
        <v>8</v>
      </c>
      <c r="BA200" s="1450">
        <f t="shared" ca="1" si="75"/>
        <v>1.5040000000078351</v>
      </c>
      <c r="BB200" s="1474">
        <f ca="1">IF(B200&gt;=$J$5,0,(((CONTADORES!G204-CONTADORES!G203)+(CONTADORES!AP204-CONTADORES!AP203)+AR200)-(AV200+BC200)))</f>
        <v>13.470000000000084</v>
      </c>
      <c r="BC200" s="1438">
        <f ca="1">IF(B200&gt;=$J$5,0,(CONTADORES!AW204-CONTADORES!AW203)+(CONTADORES!AY204-CONTADORES!AY203)+(CONTADORES!BD204-CONTADORES!BD203))</f>
        <v>2.5299999999999159</v>
      </c>
      <c r="BD200" s="1438">
        <f t="shared" ca="1" si="76"/>
        <v>224.5</v>
      </c>
      <c r="BE200" s="1439">
        <f ca="1">IF($B200&gt;=$J$5,0,CONTADORES!$BE204)</f>
        <v>5223.75</v>
      </c>
      <c r="BF200" s="1438">
        <f ca="1">IF($B200&gt;=$J$5,0,CONTADORES!$BF204)</f>
        <v>33898.282456140354</v>
      </c>
      <c r="BG200" s="1438">
        <f ca="1">IF($B200&gt;=$J$5,0,CONTADORES!$BH204)</f>
        <v>6009.74</v>
      </c>
      <c r="BH200" s="1438">
        <f ca="1">IF(B200&gt;=$J$5,0,(CONTADORES!AQ204-CONTADORES!AQ203))</f>
        <v>4.0999999999985448</v>
      </c>
      <c r="BI200" s="1438">
        <f ca="1">IF(C200&gt;=$J$5,0,(CONTADORES!AR204-CONTADORES!AR203))</f>
        <v>0</v>
      </c>
      <c r="BJ200" s="1450">
        <f ca="1">IF(B200&gt;=$J$5,0,CONTADORES!BI204-CONTADORES!BI203)/1000</f>
        <v>2.7246000000000929</v>
      </c>
      <c r="BK200" s="1450">
        <f ca="1">IF(B200&gt;=$J$5,0,CONTADORES!BJ204-CONTADORES!BJ203)</f>
        <v>1</v>
      </c>
      <c r="BL200" s="1450">
        <f ca="1">IF(B200&gt;=$J$5,0,CONTADORES!BK204-CONTADORES!BK203)</f>
        <v>23.900000000001455</v>
      </c>
      <c r="BM200" s="1450">
        <f ca="1">IF(B200&gt;=$J$5,0,CONTADORES!BL204-CONTADORES!BL203)/1000</f>
        <v>4.7089999999999996</v>
      </c>
      <c r="BN200" s="1450">
        <f ca="1">IF(B200&gt;=$J$5,0,CONTADORES!BM204-CONTADORES!BM203)/1000</f>
        <v>0.61099999999999999</v>
      </c>
      <c r="BO200" s="1450">
        <f ca="1">IF(B200&gt;=$J$5,0,CONTADORES!BN204-CONTADORES!BN203)</f>
        <v>24</v>
      </c>
      <c r="BP200" s="1450">
        <f ca="1">IF(B200&gt;=$J$5,0,CONTADORES!BO204-CONTADORES!BO203)/1000</f>
        <v>0</v>
      </c>
      <c r="BQ200" s="1450">
        <f ca="1">IF(B200&gt;=$J$5,0,CONTADORES!BP204-CONTADORES!BP203)/1000</f>
        <v>0</v>
      </c>
      <c r="BR200" s="1450">
        <f ca="1">IF(B200&gt;=$J$5,0,CONTADORES!BQ204-CONTADORES!BQ203)</f>
        <v>0</v>
      </c>
      <c r="BS200" s="1450">
        <f ca="1">IF(B200&gt;=$J$5,0,(CONTADORES!BT204-CONTADORES!BT203)+(CONTADORES!BV204-CONTADORES!BV203))/1000</f>
        <v>1.419</v>
      </c>
      <c r="BT200" s="1450">
        <f ca="1">IF(B200&gt;=$J$5,0,(CONTADORES!BU204-CONTADORES!BU203)+(CONTADORES!BW204-CONTADORES!BW203))/1000</f>
        <v>0.78500000000000003</v>
      </c>
      <c r="BU200" s="1450">
        <f ca="1">IF(B200&gt;=$J$5,0,CONTADORES!BR204-CONTADORES!BR203)</f>
        <v>8.6000000000003638</v>
      </c>
      <c r="BV200" s="1450">
        <f ca="1">IF(B200&gt;=$J$5,0,CONTADORES!BS204-CONTADORES!BS203)</f>
        <v>5.3000000000001819</v>
      </c>
      <c r="BW200" s="1450">
        <f t="shared" ca="1" si="77"/>
        <v>12.938200000000579</v>
      </c>
      <c r="BX200" s="1450">
        <f t="shared" ca="1" si="78"/>
        <v>12.035000000000224</v>
      </c>
      <c r="BY200" s="1450">
        <f t="shared" ca="1" si="79"/>
        <v>4.3382000000002154</v>
      </c>
      <c r="BZ200" s="1450">
        <f t="shared" ca="1" si="80"/>
        <v>1.0283999999999354</v>
      </c>
      <c r="CA200" s="1450">
        <f t="shared" ca="1" si="81"/>
        <v>4.3382000000002154</v>
      </c>
      <c r="CB200" s="1450">
        <f t="shared" ca="1" si="82"/>
        <v>1.5425999999999032</v>
      </c>
      <c r="CC200" s="1450">
        <f t="shared" ca="1" si="83"/>
        <v>2.4473999999999352</v>
      </c>
      <c r="CD200" s="1450">
        <f t="shared" ca="1" si="84"/>
        <v>6.7350000000000421</v>
      </c>
      <c r="CE200" s="1450">
        <f ca="1">IF(B200&gt;=$J$5,0,CONTADORES!BS204-CONTADORES!BS203)</f>
        <v>5.3000000000001819</v>
      </c>
      <c r="CF200" s="1450">
        <f t="shared" ca="1" si="85"/>
        <v>6.7350000000000421</v>
      </c>
      <c r="CG200" s="1450">
        <f t="shared" ca="1" si="86"/>
        <v>1.2649999999999579</v>
      </c>
      <c r="CH200" s="1450">
        <f t="shared" ca="1" si="87"/>
        <v>1.2649999999999579</v>
      </c>
      <c r="CI200" s="1450">
        <f t="shared" ca="1" si="88"/>
        <v>2.0499999999999581</v>
      </c>
      <c r="CJ200" s="1450">
        <f ca="1">IF($B200&gt;=$J$5,0,CONTADORES!$BG204)</f>
        <v>10406.20482351457</v>
      </c>
      <c r="CK200" s="1406">
        <f>CONTADORES!E204</f>
        <v>0</v>
      </c>
      <c r="CL200" s="1406">
        <f>CONTADORES!BX204</f>
        <v>0</v>
      </c>
    </row>
    <row r="201" spans="2:90">
      <c r="B201" s="410">
        <v>45117</v>
      </c>
      <c r="C201" s="204">
        <f t="shared" ca="1" si="64"/>
        <v>150</v>
      </c>
      <c r="D201" s="202">
        <f ca="1">'CALCULO DE GAS'!P13</f>
        <v>3.8816879190057101</v>
      </c>
      <c r="E201" s="202">
        <f ca="1">IF(B201&gt;=$J$5,0,(CONTADORES!$AB205-CONTADORES!$AB204)-$H201)</f>
        <v>24</v>
      </c>
      <c r="F201" s="204">
        <f t="shared" ca="1" si="94"/>
        <v>0</v>
      </c>
      <c r="G201" s="202">
        <f ca="1">IF(B201&gt;=$J$5,0,CONTADORES!$AD205-CONTADORES!$AD204)</f>
        <v>0</v>
      </c>
      <c r="H201" s="202">
        <f ca="1">IF(G201&gt;0,CONTADORES!$AC205-CONTADORES!$AC204,0)</f>
        <v>0</v>
      </c>
      <c r="I201" s="205">
        <f ca="1">IF(B201&gt;=$J$5,0,CONTADORES!$Z205-CONTADORES!$Z204)</f>
        <v>150</v>
      </c>
      <c r="J201" s="204">
        <f t="shared" ca="1" si="65"/>
        <v>283.90000000000146</v>
      </c>
      <c r="K201" s="202">
        <f ca="1">'CALCULO DE GAS'!Q13</f>
        <v>5.0273546649619556</v>
      </c>
      <c r="L201" s="1437">
        <f ca="1">IF(B201&gt;=$J$5,0,(CONTADORES!$W205-CONTADORES!$W204)-$O201)</f>
        <v>24</v>
      </c>
      <c r="M201" s="1437">
        <f t="shared" ca="1" si="92"/>
        <v>0</v>
      </c>
      <c r="N201" s="1437">
        <f ca="1">IF(B201&gt;=$J$5,0,CONTADORES!$Y205-CONTADORES!$Y204)</f>
        <v>0</v>
      </c>
      <c r="O201" s="1437">
        <f ca="1">IF(N201&gt;0,CONTADORES!$X205-CONTADORES!$X204,0)</f>
        <v>0</v>
      </c>
      <c r="P201" s="208">
        <f ca="1">IF(B201&gt;=$J$5,0,CONTADORES!$U205-CONTADORES!$U204)</f>
        <v>283.90000000000146</v>
      </c>
      <c r="Q201" s="208">
        <f ca="1">IF(B201&gt;=$J$5,0,CONTADORES!$B205-CONTADORES!$B204)</f>
        <v>0</v>
      </c>
      <c r="R201" s="202">
        <f t="shared" ca="1" si="66"/>
        <v>0</v>
      </c>
      <c r="S201" s="11">
        <f ca="1">IF(B201&gt;=$J$5,0,CONTADORES!$D205-CONTADORES!$D204)</f>
        <v>0</v>
      </c>
      <c r="T201" s="204">
        <f ca="1">IF(B201&gt;=$J$5,0,CONTADORES!$AZ205-CONTADORES!$AZ204)</f>
        <v>0</v>
      </c>
      <c r="U201" s="202">
        <f t="shared" ca="1" si="91"/>
        <v>0</v>
      </c>
      <c r="V201" s="205">
        <f ca="1">IF(B201&gt;=$J$5,0,CONTADORES!$BB205-CONTADORES!$BB204)</f>
        <v>0</v>
      </c>
      <c r="W201" s="1438">
        <f t="shared" ca="1" si="67"/>
        <v>433.90000000000146</v>
      </c>
      <c r="X201" s="1438">
        <f t="shared" ca="1" si="68"/>
        <v>0</v>
      </c>
      <c r="Y201" s="1439">
        <f t="shared" ca="1" si="69"/>
        <v>433.90000000000146</v>
      </c>
      <c r="Z201" s="1439">
        <f t="shared" ca="1" si="70"/>
        <v>8.9090425839676648</v>
      </c>
      <c r="AA201" s="1439">
        <f t="shared" ca="1" si="71"/>
        <v>0</v>
      </c>
      <c r="AB201" s="1439">
        <f t="shared" ca="1" si="72"/>
        <v>48</v>
      </c>
      <c r="AC201" s="1438">
        <f t="shared" ca="1" si="73"/>
        <v>0</v>
      </c>
      <c r="AD201" s="1438">
        <f ca="1">IF(B201&gt;=$J$5,0,CONTADORES!H205-CONTADORES!H204)</f>
        <v>164</v>
      </c>
      <c r="AE201" s="1438">
        <f ca="1">IF(B201&gt;=$J$5,0,CONTADORES!J205-CONTADORES!J204)</f>
        <v>24</v>
      </c>
      <c r="AF201" s="1438">
        <f ca="1">IF(B201&gt;=$J$5,0,CONTADORES!AS205-CONTADORES!AS204)</f>
        <v>152</v>
      </c>
      <c r="AG201" s="1438">
        <f ca="1">IF(B201&gt;=$J$5,0,CONTADORES!AU205-CONTADORES!AU204)</f>
        <v>24</v>
      </c>
      <c r="AH201" s="1439">
        <f ca="1">IF(B201&gt;=$J$5,0,(CONTADORES!AK205-CONTADORES!AK204)+(CONTADORES!K205-CONTADORES!K204))</f>
        <v>3.9000000000014552</v>
      </c>
      <c r="AI201" s="1438">
        <f ca="1">IF(B201&gt;=$J$5,0,(CONTADORES!AI205-CONTADORES!AI204)+(CONTADORES!M205-CONTADORES!M204))</f>
        <v>37.19999999999709</v>
      </c>
      <c r="AJ201" s="1438">
        <f ca="1">IF(B201&gt;=$J$5,0,(CONTADORES!AG205-CONTADORES!AG204))</f>
        <v>7.2999999999883585</v>
      </c>
      <c r="AK201" s="1438">
        <f ca="1">IF(B201&gt;=$J$5,0,(CONTADORES!O205-CONTADORES!O204))</f>
        <v>9</v>
      </c>
      <c r="AL201" s="1500">
        <f t="shared" ca="1" si="74"/>
        <v>33.000000000014552</v>
      </c>
      <c r="AM201" s="1438">
        <f ca="1">IF(B201&gt;=$J$5,0,(((CONTADORES!F205-CONTADORES!F204)+(CONTADORES!AO205-CONTADORES!AO204))))-BJ201-AF201-AN201-BM201-BP201-BU201-BS201</f>
        <v>8.7030000000005483</v>
      </c>
      <c r="AN201" s="1438">
        <f ca="1">IF(B201&gt;=$J$5,0,(CONTADORES!AV205-CONTADORES!AV204)+(CONTADORES!AX205-CONTADORES!AX204)+(CONTADORES!BC205-CONTADORES!BC204))-BS201</f>
        <v>2.0290000000005457</v>
      </c>
      <c r="AO201" s="1440">
        <f ca="1">IF(B201&gt;=$J$5,0,(CONTADORES!AA205-CONTADORES!AA204))</f>
        <v>72</v>
      </c>
      <c r="AP201" s="1440">
        <f ca="1">IF(B201&gt;=$J$5,0,(CONTADORES!V205-CONTADORES!V204))</f>
        <v>145.5</v>
      </c>
      <c r="AQ201" s="1445">
        <f ca="1">IF(B201&gt;=$J$5,0,(CONTADORES!C205-CONTADORES!C204))</f>
        <v>0</v>
      </c>
      <c r="AR201" s="1440">
        <f ca="1">IF(B201&gt;=$J$5,0,(CONTADORES!BA205-CONTADORES!BA204))</f>
        <v>0</v>
      </c>
      <c r="AS201" s="1438">
        <f ca="1">IF(B201&gt;=$J$5,0,CONTADORES!Q205-CONTADORES!Q204)</f>
        <v>14</v>
      </c>
      <c r="AT201" s="1438">
        <f ca="1">IF(B201&gt;=$J$5,0,(CONTADORES!S205-CONTADORES!S204)+(CONTADORES!AE205-CONTADORES!AE204))</f>
        <v>3.1099999999999994</v>
      </c>
      <c r="AU201" s="1474">
        <f ca="1">IF(B201&gt;=$J$5,0,(CONTADORES!I205-CONTADORES!I204))</f>
        <v>82</v>
      </c>
      <c r="AV201" s="1440">
        <f ca="1">IF(B201&gt;=$J$5,0,(CONTADORES!AT205-CONTADORES!AT204))</f>
        <v>65</v>
      </c>
      <c r="AW201" s="1440">
        <f ca="1">IF(B201&gt;=$J$5,0,(CONTADORES!L205-CONTADORES!L204)+(CONTADORES!AL205-CONTADORES!AL204))</f>
        <v>1.5</v>
      </c>
      <c r="AX201" s="1440">
        <f ca="1">IF(B201&gt;=$J$5,0,(CONTADORES!N205-CONTADORES!N204)+(CONTADORES!AJ205-CONTADORES!AJ204))</f>
        <v>31.30000000000291</v>
      </c>
      <c r="AY201" s="1440">
        <f ca="1">IF(B201&gt;=$J$5,0,(CONTADORES!AH205-CONTADORES!AH204))</f>
        <v>5.4000000000014552</v>
      </c>
      <c r="AZ201" s="1440">
        <f ca="1">IF(B201&gt;=$J$5,0,(CONTADORES!P205-CONTADORES!P204))</f>
        <v>8</v>
      </c>
      <c r="BA201" s="1450">
        <f t="shared" ca="1" si="75"/>
        <v>5.405999999995089</v>
      </c>
      <c r="BB201" s="1474">
        <f ca="1">IF(B201&gt;=$J$5,0,(((CONTADORES!G205-CONTADORES!G204)+(CONTADORES!AP205-CONTADORES!AP204)+AR201)-(AV201+BC201)))</f>
        <v>9.4000000000002615</v>
      </c>
      <c r="BC201" s="1438">
        <f ca="1">IF(B201&gt;=$J$5,0,(CONTADORES!AW205-CONTADORES!AW204)+(CONTADORES!AY205-CONTADORES!AY204)+(CONTADORES!BD205-CONTADORES!BD204))</f>
        <v>1.7000000000001023</v>
      </c>
      <c r="BD201" s="1438">
        <f t="shared" ca="1" si="76"/>
        <v>217.5</v>
      </c>
      <c r="BE201" s="1439">
        <f ca="1">IF($B201&gt;=$J$5,0,CONTADORES!$BE205)</f>
        <v>5300.5399999999991</v>
      </c>
      <c r="BF201" s="1438">
        <f ca="1">IF($B201&gt;=$J$5,0,CONTADORES!$BF205)</f>
        <v>34771.221052631576</v>
      </c>
      <c r="BG201" s="1438">
        <f ca="1">IF($B201&gt;=$J$5,0,CONTADORES!$BH205)</f>
        <v>5786.82</v>
      </c>
      <c r="BH201" s="1438">
        <f ca="1">IF(B201&gt;=$J$5,0,(CONTADORES!AQ205-CONTADORES!AQ204))</f>
        <v>4.4000000000014552</v>
      </c>
      <c r="BI201" s="1438">
        <f ca="1">IF(C201&gt;=$J$5,0,(CONTADORES!AR205-CONTADORES!AR204))</f>
        <v>0</v>
      </c>
      <c r="BJ201" s="1450">
        <f ca="1">IF(B201&gt;=$J$5,0,CONTADORES!BI205-CONTADORES!BI204)/1000</f>
        <v>2.1360000000000001</v>
      </c>
      <c r="BK201" s="1450">
        <f ca="1">IF(B201&gt;=$J$5,0,CONTADORES!BJ205-CONTADORES!BJ204)</f>
        <v>1</v>
      </c>
      <c r="BL201" s="1450">
        <f ca="1">IF(B201&gt;=$J$5,0,CONTADORES!BK205-CONTADORES!BK204)</f>
        <v>24</v>
      </c>
      <c r="BM201" s="1450">
        <f ca="1">IF(B201&gt;=$J$5,0,CONTADORES!BL205-CONTADORES!BL204)/1000</f>
        <v>4.5609999999999999</v>
      </c>
      <c r="BN201" s="1450">
        <f ca="1">IF(B201&gt;=$J$5,0,CONTADORES!BM205-CONTADORES!BM204)/1000</f>
        <v>0.73799999999999999</v>
      </c>
      <c r="BO201" s="1450">
        <f ca="1">IF(B201&gt;=$J$5,0,CONTADORES!BN205-CONTADORES!BN204)</f>
        <v>24</v>
      </c>
      <c r="BP201" s="1450">
        <f ca="1">IF(B201&gt;=$J$5,0,CONTADORES!BO205-CONTADORES!BO204)/1000</f>
        <v>0</v>
      </c>
      <c r="BQ201" s="1450">
        <f ca="1">IF(B201&gt;=$J$5,0,CONTADORES!BP205-CONTADORES!BP204)/1000</f>
        <v>0</v>
      </c>
      <c r="BR201" s="1450">
        <f ca="1">IF(B201&gt;=$J$5,0,CONTADORES!BQ205-CONTADORES!BQ204)</f>
        <v>0</v>
      </c>
      <c r="BS201" s="1450">
        <f ca="1">IF(B201&gt;=$J$5,0,(CONTADORES!BT205-CONTADORES!BT204)+(CONTADORES!BV205-CONTADORES!BV204))/1000</f>
        <v>1.371</v>
      </c>
      <c r="BT201" s="1450">
        <f ca="1">IF(B201&gt;=$J$5,0,(CONTADORES!BU205-CONTADORES!BU204)+(CONTADORES!BW205-CONTADORES!BW204))/1000</f>
        <v>0.75600000000000001</v>
      </c>
      <c r="BU201" s="1450">
        <f ca="1">IF(B201&gt;=$J$5,0,CONTADORES!BR205-CONTADORES!BR204)</f>
        <v>8.6999999999989086</v>
      </c>
      <c r="BV201" s="1450">
        <f ca="1">IF(B201&gt;=$J$5,0,CONTADORES!BS205-CONTADORES!BS204)</f>
        <v>5.3000000000001819</v>
      </c>
      <c r="BW201" s="1450">
        <f t="shared" ca="1" si="77"/>
        <v>13.051499999999184</v>
      </c>
      <c r="BX201" s="1450">
        <f t="shared" ca="1" si="78"/>
        <v>10.000000000000313</v>
      </c>
      <c r="BY201" s="1450">
        <f t="shared" ca="1" si="79"/>
        <v>4.3515000000002741</v>
      </c>
      <c r="BZ201" s="1450">
        <f t="shared" ca="1" si="80"/>
        <v>0.81160000000021837</v>
      </c>
      <c r="CA201" s="1450">
        <f t="shared" ca="1" si="81"/>
        <v>4.3515000000002741</v>
      </c>
      <c r="CB201" s="1450">
        <f t="shared" ca="1" si="82"/>
        <v>1.2174000000003273</v>
      </c>
      <c r="CC201" s="1450">
        <f t="shared" ca="1" si="83"/>
        <v>2.1826000000002184</v>
      </c>
      <c r="CD201" s="1450">
        <f t="shared" ca="1" si="84"/>
        <v>4.7000000000001307</v>
      </c>
      <c r="CE201" s="1450">
        <f ca="1">IF(B201&gt;=$J$5,0,CONTADORES!BS205-CONTADORES!BS204)</f>
        <v>5.3000000000001819</v>
      </c>
      <c r="CF201" s="1450">
        <f t="shared" ca="1" si="85"/>
        <v>4.7000000000001307</v>
      </c>
      <c r="CG201" s="1450">
        <f t="shared" ca="1" si="86"/>
        <v>0.85000000000005116</v>
      </c>
      <c r="CH201" s="1450">
        <f t="shared" ca="1" si="87"/>
        <v>0.85000000000005116</v>
      </c>
      <c r="CI201" s="1450">
        <f t="shared" ca="1" si="88"/>
        <v>1.6060000000000512</v>
      </c>
      <c r="CJ201" s="1450">
        <f ca="1">IF($B201&gt;=$J$5,0,CONTADORES!$BG205)</f>
        <v>10558.475888315614</v>
      </c>
      <c r="CK201" s="1406">
        <f>CONTADORES!E205</f>
        <v>0</v>
      </c>
      <c r="CL201" s="1406">
        <f>CONTADORES!BX205</f>
        <v>1</v>
      </c>
    </row>
    <row r="202" spans="2:90">
      <c r="B202" s="410">
        <v>45118</v>
      </c>
      <c r="C202" s="204">
        <f t="shared" ca="1" si="64"/>
        <v>149</v>
      </c>
      <c r="D202" s="202">
        <f ca="1">'CALCULO DE GAS'!P14</f>
        <v>3.8731317819933411</v>
      </c>
      <c r="E202" s="202">
        <f ca="1">IF(B202&gt;=$J$5,0,(CONTADORES!$AB206-CONTADORES!$AB205)-$H202)</f>
        <v>24</v>
      </c>
      <c r="F202" s="204">
        <f t="shared" ca="1" si="94"/>
        <v>0</v>
      </c>
      <c r="G202" s="202">
        <f ca="1">IF(B202&gt;=$J$5,0,CONTADORES!$AD206-CONTADORES!$AD205)</f>
        <v>0</v>
      </c>
      <c r="H202" s="202">
        <f ca="1">IF(G202&gt;0,CONTADORES!$AC206-CONTADORES!$AC205,0)</f>
        <v>0</v>
      </c>
      <c r="I202" s="205">
        <f ca="1">IF(B202&gt;=$J$5,0,CONTADORES!$Z206-CONTADORES!$Z205)</f>
        <v>149</v>
      </c>
      <c r="J202" s="204">
        <f t="shared" ca="1" si="65"/>
        <v>289.90000000000146</v>
      </c>
      <c r="K202" s="202">
        <f ca="1">'CALCULO DE GAS'!Q14</f>
        <v>5.0786914870361706</v>
      </c>
      <c r="L202" s="1437">
        <f ca="1">IF(B202&gt;=$J$5,0,(CONTADORES!$W206-CONTADORES!$W205)-$O202)</f>
        <v>24</v>
      </c>
      <c r="M202" s="1437">
        <f t="shared" ca="1" si="92"/>
        <v>0</v>
      </c>
      <c r="N202" s="1437">
        <f ca="1">IF(B202&gt;=$J$5,0,CONTADORES!$Y206-CONTADORES!$Y205)</f>
        <v>0</v>
      </c>
      <c r="O202" s="1437">
        <f ca="1">IF(N202&gt;0,CONTADORES!$X206-CONTADORES!$X205,0)</f>
        <v>0</v>
      </c>
      <c r="P202" s="208">
        <f ca="1">IF(B202&gt;=$J$5,0,CONTADORES!$U206-CONTADORES!$U205)</f>
        <v>289.90000000000146</v>
      </c>
      <c r="Q202" s="208">
        <f ca="1">IF(B202&gt;=$J$5,0,CONTADORES!$B206-CONTADORES!$B205)</f>
        <v>0.48099999999999454</v>
      </c>
      <c r="R202" s="202">
        <f t="shared" ca="1" si="66"/>
        <v>57.719999999999345</v>
      </c>
      <c r="S202" s="11">
        <f ca="1">IF(B202&gt;=$J$5,0,CONTADORES!$D206-CONTADORES!$D205)</f>
        <v>0.7000000000007276</v>
      </c>
      <c r="T202" s="204">
        <f ca="1">IF(B202&gt;=$J$5,0,CONTADORES!$AZ206-CONTADORES!$AZ205)</f>
        <v>0.28200000000003911</v>
      </c>
      <c r="U202" s="202">
        <f t="shared" ca="1" si="91"/>
        <v>33.840000000004693</v>
      </c>
      <c r="V202" s="205">
        <f ca="1">IF(B202&gt;=$J$5,0,CONTADORES!$BB206-CONTADORES!$BB205)</f>
        <v>0.40999999999985448</v>
      </c>
      <c r="W202" s="1438">
        <f t="shared" ca="1" si="67"/>
        <v>438.90000000000146</v>
      </c>
      <c r="X202" s="1438">
        <f t="shared" ca="1" si="68"/>
        <v>0.76300000000003365</v>
      </c>
      <c r="Y202" s="1439">
        <f t="shared" ca="1" si="69"/>
        <v>439.66300000000149</v>
      </c>
      <c r="Z202" s="1439">
        <f t="shared" ca="1" si="70"/>
        <v>8.9518232690295108</v>
      </c>
      <c r="AA202" s="1439">
        <f t="shared" ca="1" si="71"/>
        <v>91.560000000004038</v>
      </c>
      <c r="AB202" s="1439">
        <f t="shared" ca="1" si="72"/>
        <v>48</v>
      </c>
      <c r="AC202" s="1438">
        <f t="shared" ca="1" si="73"/>
        <v>1.1100000000005821</v>
      </c>
      <c r="AD202" s="1438">
        <f ca="1">IF(B202&gt;=$J$5,0,CONTADORES!H206-CONTADORES!H205)</f>
        <v>165.39999999999964</v>
      </c>
      <c r="AE202" s="1438">
        <f ca="1">IF(B202&gt;=$J$5,0,CONTADORES!J206-CONTADORES!J205)</f>
        <v>24</v>
      </c>
      <c r="AF202" s="1438">
        <f ca="1">IF(B202&gt;=$J$5,0,CONTADORES!AS206-CONTADORES!AS205)</f>
        <v>153</v>
      </c>
      <c r="AG202" s="1438">
        <f ca="1">IF(B202&gt;=$J$5,0,CONTADORES!AU206-CONTADORES!AU205)</f>
        <v>24</v>
      </c>
      <c r="AH202" s="1439">
        <f ca="1">IF(B202&gt;=$J$5,0,(CONTADORES!AK206-CONTADORES!AK205)+(CONTADORES!K206-CONTADORES!K205))</f>
        <v>7.1999999999970896</v>
      </c>
      <c r="AI202" s="1438">
        <f ca="1">IF(B202&gt;=$J$5,0,(CONTADORES!AI206-CONTADORES!AI205)+(CONTADORES!M206-CONTADORES!M205))</f>
        <v>36</v>
      </c>
      <c r="AJ202" s="1438">
        <f ca="1">IF(B202&gt;=$J$5,0,(CONTADORES!AG206-CONTADORES!AG205))</f>
        <v>7.6000000000058208</v>
      </c>
      <c r="AK202" s="1438">
        <f ca="1">IF(B202&gt;=$J$5,0,(CONTADORES!O206-CONTADORES!O205))</f>
        <v>9</v>
      </c>
      <c r="AL202" s="1500">
        <f t="shared" ca="1" si="74"/>
        <v>32.562999999997487</v>
      </c>
      <c r="AM202" s="1438">
        <f ca="1">IF(B202&gt;=$J$5,0,(((CONTADORES!F206-CONTADORES!F205)+(CONTADORES!AO206-CONTADORES!AO205))))-BJ202-AF202-AN202-BM202-BP202-BU202-BS202</f>
        <v>8.3090000000006601</v>
      </c>
      <c r="AN202" s="1438">
        <f ca="1">IF(B202&gt;=$J$5,0,(CONTADORES!AV206-CONTADORES!AV205)+(CONTADORES!AX206-CONTADORES!AX205)+(CONTADORES!BC206-CONTADORES!BC205))-BS202</f>
        <v>3.038999999999719</v>
      </c>
      <c r="AO202" s="1440">
        <f ca="1">IF(B202&gt;=$J$5,0,(CONTADORES!AA206-CONTADORES!AA205))</f>
        <v>68</v>
      </c>
      <c r="AP202" s="1440">
        <f ca="1">IF(B202&gt;=$J$5,0,(CONTADORES!V206-CONTADORES!V205))</f>
        <v>151.59999999999854</v>
      </c>
      <c r="AQ202" s="1445">
        <f ca="1">IF(B202&gt;=$J$5,0,(CONTADORES!C206-CONTADORES!C205))</f>
        <v>0.24099999999998545</v>
      </c>
      <c r="AR202" s="1440">
        <f ca="1">IF(B202&gt;=$J$5,0,(CONTADORES!BA206-CONTADORES!BA205))</f>
        <v>0.10600000000005139</v>
      </c>
      <c r="AS202" s="1438">
        <f ca="1">IF(B202&gt;=$J$5,0,CONTADORES!Q206-CONTADORES!Q205)</f>
        <v>14</v>
      </c>
      <c r="AT202" s="1438">
        <f ca="1">IF(B202&gt;=$J$5,0,(CONTADORES!S206-CONTADORES!S205)+(CONTADORES!AE206-CONTADORES!AE205))</f>
        <v>3.4000000000000057</v>
      </c>
      <c r="AU202" s="1474">
        <f ca="1">IF(B202&gt;=$J$5,0,(CONTADORES!I206-CONTADORES!I205))</f>
        <v>82.399999999999636</v>
      </c>
      <c r="AV202" s="1440">
        <f ca="1">IF(B202&gt;=$J$5,0,(CONTADORES!AT206-CONTADORES!AT205))</f>
        <v>66</v>
      </c>
      <c r="AW202" s="1440">
        <f ca="1">IF(B202&gt;=$J$5,0,(CONTADORES!L206-CONTADORES!L205)+(CONTADORES!AL206-CONTADORES!AL205))</f>
        <v>2.7000000000007276</v>
      </c>
      <c r="AX202" s="1440">
        <f ca="1">IF(B202&gt;=$J$5,0,(CONTADORES!N206-CONTADORES!N205)+(CONTADORES!AJ206-CONTADORES!AJ205))</f>
        <v>30.599999999998545</v>
      </c>
      <c r="AY202" s="1440">
        <f ca="1">IF(B202&gt;=$J$5,0,(CONTADORES!AH206-CONTADORES!AH205))</f>
        <v>5.6999999999970896</v>
      </c>
      <c r="AZ202" s="1440">
        <f ca="1">IF(B202&gt;=$J$5,0,(CONTADORES!P206-CONTADORES!P205))</f>
        <v>8</v>
      </c>
      <c r="BA202" s="1450">
        <f t="shared" ca="1" si="75"/>
        <v>6.1260000000025343</v>
      </c>
      <c r="BB202" s="1474">
        <f ca="1">IF(B202&gt;=$J$5,0,(((CONTADORES!G206-CONTADORES!G205)+(CONTADORES!AP206-CONTADORES!AP205)+AR202)-(AV202+BC202)))</f>
        <v>9.176000000000414</v>
      </c>
      <c r="BC202" s="1438">
        <f ca="1">IF(B202&gt;=$J$5,0,(CONTADORES!AW206-CONTADORES!AW205)+(CONTADORES!AY206-CONTADORES!AY205)+(CONTADORES!BD206-CONTADORES!BD205))</f>
        <v>2.5300000000000011</v>
      </c>
      <c r="BD202" s="1438">
        <f t="shared" ca="1" si="76"/>
        <v>219.94699999999858</v>
      </c>
      <c r="BE202" s="1439">
        <f ca="1">IF($B202&gt;=$J$5,0,CONTADORES!$BE206)</f>
        <v>5427.6699999999992</v>
      </c>
      <c r="BF202" s="1438">
        <f ca="1">IF($B202&gt;=$J$5,0,CONTADORES!$BF206)</f>
        <v>34837.119298245612</v>
      </c>
      <c r="BG202" s="1438">
        <f ca="1">IF($B202&gt;=$J$5,0,CONTADORES!$BH206)</f>
        <v>6022.3300000000008</v>
      </c>
      <c r="BH202" s="1438">
        <f ca="1">IF(B202&gt;=$J$5,0,(CONTADORES!AQ206-CONTADORES!AQ205))</f>
        <v>5.5</v>
      </c>
      <c r="BI202" s="1438">
        <f ca="1">IF(C202&gt;=$J$5,0,(CONTADORES!AR206-CONTADORES!AR205))</f>
        <v>0</v>
      </c>
      <c r="BJ202" s="1450">
        <f ca="1">IF(B202&gt;=$J$5,0,CONTADORES!BI206-CONTADORES!BI205)/1000</f>
        <v>0.78300000000000003</v>
      </c>
      <c r="BK202" s="1450">
        <f ca="1">IF(B202&gt;=$J$5,0,CONTADORES!BJ206-CONTADORES!BJ205)</f>
        <v>0</v>
      </c>
      <c r="BL202" s="1450">
        <f ca="1">IF(B202&gt;=$J$5,0,CONTADORES!BK206-CONTADORES!BK205)</f>
        <v>8.7000000000007276</v>
      </c>
      <c r="BM202" s="1450">
        <f ca="1">IF(B202&gt;=$J$5,0,CONTADORES!BL206-CONTADORES!BL205)/1000</f>
        <v>4.4800000000000004</v>
      </c>
      <c r="BN202" s="1450">
        <f ca="1">IF(B202&gt;=$J$5,0,CONTADORES!BM206-CONTADORES!BM205)/1000</f>
        <v>0.54</v>
      </c>
      <c r="BO202" s="1450">
        <f ca="1">IF(B202&gt;=$J$5,0,CONTADORES!BN206-CONTADORES!BN205)</f>
        <v>24</v>
      </c>
      <c r="BP202" s="1450">
        <f ca="1">IF(B202&gt;=$J$5,0,CONTADORES!BO206-CONTADORES!BO205)/1000</f>
        <v>2.1880000000000002</v>
      </c>
      <c r="BQ202" s="1450">
        <f ca="1">IF(B202&gt;=$J$5,0,CONTADORES!BP206-CONTADORES!BP205)/1000</f>
        <v>3.1E-2</v>
      </c>
      <c r="BR202" s="1450">
        <f ca="1">IF(B202&gt;=$J$5,0,CONTADORES!BQ206-CONTADORES!BQ205)</f>
        <v>15.5</v>
      </c>
      <c r="BS202" s="1450">
        <f ca="1">IF(B202&gt;=$J$5,0,(CONTADORES!BT206-CONTADORES!BT205)+(CONTADORES!BV206-CONTADORES!BV205))/1000</f>
        <v>1.3009999999999999</v>
      </c>
      <c r="BT202" s="1450">
        <f ca="1">IF(B202&gt;=$J$5,0,(CONTADORES!BU206-CONTADORES!BU205)+(CONTADORES!BW206-CONTADORES!BW205))/1000</f>
        <v>0.74399999999999999</v>
      </c>
      <c r="BU202" s="1450">
        <f ca="1">IF(B202&gt;=$J$5,0,CONTADORES!BR206-CONTADORES!BR205)</f>
        <v>8.8000000000010914</v>
      </c>
      <c r="BV202" s="1450">
        <f ca="1">IF(B202&gt;=$J$5,0,CONTADORES!BS206-CONTADORES!BS205)</f>
        <v>5.3999999999996362</v>
      </c>
      <c r="BW202" s="1450">
        <f t="shared" ca="1" si="77"/>
        <v>12.954500000001421</v>
      </c>
      <c r="BX202" s="1450">
        <f t="shared" ca="1" si="78"/>
        <v>9.9879999999998432</v>
      </c>
      <c r="BY202" s="1450">
        <f t="shared" ca="1" si="79"/>
        <v>4.15450000000033</v>
      </c>
      <c r="BZ202" s="1450">
        <f t="shared" ca="1" si="80"/>
        <v>1.2155999999998877</v>
      </c>
      <c r="CA202" s="1450">
        <f t="shared" ca="1" si="81"/>
        <v>4.15450000000033</v>
      </c>
      <c r="CB202" s="1450">
        <f t="shared" ca="1" si="82"/>
        <v>1.8233999999998314</v>
      </c>
      <c r="CC202" s="1450">
        <f t="shared" ca="1" si="83"/>
        <v>2.5165999999998876</v>
      </c>
      <c r="CD202" s="1450">
        <f t="shared" ca="1" si="84"/>
        <v>4.588000000000207</v>
      </c>
      <c r="CE202" s="1450">
        <f ca="1">IF(B202&gt;=$J$5,0,CONTADORES!BS206-CONTADORES!BS205)</f>
        <v>5.3999999999996362</v>
      </c>
      <c r="CF202" s="1450">
        <f t="shared" ca="1" si="85"/>
        <v>4.588000000000207</v>
      </c>
      <c r="CG202" s="1450">
        <f t="shared" ca="1" si="86"/>
        <v>1.2650000000000006</v>
      </c>
      <c r="CH202" s="1450">
        <f t="shared" ca="1" si="87"/>
        <v>1.2650000000000006</v>
      </c>
      <c r="CI202" s="1450">
        <f t="shared" ca="1" si="88"/>
        <v>2.0090000000000003</v>
      </c>
      <c r="CJ202" s="1450">
        <f ca="1">IF($B202&gt;=$J$5,0,CONTADORES!$BG206)</f>
        <v>10093.139931519836</v>
      </c>
      <c r="CK202" s="1406">
        <f>CONTADORES!E206</f>
        <v>1</v>
      </c>
      <c r="CL202" s="1406">
        <f>CONTADORES!BX206</f>
        <v>0</v>
      </c>
    </row>
    <row r="203" spans="2:90">
      <c r="B203" s="410">
        <v>45119</v>
      </c>
      <c r="C203" s="204">
        <f t="shared" ref="C203:C266" ca="1" si="95">I203-F203</f>
        <v>149</v>
      </c>
      <c r="D203" s="202">
        <f ca="1">'CALCULO DE GAS'!P15</f>
        <v>3.8731317819933411</v>
      </c>
      <c r="E203" s="202">
        <f ca="1">IF(B203&gt;=$J$5,0,(CONTADORES!$AB207-CONTADORES!$AB206)-$H203)</f>
        <v>24</v>
      </c>
      <c r="F203" s="204">
        <f t="shared" ca="1" si="94"/>
        <v>0</v>
      </c>
      <c r="G203" s="202">
        <f ca="1">IF(B203&gt;=$J$5,0,CONTADORES!$AD207-CONTADORES!$AD206)</f>
        <v>0</v>
      </c>
      <c r="H203" s="202">
        <f ca="1">IF(G203&gt;0,CONTADORES!$AC207-CONTADORES!$AC206,0)</f>
        <v>0</v>
      </c>
      <c r="I203" s="205">
        <f ca="1">IF(B203&gt;=$J$5,0,CONTADORES!$Z207-CONTADORES!$Z206)</f>
        <v>149</v>
      </c>
      <c r="J203" s="204">
        <f t="shared" ref="J203:J266" ca="1" si="96">P203-M203</f>
        <v>297</v>
      </c>
      <c r="K203" s="202">
        <f ca="1">'CALCULO DE GAS'!Q15</f>
        <v>5.1394400598239791</v>
      </c>
      <c r="L203" s="1437">
        <f ca="1">IF(B203&gt;=$J$5,0,(CONTADORES!$W207-CONTADORES!$W206)-$O203)</f>
        <v>24</v>
      </c>
      <c r="M203" s="1437">
        <f t="shared" ca="1" si="92"/>
        <v>0</v>
      </c>
      <c r="N203" s="1437">
        <f ca="1">IF(B203&gt;=$J$5,0,CONTADORES!$Y207-CONTADORES!$Y206)</f>
        <v>0</v>
      </c>
      <c r="O203" s="1437">
        <f ca="1">IF(N203&gt;0,CONTADORES!$X207-CONTADORES!$X206,0)</f>
        <v>0</v>
      </c>
      <c r="P203" s="208">
        <f ca="1">IF(B203&gt;=$J$5,0,CONTADORES!$U207-CONTADORES!$U206)</f>
        <v>297</v>
      </c>
      <c r="Q203" s="208">
        <f ca="1">IF(B203&gt;=$J$5,0,CONTADORES!$B207-CONTADORES!$B206)</f>
        <v>0</v>
      </c>
      <c r="R203" s="202">
        <f t="shared" ref="R203:R266" ca="1" si="97">$Q203*120</f>
        <v>0</v>
      </c>
      <c r="S203" s="11">
        <f ca="1">IF(B203&gt;=$J$5,0,CONTADORES!$D207-CONTADORES!$D206)</f>
        <v>0</v>
      </c>
      <c r="T203" s="204">
        <f ca="1">IF(B203&gt;=$J$5,0,CONTADORES!$AZ207-CONTADORES!$AZ206)</f>
        <v>0</v>
      </c>
      <c r="U203" s="202">
        <f t="shared" ca="1" si="91"/>
        <v>0</v>
      </c>
      <c r="V203" s="205">
        <f ca="1">IF(B203&gt;=$J$5,0,CONTADORES!$BB207-CONTADORES!$BB206)</f>
        <v>0</v>
      </c>
      <c r="W203" s="1438">
        <f t="shared" ref="W203:W266" ca="1" si="98">C203+J203</f>
        <v>446</v>
      </c>
      <c r="X203" s="1438">
        <f t="shared" ref="X203:X266" ca="1" si="99">F203+M203+Q203+T203</f>
        <v>0</v>
      </c>
      <c r="Y203" s="1439">
        <f t="shared" ref="Y203:Y266" ca="1" si="100">W203+X203</f>
        <v>446</v>
      </c>
      <c r="Z203" s="1439">
        <f t="shared" ref="Z203:Z266" ca="1" si="101">D203+K203</f>
        <v>9.0125718418173193</v>
      </c>
      <c r="AA203" s="1439">
        <f t="shared" ref="AA203:AA266" ca="1" si="102">G203+N203+R203+U203</f>
        <v>0</v>
      </c>
      <c r="AB203" s="1439">
        <f t="shared" ref="AB203:AB266" ca="1" si="103">E203+L203</f>
        <v>48</v>
      </c>
      <c r="AC203" s="1438">
        <f t="shared" ref="AC203:AC266" ca="1" si="104">H203+O203+S203+V203</f>
        <v>0</v>
      </c>
      <c r="AD203" s="1438">
        <f ca="1">IF(B203&gt;=$J$5,0,CONTADORES!H207-CONTADORES!H206)</f>
        <v>164</v>
      </c>
      <c r="AE203" s="1438">
        <f ca="1">IF(B203&gt;=$J$5,0,CONTADORES!J207-CONTADORES!J206)</f>
        <v>24</v>
      </c>
      <c r="AF203" s="1438">
        <f ca="1">IF(B203&gt;=$J$5,0,CONTADORES!AS207-CONTADORES!AS206)</f>
        <v>152</v>
      </c>
      <c r="AG203" s="1438">
        <f ca="1">IF(B203&gt;=$J$5,0,CONTADORES!AU207-CONTADORES!AU206)</f>
        <v>24</v>
      </c>
      <c r="AH203" s="1439">
        <f ca="1">IF(B203&gt;=$J$5,0,(CONTADORES!AK207-CONTADORES!AK206)+(CONTADORES!K207-CONTADORES!K206))</f>
        <v>13.400000000001455</v>
      </c>
      <c r="AI203" s="1438">
        <f ca="1">IF(B203&gt;=$J$5,0,(CONTADORES!AI207-CONTADORES!AI206)+(CONTADORES!M207-CONTADORES!M206))</f>
        <v>37.30000000000291</v>
      </c>
      <c r="AJ203" s="1438">
        <f ca="1">IF(B203&gt;=$J$5,0,(CONTADORES!AG207-CONTADORES!AG206))</f>
        <v>6.1000000000058208</v>
      </c>
      <c r="AK203" s="1438">
        <f ca="1">IF(B203&gt;=$J$5,0,(CONTADORES!O207-CONTADORES!O206))</f>
        <v>10</v>
      </c>
      <c r="AL203" s="1500">
        <f t="shared" ref="AL203:AL266" ca="1" si="105">Y203-(AD203+AF203+AH203+AI203+AJ203+AK203+CA203+CB203+BJ203+BM203+BP203+BW203+CC203)</f>
        <v>34.899999999990541</v>
      </c>
      <c r="AM203" s="1438">
        <f ca="1">IF(B203&gt;=$J$5,0,(((CONTADORES!F207-CONTADORES!F206)+(CONTADORES!AO207-CONTADORES!AO206))))-BJ203-AF203-AN203-BM203-BP203-BU203-BS203</f>
        <v>7.2439999999994562</v>
      </c>
      <c r="AN203" s="1438">
        <f ca="1">IF(B203&gt;=$J$5,0,(CONTADORES!AV207-CONTADORES!AV206)+(CONTADORES!AX207-CONTADORES!AX206)+(CONTADORES!BC207-CONTADORES!BC206))-BS203</f>
        <v>2.8560000000005457</v>
      </c>
      <c r="AO203" s="1440">
        <f ca="1">IF(B203&gt;=$J$5,0,(CONTADORES!AA207-CONTADORES!AA206))</f>
        <v>78</v>
      </c>
      <c r="AP203" s="1440">
        <f ca="1">IF(B203&gt;=$J$5,0,(CONTADORES!V207-CONTADORES!V206))</f>
        <v>145</v>
      </c>
      <c r="AQ203" s="1445">
        <f ca="1">IF(B203&gt;=$J$5,0,(CONTADORES!C207-CONTADORES!C206))</f>
        <v>0</v>
      </c>
      <c r="AR203" s="1440">
        <f ca="1">IF(B203&gt;=$J$5,0,(CONTADORES!BA207-CONTADORES!BA206))</f>
        <v>0</v>
      </c>
      <c r="AS203" s="1438">
        <f ca="1">IF(B203&gt;=$J$5,0,CONTADORES!Q207-CONTADORES!Q206)</f>
        <v>15</v>
      </c>
      <c r="AT203" s="1438">
        <f ca="1">IF(B203&gt;=$J$5,0,(CONTADORES!S207-CONTADORES!S206)+(CONTADORES!AE207-CONTADORES!AE206))</f>
        <v>3.4000000000000057</v>
      </c>
      <c r="AU203" s="1474">
        <f ca="1">IF(B203&gt;=$J$5,0,(CONTADORES!I207-CONTADORES!I206))</f>
        <v>82</v>
      </c>
      <c r="AV203" s="1440">
        <f ca="1">IF(B203&gt;=$J$5,0,(CONTADORES!AT207-CONTADORES!AT206))</f>
        <v>66</v>
      </c>
      <c r="AW203" s="1440">
        <f ca="1">IF(B203&gt;=$J$5,0,(CONTADORES!L207-CONTADORES!L206)+(CONTADORES!AL207-CONTADORES!AL206))</f>
        <v>4.7999999999992724</v>
      </c>
      <c r="AX203" s="1440">
        <f ca="1">IF(B203&gt;=$J$5,0,(CONTADORES!N207-CONTADORES!N206)+(CONTADORES!AJ207-CONTADORES!AJ206))</f>
        <v>32.099999999998545</v>
      </c>
      <c r="AY203" s="1440">
        <f ca="1">IF(B203&gt;=$J$5,0,(CONTADORES!AH207-CONTADORES!AH206))</f>
        <v>4.6000000000058208</v>
      </c>
      <c r="AZ203" s="1440">
        <f ca="1">IF(B203&gt;=$J$5,0,(CONTADORES!P207-CONTADORES!P206))</f>
        <v>7</v>
      </c>
      <c r="BA203" s="1450">
        <f t="shared" ref="BA203:BA266" ca="1" si="106">BD203-(AU203+AV203+AW203+AX203+AY203+AZ203+BK203+BN203+BQ203+BX203+CF203+CH203+CI203)</f>
        <v>9.2539999999965517</v>
      </c>
      <c r="BB203" s="1474">
        <f ca="1">IF(B203&gt;=$J$5,0,(((CONTADORES!G207-CONTADORES!G206)+(CONTADORES!AP207-CONTADORES!AP206)+AR203)-(AV203+BC203)))</f>
        <v>7.699999999999477</v>
      </c>
      <c r="BC203" s="1438">
        <f ca="1">IF(B203&gt;=$J$5,0,(CONTADORES!AW207-CONTADORES!AW206)+(CONTADORES!AY207-CONTADORES!AY206)+(CONTADORES!BD207-CONTADORES!BD206))</f>
        <v>2.5999999999997954</v>
      </c>
      <c r="BD203" s="1438">
        <f t="shared" ref="BD203:BD266" ca="1" si="107">SUM(AO203:AR203)</f>
        <v>223</v>
      </c>
      <c r="BE203" s="1439">
        <f ca="1">IF($B203&gt;=$J$5,0,CONTADORES!$BE207)</f>
        <v>5439.7</v>
      </c>
      <c r="BF203" s="1438">
        <f ca="1">IF($B203&gt;=$J$5,0,CONTADORES!$BF207)</f>
        <v>34594.054385964897</v>
      </c>
      <c r="BG203" s="1438">
        <f ca="1">IF($B203&gt;=$J$5,0,CONTADORES!$BH207)</f>
        <v>6040.65</v>
      </c>
      <c r="BH203" s="1438">
        <f ca="1">IF(B203&gt;=$J$5,0,(CONTADORES!AQ207-CONTADORES!AQ206))</f>
        <v>5</v>
      </c>
      <c r="BI203" s="1438">
        <f ca="1">IF(C203&gt;=$J$5,0,(CONTADORES!AR207-CONTADORES!AR206))</f>
        <v>0</v>
      </c>
      <c r="BJ203" s="1450">
        <f ca="1">IF(B203&gt;=$J$5,0,CONTADORES!BI207-CONTADORES!BI206)/1000</f>
        <v>0</v>
      </c>
      <c r="BK203" s="1450">
        <f ca="1">IF(B203&gt;=$J$5,0,CONTADORES!BJ207-CONTADORES!BJ206)</f>
        <v>0</v>
      </c>
      <c r="BL203" s="1450">
        <f ca="1">IF(B203&gt;=$J$5,0,CONTADORES!BK207-CONTADORES!BK206)</f>
        <v>0</v>
      </c>
      <c r="BM203" s="1450">
        <f ca="1">IF(B203&gt;=$J$5,0,CONTADORES!BL207-CONTADORES!BL206)/1000</f>
        <v>4.4619999999999997</v>
      </c>
      <c r="BN203" s="1450">
        <f ca="1">IF(B203&gt;=$J$5,0,CONTADORES!BM207-CONTADORES!BM206)/1000</f>
        <v>0.51300000000000001</v>
      </c>
      <c r="BO203" s="1450">
        <f ca="1">IF(B203&gt;=$J$5,0,CONTADORES!BN207-CONTADORES!BN206)</f>
        <v>24</v>
      </c>
      <c r="BP203" s="1450">
        <f ca="1">IF(B203&gt;=$J$5,0,CONTADORES!BO207-CONTADORES!BO206)/1000</f>
        <v>3.3940000000000001</v>
      </c>
      <c r="BQ203" s="1450">
        <f ca="1">IF(B203&gt;=$J$5,0,CONTADORES!BP207-CONTADORES!BP206)/1000</f>
        <v>9.9000000000000005E-2</v>
      </c>
      <c r="BR203" s="1450">
        <f ca="1">IF(B203&gt;=$J$5,0,CONTADORES!BQ207-CONTADORES!BQ206)</f>
        <v>24</v>
      </c>
      <c r="BS203" s="1450">
        <f ca="1">IF(B203&gt;=$J$5,0,(CONTADORES!BT207-CONTADORES!BT206)+(CONTADORES!BV207-CONTADORES!BV206))/1000</f>
        <v>1.544</v>
      </c>
      <c r="BT203" s="1450">
        <f ca="1">IF(B203&gt;=$J$5,0,(CONTADORES!BU207-CONTADORES!BU206)+(CONTADORES!BW207-CONTADORES!BW206))/1000</f>
        <v>0.93400000000000005</v>
      </c>
      <c r="BU203" s="1450">
        <f ca="1">IF(B203&gt;=$J$5,0,CONTADORES!BR207-CONTADORES!BR206)</f>
        <v>8.7999999999992724</v>
      </c>
      <c r="BV203" s="1450">
        <f ca="1">IF(B203&gt;=$J$5,0,CONTADORES!BS207-CONTADORES!BS206)</f>
        <v>5.4000000000005457</v>
      </c>
      <c r="BW203" s="1450">
        <f t="shared" ref="BW203:BW266" ca="1" si="108">BU203+BY203</f>
        <v>12.421999999999001</v>
      </c>
      <c r="BX203" s="1450">
        <f t="shared" ref="BX203:BX266" ca="1" si="109">CE203+CD203</f>
        <v>9.2500000000002842</v>
      </c>
      <c r="BY203" s="1450">
        <f t="shared" ref="BY203:BY266" ca="1" si="110">(AM203*0.5)</f>
        <v>3.6219999999997281</v>
      </c>
      <c r="BZ203" s="1450">
        <f t="shared" ref="BZ203:BZ266" ca="1" si="111">(AN203*0.4)</f>
        <v>1.1424000000002184</v>
      </c>
      <c r="CA203" s="1450">
        <f t="shared" ref="CA203:CA266" ca="1" si="112">AM203-BY203</f>
        <v>3.6219999999997281</v>
      </c>
      <c r="CB203" s="1450">
        <f t="shared" ref="CB203:CB266" ca="1" si="113">AN203-BZ203</f>
        <v>1.7136000000003273</v>
      </c>
      <c r="CC203" s="1450">
        <f t="shared" ref="CC203:CC266" ca="1" si="114">BS203+BZ203</f>
        <v>2.6864000000002184</v>
      </c>
      <c r="CD203" s="1450">
        <f t="shared" ref="CD203:CD266" ca="1" si="115">(BB203*0.5)</f>
        <v>3.8499999999997385</v>
      </c>
      <c r="CE203" s="1450">
        <f ca="1">IF(B203&gt;=$J$5,0,CONTADORES!BS207-CONTADORES!BS206)</f>
        <v>5.4000000000005457</v>
      </c>
      <c r="CF203" s="1450">
        <f t="shared" ref="CF203:CF266" ca="1" si="116">BB203-CD203</f>
        <v>3.8499999999997385</v>
      </c>
      <c r="CG203" s="1450">
        <f t="shared" ref="CG203:CG266" ca="1" si="117">BC203*0.5</f>
        <v>1.2999999999998977</v>
      </c>
      <c r="CH203" s="1450">
        <f t="shared" ref="CH203:CH266" ca="1" si="118">BC203-CG203</f>
        <v>1.2999999999998977</v>
      </c>
      <c r="CI203" s="1450">
        <f t="shared" ref="CI203:CI266" ca="1" si="119">BT203+CG203</f>
        <v>2.2339999999998978</v>
      </c>
      <c r="CJ203" s="1450">
        <f ca="1">IF($B203&gt;=$J$5,0,CONTADORES!$BG207)</f>
        <v>9458.1806357185706</v>
      </c>
      <c r="CK203" s="1406">
        <f>CONTADORES!E207</f>
        <v>0</v>
      </c>
      <c r="CL203" s="1406">
        <f>CONTADORES!BX207</f>
        <v>0</v>
      </c>
    </row>
    <row r="204" spans="2:90">
      <c r="B204" s="410">
        <v>45120</v>
      </c>
      <c r="C204" s="204">
        <f t="shared" ca="1" si="95"/>
        <v>148</v>
      </c>
      <c r="D204" s="202">
        <f ca="1">'CALCULO DE GAS'!P16</f>
        <v>3.8645756449809716</v>
      </c>
      <c r="E204" s="202">
        <f ca="1">IF(B204&gt;=$J$5,0,(CONTADORES!$AB208-CONTADORES!$AB207)-$H204)</f>
        <v>24</v>
      </c>
      <c r="F204" s="204">
        <f t="shared" ca="1" si="94"/>
        <v>0</v>
      </c>
      <c r="G204" s="202">
        <f ca="1">IF(B204&gt;=$J$5,0,CONTADORES!$AD208-CONTADORES!$AD207)</f>
        <v>0</v>
      </c>
      <c r="H204" s="202">
        <f ca="1">IF(G204&gt;0,CONTADORES!$AC208-CONTADORES!$AC207,0)</f>
        <v>0</v>
      </c>
      <c r="I204" s="205">
        <f ca="1">IF(B204&gt;=$J$5,0,CONTADORES!$Z208-CONTADORES!$Z207)</f>
        <v>148</v>
      </c>
      <c r="J204" s="204">
        <f t="shared" ca="1" si="96"/>
        <v>300</v>
      </c>
      <c r="K204" s="202">
        <f ca="1">'CALCULO DE GAS'!Q16</f>
        <v>5.165108470861087</v>
      </c>
      <c r="L204" s="1437">
        <f ca="1">IF(B204&gt;=$J$5,0,(CONTADORES!$W208-CONTADORES!$W207)-$O204)</f>
        <v>24</v>
      </c>
      <c r="M204" s="1437">
        <f t="shared" ca="1" si="92"/>
        <v>0</v>
      </c>
      <c r="N204" s="1437">
        <f ca="1">IF(B204&gt;=$J$5,0,CONTADORES!$Y208-CONTADORES!$Y207)</f>
        <v>0</v>
      </c>
      <c r="O204" s="1437">
        <f ca="1">IF(N204&gt;0,CONTADORES!$X208-CONTADORES!$X207,0)</f>
        <v>0</v>
      </c>
      <c r="P204" s="208">
        <f ca="1">IF(B204&gt;=$J$5,0,CONTADORES!$U208-CONTADORES!$U207)</f>
        <v>300</v>
      </c>
      <c r="Q204" s="208">
        <f ca="1">IF(B204&gt;=$J$5,0,CONTADORES!$B208-CONTADORES!$B207)</f>
        <v>0</v>
      </c>
      <c r="R204" s="202">
        <f t="shared" ca="1" si="97"/>
        <v>0</v>
      </c>
      <c r="S204" s="11">
        <f ca="1">IF(B204&gt;=$J$5,0,CONTADORES!$D208-CONTADORES!$D207)</f>
        <v>0</v>
      </c>
      <c r="T204" s="204">
        <f ca="1">IF(B204&gt;=$J$5,0,CONTADORES!$AZ208-CONTADORES!$AZ207)</f>
        <v>0</v>
      </c>
      <c r="U204" s="202">
        <f t="shared" ca="1" si="91"/>
        <v>0</v>
      </c>
      <c r="V204" s="205">
        <f ca="1">IF(B204&gt;=$J$5,0,CONTADORES!$BB208-CONTADORES!$BB207)</f>
        <v>0</v>
      </c>
      <c r="W204" s="1438">
        <f t="shared" ca="1" si="98"/>
        <v>448</v>
      </c>
      <c r="X204" s="1438">
        <f t="shared" ca="1" si="99"/>
        <v>0</v>
      </c>
      <c r="Y204" s="1439">
        <f t="shared" ca="1" si="100"/>
        <v>448</v>
      </c>
      <c r="Z204" s="1439">
        <f t="shared" ca="1" si="101"/>
        <v>9.0296841158420591</v>
      </c>
      <c r="AA204" s="1439">
        <f t="shared" ca="1" si="102"/>
        <v>0</v>
      </c>
      <c r="AB204" s="1439">
        <f t="shared" ca="1" si="103"/>
        <v>48</v>
      </c>
      <c r="AC204" s="1438">
        <f t="shared" ca="1" si="104"/>
        <v>0</v>
      </c>
      <c r="AD204" s="1438">
        <f ca="1">IF(B204&gt;=$J$5,0,CONTADORES!H208-CONTADORES!H207)</f>
        <v>163</v>
      </c>
      <c r="AE204" s="1438">
        <f ca="1">IF(B204&gt;=$J$5,0,CONTADORES!J208-CONTADORES!J207)</f>
        <v>24</v>
      </c>
      <c r="AF204" s="1438">
        <f ca="1">IF(B204&gt;=$J$5,0,CONTADORES!AS208-CONTADORES!AS207)</f>
        <v>152</v>
      </c>
      <c r="AG204" s="1438">
        <f ca="1">IF(B204&gt;=$J$5,0,CONTADORES!AU208-CONTADORES!AU207)</f>
        <v>24</v>
      </c>
      <c r="AH204" s="1439">
        <f ca="1">IF(B204&gt;=$J$5,0,(CONTADORES!AK208-CONTADORES!AK207)+(CONTADORES!K208-CONTADORES!K207))</f>
        <v>13.799999999999272</v>
      </c>
      <c r="AI204" s="1438">
        <f ca="1">IF(B204&gt;=$J$5,0,(CONTADORES!AI208-CONTADORES!AI207)+(CONTADORES!M208-CONTADORES!M207))</f>
        <v>37.30000000000291</v>
      </c>
      <c r="AJ204" s="1438">
        <f ca="1">IF(B204&gt;=$J$5,0,(CONTADORES!AG208-CONTADORES!AG207))</f>
        <v>8.1999999999970896</v>
      </c>
      <c r="AK204" s="1438">
        <f ca="1">IF(B204&gt;=$J$5,0,(CONTADORES!O208-CONTADORES!O207))</f>
        <v>10</v>
      </c>
      <c r="AL204" s="1500">
        <f t="shared" ca="1" si="105"/>
        <v>35.300000000002854</v>
      </c>
      <c r="AM204" s="1438">
        <f ca="1">IF(B204&gt;=$J$5,0,(((CONTADORES!F208-CONTADORES!F207)+(CONTADORES!AO208-CONTADORES!AO207))))-BJ204-AF204-AN204-BM204-BP204-BU204-BS204</f>
        <v>6.7899999999984519</v>
      </c>
      <c r="AN204" s="1438">
        <f ca="1">IF(B204&gt;=$J$5,0,(CONTADORES!AV208-CONTADORES!AV207)+(CONTADORES!AX208-CONTADORES!AX207)+(CONTADORES!BC208-CONTADORES!BC207))-BS204</f>
        <v>3.2259999999997273</v>
      </c>
      <c r="AO204" s="1440">
        <f ca="1">IF(B204&gt;=$J$5,0,(CONTADORES!AA208-CONTADORES!AA207))</f>
        <v>76</v>
      </c>
      <c r="AP204" s="1440">
        <f ca="1">IF(B204&gt;=$J$5,0,(CONTADORES!V208-CONTADORES!V207))</f>
        <v>149</v>
      </c>
      <c r="AQ204" s="1445">
        <f ca="1">IF(B204&gt;=$J$5,0,(CONTADORES!C208-CONTADORES!C207))</f>
        <v>0</v>
      </c>
      <c r="AR204" s="1440">
        <f ca="1">IF(B204&gt;=$J$5,0,(CONTADORES!BA208-CONTADORES!BA207))</f>
        <v>0</v>
      </c>
      <c r="AS204" s="1438">
        <f ca="1">IF(B204&gt;=$J$5,0,CONTADORES!Q208-CONTADORES!Q207)</f>
        <v>15</v>
      </c>
      <c r="AT204" s="1438">
        <f ca="1">IF(B204&gt;=$J$5,0,(CONTADORES!S208-CONTADORES!S207)+(CONTADORES!AE208-CONTADORES!AE207))</f>
        <v>3.2999999999999829</v>
      </c>
      <c r="AU204" s="1474">
        <f ca="1">IF(B204&gt;=$J$5,0,(CONTADORES!I208-CONTADORES!I207))</f>
        <v>82</v>
      </c>
      <c r="AV204" s="1440">
        <f ca="1">IF(B204&gt;=$J$5,0,(CONTADORES!AT208-CONTADORES!AT207))</f>
        <v>66</v>
      </c>
      <c r="AW204" s="1440">
        <f ca="1">IF(B204&gt;=$J$5,0,(CONTADORES!L208-CONTADORES!L207)+(CONTADORES!AL208-CONTADORES!AL207))</f>
        <v>5.3999999999978172</v>
      </c>
      <c r="AX204" s="1440">
        <f ca="1">IF(B204&gt;=$J$5,0,(CONTADORES!N208-CONTADORES!N207)+(CONTADORES!AJ208-CONTADORES!AJ207))</f>
        <v>32.5</v>
      </c>
      <c r="AY204" s="1440">
        <f ca="1">IF(B204&gt;=$J$5,0,(CONTADORES!AH208-CONTADORES!AH207))</f>
        <v>6.2999999999956344</v>
      </c>
      <c r="AZ204" s="1440">
        <f ca="1">IF(B204&gt;=$J$5,0,(CONTADORES!P208-CONTADORES!P207))</f>
        <v>8</v>
      </c>
      <c r="BA204" s="1450">
        <f t="shared" ca="1" si="106"/>
        <v>7.4200000000060129</v>
      </c>
      <c r="BB204" s="1474">
        <f ca="1">IF(B204&gt;=$J$5,0,(((CONTADORES!G208-CONTADORES!G207)+(CONTADORES!AP208-CONTADORES!AP207)+AR204)-(AV204+BC204)))</f>
        <v>7.9000000000003183</v>
      </c>
      <c r="BC204" s="1438">
        <f ca="1">IF(B204&gt;=$J$5,0,(CONTADORES!AW208-CONTADORES!AW207)+(CONTADORES!AY208-CONTADORES!AY207)+(CONTADORES!BD208-CONTADORES!BD207))</f>
        <v>2.5000000000002274</v>
      </c>
      <c r="BD204" s="1438">
        <f t="shared" ca="1" si="107"/>
        <v>225</v>
      </c>
      <c r="BE204" s="1439">
        <f ca="1">IF($B204&gt;=$J$5,0,CONTADORES!$BE208)</f>
        <v>4793.5</v>
      </c>
      <c r="BF204" s="1438">
        <f ca="1">IF($B204&gt;=$J$5,0,CONTADORES!$BF208)</f>
        <v>34619.2929824561</v>
      </c>
      <c r="BG204" s="1438">
        <f ca="1">IF($B204&gt;=$J$5,0,CONTADORES!$BH208)</f>
        <v>5680.52</v>
      </c>
      <c r="BH204" s="1438">
        <f ca="1">IF(B204&gt;=$J$5,0,(CONTADORES!AQ208-CONTADORES!AQ207))</f>
        <v>5</v>
      </c>
      <c r="BI204" s="1438">
        <f ca="1">IF(C204&gt;=$J$5,0,(CONTADORES!AR208-CONTADORES!AR207))</f>
        <v>0</v>
      </c>
      <c r="BJ204" s="1450">
        <f ca="1">IF(B204&gt;=$J$5,0,CONTADORES!BI208-CONTADORES!BI207)/1000</f>
        <v>0</v>
      </c>
      <c r="BK204" s="1450">
        <f ca="1">IF(B204&gt;=$J$5,0,CONTADORES!BJ208-CONTADORES!BJ207)</f>
        <v>0</v>
      </c>
      <c r="BL204" s="1450">
        <f ca="1">IF(B204&gt;=$J$5,0,CONTADORES!BK208-CONTADORES!BK207)</f>
        <v>0</v>
      </c>
      <c r="BM204" s="1450">
        <f ca="1">IF(B204&gt;=$J$5,0,CONTADORES!BL208-CONTADORES!BL207)/1000</f>
        <v>4.5140000000000002</v>
      </c>
      <c r="BN204" s="1450">
        <f ca="1">IF(B204&gt;=$J$5,0,CONTADORES!BM208-CONTADORES!BM207)/1000</f>
        <v>0.45900000000000002</v>
      </c>
      <c r="BO204" s="1450">
        <f ca="1">IF(B204&gt;=$J$5,0,CONTADORES!BN208-CONTADORES!BN207)</f>
        <v>24</v>
      </c>
      <c r="BP204" s="1450">
        <f ca="1">IF(B204&gt;=$J$5,0,CONTADORES!BO208-CONTADORES!BO207)/1000</f>
        <v>3.3959999999999999</v>
      </c>
      <c r="BQ204" s="1450">
        <f ca="1">IF(B204&gt;=$J$5,0,CONTADORES!BP208-CONTADORES!BP207)/1000</f>
        <v>7.0999999999999994E-2</v>
      </c>
      <c r="BR204" s="1450">
        <f ca="1">IF(B204&gt;=$J$5,0,CONTADORES!BQ208-CONTADORES!BQ207)</f>
        <v>24</v>
      </c>
      <c r="BS204" s="1450">
        <f ca="1">IF(B204&gt;=$J$5,0,(CONTADORES!BT208-CONTADORES!BT207)+(CONTADORES!BV208-CONTADORES!BV207))/1000</f>
        <v>1.5740000000000001</v>
      </c>
      <c r="BT204" s="1450">
        <f ca="1">IF(B204&gt;=$J$5,0,(CONTADORES!BU208-CONTADORES!BU207)+(CONTADORES!BW208-CONTADORES!BW207))/1000</f>
        <v>0.95</v>
      </c>
      <c r="BU204" s="1450">
        <f ca="1">IF(B204&gt;=$J$5,0,CONTADORES!BR208-CONTADORES!BR207)</f>
        <v>8.8999999999996362</v>
      </c>
      <c r="BV204" s="1450">
        <f ca="1">IF(B204&gt;=$J$5,0,CONTADORES!BS208-CONTADORES!BS207)</f>
        <v>5.5</v>
      </c>
      <c r="BW204" s="1450">
        <f t="shared" ca="1" si="108"/>
        <v>12.294999999998861</v>
      </c>
      <c r="BX204" s="1450">
        <f t="shared" ca="1" si="109"/>
        <v>9.4500000000001592</v>
      </c>
      <c r="BY204" s="1450">
        <f t="shared" ca="1" si="110"/>
        <v>3.394999999999226</v>
      </c>
      <c r="BZ204" s="1450">
        <f t="shared" ca="1" si="111"/>
        <v>1.290399999999891</v>
      </c>
      <c r="CA204" s="1450">
        <f t="shared" ca="1" si="112"/>
        <v>3.394999999999226</v>
      </c>
      <c r="CB204" s="1450">
        <f t="shared" ca="1" si="113"/>
        <v>1.9355999999998363</v>
      </c>
      <c r="CC204" s="1450">
        <f t="shared" ca="1" si="114"/>
        <v>2.864399999999891</v>
      </c>
      <c r="CD204" s="1450">
        <f t="shared" ca="1" si="115"/>
        <v>3.9500000000001592</v>
      </c>
      <c r="CE204" s="1450">
        <f ca="1">IF(B204&gt;=$J$5,0,CONTADORES!BS208-CONTADORES!BS207)</f>
        <v>5.5</v>
      </c>
      <c r="CF204" s="1450">
        <f t="shared" ca="1" si="116"/>
        <v>3.9500000000001592</v>
      </c>
      <c r="CG204" s="1450">
        <f t="shared" ca="1" si="117"/>
        <v>1.2500000000001137</v>
      </c>
      <c r="CH204" s="1450">
        <f t="shared" ca="1" si="118"/>
        <v>1.2500000000001137</v>
      </c>
      <c r="CI204" s="1450">
        <f t="shared" ca="1" si="119"/>
        <v>2.2000000000001139</v>
      </c>
      <c r="CJ204" s="1450">
        <f ca="1">IF($B204&gt;=$J$5,0,CONTADORES!$BG208)</f>
        <v>10301.505217968899</v>
      </c>
      <c r="CK204" s="1406">
        <f>CONTADORES!E208</f>
        <v>0</v>
      </c>
      <c r="CL204" s="1406">
        <f>CONTADORES!BX208</f>
        <v>0</v>
      </c>
    </row>
    <row r="205" spans="2:90">
      <c r="B205" s="410">
        <v>45121</v>
      </c>
      <c r="C205" s="204">
        <f t="shared" ca="1" si="95"/>
        <v>148</v>
      </c>
      <c r="D205" s="202">
        <f ca="1">'CALCULO DE GAS'!P17</f>
        <v>3.8645756449809716</v>
      </c>
      <c r="E205" s="202">
        <f ca="1">IF(B205&gt;=$J$5,0,(CONTADORES!$AB209-CONTADORES!$AB208)-$H205)</f>
        <v>24</v>
      </c>
      <c r="F205" s="204">
        <f t="shared" ca="1" si="94"/>
        <v>0</v>
      </c>
      <c r="G205" s="202">
        <f ca="1">IF(B205&gt;=$J$5,0,CONTADORES!$AD209-CONTADORES!$AD208)</f>
        <v>0</v>
      </c>
      <c r="H205" s="202">
        <f ca="1">IF(G205&gt;0,CONTADORES!$AC209-CONTADORES!$AC208,0)</f>
        <v>0</v>
      </c>
      <c r="I205" s="205">
        <f ca="1">IF(B205&gt;=$J$5,0,CONTADORES!$Z209-CONTADORES!$Z208)</f>
        <v>148</v>
      </c>
      <c r="J205" s="204">
        <f t="shared" ca="1" si="96"/>
        <v>280</v>
      </c>
      <c r="K205" s="202">
        <f ca="1">'CALCULO DE GAS'!Q17</f>
        <v>4.9939857306137032</v>
      </c>
      <c r="L205" s="1437">
        <f ca="1">IF(B205&gt;=$J$5,0,(CONTADORES!$W209-CONTADORES!$W208)-$O205)</f>
        <v>24</v>
      </c>
      <c r="M205" s="1437">
        <f t="shared" ref="M205:M225" ca="1" si="120">IF(O205=0,0,"ERROR")</f>
        <v>0</v>
      </c>
      <c r="N205" s="1437">
        <f ca="1">IF(B205&gt;=$J$5,0,CONTADORES!$Y209-CONTADORES!$Y208)</f>
        <v>0</v>
      </c>
      <c r="O205" s="1437">
        <f ca="1">IF(N205&gt;0,CONTADORES!$X209-CONTADORES!$X208,0)</f>
        <v>0</v>
      </c>
      <c r="P205" s="208">
        <f ca="1">IF(B205&gt;=$J$5,0,CONTADORES!$U209-CONTADORES!$U208)</f>
        <v>280</v>
      </c>
      <c r="Q205" s="208">
        <f ca="1">IF(B205&gt;=$J$5,0,CONTADORES!$B209-CONTADORES!$B208)</f>
        <v>0</v>
      </c>
      <c r="R205" s="202">
        <f t="shared" ca="1" si="97"/>
        <v>0</v>
      </c>
      <c r="S205" s="11">
        <f ca="1">IF(B205&gt;=$J$5,0,CONTADORES!$D209-CONTADORES!$D208)</f>
        <v>0</v>
      </c>
      <c r="T205" s="204">
        <f ca="1">IF(B205&gt;=$J$5,0,CONTADORES!$AZ209-CONTADORES!$AZ208)</f>
        <v>0</v>
      </c>
      <c r="U205" s="202">
        <f t="shared" ca="1" si="91"/>
        <v>0</v>
      </c>
      <c r="V205" s="205">
        <f ca="1">IF(B205&gt;=$J$5,0,CONTADORES!$BB209-CONTADORES!$BB208)</f>
        <v>0</v>
      </c>
      <c r="W205" s="1438">
        <f t="shared" ca="1" si="98"/>
        <v>428</v>
      </c>
      <c r="X205" s="1438">
        <f t="shared" ca="1" si="99"/>
        <v>0</v>
      </c>
      <c r="Y205" s="1439">
        <f t="shared" ca="1" si="100"/>
        <v>428</v>
      </c>
      <c r="Z205" s="1439">
        <f t="shared" ca="1" si="101"/>
        <v>8.8585613755946753</v>
      </c>
      <c r="AA205" s="1439">
        <f t="shared" ca="1" si="102"/>
        <v>0</v>
      </c>
      <c r="AB205" s="1439">
        <f t="shared" ca="1" si="103"/>
        <v>48</v>
      </c>
      <c r="AC205" s="1438">
        <f t="shared" ca="1" si="104"/>
        <v>0</v>
      </c>
      <c r="AD205" s="1438">
        <f ca="1">IF(B205&gt;=$J$5,0,CONTADORES!H209-CONTADORES!H208)</f>
        <v>163</v>
      </c>
      <c r="AE205" s="1438">
        <f ca="1">IF(B205&gt;=$J$5,0,CONTADORES!J209-CONTADORES!J208)</f>
        <v>24</v>
      </c>
      <c r="AF205" s="1438">
        <f ca="1">IF(B205&gt;=$J$5,0,CONTADORES!AS209-CONTADORES!AS208)</f>
        <v>150</v>
      </c>
      <c r="AG205" s="1438">
        <f ca="1">IF(B205&gt;=$J$5,0,CONTADORES!AU209-CONTADORES!AU208)</f>
        <v>24</v>
      </c>
      <c r="AH205" s="1439">
        <f ca="1">IF(B205&gt;=$J$5,0,(CONTADORES!AK209-CONTADORES!AK208)+(CONTADORES!K209-CONTADORES!K208))</f>
        <v>4.5999999999985448</v>
      </c>
      <c r="AI205" s="1438">
        <f ca="1">IF(B205&gt;=$J$5,0,(CONTADORES!AI209-CONTADORES!AI208)+(CONTADORES!M209-CONTADORES!M208))</f>
        <v>35.899999999994179</v>
      </c>
      <c r="AJ205" s="1438">
        <f ca="1">IF(B205&gt;=$J$5,0,(CONTADORES!AG209-CONTADORES!AG208))</f>
        <v>5.6999999999970896</v>
      </c>
      <c r="AK205" s="1438">
        <f ca="1">IF(B205&gt;=$J$5,0,(CONTADORES!O209-CONTADORES!O208))</f>
        <v>9</v>
      </c>
      <c r="AL205" s="1500">
        <f t="shared" ca="1" si="105"/>
        <v>31.900000000008788</v>
      </c>
      <c r="AM205" s="1438">
        <f ca="1">IF(B205&gt;=$J$5,0,(((CONTADORES!F209-CONTADORES!F208)+(CONTADORES!AO209-CONTADORES!AO208))))-BJ205-AF205-AN205-BM205-BP205-BU205-BS205</f>
        <v>8.0850000000005409</v>
      </c>
      <c r="AN205" s="1438">
        <f ca="1">IF(B205&gt;=$J$5,0,(CONTADORES!AV209-CONTADORES!AV208)+(CONTADORES!AX209-CONTADORES!AX208)+(CONTADORES!BC209-CONTADORES!BC208))-BS205</f>
        <v>3.1939999999998179</v>
      </c>
      <c r="AO205" s="1440">
        <f ca="1">IF(B205&gt;=$J$5,0,(CONTADORES!AA209-CONTADORES!AA208))</f>
        <v>69</v>
      </c>
      <c r="AP205" s="1440">
        <f ca="1">IF(B205&gt;=$J$5,0,(CONTADORES!V209-CONTADORES!V208))</f>
        <v>146</v>
      </c>
      <c r="AQ205" s="1445">
        <f ca="1">IF(B205&gt;=$J$5,0,(CONTADORES!C209-CONTADORES!C208))</f>
        <v>0</v>
      </c>
      <c r="AR205" s="1440">
        <f ca="1">IF(B205&gt;=$J$5,0,(CONTADORES!BA209-CONTADORES!BA208))</f>
        <v>0</v>
      </c>
      <c r="AS205" s="1438">
        <f ca="1">IF(B205&gt;=$J$5,0,CONTADORES!Q209-CONTADORES!Q208)</f>
        <v>15</v>
      </c>
      <c r="AT205" s="1438">
        <f ca="1">IF(B205&gt;=$J$5,0,(CONTADORES!S209-CONTADORES!S208)+(CONTADORES!AE209-CONTADORES!AE208))</f>
        <v>3.2000000000000171</v>
      </c>
      <c r="AU205" s="1474">
        <f ca="1">IF(B205&gt;=$J$5,0,(CONTADORES!I209-CONTADORES!I208))</f>
        <v>81</v>
      </c>
      <c r="AV205" s="1440">
        <f ca="1">IF(B205&gt;=$J$5,0,(CONTADORES!AT209-CONTADORES!AT208))</f>
        <v>65</v>
      </c>
      <c r="AW205" s="1440">
        <f ca="1">IF(B205&gt;=$J$5,0,(CONTADORES!L209-CONTADORES!L208)+(CONTADORES!AL209-CONTADORES!AL208))</f>
        <v>1.9000000000014552</v>
      </c>
      <c r="AX205" s="1440">
        <f ca="1">IF(B205&gt;=$J$5,0,(CONTADORES!N209-CONTADORES!N208)+(CONTADORES!AJ209-CONTADORES!AJ208))</f>
        <v>30.900000000001455</v>
      </c>
      <c r="AY205" s="1440">
        <f ca="1">IF(B205&gt;=$J$5,0,(CONTADORES!AH209-CONTADORES!AH208))</f>
        <v>4.0999999999985448</v>
      </c>
      <c r="AZ205" s="1440">
        <f ca="1">IF(B205&gt;=$J$5,0,(CONTADORES!P209-CONTADORES!P208))</f>
        <v>7</v>
      </c>
      <c r="BA205" s="1450">
        <f t="shared" ca="1" si="106"/>
        <v>7.037999999999073</v>
      </c>
      <c r="BB205" s="1474">
        <f ca="1">IF(B205&gt;=$J$5,0,(((CONTADORES!G209-CONTADORES!G208)+(CONTADORES!AP209-CONTADORES!AP208)+AR205)-(AV205+BC205)))</f>
        <v>8.7999999999997272</v>
      </c>
      <c r="BC205" s="1438">
        <f ca="1">IF(B205&gt;=$J$5,0,(CONTADORES!AW209-CONTADORES!AW208)+(CONTADORES!AY209-CONTADORES!AY208)+(CONTADORES!BD209-CONTADORES!BD208))</f>
        <v>2.0999999999999091</v>
      </c>
      <c r="BD205" s="1438">
        <f t="shared" ca="1" si="107"/>
        <v>215</v>
      </c>
      <c r="BE205" s="1439">
        <f ca="1">IF($B205&gt;=$J$5,0,CONTADORES!$BE209)</f>
        <v>5315.43</v>
      </c>
      <c r="BF205" s="1438">
        <f ca="1">IF($B205&gt;=$J$5,0,CONTADORES!$BF209)</f>
        <v>34570.057894736834</v>
      </c>
      <c r="BG205" s="1438">
        <f ca="1">IF($B205&gt;=$J$5,0,CONTADORES!$BH209)</f>
        <v>5571.7</v>
      </c>
      <c r="BH205" s="1438">
        <f ca="1">IF(B205&gt;=$J$5,0,(CONTADORES!AQ209-CONTADORES!AQ208))</f>
        <v>5</v>
      </c>
      <c r="BI205" s="1438">
        <f ca="1">IF(C205&gt;=$J$5,0,(CONTADORES!AR209-CONTADORES!AR208))</f>
        <v>0</v>
      </c>
      <c r="BJ205" s="1450">
        <f ca="1">IF(B205&gt;=$J$5,0,CONTADORES!BI209-CONTADORES!BI208)/1000</f>
        <v>1.0069999999999999</v>
      </c>
      <c r="BK205" s="1450">
        <f ca="1">IF(B205&gt;=$J$5,0,CONTADORES!BJ209-CONTADORES!BJ208)</f>
        <v>1</v>
      </c>
      <c r="BL205" s="1450">
        <f ca="1">IF(B205&gt;=$J$5,0,CONTADORES!BK209-CONTADORES!BK208)</f>
        <v>5.2999999999992724</v>
      </c>
      <c r="BM205" s="1450">
        <f ca="1">IF(B205&gt;=$J$5,0,CONTADORES!BL209-CONTADORES!BL208)/1000</f>
        <v>3.5139999999999998</v>
      </c>
      <c r="BN205" s="1450">
        <f ca="1">IF(B205&gt;=$J$5,0,CONTADORES!BM209-CONTADORES!BM208)/1000</f>
        <v>0.46600000000000003</v>
      </c>
      <c r="BO205" s="1450">
        <f ca="1">IF(B205&gt;=$J$5,0,CONTADORES!BN209-CONTADORES!BN208)</f>
        <v>19.700000000000728</v>
      </c>
      <c r="BP205" s="1450">
        <f ca="1">IF(B205&gt;=$J$5,0,CONTADORES!BO209-CONTADORES!BO208)/1000</f>
        <v>3.294</v>
      </c>
      <c r="BQ205" s="1450">
        <f ca="1">IF(B205&gt;=$J$5,0,CONTADORES!BP209-CONTADORES!BP208)/1000</f>
        <v>0.08</v>
      </c>
      <c r="BR205" s="1450">
        <f ca="1">IF(B205&gt;=$J$5,0,CONTADORES!BQ209-CONTADORES!BQ208)</f>
        <v>24</v>
      </c>
      <c r="BS205" s="1450">
        <f ca="1">IF(B205&gt;=$J$5,0,(CONTADORES!BT209-CONTADORES!BT208)+(CONTADORES!BV209-CONTADORES!BV208))/1000</f>
        <v>1.506</v>
      </c>
      <c r="BT205" s="1450">
        <f ca="1">IF(B205&gt;=$J$5,0,(CONTADORES!BU209-CONTADORES!BU208)+(CONTADORES!BW209-CONTADORES!BW208))/1000</f>
        <v>0.91600000000000004</v>
      </c>
      <c r="BU205" s="1450">
        <f ca="1">IF(B205&gt;=$J$5,0,CONTADORES!BR209-CONTADORES!BR208)</f>
        <v>7.3000000000010914</v>
      </c>
      <c r="BV205" s="1450">
        <f ca="1">IF(B205&gt;=$J$5,0,CONTADORES!BS209-CONTADORES!BS208)</f>
        <v>4.6999999999998181</v>
      </c>
      <c r="BW205" s="1450">
        <f t="shared" ca="1" si="108"/>
        <v>11.342500000001362</v>
      </c>
      <c r="BX205" s="1450">
        <f t="shared" ca="1" si="109"/>
        <v>9.0999999999996817</v>
      </c>
      <c r="BY205" s="1450">
        <f t="shared" ca="1" si="110"/>
        <v>4.0425000000002704</v>
      </c>
      <c r="BZ205" s="1450">
        <f t="shared" ca="1" si="111"/>
        <v>1.2775999999999272</v>
      </c>
      <c r="CA205" s="1450">
        <f t="shared" ca="1" si="112"/>
        <v>4.0425000000002704</v>
      </c>
      <c r="CB205" s="1450">
        <f t="shared" ca="1" si="113"/>
        <v>1.9163999999998906</v>
      </c>
      <c r="CC205" s="1450">
        <f t="shared" ca="1" si="114"/>
        <v>2.783599999999927</v>
      </c>
      <c r="CD205" s="1450">
        <f t="shared" ca="1" si="115"/>
        <v>4.3999999999998636</v>
      </c>
      <c r="CE205" s="1450">
        <f ca="1">IF(B205&gt;=$J$5,0,CONTADORES!BS209-CONTADORES!BS208)</f>
        <v>4.6999999999998181</v>
      </c>
      <c r="CF205" s="1450">
        <f t="shared" ca="1" si="116"/>
        <v>4.3999999999998636</v>
      </c>
      <c r="CG205" s="1450">
        <f t="shared" ca="1" si="117"/>
        <v>1.0499999999999545</v>
      </c>
      <c r="CH205" s="1450">
        <f t="shared" ca="1" si="118"/>
        <v>1.0499999999999545</v>
      </c>
      <c r="CI205" s="1450">
        <f t="shared" ca="1" si="119"/>
        <v>1.9659999999999545</v>
      </c>
      <c r="CJ205" s="1450">
        <f ca="1">IF($B205&gt;=$J$5,0,CONTADORES!$BG209)</f>
        <v>8313.5243503470992</v>
      </c>
      <c r="CK205" s="1406">
        <f>CONTADORES!E209</f>
        <v>0</v>
      </c>
      <c r="CL205" s="1406">
        <f>CONTADORES!BX209</f>
        <v>0</v>
      </c>
    </row>
    <row r="206" spans="2:90">
      <c r="B206" s="410">
        <v>45122</v>
      </c>
      <c r="C206" s="204">
        <f t="shared" ca="1" si="95"/>
        <v>148</v>
      </c>
      <c r="D206" s="202">
        <f ca="1">'CALCULO DE GAS'!P18</f>
        <v>3.8645756449809716</v>
      </c>
      <c r="E206" s="202">
        <f ca="1">IF(B206&gt;=$J$5,0,(CONTADORES!$AB210-CONTADORES!$AB209)-$H206)</f>
        <v>24</v>
      </c>
      <c r="F206" s="204">
        <f t="shared" ca="1" si="94"/>
        <v>0</v>
      </c>
      <c r="G206" s="202">
        <f ca="1">IF(B206&gt;=$J$5,0,CONTADORES!$AD210-CONTADORES!$AD209)</f>
        <v>0</v>
      </c>
      <c r="H206" s="202">
        <f ca="1">IF(G206&gt;0,CONTADORES!$AC210-CONTADORES!$AC209,0)</f>
        <v>0</v>
      </c>
      <c r="I206" s="205">
        <f ca="1">IF(B206&gt;=$J$5,0,CONTADORES!$Z210-CONTADORES!$Z209)</f>
        <v>148</v>
      </c>
      <c r="J206" s="204">
        <f t="shared" ca="1" si="96"/>
        <v>290</v>
      </c>
      <c r="K206" s="202">
        <f ca="1">'CALCULO DE GAS'!Q18</f>
        <v>5.0795471007373951</v>
      </c>
      <c r="L206" s="1437">
        <f ca="1">IF(B206&gt;=$J$5,0,(CONTADORES!$W210-CONTADORES!$W209)-$O206)</f>
        <v>24</v>
      </c>
      <c r="M206" s="1437">
        <f t="shared" ca="1" si="120"/>
        <v>0</v>
      </c>
      <c r="N206" s="1437">
        <f ca="1">IF(B206&gt;=$J$5,0,CONTADORES!$Y210-CONTADORES!$Y209)</f>
        <v>0</v>
      </c>
      <c r="O206" s="1437">
        <f ca="1">IF(N206&gt;0,CONTADORES!$X210-CONTADORES!$X209,0)</f>
        <v>0</v>
      </c>
      <c r="P206" s="208">
        <f ca="1">IF(B206&gt;=$J$5,0,CONTADORES!$U210-CONTADORES!$U209)</f>
        <v>290</v>
      </c>
      <c r="Q206" s="208">
        <f ca="1">IF(B206&gt;=$J$5,0,CONTADORES!$B210-CONTADORES!$B209)</f>
        <v>0</v>
      </c>
      <c r="R206" s="202">
        <f t="shared" ca="1" si="97"/>
        <v>0</v>
      </c>
      <c r="S206" s="11">
        <f ca="1">IF(B206&gt;=$J$5,0,CONTADORES!$D210-CONTADORES!$D209)</f>
        <v>0</v>
      </c>
      <c r="T206" s="204">
        <f ca="1">IF(B206&gt;=$J$5,0,CONTADORES!$AZ210-CONTADORES!$AZ209)</f>
        <v>0</v>
      </c>
      <c r="U206" s="202">
        <f t="shared" ca="1" si="91"/>
        <v>0</v>
      </c>
      <c r="V206" s="205">
        <f ca="1">IF(B206&gt;=$J$5,0,CONTADORES!$BB210-CONTADORES!$BB209)</f>
        <v>0</v>
      </c>
      <c r="W206" s="1438">
        <f t="shared" ca="1" si="98"/>
        <v>438</v>
      </c>
      <c r="X206" s="1438">
        <f t="shared" ca="1" si="99"/>
        <v>0</v>
      </c>
      <c r="Y206" s="1439">
        <f t="shared" ca="1" si="100"/>
        <v>438</v>
      </c>
      <c r="Z206" s="1439">
        <f t="shared" ca="1" si="101"/>
        <v>8.9441227457183672</v>
      </c>
      <c r="AA206" s="1439">
        <f t="shared" ca="1" si="102"/>
        <v>0</v>
      </c>
      <c r="AB206" s="1439">
        <f t="shared" ca="1" si="103"/>
        <v>48</v>
      </c>
      <c r="AC206" s="1438">
        <f t="shared" ca="1" si="104"/>
        <v>0</v>
      </c>
      <c r="AD206" s="1438">
        <f ca="1">IF(B206&gt;=$J$5,0,CONTADORES!H210-CONTADORES!H209)</f>
        <v>164</v>
      </c>
      <c r="AE206" s="1438">
        <f ca="1">IF(B206&gt;=$J$5,0,CONTADORES!J210-CONTADORES!J209)</f>
        <v>24</v>
      </c>
      <c r="AF206" s="1438">
        <f ca="1">IF(B206&gt;=$J$5,0,CONTADORES!AS210-CONTADORES!AS209)</f>
        <v>152</v>
      </c>
      <c r="AG206" s="1438">
        <f ca="1">IF(B206&gt;=$J$5,0,CONTADORES!AU210-CONTADORES!AU209)</f>
        <v>24</v>
      </c>
      <c r="AH206" s="1439">
        <f ca="1">IF(B206&gt;=$J$5,0,(CONTADORES!AK210-CONTADORES!AK209)+(CONTADORES!K210-CONTADORES!K209))</f>
        <v>8.5</v>
      </c>
      <c r="AI206" s="1438">
        <f ca="1">IF(B206&gt;=$J$5,0,(CONTADORES!AI210-CONTADORES!AI209)+(CONTADORES!M210-CONTADORES!M209))</f>
        <v>35.30000000000291</v>
      </c>
      <c r="AJ206" s="1438">
        <f ca="1">IF(B206&gt;=$J$5,0,(CONTADORES!AG210-CONTADORES!AG209))</f>
        <v>6.6999999999970896</v>
      </c>
      <c r="AK206" s="1438">
        <f ca="1">IF(B206&gt;=$J$5,0,(CONTADORES!O210-CONTADORES!O209))</f>
        <v>9</v>
      </c>
      <c r="AL206" s="1500">
        <f t="shared" ca="1" si="105"/>
        <v>33.799999999999272</v>
      </c>
      <c r="AM206" s="1438">
        <f ca="1">IF(B206&gt;=$J$5,0,(((CONTADORES!F210-CONTADORES!F209)+(CONTADORES!AO210-CONTADORES!AO209))))-BJ206-AF206-AN206-BM206-BP206-BU206-BS206</f>
        <v>9.0380000000017162</v>
      </c>
      <c r="AN206" s="1438">
        <f ca="1">IF(B206&gt;=$J$5,0,(CONTADORES!AV210-CONTADORES!AV209)+(CONTADORES!AX210-CONTADORES!AX209)+(CONTADORES!BC210-CONTADORES!BC209))-BS206</f>
        <v>3.4620000000004545</v>
      </c>
      <c r="AO206" s="1440">
        <f ca="1">IF(B206&gt;=$J$5,0,(CONTADORES!AA210-CONTADORES!AA209))</f>
        <v>68</v>
      </c>
      <c r="AP206" s="1440">
        <f ca="1">IF(B206&gt;=$J$5,0,(CONTADORES!V210-CONTADORES!V209))</f>
        <v>151</v>
      </c>
      <c r="AQ206" s="1445">
        <f ca="1">IF(B206&gt;=$J$5,0,(CONTADORES!C210-CONTADORES!C209))</f>
        <v>0</v>
      </c>
      <c r="AR206" s="1440">
        <f ca="1">IF(B206&gt;=$J$5,0,(CONTADORES!BA210-CONTADORES!BA209))</f>
        <v>0</v>
      </c>
      <c r="AS206" s="1438">
        <f ca="1">IF(B206&gt;=$J$5,0,CONTADORES!Q210-CONTADORES!Q209)</f>
        <v>14</v>
      </c>
      <c r="AT206" s="1438">
        <f ca="1">IF(B206&gt;=$J$5,0,(CONTADORES!S210-CONTADORES!S209)+(CONTADORES!AE210-CONTADORES!AE209))</f>
        <v>3.0999999999999943</v>
      </c>
      <c r="AU206" s="1474">
        <f ca="1">IF(B206&gt;=$J$5,0,(CONTADORES!I210-CONTADORES!I209))</f>
        <v>82</v>
      </c>
      <c r="AV206" s="1440">
        <f ca="1">IF(B206&gt;=$J$5,0,(CONTADORES!AT210-CONTADORES!AT209))</f>
        <v>65</v>
      </c>
      <c r="AW206" s="1440">
        <f ca="1">IF(B206&gt;=$J$5,0,(CONTADORES!L210-CONTADORES!L209)+(CONTADORES!AL210-CONTADORES!AL209))</f>
        <v>3.2999999999992724</v>
      </c>
      <c r="AX206" s="1440">
        <f ca="1">IF(B206&gt;=$J$5,0,(CONTADORES!N210-CONTADORES!N209)+(CONTADORES!AJ210-CONTADORES!AJ209))</f>
        <v>30.599999999998545</v>
      </c>
      <c r="AY206" s="1440">
        <f ca="1">IF(B206&gt;=$J$5,0,(CONTADORES!AH210-CONTADORES!AH209))</f>
        <v>5</v>
      </c>
      <c r="AZ206" s="1440">
        <f ca="1">IF(B206&gt;=$J$5,0,(CONTADORES!P210-CONTADORES!P209))</f>
        <v>8</v>
      </c>
      <c r="BA206" s="1450">
        <f t="shared" ca="1" si="106"/>
        <v>7.0880000000021823</v>
      </c>
      <c r="BB206" s="1474">
        <f ca="1">IF(B206&gt;=$J$5,0,(((CONTADORES!G210-CONTADORES!G209)+(CONTADORES!AP210-CONTADORES!AP209)+AR206)-(AV206+BC206)))</f>
        <v>9.7000000000006708</v>
      </c>
      <c r="BC206" s="1438">
        <f ca="1">IF(B206&gt;=$J$5,0,(CONTADORES!AW210-CONTADORES!AW209)+(CONTADORES!AY210-CONTADORES!AY209)+(CONTADORES!BD210-CONTADORES!BD209))</f>
        <v>1.6999999999998749</v>
      </c>
      <c r="BD206" s="1438">
        <f t="shared" ca="1" si="107"/>
        <v>219</v>
      </c>
      <c r="BE206" s="1439">
        <f ca="1">IF($B206&gt;=$J$5,0,CONTADORES!$BE210)</f>
        <v>5287.15</v>
      </c>
      <c r="BF206" s="1438">
        <f ca="1">IF($B206&gt;=$J$5,0,CONTADORES!$BF210)</f>
        <v>34632.2701754386</v>
      </c>
      <c r="BG206" s="1438">
        <f ca="1">IF($B206&gt;=$J$5,0,CONTADORES!$BH210)</f>
        <v>6448.1</v>
      </c>
      <c r="BH206" s="1438">
        <f ca="1">IF(B206&gt;=$J$5,0,(CONTADORES!AQ210-CONTADORES!AQ209))</f>
        <v>4</v>
      </c>
      <c r="BI206" s="1438">
        <f ca="1">IF(C206&gt;=$J$5,0,(CONTADORES!AR210-CONTADORES!AR209))</f>
        <v>0</v>
      </c>
      <c r="BJ206" s="1450">
        <f ca="1">IF(B206&gt;=$J$5,0,CONTADORES!BI210-CONTADORES!BI209)/1000</f>
        <v>4.08</v>
      </c>
      <c r="BK206" s="1450">
        <f ca="1">IF(B206&gt;=$J$5,0,CONTADORES!BJ210-CONTADORES!BJ209)</f>
        <v>1</v>
      </c>
      <c r="BL206" s="1450">
        <f ca="1">IF(B206&gt;=$J$5,0,CONTADORES!BK210-CONTADORES!BK209)</f>
        <v>24</v>
      </c>
      <c r="BM206" s="1450">
        <f ca="1">IF(B206&gt;=$J$5,0,CONTADORES!BL210-CONTADORES!BL209)/1000</f>
        <v>0</v>
      </c>
      <c r="BN206" s="1450">
        <f ca="1">IF(B206&gt;=$J$5,0,CONTADORES!BM210-CONTADORES!BM209)/1000</f>
        <v>0</v>
      </c>
      <c r="BO206" s="1450">
        <f ca="1">IF(B206&gt;=$J$5,0,CONTADORES!BN210-CONTADORES!BN209)</f>
        <v>0</v>
      </c>
      <c r="BP206" s="1450">
        <f ca="1">IF(B206&gt;=$J$5,0,CONTADORES!BO210-CONTADORES!BO209)/1000</f>
        <v>3.4820000000000002</v>
      </c>
      <c r="BQ206" s="1450">
        <f ca="1">IF(B206&gt;=$J$5,0,CONTADORES!BP210-CONTADORES!BP209)/1000</f>
        <v>7.3999999999999996E-2</v>
      </c>
      <c r="BR206" s="1450">
        <f ca="1">IF(B206&gt;=$J$5,0,CONTADORES!BQ210-CONTADORES!BQ209)</f>
        <v>24</v>
      </c>
      <c r="BS206" s="1450">
        <f ca="1">IF(B206&gt;=$J$5,0,(CONTADORES!BT210-CONTADORES!BT209)+(CONTADORES!BV210-CONTADORES!BV209))/1000</f>
        <v>1.538</v>
      </c>
      <c r="BT206" s="1450">
        <f ca="1">IF(B206&gt;=$J$5,0,(CONTADORES!BU210-CONTADORES!BU209)+(CONTADORES!BW210-CONTADORES!BW209))/1000</f>
        <v>0.93799999999999994</v>
      </c>
      <c r="BU206" s="1450">
        <f ca="1">IF(B206&gt;=$J$5,0,CONTADORES!BR210-CONTADORES!BR209)</f>
        <v>7.0999999999985448</v>
      </c>
      <c r="BV206" s="1450">
        <f ca="1">IF(B206&gt;=$J$5,0,CONTADORES!BS210-CONTADORES!BS209)</f>
        <v>4.5999999999994543</v>
      </c>
      <c r="BW206" s="1450">
        <f t="shared" ca="1" si="108"/>
        <v>11.618999999999403</v>
      </c>
      <c r="BX206" s="1450">
        <f t="shared" ca="1" si="109"/>
        <v>9.4499999999997897</v>
      </c>
      <c r="BY206" s="1450">
        <f t="shared" ca="1" si="110"/>
        <v>4.5190000000008581</v>
      </c>
      <c r="BZ206" s="1450">
        <f t="shared" ca="1" si="111"/>
        <v>1.3848000000001819</v>
      </c>
      <c r="CA206" s="1450">
        <f t="shared" ca="1" si="112"/>
        <v>4.5190000000008581</v>
      </c>
      <c r="CB206" s="1450">
        <f t="shared" ca="1" si="113"/>
        <v>2.0772000000002726</v>
      </c>
      <c r="CC206" s="1450">
        <f t="shared" ca="1" si="114"/>
        <v>2.9228000000001817</v>
      </c>
      <c r="CD206" s="1450">
        <f t="shared" ca="1" si="115"/>
        <v>4.8500000000003354</v>
      </c>
      <c r="CE206" s="1450">
        <f ca="1">IF(B206&gt;=$J$5,0,CONTADORES!BS210-CONTADORES!BS209)</f>
        <v>4.5999999999994543</v>
      </c>
      <c r="CF206" s="1450">
        <f t="shared" ca="1" si="116"/>
        <v>4.8500000000003354</v>
      </c>
      <c r="CG206" s="1450">
        <f t="shared" ca="1" si="117"/>
        <v>0.84999999999993747</v>
      </c>
      <c r="CH206" s="1450">
        <f t="shared" ca="1" si="118"/>
        <v>0.84999999999993747</v>
      </c>
      <c r="CI206" s="1450">
        <f t="shared" ca="1" si="119"/>
        <v>1.7879999999999374</v>
      </c>
      <c r="CJ206" s="1450">
        <f ca="1">IF($B206&gt;=$J$5,0,CONTADORES!$BG210)</f>
        <v>9705.2691741066792</v>
      </c>
      <c r="CK206" s="1406">
        <f>CONTADORES!E210</f>
        <v>0</v>
      </c>
      <c r="CL206" s="1406">
        <f>CONTADORES!BX210</f>
        <v>0</v>
      </c>
    </row>
    <row r="207" spans="2:90">
      <c r="B207" s="410">
        <v>45123</v>
      </c>
      <c r="C207" s="204">
        <f t="shared" ca="1" si="95"/>
        <v>148</v>
      </c>
      <c r="D207" s="202">
        <f ca="1">'CALCULO DE GAS'!P19</f>
        <v>3.8645756449809716</v>
      </c>
      <c r="E207" s="202">
        <f ca="1">IF(B207&gt;=$J$5,0,(CONTADORES!$AB211-CONTADORES!$AB210)-$H207)</f>
        <v>24</v>
      </c>
      <c r="F207" s="204">
        <f t="shared" ca="1" si="94"/>
        <v>0</v>
      </c>
      <c r="G207" s="202">
        <f ca="1">IF(B207&gt;=$J$5,0,CONTADORES!$AD211-CONTADORES!$AD210)</f>
        <v>0</v>
      </c>
      <c r="H207" s="202">
        <f ca="1">IF(G207&gt;0,CONTADORES!$AC211-CONTADORES!$AC210,0)</f>
        <v>0</v>
      </c>
      <c r="I207" s="205">
        <f ca="1">IF(B207&gt;=$J$5,0,CONTADORES!$Z211-CONTADORES!$Z210)</f>
        <v>148</v>
      </c>
      <c r="J207" s="204">
        <f t="shared" ca="1" si="96"/>
        <v>296</v>
      </c>
      <c r="K207" s="202">
        <f ca="1">'CALCULO DE GAS'!Q19</f>
        <v>5.130883922811611</v>
      </c>
      <c r="L207" s="1437">
        <f ca="1">IF(B207&gt;=$J$5,0,(CONTADORES!$W211-CONTADORES!$W210)-$O207)</f>
        <v>24</v>
      </c>
      <c r="M207" s="1437">
        <f t="shared" ca="1" si="120"/>
        <v>0</v>
      </c>
      <c r="N207" s="1437">
        <f ca="1">IF(B207&gt;=$J$5,0,CONTADORES!$Y211-CONTADORES!$Y210)</f>
        <v>0</v>
      </c>
      <c r="O207" s="1437">
        <f ca="1">IF(N207&gt;0,CONTADORES!$X211-CONTADORES!$X210,0)</f>
        <v>0</v>
      </c>
      <c r="P207" s="208">
        <f ca="1">IF(B207&gt;=$J$5,0,CONTADORES!$U211-CONTADORES!$U210)</f>
        <v>296</v>
      </c>
      <c r="Q207" s="208">
        <f ca="1">IF(B207&gt;=$J$5,0,CONTADORES!$B211-CONTADORES!$B210)</f>
        <v>0</v>
      </c>
      <c r="R207" s="202">
        <f t="shared" ca="1" si="97"/>
        <v>0</v>
      </c>
      <c r="S207" s="11">
        <f ca="1">IF(B207&gt;=$J$5,0,CONTADORES!$D211-CONTADORES!$D210)</f>
        <v>0</v>
      </c>
      <c r="T207" s="204">
        <f ca="1">IF(B207&gt;=$J$5,0,CONTADORES!$AZ211-CONTADORES!$AZ210)</f>
        <v>0</v>
      </c>
      <c r="U207" s="202">
        <f t="shared" ca="1" si="91"/>
        <v>0</v>
      </c>
      <c r="V207" s="205">
        <f ca="1">IF(B207&gt;=$J$5,0,CONTADORES!$BB211-CONTADORES!$BB210)</f>
        <v>0</v>
      </c>
      <c r="W207" s="1438">
        <f t="shared" ca="1" si="98"/>
        <v>444</v>
      </c>
      <c r="X207" s="1438">
        <f t="shared" ca="1" si="99"/>
        <v>0</v>
      </c>
      <c r="Y207" s="1439">
        <f t="shared" ca="1" si="100"/>
        <v>444</v>
      </c>
      <c r="Z207" s="1439">
        <f t="shared" ca="1" si="101"/>
        <v>8.995459567792583</v>
      </c>
      <c r="AA207" s="1439">
        <f t="shared" ca="1" si="102"/>
        <v>0</v>
      </c>
      <c r="AB207" s="1439">
        <f t="shared" ca="1" si="103"/>
        <v>48</v>
      </c>
      <c r="AC207" s="1438">
        <f t="shared" ca="1" si="104"/>
        <v>0</v>
      </c>
      <c r="AD207" s="1438">
        <f ca="1">IF(B207&gt;=$J$5,0,CONTADORES!H211-CONTADORES!H210)</f>
        <v>166</v>
      </c>
      <c r="AE207" s="1438">
        <f ca="1">IF(B207&gt;=$J$5,0,CONTADORES!J211-CONTADORES!J210)</f>
        <v>24</v>
      </c>
      <c r="AF207" s="1438">
        <f ca="1">IF(B207&gt;=$J$5,0,CONTADORES!AS211-CONTADORES!AS210)</f>
        <v>152</v>
      </c>
      <c r="AG207" s="1438">
        <f ca="1">IF(B207&gt;=$J$5,0,CONTADORES!AU211-CONTADORES!AU210)</f>
        <v>24</v>
      </c>
      <c r="AH207" s="1439">
        <f ca="1">IF(B207&gt;=$J$5,0,(CONTADORES!AK211-CONTADORES!AK210)+(CONTADORES!K211-CONTADORES!K210))</f>
        <v>13.000000000001819</v>
      </c>
      <c r="AI207" s="1438">
        <f ca="1">IF(B207&gt;=$J$5,0,(CONTADORES!AI211-CONTADORES!AI210)+(CONTADORES!M211-CONTADORES!M210))</f>
        <v>35.19999999999709</v>
      </c>
      <c r="AJ207" s="1438">
        <f ca="1">IF(B207&gt;=$J$5,0,(CONTADORES!AG211-CONTADORES!AG210))</f>
        <v>6.6999999999970896</v>
      </c>
      <c r="AK207" s="1438">
        <f ca="1">IF(B207&gt;=$J$5,0,(CONTADORES!O211-CONTADORES!O210))</f>
        <v>10</v>
      </c>
      <c r="AL207" s="1500">
        <f t="shared" ca="1" si="105"/>
        <v>33.300000000004673</v>
      </c>
      <c r="AM207" s="1438">
        <f ca="1">IF(B207&gt;=$J$5,0,(((CONTADORES!F211-CONTADORES!F210)+(CONTADORES!AO211-CONTADORES!AO210))))-BJ207-AF207-AN207-BM207-BP207-BU207-BS207</f>
        <v>7.6459999999985495</v>
      </c>
      <c r="AN207" s="1438">
        <f ca="1">IF(B207&gt;=$J$5,0,(CONTADORES!AV211-CONTADORES!AV210)+(CONTADORES!AX211-CONTADORES!AX210)+(CONTADORES!BC211-CONTADORES!BC210))-BS207</f>
        <v>3.3199999999996361</v>
      </c>
      <c r="AO207" s="1440">
        <f ca="1">IF(B207&gt;=$J$5,0,(CONTADORES!AA211-CONTADORES!AA210))</f>
        <v>70</v>
      </c>
      <c r="AP207" s="1440">
        <f ca="1">IF(B207&gt;=$J$5,0,(CONTADORES!V211-CONTADORES!V210))</f>
        <v>152</v>
      </c>
      <c r="AQ207" s="1445">
        <f ca="1">IF(B207&gt;=$J$5,0,(CONTADORES!C211-CONTADORES!C210))</f>
        <v>0</v>
      </c>
      <c r="AR207" s="1440">
        <f ca="1">IF(B207&gt;=$J$5,0,(CONTADORES!BA211-CONTADORES!BA210))</f>
        <v>0</v>
      </c>
      <c r="AS207" s="1438">
        <f ca="1">IF(B207&gt;=$J$5,0,CONTADORES!Q211-CONTADORES!Q210)</f>
        <v>14</v>
      </c>
      <c r="AT207" s="1438">
        <f ca="1">IF(B207&gt;=$J$5,0,(CONTADORES!S211-CONTADORES!S210)+(CONTADORES!AE211-CONTADORES!AE210))</f>
        <v>3.1999999999999886</v>
      </c>
      <c r="AU207" s="1474">
        <f ca="1">IF(B207&gt;=$J$5,0,(CONTADORES!I211-CONTADORES!I210))</f>
        <v>82</v>
      </c>
      <c r="AV207" s="1440">
        <f ca="1">IF(B207&gt;=$J$5,0,(CONTADORES!AT211-CONTADORES!AT210))</f>
        <v>66</v>
      </c>
      <c r="AW207" s="1440">
        <f ca="1">IF(B207&gt;=$J$5,0,(CONTADORES!L211-CONTADORES!L210)+(CONTADORES!AL211-CONTADORES!AL210))</f>
        <v>5.1000000000021828</v>
      </c>
      <c r="AX207" s="1440">
        <f ca="1">IF(B207&gt;=$J$5,0,(CONTADORES!N211-CONTADORES!N210)+(CONTADORES!AJ211-CONTADORES!AJ210))</f>
        <v>30.200000000004366</v>
      </c>
      <c r="AY207" s="1440">
        <f ca="1">IF(B207&gt;=$J$5,0,(CONTADORES!AH211-CONTADORES!AH210))</f>
        <v>5.1000000000058208</v>
      </c>
      <c r="AZ207" s="1440">
        <f ca="1">IF(B207&gt;=$J$5,0,(CONTADORES!P211-CONTADORES!P210))</f>
        <v>8</v>
      </c>
      <c r="BA207" s="1450">
        <f t="shared" ca="1" si="106"/>
        <v>7.4929999999881716</v>
      </c>
      <c r="BB207" s="1474">
        <f ca="1">IF(B207&gt;=$J$5,0,(((CONTADORES!G211-CONTADORES!G210)+(CONTADORES!AP211-CONTADORES!AP210)+AR207)-(AV207+BC207)))</f>
        <v>9.5999999999989996</v>
      </c>
      <c r="BC207" s="1438">
        <f ca="1">IF(B207&gt;=$J$5,0,(CONTADORES!AW211-CONTADORES!AW210)+(CONTADORES!AY211-CONTADORES!AY210)+(CONTADORES!BD211-CONTADORES!BD210))</f>
        <v>1.7000000000002728</v>
      </c>
      <c r="BD207" s="1438">
        <f t="shared" ca="1" si="107"/>
        <v>222</v>
      </c>
      <c r="BE207" s="1439">
        <f ca="1">IF($B207&gt;=$J$5,0,CONTADORES!$BE211)</f>
        <v>5740.46</v>
      </c>
      <c r="BF207" s="1438">
        <f ca="1">IF($B207&gt;=$J$5,0,CONTADORES!$BF211)</f>
        <v>34628.536842105299</v>
      </c>
      <c r="BG207" s="1438">
        <f ca="1">IF($B207&gt;=$J$5,0,CONTADORES!$BH211)</f>
        <v>5499.55</v>
      </c>
      <c r="BH207" s="1438">
        <f ca="1">IF(B207&gt;=$J$5,0,(CONTADORES!AQ211-CONTADORES!AQ210))</f>
        <v>4</v>
      </c>
      <c r="BI207" s="1438">
        <f ca="1">IF(C207&gt;=$J$5,0,(CONTADORES!AR211-CONTADORES!AR210))</f>
        <v>0</v>
      </c>
      <c r="BJ207" s="1450">
        <f ca="1">IF(B207&gt;=$J$5,0,CONTADORES!BI211-CONTADORES!BI210)/1000</f>
        <v>4.32</v>
      </c>
      <c r="BK207" s="1450">
        <f ca="1">IF(B207&gt;=$J$5,0,CONTADORES!BJ211-CONTADORES!BJ210)</f>
        <v>1</v>
      </c>
      <c r="BL207" s="1450">
        <f ca="1">IF(B207&gt;=$J$5,0,CONTADORES!BK211-CONTADORES!BK210)</f>
        <v>24</v>
      </c>
      <c r="BM207" s="1450">
        <f ca="1">IF(B207&gt;=$J$5,0,CONTADORES!BL211-CONTADORES!BL210)/1000</f>
        <v>0</v>
      </c>
      <c r="BN207" s="1450">
        <f ca="1">IF(B207&gt;=$J$5,0,CONTADORES!BM211-CONTADORES!BM210)/1000</f>
        <v>0</v>
      </c>
      <c r="BO207" s="1450">
        <f ca="1">IF(B207&gt;=$J$5,0,CONTADORES!BN211-CONTADORES!BN210)</f>
        <v>0</v>
      </c>
      <c r="BP207" s="1450">
        <f ca="1">IF(B207&gt;=$J$5,0,CONTADORES!BO211-CONTADORES!BO210)/1000</f>
        <v>3.6339999999999999</v>
      </c>
      <c r="BQ207" s="1450">
        <f ca="1">IF(B207&gt;=$J$5,0,CONTADORES!BP211-CONTADORES!BP210)/1000</f>
        <v>4.9000000000000002E-2</v>
      </c>
      <c r="BR207" s="1450">
        <f ca="1">IF(B207&gt;=$J$5,0,CONTADORES!BQ211-CONTADORES!BQ210)</f>
        <v>24</v>
      </c>
      <c r="BS207" s="1450">
        <f ca="1">IF(B207&gt;=$J$5,0,(CONTADORES!BT211-CONTADORES!BT210)+(CONTADORES!BV211-CONTADORES!BV210))/1000</f>
        <v>1.58</v>
      </c>
      <c r="BT207" s="1450">
        <f ca="1">IF(B207&gt;=$J$5,0,(CONTADORES!BU211-CONTADORES!BU210)+(CONTADORES!BW211-CONTADORES!BW210))/1000</f>
        <v>0.95799999999999996</v>
      </c>
      <c r="BU207" s="1450">
        <f ca="1">IF(B207&gt;=$J$5,0,CONTADORES!BR211-CONTADORES!BR210)</f>
        <v>7.3000000000010914</v>
      </c>
      <c r="BV207" s="1450">
        <f ca="1">IF(B207&gt;=$J$5,0,CONTADORES!BS211-CONTADORES!BS210)</f>
        <v>4.8000000000001819</v>
      </c>
      <c r="BW207" s="1450">
        <f t="shared" ca="1" si="108"/>
        <v>11.123000000000367</v>
      </c>
      <c r="BX207" s="1450">
        <f t="shared" ca="1" si="109"/>
        <v>9.5999999999996817</v>
      </c>
      <c r="BY207" s="1450">
        <f t="shared" ca="1" si="110"/>
        <v>3.8229999999992748</v>
      </c>
      <c r="BZ207" s="1450">
        <f t="shared" ca="1" si="111"/>
        <v>1.3279999999998546</v>
      </c>
      <c r="CA207" s="1450">
        <f t="shared" ca="1" si="112"/>
        <v>3.8229999999992748</v>
      </c>
      <c r="CB207" s="1450">
        <f t="shared" ca="1" si="113"/>
        <v>1.9919999999997815</v>
      </c>
      <c r="CC207" s="1450">
        <f t="shared" ca="1" si="114"/>
        <v>2.9079999999998547</v>
      </c>
      <c r="CD207" s="1450">
        <f t="shared" ca="1" si="115"/>
        <v>4.7999999999994998</v>
      </c>
      <c r="CE207" s="1450">
        <f ca="1">IF(B207&gt;=$J$5,0,CONTADORES!BS211-CONTADORES!BS210)</f>
        <v>4.8000000000001819</v>
      </c>
      <c r="CF207" s="1450">
        <f t="shared" ca="1" si="116"/>
        <v>4.7999999999994998</v>
      </c>
      <c r="CG207" s="1450">
        <f t="shared" ca="1" si="117"/>
        <v>0.85000000000013642</v>
      </c>
      <c r="CH207" s="1450">
        <f t="shared" ca="1" si="118"/>
        <v>0.85000000000013642</v>
      </c>
      <c r="CI207" s="1450">
        <f t="shared" ca="1" si="119"/>
        <v>1.8080000000001364</v>
      </c>
      <c r="CJ207" s="1450">
        <f ca="1">IF($B207&gt;=$J$5,0,CONTADORES!$BG211)</f>
        <v>9397.3921788972493</v>
      </c>
      <c r="CK207" s="1406">
        <f>CONTADORES!E211</f>
        <v>0</v>
      </c>
      <c r="CL207" s="1406">
        <f>CONTADORES!BX211</f>
        <v>0</v>
      </c>
    </row>
    <row r="208" spans="2:90">
      <c r="B208" s="410">
        <v>45124</v>
      </c>
      <c r="C208" s="204">
        <f t="shared" ca="1" si="95"/>
        <v>148</v>
      </c>
      <c r="D208" s="202">
        <f ca="1">'CALCULO DE GAS'!P20</f>
        <v>3.8645756449809716</v>
      </c>
      <c r="E208" s="202">
        <f ca="1">IF(B208&gt;=$J$5,0,(CONTADORES!$AB212-CONTADORES!$AB211)-$H208)</f>
        <v>24</v>
      </c>
      <c r="F208" s="204">
        <f t="shared" ca="1" si="94"/>
        <v>0</v>
      </c>
      <c r="G208" s="202">
        <f ca="1">IF(B208&gt;=$J$5,0,CONTADORES!$AD212-CONTADORES!$AD211)</f>
        <v>0</v>
      </c>
      <c r="H208" s="202">
        <f ca="1">IF(G208&gt;0,CONTADORES!$AC212-CONTADORES!$AC211,0)</f>
        <v>0</v>
      </c>
      <c r="I208" s="205">
        <f ca="1">IF(B208&gt;=$J$5,0,CONTADORES!$Z212-CONTADORES!$Z211)</f>
        <v>148</v>
      </c>
      <c r="J208" s="204">
        <f t="shared" ca="1" si="96"/>
        <v>292</v>
      </c>
      <c r="K208" s="202">
        <f ca="1">'CALCULO DE GAS'!Q20</f>
        <v>5.0966593747621332</v>
      </c>
      <c r="L208" s="1437">
        <f ca="1">IF(B208&gt;=$J$5,0,(CONTADORES!$W212-CONTADORES!$W211)-$O208)</f>
        <v>24</v>
      </c>
      <c r="M208" s="1437">
        <f t="shared" ca="1" si="120"/>
        <v>0</v>
      </c>
      <c r="N208" s="1437">
        <f ca="1">IF(B208&gt;=$J$5,0,CONTADORES!$Y212-CONTADORES!$Y211)</f>
        <v>0</v>
      </c>
      <c r="O208" s="1437">
        <f ca="1">IF(N208&gt;0,CONTADORES!$X212-CONTADORES!$X211,0)</f>
        <v>0</v>
      </c>
      <c r="P208" s="208">
        <f ca="1">IF(B208&gt;=$J$5,0,CONTADORES!$U212-CONTADORES!$U211)</f>
        <v>292</v>
      </c>
      <c r="Q208" s="208">
        <f ca="1">IF(B208&gt;=$J$5,0,CONTADORES!$B212-CONTADORES!$B211)</f>
        <v>0</v>
      </c>
      <c r="R208" s="202">
        <f t="shared" ca="1" si="97"/>
        <v>0</v>
      </c>
      <c r="S208" s="11">
        <f ca="1">IF(B208&gt;=$J$5,0,CONTADORES!$D212-CONTADORES!$D211)</f>
        <v>0</v>
      </c>
      <c r="T208" s="204">
        <f ca="1">IF(B208&gt;=$J$5,0,CONTADORES!$AZ212-CONTADORES!$AZ211)</f>
        <v>0</v>
      </c>
      <c r="U208" s="202">
        <f t="shared" ca="1" si="91"/>
        <v>0</v>
      </c>
      <c r="V208" s="205">
        <f ca="1">IF(B208&gt;=$J$5,0,CONTADORES!$BB212-CONTADORES!$BB211)</f>
        <v>0</v>
      </c>
      <c r="W208" s="1438">
        <f t="shared" ca="1" si="98"/>
        <v>440</v>
      </c>
      <c r="X208" s="1438">
        <f t="shared" ca="1" si="99"/>
        <v>0</v>
      </c>
      <c r="Y208" s="1439">
        <f t="shared" ca="1" si="100"/>
        <v>440</v>
      </c>
      <c r="Z208" s="1439">
        <f t="shared" ca="1" si="101"/>
        <v>8.9612350197431052</v>
      </c>
      <c r="AA208" s="1439">
        <f t="shared" ca="1" si="102"/>
        <v>0</v>
      </c>
      <c r="AB208" s="1439">
        <f t="shared" ca="1" si="103"/>
        <v>48</v>
      </c>
      <c r="AC208" s="1438">
        <f t="shared" ca="1" si="104"/>
        <v>0</v>
      </c>
      <c r="AD208" s="1438">
        <f ca="1">IF(B208&gt;=$J$5,0,CONTADORES!H212-CONTADORES!H211)</f>
        <v>166</v>
      </c>
      <c r="AE208" s="1438">
        <f ca="1">IF(B208&gt;=$J$5,0,CONTADORES!J212-CONTADORES!J211)</f>
        <v>24</v>
      </c>
      <c r="AF208" s="1438">
        <f ca="1">IF(B208&gt;=$J$5,0,CONTADORES!AS212-CONTADORES!AS211)</f>
        <v>150</v>
      </c>
      <c r="AG208" s="1438">
        <f ca="1">IF(B208&gt;=$J$5,0,CONTADORES!AU212-CONTADORES!AU211)</f>
        <v>24</v>
      </c>
      <c r="AH208" s="1439">
        <f ca="1">IF(B208&gt;=$J$5,0,(CONTADORES!AK212-CONTADORES!AK211)+(CONTADORES!K212-CONTADORES!K211))</f>
        <v>12.80000000000291</v>
      </c>
      <c r="AI208" s="1438">
        <f ca="1">IF(B208&gt;=$J$5,0,(CONTADORES!AI212-CONTADORES!AI211)+(CONTADORES!M212-CONTADORES!M211))</f>
        <v>35.400000000008731</v>
      </c>
      <c r="AJ208" s="1438">
        <f ca="1">IF(B208&gt;=$J$5,0,(CONTADORES!AG212-CONTADORES!AG211))</f>
        <v>4.3000000000029104</v>
      </c>
      <c r="AK208" s="1438">
        <f ca="1">IF(B208&gt;=$J$5,0,(CONTADORES!O212-CONTADORES!O211))</f>
        <v>10</v>
      </c>
      <c r="AL208" s="1500">
        <f t="shared" ca="1" si="105"/>
        <v>31.599999999983936</v>
      </c>
      <c r="AM208" s="1438">
        <f ca="1">IF(B208&gt;=$J$5,0,(((CONTADORES!F212-CONTADORES!F211)+(CONTADORES!AO212-CONTADORES!AO211))))-BJ208-AF208-AN208-BM208-BP208-BU208-BS208</f>
        <v>10.129800000002653</v>
      </c>
      <c r="AN208" s="1438">
        <f ca="1">IF(B208&gt;=$J$5,0,(CONTADORES!AV212-CONTADORES!AV211)+(CONTADORES!AX212-CONTADORES!AX211)+(CONTADORES!BC212-CONTADORES!BC211))-BS208</f>
        <v>3.2800000000001819</v>
      </c>
      <c r="AO208" s="1440">
        <f ca="1">IF(B208&gt;=$J$5,0,(CONTADORES!AA212-CONTADORES!AA211))</f>
        <v>75</v>
      </c>
      <c r="AP208" s="1440">
        <f ca="1">IF(B208&gt;=$J$5,0,(CONTADORES!V212-CONTADORES!V211))</f>
        <v>146</v>
      </c>
      <c r="AQ208" s="1445">
        <f ca="1">IF(B208&gt;=$J$5,0,(CONTADORES!C212-CONTADORES!C211))</f>
        <v>0</v>
      </c>
      <c r="AR208" s="1440">
        <f ca="1">IF(B208&gt;=$J$5,0,(CONTADORES!BA212-CONTADORES!BA211))</f>
        <v>0</v>
      </c>
      <c r="AS208" s="1438">
        <f ca="1">IF(B208&gt;=$J$5,0,CONTADORES!Q212-CONTADORES!Q211)</f>
        <v>15</v>
      </c>
      <c r="AT208" s="1438">
        <f ca="1">IF(B208&gt;=$J$5,0,(CONTADORES!S212-CONTADORES!S211)+(CONTADORES!AE212-CONTADORES!AE211))</f>
        <v>3.3000000000000114</v>
      </c>
      <c r="AU208" s="1474">
        <f ca="1">IF(B208&gt;=$J$5,0,(CONTADORES!I212-CONTADORES!I211))</f>
        <v>83</v>
      </c>
      <c r="AV208" s="1440">
        <f ca="1">IF(B208&gt;=$J$5,0,(CONTADORES!AT212-CONTADORES!AT211))</f>
        <v>65</v>
      </c>
      <c r="AW208" s="1440">
        <f ca="1">IF(B208&gt;=$J$5,0,(CONTADORES!L212-CONTADORES!L211)+(CONTADORES!AL212-CONTADORES!AL211))</f>
        <v>5.0999999999985448</v>
      </c>
      <c r="AX208" s="1440">
        <f ca="1">IF(B208&gt;=$J$5,0,(CONTADORES!N212-CONTADORES!N211)+(CONTADORES!AJ212-CONTADORES!AJ211))</f>
        <v>30.19999999999709</v>
      </c>
      <c r="AY208" s="1440">
        <f ca="1">IF(B208&gt;=$J$5,0,(CONTADORES!AH212-CONTADORES!AH211))</f>
        <v>3.0999999999985448</v>
      </c>
      <c r="AZ208" s="1440">
        <f ca="1">IF(B208&gt;=$J$5,0,(CONTADORES!P212-CONTADORES!P211))</f>
        <v>7</v>
      </c>
      <c r="BA208" s="1450">
        <f t="shared" ca="1" si="106"/>
        <v>6.9380000000059852</v>
      </c>
      <c r="BB208" s="1474">
        <f ca="1">IF(B208&gt;=$J$5,0,(((CONTADORES!G212-CONTADORES!G211)+(CONTADORES!AP212-CONTADORES!AP211)+AR208)-(AV208+BC208)))</f>
        <v>12.400000000000091</v>
      </c>
      <c r="BC208" s="1438">
        <f ca="1">IF(B208&gt;=$J$5,0,(CONTADORES!AW212-CONTADORES!AW211)+(CONTADORES!AY212-CONTADORES!AY211)+(CONTADORES!BD212-CONTADORES!BD211))</f>
        <v>1.5999999999999091</v>
      </c>
      <c r="BD208" s="1438">
        <f t="shared" ca="1" si="107"/>
        <v>221</v>
      </c>
      <c r="BE208" s="1439">
        <f ca="1">IF($B208&gt;=$J$5,0,CONTADORES!$BE212)</f>
        <v>5487.06</v>
      </c>
      <c r="BF208" s="1438">
        <f ca="1">IF($B208&gt;=$J$5,0,CONTADORES!$BF212)</f>
        <v>34591.722807017497</v>
      </c>
      <c r="BG208" s="1438">
        <f ca="1">IF($B208&gt;=$J$5,0,CONTADORES!$BH212)</f>
        <v>5872.41</v>
      </c>
      <c r="BH208" s="1438">
        <f ca="1">IF(B208&gt;=$J$5,0,(CONTADORES!AQ212-CONTADORES!AQ211))</f>
        <v>5</v>
      </c>
      <c r="BI208" s="1438">
        <f ca="1">IF(C208&gt;=$J$5,0,(CONTADORES!AR212-CONTADORES!AR211))</f>
        <v>0</v>
      </c>
      <c r="BJ208" s="1450">
        <f ca="1">IF(B208&gt;=$J$5,0,CONTADORES!BI212-CONTADORES!BI211)/1000</f>
        <v>4.2181999999997206</v>
      </c>
      <c r="BK208" s="1450">
        <f ca="1">IF(B208&gt;=$J$5,0,CONTADORES!BJ212-CONTADORES!BJ211)</f>
        <v>1</v>
      </c>
      <c r="BL208" s="1450">
        <f ca="1">IF(B208&gt;=$J$5,0,CONTADORES!BK212-CONTADORES!BK211)</f>
        <v>24</v>
      </c>
      <c r="BM208" s="1450">
        <f ca="1">IF(B208&gt;=$J$5,0,CONTADORES!BL212-CONTADORES!BL211)/1000</f>
        <v>0</v>
      </c>
      <c r="BN208" s="1450">
        <f ca="1">IF(B208&gt;=$J$5,0,CONTADORES!BM212-CONTADORES!BM211)/1000</f>
        <v>0</v>
      </c>
      <c r="BO208" s="1450">
        <f ca="1">IF(B208&gt;=$J$5,0,CONTADORES!BN212-CONTADORES!BN211)</f>
        <v>0</v>
      </c>
      <c r="BP208" s="1450">
        <f ca="1">IF(B208&gt;=$J$5,0,CONTADORES!BO212-CONTADORES!BO211)/1000</f>
        <v>3.552</v>
      </c>
      <c r="BQ208" s="1450">
        <f ca="1">IF(B208&gt;=$J$5,0,CONTADORES!BP212-CONTADORES!BP211)/1000</f>
        <v>3.2000000000000001E-2</v>
      </c>
      <c r="BR208" s="1450">
        <f ca="1">IF(B208&gt;=$J$5,0,CONTADORES!BQ212-CONTADORES!BQ211)</f>
        <v>24</v>
      </c>
      <c r="BS208" s="1450">
        <f ca="1">IF(B208&gt;=$J$5,0,(CONTADORES!BT212-CONTADORES!BT211)+(CONTADORES!BV212-CONTADORES!BV211))/1000</f>
        <v>1.52</v>
      </c>
      <c r="BT208" s="1450">
        <f ca="1">IF(B208&gt;=$J$5,0,(CONTADORES!BU212-CONTADORES!BU211)+(CONTADORES!BW212-CONTADORES!BW211))/1000</f>
        <v>0.93</v>
      </c>
      <c r="BU208" s="1450">
        <f ca="1">IF(B208&gt;=$J$5,0,CONTADORES!BR212-CONTADORES!BR211)</f>
        <v>7.1999999999989086</v>
      </c>
      <c r="BV208" s="1450">
        <f ca="1">IF(B208&gt;=$J$5,0,CONTADORES!BS212-CONTADORES!BS211)</f>
        <v>4.6999999999998181</v>
      </c>
      <c r="BW208" s="1450">
        <f t="shared" ca="1" si="108"/>
        <v>12.264900000000235</v>
      </c>
      <c r="BX208" s="1450">
        <f t="shared" ca="1" si="109"/>
        <v>10.899999999999864</v>
      </c>
      <c r="BY208" s="1450">
        <f t="shared" ca="1" si="110"/>
        <v>5.0649000000013267</v>
      </c>
      <c r="BZ208" s="1450">
        <f t="shared" ca="1" si="111"/>
        <v>1.3120000000000729</v>
      </c>
      <c r="CA208" s="1450">
        <f t="shared" ca="1" si="112"/>
        <v>5.0649000000013267</v>
      </c>
      <c r="CB208" s="1450">
        <f t="shared" ca="1" si="113"/>
        <v>1.968000000000109</v>
      </c>
      <c r="CC208" s="1450">
        <f t="shared" ca="1" si="114"/>
        <v>2.8320000000000727</v>
      </c>
      <c r="CD208" s="1450">
        <f t="shared" ca="1" si="115"/>
        <v>6.2000000000000455</v>
      </c>
      <c r="CE208" s="1450">
        <f ca="1">IF(B208&gt;=$J$5,0,CONTADORES!BS212-CONTADORES!BS211)</f>
        <v>4.6999999999998181</v>
      </c>
      <c r="CF208" s="1450">
        <f t="shared" ca="1" si="116"/>
        <v>6.2000000000000455</v>
      </c>
      <c r="CG208" s="1450">
        <f t="shared" ca="1" si="117"/>
        <v>0.79999999999995453</v>
      </c>
      <c r="CH208" s="1450">
        <f t="shared" ca="1" si="118"/>
        <v>0.79999999999995453</v>
      </c>
      <c r="CI208" s="1450">
        <f t="shared" ca="1" si="119"/>
        <v>1.7299999999999547</v>
      </c>
      <c r="CJ208" s="1450">
        <f ca="1">IF($B208&gt;=$J$5,0,CONTADORES!$BG212)</f>
        <v>9333.2970420216807</v>
      </c>
      <c r="CK208" s="1406">
        <f>CONTADORES!E212</f>
        <v>0</v>
      </c>
      <c r="CL208" s="1406">
        <f>CONTADORES!BX212</f>
        <v>0</v>
      </c>
    </row>
    <row r="209" spans="2:90" s="1451" customFormat="1">
      <c r="B209" s="410">
        <v>45125</v>
      </c>
      <c r="C209" s="1452">
        <f t="shared" ca="1" si="95"/>
        <v>139</v>
      </c>
      <c r="D209" s="1453">
        <f ca="1">'CALCULO DE GAS'!P21</f>
        <v>3.7875704118696492</v>
      </c>
      <c r="E209" s="202">
        <f ca="1">IF(B209&gt;=$J$5,0,(CONTADORES!$AB213-CONTADORES!$AB212)-$H209)</f>
        <v>24</v>
      </c>
      <c r="F209" s="1452">
        <f t="shared" ca="1" si="94"/>
        <v>0</v>
      </c>
      <c r="G209" s="202">
        <f ca="1">IF(B209&gt;=$J$5,0,CONTADORES!$AD213-CONTADORES!$AD212)</f>
        <v>0</v>
      </c>
      <c r="H209" s="202">
        <f ca="1">IF(G209&gt;0,CONTADORES!$AC213-CONTADORES!$AC212,0)</f>
        <v>0</v>
      </c>
      <c r="I209" s="205">
        <f ca="1">IF(B209&gt;=$J$5,0,CONTADORES!$Z213-CONTADORES!$Z212)</f>
        <v>139</v>
      </c>
      <c r="J209" s="1452">
        <f t="shared" ca="1" si="96"/>
        <v>273</v>
      </c>
      <c r="K209" s="1453">
        <f ca="1">'CALCULO DE GAS'!Q21</f>
        <v>4.9340927715271192</v>
      </c>
      <c r="L209" s="1437">
        <f ca="1">IF(B209&gt;=$J$5,0,(CONTADORES!$W213-CONTADORES!$W212)-$O209)</f>
        <v>24</v>
      </c>
      <c r="M209" s="1454">
        <f t="shared" ca="1" si="120"/>
        <v>0</v>
      </c>
      <c r="N209" s="1437">
        <f ca="1">IF(B209&gt;=$J$5,0,CONTADORES!$Y213-CONTADORES!$Y212)</f>
        <v>0</v>
      </c>
      <c r="O209" s="1437">
        <f ca="1">IF(N209&gt;0,CONTADORES!$X213-CONTADORES!$X212,0)</f>
        <v>0</v>
      </c>
      <c r="P209" s="208">
        <f ca="1">IF(B209&gt;=$J$5,0,CONTADORES!$U213-CONTADORES!$U212)</f>
        <v>273</v>
      </c>
      <c r="Q209" s="1456">
        <f ca="1">IF(B209&gt;=$J$5,0,CONTADORES!$B213-CONTADORES!$B212)</f>
        <v>0</v>
      </c>
      <c r="R209" s="1453">
        <f t="shared" ca="1" si="97"/>
        <v>0</v>
      </c>
      <c r="S209" s="11">
        <f ca="1">IF(B209&gt;=$J$5,0,CONTADORES!$D213-CONTADORES!$D212)</f>
        <v>0</v>
      </c>
      <c r="T209" s="204">
        <f ca="1">IF(B209&gt;=$J$5,0,CONTADORES!$AZ213-CONTADORES!$AZ212)</f>
        <v>0.40899999999999181</v>
      </c>
      <c r="U209" s="1453">
        <f t="shared" ca="1" si="91"/>
        <v>49.079999999999018</v>
      </c>
      <c r="V209" s="205">
        <f ca="1">IF(B209&gt;=$J$5,0,CONTADORES!$BB213-CONTADORES!$BB212)</f>
        <v>0.69000000000005457</v>
      </c>
      <c r="W209" s="1443">
        <f t="shared" ca="1" si="98"/>
        <v>412</v>
      </c>
      <c r="X209" s="1443">
        <f t="shared" ca="1" si="99"/>
        <v>0.40899999999999181</v>
      </c>
      <c r="Y209" s="1448">
        <f t="shared" ca="1" si="100"/>
        <v>412.40899999999999</v>
      </c>
      <c r="Z209" s="1448">
        <f t="shared" ca="1" si="101"/>
        <v>8.7216631833967675</v>
      </c>
      <c r="AA209" s="1448">
        <f t="shared" ca="1" si="102"/>
        <v>49.079999999999018</v>
      </c>
      <c r="AB209" s="1448">
        <f t="shared" ca="1" si="103"/>
        <v>48</v>
      </c>
      <c r="AC209" s="1443">
        <f t="shared" ca="1" si="104"/>
        <v>0.69000000000005457</v>
      </c>
      <c r="AD209" s="1438">
        <f ca="1">IF(B209&gt;=$J$5,0,CONTADORES!H213-CONTADORES!H212)</f>
        <v>166</v>
      </c>
      <c r="AE209" s="1438">
        <f ca="1">IF(B209&gt;=$J$5,0,CONTADORES!J213-CONTADORES!J212)</f>
        <v>24</v>
      </c>
      <c r="AF209" s="1438">
        <f ca="1">IF(B209&gt;=$J$5,0,CONTADORES!AS213-CONTADORES!AS212)</f>
        <v>124</v>
      </c>
      <c r="AG209" s="1438">
        <f ca="1">IF(B209&gt;=$J$5,0,CONTADORES!AU213-CONTADORES!AU212)</f>
        <v>19.600000000005821</v>
      </c>
      <c r="AH209" s="1439">
        <f ca="1">IF(B209&gt;=$J$5,0,(CONTADORES!AK213-CONTADORES!AK212)+(CONTADORES!K213-CONTADORES!K212))</f>
        <v>12.099999999998545</v>
      </c>
      <c r="AI209" s="1438">
        <f ca="1">IF(B209&gt;=$J$5,0,(CONTADORES!AI213-CONTADORES!AI212)+(CONTADORES!M213-CONTADORES!M212))</f>
        <v>38.099999999991269</v>
      </c>
      <c r="AJ209" s="1438">
        <f ca="1">IF(B209&gt;=$J$5,0,(CONTADORES!AG213-CONTADORES!AG212))</f>
        <v>4.3000000000029104</v>
      </c>
      <c r="AK209" s="1438">
        <f ca="1">IF(B209&gt;=$J$5,0,(CONTADORES!O213-CONTADORES!O212))</f>
        <v>10</v>
      </c>
      <c r="AL209" s="1501">
        <f t="shared" ca="1" si="105"/>
        <v>35.909000000007268</v>
      </c>
      <c r="AM209" s="1438">
        <f ca="1">IF(B209&gt;=$J$5,0,(((CONTADORES!F213-CONTADORES!F212)+(CONTADORES!AO213-CONTADORES!AO212))))-BJ209-AF209-AN209-BM209-BP209-BU209-BS209</f>
        <v>5.2019999999995505</v>
      </c>
      <c r="AN209" s="1438">
        <f ca="1">IF(B209&gt;=$J$5,0,(CONTADORES!AV213-CONTADORES!AV212)+(CONTADORES!AX213-CONTADORES!AX212)+(CONTADORES!BC213-CONTADORES!BC212))-BS209</f>
        <v>3.2119999999993634</v>
      </c>
      <c r="AO209" s="1440">
        <f ca="1">IF(B209&gt;=$J$5,0,(CONTADORES!AA213-CONTADORES!AA212))</f>
        <v>71</v>
      </c>
      <c r="AP209" s="1440">
        <f ca="1">IF(B209&gt;=$J$5,0,(CONTADORES!V213-CONTADORES!V212))</f>
        <v>140</v>
      </c>
      <c r="AQ209" s="1459">
        <f ca="1">IF(B209&gt;=$J$5,0,(CONTADORES!C213-CONTADORES!C212))</f>
        <v>0</v>
      </c>
      <c r="AR209" s="1440">
        <f ca="1">IF(B209&gt;=$J$5,0,(CONTADORES!BA213-CONTADORES!BA212))</f>
        <v>0.15799999999995862</v>
      </c>
      <c r="AS209" s="1438">
        <f ca="1">IF(B209&gt;=$J$5,0,CONTADORES!Q213-CONTADORES!Q212)</f>
        <v>14</v>
      </c>
      <c r="AT209" s="1438">
        <f ca="1">IF(B209&gt;=$J$5,0,(CONTADORES!S213-CONTADORES!S212)+(CONTADORES!AE213-CONTADORES!AE212))</f>
        <v>3.1999999999999886</v>
      </c>
      <c r="AU209" s="1474">
        <f ca="1">IF(B209&gt;=$J$5,0,(CONTADORES!I213-CONTADORES!I212))</f>
        <v>82</v>
      </c>
      <c r="AV209" s="1440">
        <f ca="1">IF(B209&gt;=$J$5,0,(CONTADORES!AT213-CONTADORES!AT212))</f>
        <v>53</v>
      </c>
      <c r="AW209" s="1440">
        <f ca="1">IF(B209&gt;=$J$5,0,(CONTADORES!L213-CONTADORES!L212)+(CONTADORES!AL213-CONTADORES!AL212))</f>
        <v>4.7000000000007276</v>
      </c>
      <c r="AX209" s="1440">
        <f ca="1">IF(B209&gt;=$J$5,0,(CONTADORES!N213-CONTADORES!N212)+(CONTADORES!AJ213-CONTADORES!AJ212))</f>
        <v>32.5</v>
      </c>
      <c r="AY209" s="1440">
        <f ca="1">IF(B209&gt;=$J$5,0,(CONTADORES!AH213-CONTADORES!AH212))</f>
        <v>3.0999999999985448</v>
      </c>
      <c r="AZ209" s="1440">
        <f ca="1">IF(B209&gt;=$J$5,0,(CONTADORES!P213-CONTADORES!P212))</f>
        <v>8</v>
      </c>
      <c r="BA209" s="1482">
        <f t="shared" ca="1" si="106"/>
        <v>7.0100000000003604</v>
      </c>
      <c r="BB209" s="1474">
        <f ca="1">IF(B209&gt;=$J$5,0,(((CONTADORES!G213-CONTADORES!G212)+(CONTADORES!AP213-CONTADORES!AP212)+AR209)-(AV209+BC209)))</f>
        <v>12.538000000000295</v>
      </c>
      <c r="BC209" s="1438">
        <f ca="1">IF(B209&gt;=$J$5,0,(CONTADORES!AW213-CONTADORES!AW212)+(CONTADORES!AY213-CONTADORES!AY212)+(CONTADORES!BD213-CONTADORES!BD212))</f>
        <v>1.7200000000000273</v>
      </c>
      <c r="BD209" s="1443">
        <f t="shared" ca="1" si="107"/>
        <v>211.15799999999996</v>
      </c>
      <c r="BE209" s="1439">
        <f ca="1">IF($B209&gt;=$J$5,0,CONTADORES!$BE213)</f>
        <v>5275.24</v>
      </c>
      <c r="BF209" s="1438">
        <f ca="1">IF($B209&gt;=$J$5,0,CONTADORES!$BF213)</f>
        <v>27679.159649122801</v>
      </c>
      <c r="BG209" s="1438">
        <f ca="1">IF($B209&gt;=$J$5,0,CONTADORES!$BH213)</f>
        <v>6228.56</v>
      </c>
      <c r="BH209" s="1438">
        <f ca="1">IF(B209&gt;=$J$5,0,(CONTADORES!AQ213-CONTADORES!AQ212))</f>
        <v>5</v>
      </c>
      <c r="BI209" s="1438">
        <f ca="1">IF(C209&gt;=$J$5,0,(CONTADORES!AR213-CONTADORES!AR212))</f>
        <v>0</v>
      </c>
      <c r="BJ209" s="1450">
        <f ca="1">IF(B209&gt;=$J$5,0,CONTADORES!BI213-CONTADORES!BI212)/1000</f>
        <v>2.6</v>
      </c>
      <c r="BK209" s="1450">
        <f ca="1">IF(B209&gt;=$J$5,0,CONTADORES!BJ213-CONTADORES!BJ212)</f>
        <v>1</v>
      </c>
      <c r="BL209" s="1450">
        <f ca="1">IF(B209&gt;=$J$5,0,CONTADORES!BK213-CONTADORES!BK212)</f>
        <v>17.799999999999272</v>
      </c>
      <c r="BM209" s="1450">
        <f ca="1">IF(B209&gt;=$J$5,0,CONTADORES!BL213-CONTADORES!BL212)/1000</f>
        <v>0</v>
      </c>
      <c r="BN209" s="1450">
        <f ca="1">IF(B209&gt;=$J$5,0,CONTADORES!BM213-CONTADORES!BM212)/1000</f>
        <v>0</v>
      </c>
      <c r="BO209" s="1450">
        <f ca="1">IF(B209&gt;=$J$5,0,CONTADORES!BN213-CONTADORES!BN212)</f>
        <v>0</v>
      </c>
      <c r="BP209" s="1450">
        <f ca="1">IF(B209&gt;=$J$5,0,CONTADORES!BO213-CONTADORES!BO212)/1000</f>
        <v>2.448</v>
      </c>
      <c r="BQ209" s="1450">
        <f ca="1">IF(B209&gt;=$J$5,0,CONTADORES!BP213-CONTADORES!BP212)/1000</f>
        <v>4.1000000000000002E-2</v>
      </c>
      <c r="BR209" s="1450">
        <f ca="1">IF(B209&gt;=$J$5,0,CONTADORES!BQ213-CONTADORES!BQ212)</f>
        <v>17.400000000001455</v>
      </c>
      <c r="BS209" s="1450">
        <f ca="1">IF(B209&gt;=$J$5,0,(CONTADORES!BT213-CONTADORES!BT212)+(CONTADORES!BV213-CONTADORES!BV212))/1000</f>
        <v>1.738</v>
      </c>
      <c r="BT209" s="1450">
        <f ca="1">IF(B209&gt;=$J$5,0,(CONTADORES!BU213-CONTADORES!BU212)+(CONTADORES!BW213-CONTADORES!BW212))/1000</f>
        <v>1.0489999999999999</v>
      </c>
      <c r="BU209" s="1450">
        <f ca="1">IF(B209&gt;=$J$5,0,CONTADORES!BR213-CONTADORES!BR212)</f>
        <v>6.8000000000010914</v>
      </c>
      <c r="BV209" s="1450">
        <f ca="1">IF(B209&gt;=$J$5,0,CONTADORES!BS213-CONTADORES!BS212)</f>
        <v>4.5</v>
      </c>
      <c r="BW209" s="1482">
        <f t="shared" ca="1" si="108"/>
        <v>9.4010000000008667</v>
      </c>
      <c r="BX209" s="1482">
        <f t="shared" ca="1" si="109"/>
        <v>10.769000000000148</v>
      </c>
      <c r="BY209" s="1482">
        <f t="shared" ca="1" si="110"/>
        <v>2.6009999999997753</v>
      </c>
      <c r="BZ209" s="1482">
        <f t="shared" ca="1" si="111"/>
        <v>1.2847999999997455</v>
      </c>
      <c r="CA209" s="1482">
        <f t="shared" ca="1" si="112"/>
        <v>2.6009999999997753</v>
      </c>
      <c r="CB209" s="1482">
        <f t="shared" ca="1" si="113"/>
        <v>1.9271999999996179</v>
      </c>
      <c r="CC209" s="1482">
        <f t="shared" ca="1" si="114"/>
        <v>3.0227999999997452</v>
      </c>
      <c r="CD209" s="1482">
        <f t="shared" ca="1" si="115"/>
        <v>6.2690000000001476</v>
      </c>
      <c r="CE209" s="1450">
        <f ca="1">IF(B209&gt;=$J$5,0,CONTADORES!BS213-CONTADORES!BS212)</f>
        <v>4.5</v>
      </c>
      <c r="CF209" s="1482">
        <f t="shared" ca="1" si="116"/>
        <v>6.2690000000001476</v>
      </c>
      <c r="CG209" s="1482">
        <f t="shared" ca="1" si="117"/>
        <v>0.86000000000001364</v>
      </c>
      <c r="CH209" s="1482">
        <f t="shared" ca="1" si="118"/>
        <v>0.86000000000001364</v>
      </c>
      <c r="CI209" s="1482">
        <f t="shared" ca="1" si="119"/>
        <v>1.9090000000000136</v>
      </c>
      <c r="CJ209" s="1450">
        <f ca="1">IF($B209&gt;=$J$5,0,CONTADORES!$BG213)</f>
        <v>7363.7256882923302</v>
      </c>
      <c r="CK209" s="1406">
        <f>CONTADORES!E213</f>
        <v>0</v>
      </c>
      <c r="CL209" s="1406">
        <f>CONTADORES!BX213</f>
        <v>1</v>
      </c>
    </row>
    <row r="210" spans="2:90">
      <c r="B210" s="410">
        <v>45126</v>
      </c>
      <c r="C210" s="204">
        <f t="shared" ca="1" si="95"/>
        <v>150</v>
      </c>
      <c r="D210" s="202">
        <f ca="1">'CALCULO DE GAS'!P22</f>
        <v>3.8816879190057101</v>
      </c>
      <c r="E210" s="202">
        <f ca="1">IF(B210&gt;=$J$5,0,(CONTADORES!$AB214-CONTADORES!$AB213)-$H210)</f>
        <v>24</v>
      </c>
      <c r="F210" s="204">
        <f t="shared" ca="1" si="94"/>
        <v>0</v>
      </c>
      <c r="G210" s="202">
        <f ca="1">IF(B210&gt;=$J$5,0,CONTADORES!$AD214-CONTADORES!$AD213)</f>
        <v>0</v>
      </c>
      <c r="H210" s="202">
        <f ca="1">IF(G210&gt;0,CONTADORES!$AC214-CONTADORES!$AC213,0)</f>
        <v>0</v>
      </c>
      <c r="I210" s="205">
        <f ca="1">IF(B210&gt;=$J$5,0,CONTADORES!$Z214-CONTADORES!$Z213)</f>
        <v>150</v>
      </c>
      <c r="J210" s="204">
        <f t="shared" ca="1" si="96"/>
        <v>284</v>
      </c>
      <c r="K210" s="202">
        <f ca="1">'CALCULO DE GAS'!Q22</f>
        <v>5.028210278663181</v>
      </c>
      <c r="L210" s="1437">
        <f ca="1">IF(B210&gt;=$J$5,0,(CONTADORES!$W214-CONTADORES!$W213)-$O210)</f>
        <v>24</v>
      </c>
      <c r="M210" s="1437">
        <f t="shared" ca="1" si="120"/>
        <v>0</v>
      </c>
      <c r="N210" s="1437">
        <f ca="1">IF(B210&gt;=$J$5,0,CONTADORES!$Y214-CONTADORES!$Y213)</f>
        <v>0</v>
      </c>
      <c r="O210" s="1437">
        <f ca="1">IF(N210&gt;0,CONTADORES!$X214-CONTADORES!$X213,0)</f>
        <v>0</v>
      </c>
      <c r="P210" s="208">
        <f ca="1">IF(B210&gt;=$J$5,0,CONTADORES!$U214-CONTADORES!$U213)</f>
        <v>284</v>
      </c>
      <c r="Q210" s="208">
        <f ca="1">IF(B210&gt;=$J$5,0,CONTADORES!$B214-CONTADORES!$B213)</f>
        <v>0.23900000000003274</v>
      </c>
      <c r="R210" s="202">
        <f t="shared" ca="1" si="97"/>
        <v>28.680000000003929</v>
      </c>
      <c r="S210" s="11">
        <f ca="1">IF(B210&gt;=$J$5,0,CONTADORES!$D214-CONTADORES!$D213)</f>
        <v>0.5999999999994543</v>
      </c>
      <c r="T210" s="204">
        <f ca="1">IF(B210&gt;=$J$5,0,CONTADORES!$AZ214-CONTADORES!$AZ213)</f>
        <v>0</v>
      </c>
      <c r="U210" s="202">
        <f t="shared" ca="1" si="91"/>
        <v>0</v>
      </c>
      <c r="V210" s="205">
        <f ca="1">IF(B210&gt;=$J$5,0,CONTADORES!$BB214-CONTADORES!$BB213)</f>
        <v>0</v>
      </c>
      <c r="W210" s="1438">
        <f t="shared" ca="1" si="98"/>
        <v>434</v>
      </c>
      <c r="X210" s="1438">
        <f t="shared" ca="1" si="99"/>
        <v>0.23900000000003274</v>
      </c>
      <c r="Y210" s="1439">
        <f t="shared" ca="1" si="100"/>
        <v>434.23900000000003</v>
      </c>
      <c r="Z210" s="1439">
        <f t="shared" ca="1" si="101"/>
        <v>8.9098981976688911</v>
      </c>
      <c r="AA210" s="1439">
        <f t="shared" ca="1" si="102"/>
        <v>28.680000000003929</v>
      </c>
      <c r="AB210" s="1439">
        <f t="shared" ca="1" si="103"/>
        <v>48</v>
      </c>
      <c r="AC210" s="1438">
        <f t="shared" ca="1" si="104"/>
        <v>0.5999999999994543</v>
      </c>
      <c r="AD210" s="1438">
        <f ca="1">IF(B210&gt;=$J$5,0,CONTADORES!H214-CONTADORES!H213)</f>
        <v>170</v>
      </c>
      <c r="AE210" s="1438">
        <f ca="1">IF(B210&gt;=$J$5,0,CONTADORES!J214-CONTADORES!J213)</f>
        <v>24</v>
      </c>
      <c r="AF210" s="1438">
        <f ca="1">IF(B210&gt;=$J$5,0,CONTADORES!AS214-CONTADORES!AS213)</f>
        <v>148</v>
      </c>
      <c r="AG210" s="1438">
        <f ca="1">IF(B210&gt;=$J$5,0,CONTADORES!AU214-CONTADORES!AU213)</f>
        <v>24</v>
      </c>
      <c r="AH210" s="1439">
        <f ca="1">IF(B210&gt;=$J$5,0,(CONTADORES!AK214-CONTADORES!AK213)+(CONTADORES!K214-CONTADORES!K213))</f>
        <v>3.1999999999989086</v>
      </c>
      <c r="AI210" s="1438">
        <f ca="1">IF(B210&gt;=$J$5,0,(CONTADORES!AI214-CONTADORES!AI213)+(CONTADORES!M214-CONTADORES!M213))</f>
        <v>38.900000000008731</v>
      </c>
      <c r="AJ210" s="1438">
        <f ca="1">IF(B210&gt;=$J$5,0,(CONTADORES!AG214-CONTADORES!AG213))</f>
        <v>4.6000000000058208</v>
      </c>
      <c r="AK210" s="1438">
        <f ca="1">IF(B210&gt;=$J$5,0,(CONTADORES!O214-CONTADORES!O213))</f>
        <v>9</v>
      </c>
      <c r="AL210" s="1500">
        <f t="shared" ca="1" si="105"/>
        <v>32.538999999986572</v>
      </c>
      <c r="AM210" s="1438">
        <f ca="1">IF(B210&gt;=$J$5,0,(((CONTADORES!F214-CONTADORES!F213)+(CONTADORES!AO214-CONTADORES!AO213))))-BJ210-AF210-AN210-BM210-BP210-BU210-BS210</f>
        <v>9.4980000000001912</v>
      </c>
      <c r="AN210" s="1438">
        <f ca="1">IF(B210&gt;=$J$5,0,(CONTADORES!AV214-CONTADORES!AV213)+(CONTADORES!AX214-CONTADORES!AX213)+(CONTADORES!BC214-CONTADORES!BC213))-BS210</f>
        <v>2.3580000000005459</v>
      </c>
      <c r="AO210" s="1440">
        <f ca="1">IF(B210&gt;=$J$5,0,(CONTADORES!AA214-CONTADORES!AA213))</f>
        <v>73</v>
      </c>
      <c r="AP210" s="1440">
        <f ca="1">IF(B210&gt;=$J$5,0,(CONTADORES!V214-CONTADORES!V213))</f>
        <v>149</v>
      </c>
      <c r="AQ210" s="1445">
        <f ca="1">IF(B210&gt;=$J$5,0,(CONTADORES!C214-CONTADORES!C213))</f>
        <v>0.11900000000002819</v>
      </c>
      <c r="AR210" s="1440">
        <f ca="1">IF(B210&gt;=$J$5,0,(CONTADORES!BA214-CONTADORES!BA213))</f>
        <v>0</v>
      </c>
      <c r="AS210" s="1438">
        <f ca="1">IF(B210&gt;=$J$5,0,CONTADORES!Q214-CONTADORES!Q213)</f>
        <v>15</v>
      </c>
      <c r="AT210" s="1438">
        <f ca="1">IF(B210&gt;=$J$5,0,(CONTADORES!S214-CONTADORES!S213)+(CONTADORES!AE214-CONTADORES!AE213))</f>
        <v>3.2000000000000171</v>
      </c>
      <c r="AU210" s="1474">
        <f ca="1">IF(B210&gt;=$J$5,0,(CONTADORES!I214-CONTADORES!I213))</f>
        <v>83</v>
      </c>
      <c r="AV210" s="1440">
        <f ca="1">IF(B210&gt;=$J$5,0,(CONTADORES!AT214-CONTADORES!AT213))</f>
        <v>64</v>
      </c>
      <c r="AW210" s="1440">
        <f ca="1">IF(B210&gt;=$J$5,0,(CONTADORES!L214-CONTADORES!L213)+(CONTADORES!AL214-CONTADORES!AL213))</f>
        <v>1.2000000000007276</v>
      </c>
      <c r="AX210" s="1440">
        <f ca="1">IF(B210&gt;=$J$5,0,(CONTADORES!N214-CONTADORES!N213)+(CONTADORES!AJ214-CONTADORES!AJ213))</f>
        <v>33.900000000001455</v>
      </c>
      <c r="AY210" s="1440">
        <f ca="1">IF(B210&gt;=$J$5,0,(CONTADORES!AH214-CONTADORES!AH213))</f>
        <v>3.4000000000014552</v>
      </c>
      <c r="AZ210" s="1440">
        <f ca="1">IF(B210&gt;=$J$5,0,(CONTADORES!P214-CONTADORES!P213))</f>
        <v>8</v>
      </c>
      <c r="BA210" s="1450">
        <f t="shared" ca="1" si="106"/>
        <v>5.7749999999958277</v>
      </c>
      <c r="BB210" s="1474">
        <f ca="1">IF(B210&gt;=$J$5,0,(((CONTADORES!G214-CONTADORES!G213)+(CONTADORES!AP214-CONTADORES!AP213)+AR210)-(AV210+BC210)))</f>
        <v>14.400000000000034</v>
      </c>
      <c r="BC210" s="1438">
        <f ca="1">IF(B210&gt;=$J$5,0,(CONTADORES!AW214-CONTADORES!AW213)+(CONTADORES!AY214-CONTADORES!AY213)+(CONTADORES!BD214-CONTADORES!BD213))</f>
        <v>1.299999999999784</v>
      </c>
      <c r="BD210" s="1438">
        <f t="shared" ca="1" si="107"/>
        <v>222.11900000000003</v>
      </c>
      <c r="BE210" s="1439">
        <f ca="1">IF($B210&gt;=$J$5,0,CONTADORES!$BE214)</f>
        <v>5232.95</v>
      </c>
      <c r="BF210" s="1438">
        <f ca="1">IF($B210&gt;=$J$5,0,CONTADORES!$BF214)</f>
        <v>34748.9824561403</v>
      </c>
      <c r="BG210" s="1438">
        <f ca="1">IF($B210&gt;=$J$5,0,CONTADORES!$BH214)</f>
        <v>4900.25</v>
      </c>
      <c r="BH210" s="1438">
        <f ca="1">IF(B210&gt;=$J$5,0,(CONTADORES!AQ214-CONTADORES!AQ213))</f>
        <v>5</v>
      </c>
      <c r="BI210" s="1438">
        <f ca="1">IF(C210&gt;=$J$5,0,(CONTADORES!AR214-CONTADORES!AR213))</f>
        <v>0</v>
      </c>
      <c r="BJ210" s="1450">
        <f ca="1">IF(B210&gt;=$J$5,0,CONTADORES!BI214-CONTADORES!BI213)/1000</f>
        <v>3.6</v>
      </c>
      <c r="BK210" s="1450">
        <f ca="1">IF(B210&gt;=$J$5,0,CONTADORES!BJ214-CONTADORES!BJ213)</f>
        <v>1</v>
      </c>
      <c r="BL210" s="1450">
        <f ca="1">IF(B210&gt;=$J$5,0,CONTADORES!BK214-CONTADORES!BK213)</f>
        <v>24</v>
      </c>
      <c r="BM210" s="1450">
        <f ca="1">IF(B210&gt;=$J$5,0,CONTADORES!BL214-CONTADORES!BL213)/1000</f>
        <v>0</v>
      </c>
      <c r="BN210" s="1450">
        <f ca="1">IF(B210&gt;=$J$5,0,CONTADORES!BM214-CONTADORES!BM213)/1000</f>
        <v>0</v>
      </c>
      <c r="BO210" s="1450">
        <f ca="1">IF(B210&gt;=$J$5,0,CONTADORES!BN214-CONTADORES!BN213)</f>
        <v>0</v>
      </c>
      <c r="BP210" s="1450">
        <f ca="1">IF(B210&gt;=$J$5,0,CONTADORES!BO214-CONTADORES!BO213)/1000</f>
        <v>2.702</v>
      </c>
      <c r="BQ210" s="1450">
        <f ca="1">IF(B210&gt;=$J$5,0,CONTADORES!BP214-CONTADORES!BP213)/1000</f>
        <v>1E-3</v>
      </c>
      <c r="BR210" s="1450">
        <f ca="1">IF(B210&gt;=$J$5,0,CONTADORES!BQ214-CONTADORES!BQ213)</f>
        <v>24</v>
      </c>
      <c r="BS210" s="1450">
        <f ca="1">IF(B210&gt;=$J$5,0,(CONTADORES!BT214-CONTADORES!BT213)+(CONTADORES!BV214-CONTADORES!BV213))/1000</f>
        <v>1.542</v>
      </c>
      <c r="BT210" s="1450">
        <f ca="1">IF(B210&gt;=$J$5,0,(CONTADORES!BU214-CONTADORES!BU213)+(CONTADORES!BW214-CONTADORES!BW213))/1000</f>
        <v>0.94299999999999995</v>
      </c>
      <c r="BU210" s="1450">
        <f ca="1">IF(B210&gt;=$J$5,0,CONTADORES!BR214-CONTADORES!BR213)</f>
        <v>8.2999999999992724</v>
      </c>
      <c r="BV210" s="1450">
        <f ca="1">IF(B210&gt;=$J$5,0,CONTADORES!BS214-CONTADORES!BS213)</f>
        <v>5.2000000000007276</v>
      </c>
      <c r="BW210" s="1450">
        <f t="shared" ca="1" si="108"/>
        <v>13.048999999999367</v>
      </c>
      <c r="BX210" s="1450">
        <f t="shared" ca="1" si="109"/>
        <v>12.400000000000745</v>
      </c>
      <c r="BY210" s="1450">
        <f t="shared" ca="1" si="110"/>
        <v>4.7490000000000956</v>
      </c>
      <c r="BZ210" s="1450">
        <f t="shared" ca="1" si="111"/>
        <v>0.94320000000021842</v>
      </c>
      <c r="CA210" s="1450">
        <f t="shared" ca="1" si="112"/>
        <v>4.7490000000000956</v>
      </c>
      <c r="CB210" s="1450">
        <f t="shared" ca="1" si="113"/>
        <v>1.4148000000003274</v>
      </c>
      <c r="CC210" s="1450">
        <f t="shared" ca="1" si="114"/>
        <v>2.4852000000002183</v>
      </c>
      <c r="CD210" s="1450">
        <f t="shared" ca="1" si="115"/>
        <v>7.2000000000000171</v>
      </c>
      <c r="CE210" s="1450">
        <f ca="1">IF(B210&gt;=$J$5,0,CONTADORES!BS214-CONTADORES!BS213)</f>
        <v>5.2000000000007276</v>
      </c>
      <c r="CF210" s="1450">
        <f t="shared" ca="1" si="116"/>
        <v>7.2000000000000171</v>
      </c>
      <c r="CG210" s="1450">
        <f t="shared" ca="1" si="117"/>
        <v>0.649999999999892</v>
      </c>
      <c r="CH210" s="1450">
        <f t="shared" ca="1" si="118"/>
        <v>0.649999999999892</v>
      </c>
      <c r="CI210" s="1450">
        <f t="shared" ca="1" si="119"/>
        <v>1.5929999999998921</v>
      </c>
      <c r="CJ210" s="1450">
        <f ca="1">IF($B210&gt;=$J$5,0,CONTADORES!$BG214)</f>
        <v>9103.0327331081407</v>
      </c>
      <c r="CK210" s="1406">
        <f>CONTADORES!E214</f>
        <v>0.2</v>
      </c>
      <c r="CL210" s="1406">
        <f>CONTADORES!BX214</f>
        <v>0</v>
      </c>
    </row>
    <row r="211" spans="2:90">
      <c r="B211" s="410">
        <v>45127</v>
      </c>
      <c r="C211" s="204">
        <f t="shared" ca="1" si="95"/>
        <v>148.77000000001863</v>
      </c>
      <c r="D211" s="202">
        <f ca="1">'CALCULO DE GAS'!P23</f>
        <v>3.8711638704806552</v>
      </c>
      <c r="E211" s="202">
        <f ca="1">IF(B211&gt;=$J$5,0,(CONTADORES!$AB215-CONTADORES!$AB214)-$H211)</f>
        <v>24</v>
      </c>
      <c r="F211" s="204">
        <f t="shared" ca="1" si="94"/>
        <v>0</v>
      </c>
      <c r="G211" s="202">
        <f ca="1">IF(B211&gt;=$J$5,0,CONTADORES!$AD215-CONTADORES!$AD214)</f>
        <v>0</v>
      </c>
      <c r="H211" s="202">
        <f ca="1">IF(G211&gt;0,CONTADORES!$AC215-CONTADORES!$AC214,0)</f>
        <v>0</v>
      </c>
      <c r="I211" s="205">
        <f ca="1">IF(B211&gt;=$J$5,0,CONTADORES!$Z215-CONTADORES!$Z214)</f>
        <v>148.77000000001863</v>
      </c>
      <c r="J211" s="204">
        <f t="shared" ca="1" si="96"/>
        <v>301.2699999999968</v>
      </c>
      <c r="K211" s="202">
        <f ca="1">'CALCULO DE GAS'!Q23</f>
        <v>5.1759747648667691</v>
      </c>
      <c r="L211" s="1437">
        <f ca="1">IF(B211&gt;=$J$5,0,(CONTADORES!$W215-CONTADORES!$W214)-$O211)</f>
        <v>24</v>
      </c>
      <c r="M211" s="1437">
        <f t="shared" ca="1" si="120"/>
        <v>0</v>
      </c>
      <c r="N211" s="1437">
        <f ca="1">IF(B211&gt;=$J$5,0,CONTADORES!$Y215-CONTADORES!$Y214)</f>
        <v>0</v>
      </c>
      <c r="O211" s="1437">
        <f ca="1">IF(N211&gt;0,CONTADORES!$X215-CONTADORES!$X214,0)</f>
        <v>0</v>
      </c>
      <c r="P211" s="208">
        <f ca="1">IF(B211&gt;=$J$5,0,CONTADORES!$U215-CONTADORES!$U214)</f>
        <v>301.2699999999968</v>
      </c>
      <c r="Q211" s="208">
        <f ca="1">IF(B211&gt;=$J$5,0,CONTADORES!$B215-CONTADORES!$B214)</f>
        <v>0</v>
      </c>
      <c r="R211" s="202">
        <f t="shared" ca="1" si="97"/>
        <v>0</v>
      </c>
      <c r="S211" s="11">
        <f ca="1">IF(B211&gt;=$J$5,0,CONTADORES!$D215-CONTADORES!$D214)</f>
        <v>0</v>
      </c>
      <c r="T211" s="204">
        <f ca="1">IF(B211&gt;=$J$5,0,CONTADORES!$AZ215-CONTADORES!$AZ214)</f>
        <v>0</v>
      </c>
      <c r="U211" s="202">
        <f t="shared" ca="1" si="91"/>
        <v>0</v>
      </c>
      <c r="V211" s="205">
        <f ca="1">IF(B211&gt;=$J$5,0,CONTADORES!$BB215-CONTADORES!$BB214)</f>
        <v>0</v>
      </c>
      <c r="W211" s="1438">
        <f t="shared" ca="1" si="98"/>
        <v>450.04000000001543</v>
      </c>
      <c r="X211" s="1438">
        <f t="shared" ca="1" si="99"/>
        <v>0</v>
      </c>
      <c r="Y211" s="1439">
        <f t="shared" ca="1" si="100"/>
        <v>450.04000000001543</v>
      </c>
      <c r="Z211" s="1439">
        <f t="shared" ca="1" si="101"/>
        <v>9.0471386353474248</v>
      </c>
      <c r="AA211" s="1439">
        <f t="shared" ca="1" si="102"/>
        <v>0</v>
      </c>
      <c r="AB211" s="1439">
        <f t="shared" ca="1" si="103"/>
        <v>48</v>
      </c>
      <c r="AC211" s="1438">
        <f t="shared" ca="1" si="104"/>
        <v>0</v>
      </c>
      <c r="AD211" s="1438">
        <f ca="1">IF(B211&gt;=$J$5,0,CONTADORES!H215-CONTADORES!H214)</f>
        <v>165.68000000000029</v>
      </c>
      <c r="AE211" s="1438">
        <f ca="1">IF(B211&gt;=$J$5,0,CONTADORES!J215-CONTADORES!J214)</f>
        <v>24</v>
      </c>
      <c r="AF211" s="1438">
        <f ca="1">IF(B211&gt;=$J$5,0,CONTADORES!AS215-CONTADORES!AS214)</f>
        <v>153.05999999999767</v>
      </c>
      <c r="AG211" s="1438">
        <f ca="1">IF(B211&gt;=$J$5,0,CONTADORES!AU215-CONTADORES!AU214)</f>
        <v>24</v>
      </c>
      <c r="AH211" s="1439">
        <f ca="1">IF(B211&gt;=$J$5,0,(CONTADORES!AK215-CONTADORES!AK214)+(CONTADORES!K215-CONTADORES!K214))</f>
        <v>11.900000000003274</v>
      </c>
      <c r="AI211" s="1438">
        <f ca="1">IF(B211&gt;=$J$5,0,(CONTADORES!AI215-CONTADORES!AI214)+(CONTADORES!M215-CONTADORES!M214))</f>
        <v>40.399999999994179</v>
      </c>
      <c r="AJ211" s="1438">
        <f ca="1">IF(B211&gt;=$J$5,0,(CONTADORES!AG215-CONTADORES!AG214))</f>
        <v>7.569999999992433</v>
      </c>
      <c r="AK211" s="1438">
        <f ca="1">IF(B211&gt;=$J$5,0,(CONTADORES!O215-CONTADORES!O214))</f>
        <v>9.8999999999941792</v>
      </c>
      <c r="AL211" s="1500">
        <f t="shared" ca="1" si="105"/>
        <v>33.090000000020154</v>
      </c>
      <c r="AM211" s="1438">
        <f ca="1">IF(B211&gt;=$J$5,0,(((CONTADORES!F215-CONTADORES!F214)+(CONTADORES!AO215-CONTADORES!AO214))))-BJ211-AF211-AN211-BM211-BP211-BU211-BS211</f>
        <v>8.3380000000127605</v>
      </c>
      <c r="AN211" s="1438">
        <f ca="1">IF(B211&gt;=$J$5,0,(CONTADORES!AV215-CONTADORES!AV214)+(CONTADORES!AX215-CONTADORES!AX214)+(CONTADORES!BC215-CONTADORES!BC214))-BS211</f>
        <v>3.4369999999995269</v>
      </c>
      <c r="AO211" s="1440">
        <f ca="1">IF(B211&gt;=$J$5,0,(CONTADORES!AA215-CONTADORES!AA214))</f>
        <v>71.03000000002794</v>
      </c>
      <c r="AP211" s="1440">
        <f ca="1">IF(B211&gt;=$J$5,0,(CONTADORES!V215-CONTADORES!V214))</f>
        <v>159.43000000000029</v>
      </c>
      <c r="AQ211" s="1445">
        <f ca="1">IF(B211&gt;=$J$5,0,(CONTADORES!C215-CONTADORES!C214))</f>
        <v>0</v>
      </c>
      <c r="AR211" s="1440">
        <f ca="1">IF(B211&gt;=$J$5,0,(CONTADORES!BA215-CONTADORES!BA214))</f>
        <v>0</v>
      </c>
      <c r="AS211" s="1438">
        <f ca="1">IF(B211&gt;=$J$5,0,CONTADORES!Q215-CONTADORES!Q214)</f>
        <v>14.619999999995343</v>
      </c>
      <c r="AT211" s="1438">
        <f ca="1">IF(B211&gt;=$J$5,0,(CONTADORES!S215-CONTADORES!S214)+(CONTADORES!AE215-CONTADORES!AE214))</f>
        <v>3.3199999999999932</v>
      </c>
      <c r="AU211" s="1474">
        <f ca="1">IF(B211&gt;=$J$5,0,(CONTADORES!I215-CONTADORES!I214))</f>
        <v>82.699999999999818</v>
      </c>
      <c r="AV211" s="1440">
        <f ca="1">IF(B211&gt;=$J$5,0,(CONTADORES!AT215-CONTADORES!AT214))</f>
        <v>66.299999999988358</v>
      </c>
      <c r="AW211" s="1440">
        <f ca="1">IF(B211&gt;=$J$5,0,(CONTADORES!L215-CONTADORES!L214)+(CONTADORES!AL215-CONTADORES!AL214))</f>
        <v>4.6999999999970896</v>
      </c>
      <c r="AX211" s="1440">
        <f ca="1">IF(B211&gt;=$J$5,0,(CONTADORES!N215-CONTADORES!N214)+(CONTADORES!AJ215-CONTADORES!AJ214))</f>
        <v>35.349999999998545</v>
      </c>
      <c r="AY211" s="1440">
        <f ca="1">IF(B211&gt;=$J$5,0,(CONTADORES!AH215-CONTADORES!AH214))</f>
        <v>5.75</v>
      </c>
      <c r="AZ211" s="1440">
        <f ca="1">IF(B211&gt;=$J$5,0,(CONTADORES!P215-CONTADORES!P214))</f>
        <v>7.3699999999953434</v>
      </c>
      <c r="BA211" s="1450">
        <f t="shared" ca="1" si="106"/>
        <v>7.1840000000487692</v>
      </c>
      <c r="BB211" s="1474">
        <f ca="1">IF(B211&gt;=$J$5,0,(((CONTADORES!G215-CONTADORES!G214)+(CONTADORES!AP215-CONTADORES!AP214)+AR211)-(AV211+BC211)))</f>
        <v>12.230000000000359</v>
      </c>
      <c r="BC211" s="1438">
        <f ca="1">IF(B211&gt;=$J$5,0,(CONTADORES!AW215-CONTADORES!AW214)+(CONTADORES!AY215-CONTADORES!AY214)+(CONTADORES!BD215-CONTADORES!BD214))</f>
        <v>1.6700000000001864</v>
      </c>
      <c r="BD211" s="1438">
        <f t="shared" ca="1" si="107"/>
        <v>230.46000000002823</v>
      </c>
      <c r="BE211" s="1439">
        <f ca="1">IF($B211&gt;=$J$5,0,CONTADORES!$BE215)</f>
        <v>5353</v>
      </c>
      <c r="BF211" s="1438">
        <f ca="1">IF($B211&gt;=$J$5,0,CONTADORES!$BF215)</f>
        <v>34567</v>
      </c>
      <c r="BG211" s="1438">
        <f ca="1">IF($B211&gt;=$J$5,0,CONTADORES!$BH215)</f>
        <v>5003</v>
      </c>
      <c r="BH211" s="1438">
        <f ca="1">IF(B211&gt;=$J$5,0,(CONTADORES!AQ215-CONTADORES!AQ214))</f>
        <v>4.0009999999965657</v>
      </c>
      <c r="BI211" s="1438">
        <f ca="1">IF(C211&gt;=$J$5,0,(CONTADORES!AR215-CONTADORES!AR214))</f>
        <v>0</v>
      </c>
      <c r="BJ211" s="1450">
        <f ca="1">IF(B211&gt;=$J$5,0,CONTADORES!BI215-CONTADORES!BI214)/1000</f>
        <v>3.8879999999999999</v>
      </c>
      <c r="BK211" s="1450">
        <f ca="1">IF(B211&gt;=$J$5,0,CONTADORES!BJ215-CONTADORES!BJ214)</f>
        <v>1</v>
      </c>
      <c r="BL211" s="1450">
        <f ca="1">IF(B211&gt;=$J$5,0,CONTADORES!BK215-CONTADORES!BK214)</f>
        <v>24</v>
      </c>
      <c r="BM211" s="1450">
        <f ca="1">IF(B211&gt;=$J$5,0,CONTADORES!BL215-CONTADORES!BL214)/1000</f>
        <v>9.6000000000000002E-2</v>
      </c>
      <c r="BN211" s="1450">
        <f ca="1">IF(B211&gt;=$J$5,0,CONTADORES!BM215-CONTADORES!BM214)/1000</f>
        <v>0</v>
      </c>
      <c r="BO211" s="1450">
        <f ca="1">IF(B211&gt;=$J$5,0,CONTADORES!BN215-CONTADORES!BN214)</f>
        <v>1</v>
      </c>
      <c r="BP211" s="1450">
        <f ca="1">IF(B211&gt;=$J$5,0,CONTADORES!BO215-CONTADORES!BO214)/1000</f>
        <v>2.6379999999999999</v>
      </c>
      <c r="BQ211" s="1450">
        <f ca="1">IF(B211&gt;=$J$5,0,CONTADORES!BP215-CONTADORES!BP214)/1000</f>
        <v>3.0000000000000001E-3</v>
      </c>
      <c r="BR211" s="1450">
        <f ca="1">IF(B211&gt;=$J$5,0,CONTADORES!BQ215-CONTADORES!BQ214)</f>
        <v>24</v>
      </c>
      <c r="BS211" s="1450">
        <f ca="1">IF(B211&gt;=$J$5,0,(CONTADORES!BT215-CONTADORES!BT214)+(CONTADORES!BV215-CONTADORES!BV214))/1000</f>
        <v>1.583</v>
      </c>
      <c r="BT211" s="1450">
        <f ca="1">IF(B211&gt;=$J$5,0,(CONTADORES!BU215-CONTADORES!BU214)+(CONTADORES!BW215-CONTADORES!BW214))/1000</f>
        <v>0.96299999999999997</v>
      </c>
      <c r="BU211" s="1450">
        <f ca="1">IF(B211&gt;=$J$5,0,CONTADORES!BR215-CONTADORES!BR214)</f>
        <v>8.4600000000009459</v>
      </c>
      <c r="BV211" s="1450">
        <f ca="1">IF(B211&gt;=$J$5,0,CONTADORES!BS215-CONTADORES!BS214)</f>
        <v>5.2399999999997817</v>
      </c>
      <c r="BW211" s="1450">
        <f t="shared" ca="1" si="108"/>
        <v>12.629000000007327</v>
      </c>
      <c r="BX211" s="1450">
        <f t="shared" ca="1" si="109"/>
        <v>11.354999999999961</v>
      </c>
      <c r="BY211" s="1450">
        <f t="shared" ca="1" si="110"/>
        <v>4.1690000000063803</v>
      </c>
      <c r="BZ211" s="1450">
        <f t="shared" ca="1" si="111"/>
        <v>1.3747999999998108</v>
      </c>
      <c r="CA211" s="1450">
        <f t="shared" ca="1" si="112"/>
        <v>4.1690000000063803</v>
      </c>
      <c r="CB211" s="1450">
        <f t="shared" ca="1" si="113"/>
        <v>2.062199999999716</v>
      </c>
      <c r="CC211" s="1450">
        <f t="shared" ca="1" si="114"/>
        <v>2.9577999999998106</v>
      </c>
      <c r="CD211" s="1450">
        <f t="shared" ca="1" si="115"/>
        <v>6.1150000000001796</v>
      </c>
      <c r="CE211" s="1450">
        <f ca="1">IF(B211&gt;=$J$5,0,CONTADORES!BS215-CONTADORES!BS214)</f>
        <v>5.2399999999997817</v>
      </c>
      <c r="CF211" s="1450">
        <f t="shared" ca="1" si="116"/>
        <v>6.1150000000001796</v>
      </c>
      <c r="CG211" s="1450">
        <f t="shared" ca="1" si="117"/>
        <v>0.83500000000009322</v>
      </c>
      <c r="CH211" s="1450">
        <f t="shared" ca="1" si="118"/>
        <v>0.83500000000009322</v>
      </c>
      <c r="CI211" s="1450">
        <f t="shared" ca="1" si="119"/>
        <v>1.7980000000000933</v>
      </c>
      <c r="CJ211" s="1450">
        <f ca="1">IF($B211&gt;=$J$5,0,CONTADORES!$BG215)</f>
        <v>8459</v>
      </c>
      <c r="CK211" s="1406">
        <f>CONTADORES!E215</f>
        <v>0</v>
      </c>
      <c r="CL211" s="1406">
        <f>CONTADORES!BX215</f>
        <v>0</v>
      </c>
    </row>
    <row r="212" spans="2:90">
      <c r="B212" s="410">
        <v>45128</v>
      </c>
      <c r="C212" s="204">
        <f t="shared" ca="1" si="95"/>
        <v>243.53000000002794</v>
      </c>
      <c r="D212" s="202">
        <f ca="1">'CALCULO DE GAS'!P24</f>
        <v>4.6819434137728386</v>
      </c>
      <c r="E212" s="202">
        <f ca="1">IF(B212&gt;=$J$5,0,(CONTADORES!$AB216-CONTADORES!$AB215)-$H212)</f>
        <v>24</v>
      </c>
      <c r="F212" s="204">
        <f t="shared" ca="1" si="94"/>
        <v>0</v>
      </c>
      <c r="G212" s="202">
        <f ca="1">IF(B212&gt;=$J$5,0,CONTADORES!$AD216-CONTADORES!$AD215)</f>
        <v>0</v>
      </c>
      <c r="H212" s="202">
        <f ca="1">IF(G212&gt;0,CONTADORES!$AC216-CONTADORES!$AC215,0)</f>
        <v>0</v>
      </c>
      <c r="I212" s="205">
        <f ca="1">IF(B212&gt;=$J$5,0,CONTADORES!$Z216-CONTADORES!$Z215)</f>
        <v>243.53000000002794</v>
      </c>
      <c r="J212" s="204">
        <f t="shared" ca="1" si="96"/>
        <v>191.2300000000032</v>
      </c>
      <c r="K212" s="202">
        <f ca="1">'CALCULO DE GAS'!Q24</f>
        <v>4.2344574480257187</v>
      </c>
      <c r="L212" s="1437">
        <f ca="1">IF(B212&gt;=$J$5,0,(CONTADORES!$W216-CONTADORES!$W215)-$O212)</f>
        <v>24</v>
      </c>
      <c r="M212" s="1437">
        <f t="shared" ca="1" si="120"/>
        <v>0</v>
      </c>
      <c r="N212" s="1437">
        <f ca="1">IF(B212&gt;=$J$5,0,CONTADORES!$Y216-CONTADORES!$Y215)</f>
        <v>0</v>
      </c>
      <c r="O212" s="1437">
        <f ca="1">IF(N212&gt;0,CONTADORES!$X216-CONTADORES!$X215,0)</f>
        <v>0</v>
      </c>
      <c r="P212" s="208">
        <f ca="1">IF(B212&gt;=$J$5,0,CONTADORES!$U216-CONTADORES!$U215)</f>
        <v>191.2300000000032</v>
      </c>
      <c r="Q212" s="208">
        <f ca="1">IF(B212&gt;=$J$5,0,CONTADORES!$B216-CONTADORES!$B215)</f>
        <v>0</v>
      </c>
      <c r="R212" s="202">
        <f t="shared" ca="1" si="97"/>
        <v>0</v>
      </c>
      <c r="S212" s="11">
        <f ca="1">IF(B212&gt;=$J$5,0,CONTADORES!$D216-CONTADORES!$D215)</f>
        <v>0</v>
      </c>
      <c r="T212" s="204">
        <f ca="1">IF(B212&gt;=$J$5,0,CONTADORES!$AZ216-CONTADORES!$AZ215)</f>
        <v>0</v>
      </c>
      <c r="U212" s="202">
        <f t="shared" ca="1" si="91"/>
        <v>0</v>
      </c>
      <c r="V212" s="205">
        <f ca="1">IF(B212&gt;=$J$5,0,CONTADORES!$BB216-CONTADORES!$BB215)</f>
        <v>0</v>
      </c>
      <c r="W212" s="1438">
        <f t="shared" ca="1" si="98"/>
        <v>434.76000000003114</v>
      </c>
      <c r="X212" s="1438">
        <f t="shared" ca="1" si="99"/>
        <v>0</v>
      </c>
      <c r="Y212" s="1439">
        <f t="shared" ca="1" si="100"/>
        <v>434.76000000003114</v>
      </c>
      <c r="Z212" s="1439">
        <f t="shared" ca="1" si="101"/>
        <v>8.9164008617985573</v>
      </c>
      <c r="AA212" s="1439">
        <f t="shared" ca="1" si="102"/>
        <v>0</v>
      </c>
      <c r="AB212" s="1439">
        <f t="shared" ca="1" si="103"/>
        <v>48</v>
      </c>
      <c r="AC212" s="1438">
        <f t="shared" ca="1" si="104"/>
        <v>0</v>
      </c>
      <c r="AD212" s="1438">
        <f ca="1">IF(B212&gt;=$J$5,0,CONTADORES!H216-CONTADORES!H215)</f>
        <v>162.42000000000007</v>
      </c>
      <c r="AE212" s="1438">
        <f ca="1">IF(B212&gt;=$J$5,0,CONTADORES!J216-CONTADORES!J215)</f>
        <v>24</v>
      </c>
      <c r="AF212" s="1438">
        <f ca="1">IF(B212&gt;=$J$5,0,CONTADORES!AS216-CONTADORES!AS215)</f>
        <v>147.94000000000233</v>
      </c>
      <c r="AG212" s="1438">
        <f ca="1">IF(B212&gt;=$J$5,0,CONTADORES!AU216-CONTADORES!AU215)</f>
        <v>24</v>
      </c>
      <c r="AH212" s="1439">
        <f ca="1">IF(B212&gt;=$J$5,0,(CONTADORES!AK216-CONTADORES!AK215)+(CONTADORES!K216-CONTADORES!K215))</f>
        <v>11.299999999997453</v>
      </c>
      <c r="AI212" s="1438">
        <f ca="1">IF(B212&gt;=$J$5,0,(CONTADORES!AI216-CONTADORES!AI215)+(CONTADORES!M216-CONTADORES!M215))</f>
        <v>38.5</v>
      </c>
      <c r="AJ212" s="1438">
        <f ca="1">IF(B212&gt;=$J$5,0,(CONTADORES!AG216-CONTADORES!AG215))</f>
        <v>7.0299999999988358</v>
      </c>
      <c r="AK212" s="1438">
        <f ca="1">IF(B212&gt;=$J$5,0,(CONTADORES!O216-CONTADORES!O215))</f>
        <v>9.7000000000116415</v>
      </c>
      <c r="AL212" s="1500">
        <f t="shared" ca="1" si="105"/>
        <v>33.310000000059517</v>
      </c>
      <c r="AM212" s="1438">
        <f ca="1">IF(B212&gt;=$J$5,0,(((CONTADORES!F216-CONTADORES!F215)+(CONTADORES!AO216-CONTADORES!AO215))))-BJ212-AF212-AN212-BM212-BP212-BU212-BS212</f>
        <v>5.4619999999617583</v>
      </c>
      <c r="AN212" s="1438">
        <f ca="1">IF(B212&gt;=$J$5,0,(CONTADORES!AV216-CONTADORES!AV215)+(CONTADORES!AX216-CONTADORES!AX215)+(CONTADORES!BC216-CONTADORES!BC215))-BS212</f>
        <v>2.8040000000001091</v>
      </c>
      <c r="AO212" s="1440">
        <f ca="1">IF(B212&gt;=$J$5,0,(CONTADORES!AA216-CONTADORES!AA215))</f>
        <v>120.36999999999534</v>
      </c>
      <c r="AP212" s="1440">
        <f ca="1">IF(B212&gt;=$J$5,0,(CONTADORES!V216-CONTADORES!V215))</f>
        <v>98.369999999998981</v>
      </c>
      <c r="AQ212" s="1445">
        <f ca="1">IF(B212&gt;=$J$5,0,(CONTADORES!C216-CONTADORES!C215))</f>
        <v>0</v>
      </c>
      <c r="AR212" s="1440">
        <f ca="1">IF(B212&gt;=$J$5,0,(CONTADORES!BA216-CONTADORES!BA215))</f>
        <v>0</v>
      </c>
      <c r="AS212" s="1438">
        <f ca="1">IF(B212&gt;=$J$5,0,CONTADORES!Q216-CONTADORES!Q215)</f>
        <v>14.580000000016298</v>
      </c>
      <c r="AT212" s="1438">
        <f ca="1">IF(B212&gt;=$J$5,0,(CONTADORES!S216-CONTADORES!S215)+(CONTADORES!AE216-CONTADORES!AE215))</f>
        <v>3.1800000000000068</v>
      </c>
      <c r="AU212" s="1474">
        <f ca="1">IF(B212&gt;=$J$5,0,(CONTADORES!I216-CONTADORES!I215))</f>
        <v>80.400000000000546</v>
      </c>
      <c r="AV212" s="1440">
        <f ca="1">IF(B212&gt;=$J$5,0,(CONTADORES!AT216-CONTADORES!AT215))</f>
        <v>64</v>
      </c>
      <c r="AW212" s="1440">
        <f ca="1">IF(B212&gt;=$J$5,0,(CONTADORES!L216-CONTADORES!L215)+(CONTADORES!AL216-CONTADORES!AL215))</f>
        <v>4.4000000000014552</v>
      </c>
      <c r="AX212" s="1440">
        <f ca="1">IF(B212&gt;=$J$5,0,(CONTADORES!N216-CONTADORES!N215)+(CONTADORES!AJ216-CONTADORES!AJ215))</f>
        <v>33.55000000000291</v>
      </c>
      <c r="AY212" s="1440">
        <f ca="1">IF(B212&gt;=$J$5,0,(CONTADORES!AH216-CONTADORES!AH215))</f>
        <v>5.3499999999985448</v>
      </c>
      <c r="AZ212" s="1440">
        <f ca="1">IF(B212&gt;=$J$5,0,(CONTADORES!P216-CONTADORES!P215))</f>
        <v>7.5299999999988358</v>
      </c>
      <c r="BA212" s="1450">
        <f t="shared" ca="1" si="106"/>
        <v>5.6889999999750955</v>
      </c>
      <c r="BB212" s="1474">
        <f ca="1">IF(B212&gt;=$J$5,0,(((CONTADORES!G216-CONTADORES!G215)+(CONTADORES!AP216-CONTADORES!AP215)+AR212)-(AV212+BC212)))</f>
        <v>9.2700000000168075</v>
      </c>
      <c r="BC212" s="1438">
        <f ca="1">IF(B212&gt;=$J$5,0,(CONTADORES!AW216-CONTADORES!AW215)+(CONTADORES!AY216-CONTADORES!AY215)+(CONTADORES!BD216-CONTADORES!BD215))</f>
        <v>1.3299999999999272</v>
      </c>
      <c r="BD212" s="1438">
        <f t="shared" ca="1" si="107"/>
        <v>218.73999999999432</v>
      </c>
      <c r="BE212" s="1439">
        <f ca="1">IF($B212&gt;=$J$5,0,CONTADORES!$BE216)</f>
        <v>5669.13</v>
      </c>
      <c r="BF212" s="1438">
        <f ca="1">IF($B212&gt;=$J$5,0,CONTADORES!$BF216)</f>
        <v>32663.184210526299</v>
      </c>
      <c r="BG212" s="1438">
        <f ca="1">IF($B212&gt;=$J$5,0,CONTADORES!$BH216)</f>
        <v>6020.04</v>
      </c>
      <c r="BH212" s="1438">
        <f ca="1">IF(B212&gt;=$J$5,0,(CONTADORES!AQ216-CONTADORES!AQ215))</f>
        <v>4.7990000000063446</v>
      </c>
      <c r="BI212" s="1438">
        <f ca="1">IF(C212&gt;=$J$5,0,(CONTADORES!AR216-CONTADORES!AR215))</f>
        <v>0</v>
      </c>
      <c r="BJ212" s="1450">
        <f ca="1">IF(B212&gt;=$J$5,0,CONTADORES!BI216-CONTADORES!BI215)/1000</f>
        <v>2.448</v>
      </c>
      <c r="BK212" s="1450">
        <f ca="1">IF(B212&gt;=$J$5,0,CONTADORES!BJ216-CONTADORES!BJ215)</f>
        <v>1</v>
      </c>
      <c r="BL212" s="1450">
        <f ca="1">IF(B212&gt;=$J$5,0,CONTADORES!BK216-CONTADORES!BK215)</f>
        <v>24</v>
      </c>
      <c r="BM212" s="1450">
        <f ca="1">IF(B212&gt;=$J$5,0,CONTADORES!BL216-CONTADORES!BL215)/1000</f>
        <v>0.77600000000000002</v>
      </c>
      <c r="BN212" s="1450">
        <f ca="1">IF(B212&gt;=$J$5,0,CONTADORES!BM216-CONTADORES!BM215)/1000</f>
        <v>0</v>
      </c>
      <c r="BO212" s="1450">
        <f ca="1">IF(B212&gt;=$J$5,0,CONTADORES!BN216-CONTADORES!BN215)</f>
        <v>7.1000000000021828</v>
      </c>
      <c r="BP212" s="1450">
        <f ca="1">IF(B212&gt;=$J$5,0,CONTADORES!BO216-CONTADORES!BO215)/1000</f>
        <v>2.8540000000000001</v>
      </c>
      <c r="BQ212" s="1450">
        <f ca="1">IF(B212&gt;=$J$5,0,CONTADORES!BP216-CONTADORES!BP215)/1000</f>
        <v>5.0000000000000001E-3</v>
      </c>
      <c r="BR212" s="1450">
        <f ca="1">IF(B212&gt;=$J$5,0,CONTADORES!BQ216-CONTADORES!BQ215)</f>
        <v>24</v>
      </c>
      <c r="BS212" s="1450">
        <f ca="1">IF(B212&gt;=$J$5,0,(CONTADORES!BT216-CONTADORES!BT215)+(CONTADORES!BV216-CONTADORES!BV215))/1000</f>
        <v>1.5760000000000001</v>
      </c>
      <c r="BT212" s="1450">
        <f ca="1">IF(B212&gt;=$J$5,0,(CONTADORES!BU216-CONTADORES!BU215)+(CONTADORES!BW216-CONTADORES!BW215))/1000</f>
        <v>0.95599999999999996</v>
      </c>
      <c r="BU212" s="1450">
        <f ca="1">IF(B212&gt;=$J$5,0,CONTADORES!BR216-CONTADORES!BR215)</f>
        <v>8.6399999999994179</v>
      </c>
      <c r="BV212" s="1450">
        <f ca="1">IF(B212&gt;=$J$5,0,CONTADORES!BS216-CONTADORES!BS215)</f>
        <v>5.2600000000002183</v>
      </c>
      <c r="BW212" s="1450">
        <f t="shared" ca="1" si="108"/>
        <v>11.370999999980297</v>
      </c>
      <c r="BX212" s="1450">
        <f t="shared" ca="1" si="109"/>
        <v>9.895000000008622</v>
      </c>
      <c r="BY212" s="1450">
        <f t="shared" ca="1" si="110"/>
        <v>2.7309999999808792</v>
      </c>
      <c r="BZ212" s="1450">
        <f t="shared" ca="1" si="111"/>
        <v>1.1216000000000437</v>
      </c>
      <c r="CA212" s="1450">
        <f t="shared" ca="1" si="112"/>
        <v>2.7309999999808792</v>
      </c>
      <c r="CB212" s="1450">
        <f t="shared" ca="1" si="113"/>
        <v>1.6824000000000654</v>
      </c>
      <c r="CC212" s="1450">
        <f t="shared" ca="1" si="114"/>
        <v>2.697600000000044</v>
      </c>
      <c r="CD212" s="1450">
        <f t="shared" ca="1" si="115"/>
        <v>4.6350000000084037</v>
      </c>
      <c r="CE212" s="1450">
        <f ca="1">IF(B212&gt;=$J$5,0,CONTADORES!BS216-CONTADORES!BS215)</f>
        <v>5.2600000000002183</v>
      </c>
      <c r="CF212" s="1450">
        <f t="shared" ca="1" si="116"/>
        <v>4.6350000000084037</v>
      </c>
      <c r="CG212" s="1450">
        <f t="shared" ca="1" si="117"/>
        <v>0.66499999999996362</v>
      </c>
      <c r="CH212" s="1450">
        <f t="shared" ca="1" si="118"/>
        <v>0.66499999999996362</v>
      </c>
      <c r="CI212" s="1450">
        <f t="shared" ca="1" si="119"/>
        <v>1.6209999999999636</v>
      </c>
      <c r="CJ212" s="1450">
        <f ca="1">IF($B212&gt;=$J$5,0,CONTADORES!$BG216)</f>
        <v>6202.8417862831802</v>
      </c>
      <c r="CK212" s="1406">
        <f>CONTADORES!E216</f>
        <v>0</v>
      </c>
      <c r="CL212" s="1406">
        <f>CONTADORES!BX216</f>
        <v>0</v>
      </c>
    </row>
    <row r="213" spans="2:90">
      <c r="B213" s="410">
        <v>45129</v>
      </c>
      <c r="C213" s="204">
        <f t="shared" ca="1" si="95"/>
        <v>290.26000000000931</v>
      </c>
      <c r="D213" s="202">
        <f ca="1">'CALCULO DE GAS'!P25</f>
        <v>5.0817716963606916</v>
      </c>
      <c r="E213" s="202">
        <f ca="1">IF(B213&gt;=$J$5,0,(CONTADORES!$AB217-CONTADORES!$AB216)-$H213)</f>
        <v>24</v>
      </c>
      <c r="F213" s="204">
        <f t="shared" ca="1" si="94"/>
        <v>0</v>
      </c>
      <c r="G213" s="202">
        <f ca="1">IF(B213&gt;=$J$5,0,CONTADORES!$AD217-CONTADORES!$AD216)</f>
        <v>0</v>
      </c>
      <c r="H213" s="202">
        <f ca="1">IF(G213&gt;0,CONTADORES!$AC217-CONTADORES!$AC216,0)</f>
        <v>0</v>
      </c>
      <c r="I213" s="205">
        <f ca="1">IF(B213&gt;=$J$5,0,CONTADORES!$Z217-CONTADORES!$Z216)</f>
        <v>290.26000000000931</v>
      </c>
      <c r="J213" s="204">
        <f t="shared" ca="1" si="96"/>
        <v>149.77300000000105</v>
      </c>
      <c r="K213" s="202">
        <f ca="1">'CALCULO DE GAS'!Q25</f>
        <v>3.8797456759039113</v>
      </c>
      <c r="L213" s="1437">
        <f ca="1">IF(B213&gt;=$J$5,0,(CONTADORES!$W217-CONTADORES!$W216)-$O213)</f>
        <v>24</v>
      </c>
      <c r="M213" s="1437">
        <f t="shared" ca="1" si="120"/>
        <v>0</v>
      </c>
      <c r="N213" s="1437">
        <f ca="1">IF(B213&gt;=$J$5,0,CONTADORES!$Y217-CONTADORES!$Y216)</f>
        <v>0</v>
      </c>
      <c r="O213" s="1437">
        <f ca="1">IF(N213&gt;0,CONTADORES!$X217-CONTADORES!$X216,0)</f>
        <v>0</v>
      </c>
      <c r="P213" s="208">
        <f ca="1">IF(B213&gt;=$J$5,0,CONTADORES!$U217-CONTADORES!$U216)</f>
        <v>149.77300000000105</v>
      </c>
      <c r="Q213" s="208">
        <f ca="1">IF(B213&gt;=$J$5,0,CONTADORES!$B217-CONTADORES!$B216)</f>
        <v>0</v>
      </c>
      <c r="R213" s="202">
        <f t="shared" ca="1" si="97"/>
        <v>0</v>
      </c>
      <c r="S213" s="11">
        <f ca="1">IF(B213&gt;=$J$5,0,CONTADORES!$D217-CONTADORES!$D216)</f>
        <v>0</v>
      </c>
      <c r="T213" s="204">
        <f ca="1">IF(B213&gt;=$J$5,0,CONTADORES!$AZ217-CONTADORES!$AZ216)</f>
        <v>0</v>
      </c>
      <c r="U213" s="202">
        <f t="shared" ca="1" si="91"/>
        <v>0</v>
      </c>
      <c r="V213" s="205">
        <f ca="1">IF(B213&gt;=$J$5,0,CONTADORES!$BB217-CONTADORES!$BB216)</f>
        <v>0</v>
      </c>
      <c r="W213" s="1438">
        <f t="shared" ca="1" si="98"/>
        <v>440.03300000001036</v>
      </c>
      <c r="X213" s="1438">
        <f t="shared" ca="1" si="99"/>
        <v>0</v>
      </c>
      <c r="Y213" s="1439">
        <f t="shared" ca="1" si="100"/>
        <v>440.03300000001036</v>
      </c>
      <c r="Z213" s="1439">
        <f t="shared" ca="1" si="101"/>
        <v>8.961517372264602</v>
      </c>
      <c r="AA213" s="1439">
        <f t="shared" ca="1" si="102"/>
        <v>0</v>
      </c>
      <c r="AB213" s="1439">
        <f t="shared" ca="1" si="103"/>
        <v>48</v>
      </c>
      <c r="AC213" s="1438">
        <f t="shared" ca="1" si="104"/>
        <v>0</v>
      </c>
      <c r="AD213" s="1438">
        <f ca="1">IF(B213&gt;=$J$5,0,CONTADORES!H217-CONTADORES!H216)</f>
        <v>166.79999999999927</v>
      </c>
      <c r="AE213" s="1438">
        <f ca="1">IF(B213&gt;=$J$5,0,CONTADORES!J217-CONTADORES!J216)</f>
        <v>24</v>
      </c>
      <c r="AF213" s="1438">
        <f ca="1">IF(B213&gt;=$J$5,0,CONTADORES!AS217-CONTADORES!AS216)</f>
        <v>146.29999999998836</v>
      </c>
      <c r="AG213" s="1438">
        <f ca="1">IF(B213&gt;=$J$5,0,CONTADORES!AU217-CONTADORES!AU216)</f>
        <v>24</v>
      </c>
      <c r="AH213" s="1439">
        <f ca="1">IF(B213&gt;=$J$5,0,(CONTADORES!AK217-CONTADORES!AK216)+(CONTADORES!K217-CONTADORES!K216))</f>
        <v>6.6999999999970896</v>
      </c>
      <c r="AI213" s="1438">
        <f ca="1">IF(B213&gt;=$J$5,0,(CONTADORES!AI217-CONTADORES!AI216)+(CONTADORES!M217-CONTADORES!M216))</f>
        <v>39.940000000002328</v>
      </c>
      <c r="AJ213" s="1438">
        <f ca="1">IF(B213&gt;=$J$5,0,(CONTADORES!AG217-CONTADORES!AG216))</f>
        <v>8.3300000000017462</v>
      </c>
      <c r="AK213" s="1438">
        <f ca="1">IF(B213&gt;=$J$5,0,(CONTADORES!O217-CONTADORES!O216))</f>
        <v>9.4499999999825377</v>
      </c>
      <c r="AL213" s="1500">
        <f t="shared" ca="1" si="105"/>
        <v>33.113000000026659</v>
      </c>
      <c r="AM213" s="1438">
        <f ca="1">IF(B213&gt;=$J$5,0,(((CONTADORES!F217-CONTADORES!F216)+(CONTADORES!AO217-CONTADORES!AO216))))-BJ213-AF213-AN213-BM213-BP213-BU213-BS213</f>
        <v>8.7750000000132715</v>
      </c>
      <c r="AN213" s="1438">
        <f ca="1">IF(B213&gt;=$J$5,0,(CONTADORES!AV217-CONTADORES!AV216)+(CONTADORES!AX217-CONTADORES!AX216)+(CONTADORES!BC217-CONTADORES!BC216))-BS213</f>
        <v>3.3079999999996907</v>
      </c>
      <c r="AO213" s="1440">
        <f ca="1">IF(B213&gt;=$J$5,0,(CONTADORES!AA217-CONTADORES!AA216))</f>
        <v>146.39999999996508</v>
      </c>
      <c r="AP213" s="1440">
        <f ca="1">IF(B213&gt;=$J$5,0,(CONTADORES!V217-CONTADORES!V216))</f>
        <v>76.200000000000728</v>
      </c>
      <c r="AQ213" s="1445">
        <f ca="1">IF(B213&gt;=$J$5,0,(CONTADORES!C217-CONTADORES!C216))</f>
        <v>0</v>
      </c>
      <c r="AR213" s="1440">
        <f ca="1">IF(B213&gt;=$J$5,0,(CONTADORES!BA217-CONTADORES!BA216))</f>
        <v>0</v>
      </c>
      <c r="AS213" s="1438">
        <f ca="1">IF(B213&gt;=$J$5,0,CONTADORES!Q217-CONTADORES!Q216)</f>
        <v>14.449999999982538</v>
      </c>
      <c r="AT213" s="1438">
        <f ca="1">IF(B213&gt;=$J$5,0,(CONTADORES!S217-CONTADORES!S216)+(CONTADORES!AE217-CONTADORES!AE216))</f>
        <v>3.2999999999999829</v>
      </c>
      <c r="AU213" s="1474">
        <f ca="1">IF(B213&gt;=$J$5,0,(CONTADORES!I217-CONTADORES!I216))</f>
        <v>83</v>
      </c>
      <c r="AV213" s="1440">
        <f ca="1">IF(B213&gt;=$J$5,0,(CONTADORES!AT217-CONTADORES!AT216))</f>
        <v>63.5</v>
      </c>
      <c r="AW213" s="1440">
        <f ca="1">IF(B213&gt;=$J$5,0,(CONTADORES!L217-CONTADORES!L216)+(CONTADORES!AL217-CONTADORES!AL216))</f>
        <v>2.5999999999985448</v>
      </c>
      <c r="AX213" s="1440">
        <f ca="1">IF(B213&gt;=$J$5,0,(CONTADORES!N217-CONTADORES!N216)+(CONTADORES!AJ217-CONTADORES!AJ216))</f>
        <v>34.650000000001455</v>
      </c>
      <c r="AY213" s="1440">
        <f ca="1">IF(B213&gt;=$J$5,0,(CONTADORES!AH217-CONTADORES!AH216))</f>
        <v>6.2099999999991269</v>
      </c>
      <c r="AZ213" s="1440">
        <f ca="1">IF(B213&gt;=$J$5,0,(CONTADORES!P217-CONTADORES!P216))</f>
        <v>7.5200000000040745</v>
      </c>
      <c r="BA213" s="1450">
        <f t="shared" ca="1" si="106"/>
        <v>5.255999999962512</v>
      </c>
      <c r="BB213" s="1474">
        <f ca="1">IF(B213&gt;=$J$5,0,(((CONTADORES!G217-CONTADORES!G216)+(CONTADORES!AP217-CONTADORES!AP216)+AR213)-(AV213+BC213)))</f>
        <v>10.840000000000032</v>
      </c>
      <c r="BC213" s="1438">
        <f ca="1">IF(B213&gt;=$J$5,0,(CONTADORES!AW217-CONTADORES!AW216)+(CONTADORES!AY217-CONTADORES!AY216)+(CONTADORES!BD217-CONTADORES!BD216))</f>
        <v>1.760000000000332</v>
      </c>
      <c r="BD213" s="1438">
        <f t="shared" ca="1" si="107"/>
        <v>222.5999999999658</v>
      </c>
      <c r="BE213" s="1439">
        <f ca="1">IF($B213&gt;=$J$5,0,CONTADORES!$BE217)</f>
        <v>5478.04</v>
      </c>
      <c r="BF213" s="1438">
        <f ca="1">IF($B213&gt;=$J$5,0,CONTADORES!$BF217)</f>
        <v>31792.4596491228</v>
      </c>
      <c r="BG213" s="1438">
        <f ca="1">IF($B213&gt;=$J$5,0,CONTADORES!$BH217)</f>
        <v>6082.81</v>
      </c>
      <c r="BH213" s="1438">
        <f ca="1">IF(B213&gt;=$J$5,0,(CONTADORES!AQ217-CONTADORES!AQ216))</f>
        <v>4.3399999999965075</v>
      </c>
      <c r="BI213" s="1438">
        <f ca="1">IF(C213&gt;=$J$5,0,(CONTADORES!AR217-CONTADORES!AR216))</f>
        <v>0</v>
      </c>
      <c r="BJ213" s="1450">
        <f ca="1">IF(B213&gt;=$J$5,0,CONTADORES!BI217-CONTADORES!BI216)/1000</f>
        <v>3.48</v>
      </c>
      <c r="BK213" s="1450">
        <f ca="1">IF(B213&gt;=$J$5,0,CONTADORES!BJ217-CONTADORES!BJ216)</f>
        <v>1</v>
      </c>
      <c r="BL213" s="1450">
        <f ca="1">IF(B213&gt;=$J$5,0,CONTADORES!BK217-CONTADORES!BK216)</f>
        <v>24</v>
      </c>
      <c r="BM213" s="1450">
        <f ca="1">IF(B213&gt;=$J$5,0,CONTADORES!BL217-CONTADORES!BL216)/1000</f>
        <v>2.84</v>
      </c>
      <c r="BN213" s="1450">
        <f ca="1">IF(B213&gt;=$J$5,0,CONTADORES!BM217-CONTADORES!BM216)/1000</f>
        <v>1.2999999999999999E-2</v>
      </c>
      <c r="BO213" s="1450">
        <f ca="1">IF(B213&gt;=$J$5,0,CONTADORES!BN217-CONTADORES!BN216)</f>
        <v>24</v>
      </c>
      <c r="BP213" s="1450">
        <f ca="1">IF(B213&gt;=$J$5,0,CONTADORES!BO217-CONTADORES!BO216)/1000</f>
        <v>0.82499999999999996</v>
      </c>
      <c r="BQ213" s="1450">
        <f ca="1">IF(B213&gt;=$J$5,0,CONTADORES!BP217-CONTADORES!BP216)/1000</f>
        <v>0</v>
      </c>
      <c r="BR213" s="1450">
        <f ca="1">IF(B213&gt;=$J$5,0,CONTADORES!BQ217-CONTADORES!BQ216)</f>
        <v>9</v>
      </c>
      <c r="BS213" s="1450">
        <f ca="1">IF(B213&gt;=$J$5,0,(CONTADORES!BT217-CONTADORES!BT216)+(CONTADORES!BV217-CONTADORES!BV216))/1000</f>
        <v>1.532</v>
      </c>
      <c r="BT213" s="1450">
        <f ca="1">IF(B213&gt;=$J$5,0,(CONTADORES!BU217-CONTADORES!BU216)+(CONTADORES!BW217-CONTADORES!BW216))/1000</f>
        <v>0.93100000000000005</v>
      </c>
      <c r="BU213" s="1450">
        <f ca="1">IF(B213&gt;=$J$5,0,CONTADORES!BR217-CONTADORES!BR216)</f>
        <v>8.6399999999994179</v>
      </c>
      <c r="BV213" s="1450">
        <f ca="1">IF(B213&gt;=$J$5,0,CONTADORES!BS217-CONTADORES!BS216)</f>
        <v>5.319999999999709</v>
      </c>
      <c r="BW213" s="1450">
        <f t="shared" ca="1" si="108"/>
        <v>13.027500000006054</v>
      </c>
      <c r="BX213" s="1450">
        <f t="shared" ca="1" si="109"/>
        <v>10.739999999999725</v>
      </c>
      <c r="BY213" s="1450">
        <f t="shared" ca="1" si="110"/>
        <v>4.3875000000066358</v>
      </c>
      <c r="BZ213" s="1450">
        <f t="shared" ca="1" si="111"/>
        <v>1.3231999999998765</v>
      </c>
      <c r="CA213" s="1450">
        <f t="shared" ca="1" si="112"/>
        <v>4.3875000000066358</v>
      </c>
      <c r="CB213" s="1450">
        <f t="shared" ca="1" si="113"/>
        <v>1.9847999999998143</v>
      </c>
      <c r="CC213" s="1450">
        <f t="shared" ca="1" si="114"/>
        <v>2.8551999999998765</v>
      </c>
      <c r="CD213" s="1450">
        <f t="shared" ca="1" si="115"/>
        <v>5.4200000000000159</v>
      </c>
      <c r="CE213" s="1450">
        <f ca="1">IF(B213&gt;=$J$5,0,CONTADORES!BS217-CONTADORES!BS216)</f>
        <v>5.319999999999709</v>
      </c>
      <c r="CF213" s="1450">
        <f t="shared" ca="1" si="116"/>
        <v>5.4200000000000159</v>
      </c>
      <c r="CG213" s="1450">
        <f t="shared" ca="1" si="117"/>
        <v>0.88000000000016598</v>
      </c>
      <c r="CH213" s="1450">
        <f t="shared" ca="1" si="118"/>
        <v>0.88000000000016598</v>
      </c>
      <c r="CI213" s="1450">
        <f t="shared" ca="1" si="119"/>
        <v>1.811000000000166</v>
      </c>
      <c r="CJ213" s="1450">
        <f ca="1">IF($B213&gt;=$J$5,0,CONTADORES!$BG217)</f>
        <v>11414.2977609029</v>
      </c>
      <c r="CK213" s="1406">
        <f>CONTADORES!E217</f>
        <v>0</v>
      </c>
      <c r="CL213" s="1406">
        <f>CONTADORES!BX217</f>
        <v>0</v>
      </c>
    </row>
    <row r="214" spans="2:90">
      <c r="B214" s="410">
        <v>45130</v>
      </c>
      <c r="C214" s="204">
        <f t="shared" ca="1" si="95"/>
        <v>291.23999999999069</v>
      </c>
      <c r="D214" s="202">
        <f ca="1">'CALCULO DE GAS'!P26</f>
        <v>5.0901567106326535</v>
      </c>
      <c r="E214" s="202">
        <f ca="1">IF(B214&gt;=$J$5,0,(CONTADORES!$AB218-CONTADORES!$AB217)-$H214)</f>
        <v>24</v>
      </c>
      <c r="F214" s="204">
        <f t="shared" ca="1" si="94"/>
        <v>0</v>
      </c>
      <c r="G214" s="202">
        <f ca="1">IF(B214&gt;=$J$5,0,CONTADORES!$AD218-CONTADORES!$AD217)</f>
        <v>0</v>
      </c>
      <c r="H214" s="202">
        <f ca="1">IF(G214&gt;0,CONTADORES!$AC218-CONTADORES!$AC217,0)</f>
        <v>0</v>
      </c>
      <c r="I214" s="205">
        <f ca="1">IF(B214&gt;=$J$5,0,CONTADORES!$Z218-CONTADORES!$Z217)</f>
        <v>291.23999999999069</v>
      </c>
      <c r="J214" s="204">
        <f t="shared" ca="1" si="96"/>
        <v>147.53199999999924</v>
      </c>
      <c r="K214" s="202">
        <f ca="1">'CALCULO DE GAS'!Q26</f>
        <v>3.8605713728591766</v>
      </c>
      <c r="L214" s="1437">
        <f ca="1">IF(B214&gt;=$J$5,0,(CONTADORES!$W218-CONTADORES!$W217)-$O214)</f>
        <v>24</v>
      </c>
      <c r="M214" s="1437">
        <f t="shared" ca="1" si="120"/>
        <v>0</v>
      </c>
      <c r="N214" s="1437">
        <f ca="1">IF(B214&gt;=$J$5,0,CONTADORES!$Y218-CONTADORES!$Y217)</f>
        <v>0</v>
      </c>
      <c r="O214" s="1437">
        <f ca="1">IF(N214&gt;0,CONTADORES!$X218-CONTADORES!$X217,0)</f>
        <v>0</v>
      </c>
      <c r="P214" s="208">
        <f ca="1">IF(B214&gt;=$J$5,0,CONTADORES!$U218-CONTADORES!$U217)</f>
        <v>147.53199999999924</v>
      </c>
      <c r="Q214" s="208">
        <f ca="1">IF(B214&gt;=$J$5,0,CONTADORES!$B218-CONTADORES!$B217)</f>
        <v>0</v>
      </c>
      <c r="R214" s="202">
        <f t="shared" ca="1" si="97"/>
        <v>0</v>
      </c>
      <c r="S214" s="11">
        <f ca="1">IF(B214&gt;=$J$5,0,CONTADORES!$D218-CONTADORES!$D217)</f>
        <v>0</v>
      </c>
      <c r="T214" s="204">
        <f ca="1">IF(B214&gt;=$J$5,0,CONTADORES!$AZ218-CONTADORES!$AZ217)</f>
        <v>0</v>
      </c>
      <c r="U214" s="202">
        <f t="shared" ca="1" si="91"/>
        <v>0</v>
      </c>
      <c r="V214" s="205">
        <f ca="1">IF(B214&gt;=$J$5,0,CONTADORES!$BB218-CONTADORES!$BB217)</f>
        <v>0</v>
      </c>
      <c r="W214" s="1438">
        <f t="shared" ca="1" si="98"/>
        <v>438.77199999998993</v>
      </c>
      <c r="X214" s="1438">
        <f t="shared" ca="1" si="99"/>
        <v>0</v>
      </c>
      <c r="Y214" s="1439">
        <f t="shared" ca="1" si="100"/>
        <v>438.77199999998993</v>
      </c>
      <c r="Z214" s="1439">
        <f t="shared" ca="1" si="101"/>
        <v>8.9507280834918301</v>
      </c>
      <c r="AA214" s="1439">
        <f t="shared" ca="1" si="102"/>
        <v>0</v>
      </c>
      <c r="AB214" s="1439">
        <f t="shared" ca="1" si="103"/>
        <v>48</v>
      </c>
      <c r="AC214" s="1438">
        <f t="shared" ca="1" si="104"/>
        <v>0</v>
      </c>
      <c r="AD214" s="1438">
        <f ca="1">IF(B214&gt;=$J$5,0,CONTADORES!H218-CONTADORES!H217)</f>
        <v>164.39999999999964</v>
      </c>
      <c r="AE214" s="1438">
        <f ca="1">IF(B214&gt;=$J$5,0,CONTADORES!J218-CONTADORES!J217)</f>
        <v>24</v>
      </c>
      <c r="AF214" s="1438">
        <f ca="1">IF(B214&gt;=$J$5,0,CONTADORES!AS218-CONTADORES!AS217)</f>
        <v>143.70000000001164</v>
      </c>
      <c r="AG214" s="1438">
        <f ca="1">IF(B214&gt;=$J$5,0,CONTADORES!AU218-CONTADORES!AU217)</f>
        <v>24</v>
      </c>
      <c r="AH214" s="1439">
        <f ca="1">IF(B214&gt;=$J$5,0,(CONTADORES!AK218-CONTADORES!AK217)+(CONTADORES!K218-CONTADORES!K217))</f>
        <v>13.400000000001455</v>
      </c>
      <c r="AI214" s="1438">
        <f ca="1">IF(B214&gt;=$J$5,0,(CONTADORES!AI218-CONTADORES!AI217)+(CONTADORES!M218-CONTADORES!M217))</f>
        <v>39.05000000000291</v>
      </c>
      <c r="AJ214" s="1438">
        <f ca="1">IF(B214&gt;=$J$5,0,(CONTADORES!AG218-CONTADORES!AG217))</f>
        <v>7.3600000000005821</v>
      </c>
      <c r="AK214" s="1438">
        <f ca="1">IF(B214&gt;=$J$5,0,(CONTADORES!O218-CONTADORES!O217))</f>
        <v>10.14000000001397</v>
      </c>
      <c r="AL214" s="1500">
        <f t="shared" ca="1" si="105"/>
        <v>33.521999999948093</v>
      </c>
      <c r="AM214" s="1438">
        <f ca="1">IF(B214&gt;=$J$5,0,(((CONTADORES!F218-CONTADORES!F217)+(CONTADORES!AO218-CONTADORES!AO217))))-BJ214-AF214-AN214-BM214-BP214-BU214-BS214</f>
        <v>7.1400000000104988</v>
      </c>
      <c r="AN214" s="1438">
        <f ca="1">IF(B214&gt;=$J$5,0,(CONTADORES!AV218-CONTADORES!AV217)+(CONTADORES!AX218-CONTADORES!AX217)+(CONTADORES!BC218-CONTADORES!BC217))-BS214</f>
        <v>3.3720000000001273</v>
      </c>
      <c r="AO214" s="1440">
        <f ca="1">IF(B214&gt;=$J$5,0,(CONTADORES!AA218-CONTADORES!AA217))</f>
        <v>142.0800000000163</v>
      </c>
      <c r="AP214" s="1440">
        <f ca="1">IF(B214&gt;=$J$5,0,(CONTADORES!V218-CONTADORES!V217))</f>
        <v>79</v>
      </c>
      <c r="AQ214" s="1445">
        <f ca="1">IF(B214&gt;=$J$5,0,(CONTADORES!C218-CONTADORES!C217))</f>
        <v>0</v>
      </c>
      <c r="AR214" s="1440">
        <f ca="1">IF(B214&gt;=$J$5,0,(CONTADORES!BA218-CONTADORES!BA217))</f>
        <v>0</v>
      </c>
      <c r="AS214" s="1438">
        <f ca="1">IF(B214&gt;=$J$5,0,CONTADORES!Q218-CONTADORES!Q217)</f>
        <v>14.14000000001397</v>
      </c>
      <c r="AT214" s="1438">
        <f ca="1">IF(B214&gt;=$J$5,0,(CONTADORES!S218-CONTADORES!S217)+(CONTADORES!AE218-CONTADORES!AE217))</f>
        <v>3.1700000000000159</v>
      </c>
      <c r="AU214" s="1474">
        <f ca="1">IF(B214&gt;=$J$5,0,(CONTADORES!I218-CONTADORES!I217))</f>
        <v>81.599999999999454</v>
      </c>
      <c r="AV214" s="1440">
        <f ca="1">IF(B214&gt;=$J$5,0,(CONTADORES!AT218-CONTADORES!AT217))</f>
        <v>62.400000000023283</v>
      </c>
      <c r="AW214" s="1440">
        <f ca="1">IF(B214&gt;=$J$5,0,(CONTADORES!L218-CONTADORES!L217)+(CONTADORES!AL218-CONTADORES!AL217))</f>
        <v>5.2000000000007276</v>
      </c>
      <c r="AX214" s="1440">
        <f ca="1">IF(B214&gt;=$J$5,0,(CONTADORES!N218-CONTADORES!N217)+(CONTADORES!AJ218-CONTADORES!AJ217))</f>
        <v>33.860000000000582</v>
      </c>
      <c r="AY214" s="1440">
        <f ca="1">IF(B214&gt;=$J$5,0,(CONTADORES!AH218-CONTADORES!AH217))</f>
        <v>5.4000000000014552</v>
      </c>
      <c r="AZ214" s="1440">
        <f ca="1">IF(B214&gt;=$J$5,0,(CONTADORES!P218-CONTADORES!P217))</f>
        <v>7.8699999999953434</v>
      </c>
      <c r="BA214" s="1450">
        <f t="shared" ca="1" si="106"/>
        <v>7.066000000025042</v>
      </c>
      <c r="BB214" s="1474">
        <f ca="1">IF(B214&gt;=$J$5,0,(((CONTADORES!G218-CONTADORES!G217)+(CONTADORES!AP218-CONTADORES!AP217)+AR214)-(AV214+BC214)))</f>
        <v>8.8099999999712395</v>
      </c>
      <c r="BC214" s="1438">
        <f ca="1">IF(B214&gt;=$J$5,0,(CONTADORES!AW218-CONTADORES!AW217)+(CONTADORES!AY218-CONTADORES!AY217)+(CONTADORES!BD218-CONTADORES!BD217))</f>
        <v>1.6899999999996567</v>
      </c>
      <c r="BD214" s="1438">
        <f t="shared" ca="1" si="107"/>
        <v>221.0800000000163</v>
      </c>
      <c r="BE214" s="1439">
        <f ca="1">IF($B214&gt;=$J$5,0,CONTADORES!$BE218)</f>
        <v>5527.81</v>
      </c>
      <c r="BF214" s="1438">
        <f ca="1">IF($B214&gt;=$J$5,0,CONTADORES!$BF218)</f>
        <v>29968.949122807</v>
      </c>
      <c r="BG214" s="1438">
        <f ca="1">IF($B214&gt;=$J$5,0,CONTADORES!$BH218)</f>
        <v>6281.71</v>
      </c>
      <c r="BH214" s="1438">
        <f ca="1">IF(B214&gt;=$J$5,0,(CONTADORES!AQ218-CONTADORES!AQ217))</f>
        <v>4.1699999999982538</v>
      </c>
      <c r="BI214" s="1438">
        <f ca="1">IF(C214&gt;=$J$5,0,(CONTADORES!AR218-CONTADORES!AR217))</f>
        <v>0</v>
      </c>
      <c r="BJ214" s="1450">
        <f ca="1">IF(B214&gt;=$J$5,0,CONTADORES!BI218-CONTADORES!BI217)/1000</f>
        <v>3.6480000000000001</v>
      </c>
      <c r="BK214" s="1450">
        <f ca="1">IF(B214&gt;=$J$5,0,CONTADORES!BJ218-CONTADORES!BJ217)</f>
        <v>1</v>
      </c>
      <c r="BL214" s="1450">
        <f ca="1">IF(B214&gt;=$J$5,0,CONTADORES!BK218-CONTADORES!BK217)</f>
        <v>24</v>
      </c>
      <c r="BM214" s="1450">
        <f ca="1">IF(B214&gt;=$J$5,0,CONTADORES!BL218-CONTADORES!BL217)/1000</f>
        <v>2.9220000000000002</v>
      </c>
      <c r="BN214" s="1450">
        <f ca="1">IF(B214&gt;=$J$5,0,CONTADORES!BM218-CONTADORES!BM217)/1000</f>
        <v>4.0000000000000001E-3</v>
      </c>
      <c r="BO214" s="1450">
        <f ca="1">IF(B214&gt;=$J$5,0,CONTADORES!BN218-CONTADORES!BN217)</f>
        <v>24</v>
      </c>
      <c r="BP214" s="1450">
        <f ca="1">IF(B214&gt;=$J$5,0,CONTADORES!BO218-CONTADORES!BO217)/1000</f>
        <v>0</v>
      </c>
      <c r="BQ214" s="1450">
        <f ca="1">IF(B214&gt;=$J$5,0,CONTADORES!BP218-CONTADORES!BP217)/1000</f>
        <v>0</v>
      </c>
      <c r="BR214" s="1450">
        <f ca="1">IF(B214&gt;=$J$5,0,CONTADORES!BQ218-CONTADORES!BQ217)</f>
        <v>0</v>
      </c>
      <c r="BS214" s="1450">
        <f ca="1">IF(B214&gt;=$J$5,0,(CONTADORES!BT218-CONTADORES!BT217)+(CONTADORES!BV218-CONTADORES!BV217))/1000</f>
        <v>1.488</v>
      </c>
      <c r="BT214" s="1450">
        <f ca="1">IF(B214&gt;=$J$5,0,(CONTADORES!BU218-CONTADORES!BU217)+(CONTADORES!BW218-CONTADORES!BW217))/1000</f>
        <v>0.91</v>
      </c>
      <c r="BU214" s="1450">
        <f ca="1">IF(B214&gt;=$J$5,0,CONTADORES!BR218-CONTADORES!BR217)</f>
        <v>8.6300000000010186</v>
      </c>
      <c r="BV214" s="1450">
        <f ca="1">IF(B214&gt;=$J$5,0,CONTADORES!BS218-CONTADORES!BS217)</f>
        <v>5.2699999999995271</v>
      </c>
      <c r="BW214" s="1450">
        <f t="shared" ca="1" si="108"/>
        <v>12.200000000006268</v>
      </c>
      <c r="BX214" s="1450">
        <f t="shared" ca="1" si="109"/>
        <v>9.6749999999851468</v>
      </c>
      <c r="BY214" s="1450">
        <f t="shared" ca="1" si="110"/>
        <v>3.5700000000052494</v>
      </c>
      <c r="BZ214" s="1450">
        <f t="shared" ca="1" si="111"/>
        <v>1.3488000000000511</v>
      </c>
      <c r="CA214" s="1450">
        <f t="shared" ca="1" si="112"/>
        <v>3.5700000000052494</v>
      </c>
      <c r="CB214" s="1450">
        <f t="shared" ca="1" si="113"/>
        <v>2.0232000000000765</v>
      </c>
      <c r="CC214" s="1450">
        <f t="shared" ca="1" si="114"/>
        <v>2.8368000000000508</v>
      </c>
      <c r="CD214" s="1450">
        <f t="shared" ca="1" si="115"/>
        <v>4.4049999999856198</v>
      </c>
      <c r="CE214" s="1450">
        <f ca="1">IF(B214&gt;=$J$5,0,CONTADORES!BS218-CONTADORES!BS217)</f>
        <v>5.2699999999995271</v>
      </c>
      <c r="CF214" s="1450">
        <f t="shared" ca="1" si="116"/>
        <v>4.4049999999856198</v>
      </c>
      <c r="CG214" s="1450">
        <f t="shared" ca="1" si="117"/>
        <v>0.84499999999982833</v>
      </c>
      <c r="CH214" s="1450">
        <f t="shared" ca="1" si="118"/>
        <v>0.84499999999982833</v>
      </c>
      <c r="CI214" s="1450">
        <f t="shared" ca="1" si="119"/>
        <v>1.7549999999998285</v>
      </c>
      <c r="CJ214" s="1450">
        <f ca="1">IF($B214&gt;=$J$5,0,CONTADORES!$BG218)</f>
        <v>9611.9047144959295</v>
      </c>
      <c r="CK214" s="1406">
        <f>CONTADORES!E218</f>
        <v>0</v>
      </c>
      <c r="CL214" s="1406">
        <f>CONTADORES!BX218</f>
        <v>0</v>
      </c>
    </row>
    <row r="215" spans="2:90">
      <c r="B215" s="410">
        <v>45131</v>
      </c>
      <c r="C215" s="204">
        <f t="shared" ca="1" si="95"/>
        <v>295.13999999989755</v>
      </c>
      <c r="D215" s="202">
        <f ca="1">'CALCULO DE GAS'!P27</f>
        <v>5.1235256449800968</v>
      </c>
      <c r="E215" s="202">
        <f ca="1">IF(B215&gt;=$J$5,0,(CONTADORES!$AB219-CONTADORES!$AB218)-$H215)</f>
        <v>24</v>
      </c>
      <c r="F215" s="204">
        <f t="shared" ca="1" si="94"/>
        <v>0</v>
      </c>
      <c r="G215" s="202">
        <f ca="1">IF(B215&gt;=$J$5,0,CONTADORES!$AD219-CONTADORES!$AD218)</f>
        <v>0</v>
      </c>
      <c r="H215" s="202">
        <f ca="1">IF(G215&gt;0,CONTADORES!$AC219-CONTADORES!$AC218,0)</f>
        <v>0</v>
      </c>
      <c r="I215" s="205">
        <f ca="1">IF(B215&gt;=$J$5,0,CONTADORES!$Z219-CONTADORES!$Z218)</f>
        <v>295.13999999989755</v>
      </c>
      <c r="J215" s="204">
        <f t="shared" ca="1" si="96"/>
        <v>148.08200000000215</v>
      </c>
      <c r="K215" s="202">
        <f ca="1">'CALCULO DE GAS'!Q27</f>
        <v>3.865277248216004</v>
      </c>
      <c r="L215" s="1437">
        <f ca="1">IF(B215&gt;=$J$5,0,(CONTADORES!$W219-CONTADORES!$W218)-$O215)</f>
        <v>24</v>
      </c>
      <c r="M215" s="1437">
        <f t="shared" ca="1" si="120"/>
        <v>0</v>
      </c>
      <c r="N215" s="1437">
        <f ca="1">IF(B215&gt;=$J$5,0,CONTADORES!$Y219-CONTADORES!$Y218)</f>
        <v>0</v>
      </c>
      <c r="O215" s="1437">
        <f ca="1">IF(N215&gt;0,CONTADORES!$X219-CONTADORES!$X218,0)</f>
        <v>0</v>
      </c>
      <c r="P215" s="208">
        <f ca="1">IF(B215&gt;=$J$5,0,CONTADORES!$U219-CONTADORES!$U218)</f>
        <v>148.08200000000215</v>
      </c>
      <c r="Q215" s="208">
        <f ca="1">IF(B215&gt;=$J$5,0,CONTADORES!$B219-CONTADORES!$B218)</f>
        <v>0</v>
      </c>
      <c r="R215" s="202">
        <f t="shared" ca="1" si="97"/>
        <v>0</v>
      </c>
      <c r="S215" s="11">
        <f ca="1">IF(B215&gt;=$J$5,0,CONTADORES!$D219-CONTADORES!$D218)</f>
        <v>0</v>
      </c>
      <c r="T215" s="204">
        <f ca="1">IF(B215&gt;=$J$5,0,CONTADORES!$AZ219-CONTADORES!$AZ218)</f>
        <v>0</v>
      </c>
      <c r="U215" s="202">
        <f t="shared" ca="1" si="91"/>
        <v>0</v>
      </c>
      <c r="V215" s="205">
        <f ca="1">IF(B215&gt;=$J$5,0,CONTADORES!$BB219-CONTADORES!$BB218)</f>
        <v>0</v>
      </c>
      <c r="W215" s="1438">
        <f t="shared" ca="1" si="98"/>
        <v>443.22199999989971</v>
      </c>
      <c r="X215" s="1438">
        <f t="shared" ca="1" si="99"/>
        <v>0</v>
      </c>
      <c r="Y215" s="1439">
        <f t="shared" ca="1" si="100"/>
        <v>443.22199999989971</v>
      </c>
      <c r="Z215" s="1439">
        <f t="shared" ca="1" si="101"/>
        <v>8.9888028931961017</v>
      </c>
      <c r="AA215" s="1439">
        <f t="shared" ca="1" si="102"/>
        <v>0</v>
      </c>
      <c r="AB215" s="1439">
        <f t="shared" ca="1" si="103"/>
        <v>48</v>
      </c>
      <c r="AC215" s="1438">
        <f t="shared" ca="1" si="104"/>
        <v>0</v>
      </c>
      <c r="AD215" s="1438">
        <f ca="1">IF(B215&gt;=$J$5,0,CONTADORES!H219-CONTADORES!H218)</f>
        <v>164.90000000000146</v>
      </c>
      <c r="AE215" s="1438">
        <f ca="1">IF(B215&gt;=$J$5,0,CONTADORES!J219-CONTADORES!J218)</f>
        <v>24</v>
      </c>
      <c r="AF215" s="1438">
        <f ca="1">IF(B215&gt;=$J$5,0,CONTADORES!AS219-CONTADORES!AS218)</f>
        <v>145.79999999998836</v>
      </c>
      <c r="AG215" s="1438">
        <f ca="1">IF(B215&gt;=$J$5,0,CONTADORES!AU219-CONTADORES!AU218)</f>
        <v>24</v>
      </c>
      <c r="AH215" s="1439">
        <f ca="1">IF(B215&gt;=$J$5,0,(CONTADORES!AK219-CONTADORES!AK218)+(CONTADORES!K219-CONTADORES!K218))</f>
        <v>13.30000000000291</v>
      </c>
      <c r="AI215" s="1438">
        <f ca="1">IF(B215&gt;=$J$5,0,(CONTADORES!AI219-CONTADORES!AI218)+(CONTADORES!M219-CONTADORES!M218))</f>
        <v>39.039999999993597</v>
      </c>
      <c r="AJ215" s="1438">
        <f ca="1">IF(B215&gt;=$J$5,0,(CONTADORES!AG219-CONTADORES!AG218))</f>
        <v>8.3600000000005821</v>
      </c>
      <c r="AK215" s="1438">
        <f ca="1">IF(B215&gt;=$J$5,0,(CONTADORES!O219-CONTADORES!O218))</f>
        <v>10</v>
      </c>
      <c r="AL215" s="1500">
        <f t="shared" ca="1" si="105"/>
        <v>33.521999999877153</v>
      </c>
      <c r="AM215" s="1438">
        <f ca="1">IF(B215&gt;=$J$5,0,(((CONTADORES!F219-CONTADORES!F218)+(CONTADORES!AO219-CONTADORES!AO218))))-BJ215-AF215-AN215-BM215-BP215-BU215-BS215</f>
        <v>9.1460000000360946</v>
      </c>
      <c r="AN215" s="1438">
        <f ca="1">IF(B215&gt;=$J$5,0,(CONTADORES!AV219-CONTADORES!AV218)+(CONTADORES!AX219-CONTADORES!AX218)+(CONTADORES!BC219-CONTADORES!BC218))-BS215</f>
        <v>3.5180000000005638</v>
      </c>
      <c r="AO215" s="1440">
        <f ca="1">IF(B215&gt;=$J$5,0,(CONTADORES!AA219-CONTADORES!AA218))</f>
        <v>146</v>
      </c>
      <c r="AP215" s="1440">
        <f ca="1">IF(B215&gt;=$J$5,0,(CONTADORES!V219-CONTADORES!V218))</f>
        <v>76</v>
      </c>
      <c r="AQ215" s="1445">
        <f ca="1">IF(B215&gt;=$J$5,0,(CONTADORES!C219-CONTADORES!C218))</f>
        <v>0</v>
      </c>
      <c r="AR215" s="1440">
        <f ca="1">IF(B215&gt;=$J$5,0,(CONTADORES!BA219-CONTADORES!BA218))</f>
        <v>0</v>
      </c>
      <c r="AS215" s="1438">
        <f ca="1">IF(B215&gt;=$J$5,0,CONTADORES!Q219-CONTADORES!Q218)</f>
        <v>15.049999999988358</v>
      </c>
      <c r="AT215" s="1438">
        <f ca="1">IF(B215&gt;=$J$5,0,(CONTADORES!S219-CONTADORES!S218)+(CONTADORES!AE219-CONTADORES!AE218))</f>
        <v>3.2400000000000091</v>
      </c>
      <c r="AU215" s="1474">
        <f ca="1">IF(B215&gt;=$J$5,0,(CONTADORES!I219-CONTADORES!I218))</f>
        <v>81.900000000000546</v>
      </c>
      <c r="AV215" s="1440">
        <f ca="1">IF(B215&gt;=$J$5,0,(CONTADORES!AT219-CONTADORES!AT218))</f>
        <v>63.199999999982538</v>
      </c>
      <c r="AW215" s="1440">
        <f ca="1">IF(B215&gt;=$J$5,0,(CONTADORES!L219-CONTADORES!L218)+(CONTADORES!AL219-CONTADORES!AL218))</f>
        <v>5.2999999999992724</v>
      </c>
      <c r="AX215" s="1440">
        <f ca="1">IF(B215&gt;=$J$5,0,(CONTADORES!N219-CONTADORES!N218)+(CONTADORES!AJ219-CONTADORES!AJ218))</f>
        <v>33.769999999996799</v>
      </c>
      <c r="AY215" s="1440">
        <f ca="1">IF(B215&gt;=$J$5,0,(CONTADORES!AH219-CONTADORES!AH218))</f>
        <v>6.2299999999959255</v>
      </c>
      <c r="AZ215" s="1440">
        <f ca="1">IF(B215&gt;=$J$5,0,(CONTADORES!P219-CONTADORES!P218))</f>
        <v>8.6100000000005821</v>
      </c>
      <c r="BA215" s="1450">
        <f t="shared" ca="1" si="106"/>
        <v>3.3250000000066962</v>
      </c>
      <c r="BB215" s="1474">
        <f ca="1">IF(B215&gt;=$J$5,0,(((CONTADORES!G219-CONTADORES!G218)+(CONTADORES!AP219-CONTADORES!AP218)+AR215)-(AV215+BC215)))</f>
        <v>11.300000000017349</v>
      </c>
      <c r="BC215" s="1438">
        <f ca="1">IF(B215&gt;=$J$5,0,(CONTADORES!AW219-CONTADORES!AW218)+(CONTADORES!AY219-CONTADORES!AY218)+(CONTADORES!BD219-CONTADORES!BD218))</f>
        <v>1.6999999999999318</v>
      </c>
      <c r="BD215" s="1438">
        <f t="shared" ca="1" si="107"/>
        <v>222</v>
      </c>
      <c r="BE215" s="1439">
        <f ca="1">IF($B215&gt;=$J$5,0,CONTADORES!$BE219)</f>
        <v>4839.01</v>
      </c>
      <c r="BF215" s="1438">
        <f ca="1">IF($B215&gt;=$J$5,0,CONTADORES!$BF219)</f>
        <v>33170.2701754386</v>
      </c>
      <c r="BG215" s="1438">
        <f ca="1">IF($B215&gt;=$J$5,0,CONTADORES!$BH219)</f>
        <v>5866.44</v>
      </c>
      <c r="BH215" s="1438">
        <f ca="1">IF(B215&gt;=$J$5,0,(CONTADORES!AQ219-CONTADORES!AQ218))</f>
        <v>5.0410000000047148</v>
      </c>
      <c r="BI215" s="1438">
        <f ca="1">IF(C215&gt;=$J$5,0,(CONTADORES!AR219-CONTADORES!AR218))</f>
        <v>0</v>
      </c>
      <c r="BJ215" s="1450">
        <f ca="1">IF(B215&gt;=$J$5,0,CONTADORES!BI219-CONTADORES!BI218)/1000</f>
        <v>3.36</v>
      </c>
      <c r="BK215" s="1450">
        <f ca="1">IF(B215&gt;=$J$5,0,CONTADORES!BJ219-CONTADORES!BJ218)</f>
        <v>1</v>
      </c>
      <c r="BL215" s="1450">
        <f ca="1">IF(B215&gt;=$J$5,0,CONTADORES!BK219-CONTADORES!BK218)</f>
        <v>24</v>
      </c>
      <c r="BM215" s="1450">
        <f ca="1">IF(B215&gt;=$J$5,0,CONTADORES!BL219-CONTADORES!BL218)/1000</f>
        <v>3.044</v>
      </c>
      <c r="BN215" s="1450">
        <f ca="1">IF(B215&gt;=$J$5,0,CONTADORES!BM219-CONTADORES!BM218)/1000</f>
        <v>2.1000000000000001E-2</v>
      </c>
      <c r="BO215" s="1450">
        <f ca="1">IF(B215&gt;=$J$5,0,CONTADORES!BN219-CONTADORES!BN218)</f>
        <v>24</v>
      </c>
      <c r="BP215" s="1450">
        <f ca="1">IF(B215&gt;=$J$5,0,CONTADORES!BO219-CONTADORES!BO218)/1000</f>
        <v>0</v>
      </c>
      <c r="BQ215" s="1450">
        <f ca="1">IF(B215&gt;=$J$5,0,CONTADORES!BP219-CONTADORES!BP218)/1000</f>
        <v>0</v>
      </c>
      <c r="BR215" s="1450">
        <f ca="1">IF(B215&gt;=$J$5,0,CONTADORES!BQ219-CONTADORES!BQ218)</f>
        <v>0</v>
      </c>
      <c r="BS215" s="1450">
        <f ca="1">IF(B215&gt;=$J$5,0,(CONTADORES!BT219-CONTADORES!BT218)+(CONTADORES!BV219-CONTADORES!BV218))/1000</f>
        <v>1.3620000000000001</v>
      </c>
      <c r="BT215" s="1450">
        <f ca="1">IF(B215&gt;=$J$5,0,(CONTADORES!BU219-CONTADORES!BU218)+(CONTADORES!BW219-CONTADORES!BW218))/1000</f>
        <v>0.79400000000000004</v>
      </c>
      <c r="BU215" s="1450">
        <f ca="1">IF(B215&gt;=$J$5,0,CONTADORES!BR219-CONTADORES!BR218)</f>
        <v>7.8699999999989814</v>
      </c>
      <c r="BV215" s="1450">
        <f ca="1">IF(B215&gt;=$J$5,0,CONTADORES!BS219-CONTADORES!BS218)</f>
        <v>4.8500000000003638</v>
      </c>
      <c r="BW215" s="1450">
        <f t="shared" ca="1" si="108"/>
        <v>12.44300000001703</v>
      </c>
      <c r="BX215" s="1450">
        <f t="shared" ca="1" si="109"/>
        <v>10.500000000009038</v>
      </c>
      <c r="BY215" s="1450">
        <f t="shared" ca="1" si="110"/>
        <v>4.5730000000180473</v>
      </c>
      <c r="BZ215" s="1450">
        <f t="shared" ca="1" si="111"/>
        <v>1.4072000000002256</v>
      </c>
      <c r="CA215" s="1450">
        <f t="shared" ca="1" si="112"/>
        <v>4.5730000000180473</v>
      </c>
      <c r="CB215" s="1450">
        <f t="shared" ca="1" si="113"/>
        <v>2.1108000000003382</v>
      </c>
      <c r="CC215" s="1450">
        <f t="shared" ca="1" si="114"/>
        <v>2.7692000000002257</v>
      </c>
      <c r="CD215" s="1450">
        <f t="shared" ca="1" si="115"/>
        <v>5.6500000000086743</v>
      </c>
      <c r="CE215" s="1450">
        <f ca="1">IF(B215&gt;=$J$5,0,CONTADORES!BS219-CONTADORES!BS218)</f>
        <v>4.8500000000003638</v>
      </c>
      <c r="CF215" s="1450">
        <f t="shared" ca="1" si="116"/>
        <v>5.6500000000086743</v>
      </c>
      <c r="CG215" s="1450">
        <f t="shared" ca="1" si="117"/>
        <v>0.84999999999996589</v>
      </c>
      <c r="CH215" s="1450">
        <f t="shared" ca="1" si="118"/>
        <v>0.84999999999996589</v>
      </c>
      <c r="CI215" s="1450">
        <f t="shared" ca="1" si="119"/>
        <v>1.6439999999999659</v>
      </c>
      <c r="CJ215" s="1450">
        <f ca="1">IF($B215&gt;=$J$5,0,CONTADORES!$BG219)</f>
        <v>9725.7613196088405</v>
      </c>
      <c r="CK215" s="1406">
        <f>CONTADORES!E219</f>
        <v>0</v>
      </c>
      <c r="CL215" s="1406">
        <f>CONTADORES!BX219</f>
        <v>0</v>
      </c>
    </row>
    <row r="216" spans="2:90">
      <c r="B216" s="410">
        <v>45132</v>
      </c>
      <c r="C216" s="204">
        <f t="shared" ca="1" si="95"/>
        <v>289.09000000008382</v>
      </c>
      <c r="D216" s="202">
        <f ca="1">'CALCULO DE GAS'!P28</f>
        <v>5.0717610160568558</v>
      </c>
      <c r="E216" s="202">
        <f ca="1">IF(B216&gt;=$J$5,0,(CONTADORES!$AB220-CONTADORES!$AB219)-$H216)</f>
        <v>24</v>
      </c>
      <c r="F216" s="204">
        <f t="shared" ca="1" si="94"/>
        <v>0</v>
      </c>
      <c r="G216" s="202">
        <f ca="1">IF(B216&gt;=$J$5,0,CONTADORES!$AD220-CONTADORES!$AD219)</f>
        <v>0</v>
      </c>
      <c r="H216" s="202">
        <f ca="1">IF(G216&gt;0,CONTADORES!$AC220-CONTADORES!$AC219,0)</f>
        <v>0</v>
      </c>
      <c r="I216" s="205">
        <f ca="1">IF(B216&gt;=$J$5,0,CONTADORES!$Z220-CONTADORES!$Z219)</f>
        <v>289.09000000008382</v>
      </c>
      <c r="J216" s="204">
        <f t="shared" ca="1" si="96"/>
        <v>146.70299999999406</v>
      </c>
      <c r="K216" s="202">
        <f ca="1">'CALCULO DE GAS'!Q28</f>
        <v>3.8534783352758781</v>
      </c>
      <c r="L216" s="1437">
        <f ca="1">IF(B216&gt;=$J$5,0,(CONTADORES!$W220-CONTADORES!$W219)-$O216)</f>
        <v>24</v>
      </c>
      <c r="M216" s="1437">
        <f t="shared" ca="1" si="120"/>
        <v>0</v>
      </c>
      <c r="N216" s="1437">
        <f ca="1">IF(B216&gt;=$J$5,0,CONTADORES!$Y220-CONTADORES!$Y219)</f>
        <v>0</v>
      </c>
      <c r="O216" s="1437">
        <f ca="1">IF(N216&gt;0,CONTADORES!$X220-CONTADORES!$X219,0)</f>
        <v>0</v>
      </c>
      <c r="P216" s="208">
        <f ca="1">IF(B216&gt;=$J$5,0,CONTADORES!$U220-CONTADORES!$U219)</f>
        <v>146.70299999999406</v>
      </c>
      <c r="Q216" s="208">
        <f ca="1">IF(B216&gt;=$J$5,0,CONTADORES!$B220-CONTADORES!$B219)</f>
        <v>0.45399999999995089</v>
      </c>
      <c r="R216" s="202">
        <f t="shared" ca="1" si="97"/>
        <v>54.479999999994106</v>
      </c>
      <c r="S216" s="11">
        <f ca="1">IF(B216&gt;=$J$5,0,CONTADORES!$D220-CONTADORES!$D219)</f>
        <v>0.6999999999998181</v>
      </c>
      <c r="T216" s="204">
        <f ca="1">IF(B216&gt;=$J$5,0,CONTADORES!$AZ220-CONTADORES!$AZ219)</f>
        <v>0.40999999999996817</v>
      </c>
      <c r="U216" s="202">
        <f t="shared" ca="1" si="91"/>
        <v>49.19999999999618</v>
      </c>
      <c r="V216" s="205">
        <f ca="1">IF(B216&gt;=$J$5,0,CONTADORES!$BB220-CONTADORES!$BB219)</f>
        <v>0.5</v>
      </c>
      <c r="W216" s="1438">
        <f t="shared" ca="1" si="98"/>
        <v>435.79300000007788</v>
      </c>
      <c r="X216" s="1438">
        <f t="shared" ca="1" si="99"/>
        <v>0.86399999999991905</v>
      </c>
      <c r="Y216" s="1439">
        <f t="shared" ca="1" si="100"/>
        <v>436.6570000000778</v>
      </c>
      <c r="Z216" s="1439">
        <f t="shared" ca="1" si="101"/>
        <v>8.9252393513327348</v>
      </c>
      <c r="AA216" s="1439">
        <f t="shared" ca="1" si="102"/>
        <v>103.67999999999029</v>
      </c>
      <c r="AB216" s="1439">
        <f t="shared" ca="1" si="103"/>
        <v>48</v>
      </c>
      <c r="AC216" s="1438">
        <f t="shared" ca="1" si="104"/>
        <v>1.1999999999998181</v>
      </c>
      <c r="AD216" s="1438">
        <f ca="1">IF(B216&gt;=$J$5,0,CONTADORES!H220-CONTADORES!H219)</f>
        <v>163.73499999999876</v>
      </c>
      <c r="AE216" s="1438">
        <f ca="1">IF(B216&gt;=$J$5,0,CONTADORES!J220-CONTADORES!J219)</f>
        <v>24</v>
      </c>
      <c r="AF216" s="1438">
        <f ca="1">IF(B216&gt;=$J$5,0,CONTADORES!AS220-CONTADORES!AS219)</f>
        <v>142.51000000000931</v>
      </c>
      <c r="AG216" s="1438">
        <f ca="1">IF(B216&gt;=$J$5,0,CONTADORES!AU220-CONTADORES!AU219)</f>
        <v>24</v>
      </c>
      <c r="AH216" s="1439">
        <f ca="1">IF(B216&gt;=$J$5,0,(CONTADORES!AK220-CONTADORES!AK219)+(CONTADORES!K220-CONTADORES!K219))</f>
        <v>11.299999999995634</v>
      </c>
      <c r="AI216" s="1438">
        <f ca="1">IF(B216&gt;=$J$5,0,(CONTADORES!AI220-CONTADORES!AI219)+(CONTADORES!M220-CONTADORES!M219))</f>
        <v>37.540000000008149</v>
      </c>
      <c r="AJ216" s="1438">
        <f ca="1">IF(B216&gt;=$J$5,0,(CONTADORES!AG220-CONTADORES!AG219))</f>
        <v>9.1000000000058208</v>
      </c>
      <c r="AK216" s="1438">
        <f ca="1">IF(B216&gt;=$J$5,0,(CONTADORES!O220-CONTADORES!O219))</f>
        <v>9.5599999999976717</v>
      </c>
      <c r="AL216" s="1500">
        <f t="shared" ca="1" si="105"/>
        <v>33.422000000108198</v>
      </c>
      <c r="AM216" s="1438">
        <f ca="1">IF(B216&gt;=$J$5,0,(((CONTADORES!F220-CONTADORES!F219)+(CONTADORES!AO220-CONTADORES!AO219))))-BJ216-AF216-AN216-BM216-BP216-BU216-BS216</f>
        <v>10.788999999953525</v>
      </c>
      <c r="AN216" s="1438">
        <f ca="1">IF(B216&gt;=$J$5,0,(CONTADORES!AV220-CONTADORES!AV219)+(CONTADORES!AX220-CONTADORES!AX219)+(CONTADORES!BC220-CONTADORES!BC219))-BS216</f>
        <v>3.3350000000000479</v>
      </c>
      <c r="AO216" s="1440">
        <f ca="1">IF(B216&gt;=$J$5,0,(CONTADORES!AA220-CONTADORES!AA219))</f>
        <v>144.77000000001863</v>
      </c>
      <c r="AP216" s="1440">
        <f ca="1">IF(B216&gt;=$J$5,0,(CONTADORES!V220-CONTADORES!V219))</f>
        <v>72.630000000001019</v>
      </c>
      <c r="AQ216" s="1445">
        <f ca="1">IF(B216&gt;=$J$5,0,(CONTADORES!C220-CONTADORES!C219))</f>
        <v>0.22899999999992815</v>
      </c>
      <c r="AR216" s="1440">
        <f ca="1">IF(B216&gt;=$J$5,0,(CONTADORES!BA220-CONTADORES!BA219))</f>
        <v>0.15899999999999181</v>
      </c>
      <c r="AS216" s="1438">
        <f ca="1">IF(B216&gt;=$J$5,0,CONTADORES!Q220-CONTADORES!Q219)</f>
        <v>14.239999999990687</v>
      </c>
      <c r="AT216" s="1438">
        <f ca="1">IF(B216&gt;=$J$5,0,(CONTADORES!S220-CONTADORES!S219)+(CONTADORES!AE220-CONTADORES!AE219))</f>
        <v>3.1999999999999886</v>
      </c>
      <c r="AU216" s="1474">
        <f ca="1">IF(B216&gt;=$J$5,0,(CONTADORES!I220-CONTADORES!I219))</f>
        <v>81.098999999999251</v>
      </c>
      <c r="AV216" s="1440">
        <f ca="1">IF(B216&gt;=$J$5,0,(CONTADORES!AT220-CONTADORES!AT219))</f>
        <v>61.770000000018626</v>
      </c>
      <c r="AW216" s="1440">
        <f ca="1">IF(B216&gt;=$J$5,0,(CONTADORES!L220-CONTADORES!L219)+(CONTADORES!AL220-CONTADORES!AL219))</f>
        <v>4.5</v>
      </c>
      <c r="AX216" s="1440">
        <f ca="1">IF(B216&gt;=$J$5,0,(CONTADORES!N220-CONTADORES!N219)+(CONTADORES!AJ220-CONTADORES!AJ219))</f>
        <v>32.339999999996508</v>
      </c>
      <c r="AY216" s="1440">
        <f ca="1">IF(B216&gt;=$J$5,0,(CONTADORES!AH220-CONTADORES!AH219))</f>
        <v>6.9000000000014552</v>
      </c>
      <c r="AZ216" s="1440">
        <f ca="1">IF(B216&gt;=$J$5,0,(CONTADORES!P220-CONTADORES!P219))</f>
        <v>6.6700000000128057</v>
      </c>
      <c r="BA216" s="1450">
        <f t="shared" ca="1" si="106"/>
        <v>4.1600000000091768</v>
      </c>
      <c r="BB216" s="1474">
        <f ca="1">IF(B216&gt;=$J$5,0,(((CONTADORES!G220-CONTADORES!G219)+(CONTADORES!AP220-CONTADORES!AP219)+AR216)-(AV216+BC216)))</f>
        <v>12.578999999981534</v>
      </c>
      <c r="BC216" s="1438">
        <f ca="1">IF(B216&gt;=$J$5,0,(CONTADORES!AW220-CONTADORES!AW219)+(CONTADORES!AY220-CONTADORES!AY219)+(CONTADORES!BD220-CONTADORES!BD219))</f>
        <v>1.7100000000003774</v>
      </c>
      <c r="BD216" s="1438">
        <f t="shared" ca="1" si="107"/>
        <v>217.78800000001957</v>
      </c>
      <c r="BE216" s="1439">
        <f ca="1">IF($B216&gt;=$J$5,0,CONTADORES!$BE220)</f>
        <v>5418.42</v>
      </c>
      <c r="BF216" s="1438">
        <f ca="1">IF($B216&gt;=$J$5,0,CONTADORES!$BF220)</f>
        <v>32122.626315779999</v>
      </c>
      <c r="BG216" s="1438">
        <f ca="1">IF($B216&gt;=$J$5,0,CONTADORES!$BH220)</f>
        <v>6035.21</v>
      </c>
      <c r="BH216" s="1438">
        <f ca="1">IF(B216&gt;=$J$5,0,(CONTADORES!AQ220-CONTADORES!AQ219))</f>
        <v>4.7520000000004075</v>
      </c>
      <c r="BI216" s="1438">
        <f ca="1">IF(C216&gt;=$J$5,0,(CONTADORES!AR220-CONTADORES!AR219))</f>
        <v>0</v>
      </c>
      <c r="BJ216" s="1450">
        <f ca="1">IF(B216&gt;=$J$5,0,CONTADORES!BI220-CONTADORES!BI219)/1000</f>
        <v>3.8879999999999999</v>
      </c>
      <c r="BK216" s="1450">
        <f ca="1">IF(B216&gt;=$J$5,0,CONTADORES!BJ220-CONTADORES!BJ219)</f>
        <v>1</v>
      </c>
      <c r="BL216" s="1450">
        <f ca="1">IF(B216&gt;=$J$5,0,CONTADORES!BK220-CONTADORES!BK219)</f>
        <v>24</v>
      </c>
      <c r="BM216" s="1450">
        <f ca="1">IF(B216&gt;=$J$5,0,CONTADORES!BL220-CONTADORES!BL219)/1000</f>
        <v>3.3530000000000002</v>
      </c>
      <c r="BN216" s="1450">
        <f ca="1">IF(B216&gt;=$J$5,0,CONTADORES!BM220-CONTADORES!BM219)/1000</f>
        <v>6.7000000000000004E-2</v>
      </c>
      <c r="BO216" s="1450">
        <f ca="1">IF(B216&gt;=$J$5,0,CONTADORES!BN220-CONTADORES!BN219)</f>
        <v>24</v>
      </c>
      <c r="BP216" s="1450">
        <f ca="1">IF(B216&gt;=$J$5,0,CONTADORES!BO220-CONTADORES!BO219)/1000</f>
        <v>0</v>
      </c>
      <c r="BQ216" s="1450">
        <f ca="1">IF(B216&gt;=$J$5,0,CONTADORES!BP220-CONTADORES!BP219)/1000</f>
        <v>0</v>
      </c>
      <c r="BR216" s="1450">
        <f ca="1">IF(B216&gt;=$J$5,0,CONTADORES!BQ220-CONTADORES!BQ219)</f>
        <v>0</v>
      </c>
      <c r="BS216" s="1450">
        <f ca="1">IF(B216&gt;=$J$5,0,(CONTADORES!BT220-CONTADORES!BT219)+(CONTADORES!BV220-CONTADORES!BV219))/1000</f>
        <v>1.425</v>
      </c>
      <c r="BT216" s="1450">
        <f ca="1">IF(B216&gt;=$J$5,0,(CONTADORES!BU220-CONTADORES!BU219)+(CONTADORES!BW220-CONTADORES!BW219))/1000</f>
        <v>0.79300000000000004</v>
      </c>
      <c r="BU216" s="1450">
        <f ca="1">IF(B216&gt;=$J$5,0,CONTADORES!BR220-CONTADORES!BR219)</f>
        <v>6.7000000000007276</v>
      </c>
      <c r="BV216" s="1450">
        <f ca="1">IF(B216&gt;=$J$5,0,CONTADORES!BS220-CONTADORES!BS219)</f>
        <v>4.1999999999998181</v>
      </c>
      <c r="BW216" s="1450">
        <f t="shared" ca="1" si="108"/>
        <v>12.09449999997749</v>
      </c>
      <c r="BX216" s="1450">
        <f t="shared" ca="1" si="109"/>
        <v>10.489499999990585</v>
      </c>
      <c r="BY216" s="1450">
        <f t="shared" ca="1" si="110"/>
        <v>5.3944999999767624</v>
      </c>
      <c r="BZ216" s="1450">
        <f t="shared" ca="1" si="111"/>
        <v>1.3340000000000192</v>
      </c>
      <c r="CA216" s="1450">
        <f t="shared" ca="1" si="112"/>
        <v>5.3944999999767624</v>
      </c>
      <c r="CB216" s="1450">
        <f t="shared" ca="1" si="113"/>
        <v>2.0010000000000288</v>
      </c>
      <c r="CC216" s="1450">
        <f t="shared" ca="1" si="114"/>
        <v>2.759000000000019</v>
      </c>
      <c r="CD216" s="1450">
        <f t="shared" ca="1" si="115"/>
        <v>6.2894999999907668</v>
      </c>
      <c r="CE216" s="1450">
        <f ca="1">IF(B216&gt;=$J$5,0,CONTADORES!BS220-CONTADORES!BS219)</f>
        <v>4.1999999999998181</v>
      </c>
      <c r="CF216" s="1450">
        <f t="shared" ca="1" si="116"/>
        <v>6.2894999999907668</v>
      </c>
      <c r="CG216" s="1450">
        <f t="shared" ca="1" si="117"/>
        <v>0.85500000000018872</v>
      </c>
      <c r="CH216" s="1450">
        <f t="shared" ca="1" si="118"/>
        <v>0.85500000000018872</v>
      </c>
      <c r="CI216" s="1450">
        <f t="shared" ca="1" si="119"/>
        <v>1.6480000000001889</v>
      </c>
      <c r="CJ216" s="1450">
        <f ca="1">IF($B216&gt;=$J$5,0,CONTADORES!$BG220)</f>
        <v>9669.3191869623206</v>
      </c>
      <c r="CK216" s="1406">
        <f>CONTADORES!E220</f>
        <v>0.5</v>
      </c>
      <c r="CL216" s="1406">
        <f>CONTADORES!BX220</f>
        <v>0.4</v>
      </c>
    </row>
    <row r="217" spans="2:90">
      <c r="B217" s="410">
        <v>45133</v>
      </c>
      <c r="C217" s="204">
        <f t="shared" ca="1" si="95"/>
        <v>286.53000000002794</v>
      </c>
      <c r="D217" s="202">
        <f ca="1">'CALCULO DE GAS'!P29</f>
        <v>5.0498573053047133</v>
      </c>
      <c r="E217" s="202">
        <f ca="1">IF(B217&gt;=$J$5,0,(CONTADORES!$AB221-CONTADORES!$AB220)-$H217)</f>
        <v>24</v>
      </c>
      <c r="F217" s="204">
        <f t="shared" ca="1" si="94"/>
        <v>0</v>
      </c>
      <c r="G217" s="202">
        <f ca="1">IF(B217&gt;=$J$5,0,CONTADORES!$AD221-CONTADORES!$AD220)</f>
        <v>0</v>
      </c>
      <c r="H217" s="202">
        <f ca="1">IF(G217&gt;0,CONTADORES!$AC221-CONTADORES!$AC220,0)</f>
        <v>0</v>
      </c>
      <c r="I217" s="205">
        <f ca="1">IF(B217&gt;=$J$5,0,CONTADORES!$Z221-CONTADORES!$Z220)</f>
        <v>286.53000000002794</v>
      </c>
      <c r="J217" s="204">
        <f t="shared" ca="1" si="96"/>
        <v>147.97600000000239</v>
      </c>
      <c r="K217" s="202">
        <f ca="1">'CALCULO DE GAS'!Q29</f>
        <v>3.8643702976926955</v>
      </c>
      <c r="L217" s="1437">
        <f ca="1">IF(B217&gt;=$J$5,0,(CONTADORES!$W221-CONTADORES!$W220)-$O217)</f>
        <v>24</v>
      </c>
      <c r="M217" s="1437">
        <f t="shared" ca="1" si="120"/>
        <v>0</v>
      </c>
      <c r="N217" s="1437">
        <f ca="1">IF(B217&gt;=$J$5,0,CONTADORES!$Y221-CONTADORES!$Y220)</f>
        <v>0</v>
      </c>
      <c r="O217" s="1437">
        <f ca="1">IF(N217&gt;0,CONTADORES!$X221-CONTADORES!$X220,0)</f>
        <v>0</v>
      </c>
      <c r="P217" s="208">
        <f ca="1">IF(B217&gt;=$J$5,0,CONTADORES!$U221-CONTADORES!$U220)</f>
        <v>147.97600000000239</v>
      </c>
      <c r="Q217" s="208">
        <f ca="1">IF(B217&gt;=$J$5,0,CONTADORES!$B221-CONTADORES!$B220)</f>
        <v>0</v>
      </c>
      <c r="R217" s="202">
        <f t="shared" ca="1" si="97"/>
        <v>0</v>
      </c>
      <c r="S217" s="11">
        <f ca="1">IF(B217&gt;=$J$5,0,CONTADORES!$D221-CONTADORES!$D220)</f>
        <v>0</v>
      </c>
      <c r="T217" s="204">
        <f ca="1">IF(B217&gt;=$J$5,0,CONTADORES!$AZ221-CONTADORES!$AZ220)</f>
        <v>0</v>
      </c>
      <c r="U217" s="202">
        <f t="shared" ca="1" si="91"/>
        <v>0</v>
      </c>
      <c r="V217" s="205">
        <f ca="1">IF(B217&gt;=$J$5,0,CONTADORES!$BB221-CONTADORES!$BB220)</f>
        <v>0</v>
      </c>
      <c r="W217" s="1438">
        <f t="shared" ca="1" si="98"/>
        <v>434.50600000003033</v>
      </c>
      <c r="X217" s="1438">
        <f t="shared" ca="1" si="99"/>
        <v>0</v>
      </c>
      <c r="Y217" s="1439">
        <f t="shared" ca="1" si="100"/>
        <v>434.50600000003033</v>
      </c>
      <c r="Z217" s="1439">
        <f t="shared" ca="1" si="101"/>
        <v>8.9142276029974088</v>
      </c>
      <c r="AA217" s="1439">
        <f t="shared" ca="1" si="102"/>
        <v>0</v>
      </c>
      <c r="AB217" s="1439">
        <f t="shared" ca="1" si="103"/>
        <v>48</v>
      </c>
      <c r="AC217" s="1438">
        <f t="shared" ca="1" si="104"/>
        <v>0</v>
      </c>
      <c r="AD217" s="1438">
        <f ca="1">IF(B217&gt;=$J$5,0,CONTADORES!H221-CONTADORES!H220)</f>
        <v>164.86499999999978</v>
      </c>
      <c r="AE217" s="1438">
        <f ca="1">IF(B217&gt;=$J$5,0,CONTADORES!J221-CONTADORES!J220)</f>
        <v>24</v>
      </c>
      <c r="AF217" s="1438">
        <f ca="1">IF(B217&gt;=$J$5,0,CONTADORES!AS221-CONTADORES!AS220)</f>
        <v>146.89000000001397</v>
      </c>
      <c r="AG217" s="1438">
        <f ca="1">IF(B217&gt;=$J$5,0,CONTADORES!AU221-CONTADORES!AU220)</f>
        <v>24</v>
      </c>
      <c r="AH217" s="1439">
        <f ca="1">IF(B217&gt;=$J$5,0,(CONTADORES!AK221-CONTADORES!AK220)+(CONTADORES!K221-CONTADORES!K220))</f>
        <v>6.2000000000007276</v>
      </c>
      <c r="AI217" s="1438">
        <f ca="1">IF(B217&gt;=$J$5,0,(CONTADORES!AI221-CONTADORES!AI220)+(CONTADORES!M221-CONTADORES!M220))</f>
        <v>39.029999999998836</v>
      </c>
      <c r="AJ217" s="1438">
        <f ca="1">IF(B217&gt;=$J$5,0,(CONTADORES!AG221-CONTADORES!AG220))</f>
        <v>8.0499999999883585</v>
      </c>
      <c r="AK217" s="1438">
        <f ca="1">IF(B217&gt;=$J$5,0,(CONTADORES!O221-CONTADORES!O220))</f>
        <v>9.25</v>
      </c>
      <c r="AL217" s="1500">
        <f t="shared" ca="1" si="105"/>
        <v>32.011000000029526</v>
      </c>
      <c r="AM217" s="1438">
        <f ca="1">IF(B217&gt;=$J$5,0,(((CONTADORES!F221-CONTADORES!F220)+(CONTADORES!AO221-CONTADORES!AO220))))-BJ217-AF217-AN217-BM217-BP217-BU217-BS217</f>
        <v>9.1229999999997045</v>
      </c>
      <c r="AN217" s="1438">
        <f ca="1">IF(B217&gt;=$J$5,0,(CONTADORES!AV221-CONTADORES!AV220)+(CONTADORES!AX221-CONTADORES!AX220)+(CONTADORES!BC221-CONTADORES!BC220))-BS217</f>
        <v>3.128999999999218</v>
      </c>
      <c r="AO217" s="1440">
        <f ca="1">IF(B217&gt;=$J$5,0,(CONTADORES!AA221-CONTADORES!AA220))</f>
        <v>144.22999999998137</v>
      </c>
      <c r="AP217" s="1440">
        <f ca="1">IF(B217&gt;=$J$5,0,(CONTADORES!V221-CONTADORES!V220))</f>
        <v>74.369999999998981</v>
      </c>
      <c r="AQ217" s="1445">
        <f ca="1">IF(B217&gt;=$J$5,0,(CONTADORES!C221-CONTADORES!C220))</f>
        <v>0</v>
      </c>
      <c r="AR217" s="1440">
        <f ca="1">IF(B217&gt;=$J$5,0,(CONTADORES!BA221-CONTADORES!BA220))</f>
        <v>0</v>
      </c>
      <c r="AS217" s="1438">
        <f ca="1">IF(B217&gt;=$J$5,0,CONTADORES!Q221-CONTADORES!Q220)</f>
        <v>14.920000000012806</v>
      </c>
      <c r="AT217" s="1438">
        <f ca="1">IF(B217&gt;=$J$5,0,(CONTADORES!S221-CONTADORES!S220)+(CONTADORES!AE221-CONTADORES!AE220))</f>
        <v>3.2599999999999909</v>
      </c>
      <c r="AU217" s="1474">
        <f ca="1">IF(B217&gt;=$J$5,0,(CONTADORES!I221-CONTADORES!I220))</f>
        <v>81.901000000000749</v>
      </c>
      <c r="AV217" s="1440">
        <f ca="1">IF(B217&gt;=$J$5,0,(CONTADORES!AT221-CONTADORES!AT220))</f>
        <v>63.729999999981374</v>
      </c>
      <c r="AW217" s="1440">
        <f ca="1">IF(B217&gt;=$J$5,0,(CONTADORES!L221-CONTADORES!L220)+(CONTADORES!AL221-CONTADORES!AL220))</f>
        <v>2.4000000000014552</v>
      </c>
      <c r="AX217" s="1440">
        <f ca="1">IF(B217&gt;=$J$5,0,(CONTADORES!N221-CONTADORES!N220)+(CONTADORES!AJ221-CONTADORES!AJ220))</f>
        <v>33.980000000003201</v>
      </c>
      <c r="AY217" s="1440">
        <f ca="1">IF(B217&gt;=$J$5,0,(CONTADORES!AH221-CONTADORES!AH220))</f>
        <v>6.2600000000020373</v>
      </c>
      <c r="AZ217" s="1440">
        <f ca="1">IF(B217&gt;=$J$5,0,(CONTADORES!P221-CONTADORES!P220))</f>
        <v>7.4299999999930151</v>
      </c>
      <c r="BA217" s="1450">
        <f t="shared" ca="1" si="106"/>
        <v>3.1779999999804147</v>
      </c>
      <c r="BB217" s="1474">
        <f ca="1">IF(B217&gt;=$J$5,0,(((CONTADORES!G221-CONTADORES!G220)+(CONTADORES!AP221-CONTADORES!AP220)+AR217)-(AV217+BC217)))</f>
        <v>12.080000000018117</v>
      </c>
      <c r="BC217" s="1438">
        <f ca="1">IF(B217&gt;=$J$5,0,(CONTADORES!AW221-CONTADORES!AW220)+(CONTADORES!AY221-CONTADORES!AY220)+(CONTADORES!BD221-CONTADORES!BD220))</f>
        <v>1.4899999999997817</v>
      </c>
      <c r="BD217" s="1438">
        <f t="shared" ca="1" si="107"/>
        <v>218.59999999998035</v>
      </c>
      <c r="BE217" s="1439">
        <f ca="1">IF($B217&gt;=$J$5,0,CONTADORES!$BE221)</f>
        <v>5236</v>
      </c>
      <c r="BF217" s="1438">
        <f ca="1">IF($B217&gt;=$J$5,0,CONTADORES!$BF221)</f>
        <v>31766</v>
      </c>
      <c r="BG217" s="1438">
        <f ca="1">IF($B217&gt;=$J$5,0,CONTADORES!$BH221)</f>
        <v>5404</v>
      </c>
      <c r="BH217" s="1438">
        <f ca="1">IF(B217&gt;=$J$5,0,(CONTADORES!AQ221-CONTADORES!AQ220))</f>
        <v>5.1970000000001164</v>
      </c>
      <c r="BI217" s="1438">
        <f ca="1">IF(C217&gt;=$J$5,0,(CONTADORES!AR221-CONTADORES!AR220))</f>
        <v>0</v>
      </c>
      <c r="BJ217" s="1450">
        <f ca="1">IF(B217&gt;=$J$5,0,CONTADORES!BI221-CONTADORES!BI220)/1000</f>
        <v>4.2240000000000002</v>
      </c>
      <c r="BK217" s="1450">
        <f ca="1">IF(B217&gt;=$J$5,0,CONTADORES!BJ221-CONTADORES!BJ220)</f>
        <v>1</v>
      </c>
      <c r="BL217" s="1450">
        <f ca="1">IF(B217&gt;=$J$5,0,CONTADORES!BK221-CONTADORES!BK220)</f>
        <v>24</v>
      </c>
      <c r="BM217" s="1450">
        <f ca="1">IF(B217&gt;=$J$5,0,CONTADORES!BL221-CONTADORES!BL220)/1000</f>
        <v>3.4929999999999999</v>
      </c>
      <c r="BN217" s="1450">
        <f ca="1">IF(B217&gt;=$J$5,0,CONTADORES!BM221-CONTADORES!BM220)/1000</f>
        <v>7.0999999999999994E-2</v>
      </c>
      <c r="BO217" s="1450">
        <f ca="1">IF(B217&gt;=$J$5,0,CONTADORES!BN221-CONTADORES!BN220)</f>
        <v>24</v>
      </c>
      <c r="BP217" s="1450">
        <f ca="1">IF(B217&gt;=$J$5,0,CONTADORES!BO221-CONTADORES!BO220)/1000</f>
        <v>0</v>
      </c>
      <c r="BQ217" s="1450">
        <f ca="1">IF(B217&gt;=$J$5,0,CONTADORES!BP221-CONTADORES!BP220)/1000</f>
        <v>0</v>
      </c>
      <c r="BR217" s="1450">
        <f ca="1">IF(B217&gt;=$J$5,0,CONTADORES!BQ221-CONTADORES!BQ220)</f>
        <v>0</v>
      </c>
      <c r="BS217" s="1450">
        <f ca="1">IF(B217&gt;=$J$5,0,(CONTADORES!BT221-CONTADORES!BT220)+(CONTADORES!BV221-CONTADORES!BV220))/1000</f>
        <v>1.4810000000000001</v>
      </c>
      <c r="BT217" s="1450">
        <f ca="1">IF(B217&gt;=$J$5,0,(CONTADORES!BU221-CONTADORES!BU220)+(CONTADORES!BW221-CONTADORES!BW220))/1000</f>
        <v>0.82</v>
      </c>
      <c r="BU217" s="1450">
        <f ca="1">IF(B217&gt;=$J$5,0,CONTADORES!BR221-CONTADORES!BR220)</f>
        <v>6.7600000000002183</v>
      </c>
      <c r="BV217" s="1450">
        <f ca="1">IF(B217&gt;=$J$5,0,CONTADORES!BS221-CONTADORES!BS220)</f>
        <v>4.2600000000002183</v>
      </c>
      <c r="BW217" s="1450">
        <f t="shared" ca="1" si="108"/>
        <v>11.321500000000071</v>
      </c>
      <c r="BX217" s="1450">
        <f t="shared" ca="1" si="109"/>
        <v>10.300000000009277</v>
      </c>
      <c r="BY217" s="1450">
        <f t="shared" ca="1" si="110"/>
        <v>4.5614999999998522</v>
      </c>
      <c r="BZ217" s="1450">
        <f t="shared" ca="1" si="111"/>
        <v>1.2515999999996872</v>
      </c>
      <c r="CA217" s="1450">
        <f t="shared" ca="1" si="112"/>
        <v>4.5614999999998522</v>
      </c>
      <c r="CB217" s="1450">
        <f t="shared" ca="1" si="113"/>
        <v>1.8773999999995308</v>
      </c>
      <c r="CC217" s="1450">
        <f t="shared" ca="1" si="114"/>
        <v>2.7325999999996871</v>
      </c>
      <c r="CD217" s="1450">
        <f t="shared" ca="1" si="115"/>
        <v>6.0400000000090586</v>
      </c>
      <c r="CE217" s="1450">
        <f ca="1">IF(B217&gt;=$J$5,0,CONTADORES!BS221-CONTADORES!BS220)</f>
        <v>4.2600000000002183</v>
      </c>
      <c r="CF217" s="1450">
        <f t="shared" ca="1" si="116"/>
        <v>6.0400000000090586</v>
      </c>
      <c r="CG217" s="1450">
        <f t="shared" ca="1" si="117"/>
        <v>0.74499999999989086</v>
      </c>
      <c r="CH217" s="1450">
        <f t="shared" ca="1" si="118"/>
        <v>0.74499999999989086</v>
      </c>
      <c r="CI217" s="1450">
        <f t="shared" ca="1" si="119"/>
        <v>1.5649999999998907</v>
      </c>
      <c r="CJ217" s="1450">
        <f ca="1">IF($B217&gt;=$J$5,0,CONTADORES!$BG221)</f>
        <v>9774</v>
      </c>
      <c r="CK217" s="1406">
        <f>CONTADORES!E221</f>
        <v>0</v>
      </c>
      <c r="CL217" s="1406">
        <f>CONTADORES!BX221</f>
        <v>0</v>
      </c>
    </row>
    <row r="218" spans="2:90">
      <c r="B218" s="410">
        <v>45134</v>
      </c>
      <c r="C218" s="204">
        <f t="shared" ca="1" si="95"/>
        <v>291.43999999994412</v>
      </c>
      <c r="D218" s="202">
        <f ca="1">'CALCULO DE GAS'!P30</f>
        <v>5.0918679380347296</v>
      </c>
      <c r="E218" s="202">
        <f ca="1">IF(B218&gt;=$J$5,0,(CONTADORES!$AB222-CONTADORES!$AB221)-$H218)</f>
        <v>24</v>
      </c>
      <c r="F218" s="204">
        <f t="shared" ca="1" si="94"/>
        <v>0</v>
      </c>
      <c r="G218" s="202">
        <f ca="1">IF(B218&gt;=$J$5,0,CONTADORES!$AD222-CONTADORES!$AD221)</f>
        <v>0</v>
      </c>
      <c r="H218" s="202">
        <f ca="1">IF(G218&gt;0,CONTADORES!$AC222-CONTADORES!$AC221,0)</f>
        <v>0</v>
      </c>
      <c r="I218" s="205">
        <f ca="1">IF(B218&gt;=$J$5,0,CONTADORES!$Z222-CONTADORES!$Z221)</f>
        <v>291.43999999994412</v>
      </c>
      <c r="J218" s="204">
        <f t="shared" ca="1" si="96"/>
        <v>149.43400000000111</v>
      </c>
      <c r="K218" s="202">
        <f ca="1">'CALCULO DE GAS'!Q30</f>
        <v>3.8768451454567185</v>
      </c>
      <c r="L218" s="1437">
        <f ca="1">IF(B218&gt;=$J$5,0,(CONTADORES!$W222-CONTADORES!$W221)-$O218)</f>
        <v>24</v>
      </c>
      <c r="M218" s="1437">
        <f t="shared" ca="1" si="120"/>
        <v>0</v>
      </c>
      <c r="N218" s="1437">
        <f ca="1">IF(B218&gt;=$J$5,0,CONTADORES!$Y222-CONTADORES!$Y221)</f>
        <v>0</v>
      </c>
      <c r="O218" s="1437">
        <f ca="1">IF(N218&gt;0,CONTADORES!$X222-CONTADORES!$X221,0)</f>
        <v>0</v>
      </c>
      <c r="P218" s="208">
        <f ca="1">IF(B218&gt;=$J$5,0,CONTADORES!$U222-CONTADORES!$U221)</f>
        <v>149.43400000000111</v>
      </c>
      <c r="Q218" s="208">
        <f ca="1">IF(B218&gt;=$J$5,0,CONTADORES!$B222-CONTADORES!$B221)</f>
        <v>0</v>
      </c>
      <c r="R218" s="202">
        <f t="shared" ca="1" si="97"/>
        <v>0</v>
      </c>
      <c r="S218" s="11">
        <f ca="1">IF(B218&gt;=$J$5,0,CONTADORES!$D222-CONTADORES!$D221)</f>
        <v>0</v>
      </c>
      <c r="T218" s="204">
        <f ca="1">IF(B218&gt;=$J$5,0,CONTADORES!$AZ222-CONTADORES!$AZ221)</f>
        <v>0</v>
      </c>
      <c r="U218" s="202">
        <f t="shared" ca="1" si="91"/>
        <v>0</v>
      </c>
      <c r="V218" s="205">
        <f ca="1">IF(B218&gt;=$J$5,0,CONTADORES!$BB222-CONTADORES!$BB221)</f>
        <v>0</v>
      </c>
      <c r="W218" s="1438">
        <f t="shared" ca="1" si="98"/>
        <v>440.87399999994523</v>
      </c>
      <c r="X218" s="1438">
        <f t="shared" ca="1" si="99"/>
        <v>0</v>
      </c>
      <c r="Y218" s="1439">
        <f t="shared" ca="1" si="100"/>
        <v>440.87399999994523</v>
      </c>
      <c r="Z218" s="1439">
        <f t="shared" ca="1" si="101"/>
        <v>8.9687130834914477</v>
      </c>
      <c r="AA218" s="1439">
        <f t="shared" ca="1" si="102"/>
        <v>0</v>
      </c>
      <c r="AB218" s="1439">
        <f t="shared" ca="1" si="103"/>
        <v>48</v>
      </c>
      <c r="AC218" s="1438">
        <f t="shared" ca="1" si="104"/>
        <v>0</v>
      </c>
      <c r="AD218" s="1438">
        <f ca="1">IF(B218&gt;=$J$5,0,CONTADORES!H222-CONTADORES!H221)</f>
        <v>168.20000000000073</v>
      </c>
      <c r="AE218" s="1438">
        <f ca="1">IF(B218&gt;=$J$5,0,CONTADORES!J222-CONTADORES!J221)</f>
        <v>24</v>
      </c>
      <c r="AF218" s="1438">
        <f ca="1">IF(B218&gt;=$J$5,0,CONTADORES!AS222-CONTADORES!AS221)</f>
        <v>143.79999999998836</v>
      </c>
      <c r="AG218" s="1438">
        <f ca="1">IF(B218&gt;=$J$5,0,CONTADORES!AU222-CONTADORES!AU221)</f>
        <v>24</v>
      </c>
      <c r="AH218" s="1439">
        <f ca="1">IF(B218&gt;=$J$5,0,(CONTADORES!AK222-CONTADORES!AK221)+(CONTADORES!K222-CONTADORES!K221))</f>
        <v>8.4000000000014552</v>
      </c>
      <c r="AI218" s="1438">
        <f ca="1">IF(B218&gt;=$J$5,0,(CONTADORES!AI222-CONTADORES!AI221)+(CONTADORES!M222-CONTADORES!M221))</f>
        <v>40.599999999991269</v>
      </c>
      <c r="AJ218" s="1438">
        <f ca="1">IF(B218&gt;=$J$5,0,(CONTADORES!AG222-CONTADORES!AG221))</f>
        <v>5.4000000000087311</v>
      </c>
      <c r="AK218" s="1438">
        <f ca="1">IF(B218&gt;=$J$5,0,(CONTADORES!O222-CONTADORES!O221))</f>
        <v>9</v>
      </c>
      <c r="AL218" s="1500">
        <f t="shared" ca="1" si="105"/>
        <v>35.973999999943771</v>
      </c>
      <c r="AM218" s="1438">
        <f ca="1">IF(B218&gt;=$J$5,0,(((CONTADORES!F222-CONTADORES!F221)+(CONTADORES!AO222-CONTADORES!AO221))))-BJ218-AF218-AN218-BM218-BP218-BU218-BS218</f>
        <v>10.666000000011197</v>
      </c>
      <c r="AN218" s="1438">
        <f ca="1">IF(B218&gt;=$J$5,0,(CONTADORES!AV222-CONTADORES!AV221)+(CONTADORES!AX222-CONTADORES!AX221)+(CONTADORES!BC222-CONTADORES!BC221))-BS218</f>
        <v>3.5580000000000909</v>
      </c>
      <c r="AO218" s="1440">
        <f ca="1">IF(B218&gt;=$J$5,0,(CONTADORES!AA222-CONTADORES!AA221))</f>
        <v>144.11999999999534</v>
      </c>
      <c r="AP218" s="1440">
        <f ca="1">IF(B218&gt;=$J$5,0,(CONTADORES!V222-CONTADORES!V221))</f>
        <v>76</v>
      </c>
      <c r="AQ218" s="1445">
        <f ca="1">IF(B218&gt;=$J$5,0,(CONTADORES!C222-CONTADORES!C221))</f>
        <v>0</v>
      </c>
      <c r="AR218" s="1440">
        <f ca="1">IF(B218&gt;=$J$5,0,(CONTADORES!BA222-CONTADORES!BA221))</f>
        <v>0</v>
      </c>
      <c r="AS218" s="1438">
        <f ca="1">IF(B218&gt;=$J$5,0,CONTADORES!Q222-CONTADORES!Q221)</f>
        <v>14</v>
      </c>
      <c r="AT218" s="1438">
        <f ca="1">IF(B218&gt;=$J$5,0,(CONTADORES!S222-CONTADORES!S221)+(CONTADORES!AE222-CONTADORES!AE221))</f>
        <v>3.1299999999999955</v>
      </c>
      <c r="AU218" s="1474">
        <f ca="1">IF(B218&gt;=$J$5,0,(CONTADORES!I222-CONTADORES!I221))</f>
        <v>83.399999999999636</v>
      </c>
      <c r="AV218" s="1440">
        <f ca="1">IF(B218&gt;=$J$5,0,(CONTADORES!AT222-CONTADORES!AT221))</f>
        <v>62.100000000005821</v>
      </c>
      <c r="AW218" s="1440">
        <f ca="1">IF(B218&gt;=$J$5,0,(CONTADORES!L222-CONTADORES!L221)+(CONTADORES!AL222-CONTADORES!AL221))</f>
        <v>3.2999999999992724</v>
      </c>
      <c r="AX218" s="1440">
        <f ca="1">IF(B218&gt;=$J$5,0,(CONTADORES!N222-CONTADORES!N221)+(CONTADORES!AJ222-CONTADORES!AJ221))</f>
        <v>35.19999999999709</v>
      </c>
      <c r="AY218" s="1440">
        <f ca="1">IF(B218&gt;=$J$5,0,(CONTADORES!AH222-CONTADORES!AH221))</f>
        <v>4</v>
      </c>
      <c r="AZ218" s="1440">
        <f ca="1">IF(B218&gt;=$J$5,0,(CONTADORES!P222-CONTADORES!P221))</f>
        <v>7</v>
      </c>
      <c r="BA218" s="1450">
        <f t="shared" ca="1" si="106"/>
        <v>4.7259999999995159</v>
      </c>
      <c r="BB218" s="1474">
        <f ca="1">IF(B218&gt;=$J$5,0,(((CONTADORES!G222-CONTADORES!G221)+(CONTADORES!AP222-CONTADORES!AP221)+AR218)-(AV218+BC218)))</f>
        <v>12.699999999994247</v>
      </c>
      <c r="BC218" s="1438">
        <f ca="1">IF(B218&gt;=$J$5,0,(CONTADORES!AW222-CONTADORES!AW221)+(CONTADORES!AY222-CONTADORES!AY221)+(CONTADORES!BD222-CONTADORES!BD221))</f>
        <v>1.6999999999999318</v>
      </c>
      <c r="BD218" s="1438">
        <f t="shared" ca="1" si="107"/>
        <v>220.11999999999534</v>
      </c>
      <c r="BE218" s="1439">
        <f ca="1">IF($B218&gt;=$J$5,0,CONTADORES!$BE222)</f>
        <v>5497</v>
      </c>
      <c r="BF218" s="1438">
        <f ca="1">IF($B218&gt;=$J$5,0,CONTADORES!$BF222)</f>
        <v>31897</v>
      </c>
      <c r="BG218" s="1438">
        <f ca="1">IF($B218&gt;=$J$5,0,CONTADORES!$BH222)</f>
        <v>6358</v>
      </c>
      <c r="BH218" s="1438">
        <f ca="1">IF(B218&gt;=$J$5,0,(CONTADORES!AQ222-CONTADORES!AQ221))</f>
        <v>4.6999999999970896</v>
      </c>
      <c r="BI218" s="1438">
        <f ca="1">IF(C218&gt;=$J$5,0,(CONTADORES!AR222-CONTADORES!AR221))</f>
        <v>0</v>
      </c>
      <c r="BJ218" s="1450">
        <f ca="1">IF(B218&gt;=$J$5,0,CONTADORES!BI222-CONTADORES!BI221)/1000</f>
        <v>3.6640000000000001</v>
      </c>
      <c r="BK218" s="1450">
        <f ca="1">IF(B218&gt;=$J$5,0,CONTADORES!BJ222-CONTADORES!BJ221)</f>
        <v>1</v>
      </c>
      <c r="BL218" s="1450">
        <f ca="1">IF(B218&gt;=$J$5,0,CONTADORES!BK222-CONTADORES!BK221)</f>
        <v>24</v>
      </c>
      <c r="BM218" s="1450">
        <f ca="1">IF(B218&gt;=$J$5,0,CONTADORES!BL222-CONTADORES!BL221)/1000</f>
        <v>3.37</v>
      </c>
      <c r="BN218" s="1450">
        <f ca="1">IF(B218&gt;=$J$5,0,CONTADORES!BM222-CONTADORES!BM221)/1000</f>
        <v>4.8000000000000001E-2</v>
      </c>
      <c r="BO218" s="1450">
        <f ca="1">IF(B218&gt;=$J$5,0,CONTADORES!BN222-CONTADORES!BN221)</f>
        <v>24</v>
      </c>
      <c r="BP218" s="1450">
        <f ca="1">IF(B218&gt;=$J$5,0,CONTADORES!BO222-CONTADORES!BO221)/1000</f>
        <v>0</v>
      </c>
      <c r="BQ218" s="1450">
        <f ca="1">IF(B218&gt;=$J$5,0,CONTADORES!BP222-CONTADORES!BP221)/1000</f>
        <v>0</v>
      </c>
      <c r="BR218" s="1450">
        <f ca="1">IF(B218&gt;=$J$5,0,CONTADORES!BQ222-CONTADORES!BQ221)</f>
        <v>0</v>
      </c>
      <c r="BS218" s="1450">
        <f ca="1">IF(B218&gt;=$J$5,0,(CONTADORES!BT222-CONTADORES!BT221)+(CONTADORES!BV222-CONTADORES!BV221))/1000</f>
        <v>1.3420000000000001</v>
      </c>
      <c r="BT218" s="1450">
        <f ca="1">IF(B218&gt;=$J$5,0,(CONTADORES!BU222-CONTADORES!BU221)+(CONTADORES!BW222-CONTADORES!BW221))/1000</f>
        <v>0.746</v>
      </c>
      <c r="BU218" s="1450">
        <f ca="1">IF(B218&gt;=$J$5,0,CONTADORES!BR222-CONTADORES!BR221)</f>
        <v>6.8999999999996362</v>
      </c>
      <c r="BV218" s="1450">
        <f ca="1">IF(B218&gt;=$J$5,0,CONTADORES!BS222-CONTADORES!BS221)</f>
        <v>4.1999999999998181</v>
      </c>
      <c r="BW218" s="1450">
        <f t="shared" ca="1" si="108"/>
        <v>12.233000000005234</v>
      </c>
      <c r="BX218" s="1450">
        <f t="shared" ca="1" si="109"/>
        <v>10.549999999996942</v>
      </c>
      <c r="BY218" s="1450">
        <f t="shared" ca="1" si="110"/>
        <v>5.3330000000055984</v>
      </c>
      <c r="BZ218" s="1450">
        <f t="shared" ca="1" si="111"/>
        <v>1.4232000000000364</v>
      </c>
      <c r="CA218" s="1450">
        <f t="shared" ca="1" si="112"/>
        <v>5.3330000000055984</v>
      </c>
      <c r="CB218" s="1450">
        <f t="shared" ca="1" si="113"/>
        <v>2.1348000000000544</v>
      </c>
      <c r="CC218" s="1450">
        <f t="shared" ca="1" si="114"/>
        <v>2.7652000000000365</v>
      </c>
      <c r="CD218" s="1450">
        <f t="shared" ca="1" si="115"/>
        <v>6.3499999999971237</v>
      </c>
      <c r="CE218" s="1450">
        <f ca="1">IF(B218&gt;=$J$5,0,CONTADORES!BS222-CONTADORES!BS221)</f>
        <v>4.1999999999998181</v>
      </c>
      <c r="CF218" s="1450">
        <f t="shared" ca="1" si="116"/>
        <v>6.3499999999971237</v>
      </c>
      <c r="CG218" s="1450">
        <f t="shared" ca="1" si="117"/>
        <v>0.84999999999996589</v>
      </c>
      <c r="CH218" s="1450">
        <f t="shared" ca="1" si="118"/>
        <v>0.84999999999996589</v>
      </c>
      <c r="CI218" s="1450">
        <f t="shared" ca="1" si="119"/>
        <v>1.5959999999999659</v>
      </c>
      <c r="CJ218" s="1450">
        <f ca="1">IF($B218&gt;=$J$5,0,CONTADORES!$BG222)</f>
        <v>9290</v>
      </c>
      <c r="CK218" s="1406">
        <f>CONTADORES!E222</f>
        <v>0</v>
      </c>
      <c r="CL218" s="1406">
        <f>CONTADORES!BX222</f>
        <v>0</v>
      </c>
    </row>
    <row r="219" spans="2:90">
      <c r="B219" s="410">
        <v>45135</v>
      </c>
      <c r="C219" s="204">
        <f t="shared" ca="1" si="95"/>
        <v>277</v>
      </c>
      <c r="D219" s="202">
        <f ca="1">'CALCULO DE GAS'!P31</f>
        <v>4.9683173195765953</v>
      </c>
      <c r="E219" s="202">
        <f ca="1">IF(B219&gt;=$J$5,0,(CONTADORES!$AB223-CONTADORES!$AB222)-$H219)</f>
        <v>24</v>
      </c>
      <c r="F219" s="204">
        <f t="shared" ca="1" si="94"/>
        <v>0</v>
      </c>
      <c r="G219" s="202">
        <f ca="1">IF(B219&gt;=$J$5,0,CONTADORES!$AD223-CONTADORES!$AD222)</f>
        <v>0</v>
      </c>
      <c r="H219" s="202">
        <f ca="1">IF(G219&gt;0,CONTADORES!$AC223-CONTADORES!$AC222,0)</f>
        <v>0</v>
      </c>
      <c r="I219" s="205">
        <f ca="1">IF(B219&gt;=$J$5,0,CONTADORES!$Z223-CONTADORES!$Z222)</f>
        <v>277</v>
      </c>
      <c r="J219" s="204">
        <f t="shared" ca="1" si="96"/>
        <v>147</v>
      </c>
      <c r="K219" s="202">
        <f ca="1">'CALCULO DE GAS'!Q31</f>
        <v>3.8560195079686026</v>
      </c>
      <c r="L219" s="1437">
        <f ca="1">IF(B219&gt;=$J$5,0,(CONTADORES!$W223-CONTADORES!$W222)-$O219)</f>
        <v>24</v>
      </c>
      <c r="M219" s="1437">
        <f t="shared" ca="1" si="120"/>
        <v>0</v>
      </c>
      <c r="N219" s="1437">
        <f ca="1">IF(B219&gt;=$J$5,0,CONTADORES!$Y223-CONTADORES!$Y222)</f>
        <v>0</v>
      </c>
      <c r="O219" s="1437">
        <f ca="1">IF(N219&gt;0,CONTADORES!$X223-CONTADORES!$X222,0)</f>
        <v>0</v>
      </c>
      <c r="P219" s="208">
        <f ca="1">IF(B219&gt;=$J$5,0,CONTADORES!$U223-CONTADORES!$U222)</f>
        <v>147</v>
      </c>
      <c r="Q219" s="208">
        <f ca="1">IF(B219&gt;=$J$5,0,CONTADORES!$B223-CONTADORES!$B222)</f>
        <v>0</v>
      </c>
      <c r="R219" s="202">
        <f t="shared" ca="1" si="97"/>
        <v>0</v>
      </c>
      <c r="S219" s="11">
        <f ca="1">IF(B219&gt;=$J$5,0,CONTADORES!$D223-CONTADORES!$D222)</f>
        <v>0</v>
      </c>
      <c r="T219" s="204">
        <f ca="1">IF(B219&gt;=$J$5,0,CONTADORES!$AZ223-CONTADORES!$AZ222)</f>
        <v>0</v>
      </c>
      <c r="U219" s="202">
        <f t="shared" ca="1" si="91"/>
        <v>0</v>
      </c>
      <c r="V219" s="205">
        <f ca="1">IF(B219&gt;=$J$5,0,CONTADORES!$BB223-CONTADORES!$BB222)</f>
        <v>0</v>
      </c>
      <c r="W219" s="1438">
        <f t="shared" ca="1" si="98"/>
        <v>424</v>
      </c>
      <c r="X219" s="1438">
        <f t="shared" ca="1" si="99"/>
        <v>0</v>
      </c>
      <c r="Y219" s="1439">
        <f t="shared" ca="1" si="100"/>
        <v>424</v>
      </c>
      <c r="Z219" s="1439">
        <f t="shared" ca="1" si="101"/>
        <v>8.8243368275451974</v>
      </c>
      <c r="AA219" s="1439">
        <f t="shared" ca="1" si="102"/>
        <v>0</v>
      </c>
      <c r="AB219" s="1439">
        <f t="shared" ca="1" si="103"/>
        <v>48</v>
      </c>
      <c r="AC219" s="1438">
        <f t="shared" ca="1" si="104"/>
        <v>0</v>
      </c>
      <c r="AD219" s="1438">
        <f ca="1">IF(B219&gt;=$J$5,0,CONTADORES!H223-CONTADORES!H222)</f>
        <v>164</v>
      </c>
      <c r="AE219" s="1438">
        <f ca="1">IF(B219&gt;=$J$5,0,CONTADORES!J223-CONTADORES!J222)</f>
        <v>24</v>
      </c>
      <c r="AF219" s="1438">
        <f ca="1">IF(B219&gt;=$J$5,0,CONTADORES!AS223-CONTADORES!AS222)</f>
        <v>129</v>
      </c>
      <c r="AG219" s="1438">
        <f ca="1">IF(B219&gt;=$J$5,0,CONTADORES!AU223-CONTADORES!AU222)</f>
        <v>21.30000000000291</v>
      </c>
      <c r="AH219" s="1439">
        <f ca="1">IF(B219&gt;=$J$5,0,(CONTADORES!AK223-CONTADORES!AK222)+(CONTADORES!K223-CONTADORES!K222))</f>
        <v>12.900000000003274</v>
      </c>
      <c r="AI219" s="1438">
        <f ca="1">IF(B219&gt;=$J$5,0,(CONTADORES!AI223-CONTADORES!AI222)+(CONTADORES!M223-CONTADORES!M222))</f>
        <v>38.400000000008731</v>
      </c>
      <c r="AJ219" s="1438">
        <f ca="1">IF(B219&gt;=$J$5,0,(CONTADORES!AG223-CONTADORES!AG222))</f>
        <v>7.1999999999970896</v>
      </c>
      <c r="AK219" s="1438">
        <f ca="1">IF(B219&gt;=$J$5,0,(CONTADORES!O223-CONTADORES!O222))</f>
        <v>10</v>
      </c>
      <c r="AL219" s="1500">
        <f t="shared" ca="1" si="105"/>
        <v>34.299999999990177</v>
      </c>
      <c r="AM219" s="1438">
        <f ca="1">IF(B219&gt;=$J$5,0,(((CONTADORES!F223-CONTADORES!F222)+(CONTADORES!AO223-CONTADORES!AO222))))-BJ219-AF219-AN219-BM219-BP219-BU219-BS219</f>
        <v>9.5079999999993774</v>
      </c>
      <c r="AN219" s="1438">
        <f ca="1">IF(B219&gt;=$J$5,0,(CONTADORES!AV223-CONTADORES!AV222)+(CONTADORES!AX223-CONTADORES!AX222)+(CONTADORES!BC223-CONTADORES!BC222))-BS219</f>
        <v>3.4360000000006119</v>
      </c>
      <c r="AO219" s="1440">
        <f ca="1">IF(B219&gt;=$J$5,0,(CONTADORES!AA223-CONTADORES!AA222))</f>
        <v>136</v>
      </c>
      <c r="AP219" s="1440">
        <f ca="1">IF(B219&gt;=$J$5,0,(CONTADORES!V223-CONTADORES!V222))</f>
        <v>75</v>
      </c>
      <c r="AQ219" s="1445">
        <f ca="1">IF(B219&gt;=$J$5,0,(CONTADORES!C223-CONTADORES!C222))</f>
        <v>0</v>
      </c>
      <c r="AR219" s="1440">
        <f ca="1">IF(B219&gt;=$J$5,0,(CONTADORES!BA223-CONTADORES!BA222))</f>
        <v>0</v>
      </c>
      <c r="AS219" s="1438">
        <f ca="1">IF(B219&gt;=$J$5,0,CONTADORES!Q223-CONTADORES!Q222)</f>
        <v>14</v>
      </c>
      <c r="AT219" s="1438">
        <f ca="1">IF(B219&gt;=$J$5,0,(CONTADORES!S223-CONTADORES!S222)+(CONTADORES!AE223-CONTADORES!AE222))</f>
        <v>3.2000000000000171</v>
      </c>
      <c r="AU219" s="1474">
        <f ca="1">IF(B219&gt;=$J$5,0,(CONTADORES!I223-CONTADORES!I222))</f>
        <v>81</v>
      </c>
      <c r="AV219" s="1440">
        <f ca="1">IF(B219&gt;=$J$5,0,(CONTADORES!AT223-CONTADORES!AT222))</f>
        <v>56</v>
      </c>
      <c r="AW219" s="1440">
        <f ca="1">IF(B219&gt;=$J$5,0,(CONTADORES!L223-CONTADORES!L222)+(CONTADORES!AL223-CONTADORES!AL222))</f>
        <v>5</v>
      </c>
      <c r="AX219" s="1440">
        <f ca="1">IF(B219&gt;=$J$5,0,(CONTADORES!N223-CONTADORES!N222)+(CONTADORES!AJ223-CONTADORES!AJ222))</f>
        <v>33.200000000004366</v>
      </c>
      <c r="AY219" s="1440">
        <f ca="1">IF(B219&gt;=$J$5,0,(CONTADORES!AH223-CONTADORES!AH222))</f>
        <v>5.3000000000029104</v>
      </c>
      <c r="AZ219" s="1440">
        <f ca="1">IF(B219&gt;=$J$5,0,(CONTADORES!P223-CONTADORES!P222))</f>
        <v>8</v>
      </c>
      <c r="BA219" s="1450">
        <f t="shared" ca="1" si="106"/>
        <v>2.9369999999919969</v>
      </c>
      <c r="BB219" s="1474">
        <f ca="1">IF(B219&gt;=$J$5,0,(((CONTADORES!G223-CONTADORES!G222)+(CONTADORES!AP223-CONTADORES!AP222)+AR219)-(AV219+BC219)))</f>
        <v>11.660000000000622</v>
      </c>
      <c r="BC219" s="1438">
        <f ca="1">IF(B219&gt;=$J$5,0,(CONTADORES!AW223-CONTADORES!AW222)+(CONTADORES!AY223-CONTADORES!AY222)+(CONTADORES!BD223-CONTADORES!BD222))</f>
        <v>1.7399999999999238</v>
      </c>
      <c r="BD219" s="1438">
        <f t="shared" ca="1" si="107"/>
        <v>211</v>
      </c>
      <c r="BE219" s="1439">
        <f ca="1">IF($B219&gt;=$J$5,0,CONTADORES!$BE223)</f>
        <v>5472.75</v>
      </c>
      <c r="BF219" s="1438">
        <f ca="1">IF($B219&gt;=$J$5,0,CONTADORES!$BF223)</f>
        <v>32732.273684210501</v>
      </c>
      <c r="BG219" s="1438">
        <f ca="1">IF($B219&gt;=$J$5,0,CONTADORES!$BH223)</f>
        <v>5944.84</v>
      </c>
      <c r="BH219" s="1438">
        <f ca="1">IF(B219&gt;=$J$5,0,(CONTADORES!AQ223-CONTADORES!AQ222))</f>
        <v>5</v>
      </c>
      <c r="BI219" s="1438">
        <f ca="1">IF(C219&gt;=$J$5,0,(CONTADORES!AR223-CONTADORES!AR222))</f>
        <v>0</v>
      </c>
      <c r="BJ219" s="1450">
        <f ca="1">IF(B219&gt;=$J$5,0,CONTADORES!BI223-CONTADORES!BI222)/1000</f>
        <v>3.8</v>
      </c>
      <c r="BK219" s="1450">
        <f ca="1">IF(B219&gt;=$J$5,0,CONTADORES!BJ223-CONTADORES!BJ222)</f>
        <v>1</v>
      </c>
      <c r="BL219" s="1450">
        <f ca="1">IF(B219&gt;=$J$5,0,CONTADORES!BK223-CONTADORES!BK222)</f>
        <v>24</v>
      </c>
      <c r="BM219" s="1450">
        <f ca="1">IF(B219&gt;=$J$5,0,CONTADORES!BL223-CONTADORES!BL222)/1000</f>
        <v>3.302</v>
      </c>
      <c r="BN219" s="1450">
        <f ca="1">IF(B219&gt;=$J$5,0,CONTADORES!BM223-CONTADORES!BM222)/1000</f>
        <v>4.3999999999999997E-2</v>
      </c>
      <c r="BO219" s="1450">
        <f ca="1">IF(B219&gt;=$J$5,0,CONTADORES!BN223-CONTADORES!BN222)</f>
        <v>24</v>
      </c>
      <c r="BP219" s="1450">
        <f ca="1">IF(B219&gt;=$J$5,0,CONTADORES!BO223-CONTADORES!BO222)/1000</f>
        <v>0</v>
      </c>
      <c r="BQ219" s="1450">
        <f ca="1">IF(B219&gt;=$J$5,0,CONTADORES!BP223-CONTADORES!BP222)/1000</f>
        <v>0</v>
      </c>
      <c r="BR219" s="1450">
        <f ca="1">IF(B219&gt;=$J$5,0,CONTADORES!BQ223-CONTADORES!BQ222)</f>
        <v>0</v>
      </c>
      <c r="BS219" s="1450">
        <f ca="1">IF(B219&gt;=$J$5,0,(CONTADORES!BT223-CONTADORES!BT222)+(CONTADORES!BV223-CONTADORES!BV222))/1000</f>
        <v>1.454</v>
      </c>
      <c r="BT219" s="1450">
        <f ca="1">IF(B219&gt;=$J$5,0,(CONTADORES!BU223-CONTADORES!BU222)+(CONTADORES!BW223-CONTADORES!BW222))/1000</f>
        <v>0.81899999999999995</v>
      </c>
      <c r="BU219" s="1450">
        <f ca="1">IF(B219&gt;=$J$5,0,CONTADORES!BR223-CONTADORES!BR222)</f>
        <v>6.7000000000007276</v>
      </c>
      <c r="BV219" s="1450">
        <f ca="1">IF(B219&gt;=$J$5,0,CONTADORES!BS223-CONTADORES!BS222)</f>
        <v>4.3000000000001819</v>
      </c>
      <c r="BW219" s="1450">
        <f t="shared" ca="1" si="108"/>
        <v>11.454000000000416</v>
      </c>
      <c r="BX219" s="1450">
        <f t="shared" ca="1" si="109"/>
        <v>10.130000000000493</v>
      </c>
      <c r="BY219" s="1450">
        <f t="shared" ca="1" si="110"/>
        <v>4.7539999999996887</v>
      </c>
      <c r="BZ219" s="1450">
        <f t="shared" ca="1" si="111"/>
        <v>1.3744000000002448</v>
      </c>
      <c r="CA219" s="1450">
        <f t="shared" ca="1" si="112"/>
        <v>4.7539999999996887</v>
      </c>
      <c r="CB219" s="1450">
        <f t="shared" ca="1" si="113"/>
        <v>2.0616000000003671</v>
      </c>
      <c r="CC219" s="1450">
        <f t="shared" ca="1" si="114"/>
        <v>2.8284000000002445</v>
      </c>
      <c r="CD219" s="1450">
        <f t="shared" ca="1" si="115"/>
        <v>5.8300000000003109</v>
      </c>
      <c r="CE219" s="1450">
        <f ca="1">IF(B219&gt;=$J$5,0,CONTADORES!BS223-CONTADORES!BS222)</f>
        <v>4.3000000000001819</v>
      </c>
      <c r="CF219" s="1450">
        <f t="shared" ca="1" si="116"/>
        <v>5.8300000000003109</v>
      </c>
      <c r="CG219" s="1450">
        <f t="shared" ca="1" si="117"/>
        <v>0.86999999999996191</v>
      </c>
      <c r="CH219" s="1450">
        <f t="shared" ca="1" si="118"/>
        <v>0.86999999999996191</v>
      </c>
      <c r="CI219" s="1450">
        <f t="shared" ca="1" si="119"/>
        <v>1.6889999999999619</v>
      </c>
      <c r="CJ219" s="1450">
        <f ca="1">IF($B219&gt;=$J$5,0,CONTADORES!$BG223)</f>
        <v>9357.0008577812096</v>
      </c>
      <c r="CK219" s="1406">
        <f>CONTADORES!E223</f>
        <v>0</v>
      </c>
      <c r="CL219" s="1406">
        <f>CONTADORES!BX223</f>
        <v>0</v>
      </c>
    </row>
    <row r="220" spans="2:90">
      <c r="B220" s="410">
        <v>45136</v>
      </c>
      <c r="C220" s="204">
        <f t="shared" ca="1" si="95"/>
        <v>295</v>
      </c>
      <c r="D220" s="202">
        <f ca="1">'CALCULO DE GAS'!P32</f>
        <v>5.1223277857992411</v>
      </c>
      <c r="E220" s="202">
        <f ca="1">IF(B220&gt;=$J$5,0,(CONTADORES!$AB224-CONTADORES!$AB223)-$H220)</f>
        <v>24</v>
      </c>
      <c r="F220" s="204">
        <f t="shared" ca="1" si="94"/>
        <v>0</v>
      </c>
      <c r="G220" s="202">
        <f ca="1">IF(B220&gt;=$J$5,0,CONTADORES!$AD224-CONTADORES!$AD223)</f>
        <v>0</v>
      </c>
      <c r="H220" s="202">
        <f ca="1">IF(G220&gt;0,CONTADORES!$AC224-CONTADORES!$AC223,0)</f>
        <v>0</v>
      </c>
      <c r="I220" s="205">
        <f ca="1">IF(B220&gt;=$J$5,0,CONTADORES!$Z224-CONTADORES!$Z223)</f>
        <v>295</v>
      </c>
      <c r="J220" s="204">
        <f t="shared" ca="1" si="96"/>
        <v>147</v>
      </c>
      <c r="K220" s="202">
        <f ca="1">'CALCULO DE GAS'!Q32</f>
        <v>3.8560195079686026</v>
      </c>
      <c r="L220" s="1437">
        <f ca="1">IF(B220&gt;=$J$5,0,(CONTADORES!$W224-CONTADORES!$W223)-$O220)</f>
        <v>24</v>
      </c>
      <c r="M220" s="1437">
        <f t="shared" ca="1" si="120"/>
        <v>0</v>
      </c>
      <c r="N220" s="1437">
        <f ca="1">IF(B220&gt;=$J$5,0,CONTADORES!$Y224-CONTADORES!$Y223)</f>
        <v>0</v>
      </c>
      <c r="O220" s="1437">
        <f ca="1">IF(N220&gt;0,CONTADORES!$X224-CONTADORES!$X223,0)</f>
        <v>0</v>
      </c>
      <c r="P220" s="208">
        <f ca="1">IF(B220&gt;=$J$5,0,CONTADORES!$U224-CONTADORES!$U223)</f>
        <v>147</v>
      </c>
      <c r="Q220" s="208">
        <f ca="1">IF(B220&gt;=$J$5,0,CONTADORES!$B224-CONTADORES!$B223)</f>
        <v>0</v>
      </c>
      <c r="R220" s="202">
        <f t="shared" ca="1" si="97"/>
        <v>0</v>
      </c>
      <c r="S220" s="11">
        <f ca="1">IF(B220&gt;=$J$5,0,CONTADORES!$D224-CONTADORES!$D223)</f>
        <v>0</v>
      </c>
      <c r="T220" s="204">
        <f ca="1">IF(B220&gt;=$J$5,0,CONTADORES!$AZ224-CONTADORES!$AZ223)</f>
        <v>0</v>
      </c>
      <c r="U220" s="202">
        <f t="shared" ca="1" si="91"/>
        <v>0</v>
      </c>
      <c r="V220" s="205">
        <f ca="1">IF(B220&gt;=$J$5,0,CONTADORES!$BB224-CONTADORES!$BB223)</f>
        <v>0</v>
      </c>
      <c r="W220" s="1438">
        <f t="shared" ca="1" si="98"/>
        <v>442</v>
      </c>
      <c r="X220" s="1438">
        <f t="shared" ca="1" si="99"/>
        <v>0</v>
      </c>
      <c r="Y220" s="1439">
        <f t="shared" ca="1" si="100"/>
        <v>442</v>
      </c>
      <c r="Z220" s="1439">
        <f t="shared" ca="1" si="101"/>
        <v>8.9783472937678432</v>
      </c>
      <c r="AA220" s="1439">
        <f t="shared" ca="1" si="102"/>
        <v>0</v>
      </c>
      <c r="AB220" s="1439">
        <f t="shared" ca="1" si="103"/>
        <v>48</v>
      </c>
      <c r="AC220" s="1438">
        <f t="shared" ca="1" si="104"/>
        <v>0</v>
      </c>
      <c r="AD220" s="1438">
        <f ca="1">IF(B220&gt;=$J$5,0,CONTADORES!H224-CONTADORES!H223)</f>
        <v>166</v>
      </c>
      <c r="AE220" s="1438">
        <f ca="1">IF(B220&gt;=$J$5,0,CONTADORES!J224-CONTADORES!J223)</f>
        <v>24</v>
      </c>
      <c r="AF220" s="1438">
        <f ca="1">IF(B220&gt;=$J$5,0,CONTADORES!AS224-CONTADORES!AS223)</f>
        <v>146</v>
      </c>
      <c r="AG220" s="1438">
        <f ca="1">IF(B220&gt;=$J$5,0,CONTADORES!AU224-CONTADORES!AU223)</f>
        <v>24</v>
      </c>
      <c r="AH220" s="1439">
        <f ca="1">IF(B220&gt;=$J$5,0,(CONTADORES!AK224-CONTADORES!AK223)+(CONTADORES!K224-CONTADORES!K223))</f>
        <v>13.799999999995634</v>
      </c>
      <c r="AI220" s="1438">
        <f ca="1">IF(B220&gt;=$J$5,0,(CONTADORES!AI224-CONTADORES!AI223)+(CONTADORES!M224-CONTADORES!M223))</f>
        <v>37.299999999988358</v>
      </c>
      <c r="AJ220" s="1438">
        <f ca="1">IF(B220&gt;=$J$5,0,(CONTADORES!AG224-CONTADORES!AG223))</f>
        <v>8.8000000000029104</v>
      </c>
      <c r="AK220" s="1438">
        <f ca="1">IF(B220&gt;=$J$5,0,(CONTADORES!O224-CONTADORES!O223))</f>
        <v>10</v>
      </c>
      <c r="AL220" s="1500">
        <f t="shared" ca="1" si="105"/>
        <v>29.900000000012369</v>
      </c>
      <c r="AM220" s="1438">
        <f ca="1">IF(B220&gt;=$J$5,0,(((CONTADORES!F224-CONTADORES!F223)+(CONTADORES!AO224-CONTADORES!AO223))))-BJ220-AF220-AN220-BM220-BP220-BU220-BS220</f>
        <v>13.065000000001548</v>
      </c>
      <c r="AN220" s="1438">
        <f ca="1">IF(B220&gt;=$J$5,0,(CONTADORES!AV224-CONTADORES!AV223)+(CONTADORES!AX224-CONTADORES!AX223)+(CONTADORES!BC224-CONTADORES!BC223))-BS220</f>
        <v>3.2529999999999091</v>
      </c>
      <c r="AO220" s="1440">
        <f ca="1">IF(B220&gt;=$J$5,0,(CONTADORES!AA224-CONTADORES!AA223))</f>
        <v>145</v>
      </c>
      <c r="AP220" s="1440">
        <f ca="1">IF(B220&gt;=$J$5,0,(CONTADORES!V224-CONTADORES!V223))</f>
        <v>77</v>
      </c>
      <c r="AQ220" s="1445">
        <f ca="1">IF(B220&gt;=$J$5,0,(CONTADORES!C224-CONTADORES!C223))</f>
        <v>0</v>
      </c>
      <c r="AR220" s="1440">
        <f ca="1">IF(B220&gt;=$J$5,0,(CONTADORES!BA224-CONTADORES!BA223))</f>
        <v>0</v>
      </c>
      <c r="AS220" s="1438">
        <f ca="1">IF(B220&gt;=$J$5,0,CONTADORES!Q224-CONTADORES!Q223)</f>
        <v>14</v>
      </c>
      <c r="AT220" s="1438">
        <f ca="1">IF(B220&gt;=$J$5,0,(CONTADORES!S224-CONTADORES!S223)+(CONTADORES!AE224-CONTADORES!AE223))</f>
        <v>3.2999999999999829</v>
      </c>
      <c r="AU220" s="1474">
        <f ca="1">IF(B220&gt;=$J$5,0,(CONTADORES!I224-CONTADORES!I223))</f>
        <v>82</v>
      </c>
      <c r="AV220" s="1440">
        <f ca="1">IF(B220&gt;=$J$5,0,(CONTADORES!AT224-CONTADORES!AT223))</f>
        <v>63</v>
      </c>
      <c r="AW220" s="1440">
        <f ca="1">IF(B220&gt;=$J$5,0,(CONTADORES!L224-CONTADORES!L223)+(CONTADORES!AL224-CONTADORES!AL223))</f>
        <v>5.5</v>
      </c>
      <c r="AX220" s="1440">
        <f ca="1">IF(B220&gt;=$J$5,0,(CONTADORES!N224-CONTADORES!N223)+(CONTADORES!AJ224-CONTADORES!AJ223))</f>
        <v>32.5</v>
      </c>
      <c r="AY220" s="1440">
        <f ca="1">IF(B220&gt;=$J$5,0,(CONTADORES!AH224-CONTADORES!AH223))</f>
        <v>6.5999999999985448</v>
      </c>
      <c r="AZ220" s="1440">
        <f ca="1">IF(B220&gt;=$J$5,0,(CONTADORES!P224-CONTADORES!P223))</f>
        <v>8</v>
      </c>
      <c r="BA220" s="1450">
        <f t="shared" ca="1" si="106"/>
        <v>4.6060000000014441</v>
      </c>
      <c r="BB220" s="1474">
        <f ca="1">IF(B220&gt;=$J$5,0,(((CONTADORES!G224-CONTADORES!G223)+(CONTADORES!AP224-CONTADORES!AP223)+AR220)-(AV220+BC220)))</f>
        <v>12.999999999999545</v>
      </c>
      <c r="BC220" s="1438">
        <f ca="1">IF(B220&gt;=$J$5,0,(CONTADORES!AW224-CONTADORES!AW223)+(CONTADORES!AY224-CONTADORES!AY223)+(CONTADORES!BD224-CONTADORES!BD223))</f>
        <v>1.4000000000000909</v>
      </c>
      <c r="BD220" s="1438">
        <f t="shared" ca="1" si="107"/>
        <v>222</v>
      </c>
      <c r="BE220" s="1439">
        <f ca="1">IF($B220&gt;=$J$5,0,CONTADORES!$BE224)</f>
        <v>5683.53</v>
      </c>
      <c r="BF220" s="1438">
        <f ca="1">IF($B220&gt;=$J$5,0,CONTADORES!$BF224)</f>
        <v>32687.6052631579</v>
      </c>
      <c r="BG220" s="1438">
        <f ca="1">IF($B220&gt;=$J$5,0,CONTADORES!$BH224)</f>
        <v>6384.64</v>
      </c>
      <c r="BH220" s="1438">
        <f ca="1">IF(B220&gt;=$J$5,0,(CONTADORES!AQ224-CONTADORES!AQ223))</f>
        <v>4</v>
      </c>
      <c r="BI220" s="1438">
        <f ca="1">IF(C220&gt;=$J$5,0,(CONTADORES!AR224-CONTADORES!AR223))</f>
        <v>0</v>
      </c>
      <c r="BJ220" s="1450">
        <f ca="1">IF(B220&gt;=$J$5,0,CONTADORES!BI224-CONTADORES!BI223)/1000</f>
        <v>4</v>
      </c>
      <c r="BK220" s="1450">
        <f ca="1">IF(B220&gt;=$J$5,0,CONTADORES!BJ224-CONTADORES!BJ223)</f>
        <v>1</v>
      </c>
      <c r="BL220" s="1450">
        <f ca="1">IF(B220&gt;=$J$5,0,CONTADORES!BK224-CONTADORES!BK223)</f>
        <v>24</v>
      </c>
      <c r="BM220" s="1450">
        <f ca="1">IF(B220&gt;=$J$5,0,CONTADORES!BL224-CONTADORES!BL223)/1000</f>
        <v>3.2349999999999999</v>
      </c>
      <c r="BN220" s="1450">
        <f ca="1">IF(B220&gt;=$J$5,0,CONTADORES!BM224-CONTADORES!BM223)/1000</f>
        <v>3.5999999999999997E-2</v>
      </c>
      <c r="BO220" s="1450">
        <f ca="1">IF(B220&gt;=$J$5,0,CONTADORES!BN224-CONTADORES!BN223)</f>
        <v>24</v>
      </c>
      <c r="BP220" s="1450">
        <f ca="1">IF(B220&gt;=$J$5,0,CONTADORES!BO224-CONTADORES!BO223)/1000</f>
        <v>0</v>
      </c>
      <c r="BQ220" s="1450">
        <f ca="1">IF(B220&gt;=$J$5,0,CONTADORES!BP224-CONTADORES!BP223)/1000</f>
        <v>0</v>
      </c>
      <c r="BR220" s="1450">
        <f ca="1">IF(B220&gt;=$J$5,0,CONTADORES!BQ224-CONTADORES!BQ223)</f>
        <v>0</v>
      </c>
      <c r="BS220" s="1450">
        <f ca="1">IF(B220&gt;=$J$5,0,(CONTADORES!BT224-CONTADORES!BT223)+(CONTADORES!BV224-CONTADORES!BV223))/1000</f>
        <v>1.347</v>
      </c>
      <c r="BT220" s="1450">
        <f ca="1">IF(B220&gt;=$J$5,0,(CONTADORES!BU224-CONTADORES!BU223)+(CONTADORES!BW224-CONTADORES!BW223))/1000</f>
        <v>0.75800000000000001</v>
      </c>
      <c r="BU220" s="1450">
        <f ca="1">IF(B220&gt;=$J$5,0,CONTADORES!BR224-CONTADORES!BR223)</f>
        <v>5.2999999999992724</v>
      </c>
      <c r="BV220" s="1450">
        <f ca="1">IF(B220&gt;=$J$5,0,CONTADORES!BS224-CONTADORES!BS223)</f>
        <v>3.6000000000003638</v>
      </c>
      <c r="BW220" s="1450">
        <f t="shared" ca="1" si="108"/>
        <v>11.832500000000046</v>
      </c>
      <c r="BX220" s="1450">
        <f t="shared" ca="1" si="109"/>
        <v>10.100000000000136</v>
      </c>
      <c r="BY220" s="1450">
        <f t="shared" ca="1" si="110"/>
        <v>6.5325000000007742</v>
      </c>
      <c r="BZ220" s="1450">
        <f t="shared" ca="1" si="111"/>
        <v>1.3011999999999637</v>
      </c>
      <c r="CA220" s="1450">
        <f t="shared" ca="1" si="112"/>
        <v>6.5325000000007742</v>
      </c>
      <c r="CB220" s="1450">
        <f t="shared" ca="1" si="113"/>
        <v>1.9517999999999454</v>
      </c>
      <c r="CC220" s="1450">
        <f t="shared" ca="1" si="114"/>
        <v>2.6481999999999637</v>
      </c>
      <c r="CD220" s="1450">
        <f t="shared" ca="1" si="115"/>
        <v>6.4999999999997726</v>
      </c>
      <c r="CE220" s="1450">
        <f ca="1">IF(B220&gt;=$J$5,0,CONTADORES!BS224-CONTADORES!BS223)</f>
        <v>3.6000000000003638</v>
      </c>
      <c r="CF220" s="1450">
        <f t="shared" ca="1" si="116"/>
        <v>6.4999999999997726</v>
      </c>
      <c r="CG220" s="1450">
        <f t="shared" ca="1" si="117"/>
        <v>0.70000000000004547</v>
      </c>
      <c r="CH220" s="1450">
        <f t="shared" ca="1" si="118"/>
        <v>0.70000000000004547</v>
      </c>
      <c r="CI220" s="1450">
        <f t="shared" ca="1" si="119"/>
        <v>1.4580000000000455</v>
      </c>
      <c r="CJ220" s="1450">
        <f ca="1">IF($B220&gt;=$J$5,0,CONTADORES!$BG224)</f>
        <v>9153.2049028461406</v>
      </c>
      <c r="CK220" s="1406">
        <f>CONTADORES!E224</f>
        <v>0</v>
      </c>
      <c r="CL220" s="1406">
        <f>CONTADORES!BX224</f>
        <v>0</v>
      </c>
    </row>
    <row r="221" spans="2:90">
      <c r="B221" s="410">
        <v>45137</v>
      </c>
      <c r="C221" s="204">
        <f t="shared" ca="1" si="95"/>
        <v>294</v>
      </c>
      <c r="D221" s="202">
        <f ca="1">'CALCULO DE GAS'!P33</f>
        <v>5.113771648786873</v>
      </c>
      <c r="E221" s="202">
        <f ca="1">IF(B221&gt;=$J$5,0,(CONTADORES!$AB225-CONTADORES!$AB224)-$H221)</f>
        <v>24</v>
      </c>
      <c r="F221" s="204">
        <f t="shared" ca="1" si="94"/>
        <v>0</v>
      </c>
      <c r="G221" s="202">
        <f ca="1">IF(B221&gt;=$J$5,0,CONTADORES!$AD225-CONTADORES!$AD224)</f>
        <v>0</v>
      </c>
      <c r="H221" s="202">
        <f ca="1">IF(G221&gt;0,CONTADORES!$AC225-CONTADORES!$AC224,0)</f>
        <v>0</v>
      </c>
      <c r="I221" s="205">
        <f ca="1">IF(B221&gt;=$J$5,0,CONTADORES!$Z225-CONTADORES!$Z224)</f>
        <v>294</v>
      </c>
      <c r="J221" s="204">
        <f t="shared" ca="1" si="96"/>
        <v>150</v>
      </c>
      <c r="K221" s="202">
        <f ca="1">'CALCULO DE GAS'!Q33</f>
        <v>3.8816879190057101</v>
      </c>
      <c r="L221" s="1437">
        <f ca="1">IF(B221&gt;=$J$5,0,(CONTADORES!$W225-CONTADORES!$W224)-$O221)</f>
        <v>24</v>
      </c>
      <c r="M221" s="1437">
        <f t="shared" ca="1" si="120"/>
        <v>0</v>
      </c>
      <c r="N221" s="1437">
        <f ca="1">IF(B221&gt;=$J$5,0,CONTADORES!$Y225-CONTADORES!$Y224)</f>
        <v>0</v>
      </c>
      <c r="O221" s="1437">
        <f ca="1">IF(N221&gt;0,CONTADORES!$X225-CONTADORES!$X224,0)</f>
        <v>0</v>
      </c>
      <c r="P221" s="208">
        <f ca="1">IF(B221&gt;=$J$5,0,CONTADORES!$U225-CONTADORES!$U224)</f>
        <v>150</v>
      </c>
      <c r="Q221" s="208">
        <f ca="1">IF(B221&gt;=$J$5,0,CONTADORES!$B225-CONTADORES!$B224)</f>
        <v>0</v>
      </c>
      <c r="R221" s="202">
        <f t="shared" ca="1" si="97"/>
        <v>0</v>
      </c>
      <c r="S221" s="11">
        <f ca="1">IF(B221&gt;=$J$5,0,CONTADORES!$D225-CONTADORES!$D224)</f>
        <v>0</v>
      </c>
      <c r="T221" s="204">
        <f ca="1">IF(B221&gt;=$J$5,0,CONTADORES!$AZ225-CONTADORES!$AZ224)</f>
        <v>0</v>
      </c>
      <c r="U221" s="202">
        <f t="shared" ca="1" si="91"/>
        <v>0</v>
      </c>
      <c r="V221" s="205">
        <f ca="1">IF(B221&gt;=$J$5,0,CONTADORES!$BB225-CONTADORES!$BB224)</f>
        <v>0</v>
      </c>
      <c r="W221" s="1438">
        <f t="shared" ca="1" si="98"/>
        <v>444</v>
      </c>
      <c r="X221" s="1438">
        <f t="shared" ca="1" si="99"/>
        <v>0</v>
      </c>
      <c r="Y221" s="1439">
        <f t="shared" ca="1" si="100"/>
        <v>444</v>
      </c>
      <c r="Z221" s="1439">
        <f t="shared" ca="1" si="101"/>
        <v>8.995459567792583</v>
      </c>
      <c r="AA221" s="1439">
        <f t="shared" ca="1" si="102"/>
        <v>0</v>
      </c>
      <c r="AB221" s="1439">
        <f t="shared" ca="1" si="103"/>
        <v>48</v>
      </c>
      <c r="AC221" s="1438">
        <f t="shared" ca="1" si="104"/>
        <v>0</v>
      </c>
      <c r="AD221" s="1438">
        <f ca="1">IF(B221&gt;=$J$5,0,CONTADORES!H225-CONTADORES!H224)</f>
        <v>166</v>
      </c>
      <c r="AE221" s="1438">
        <f ca="1">IF(B221&gt;=$J$5,0,CONTADORES!J225-CONTADORES!J224)</f>
        <v>24</v>
      </c>
      <c r="AF221" s="1438">
        <f ca="1">IF(B221&gt;=$J$5,0,CONTADORES!AS225-CONTADORES!AS224)</f>
        <v>147</v>
      </c>
      <c r="AG221" s="1438">
        <f ca="1">IF(B221&gt;=$J$5,0,CONTADORES!AU225-CONTADORES!AU224)</f>
        <v>24</v>
      </c>
      <c r="AH221" s="1439">
        <f ca="1">IF(B221&gt;=$J$5,0,(CONTADORES!AK225-CONTADORES!AK224)+(CONTADORES!K225-CONTADORES!K224))</f>
        <v>12.300000000004729</v>
      </c>
      <c r="AI221" s="1438">
        <f ca="1">IF(B221&gt;=$J$5,0,(CONTADORES!AI225-CONTADORES!AI224)+(CONTADORES!M225-CONTADORES!M224))</f>
        <v>37.900000000008731</v>
      </c>
      <c r="AJ221" s="1438">
        <f ca="1">IF(B221&gt;=$J$5,0,(CONTADORES!AG225-CONTADORES!AG224))</f>
        <v>8.8999999999941792</v>
      </c>
      <c r="AK221" s="1438">
        <f ca="1">IF(B221&gt;=$J$5,0,(CONTADORES!O225-CONTADORES!O224))</f>
        <v>10</v>
      </c>
      <c r="AL221" s="1500">
        <f t="shared" ca="1" si="105"/>
        <v>33.499999999994486</v>
      </c>
      <c r="AM221" s="1438">
        <f ca="1">IF(B221&gt;=$J$5,0,(((CONTADORES!F225-CONTADORES!F224)+(CONTADORES!AO225-CONTADORES!AO224))))-BJ221-AF221-AN221-BM221-BP221-BU221-BS221</f>
        <v>11.140999999998098</v>
      </c>
      <c r="AN221" s="1438">
        <f ca="1">IF(B221&gt;=$J$5,0,(CONTADORES!AV225-CONTADORES!AV224)+(CONTADORES!AX225-CONTADORES!AX224)+(CONTADORES!BC225-CONTADORES!BC224))-BS221</f>
        <v>3.5020000000000913</v>
      </c>
      <c r="AO221" s="1440">
        <f ca="1">IF(B221&gt;=$J$5,0,(CONTADORES!AA225-CONTADORES!AA224))</f>
        <v>149</v>
      </c>
      <c r="AP221" s="1440">
        <f ca="1">IF(B221&gt;=$J$5,0,(CONTADORES!V225-CONTADORES!V224))</f>
        <v>74</v>
      </c>
      <c r="AQ221" s="1445">
        <f ca="1">IF(B221&gt;=$J$5,0,(CONTADORES!C225-CONTADORES!C224))</f>
        <v>0</v>
      </c>
      <c r="AR221" s="1440">
        <f ca="1">IF(B221&gt;=$J$5,0,(CONTADORES!BA225-CONTADORES!BA224))</f>
        <v>0</v>
      </c>
      <c r="AS221" s="1438">
        <f ca="1">IF(B221&gt;=$J$5,0,CONTADORES!Q225-CONTADORES!Q224)</f>
        <v>14</v>
      </c>
      <c r="AT221" s="1438">
        <f ca="1">IF(B221&gt;=$J$5,0,(CONTADORES!S225-CONTADORES!S224)+(CONTADORES!AE225-CONTADORES!AE224))</f>
        <v>3.2000000000000171</v>
      </c>
      <c r="AU221" s="1474">
        <f ca="1">IF(B221&gt;=$J$5,0,(CONTADORES!I225-CONTADORES!I224))</f>
        <v>82</v>
      </c>
      <c r="AV221" s="1440">
        <f ca="1">IF(B221&gt;=$J$5,0,(CONTADORES!AT225-CONTADORES!AT224))</f>
        <v>64</v>
      </c>
      <c r="AW221" s="1440">
        <f ca="1">IF(B221&gt;=$J$5,0,(CONTADORES!L225-CONTADORES!L224)+(CONTADORES!AL225-CONTADORES!AL224))</f>
        <v>4.5000000000009095</v>
      </c>
      <c r="AX221" s="1440">
        <f ca="1">IF(B221&gt;=$J$5,0,(CONTADORES!N225-CONTADORES!N224)+(CONTADORES!AJ225-CONTADORES!AJ224))</f>
        <v>33</v>
      </c>
      <c r="AY221" s="1440">
        <f ca="1">IF(B221&gt;=$J$5,0,(CONTADORES!AH225-CONTADORES!AH224))</f>
        <v>6.6999999999970896</v>
      </c>
      <c r="AZ221" s="1440">
        <f ca="1">IF(B221&gt;=$J$5,0,(CONTADORES!P225-CONTADORES!P224))</f>
        <v>8</v>
      </c>
      <c r="BA221" s="1450">
        <f t="shared" ca="1" si="106"/>
        <v>4.7700000000021987</v>
      </c>
      <c r="BB221" s="1474">
        <f ca="1">IF(B221&gt;=$J$5,0,(((CONTADORES!G225-CONTADORES!G224)+(CONTADORES!AP225-CONTADORES!AP224)+AR221)-(AV221+BC221)))</f>
        <v>12.700000000000671</v>
      </c>
      <c r="BC221" s="1438">
        <f ca="1">IF(B221&gt;=$J$5,0,(CONTADORES!AW225-CONTADORES!AW224)+(CONTADORES!AY225-CONTADORES!AY224)+(CONTADORES!BD225-CONTADORES!BD224))</f>
        <v>1.6999999999998749</v>
      </c>
      <c r="BD221" s="1438">
        <f t="shared" ca="1" si="107"/>
        <v>223</v>
      </c>
      <c r="BE221" s="1439">
        <f ca="1">IF($B221&gt;=$J$5,0,CONTADORES!$BE225)</f>
        <v>5310.11</v>
      </c>
      <c r="BF221" s="1438">
        <f ca="1">IF($B221&gt;=$J$5,0,CONTADORES!$BF225)</f>
        <v>30299.1175438596</v>
      </c>
      <c r="BG221" s="1438">
        <f ca="1">IF($B221&gt;=$J$5,0,CONTADORES!$BH225)</f>
        <v>5715.01</v>
      </c>
      <c r="BH221" s="1438">
        <f ca="1">IF(B221&gt;=$J$5,0,(CONTADORES!AQ225-CONTADORES!AQ224))</f>
        <v>4</v>
      </c>
      <c r="BI221" s="1438">
        <f ca="1">IF(C221&gt;=$J$5,0,(CONTADORES!AR225-CONTADORES!AR224))</f>
        <v>0</v>
      </c>
      <c r="BJ221" s="1450">
        <f ca="1">IF(B221&gt;=$J$5,0,CONTADORES!BI225-CONTADORES!BI224)/1000</f>
        <v>3.6</v>
      </c>
      <c r="BK221" s="1450">
        <f ca="1">IF(B221&gt;=$J$5,0,CONTADORES!BJ225-CONTADORES!BJ224)</f>
        <v>1</v>
      </c>
      <c r="BL221" s="1450">
        <f ca="1">IF(B221&gt;=$J$5,0,CONTADORES!BK225-CONTADORES!BK224)</f>
        <v>24</v>
      </c>
      <c r="BM221" s="1450">
        <f ca="1">IF(B221&gt;=$J$5,0,CONTADORES!BL225-CONTADORES!BL224)/1000</f>
        <v>3.359</v>
      </c>
      <c r="BN221" s="1450">
        <f ca="1">IF(B221&gt;=$J$5,0,CONTADORES!BM225-CONTADORES!BM224)/1000</f>
        <v>0.04</v>
      </c>
      <c r="BO221" s="1450">
        <f ca="1">IF(B221&gt;=$J$5,0,CONTADORES!BN225-CONTADORES!BN224)</f>
        <v>24</v>
      </c>
      <c r="BP221" s="1450">
        <f ca="1">IF(B221&gt;=$J$5,0,CONTADORES!BO225-CONTADORES!BO224)/1000</f>
        <v>0</v>
      </c>
      <c r="BQ221" s="1450">
        <f ca="1">IF(B221&gt;=$J$5,0,CONTADORES!BP225-CONTADORES!BP224)/1000</f>
        <v>0</v>
      </c>
      <c r="BR221" s="1450">
        <f ca="1">IF(B221&gt;=$J$5,0,CONTADORES!BQ225-CONTADORES!BQ224)</f>
        <v>0</v>
      </c>
      <c r="BS221" s="1450">
        <f ca="1">IF(B221&gt;=$J$5,0,(CONTADORES!BT225-CONTADORES!BT224)+(CONTADORES!BV225-CONTADORES!BV224))/1000</f>
        <v>1.3979999999999999</v>
      </c>
      <c r="BT221" s="1450">
        <f ca="1">IF(B221&gt;=$J$5,0,(CONTADORES!BU225-CONTADORES!BU224)+(CONTADORES!BW225-CONTADORES!BW224))/1000</f>
        <v>0.79</v>
      </c>
      <c r="BU221" s="1450">
        <f ca="1">IF(B221&gt;=$J$5,0,CONTADORES!BR225-CONTADORES!BR224)</f>
        <v>5.3999999999996362</v>
      </c>
      <c r="BV221" s="1450">
        <f ca="1">IF(B221&gt;=$J$5,0,CONTADORES!BS225-CONTADORES!BS224)</f>
        <v>3.7999999999992724</v>
      </c>
      <c r="BW221" s="1450">
        <f t="shared" ca="1" si="108"/>
        <v>10.970499999998685</v>
      </c>
      <c r="BX221" s="1450">
        <f t="shared" ca="1" si="109"/>
        <v>10.149999999999608</v>
      </c>
      <c r="BY221" s="1450">
        <f t="shared" ca="1" si="110"/>
        <v>5.5704999999990488</v>
      </c>
      <c r="BZ221" s="1450">
        <f t="shared" ca="1" si="111"/>
        <v>1.4008000000000367</v>
      </c>
      <c r="CA221" s="1450">
        <f t="shared" ca="1" si="112"/>
        <v>5.5704999999990488</v>
      </c>
      <c r="CB221" s="1450">
        <f t="shared" ca="1" si="113"/>
        <v>2.1012000000000546</v>
      </c>
      <c r="CC221" s="1450">
        <f t="shared" ca="1" si="114"/>
        <v>2.7988000000000364</v>
      </c>
      <c r="CD221" s="1450">
        <f t="shared" ca="1" si="115"/>
        <v>6.3500000000003354</v>
      </c>
      <c r="CE221" s="1450">
        <f ca="1">IF(B221&gt;=$J$5,0,CONTADORES!BS225-CONTADORES!BS224)</f>
        <v>3.7999999999992724</v>
      </c>
      <c r="CF221" s="1450">
        <f t="shared" ca="1" si="116"/>
        <v>6.3500000000003354</v>
      </c>
      <c r="CG221" s="1450">
        <f t="shared" ca="1" si="117"/>
        <v>0.84999999999993747</v>
      </c>
      <c r="CH221" s="1450">
        <f t="shared" ca="1" si="118"/>
        <v>0.84999999999993747</v>
      </c>
      <c r="CI221" s="1450">
        <f t="shared" ca="1" si="119"/>
        <v>1.6399999999999375</v>
      </c>
      <c r="CJ221" s="1450">
        <f ca="1">IF($B221&gt;=$J$5,0,CONTADORES!$BG225)</f>
        <v>9028.5038662954794</v>
      </c>
      <c r="CK221" s="1406">
        <f>CONTADORES!E225</f>
        <v>0</v>
      </c>
      <c r="CL221" s="1406">
        <f>CONTADORES!BX225</f>
        <v>0</v>
      </c>
    </row>
    <row r="222" spans="2:90" ht="15" thickBot="1">
      <c r="B222" s="1069">
        <v>45138</v>
      </c>
      <c r="C222" s="206">
        <f t="shared" ca="1" si="95"/>
        <v>274</v>
      </c>
      <c r="D222" s="203">
        <f ca="1">'CALCULO DE GAS'!P34</f>
        <v>4.9426489085394882</v>
      </c>
      <c r="E222" s="203">
        <f ca="1">IF(B222&gt;=$J$5,0,(CONTADORES!$AB226-CONTADORES!$AB225)-$H222)</f>
        <v>24</v>
      </c>
      <c r="F222" s="206">
        <f t="shared" ca="1" si="94"/>
        <v>0</v>
      </c>
      <c r="G222" s="203">
        <f ca="1">IF(B222&gt;=$J$5,0,CONTADORES!$AD226-CONTADORES!$AD225)</f>
        <v>0</v>
      </c>
      <c r="H222" s="202">
        <f ca="1">IF(G222&gt;0,CONTADORES!$AC226-CONTADORES!$AC225,0)</f>
        <v>0</v>
      </c>
      <c r="I222" s="207">
        <f ca="1">IF(B222&gt;=$J$5,0,CONTADORES!$Z226-CONTADORES!$Z225)</f>
        <v>274</v>
      </c>
      <c r="J222" s="206">
        <f t="shared" ca="1" si="96"/>
        <v>146</v>
      </c>
      <c r="K222" s="203">
        <f ca="1">'CALCULO DE GAS'!Q34</f>
        <v>3.8474633709562331</v>
      </c>
      <c r="L222" s="1465">
        <f ca="1">IF(B222&gt;=$J$5,0,(CONTADORES!$W226-CONTADORES!$W225)-$O222)</f>
        <v>24</v>
      </c>
      <c r="M222" s="1465">
        <f t="shared" ca="1" si="120"/>
        <v>0</v>
      </c>
      <c r="N222" s="1465">
        <f ca="1">IF(B222&gt;=$J$5,0,CONTADORES!$Y226-CONTADORES!$Y225)</f>
        <v>0</v>
      </c>
      <c r="O222" s="207">
        <f ca="1">IF(N222&gt;0,CONTADORES!$X226-CONTADORES!$X225,0)</f>
        <v>0</v>
      </c>
      <c r="P222" s="209">
        <f ca="1">IF(B222&gt;=$J$5,0,CONTADORES!$U226-CONTADORES!$U225)</f>
        <v>146</v>
      </c>
      <c r="Q222" s="209">
        <f ca="1">IF(B222&gt;=$J$5,0,CONTADORES!$B226-CONTADORES!$B225)</f>
        <v>0.41300000000001091</v>
      </c>
      <c r="R222" s="203">
        <f t="shared" ca="1" si="97"/>
        <v>49.56000000000131</v>
      </c>
      <c r="S222" s="65">
        <f ca="1">IF(B222&gt;=$J$5,0,CONTADORES!$D226-CONTADORES!$D225)</f>
        <v>0.8000000000001819</v>
      </c>
      <c r="T222" s="206">
        <f ca="1">IF(B222&gt;=$J$5,0,CONTADORES!$AZ226-CONTADORES!$AZ225)</f>
        <v>0.40899999999999181</v>
      </c>
      <c r="U222" s="203">
        <f t="shared" ca="1" si="91"/>
        <v>49.079999999999018</v>
      </c>
      <c r="V222" s="207">
        <f ca="1">IF(B222&gt;=$J$5,0,CONTADORES!$BB226-CONTADORES!$BB225)</f>
        <v>0.59999999999990905</v>
      </c>
      <c r="W222" s="1466">
        <f t="shared" ca="1" si="98"/>
        <v>420</v>
      </c>
      <c r="X222" s="1466">
        <f t="shared" ca="1" si="99"/>
        <v>0.82200000000000273</v>
      </c>
      <c r="Y222" s="1467">
        <f t="shared" ca="1" si="100"/>
        <v>420.822</v>
      </c>
      <c r="Z222" s="1467">
        <f t="shared" ca="1" si="101"/>
        <v>8.7901122794957214</v>
      </c>
      <c r="AA222" s="1467">
        <f t="shared" ca="1" si="102"/>
        <v>98.640000000000327</v>
      </c>
      <c r="AB222" s="1467">
        <f t="shared" ca="1" si="103"/>
        <v>48</v>
      </c>
      <c r="AC222" s="1467">
        <f t="shared" ca="1" si="104"/>
        <v>1.4000000000000909</v>
      </c>
      <c r="AD222" s="1438">
        <f ca="1">IF(B222&gt;=$J$5,0,CONTADORES!H226-CONTADORES!H225)</f>
        <v>162</v>
      </c>
      <c r="AE222" s="1438">
        <f ca="1">IF(B222&gt;=$J$5,0,CONTADORES!J226-CONTADORES!J225)</f>
        <v>24</v>
      </c>
      <c r="AF222" s="1466">
        <f ca="1">IF(B222&gt;=$J$5,0,CONTADORES!AS226-CONTADORES!AS225)</f>
        <v>145</v>
      </c>
      <c r="AG222" s="1466">
        <f ca="1">IF(B222&gt;=$J$5,0,CONTADORES!AU226-CONTADORES!AU225)</f>
        <v>24</v>
      </c>
      <c r="AH222" s="1439">
        <f ca="1">IF(B222&gt;=$J$5,0,(CONTADORES!AK226-CONTADORES!AK225)+(CONTADORES!K226-CONTADORES!K225))</f>
        <v>1.499999999994543</v>
      </c>
      <c r="AI222" s="1438">
        <f ca="1">IF(B222&gt;=$J$5,0,(CONTADORES!AI226-CONTADORES!AI225)+(CONTADORES!M226-CONTADORES!M225))</f>
        <v>36.599999999991269</v>
      </c>
      <c r="AJ222" s="1438">
        <f ca="1">IF(B222&gt;=$J$5,0,(CONTADORES!AG226-CONTADORES!AG225))</f>
        <v>7.3000000000029104</v>
      </c>
      <c r="AK222" s="1438">
        <f ca="1">IF(B222&gt;=$J$5,0,(CONTADORES!O226-CONTADORES!O225))</f>
        <v>8</v>
      </c>
      <c r="AL222" s="1467">
        <f t="shared" ca="1" si="105"/>
        <v>33.422000000011337</v>
      </c>
      <c r="AM222" s="1467">
        <f ca="1">IF(B222&gt;=$J$5,0,(((CONTADORES!F226-CONTADORES!F225)+(CONTADORES!AO226-CONTADORES!AO225))))-BJ222-AF222-AN222-BM222-BP222-BU222-BS222</f>
        <v>10.681000000000086</v>
      </c>
      <c r="AN222" s="1438">
        <f ca="1">IF(B222&gt;=$J$5,0,(CONTADORES!AV226-CONTADORES!AV225)+(CONTADORES!AX226-CONTADORES!AX225)+(CONTADORES!BC226-CONTADORES!BC225))-BS222</f>
        <v>2.7960000000002729</v>
      </c>
      <c r="AO222" s="62">
        <f ca="1">IF(B222&gt;=$J$5,0,(CONTADORES!AA226-CONTADORES!AA225))</f>
        <v>138</v>
      </c>
      <c r="AP222" s="62">
        <f ca="1">IF(B222&gt;=$J$5,0,(CONTADORES!V226-CONTADORES!V225))</f>
        <v>72</v>
      </c>
      <c r="AQ222" s="1469">
        <f ca="1">IF(B222&gt;=$J$5,0,(CONTADORES!C226-CONTADORES!C225))</f>
        <v>0.20500000000004093</v>
      </c>
      <c r="AR222" s="62">
        <f ca="1">IF(B222&gt;=$J$5,0,(CONTADORES!BA226-CONTADORES!BA225))</f>
        <v>0.15600000000000591</v>
      </c>
      <c r="AS222" s="1467">
        <f ca="1">IF(B222&gt;=$J$5,0,CONTADORES!Q226-CONTADORES!Q225)</f>
        <v>15</v>
      </c>
      <c r="AT222" s="1467">
        <f ca="1">IF(B222&gt;=$J$5,0,(CONTADORES!S226-CONTADORES!S225)+(CONTADORES!AE226-CONTADORES!AE225))</f>
        <v>3.1999999999999886</v>
      </c>
      <c r="AU222" s="62">
        <f ca="1">IF(B222&gt;=$J$5,0,(CONTADORES!I226-CONTADORES!I225))</f>
        <v>81</v>
      </c>
      <c r="AV222" s="62">
        <f ca="1">IF(B222&gt;=$J$5,0,(CONTADORES!AT226-CONTADORES!AT225))</f>
        <v>63</v>
      </c>
      <c r="AW222" s="1440">
        <f ca="1">IF(B222&gt;=$J$5,0,(CONTADORES!L226-CONTADORES!L225)+(CONTADORES!AL226-CONTADORES!AL225))</f>
        <v>0.5</v>
      </c>
      <c r="AX222" s="1440">
        <f ca="1">IF(B222&gt;=$J$5,0,(CONTADORES!N226-CONTADORES!N225)+(CONTADORES!AJ226-CONTADORES!AJ225))</f>
        <v>31.69999999999709</v>
      </c>
      <c r="AY222" s="1440">
        <f ca="1">IF(B222&gt;=$J$5,0,(CONTADORES!AH226-CONTADORES!AH225))</f>
        <v>5.3000000000029104</v>
      </c>
      <c r="AZ222" s="1440">
        <f ca="1">IF(B222&gt;=$J$5,0,(CONTADORES!P226-CONTADORES!P225))</f>
        <v>7</v>
      </c>
      <c r="BA222" s="1467">
        <f t="shared" ca="1" si="106"/>
        <v>2.8790000000000191</v>
      </c>
      <c r="BB222" s="1474">
        <f ca="1">IF(B222&gt;=$J$5,0,(((CONTADORES!G226-CONTADORES!G225)+(CONTADORES!AP226-CONTADORES!AP225)+AR222)-(AV222+BC222)))</f>
        <v>12.055999999999074</v>
      </c>
      <c r="BC222" s="1467">
        <f ca="1">IF(B222&gt;=$J$5,0,(CONTADORES!AW226-CONTADORES!AW225)+(CONTADORES!AY226-CONTADORES!AY225)+(CONTADORES!BD226-CONTADORES!BD225))</f>
        <v>1.4000000000002046</v>
      </c>
      <c r="BD222" s="1466">
        <f t="shared" ca="1" si="107"/>
        <v>210.36100000000005</v>
      </c>
      <c r="BE222" s="1467">
        <f ca="1">IF($B222&gt;=$J$5,0,CONTADORES!$BE226)</f>
        <v>5490.52</v>
      </c>
      <c r="BF222" s="1466">
        <f ca="1">IF($B222&gt;=$J$5,0,CONTADORES!$BF226)</f>
        <v>32451.491228070176</v>
      </c>
      <c r="BG222" s="1467">
        <f ca="1">IF($B222&gt;=$J$5,0,CONTADORES!$BH226)</f>
        <v>4841.1400000000003</v>
      </c>
      <c r="BH222" s="1467">
        <f ca="1">IF(B222&gt;=$J$5,0,(CONTADORES!AQ226-CONTADORES!AQ225))</f>
        <v>4</v>
      </c>
      <c r="BI222" s="1466">
        <f ca="1">IF(C222&gt;=$J$5,0,(CONTADORES!AR226-CONTADORES!AR225))</f>
        <v>0</v>
      </c>
      <c r="BJ222" s="1467">
        <f ca="1">IF(B222&gt;=$J$5,0,CONTADORES!BI226-CONTADORES!BI225)/1000</f>
        <v>3.4</v>
      </c>
      <c r="BK222" s="1467">
        <f ca="1">IF(B222&gt;=$J$5,0,CONTADORES!BJ226-CONTADORES!BJ225)</f>
        <v>1</v>
      </c>
      <c r="BL222" s="1467">
        <f ca="1">IF(B222&gt;=$J$5,0,CONTADORES!BK226-CONTADORES!BK225)</f>
        <v>24</v>
      </c>
      <c r="BM222" s="1467">
        <f ca="1">IF(B222&gt;=$J$5,0,CONTADORES!BL226-CONTADORES!BL225)/1000</f>
        <v>3.319</v>
      </c>
      <c r="BN222" s="1467">
        <f ca="1">IF(B222&gt;=$J$5,0,CONTADORES!BM226-CONTADORES!BM225)/1000</f>
        <v>4.3999999999999997E-2</v>
      </c>
      <c r="BO222" s="1467">
        <f ca="1">IF(B222&gt;=$J$5,0,CONTADORES!BN226-CONTADORES!BN225)</f>
        <v>24</v>
      </c>
      <c r="BP222" s="1467">
        <f ca="1">IF(B222&gt;=$J$5,0,CONTADORES!BO226-CONTADORES!BO225)/1000</f>
        <v>0</v>
      </c>
      <c r="BQ222" s="1467">
        <f ca="1">IF(B222&gt;=$J$5,0,CONTADORES!BP226-CONTADORES!BP225)/1000</f>
        <v>0</v>
      </c>
      <c r="BR222" s="1467">
        <f ca="1">IF(B222&gt;=$J$5,0,CONTADORES!BQ226-CONTADORES!BQ225)</f>
        <v>0</v>
      </c>
      <c r="BS222" s="1467">
        <f ca="1">IF(B222&gt;=$J$5,0,(CONTADORES!BT226-CONTADORES!BT225)+(CONTADORES!BV226-CONTADORES!BV225))/1000</f>
        <v>1.4039999999999999</v>
      </c>
      <c r="BT222" s="1467">
        <f ca="1">IF(B222&gt;=$J$5,0,(CONTADORES!BU226-CONTADORES!BU225)+(CONTADORES!BW226-CONTADORES!BW225))/1000</f>
        <v>0.78200000000000003</v>
      </c>
      <c r="BU222" s="1467">
        <f ca="1">IF(B222&gt;=$J$5,0,CONTADORES!BR226-CONTADORES!BR225)</f>
        <v>5.3999999999996362</v>
      </c>
      <c r="BV222" s="1467">
        <f ca="1">IF(B222&gt;=$J$5,0,CONTADORES!BS226-CONTADORES!BS225)</f>
        <v>3.7000000000007276</v>
      </c>
      <c r="BW222" s="1497">
        <f t="shared" ca="1" si="108"/>
        <v>10.740499999999679</v>
      </c>
      <c r="BX222" s="1497">
        <f t="shared" ca="1" si="109"/>
        <v>9.7280000000002644</v>
      </c>
      <c r="BY222" s="1497">
        <f t="shared" ca="1" si="110"/>
        <v>5.3405000000000431</v>
      </c>
      <c r="BZ222" s="1497">
        <f t="shared" ca="1" si="111"/>
        <v>1.1184000000001093</v>
      </c>
      <c r="CA222" s="1497">
        <f t="shared" ca="1" si="112"/>
        <v>5.3405000000000431</v>
      </c>
      <c r="CB222" s="1497">
        <f t="shared" ca="1" si="113"/>
        <v>1.6776000000001636</v>
      </c>
      <c r="CC222" s="1497">
        <f t="shared" ca="1" si="114"/>
        <v>2.5224000000001094</v>
      </c>
      <c r="CD222" s="1497">
        <f t="shared" ca="1" si="115"/>
        <v>6.0279999999995368</v>
      </c>
      <c r="CE222" s="1467">
        <f ca="1">IF(B222&gt;=$J$5,0,CONTADORES!BS226-CONTADORES!BS225)</f>
        <v>3.7000000000007276</v>
      </c>
      <c r="CF222" s="1497">
        <f t="shared" ca="1" si="116"/>
        <v>6.0279999999995368</v>
      </c>
      <c r="CG222" s="1497">
        <f t="shared" ca="1" si="117"/>
        <v>0.70000000000010232</v>
      </c>
      <c r="CH222" s="1497">
        <f t="shared" ca="1" si="118"/>
        <v>0.70000000000010232</v>
      </c>
      <c r="CI222" s="1497">
        <f t="shared" ca="1" si="119"/>
        <v>1.4820000000001023</v>
      </c>
      <c r="CJ222" s="1467">
        <f ca="1">IF($B222&gt;=$J$5,0,CONTADORES!$BG226)</f>
        <v>9398.1142906340501</v>
      </c>
      <c r="CK222" s="1406">
        <f>CONTADORES!E226</f>
        <v>1</v>
      </c>
      <c r="CL222" s="1406">
        <f>CONTADORES!BX226</f>
        <v>1</v>
      </c>
    </row>
    <row r="223" spans="2:90">
      <c r="B223" s="410">
        <v>45139</v>
      </c>
      <c r="C223" s="204">
        <f t="shared" ca="1" si="95"/>
        <v>295</v>
      </c>
      <c r="D223" s="202">
        <f ca="1">'CALCULO DE GAS'!P38</f>
        <v>5.3624296167251453</v>
      </c>
      <c r="E223" s="202">
        <f ca="1">IF(B223&gt;=$J$5,0,(CONTADORES!$AB229-CONTADORES!$AB228)-$H223)</f>
        <v>24</v>
      </c>
      <c r="F223" s="204">
        <f t="shared" ca="1" si="94"/>
        <v>0</v>
      </c>
      <c r="G223" s="210">
        <f ca="1">IF(B223&gt;=$J$5,0,CONTADORES!$AD229-CONTADORES!$AD228)</f>
        <v>0</v>
      </c>
      <c r="H223" s="210">
        <f ca="1">IF(G223&gt;0,CONTADORES!$AC229-CONTADORES!$AC228,0)</f>
        <v>0</v>
      </c>
      <c r="I223" s="218">
        <f ca="1">IF(B223&gt;=$J$5,0,CONTADORES!$Z229-CONTADORES!$Z228)</f>
        <v>295</v>
      </c>
      <c r="J223" s="204">
        <f t="shared" ca="1" si="96"/>
        <v>149</v>
      </c>
      <c r="K223" s="202">
        <f ca="1">'CALCULO DE GAS'!Q38</f>
        <v>3.945197593333333</v>
      </c>
      <c r="L223" s="1437">
        <f ca="1">IF(B223&gt;=$J$5,0,(CONTADORES!$W229-CONTADORES!$W228)-$O223)</f>
        <v>24</v>
      </c>
      <c r="M223" s="1437">
        <f t="shared" ca="1" si="120"/>
        <v>0</v>
      </c>
      <c r="N223" s="1437">
        <f ca="1">IF(B223&gt;=$J$5,0,CONTADORES!$Y229-CONTADORES!$Y228)</f>
        <v>0</v>
      </c>
      <c r="O223" s="1437">
        <f ca="1">IF(N223&gt;0,CONTADORES!$X229-CONTADORES!$X228,0)</f>
        <v>0</v>
      </c>
      <c r="P223" s="208">
        <f ca="1">IF(B223&gt;=$J$5,0,CONTADORES!$U229-CONTADORES!$U228)</f>
        <v>149</v>
      </c>
      <c r="Q223" s="208">
        <f ca="1">IF(B223&gt;=$J$5,0,CONTADORES!$B229-CONTADORES!$B228)</f>
        <v>0</v>
      </c>
      <c r="R223" s="202">
        <f t="shared" ca="1" si="97"/>
        <v>0</v>
      </c>
      <c r="S223" s="11">
        <f ca="1">IF(B223&gt;=$J$5,0,CONTADORES!$D229-CONTADORES!$D228)</f>
        <v>0</v>
      </c>
      <c r="T223" s="204">
        <f ca="1">IF(B223&gt;=$J$5,0,CONTADORES!$AZ229-CONTADORES!$AZ228)</f>
        <v>0</v>
      </c>
      <c r="U223" s="202">
        <f t="shared" ca="1" si="91"/>
        <v>0</v>
      </c>
      <c r="V223" s="205">
        <f ca="1">IF(B223&gt;=$J$5,0,CONTADORES!$BB229-CONTADORES!$BB228)</f>
        <v>0</v>
      </c>
      <c r="W223" s="1438">
        <f t="shared" ca="1" si="98"/>
        <v>444</v>
      </c>
      <c r="X223" s="1438">
        <f t="shared" ca="1" si="99"/>
        <v>0</v>
      </c>
      <c r="Y223" s="1439">
        <f t="shared" ca="1" si="100"/>
        <v>444</v>
      </c>
      <c r="Z223" s="1439">
        <f t="shared" ca="1" si="101"/>
        <v>9.3076272100584774</v>
      </c>
      <c r="AA223" s="1439">
        <f t="shared" ca="1" si="102"/>
        <v>0</v>
      </c>
      <c r="AB223" s="1439">
        <f t="shared" ca="1" si="103"/>
        <v>48</v>
      </c>
      <c r="AC223" s="1438">
        <f t="shared" ca="1" si="104"/>
        <v>0</v>
      </c>
      <c r="AD223" s="1475">
        <f ca="1">IF(B223&gt;=$J$5,0,CONTADORES!H229-CONTADORES!H228)</f>
        <v>166</v>
      </c>
      <c r="AE223" s="1476">
        <f ca="1">IF(B223&gt;=$J$5,0,CONTADORES!J229-CONTADORES!J228)</f>
        <v>24</v>
      </c>
      <c r="AF223" s="1476">
        <f ca="1">IF(B223&gt;=$J$5,0,CONTADORES!AS229-CONTADORES!AS228)</f>
        <v>149</v>
      </c>
      <c r="AG223" s="1476">
        <f ca="1">IF(B223&gt;=$J$5,0,CONTADORES!AU229-CONTADORES!AU228)</f>
        <v>24</v>
      </c>
      <c r="AH223" s="1475">
        <f ca="1">IF(B223&gt;=$J$5,0,(CONTADORES!AK229-CONTADORES!AK228)+(CONTADORES!K229-CONTADORES!K228))</f>
        <v>16.300000000004729</v>
      </c>
      <c r="AI223" s="1476">
        <f ca="1">IF(B223&gt;=$J$5,0,(CONTADORES!AI229-CONTADORES!AI228)+(CONTADORES!M229-CONTADORES!M228))</f>
        <v>37.100000000005821</v>
      </c>
      <c r="AJ223" s="1476">
        <f ca="1">IF(B223&gt;=$J$5,0,(CONTADORES!AG229-CONTADORES!AG228))</f>
        <v>4.3000000000029104</v>
      </c>
      <c r="AK223" s="1476">
        <f ca="1">IF(B223&gt;=$J$5,0,(CONTADORES!O229-CONTADORES!O228))</f>
        <v>12</v>
      </c>
      <c r="AL223" s="1490">
        <f t="shared" ca="1" si="105"/>
        <v>30.999999999987267</v>
      </c>
      <c r="AM223" s="1475">
        <f ca="1">IF(B223&gt;=$J$5,0,(((CONTADORES!F229-CONTADORES!F228)+(CONTADORES!AO229-CONTADORES!AO228))))-BJ223-AF223-AN223-BM223-BP223-BU223-BS223</f>
        <v>11.671999999999978</v>
      </c>
      <c r="AN223" s="1476">
        <f ca="1">IF(B223&gt;=$J$5,0,(CONTADORES!AV229-CONTADORES!AV228)+(CONTADORES!AX229-CONTADORES!AX228)+(CONTADORES!BC229-CONTADORES!BC228))-BS223</f>
        <v>2.9229999999992931</v>
      </c>
      <c r="AO223" s="1440">
        <f ca="1">IF(B223&gt;=$J$5,0,(CONTADORES!AA229-CONTADORES!AA228))</f>
        <v>147</v>
      </c>
      <c r="AP223" s="1440">
        <f ca="1">IF(B223&gt;=$J$5,0,(CONTADORES!V229-CONTADORES!V228))</f>
        <v>75</v>
      </c>
      <c r="AQ223" s="1445">
        <f ca="1">IF(B223&gt;=$J$5,0,(CONTADORES!C229-CONTADORES!C228))</f>
        <v>0</v>
      </c>
      <c r="AR223" s="1440">
        <f ca="1">IF(B223&gt;=$J$5,0,(CONTADORES!BA229-CONTADORES!BA228))</f>
        <v>0</v>
      </c>
      <c r="AS223" s="1476">
        <f ca="1">IF(B223&gt;=$J$5,0,CONTADORES!Q229-CONTADORES!Q228)</f>
        <v>15</v>
      </c>
      <c r="AT223" s="1476">
        <f ca="1">IF(B223&gt;=$J$5,0,(CONTADORES!S229-CONTADORES!S228)+(CONTADORES!AE229-CONTADORES!AE228))</f>
        <v>3.4000000000000057</v>
      </c>
      <c r="AU223" s="1474">
        <f ca="1">IF(B223&gt;=$J$5,0,(CONTADORES!I229-CONTADORES!I228))</f>
        <v>82</v>
      </c>
      <c r="AV223" s="1440">
        <f ca="1">IF(B223&gt;=$J$5,0,(CONTADORES!AT229-CONTADORES!AT228))</f>
        <v>64</v>
      </c>
      <c r="AW223" s="1486">
        <f ca="1">IF(B223&gt;=$J$5,0,(CONTADORES!L229-CONTADORES!L228)+(CONTADORES!AL229-CONTADORES!AL228))</f>
        <v>6.3999999999978172</v>
      </c>
      <c r="AX223" s="1486">
        <f ca="1">IF(B223&gt;=$J$5,0,(CONTADORES!N229-CONTADORES!N228)+(CONTADORES!AJ229-CONTADORES!AJ228))</f>
        <v>32.30000000000291</v>
      </c>
      <c r="AY223" s="1486">
        <f ca="1">IF(B223&gt;=$J$5,0,(CONTADORES!AH229-CONTADORES!AH228))</f>
        <v>3.4000000000014552</v>
      </c>
      <c r="AZ223" s="1486">
        <f ca="1">IF(B223&gt;=$J$5,0,(CONTADORES!P229-CONTADORES!P228))</f>
        <v>8</v>
      </c>
      <c r="BA223" s="1439">
        <f t="shared" ca="1" si="106"/>
        <v>4.9579999999983784</v>
      </c>
      <c r="BB223" s="1502">
        <f ca="1">IF(B223&gt;=$J$5,0,(((CONTADORES!G229-CONTADORES!G228)+(CONTADORES!AP229-CONTADORES!AP228)+AR223)-(AV223+BC223)))</f>
        <v>13.680000000000206</v>
      </c>
      <c r="BC223" s="1476">
        <f ca="1">IF(B223&gt;=$J$5,0,(CONTADORES!AW229-CONTADORES!AW228)+(CONTADORES!AY229-CONTADORES!AY228)+(CONTADORES!BD229-CONTADORES!BD228))</f>
        <v>1.6199999999999761</v>
      </c>
      <c r="BD223" s="1438">
        <f t="shared" ca="1" si="107"/>
        <v>222</v>
      </c>
      <c r="BE223" s="1475">
        <f ca="1">IF($B223&gt;=$J$5,0,CONTADORES!$BE229)</f>
        <v>5215.21</v>
      </c>
      <c r="BF223" s="1476">
        <f ca="1">IF($B223&gt;=$J$5,0,CONTADORES!$BF229)</f>
        <v>32767.029824561399</v>
      </c>
      <c r="BG223" s="1476">
        <f ca="1">IF($B223&gt;=$J$5,0,CONTADORES!$BH229)</f>
        <v>5554.89</v>
      </c>
      <c r="BH223" s="1476">
        <f ca="1">IF(B223&gt;=$J$5,0,(CONTADORES!AQ229-CONTADORES!AQ228))</f>
        <v>5</v>
      </c>
      <c r="BI223" s="1476">
        <f ca="1">IF(C223&gt;=$J$5,0,(CONTADORES!AR229-CONTADORES!AR228))</f>
        <v>0</v>
      </c>
      <c r="BJ223" s="1475">
        <f ca="1">IF(B223&gt;=$J$5,0,CONTADORES!BI229-CONTADORES!BI228)/1000</f>
        <v>3.4</v>
      </c>
      <c r="BK223" s="1475">
        <f ca="1">IF(B223&gt;=$J$5,0,CONTADORES!BJ229-CONTADORES!BJ228)</f>
        <v>1</v>
      </c>
      <c r="BL223" s="1475">
        <f ca="1">IF(B223&gt;=$J$5,0,CONTADORES!BK229-CONTADORES!BK228)</f>
        <v>24</v>
      </c>
      <c r="BM223" s="1475">
        <f ca="1">IF(B223&gt;=$J$5,0,CONTADORES!BL229-CONTADORES!BL228)/1000</f>
        <v>3.3879999999999999</v>
      </c>
      <c r="BN223" s="1475">
        <f ca="1">IF(B223&gt;=$J$5,0,CONTADORES!BM229-CONTADORES!BM228)/1000</f>
        <v>5.8000000000000003E-2</v>
      </c>
      <c r="BO223" s="1475">
        <f ca="1">IF(B223&gt;=$J$5,0,CONTADORES!BN229-CONTADORES!BN228)</f>
        <v>24</v>
      </c>
      <c r="BP223" s="1475">
        <f ca="1">IF(B223&gt;=$J$5,0,CONTADORES!BO229-CONTADORES!BO228)/1000</f>
        <v>0</v>
      </c>
      <c r="BQ223" s="1475">
        <f ca="1">IF(B223&gt;=$J$5,0,CONTADORES!BP229-CONTADORES!BP228)/1000</f>
        <v>0</v>
      </c>
      <c r="BR223" s="1475">
        <f ca="1">IF(B223&gt;=$J$5,0,CONTADORES!BQ229-CONTADORES!BQ228)</f>
        <v>0</v>
      </c>
      <c r="BS223" s="1475">
        <f ca="1">IF(B223&gt;=$J$5,0,(CONTADORES!BT229-CONTADORES!BT228)+(CONTADORES!BV229-CONTADORES!BV228))/1000</f>
        <v>1.417</v>
      </c>
      <c r="BT223" s="1475">
        <f ca="1">IF(B223&gt;=$J$5,0,(CONTADORES!BU229-CONTADORES!BU228)+(CONTADORES!BW229-CONTADORES!BW228))/1000</f>
        <v>0.78400000000000003</v>
      </c>
      <c r="BU223" s="1475">
        <f ca="1">IF(B223&gt;=$J$5,0,CONTADORES!BR229-CONTADORES!BR228)</f>
        <v>5.5</v>
      </c>
      <c r="BV223" s="1475">
        <f ca="1">IF(B223&gt;=$J$5,0,CONTADORES!BS229-CONTADORES!BS228)</f>
        <v>3.7999999999992724</v>
      </c>
      <c r="BW223" s="1475">
        <f t="shared" ca="1" si="108"/>
        <v>11.335999999999988</v>
      </c>
      <c r="BX223" s="1475">
        <f t="shared" ca="1" si="109"/>
        <v>10.639999999999375</v>
      </c>
      <c r="BY223" s="1475">
        <f t="shared" ca="1" si="110"/>
        <v>5.8359999999999888</v>
      </c>
      <c r="BZ223" s="1475">
        <f t="shared" ca="1" si="111"/>
        <v>1.1691999999997174</v>
      </c>
      <c r="CA223" s="1475">
        <f t="shared" ca="1" si="112"/>
        <v>5.8359999999999888</v>
      </c>
      <c r="CB223" s="1475">
        <f t="shared" ca="1" si="113"/>
        <v>1.7537999999995757</v>
      </c>
      <c r="CC223" s="1475">
        <f t="shared" ca="1" si="114"/>
        <v>2.5861999999997174</v>
      </c>
      <c r="CD223" s="1475">
        <f t="shared" ca="1" si="115"/>
        <v>6.8400000000001029</v>
      </c>
      <c r="CE223" s="1475">
        <f ca="1">IF(B223&gt;=$J$5,0,CONTADORES!BS229-CONTADORES!BS228)</f>
        <v>3.7999999999992724</v>
      </c>
      <c r="CF223" s="1475">
        <f t="shared" ca="1" si="116"/>
        <v>6.8400000000001029</v>
      </c>
      <c r="CG223" s="1475">
        <f t="shared" ca="1" si="117"/>
        <v>0.80999999999998806</v>
      </c>
      <c r="CH223" s="1475">
        <f t="shared" ca="1" si="118"/>
        <v>0.80999999999998806</v>
      </c>
      <c r="CI223" s="1475">
        <f t="shared" ca="1" si="119"/>
        <v>1.5939999999999881</v>
      </c>
      <c r="CJ223" s="1503">
        <f ca="1">IF($B223&gt;=$J$5,0,CONTADORES!$BG229)</f>
        <v>8250.6288807026503</v>
      </c>
      <c r="CK223" s="1383">
        <f>CONTADORES!E229</f>
        <v>0</v>
      </c>
      <c r="CL223" s="1383">
        <f>CONTADORES!BX229</f>
        <v>0</v>
      </c>
    </row>
    <row r="224" spans="2:90">
      <c r="B224" s="410">
        <v>45140</v>
      </c>
      <c r="C224" s="204">
        <f t="shared" ca="1" si="95"/>
        <v>282</v>
      </c>
      <c r="D224" s="202">
        <f ca="1">'CALCULO DE GAS'!P39</f>
        <v>5.2348167512280694</v>
      </c>
      <c r="E224" s="202">
        <f ca="1">IF(B224&gt;=$J$5,0,(CONTADORES!$AB230-CONTADORES!$AB229)-$H224)</f>
        <v>24</v>
      </c>
      <c r="F224" s="204">
        <f t="shared" ca="1" si="94"/>
        <v>0</v>
      </c>
      <c r="G224" s="212">
        <f ca="1">IF(B224&gt;=$J$5,0,CONTADORES!$AD230-CONTADORES!$AD229)</f>
        <v>0</v>
      </c>
      <c r="H224" s="212">
        <f ca="1">IF(G224&gt;0,CONTADORES!$AC230-CONTADORES!$AC229,0)</f>
        <v>0</v>
      </c>
      <c r="I224" s="214">
        <f ca="1">IF(B224&gt;=$J$5,0,CONTADORES!$Z230-CONTADORES!$Z229)</f>
        <v>282</v>
      </c>
      <c r="J224" s="204">
        <f t="shared" ca="1" si="96"/>
        <v>148</v>
      </c>
      <c r="K224" s="202">
        <f ca="1">'CALCULO DE GAS'!Q39</f>
        <v>3.934680049473684</v>
      </c>
      <c r="L224" s="1437">
        <f ca="1">IF(B224&gt;=$J$5,0,(CONTADORES!$W230-CONTADORES!$W229)-$O224)</f>
        <v>24</v>
      </c>
      <c r="M224" s="1437">
        <f t="shared" ca="1" si="120"/>
        <v>0</v>
      </c>
      <c r="N224" s="1437">
        <f ca="1">IF(B224&gt;=$J$5,0,CONTADORES!$Y230-CONTADORES!$Y229)</f>
        <v>0</v>
      </c>
      <c r="O224" s="1437">
        <f ca="1">IF(N224&gt;0,CONTADORES!$X230-CONTADORES!$X229,0)</f>
        <v>0</v>
      </c>
      <c r="P224" s="208">
        <f ca="1">IF(B224&gt;=$J$5,0,CONTADORES!$U230-CONTADORES!$U229)</f>
        <v>148</v>
      </c>
      <c r="Q224" s="208">
        <f ca="1">IF(B224&gt;=$J$5,0,CONTADORES!$B230-CONTADORES!$B229)</f>
        <v>0</v>
      </c>
      <c r="R224" s="202">
        <f t="shared" ca="1" si="97"/>
        <v>0</v>
      </c>
      <c r="S224" s="11">
        <f ca="1">IF(B224&gt;=$J$5,0,CONTADORES!$D230-CONTADORES!$D229)</f>
        <v>0</v>
      </c>
      <c r="T224" s="204">
        <f ca="1">IF(B224&gt;=$J$5,0,CONTADORES!$AZ230-CONTADORES!$AZ229)</f>
        <v>0</v>
      </c>
      <c r="U224" s="202">
        <f t="shared" ca="1" si="91"/>
        <v>0</v>
      </c>
      <c r="V224" s="205">
        <f ca="1">IF(B224&gt;=$J$5,0,CONTADORES!$BB230-CONTADORES!$BB229)</f>
        <v>0</v>
      </c>
      <c r="W224" s="1438">
        <f t="shared" ca="1" si="98"/>
        <v>430</v>
      </c>
      <c r="X224" s="1438">
        <f t="shared" ca="1" si="99"/>
        <v>0</v>
      </c>
      <c r="Y224" s="1439">
        <f t="shared" ca="1" si="100"/>
        <v>430</v>
      </c>
      <c r="Z224" s="1439">
        <f t="shared" ca="1" si="101"/>
        <v>9.1694968007017543</v>
      </c>
      <c r="AA224" s="1439">
        <f t="shared" ca="1" si="102"/>
        <v>0</v>
      </c>
      <c r="AB224" s="1439">
        <f t="shared" ca="1" si="103"/>
        <v>48</v>
      </c>
      <c r="AC224" s="1438">
        <f t="shared" ca="1" si="104"/>
        <v>0</v>
      </c>
      <c r="AD224" s="1450">
        <f ca="1">IF(B224&gt;=$J$5,0,CONTADORES!H230-CONTADORES!H229)</f>
        <v>164</v>
      </c>
      <c r="AE224" s="1479">
        <f ca="1">IF(B224&gt;=$J$5,0,CONTADORES!J230-CONTADORES!J229)</f>
        <v>24</v>
      </c>
      <c r="AF224" s="1479">
        <f ca="1">IF(B224&gt;=$J$5,0,CONTADORES!AS230-CONTADORES!AS229)</f>
        <v>147</v>
      </c>
      <c r="AG224" s="1479">
        <f ca="1">IF(B224&gt;=$J$5,0,CONTADORES!AU230-CONTADORES!AU229)</f>
        <v>24</v>
      </c>
      <c r="AH224" s="1450">
        <f ca="1">IF(B224&gt;=$J$5,0,(CONTADORES!AK230-CONTADORES!AK229)+(CONTADORES!K230-CONTADORES!K229))</f>
        <v>7.999999999996362</v>
      </c>
      <c r="AI224" s="1479">
        <f ca="1">IF(B224&gt;=$J$5,0,(CONTADORES!AI230-CONTADORES!AI229)+(CONTADORES!M230-CONTADORES!M229))</f>
        <v>36.80000000000291</v>
      </c>
      <c r="AJ224" s="1479">
        <f ca="1">IF(B224&gt;=$J$5,0,(CONTADORES!AG230-CONTADORES!AG229))</f>
        <v>4.0999999999912689</v>
      </c>
      <c r="AK224" s="1479">
        <f ca="1">IF(B224&gt;=$J$5,0,(CONTADORES!O230-CONTADORES!O229))</f>
        <v>9</v>
      </c>
      <c r="AL224" s="1500">
        <f t="shared" ca="1" si="105"/>
        <v>33.200000000007947</v>
      </c>
      <c r="AM224" s="1450">
        <f ca="1">IF(B224&gt;=$J$5,0,(((CONTADORES!F230-CONTADORES!F229)+(CONTADORES!AO230-CONTADORES!AO229))))-BJ224-AF224-AN224-BM224-BP224-BU224-BS224</f>
        <v>11.027000000000371</v>
      </c>
      <c r="AN224" s="1479">
        <f ca="1">IF(B224&gt;=$J$5,0,(CONTADORES!AV230-CONTADORES!AV229)+(CONTADORES!AX230-CONTADORES!AX229)+(CONTADORES!BC230-CONTADORES!BC229))-BS224</f>
        <v>2.4289999999996361</v>
      </c>
      <c r="AO224" s="1440">
        <f ca="1">IF(B224&gt;=$J$5,0,(CONTADORES!AA230-CONTADORES!AA229))</f>
        <v>143</v>
      </c>
      <c r="AP224" s="1440">
        <f ca="1">IF(B224&gt;=$J$5,0,(CONTADORES!V230-CONTADORES!V229))</f>
        <v>72</v>
      </c>
      <c r="AQ224" s="1445">
        <f ca="1">IF(B224&gt;=$J$5,0,(CONTADORES!C230-CONTADORES!C229))</f>
        <v>0</v>
      </c>
      <c r="AR224" s="1440">
        <f ca="1">IF(B224&gt;=$J$5,0,(CONTADORES!BA230-CONTADORES!BA229))</f>
        <v>0</v>
      </c>
      <c r="AS224" s="1479">
        <f ca="1">IF(B224&gt;=$J$5,0,CONTADORES!Q230-CONTADORES!Q229)</f>
        <v>14</v>
      </c>
      <c r="AT224" s="1479">
        <f ca="1">IF(B224&gt;=$J$5,0,(CONTADORES!S230-CONTADORES!S229)+(CONTADORES!AE230-CONTADORES!AE229))</f>
        <v>3.3000000000000114</v>
      </c>
      <c r="AU224" s="1474">
        <f ca="1">IF(B224&gt;=$J$5,0,(CONTADORES!I230-CONTADORES!I229))</f>
        <v>82</v>
      </c>
      <c r="AV224" s="1440">
        <f ca="1">IF(B224&gt;=$J$5,0,(CONTADORES!AT230-CONTADORES!AT229))</f>
        <v>64</v>
      </c>
      <c r="AW224" s="1504">
        <f ca="1">IF(B224&gt;=$J$5,0,(CONTADORES!L230-CONTADORES!L229)+(CONTADORES!AL230-CONTADORES!AL229))</f>
        <v>2.9000000000014552</v>
      </c>
      <c r="AX224" s="1504">
        <f ca="1">IF(B224&gt;=$J$5,0,(CONTADORES!N230-CONTADORES!N229)+(CONTADORES!AJ230-CONTADORES!AJ229))</f>
        <v>32.099999999998545</v>
      </c>
      <c r="AY224" s="1504">
        <f ca="1">IF(B224&gt;=$J$5,0,(CONTADORES!AH230-CONTADORES!AH229))</f>
        <v>3.1999999999970896</v>
      </c>
      <c r="AZ224" s="1504">
        <f ca="1">IF(B224&gt;=$J$5,0,(CONTADORES!P230-CONTADORES!P229))</f>
        <v>8</v>
      </c>
      <c r="BA224" s="1450">
        <f t="shared" ca="1" si="106"/>
        <v>6.2200000000023863</v>
      </c>
      <c r="BB224" s="1478">
        <f ca="1">IF(B224&gt;=$J$5,0,(((CONTADORES!G230-CONTADORES!G229)+(CONTADORES!AP230-CONTADORES!AP229)+AR224)-(AV224+BC224)))</f>
        <v>9.6999999999998181</v>
      </c>
      <c r="BC224" s="1479">
        <f ca="1">IF(B224&gt;=$J$5,0,(CONTADORES!AW230-CONTADORES!AW229)+(CONTADORES!AY230-CONTADORES!AY229)+(CONTADORES!BD230-CONTADORES!BD229))</f>
        <v>1</v>
      </c>
      <c r="BD224" s="1438">
        <f t="shared" ca="1" si="107"/>
        <v>215</v>
      </c>
      <c r="BE224" s="1439">
        <f ca="1">IF($B224&gt;=$J$5,0,CONTADORES!$BE230)</f>
        <v>5004.38</v>
      </c>
      <c r="BF224" s="1438">
        <f ca="1">IF($B224&gt;=$J$5,0,CONTADORES!$BF230)</f>
        <v>33646.071929824597</v>
      </c>
      <c r="BG224" s="1438">
        <f ca="1">IF($B224&gt;=$J$5,0,CONTADORES!$BH230)</f>
        <v>6206.98</v>
      </c>
      <c r="BH224" s="1479">
        <f ca="1">IF(B224&gt;=$J$5,0,(CONTADORES!AQ230-CONTADORES!AQ229))</f>
        <v>5</v>
      </c>
      <c r="BI224" s="1479">
        <f ca="1">IF(C224&gt;=$J$5,0,(CONTADORES!AR230-CONTADORES!AR229))</f>
        <v>0</v>
      </c>
      <c r="BJ224" s="1450">
        <f ca="1">IF(B224&gt;=$J$5,0,CONTADORES!BI230-CONTADORES!BI229)/1000</f>
        <v>1.6</v>
      </c>
      <c r="BK224" s="1450">
        <f ca="1">IF(B224&gt;=$J$5,0,CONTADORES!BJ230-CONTADORES!BJ229)</f>
        <v>1</v>
      </c>
      <c r="BL224" s="1450">
        <f ca="1">IF(B224&gt;=$J$5,0,CONTADORES!BK230-CONTADORES!BK229)</f>
        <v>8.5999999999985448</v>
      </c>
      <c r="BM224" s="1450">
        <f ca="1">IF(B224&gt;=$J$5,0,CONTADORES!BL230-CONTADORES!BL229)/1000</f>
        <v>4.5019999999999998</v>
      </c>
      <c r="BN224" s="1450">
        <f ca="1">IF(B224&gt;=$J$5,0,CONTADORES!BM230-CONTADORES!BM229)/1000</f>
        <v>0.34300000000000003</v>
      </c>
      <c r="BO224" s="1450">
        <f ca="1">IF(B224&gt;=$J$5,0,CONTADORES!BN230-CONTADORES!BN229)</f>
        <v>24</v>
      </c>
      <c r="BP224" s="1450">
        <f ca="1">IF(B224&gt;=$J$5,0,CONTADORES!BO230-CONTADORES!BO229)/1000</f>
        <v>1.4710000000000001</v>
      </c>
      <c r="BQ224" s="1450">
        <f ca="1">IF(B224&gt;=$J$5,0,CONTADORES!BP230-CONTADORES!BP229)/1000</f>
        <v>0</v>
      </c>
      <c r="BR224" s="1450">
        <f ca="1">IF(B224&gt;=$J$5,0,CONTADORES!BQ230-CONTADORES!BQ229)</f>
        <v>14.700000000000728</v>
      </c>
      <c r="BS224" s="1450">
        <f ca="1">IF(B224&gt;=$J$5,0,(CONTADORES!BT230-CONTADORES!BT229)+(CONTADORES!BV230-CONTADORES!BV229))/1000</f>
        <v>1.4710000000000001</v>
      </c>
      <c r="BT224" s="1450">
        <f ca="1">IF(B224&gt;=$J$5,0,(CONTADORES!BU230-CONTADORES!BU229)+(CONTADORES!BW230-CONTADORES!BW229))/1000</f>
        <v>0.83699999999999997</v>
      </c>
      <c r="BU224" s="1450">
        <f ca="1">IF(B224&gt;=$J$5,0,CONTADORES!BR230-CONTADORES!BR229)</f>
        <v>5.4000000000014552</v>
      </c>
      <c r="BV224" s="1450">
        <f ca="1">IF(B224&gt;=$J$5,0,CONTADORES!BS230-CONTADORES!BS229)</f>
        <v>3.7000000000007276</v>
      </c>
      <c r="BW224" s="1450">
        <f t="shared" ca="1" si="108"/>
        <v>10.91350000000164</v>
      </c>
      <c r="BX224" s="1450">
        <f t="shared" ca="1" si="109"/>
        <v>8.5500000000006366</v>
      </c>
      <c r="BY224" s="1450">
        <f t="shared" ca="1" si="110"/>
        <v>5.5135000000001853</v>
      </c>
      <c r="BZ224" s="1450">
        <f t="shared" ca="1" si="111"/>
        <v>0.97159999999985447</v>
      </c>
      <c r="CA224" s="1450">
        <f t="shared" ca="1" si="112"/>
        <v>5.5135000000001853</v>
      </c>
      <c r="CB224" s="1450">
        <f t="shared" ca="1" si="113"/>
        <v>1.4573999999997818</v>
      </c>
      <c r="CC224" s="1450">
        <f t="shared" ca="1" si="114"/>
        <v>2.4425999999998544</v>
      </c>
      <c r="CD224" s="1450">
        <f t="shared" ca="1" si="115"/>
        <v>4.8499999999999091</v>
      </c>
      <c r="CE224" s="1450">
        <f ca="1">IF(B224&gt;=$J$5,0,CONTADORES!BS230-CONTADORES!BS229)</f>
        <v>3.7000000000007276</v>
      </c>
      <c r="CF224" s="1450">
        <f t="shared" ca="1" si="116"/>
        <v>4.8499999999999091</v>
      </c>
      <c r="CG224" s="1450">
        <f t="shared" ca="1" si="117"/>
        <v>0.5</v>
      </c>
      <c r="CH224" s="1450">
        <f t="shared" ca="1" si="118"/>
        <v>0.5</v>
      </c>
      <c r="CI224" s="1450">
        <f t="shared" ca="1" si="119"/>
        <v>1.337</v>
      </c>
      <c r="CJ224" s="1505">
        <f ca="1">IF($B224&gt;=$J$5,0,CONTADORES!$BG230)</f>
        <v>8357.7090677160395</v>
      </c>
      <c r="CK224" s="1384">
        <f>CONTADORES!E230</f>
        <v>0</v>
      </c>
      <c r="CL224" s="1384">
        <f>CONTADORES!BX230</f>
        <v>0</v>
      </c>
    </row>
    <row r="225" spans="2:90">
      <c r="B225" s="410">
        <v>45141</v>
      </c>
      <c r="C225" s="204">
        <f t="shared" ca="1" si="95"/>
        <v>279</v>
      </c>
      <c r="D225" s="202">
        <f ca="1">'CALCULO DE GAS'!P40</f>
        <v>5.2053676284210519</v>
      </c>
      <c r="E225" s="202">
        <f ca="1">IF(B225&gt;=$J$5,0,(CONTADORES!$AB231-CONTADORES!$AB230)-$H225)</f>
        <v>24</v>
      </c>
      <c r="F225" s="204">
        <f t="shared" ca="1" si="94"/>
        <v>0</v>
      </c>
      <c r="G225" s="212">
        <f ca="1">IF(B225&gt;=$J$5,0,CONTADORES!$AD231-CONTADORES!$AD230)</f>
        <v>0</v>
      </c>
      <c r="H225" s="212">
        <f ca="1">IF(G225&gt;0,CONTADORES!$AC231-CONTADORES!$AC230,0)</f>
        <v>0</v>
      </c>
      <c r="I225" s="214">
        <f ca="1">IF(B225&gt;=$J$5,0,CONTADORES!$Z231-CONTADORES!$Z230)</f>
        <v>279</v>
      </c>
      <c r="J225" s="204">
        <f t="shared" ca="1" si="96"/>
        <v>150</v>
      </c>
      <c r="K225" s="202">
        <f ca="1">'CALCULO DE GAS'!Q40</f>
        <v>3.9557151371929824</v>
      </c>
      <c r="L225" s="1437">
        <f ca="1">IF(B225&gt;=$J$5,0,(CONTADORES!$W231-CONTADORES!$W230)-$O225)</f>
        <v>24</v>
      </c>
      <c r="M225" s="1437">
        <f t="shared" ca="1" si="120"/>
        <v>0</v>
      </c>
      <c r="N225" s="1437">
        <f ca="1">IF(B225&gt;=$J$5,0,CONTADORES!$Y231-CONTADORES!$Y230)</f>
        <v>0</v>
      </c>
      <c r="O225" s="1437">
        <f ca="1">IF(N225&gt;0,CONTADORES!$X231-CONTADORES!$X230,0)</f>
        <v>0</v>
      </c>
      <c r="P225" s="208">
        <f ca="1">IF(B225&gt;=$J$5,0,CONTADORES!$U231-CONTADORES!$U230)</f>
        <v>150</v>
      </c>
      <c r="Q225" s="208">
        <f ca="1">IF(B225&gt;=$J$5,0,CONTADORES!$B231-CONTADORES!$B230)</f>
        <v>0</v>
      </c>
      <c r="R225" s="202">
        <f t="shared" ca="1" si="97"/>
        <v>0</v>
      </c>
      <c r="S225" s="11">
        <f ca="1">IF(B225&gt;=$J$5,0,CONTADORES!$D231-CONTADORES!$D230)</f>
        <v>0</v>
      </c>
      <c r="T225" s="204">
        <f ca="1">IF(B225&gt;=$J$5,0,CONTADORES!$AZ231-CONTADORES!$AZ230)</f>
        <v>0</v>
      </c>
      <c r="U225" s="202">
        <f t="shared" ca="1" si="91"/>
        <v>0</v>
      </c>
      <c r="V225" s="205">
        <f ca="1">IF(B225&gt;=$J$5,0,CONTADORES!$BB231-CONTADORES!$BB230)</f>
        <v>0</v>
      </c>
      <c r="W225" s="1438">
        <f t="shared" ca="1" si="98"/>
        <v>429</v>
      </c>
      <c r="X225" s="1438">
        <f t="shared" ca="1" si="99"/>
        <v>0</v>
      </c>
      <c r="Y225" s="1439">
        <f t="shared" ca="1" si="100"/>
        <v>429</v>
      </c>
      <c r="Z225" s="1439">
        <f t="shared" ca="1" si="101"/>
        <v>9.1610827656140348</v>
      </c>
      <c r="AA225" s="1439">
        <f t="shared" ca="1" si="102"/>
        <v>0</v>
      </c>
      <c r="AB225" s="1439">
        <f t="shared" ca="1" si="103"/>
        <v>48</v>
      </c>
      <c r="AC225" s="1438">
        <f t="shared" ca="1" si="104"/>
        <v>0</v>
      </c>
      <c r="AD225" s="1450">
        <f ca="1">IF(B225&gt;=$J$5,0,CONTADORES!H231-CONTADORES!H230)</f>
        <v>163</v>
      </c>
      <c r="AE225" s="1479">
        <f ca="1">IF(B225&gt;=$J$5,0,CONTADORES!J231-CONTADORES!J230)</f>
        <v>24</v>
      </c>
      <c r="AF225" s="1479">
        <f ca="1">IF(B225&gt;=$J$5,0,CONTADORES!AS231-CONTADORES!AS230)</f>
        <v>146</v>
      </c>
      <c r="AG225" s="1479">
        <f ca="1">IF(B225&gt;=$J$5,0,CONTADORES!AU231-CONTADORES!AU230)</f>
        <v>24</v>
      </c>
      <c r="AH225" s="1450">
        <f ca="1">IF(B225&gt;=$J$5,0,(CONTADORES!AK231-CONTADORES!AK230)+(CONTADORES!K231-CONTADORES!K230))</f>
        <v>9.6000000000003638</v>
      </c>
      <c r="AI225" s="1479">
        <f ca="1">IF(B225&gt;=$J$5,0,(CONTADORES!AI231-CONTADORES!AI230)+(CONTADORES!M231-CONTADORES!M230))</f>
        <v>36.099999999991269</v>
      </c>
      <c r="AJ225" s="1479">
        <f ca="1">IF(B225&gt;=$J$5,0,(CONTADORES!AG231-CONTADORES!AG230))</f>
        <v>3.9000000000087311</v>
      </c>
      <c r="AK225" s="1479">
        <f ca="1">IF(B225&gt;=$J$5,0,(CONTADORES!O231-CONTADORES!O230))</f>
        <v>9</v>
      </c>
      <c r="AL225" s="1500">
        <f t="shared" ca="1" si="105"/>
        <v>32.999999999998181</v>
      </c>
      <c r="AM225" s="1450">
        <f ca="1">IF(B225&gt;=$J$5,0,(((CONTADORES!F231-CONTADORES!F230)+(CONTADORES!AO231-CONTADORES!AO230))))-BJ225-AF225-AN225-BM225-BP225-BU225-BS225</f>
        <v>11.34300000000073</v>
      </c>
      <c r="AN225" s="1479">
        <f ca="1">IF(B225&gt;=$J$5,0,(CONTADORES!AV231-CONTADORES!AV230)+(CONTADORES!AX231-CONTADORES!AX230)+(CONTADORES!BC231-CONTADORES!BC230))-BS225</f>
        <v>2.6990000000007277</v>
      </c>
      <c r="AO225" s="1440">
        <f ca="1">IF(B225&gt;=$J$5,0,(CONTADORES!AA231-CONTADORES!AA230))</f>
        <v>141</v>
      </c>
      <c r="AP225" s="1440">
        <f ca="1">IF(B225&gt;=$J$5,0,(CONTADORES!V231-CONTADORES!V230))</f>
        <v>73</v>
      </c>
      <c r="AQ225" s="1445">
        <f ca="1">IF(B225&gt;=$J$5,0,(CONTADORES!C231-CONTADORES!C230))</f>
        <v>0</v>
      </c>
      <c r="AR225" s="1440">
        <f ca="1">IF(B225&gt;=$J$5,0,(CONTADORES!BA231-CONTADORES!BA230))</f>
        <v>0</v>
      </c>
      <c r="AS225" s="1479">
        <f ca="1">IF(B225&gt;=$J$5,0,CONTADORES!Q231-CONTADORES!Q230)</f>
        <v>15</v>
      </c>
      <c r="AT225" s="1479">
        <f ca="1">IF(B225&gt;=$J$5,0,(CONTADORES!S231-CONTADORES!S230)+(CONTADORES!AE231-CONTADORES!AE230))</f>
        <v>3.2999999999999829</v>
      </c>
      <c r="AU225" s="1474">
        <f ca="1">IF(B225&gt;=$J$5,0,(CONTADORES!I231-CONTADORES!I230))</f>
        <v>81</v>
      </c>
      <c r="AV225" s="1440">
        <f ca="1">IF(B225&gt;=$J$5,0,(CONTADORES!AT231-CONTADORES!AT230))</f>
        <v>63</v>
      </c>
      <c r="AW225" s="1504">
        <f ca="1">IF(B225&gt;=$J$5,0,(CONTADORES!L231-CONTADORES!L230)+(CONTADORES!AL231-CONTADORES!AL230))</f>
        <v>3.7999999999992724</v>
      </c>
      <c r="AX225" s="1504">
        <f ca="1">IF(B225&gt;=$J$5,0,(CONTADORES!N231-CONTADORES!N230)+(CONTADORES!AJ231-CONTADORES!AJ230))</f>
        <v>31.599999999998545</v>
      </c>
      <c r="AY225" s="1504">
        <f ca="1">IF(B225&gt;=$J$5,0,(CONTADORES!AH231-CONTADORES!AH230))</f>
        <v>3.0999999999985448</v>
      </c>
      <c r="AZ225" s="1504">
        <f ca="1">IF(B225&gt;=$J$5,0,(CONTADORES!P231-CONTADORES!P230))</f>
        <v>7</v>
      </c>
      <c r="BA225" s="1450">
        <f t="shared" ca="1" si="106"/>
        <v>7.5710000000040054</v>
      </c>
      <c r="BB225" s="1478">
        <f ca="1">IF(B225&gt;=$J$5,0,(((CONTADORES!G231-CONTADORES!G230)+(CONTADORES!AP231-CONTADORES!AP230)+AR225)-(AV225+BC225)))</f>
        <v>9.900000000000432</v>
      </c>
      <c r="BC225" s="1479">
        <f ca="1">IF(B225&gt;=$J$5,0,(CONTADORES!AW231-CONTADORES!AW230)+(CONTADORES!AY231-CONTADORES!AY230)+(CONTADORES!BD231-CONTADORES!BD230))</f>
        <v>1.6999999999999318</v>
      </c>
      <c r="BD225" s="1438">
        <f t="shared" ca="1" si="107"/>
        <v>214</v>
      </c>
      <c r="BE225" s="1439">
        <f ca="1">IF($B225&gt;=$J$5,0,CONTADORES!$BE231)</f>
        <v>5077.07</v>
      </c>
      <c r="BF225" s="1438">
        <f ca="1">IF($B225&gt;=$J$5,0,CONTADORES!$BF231)</f>
        <v>33525.592982456103</v>
      </c>
      <c r="BG225" s="1438">
        <f ca="1">IF($B225&gt;=$J$5,0,CONTADORES!$BH231)</f>
        <v>5817.06</v>
      </c>
      <c r="BH225" s="1479">
        <f ca="1">IF(B225&gt;=$J$5,0,(CONTADORES!AQ231-CONTADORES!AQ230))</f>
        <v>5</v>
      </c>
      <c r="BI225" s="1479">
        <f ca="1">IF(C225&gt;=$J$5,0,(CONTADORES!AR231-CONTADORES!AR230))</f>
        <v>0</v>
      </c>
      <c r="BJ225" s="1450">
        <f ca="1">IF(B225&gt;=$J$5,0,CONTADORES!BI231-CONTADORES!BI230)/1000</f>
        <v>0</v>
      </c>
      <c r="BK225" s="1450">
        <f ca="1">IF(B225&gt;=$J$5,0,CONTADORES!BJ231-CONTADORES!BJ230)</f>
        <v>0</v>
      </c>
      <c r="BL225" s="1450">
        <f ca="1">IF(B225&gt;=$J$5,0,CONTADORES!BK231-CONTADORES!BK230)</f>
        <v>0</v>
      </c>
      <c r="BM225" s="1450">
        <f ca="1">IF(B225&gt;=$J$5,0,CONTADORES!BL231-CONTADORES!BL230)/1000</f>
        <v>4.9889999999999999</v>
      </c>
      <c r="BN225" s="1450">
        <f ca="1">IF(B225&gt;=$J$5,0,CONTADORES!BM231-CONTADORES!BM230)/1000</f>
        <v>0.67700000000000005</v>
      </c>
      <c r="BO225" s="1450">
        <f ca="1">IF(B225&gt;=$J$5,0,CONTADORES!BN231-CONTADORES!BN230)</f>
        <v>24</v>
      </c>
      <c r="BP225" s="1450">
        <f ca="1">IF(B225&gt;=$J$5,0,CONTADORES!BO231-CONTADORES!BO230)/1000</f>
        <v>2.3679999999999999</v>
      </c>
      <c r="BQ225" s="1450">
        <f ca="1">IF(B225&gt;=$J$5,0,CONTADORES!BP231-CONTADORES!BP230)/1000</f>
        <v>0</v>
      </c>
      <c r="BR225" s="1450">
        <f ca="1">IF(B225&gt;=$J$5,0,CONTADORES!BQ231-CONTADORES!BQ230)</f>
        <v>24</v>
      </c>
      <c r="BS225" s="1450">
        <f ca="1">IF(B225&gt;=$J$5,0,(CONTADORES!BT231-CONTADORES!BT230)+(CONTADORES!BV231-CONTADORES!BV230))/1000</f>
        <v>1.5009999999999999</v>
      </c>
      <c r="BT225" s="1450">
        <f ca="1">IF(B225&gt;=$J$5,0,(CONTADORES!BU231-CONTADORES!BU230)+(CONTADORES!BW231-CONTADORES!BW230))/1000</f>
        <v>0.85199999999999998</v>
      </c>
      <c r="BU225" s="1450">
        <f ca="1">IF(B225&gt;=$J$5,0,CONTADORES!BR231-CONTADORES!BR230)</f>
        <v>5.5</v>
      </c>
      <c r="BV225" s="1450">
        <f ca="1">IF(B225&gt;=$J$5,0,CONTADORES!BS231-CONTADORES!BS230)</f>
        <v>3.7999999999992724</v>
      </c>
      <c r="BW225" s="1450">
        <f t="shared" ca="1" si="108"/>
        <v>11.171500000000364</v>
      </c>
      <c r="BX225" s="1450">
        <f t="shared" ca="1" si="109"/>
        <v>8.7499999999994884</v>
      </c>
      <c r="BY225" s="1450">
        <f t="shared" ca="1" si="110"/>
        <v>5.671500000000365</v>
      </c>
      <c r="BZ225" s="1450">
        <f t="shared" ca="1" si="111"/>
        <v>1.0796000000002912</v>
      </c>
      <c r="CA225" s="1450">
        <f t="shared" ca="1" si="112"/>
        <v>5.671500000000365</v>
      </c>
      <c r="CB225" s="1450">
        <f t="shared" ca="1" si="113"/>
        <v>1.6194000000004365</v>
      </c>
      <c r="CC225" s="1450">
        <f t="shared" ca="1" si="114"/>
        <v>2.5806000000002909</v>
      </c>
      <c r="CD225" s="1450">
        <f t="shared" ca="1" si="115"/>
        <v>4.950000000000216</v>
      </c>
      <c r="CE225" s="1450">
        <f ca="1">IF(B225&gt;=$J$5,0,CONTADORES!BS231-CONTADORES!BS230)</f>
        <v>3.7999999999992724</v>
      </c>
      <c r="CF225" s="1450">
        <f t="shared" ca="1" si="116"/>
        <v>4.950000000000216</v>
      </c>
      <c r="CG225" s="1450">
        <f t="shared" ca="1" si="117"/>
        <v>0.84999999999996589</v>
      </c>
      <c r="CH225" s="1450">
        <f t="shared" ca="1" si="118"/>
        <v>0.84999999999996589</v>
      </c>
      <c r="CI225" s="1450">
        <f t="shared" ca="1" si="119"/>
        <v>1.7019999999999658</v>
      </c>
      <c r="CJ225" s="1505">
        <f ca="1">IF($B225&gt;=$J$5,0,CONTADORES!$BG231)</f>
        <v>9389.4688474222494</v>
      </c>
      <c r="CK225" s="1384">
        <f>CONTADORES!E231</f>
        <v>0</v>
      </c>
      <c r="CL225" s="1384">
        <f>CONTADORES!BX231</f>
        <v>0</v>
      </c>
    </row>
    <row r="226" spans="2:90">
      <c r="B226" s="410">
        <v>45142</v>
      </c>
      <c r="C226" s="204">
        <f t="shared" ca="1" si="95"/>
        <v>291</v>
      </c>
      <c r="D226" s="202">
        <f ca="1">'CALCULO DE GAS'!P41</f>
        <v>5.323164119649122</v>
      </c>
      <c r="E226" s="202">
        <f ca="1">IF(B226&gt;=$J$5,0,(CONTADORES!$AB232-CONTADORES!$AB231)-$H226)</f>
        <v>24</v>
      </c>
      <c r="F226" s="204">
        <v>0</v>
      </c>
      <c r="G226" s="212">
        <f ca="1">IF(B226&gt;=$J$5,0,CONTADORES!$AD232-CONTADORES!$AD231)</f>
        <v>0</v>
      </c>
      <c r="H226" s="212">
        <f ca="1">IF(G226&gt;0,CONTADORES!$AC232-CONTADORES!$AC231,0)</f>
        <v>0</v>
      </c>
      <c r="I226" s="214">
        <f ca="1">IF(B226&gt;=$J$5,0,CONTADORES!$Z232-CONTADORES!$Z231)</f>
        <v>291</v>
      </c>
      <c r="J226" s="204">
        <f t="shared" ca="1" si="96"/>
        <v>147</v>
      </c>
      <c r="K226" s="202">
        <f ca="1">'CALCULO DE GAS'!Q41</f>
        <v>3.924162505614035</v>
      </c>
      <c r="L226" s="1437">
        <f ca="1">IF(B226&gt;=$J$5,0,(CONTADORES!$W232-CONTADORES!$W231)-$O226)</f>
        <v>24</v>
      </c>
      <c r="M226" s="1437">
        <v>0</v>
      </c>
      <c r="N226" s="1437">
        <f ca="1">IF(B226&gt;=$J$5,0,CONTADORES!$Y232-CONTADORES!$Y231)</f>
        <v>0</v>
      </c>
      <c r="O226" s="1437">
        <f ca="1">IF(N226&gt;0,CONTADORES!$X232-CONTADORES!$X231,0)</f>
        <v>0</v>
      </c>
      <c r="P226" s="208">
        <f ca="1">IF(B226&gt;=$J$5,0,CONTADORES!$U232-CONTADORES!$U231)</f>
        <v>147</v>
      </c>
      <c r="Q226" s="208">
        <f ca="1">IF(B226&gt;=$J$5,0,CONTADORES!$B232-CONTADORES!$B231)</f>
        <v>0.43499999999994543</v>
      </c>
      <c r="R226" s="202">
        <f t="shared" ca="1" si="97"/>
        <v>52.199999999993452</v>
      </c>
      <c r="S226" s="11">
        <f ca="1">IF(B226&gt;=$J$5,0,CONTADORES!$D232-CONTADORES!$D231)</f>
        <v>0.9000000000005457</v>
      </c>
      <c r="T226" s="204">
        <f ca="1">IF(B226&gt;=$J$5,0,CONTADORES!$AZ232-CONTADORES!$AZ231)</f>
        <v>0</v>
      </c>
      <c r="U226" s="202">
        <f t="shared" ca="1" si="91"/>
        <v>0</v>
      </c>
      <c r="V226" s="205">
        <f ca="1">IF(B226&gt;=$J$5,0,CONTADORES!$BB232-CONTADORES!$BB231)</f>
        <v>0</v>
      </c>
      <c r="W226" s="1438">
        <f t="shared" ca="1" si="98"/>
        <v>438</v>
      </c>
      <c r="X226" s="1438">
        <f t="shared" ca="1" si="99"/>
        <v>0.43499999999994543</v>
      </c>
      <c r="Y226" s="1439">
        <f t="shared" ca="1" si="100"/>
        <v>438.43499999999995</v>
      </c>
      <c r="Z226" s="1439">
        <f t="shared" ca="1" si="101"/>
        <v>9.2473266252631561</v>
      </c>
      <c r="AA226" s="1439">
        <f t="shared" ca="1" si="102"/>
        <v>52.199999999993452</v>
      </c>
      <c r="AB226" s="1439">
        <f t="shared" ca="1" si="103"/>
        <v>48</v>
      </c>
      <c r="AC226" s="1438">
        <f t="shared" ca="1" si="104"/>
        <v>0.9000000000005457</v>
      </c>
      <c r="AD226" s="1450">
        <f ca="1">IF(B226&gt;=$J$5,0,CONTADORES!H232-CONTADORES!H231)</f>
        <v>159</v>
      </c>
      <c r="AE226" s="1479">
        <f ca="1">IF(B226&gt;=$J$5,0,CONTADORES!J232-CONTADORES!J231)</f>
        <v>24</v>
      </c>
      <c r="AF226" s="1479">
        <f ca="1">IF(B226&gt;=$J$5,0,CONTADORES!AS232-CONTADORES!AS231)</f>
        <v>151</v>
      </c>
      <c r="AG226" s="1479">
        <f ca="1">IF(B226&gt;=$J$5,0,CONTADORES!AU232-CONTADORES!AU231)</f>
        <v>24</v>
      </c>
      <c r="AH226" s="1450">
        <f ca="1">IF(B226&gt;=$J$5,0,(CONTADORES!AK232-CONTADORES!AK231)+(CONTADORES!K232-CONTADORES!K231))</f>
        <v>11.500000000001819</v>
      </c>
      <c r="AI226" s="1479">
        <f ca="1">IF(B226&gt;=$J$5,0,(CONTADORES!AI232-CONTADORES!AI231)+(CONTADORES!M232-CONTADORES!M231))</f>
        <v>36.700000000011642</v>
      </c>
      <c r="AJ226" s="1479">
        <f ca="1">IF(B226&gt;=$J$5,0,(CONTADORES!AG232-CONTADORES!AG231))</f>
        <v>7.3999999999941792</v>
      </c>
      <c r="AK226" s="1479">
        <f ca="1">IF(B226&gt;=$J$5,0,(CONTADORES!O232-CONTADORES!O231))</f>
        <v>10</v>
      </c>
      <c r="AL226" s="1500">
        <f t="shared" ca="1" si="105"/>
        <v>33.03499999999309</v>
      </c>
      <c r="AM226" s="1450">
        <f ca="1">IF(B226&gt;=$J$5,0,(((CONTADORES!F232-CONTADORES!F231)+(CONTADORES!AO232-CONTADORES!AO231))))-BJ226-AF226-AN226-BM226-BP226-BU226-BS226</f>
        <v>11.221999999998999</v>
      </c>
      <c r="AN226" s="1479">
        <f ca="1">IF(B226&gt;=$J$5,0,(CONTADORES!AV232-CONTADORES!AV231)+(CONTADORES!AX232-CONTADORES!AX231)+(CONTADORES!BC232-CONTADORES!BC231))-BS226</f>
        <v>2.7960000000002729</v>
      </c>
      <c r="AO226" s="1440">
        <f ca="1">IF(B226&gt;=$J$5,0,(CONTADORES!AA232-CONTADORES!AA231))</f>
        <v>149</v>
      </c>
      <c r="AP226" s="1440">
        <f ca="1">IF(B226&gt;=$J$5,0,(CONTADORES!V232-CONTADORES!V231))</f>
        <v>71</v>
      </c>
      <c r="AQ226" s="1445">
        <f ca="1">IF(B226&gt;=$J$5,0,(CONTADORES!C232-CONTADORES!C231))</f>
        <v>0.21600000000000819</v>
      </c>
      <c r="AR226" s="1440">
        <f ca="1">IF(B226&gt;=$J$5,0,(CONTADORES!BA232-CONTADORES!BA231))</f>
        <v>0</v>
      </c>
      <c r="AS226" s="1479">
        <f ca="1">IF(B226&gt;=$J$5,0,CONTADORES!Q232-CONTADORES!Q231)</f>
        <v>14</v>
      </c>
      <c r="AT226" s="1479">
        <f ca="1">IF(B226&gt;=$J$5,0,(CONTADORES!S232-CONTADORES!S231)+(CONTADORES!AE232-CONTADORES!AE231))</f>
        <v>3.4000000000000057</v>
      </c>
      <c r="AU226" s="1474">
        <f ca="1">IF(B226&gt;=$J$5,0,(CONTADORES!I232-CONTADORES!I231))</f>
        <v>81</v>
      </c>
      <c r="AV226" s="1440">
        <f ca="1">IF(B226&gt;=$J$5,0,(CONTADORES!AT232-CONTADORES!AT231))</f>
        <v>66</v>
      </c>
      <c r="AW226" s="1504">
        <f ca="1">IF(B226&gt;=$J$5,0,(CONTADORES!L232-CONTADORES!L231)+(CONTADORES!AL232-CONTADORES!AL231))</f>
        <v>4.2000000000007276</v>
      </c>
      <c r="AX226" s="1504">
        <f ca="1">IF(B226&gt;=$J$5,0,(CONTADORES!N232-CONTADORES!N231)+(CONTADORES!AJ232-CONTADORES!AJ231))</f>
        <v>32.099999999998545</v>
      </c>
      <c r="AY226" s="1504">
        <f ca="1">IF(B226&gt;=$J$5,0,(CONTADORES!AH232-CONTADORES!AH231))</f>
        <v>5.7000000000043656</v>
      </c>
      <c r="AZ226" s="1504">
        <f ca="1">IF(B226&gt;=$J$5,0,(CONTADORES!P232-CONTADORES!P231))</f>
        <v>8</v>
      </c>
      <c r="BA226" s="1450">
        <f t="shared" ca="1" si="106"/>
        <v>6.6289999999960401</v>
      </c>
      <c r="BB226" s="1478">
        <f ca="1">IF(B226&gt;=$J$5,0,(((CONTADORES!G232-CONTADORES!G231)+(CONTADORES!AP232-CONTADORES!AP231)+AR226)-(AV226+BC226)))</f>
        <v>8.7000000000001592</v>
      </c>
      <c r="BC226" s="1479">
        <f ca="1">IF(B226&gt;=$J$5,0,(CONTADORES!AW232-CONTADORES!AW231)+(CONTADORES!AY232-CONTADORES!AY231)+(CONTADORES!BD232-CONTADORES!BD231))</f>
        <v>1.6000000000000227</v>
      </c>
      <c r="BD226" s="1438">
        <f t="shared" ca="1" si="107"/>
        <v>220.21600000000001</v>
      </c>
      <c r="BE226" s="1439">
        <f ca="1">IF($B226&gt;=$J$5,0,CONTADORES!$BE232)</f>
        <v>6047.88</v>
      </c>
      <c r="BF226" s="1438">
        <f ca="1">IF($B226&gt;=$J$5,0,CONTADORES!$BF232)</f>
        <v>33673.392982456098</v>
      </c>
      <c r="BG226" s="1438">
        <f ca="1">IF($B226&gt;=$J$5,0,CONTADORES!$BH232)</f>
        <v>5764.37</v>
      </c>
      <c r="BH226" s="1479">
        <f ca="1">IF(B226&gt;=$J$5,0,(CONTADORES!AQ232-CONTADORES!AQ231))</f>
        <v>4</v>
      </c>
      <c r="BI226" s="1479">
        <f ca="1">IF(C226&gt;=$J$5,0,(CONTADORES!AR232-CONTADORES!AR231))</f>
        <v>0</v>
      </c>
      <c r="BJ226" s="1450">
        <f ca="1">IF(B226&gt;=$J$5,0,CONTADORES!BI232-CONTADORES!BI231)/1000</f>
        <v>0</v>
      </c>
      <c r="BK226" s="1450">
        <f ca="1">IF(B226&gt;=$J$5,0,CONTADORES!BJ232-CONTADORES!BJ231)</f>
        <v>0</v>
      </c>
      <c r="BL226" s="1450">
        <f ca="1">IF(B226&gt;=$J$5,0,CONTADORES!BK232-CONTADORES!BK231)</f>
        <v>0</v>
      </c>
      <c r="BM226" s="1450">
        <f ca="1">IF(B226&gt;=$J$5,0,CONTADORES!BL232-CONTADORES!BL231)/1000</f>
        <v>4.7160000000000002</v>
      </c>
      <c r="BN226" s="1450">
        <f ca="1">IF(B226&gt;=$J$5,0,CONTADORES!BM232-CONTADORES!BM231)/1000</f>
        <v>1.0820000000000001</v>
      </c>
      <c r="BO226" s="1450">
        <f ca="1">IF(B226&gt;=$J$5,0,CONTADORES!BN232-CONTADORES!BN231)</f>
        <v>24</v>
      </c>
      <c r="BP226" s="1450">
        <f ca="1">IF(B226&gt;=$J$5,0,CONTADORES!BO232-CONTADORES!BO231)/1000</f>
        <v>3.1619999999999999</v>
      </c>
      <c r="BQ226" s="1450">
        <f ca="1">IF(B226&gt;=$J$5,0,CONTADORES!BP232-CONTADORES!BP231)/1000</f>
        <v>3.3000000000000002E-2</v>
      </c>
      <c r="BR226" s="1450">
        <f ca="1">IF(B226&gt;=$J$5,0,CONTADORES!BQ232-CONTADORES!BQ231)</f>
        <v>24</v>
      </c>
      <c r="BS226" s="1450">
        <f ca="1">IF(B226&gt;=$J$5,0,(CONTADORES!BT232-CONTADORES!BT231)+(CONTADORES!BV232-CONTADORES!BV231))/1000</f>
        <v>2.4039999999999999</v>
      </c>
      <c r="BT226" s="1450">
        <f ca="1">IF(B226&gt;=$J$5,0,(CONTADORES!BU232-CONTADORES!BU231)+(CONTADORES!BW232-CONTADORES!BW231))/1000</f>
        <v>1.3720000000000001</v>
      </c>
      <c r="BU226" s="1450">
        <f ca="1">IF(B226&gt;=$J$5,0,CONTADORES!BR232-CONTADORES!BR231)</f>
        <v>5.5</v>
      </c>
      <c r="BV226" s="1450">
        <f ca="1">IF(B226&gt;=$J$5,0,CONTADORES!BS232-CONTADORES!BS231)</f>
        <v>3.8000000000001819</v>
      </c>
      <c r="BW226" s="1450">
        <f t="shared" ca="1" si="108"/>
        <v>11.1109999999995</v>
      </c>
      <c r="BX226" s="1450">
        <f t="shared" ca="1" si="109"/>
        <v>8.1500000000002615</v>
      </c>
      <c r="BY226" s="1450">
        <f t="shared" ca="1" si="110"/>
        <v>5.6109999999994997</v>
      </c>
      <c r="BZ226" s="1450">
        <f t="shared" ca="1" si="111"/>
        <v>1.1184000000001093</v>
      </c>
      <c r="CA226" s="1450">
        <f t="shared" ca="1" si="112"/>
        <v>5.6109999999994997</v>
      </c>
      <c r="CB226" s="1450">
        <f t="shared" ca="1" si="113"/>
        <v>1.6776000000001636</v>
      </c>
      <c r="CC226" s="1450">
        <f t="shared" ca="1" si="114"/>
        <v>3.5224000000001094</v>
      </c>
      <c r="CD226" s="1450">
        <f t="shared" ca="1" si="115"/>
        <v>4.3500000000000796</v>
      </c>
      <c r="CE226" s="1450">
        <f ca="1">IF(B226&gt;=$J$5,0,CONTADORES!BS232-CONTADORES!BS231)</f>
        <v>3.8000000000001819</v>
      </c>
      <c r="CF226" s="1450">
        <f t="shared" ca="1" si="116"/>
        <v>4.3500000000000796</v>
      </c>
      <c r="CG226" s="1450">
        <f t="shared" ca="1" si="117"/>
        <v>0.80000000000001137</v>
      </c>
      <c r="CH226" s="1450">
        <f t="shared" ca="1" si="118"/>
        <v>0.80000000000001137</v>
      </c>
      <c r="CI226" s="1450">
        <f t="shared" ca="1" si="119"/>
        <v>2.1720000000000113</v>
      </c>
      <c r="CJ226" s="1505">
        <f ca="1">IF($B226&gt;=$J$5,0,CONTADORES!$BG232)</f>
        <v>8821.18686331356</v>
      </c>
      <c r="CK226" s="1384">
        <f>CONTADORES!E232</f>
        <v>1</v>
      </c>
      <c r="CL226" s="1384">
        <f>CONTADORES!BX232</f>
        <v>0</v>
      </c>
    </row>
    <row r="227" spans="2:90">
      <c r="B227" s="410">
        <v>45143</v>
      </c>
      <c r="C227" s="204">
        <f t="shared" ca="1" si="95"/>
        <v>287</v>
      </c>
      <c r="D227" s="202">
        <f ca="1">'CALCULO DE GAS'!P42</f>
        <v>5.2838986225730986</v>
      </c>
      <c r="E227" s="202">
        <f ca="1">IF(B227&gt;=$J$5,0,(CONTADORES!$AB233-CONTADORES!$AB232)-$H227)</f>
        <v>24</v>
      </c>
      <c r="F227" s="204">
        <f t="shared" ref="F227:F260" ca="1" si="121">IF(H227=0,0,"ERROR")</f>
        <v>0</v>
      </c>
      <c r="G227" s="212">
        <f ca="1">IF(B227&gt;=$J$5,0,CONTADORES!$AD233-CONTADORES!$AD232)</f>
        <v>0</v>
      </c>
      <c r="H227" s="212">
        <f ca="1">IF(G227&gt;0,CONTADORES!$AC233-CONTADORES!$AC232,0)</f>
        <v>0</v>
      </c>
      <c r="I227" s="214">
        <f ca="1">IF(B227&gt;=$J$5,0,CONTADORES!$Z233-CONTADORES!$Z232)</f>
        <v>287</v>
      </c>
      <c r="J227" s="204">
        <f t="shared" ca="1" si="96"/>
        <v>150</v>
      </c>
      <c r="K227" s="1453">
        <f ca="1">'CALCULO DE GAS'!Q42</f>
        <v>3.9557151371929824</v>
      </c>
      <c r="L227" s="1437">
        <f ca="1">IF(B227&gt;=$J$5,0,(CONTADORES!$W233-CONTADORES!$W232)-$O227)</f>
        <v>24</v>
      </c>
      <c r="M227" s="1437">
        <f t="shared" ref="M227:M256" ca="1" si="122">IF(O227=0,0,"ERROR")</f>
        <v>0</v>
      </c>
      <c r="N227" s="1437">
        <f ca="1">IF(B227&gt;=$J$5,0,CONTADORES!$Y233-CONTADORES!$Y232)</f>
        <v>0</v>
      </c>
      <c r="O227" s="1437">
        <f ca="1">IF(N227&gt;0,CONTADORES!$X233-CONTADORES!$X232,0)</f>
        <v>0</v>
      </c>
      <c r="P227" s="208">
        <f ca="1">IF(B227&gt;=$J$5,0,CONTADORES!$U233-CONTADORES!$U232)</f>
        <v>150</v>
      </c>
      <c r="Q227" s="208">
        <f ca="1">IF(B227&gt;=$J$5,0,CONTADORES!$B233-CONTADORES!$B232)</f>
        <v>0</v>
      </c>
      <c r="R227" s="202">
        <f t="shared" ca="1" si="97"/>
        <v>0</v>
      </c>
      <c r="S227" s="11">
        <f ca="1">IF(B227&gt;=$J$5,0,CONTADORES!$D233-CONTADORES!$D232)</f>
        <v>0</v>
      </c>
      <c r="T227" s="204">
        <f ca="1">IF(B227&gt;=$J$5,0,CONTADORES!$AZ233-CONTADORES!$AZ232)</f>
        <v>0</v>
      </c>
      <c r="U227" s="202">
        <f t="shared" ca="1" si="91"/>
        <v>0</v>
      </c>
      <c r="V227" s="205">
        <f ca="1">IF(B227&gt;=$J$5,0,CONTADORES!$BB233-CONTADORES!$BB232)</f>
        <v>0</v>
      </c>
      <c r="W227" s="1438">
        <f t="shared" ca="1" si="98"/>
        <v>437</v>
      </c>
      <c r="X227" s="1438">
        <f t="shared" ca="1" si="99"/>
        <v>0</v>
      </c>
      <c r="Y227" s="1439">
        <f t="shared" ca="1" si="100"/>
        <v>437</v>
      </c>
      <c r="Z227" s="1439">
        <f t="shared" ca="1" si="101"/>
        <v>9.2396137597660815</v>
      </c>
      <c r="AA227" s="1439">
        <f t="shared" ca="1" si="102"/>
        <v>0</v>
      </c>
      <c r="AB227" s="1439">
        <f t="shared" ca="1" si="103"/>
        <v>48</v>
      </c>
      <c r="AC227" s="1438">
        <f t="shared" ca="1" si="104"/>
        <v>0</v>
      </c>
      <c r="AD227" s="1450">
        <f ca="1">IF(B227&gt;=$J$5,0,CONTADORES!H233-CONTADORES!H232)</f>
        <v>160</v>
      </c>
      <c r="AE227" s="1479">
        <f ca="1">IF(B227&gt;=$J$5,0,CONTADORES!J233-CONTADORES!J232)</f>
        <v>24</v>
      </c>
      <c r="AF227" s="1479">
        <f ca="1">IF(B227&gt;=$J$5,0,CONTADORES!AS233-CONTADORES!AS232)</f>
        <v>150</v>
      </c>
      <c r="AG227" s="1479">
        <f ca="1">IF(B227&gt;=$J$5,0,CONTADORES!AU233-CONTADORES!AU232)</f>
        <v>24</v>
      </c>
      <c r="AH227" s="1450">
        <f ca="1">IF(B227&gt;=$J$5,0,(CONTADORES!AK233-CONTADORES!AK232)+(CONTADORES!K233-CONTADORES!K232))</f>
        <v>9.7999999999974534</v>
      </c>
      <c r="AI227" s="1479">
        <f ca="1">IF(B227&gt;=$J$5,0,(CONTADORES!AI233-CONTADORES!AI232)+(CONTADORES!M233-CONTADORES!M232))</f>
        <v>35.5</v>
      </c>
      <c r="AJ227" s="1479">
        <f ca="1">IF(B227&gt;=$J$5,0,(CONTADORES!AG233-CONTADORES!AG232))</f>
        <v>7</v>
      </c>
      <c r="AK227" s="1479">
        <f ca="1">IF(B227&gt;=$J$5,0,(CONTADORES!O233-CONTADORES!O232))</f>
        <v>10</v>
      </c>
      <c r="AL227" s="1500">
        <f t="shared" ca="1" si="105"/>
        <v>33.200000000002603</v>
      </c>
      <c r="AM227" s="1450">
        <f ca="1">IF(B227&gt;=$J$5,0,(((CONTADORES!F233-CONTADORES!F232)+(CONTADORES!AO233-CONTADORES!AO232))))-BJ227-AF227-AN227-BM227-BP227-BU227-BS227</f>
        <v>13.720000000000271</v>
      </c>
      <c r="AN227" s="1479">
        <f ca="1">IF(B227&gt;=$J$5,0,(CONTADORES!AV233-CONTADORES!AV232)+(CONTADORES!AX233-CONTADORES!AX232)+(CONTADORES!BC233-CONTADORES!BC232))-BS227</f>
        <v>3.3900000000000912</v>
      </c>
      <c r="AO227" s="1440">
        <f ca="1">IF(B227&gt;=$J$5,0,(CONTADORES!AA233-CONTADORES!AA232))</f>
        <v>144</v>
      </c>
      <c r="AP227" s="1440">
        <f ca="1">IF(B227&gt;=$J$5,0,(CONTADORES!V233-CONTADORES!V232))</f>
        <v>74</v>
      </c>
      <c r="AQ227" s="1445">
        <f ca="1">IF(B227&gt;=$J$5,0,(CONTADORES!C233-CONTADORES!C232))</f>
        <v>0</v>
      </c>
      <c r="AR227" s="1440">
        <f ca="1">IF(B227&gt;=$J$5,0,(CONTADORES!BA233-CONTADORES!BA232))</f>
        <v>0</v>
      </c>
      <c r="AS227" s="1479">
        <f ca="1">IF(B227&gt;=$J$5,0,CONTADORES!Q233-CONTADORES!Q232)</f>
        <v>15</v>
      </c>
      <c r="AT227" s="1479">
        <f ca="1">IF(B227&gt;=$J$5,0,(CONTADORES!S233-CONTADORES!S232)+(CONTADORES!AE233-CONTADORES!AE232))</f>
        <v>3.1999999999999886</v>
      </c>
      <c r="AU227" s="1474">
        <f ca="1">IF(B227&gt;=$J$5,0,(CONTADORES!I233-CONTADORES!I232))</f>
        <v>81</v>
      </c>
      <c r="AV227" s="1440">
        <f ca="1">IF(B227&gt;=$J$5,0,(CONTADORES!AT233-CONTADORES!AT232))</f>
        <v>64</v>
      </c>
      <c r="AW227" s="1504">
        <f ca="1">IF(B227&gt;=$J$5,0,(CONTADORES!L233-CONTADORES!L232)+(CONTADORES!AL233-CONTADORES!AL232))</f>
        <v>4.000000000001819</v>
      </c>
      <c r="AX227" s="1504">
        <f ca="1">IF(B227&gt;=$J$5,0,(CONTADORES!N233-CONTADORES!N232)+(CONTADORES!AJ233-CONTADORES!AJ232))</f>
        <v>30.80000000000291</v>
      </c>
      <c r="AY227" s="1504">
        <f ca="1">IF(B227&gt;=$J$5,0,(CONTADORES!AH233-CONTADORES!AH232))</f>
        <v>5.1999999999970896</v>
      </c>
      <c r="AZ227" s="1504">
        <f ca="1">IF(B227&gt;=$J$5,0,(CONTADORES!P233-CONTADORES!P232))</f>
        <v>7</v>
      </c>
      <c r="BA227" s="1450">
        <f t="shared" ca="1" si="106"/>
        <v>6.7499999999985505</v>
      </c>
      <c r="BB227" s="1478">
        <f ca="1">IF(B227&gt;=$J$5,0,(((CONTADORES!G233-CONTADORES!G232)+(CONTADORES!AP233-CONTADORES!AP232)+AR227)-(AV227+BC227)))</f>
        <v>11.899999999999579</v>
      </c>
      <c r="BC227" s="1479">
        <f ca="1">IF(B227&gt;=$J$5,0,(CONTADORES!AW233-CONTADORES!AW232)+(CONTADORES!AY233-CONTADORES!AY232)+(CONTADORES!BD233-CONTADORES!BD232))</f>
        <v>1.8000000000002387</v>
      </c>
      <c r="BD227" s="1438">
        <f t="shared" ca="1" si="107"/>
        <v>218</v>
      </c>
      <c r="BE227" s="1439">
        <f ca="1">IF($B227&gt;=$J$5,0,CONTADORES!$BE233)</f>
        <v>5907.45</v>
      </c>
      <c r="BF227" s="1438">
        <f ca="1">IF($B227&gt;=$J$5,0,CONTADORES!$BF233)</f>
        <v>33446.728070175399</v>
      </c>
      <c r="BG227" s="1438">
        <f ca="1">IF($B227&gt;=$J$5,0,CONTADORES!$BH233)</f>
        <v>6277.8</v>
      </c>
      <c r="BH227" s="1479">
        <f ca="1">IF(B227&gt;=$J$5,0,(CONTADORES!AQ233-CONTADORES!AQ232))</f>
        <v>5</v>
      </c>
      <c r="BI227" s="1479">
        <f ca="1">IF(C227&gt;=$J$5,0,(CONTADORES!AR233-CONTADORES!AR232))</f>
        <v>0</v>
      </c>
      <c r="BJ227" s="1450">
        <f ca="1">IF(B227&gt;=$J$5,0,CONTADORES!BI233-CONTADORES!BI232)/1000</f>
        <v>0</v>
      </c>
      <c r="BK227" s="1450">
        <f ca="1">IF(B227&gt;=$J$5,0,CONTADORES!BJ233-CONTADORES!BJ232)</f>
        <v>0</v>
      </c>
      <c r="BL227" s="1450">
        <f ca="1">IF(B227&gt;=$J$5,0,CONTADORES!BK233-CONTADORES!BK232)</f>
        <v>0</v>
      </c>
      <c r="BM227" s="1450">
        <f ca="1">IF(B227&gt;=$J$5,0,CONTADORES!BL233-CONTADORES!BL232)/1000</f>
        <v>4.5659999999999998</v>
      </c>
      <c r="BN227" s="1450">
        <f ca="1">IF(B227&gt;=$J$5,0,CONTADORES!BM233-CONTADORES!BM232)/1000</f>
        <v>0.98299999999999998</v>
      </c>
      <c r="BO227" s="1450">
        <f ca="1">IF(B227&gt;=$J$5,0,CONTADORES!BN233-CONTADORES!BN232)</f>
        <v>23.599999999998545</v>
      </c>
      <c r="BP227" s="1450">
        <f ca="1">IF(B227&gt;=$J$5,0,CONTADORES!BO233-CONTADORES!BO232)/1000</f>
        <v>2.9140000000000001</v>
      </c>
      <c r="BQ227" s="1450">
        <f ca="1">IF(B227&gt;=$J$5,0,CONTADORES!BP233-CONTADORES!BP232)/1000</f>
        <v>1.2E-2</v>
      </c>
      <c r="BR227" s="1450">
        <f ca="1">IF(B227&gt;=$J$5,0,CONTADORES!BQ233-CONTADORES!BQ232)</f>
        <v>22.799999999999272</v>
      </c>
      <c r="BS227" s="1450">
        <f ca="1">IF(B227&gt;=$J$5,0,(CONTADORES!BT233-CONTADORES!BT232)+(CONTADORES!BV233-CONTADORES!BV232))/1000</f>
        <v>1.51</v>
      </c>
      <c r="BT227" s="1450">
        <f ca="1">IF(B227&gt;=$J$5,0,(CONTADORES!BU233-CONTADORES!BU232)+(CONTADORES!BW233-CONTADORES!BW232))/1000</f>
        <v>0.85499999999999998</v>
      </c>
      <c r="BU227" s="1450">
        <f ca="1">IF(B227&gt;=$J$5,0,CONTADORES!BR233-CONTADORES!BR232)</f>
        <v>5.3999999999996362</v>
      </c>
      <c r="BV227" s="1450">
        <f ca="1">IF(B227&gt;=$J$5,0,CONTADORES!BS233-CONTADORES!BS232)</f>
        <v>3.6999999999998181</v>
      </c>
      <c r="BW227" s="1450">
        <f t="shared" ca="1" si="108"/>
        <v>12.259999999999771</v>
      </c>
      <c r="BX227" s="1450">
        <f t="shared" ca="1" si="109"/>
        <v>9.6499999999996078</v>
      </c>
      <c r="BY227" s="1450">
        <f t="shared" ca="1" si="110"/>
        <v>6.8600000000001353</v>
      </c>
      <c r="BZ227" s="1450">
        <f t="shared" ca="1" si="111"/>
        <v>1.3560000000000365</v>
      </c>
      <c r="CA227" s="1450">
        <f t="shared" ca="1" si="112"/>
        <v>6.8600000000001353</v>
      </c>
      <c r="CB227" s="1450">
        <f t="shared" ca="1" si="113"/>
        <v>2.0340000000000549</v>
      </c>
      <c r="CC227" s="1450">
        <f t="shared" ca="1" si="114"/>
        <v>2.8660000000000365</v>
      </c>
      <c r="CD227" s="1450">
        <f t="shared" ca="1" si="115"/>
        <v>5.9499999999997897</v>
      </c>
      <c r="CE227" s="1450">
        <f ca="1">IF(B227&gt;=$J$5,0,CONTADORES!BS233-CONTADORES!BS232)</f>
        <v>3.6999999999998181</v>
      </c>
      <c r="CF227" s="1450">
        <f t="shared" ca="1" si="116"/>
        <v>5.9499999999997897</v>
      </c>
      <c r="CG227" s="1450">
        <f t="shared" ca="1" si="117"/>
        <v>0.90000000000011937</v>
      </c>
      <c r="CH227" s="1450">
        <f t="shared" ca="1" si="118"/>
        <v>0.90000000000011937</v>
      </c>
      <c r="CI227" s="1450">
        <f t="shared" ca="1" si="119"/>
        <v>1.7550000000001194</v>
      </c>
      <c r="CJ227" s="1505">
        <f ca="1">IF($B227&gt;=$J$5,0,CONTADORES!$BG233)</f>
        <v>9599.85311328032</v>
      </c>
      <c r="CK227" s="1384">
        <f>CONTADORES!E233</f>
        <v>0</v>
      </c>
      <c r="CL227" s="1384">
        <f>CONTADORES!BX233</f>
        <v>0</v>
      </c>
    </row>
    <row r="228" spans="2:90">
      <c r="B228" s="410">
        <v>45144</v>
      </c>
      <c r="C228" s="204">
        <f t="shared" ca="1" si="95"/>
        <v>298</v>
      </c>
      <c r="D228" s="202">
        <f ca="1">'CALCULO DE GAS'!P43</f>
        <v>5.3918787395321628</v>
      </c>
      <c r="E228" s="202">
        <f ca="1">IF(B228&gt;=$J$5,0,(CONTADORES!$AB234-CONTADORES!$AB233)-$H228)</f>
        <v>24</v>
      </c>
      <c r="F228" s="204">
        <f t="shared" ca="1" si="121"/>
        <v>0</v>
      </c>
      <c r="G228" s="212">
        <f ca="1">IF(B228&gt;=$J$5,0,CONTADORES!$AD234-CONTADORES!$AD233)</f>
        <v>0</v>
      </c>
      <c r="H228" s="212">
        <f ca="1">IF(G228&gt;0,CONTADORES!$AC234-CONTADORES!$AC233,0)</f>
        <v>0</v>
      </c>
      <c r="I228" s="214">
        <f ca="1">IF(B228&gt;=$J$5,0,CONTADORES!$Z234-CONTADORES!$Z233)</f>
        <v>298</v>
      </c>
      <c r="J228" s="204">
        <f t="shared" ca="1" si="96"/>
        <v>150</v>
      </c>
      <c r="K228" s="1453">
        <f ca="1">'CALCULO DE GAS'!Q43</f>
        <v>3.9557151371929824</v>
      </c>
      <c r="L228" s="1437">
        <f ca="1">IF(B228&gt;=$J$5,0,(CONTADORES!$W234-CONTADORES!$W233)-$O228)</f>
        <v>24</v>
      </c>
      <c r="M228" s="1437">
        <f t="shared" ca="1" si="122"/>
        <v>0</v>
      </c>
      <c r="N228" s="1437">
        <f ca="1">IF(B228&gt;=$J$5,0,CONTADORES!$Y234-CONTADORES!$Y233)</f>
        <v>0</v>
      </c>
      <c r="O228" s="1437">
        <f ca="1">IF(N228&gt;0,CONTADORES!$X234-CONTADORES!$X233,0)</f>
        <v>0</v>
      </c>
      <c r="P228" s="208">
        <f ca="1">IF(B228&gt;=$J$5,0,CONTADORES!$U234-CONTADORES!$U233)</f>
        <v>150</v>
      </c>
      <c r="Q228" s="208">
        <f ca="1">IF(B228&gt;=$J$5,0,CONTADORES!$B234-CONTADORES!$B233)</f>
        <v>0</v>
      </c>
      <c r="R228" s="202">
        <f t="shared" ca="1" si="97"/>
        <v>0</v>
      </c>
      <c r="S228" s="11">
        <f ca="1">IF(B228&gt;=$J$5,0,CONTADORES!$D234-CONTADORES!$D233)</f>
        <v>0</v>
      </c>
      <c r="T228" s="204">
        <f ca="1">IF(B228&gt;=$J$5,0,CONTADORES!$AZ234-CONTADORES!$AZ233)</f>
        <v>0</v>
      </c>
      <c r="U228" s="202">
        <f t="shared" ca="1" si="91"/>
        <v>0</v>
      </c>
      <c r="V228" s="205">
        <f ca="1">IF(B228&gt;=$J$5,0,CONTADORES!$BB234-CONTADORES!$BB233)</f>
        <v>0</v>
      </c>
      <c r="W228" s="1438">
        <f t="shared" ca="1" si="98"/>
        <v>448</v>
      </c>
      <c r="X228" s="1438">
        <f t="shared" ca="1" si="99"/>
        <v>0</v>
      </c>
      <c r="Y228" s="1439">
        <f t="shared" ca="1" si="100"/>
        <v>448</v>
      </c>
      <c r="Z228" s="1439">
        <f t="shared" ca="1" si="101"/>
        <v>9.3475938767251456</v>
      </c>
      <c r="AA228" s="1439">
        <f t="shared" ca="1" si="102"/>
        <v>0</v>
      </c>
      <c r="AB228" s="1439">
        <f t="shared" ca="1" si="103"/>
        <v>48</v>
      </c>
      <c r="AC228" s="1438">
        <f t="shared" ca="1" si="104"/>
        <v>0</v>
      </c>
      <c r="AD228" s="1450">
        <f ca="1">IF(B228&gt;=$J$5,0,CONTADORES!H234-CONTADORES!H233)</f>
        <v>164</v>
      </c>
      <c r="AE228" s="1479">
        <f ca="1">IF(B228&gt;=$J$5,0,CONTADORES!J234-CONTADORES!J233)</f>
        <v>24</v>
      </c>
      <c r="AF228" s="1479">
        <f ca="1">IF(B228&gt;=$J$5,0,CONTADORES!AS234-CONTADORES!AS233)</f>
        <v>156</v>
      </c>
      <c r="AG228" s="1479">
        <f ca="1">IF(B228&gt;=$J$5,0,CONTADORES!AU234-CONTADORES!AU233)</f>
        <v>24</v>
      </c>
      <c r="AH228" s="1450">
        <f ca="1">IF(B228&gt;=$J$5,0,(CONTADORES!AK234-CONTADORES!AK233)+(CONTADORES!K234-CONTADORES!K233))</f>
        <v>12.299999999997453</v>
      </c>
      <c r="AI228" s="1479">
        <f ca="1">IF(B228&gt;=$J$5,0,(CONTADORES!AI234-CONTADORES!AI233)+(CONTADORES!M234-CONTADORES!M233))</f>
        <v>36.399999999994179</v>
      </c>
      <c r="AJ228" s="1479">
        <f ca="1">IF(B228&gt;=$J$5,0,(CONTADORES!AG234-CONTADORES!AG233))</f>
        <v>8.6000000000058208</v>
      </c>
      <c r="AK228" s="1479">
        <f ca="1">IF(B228&gt;=$J$5,0,(CONTADORES!O234-CONTADORES!O233))</f>
        <v>10</v>
      </c>
      <c r="AL228" s="1500">
        <f t="shared" ca="1" si="105"/>
        <v>34.300000000004673</v>
      </c>
      <c r="AM228" s="1450">
        <f ca="1">IF(B228&gt;=$J$5,0,(((CONTADORES!F234-CONTADORES!F233)+(CONTADORES!AO234-CONTADORES!AO233))))-BJ228-AF228-AN228-BM228-BP228-BU228-BS228</f>
        <v>9.2919999999978291</v>
      </c>
      <c r="AN228" s="1479">
        <f ca="1">IF(B228&gt;=$J$5,0,(CONTADORES!AV234-CONTADORES!AV233)+(CONTADORES!AX234-CONTADORES!AX233)+(CONTADORES!BC234-CONTADORES!BC233))-BS228</f>
        <v>3.3029999999996362</v>
      </c>
      <c r="AO228" s="1440">
        <f ca="1">IF(B228&gt;=$J$5,0,(CONTADORES!AA234-CONTADORES!AA233))</f>
        <v>152</v>
      </c>
      <c r="AP228" s="1440">
        <f ca="1">IF(B228&gt;=$J$5,0,(CONTADORES!V234-CONTADORES!V233))</f>
        <v>74</v>
      </c>
      <c r="AQ228" s="1445">
        <f ca="1">IF(B228&gt;=$J$5,0,(CONTADORES!C234-CONTADORES!C233))</f>
        <v>0</v>
      </c>
      <c r="AR228" s="1440">
        <f ca="1">IF(B228&gt;=$J$5,0,(CONTADORES!BA234-CONTADORES!BA233))</f>
        <v>0</v>
      </c>
      <c r="AS228" s="1479">
        <f ca="1">IF(B228&gt;=$J$5,0,CONTADORES!Q234-CONTADORES!Q233)</f>
        <v>14</v>
      </c>
      <c r="AT228" s="1479">
        <f ca="1">IF(B228&gt;=$J$5,0,(CONTADORES!S234-CONTADORES!S233)+(CONTADORES!AE234-CONTADORES!AE233))</f>
        <v>3.1000000000000227</v>
      </c>
      <c r="AU228" s="1474">
        <f ca="1">IF(B228&gt;=$J$5,0,(CONTADORES!I234-CONTADORES!I233))</f>
        <v>82</v>
      </c>
      <c r="AV228" s="1440">
        <f ca="1">IF(B228&gt;=$J$5,0,(CONTADORES!AT234-CONTADORES!AT233))</f>
        <v>67</v>
      </c>
      <c r="AW228" s="1504">
        <f ca="1">IF(B228&gt;=$J$5,0,(CONTADORES!L234-CONTADORES!L233)+(CONTADORES!AL234-CONTADORES!AL233))</f>
        <v>4.7999999999992724</v>
      </c>
      <c r="AX228" s="1504">
        <f ca="1">IF(B228&gt;=$J$5,0,(CONTADORES!N234-CONTADORES!N233)+(CONTADORES!AJ234-CONTADORES!AJ233))</f>
        <v>31.69999999999709</v>
      </c>
      <c r="AY228" s="1504">
        <f ca="1">IF(B228&gt;=$J$5,0,(CONTADORES!AH234-CONTADORES!AH233))</f>
        <v>6.3000000000029104</v>
      </c>
      <c r="AZ228" s="1504">
        <f ca="1">IF(B228&gt;=$J$5,0,(CONTADORES!P234-CONTADORES!P233))</f>
        <v>8</v>
      </c>
      <c r="BA228" s="1450">
        <f t="shared" ca="1" si="106"/>
        <v>6.5710000000009074</v>
      </c>
      <c r="BB228" s="1478">
        <f ca="1">IF(B228&gt;=$J$5,0,(((CONTADORES!G234-CONTADORES!G233)+(CONTADORES!AP234-CONTADORES!AP233)+AR228)-(AV228+BC228)))</f>
        <v>12.299999999999727</v>
      </c>
      <c r="BC228" s="1479">
        <f ca="1">IF(B228&gt;=$J$5,0,(CONTADORES!AW234-CONTADORES!AW233)+(CONTADORES!AY234-CONTADORES!AY233)+(CONTADORES!BD234-CONTADORES!BD233))</f>
        <v>1.5999999999999091</v>
      </c>
      <c r="BD228" s="1438">
        <f t="shared" ca="1" si="107"/>
        <v>226</v>
      </c>
      <c r="BE228" s="1439">
        <f ca="1">IF($B228&gt;=$J$5,0,CONTADORES!$BE234)</f>
        <v>6259.67</v>
      </c>
      <c r="BF228" s="1438">
        <f ca="1">IF($B228&gt;=$J$5,0,CONTADORES!$BF234)</f>
        <v>32866.235087719302</v>
      </c>
      <c r="BG228" s="1438">
        <f ca="1">IF($B228&gt;=$J$5,0,CONTADORES!$BH234)</f>
        <v>6634.31</v>
      </c>
      <c r="BH228" s="1479">
        <f ca="1">IF(B228&gt;=$J$5,0,(CONTADORES!AQ234-CONTADORES!AQ233))</f>
        <v>5</v>
      </c>
      <c r="BI228" s="1479">
        <f ca="1">IF(C228&gt;=$J$5,0,(CONTADORES!AR234-CONTADORES!AR233))</f>
        <v>0</v>
      </c>
      <c r="BJ228" s="1450">
        <f ca="1">IF(B228&gt;=$J$5,0,CONTADORES!BI234-CONTADORES!BI233)/1000</f>
        <v>3.2</v>
      </c>
      <c r="BK228" s="1450">
        <f ca="1">IF(B228&gt;=$J$5,0,CONTADORES!BJ234-CONTADORES!BJ233)</f>
        <v>1</v>
      </c>
      <c r="BL228" s="1450">
        <f ca="1">IF(B228&gt;=$J$5,0,CONTADORES!BK234-CONTADORES!BK233)</f>
        <v>23.900000000001455</v>
      </c>
      <c r="BM228" s="1450">
        <f ca="1">IF(B228&gt;=$J$5,0,CONTADORES!BL234-CONTADORES!BL233)/1000</f>
        <v>0</v>
      </c>
      <c r="BN228" s="1450">
        <f ca="1">IF(B228&gt;=$J$5,0,CONTADORES!BM234-CONTADORES!BM233)/1000</f>
        <v>0</v>
      </c>
      <c r="BO228" s="1450">
        <f ca="1">IF(B228&gt;=$J$5,0,CONTADORES!BN234-CONTADORES!BN233)</f>
        <v>0</v>
      </c>
      <c r="BP228" s="1450">
        <f ca="1">IF(B228&gt;=$J$5,0,CONTADORES!BO234-CONTADORES!BO233)/1000</f>
        <v>3.4079999999999999</v>
      </c>
      <c r="BQ228" s="1450">
        <f ca="1">IF(B228&gt;=$J$5,0,CONTADORES!BP234-CONTADORES!BP233)/1000</f>
        <v>2.5999999999999999E-2</v>
      </c>
      <c r="BR228" s="1450">
        <f ca="1">IF(B228&gt;=$J$5,0,CONTADORES!BQ234-CONTADORES!BQ233)</f>
        <v>24</v>
      </c>
      <c r="BS228" s="1450">
        <f ca="1">IF(B228&gt;=$J$5,0,(CONTADORES!BT234-CONTADORES!BT233)+(CONTADORES!BV234-CONTADORES!BV233))/1000</f>
        <v>1.597</v>
      </c>
      <c r="BT228" s="1450">
        <f ca="1">IF(B228&gt;=$J$5,0,(CONTADORES!BU234-CONTADORES!BU233)+(CONTADORES!BW234-CONTADORES!BW233))/1000</f>
        <v>0.90300000000000002</v>
      </c>
      <c r="BU228" s="1450">
        <f ca="1">IF(B228&gt;=$J$5,0,CONTADORES!BR234-CONTADORES!BR233)</f>
        <v>5.6000000000003638</v>
      </c>
      <c r="BV228" s="1450">
        <f ca="1">IF(B228&gt;=$J$5,0,CONTADORES!BS234-CONTADORES!BS233)</f>
        <v>3.8000000000001819</v>
      </c>
      <c r="BW228" s="1450">
        <f t="shared" ca="1" si="108"/>
        <v>10.245999999999277</v>
      </c>
      <c r="BX228" s="1450">
        <f t="shared" ca="1" si="109"/>
        <v>9.9500000000000455</v>
      </c>
      <c r="BY228" s="1450">
        <f t="shared" ca="1" si="110"/>
        <v>4.6459999999989146</v>
      </c>
      <c r="BZ228" s="1450">
        <f t="shared" ca="1" si="111"/>
        <v>1.3211999999998545</v>
      </c>
      <c r="CA228" s="1450">
        <f t="shared" ca="1" si="112"/>
        <v>4.6459999999989146</v>
      </c>
      <c r="CB228" s="1450">
        <f t="shared" ca="1" si="113"/>
        <v>1.9817999999997817</v>
      </c>
      <c r="CC228" s="1450">
        <f t="shared" ca="1" si="114"/>
        <v>2.9181999999998545</v>
      </c>
      <c r="CD228" s="1450">
        <f t="shared" ca="1" si="115"/>
        <v>6.1499999999998636</v>
      </c>
      <c r="CE228" s="1450">
        <f ca="1">IF(B228&gt;=$J$5,0,CONTADORES!BS234-CONTADORES!BS233)</f>
        <v>3.8000000000001819</v>
      </c>
      <c r="CF228" s="1450">
        <f t="shared" ca="1" si="116"/>
        <v>6.1499999999998636</v>
      </c>
      <c r="CG228" s="1450">
        <f t="shared" ca="1" si="117"/>
        <v>0.79999999999995453</v>
      </c>
      <c r="CH228" s="1450">
        <f t="shared" ca="1" si="118"/>
        <v>0.79999999999995453</v>
      </c>
      <c r="CI228" s="1450">
        <f t="shared" ca="1" si="119"/>
        <v>1.7029999999999546</v>
      </c>
      <c r="CJ228" s="1505">
        <f ca="1">IF($B228&gt;=$J$5,0,CONTADORES!$BG234)</f>
        <v>9221.4288542508402</v>
      </c>
      <c r="CK228" s="1384">
        <f>CONTADORES!E234</f>
        <v>0</v>
      </c>
      <c r="CL228" s="1384">
        <f>CONTADORES!BX234</f>
        <v>0</v>
      </c>
    </row>
    <row r="229" spans="2:90">
      <c r="B229" s="410">
        <v>45145</v>
      </c>
      <c r="C229" s="204">
        <f t="shared" ca="1" si="95"/>
        <v>286</v>
      </c>
      <c r="D229" s="202">
        <f ca="1">'CALCULO DE GAS'!P44</f>
        <v>5.2740822483040928</v>
      </c>
      <c r="E229" s="202">
        <f ca="1">IF(B229&gt;=$J$5,0,(CONTADORES!$AB235-CONTADORES!$AB234)-$H229)</f>
        <v>24</v>
      </c>
      <c r="F229" s="204">
        <f t="shared" ca="1" si="121"/>
        <v>0</v>
      </c>
      <c r="G229" s="212">
        <f ca="1">IF(B229&gt;=$J$5,0,CONTADORES!$AD235-CONTADORES!$AD234)</f>
        <v>0</v>
      </c>
      <c r="H229" s="212">
        <f ca="1">IF(G229&gt;0,CONTADORES!$AC235-CONTADORES!$AC234,0)</f>
        <v>0</v>
      </c>
      <c r="I229" s="214">
        <f ca="1">IF(B229&gt;=$J$5,0,CONTADORES!$Z235-CONTADORES!$Z234)</f>
        <v>286</v>
      </c>
      <c r="J229" s="204">
        <f t="shared" ca="1" si="96"/>
        <v>148</v>
      </c>
      <c r="K229" s="1453">
        <f ca="1">'CALCULO DE GAS'!Q44</f>
        <v>3.934680049473684</v>
      </c>
      <c r="L229" s="1437">
        <f ca="1">IF(B229&gt;=$J$5,0,(CONTADORES!$W235-CONTADORES!$W234)-$O229)</f>
        <v>24</v>
      </c>
      <c r="M229" s="1437">
        <f t="shared" ca="1" si="122"/>
        <v>0</v>
      </c>
      <c r="N229" s="1437">
        <f ca="1">IF(B229&gt;=$J$5,0,CONTADORES!$Y235-CONTADORES!$Y234)</f>
        <v>0</v>
      </c>
      <c r="O229" s="1437">
        <f ca="1">IF(N229&gt;0,CONTADORES!$X235-CONTADORES!$X234,0)</f>
        <v>0</v>
      </c>
      <c r="P229" s="208">
        <f ca="1">IF(B229&gt;=$J$5,0,CONTADORES!$U235-CONTADORES!$U234)</f>
        <v>148</v>
      </c>
      <c r="Q229" s="208">
        <f ca="1">IF(B229&gt;=$J$5,0,CONTADORES!$B235-CONTADORES!$B234)</f>
        <v>0</v>
      </c>
      <c r="R229" s="202">
        <f t="shared" ca="1" si="97"/>
        <v>0</v>
      </c>
      <c r="S229" s="11">
        <f ca="1">IF(B229&gt;=$J$5,0,CONTADORES!$D235-CONTADORES!$D234)</f>
        <v>0</v>
      </c>
      <c r="T229" s="204">
        <f ca="1">IF(B229&gt;=$J$5,0,CONTADORES!$AZ235-CONTADORES!$AZ234)</f>
        <v>0</v>
      </c>
      <c r="U229" s="202">
        <f t="shared" ref="U229:U292" ca="1" si="123">$T229*120</f>
        <v>0</v>
      </c>
      <c r="V229" s="205">
        <f ca="1">IF(B229&gt;=$J$5,0,CONTADORES!$BB235-CONTADORES!$BB234)</f>
        <v>0</v>
      </c>
      <c r="W229" s="1438">
        <f t="shared" ca="1" si="98"/>
        <v>434</v>
      </c>
      <c r="X229" s="1438">
        <f t="shared" ca="1" si="99"/>
        <v>0</v>
      </c>
      <c r="Y229" s="1439">
        <f t="shared" ca="1" si="100"/>
        <v>434</v>
      </c>
      <c r="Z229" s="1439">
        <f t="shared" ca="1" si="101"/>
        <v>9.2087622977777777</v>
      </c>
      <c r="AA229" s="1439">
        <f t="shared" ca="1" si="102"/>
        <v>0</v>
      </c>
      <c r="AB229" s="1439">
        <f t="shared" ca="1" si="103"/>
        <v>48</v>
      </c>
      <c r="AC229" s="1438">
        <f t="shared" ca="1" si="104"/>
        <v>0</v>
      </c>
      <c r="AD229" s="1450">
        <f ca="1">IF(B229&gt;=$J$5,0,CONTADORES!H235-CONTADORES!H234)</f>
        <v>160</v>
      </c>
      <c r="AE229" s="1479">
        <f ca="1">IF(B229&gt;=$J$5,0,CONTADORES!J235-CONTADORES!J234)</f>
        <v>24</v>
      </c>
      <c r="AF229" s="1479">
        <f ca="1">IF(B229&gt;=$J$5,0,CONTADORES!AS235-CONTADORES!AS234)</f>
        <v>151</v>
      </c>
      <c r="AG229" s="1479">
        <f ca="1">IF(B229&gt;=$J$5,0,CONTADORES!AU235-CONTADORES!AU234)</f>
        <v>24</v>
      </c>
      <c r="AH229" s="1450">
        <f ca="1">IF(B229&gt;=$J$5,0,(CONTADORES!AK235-CONTADORES!AK234)+(CONTADORES!K235-CONTADORES!K234))</f>
        <v>7.500000000001819</v>
      </c>
      <c r="AI229" s="1479">
        <f ca="1">IF(B229&gt;=$J$5,0,(CONTADORES!AI235-CONTADORES!AI234)+(CONTADORES!M235-CONTADORES!M234))</f>
        <v>36.399999999994179</v>
      </c>
      <c r="AJ229" s="1479">
        <f ca="1">IF(B229&gt;=$J$5,0,(CONTADORES!AG235-CONTADORES!AG234))</f>
        <v>8</v>
      </c>
      <c r="AK229" s="1479">
        <f ca="1">IF(B229&gt;=$J$5,0,(CONTADORES!O235-CONTADORES!O234))</f>
        <v>10</v>
      </c>
      <c r="AL229" s="1500">
        <f t="shared" ca="1" si="105"/>
        <v>31.800000000001091</v>
      </c>
      <c r="AM229" s="1450">
        <f ca="1">IF(B229&gt;=$J$5,0,(((CONTADORES!F235-CONTADORES!F234)+(CONTADORES!AO235-CONTADORES!AO234))))-BJ229-AF229-AN229-BM229-BP229-BU229-BS229</f>
        <v>12.172000000003553</v>
      </c>
      <c r="AN229" s="1479">
        <f ca="1">IF(B229&gt;=$J$5,0,(CONTADORES!AV235-CONTADORES!AV234)+(CONTADORES!AX235-CONTADORES!AX234)+(CONTADORES!BC235-CONTADORES!BC234))-BS229</f>
        <v>3.3079999999997272</v>
      </c>
      <c r="AO229" s="1440">
        <f ca="1">IF(B229&gt;=$J$5,0,(CONTADORES!AA235-CONTADORES!AA234))</f>
        <v>149</v>
      </c>
      <c r="AP229" s="1440">
        <f ca="1">IF(B229&gt;=$J$5,0,(CONTADORES!V235-CONTADORES!V234))</f>
        <v>69</v>
      </c>
      <c r="AQ229" s="1445">
        <f ca="1">IF(B229&gt;=$J$5,0,(CONTADORES!C235-CONTADORES!C234))</f>
        <v>0</v>
      </c>
      <c r="AR229" s="1440">
        <f ca="1">IF(B229&gt;=$J$5,0,(CONTADORES!BA235-CONTADORES!BA234))</f>
        <v>0</v>
      </c>
      <c r="AS229" s="1479">
        <f ca="1">IF(B229&gt;=$J$5,0,CONTADORES!Q235-CONTADORES!Q234)</f>
        <v>15</v>
      </c>
      <c r="AT229" s="1479">
        <f ca="1">IF(B229&gt;=$J$5,0,(CONTADORES!S235-CONTADORES!S234)+(CONTADORES!AE235-CONTADORES!AE234))</f>
        <v>3.0999999999999943</v>
      </c>
      <c r="AU229" s="1474">
        <f ca="1">IF(B229&gt;=$J$5,0,(CONTADORES!I235-CONTADORES!I234))</f>
        <v>80</v>
      </c>
      <c r="AV229" s="1440">
        <f ca="1">IF(B229&gt;=$J$5,0,(CONTADORES!AT235-CONTADORES!AT234))</f>
        <v>65</v>
      </c>
      <c r="AW229" s="1504">
        <f ca="1">IF(B229&gt;=$J$5,0,(CONTADORES!L235-CONTADORES!L234)+(CONTADORES!AL235-CONTADORES!AL234))</f>
        <v>2.7999999999992724</v>
      </c>
      <c r="AX229" s="1504">
        <f ca="1">IF(B229&gt;=$J$5,0,(CONTADORES!N235-CONTADORES!N234)+(CONTADORES!AJ235-CONTADORES!AJ234))</f>
        <v>31.700000000004366</v>
      </c>
      <c r="AY229" s="1504">
        <f ca="1">IF(B229&gt;=$J$5,0,(CONTADORES!AH235-CONTADORES!AH234))</f>
        <v>6.0999999999985448</v>
      </c>
      <c r="AZ229" s="1504">
        <f ca="1">IF(B229&gt;=$J$5,0,(CONTADORES!P235-CONTADORES!P234))</f>
        <v>8</v>
      </c>
      <c r="BA229" s="1450">
        <f t="shared" ca="1" si="106"/>
        <v>3.4159999999974389</v>
      </c>
      <c r="BB229" s="1478">
        <f ca="1">IF(B229&gt;=$J$5,0,(((CONTADORES!G235-CONTADORES!G234)+(CONTADORES!AP235-CONTADORES!AP234)+AR229)-(AV229+BC229)))</f>
        <v>13.60000000000025</v>
      </c>
      <c r="BC229" s="1479">
        <f ca="1">IF(B229&gt;=$J$5,0,(CONTADORES!AW235-CONTADORES!AW234)+(CONTADORES!AY235-CONTADORES!AY234)+(CONTADORES!BD235-CONTADORES!BD234))</f>
        <v>1.6999999999999318</v>
      </c>
      <c r="BD229" s="1438">
        <f t="shared" ca="1" si="107"/>
        <v>218</v>
      </c>
      <c r="BE229" s="1439">
        <f ca="1">IF($B229&gt;=$J$5,0,CONTADORES!$BE235)</f>
        <v>6194.94</v>
      </c>
      <c r="BF229" s="1438">
        <f ca="1">IF($B229&gt;=$J$5,0,CONTADORES!$BF235)</f>
        <v>32999.882456140404</v>
      </c>
      <c r="BG229" s="1438">
        <f ca="1">IF($B229&gt;=$J$5,0,CONTADORES!$BH235)</f>
        <v>5876.94</v>
      </c>
      <c r="BH229" s="1479">
        <f ca="1">IF(B229&gt;=$J$5,0,(CONTADORES!AQ235-CONTADORES!AQ234))</f>
        <v>4</v>
      </c>
      <c r="BI229" s="1479">
        <f ca="1">IF(C229&gt;=$J$5,0,(CONTADORES!AR235-CONTADORES!AR234))</f>
        <v>0</v>
      </c>
      <c r="BJ229" s="1450">
        <f ca="1">IF(B229&gt;=$J$5,0,CONTADORES!BI235-CONTADORES!BI234)/1000</f>
        <v>3.6</v>
      </c>
      <c r="BK229" s="1450">
        <f ca="1">IF(B229&gt;=$J$5,0,CONTADORES!BJ235-CONTADORES!BJ234)</f>
        <v>1</v>
      </c>
      <c r="BL229" s="1450">
        <f ca="1">IF(B229&gt;=$J$5,0,CONTADORES!BK235-CONTADORES!BK234)</f>
        <v>24</v>
      </c>
      <c r="BM229" s="1450">
        <f ca="1">IF(B229&gt;=$J$5,0,CONTADORES!BL235-CONTADORES!BL234)/1000</f>
        <v>0</v>
      </c>
      <c r="BN229" s="1450">
        <f ca="1">IF(B229&gt;=$J$5,0,CONTADORES!BM235-CONTADORES!BM234)/1000</f>
        <v>0</v>
      </c>
      <c r="BO229" s="1450">
        <f ca="1">IF(B229&gt;=$J$5,0,CONTADORES!BN235-CONTADORES!BN234)</f>
        <v>0</v>
      </c>
      <c r="BP229" s="1450">
        <f ca="1">IF(B229&gt;=$J$5,0,CONTADORES!BO235-CONTADORES!BO234)/1000</f>
        <v>3.3279999999999998</v>
      </c>
      <c r="BQ229" s="1450">
        <f ca="1">IF(B229&gt;=$J$5,0,CONTADORES!BP235-CONTADORES!BP234)/1000</f>
        <v>2.5999999999999999E-2</v>
      </c>
      <c r="BR229" s="1450">
        <f ca="1">IF(B229&gt;=$J$5,0,CONTADORES!BQ235-CONTADORES!BQ234)</f>
        <v>24</v>
      </c>
      <c r="BS229" s="1450">
        <f ca="1">IF(B229&gt;=$J$5,0,(CONTADORES!BT235-CONTADORES!BT234)+(CONTADORES!BV235-CONTADORES!BV234))/1000</f>
        <v>1.492</v>
      </c>
      <c r="BT229" s="1450">
        <f ca="1">IF(B229&gt;=$J$5,0,(CONTADORES!BU235-CONTADORES!BU234)+(CONTADORES!BW235-CONTADORES!BW234))/1000</f>
        <v>0.85799999999999998</v>
      </c>
      <c r="BU229" s="1450">
        <f ca="1">IF(B229&gt;=$J$5,0,CONTADORES!BR235-CONTADORES!BR234)</f>
        <v>5.3999999999996362</v>
      </c>
      <c r="BV229" s="1450">
        <f ca="1">IF(B229&gt;=$J$5,0,CONTADORES!BS235-CONTADORES!BS234)</f>
        <v>3.8000000000001819</v>
      </c>
      <c r="BW229" s="1450">
        <f t="shared" ca="1" si="108"/>
        <v>11.486000000001413</v>
      </c>
      <c r="BX229" s="1450">
        <f t="shared" ca="1" si="109"/>
        <v>10.600000000000307</v>
      </c>
      <c r="BY229" s="1450">
        <f t="shared" ca="1" si="110"/>
        <v>6.0860000000017767</v>
      </c>
      <c r="BZ229" s="1450">
        <f t="shared" ca="1" si="111"/>
        <v>1.3231999999998909</v>
      </c>
      <c r="CA229" s="1450">
        <f t="shared" ca="1" si="112"/>
        <v>6.0860000000017767</v>
      </c>
      <c r="CB229" s="1450">
        <f t="shared" ca="1" si="113"/>
        <v>1.9847999999998363</v>
      </c>
      <c r="CC229" s="1450">
        <f t="shared" ca="1" si="114"/>
        <v>2.8151999999998907</v>
      </c>
      <c r="CD229" s="1450">
        <f t="shared" ca="1" si="115"/>
        <v>6.8000000000001251</v>
      </c>
      <c r="CE229" s="1450">
        <f ca="1">IF(B229&gt;=$J$5,0,CONTADORES!BS235-CONTADORES!BS234)</f>
        <v>3.8000000000001819</v>
      </c>
      <c r="CF229" s="1450">
        <f t="shared" ca="1" si="116"/>
        <v>6.8000000000001251</v>
      </c>
      <c r="CG229" s="1450">
        <f t="shared" ca="1" si="117"/>
        <v>0.84999999999996589</v>
      </c>
      <c r="CH229" s="1450">
        <f t="shared" ca="1" si="118"/>
        <v>0.84999999999996589</v>
      </c>
      <c r="CI229" s="1450">
        <f t="shared" ca="1" si="119"/>
        <v>1.707999999999966</v>
      </c>
      <c r="CJ229" s="1505">
        <f ca="1">IF($B229&gt;=$J$5,0,CONTADORES!$BG235)</f>
        <v>9574.3996633580391</v>
      </c>
      <c r="CK229" s="1384">
        <f>CONTADORES!E235</f>
        <v>0</v>
      </c>
      <c r="CL229" s="1384">
        <f>CONTADORES!BX235</f>
        <v>0</v>
      </c>
    </row>
    <row r="230" spans="2:90">
      <c r="B230" s="410">
        <v>45146</v>
      </c>
      <c r="C230" s="204">
        <f t="shared" ca="1" si="95"/>
        <v>290</v>
      </c>
      <c r="D230" s="202">
        <f ca="1">'CALCULO DE GAS'!P45</f>
        <v>5.3133477453801161</v>
      </c>
      <c r="E230" s="202">
        <f ca="1">IF(B230&gt;=$J$5,0,(CONTADORES!$AB236-CONTADORES!$AB235)-$H230)</f>
        <v>24</v>
      </c>
      <c r="F230" s="204">
        <f t="shared" ca="1" si="121"/>
        <v>0</v>
      </c>
      <c r="G230" s="212">
        <f ca="1">IF(B230&gt;=$J$5,0,CONTADORES!$AD236-CONTADORES!$AD235)</f>
        <v>0</v>
      </c>
      <c r="H230" s="212">
        <f ca="1">IF(G230&gt;0,CONTADORES!$AC236-CONTADORES!$AC235,0)</f>
        <v>0</v>
      </c>
      <c r="I230" s="214">
        <f ca="1">IF(B230&gt;=$J$5,0,CONTADORES!$Z236-CONTADORES!$Z235)</f>
        <v>290</v>
      </c>
      <c r="J230" s="204">
        <f t="shared" ca="1" si="96"/>
        <v>148</v>
      </c>
      <c r="K230" s="1453">
        <f ca="1">'CALCULO DE GAS'!Q45</f>
        <v>3.934680049473684</v>
      </c>
      <c r="L230" s="1437">
        <f ca="1">IF(B230&gt;=$J$5,0,(CONTADORES!$W236-CONTADORES!$W235)-$O230)</f>
        <v>24</v>
      </c>
      <c r="M230" s="1437">
        <f t="shared" ca="1" si="122"/>
        <v>0</v>
      </c>
      <c r="N230" s="1437">
        <f ca="1">IF(B230&gt;=$J$5,0,CONTADORES!$Y236-CONTADORES!$Y235)</f>
        <v>0</v>
      </c>
      <c r="O230" s="1437">
        <f ca="1">IF(N230&gt;0,CONTADORES!$X236-CONTADORES!$X235,0)</f>
        <v>0</v>
      </c>
      <c r="P230" s="208">
        <f ca="1">IF(B230&gt;=$J$5,0,CONTADORES!$U236-CONTADORES!$U235)</f>
        <v>148</v>
      </c>
      <c r="Q230" s="208">
        <f ca="1">IF(B230&gt;=$J$5,0,CONTADORES!$B236-CONTADORES!$B235)</f>
        <v>2.9970000000000709</v>
      </c>
      <c r="R230" s="202">
        <f t="shared" ca="1" si="97"/>
        <v>359.64000000000851</v>
      </c>
      <c r="S230" s="11">
        <f ca="1">IF(B230&gt;=$J$5,0,CONTADORES!$D236-CONTADORES!$D235)</f>
        <v>3.2999999999992724</v>
      </c>
      <c r="T230" s="204">
        <f ca="1">IF(B230&gt;=$J$5,0,CONTADORES!$AZ236-CONTADORES!$AZ235)</f>
        <v>0.37999999999999545</v>
      </c>
      <c r="U230" s="202">
        <f t="shared" ca="1" si="123"/>
        <v>45.599999999999454</v>
      </c>
      <c r="V230" s="205">
        <f ca="1">IF(B230&gt;=$J$5,0,CONTADORES!$BB236-CONTADORES!$BB235)</f>
        <v>0.5</v>
      </c>
      <c r="W230" s="1438">
        <f t="shared" ca="1" si="98"/>
        <v>438</v>
      </c>
      <c r="X230" s="1438">
        <f t="shared" ca="1" si="99"/>
        <v>3.3770000000000664</v>
      </c>
      <c r="Y230" s="1439">
        <f t="shared" ca="1" si="100"/>
        <v>441.37700000000007</v>
      </c>
      <c r="Z230" s="1439">
        <f t="shared" ca="1" si="101"/>
        <v>9.248027794853801</v>
      </c>
      <c r="AA230" s="1439">
        <f t="shared" ca="1" si="102"/>
        <v>405.24000000000797</v>
      </c>
      <c r="AB230" s="1439">
        <f t="shared" ca="1" si="103"/>
        <v>48</v>
      </c>
      <c r="AC230" s="1438">
        <f t="shared" ca="1" si="104"/>
        <v>3.7999999999992724</v>
      </c>
      <c r="AD230" s="1450">
        <f ca="1">IF(B230&gt;=$J$5,0,CONTADORES!H236-CONTADORES!H235)</f>
        <v>162</v>
      </c>
      <c r="AE230" s="1479">
        <f ca="1">IF(B230&gt;=$J$5,0,CONTADORES!J236-CONTADORES!J235)</f>
        <v>24</v>
      </c>
      <c r="AF230" s="1479">
        <f ca="1">IF(B230&gt;=$J$5,0,CONTADORES!AS236-CONTADORES!AS235)</f>
        <v>150</v>
      </c>
      <c r="AG230" s="1479">
        <f ca="1">IF(B230&gt;=$J$5,0,CONTADORES!AU236-CONTADORES!AU235)</f>
        <v>24</v>
      </c>
      <c r="AH230" s="1450">
        <f ca="1">IF(B230&gt;=$J$5,0,(CONTADORES!AK236-CONTADORES!AK235)+(CONTADORES!K236-CONTADORES!K235))</f>
        <v>12.699999999998909</v>
      </c>
      <c r="AI230" s="1479">
        <f ca="1">IF(B230&gt;=$J$5,0,(CONTADORES!AI236-CONTADORES!AI235)+(CONTADORES!M236-CONTADORES!M235))</f>
        <v>36.200000000011642</v>
      </c>
      <c r="AJ230" s="1479">
        <f ca="1">IF(B230&gt;=$J$5,0,(CONTADORES!AG236-CONTADORES!AG235))</f>
        <v>8.5999999999912689</v>
      </c>
      <c r="AK230" s="1479">
        <f ca="1">IF(B230&gt;=$J$5,0,(CONTADORES!O236-CONTADORES!O235))</f>
        <v>10</v>
      </c>
      <c r="AL230" s="1500">
        <f t="shared" ca="1" si="105"/>
        <v>32.977000000000487</v>
      </c>
      <c r="AM230" s="1450">
        <f ca="1">IF(B230&gt;=$J$5,0,(((CONTADORES!F236-CONTADORES!F235)+(CONTADORES!AO236-CONTADORES!AO235))))-BJ230-AF230-AN230-BM230-BP230-BU230-BS230</f>
        <v>10.967999999997623</v>
      </c>
      <c r="AN230" s="1479">
        <f ca="1">IF(B230&gt;=$J$5,0,(CONTADORES!AV236-CONTADORES!AV235)+(CONTADORES!AX236-CONTADORES!AX235)+(CONTADORES!BC236-CONTADORES!BC235))-BS230</f>
        <v>4.6099999999998253</v>
      </c>
      <c r="AO230" s="1440">
        <f ca="1">IF(B230&gt;=$J$5,0,(CONTADORES!AA236-CONTADORES!AA235))</f>
        <v>148</v>
      </c>
      <c r="AP230" s="1440">
        <f ca="1">IF(B230&gt;=$J$5,0,(CONTADORES!V236-CONTADORES!V235))</f>
        <v>72</v>
      </c>
      <c r="AQ230" s="1445">
        <f ca="1">IF(B230&gt;=$J$5,0,(CONTADORES!C236-CONTADORES!C235))</f>
        <v>1.5019999999999527</v>
      </c>
      <c r="AR230" s="1440">
        <f ca="1">IF(B230&gt;=$J$5,0,(CONTADORES!BA236-CONTADORES!BA235))</f>
        <v>0.14500000000003865</v>
      </c>
      <c r="AS230" s="1479">
        <f ca="1">IF(B230&gt;=$J$5,0,CONTADORES!Q236-CONTADORES!Q235)</f>
        <v>13</v>
      </c>
      <c r="AT230" s="1479">
        <f ca="1">IF(B230&gt;=$J$5,0,(CONTADORES!S236-CONTADORES!S235)+(CONTADORES!AE236-CONTADORES!AE235))</f>
        <v>3.1999999999999886</v>
      </c>
      <c r="AU230" s="1474">
        <f ca="1">IF(B230&gt;=$J$5,0,(CONTADORES!I236-CONTADORES!I235))</f>
        <v>82</v>
      </c>
      <c r="AV230" s="1440">
        <f ca="1">IF(B230&gt;=$J$5,0,(CONTADORES!AT236-CONTADORES!AT235))</f>
        <v>65</v>
      </c>
      <c r="AW230" s="1504">
        <f ca="1">IF(B230&gt;=$J$5,0,(CONTADORES!L236-CONTADORES!L235)+(CONTADORES!AL236-CONTADORES!AL235))</f>
        <v>5</v>
      </c>
      <c r="AX230" s="1504">
        <f ca="1">IF(B230&gt;=$J$5,0,(CONTADORES!N236-CONTADORES!N235)+(CONTADORES!AJ236-CONTADORES!AJ235))</f>
        <v>31.599999999998545</v>
      </c>
      <c r="AY230" s="1504">
        <f ca="1">IF(B230&gt;=$J$5,0,(CONTADORES!AH236-CONTADORES!AH235))</f>
        <v>6.7999999999956344</v>
      </c>
      <c r="AZ230" s="1504">
        <f ca="1">IF(B230&gt;=$J$5,0,(CONTADORES!P236-CONTADORES!P235))</f>
        <v>8</v>
      </c>
      <c r="BA230" s="1450">
        <f t="shared" ca="1" si="106"/>
        <v>3.5040000000059308</v>
      </c>
      <c r="BB230" s="1478">
        <f ca="1">IF(B230&gt;=$J$5,0,(((CONTADORES!G236-CONTADORES!G235)+(CONTADORES!AP236-CONTADORES!AP235)+AR230)-(AV230+BC230)))</f>
        <v>11.85499999999999</v>
      </c>
      <c r="BC230" s="1479">
        <f ca="1">IF(B230&gt;=$J$5,0,(CONTADORES!AW236-CONTADORES!AW235)+(CONTADORES!AY236-CONTADORES!AY235)+(CONTADORES!BD236-CONTADORES!BD235))</f>
        <v>2.489999999999867</v>
      </c>
      <c r="BD230" s="1438">
        <f t="shared" ca="1" si="107"/>
        <v>221.64699999999999</v>
      </c>
      <c r="BE230" s="1439">
        <f ca="1">IF($B230&gt;=$J$5,0,CONTADORES!$BE236)</f>
        <v>5557.81</v>
      </c>
      <c r="BF230" s="1438">
        <f ca="1">IF($B230&gt;=$J$5,0,CONTADORES!$BF236)</f>
        <v>33498.6859649123</v>
      </c>
      <c r="BG230" s="1438">
        <f ca="1">IF($B230&gt;=$J$5,0,CONTADORES!$BH236)</f>
        <v>6190.95</v>
      </c>
      <c r="BH230" s="1479">
        <f ca="1">IF(B230&gt;=$J$5,0,(CONTADORES!AQ236-CONTADORES!AQ235))</f>
        <v>5</v>
      </c>
      <c r="BI230" s="1479">
        <f ca="1">IF(C230&gt;=$J$5,0,(CONTADORES!AR236-CONTADORES!AR235))</f>
        <v>0</v>
      </c>
      <c r="BJ230" s="1450">
        <f ca="1">IF(B230&gt;=$J$5,0,CONTADORES!BI236-CONTADORES!BI235)/1000</f>
        <v>3.4</v>
      </c>
      <c r="BK230" s="1450">
        <f ca="1">IF(B230&gt;=$J$5,0,CONTADORES!BJ236-CONTADORES!BJ235)</f>
        <v>1</v>
      </c>
      <c r="BL230" s="1450">
        <f ca="1">IF(B230&gt;=$J$5,0,CONTADORES!BK236-CONTADORES!BK235)</f>
        <v>24</v>
      </c>
      <c r="BM230" s="1450">
        <f ca="1">IF(B230&gt;=$J$5,0,CONTADORES!BL236-CONTADORES!BL235)/1000</f>
        <v>0</v>
      </c>
      <c r="BN230" s="1450">
        <f ca="1">IF(B230&gt;=$J$5,0,CONTADORES!BM236-CONTADORES!BM235)/1000</f>
        <v>0</v>
      </c>
      <c r="BO230" s="1450">
        <f ca="1">IF(B230&gt;=$J$5,0,CONTADORES!BN236-CONTADORES!BN235)</f>
        <v>0</v>
      </c>
      <c r="BP230" s="1450">
        <f ca="1">IF(B230&gt;=$J$5,0,CONTADORES!BO236-CONTADORES!BO235)/1000</f>
        <v>3.302</v>
      </c>
      <c r="BQ230" s="1450">
        <f ca="1">IF(B230&gt;=$J$5,0,CONTADORES!BP236-CONTADORES!BP235)/1000</f>
        <v>0.02</v>
      </c>
      <c r="BR230" s="1450">
        <f ca="1">IF(B230&gt;=$J$5,0,CONTADORES!BQ236-CONTADORES!BQ235)</f>
        <v>24</v>
      </c>
      <c r="BS230" s="1450">
        <f ca="1">IF(B230&gt;=$J$5,0,(CONTADORES!BT236-CONTADORES!BT235)+(CONTADORES!BV236-CONTADORES!BV235))/1000</f>
        <v>1.52</v>
      </c>
      <c r="BT230" s="1450">
        <f ca="1">IF(B230&gt;=$J$5,0,(CONTADORES!BU236-CONTADORES!BU235)+(CONTADORES!BW236-CONTADORES!BW235))/1000</f>
        <v>0.878</v>
      </c>
      <c r="BU230" s="1450">
        <f ca="1">IF(B230&gt;=$J$5,0,CONTADORES!BR236-CONTADORES!BR235)</f>
        <v>5.1000000000003638</v>
      </c>
      <c r="BV230" s="1450">
        <f ca="1">IF(B230&gt;=$J$5,0,CONTADORES!BS236-CONTADORES!BS235)</f>
        <v>3.5</v>
      </c>
      <c r="BW230" s="1450">
        <f t="shared" ca="1" si="108"/>
        <v>10.583999999999175</v>
      </c>
      <c r="BX230" s="1450">
        <f t="shared" ca="1" si="109"/>
        <v>9.4274999999999949</v>
      </c>
      <c r="BY230" s="1450">
        <f t="shared" ca="1" si="110"/>
        <v>5.4839999999988116</v>
      </c>
      <c r="BZ230" s="1450">
        <f t="shared" ca="1" si="111"/>
        <v>1.8439999999999301</v>
      </c>
      <c r="CA230" s="1450">
        <f t="shared" ca="1" si="112"/>
        <v>5.4839999999988116</v>
      </c>
      <c r="CB230" s="1450">
        <f t="shared" ca="1" si="113"/>
        <v>2.7659999999998952</v>
      </c>
      <c r="CC230" s="1450">
        <f t="shared" ca="1" si="114"/>
        <v>3.3639999999999302</v>
      </c>
      <c r="CD230" s="1450">
        <f t="shared" ca="1" si="115"/>
        <v>5.9274999999999949</v>
      </c>
      <c r="CE230" s="1450">
        <f ca="1">IF(B230&gt;=$J$5,0,CONTADORES!BS236-CONTADORES!BS235)</f>
        <v>3.5</v>
      </c>
      <c r="CF230" s="1450">
        <f t="shared" ca="1" si="116"/>
        <v>5.9274999999999949</v>
      </c>
      <c r="CG230" s="1450">
        <f t="shared" ca="1" si="117"/>
        <v>1.2449999999999335</v>
      </c>
      <c r="CH230" s="1450">
        <f t="shared" ca="1" si="118"/>
        <v>1.2449999999999335</v>
      </c>
      <c r="CI230" s="1450">
        <f t="shared" ca="1" si="119"/>
        <v>2.1229999999999336</v>
      </c>
      <c r="CJ230" s="1505">
        <f ca="1">IF($B230&gt;=$J$5,0,CONTADORES!$BG236)</f>
        <v>9306.3626715193004</v>
      </c>
      <c r="CK230" s="1384">
        <f>CONTADORES!E236</f>
        <v>3</v>
      </c>
      <c r="CL230" s="1384">
        <f>CONTADORES!BX236</f>
        <v>1</v>
      </c>
    </row>
    <row r="231" spans="2:90">
      <c r="B231" s="410">
        <v>45147</v>
      </c>
      <c r="C231" s="204">
        <f t="shared" ca="1" si="95"/>
        <v>297</v>
      </c>
      <c r="D231" s="202">
        <f ca="1">'CALCULO DE GAS'!P46</f>
        <v>5.382062365263157</v>
      </c>
      <c r="E231" s="202">
        <f ca="1">IF(B231&gt;=$J$5,0,(CONTADORES!$AB237-CONTADORES!$AB236)-$H231)</f>
        <v>24</v>
      </c>
      <c r="F231" s="204">
        <f t="shared" ca="1" si="121"/>
        <v>0</v>
      </c>
      <c r="G231" s="212">
        <f ca="1">IF(B231&gt;=$J$5,0,CONTADORES!$AD237-CONTADORES!$AD236)</f>
        <v>0</v>
      </c>
      <c r="H231" s="212">
        <f ca="1">IF(G231&gt;0,CONTADORES!$AC237-CONTADORES!$AC236,0)</f>
        <v>0</v>
      </c>
      <c r="I231" s="214">
        <f ca="1">IF(B231&gt;=$J$5,0,CONTADORES!$Z237-CONTADORES!$Z236)</f>
        <v>297</v>
      </c>
      <c r="J231" s="204">
        <f t="shared" ca="1" si="96"/>
        <v>149</v>
      </c>
      <c r="K231" s="1453">
        <f ca="1">'CALCULO DE GAS'!Q46</f>
        <v>3.945197593333333</v>
      </c>
      <c r="L231" s="1437">
        <f ca="1">IF(B231&gt;=$J$5,0,(CONTADORES!$W237-CONTADORES!$W236)-$O231)</f>
        <v>24</v>
      </c>
      <c r="M231" s="1437">
        <f t="shared" ca="1" si="122"/>
        <v>0</v>
      </c>
      <c r="N231" s="1437">
        <f ca="1">IF(B231&gt;=$J$5,0,CONTADORES!$Y237-CONTADORES!$Y236)</f>
        <v>0</v>
      </c>
      <c r="O231" s="1437">
        <f ca="1">IF(N231&gt;0,CONTADORES!$X237-CONTADORES!$X236,0)</f>
        <v>0</v>
      </c>
      <c r="P231" s="208">
        <f ca="1">IF(B231&gt;=$J$5,0,CONTADORES!$U237-CONTADORES!$U236)</f>
        <v>149</v>
      </c>
      <c r="Q231" s="208">
        <f ca="1">IF(B231&gt;=$J$5,0,CONTADORES!$B237-CONTADORES!$B236)</f>
        <v>0</v>
      </c>
      <c r="R231" s="202">
        <f t="shared" ca="1" si="97"/>
        <v>0</v>
      </c>
      <c r="S231" s="11">
        <f ca="1">IF(B231&gt;=$J$5,0,CONTADORES!$D237-CONTADORES!$D236)</f>
        <v>0</v>
      </c>
      <c r="T231" s="204">
        <f ca="1">IF(B231&gt;=$J$5,0,CONTADORES!$AZ237-CONTADORES!$AZ236)</f>
        <v>0</v>
      </c>
      <c r="U231" s="202">
        <f t="shared" ca="1" si="123"/>
        <v>0</v>
      </c>
      <c r="V231" s="205">
        <f ca="1">IF(B231&gt;=$J$5,0,CONTADORES!$BB237-CONTADORES!$BB236)</f>
        <v>0</v>
      </c>
      <c r="W231" s="1438">
        <f t="shared" ca="1" si="98"/>
        <v>446</v>
      </c>
      <c r="X231" s="1438">
        <f t="shared" ca="1" si="99"/>
        <v>0</v>
      </c>
      <c r="Y231" s="1439">
        <f t="shared" ca="1" si="100"/>
        <v>446</v>
      </c>
      <c r="Z231" s="1439">
        <f t="shared" ca="1" si="101"/>
        <v>9.327259958596489</v>
      </c>
      <c r="AA231" s="1439">
        <f t="shared" ca="1" si="102"/>
        <v>0</v>
      </c>
      <c r="AB231" s="1439">
        <f t="shared" ca="1" si="103"/>
        <v>48</v>
      </c>
      <c r="AC231" s="1438">
        <f t="shared" ca="1" si="104"/>
        <v>0</v>
      </c>
      <c r="AD231" s="1450">
        <f ca="1">IF(B231&gt;=$J$5,0,CONTADORES!H237-CONTADORES!H236)</f>
        <v>160</v>
      </c>
      <c r="AE231" s="1479">
        <f ca="1">IF(B231&gt;=$J$5,0,CONTADORES!J237-CONTADORES!J236)</f>
        <v>24</v>
      </c>
      <c r="AF231" s="1479">
        <f ca="1">IF(B231&gt;=$J$5,0,CONTADORES!AS237-CONTADORES!AS236)</f>
        <v>152</v>
      </c>
      <c r="AG231" s="1479">
        <f ca="1">IF(B231&gt;=$J$5,0,CONTADORES!AU237-CONTADORES!AU236)</f>
        <v>24</v>
      </c>
      <c r="AH231" s="1450">
        <f ca="1">IF(B231&gt;=$J$5,0,(CONTADORES!AK237-CONTADORES!AK236)+(CONTADORES!K237-CONTADORES!K236))</f>
        <v>15.600000000000364</v>
      </c>
      <c r="AI231" s="1479">
        <f ca="1">IF(B231&gt;=$J$5,0,(CONTADORES!AI237-CONTADORES!AI236)+(CONTADORES!M237-CONTADORES!M236))</f>
        <v>36.19999999999709</v>
      </c>
      <c r="AJ231" s="1479">
        <f ca="1">IF(B231&gt;=$J$5,0,(CONTADORES!AG237-CONTADORES!AG236))</f>
        <v>8.6000000000058208</v>
      </c>
      <c r="AK231" s="1479">
        <f ca="1">IF(B231&gt;=$J$5,0,(CONTADORES!O237-CONTADORES!O236))</f>
        <v>10</v>
      </c>
      <c r="AL231" s="1500">
        <f t="shared" ca="1" si="105"/>
        <v>35.699999999995271</v>
      </c>
      <c r="AM231" s="1450">
        <f ca="1">IF(B231&gt;=$J$5,0,(((CONTADORES!F237-CONTADORES!F236)+(CONTADORES!AO237-CONTADORES!AO236))))-BJ231-AF231-AN231-BM231-BP231-BU231-BS231</f>
        <v>11.106000000002812</v>
      </c>
      <c r="AN231" s="1479">
        <f ca="1">IF(B231&gt;=$J$5,0,(CONTADORES!AV237-CONTADORES!AV236)+(CONTADORES!AX237-CONTADORES!AX236)+(CONTADORES!BC237-CONTADORES!BC236))-BS231</f>
        <v>3.4290000000000909</v>
      </c>
      <c r="AO231" s="1440">
        <f ca="1">IF(B231&gt;=$J$5,0,(CONTADORES!AA237-CONTADORES!AA236))</f>
        <v>150</v>
      </c>
      <c r="AP231" s="1440">
        <f ca="1">IF(B231&gt;=$J$5,0,(CONTADORES!V237-CONTADORES!V236))</f>
        <v>76</v>
      </c>
      <c r="AQ231" s="1445">
        <f ca="1">IF(B231&gt;=$J$5,0,(CONTADORES!C237-CONTADORES!C236))</f>
        <v>0</v>
      </c>
      <c r="AR231" s="1440">
        <f ca="1">IF(B231&gt;=$J$5,0,(CONTADORES!BA237-CONTADORES!BA236))</f>
        <v>0</v>
      </c>
      <c r="AS231" s="1479">
        <f ca="1">IF(B231&gt;=$J$5,0,CONTADORES!Q237-CONTADORES!Q236)</f>
        <v>15</v>
      </c>
      <c r="AT231" s="1479">
        <f ca="1">IF(B231&gt;=$J$5,0,(CONTADORES!S237-CONTADORES!S236)+(CONTADORES!AE237-CONTADORES!AE236))</f>
        <v>3.0999999999999943</v>
      </c>
      <c r="AU231" s="1474">
        <f ca="1">IF(B231&gt;=$J$5,0,(CONTADORES!I237-CONTADORES!I236))</f>
        <v>80</v>
      </c>
      <c r="AV231" s="1440">
        <f ca="1">IF(B231&gt;=$J$5,0,(CONTADORES!AT237-CONTADORES!AT236))</f>
        <v>66</v>
      </c>
      <c r="AW231" s="1504">
        <f ca="1">IF(B231&gt;=$J$5,0,(CONTADORES!L237-CONTADORES!L236)+(CONTADORES!AL237-CONTADORES!AL236))</f>
        <v>5.7000000000007276</v>
      </c>
      <c r="AX231" s="1504">
        <f ca="1">IF(B231&gt;=$J$5,0,(CONTADORES!N237-CONTADORES!N236)+(CONTADORES!AJ237-CONTADORES!AJ236))</f>
        <v>31.5</v>
      </c>
      <c r="AY231" s="1504">
        <f ca="1">IF(B231&gt;=$J$5,0,(CONTADORES!AH237-CONTADORES!AH236))</f>
        <v>6.6000000000058208</v>
      </c>
      <c r="AZ231" s="1504">
        <f ca="1">IF(B231&gt;=$J$5,0,(CONTADORES!P237-CONTADORES!P236))</f>
        <v>8</v>
      </c>
      <c r="BA231" s="1450">
        <f t="shared" ca="1" si="106"/>
        <v>8.7059999999930824</v>
      </c>
      <c r="BB231" s="1478">
        <f ca="1">IF(B231&gt;=$J$5,0,(((CONTADORES!G237-CONTADORES!G236)+(CONTADORES!AP237-CONTADORES!AP236)+AR231)-(AV231+BC231)))</f>
        <v>12.400000000000432</v>
      </c>
      <c r="BC231" s="1479">
        <f ca="1">IF(B231&gt;=$J$5,0,(CONTADORES!AW237-CONTADORES!AW236)+(CONTADORES!AY237-CONTADORES!AY236)+(CONTADORES!BD237-CONTADORES!BD236))</f>
        <v>1.8000000000002956</v>
      </c>
      <c r="BD231" s="1438">
        <f t="shared" ca="1" si="107"/>
        <v>226</v>
      </c>
      <c r="BE231" s="1439">
        <f ca="1">IF($B231&gt;=$J$5,0,CONTADORES!$BE237)</f>
        <v>5890.94</v>
      </c>
      <c r="BF231" s="1438">
        <f ca="1">IF($B231&gt;=$J$5,0,CONTADORES!$BF237)</f>
        <v>33188.031578947397</v>
      </c>
      <c r="BG231" s="1438">
        <f ca="1">IF($B231&gt;=$J$5,0,CONTADORES!$BH237)</f>
        <v>5989.1</v>
      </c>
      <c r="BH231" s="1479">
        <f ca="1">IF(B231&gt;=$J$5,0,(CONTADORES!AQ237-CONTADORES!AQ236))</f>
        <v>5</v>
      </c>
      <c r="BI231" s="1479">
        <f ca="1">IF(C231&gt;=$J$5,0,(CONTADORES!AR237-CONTADORES!AR236))</f>
        <v>0</v>
      </c>
      <c r="BJ231" s="1450">
        <f ca="1">IF(B231&gt;=$J$5,0,CONTADORES!BI237-CONTADORES!BI236)/1000</f>
        <v>3.4</v>
      </c>
      <c r="BK231" s="1450">
        <f ca="1">IF(B231&gt;=$J$5,0,CONTADORES!BJ237-CONTADORES!BJ236)</f>
        <v>1</v>
      </c>
      <c r="BL231" s="1450">
        <f ca="1">IF(B231&gt;=$J$5,0,CONTADORES!BK237-CONTADORES!BK236)</f>
        <v>24</v>
      </c>
      <c r="BM231" s="1450">
        <f ca="1">IF(B231&gt;=$J$5,0,CONTADORES!BL237-CONTADORES!BL236)/1000</f>
        <v>2.1</v>
      </c>
      <c r="BN231" s="1450">
        <f ca="1">IF(B231&gt;=$J$5,0,CONTADORES!BM237-CONTADORES!BM236)/1000</f>
        <v>0.05</v>
      </c>
      <c r="BO231" s="1450">
        <f ca="1">IF(B231&gt;=$J$5,0,CONTADORES!BN237-CONTADORES!BN236)</f>
        <v>14.900000000001455</v>
      </c>
      <c r="BP231" s="1450">
        <f ca="1">IF(B231&gt;=$J$5,0,CONTADORES!BO237-CONTADORES!BO236)/1000</f>
        <v>1.294</v>
      </c>
      <c r="BQ231" s="1450">
        <f ca="1">IF(B231&gt;=$J$5,0,CONTADORES!BP237-CONTADORES!BP236)/1000</f>
        <v>0.01</v>
      </c>
      <c r="BR231" s="1450">
        <f ca="1">IF(B231&gt;=$J$5,0,CONTADORES!BQ237-CONTADORES!BQ236)</f>
        <v>9.2999999999992724</v>
      </c>
      <c r="BS231" s="1450">
        <f ca="1">IF(B231&gt;=$J$5,0,(CONTADORES!BT237-CONTADORES!BT236)+(CONTADORES!BV237-CONTADORES!BV236))/1000</f>
        <v>1.4710000000000001</v>
      </c>
      <c r="BT231" s="1450">
        <f ca="1">IF(B231&gt;=$J$5,0,(CONTADORES!BU237-CONTADORES!BU236)+(CONTADORES!BW237-CONTADORES!BW236))/1000</f>
        <v>0.83399999999999996</v>
      </c>
      <c r="BU231" s="1450">
        <f ca="1">IF(B231&gt;=$J$5,0,CONTADORES!BR237-CONTADORES!BR236)</f>
        <v>5.0999999999985448</v>
      </c>
      <c r="BV231" s="1450">
        <f ca="1">IF(B231&gt;=$J$5,0,CONTADORES!BS237-CONTADORES!BS236)</f>
        <v>3.3999999999996362</v>
      </c>
      <c r="BW231" s="1450">
        <f t="shared" ca="1" si="108"/>
        <v>10.652999999999951</v>
      </c>
      <c r="BX231" s="1450">
        <f t="shared" ca="1" si="109"/>
        <v>9.5999999999998522</v>
      </c>
      <c r="BY231" s="1450">
        <f t="shared" ca="1" si="110"/>
        <v>5.5530000000014059</v>
      </c>
      <c r="BZ231" s="1450">
        <f t="shared" ca="1" si="111"/>
        <v>1.3716000000000363</v>
      </c>
      <c r="CA231" s="1450">
        <f t="shared" ca="1" si="112"/>
        <v>5.5530000000014059</v>
      </c>
      <c r="CB231" s="1450">
        <f t="shared" ca="1" si="113"/>
        <v>2.0574000000000545</v>
      </c>
      <c r="CC231" s="1450">
        <f t="shared" ca="1" si="114"/>
        <v>2.8426000000000364</v>
      </c>
      <c r="CD231" s="1450">
        <f t="shared" ca="1" si="115"/>
        <v>6.200000000000216</v>
      </c>
      <c r="CE231" s="1450">
        <f ca="1">IF(B231&gt;=$J$5,0,CONTADORES!BS237-CONTADORES!BS236)</f>
        <v>3.3999999999996362</v>
      </c>
      <c r="CF231" s="1450">
        <f t="shared" ca="1" si="116"/>
        <v>6.200000000000216</v>
      </c>
      <c r="CG231" s="1450">
        <f t="shared" ca="1" si="117"/>
        <v>0.90000000000014779</v>
      </c>
      <c r="CH231" s="1450">
        <f t="shared" ca="1" si="118"/>
        <v>0.90000000000014779</v>
      </c>
      <c r="CI231" s="1450">
        <f t="shared" ca="1" si="119"/>
        <v>1.7340000000001479</v>
      </c>
      <c r="CJ231" s="1505">
        <f ca="1">IF($B231&gt;=$J$5,0,CONTADORES!$BG237)</f>
        <v>9024.7514983465007</v>
      </c>
      <c r="CK231" s="1384">
        <f>CONTADORES!E237</f>
        <v>0</v>
      </c>
      <c r="CL231" s="1384">
        <f>CONTADORES!BX237</f>
        <v>0</v>
      </c>
    </row>
    <row r="232" spans="2:90">
      <c r="B232" s="410">
        <v>45148</v>
      </c>
      <c r="C232" s="204">
        <f t="shared" ca="1" si="95"/>
        <v>285.19999999995343</v>
      </c>
      <c r="D232" s="202">
        <f ca="1">'CALCULO DE GAS'!P47</f>
        <v>5.2662291488884314</v>
      </c>
      <c r="E232" s="202">
        <f ca="1">IF(B232&gt;=$J$5,0,(CONTADORES!$AB238-CONTADORES!$AB237)-$H232)</f>
        <v>24</v>
      </c>
      <c r="F232" s="204">
        <f t="shared" ca="1" si="121"/>
        <v>0</v>
      </c>
      <c r="G232" s="212">
        <f ca="1">IF(B232&gt;=$J$5,0,CONTADORES!$AD238-CONTADORES!$AD237)</f>
        <v>0</v>
      </c>
      <c r="H232" s="212">
        <f ca="1">IF(G232&gt;0,CONTADORES!$AC238-CONTADORES!$AC237,0)</f>
        <v>0</v>
      </c>
      <c r="I232" s="214">
        <f ca="1">IF(B232&gt;=$J$5,0,CONTADORES!$Z238-CONTADORES!$Z237)</f>
        <v>285.19999999995343</v>
      </c>
      <c r="J232" s="204">
        <f t="shared" ca="1" si="96"/>
        <v>149.52300000000105</v>
      </c>
      <c r="K232" s="1453">
        <f ca="1">'CALCULO DE GAS'!Q47</f>
        <v>3.9506982687719407</v>
      </c>
      <c r="L232" s="1437">
        <f ca="1">IF(B232&gt;=$J$5,0,(CONTADORES!$W238-CONTADORES!$W237)-$O232)</f>
        <v>24</v>
      </c>
      <c r="M232" s="1437">
        <f t="shared" ca="1" si="122"/>
        <v>0</v>
      </c>
      <c r="N232" s="1437">
        <f ca="1">IF(B232&gt;=$J$5,0,CONTADORES!$Y238-CONTADORES!$Y237)</f>
        <v>0</v>
      </c>
      <c r="O232" s="1437">
        <f ca="1">IF(N232&gt;0,CONTADORES!$X238-CONTADORES!$X237,0)</f>
        <v>0</v>
      </c>
      <c r="P232" s="208">
        <f ca="1">IF(B232&gt;=$J$5,0,CONTADORES!$U238-CONTADORES!$U237)</f>
        <v>149.52300000000105</v>
      </c>
      <c r="Q232" s="208">
        <f ca="1">IF(B232&gt;=$J$5,0,CONTADORES!$B238-CONTADORES!$B237)</f>
        <v>0</v>
      </c>
      <c r="R232" s="202">
        <f t="shared" ca="1" si="97"/>
        <v>0</v>
      </c>
      <c r="S232" s="11">
        <f ca="1">IF(B232&gt;=$J$5,0,CONTADORES!$D238-CONTADORES!$D237)</f>
        <v>0</v>
      </c>
      <c r="T232" s="204">
        <f ca="1">IF(B232&gt;=$J$5,0,CONTADORES!$AZ238-CONTADORES!$AZ237)</f>
        <v>0</v>
      </c>
      <c r="U232" s="202">
        <f t="shared" ca="1" si="123"/>
        <v>0</v>
      </c>
      <c r="V232" s="205">
        <f ca="1">IF(B232&gt;=$J$5,0,CONTADORES!$BB238-CONTADORES!$BB237)</f>
        <v>0</v>
      </c>
      <c r="W232" s="1438">
        <f t="shared" ca="1" si="98"/>
        <v>434.72299999995448</v>
      </c>
      <c r="X232" s="1438">
        <f t="shared" ca="1" si="99"/>
        <v>0</v>
      </c>
      <c r="Y232" s="1439">
        <f t="shared" ca="1" si="100"/>
        <v>434.72299999995448</v>
      </c>
      <c r="Z232" s="1439">
        <f t="shared" ca="1" si="101"/>
        <v>9.2169274176603722</v>
      </c>
      <c r="AA232" s="1439">
        <f t="shared" ca="1" si="102"/>
        <v>0</v>
      </c>
      <c r="AB232" s="1439">
        <f t="shared" ca="1" si="103"/>
        <v>48</v>
      </c>
      <c r="AC232" s="1438">
        <f t="shared" ca="1" si="104"/>
        <v>0</v>
      </c>
      <c r="AD232" s="1450">
        <f ca="1">IF(B232&gt;=$J$5,0,CONTADORES!H238-CONTADORES!H237)</f>
        <v>162.79999999999927</v>
      </c>
      <c r="AE232" s="1479">
        <f ca="1">IF(B232&gt;=$J$5,0,CONTADORES!J238-CONTADORES!J237)</f>
        <v>24</v>
      </c>
      <c r="AF232" s="1479">
        <f ca="1">IF(B232&gt;=$J$5,0,CONTADORES!AS238-CONTADORES!AS237)</f>
        <v>153.79999999998836</v>
      </c>
      <c r="AG232" s="1479">
        <f ca="1">IF(B232&gt;=$J$5,0,CONTADORES!AU238-CONTADORES!AU237)</f>
        <v>24</v>
      </c>
      <c r="AH232" s="1450">
        <f ca="1">IF(B232&gt;=$J$5,0,(CONTADORES!AK238-CONTADORES!AK237)+(CONTADORES!K238-CONTADORES!K237))</f>
        <v>6.000000000001819</v>
      </c>
      <c r="AI232" s="1479">
        <f ca="1">IF(B232&gt;=$J$5,0,(CONTADORES!AI238-CONTADORES!AI237)+(CONTADORES!M238-CONTADORES!M237))</f>
        <v>34.399999999994179</v>
      </c>
      <c r="AJ232" s="1479">
        <f ca="1">IF(B232&gt;=$J$5,0,(CONTADORES!AG238-CONTADORES!AG237))</f>
        <v>8.8999999999941792</v>
      </c>
      <c r="AK232" s="1479">
        <f ca="1">IF(B232&gt;=$J$5,0,(CONTADORES!O238-CONTADORES!O237))</f>
        <v>9.7000000000116415</v>
      </c>
      <c r="AL232" s="1500">
        <f t="shared" ca="1" si="105"/>
        <v>31.622999999964975</v>
      </c>
      <c r="AM232" s="1450">
        <f ca="1">IF(B232&gt;=$J$5,0,(((CONTADORES!F238-CONTADORES!F237)+(CONTADORES!AO238-CONTADORES!AO237))))-BJ232-AF232-AN232-BM232-BP232-BU232-BS232</f>
        <v>10.66199999999942</v>
      </c>
      <c r="AN232" s="1479">
        <f ca="1">IF(B232&gt;=$J$5,0,(CONTADORES!AV238-CONTADORES!AV237)+(CONTADORES!AX238-CONTADORES!AX237)+(CONTADORES!BC238-CONTADORES!BC237))-BS232</f>
        <v>3.4090000000004368</v>
      </c>
      <c r="AO232" s="1440">
        <f ca="1">IF(B232&gt;=$J$5,0,(CONTADORES!AA238-CONTADORES!AA237))</f>
        <v>149.44000000000233</v>
      </c>
      <c r="AP232" s="1440">
        <f ca="1">IF(B232&gt;=$J$5,0,(CONTADORES!V238-CONTADORES!V237))</f>
        <v>73</v>
      </c>
      <c r="AQ232" s="1445">
        <f ca="1">IF(B232&gt;=$J$5,0,(CONTADORES!C238-CONTADORES!C237))</f>
        <v>0</v>
      </c>
      <c r="AR232" s="1440">
        <f ca="1">IF(B232&gt;=$J$5,0,(CONTADORES!BA238-CONTADORES!BA237))</f>
        <v>0</v>
      </c>
      <c r="AS232" s="1479">
        <f ca="1">IF(B232&gt;=$J$5,0,CONTADORES!Q238-CONTADORES!Q237)</f>
        <v>15.200000000011642</v>
      </c>
      <c r="AT232" s="1479">
        <f ca="1">IF(B232&gt;=$J$5,0,(CONTADORES!S238-CONTADORES!S237)+(CONTADORES!AE238-CONTADORES!AE237))</f>
        <v>3.1300000000000239</v>
      </c>
      <c r="AU232" s="1474">
        <f ca="1">IF(B232&gt;=$J$5,0,(CONTADORES!I238-CONTADORES!I237))</f>
        <v>81.700000000000728</v>
      </c>
      <c r="AV232" s="1440">
        <f ca="1">IF(B232&gt;=$J$5,0,(CONTADORES!AT238-CONTADORES!AT237))</f>
        <v>66.399999999994179</v>
      </c>
      <c r="AW232" s="1504">
        <f ca="1">IF(B232&gt;=$J$5,0,(CONTADORES!L238-CONTADORES!L237)+(CONTADORES!AL238-CONTADORES!AL237))</f>
        <v>2.2000000000007276</v>
      </c>
      <c r="AX232" s="1504">
        <f ca="1">IF(B232&gt;=$J$5,0,(CONTADORES!N238-CONTADORES!N237)+(CONTADORES!AJ238-CONTADORES!AJ237))</f>
        <v>29.69999999999709</v>
      </c>
      <c r="AY232" s="1504">
        <f ca="1">IF(B232&gt;=$J$5,0,(CONTADORES!AH238-CONTADORES!AH237))</f>
        <v>6.3999999999941792</v>
      </c>
      <c r="AZ232" s="1504">
        <f ca="1">IF(B232&gt;=$J$5,0,(CONTADORES!P238-CONTADORES!P237))</f>
        <v>7.3000000000029104</v>
      </c>
      <c r="BA232" s="1450">
        <f t="shared" ca="1" si="106"/>
        <v>7.5870000000064408</v>
      </c>
      <c r="BB232" s="1478">
        <f ca="1">IF(B232&gt;=$J$5,0,(((CONTADORES!G238-CONTADORES!G237)+(CONTADORES!AP238-CONTADORES!AP237)+AR232)-(AV232+BC232)))</f>
        <v>14.150000000005889</v>
      </c>
      <c r="BC232" s="1479">
        <f ca="1">IF(B232&gt;=$J$5,0,(CONTADORES!AW238-CONTADORES!AW237)+(CONTADORES!AY238-CONTADORES!AY237)+(CONTADORES!BD238-CONTADORES!BD237))</f>
        <v>1.6499999999997499</v>
      </c>
      <c r="BD232" s="1438">
        <f t="shared" ca="1" si="107"/>
        <v>222.44000000000233</v>
      </c>
      <c r="BE232" s="1439">
        <f ca="1">IF($B232&gt;=$J$5,0,CONTADORES!$BE238)</f>
        <v>5684.28</v>
      </c>
      <c r="BF232" s="1438">
        <f ca="1">IF($B232&gt;=$J$5,0,CONTADORES!$BF238)</f>
        <v>33721.863157894702</v>
      </c>
      <c r="BG232" s="1438">
        <f ca="1">IF($B232&gt;=$J$5,0,CONTADORES!$BH238)</f>
        <v>5767.9</v>
      </c>
      <c r="BH232" s="1479">
        <f ca="1">IF(B232&gt;=$J$5,0,(CONTADORES!AQ238-CONTADORES!AQ237))</f>
        <v>5.4700000000011642</v>
      </c>
      <c r="BI232" s="1479">
        <f ca="1">IF(C232&gt;=$J$5,0,(CONTADORES!AR238-CONTADORES!AR237))</f>
        <v>0</v>
      </c>
      <c r="BJ232" s="1450">
        <f ca="1">IF(B232&gt;=$J$5,0,CONTADORES!BI238-CONTADORES!BI237)/1000</f>
        <v>3.6720000000000002</v>
      </c>
      <c r="BK232" s="1450">
        <f ca="1">IF(B232&gt;=$J$5,0,CONTADORES!BJ238-CONTADORES!BJ237)</f>
        <v>1</v>
      </c>
      <c r="BL232" s="1450">
        <f ca="1">IF(B232&gt;=$J$5,0,CONTADORES!BK238-CONTADORES!BK237)</f>
        <v>24</v>
      </c>
      <c r="BM232" s="1450">
        <f ca="1">IF(B232&gt;=$J$5,0,CONTADORES!BL238-CONTADORES!BL237)/1000</f>
        <v>3.306</v>
      </c>
      <c r="BN232" s="1450">
        <f ca="1">IF(B232&gt;=$J$5,0,CONTADORES!BM238-CONTADORES!BM237)/1000</f>
        <v>6.8000000000000005E-2</v>
      </c>
      <c r="BO232" s="1450">
        <f ca="1">IF(B232&gt;=$J$5,0,CONTADORES!BN238-CONTADORES!BN237)</f>
        <v>24</v>
      </c>
      <c r="BP232" s="1450">
        <f ca="1">IF(B232&gt;=$J$5,0,CONTADORES!BO238-CONTADORES!BO237)/1000</f>
        <v>0</v>
      </c>
      <c r="BQ232" s="1450">
        <f ca="1">IF(B232&gt;=$J$5,0,CONTADORES!BP238-CONTADORES!BP237)/1000</f>
        <v>0</v>
      </c>
      <c r="BR232" s="1450">
        <f ca="1">IF(B232&gt;=$J$5,0,CONTADORES!BQ238-CONTADORES!BQ237)</f>
        <v>0</v>
      </c>
      <c r="BS232" s="1450">
        <f ca="1">IF(B232&gt;=$J$5,0,(CONTADORES!BT238-CONTADORES!BT237)+(CONTADORES!BV238-CONTADORES!BV237))/1000</f>
        <v>1.361</v>
      </c>
      <c r="BT232" s="1450">
        <f ca="1">IF(B232&gt;=$J$5,0,(CONTADORES!BU238-CONTADORES!BU237)+(CONTADORES!BW238-CONTADORES!BW237))/1000</f>
        <v>0.76500000000000001</v>
      </c>
      <c r="BU232" s="1450">
        <f ca="1">IF(B232&gt;=$J$5,0,CONTADORES!BR238-CONTADORES!BR237)</f>
        <v>5.0900000000001455</v>
      </c>
      <c r="BV232" s="1450">
        <f ca="1">IF(B232&gt;=$J$5,0,CONTADORES!BS238-CONTADORES!BS237)</f>
        <v>3.5200000000004366</v>
      </c>
      <c r="BW232" s="1450">
        <f t="shared" ca="1" si="108"/>
        <v>10.420999999999855</v>
      </c>
      <c r="BX232" s="1450">
        <f t="shared" ca="1" si="109"/>
        <v>10.595000000003381</v>
      </c>
      <c r="BY232" s="1450">
        <f t="shared" ca="1" si="110"/>
        <v>5.33099999999971</v>
      </c>
      <c r="BZ232" s="1450">
        <f t="shared" ca="1" si="111"/>
        <v>1.3636000000001749</v>
      </c>
      <c r="CA232" s="1450">
        <f t="shared" ca="1" si="112"/>
        <v>5.33099999999971</v>
      </c>
      <c r="CB232" s="1450">
        <f t="shared" ca="1" si="113"/>
        <v>2.0454000000002619</v>
      </c>
      <c r="CC232" s="1450">
        <f t="shared" ca="1" si="114"/>
        <v>2.7246000000001747</v>
      </c>
      <c r="CD232" s="1450">
        <f t="shared" ca="1" si="115"/>
        <v>7.0750000000029445</v>
      </c>
      <c r="CE232" s="1450">
        <f ca="1">IF(B232&gt;=$J$5,0,CONTADORES!BS238-CONTADORES!BS237)</f>
        <v>3.5200000000004366</v>
      </c>
      <c r="CF232" s="1450">
        <f t="shared" ca="1" si="116"/>
        <v>7.0750000000029445</v>
      </c>
      <c r="CG232" s="1450">
        <f t="shared" ca="1" si="117"/>
        <v>0.82499999999987494</v>
      </c>
      <c r="CH232" s="1450">
        <f t="shared" ca="1" si="118"/>
        <v>0.82499999999987494</v>
      </c>
      <c r="CI232" s="1450">
        <f t="shared" ca="1" si="119"/>
        <v>1.5899999999998751</v>
      </c>
      <c r="CJ232" s="1505">
        <f ca="1">IF($B232&gt;=$J$5,0,CONTADORES!$BG238)</f>
        <v>9424.1666111686209</v>
      </c>
      <c r="CK232" s="1384">
        <f>CONTADORES!E238</f>
        <v>0</v>
      </c>
      <c r="CL232" s="1384">
        <f>CONTADORES!BX238</f>
        <v>0</v>
      </c>
    </row>
    <row r="233" spans="2:90">
      <c r="B233" s="410">
        <v>45149</v>
      </c>
      <c r="C233" s="204">
        <f t="shared" ca="1" si="95"/>
        <v>289.70000000006985</v>
      </c>
      <c r="D233" s="202">
        <f ca="1">'CALCULO DE GAS'!P48</f>
        <v>5.3104028331001008</v>
      </c>
      <c r="E233" s="202">
        <f ca="1">IF(B233&gt;=$J$5,0,(CONTADORES!$AB239-CONTADORES!$AB238)-$H233)</f>
        <v>24</v>
      </c>
      <c r="F233" s="204">
        <f t="shared" ca="1" si="121"/>
        <v>0</v>
      </c>
      <c r="G233" s="212">
        <f ca="1">IF(B233&gt;=$J$5,0,CONTADORES!$AD239-CONTADORES!$AD238)</f>
        <v>0</v>
      </c>
      <c r="H233" s="212">
        <f ca="1">IF(G233&gt;0,CONTADORES!$AC239-CONTADORES!$AC238,0)</f>
        <v>0</v>
      </c>
      <c r="I233" s="214">
        <f ca="1">IF(B233&gt;=$J$5,0,CONTADORES!$Z239-CONTADORES!$Z238)</f>
        <v>289.70000000006985</v>
      </c>
      <c r="J233" s="204">
        <f t="shared" ca="1" si="96"/>
        <v>152.16500000000087</v>
      </c>
      <c r="K233" s="202">
        <f ca="1">'CALCULO DE GAS'!Q48</f>
        <v>3.9784856196491316</v>
      </c>
      <c r="L233" s="1437">
        <f ca="1">IF(B233&gt;=$J$5,0,(CONTADORES!$W239-CONTADORES!$W238)-$O233)</f>
        <v>24</v>
      </c>
      <c r="M233" s="1437">
        <f t="shared" ca="1" si="122"/>
        <v>0</v>
      </c>
      <c r="N233" s="1437">
        <f ca="1">IF(B233&gt;=$J$5,0,CONTADORES!$Y239-CONTADORES!$Y238)</f>
        <v>0</v>
      </c>
      <c r="O233" s="1437">
        <f ca="1">IF(N233&gt;0,CONTADORES!$X239-CONTADORES!$X238,0)</f>
        <v>0</v>
      </c>
      <c r="P233" s="208">
        <f ca="1">IF(B233&gt;=$J$5,0,CONTADORES!$U239-CONTADORES!$U238)</f>
        <v>152.16500000000087</v>
      </c>
      <c r="Q233" s="208">
        <f ca="1">IF(B233&gt;=$J$5,0,CONTADORES!$B239-CONTADORES!$B238)</f>
        <v>0</v>
      </c>
      <c r="R233" s="202">
        <f t="shared" ca="1" si="97"/>
        <v>0</v>
      </c>
      <c r="S233" s="11">
        <f ca="1">IF(B233&gt;=$J$5,0,CONTADORES!$D239-CONTADORES!$D238)</f>
        <v>0</v>
      </c>
      <c r="T233" s="204">
        <f ca="1">IF(B233&gt;=$J$5,0,CONTADORES!$AZ239-CONTADORES!$AZ238)</f>
        <v>0</v>
      </c>
      <c r="U233" s="202">
        <f t="shared" ca="1" si="123"/>
        <v>0</v>
      </c>
      <c r="V233" s="205">
        <f ca="1">IF(B233&gt;=$J$5,0,CONTADORES!$BB239-CONTADORES!$BB238)</f>
        <v>0</v>
      </c>
      <c r="W233" s="1438">
        <f t="shared" ca="1" si="98"/>
        <v>441.86500000007072</v>
      </c>
      <c r="X233" s="1438">
        <f t="shared" ca="1" si="99"/>
        <v>0</v>
      </c>
      <c r="Y233" s="1439">
        <f t="shared" ca="1" si="100"/>
        <v>441.86500000007072</v>
      </c>
      <c r="Z233" s="1439">
        <f t="shared" ca="1" si="101"/>
        <v>9.2888884527492319</v>
      </c>
      <c r="AA233" s="1439">
        <f t="shared" ca="1" si="102"/>
        <v>0</v>
      </c>
      <c r="AB233" s="1439">
        <f t="shared" ca="1" si="103"/>
        <v>48</v>
      </c>
      <c r="AC233" s="1438">
        <f t="shared" ca="1" si="104"/>
        <v>0</v>
      </c>
      <c r="AD233" s="1450">
        <f ca="1">IF(B233&gt;=$J$5,0,CONTADORES!H239-CONTADORES!H238)</f>
        <v>164.90000000000146</v>
      </c>
      <c r="AE233" s="1479">
        <f ca="1">IF(B233&gt;=$J$5,0,CONTADORES!J239-CONTADORES!J238)</f>
        <v>24</v>
      </c>
      <c r="AF233" s="1479">
        <f ca="1">IF(B233&gt;=$J$5,0,CONTADORES!AS239-CONTADORES!AS238)</f>
        <v>150.90000000002328</v>
      </c>
      <c r="AG233" s="1479">
        <f ca="1">IF(B233&gt;=$J$5,0,CONTADORES!AU239-CONTADORES!AU238)</f>
        <v>24</v>
      </c>
      <c r="AH233" s="1450">
        <f ca="1">IF(B233&gt;=$J$5,0,(CONTADORES!AK239-CONTADORES!AK238)+(CONTADORES!K239-CONTADORES!K238))</f>
        <v>6.5999999999985448</v>
      </c>
      <c r="AI233" s="1479">
        <f ca="1">IF(B233&gt;=$J$5,0,(CONTADORES!AI239-CONTADORES!AI238)+(CONTADORES!M239-CONTADORES!M238))</f>
        <v>35.30000000000291</v>
      </c>
      <c r="AJ233" s="1479">
        <f ca="1">IF(B233&gt;=$J$5,0,(CONTADORES!AG239-CONTADORES!AG238))</f>
        <v>8.5200000000040745</v>
      </c>
      <c r="AK233" s="1479">
        <f ca="1">IF(B233&gt;=$J$5,0,(CONTADORES!O239-CONTADORES!O238))</f>
        <v>8.5</v>
      </c>
      <c r="AL233" s="1500">
        <f t="shared" ca="1" si="105"/>
        <v>36.745000000075322</v>
      </c>
      <c r="AM233" s="1450">
        <f ca="1">IF(B233&gt;=$J$5,0,(((CONTADORES!F239-CONTADORES!F238)+(CONTADORES!AO239-CONTADORES!AO238))))-BJ233-AF233-AN233-BM233-BP233-BU233-BS233</f>
        <v>12.995999999964118</v>
      </c>
      <c r="AN233" s="1479">
        <f ca="1">IF(B233&gt;=$J$5,0,(CONTADORES!AV239-CONTADORES!AV238)+(CONTADORES!AX239-CONTADORES!AX238)+(CONTADORES!BC239-CONTADORES!BC238))-BS233</f>
        <v>3.5109999999998727</v>
      </c>
      <c r="AO233" s="1440">
        <f ca="1">IF(B233&gt;=$J$5,0,(CONTADORES!AA239-CONTADORES!AA238))</f>
        <v>151.35999999998603</v>
      </c>
      <c r="AP233" s="1440">
        <f ca="1">IF(B233&gt;=$J$5,0,(CONTADORES!V239-CONTADORES!V238))</f>
        <v>71</v>
      </c>
      <c r="AQ233" s="1445">
        <f ca="1">IF(B233&gt;=$J$5,0,(CONTADORES!C239-CONTADORES!C238))</f>
        <v>0</v>
      </c>
      <c r="AR233" s="1440">
        <f ca="1">IF(B233&gt;=$J$5,0,(CONTADORES!BA239-CONTADORES!BA238))</f>
        <v>0</v>
      </c>
      <c r="AS233" s="1479">
        <f ca="1">IF(B233&gt;=$J$5,0,CONTADORES!Q239-CONTADORES!Q238)</f>
        <v>15.069999999977881</v>
      </c>
      <c r="AT233" s="1479">
        <f ca="1">IF(B233&gt;=$J$5,0,(CONTADORES!S239-CONTADORES!S238)+(CONTADORES!AE239-CONTADORES!AE238))</f>
        <v>3.1699999999999875</v>
      </c>
      <c r="AU233" s="1474">
        <f ca="1">IF(B233&gt;=$J$5,0,(CONTADORES!I239-CONTADORES!I238))</f>
        <v>82.299999999999272</v>
      </c>
      <c r="AV233" s="1440">
        <f ca="1">IF(B233&gt;=$J$5,0,(CONTADORES!AT239-CONTADORES!AT238))</f>
        <v>65.200000000011642</v>
      </c>
      <c r="AW233" s="1504">
        <f ca="1">IF(B233&gt;=$J$5,0,(CONTADORES!L239-CONTADORES!L238)+(CONTADORES!AL239-CONTADORES!AL238))</f>
        <v>2.5</v>
      </c>
      <c r="AX233" s="1504">
        <f ca="1">IF(B233&gt;=$J$5,0,(CONTADORES!N239-CONTADORES!N238)+(CONTADORES!AJ239-CONTADORES!AJ238))</f>
        <v>30.660000000003492</v>
      </c>
      <c r="AY233" s="1504">
        <f ca="1">IF(B233&gt;=$J$5,0,(CONTADORES!AH239-CONTADORES!AH238))</f>
        <v>6.7300000000032014</v>
      </c>
      <c r="AZ233" s="1504">
        <f ca="1">IF(B233&gt;=$J$5,0,(CONTADORES!P239-CONTADORES!P238))</f>
        <v>7.4599999999918509</v>
      </c>
      <c r="BA233" s="1450">
        <f t="shared" ca="1" si="106"/>
        <v>8.4949999999942349</v>
      </c>
      <c r="BB233" s="1478">
        <f ca="1">IF(B233&gt;=$J$5,0,(((CONTADORES!G239-CONTADORES!G238)+(CONTADORES!AP239-CONTADORES!AP238)+AR233)-(AV233+BC233)))</f>
        <v>12.849999999982629</v>
      </c>
      <c r="BC233" s="1479">
        <f ca="1">IF(B233&gt;=$J$5,0,(CONTADORES!AW239-CONTADORES!AW238)+(CONTADORES!AY239-CONTADORES!AY238)+(CONTADORES!BD239-CONTADORES!BD238))</f>
        <v>1.6500000000000909</v>
      </c>
      <c r="BD233" s="1438">
        <f t="shared" ca="1" si="107"/>
        <v>222.35999999998603</v>
      </c>
      <c r="BE233" s="1439">
        <f ca="1">IF($B233&gt;=$J$5,0,CONTADORES!$BE239)</f>
        <v>5485.92</v>
      </c>
      <c r="BF233" s="1438">
        <f ca="1">IF($B233&gt;=$J$5,0,CONTADORES!$BF239)</f>
        <v>33820.4596491228</v>
      </c>
      <c r="BG233" s="1438">
        <f ca="1">IF($B233&gt;=$J$5,0,CONTADORES!$BH239)</f>
        <v>5890.12</v>
      </c>
      <c r="BH233" s="1479">
        <f ca="1">IF(B233&gt;=$J$5,0,(CONTADORES!AQ239-CONTADORES!AQ238))</f>
        <v>5.0179999999963911</v>
      </c>
      <c r="BI233" s="1479">
        <f ca="1">IF(C233&gt;=$J$5,0,(CONTADORES!AR239-CONTADORES!AR238))</f>
        <v>0</v>
      </c>
      <c r="BJ233" s="1450">
        <f ca="1">IF(B233&gt;=$J$5,0,CONTADORES!BI239-CONTADORES!BI238)/1000</f>
        <v>2.1419999999999999</v>
      </c>
      <c r="BK233" s="1450">
        <f ca="1">IF(B233&gt;=$J$5,0,CONTADORES!BJ239-CONTADORES!BJ238)</f>
        <v>0</v>
      </c>
      <c r="BL233" s="1450">
        <f ca="1">IF(B233&gt;=$J$5,0,CONTADORES!BK239-CONTADORES!BK238)</f>
        <v>14.5</v>
      </c>
      <c r="BM233" s="1450">
        <f ca="1">IF(B233&gt;=$J$5,0,CONTADORES!BL239-CONTADORES!BL238)/1000</f>
        <v>3.4620000000000002</v>
      </c>
      <c r="BN233" s="1450">
        <f ca="1">IF(B233&gt;=$J$5,0,CONTADORES!BM239-CONTADORES!BM238)/1000</f>
        <v>8.5000000000000006E-2</v>
      </c>
      <c r="BO233" s="1450">
        <f ca="1">IF(B233&gt;=$J$5,0,CONTADORES!BN239-CONTADORES!BN238)</f>
        <v>24</v>
      </c>
      <c r="BP233" s="1450">
        <f ca="1">IF(B233&gt;=$J$5,0,CONTADORES!BO239-CONTADORES!BO238)/1000</f>
        <v>1.86</v>
      </c>
      <c r="BQ233" s="1450">
        <f ca="1">IF(B233&gt;=$J$5,0,CONTADORES!BP239-CONTADORES!BP238)/1000</f>
        <v>0.20899999999999999</v>
      </c>
      <c r="BR233" s="1450">
        <f ca="1">IF(B233&gt;=$J$5,0,CONTADORES!BQ239-CONTADORES!BQ238)</f>
        <v>9.6000000000021828</v>
      </c>
      <c r="BS233" s="1450">
        <f ca="1">IF(B233&gt;=$J$5,0,(CONTADORES!BT239-CONTADORES!BT238)+(CONTADORES!BV239-CONTADORES!BV238))/1000</f>
        <v>1.379</v>
      </c>
      <c r="BT233" s="1450">
        <f ca="1">IF(B233&gt;=$J$5,0,(CONTADORES!BU239-CONTADORES!BU238)+(CONTADORES!BW239-CONTADORES!BW238))/1000</f>
        <v>0.78100000000000003</v>
      </c>
      <c r="BU233" s="1450">
        <f ca="1">IF(B233&gt;=$J$5,0,CONTADORES!BR239-CONTADORES!BR238)</f>
        <v>5.0500000000010914</v>
      </c>
      <c r="BV233" s="1450">
        <f ca="1">IF(B233&gt;=$J$5,0,CONTADORES!BS239-CONTADORES!BS238)</f>
        <v>3.4399999999995998</v>
      </c>
      <c r="BW233" s="1450">
        <f t="shared" ca="1" si="108"/>
        <v>11.547999999983151</v>
      </c>
      <c r="BX233" s="1450">
        <f t="shared" ca="1" si="109"/>
        <v>9.8649999999909141</v>
      </c>
      <c r="BY233" s="1450">
        <f t="shared" ca="1" si="110"/>
        <v>6.497999999982059</v>
      </c>
      <c r="BZ233" s="1450">
        <f t="shared" ca="1" si="111"/>
        <v>1.4043999999999492</v>
      </c>
      <c r="CA233" s="1450">
        <f t="shared" ca="1" si="112"/>
        <v>6.497999999982059</v>
      </c>
      <c r="CB233" s="1450">
        <f t="shared" ca="1" si="113"/>
        <v>2.1065999999999234</v>
      </c>
      <c r="CC233" s="1450">
        <f t="shared" ca="1" si="114"/>
        <v>2.7833999999999492</v>
      </c>
      <c r="CD233" s="1450">
        <f t="shared" ca="1" si="115"/>
        <v>6.4249999999913143</v>
      </c>
      <c r="CE233" s="1450">
        <f ca="1">IF(B233&gt;=$J$5,0,CONTADORES!BS239-CONTADORES!BS238)</f>
        <v>3.4399999999995998</v>
      </c>
      <c r="CF233" s="1450">
        <f t="shared" ca="1" si="116"/>
        <v>6.4249999999913143</v>
      </c>
      <c r="CG233" s="1450">
        <f t="shared" ca="1" si="117"/>
        <v>0.82500000000004547</v>
      </c>
      <c r="CH233" s="1450">
        <f t="shared" ca="1" si="118"/>
        <v>0.82500000000004547</v>
      </c>
      <c r="CI233" s="1450">
        <f t="shared" ca="1" si="119"/>
        <v>1.6060000000000456</v>
      </c>
      <c r="CJ233" s="1505">
        <f ca="1">IF($B233&gt;=$J$5,0,CONTADORES!$BG239)</f>
        <v>9369.5970607879499</v>
      </c>
      <c r="CK233" s="1384">
        <f>CONTADORES!E239</f>
        <v>0</v>
      </c>
      <c r="CL233" s="1384">
        <f>CONTADORES!BX239</f>
        <v>0</v>
      </c>
    </row>
    <row r="234" spans="2:90">
      <c r="B234" s="410">
        <v>45150</v>
      </c>
      <c r="C234" s="204">
        <f t="shared" ca="1" si="95"/>
        <v>207.53999999992084</v>
      </c>
      <c r="D234" s="202">
        <f ca="1">'CALCULO DE GAS'!P49</f>
        <v>4.5038895231571177</v>
      </c>
      <c r="E234" s="202">
        <f ca="1">IF(B234&gt;=$J$5,0,(CONTADORES!$AB240-CONTADORES!$AB239)-$H234)</f>
        <v>24</v>
      </c>
      <c r="F234" s="204">
        <f t="shared" ca="1" si="121"/>
        <v>0</v>
      </c>
      <c r="G234" s="212">
        <f ca="1">IF(B234&gt;=$J$5,0,CONTADORES!$AD240-CONTADORES!$AD239)</f>
        <v>0</v>
      </c>
      <c r="H234" s="212">
        <f ca="1">IF(G234&gt;0,CONTADORES!$AC240-CONTADORES!$AC239,0)</f>
        <v>0</v>
      </c>
      <c r="I234" s="214">
        <f ca="1">IF(B234&gt;=$J$5,0,CONTADORES!$Z240-CONTADORES!$Z239)</f>
        <v>207.53999999992084</v>
      </c>
      <c r="J234" s="204">
        <f t="shared" ca="1" si="96"/>
        <v>230.51499999999942</v>
      </c>
      <c r="K234" s="202">
        <f ca="1">'CALCULO DE GAS'!Q49</f>
        <v>4.802535181052626</v>
      </c>
      <c r="L234" s="1437">
        <f ca="1">IF(B234&gt;=$J$5,0,(CONTADORES!$W240-CONTADORES!$W239)-$O234)</f>
        <v>24</v>
      </c>
      <c r="M234" s="1437">
        <f t="shared" ca="1" si="122"/>
        <v>0</v>
      </c>
      <c r="N234" s="1437">
        <f ca="1">IF(B234&gt;=$J$5,0,CONTADORES!$Y240-CONTADORES!$Y239)</f>
        <v>0</v>
      </c>
      <c r="O234" s="1437">
        <f ca="1">IF(N234&gt;0,CONTADORES!$X240-CONTADORES!$X239,0)</f>
        <v>0</v>
      </c>
      <c r="P234" s="208">
        <f ca="1">IF(B234&gt;=$J$5,0,CONTADORES!$U240-CONTADORES!$U239)</f>
        <v>230.51499999999942</v>
      </c>
      <c r="Q234" s="208">
        <f ca="1">IF(B234&gt;=$J$5,0,CONTADORES!$B240-CONTADORES!$B239)</f>
        <v>0</v>
      </c>
      <c r="R234" s="202">
        <f t="shared" ca="1" si="97"/>
        <v>0</v>
      </c>
      <c r="S234" s="11">
        <f ca="1">IF(B234&gt;=$J$5,0,CONTADORES!$D240-CONTADORES!$D239)</f>
        <v>0</v>
      </c>
      <c r="T234" s="204">
        <f ca="1">IF(B234&gt;=$J$5,0,CONTADORES!$AZ240-CONTADORES!$AZ239)</f>
        <v>0</v>
      </c>
      <c r="U234" s="202">
        <f t="shared" ca="1" si="123"/>
        <v>0</v>
      </c>
      <c r="V234" s="205">
        <f ca="1">IF(B234&gt;=$J$5,0,CONTADORES!$BB240-CONTADORES!$BB239)</f>
        <v>0</v>
      </c>
      <c r="W234" s="1438">
        <f t="shared" ca="1" si="98"/>
        <v>438.05499999992026</v>
      </c>
      <c r="X234" s="1438">
        <f t="shared" ca="1" si="99"/>
        <v>0</v>
      </c>
      <c r="Y234" s="1439">
        <f t="shared" ca="1" si="100"/>
        <v>438.05499999992026</v>
      </c>
      <c r="Z234" s="1439">
        <f t="shared" ca="1" si="101"/>
        <v>9.3064247042097428</v>
      </c>
      <c r="AA234" s="1439">
        <f t="shared" ca="1" si="102"/>
        <v>0</v>
      </c>
      <c r="AB234" s="1439">
        <f t="shared" ca="1" si="103"/>
        <v>48</v>
      </c>
      <c r="AC234" s="1438">
        <f t="shared" ca="1" si="104"/>
        <v>0</v>
      </c>
      <c r="AD234" s="1450">
        <f ca="1">IF(B234&gt;=$J$5,0,CONTADORES!H240-CONTADORES!H239)</f>
        <v>162.59999999999854</v>
      </c>
      <c r="AE234" s="1479">
        <f ca="1">IF(B234&gt;=$J$5,0,CONTADORES!J240-CONTADORES!J239)</f>
        <v>24</v>
      </c>
      <c r="AF234" s="1479">
        <f ca="1">IF(B234&gt;=$J$5,0,CONTADORES!AS240-CONTADORES!AS239)</f>
        <v>151.20000000001164</v>
      </c>
      <c r="AG234" s="1479">
        <f ca="1">IF(B234&gt;=$J$5,0,CONTADORES!AU240-CONTADORES!AU239)</f>
        <v>24</v>
      </c>
      <c r="AH234" s="1450">
        <f ca="1">IF(B234&gt;=$J$5,0,(CONTADORES!AK240-CONTADORES!AK239)+(CONTADORES!K240-CONTADORES!K239))</f>
        <v>11.300000000004729</v>
      </c>
      <c r="AI234" s="1479">
        <f ca="1">IF(B234&gt;=$J$5,0,(CONTADORES!AI240-CONTADORES!AI239)+(CONTADORES!M240-CONTADORES!M239))</f>
        <v>37.19999999999709</v>
      </c>
      <c r="AJ234" s="1479">
        <f ca="1">IF(B234&gt;=$J$5,0,(CONTADORES!AG240-CONTADORES!AG239))</f>
        <v>7.6999999999970896</v>
      </c>
      <c r="AK234" s="1479">
        <f ca="1">IF(B234&gt;=$J$5,0,(CONTADORES!O240-CONTADORES!O239))</f>
        <v>9.6099999999860302</v>
      </c>
      <c r="AL234" s="1500">
        <f t="shared" ca="1" si="105"/>
        <v>30.944999999892389</v>
      </c>
      <c r="AM234" s="1450">
        <f ca="1">IF(B234&gt;=$J$5,0,(((CONTADORES!F240-CONTADORES!F239)+(CONTADORES!AO240-CONTADORES!AO239))))-BJ234-AF234-AN234-BM234-BP234-BU234-BS234</f>
        <v>10.219000000032926</v>
      </c>
      <c r="AN234" s="1479">
        <f ca="1">IF(B234&gt;=$J$5,0,(CONTADORES!AV240-CONTADORES!AV239)+(CONTADORES!AX240-CONTADORES!AX239)+(CONTADORES!BC240-CONTADORES!BC239))-BS234</f>
        <v>2.8779999999997452</v>
      </c>
      <c r="AO234" s="1440">
        <f ca="1">IF(B234&gt;=$J$5,0,(CONTADORES!AA240-CONTADORES!AA239))</f>
        <v>100.23000000003958</v>
      </c>
      <c r="AP234" s="1440">
        <f ca="1">IF(B234&gt;=$J$5,0,(CONTADORES!V240-CONTADORES!V239))</f>
        <v>119</v>
      </c>
      <c r="AQ234" s="1445">
        <f ca="1">IF(B234&gt;=$J$5,0,(CONTADORES!C240-CONTADORES!C239))</f>
        <v>0</v>
      </c>
      <c r="AR234" s="1440">
        <f ca="1">IF(B234&gt;=$J$5,0,(CONTADORES!BA240-CONTADORES!BA239))</f>
        <v>0</v>
      </c>
      <c r="AS234" s="1479">
        <f ca="1">IF(B234&gt;=$J$5,0,CONTADORES!Q240-CONTADORES!Q239)</f>
        <v>14.460000000020955</v>
      </c>
      <c r="AT234" s="1479">
        <f ca="1">IF(B234&gt;=$J$5,0,(CONTADORES!S240-CONTADORES!S239)+(CONTADORES!AE240-CONTADORES!AE239))</f>
        <v>3.1299999999999955</v>
      </c>
      <c r="AU234" s="1474">
        <f ca="1">IF(B234&gt;=$J$5,0,(CONTADORES!I240-CONTADORES!I239))</f>
        <v>81.100000000000364</v>
      </c>
      <c r="AV234" s="1440">
        <f ca="1">IF(B234&gt;=$J$5,0,(CONTADORES!AT240-CONTADORES!AT239))</f>
        <v>65.5</v>
      </c>
      <c r="AW234" s="1504">
        <f ca="1">IF(B234&gt;=$J$5,0,(CONTADORES!L240-CONTADORES!L239)+(CONTADORES!AL240-CONTADORES!AL239))</f>
        <v>4.2999999999992724</v>
      </c>
      <c r="AX234" s="1504">
        <f ca="1">IF(B234&gt;=$J$5,0,(CONTADORES!N240-CONTADORES!N239)+(CONTADORES!AJ240-CONTADORES!AJ239))</f>
        <v>31.900000000001455</v>
      </c>
      <c r="AY234" s="1504">
        <f ca="1">IF(B234&gt;=$J$5,0,(CONTADORES!AH240-CONTADORES!AH239))</f>
        <v>5.9000000000014552</v>
      </c>
      <c r="AZ234" s="1504">
        <f ca="1">IF(B234&gt;=$J$5,0,(CONTADORES!P240-CONTADORES!P239))</f>
        <v>7.5900000000110595</v>
      </c>
      <c r="BA234" s="1450">
        <f t="shared" ca="1" si="106"/>
        <v>8.5840000000316934</v>
      </c>
      <c r="BB234" s="1478">
        <f ca="1">IF(B234&gt;=$J$5,0,(((CONTADORES!G240-CONTADORES!G239)+(CONTADORES!AP240-CONTADORES!AP239)+AR234)-(AV234+BC234)))</f>
        <v>8.3899999999939041</v>
      </c>
      <c r="BC234" s="1479">
        <f ca="1">IF(B234&gt;=$J$5,0,(CONTADORES!AW240-CONTADORES!AW239)+(CONTADORES!AY240-CONTADORES!AY239)+(CONTADORES!BD240-CONTADORES!BD239))</f>
        <v>1.4099999999999113</v>
      </c>
      <c r="BD234" s="1438">
        <f t="shared" ca="1" si="107"/>
        <v>219.23000000003958</v>
      </c>
      <c r="BE234" s="1439">
        <f ca="1">IF($B234&gt;=$J$5,0,CONTADORES!$BE240)</f>
        <v>5930.58</v>
      </c>
      <c r="BF234" s="1438">
        <f ca="1">IF($B234&gt;=$J$5,0,CONTADORES!$BF240)</f>
        <v>28391.247368421002</v>
      </c>
      <c r="BG234" s="1438">
        <f ca="1">IF($B234&gt;=$J$5,0,CONTADORES!$BH240)</f>
        <v>5802.21</v>
      </c>
      <c r="BH234" s="1479">
        <f ca="1">IF(B234&gt;=$J$5,0,(CONTADORES!AQ240-CONTADORES!AQ239))</f>
        <v>4.4370000000053551</v>
      </c>
      <c r="BI234" s="1479">
        <f ca="1">IF(C234&gt;=$J$5,0,(CONTADORES!AR240-CONTADORES!AR239))</f>
        <v>0</v>
      </c>
      <c r="BJ234" s="1450">
        <f ca="1">IF(B234&gt;=$J$5,0,CONTADORES!BI240-CONTADORES!BI239)/1000</f>
        <v>0</v>
      </c>
      <c r="BK234" s="1450">
        <f ca="1">IF(B234&gt;=$J$5,0,CONTADORES!BJ240-CONTADORES!BJ239)</f>
        <v>0</v>
      </c>
      <c r="BL234" s="1450">
        <f ca="1">IF(B234&gt;=$J$5,0,CONTADORES!BK240-CONTADORES!BK239)</f>
        <v>0</v>
      </c>
      <c r="BM234" s="1450">
        <f ca="1">IF(B234&gt;=$J$5,0,CONTADORES!BL240-CONTADORES!BL239)/1000</f>
        <v>3.8140000000000001</v>
      </c>
      <c r="BN234" s="1450">
        <f ca="1">IF(B234&gt;=$J$5,0,CONTADORES!BM240-CONTADORES!BM239)/1000</f>
        <v>0.16900000000000001</v>
      </c>
      <c r="BO234" s="1450">
        <f ca="1">IF(B234&gt;=$J$5,0,CONTADORES!BN240-CONTADORES!BN239)</f>
        <v>24</v>
      </c>
      <c r="BP234" s="1450">
        <f ca="1">IF(B234&gt;=$J$5,0,CONTADORES!BO240-CONTADORES!BO239)/1000</f>
        <v>4.0170000000000003</v>
      </c>
      <c r="BQ234" s="1450">
        <f ca="1">IF(B234&gt;=$J$5,0,CONTADORES!BP240-CONTADORES!BP239)/1000</f>
        <v>7.9000000000000001E-2</v>
      </c>
      <c r="BR234" s="1450">
        <f ca="1">IF(B234&gt;=$J$5,0,CONTADORES!BQ240-CONTADORES!BQ239)</f>
        <v>24</v>
      </c>
      <c r="BS234" s="1450">
        <f ca="1">IF(B234&gt;=$J$5,0,(CONTADORES!BT240-CONTADORES!BT239)+(CONTADORES!BV240-CONTADORES!BV239))/1000</f>
        <v>1.4019999999999999</v>
      </c>
      <c r="BT234" s="1450">
        <f ca="1">IF(B234&gt;=$J$5,0,(CONTADORES!BU240-CONTADORES!BU239)+(CONTADORES!BW240-CONTADORES!BW239))/1000</f>
        <v>0.78800000000000003</v>
      </c>
      <c r="BU234" s="1450">
        <f ca="1">IF(B234&gt;=$J$5,0,CONTADORES!BR240-CONTADORES!BR239)</f>
        <v>5.1700000000000728</v>
      </c>
      <c r="BV234" s="1450">
        <f ca="1">IF(B234&gt;=$J$5,0,CONTADORES!BS240-CONTADORES!BS239)</f>
        <v>3.5200000000004366</v>
      </c>
      <c r="BW234" s="1450">
        <f t="shared" ca="1" si="108"/>
        <v>10.279500000016537</v>
      </c>
      <c r="BX234" s="1450">
        <f t="shared" ca="1" si="109"/>
        <v>7.7149999999973886</v>
      </c>
      <c r="BY234" s="1450">
        <f t="shared" ca="1" si="110"/>
        <v>5.109500000016463</v>
      </c>
      <c r="BZ234" s="1450">
        <f t="shared" ca="1" si="111"/>
        <v>1.1511999999998981</v>
      </c>
      <c r="CA234" s="1450">
        <f t="shared" ca="1" si="112"/>
        <v>5.109500000016463</v>
      </c>
      <c r="CB234" s="1450">
        <f t="shared" ca="1" si="113"/>
        <v>1.7267999999998471</v>
      </c>
      <c r="CC234" s="1450">
        <f t="shared" ca="1" si="114"/>
        <v>2.5531999999998982</v>
      </c>
      <c r="CD234" s="1450">
        <f t="shared" ca="1" si="115"/>
        <v>4.1949999999969521</v>
      </c>
      <c r="CE234" s="1450">
        <f ca="1">IF(B234&gt;=$J$5,0,CONTADORES!BS240-CONTADORES!BS239)</f>
        <v>3.5200000000004366</v>
      </c>
      <c r="CF234" s="1450">
        <f t="shared" ca="1" si="116"/>
        <v>4.1949999999969521</v>
      </c>
      <c r="CG234" s="1450">
        <f t="shared" ca="1" si="117"/>
        <v>0.70499999999995566</v>
      </c>
      <c r="CH234" s="1450">
        <f t="shared" ca="1" si="118"/>
        <v>0.70499999999995566</v>
      </c>
      <c r="CI234" s="1450">
        <f t="shared" ca="1" si="119"/>
        <v>1.4929999999999557</v>
      </c>
      <c r="CJ234" s="1505">
        <f ca="1">IF($B234&gt;=$J$5,0,CONTADORES!$BG240)</f>
        <v>8065.7923578775499</v>
      </c>
      <c r="CK234" s="1384">
        <f>CONTADORES!E240</f>
        <v>0</v>
      </c>
      <c r="CL234" s="1384">
        <f>CONTADORES!BX240</f>
        <v>0</v>
      </c>
    </row>
    <row r="235" spans="2:90">
      <c r="B235" s="410">
        <v>45151</v>
      </c>
      <c r="C235" s="204">
        <f t="shared" ca="1" si="95"/>
        <v>146.21000000007916</v>
      </c>
      <c r="D235" s="202">
        <f ca="1">'CALCULO DE GAS'!P50</f>
        <v>3.9018512892405441</v>
      </c>
      <c r="E235" s="202">
        <f ca="1">IF(B235&gt;=$J$5,0,(CONTADORES!$AB241-CONTADORES!$AB240)-$H235)</f>
        <v>24</v>
      </c>
      <c r="F235" s="204">
        <f t="shared" ca="1" si="121"/>
        <v>0</v>
      </c>
      <c r="G235" s="212">
        <f ca="1">IF(B235&gt;=$J$5,0,CONTADORES!$AD241-CONTADORES!$AD240)</f>
        <v>0</v>
      </c>
      <c r="H235" s="212">
        <f ca="1">IF(G235&gt;0,CONTADORES!$AC241-CONTADORES!$AC240,0)</f>
        <v>0</v>
      </c>
      <c r="I235" s="214">
        <f ca="1">IF(B235&gt;=$J$5,0,CONTADORES!$Z241-CONTADORES!$Z240)</f>
        <v>146.21000000007916</v>
      </c>
      <c r="J235" s="204">
        <f t="shared" ca="1" si="96"/>
        <v>296.00400000000081</v>
      </c>
      <c r="K235" s="202">
        <f ca="1">'CALCULO DE GAS'!Q50</f>
        <v>5.4913186108772027</v>
      </c>
      <c r="L235" s="1437">
        <f ca="1">IF(B235&gt;=$J$5,0,(CONTADORES!$W241-CONTADORES!$W240)-$O235)</f>
        <v>24</v>
      </c>
      <c r="M235" s="1437">
        <f t="shared" ca="1" si="122"/>
        <v>0</v>
      </c>
      <c r="N235" s="1437">
        <f ca="1">IF(B235&gt;=$J$5,0,CONTADORES!$Y241-CONTADORES!$Y240)</f>
        <v>0</v>
      </c>
      <c r="O235" s="1437">
        <f ca="1">IF(N235&gt;0,CONTADORES!$X241-CONTADORES!$X240,0)</f>
        <v>0</v>
      </c>
      <c r="P235" s="208">
        <f ca="1">IF(B235&gt;=$J$5,0,CONTADORES!$U241-CONTADORES!$U240)</f>
        <v>296.00400000000081</v>
      </c>
      <c r="Q235" s="208">
        <f ca="1">IF(B235&gt;=$J$5,0,CONTADORES!$B241-CONTADORES!$B240)</f>
        <v>0</v>
      </c>
      <c r="R235" s="202">
        <f t="shared" ca="1" si="97"/>
        <v>0</v>
      </c>
      <c r="S235" s="11">
        <f ca="1">IF(B235&gt;=$J$5,0,CONTADORES!$D241-CONTADORES!$D240)</f>
        <v>0</v>
      </c>
      <c r="T235" s="204">
        <f ca="1">IF(B235&gt;=$J$5,0,CONTADORES!$AZ241-CONTADORES!$AZ240)</f>
        <v>0</v>
      </c>
      <c r="U235" s="202">
        <f t="shared" ca="1" si="123"/>
        <v>0</v>
      </c>
      <c r="V235" s="205">
        <f ca="1">IF(B235&gt;=$J$5,0,CONTADORES!$BB241-CONTADORES!$BB240)</f>
        <v>0</v>
      </c>
      <c r="W235" s="1438">
        <f t="shared" ca="1" si="98"/>
        <v>442.21400000007998</v>
      </c>
      <c r="X235" s="1438">
        <f t="shared" ca="1" si="99"/>
        <v>0</v>
      </c>
      <c r="Y235" s="1439">
        <f t="shared" ca="1" si="100"/>
        <v>442.21400000007998</v>
      </c>
      <c r="Z235" s="1439">
        <f t="shared" ca="1" si="101"/>
        <v>9.3931699001177478</v>
      </c>
      <c r="AA235" s="1439">
        <f t="shared" ca="1" si="102"/>
        <v>0</v>
      </c>
      <c r="AB235" s="1439">
        <f t="shared" ca="1" si="103"/>
        <v>48</v>
      </c>
      <c r="AC235" s="1438">
        <f t="shared" ca="1" si="104"/>
        <v>0</v>
      </c>
      <c r="AD235" s="1450">
        <f ca="1">IF(B235&gt;=$J$5,0,CONTADORES!H241-CONTADORES!H240)</f>
        <v>164.70000000000073</v>
      </c>
      <c r="AE235" s="1479">
        <f ca="1">IF(B235&gt;=$J$5,0,CONTADORES!J241-CONTADORES!J240)</f>
        <v>24</v>
      </c>
      <c r="AF235" s="1479">
        <f ca="1">IF(B235&gt;=$J$5,0,CONTADORES!AS241-CONTADORES!AS240)</f>
        <v>149.09999999997672</v>
      </c>
      <c r="AG235" s="1479">
        <f ca="1">IF(B235&gt;=$J$5,0,CONTADORES!AU241-CONTADORES!AU240)</f>
        <v>24</v>
      </c>
      <c r="AH235" s="1450">
        <f ca="1">IF(B235&gt;=$J$5,0,(CONTADORES!AK241-CONTADORES!AK240)+(CONTADORES!K241-CONTADORES!K240))</f>
        <v>10.199999999998909</v>
      </c>
      <c r="AI235" s="1479">
        <f ca="1">IF(B235&gt;=$J$5,0,(CONTADORES!AI241-CONTADORES!AI240)+(CONTADORES!M241-CONTADORES!M240))</f>
        <v>36.600000000005821</v>
      </c>
      <c r="AJ235" s="1479">
        <f ca="1">IF(B235&gt;=$J$5,0,(CONTADORES!AG241-CONTADORES!AG240))</f>
        <v>9.2900000000081491</v>
      </c>
      <c r="AK235" s="1479">
        <f ca="1">IF(B235&gt;=$J$5,0,(CONTADORES!O241-CONTADORES!O240))</f>
        <v>9.7399999999906868</v>
      </c>
      <c r="AL235" s="1500">
        <f t="shared" ca="1" si="105"/>
        <v>33.984000000085871</v>
      </c>
      <c r="AM235" s="1450">
        <f ca="1">IF(B235&gt;=$J$5,0,(((CONTADORES!F241-CONTADORES!F240)+(CONTADORES!AO241-CONTADORES!AO240))))-BJ235-AF235-AN235-BM235-BP235-BU235-BS235</f>
        <v>10.087000000012754</v>
      </c>
      <c r="AN235" s="1479">
        <f ca="1">IF(B235&gt;=$J$5,0,(CONTADORES!AV241-CONTADORES!AV240)+(CONTADORES!AX241-CONTADORES!AX240)+(CONTADORES!BC241-CONTADORES!BC240))-BS235</f>
        <v>3.4590000000001275</v>
      </c>
      <c r="AO235" s="1440">
        <f ca="1">IF(B235&gt;=$J$5,0,(CONTADORES!AA241-CONTADORES!AA240))</f>
        <v>73.279999999969732</v>
      </c>
      <c r="AP235" s="1440">
        <f ca="1">IF(B235&gt;=$J$5,0,(CONTADORES!V241-CONTADORES!V240))</f>
        <v>148</v>
      </c>
      <c r="AQ235" s="1445">
        <f ca="1">IF(B235&gt;=$J$5,0,(CONTADORES!C241-CONTADORES!C240))</f>
        <v>0</v>
      </c>
      <c r="AR235" s="1440">
        <f ca="1">IF(B235&gt;=$J$5,0,(CONTADORES!BA241-CONTADORES!BA240))</f>
        <v>0</v>
      </c>
      <c r="AS235" s="1479">
        <f ca="1">IF(B235&gt;=$J$5,0,CONTADORES!Q241-CONTADORES!Q240)</f>
        <v>14.389999999984866</v>
      </c>
      <c r="AT235" s="1479">
        <f ca="1">IF(B235&gt;=$J$5,0,(CONTADORES!S241-CONTADORES!S240)+(CONTADORES!AE241-CONTADORES!AE240))</f>
        <v>3.0999999999999943</v>
      </c>
      <c r="AU235" s="1474">
        <f ca="1">IF(B235&gt;=$J$5,0,(CONTADORES!I241-CONTADORES!I240))</f>
        <v>81.5</v>
      </c>
      <c r="AV235" s="1440">
        <f ca="1">IF(B235&gt;=$J$5,0,(CONTADORES!AT241-CONTADORES!AT240))</f>
        <v>64.5</v>
      </c>
      <c r="AW235" s="1504">
        <f ca="1">IF(B235&gt;=$J$5,0,(CONTADORES!L241-CONTADORES!L240)+(CONTADORES!AL241-CONTADORES!AL240))</f>
        <v>3.7000000000007276</v>
      </c>
      <c r="AX235" s="1504">
        <f ca="1">IF(B235&gt;=$J$5,0,(CONTADORES!N241-CONTADORES!N240)+(CONTADORES!AJ241-CONTADORES!AJ240))</f>
        <v>31.939999999995052</v>
      </c>
      <c r="AY235" s="1504">
        <f ca="1">IF(B235&gt;=$J$5,0,(CONTADORES!AH241-CONTADORES!AH240))</f>
        <v>7.0899999999965075</v>
      </c>
      <c r="AZ235" s="1504">
        <f ca="1">IF(B235&gt;=$J$5,0,(CONTADORES!P241-CONTADORES!P240))</f>
        <v>8.4499999999970896</v>
      </c>
      <c r="BA235" s="1450">
        <f t="shared" ca="1" si="106"/>
        <v>9.180999999969373</v>
      </c>
      <c r="BB235" s="1478">
        <f ca="1">IF(B235&gt;=$J$5,0,(((CONTADORES!G241-CONTADORES!G240)+(CONTADORES!AP241-CONTADORES!AP240)+AR235)-(AV235+BC235)))</f>
        <v>8.3600000000113823</v>
      </c>
      <c r="BC235" s="1479">
        <f ca="1">IF(B235&gt;=$J$5,0,(CONTADORES!AW241-CONTADORES!AW240)+(CONTADORES!AY241-CONTADORES!AY240)+(CONTADORES!BD241-CONTADORES!BD240))</f>
        <v>1.7399999999998954</v>
      </c>
      <c r="BD235" s="1438">
        <f t="shared" ca="1" si="107"/>
        <v>221.27999999996973</v>
      </c>
      <c r="BE235" s="1439">
        <f ca="1">IF($B235&gt;=$J$5,0,CONTADORES!$BE241)</f>
        <v>5891.2</v>
      </c>
      <c r="BF235" s="1438">
        <f ca="1">IF($B235&gt;=$J$5,0,CONTADORES!$BF241)</f>
        <v>37003.633333333302</v>
      </c>
      <c r="BG235" s="1438">
        <f ca="1">IF($B235&gt;=$J$5,0,CONTADORES!$BH241)</f>
        <v>7156.92</v>
      </c>
      <c r="BH235" s="1479">
        <f ca="1">IF(B235&gt;=$J$5,0,(CONTADORES!AQ241-CONTADORES!AQ240))</f>
        <v>4.3099999999976717</v>
      </c>
      <c r="BI235" s="1479">
        <f ca="1">IF(C235&gt;=$J$5,0,(CONTADORES!AR241-CONTADORES!AR240))</f>
        <v>0</v>
      </c>
      <c r="BJ235" s="1450">
        <f ca="1">IF(B235&gt;=$J$5,0,CONTADORES!BI241-CONTADORES!BI240)/1000</f>
        <v>0</v>
      </c>
      <c r="BK235" s="1450">
        <f ca="1">IF(B235&gt;=$J$5,0,CONTADORES!BJ241-CONTADORES!BJ240)</f>
        <v>0</v>
      </c>
      <c r="BL235" s="1450">
        <f ca="1">IF(B235&gt;=$J$5,0,CONTADORES!BK241-CONTADORES!BK240)</f>
        <v>0</v>
      </c>
      <c r="BM235" s="1450">
        <f ca="1">IF(B235&gt;=$J$5,0,CONTADORES!BL241-CONTADORES!BL240)/1000</f>
        <v>5.5019999999999998</v>
      </c>
      <c r="BN235" s="1450">
        <f ca="1">IF(B235&gt;=$J$5,0,CONTADORES!BM241-CONTADORES!BM240)/1000</f>
        <v>0.41199999999999998</v>
      </c>
      <c r="BO235" s="1450">
        <f ca="1">IF(B235&gt;=$J$5,0,CONTADORES!BN241-CONTADORES!BN240)</f>
        <v>24</v>
      </c>
      <c r="BP235" s="1450">
        <f ca="1">IF(B235&gt;=$J$5,0,CONTADORES!BO241-CONTADORES!BO240)/1000</f>
        <v>2.891</v>
      </c>
      <c r="BQ235" s="1450">
        <f ca="1">IF(B235&gt;=$J$5,0,CONTADORES!BP241-CONTADORES!BP240)/1000</f>
        <v>4.2000000000000003E-2</v>
      </c>
      <c r="BR235" s="1450">
        <f ca="1">IF(B235&gt;=$J$5,0,CONTADORES!BQ241-CONTADORES!BQ240)</f>
        <v>24</v>
      </c>
      <c r="BS235" s="1450">
        <f ca="1">IF(B235&gt;=$J$5,0,(CONTADORES!BT241-CONTADORES!BT240)+(CONTADORES!BV241-CONTADORES!BV240))/1000</f>
        <v>1.401</v>
      </c>
      <c r="BT235" s="1450">
        <f ca="1">IF(B235&gt;=$J$5,0,(CONTADORES!BU241-CONTADORES!BU240)+(CONTADORES!BW241-CONTADORES!BW240))/1000</f>
        <v>0.79500000000000004</v>
      </c>
      <c r="BU235" s="1450">
        <f ca="1">IF(B235&gt;=$J$5,0,CONTADORES!BR241-CONTADORES!BR240)</f>
        <v>5.2600000000002183</v>
      </c>
      <c r="BV235" s="1450">
        <f ca="1">IF(B235&gt;=$J$5,0,CONTADORES!BS241-CONTADORES!BS240)</f>
        <v>3.569999999999709</v>
      </c>
      <c r="BW235" s="1450">
        <f ca="1">BU235+BY235</f>
        <v>10.303500000006595</v>
      </c>
      <c r="BX235" s="1450">
        <f t="shared" ca="1" si="109"/>
        <v>7.7500000000054001</v>
      </c>
      <c r="BY235" s="1450">
        <f ca="1">(AM235*0.5)</f>
        <v>5.043500000006377</v>
      </c>
      <c r="BZ235" s="1450">
        <f t="shared" ca="1" si="111"/>
        <v>1.383600000000051</v>
      </c>
      <c r="CA235" s="1450">
        <f t="shared" ca="1" si="112"/>
        <v>5.043500000006377</v>
      </c>
      <c r="CB235" s="1450">
        <f t="shared" ca="1" si="113"/>
        <v>2.0754000000000765</v>
      </c>
      <c r="CC235" s="1450">
        <f t="shared" ca="1" si="114"/>
        <v>2.7846000000000508</v>
      </c>
      <c r="CD235" s="1450">
        <f t="shared" ca="1" si="115"/>
        <v>4.1800000000056912</v>
      </c>
      <c r="CE235" s="1450">
        <f ca="1">IF(B235&gt;=$J$5,0,CONTADORES!BS241-CONTADORES!BS240)</f>
        <v>3.569999999999709</v>
      </c>
      <c r="CF235" s="1450">
        <f t="shared" ca="1" si="116"/>
        <v>4.1800000000056912</v>
      </c>
      <c r="CG235" s="1450">
        <f t="shared" ca="1" si="117"/>
        <v>0.8699999999999477</v>
      </c>
      <c r="CH235" s="1450">
        <f t="shared" ca="1" si="118"/>
        <v>0.8699999999999477</v>
      </c>
      <c r="CI235" s="1450">
        <f t="shared" ca="1" si="119"/>
        <v>1.6649999999999476</v>
      </c>
      <c r="CJ235" s="1505">
        <f ca="1">IF($B235&gt;=$J$5,0,CONTADORES!$BG241)</f>
        <v>7374.7379223519602</v>
      </c>
      <c r="CK235" s="1384">
        <f>CONTADORES!E241</f>
        <v>0</v>
      </c>
      <c r="CL235" s="1384">
        <f>CONTADORES!BX241</f>
        <v>0</v>
      </c>
    </row>
    <row r="236" spans="2:90">
      <c r="B236" s="410">
        <v>45152</v>
      </c>
      <c r="C236" s="204">
        <f t="shared" ca="1" si="95"/>
        <v>147.09999999997672</v>
      </c>
      <c r="D236" s="202">
        <f ca="1">'CALCULO DE GAS'!P51</f>
        <v>3.9105878623389536</v>
      </c>
      <c r="E236" s="202">
        <f ca="1">IF(B236&gt;=$J$5,0,(CONTADORES!$AB242-CONTADORES!$AB241)-$H236)</f>
        <v>24</v>
      </c>
      <c r="F236" s="204">
        <f t="shared" ca="1" si="121"/>
        <v>0</v>
      </c>
      <c r="G236" s="212">
        <f ca="1">IF(B236&gt;=$J$5,0,CONTADORES!$AD242-CONTADORES!$AD241)</f>
        <v>0</v>
      </c>
      <c r="H236" s="212">
        <f ca="1">IF(G236&gt;0,CONTADORES!$AC242-CONTADORES!$AC241,0)</f>
        <v>0</v>
      </c>
      <c r="I236" s="214">
        <f ca="1">IF(B236&gt;=$J$5,0,CONTADORES!$Z242-CONTADORES!$Z241)</f>
        <v>147.09999999997672</v>
      </c>
      <c r="J236" s="204">
        <f t="shared" ca="1" si="96"/>
        <v>295.46099999999569</v>
      </c>
      <c r="K236" s="202">
        <f ca="1">'CALCULO DE GAS'!Q51</f>
        <v>5.4856075845613583</v>
      </c>
      <c r="L236" s="1437">
        <f ca="1">IF(B236&gt;=$J$5,0,(CONTADORES!$W242-CONTADORES!$W241)-$O236)</f>
        <v>24</v>
      </c>
      <c r="M236" s="1437">
        <f t="shared" ca="1" si="122"/>
        <v>0</v>
      </c>
      <c r="N236" s="1437">
        <f ca="1">IF(B236&gt;=$J$5,0,CONTADORES!$Y242-CONTADORES!$Y241)</f>
        <v>0</v>
      </c>
      <c r="O236" s="1437">
        <f ca="1">IF(N236&gt;0,CONTADORES!$X242-CONTADORES!$X241,0)</f>
        <v>0</v>
      </c>
      <c r="P236" s="208">
        <f ca="1">IF(B236&gt;=$J$5,0,CONTADORES!$U242-CONTADORES!$U241)</f>
        <v>295.46099999999569</v>
      </c>
      <c r="Q236" s="208">
        <f ca="1">IF(B236&gt;=$J$5,0,CONTADORES!$B242-CONTADORES!$B241)</f>
        <v>0.34399999999982356</v>
      </c>
      <c r="R236" s="202">
        <f t="shared" ca="1" si="97"/>
        <v>41.279999999978827</v>
      </c>
      <c r="S236" s="11">
        <f ca="1">IF(B236&gt;=$J$5,0,CONTADORES!$D242-CONTADORES!$D241)</f>
        <v>0.6000000000003638</v>
      </c>
      <c r="T236" s="204">
        <f ca="1">IF(B236&gt;=$J$5,0,CONTADORES!$AZ242-CONTADORES!$AZ241)</f>
        <v>0.39600000000007185</v>
      </c>
      <c r="U236" s="202">
        <f t="shared" ca="1" si="123"/>
        <v>47.520000000008622</v>
      </c>
      <c r="V236" s="205">
        <f ca="1">IF(B236&gt;=$J$5,0,CONTADORES!$BB242-CONTADORES!$BB241)</f>
        <v>0.45000000000004547</v>
      </c>
      <c r="W236" s="1438">
        <f t="shared" ca="1" si="98"/>
        <v>442.56099999997241</v>
      </c>
      <c r="X236" s="1438">
        <f t="shared" ca="1" si="99"/>
        <v>0.73999999999989541</v>
      </c>
      <c r="Y236" s="1439">
        <f t="shared" ca="1" si="100"/>
        <v>443.3009999999723</v>
      </c>
      <c r="Z236" s="1439">
        <f t="shared" ca="1" si="101"/>
        <v>9.3961954469003111</v>
      </c>
      <c r="AA236" s="1439">
        <f t="shared" ca="1" si="102"/>
        <v>88.799999999987449</v>
      </c>
      <c r="AB236" s="1439">
        <f t="shared" ca="1" si="103"/>
        <v>48</v>
      </c>
      <c r="AC236" s="1438">
        <f t="shared" ca="1" si="104"/>
        <v>1.0500000000004093</v>
      </c>
      <c r="AD236" s="1450">
        <f ca="1">IF(B236&gt;=$J$5,0,CONTADORES!H242-CONTADORES!H241)</f>
        <v>166.29999999999927</v>
      </c>
      <c r="AE236" s="1479">
        <f ca="1">IF(B236&gt;=$J$5,0,CONTADORES!J242-CONTADORES!J241)</f>
        <v>24</v>
      </c>
      <c r="AF236" s="1479">
        <f ca="1">IF(B236&gt;=$J$5,0,CONTADORES!AS242-CONTADORES!AS241)</f>
        <v>146.59999999997672</v>
      </c>
      <c r="AG236" s="1479">
        <f ca="1">IF(B236&gt;=$J$5,0,CONTADORES!AU242-CONTADORES!AU241)</f>
        <v>24</v>
      </c>
      <c r="AH236" s="1450">
        <f ca="1">IF(B236&gt;=$J$5,0,(CONTADORES!AK242-CONTADORES!AK241)+(CONTADORES!K242-CONTADORES!K241))</f>
        <v>11.600000000000364</v>
      </c>
      <c r="AI236" s="1479">
        <f ca="1">IF(B236&gt;=$J$5,0,(CONTADORES!AI242-CONTADORES!AI241)+(CONTADORES!M242-CONTADORES!M241))</f>
        <v>34.440000000002328</v>
      </c>
      <c r="AJ236" s="1479">
        <f ca="1">IF(B236&gt;=$J$5,0,(CONTADORES!AG242-CONTADORES!AG241))</f>
        <v>8.1900000000023283</v>
      </c>
      <c r="AK236" s="1479">
        <f ca="1">IF(B236&gt;=$J$5,0,(CONTADORES!O242-CONTADORES!O241))</f>
        <v>11.580000000016298</v>
      </c>
      <c r="AL236" s="1500">
        <f t="shared" ca="1" si="105"/>
        <v>36.290999999950259</v>
      </c>
      <c r="AM236" s="1450">
        <f ca="1">IF(B236&gt;=$J$5,0,(((CONTADORES!F242-CONTADORES!F241)+(CONTADORES!AO242-CONTADORES!AO241))))-BJ236-AF236-AN236-BM236-BP236-BU236-BS236</f>
        <v>10.167000000024739</v>
      </c>
      <c r="AN236" s="1479">
        <f ca="1">IF(B236&gt;=$J$5,0,(CONTADORES!AV242-CONTADORES!AV241)+(CONTADORES!AX242-CONTADORES!AX241)+(CONTADORES!BC242-CONTADORES!BC241))-BS236</f>
        <v>3.4500000000001458</v>
      </c>
      <c r="AO236" s="1440">
        <f ca="1">IF(B236&gt;=$J$5,0,(CONTADORES!AA242-CONTADORES!AA241))</f>
        <v>73.39000000001397</v>
      </c>
      <c r="AP236" s="1440">
        <f ca="1">IF(B236&gt;=$J$5,0,(CONTADORES!V242-CONTADORES!V241))</f>
        <v>148</v>
      </c>
      <c r="AQ236" s="1445">
        <f ca="1">IF(B236&gt;=$J$5,0,(CONTADORES!C242-CONTADORES!C241))</f>
        <v>0.17400000000009186</v>
      </c>
      <c r="AR236" s="1440">
        <f ca="1">IF(B236&gt;=$J$5,0,(CONTADORES!BA242-CONTADORES!BA241))</f>
        <v>0.15199999999998681</v>
      </c>
      <c r="AS236" s="1479">
        <f ca="1">IF(B236&gt;=$J$5,0,CONTADORES!Q242-CONTADORES!Q241)</f>
        <v>16.179999999993015</v>
      </c>
      <c r="AT236" s="1479">
        <f ca="1">IF(B236&gt;=$J$5,0,(CONTADORES!S242-CONTADORES!S241)+(CONTADORES!AE242-CONTADORES!AE241))</f>
        <v>2.6200000000000045</v>
      </c>
      <c r="AU236" s="1474">
        <f ca="1">IF(B236&gt;=$J$5,0,(CONTADORES!I242-CONTADORES!I241))</f>
        <v>81.799999999999272</v>
      </c>
      <c r="AV236" s="1440">
        <f ca="1">IF(B236&gt;=$J$5,0,(CONTADORES!AT242-CONTADORES!AT241))</f>
        <v>63.600000000005821</v>
      </c>
      <c r="AW236" s="1504">
        <f ca="1">IF(B236&gt;=$J$5,0,(CONTADORES!L242-CONTADORES!L241)+(CONTADORES!AL242-CONTADORES!AL241))</f>
        <v>4.5</v>
      </c>
      <c r="AX236" s="1504">
        <f ca="1">IF(B236&gt;=$J$5,0,(CONTADORES!N242-CONTADORES!N241)+(CONTADORES!AJ242-CONTADORES!AJ241))</f>
        <v>29.310000000004948</v>
      </c>
      <c r="AY236" s="1504">
        <f ca="1">IF(B236&gt;=$J$5,0,(CONTADORES!AH242-CONTADORES!AH241))</f>
        <v>6.0800000000017462</v>
      </c>
      <c r="AZ236" s="1504">
        <f ca="1">IF(B236&gt;=$J$5,0,(CONTADORES!P242-CONTADORES!P241))</f>
        <v>8.3999999999941792</v>
      </c>
      <c r="BA236" s="1450">
        <f t="shared" ca="1" si="106"/>
        <v>12.767000000019749</v>
      </c>
      <c r="BB236" s="1478">
        <f ca="1">IF(B236&gt;=$J$5,0,(((CONTADORES!G242-CONTADORES!G241)+(CONTADORES!AP242-CONTADORES!AP241)+AR236)-(AV236+BC236)))</f>
        <v>8.7219999999882702</v>
      </c>
      <c r="BC236" s="1479">
        <f ca="1">IF(B236&gt;=$J$5,0,(CONTADORES!AW242-CONTADORES!AW241)+(CONTADORES!AY242-CONTADORES!AY241)+(CONTADORES!BD242-CONTADORES!BD241))</f>
        <v>1.730000000000075</v>
      </c>
      <c r="BD236" s="1438">
        <f t="shared" ca="1" si="107"/>
        <v>221.71600000001405</v>
      </c>
      <c r="BE236" s="1439">
        <f ca="1">IF($B236&gt;=$J$5,0,CONTADORES!$BE242)</f>
        <v>5886.85</v>
      </c>
      <c r="BF236" s="1438">
        <f ca="1">IF($B236&gt;=$J$5,0,CONTADORES!$BF242)</f>
        <v>33657.335087719301</v>
      </c>
      <c r="BG236" s="1438">
        <f ca="1">IF($B236&gt;=$J$5,0,CONTADORES!$BH242)</f>
        <v>5855.21</v>
      </c>
      <c r="BH236" s="1479">
        <f ca="1">IF(B236&gt;=$J$5,0,(CONTADORES!AQ242-CONTADORES!AQ241))</f>
        <v>4.771999999997206</v>
      </c>
      <c r="BI236" s="1479">
        <f ca="1">IF(C236&gt;=$J$5,0,(CONTADORES!AR242-CONTADORES!AR241))</f>
        <v>0</v>
      </c>
      <c r="BJ236" s="1450">
        <f ca="1">IF(B236&gt;=$J$5,0,CONTADORES!BI242-CONTADORES!BI241)/1000</f>
        <v>0</v>
      </c>
      <c r="BK236" s="1450">
        <f ca="1">IF(B236&gt;=$J$5,0,CONTADORES!BJ242-CONTADORES!BJ241)</f>
        <v>0</v>
      </c>
      <c r="BL236" s="1450">
        <f ca="1">IF(B236&gt;=$J$5,0,CONTADORES!BK242-CONTADORES!BK241)</f>
        <v>0</v>
      </c>
      <c r="BM236" s="1450">
        <f ca="1">IF(B236&gt;=$J$5,0,CONTADORES!BL242-CONTADORES!BL241)/1000</f>
        <v>3.2490000000000001</v>
      </c>
      <c r="BN236" s="1450">
        <f ca="1">IF(B236&gt;=$J$5,0,CONTADORES!BM242-CONTADORES!BM241)/1000</f>
        <v>0.123</v>
      </c>
      <c r="BO236" s="1450">
        <f ca="1">IF(B236&gt;=$J$5,0,CONTADORES!BN242-CONTADORES!BN241)</f>
        <v>24</v>
      </c>
      <c r="BP236" s="1450">
        <f ca="1">IF(B236&gt;=$J$5,0,CONTADORES!BO242-CONTADORES!BO241)/1000</f>
        <v>4.8840000000000003</v>
      </c>
      <c r="BQ236" s="1450">
        <f ca="1">IF(B236&gt;=$J$5,0,CONTADORES!BP242-CONTADORES!BP241)/1000</f>
        <v>0.39500000000000002</v>
      </c>
      <c r="BR236" s="1450">
        <f ca="1">IF(B236&gt;=$J$5,0,CONTADORES!BQ242-CONTADORES!BQ241)</f>
        <v>24</v>
      </c>
      <c r="BS236" s="1450">
        <f ca="1">IF(B236&gt;=$J$5,0,(CONTADORES!BT242-CONTADORES!BT241)+(CONTADORES!BV242-CONTADORES!BV241))/1000</f>
        <v>1.39</v>
      </c>
      <c r="BT236" s="1450">
        <f ca="1">IF(B236&gt;=$J$5,0,(CONTADORES!BU242-CONTADORES!BU241)+(CONTADORES!BW242-CONTADORES!BW241))/1000</f>
        <v>0.78900000000000003</v>
      </c>
      <c r="BU236" s="1450">
        <f ca="1">IF(B236&gt;=$J$5,0,CONTADORES!BR242-CONTADORES!BR241)</f>
        <v>5.1599999999998545</v>
      </c>
      <c r="BV236" s="1450">
        <f ca="1">IF(B236&gt;=$J$5,0,CONTADORES!BS242-CONTADORES!BS241)</f>
        <v>3.5</v>
      </c>
      <c r="BW236" s="1450">
        <f t="shared" ca="1" si="108"/>
        <v>10.243500000012224</v>
      </c>
      <c r="BX236" s="1450">
        <f t="shared" ca="1" si="109"/>
        <v>7.8609999999941351</v>
      </c>
      <c r="BY236" s="1450">
        <f t="shared" ca="1" si="110"/>
        <v>5.0835000000123696</v>
      </c>
      <c r="BZ236" s="1450">
        <f t="shared" ca="1" si="111"/>
        <v>1.3800000000000585</v>
      </c>
      <c r="CA236" s="1450">
        <f t="shared" ca="1" si="112"/>
        <v>5.0835000000123696</v>
      </c>
      <c r="CB236" s="1450">
        <f t="shared" ca="1" si="113"/>
        <v>2.0700000000000873</v>
      </c>
      <c r="CC236" s="1450">
        <f t="shared" ca="1" si="114"/>
        <v>2.7700000000000582</v>
      </c>
      <c r="CD236" s="1450">
        <f t="shared" ca="1" si="115"/>
        <v>4.3609999999941351</v>
      </c>
      <c r="CE236" s="1450">
        <f ca="1">IF(B236&gt;=$J$5,0,CONTADORES!BS242-CONTADORES!BS241)</f>
        <v>3.5</v>
      </c>
      <c r="CF236" s="1450">
        <f t="shared" ca="1" si="116"/>
        <v>4.3609999999941351</v>
      </c>
      <c r="CG236" s="1450">
        <f t="shared" ca="1" si="117"/>
        <v>0.86500000000003752</v>
      </c>
      <c r="CH236" s="1450">
        <f t="shared" ca="1" si="118"/>
        <v>0.86500000000003752</v>
      </c>
      <c r="CI236" s="1450">
        <f t="shared" ca="1" si="119"/>
        <v>1.6540000000000377</v>
      </c>
      <c r="CJ236" s="1505">
        <f ca="1">IF($B236&gt;=$J$5,0,CONTADORES!$BG242)</f>
        <v>9392.2635810898191</v>
      </c>
      <c r="CK236" s="1384">
        <f>CONTADORES!E242</f>
        <v>0.3</v>
      </c>
      <c r="CL236" s="1384">
        <f>CONTADORES!BX242</f>
        <v>0.4</v>
      </c>
    </row>
    <row r="237" spans="2:90">
      <c r="B237" s="410">
        <v>45153</v>
      </c>
      <c r="C237" s="204">
        <f t="shared" ca="1" si="95"/>
        <v>146.84999999997672</v>
      </c>
      <c r="D237" s="202">
        <f ca="1">'CALCULO DE GAS'!P52</f>
        <v>3.9081337687717017</v>
      </c>
      <c r="E237" s="202">
        <f ca="1">IF(B237&gt;=$J$5,0,(CONTADORES!$AB243-CONTADORES!$AB242)-$H237)</f>
        <v>24</v>
      </c>
      <c r="F237" s="204">
        <f t="shared" ca="1" si="121"/>
        <v>0</v>
      </c>
      <c r="G237" s="212">
        <f ca="1">IF(B237&gt;=$J$5,0,CONTADORES!$AD243-CONTADORES!$AD242)</f>
        <v>0</v>
      </c>
      <c r="H237" s="212">
        <f ca="1">IF(G237&gt;0,CONTADORES!$AC243-CONTADORES!$AC242,0)</f>
        <v>0</v>
      </c>
      <c r="I237" s="214">
        <f ca="1">IF(B237&gt;=$J$5,0,CONTADORES!$Z243-CONTADORES!$Z242)</f>
        <v>146.84999999997672</v>
      </c>
      <c r="J237" s="204">
        <f t="shared" ca="1" si="96"/>
        <v>294.55500000000029</v>
      </c>
      <c r="K237" s="202">
        <f ca="1">'CALCULO DE GAS'!Q52</f>
        <v>5.4760786898245648</v>
      </c>
      <c r="L237" s="1437">
        <f ca="1">IF(B237&gt;=$J$5,0,(CONTADORES!$W243-CONTADORES!$W242)-$O237)</f>
        <v>24</v>
      </c>
      <c r="M237" s="1437">
        <f t="shared" ca="1" si="122"/>
        <v>0</v>
      </c>
      <c r="N237" s="1437">
        <f ca="1">IF(B237&gt;=$J$5,0,CONTADORES!$Y243-CONTADORES!$Y242)</f>
        <v>0</v>
      </c>
      <c r="O237" s="1437">
        <f ca="1">IF(N237&gt;0,CONTADORES!$X243-CONTADORES!$X242,0)</f>
        <v>0</v>
      </c>
      <c r="P237" s="208">
        <f ca="1">IF(B237&gt;=$J$5,0,CONTADORES!$U243-CONTADORES!$U242)</f>
        <v>294.55500000000029</v>
      </c>
      <c r="Q237" s="208">
        <f ca="1">IF(B237&gt;=$J$5,0,CONTADORES!$B243-CONTADORES!$B242)</f>
        <v>0</v>
      </c>
      <c r="R237" s="202">
        <f t="shared" ca="1" si="97"/>
        <v>0</v>
      </c>
      <c r="S237" s="11">
        <f ca="1">IF(B237&gt;=$J$5,0,CONTADORES!$D243-CONTADORES!$D242)</f>
        <v>0</v>
      </c>
      <c r="T237" s="204">
        <f ca="1">IF(B237&gt;=$J$5,0,CONTADORES!$AZ243-CONTADORES!$AZ242)</f>
        <v>0</v>
      </c>
      <c r="U237" s="202">
        <f t="shared" ca="1" si="123"/>
        <v>0</v>
      </c>
      <c r="V237" s="205">
        <f ca="1">IF(B237&gt;=$J$5,0,CONTADORES!$BB243-CONTADORES!$BB242)</f>
        <v>0</v>
      </c>
      <c r="W237" s="1438">
        <f t="shared" ca="1" si="98"/>
        <v>441.40499999997701</v>
      </c>
      <c r="X237" s="1438">
        <f t="shared" ca="1" si="99"/>
        <v>0</v>
      </c>
      <c r="Y237" s="1439">
        <f t="shared" ca="1" si="100"/>
        <v>441.40499999997701</v>
      </c>
      <c r="Z237" s="1439">
        <f t="shared" ca="1" si="101"/>
        <v>9.3842124585962665</v>
      </c>
      <c r="AA237" s="1439">
        <f t="shared" ca="1" si="102"/>
        <v>0</v>
      </c>
      <c r="AB237" s="1439">
        <f t="shared" ca="1" si="103"/>
        <v>48</v>
      </c>
      <c r="AC237" s="1438">
        <f t="shared" ca="1" si="104"/>
        <v>0</v>
      </c>
      <c r="AD237" s="1450">
        <f ca="1">IF(B237&gt;=$J$5,0,CONTADORES!H243-CONTADORES!H242)</f>
        <v>166.29999999999927</v>
      </c>
      <c r="AE237" s="1479">
        <f ca="1">IF(B237&gt;=$J$5,0,CONTADORES!J243-CONTADORES!J242)</f>
        <v>24</v>
      </c>
      <c r="AF237" s="1479">
        <f ca="1">IF(B237&gt;=$J$5,0,CONTADORES!AS243-CONTADORES!AS242)</f>
        <v>146.10000000003492</v>
      </c>
      <c r="AG237" s="1479">
        <f ca="1">IF(B237&gt;=$J$5,0,CONTADORES!AU243-CONTADORES!AU242)</f>
        <v>24</v>
      </c>
      <c r="AH237" s="1450">
        <f ca="1">IF(B237&gt;=$J$5,0,(CONTADORES!AK243-CONTADORES!AK242)+(CONTADORES!K243-CONTADORES!K242))</f>
        <v>11.699999999998909</v>
      </c>
      <c r="AI237" s="1479">
        <f ca="1">IF(B237&gt;=$J$5,0,(CONTADORES!AI243-CONTADORES!AI242)+(CONTADORES!M243-CONTADORES!M242))</f>
        <v>32.759999999994761</v>
      </c>
      <c r="AJ237" s="1479">
        <f ca="1">IF(B237&gt;=$J$5,0,(CONTADORES!AG243-CONTADORES!AG242))</f>
        <v>8.3999999999941792</v>
      </c>
      <c r="AK237" s="1479">
        <f ca="1">IF(B237&gt;=$J$5,0,(CONTADORES!O243-CONTADORES!O242))</f>
        <v>11.869999999995343</v>
      </c>
      <c r="AL237" s="1500">
        <f t="shared" ca="1" si="105"/>
        <v>33.875000000009095</v>
      </c>
      <c r="AM237" s="1450">
        <f ca="1">IF(B237&gt;=$J$5,0,(((CONTADORES!F243-CONTADORES!F242)+(CONTADORES!AO243-CONTADORES!AO242))))-BJ237-AF237-AN237-BM237-BP237-BU237-BS237</f>
        <v>11.952999999950542</v>
      </c>
      <c r="AN237" s="1479">
        <f ca="1">IF(B237&gt;=$J$5,0,(CONTADORES!AV243-CONTADORES!AV242)+(CONTADORES!AX243-CONTADORES!AX242)+(CONTADORES!BC243-CONTADORES!BC242))-BS237</f>
        <v>3.415000000000127</v>
      </c>
      <c r="AO237" s="1440">
        <f ca="1">IF(B237&gt;=$J$5,0,(CONTADORES!AA243-CONTADORES!AA242))</f>
        <v>72.679999999993015</v>
      </c>
      <c r="AP237" s="1440">
        <f ca="1">IF(B237&gt;=$J$5,0,(CONTADORES!V243-CONTADORES!V242))</f>
        <v>148</v>
      </c>
      <c r="AQ237" s="1445">
        <f ca="1">IF(B237&gt;=$J$5,0,(CONTADORES!C243-CONTADORES!C242))</f>
        <v>0</v>
      </c>
      <c r="AR237" s="1440">
        <f ca="1">IF(B237&gt;=$J$5,0,(CONTADORES!BA243-CONTADORES!BA242))</f>
        <v>0</v>
      </c>
      <c r="AS237" s="1479">
        <f ca="1">IF(B237&gt;=$J$5,0,CONTADORES!Q243-CONTADORES!Q242)</f>
        <v>15.700000000011642</v>
      </c>
      <c r="AT237" s="1479">
        <f ca="1">IF(B237&gt;=$J$5,0,(CONTADORES!S243-CONTADORES!S242)+(CONTADORES!AE243-CONTADORES!AE242))</f>
        <v>2.4900000000000091</v>
      </c>
      <c r="AU237" s="1474">
        <f ca="1">IF(B237&gt;=$J$5,0,(CONTADORES!I243-CONTADORES!I242))</f>
        <v>81.800000000001091</v>
      </c>
      <c r="AV237" s="1440">
        <f ca="1">IF(B237&gt;=$J$5,0,(CONTADORES!AT243-CONTADORES!AT242))</f>
        <v>63.299999999988358</v>
      </c>
      <c r="AW237" s="1504">
        <f ca="1">IF(B237&gt;=$J$5,0,(CONTADORES!L243-CONTADORES!L242)+(CONTADORES!AL243-CONTADORES!AL242))</f>
        <v>4.5</v>
      </c>
      <c r="AX237" s="1504">
        <f ca="1">IF(B237&gt;=$J$5,0,(CONTADORES!N243-CONTADORES!N242)+(CONTADORES!AJ243-CONTADORES!AJ242))</f>
        <v>28.189999999995052</v>
      </c>
      <c r="AY237" s="1504">
        <f ca="1">IF(B237&gt;=$J$5,0,(CONTADORES!AH243-CONTADORES!AH242))</f>
        <v>6.5999999999985448</v>
      </c>
      <c r="AZ237" s="1504">
        <f ca="1">IF(B237&gt;=$J$5,0,(CONTADORES!P243-CONTADORES!P242))</f>
        <v>9.8000000000029104</v>
      </c>
      <c r="BA237" s="1450">
        <f t="shared" ca="1" si="106"/>
        <v>10.73899999998838</v>
      </c>
      <c r="BB237" s="1478">
        <f ca="1">IF(B237&gt;=$J$5,0,(((CONTADORES!G243-CONTADORES!G242)+(CONTADORES!AP243-CONTADORES!AP242)+AR237)-(AV237+BC237)))</f>
        <v>9.3700000000180808</v>
      </c>
      <c r="BC237" s="1479">
        <f ca="1">IF(B237&gt;=$J$5,0,(CONTADORES!AW243-CONTADORES!AW242)+(CONTADORES!AY243-CONTADORES!AY242)+(CONTADORES!BD243-CONTADORES!BD242))</f>
        <v>1.6300000000001091</v>
      </c>
      <c r="BD237" s="1438">
        <f t="shared" ca="1" si="107"/>
        <v>220.67999999999302</v>
      </c>
      <c r="BE237" s="1439">
        <f ca="1">IF($B237&gt;=$J$5,0,CONTADORES!$BE243)</f>
        <v>5503.21</v>
      </c>
      <c r="BF237" s="1438">
        <f ca="1">IF($B237&gt;=$J$5,0,CONTADORES!$BF243)</f>
        <v>33631.485964912303</v>
      </c>
      <c r="BG237" s="1438">
        <f ca="1">IF($B237&gt;=$J$5,0,CONTADORES!$BH243)</f>
        <v>5882.25</v>
      </c>
      <c r="BH237" s="1479">
        <f ca="1">IF(B237&gt;=$J$5,0,(CONTADORES!AQ243-CONTADORES!AQ242))</f>
        <v>4.5930000000080327</v>
      </c>
      <c r="BI237" s="1479">
        <f ca="1">IF(C237&gt;=$J$5,0,(CONTADORES!AR243-CONTADORES!AR242))</f>
        <v>0</v>
      </c>
      <c r="BJ237" s="1450">
        <f ca="1">IF(B237&gt;=$J$5,0,CONTADORES!BI243-CONTADORES!BI242)/1000</f>
        <v>0</v>
      </c>
      <c r="BK237" s="1450">
        <f ca="1">IF(B237&gt;=$J$5,0,CONTADORES!BJ243-CONTADORES!BJ242)</f>
        <v>0</v>
      </c>
      <c r="BL237" s="1450">
        <f ca="1">IF(B237&gt;=$J$5,0,CONTADORES!BK243-CONTADORES!BK242)</f>
        <v>0</v>
      </c>
      <c r="BM237" s="1450">
        <f ca="1">IF(B237&gt;=$J$5,0,CONTADORES!BL243-CONTADORES!BL242)/1000</f>
        <v>3.7949999999999999</v>
      </c>
      <c r="BN237" s="1450">
        <f ca="1">IF(B237&gt;=$J$5,0,CONTADORES!BM243-CONTADORES!BM242)/1000</f>
        <v>0.214</v>
      </c>
      <c r="BO237" s="1450">
        <f ca="1">IF(B237&gt;=$J$5,0,CONTADORES!BN243-CONTADORES!BN242)</f>
        <v>24</v>
      </c>
      <c r="BP237" s="1450">
        <f ca="1">IF(B237&gt;=$J$5,0,CONTADORES!BO243-CONTADORES!BO242)/1000</f>
        <v>4.6319999999999997</v>
      </c>
      <c r="BQ237" s="1450">
        <f ca="1">IF(B237&gt;=$J$5,0,CONTADORES!BP243-CONTADORES!BP242)/1000</f>
        <v>0.247</v>
      </c>
      <c r="BR237" s="1450">
        <f ca="1">IF(B237&gt;=$J$5,0,CONTADORES!BQ243-CONTADORES!BQ242)</f>
        <v>24</v>
      </c>
      <c r="BS237" s="1450">
        <f ca="1">IF(B237&gt;=$J$5,0,(CONTADORES!BT243-CONTADORES!BT242)+(CONTADORES!BV243-CONTADORES!BV242))/1000</f>
        <v>1.4450000000000001</v>
      </c>
      <c r="BT237" s="1450">
        <f ca="1">IF(B237&gt;=$J$5,0,(CONTADORES!BU243-CONTADORES!BU242)+(CONTADORES!BW243-CONTADORES!BW242))/1000</f>
        <v>0.81</v>
      </c>
      <c r="BU237" s="1450">
        <f ca="1">IF(B237&gt;=$J$5,0,CONTADORES!BR243-CONTADORES!BR242)</f>
        <v>5.1599999999998545</v>
      </c>
      <c r="BV237" s="1450">
        <f ca="1">IF(B237&gt;=$J$5,0,CONTADORES!BS243-CONTADORES!BS242)</f>
        <v>3.4800000000004729</v>
      </c>
      <c r="BW237" s="1450">
        <f t="shared" ca="1" si="108"/>
        <v>11.136499999975126</v>
      </c>
      <c r="BX237" s="1450">
        <f t="shared" ca="1" si="109"/>
        <v>8.1650000000095133</v>
      </c>
      <c r="BY237" s="1450">
        <f t="shared" ca="1" si="110"/>
        <v>5.976499999975271</v>
      </c>
      <c r="BZ237" s="1450">
        <f t="shared" ca="1" si="111"/>
        <v>1.366000000000051</v>
      </c>
      <c r="CA237" s="1450">
        <f t="shared" ca="1" si="112"/>
        <v>5.976499999975271</v>
      </c>
      <c r="CB237" s="1450">
        <f t="shared" ca="1" si="113"/>
        <v>2.0490000000000759</v>
      </c>
      <c r="CC237" s="1450">
        <f t="shared" ca="1" si="114"/>
        <v>2.811000000000051</v>
      </c>
      <c r="CD237" s="1450">
        <f t="shared" ca="1" si="115"/>
        <v>4.6850000000090404</v>
      </c>
      <c r="CE237" s="1450">
        <f ca="1">IF(B237&gt;=$J$5,0,CONTADORES!BS243-CONTADORES!BS242)</f>
        <v>3.4800000000004729</v>
      </c>
      <c r="CF237" s="1450">
        <f t="shared" ca="1" si="116"/>
        <v>4.6850000000090404</v>
      </c>
      <c r="CG237" s="1450">
        <f t="shared" ca="1" si="117"/>
        <v>0.81500000000005457</v>
      </c>
      <c r="CH237" s="1450">
        <f t="shared" ca="1" si="118"/>
        <v>0.81500000000005457</v>
      </c>
      <c r="CI237" s="1450">
        <f t="shared" ca="1" si="119"/>
        <v>1.6250000000000546</v>
      </c>
      <c r="CJ237" s="1505">
        <f ca="1">IF($B237&gt;=$J$5,0,CONTADORES!$BG243)</f>
        <v>8244.0128423367096</v>
      </c>
      <c r="CK237" s="1384">
        <f>CONTADORES!E243</f>
        <v>0</v>
      </c>
      <c r="CL237" s="1384">
        <f>CONTADORES!BX243</f>
        <v>0</v>
      </c>
    </row>
    <row r="238" spans="2:90">
      <c r="B238" s="410">
        <v>45154</v>
      </c>
      <c r="C238" s="204">
        <f t="shared" ca="1" si="95"/>
        <v>146.70000000006985</v>
      </c>
      <c r="D238" s="202">
        <f ca="1">'CALCULO DE GAS'!P53</f>
        <v>3.9066613126322656</v>
      </c>
      <c r="E238" s="202">
        <f ca="1">IF(B238&gt;=$J$5,0,(CONTADORES!$AB244-CONTADORES!$AB243)-$H238)</f>
        <v>24</v>
      </c>
      <c r="F238" s="204">
        <f t="shared" ca="1" si="121"/>
        <v>0</v>
      </c>
      <c r="G238" s="212">
        <f ca="1">IF(B238&gt;=$J$5,0,CONTADORES!$AD244-CONTADORES!$AD243)</f>
        <v>0</v>
      </c>
      <c r="H238" s="212">
        <f ca="1">IF(G238&gt;0,CONTADORES!$AC244-CONTADORES!$AC243,0)</f>
        <v>0</v>
      </c>
      <c r="I238" s="214">
        <f ca="1">IF(B238&gt;=$J$5,0,CONTADORES!$Z244-CONTADORES!$Z243)</f>
        <v>146.70000000006985</v>
      </c>
      <c r="J238" s="204">
        <f t="shared" ca="1" si="96"/>
        <v>292.66000000000349</v>
      </c>
      <c r="K238" s="202">
        <f ca="1">'CALCULO DE GAS'!Q53</f>
        <v>5.4561479442105636</v>
      </c>
      <c r="L238" s="1437">
        <f ca="1">IF(B238&gt;=$J$5,0,(CONTADORES!$W244-CONTADORES!$W243)-$O238)</f>
        <v>24</v>
      </c>
      <c r="M238" s="1437">
        <f t="shared" ca="1" si="122"/>
        <v>0</v>
      </c>
      <c r="N238" s="1437">
        <f ca="1">IF(B238&gt;=$J$5,0,CONTADORES!$Y244-CONTADORES!$Y243)</f>
        <v>0</v>
      </c>
      <c r="O238" s="1437">
        <f ca="1">IF(N238&gt;0,CONTADORES!$X244-CONTADORES!$X243,0)</f>
        <v>0</v>
      </c>
      <c r="P238" s="208">
        <f ca="1">IF(B238&gt;=$J$5,0,CONTADORES!$U244-CONTADORES!$U243)</f>
        <v>292.66000000000349</v>
      </c>
      <c r="Q238" s="208">
        <f ca="1">IF(B238&gt;=$J$5,0,CONTADORES!$B244-CONTADORES!$B243)</f>
        <v>0</v>
      </c>
      <c r="R238" s="202">
        <f t="shared" ca="1" si="97"/>
        <v>0</v>
      </c>
      <c r="S238" s="11">
        <f ca="1">IF(B238&gt;=$J$5,0,CONTADORES!$D244-CONTADORES!$D243)</f>
        <v>0</v>
      </c>
      <c r="T238" s="204">
        <f ca="1">IF(B238&gt;=$J$5,0,CONTADORES!$AZ244-CONTADORES!$AZ243)</f>
        <v>0</v>
      </c>
      <c r="U238" s="202">
        <f t="shared" ca="1" si="123"/>
        <v>0</v>
      </c>
      <c r="V238" s="205">
        <f ca="1">IF(B238&gt;=$J$5,0,CONTADORES!$BB244-CONTADORES!$BB243)</f>
        <v>0</v>
      </c>
      <c r="W238" s="1438">
        <f t="shared" ca="1" si="98"/>
        <v>439.36000000007334</v>
      </c>
      <c r="X238" s="1438">
        <f t="shared" ca="1" si="99"/>
        <v>0</v>
      </c>
      <c r="Y238" s="1439">
        <f t="shared" ca="1" si="100"/>
        <v>439.36000000007334</v>
      </c>
      <c r="Z238" s="1439">
        <f t="shared" ca="1" si="101"/>
        <v>9.3628092568428301</v>
      </c>
      <c r="AA238" s="1439">
        <f t="shared" ca="1" si="102"/>
        <v>0</v>
      </c>
      <c r="AB238" s="1439">
        <f t="shared" ca="1" si="103"/>
        <v>48</v>
      </c>
      <c r="AC238" s="1438">
        <f t="shared" ca="1" si="104"/>
        <v>0</v>
      </c>
      <c r="AD238" s="1450">
        <f ca="1">IF(B238&gt;=$J$5,0,CONTADORES!H244-CONTADORES!H243)</f>
        <v>166.10000000000218</v>
      </c>
      <c r="AE238" s="1479">
        <f ca="1">IF(B238&gt;=$J$5,0,CONTADORES!J244-CONTADORES!J243)</f>
        <v>24</v>
      </c>
      <c r="AF238" s="1479">
        <f ca="1">IF(B238&gt;=$J$5,0,CONTADORES!AS244-CONTADORES!AS243)</f>
        <v>146.09999999997672</v>
      </c>
      <c r="AG238" s="1479">
        <f ca="1">IF(B238&gt;=$J$5,0,CONTADORES!AU244-CONTADORES!AU243)</f>
        <v>24</v>
      </c>
      <c r="AH238" s="1450">
        <f ca="1">IF(B238&gt;=$J$5,0,(CONTADORES!AK244-CONTADORES!AK243)+(CONTADORES!K244-CONTADORES!K243))</f>
        <v>10.400000000001455</v>
      </c>
      <c r="AI238" s="1479">
        <f ca="1">IF(B238&gt;=$J$5,0,(CONTADORES!AI244-CONTADORES!AI243)+(CONTADORES!M244-CONTADORES!M243))</f>
        <v>31</v>
      </c>
      <c r="AJ238" s="1479">
        <f ca="1">IF(B238&gt;=$J$5,0,(CONTADORES!AG244-CONTADORES!AG243))</f>
        <v>7.6000000000058208</v>
      </c>
      <c r="AK238" s="1479">
        <f ca="1">IF(B238&gt;=$J$5,0,(CONTADORES!O244-CONTADORES!O243))</f>
        <v>13</v>
      </c>
      <c r="AL238" s="1500">
        <f t="shared" ca="1" si="105"/>
        <v>37.360000000062485</v>
      </c>
      <c r="AM238" s="1450">
        <f ca="1">IF(B238&gt;=$J$5,0,(((CONTADORES!F244-CONTADORES!F243)+(CONTADORES!AO244-CONTADORES!AO243))))-BJ238-AF238-AN238-BM238-BP238-BU238-BS238</f>
        <v>9.971000000025068</v>
      </c>
      <c r="AN238" s="1479">
        <f ca="1">IF(B238&gt;=$J$5,0,(CONTADORES!AV244-CONTADORES!AV243)+(CONTADORES!AX244-CONTADORES!AX243)+(CONTADORES!BC244-CONTADORES!BC243))-BS238</f>
        <v>3.1959999999994544</v>
      </c>
      <c r="AO238" s="1440">
        <f ca="1">IF(B238&gt;=$J$5,0,(CONTADORES!AA244-CONTADORES!AA243))</f>
        <v>71.900000000023283</v>
      </c>
      <c r="AP238" s="1440">
        <f ca="1">IF(B238&gt;=$J$5,0,(CONTADORES!V244-CONTADORES!V243))</f>
        <v>146</v>
      </c>
      <c r="AQ238" s="1445">
        <f ca="1">IF(B238&gt;=$J$5,0,(CONTADORES!C244-CONTADORES!C243))</f>
        <v>0</v>
      </c>
      <c r="AR238" s="1440">
        <f ca="1">IF(B238&gt;=$J$5,0,(CONTADORES!BA244-CONTADORES!BA243))</f>
        <v>0</v>
      </c>
      <c r="AS238" s="1479">
        <f ca="1">IF(B238&gt;=$J$5,0,CONTADORES!Q244-CONTADORES!Q243)</f>
        <v>16</v>
      </c>
      <c r="AT238" s="1479">
        <f ca="1">IF(B238&gt;=$J$5,0,(CONTADORES!S244-CONTADORES!S243)+(CONTADORES!AE244-CONTADORES!AE243))</f>
        <v>2.3299999999999841</v>
      </c>
      <c r="AU238" s="1474">
        <f ca="1">IF(B238&gt;=$J$5,0,(CONTADORES!I244-CONTADORES!I243))</f>
        <v>81.699999999998909</v>
      </c>
      <c r="AV238" s="1440">
        <f ca="1">IF(B238&gt;=$J$5,0,(CONTADORES!AT244-CONTADORES!AT243))</f>
        <v>63.299999999988358</v>
      </c>
      <c r="AW238" s="1504">
        <f ca="1">IF(B238&gt;=$J$5,0,(CONTADORES!L244-CONTADORES!L243)+(CONTADORES!AL244-CONTADORES!AL243))</f>
        <v>3.8999999999978172</v>
      </c>
      <c r="AX238" s="1504">
        <f ca="1">IF(B238&gt;=$J$5,0,(CONTADORES!N244-CONTADORES!N243)+(CONTADORES!AJ244-CONTADORES!AJ243))</f>
        <v>26.700000000004366</v>
      </c>
      <c r="AY238" s="1504">
        <f ca="1">IF(B238&gt;=$J$5,0,(CONTADORES!AH244-CONTADORES!AH243))</f>
        <v>5.8000000000029104</v>
      </c>
      <c r="AZ238" s="1504">
        <f ca="1">IF(B238&gt;=$J$5,0,(CONTADORES!P244-CONTADORES!P243))</f>
        <v>10</v>
      </c>
      <c r="BA238" s="1450">
        <f t="shared" ca="1" si="106"/>
        <v>11.859000000019563</v>
      </c>
      <c r="BB238" s="1478">
        <f ca="1">IF(B238&gt;=$J$5,0,(((CONTADORES!G244-CONTADORES!G243)+(CONTADORES!AP244-CONTADORES!AP243)+AR238)-(AV238+BC238)))</f>
        <v>8.2100000000112914</v>
      </c>
      <c r="BC238" s="1479">
        <f ca="1">IF(B238&gt;=$J$5,0,(CONTADORES!AW244-CONTADORES!AW243)+(CONTADORES!AY244-CONTADORES!AY243)+(CONTADORES!BD244-CONTADORES!BD243))</f>
        <v>1.6900000000001683</v>
      </c>
      <c r="BD238" s="1438">
        <f t="shared" ca="1" si="107"/>
        <v>217.90000000002328</v>
      </c>
      <c r="BE238" s="1439">
        <f ca="1">IF($B238&gt;=$J$5,0,CONTADORES!$BE244)</f>
        <v>5762.73</v>
      </c>
      <c r="BF238" s="1438">
        <f ca="1">IF($B238&gt;=$J$5,0,CONTADORES!$BF244)</f>
        <v>33891.517543859598</v>
      </c>
      <c r="BG238" s="1438">
        <f ca="1">IF($B238&gt;=$J$5,0,CONTADORES!$BH244)</f>
        <v>6488.08</v>
      </c>
      <c r="BH238" s="1479">
        <f ca="1">IF(B238&gt;=$J$5,0,(CONTADORES!AQ244-CONTADORES!AQ243))</f>
        <v>4.6999999999970896</v>
      </c>
      <c r="BI238" s="1479">
        <f ca="1">IF(C238&gt;=$J$5,0,(CONTADORES!AR244-CONTADORES!AR243))</f>
        <v>0</v>
      </c>
      <c r="BJ238" s="1450">
        <f ca="1">IF(B238&gt;=$J$5,0,CONTADORES!BI244-CONTADORES!BI243)/1000</f>
        <v>0</v>
      </c>
      <c r="BK238" s="1450">
        <f ca="1">IF(B238&gt;=$J$5,0,CONTADORES!BJ244-CONTADORES!BJ243)</f>
        <v>0</v>
      </c>
      <c r="BL238" s="1450">
        <f ca="1">IF(B238&gt;=$J$5,0,CONTADORES!BK244-CONTADORES!BK243)</f>
        <v>0</v>
      </c>
      <c r="BM238" s="1450">
        <f ca="1">IF(B238&gt;=$J$5,0,CONTADORES!BL244-CONTADORES!BL243)/1000</f>
        <v>4.0810000000000004</v>
      </c>
      <c r="BN238" s="1450">
        <f ca="1">IF(B238&gt;=$J$5,0,CONTADORES!BM244-CONTADORES!BM243)/1000</f>
        <v>0.36299999999999999</v>
      </c>
      <c r="BO238" s="1450">
        <f ca="1">IF(B238&gt;=$J$5,0,CONTADORES!BN244-CONTADORES!BN243)</f>
        <v>24</v>
      </c>
      <c r="BP238" s="1450">
        <f ca="1">IF(B238&gt;=$J$5,0,CONTADORES!BO244-CONTADORES!BO243)/1000</f>
        <v>4.1379999999999999</v>
      </c>
      <c r="BQ238" s="1450">
        <f ca="1">IF(B238&gt;=$J$5,0,CONTADORES!BP244-CONTADORES!BP243)/1000</f>
        <v>0.22700000000000001</v>
      </c>
      <c r="BR238" s="1450">
        <f ca="1">IF(B238&gt;=$J$5,0,CONTADORES!BQ244-CONTADORES!BQ243)</f>
        <v>24</v>
      </c>
      <c r="BS238" s="1450">
        <f ca="1">IF(B238&gt;=$J$5,0,(CONTADORES!BT244-CONTADORES!BT243)+(CONTADORES!BV244-CONTADORES!BV243))/1000</f>
        <v>1.4039999999999999</v>
      </c>
      <c r="BT238" s="1450">
        <f ca="1">IF(B238&gt;=$J$5,0,(CONTADORES!BU244-CONTADORES!BU243)+(CONTADORES!BW244-CONTADORES!BW243))/1000</f>
        <v>0.78100000000000003</v>
      </c>
      <c r="BU238" s="1450">
        <f ca="1">IF(B238&gt;=$J$5,0,CONTADORES!BR244-CONTADORES!BR243)</f>
        <v>5.0100000000002183</v>
      </c>
      <c r="BV238" s="1450">
        <f ca="1">IF(B238&gt;=$J$5,0,CONTADORES!BS244-CONTADORES!BS243)</f>
        <v>3.3699999999998909</v>
      </c>
      <c r="BW238" s="1450">
        <f t="shared" ca="1" si="108"/>
        <v>9.9955000000127523</v>
      </c>
      <c r="BX238" s="1450">
        <f t="shared" ca="1" si="109"/>
        <v>7.4750000000055365</v>
      </c>
      <c r="BY238" s="1450">
        <f t="shared" ca="1" si="110"/>
        <v>4.985500000012534</v>
      </c>
      <c r="BZ238" s="1450">
        <f t="shared" ca="1" si="111"/>
        <v>1.2783999999997819</v>
      </c>
      <c r="CA238" s="1450">
        <f t="shared" ca="1" si="112"/>
        <v>4.985500000012534</v>
      </c>
      <c r="CB238" s="1450">
        <f t="shared" ca="1" si="113"/>
        <v>1.9175999999996725</v>
      </c>
      <c r="CC238" s="1450">
        <f t="shared" ca="1" si="114"/>
        <v>2.6823999999997818</v>
      </c>
      <c r="CD238" s="1450">
        <f t="shared" ca="1" si="115"/>
        <v>4.1050000000056457</v>
      </c>
      <c r="CE238" s="1450">
        <f ca="1">IF(B238&gt;=$J$5,0,CONTADORES!BS244-CONTADORES!BS243)</f>
        <v>3.3699999999998909</v>
      </c>
      <c r="CF238" s="1450">
        <f t="shared" ca="1" si="116"/>
        <v>4.1050000000056457</v>
      </c>
      <c r="CG238" s="1450">
        <f t="shared" ca="1" si="117"/>
        <v>0.84500000000008413</v>
      </c>
      <c r="CH238" s="1450">
        <f t="shared" ca="1" si="118"/>
        <v>0.84500000000008413</v>
      </c>
      <c r="CI238" s="1450">
        <f t="shared" ca="1" si="119"/>
        <v>1.6260000000000843</v>
      </c>
      <c r="CJ238" s="1505">
        <f ca="1">IF($B238&gt;=$J$5,0,CONTADORES!$BG244)</f>
        <v>9020.4096082795695</v>
      </c>
      <c r="CK238" s="1384">
        <f>CONTADORES!E244</f>
        <v>0</v>
      </c>
      <c r="CL238" s="1384">
        <f>CONTADORES!BX244</f>
        <v>0</v>
      </c>
    </row>
    <row r="239" spans="2:90">
      <c r="B239" s="410">
        <v>45155</v>
      </c>
      <c r="C239" s="204">
        <f t="shared" ca="1" si="95"/>
        <v>145.69999999995343</v>
      </c>
      <c r="D239" s="202">
        <f ca="1">'CALCULO DE GAS'!P54</f>
        <v>3.8968449383621167</v>
      </c>
      <c r="E239" s="202">
        <f ca="1">IF(B239&gt;=$J$5,0,(CONTADORES!$AB245-CONTADORES!$AB244)-$H239)</f>
        <v>24</v>
      </c>
      <c r="F239" s="204">
        <f t="shared" ca="1" si="121"/>
        <v>0</v>
      </c>
      <c r="G239" s="212">
        <f ca="1">IF(B239&gt;=$J$5,0,CONTADORES!$AD245-CONTADORES!$AD244)</f>
        <v>0</v>
      </c>
      <c r="H239" s="212">
        <f ca="1">IF(G239&gt;0,CONTADORES!$AC245-CONTADORES!$AC244,0)</f>
        <v>0</v>
      </c>
      <c r="I239" s="214">
        <f ca="1">IF(B239&gt;=$J$5,0,CONTADORES!$Z245-CONTADORES!$Z244)</f>
        <v>145.69999999995343</v>
      </c>
      <c r="J239" s="204">
        <f t="shared" ca="1" si="96"/>
        <v>290.11699999999837</v>
      </c>
      <c r="K239" s="202">
        <f ca="1">'CALCULO DE GAS'!Q54</f>
        <v>5.4294018301754221</v>
      </c>
      <c r="L239" s="1437">
        <f ca="1">IF(B239&gt;=$J$5,0,(CONTADORES!$W245-CONTADORES!$W244)-$O239)</f>
        <v>24</v>
      </c>
      <c r="M239" s="1437">
        <f t="shared" ca="1" si="122"/>
        <v>0</v>
      </c>
      <c r="N239" s="1437">
        <f ca="1">IF(B239&gt;=$J$5,0,CONTADORES!$Y245-CONTADORES!$Y244)</f>
        <v>0</v>
      </c>
      <c r="O239" s="1437">
        <f ca="1">IF(N239&gt;0,CONTADORES!$X245-CONTADORES!$X244,0)</f>
        <v>0</v>
      </c>
      <c r="P239" s="208">
        <f ca="1">IF(B239&gt;=$J$5,0,CONTADORES!$U245-CONTADORES!$U244)</f>
        <v>290.11699999999837</v>
      </c>
      <c r="Q239" s="208">
        <f ca="1">IF(B239&gt;=$J$5,0,CONTADORES!$B245-CONTADORES!$B244)</f>
        <v>0</v>
      </c>
      <c r="R239" s="202">
        <f t="shared" ca="1" si="97"/>
        <v>0</v>
      </c>
      <c r="S239" s="11">
        <f ca="1">IF(B239&gt;=$J$5,0,CONTADORES!$D245-CONTADORES!$D244)</f>
        <v>0</v>
      </c>
      <c r="T239" s="204">
        <f ca="1">IF(B239&gt;=$J$5,0,CONTADORES!$AZ245-CONTADORES!$AZ244)</f>
        <v>0</v>
      </c>
      <c r="U239" s="202">
        <f t="shared" ca="1" si="123"/>
        <v>0</v>
      </c>
      <c r="V239" s="205">
        <f ca="1">IF(B239&gt;=$J$5,0,CONTADORES!$BB245-CONTADORES!$BB244)</f>
        <v>0</v>
      </c>
      <c r="W239" s="1438">
        <f t="shared" ca="1" si="98"/>
        <v>435.8169999999518</v>
      </c>
      <c r="X239" s="1438">
        <f t="shared" ca="1" si="99"/>
        <v>0</v>
      </c>
      <c r="Y239" s="1439">
        <f t="shared" ca="1" si="100"/>
        <v>435.8169999999518</v>
      </c>
      <c r="Z239" s="1439">
        <f t="shared" ca="1" si="101"/>
        <v>9.3262467685375388</v>
      </c>
      <c r="AA239" s="1439">
        <f t="shared" ca="1" si="102"/>
        <v>0</v>
      </c>
      <c r="AB239" s="1439">
        <f t="shared" ca="1" si="103"/>
        <v>48</v>
      </c>
      <c r="AC239" s="1438">
        <f t="shared" ca="1" si="104"/>
        <v>0</v>
      </c>
      <c r="AD239" s="1450">
        <f ca="1">IF(B239&gt;=$J$5,0,CONTADORES!H245-CONTADORES!H244)</f>
        <v>169.29999999999927</v>
      </c>
      <c r="AE239" s="1479">
        <f ca="1">IF(B239&gt;=$J$5,0,CONTADORES!J245-CONTADORES!J244)</f>
        <v>24</v>
      </c>
      <c r="AF239" s="1479">
        <f ca="1">IF(B239&gt;=$J$5,0,CONTADORES!AS245-CONTADORES!AS244)</f>
        <v>144.20000000001164</v>
      </c>
      <c r="AG239" s="1479">
        <f ca="1">IF(B239&gt;=$J$5,0,CONTADORES!AU245-CONTADORES!AU244)</f>
        <v>24</v>
      </c>
      <c r="AH239" s="1450">
        <f ca="1">IF(B239&gt;=$J$5,0,(CONTADORES!AK245-CONTADORES!AK244)+(CONTADORES!K245-CONTADORES!K244))</f>
        <v>5.0999999999985448</v>
      </c>
      <c r="AI239" s="1479">
        <f ca="1">IF(B239&gt;=$J$5,0,(CONTADORES!AI245-CONTADORES!AI244)+(CONTADORES!M245-CONTADORES!M244))</f>
        <v>30.80000000000291</v>
      </c>
      <c r="AJ239" s="1479">
        <f ca="1">IF(B239&gt;=$J$5,0,(CONTADORES!AG245-CONTADORES!AG244))</f>
        <v>8.6999999999970896</v>
      </c>
      <c r="AK239" s="1479">
        <f ca="1">IF(B239&gt;=$J$5,0,(CONTADORES!O245-CONTADORES!O244))</f>
        <v>13</v>
      </c>
      <c r="AL239" s="1500">
        <f t="shared" ca="1" si="105"/>
        <v>33.816999999955385</v>
      </c>
      <c r="AM239" s="1450">
        <f ca="1">IF(B239&gt;=$J$5,0,(((CONTADORES!F245-CONTADORES!F244)+(CONTADORES!AO245-CONTADORES!AO244))))-BJ239-AF239-AN239-BM239-BP239-BU239-BS239</f>
        <v>12.455999999987377</v>
      </c>
      <c r="AN239" s="1479">
        <f ca="1">IF(B239&gt;=$J$5,0,(CONTADORES!AV245-CONTADORES!AV244)+(CONTADORES!AX245-CONTADORES!AX244)+(CONTADORES!BC245-CONTADORES!BC244))-BS239</f>
        <v>3.3510000000002558</v>
      </c>
      <c r="AO239" s="1440">
        <f ca="1">IF(B239&gt;=$J$5,0,(CONTADORES!AA245-CONTADORES!AA244))</f>
        <v>70.71999999997206</v>
      </c>
      <c r="AP239" s="1440">
        <f ca="1">IF(B239&gt;=$J$5,0,(CONTADORES!V245-CONTADORES!V244))</f>
        <v>147</v>
      </c>
      <c r="AQ239" s="1445">
        <f ca="1">IF(B239&gt;=$J$5,0,(CONTADORES!C245-CONTADORES!C244))</f>
        <v>0</v>
      </c>
      <c r="AR239" s="1440">
        <f ca="1">IF(B239&gt;=$J$5,0,(CONTADORES!BA245-CONTADORES!BA244))</f>
        <v>0</v>
      </c>
      <c r="AS239" s="1479">
        <f ca="1">IF(B239&gt;=$J$5,0,CONTADORES!Q245-CONTADORES!Q244)</f>
        <v>16</v>
      </c>
      <c r="AT239" s="1479">
        <f ca="1">IF(B239&gt;=$J$5,0,(CONTADORES!S245-CONTADORES!S244)+(CONTADORES!AE245-CONTADORES!AE244))</f>
        <v>2.4300000000000068</v>
      </c>
      <c r="AU239" s="1474">
        <f ca="1">IF(B239&gt;=$J$5,0,(CONTADORES!I245-CONTADORES!I244))</f>
        <v>83.100000000000364</v>
      </c>
      <c r="AV239" s="1440">
        <f ca="1">IF(B239&gt;=$J$5,0,(CONTADORES!AT245-CONTADORES!AT244))</f>
        <v>62.200000000011642</v>
      </c>
      <c r="AW239" s="1504">
        <f ca="1">IF(B239&gt;=$J$5,0,(CONTADORES!L245-CONTADORES!L244)+(CONTADORES!AL245-CONTADORES!AL244))</f>
        <v>1.7999999999992724</v>
      </c>
      <c r="AX239" s="1504">
        <f ca="1">IF(B239&gt;=$J$5,0,(CONTADORES!N245-CONTADORES!N244)+(CONTADORES!AJ245-CONTADORES!AJ244))</f>
        <v>26.400000000001455</v>
      </c>
      <c r="AY239" s="1504">
        <f ca="1">IF(B239&gt;=$J$5,0,(CONTADORES!AH245-CONTADORES!AH244))</f>
        <v>6.6999999999970896</v>
      </c>
      <c r="AZ239" s="1504">
        <f ca="1">IF(B239&gt;=$J$5,0,(CONTADORES!P245-CONTADORES!P244))</f>
        <v>10</v>
      </c>
      <c r="BA239" s="1450">
        <f t="shared" ca="1" si="106"/>
        <v>11.561999999974233</v>
      </c>
      <c r="BB239" s="1478">
        <f ca="1">IF(B239&gt;=$J$5,0,(((CONTADORES!G245-CONTADORES!G244)+(CONTADORES!AP245-CONTADORES!AP244)+AR239)-(AV239+BC239)))</f>
        <v>9.4699999999885165</v>
      </c>
      <c r="BC239" s="1479">
        <f ca="1">IF(B239&gt;=$J$5,0,(CONTADORES!AW245-CONTADORES!AW244)+(CONTADORES!AY245-CONTADORES!AY244)+(CONTADORES!BD245-CONTADORES!BD244))</f>
        <v>1.6300000000000239</v>
      </c>
      <c r="BD239" s="1438">
        <f t="shared" ca="1" si="107"/>
        <v>217.71999999997206</v>
      </c>
      <c r="BE239" s="1439">
        <f ca="1">IF($B239&gt;=$J$5,0,CONTADORES!$BE245)</f>
        <v>5671.22</v>
      </c>
      <c r="BF239" s="1438">
        <f ca="1">IF($B239&gt;=$J$5,0,CONTADORES!$BF245)</f>
        <v>33761.010526315797</v>
      </c>
      <c r="BG239" s="1438">
        <f ca="1">IF($B239&gt;=$J$5,0,CONTADORES!$BH245)</f>
        <v>6123.46</v>
      </c>
      <c r="BH239" s="1479">
        <f ca="1">IF(B239&gt;=$J$5,0,(CONTADORES!AQ245-CONTADORES!AQ244))</f>
        <v>4.6999999999970896</v>
      </c>
      <c r="BI239" s="1479">
        <f ca="1">IF(C239&gt;=$J$5,0,(CONTADORES!AR245-CONTADORES!AR244))</f>
        <v>0</v>
      </c>
      <c r="BJ239" s="1450">
        <f ca="1">IF(B239&gt;=$J$5,0,CONTADORES!BI245-CONTADORES!BI244)/1000</f>
        <v>0</v>
      </c>
      <c r="BK239" s="1450">
        <f ca="1">IF(B239&gt;=$J$5,0,CONTADORES!BJ245-CONTADORES!BJ244)</f>
        <v>0</v>
      </c>
      <c r="BL239" s="1450">
        <f ca="1">IF(B239&gt;=$J$5,0,CONTADORES!BK245-CONTADORES!BK244)</f>
        <v>0</v>
      </c>
      <c r="BM239" s="1450">
        <f ca="1">IF(B239&gt;=$J$5,0,CONTADORES!BL245-CONTADORES!BL244)/1000</f>
        <v>4.7930000000000001</v>
      </c>
      <c r="BN239" s="1450">
        <f ca="1">IF(B239&gt;=$J$5,0,CONTADORES!BM245-CONTADORES!BM244)/1000</f>
        <v>0.4</v>
      </c>
      <c r="BO239" s="1450">
        <f ca="1">IF(B239&gt;=$J$5,0,CONTADORES!BN245-CONTADORES!BN244)</f>
        <v>24</v>
      </c>
      <c r="BP239" s="1450">
        <f ca="1">IF(B239&gt;=$J$5,0,CONTADORES!BO245-CONTADORES!BO244)/1000</f>
        <v>3.601</v>
      </c>
      <c r="BQ239" s="1450">
        <f ca="1">IF(B239&gt;=$J$5,0,CONTADORES!BP245-CONTADORES!BP244)/1000</f>
        <v>6.9000000000000006E-2</v>
      </c>
      <c r="BR239" s="1450">
        <f ca="1">IF(B239&gt;=$J$5,0,CONTADORES!BQ245-CONTADORES!BQ244)</f>
        <v>24</v>
      </c>
      <c r="BS239" s="1450">
        <f ca="1">IF(B239&gt;=$J$5,0,(CONTADORES!BT245-CONTADORES!BT244)+(CONTADORES!BV245-CONTADORES!BV244))/1000</f>
        <v>1.399</v>
      </c>
      <c r="BT239" s="1450">
        <f ca="1">IF(B239&gt;=$J$5,0,(CONTADORES!BU245-CONTADORES!BU244)+(CONTADORES!BW245-CONTADORES!BW244))/1000</f>
        <v>0.78900000000000003</v>
      </c>
      <c r="BU239" s="1450">
        <f ca="1">IF(B239&gt;=$J$5,0,CONTADORES!BR245-CONTADORES!BR244)</f>
        <v>5.2999999999992724</v>
      </c>
      <c r="BV239" s="1450">
        <f ca="1">IF(B239&gt;=$J$5,0,CONTADORES!BS245-CONTADORES!BS244)</f>
        <v>3.5999999999994543</v>
      </c>
      <c r="BW239" s="1450">
        <f t="shared" ca="1" si="108"/>
        <v>11.527999999992961</v>
      </c>
      <c r="BX239" s="1450">
        <f t="shared" ca="1" si="109"/>
        <v>8.3349999999937125</v>
      </c>
      <c r="BY239" s="1450">
        <f t="shared" ca="1" si="110"/>
        <v>6.2279999999936884</v>
      </c>
      <c r="BZ239" s="1450">
        <f t="shared" ca="1" si="111"/>
        <v>1.3404000000001024</v>
      </c>
      <c r="CA239" s="1450">
        <f t="shared" ca="1" si="112"/>
        <v>6.2279999999936884</v>
      </c>
      <c r="CB239" s="1450">
        <f t="shared" ca="1" si="113"/>
        <v>2.0106000000001534</v>
      </c>
      <c r="CC239" s="1450">
        <f t="shared" ca="1" si="114"/>
        <v>2.7394000000001024</v>
      </c>
      <c r="CD239" s="1450">
        <f t="shared" ca="1" si="115"/>
        <v>4.7349999999942582</v>
      </c>
      <c r="CE239" s="1450">
        <f ca="1">IF(B239&gt;=$J$5,0,CONTADORES!BS245-CONTADORES!BS244)</f>
        <v>3.5999999999994543</v>
      </c>
      <c r="CF239" s="1450">
        <f t="shared" ca="1" si="116"/>
        <v>4.7349999999942582</v>
      </c>
      <c r="CG239" s="1450">
        <f t="shared" ca="1" si="117"/>
        <v>0.81500000000001194</v>
      </c>
      <c r="CH239" s="1450">
        <f t="shared" ca="1" si="118"/>
        <v>0.81500000000001194</v>
      </c>
      <c r="CI239" s="1450">
        <f t="shared" ca="1" si="119"/>
        <v>1.6040000000000121</v>
      </c>
      <c r="CJ239" s="1505">
        <f ca="1">IF($B239&gt;=$J$5,0,CONTADORES!$BG245)</f>
        <v>8945.0277652355508</v>
      </c>
      <c r="CK239" s="1384">
        <f>CONTADORES!E245</f>
        <v>0</v>
      </c>
      <c r="CL239" s="1384">
        <f>CONTADORES!BX245</f>
        <v>0</v>
      </c>
    </row>
    <row r="240" spans="2:90">
      <c r="B240" s="410">
        <v>45156</v>
      </c>
      <c r="C240" s="204">
        <f t="shared" ca="1" si="95"/>
        <v>148</v>
      </c>
      <c r="D240" s="202">
        <f ca="1">'CALCULO DE GAS'!P55</f>
        <v>3.9194225991812877</v>
      </c>
      <c r="E240" s="202">
        <f ca="1">IF(B240&gt;=$J$5,0,(CONTADORES!$AB246-CONTADORES!$AB245)-$H240)</f>
        <v>24</v>
      </c>
      <c r="F240" s="204">
        <f t="shared" ca="1" si="121"/>
        <v>0</v>
      </c>
      <c r="G240" s="212">
        <f ca="1">IF(B240&gt;=$J$5,0,CONTADORES!$AD246-CONTADORES!$AD245)</f>
        <v>0</v>
      </c>
      <c r="H240" s="212">
        <f ca="1">IF(G240&gt;0,CONTADORES!$AC246-CONTADORES!$AC245,0)</f>
        <v>0</v>
      </c>
      <c r="I240" s="214">
        <f ca="1">IF(B240&gt;=$J$5,0,CONTADORES!$Z246-CONTADORES!$Z245)</f>
        <v>148</v>
      </c>
      <c r="J240" s="204">
        <f t="shared" ca="1" si="96"/>
        <v>297</v>
      </c>
      <c r="K240" s="202">
        <f ca="1">'CALCULO DE GAS'!Q55</f>
        <v>5.5017940845614044</v>
      </c>
      <c r="L240" s="1437">
        <f ca="1">IF(B240&gt;=$J$5,0,(CONTADORES!$W246-CONTADORES!$W245)-$O240)</f>
        <v>24</v>
      </c>
      <c r="M240" s="1437">
        <f t="shared" ca="1" si="122"/>
        <v>0</v>
      </c>
      <c r="N240" s="1437">
        <f ca="1">IF(B240&gt;=$J$5,0,CONTADORES!$Y246-CONTADORES!$Y245)</f>
        <v>0</v>
      </c>
      <c r="O240" s="1437">
        <f ca="1">IF(N240&gt;0,CONTADORES!$X246-CONTADORES!$X245,0)</f>
        <v>0</v>
      </c>
      <c r="P240" s="208">
        <f ca="1">IF(B240&gt;=$J$5,0,CONTADORES!$U246-CONTADORES!$U245)</f>
        <v>297</v>
      </c>
      <c r="Q240" s="208">
        <f ca="1">IF(B240&gt;=$J$5,0,CONTADORES!$B246-CONTADORES!$B245)</f>
        <v>0</v>
      </c>
      <c r="R240" s="202">
        <f t="shared" ca="1" si="97"/>
        <v>0</v>
      </c>
      <c r="S240" s="11">
        <f ca="1">IF(B240&gt;=$J$5,0,CONTADORES!$D246-CONTADORES!$D245)</f>
        <v>0</v>
      </c>
      <c r="T240" s="204">
        <f ca="1">IF(B240&gt;=$J$5,0,CONTADORES!$AZ246-CONTADORES!$AZ245)</f>
        <v>0</v>
      </c>
      <c r="U240" s="202">
        <f t="shared" ca="1" si="123"/>
        <v>0</v>
      </c>
      <c r="V240" s="205">
        <f ca="1">IF(B240&gt;=$J$5,0,CONTADORES!$BB246-CONTADORES!$BB245)</f>
        <v>0</v>
      </c>
      <c r="W240" s="1438">
        <f t="shared" ca="1" si="98"/>
        <v>445</v>
      </c>
      <c r="X240" s="1438">
        <f t="shared" ca="1" si="99"/>
        <v>0</v>
      </c>
      <c r="Y240" s="1439">
        <f t="shared" ca="1" si="100"/>
        <v>445</v>
      </c>
      <c r="Z240" s="1439">
        <f t="shared" ca="1" si="101"/>
        <v>9.4212166837426921</v>
      </c>
      <c r="AA240" s="1439">
        <f t="shared" ca="1" si="102"/>
        <v>0</v>
      </c>
      <c r="AB240" s="1439">
        <f t="shared" ca="1" si="103"/>
        <v>48</v>
      </c>
      <c r="AC240" s="1438">
        <f t="shared" ca="1" si="104"/>
        <v>0</v>
      </c>
      <c r="AD240" s="1450">
        <f ca="1">IF(B240&gt;=$J$5,0,CONTADORES!H246-CONTADORES!H245)</f>
        <v>168</v>
      </c>
      <c r="AE240" s="1479">
        <f ca="1">IF(B240&gt;=$J$5,0,CONTADORES!J246-CONTADORES!J245)</f>
        <v>24</v>
      </c>
      <c r="AF240" s="1479">
        <f ca="1">IF(B240&gt;=$J$5,0,CONTADORES!AS246-CONTADORES!AS245)</f>
        <v>147</v>
      </c>
      <c r="AG240" s="1479">
        <f ca="1">IF(B240&gt;=$J$5,0,CONTADORES!AU246-CONTADORES!AU245)</f>
        <v>24</v>
      </c>
      <c r="AH240" s="1450">
        <f ca="1">IF(B240&gt;=$J$5,0,(CONTADORES!AK246-CONTADORES!AK245)+(CONTADORES!K246-CONTADORES!K245))</f>
        <v>11.399999999997817</v>
      </c>
      <c r="AI240" s="1479">
        <f ca="1">IF(B240&gt;=$J$5,0,(CONTADORES!AI246-CONTADORES!AI245)+(CONTADORES!M246-CONTADORES!M245))</f>
        <v>33.30000000000291</v>
      </c>
      <c r="AJ240" s="1479">
        <f ca="1">IF(B240&gt;=$J$5,0,(CONTADORES!AG246-CONTADORES!AG245))</f>
        <v>7.3999999999941792</v>
      </c>
      <c r="AK240" s="1479">
        <f ca="1">IF(B240&gt;=$J$5,0,(CONTADORES!O246-CONTADORES!O245))</f>
        <v>12</v>
      </c>
      <c r="AL240" s="1500">
        <f t="shared" ca="1" si="105"/>
        <v>35.500000000003581</v>
      </c>
      <c r="AM240" s="1450">
        <f ca="1">IF(B240&gt;=$J$5,0,(((CONTADORES!F246-CONTADORES!F245)+(CONTADORES!AO246-CONTADORES!AO245))))-BJ240-AF240-AN240-BM240-BP240-BU240-BS240</f>
        <v>12.256000000002</v>
      </c>
      <c r="AN240" s="1479">
        <f ca="1">IF(B240&gt;=$J$5,0,(CONTADORES!AV246-CONTADORES!AV245)+(CONTADORES!AX246-CONTADORES!AX245)+(CONTADORES!BC246-CONTADORES!BC245))-BS240</f>
        <v>2.8870000000001816</v>
      </c>
      <c r="AO240" s="1440">
        <f ca="1">IF(B240&gt;=$J$5,0,(CONTADORES!AA246-CONTADORES!AA245))</f>
        <v>72</v>
      </c>
      <c r="AP240" s="1440">
        <f ca="1">IF(B240&gt;=$J$5,0,(CONTADORES!V246-CONTADORES!V245))</f>
        <v>148</v>
      </c>
      <c r="AQ240" s="1445">
        <f ca="1">IF(B240&gt;=$J$5,0,(CONTADORES!C246-CONTADORES!C245))</f>
        <v>0</v>
      </c>
      <c r="AR240" s="1440">
        <f ca="1">IF(B240&gt;=$J$5,0,(CONTADORES!BA246-CONTADORES!BA245))</f>
        <v>0</v>
      </c>
      <c r="AS240" s="1479">
        <f ca="1">IF(B240&gt;=$J$5,0,CONTADORES!Q246-CONTADORES!Q245)</f>
        <v>12</v>
      </c>
      <c r="AT240" s="1479">
        <f ca="1">IF(B240&gt;=$J$5,0,(CONTADORES!S246-CONTADORES!S245)+(CONTADORES!AE246-CONTADORES!AE245))</f>
        <v>4.9000000000000057</v>
      </c>
      <c r="AU240" s="1474">
        <f ca="1">IF(B240&gt;=$J$5,0,(CONTADORES!I246-CONTADORES!I245))</f>
        <v>82</v>
      </c>
      <c r="AV240" s="1440">
        <f ca="1">IF(B240&gt;=$J$5,0,(CONTADORES!AT246-CONTADORES!AT245))</f>
        <v>63</v>
      </c>
      <c r="AW240" s="1504">
        <f ca="1">IF(B240&gt;=$J$5,0,(CONTADORES!L246-CONTADORES!L245)+(CONTADORES!AL246-CONTADORES!AL245))</f>
        <v>4.4000000000014552</v>
      </c>
      <c r="AX240" s="1504">
        <f ca="1">IF(B240&gt;=$J$5,0,(CONTADORES!N246-CONTADORES!N245)+(CONTADORES!AJ246-CONTADORES!AJ245))</f>
        <v>28.399999999994179</v>
      </c>
      <c r="AY240" s="1504">
        <f ca="1">IF(B240&gt;=$J$5,0,(CONTADORES!AH246-CONTADORES!AH245))</f>
        <v>5.7000000000043656</v>
      </c>
      <c r="AZ240" s="1504">
        <f ca="1">IF(B240&gt;=$J$5,0,(CONTADORES!P246-CONTADORES!P245))</f>
        <v>9</v>
      </c>
      <c r="BA240" s="1450">
        <f t="shared" ca="1" si="106"/>
        <v>11.391999999999825</v>
      </c>
      <c r="BB240" s="1478">
        <f ca="1">IF(B240&gt;=$J$5,0,(((CONTADORES!G246-CONTADORES!G245)+(CONTADORES!AP246-CONTADORES!AP245)+AR240)-(AV240+BC240)))</f>
        <v>9.9000000000000341</v>
      </c>
      <c r="BC240" s="1479">
        <f ca="1">IF(B240&gt;=$J$5,0,(CONTADORES!AW246-CONTADORES!AW245)+(CONTADORES!AY246-CONTADORES!AY245)+(CONTADORES!BD246-CONTADORES!BD245))</f>
        <v>1.299999999999784</v>
      </c>
      <c r="BD240" s="1438">
        <f t="shared" ca="1" si="107"/>
        <v>220</v>
      </c>
      <c r="BE240" s="1439">
        <f ca="1">IF($B240&gt;=$J$5,0,CONTADORES!$BE246)</f>
        <v>5926.07</v>
      </c>
      <c r="BF240" s="1438">
        <f ca="1">IF($B240&gt;=$J$5,0,CONTADORES!$BF246)</f>
        <v>33589.503508771901</v>
      </c>
      <c r="BG240" s="1438">
        <f ca="1">IF($B240&gt;=$J$5,0,CONTADORES!$BH246)</f>
        <v>5852.5</v>
      </c>
      <c r="BH240" s="1479">
        <f ca="1">IF(B240&gt;=$J$5,0,(CONTADORES!AQ246-CONTADORES!AQ245))</f>
        <v>5</v>
      </c>
      <c r="BI240" s="1479">
        <f ca="1">IF(C240&gt;=$J$5,0,(CONTADORES!AR246-CONTADORES!AR245))</f>
        <v>0</v>
      </c>
      <c r="BJ240" s="1450">
        <f ca="1">IF(B240&gt;=$J$5,0,CONTADORES!BI246-CONTADORES!BI245)/1000</f>
        <v>0</v>
      </c>
      <c r="BK240" s="1450">
        <f ca="1">IF(B240&gt;=$J$5,0,CONTADORES!BJ246-CONTADORES!BJ245)</f>
        <v>0</v>
      </c>
      <c r="BL240" s="1450">
        <f ca="1">IF(B240&gt;=$J$5,0,CONTADORES!BK246-CONTADORES!BK245)</f>
        <v>0</v>
      </c>
      <c r="BM240" s="1450">
        <f ca="1">IF(B240&gt;=$J$5,0,CONTADORES!BL246-CONTADORES!BL245)/1000</f>
        <v>4.9320000000000004</v>
      </c>
      <c r="BN240" s="1450">
        <f ca="1">IF(B240&gt;=$J$5,0,CONTADORES!BM246-CONTADORES!BM245)/1000</f>
        <v>0.46800000000000003</v>
      </c>
      <c r="BO240" s="1450">
        <f ca="1">IF(B240&gt;=$J$5,0,CONTADORES!BN246-CONTADORES!BN245)</f>
        <v>24</v>
      </c>
      <c r="BP240" s="1450">
        <f ca="1">IF(B240&gt;=$J$5,0,CONTADORES!BO246-CONTADORES!BO245)/1000</f>
        <v>3.6120000000000001</v>
      </c>
      <c r="BQ240" s="1450">
        <f ca="1">IF(B240&gt;=$J$5,0,CONTADORES!BP246-CONTADORES!BP245)/1000</f>
        <v>4.5999999999999999E-2</v>
      </c>
      <c r="BR240" s="1450">
        <f ca="1">IF(B240&gt;=$J$5,0,CONTADORES!BQ246-CONTADORES!BQ245)</f>
        <v>24</v>
      </c>
      <c r="BS240" s="1450">
        <f ca="1">IF(B240&gt;=$J$5,0,(CONTADORES!BT246-CONTADORES!BT245)+(CONTADORES!BV246-CONTADORES!BV245))/1000</f>
        <v>1.413</v>
      </c>
      <c r="BT240" s="1450">
        <f ca="1">IF(B240&gt;=$J$5,0,(CONTADORES!BU246-CONTADORES!BU245)+(CONTADORES!BW246-CONTADORES!BW245))/1000</f>
        <v>0.79400000000000004</v>
      </c>
      <c r="BU240" s="1450">
        <f ca="1">IF(B240&gt;=$J$5,0,CONTADORES!BR246-CONTADORES!BR245)</f>
        <v>5.2999999999992724</v>
      </c>
      <c r="BV240" s="1450">
        <f ca="1">IF(B240&gt;=$J$5,0,CONTADORES!BS246-CONTADORES!BS245)</f>
        <v>3.6000000000003638</v>
      </c>
      <c r="BW240" s="1450">
        <f t="shared" ca="1" si="108"/>
        <v>11.428000000000273</v>
      </c>
      <c r="BX240" s="1450">
        <f t="shared" ca="1" si="109"/>
        <v>8.5500000000003809</v>
      </c>
      <c r="BY240" s="1450">
        <f t="shared" ca="1" si="110"/>
        <v>6.1280000000010002</v>
      </c>
      <c r="BZ240" s="1450">
        <f t="shared" ca="1" si="111"/>
        <v>1.1548000000000727</v>
      </c>
      <c r="CA240" s="1450">
        <f t="shared" ca="1" si="112"/>
        <v>6.1280000000010002</v>
      </c>
      <c r="CB240" s="1450">
        <f t="shared" ca="1" si="113"/>
        <v>1.732200000000109</v>
      </c>
      <c r="CC240" s="1450">
        <f t="shared" ca="1" si="114"/>
        <v>2.5678000000000729</v>
      </c>
      <c r="CD240" s="1450">
        <f t="shared" ca="1" si="115"/>
        <v>4.9500000000000171</v>
      </c>
      <c r="CE240" s="1450">
        <f ca="1">IF(B240&gt;=$J$5,0,CONTADORES!BS246-CONTADORES!BS245)</f>
        <v>3.6000000000003638</v>
      </c>
      <c r="CF240" s="1450">
        <f t="shared" ca="1" si="116"/>
        <v>4.9500000000000171</v>
      </c>
      <c r="CG240" s="1450">
        <f t="shared" ca="1" si="117"/>
        <v>0.649999999999892</v>
      </c>
      <c r="CH240" s="1450">
        <f t="shared" ca="1" si="118"/>
        <v>0.649999999999892</v>
      </c>
      <c r="CI240" s="1450">
        <f t="shared" ca="1" si="119"/>
        <v>1.443999999999892</v>
      </c>
      <c r="CJ240" s="1505">
        <f ca="1">IF($B240&gt;=$J$5,0,CONTADORES!$BG246)</f>
        <v>8675.1859264775794</v>
      </c>
      <c r="CK240" s="1384">
        <f>CONTADORES!E246</f>
        <v>0</v>
      </c>
      <c r="CL240" s="1384">
        <f>CONTADORES!BX246</f>
        <v>0</v>
      </c>
    </row>
    <row r="241" spans="2:90">
      <c r="B241" s="410">
        <v>45157</v>
      </c>
      <c r="C241" s="204">
        <f t="shared" ca="1" si="95"/>
        <v>148</v>
      </c>
      <c r="D241" s="202">
        <f ca="1">'CALCULO DE GAS'!P56</f>
        <v>3.9194225991812877</v>
      </c>
      <c r="E241" s="202">
        <f ca="1">IF(B241&gt;=$J$5,0,(CONTADORES!$AB247-CONTADORES!$AB246)-$H241)</f>
        <v>24</v>
      </c>
      <c r="F241" s="204">
        <f t="shared" ca="1" si="121"/>
        <v>0</v>
      </c>
      <c r="G241" s="212">
        <f ca="1">IF(B241&gt;=$J$5,0,CONTADORES!$AD247-CONTADORES!$AD246)</f>
        <v>0</v>
      </c>
      <c r="H241" s="212">
        <f ca="1">IF(G241&gt;0,CONTADORES!$AC247-CONTADORES!$AC246,0)</f>
        <v>0</v>
      </c>
      <c r="I241" s="214">
        <f ca="1">IF(B241&gt;=$J$5,0,CONTADORES!$Z247-CONTADORES!$Z246)</f>
        <v>148</v>
      </c>
      <c r="J241" s="204">
        <f t="shared" ca="1" si="96"/>
        <v>314</v>
      </c>
      <c r="K241" s="202">
        <f ca="1">'CALCULO DE GAS'!Q56</f>
        <v>5.6805923301754397</v>
      </c>
      <c r="L241" s="1437">
        <f ca="1">IF(B241&gt;=$J$5,0,(CONTADORES!$W247-CONTADORES!$W246)-$O241)</f>
        <v>24</v>
      </c>
      <c r="M241" s="1437">
        <f t="shared" ca="1" si="122"/>
        <v>0</v>
      </c>
      <c r="N241" s="1437">
        <f ca="1">IF(B241&gt;=$J$5,0,CONTADORES!$Y247-CONTADORES!$Y246)</f>
        <v>0</v>
      </c>
      <c r="O241" s="1437">
        <f ca="1">IF(N241&gt;0,CONTADORES!$X247-CONTADORES!$X246,0)</f>
        <v>0</v>
      </c>
      <c r="P241" s="208">
        <f ca="1">IF(B241&gt;=$J$5,0,CONTADORES!$U247-CONTADORES!$U246)</f>
        <v>314</v>
      </c>
      <c r="Q241" s="208">
        <f ca="1">IF(B241&gt;=$J$5,0,CONTADORES!$B247-CONTADORES!$B246)</f>
        <v>0</v>
      </c>
      <c r="R241" s="202">
        <f t="shared" ca="1" si="97"/>
        <v>0</v>
      </c>
      <c r="S241" s="11">
        <f ca="1">IF(B241&gt;=$J$5,0,CONTADORES!$D247-CONTADORES!$D246)</f>
        <v>0</v>
      </c>
      <c r="T241" s="204">
        <f ca="1">IF(B241&gt;=$J$5,0,CONTADORES!$AZ247-CONTADORES!$AZ246)</f>
        <v>0</v>
      </c>
      <c r="U241" s="202">
        <f t="shared" ca="1" si="123"/>
        <v>0</v>
      </c>
      <c r="V241" s="205">
        <f ca="1">IF(B241&gt;=$J$5,0,CONTADORES!$BB247-CONTADORES!$BB246)</f>
        <v>0</v>
      </c>
      <c r="W241" s="1443">
        <f t="shared" ca="1" si="98"/>
        <v>462</v>
      </c>
      <c r="X241" s="1438">
        <f t="shared" ca="1" si="99"/>
        <v>0</v>
      </c>
      <c r="Y241" s="1439">
        <f t="shared" ca="1" si="100"/>
        <v>462</v>
      </c>
      <c r="Z241" s="1439">
        <f t="shared" ca="1" si="101"/>
        <v>9.6000149293567283</v>
      </c>
      <c r="AA241" s="1439">
        <f t="shared" ca="1" si="102"/>
        <v>0</v>
      </c>
      <c r="AB241" s="1439">
        <f t="shared" ca="1" si="103"/>
        <v>48</v>
      </c>
      <c r="AC241" s="1438">
        <f t="shared" ca="1" si="104"/>
        <v>0</v>
      </c>
      <c r="AD241" s="1450">
        <f ca="1">IF(B241&gt;=$J$5,0,CONTADORES!H247-CONTADORES!H246)</f>
        <v>173</v>
      </c>
      <c r="AE241" s="1479">
        <f ca="1">IF(B241&gt;=$J$5,0,CONTADORES!J247-CONTADORES!J246)</f>
        <v>24</v>
      </c>
      <c r="AF241" s="1479">
        <f ca="1">IF(B241&gt;=$J$5,0,CONTADORES!AS247-CONTADORES!AS246)</f>
        <v>147</v>
      </c>
      <c r="AG241" s="1479">
        <f ca="1">IF(B241&gt;=$J$5,0,CONTADORES!AU247-CONTADORES!AU246)</f>
        <v>24</v>
      </c>
      <c r="AH241" s="1450">
        <f ca="1">IF(B241&gt;=$J$5,0,(CONTADORES!AK247-CONTADORES!AK246)+(CONTADORES!K247-CONTADORES!K246))</f>
        <v>14.100000000000364</v>
      </c>
      <c r="AI241" s="1479">
        <f ca="1">IF(B241&gt;=$J$5,0,(CONTADORES!AI247-CONTADORES!AI246)+(CONTADORES!M247-CONTADORES!M246))</f>
        <v>38.799999999988358</v>
      </c>
      <c r="AJ241" s="1479">
        <f ca="1">IF(B241&gt;=$J$5,0,(CONTADORES!AG247-CONTADORES!AG246))</f>
        <v>9.3000000000029104</v>
      </c>
      <c r="AK241" s="1479">
        <f ca="1">IF(B241&gt;=$J$5,0,(CONTADORES!O247-CONTADORES!O246))</f>
        <v>14</v>
      </c>
      <c r="AL241" s="1500">
        <f t="shared" ca="1" si="105"/>
        <v>35.800000000008367</v>
      </c>
      <c r="AM241" s="1450">
        <f ca="1">IF(B241&gt;=$J$5,0,(((CONTADORES!F247-CONTADORES!F246)+(CONTADORES!AO247-CONTADORES!AO246))))-BJ241-AF241-AN241-BM241-BP241-BU241-BS241</f>
        <v>12.581999999999548</v>
      </c>
      <c r="AN241" s="1479">
        <f ca="1">IF(B241&gt;=$J$5,0,(CONTADORES!AV247-CONTADORES!AV246)+(CONTADORES!AX247-CONTADORES!AX246)+(CONTADORES!BC247-CONTADORES!BC246))-BS241</f>
        <v>2.3599999999997272</v>
      </c>
      <c r="AO241" s="1440">
        <f ca="1">IF(B241&gt;=$J$5,0,(CONTADORES!AA247-CONTADORES!AA246))</f>
        <v>76</v>
      </c>
      <c r="AP241" s="1440">
        <f ca="1">IF(B241&gt;=$J$5,0,(CONTADORES!V247-CONTADORES!V246))</f>
        <v>156</v>
      </c>
      <c r="AQ241" s="1445">
        <f ca="1">IF(B241&gt;=$J$5,0,(CONTADORES!C247-CONTADORES!C246))</f>
        <v>0</v>
      </c>
      <c r="AR241" s="1440">
        <f ca="1">IF(B241&gt;=$J$5,0,(CONTADORES!BA247-CONTADORES!BA246))</f>
        <v>0</v>
      </c>
      <c r="AS241" s="1479">
        <f ca="1">IF(B241&gt;=$J$5,0,CONTADORES!Q247-CONTADORES!Q246)</f>
        <v>6</v>
      </c>
      <c r="AT241" s="1479">
        <f ca="1">IF(B241&gt;=$J$5,0,(CONTADORES!S247-CONTADORES!S246)+(CONTADORES!AE247-CONTADORES!AE246))</f>
        <v>7</v>
      </c>
      <c r="AU241" s="1474">
        <f ca="1">IF(B241&gt;=$J$5,0,(CONTADORES!I247-CONTADORES!I246))</f>
        <v>84</v>
      </c>
      <c r="AV241" s="1440">
        <f ca="1">IF(B241&gt;=$J$5,0,(CONTADORES!AT247-CONTADORES!AT246))</f>
        <v>65</v>
      </c>
      <c r="AW241" s="1504">
        <f ca="1">IF(B241&gt;=$J$5,0,(CONTADORES!L247-CONTADORES!L246)+(CONTADORES!AL247-CONTADORES!AL246))</f>
        <v>5.4000000000014552</v>
      </c>
      <c r="AX241" s="1504">
        <f ca="1">IF(B241&gt;=$J$5,0,(CONTADORES!N247-CONTADORES!N246)+(CONTADORES!AJ247-CONTADORES!AJ246))</f>
        <v>33.200000000004366</v>
      </c>
      <c r="AY241" s="1504">
        <f ca="1">IF(B241&gt;=$J$5,0,(CONTADORES!AH247-CONTADORES!AH246))</f>
        <v>7.0999999999985448</v>
      </c>
      <c r="AZ241" s="1504">
        <f ca="1">IF(B241&gt;=$J$5,0,(CONTADORES!P247-CONTADORES!P246))</f>
        <v>11</v>
      </c>
      <c r="BA241" s="1450">
        <f t="shared" ca="1" si="106"/>
        <v>10.592999999995811</v>
      </c>
      <c r="BB241" s="1478">
        <f ca="1">IF(B241&gt;=$J$5,0,(((CONTADORES!G247-CONTADORES!G246)+(CONTADORES!AP247-CONTADORES!AP246)+AR241)-(AV241+BC241)))</f>
        <v>9.4999999999994316</v>
      </c>
      <c r="BC241" s="1479">
        <f ca="1">IF(B241&gt;=$J$5,0,(CONTADORES!AW247-CONTADORES!AW246)+(CONTADORES!AY247-CONTADORES!AY246)+(CONTADORES!BD247-CONTADORES!BD246))</f>
        <v>1.1000000000000227</v>
      </c>
      <c r="BD241" s="1438">
        <f t="shared" ca="1" si="107"/>
        <v>232</v>
      </c>
      <c r="BE241" s="1439">
        <f ca="1">IF($B241&gt;=$J$5,0,CONTADORES!$BE247)</f>
        <v>5934.18</v>
      </c>
      <c r="BF241" s="1438">
        <f ca="1">IF($B241&gt;=$J$5,0,CONTADORES!$BF247)</f>
        <v>32667.471929824598</v>
      </c>
      <c r="BG241" s="1438">
        <f ca="1">IF($B241&gt;=$J$5,0,CONTADORES!$BH247)</f>
        <v>6258.14</v>
      </c>
      <c r="BH241" s="1479">
        <f ca="1">IF(B241&gt;=$J$5,0,(CONTADORES!AQ247-CONTADORES!AQ246))</f>
        <v>5</v>
      </c>
      <c r="BI241" s="1479">
        <f ca="1">IF(C241&gt;=$J$5,0,(CONTADORES!AR247-CONTADORES!AR246))</f>
        <v>0</v>
      </c>
      <c r="BJ241" s="1450">
        <f ca="1">IF(B241&gt;=$J$5,0,CONTADORES!BI247-CONTADORES!BI246)/1000</f>
        <v>0</v>
      </c>
      <c r="BK241" s="1450">
        <f ca="1">IF(B241&gt;=$J$5,0,CONTADORES!BJ247-CONTADORES!BJ246)</f>
        <v>0</v>
      </c>
      <c r="BL241" s="1450">
        <f ca="1">IF(B241&gt;=$J$5,0,CONTADORES!BK247-CONTADORES!BK246)</f>
        <v>0</v>
      </c>
      <c r="BM241" s="1450">
        <f ca="1">IF(B241&gt;=$J$5,0,CONTADORES!BL247-CONTADORES!BL246)/1000</f>
        <v>4.8079999999999998</v>
      </c>
      <c r="BN241" s="1450">
        <f ca="1">IF(B241&gt;=$J$5,0,CONTADORES!BM247-CONTADORES!BM246)/1000</f>
        <v>0.60599999999999998</v>
      </c>
      <c r="BO241" s="1450">
        <f ca="1">IF(B241&gt;=$J$5,0,CONTADORES!BN247-CONTADORES!BN246)</f>
        <v>24</v>
      </c>
      <c r="BP241" s="1450">
        <f ca="1">IF(B241&gt;=$J$5,0,CONTADORES!BO247-CONTADORES!BO246)/1000</f>
        <v>3.61</v>
      </c>
      <c r="BQ241" s="1450">
        <f ca="1">IF(B241&gt;=$J$5,0,CONTADORES!BP247-CONTADORES!BP246)/1000</f>
        <v>0.09</v>
      </c>
      <c r="BR241" s="1450">
        <f ca="1">IF(B241&gt;=$J$5,0,CONTADORES!BQ247-CONTADORES!BQ246)</f>
        <v>24</v>
      </c>
      <c r="BS241" s="1450">
        <f ca="1">IF(B241&gt;=$J$5,0,(CONTADORES!BT247-CONTADORES!BT246)+(CONTADORES!BV247-CONTADORES!BV246))/1000</f>
        <v>1.44</v>
      </c>
      <c r="BT241" s="1450">
        <f ca="1">IF(B241&gt;=$J$5,0,(CONTADORES!BU247-CONTADORES!BU246)+(CONTADORES!BW247-CONTADORES!BW246))/1000</f>
        <v>0.81100000000000005</v>
      </c>
      <c r="BU241" s="1450">
        <f ca="1">IF(B241&gt;=$J$5,0,CONTADORES!BR247-CONTADORES!BR246)</f>
        <v>5.2000000000007276</v>
      </c>
      <c r="BV241" s="1450">
        <f ca="1">IF(B241&gt;=$J$5,0,CONTADORES!BS247-CONTADORES!BS246)</f>
        <v>3.6000000000003638</v>
      </c>
      <c r="BW241" s="1450">
        <f t="shared" ca="1" si="108"/>
        <v>11.491000000000501</v>
      </c>
      <c r="BX241" s="1450">
        <f t="shared" ca="1" si="109"/>
        <v>8.3500000000000796</v>
      </c>
      <c r="BY241" s="1450">
        <f t="shared" ca="1" si="110"/>
        <v>6.2909999999997739</v>
      </c>
      <c r="BZ241" s="1450">
        <f t="shared" ca="1" si="111"/>
        <v>0.94399999999989093</v>
      </c>
      <c r="CA241" s="1450">
        <f t="shared" ca="1" si="112"/>
        <v>6.2909999999997739</v>
      </c>
      <c r="CB241" s="1450">
        <f t="shared" ca="1" si="113"/>
        <v>1.4159999999998363</v>
      </c>
      <c r="CC241" s="1450">
        <f t="shared" ca="1" si="114"/>
        <v>2.3839999999998911</v>
      </c>
      <c r="CD241" s="1450">
        <f t="shared" ca="1" si="115"/>
        <v>4.7499999999997158</v>
      </c>
      <c r="CE241" s="1450">
        <f ca="1">IF(B241&gt;=$J$5,0,CONTADORES!BS247-CONTADORES!BS246)</f>
        <v>3.6000000000003638</v>
      </c>
      <c r="CF241" s="1450">
        <f t="shared" ca="1" si="116"/>
        <v>4.7499999999997158</v>
      </c>
      <c r="CG241" s="1450">
        <f t="shared" ca="1" si="117"/>
        <v>0.55000000000001137</v>
      </c>
      <c r="CH241" s="1450">
        <f t="shared" ca="1" si="118"/>
        <v>0.55000000000001137</v>
      </c>
      <c r="CI241" s="1450">
        <f t="shared" ca="1" si="119"/>
        <v>1.3610000000000113</v>
      </c>
      <c r="CJ241" s="1505">
        <f ca="1">IF($B241&gt;=$J$5,0,CONTADORES!$BG247)</f>
        <v>4060.2890966477798</v>
      </c>
      <c r="CK241" s="1384">
        <f>CONTADORES!E247</f>
        <v>0</v>
      </c>
      <c r="CL241" s="1384">
        <f>CONTADORES!BX247</f>
        <v>0</v>
      </c>
    </row>
    <row r="242" spans="2:90">
      <c r="B242" s="410">
        <v>45158</v>
      </c>
      <c r="C242" s="204">
        <f t="shared" ca="1" si="95"/>
        <v>146</v>
      </c>
      <c r="D242" s="202">
        <f ca="1">'CALCULO DE GAS'!P57</f>
        <v>3.8997898506432755</v>
      </c>
      <c r="E242" s="202">
        <f ca="1">IF(B242&gt;=$J$5,0,(CONTADORES!$AB248-CONTADORES!$AB247)-$H242)</f>
        <v>24</v>
      </c>
      <c r="F242" s="204">
        <f t="shared" ca="1" si="121"/>
        <v>0</v>
      </c>
      <c r="G242" s="212">
        <f ca="1">IF(B242&gt;=$J$5,0,CONTADORES!$AD248-CONTADORES!$AD247)</f>
        <v>0</v>
      </c>
      <c r="H242" s="212">
        <f ca="1">IF(G242&gt;0,CONTADORES!$AC248-CONTADORES!$AC247,0)</f>
        <v>0</v>
      </c>
      <c r="I242" s="214">
        <f ca="1">IF(B242&gt;=$J$5,0,CONTADORES!$Z248-CONTADORES!$Z247)</f>
        <v>146</v>
      </c>
      <c r="J242" s="204">
        <f t="shared" ca="1" si="96"/>
        <v>300</v>
      </c>
      <c r="K242" s="202">
        <f ca="1">'CALCULO DE GAS'!Q57</f>
        <v>5.5333467161403513</v>
      </c>
      <c r="L242" s="1437">
        <f ca="1">IF(B242&gt;=$J$5,0,(CONTADORES!$W248-CONTADORES!$W247)-$O242)</f>
        <v>24</v>
      </c>
      <c r="M242" s="1437">
        <f t="shared" ca="1" si="122"/>
        <v>0</v>
      </c>
      <c r="N242" s="1437">
        <f ca="1">IF(B242&gt;=$J$5,0,CONTADORES!$Y248-CONTADORES!$Y247)</f>
        <v>0</v>
      </c>
      <c r="O242" s="1437">
        <f ca="1">IF(N242&gt;0,CONTADORES!$X248-CONTADORES!$X247,0)</f>
        <v>0</v>
      </c>
      <c r="P242" s="208">
        <f ca="1">IF(B242&gt;=$J$5,0,CONTADORES!$U248-CONTADORES!$U247)</f>
        <v>300</v>
      </c>
      <c r="Q242" s="208">
        <f ca="1">IF(B242&gt;=$J$5,0,CONTADORES!$B248-CONTADORES!$B247)</f>
        <v>0</v>
      </c>
      <c r="R242" s="202">
        <f t="shared" ca="1" si="97"/>
        <v>0</v>
      </c>
      <c r="S242" s="11">
        <f ca="1">IF(B242&gt;=$J$5,0,CONTADORES!$D248-CONTADORES!$D247)</f>
        <v>0</v>
      </c>
      <c r="T242" s="204">
        <f ca="1">IF(B242&gt;=$J$5,0,CONTADORES!$AZ248-CONTADORES!$AZ247)</f>
        <v>0</v>
      </c>
      <c r="U242" s="202">
        <f t="shared" ca="1" si="123"/>
        <v>0</v>
      </c>
      <c r="V242" s="205">
        <f ca="1">IF(B242&gt;=$J$5,0,CONTADORES!$BB248-CONTADORES!$BB247)</f>
        <v>0</v>
      </c>
      <c r="W242" s="1438">
        <f t="shared" ca="1" si="98"/>
        <v>446</v>
      </c>
      <c r="X242" s="1438">
        <f t="shared" ca="1" si="99"/>
        <v>0</v>
      </c>
      <c r="Y242" s="1439">
        <f t="shared" ca="1" si="100"/>
        <v>446</v>
      </c>
      <c r="Z242" s="1439">
        <f t="shared" ca="1" si="101"/>
        <v>9.4331365667836273</v>
      </c>
      <c r="AA242" s="1439">
        <f t="shared" ca="1" si="102"/>
        <v>0</v>
      </c>
      <c r="AB242" s="1439">
        <f t="shared" ca="1" si="103"/>
        <v>48</v>
      </c>
      <c r="AC242" s="1438">
        <f t="shared" ca="1" si="104"/>
        <v>0</v>
      </c>
      <c r="AD242" s="1450">
        <f ca="1">IF(B242&gt;=$J$5,0,CONTADORES!H248-CONTADORES!H247)</f>
        <v>168</v>
      </c>
      <c r="AE242" s="1479">
        <f ca="1">IF(B242&gt;=$J$5,0,CONTADORES!J248-CONTADORES!J247)</f>
        <v>24</v>
      </c>
      <c r="AF242" s="1479">
        <f ca="1">IF(B242&gt;=$J$5,0,CONTADORES!AS248-CONTADORES!AS247)</f>
        <v>143</v>
      </c>
      <c r="AG242" s="1479">
        <f ca="1">IF(B242&gt;=$J$5,0,CONTADORES!AU248-CONTADORES!AU247)</f>
        <v>24</v>
      </c>
      <c r="AH242" s="1450">
        <f ca="1">IF(B242&gt;=$J$5,0,(CONTADORES!AK248-CONTADORES!AK247)+(CONTADORES!K248-CONTADORES!K247))</f>
        <v>9.500000000001819</v>
      </c>
      <c r="AI242" s="1479">
        <f ca="1">IF(B242&gt;=$J$5,0,(CONTADORES!AI248-CONTADORES!AI247)+(CONTADORES!M248-CONTADORES!M247))</f>
        <v>37.200000000011642</v>
      </c>
      <c r="AJ242" s="1479">
        <f ca="1">IF(B242&gt;=$J$5,0,(CONTADORES!AG248-CONTADORES!AG247))</f>
        <v>10.80000000000291</v>
      </c>
      <c r="AK242" s="1479">
        <f ca="1">IF(B242&gt;=$J$5,0,(CONTADORES!O248-CONTADORES!O247))</f>
        <v>14</v>
      </c>
      <c r="AL242" s="1500">
        <f t="shared" ca="1" si="105"/>
        <v>35.899999999985084</v>
      </c>
      <c r="AM242" s="1450">
        <f ca="1">IF(B242&gt;=$J$5,0,(((CONTADORES!F248-CONTADORES!F247)+(CONTADORES!AO248-CONTADORES!AO247))))-BJ242-AF242-AN242-BM242-BP242-BU242-BS242</f>
        <v>11.341999999999087</v>
      </c>
      <c r="AN242" s="1479">
        <f ca="1">IF(B242&gt;=$J$5,0,(CONTADORES!AV248-CONTADORES!AV247)+(CONTADORES!AX248-CONTADORES!AX247)+(CONTADORES!BC248-CONTADORES!BC247))-BS242</f>
        <v>1.4580000000001818</v>
      </c>
      <c r="AO242" s="1440">
        <f ca="1">IF(B242&gt;=$J$5,0,(CONTADORES!AA248-CONTADORES!AA247))</f>
        <v>68</v>
      </c>
      <c r="AP242" s="1440">
        <f ca="1">IF(B242&gt;=$J$5,0,(CONTADORES!V248-CONTADORES!V247))</f>
        <v>156</v>
      </c>
      <c r="AQ242" s="1445">
        <f ca="1">IF(B242&gt;=$J$5,0,(CONTADORES!C248-CONTADORES!C247))</f>
        <v>0</v>
      </c>
      <c r="AR242" s="1440">
        <f ca="1">IF(B242&gt;=$J$5,0,(CONTADORES!BA248-CONTADORES!BA247))</f>
        <v>0</v>
      </c>
      <c r="AS242" s="1479">
        <f ca="1">IF(B242&gt;=$J$5,0,CONTADORES!Q248-CONTADORES!Q247)</f>
        <v>6</v>
      </c>
      <c r="AT242" s="1479">
        <f ca="1">IF(B242&gt;=$J$5,0,(CONTADORES!S248-CONTADORES!S247)+(CONTADORES!AE248-CONTADORES!AE247))</f>
        <v>6.8000000000000114</v>
      </c>
      <c r="AU242" s="1474">
        <f ca="1">IF(B242&gt;=$J$5,0,(CONTADORES!I248-CONTADORES!I247))</f>
        <v>81</v>
      </c>
      <c r="AV242" s="1440">
        <f ca="1">IF(B242&gt;=$J$5,0,(CONTADORES!AT248-CONTADORES!AT247))</f>
        <v>62</v>
      </c>
      <c r="AW242" s="1504">
        <f ca="1">IF(B242&gt;=$J$5,0,(CONTADORES!L248-CONTADORES!L247)+(CONTADORES!AL248-CONTADORES!AL247))</f>
        <v>3.6999999999970896</v>
      </c>
      <c r="AX242" s="1504">
        <f ca="1">IF(B242&gt;=$J$5,0,(CONTADORES!N248-CONTADORES!N247)+(CONTADORES!AJ248-CONTADORES!AJ247))</f>
        <v>31.900000000001455</v>
      </c>
      <c r="AY242" s="1504">
        <f ca="1">IF(B242&gt;=$J$5,0,(CONTADORES!AH248-CONTADORES!AH247))</f>
        <v>8.1999999999970896</v>
      </c>
      <c r="AZ242" s="1504">
        <f ca="1">IF(B242&gt;=$J$5,0,(CONTADORES!P248-CONTADORES!P247))</f>
        <v>11</v>
      </c>
      <c r="BA242" s="1450">
        <f t="shared" ca="1" si="106"/>
        <v>11.472000000003845</v>
      </c>
      <c r="BB242" s="1478">
        <f ca="1">IF(B242&gt;=$J$5,0,(((CONTADORES!G248-CONTADORES!G247)+(CONTADORES!AP248-CONTADORES!AP247)+AR242)-(AV242+BC242)))</f>
        <v>8.9000000000005457</v>
      </c>
      <c r="BC242" s="1479">
        <f ca="1">IF(B242&gt;=$J$5,0,(CONTADORES!AW248-CONTADORES!AW247)+(CONTADORES!AY248-CONTADORES!AY247)+(CONTADORES!BD248-CONTADORES!BD247))</f>
        <v>0.8000000000001819</v>
      </c>
      <c r="BD242" s="1438">
        <f t="shared" ca="1" si="107"/>
        <v>224</v>
      </c>
      <c r="BE242" s="1439">
        <f ca="1">IF($B242&gt;=$J$5,0,CONTADORES!$BE248)</f>
        <v>6356.59</v>
      </c>
      <c r="BF242" s="1438">
        <f ca="1">IF($B242&gt;=$J$5,0,CONTADORES!$BF248)</f>
        <v>32346.0210526316</v>
      </c>
      <c r="BG242" s="1438">
        <f ca="1">IF($B242&gt;=$J$5,0,CONTADORES!$BH248)</f>
        <v>6249.49</v>
      </c>
      <c r="BH242" s="1479">
        <f ca="1">IF(B242&gt;=$J$5,0,(CONTADORES!AQ248-CONTADORES!AQ247))</f>
        <v>4</v>
      </c>
      <c r="BI242" s="1479">
        <f ca="1">IF(C242&gt;=$J$5,0,(CONTADORES!AR248-CONTADORES!AR247))</f>
        <v>0</v>
      </c>
      <c r="BJ242" s="1450">
        <f ca="1">IF(B242&gt;=$J$5,0,CONTADORES!BI248-CONTADORES!BI247)/1000</f>
        <v>0</v>
      </c>
      <c r="BK242" s="1450">
        <f ca="1">IF(B242&gt;=$J$5,0,CONTADORES!BJ248-CONTADORES!BJ247)</f>
        <v>0</v>
      </c>
      <c r="BL242" s="1450">
        <f ca="1">IF(B242&gt;=$J$5,0,CONTADORES!BK248-CONTADORES!BK247)</f>
        <v>0</v>
      </c>
      <c r="BM242" s="1450">
        <f ca="1">IF(B242&gt;=$J$5,0,CONTADORES!BL248-CONTADORES!BL247)/1000</f>
        <v>4.43</v>
      </c>
      <c r="BN242" s="1450">
        <f ca="1">IF(B242&gt;=$J$5,0,CONTADORES!BM248-CONTADORES!BM247)/1000</f>
        <v>0.55800000000000005</v>
      </c>
      <c r="BO242" s="1450">
        <f ca="1">IF(B242&gt;=$J$5,0,CONTADORES!BN248-CONTADORES!BN247)</f>
        <v>24</v>
      </c>
      <c r="BP242" s="1450">
        <f ca="1">IF(B242&gt;=$J$5,0,CONTADORES!BO248-CONTADORES!BO247)/1000</f>
        <v>4.2279999999999998</v>
      </c>
      <c r="BQ242" s="1450">
        <f ca="1">IF(B242&gt;=$J$5,0,CONTADORES!BP248-CONTADORES!BP247)/1000</f>
        <v>0.52100000000000002</v>
      </c>
      <c r="BR242" s="1450">
        <f ca="1">IF(B242&gt;=$J$5,0,CONTADORES!BQ248-CONTADORES!BQ247)</f>
        <v>24</v>
      </c>
      <c r="BS242" s="1450">
        <f ca="1">IF(B242&gt;=$J$5,0,(CONTADORES!BT248-CONTADORES!BT247)+(CONTADORES!BV248-CONTADORES!BV247))/1000</f>
        <v>1.3420000000000001</v>
      </c>
      <c r="BT242" s="1450">
        <f ca="1">IF(B242&gt;=$J$5,0,(CONTADORES!BU248-CONTADORES!BU247)+(CONTADORES!BW248-CONTADORES!BW247))/1000</f>
        <v>0.749</v>
      </c>
      <c r="BU242" s="1450">
        <f ca="1">IF(B242&gt;=$J$5,0,CONTADORES!BR248-CONTADORES!BR247)</f>
        <v>4.7999999999992724</v>
      </c>
      <c r="BV242" s="1450">
        <f ca="1">IF(B242&gt;=$J$5,0,CONTADORES!BS248-CONTADORES!BS247)</f>
        <v>3.1999999999998181</v>
      </c>
      <c r="BW242" s="1450">
        <f t="shared" ca="1" si="108"/>
        <v>10.470999999998817</v>
      </c>
      <c r="BX242" s="1450">
        <f t="shared" ca="1" si="109"/>
        <v>7.6500000000000909</v>
      </c>
      <c r="BY242" s="1450">
        <f t="shared" ca="1" si="110"/>
        <v>5.6709999999995437</v>
      </c>
      <c r="BZ242" s="1450">
        <f t="shared" ca="1" si="111"/>
        <v>0.58320000000007277</v>
      </c>
      <c r="CA242" s="1450">
        <f t="shared" ca="1" si="112"/>
        <v>5.6709999999995437</v>
      </c>
      <c r="CB242" s="1450">
        <f t="shared" ca="1" si="113"/>
        <v>0.87480000000010905</v>
      </c>
      <c r="CC242" s="1450">
        <f t="shared" ca="1" si="114"/>
        <v>1.9252000000000729</v>
      </c>
      <c r="CD242" s="1450">
        <f t="shared" ca="1" si="115"/>
        <v>4.4500000000002728</v>
      </c>
      <c r="CE242" s="1450">
        <f ca="1">IF(B242&gt;=$J$5,0,CONTADORES!BS248-CONTADORES!BS247)</f>
        <v>3.1999999999998181</v>
      </c>
      <c r="CF242" s="1450">
        <f t="shared" ca="1" si="116"/>
        <v>4.4500000000002728</v>
      </c>
      <c r="CG242" s="1450">
        <f t="shared" ca="1" si="117"/>
        <v>0.40000000000009095</v>
      </c>
      <c r="CH242" s="1450">
        <f t="shared" ca="1" si="118"/>
        <v>0.40000000000009095</v>
      </c>
      <c r="CI242" s="1450">
        <f t="shared" ca="1" si="119"/>
        <v>1.1490000000000911</v>
      </c>
      <c r="CJ242" s="1505">
        <f ca="1">IF($B242&gt;=$J$5,0,CONTADORES!$BG248)</f>
        <v>2707.5034724992802</v>
      </c>
      <c r="CK242" s="1384">
        <f>CONTADORES!E248</f>
        <v>0</v>
      </c>
      <c r="CL242" s="1384">
        <f>CONTADORES!BX248</f>
        <v>0</v>
      </c>
    </row>
    <row r="243" spans="2:90">
      <c r="B243" s="410">
        <v>45159</v>
      </c>
      <c r="C243" s="204">
        <f t="shared" ca="1" si="95"/>
        <v>149</v>
      </c>
      <c r="D243" s="202">
        <f ca="1">'CALCULO DE GAS'!P58</f>
        <v>3.929238973450293</v>
      </c>
      <c r="E243" s="202">
        <f ca="1">IF(B243&gt;=$J$5,0,(CONTADORES!$AB249-CONTADORES!$AB248)-$H243)</f>
        <v>24</v>
      </c>
      <c r="F243" s="204">
        <f t="shared" ca="1" si="121"/>
        <v>0</v>
      </c>
      <c r="G243" s="212">
        <f ca="1">IF(B243&gt;=$J$5,0,CONTADORES!$AD249-CONTADORES!$AD248)</f>
        <v>0</v>
      </c>
      <c r="H243" s="212">
        <f ca="1">IF(G243&gt;0,CONTADORES!$AC249-CONTADORES!$AC248,0)</f>
        <v>0</v>
      </c>
      <c r="I243" s="214">
        <f ca="1">IF(B243&gt;=$J$5,0,CONTADORES!$Z249-CONTADORES!$Z248)</f>
        <v>149</v>
      </c>
      <c r="J243" s="204">
        <f t="shared" ca="1" si="96"/>
        <v>313</v>
      </c>
      <c r="K243" s="202">
        <f ca="1">'CALCULO DE GAS'!Q58</f>
        <v>5.6700747863157899</v>
      </c>
      <c r="L243" s="1437">
        <f ca="1">IF(B243&gt;=$J$5,0,(CONTADORES!$W249-CONTADORES!$W248)-$O243)</f>
        <v>24</v>
      </c>
      <c r="M243" s="1437">
        <f t="shared" ca="1" si="122"/>
        <v>0</v>
      </c>
      <c r="N243" s="1437">
        <f ca="1">IF(B243&gt;=$J$5,0,CONTADORES!$Y249-CONTADORES!$Y248)</f>
        <v>0</v>
      </c>
      <c r="O243" s="1437">
        <f ca="1">IF(N243&gt;0,CONTADORES!$X249-CONTADORES!$X248,0)</f>
        <v>0</v>
      </c>
      <c r="P243" s="208">
        <f ca="1">IF(B243&gt;=$J$5,0,CONTADORES!$U249-CONTADORES!$U248)</f>
        <v>313</v>
      </c>
      <c r="Q243" s="208">
        <f ca="1">IF(B243&gt;=$J$5,0,CONTADORES!$B249-CONTADORES!$B248)</f>
        <v>0</v>
      </c>
      <c r="R243" s="202">
        <f t="shared" ca="1" si="97"/>
        <v>0</v>
      </c>
      <c r="S243" s="11">
        <f ca="1">IF(B243&gt;=$J$5,0,CONTADORES!$D249-CONTADORES!$D248)</f>
        <v>0</v>
      </c>
      <c r="T243" s="204">
        <f ca="1">IF(B243&gt;=$J$5,0,CONTADORES!$AZ249-CONTADORES!$AZ248)</f>
        <v>0</v>
      </c>
      <c r="U243" s="202">
        <f t="shared" ca="1" si="123"/>
        <v>0</v>
      </c>
      <c r="V243" s="205">
        <f ca="1">IF(B243&gt;=$J$5,0,CONTADORES!$BB249-CONTADORES!$BB248)</f>
        <v>0</v>
      </c>
      <c r="W243" s="1438">
        <f t="shared" ca="1" si="98"/>
        <v>462</v>
      </c>
      <c r="X243" s="1438">
        <f t="shared" ca="1" si="99"/>
        <v>0</v>
      </c>
      <c r="Y243" s="1439">
        <f t="shared" ca="1" si="100"/>
        <v>462</v>
      </c>
      <c r="Z243" s="1439">
        <f t="shared" ca="1" si="101"/>
        <v>9.5993137597660834</v>
      </c>
      <c r="AA243" s="1439">
        <f t="shared" ca="1" si="102"/>
        <v>0</v>
      </c>
      <c r="AB243" s="1439">
        <f t="shared" ca="1" si="103"/>
        <v>48</v>
      </c>
      <c r="AC243" s="1438">
        <f t="shared" ca="1" si="104"/>
        <v>0</v>
      </c>
      <c r="AD243" s="1450">
        <f ca="1">IF(B243&gt;=$J$5,0,CONTADORES!H249-CONTADORES!H248)</f>
        <v>172</v>
      </c>
      <c r="AE243" s="1479">
        <f ca="1">IF(B243&gt;=$J$5,0,CONTADORES!J249-CONTADORES!J248)</f>
        <v>24</v>
      </c>
      <c r="AF243" s="1479">
        <f ca="1">IF(B243&gt;=$J$5,0,CONTADORES!AS249-CONTADORES!AS248)</f>
        <v>149</v>
      </c>
      <c r="AG243" s="1479">
        <f ca="1">IF(B243&gt;=$J$5,0,CONTADORES!AU249-CONTADORES!AU248)</f>
        <v>24</v>
      </c>
      <c r="AH243" s="1450">
        <f ca="1">IF(B243&gt;=$J$5,0,(CONTADORES!AK249-CONTADORES!AK248)+(CONTADORES!K249-CONTADORES!K248))</f>
        <v>11.599999999998545</v>
      </c>
      <c r="AI243" s="1479">
        <f ca="1">IF(B243&gt;=$J$5,0,(CONTADORES!AI249-CONTADORES!AI248)+(CONTADORES!M249-CONTADORES!M248))</f>
        <v>37.799999999988358</v>
      </c>
      <c r="AJ243" s="1479">
        <f ca="1">IF(B243&gt;=$J$5,0,(CONTADORES!AG249-CONTADORES!AG248))</f>
        <v>11.099999999991269</v>
      </c>
      <c r="AK243" s="1479">
        <f ca="1">IF(B243&gt;=$J$5,0,(CONTADORES!O249-CONTADORES!O248))</f>
        <v>13</v>
      </c>
      <c r="AL243" s="1500">
        <f t="shared" ca="1" si="105"/>
        <v>36.000000000021828</v>
      </c>
      <c r="AM243" s="1450">
        <f ca="1">IF(B243&gt;=$J$5,0,(((CONTADORES!F249-CONTADORES!F248)+(CONTADORES!AO249-CONTADORES!AO248))))-BJ243-AF243-AN243-BM243-BP243-BU243-BS243</f>
        <v>11.559999999999828</v>
      </c>
      <c r="AN243" s="1479">
        <f ca="1">IF(B243&gt;=$J$5,0,(CONTADORES!AV249-CONTADORES!AV248)+(CONTADORES!AX249-CONTADORES!AX248)+(CONTADORES!BC249-CONTADORES!BC248))-BS243</f>
        <v>1.372000000000182</v>
      </c>
      <c r="AO243" s="1440">
        <f ca="1">IF(B243&gt;=$J$5,0,(CONTADORES!AA249-CONTADORES!AA248))</f>
        <v>73</v>
      </c>
      <c r="AP243" s="1440">
        <f ca="1">IF(B243&gt;=$J$5,0,(CONTADORES!V249-CONTADORES!V248))</f>
        <v>163</v>
      </c>
      <c r="AQ243" s="1445">
        <f ca="1">IF(B243&gt;=$J$5,0,(CONTADORES!C249-CONTADORES!C248))</f>
        <v>0</v>
      </c>
      <c r="AR243" s="1440">
        <f ca="1">IF(B243&gt;=$J$5,0,(CONTADORES!BA249-CONTADORES!BA248))</f>
        <v>0</v>
      </c>
      <c r="AS243" s="1479">
        <f ca="1">IF(B243&gt;=$J$5,0,CONTADORES!Q249-CONTADORES!Q248)</f>
        <v>6</v>
      </c>
      <c r="AT243" s="1479">
        <f ca="1">IF(B243&gt;=$J$5,0,(CONTADORES!S249-CONTADORES!S248)+(CONTADORES!AE249-CONTADORES!AE248))</f>
        <v>7.0999999999999659</v>
      </c>
      <c r="AU243" s="1474">
        <f ca="1">IF(B243&gt;=$J$5,0,(CONTADORES!I249-CONTADORES!I248))</f>
        <v>84</v>
      </c>
      <c r="AV243" s="1440">
        <f ca="1">IF(B243&gt;=$J$5,0,(CONTADORES!AT249-CONTADORES!AT248))</f>
        <v>64</v>
      </c>
      <c r="AW243" s="1504">
        <f ca="1">IF(B243&gt;=$J$5,0,(CONTADORES!L249-CONTADORES!L248)+(CONTADORES!AL249-CONTADORES!AL248))</f>
        <v>4.5</v>
      </c>
      <c r="AX243" s="1504">
        <f ca="1">IF(B243&gt;=$J$5,0,(CONTADORES!N249-CONTADORES!N248)+(CONTADORES!AJ249-CONTADORES!AJ248))</f>
        <v>32.19999999999709</v>
      </c>
      <c r="AY243" s="1504">
        <f ca="1">IF(B243&gt;=$J$5,0,(CONTADORES!AH249-CONTADORES!AH248))</f>
        <v>8.5</v>
      </c>
      <c r="AZ243" s="1504">
        <f ca="1">IF(B243&gt;=$J$5,0,(CONTADORES!P249-CONTADORES!P248))</f>
        <v>11</v>
      </c>
      <c r="BA243" s="1450">
        <f t="shared" ca="1" si="106"/>
        <v>11.641000000003118</v>
      </c>
      <c r="BB243" s="1478">
        <f ca="1">IF(B243&gt;=$J$5,0,(((CONTADORES!G249-CONTADORES!G248)+(CONTADORES!AP249-CONTADORES!AP248)+AR243)-(AV243+BC243)))</f>
        <v>13.600000000000364</v>
      </c>
      <c r="BC243" s="1479">
        <f ca="1">IF(B243&gt;=$J$5,0,(CONTADORES!AW249-CONTADORES!AW248)+(CONTADORES!AY249-CONTADORES!AY248)+(CONTADORES!BD249-CONTADORES!BD248))</f>
        <v>0.3999999999996362</v>
      </c>
      <c r="BD243" s="1438">
        <f t="shared" ca="1" si="107"/>
        <v>236</v>
      </c>
      <c r="BE243" s="1439">
        <f ca="1">IF($B243&gt;=$J$5,0,CONTADORES!$BE249)</f>
        <v>6145.81</v>
      </c>
      <c r="BF243" s="1438">
        <f ca="1">IF($B243&gt;=$J$5,0,CONTADORES!$BF249)</f>
        <v>32399.0228070175</v>
      </c>
      <c r="BG243" s="1438">
        <f ca="1">IF($B243&gt;=$J$5,0,CONTADORES!$BH249)</f>
        <v>5895.62</v>
      </c>
      <c r="BH243" s="1479">
        <f ca="1">IF(B243&gt;=$J$5,0,(CONTADORES!AQ249-CONTADORES!AQ248))</f>
        <v>4</v>
      </c>
      <c r="BI243" s="1479">
        <f ca="1">IF(C243&gt;=$J$5,0,(CONTADORES!AR249-CONTADORES!AR248))</f>
        <v>0</v>
      </c>
      <c r="BJ243" s="1450">
        <f ca="1">IF(B243&gt;=$J$5,0,CONTADORES!BI249-CONTADORES!BI248)/1000</f>
        <v>1.986</v>
      </c>
      <c r="BK243" s="1450">
        <f ca="1">IF(B243&gt;=$J$5,0,CONTADORES!BJ249-CONTADORES!BJ248)</f>
        <v>1</v>
      </c>
      <c r="BL243" s="1450">
        <f ca="1">IF(B243&gt;=$J$5,0,CONTADORES!BK249-CONTADORES!BK248)</f>
        <v>16.900000000001455</v>
      </c>
      <c r="BM243" s="1450">
        <f ca="1">IF(B243&gt;=$J$5,0,CONTADORES!BL249-CONTADORES!BL248)/1000</f>
        <v>4.5869999999999997</v>
      </c>
      <c r="BN243" s="1450">
        <f ca="1">IF(B243&gt;=$J$5,0,CONTADORES!BM249-CONTADORES!BM248)/1000</f>
        <v>0.71899999999999997</v>
      </c>
      <c r="BO243" s="1450">
        <f ca="1">IF(B243&gt;=$J$5,0,CONTADORES!BN249-CONTADORES!BN248)</f>
        <v>24</v>
      </c>
      <c r="BP243" s="1450">
        <f ca="1">IF(B243&gt;=$J$5,0,CONTADORES!BO249-CONTADORES!BO248)/1000</f>
        <v>5.5670000000000002</v>
      </c>
      <c r="BQ243" s="1450">
        <f ca="1">IF(B243&gt;=$J$5,0,CONTADORES!BP249-CONTADORES!BP248)/1000</f>
        <v>0.438</v>
      </c>
      <c r="BR243" s="1450">
        <f ca="1">IF(B243&gt;=$J$5,0,CONTADORES!BQ249-CONTADORES!BQ248)</f>
        <v>24</v>
      </c>
      <c r="BS243" s="1450">
        <f ca="1">IF(B243&gt;=$J$5,0,(CONTADORES!BT249-CONTADORES!BT248)+(CONTADORES!BV249-CONTADORES!BV248))/1000</f>
        <v>1.4279999999999999</v>
      </c>
      <c r="BT243" s="1450">
        <f ca="1">IF(B243&gt;=$J$5,0,(CONTADORES!BU249-CONTADORES!BU248)+(CONTADORES!BW249-CONTADORES!BW248))/1000</f>
        <v>0.80200000000000005</v>
      </c>
      <c r="BU243" s="1450">
        <f ca="1">IF(B243&gt;=$J$5,0,CONTADORES!BR249-CONTADORES!BR248)</f>
        <v>5</v>
      </c>
      <c r="BV243" s="1450">
        <f ca="1">IF(B243&gt;=$J$5,0,CONTADORES!BS249-CONTADORES!BS248)</f>
        <v>3.1999999999998181</v>
      </c>
      <c r="BW243" s="1450">
        <f t="shared" ca="1" si="108"/>
        <v>10.779999999999914</v>
      </c>
      <c r="BX243" s="1450">
        <f t="shared" ca="1" si="109"/>
        <v>10</v>
      </c>
      <c r="BY243" s="1450">
        <f t="shared" ca="1" si="110"/>
        <v>5.7799999999999141</v>
      </c>
      <c r="BZ243" s="1450">
        <f t="shared" ca="1" si="111"/>
        <v>0.54880000000007279</v>
      </c>
      <c r="CA243" s="1450">
        <f t="shared" ca="1" si="112"/>
        <v>5.7799999999999141</v>
      </c>
      <c r="CB243" s="1450">
        <f t="shared" ca="1" si="113"/>
        <v>0.82320000000010918</v>
      </c>
      <c r="CC243" s="1450">
        <f t="shared" ca="1" si="114"/>
        <v>1.9768000000000727</v>
      </c>
      <c r="CD243" s="1450">
        <f t="shared" ca="1" si="115"/>
        <v>6.8000000000001819</v>
      </c>
      <c r="CE243" s="1450">
        <f ca="1">IF(B243&gt;=$J$5,0,CONTADORES!BS249-CONTADORES!BS248)</f>
        <v>3.1999999999998181</v>
      </c>
      <c r="CF243" s="1450">
        <f t="shared" ca="1" si="116"/>
        <v>6.8000000000001819</v>
      </c>
      <c r="CG243" s="1450">
        <f t="shared" ca="1" si="117"/>
        <v>0.1999999999998181</v>
      </c>
      <c r="CH243" s="1450">
        <f t="shared" ca="1" si="118"/>
        <v>0.1999999999998181</v>
      </c>
      <c r="CI243" s="1450">
        <f t="shared" ca="1" si="119"/>
        <v>1.0019999999998181</v>
      </c>
      <c r="CJ243" s="1505">
        <f ca="1">IF($B243&gt;=$J$5,0,CONTADORES!$BG249)</f>
        <v>2709.5171489746499</v>
      </c>
      <c r="CK243" s="1384">
        <f>CONTADORES!E249</f>
        <v>0</v>
      </c>
      <c r="CL243" s="1384">
        <f>CONTADORES!BX249</f>
        <v>0</v>
      </c>
    </row>
    <row r="244" spans="2:90">
      <c r="B244" s="410">
        <v>45160</v>
      </c>
      <c r="C244" s="204">
        <f t="shared" ca="1" si="95"/>
        <v>148</v>
      </c>
      <c r="D244" s="202">
        <f ca="1">'CALCULO DE GAS'!P59</f>
        <v>3.9194225991812877</v>
      </c>
      <c r="E244" s="202">
        <f ca="1">IF(B244&gt;=$J$5,0,(CONTADORES!$AB250-CONTADORES!$AB249)-$H244)</f>
        <v>24</v>
      </c>
      <c r="F244" s="204">
        <f t="shared" ca="1" si="121"/>
        <v>0</v>
      </c>
      <c r="G244" s="212">
        <f ca="1">IF(B244&gt;=$J$5,0,CONTADORES!$AD250-CONTADORES!$AD249)</f>
        <v>0</v>
      </c>
      <c r="H244" s="212">
        <f ca="1">IF(G244&gt;0,CONTADORES!$AC250-CONTADORES!$AC249,0)</f>
        <v>0</v>
      </c>
      <c r="I244" s="214">
        <f ca="1">IF(B244&gt;=$J$5,0,CONTADORES!$Z250-CONTADORES!$Z249)</f>
        <v>148</v>
      </c>
      <c r="J244" s="204">
        <f t="shared" ca="1" si="96"/>
        <v>322</v>
      </c>
      <c r="K244" s="202">
        <f ca="1">'CALCULO DE GAS'!Q59</f>
        <v>5.7647326810526316</v>
      </c>
      <c r="L244" s="1437">
        <f ca="1">IF(B244&gt;=$J$5,0,(CONTADORES!$W250-CONTADORES!$W249)-$O244)</f>
        <v>24</v>
      </c>
      <c r="M244" s="1437">
        <f t="shared" ca="1" si="122"/>
        <v>0</v>
      </c>
      <c r="N244" s="1437">
        <f ca="1">IF(B244&gt;=$J$5,0,CONTADORES!$Y250-CONTADORES!$Y249)</f>
        <v>0</v>
      </c>
      <c r="O244" s="1437">
        <f ca="1">IF(N244&gt;0,CONTADORES!$X250-CONTADORES!$X249,0)</f>
        <v>0</v>
      </c>
      <c r="P244" s="208">
        <f ca="1">IF(B244&gt;=$J$5,0,CONTADORES!$U250-CONTADORES!$U249)</f>
        <v>322</v>
      </c>
      <c r="Q244" s="208">
        <f ca="1">IF(B244&gt;=$J$5,0,CONTADORES!$B250-CONTADORES!$B249)</f>
        <v>0</v>
      </c>
      <c r="R244" s="202">
        <f t="shared" ca="1" si="97"/>
        <v>0</v>
      </c>
      <c r="S244" s="11">
        <f ca="1">IF(B244&gt;=$J$5,0,CONTADORES!$D250-CONTADORES!$D249)</f>
        <v>0</v>
      </c>
      <c r="T244" s="204">
        <f ca="1">IF(B244&gt;=$J$5,0,CONTADORES!$AZ250-CONTADORES!$AZ249)</f>
        <v>0</v>
      </c>
      <c r="U244" s="202">
        <f t="shared" ca="1" si="123"/>
        <v>0</v>
      </c>
      <c r="V244" s="205">
        <f ca="1">IF(B244&gt;=$J$5,0,CONTADORES!$BB250-CONTADORES!$BB249)</f>
        <v>0</v>
      </c>
      <c r="W244" s="1438">
        <f t="shared" ca="1" si="98"/>
        <v>470</v>
      </c>
      <c r="X244" s="1438">
        <f t="shared" ca="1" si="99"/>
        <v>0</v>
      </c>
      <c r="Y244" s="1439">
        <f t="shared" ca="1" si="100"/>
        <v>470</v>
      </c>
      <c r="Z244" s="1439">
        <f t="shared" ca="1" si="101"/>
        <v>9.6841552802339201</v>
      </c>
      <c r="AA244" s="1439">
        <f t="shared" ca="1" si="102"/>
        <v>0</v>
      </c>
      <c r="AB244" s="1439">
        <f t="shared" ca="1" si="103"/>
        <v>48</v>
      </c>
      <c r="AC244" s="1438">
        <f t="shared" ca="1" si="104"/>
        <v>0</v>
      </c>
      <c r="AD244" s="1450">
        <f ca="1">IF(B244&gt;=$J$5,0,CONTADORES!H250-CONTADORES!H249)</f>
        <v>175</v>
      </c>
      <c r="AE244" s="1479">
        <f ca="1">IF(B244&gt;=$J$5,0,CONTADORES!J250-CONTADORES!J249)</f>
        <v>24</v>
      </c>
      <c r="AF244" s="1479">
        <f ca="1">IF(B244&gt;=$J$5,0,CONTADORES!AS250-CONTADORES!AS249)</f>
        <v>152</v>
      </c>
      <c r="AG244" s="1479">
        <f ca="1">IF(B244&gt;=$J$5,0,CONTADORES!AU250-CONTADORES!AU249)</f>
        <v>24</v>
      </c>
      <c r="AH244" s="1450">
        <f ca="1">IF(B244&gt;=$J$5,0,(CONTADORES!AK250-CONTADORES!AK249)+(CONTADORES!K250-CONTADORES!K249))</f>
        <v>12.5</v>
      </c>
      <c r="AI244" s="1479">
        <f ca="1">IF(B244&gt;=$J$5,0,(CONTADORES!AI250-CONTADORES!AI249)+(CONTADORES!M250-CONTADORES!M249))</f>
        <v>37.5</v>
      </c>
      <c r="AJ244" s="1479">
        <f ca="1">IF(B244&gt;=$J$5,0,(CONTADORES!AG250-CONTADORES!AG249))</f>
        <v>10.900000000008731</v>
      </c>
      <c r="AK244" s="1479">
        <f ca="1">IF(B244&gt;=$J$5,0,(CONTADORES!O250-CONTADORES!O249))</f>
        <v>14</v>
      </c>
      <c r="AL244" s="1500">
        <f t="shared" ca="1" si="105"/>
        <v>35.999999999989029</v>
      </c>
      <c r="AM244" s="1450">
        <f ca="1">IF(B244&gt;=$J$5,0,(((CONTADORES!F250-CONTADORES!F249)+(CONTADORES!AO250-CONTADORES!AO249))))-BJ244-AF244-AN244-BM244-BP244-BU244-BS244</f>
        <v>11.974000000000794</v>
      </c>
      <c r="AN244" s="1479">
        <f ca="1">IF(B244&gt;=$J$5,0,(CONTADORES!AV250-CONTADORES!AV249)+(CONTADORES!AX250-CONTADORES!AX249)+(CONTADORES!BC250-CONTADORES!BC249))-BS244</f>
        <v>3.1349999999999216</v>
      </c>
      <c r="AO244" s="1440">
        <f ca="1">IF(B244&gt;=$J$5,0,(CONTADORES!AA250-CONTADORES!AA249))</f>
        <v>74</v>
      </c>
      <c r="AP244" s="1440">
        <f ca="1">IF(B244&gt;=$J$5,0,(CONTADORES!V250-CONTADORES!V249))</f>
        <v>165</v>
      </c>
      <c r="AQ244" s="1445">
        <f ca="1">IF(B244&gt;=$J$5,0,(CONTADORES!C250-CONTADORES!C249))</f>
        <v>0</v>
      </c>
      <c r="AR244" s="1440">
        <f ca="1">IF(B244&gt;=$J$5,0,(CONTADORES!BA250-CONTADORES!BA249))</f>
        <v>0</v>
      </c>
      <c r="AS244" s="1479">
        <f ca="1">IF(B244&gt;=$J$5,0,CONTADORES!Q250-CONTADORES!Q249)</f>
        <v>7</v>
      </c>
      <c r="AT244" s="1479">
        <f ca="1">IF(B244&gt;=$J$5,0,(CONTADORES!S250-CONTADORES!S249)+(CONTADORES!AE250-CONTADORES!AE249))</f>
        <v>7</v>
      </c>
      <c r="AU244" s="1474">
        <f ca="1">IF(B244&gt;=$J$5,0,(CONTADORES!I250-CONTADORES!I249))</f>
        <v>84</v>
      </c>
      <c r="AV244" s="1440">
        <f ca="1">IF(B244&gt;=$J$5,0,(CONTADORES!AT250-CONTADORES!AT249))</f>
        <v>66</v>
      </c>
      <c r="AW244" s="1504">
        <f ca="1">IF(B244&gt;=$J$5,0,(CONTADORES!L250-CONTADORES!L249)+(CONTADORES!AL250-CONTADORES!AL249))</f>
        <v>4.9000000000023647</v>
      </c>
      <c r="AX244" s="1504">
        <f ca="1">IF(B244&gt;=$J$5,0,(CONTADORES!N250-CONTADORES!N249)+(CONTADORES!AJ250-CONTADORES!AJ249))</f>
        <v>32.19999999999709</v>
      </c>
      <c r="AY244" s="1504">
        <f ca="1">IF(B244&gt;=$J$5,0,(CONTADORES!AH250-CONTADORES!AH249))</f>
        <v>8.4000000000014552</v>
      </c>
      <c r="AZ244" s="1504">
        <f ca="1">IF(B244&gt;=$J$5,0,(CONTADORES!P250-CONTADORES!P249))</f>
        <v>12</v>
      </c>
      <c r="BA244" s="1450">
        <f t="shared" ca="1" si="106"/>
        <v>9.3400000000000034</v>
      </c>
      <c r="BB244" s="1478">
        <f ca="1">IF(B244&gt;=$J$5,0,(((CONTADORES!G250-CONTADORES!G249)+(CONTADORES!AP250-CONTADORES!AP249)+AR244)-(AV244+BC244)))</f>
        <v>15.249999999999204</v>
      </c>
      <c r="BC244" s="1479">
        <f ca="1">IF(B244&gt;=$J$5,0,(CONTADORES!AW250-CONTADORES!AW249)+(CONTADORES!AY250-CONTADORES!AY249)+(CONTADORES!BD250-CONTADORES!BD249))</f>
        <v>1.0500000000000682</v>
      </c>
      <c r="BD244" s="1438">
        <f t="shared" ca="1" si="107"/>
        <v>239</v>
      </c>
      <c r="BE244" s="1439">
        <f ca="1">IF($B244&gt;=$J$5,0,CONTADORES!$BE250)</f>
        <v>6213.68</v>
      </c>
      <c r="BF244" s="1438">
        <f ca="1">IF($B244&gt;=$J$5,0,CONTADORES!$BF250)</f>
        <v>32505.5842105263</v>
      </c>
      <c r="BG244" s="1438">
        <f ca="1">IF($B244&gt;=$J$5,0,CONTADORES!$BH250)</f>
        <v>6296.76</v>
      </c>
      <c r="BH244" s="1479">
        <f ca="1">IF(B244&gt;=$J$5,0,(CONTADORES!AQ250-CONTADORES!AQ249))</f>
        <v>4</v>
      </c>
      <c r="BI244" s="1479">
        <f ca="1">IF(C244&gt;=$J$5,0,(CONTADORES!AR250-CONTADORES!AR249))</f>
        <v>0</v>
      </c>
      <c r="BJ244" s="1450">
        <f ca="1">IF(B244&gt;=$J$5,0,CONTADORES!BI250-CONTADORES!BI249)/1000</f>
        <v>2.8</v>
      </c>
      <c r="BK244" s="1450">
        <f ca="1">IF(B244&gt;=$J$5,0,CONTADORES!BJ250-CONTADORES!BJ249)</f>
        <v>1</v>
      </c>
      <c r="BL244" s="1450">
        <f ca="1">IF(B244&gt;=$J$5,0,CONTADORES!BK250-CONTADORES!BK249)</f>
        <v>24</v>
      </c>
      <c r="BM244" s="1450">
        <f ca="1">IF(B244&gt;=$J$5,0,CONTADORES!BL250-CONTADORES!BL249)/1000</f>
        <v>3.5510000000000002</v>
      </c>
      <c r="BN244" s="1450">
        <f ca="1">IF(B244&gt;=$J$5,0,CONTADORES!BM250-CONTADORES!BM249)/1000</f>
        <v>0.13500000000000001</v>
      </c>
      <c r="BO244" s="1450">
        <f ca="1">IF(B244&gt;=$J$5,0,CONTADORES!BN250-CONTADORES!BN249)</f>
        <v>24</v>
      </c>
      <c r="BP244" s="1450">
        <f ca="1">IF(B244&gt;=$J$5,0,CONTADORES!BO250-CONTADORES!BO249)/1000</f>
        <v>4.6950000000000003</v>
      </c>
      <c r="BQ244" s="1450">
        <f ca="1">IF(B244&gt;=$J$5,0,CONTADORES!BP250-CONTADORES!BP249)/1000</f>
        <v>0.64500000000000002</v>
      </c>
      <c r="BR244" s="1450">
        <f ca="1">IF(B244&gt;=$J$5,0,CONTADORES!BQ250-CONTADORES!BQ249)</f>
        <v>24</v>
      </c>
      <c r="BS244" s="1450">
        <f ca="1">IF(B244&gt;=$J$5,0,(CONTADORES!BT250-CONTADORES!BT249)+(CONTADORES!BV250-CONTADORES!BV249))/1000</f>
        <v>1.5449999999999999</v>
      </c>
      <c r="BT244" s="1450">
        <f ca="1">IF(B244&gt;=$J$5,0,(CONTADORES!BU250-CONTADORES!BU249)+(CONTADORES!BW250-CONTADORES!BW249))/1000</f>
        <v>0.88</v>
      </c>
      <c r="BU244" s="1450">
        <f ca="1">IF(B244&gt;=$J$5,0,CONTADORES!BR250-CONTADORES!BR249)</f>
        <v>4.4000000000014552</v>
      </c>
      <c r="BV244" s="1450">
        <f ca="1">IF(B244&gt;=$J$5,0,CONTADORES!BS250-CONTADORES!BS249)</f>
        <v>3.1999999999998181</v>
      </c>
      <c r="BW244" s="1450">
        <f t="shared" ca="1" si="108"/>
        <v>10.387000000001851</v>
      </c>
      <c r="BX244" s="1450">
        <f t="shared" ca="1" si="109"/>
        <v>10.82499999999942</v>
      </c>
      <c r="BY244" s="1450">
        <f t="shared" ca="1" si="110"/>
        <v>5.9870000000003971</v>
      </c>
      <c r="BZ244" s="1450">
        <f t="shared" ca="1" si="111"/>
        <v>1.2539999999999687</v>
      </c>
      <c r="CA244" s="1450">
        <f t="shared" ca="1" si="112"/>
        <v>5.9870000000003971</v>
      </c>
      <c r="CB244" s="1450">
        <f t="shared" ca="1" si="113"/>
        <v>1.8809999999999529</v>
      </c>
      <c r="CC244" s="1450">
        <f t="shared" ca="1" si="114"/>
        <v>2.7989999999999684</v>
      </c>
      <c r="CD244" s="1450">
        <f t="shared" ca="1" si="115"/>
        <v>7.6249999999996021</v>
      </c>
      <c r="CE244" s="1450">
        <f ca="1">IF(B244&gt;=$J$5,0,CONTADORES!BS250-CONTADORES!BS249)</f>
        <v>3.1999999999998181</v>
      </c>
      <c r="CF244" s="1450">
        <f t="shared" ca="1" si="116"/>
        <v>7.6249999999996021</v>
      </c>
      <c r="CG244" s="1450">
        <f t="shared" ca="1" si="117"/>
        <v>0.52500000000003411</v>
      </c>
      <c r="CH244" s="1450">
        <f t="shared" ca="1" si="118"/>
        <v>0.52500000000003411</v>
      </c>
      <c r="CI244" s="1450">
        <f t="shared" ca="1" si="119"/>
        <v>1.405000000000034</v>
      </c>
      <c r="CJ244" s="1505">
        <f ca="1">IF($B244&gt;=$J$5,0,CONTADORES!$BG250)</f>
        <v>2410.3384467732399</v>
      </c>
      <c r="CK244" s="1384">
        <f>CONTADORES!E250</f>
        <v>0</v>
      </c>
      <c r="CL244" s="1384">
        <f>CONTADORES!BX250</f>
        <v>0</v>
      </c>
    </row>
    <row r="245" spans="2:90">
      <c r="B245" s="410">
        <v>45161</v>
      </c>
      <c r="C245" s="204">
        <f t="shared" ca="1" si="95"/>
        <v>148</v>
      </c>
      <c r="D245" s="202">
        <f ca="1">'CALCULO DE GAS'!P60</f>
        <v>3.9194225991812877</v>
      </c>
      <c r="E245" s="202">
        <f ca="1">IF(B245&gt;=$J$5,0,(CONTADORES!$AB251-CONTADORES!$AB250)-$H245)</f>
        <v>24</v>
      </c>
      <c r="F245" s="204">
        <f t="shared" ca="1" si="121"/>
        <v>0</v>
      </c>
      <c r="G245" s="212">
        <f ca="1">IF(B245&gt;=$J$5,0,CONTADORES!$AD251-CONTADORES!$AD250)</f>
        <v>0</v>
      </c>
      <c r="H245" s="212">
        <f ca="1">IF(G245&gt;0,CONTADORES!$AC251-CONTADORES!$AC250,0)</f>
        <v>0</v>
      </c>
      <c r="I245" s="214">
        <f ca="1">IF(B245&gt;=$J$5,0,CONTADORES!$Z251-CONTADORES!$Z250)</f>
        <v>148</v>
      </c>
      <c r="J245" s="204">
        <f t="shared" ca="1" si="96"/>
        <v>315</v>
      </c>
      <c r="K245" s="202">
        <f ca="1">'CALCULO DE GAS'!Q60</f>
        <v>5.6911098740350887</v>
      </c>
      <c r="L245" s="1437">
        <f ca="1">IF(B245&gt;=$J$5,0,(CONTADORES!$W251-CONTADORES!$W250)-$O245)</f>
        <v>24</v>
      </c>
      <c r="M245" s="1437">
        <f t="shared" ca="1" si="122"/>
        <v>0</v>
      </c>
      <c r="N245" s="1437">
        <f ca="1">IF(B245&gt;=$J$5,0,CONTADORES!$Y251-CONTADORES!$Y250)</f>
        <v>0</v>
      </c>
      <c r="O245" s="1437">
        <f ca="1">IF(N245&gt;0,CONTADORES!$X251-CONTADORES!$X250,0)</f>
        <v>0</v>
      </c>
      <c r="P245" s="208">
        <f ca="1">IF(B245&gt;=$J$5,0,CONTADORES!$U251-CONTADORES!$U250)</f>
        <v>315</v>
      </c>
      <c r="Q245" s="208">
        <f ca="1">IF(B245&gt;=$J$5,0,CONTADORES!$B251-CONTADORES!$B250)</f>
        <v>0</v>
      </c>
      <c r="R245" s="202">
        <f t="shared" ca="1" si="97"/>
        <v>0</v>
      </c>
      <c r="S245" s="11">
        <f ca="1">IF(B245&gt;=$J$5,0,CONTADORES!$D251-CONTADORES!$D250)</f>
        <v>0</v>
      </c>
      <c r="T245" s="204">
        <f ca="1">IF(B245&gt;=$J$5,0,CONTADORES!$AZ251-CONTADORES!$AZ250)</f>
        <v>0.59799999999995634</v>
      </c>
      <c r="U245" s="202">
        <f t="shared" ca="1" si="123"/>
        <v>71.759999999994761</v>
      </c>
      <c r="V245" s="205">
        <f ca="1">IF(B245&gt;=$J$5,0,CONTADORES!$BB251-CONTADORES!$BB250)</f>
        <v>0.75</v>
      </c>
      <c r="W245" s="1438">
        <f t="shared" ca="1" si="98"/>
        <v>463</v>
      </c>
      <c r="X245" s="1438">
        <f t="shared" ca="1" si="99"/>
        <v>0.59799999999995634</v>
      </c>
      <c r="Y245" s="1439">
        <f t="shared" ca="1" si="100"/>
        <v>463.59799999999996</v>
      </c>
      <c r="Z245" s="1439">
        <f t="shared" ca="1" si="101"/>
        <v>9.6105324732163773</v>
      </c>
      <c r="AA245" s="1439">
        <f t="shared" ca="1" si="102"/>
        <v>71.759999999994761</v>
      </c>
      <c r="AB245" s="1439">
        <f t="shared" ca="1" si="103"/>
        <v>48</v>
      </c>
      <c r="AC245" s="1438">
        <f t="shared" ca="1" si="104"/>
        <v>0.75</v>
      </c>
      <c r="AD245" s="1450">
        <f ca="1">IF(B245&gt;=$J$5,0,CONTADORES!H251-CONTADORES!H250)</f>
        <v>170</v>
      </c>
      <c r="AE245" s="1479">
        <f ca="1">IF(B245&gt;=$J$5,0,CONTADORES!J251-CONTADORES!J250)</f>
        <v>24</v>
      </c>
      <c r="AF245" s="1479">
        <f ca="1">IF(B245&gt;=$J$5,0,CONTADORES!AS251-CONTADORES!AS250)</f>
        <v>150</v>
      </c>
      <c r="AG245" s="1479">
        <f ca="1">IF(B245&gt;=$J$5,0,CONTADORES!AU251-CONTADORES!AU250)</f>
        <v>24</v>
      </c>
      <c r="AH245" s="1450">
        <f ca="1">IF(B245&gt;=$J$5,0,(CONTADORES!AK251-CONTADORES!AK250)+(CONTADORES!K251-CONTADORES!K250))</f>
        <v>12.500000000003638</v>
      </c>
      <c r="AI245" s="1479">
        <f ca="1">IF(B245&gt;=$J$5,0,(CONTADORES!AI251-CONTADORES!AI250)+(CONTADORES!M251-CONTADORES!M250))</f>
        <v>37.30000000000291</v>
      </c>
      <c r="AJ245" s="1479">
        <f ca="1">IF(B245&gt;=$J$5,0,(CONTADORES!AG251-CONTADORES!AG250))</f>
        <v>10.69999999999709</v>
      </c>
      <c r="AK245" s="1479">
        <f ca="1">IF(B245&gt;=$J$5,0,(CONTADORES!O251-CONTADORES!O250))</f>
        <v>15</v>
      </c>
      <c r="AL245" s="1500">
        <f t="shared" ca="1" si="105"/>
        <v>37.397999999995591</v>
      </c>
      <c r="AM245" s="1450">
        <f ca="1">IF(B245&gt;=$J$5,0,(((CONTADORES!F251-CONTADORES!F250)+(CONTADORES!AO251-CONTADORES!AO250))))-BJ245-AF245-AN245-BM245-BP245-BU245-BS245</f>
        <v>11.844000000001998</v>
      </c>
      <c r="AN245" s="1479">
        <f ca="1">IF(B245&gt;=$J$5,0,(CONTADORES!AV251-CONTADORES!AV250)+(CONTADORES!AX251-CONTADORES!AX250)+(CONTADORES!BC251-CONTADORES!BC250))-BS245</f>
        <v>1.9430000000001819</v>
      </c>
      <c r="AO245" s="1440">
        <f ca="1">IF(B245&gt;=$J$5,0,(CONTADORES!AA251-CONTADORES!AA250))</f>
        <v>76</v>
      </c>
      <c r="AP245" s="1440">
        <f ca="1">IF(B245&gt;=$J$5,0,(CONTADORES!V251-CONTADORES!V250))</f>
        <v>160</v>
      </c>
      <c r="AQ245" s="1445">
        <f ca="1">IF(B245&gt;=$J$5,0,(CONTADORES!C251-CONTADORES!C250))</f>
        <v>0</v>
      </c>
      <c r="AR245" s="1440">
        <f ca="1">IF(B245&gt;=$J$5,0,(CONTADORES!BA251-CONTADORES!BA250))</f>
        <v>0.22899999999998499</v>
      </c>
      <c r="AS245" s="1479">
        <f ca="1">IF(B245&gt;=$J$5,0,CONTADORES!Q251-CONTADORES!Q250)</f>
        <v>7</v>
      </c>
      <c r="AT245" s="1479">
        <f ca="1">IF(B245&gt;=$J$5,0,(CONTADORES!S251-CONTADORES!S250)+(CONTADORES!AE251-CONTADORES!AE250))</f>
        <v>6.9000000000000341</v>
      </c>
      <c r="AU245" s="1474">
        <f ca="1">IF(B245&gt;=$J$5,0,(CONTADORES!I251-CONTADORES!I250))</f>
        <v>82</v>
      </c>
      <c r="AV245" s="1440">
        <f ca="1">IF(B245&gt;=$J$5,0,(CONTADORES!AT251-CONTADORES!AT250))</f>
        <v>65</v>
      </c>
      <c r="AW245" s="1504">
        <f ca="1">IF(B245&gt;=$J$5,0,(CONTADORES!L251-CONTADORES!L250)+(CONTADORES!AL251-CONTADORES!AL250))</f>
        <v>4.5999999999985448</v>
      </c>
      <c r="AX245" s="1504">
        <f ca="1">IF(B245&gt;=$J$5,0,(CONTADORES!N251-CONTADORES!N250)+(CONTADORES!AJ251-CONTADORES!AJ250))</f>
        <v>32</v>
      </c>
      <c r="AY245" s="1504">
        <f ca="1">IF(B245&gt;=$J$5,0,(CONTADORES!AH251-CONTADORES!AH250))</f>
        <v>8.1999999999970896</v>
      </c>
      <c r="AZ245" s="1504">
        <f ca="1">IF(B245&gt;=$J$5,0,(CONTADORES!P251-CONTADORES!P250))</f>
        <v>11</v>
      </c>
      <c r="BA245" s="1450">
        <f t="shared" ca="1" si="106"/>
        <v>12.104000000003452</v>
      </c>
      <c r="BB245" s="1478">
        <f ca="1">IF(B245&gt;=$J$5,0,(((CONTADORES!G251-CONTADORES!G250)+(CONTADORES!AP251-CONTADORES!AP250)+AR245)-(AV245+BC245)))</f>
        <v>14.22900000000044</v>
      </c>
      <c r="BC245" s="1479">
        <f ca="1">IF(B245&gt;=$J$5,0,(CONTADORES!AW251-CONTADORES!AW250)+(CONTADORES!AY251-CONTADORES!AY250)+(CONTADORES!BD251-CONTADORES!BD250))</f>
        <v>1.4000000000000909</v>
      </c>
      <c r="BD245" s="1438">
        <f t="shared" ca="1" si="107"/>
        <v>236.22899999999998</v>
      </c>
      <c r="BE245" s="1439">
        <f ca="1">IF($B245&gt;=$J$5,0,CONTADORES!$BE251)</f>
        <v>6229.56</v>
      </c>
      <c r="BF245" s="1438">
        <f ca="1">IF($B245&gt;=$J$5,0,CONTADORES!$BF251)</f>
        <v>32601.447368420999</v>
      </c>
      <c r="BG245" s="1438">
        <f ca="1">IF($B245&gt;=$J$5,0,CONTADORES!$BH251)</f>
        <v>5911.64</v>
      </c>
      <c r="BH245" s="1479">
        <f ca="1">IF(B245&gt;=$J$5,0,(CONTADORES!AQ251-CONTADORES!AQ250))</f>
        <v>5</v>
      </c>
      <c r="BI245" s="1479">
        <f ca="1">IF(C245&gt;=$J$5,0,(CONTADORES!AR251-CONTADORES!AR250))</f>
        <v>0</v>
      </c>
      <c r="BJ245" s="1450">
        <f ca="1">IF(B245&gt;=$J$5,0,CONTADORES!BI251-CONTADORES!BI250)/1000</f>
        <v>3</v>
      </c>
      <c r="BK245" s="1450">
        <f ca="1">IF(B245&gt;=$J$5,0,CONTADORES!BJ251-CONTADORES!BJ250)</f>
        <v>1</v>
      </c>
      <c r="BL245" s="1450">
        <f ca="1">IF(B245&gt;=$J$5,0,CONTADORES!BK251-CONTADORES!BK250)</f>
        <v>24</v>
      </c>
      <c r="BM245" s="1450">
        <f ca="1">IF(B245&gt;=$J$5,0,CONTADORES!BL251-CONTADORES!BL250)/1000</f>
        <v>3.7829999999999999</v>
      </c>
      <c r="BN245" s="1450">
        <f ca="1">IF(B245&gt;=$J$5,0,CONTADORES!BM251-CONTADORES!BM250)/1000</f>
        <v>0.21</v>
      </c>
      <c r="BO245" s="1450">
        <f ca="1">IF(B245&gt;=$J$5,0,CONTADORES!BN251-CONTADORES!BN250)</f>
        <v>24</v>
      </c>
      <c r="BP245" s="1450">
        <f ca="1">IF(B245&gt;=$J$5,0,CONTADORES!BO251-CONTADORES!BO250)/1000</f>
        <v>4.673</v>
      </c>
      <c r="BQ245" s="1450">
        <f ca="1">IF(B245&gt;=$J$5,0,CONTADORES!BP251-CONTADORES!BP250)/1000</f>
        <v>0.61899999999999999</v>
      </c>
      <c r="BR245" s="1450">
        <f ca="1">IF(B245&gt;=$J$5,0,CONTADORES!BQ251-CONTADORES!BQ250)</f>
        <v>24</v>
      </c>
      <c r="BS245" s="1450">
        <f ca="1">IF(B245&gt;=$J$5,0,(CONTADORES!BT251-CONTADORES!BT250)+(CONTADORES!BV251-CONTADORES!BV250))/1000</f>
        <v>1.357</v>
      </c>
      <c r="BT245" s="1450">
        <f ca="1">IF(B245&gt;=$J$5,0,(CONTADORES!BU251-CONTADORES!BU250)+(CONTADORES!BW251-CONTADORES!BW250))/1000</f>
        <v>0.76700000000000002</v>
      </c>
      <c r="BU245" s="1450">
        <f ca="1">IF(B245&gt;=$J$5,0,CONTADORES!BR251-CONTADORES!BR250)</f>
        <v>4.0999999999985448</v>
      </c>
      <c r="BV245" s="1450">
        <f ca="1">IF(B245&gt;=$J$5,0,CONTADORES!BS251-CONTADORES!BS250)</f>
        <v>3.1000000000003638</v>
      </c>
      <c r="BW245" s="1450">
        <f t="shared" ca="1" si="108"/>
        <v>10.021999999999544</v>
      </c>
      <c r="BX245" s="1450">
        <f t="shared" ca="1" si="109"/>
        <v>10.214500000000584</v>
      </c>
      <c r="BY245" s="1450">
        <f t="shared" ca="1" si="110"/>
        <v>5.9220000000009989</v>
      </c>
      <c r="BZ245" s="1450">
        <f t="shared" ca="1" si="111"/>
        <v>0.77720000000007283</v>
      </c>
      <c r="CA245" s="1450">
        <f t="shared" ca="1" si="112"/>
        <v>5.9220000000009989</v>
      </c>
      <c r="CB245" s="1450">
        <f t="shared" ca="1" si="113"/>
        <v>1.1658000000001092</v>
      </c>
      <c r="CC245" s="1450">
        <f t="shared" ca="1" si="114"/>
        <v>2.1342000000000727</v>
      </c>
      <c r="CD245" s="1450">
        <f t="shared" ca="1" si="115"/>
        <v>7.1145000000002199</v>
      </c>
      <c r="CE245" s="1450">
        <f ca="1">IF(B245&gt;=$J$5,0,CONTADORES!BS251-CONTADORES!BS250)</f>
        <v>3.1000000000003638</v>
      </c>
      <c r="CF245" s="1450">
        <f t="shared" ca="1" si="116"/>
        <v>7.1145000000002199</v>
      </c>
      <c r="CG245" s="1450">
        <f t="shared" ca="1" si="117"/>
        <v>0.70000000000004547</v>
      </c>
      <c r="CH245" s="1450">
        <f t="shared" ca="1" si="118"/>
        <v>0.70000000000004547</v>
      </c>
      <c r="CI245" s="1450">
        <f t="shared" ca="1" si="119"/>
        <v>1.4670000000000454</v>
      </c>
      <c r="CJ245" s="1505">
        <f ca="1">IF($B245&gt;=$J$5,0,CONTADORES!$BG251)</f>
        <v>2116.07949659104</v>
      </c>
      <c r="CK245" s="1384">
        <f>CONTADORES!E251</f>
        <v>0</v>
      </c>
      <c r="CL245" s="1384">
        <f>CONTADORES!BX251</f>
        <v>1</v>
      </c>
    </row>
    <row r="246" spans="2:90">
      <c r="B246" s="410">
        <v>45162</v>
      </c>
      <c r="C246" s="204">
        <f t="shared" ca="1" si="95"/>
        <v>151</v>
      </c>
      <c r="D246" s="202">
        <f ca="1">'CALCULO DE GAS'!P61</f>
        <v>3.9488717219883052</v>
      </c>
      <c r="E246" s="202">
        <f ca="1">IF(B246&gt;=$J$5,0,(CONTADORES!$AB252-CONTADORES!$AB251)-$H246)</f>
        <v>24</v>
      </c>
      <c r="F246" s="204">
        <f t="shared" ca="1" si="121"/>
        <v>0</v>
      </c>
      <c r="G246" s="212">
        <f ca="1">IF(B246&gt;=$J$5,0,CONTADORES!$AD252-CONTADORES!$AD251)</f>
        <v>0</v>
      </c>
      <c r="H246" s="212">
        <f ca="1">IF(G246&gt;0,CONTADORES!$AC252-CONTADORES!$AC251,0)</f>
        <v>0</v>
      </c>
      <c r="I246" s="214">
        <f ca="1">IF(B246&gt;=$J$5,0,CONTADORES!$Z252-CONTADORES!$Z251)</f>
        <v>151</v>
      </c>
      <c r="J246" s="204">
        <f t="shared" ca="1" si="96"/>
        <v>309</v>
      </c>
      <c r="K246" s="202">
        <f ca="1">'CALCULO DE GAS'!Q61</f>
        <v>5.6280046108771931</v>
      </c>
      <c r="L246" s="1437">
        <f ca="1">IF(B246&gt;=$J$5,0,(CONTADORES!$W252-CONTADORES!$W251)-$O246)</f>
        <v>24</v>
      </c>
      <c r="M246" s="1437">
        <f t="shared" ca="1" si="122"/>
        <v>0</v>
      </c>
      <c r="N246" s="1437">
        <f ca="1">IF(B246&gt;=$J$5,0,CONTADORES!$Y252-CONTADORES!$Y251)</f>
        <v>0</v>
      </c>
      <c r="O246" s="1437">
        <f ca="1">IF(N246&gt;0,CONTADORES!$X252-CONTADORES!$X251,0)</f>
        <v>0</v>
      </c>
      <c r="P246" s="208">
        <f ca="1">IF(B246&gt;=$J$5,0,CONTADORES!$U252-CONTADORES!$U251)</f>
        <v>309</v>
      </c>
      <c r="Q246" s="208">
        <f ca="1">IF(B246&gt;=$J$5,0,CONTADORES!$B252-CONTADORES!$B251)</f>
        <v>0</v>
      </c>
      <c r="R246" s="202">
        <f t="shared" ca="1" si="97"/>
        <v>0</v>
      </c>
      <c r="S246" s="11">
        <f ca="1">IF(B246&gt;=$J$5,0,CONTADORES!$D252-CONTADORES!$D251)</f>
        <v>0</v>
      </c>
      <c r="T246" s="204">
        <f ca="1">IF(B246&gt;=$J$5,0,CONTADORES!$AZ252-CONTADORES!$AZ251)</f>
        <v>0</v>
      </c>
      <c r="U246" s="202">
        <f t="shared" ca="1" si="123"/>
        <v>0</v>
      </c>
      <c r="V246" s="205">
        <f ca="1">IF(B246&gt;=$J$5,0,CONTADORES!$BB252-CONTADORES!$BB251)</f>
        <v>0</v>
      </c>
      <c r="W246" s="1438">
        <f t="shared" ca="1" si="98"/>
        <v>460</v>
      </c>
      <c r="X246" s="1438">
        <f t="shared" ca="1" si="99"/>
        <v>0</v>
      </c>
      <c r="Y246" s="1439">
        <f t="shared" ca="1" si="100"/>
        <v>460</v>
      </c>
      <c r="Z246" s="1439">
        <f t="shared" ca="1" si="101"/>
        <v>9.5768763328654991</v>
      </c>
      <c r="AA246" s="1439">
        <f t="shared" ca="1" si="102"/>
        <v>0</v>
      </c>
      <c r="AB246" s="1439">
        <f t="shared" ca="1" si="103"/>
        <v>48</v>
      </c>
      <c r="AC246" s="1438">
        <f t="shared" ca="1" si="104"/>
        <v>0</v>
      </c>
      <c r="AD246" s="1450">
        <f ca="1">IF(B246&gt;=$J$5,0,CONTADORES!H252-CONTADORES!H251)</f>
        <v>174</v>
      </c>
      <c r="AE246" s="1479">
        <f ca="1">IF(B246&gt;=$J$5,0,CONTADORES!J252-CONTADORES!J251)</f>
        <v>24</v>
      </c>
      <c r="AF246" s="1479">
        <f ca="1">IF(B246&gt;=$J$5,0,CONTADORES!AS252-CONTADORES!AS251)</f>
        <v>152</v>
      </c>
      <c r="AG246" s="1479">
        <f ca="1">IF(B246&gt;=$J$5,0,CONTADORES!AU252-CONTADORES!AU251)</f>
        <v>24</v>
      </c>
      <c r="AH246" s="1450">
        <f ca="1">IF(B246&gt;=$J$5,0,(CONTADORES!AK252-CONTADORES!AK251)+(CONTADORES!K252-CONTADORES!K251))</f>
        <v>1.1000000000003638</v>
      </c>
      <c r="AI246" s="1479">
        <f ca="1">IF(B246&gt;=$J$5,0,(CONTADORES!AI252-CONTADORES!AI251)+(CONTADORES!M252-CONTADORES!M251))</f>
        <v>38</v>
      </c>
      <c r="AJ246" s="1479">
        <f ca="1">IF(B246&gt;=$J$5,0,(CONTADORES!AG252-CONTADORES!AG251))</f>
        <v>10.80000000000291</v>
      </c>
      <c r="AK246" s="1479">
        <f ca="1">IF(B246&gt;=$J$5,0,(CONTADORES!O252-CONTADORES!O251))</f>
        <v>12</v>
      </c>
      <c r="AL246" s="1500">
        <f t="shared" ca="1" si="105"/>
        <v>38.399999999999636</v>
      </c>
      <c r="AM246" s="1450">
        <f ca="1">IF(B246&gt;=$J$5,0,(((CONTADORES!F252-CONTADORES!F251)+(CONTADORES!AO252-CONTADORES!AO251))))-BJ246-AF246-AN246-BM246-BP246-BU246-BS246</f>
        <v>12.601999999996817</v>
      </c>
      <c r="AN246" s="1479">
        <f ca="1">IF(B246&gt;=$J$5,0,(CONTADORES!AV252-CONTADORES!AV251)+(CONTADORES!AX252-CONTADORES!AX251)+(CONTADORES!BC252-CONTADORES!BC251))-BS246</f>
        <v>2.591999999999909</v>
      </c>
      <c r="AO246" s="1440">
        <f ca="1">IF(B246&gt;=$J$5,0,(CONTADORES!AA252-CONTADORES!AA251))</f>
        <v>77</v>
      </c>
      <c r="AP246" s="1440">
        <f ca="1">IF(B246&gt;=$J$5,0,(CONTADORES!V252-CONTADORES!V251))</f>
        <v>158</v>
      </c>
      <c r="AQ246" s="1445">
        <f ca="1">IF(B246&gt;=$J$5,0,(CONTADORES!C252-CONTADORES!C251))</f>
        <v>0</v>
      </c>
      <c r="AR246" s="1440">
        <f ca="1">IF(B246&gt;=$J$5,0,(CONTADORES!BA252-CONTADORES!BA251))</f>
        <v>0</v>
      </c>
      <c r="AS246" s="1479">
        <f ca="1">IF(B246&gt;=$J$5,0,CONTADORES!Q252-CONTADORES!Q251)</f>
        <v>8</v>
      </c>
      <c r="AT246" s="1479">
        <f ca="1">IF(B246&gt;=$J$5,0,(CONTADORES!S252-CONTADORES!S251)+(CONTADORES!AE252-CONTADORES!AE251))</f>
        <v>7</v>
      </c>
      <c r="AU246" s="1474">
        <f ca="1">IF(B246&gt;=$J$5,0,(CONTADORES!I252-CONTADORES!I251))</f>
        <v>84</v>
      </c>
      <c r="AV246" s="1440">
        <f ca="1">IF(B246&gt;=$J$5,0,(CONTADORES!AT252-CONTADORES!AT251))</f>
        <v>65</v>
      </c>
      <c r="AW246" s="1504">
        <f ca="1">IF(B246&gt;=$J$5,0,(CONTADORES!L252-CONTADORES!L251)+(CONTADORES!AL252-CONTADORES!AL251))</f>
        <v>0.40000000000145519</v>
      </c>
      <c r="AX246" s="1504">
        <f ca="1">IF(B246&gt;=$J$5,0,(CONTADORES!N252-CONTADORES!N251)+(CONTADORES!AJ252-CONTADORES!AJ251))</f>
        <v>32.900000000001455</v>
      </c>
      <c r="AY246" s="1504">
        <f ca="1">IF(B246&gt;=$J$5,0,(CONTADORES!AH252-CONTADORES!AH251))</f>
        <v>8.3000000000029104</v>
      </c>
      <c r="AZ246" s="1504">
        <f ca="1">IF(B246&gt;=$J$5,0,(CONTADORES!P252-CONTADORES!P251))</f>
        <v>11</v>
      </c>
      <c r="BA246" s="1450">
        <f t="shared" ca="1" si="106"/>
        <v>10.233999999994751</v>
      </c>
      <c r="BB246" s="1478">
        <f ca="1">IF(B246&gt;=$J$5,0,(((CONTADORES!G252-CONTADORES!G251)+(CONTADORES!AP252-CONTADORES!AP251)+AR246)-(AV246+BC246)))</f>
        <v>16.200000000000159</v>
      </c>
      <c r="BC246" s="1479">
        <f ca="1">IF(B246&gt;=$J$5,0,(CONTADORES!AW252-CONTADORES!AW251)+(CONTADORES!AY252-CONTADORES!AY251)+(CONTADORES!BD252-CONTADORES!BD251))</f>
        <v>1.2999999999998408</v>
      </c>
      <c r="BD246" s="1438">
        <f t="shared" ca="1" si="107"/>
        <v>235</v>
      </c>
      <c r="BE246" s="1439">
        <f ca="1">IF($B246&gt;=$J$5,0,CONTADORES!$BE252)</f>
        <v>5727.61</v>
      </c>
      <c r="BF246" s="1438">
        <f ca="1">IF($B246&gt;=$J$5,0,CONTADORES!$BF252)</f>
        <v>33001.180701754398</v>
      </c>
      <c r="BG246" s="1438">
        <f ca="1">IF($B246&gt;=$J$5,0,CONTADORES!$BH252)</f>
        <v>5816.24</v>
      </c>
      <c r="BH246" s="1479">
        <f ca="1">IF(B246&gt;=$J$5,0,(CONTADORES!AQ252-CONTADORES!AQ251))</f>
        <v>5</v>
      </c>
      <c r="BI246" s="1479">
        <f ca="1">IF(C246&gt;=$J$5,0,(CONTADORES!AR252-CONTADORES!AR251))</f>
        <v>0</v>
      </c>
      <c r="BJ246" s="1450">
        <f ca="1">IF(B246&gt;=$J$5,0,CONTADORES!BI252-CONTADORES!BI251)/1000</f>
        <v>3.5</v>
      </c>
      <c r="BK246" s="1450">
        <f ca="1">IF(B246&gt;=$J$5,0,CONTADORES!BJ252-CONTADORES!BJ251)</f>
        <v>1</v>
      </c>
      <c r="BL246" s="1450">
        <f ca="1">IF(B246&gt;=$J$5,0,CONTADORES!BK252-CONTADORES!BK251)</f>
        <v>24</v>
      </c>
      <c r="BM246" s="1450">
        <f ca="1">IF(B246&gt;=$J$5,0,CONTADORES!BL252-CONTADORES!BL251)/1000</f>
        <v>4.1100000000000003</v>
      </c>
      <c r="BN246" s="1450">
        <f ca="1">IF(B246&gt;=$J$5,0,CONTADORES!BM252-CONTADORES!BM251)/1000</f>
        <v>0.2</v>
      </c>
      <c r="BO246" s="1450">
        <f ca="1">IF(B246&gt;=$J$5,0,CONTADORES!BN252-CONTADORES!BN251)</f>
        <v>24</v>
      </c>
      <c r="BP246" s="1450">
        <f ca="1">IF(B246&gt;=$J$5,0,CONTADORES!BO252-CONTADORES!BO251)/1000</f>
        <v>5.2880000000000003</v>
      </c>
      <c r="BQ246" s="1450">
        <f ca="1">IF(B246&gt;=$J$5,0,CONTADORES!BP252-CONTADORES!BP251)/1000</f>
        <v>0.50900000000000001</v>
      </c>
      <c r="BR246" s="1450">
        <f ca="1">IF(B246&gt;=$J$5,0,CONTADORES!BQ252-CONTADORES!BQ251)</f>
        <v>24</v>
      </c>
      <c r="BS246" s="1450">
        <f ca="1">IF(B246&gt;=$J$5,0,(CONTADORES!BT252-CONTADORES!BT251)+(CONTADORES!BV252-CONTADORES!BV251))/1000</f>
        <v>1.508</v>
      </c>
      <c r="BT246" s="1450">
        <f ca="1">IF(B246&gt;=$J$5,0,(CONTADORES!BU252-CONTADORES!BU251)+(CONTADORES!BW252-CONTADORES!BW251))/1000</f>
        <v>0.85699999999999998</v>
      </c>
      <c r="BU246" s="1450">
        <f ca="1">IF(B246&gt;=$J$5,0,CONTADORES!BR252-CONTADORES!BR251)</f>
        <v>4.1000000000003638</v>
      </c>
      <c r="BV246" s="1450">
        <f ca="1">IF(B246&gt;=$J$5,0,CONTADORES!BS252-CONTADORES!BS251)</f>
        <v>3.0999999999994543</v>
      </c>
      <c r="BW246" s="1450">
        <f t="shared" ca="1" si="108"/>
        <v>10.400999999998772</v>
      </c>
      <c r="BX246" s="1450">
        <f t="shared" ca="1" si="109"/>
        <v>11.199999999999534</v>
      </c>
      <c r="BY246" s="1450">
        <f t="shared" ca="1" si="110"/>
        <v>6.3009999999984085</v>
      </c>
      <c r="BZ246" s="1450">
        <f t="shared" ca="1" si="111"/>
        <v>1.0367999999999638</v>
      </c>
      <c r="CA246" s="1450">
        <f t="shared" ca="1" si="112"/>
        <v>6.3009999999984085</v>
      </c>
      <c r="CB246" s="1450">
        <f t="shared" ca="1" si="113"/>
        <v>1.5551999999999453</v>
      </c>
      <c r="CC246" s="1450">
        <f t="shared" ca="1" si="114"/>
        <v>2.544799999999964</v>
      </c>
      <c r="CD246" s="1450">
        <f t="shared" ca="1" si="115"/>
        <v>8.1000000000000796</v>
      </c>
      <c r="CE246" s="1450">
        <f ca="1">IF(B246&gt;=$J$5,0,CONTADORES!BS252-CONTADORES!BS251)</f>
        <v>3.0999999999994543</v>
      </c>
      <c r="CF246" s="1450">
        <f t="shared" ca="1" si="116"/>
        <v>8.1000000000000796</v>
      </c>
      <c r="CG246" s="1450">
        <f t="shared" ca="1" si="117"/>
        <v>0.64999999999992042</v>
      </c>
      <c r="CH246" s="1450">
        <f t="shared" ca="1" si="118"/>
        <v>0.64999999999992042</v>
      </c>
      <c r="CI246" s="1450">
        <f t="shared" ca="1" si="119"/>
        <v>1.5069999999999204</v>
      </c>
      <c r="CJ246" s="1505">
        <f ca="1">IF($B246&gt;=$J$5,0,CONTADORES!$BG252)</f>
        <v>5377.7764848259203</v>
      </c>
      <c r="CK246" s="1384">
        <f>CONTADORES!E252</f>
        <v>0</v>
      </c>
      <c r="CL246" s="1384">
        <f>CONTADORES!BX252</f>
        <v>0</v>
      </c>
    </row>
    <row r="247" spans="2:90">
      <c r="B247" s="410">
        <v>45163</v>
      </c>
      <c r="C247" s="204">
        <f t="shared" ca="1" si="95"/>
        <v>150</v>
      </c>
      <c r="D247" s="202">
        <f ca="1">'CALCULO DE GAS'!P62</f>
        <v>3.9390553477192993</v>
      </c>
      <c r="E247" s="202">
        <f ca="1">IF(B247&gt;=$J$5,0,(CONTADORES!$AB253-CONTADORES!$AB252)-$H247)</f>
        <v>24</v>
      </c>
      <c r="F247" s="204">
        <f t="shared" ca="1" si="121"/>
        <v>0</v>
      </c>
      <c r="G247" s="212">
        <f ca="1">IF(B247&gt;=$J$5,0,CONTADORES!$AD253-CONTADORES!$AD252)</f>
        <v>0</v>
      </c>
      <c r="H247" s="212">
        <f ca="1">IF(G247&gt;0,CONTADORES!$AC253-CONTADORES!$AC252,0)</f>
        <v>0</v>
      </c>
      <c r="I247" s="214">
        <f ca="1">IF(B247&gt;=$J$5,0,CONTADORES!$Z253-CONTADORES!$Z252)</f>
        <v>150</v>
      </c>
      <c r="J247" s="204">
        <f t="shared" ca="1" si="96"/>
        <v>316</v>
      </c>
      <c r="K247" s="202">
        <f ca="1">'CALCULO DE GAS'!Q62</f>
        <v>5.7016274178947377</v>
      </c>
      <c r="L247" s="1437">
        <f ca="1">IF(B247&gt;=$J$5,0,(CONTADORES!$W253-CONTADORES!$W252)-$O247)</f>
        <v>24</v>
      </c>
      <c r="M247" s="1437">
        <f t="shared" ca="1" si="122"/>
        <v>0</v>
      </c>
      <c r="N247" s="1437">
        <f ca="1">IF(B247&gt;=$J$5,0,CONTADORES!$Y253-CONTADORES!$Y252)</f>
        <v>0</v>
      </c>
      <c r="O247" s="1437">
        <f ca="1">IF(N247&gt;0,CONTADORES!$X253-CONTADORES!$X252,0)</f>
        <v>0</v>
      </c>
      <c r="P247" s="208">
        <f ca="1">IF(B247&gt;=$J$5,0,CONTADORES!$U253-CONTADORES!$U252)</f>
        <v>316</v>
      </c>
      <c r="Q247" s="208">
        <f ca="1">IF(B247&gt;=$J$5,0,CONTADORES!$B253-CONTADORES!$B252)</f>
        <v>0</v>
      </c>
      <c r="R247" s="202">
        <f t="shared" ca="1" si="97"/>
        <v>0</v>
      </c>
      <c r="S247" s="11">
        <f ca="1">IF(B247&gt;=$J$5,0,CONTADORES!$D253-CONTADORES!$D252)</f>
        <v>0</v>
      </c>
      <c r="T247" s="204">
        <f ca="1">IF(B247&gt;=$J$5,0,CONTADORES!$AZ253-CONTADORES!$AZ252)</f>
        <v>0</v>
      </c>
      <c r="U247" s="202">
        <f t="shared" ca="1" si="123"/>
        <v>0</v>
      </c>
      <c r="V247" s="205">
        <f ca="1">IF(B247&gt;=$J$5,0,CONTADORES!$BB253-CONTADORES!$BB252)</f>
        <v>0</v>
      </c>
      <c r="W247" s="1438">
        <f t="shared" ca="1" si="98"/>
        <v>466</v>
      </c>
      <c r="X247" s="1438">
        <f t="shared" ca="1" si="99"/>
        <v>0</v>
      </c>
      <c r="Y247" s="1439">
        <f t="shared" ca="1" si="100"/>
        <v>466</v>
      </c>
      <c r="Z247" s="1439">
        <f t="shared" ca="1" si="101"/>
        <v>9.6406827656140379</v>
      </c>
      <c r="AA247" s="1439">
        <f t="shared" ca="1" si="102"/>
        <v>0</v>
      </c>
      <c r="AB247" s="1439">
        <f t="shared" ca="1" si="103"/>
        <v>48</v>
      </c>
      <c r="AC247" s="1438">
        <f t="shared" ca="1" si="104"/>
        <v>0</v>
      </c>
      <c r="AD247" s="1450">
        <f ca="1">IF(B247&gt;=$J$5,0,CONTADORES!H253-CONTADORES!H252)</f>
        <v>176</v>
      </c>
      <c r="AE247" s="1479">
        <f ca="1">IF(B247&gt;=$J$5,0,CONTADORES!J253-CONTADORES!J252)</f>
        <v>24</v>
      </c>
      <c r="AF247" s="1479">
        <f ca="1">IF(B247&gt;=$J$5,0,CONTADORES!AS253-CONTADORES!AS252)</f>
        <v>152</v>
      </c>
      <c r="AG247" s="1479">
        <f ca="1">IF(B247&gt;=$J$5,0,CONTADORES!AU253-CONTADORES!AU252)</f>
        <v>24</v>
      </c>
      <c r="AH247" s="1450">
        <f ca="1">IF(B247&gt;=$J$5,0,(CONTADORES!AK253-CONTADORES!AK252)+(CONTADORES!K253-CONTADORES!K252))</f>
        <v>14.19999999999709</v>
      </c>
      <c r="AI247" s="1479">
        <f ca="1">IF(B247&gt;=$J$5,0,(CONTADORES!AI253-CONTADORES!AI252)+(CONTADORES!M253-CONTADORES!M252))</f>
        <v>37.19999999999709</v>
      </c>
      <c r="AJ247" s="1479">
        <f ca="1">IF(B247&gt;=$J$5,0,(CONTADORES!AG253-CONTADORES!AG252))</f>
        <v>10.099999999991269</v>
      </c>
      <c r="AK247" s="1479">
        <f ca="1">IF(B247&gt;=$J$5,0,(CONTADORES!O253-CONTADORES!O252))</f>
        <v>13</v>
      </c>
      <c r="AL247" s="1500">
        <f t="shared" ca="1" si="105"/>
        <v>37.800000000013767</v>
      </c>
      <c r="AM247" s="1450">
        <f ca="1">IF(B247&gt;=$J$5,0,(((CONTADORES!F253-CONTADORES!F252)+(CONTADORES!AO253-CONTADORES!AO252))))-BJ247-AF247-AN247-BM247-BP247-BU247-BS247</f>
        <v>8.7570000000003745</v>
      </c>
      <c r="AN247" s="1479">
        <f ca="1">IF(B247&gt;=$J$5,0,(CONTADORES!AV253-CONTADORES!AV252)+(CONTADORES!AX253-CONTADORES!AX252)+(CONTADORES!BC253-CONTADORES!BC252))-BS247</f>
        <v>3.3200000000000003</v>
      </c>
      <c r="AO247" s="1440">
        <f ca="1">IF(B247&gt;=$J$5,0,(CONTADORES!AA253-CONTADORES!AA252))</f>
        <v>69</v>
      </c>
      <c r="AP247" s="1440">
        <f ca="1">IF(B247&gt;=$J$5,0,(CONTADORES!V253-CONTADORES!V252))</f>
        <v>166</v>
      </c>
      <c r="AQ247" s="1445">
        <f ca="1">IF(B247&gt;=$J$5,0,(CONTADORES!C253-CONTADORES!C252))</f>
        <v>0</v>
      </c>
      <c r="AR247" s="1440">
        <f ca="1">IF(B247&gt;=$J$5,0,(CONTADORES!BA253-CONTADORES!BA252))</f>
        <v>0</v>
      </c>
      <c r="AS247" s="1479">
        <f ca="1">IF(B247&gt;=$J$5,0,CONTADORES!Q253-CONTADORES!Q252)</f>
        <v>12</v>
      </c>
      <c r="AT247" s="1479">
        <f ca="1">IF(B247&gt;=$J$5,0,(CONTADORES!S253-CONTADORES!S252)+(CONTADORES!AE253-CONTADORES!AE252))</f>
        <v>4.6999999999999886</v>
      </c>
      <c r="AU247" s="1474">
        <f ca="1">IF(B247&gt;=$J$5,0,(CONTADORES!I253-CONTADORES!I252))</f>
        <v>84</v>
      </c>
      <c r="AV247" s="1440">
        <f ca="1">IF(B247&gt;=$J$5,0,(CONTADORES!AT253-CONTADORES!AT252))</f>
        <v>66</v>
      </c>
      <c r="AW247" s="1504">
        <f ca="1">IF(B247&gt;=$J$5,0,(CONTADORES!L253-CONTADORES!L252)+(CONTADORES!AL253-CONTADORES!AL252))</f>
        <v>5.5999999999985448</v>
      </c>
      <c r="AX247" s="1504">
        <f ca="1">IF(B247&gt;=$J$5,0,(CONTADORES!N253-CONTADORES!N252)+(CONTADORES!AJ253-CONTADORES!AJ252))</f>
        <v>32</v>
      </c>
      <c r="AY247" s="1504">
        <f ca="1">IF(B247&gt;=$J$5,0,(CONTADORES!AH253-CONTADORES!AH252))</f>
        <v>7.8000000000029104</v>
      </c>
      <c r="AZ247" s="1504">
        <f ca="1">IF(B247&gt;=$J$5,0,(CONTADORES!P253-CONTADORES!P252))</f>
        <v>10</v>
      </c>
      <c r="BA247" s="1450">
        <f t="shared" ca="1" si="106"/>
        <v>13.596999999998559</v>
      </c>
      <c r="BB247" s="1478">
        <f ca="1">IF(B247&gt;=$J$5,0,(((CONTADORES!G253-CONTADORES!G252)+(CONTADORES!AP253-CONTADORES!AP252)+AR247)-(AV247+BC247)))</f>
        <v>9.0999999999997954</v>
      </c>
      <c r="BC247" s="1479">
        <f ca="1">IF(B247&gt;=$J$5,0,(CONTADORES!AW253-CONTADORES!AW252)+(CONTADORES!AY253-CONTADORES!AY252)+(CONTADORES!BD253-CONTADORES!BD252))</f>
        <v>1.6000000000000227</v>
      </c>
      <c r="BD247" s="1438">
        <f t="shared" ca="1" si="107"/>
        <v>235</v>
      </c>
      <c r="BE247" s="1439">
        <f ca="1">IF($B247&gt;=$J$5,0,CONTADORES!$BE253)</f>
        <v>6299.73</v>
      </c>
      <c r="BF247" s="1438">
        <f ca="1">IF($B247&gt;=$J$5,0,CONTADORES!$BF253)</f>
        <v>33531.622807017498</v>
      </c>
      <c r="BG247" s="1438">
        <f ca="1">IF($B247&gt;=$J$5,0,CONTADORES!$BH253)</f>
        <v>5779.73</v>
      </c>
      <c r="BH247" s="1479">
        <f ca="1">IF(B247&gt;=$J$5,0,(CONTADORES!AQ253-CONTADORES!AQ252))</f>
        <v>6</v>
      </c>
      <c r="BI247" s="1479">
        <f ca="1">IF(C247&gt;=$J$5,0,(CONTADORES!AR253-CONTADORES!AR252))</f>
        <v>0</v>
      </c>
      <c r="BJ247" s="1450">
        <f ca="1">IF(B247&gt;=$J$5,0,CONTADORES!BI253-CONTADORES!BI252)/1000</f>
        <v>0.7</v>
      </c>
      <c r="BK247" s="1450">
        <f ca="1">IF(B247&gt;=$J$5,0,CONTADORES!BJ253-CONTADORES!BJ252)</f>
        <v>1</v>
      </c>
      <c r="BL247" s="1450">
        <f ca="1">IF(B247&gt;=$J$5,0,CONTADORES!BK253-CONTADORES!BK252)</f>
        <v>5.0999999999985448</v>
      </c>
      <c r="BM247" s="1450">
        <f ca="1">IF(B247&gt;=$J$5,0,CONTADORES!BL253-CONTADORES!BL252)/1000</f>
        <v>3.16</v>
      </c>
      <c r="BN247" s="1450">
        <f ca="1">IF(B247&gt;=$J$5,0,CONTADORES!BM253-CONTADORES!BM252)/1000</f>
        <v>0.14799999999999999</v>
      </c>
      <c r="BO247" s="1450">
        <f ca="1">IF(B247&gt;=$J$5,0,CONTADORES!BN253-CONTADORES!BN252)</f>
        <v>21.399999999997817</v>
      </c>
      <c r="BP247" s="1450">
        <f ca="1">IF(B247&gt;=$J$5,0,CONTADORES!BO253-CONTADORES!BO252)/1000</f>
        <v>3.4830000000000001</v>
      </c>
      <c r="BQ247" s="1450">
        <f ca="1">IF(B247&gt;=$J$5,0,CONTADORES!BP253-CONTADORES!BP252)/1000</f>
        <v>0.182</v>
      </c>
      <c r="BR247" s="1450">
        <f ca="1">IF(B247&gt;=$J$5,0,CONTADORES!BQ253-CONTADORES!BQ252)</f>
        <v>20.599999999998545</v>
      </c>
      <c r="BS247" s="1450">
        <f ca="1">IF(B247&gt;=$J$5,0,(CONTADORES!BT253-CONTADORES!BT252)+(CONTADORES!BV253-CONTADORES!BV252))/1000</f>
        <v>1.18</v>
      </c>
      <c r="BT247" s="1450">
        <f ca="1">IF(B247&gt;=$J$5,0,(CONTADORES!BU253-CONTADORES!BU252)+(CONTADORES!BW253-CONTADORES!BW252))/1000</f>
        <v>0.67300000000000004</v>
      </c>
      <c r="BU247" s="1450">
        <f ca="1">IF(B247&gt;=$J$5,0,CONTADORES!BR253-CONTADORES!BR252)</f>
        <v>5.1000000000003638</v>
      </c>
      <c r="BV247" s="1450">
        <f ca="1">IF(B247&gt;=$J$5,0,CONTADORES!BS253-CONTADORES!BS252)</f>
        <v>3.3000000000001819</v>
      </c>
      <c r="BW247" s="1450">
        <f t="shared" ca="1" si="108"/>
        <v>9.478500000000551</v>
      </c>
      <c r="BX247" s="1450">
        <f t="shared" ca="1" si="109"/>
        <v>7.8500000000000796</v>
      </c>
      <c r="BY247" s="1450">
        <f t="shared" ca="1" si="110"/>
        <v>4.3785000000001872</v>
      </c>
      <c r="BZ247" s="1450">
        <f t="shared" ca="1" si="111"/>
        <v>1.3280000000000003</v>
      </c>
      <c r="CA247" s="1450">
        <f t="shared" ca="1" si="112"/>
        <v>4.3785000000001872</v>
      </c>
      <c r="CB247" s="1450">
        <f t="shared" ca="1" si="113"/>
        <v>1.992</v>
      </c>
      <c r="CC247" s="1450">
        <f t="shared" ca="1" si="114"/>
        <v>2.508</v>
      </c>
      <c r="CD247" s="1450">
        <f t="shared" ca="1" si="115"/>
        <v>4.5499999999998977</v>
      </c>
      <c r="CE247" s="1450">
        <f ca="1">IF(B247&gt;=$J$5,0,CONTADORES!BS253-CONTADORES!BS252)</f>
        <v>3.3000000000001819</v>
      </c>
      <c r="CF247" s="1450">
        <f t="shared" ca="1" si="116"/>
        <v>4.5499999999998977</v>
      </c>
      <c r="CG247" s="1450">
        <f t="shared" ca="1" si="117"/>
        <v>0.80000000000001137</v>
      </c>
      <c r="CH247" s="1450">
        <f t="shared" ca="1" si="118"/>
        <v>0.80000000000001137</v>
      </c>
      <c r="CI247" s="1450">
        <f t="shared" ca="1" si="119"/>
        <v>1.4730000000000114</v>
      </c>
      <c r="CJ247" s="1505">
        <f ca="1">IF($B247&gt;=$J$5,0,CONTADORES!$BG253)</f>
        <v>9021.7721124321397</v>
      </c>
      <c r="CK247" s="1384">
        <f>CONTADORES!E253</f>
        <v>0</v>
      </c>
      <c r="CL247" s="1384">
        <f>CONTADORES!BX253</f>
        <v>0</v>
      </c>
    </row>
    <row r="248" spans="2:90">
      <c r="B248" s="410">
        <v>45164</v>
      </c>
      <c r="C248" s="204">
        <f t="shared" ca="1" si="95"/>
        <v>335</v>
      </c>
      <c r="D248" s="202">
        <f ca="1">'CALCULO DE GAS'!P63</f>
        <v>5.7550845874853795</v>
      </c>
      <c r="E248" s="202">
        <f ca="1">IF(B248&gt;=$J$5,0,(CONTADORES!$AB254-CONTADORES!$AB253)-$H248)</f>
        <v>24</v>
      </c>
      <c r="F248" s="204">
        <f t="shared" ca="1" si="121"/>
        <v>0</v>
      </c>
      <c r="G248" s="212">
        <f ca="1">IF(B248&gt;=$J$5,0,CONTADORES!$AD254-CONTADORES!$AD253)</f>
        <v>0</v>
      </c>
      <c r="H248" s="212">
        <f ca="1">IF(G248&gt;0,CONTADORES!$AC254-CONTADORES!$AC253,0)</f>
        <v>0</v>
      </c>
      <c r="I248" s="214">
        <f ca="1">IF(B248&gt;=$J$5,0,CONTADORES!$Z254-CONTADORES!$Z253)</f>
        <v>335</v>
      </c>
      <c r="J248" s="204">
        <f t="shared" ca="1" si="96"/>
        <v>103</v>
      </c>
      <c r="K248" s="202">
        <f ca="1">'CALCULO DE GAS'!Q63</f>
        <v>3.4613905757894732</v>
      </c>
      <c r="L248" s="1437">
        <f ca="1">IF(B248&gt;=$J$5,0,(CONTADORES!$W254-CONTADORES!$W253)-$O248)</f>
        <v>11</v>
      </c>
      <c r="M248" s="1437">
        <f t="shared" ca="1" si="122"/>
        <v>0</v>
      </c>
      <c r="N248" s="1437">
        <f ca="1">IF(B248&gt;=$J$5,0,CONTADORES!$Y254-CONTADORES!$Y253)</f>
        <v>0</v>
      </c>
      <c r="O248" s="1437">
        <f ca="1">IF(N248&gt;0,CONTADORES!$X254-CONTADORES!$X253,0)</f>
        <v>0</v>
      </c>
      <c r="P248" s="208">
        <f ca="1">IF(B248&gt;=$J$5,0,CONTADORES!$U254-CONTADORES!$U253)</f>
        <v>103</v>
      </c>
      <c r="Q248" s="208">
        <f ca="1">IF(B248&gt;=$J$5,0,CONTADORES!$B254-CONTADORES!$B253)</f>
        <v>0</v>
      </c>
      <c r="R248" s="202">
        <f t="shared" ca="1" si="97"/>
        <v>0</v>
      </c>
      <c r="S248" s="11">
        <f ca="1">IF(B248&gt;=$J$5,0,CONTADORES!$D254-CONTADORES!$D253)</f>
        <v>0</v>
      </c>
      <c r="T248" s="204">
        <f ca="1">IF(B248&gt;=$J$5,0,CONTADORES!$AZ254-CONTADORES!$AZ253)</f>
        <v>8.1820000000000164</v>
      </c>
      <c r="U248" s="202">
        <f t="shared" ca="1" si="123"/>
        <v>981.84000000000196</v>
      </c>
      <c r="V248" s="205">
        <f ca="1">IF(B248&gt;=$J$5,0,CONTADORES!$BB254-CONTADORES!$BB253)</f>
        <v>11.200000000000045</v>
      </c>
      <c r="W248" s="1438">
        <f t="shared" ca="1" si="98"/>
        <v>438</v>
      </c>
      <c r="X248" s="1438">
        <f t="shared" ca="1" si="99"/>
        <v>8.1820000000000164</v>
      </c>
      <c r="Y248" s="1439">
        <f t="shared" ca="1" si="100"/>
        <v>446.18200000000002</v>
      </c>
      <c r="Z248" s="1439">
        <f t="shared" ca="1" si="101"/>
        <v>9.2164751632748523</v>
      </c>
      <c r="AA248" s="1439">
        <f t="shared" ca="1" si="102"/>
        <v>981.84000000000196</v>
      </c>
      <c r="AB248" s="1439">
        <f t="shared" ca="1" si="103"/>
        <v>35</v>
      </c>
      <c r="AC248" s="1438">
        <f t="shared" ca="1" si="104"/>
        <v>11.200000000000045</v>
      </c>
      <c r="AD248" s="1450">
        <f ca="1">IF(B248&gt;=$J$5,0,CONTADORES!H254-CONTADORES!H253)</f>
        <v>155</v>
      </c>
      <c r="AE248" s="1479">
        <f ca="1">IF(B248&gt;=$J$5,0,CONTADORES!J254-CONTADORES!J253)</f>
        <v>22</v>
      </c>
      <c r="AF248" s="1479">
        <f ca="1">IF(B248&gt;=$J$5,0,CONTADORES!AS254-CONTADORES!AS253)</f>
        <v>155</v>
      </c>
      <c r="AG248" s="1479">
        <f ca="1">IF(B248&gt;=$J$5,0,CONTADORES!AU254-CONTADORES!AU253)</f>
        <v>24</v>
      </c>
      <c r="AH248" s="1450">
        <f ca="1">IF(B248&gt;=$J$5,0,(CONTADORES!AK254-CONTADORES!AK253)+(CONTADORES!K254-CONTADORES!K253))</f>
        <v>11.5</v>
      </c>
      <c r="AI248" s="1479">
        <f ca="1">IF(B248&gt;=$J$5,0,(CONTADORES!AI254-CONTADORES!AI253)+(CONTADORES!M254-CONTADORES!M253))</f>
        <v>36.700000000011642</v>
      </c>
      <c r="AJ248" s="1479">
        <f ca="1">IF(B248&gt;=$J$5,0,(CONTADORES!AG254-CONTADORES!AG253))</f>
        <v>10.80000000000291</v>
      </c>
      <c r="AK248" s="1479">
        <f ca="1">IF(B248&gt;=$J$5,0,(CONTADORES!O254-CONTADORES!O253))</f>
        <v>13</v>
      </c>
      <c r="AL248" s="1500">
        <f t="shared" ca="1" si="105"/>
        <v>42.681999999985408</v>
      </c>
      <c r="AM248" s="1450">
        <f ca="1">IF(B248&gt;=$J$5,0,(((CONTADORES!F254-CONTADORES!F253)+(CONTADORES!AO254-CONTADORES!AO253))))-BJ248-AF248-AN248-BM248-BP248-BU248-BS248</f>
        <v>1.9940000000004505</v>
      </c>
      <c r="AN248" s="1479">
        <f ca="1">IF(B248&gt;=$J$5,0,(CONTADORES!AV254-CONTADORES!AV253)+(CONTADORES!AX254-CONTADORES!AX253)+(CONTADORES!BC254-CONTADORES!BC253))-BS248</f>
        <v>3.5449999999999124</v>
      </c>
      <c r="AO248" s="1440">
        <f ca="1">IF(B248&gt;=$J$5,0,(CONTADORES!AA254-CONTADORES!AA253))</f>
        <v>176</v>
      </c>
      <c r="AP248" s="1440">
        <f ca="1">IF(B248&gt;=$J$5,0,(CONTADORES!V254-CONTADORES!V253))</f>
        <v>52</v>
      </c>
      <c r="AQ248" s="1445">
        <f ca="1">IF(B248&gt;=$J$5,0,(CONTADORES!C254-CONTADORES!C253))</f>
        <v>0</v>
      </c>
      <c r="AR248" s="1440">
        <f ca="1">IF(B248&gt;=$J$5,0,(CONTADORES!BA254-CONTADORES!BA253))</f>
        <v>3.1009999999999991</v>
      </c>
      <c r="AS248" s="1479">
        <f ca="1">IF(B248&gt;=$J$5,0,CONTADORES!Q254-CONTADORES!Q253)</f>
        <v>16</v>
      </c>
      <c r="AT248" s="1479">
        <f ca="1">IF(B248&gt;=$J$5,0,(CONTADORES!S254-CONTADORES!S253)+(CONTADORES!AE254-CONTADORES!AE253))</f>
        <v>3</v>
      </c>
      <c r="AU248" s="1474">
        <f ca="1">IF(B248&gt;=$J$5,0,(CONTADORES!I254-CONTADORES!I253))</f>
        <v>76</v>
      </c>
      <c r="AV248" s="1440">
        <f ca="1">IF(B248&gt;=$J$5,0,(CONTADORES!AT254-CONTADORES!AT253))</f>
        <v>68</v>
      </c>
      <c r="AW248" s="1504">
        <f ca="1">IF(B248&gt;=$J$5,0,(CONTADORES!L254-CONTADORES!L253)+(CONTADORES!AL254-CONTADORES!AL253))</f>
        <v>4.2999999999992724</v>
      </c>
      <c r="AX248" s="1504">
        <f ca="1">IF(B248&gt;=$J$5,0,(CONTADORES!N254-CONTADORES!N253)+(CONTADORES!AJ254-CONTADORES!AJ253))</f>
        <v>31.900000000001455</v>
      </c>
      <c r="AY248" s="1504">
        <f ca="1">IF(B248&gt;=$J$5,0,(CONTADORES!AH254-CONTADORES!AH253))</f>
        <v>8.2999999999956344</v>
      </c>
      <c r="AZ248" s="1504">
        <f ca="1">IF(B248&gt;=$J$5,0,(CONTADORES!P254-CONTADORES!P253))</f>
        <v>11</v>
      </c>
      <c r="BA248" s="1450">
        <f t="shared" ca="1" si="106"/>
        <v>11.361000000003827</v>
      </c>
      <c r="BB248" s="1478">
        <f ca="1">IF(B248&gt;=$J$5,0,(((CONTADORES!G254-CONTADORES!G253)+(CONTADORES!AP254-CONTADORES!AP253)+AR248)-(AV248+BC248)))</f>
        <v>12.850999999999686</v>
      </c>
      <c r="BC248" s="1479">
        <f ca="1">IF(B248&gt;=$J$5,0,(CONTADORES!AW254-CONTADORES!AW253)+(CONTADORES!AY254-CONTADORES!AY253)+(CONTADORES!BD254-CONTADORES!BD253))</f>
        <v>2.1499999999999488</v>
      </c>
      <c r="BD248" s="1438">
        <f t="shared" ca="1" si="107"/>
        <v>231.101</v>
      </c>
      <c r="BE248" s="1439">
        <f ca="1">IF($B248&gt;=$J$5,0,CONTADORES!$BE254)</f>
        <v>5709.04</v>
      </c>
      <c r="BF248" s="1438">
        <f ca="1">IF($B248&gt;=$J$5,0,CONTADORES!$BF254)</f>
        <v>33216.815789473701</v>
      </c>
      <c r="BG248" s="1438">
        <f ca="1">IF($B248&gt;=$J$5,0,CONTADORES!$BH254)</f>
        <v>6189.79</v>
      </c>
      <c r="BH248" s="1479">
        <f ca="1">IF(B248&gt;=$J$5,0,(CONTADORES!AQ254-CONTADORES!AQ253))</f>
        <v>4</v>
      </c>
      <c r="BI248" s="1479">
        <f ca="1">IF(C248&gt;=$J$5,0,(CONTADORES!AR254-CONTADORES!AR253))</f>
        <v>0</v>
      </c>
      <c r="BJ248" s="1450">
        <f ca="1">IF(B248&gt;=$J$5,0,CONTADORES!BI254-CONTADORES!BI253)/1000</f>
        <v>0</v>
      </c>
      <c r="BK248" s="1450">
        <f ca="1">IF(B248&gt;=$J$5,0,CONTADORES!BJ254-CONTADORES!BJ253)</f>
        <v>0</v>
      </c>
      <c r="BL248" s="1450">
        <f ca="1">IF(B248&gt;=$J$5,0,CONTADORES!BK254-CONTADORES!BK253)</f>
        <v>0</v>
      </c>
      <c r="BM248" s="1450">
        <f ca="1">IF(B248&gt;=$J$5,0,CONTADORES!BL254-CONTADORES!BL253)/1000</f>
        <v>3.81</v>
      </c>
      <c r="BN248" s="1450">
        <f ca="1">IF(B248&gt;=$J$5,0,CONTADORES!BM254-CONTADORES!BM253)/1000</f>
        <v>0.18</v>
      </c>
      <c r="BO248" s="1450">
        <f ca="1">IF(B248&gt;=$J$5,0,CONTADORES!BN254-CONTADORES!BN253)</f>
        <v>24</v>
      </c>
      <c r="BP248" s="1450">
        <f ca="1">IF(B248&gt;=$J$5,0,CONTADORES!BO254-CONTADORES!BO253)/1000</f>
        <v>4.6059999999999999</v>
      </c>
      <c r="BQ248" s="1450">
        <f ca="1">IF(B248&gt;=$J$5,0,CONTADORES!BP254-CONTADORES!BP253)/1000</f>
        <v>0.32900000000000001</v>
      </c>
      <c r="BR248" s="1450">
        <f ca="1">IF(B248&gt;=$J$5,0,CONTADORES!BQ254-CONTADORES!BQ253)</f>
        <v>24</v>
      </c>
      <c r="BS248" s="1450">
        <f ca="1">IF(B248&gt;=$J$5,0,(CONTADORES!BT254-CONTADORES!BT253)+(CONTADORES!BV254-CONTADORES!BV253))/1000</f>
        <v>1.645</v>
      </c>
      <c r="BT248" s="1450">
        <f ca="1">IF(B248&gt;=$J$5,0,(CONTADORES!BU254-CONTADORES!BU253)+(CONTADORES!BW254-CONTADORES!BW253))/1000</f>
        <v>0.93</v>
      </c>
      <c r="BU248" s="1450">
        <f ca="1">IF(B248&gt;=$J$5,0,CONTADORES!BR254-CONTADORES!BR253)</f>
        <v>5.8999999999996362</v>
      </c>
      <c r="BV248" s="1450">
        <f ca="1">IF(B248&gt;=$J$5,0,CONTADORES!BS254-CONTADORES!BS253)</f>
        <v>3.8000000000001819</v>
      </c>
      <c r="BW248" s="1450">
        <f t="shared" ca="1" si="108"/>
        <v>6.8969999999998617</v>
      </c>
      <c r="BX248" s="1450">
        <f t="shared" ca="1" si="109"/>
        <v>10.225500000000025</v>
      </c>
      <c r="BY248" s="1450">
        <f t="shared" ca="1" si="110"/>
        <v>0.99700000000022526</v>
      </c>
      <c r="BZ248" s="1450">
        <f t="shared" ca="1" si="111"/>
        <v>1.4179999999999651</v>
      </c>
      <c r="CA248" s="1450">
        <f t="shared" ca="1" si="112"/>
        <v>0.99700000000022526</v>
      </c>
      <c r="CB248" s="1450">
        <f t="shared" ca="1" si="113"/>
        <v>2.1269999999999474</v>
      </c>
      <c r="CC248" s="1450">
        <f t="shared" ca="1" si="114"/>
        <v>3.0629999999999651</v>
      </c>
      <c r="CD248" s="1450">
        <f t="shared" ca="1" si="115"/>
        <v>6.4254999999998432</v>
      </c>
      <c r="CE248" s="1450">
        <f ca="1">IF(B248&gt;=$J$5,0,CONTADORES!BS254-CONTADORES!BS253)</f>
        <v>3.8000000000001819</v>
      </c>
      <c r="CF248" s="1450">
        <f t="shared" ca="1" si="116"/>
        <v>6.4254999999998432</v>
      </c>
      <c r="CG248" s="1450">
        <f t="shared" ca="1" si="117"/>
        <v>1.0749999999999744</v>
      </c>
      <c r="CH248" s="1450">
        <f t="shared" ca="1" si="118"/>
        <v>1.0749999999999744</v>
      </c>
      <c r="CI248" s="1450">
        <f t="shared" ca="1" si="119"/>
        <v>2.0049999999999746</v>
      </c>
      <c r="CJ248" s="1505">
        <f ca="1">IF($B248&gt;=$J$5,0,CONTADORES!$BG254)</f>
        <v>9261.6749858883595</v>
      </c>
      <c r="CK248" s="1384">
        <f>CONTADORES!E254</f>
        <v>0</v>
      </c>
      <c r="CL248" s="1384">
        <f>CONTADORES!BX254</f>
        <v>8</v>
      </c>
    </row>
    <row r="249" spans="2:90">
      <c r="B249" s="410">
        <v>45165</v>
      </c>
      <c r="C249" s="204">
        <f t="shared" ca="1" si="95"/>
        <v>213</v>
      </c>
      <c r="D249" s="202">
        <f ca="1">'CALCULO DE GAS'!P64</f>
        <v>4.5574869266666669</v>
      </c>
      <c r="E249" s="202">
        <f ca="1">IF(B249&gt;=$J$5,0,(CONTADORES!$AB255-CONTADORES!$AB254)-$H249)</f>
        <v>24</v>
      </c>
      <c r="F249" s="204">
        <f t="shared" ca="1" si="121"/>
        <v>0</v>
      </c>
      <c r="G249" s="212">
        <f ca="1">IF(B249&gt;=$J$5,0,CONTADORES!$AD255-CONTADORES!$AD254)</f>
        <v>0</v>
      </c>
      <c r="H249" s="212">
        <f ca="1">IF(G249&gt;0,CONTADORES!$AC255-CONTADORES!$AC254,0)</f>
        <v>0</v>
      </c>
      <c r="I249" s="214">
        <f ca="1">IF(B249&gt;=$J$5,0,CONTADORES!$Z255-CONTADORES!$Z254)</f>
        <v>213</v>
      </c>
      <c r="J249" s="204">
        <f t="shared" ca="1" si="96"/>
        <v>230</v>
      </c>
      <c r="K249" s="202">
        <f ca="1">'CALCULO DE GAS'!Q64</f>
        <v>4.7971186459649129</v>
      </c>
      <c r="L249" s="1437">
        <f ca="1">IF(B249&gt;=$J$5,0,(CONTADORES!$W255-CONTADORES!$W254)-$O249)</f>
        <v>24</v>
      </c>
      <c r="M249" s="1437">
        <f t="shared" ca="1" si="122"/>
        <v>0</v>
      </c>
      <c r="N249" s="1437">
        <f ca="1">IF(B249&gt;=$J$5,0,CONTADORES!$Y255-CONTADORES!$Y254)</f>
        <v>0</v>
      </c>
      <c r="O249" s="1437">
        <f ca="1">IF(N249&gt;0,CONTADORES!$X255-CONTADORES!$X254,0)</f>
        <v>0</v>
      </c>
      <c r="P249" s="208">
        <f ca="1">IF(B249&gt;=$J$5,0,CONTADORES!$U255-CONTADORES!$U254)</f>
        <v>230</v>
      </c>
      <c r="Q249" s="208">
        <f ca="1">IF(B249&gt;=$J$5,0,CONTADORES!$B255-CONTADORES!$B254)</f>
        <v>0</v>
      </c>
      <c r="R249" s="202">
        <f t="shared" ca="1" si="97"/>
        <v>0</v>
      </c>
      <c r="S249" s="11">
        <f ca="1">IF(B249&gt;=$J$5,0,CONTADORES!$D255-CONTADORES!$D254)</f>
        <v>0</v>
      </c>
      <c r="T249" s="204">
        <f ca="1">IF(B249&gt;=$J$5,0,CONTADORES!$AZ255-CONTADORES!$AZ254)</f>
        <v>0</v>
      </c>
      <c r="U249" s="202">
        <f t="shared" ca="1" si="123"/>
        <v>0</v>
      </c>
      <c r="V249" s="205">
        <f ca="1">IF(B249&gt;=$J$5,0,CONTADORES!$BB255-CONTADORES!$BB254)</f>
        <v>0</v>
      </c>
      <c r="W249" s="1438">
        <f t="shared" ca="1" si="98"/>
        <v>443</v>
      </c>
      <c r="X249" s="1438">
        <f t="shared" ca="1" si="99"/>
        <v>0</v>
      </c>
      <c r="Y249" s="1439">
        <f t="shared" ca="1" si="100"/>
        <v>443</v>
      </c>
      <c r="Z249" s="1439">
        <f t="shared" ca="1" si="101"/>
        <v>9.3546055726315807</v>
      </c>
      <c r="AA249" s="1439">
        <f t="shared" ca="1" si="102"/>
        <v>0</v>
      </c>
      <c r="AB249" s="1439">
        <f t="shared" ca="1" si="103"/>
        <v>48</v>
      </c>
      <c r="AC249" s="1438">
        <f t="shared" ca="1" si="104"/>
        <v>0</v>
      </c>
      <c r="AD249" s="1450">
        <f ca="1">IF(B249&gt;=$J$5,0,CONTADORES!H255-CONTADORES!H254)</f>
        <v>161</v>
      </c>
      <c r="AE249" s="1479">
        <f ca="1">IF(B249&gt;=$J$5,0,CONTADORES!J255-CONTADORES!J254)</f>
        <v>24</v>
      </c>
      <c r="AF249" s="1479">
        <f ca="1">IF(B249&gt;=$J$5,0,CONTADORES!AS255-CONTADORES!AS254)</f>
        <v>152</v>
      </c>
      <c r="AG249" s="1479">
        <f ca="1">IF(B249&gt;=$J$5,0,CONTADORES!AU255-CONTADORES!AU254)</f>
        <v>24</v>
      </c>
      <c r="AH249" s="1450">
        <f ca="1">IF(B249&gt;=$J$5,0,(CONTADORES!AK255-CONTADORES!AK254)+(CONTADORES!K255-CONTADORES!K254))</f>
        <v>6.3000000000029104</v>
      </c>
      <c r="AI249" s="1479">
        <f ca="1">IF(B249&gt;=$J$5,0,(CONTADORES!AI255-CONTADORES!AI254)+(CONTADORES!M255-CONTADORES!M254))</f>
        <v>37.399999999994179</v>
      </c>
      <c r="AJ249" s="1479">
        <f ca="1">IF(B249&gt;=$J$5,0,(CONTADORES!AG255-CONTADORES!AG254))</f>
        <v>8.6999999999970896</v>
      </c>
      <c r="AK249" s="1479">
        <f ca="1">IF(B249&gt;=$J$5,0,(CONTADORES!O255-CONTADORES!O254))</f>
        <v>12</v>
      </c>
      <c r="AL249" s="1500">
        <f t="shared" ca="1" si="105"/>
        <v>37.100000000005821</v>
      </c>
      <c r="AM249" s="1450">
        <f ca="1">IF(B249&gt;=$J$5,0,(((CONTADORES!F255-CONTADORES!F254)+(CONTADORES!AO255-CONTADORES!AO254))))-BJ249-AF249-AN249-BM249-BP249-BU249-BS249</f>
        <v>8.6210000000004552</v>
      </c>
      <c r="AN249" s="1479">
        <f ca="1">IF(B249&gt;=$J$5,0,(CONTADORES!AV255-CONTADORES!AV254)+(CONTADORES!AX255-CONTADORES!AX254)+(CONTADORES!BC255-CONTADORES!BC254))-BS249</f>
        <v>4.0329999999995447</v>
      </c>
      <c r="AO249" s="1440">
        <f ca="1">IF(B249&gt;=$J$5,0,(CONTADORES!AA255-CONTADORES!AA254))</f>
        <v>109</v>
      </c>
      <c r="AP249" s="1440">
        <f ca="1">IF(B249&gt;=$J$5,0,(CONTADORES!V255-CONTADORES!V254))</f>
        <v>120</v>
      </c>
      <c r="AQ249" s="1445">
        <f ca="1">IF(B249&gt;=$J$5,0,(CONTADORES!C255-CONTADORES!C254))</f>
        <v>0</v>
      </c>
      <c r="AR249" s="1440">
        <f ca="1">IF(B249&gt;=$J$5,0,(CONTADORES!BA255-CONTADORES!BA254))</f>
        <v>0</v>
      </c>
      <c r="AS249" s="1479">
        <f ca="1">IF(B249&gt;=$J$5,0,CONTADORES!Q255-CONTADORES!Q254)</f>
        <v>15</v>
      </c>
      <c r="AT249" s="1479">
        <f ca="1">IF(B249&gt;=$J$5,0,(CONTADORES!S255-CONTADORES!S254)+(CONTADORES!AE255-CONTADORES!AE254))</f>
        <v>3.3000000000000114</v>
      </c>
      <c r="AU249" s="1474">
        <f ca="1">IF(B249&gt;=$J$5,0,(CONTADORES!I255-CONTADORES!I254))</f>
        <v>81</v>
      </c>
      <c r="AV249" s="1440">
        <f ca="1">IF(B249&gt;=$J$5,0,(CONTADORES!AT255-CONTADORES!AT254))</f>
        <v>65</v>
      </c>
      <c r="AW249" s="1504">
        <f ca="1">IF(B249&gt;=$J$5,0,(CONTADORES!L255-CONTADORES!L254)+(CONTADORES!AL255-CONTADORES!AL254))</f>
        <v>2.4000000000014552</v>
      </c>
      <c r="AX249" s="1504">
        <f ca="1">IF(B249&gt;=$J$5,0,(CONTADORES!N255-CONTADORES!N254)+(CONTADORES!AJ255-CONTADORES!AJ254))</f>
        <v>32.599999999998545</v>
      </c>
      <c r="AY249" s="1504">
        <f ca="1">IF(B249&gt;=$J$5,0,(CONTADORES!AH255-CONTADORES!AH254))</f>
        <v>6.8000000000029104</v>
      </c>
      <c r="AZ249" s="1504">
        <f ca="1">IF(B249&gt;=$J$5,0,(CONTADORES!P255-CONTADORES!P254))</f>
        <v>10</v>
      </c>
      <c r="BA249" s="1450">
        <f t="shared" ca="1" si="106"/>
        <v>9.8509999999965316</v>
      </c>
      <c r="BB249" s="1478">
        <f ca="1">IF(B249&gt;=$J$5,0,(((CONTADORES!G255-CONTADORES!G254)+(CONTADORES!AP255-CONTADORES!AP254)+AR249)-(AV249+BC249)))</f>
        <v>14</v>
      </c>
      <c r="BC249" s="1479">
        <f ca="1">IF(B249&gt;=$J$5,0,(CONTADORES!AW255-CONTADORES!AW254)+(CONTADORES!AY255-CONTADORES!AY254)+(CONTADORES!BD255-CONTADORES!BD254))</f>
        <v>2.1000000000003638</v>
      </c>
      <c r="BD249" s="1438">
        <f t="shared" ca="1" si="107"/>
        <v>229</v>
      </c>
      <c r="BE249" s="1439">
        <f ca="1">IF($B249&gt;=$J$5,0,CONTADORES!$BE255)</f>
        <v>5635.26</v>
      </c>
      <c r="BF249" s="1438">
        <f ca="1">IF($B249&gt;=$J$5,0,CONTADORES!$BF255)</f>
        <v>33674.414035087699</v>
      </c>
      <c r="BG249" s="1438">
        <f ca="1">IF($B249&gt;=$J$5,0,CONTADORES!$BH255)</f>
        <v>6151.42</v>
      </c>
      <c r="BH249" s="1479">
        <f ca="1">IF(B249&gt;=$J$5,0,(CONTADORES!AQ255-CONTADORES!AQ254))</f>
        <v>5</v>
      </c>
      <c r="BI249" s="1479">
        <f ca="1">IF(C249&gt;=$J$5,0,(CONTADORES!AR255-CONTADORES!AR254))</f>
        <v>0</v>
      </c>
      <c r="BJ249" s="1450">
        <f ca="1">IF(B249&gt;=$J$5,0,CONTADORES!BI255-CONTADORES!BI254)/1000</f>
        <v>0</v>
      </c>
      <c r="BK249" s="1450">
        <f ca="1">IF(B249&gt;=$J$5,0,CONTADORES!BJ255-CONTADORES!BJ254)</f>
        <v>0</v>
      </c>
      <c r="BL249" s="1450">
        <f ca="1">IF(B249&gt;=$J$5,0,CONTADORES!BK255-CONTADORES!BK254)</f>
        <v>0</v>
      </c>
      <c r="BM249" s="1450">
        <f ca="1">IF(B249&gt;=$J$5,0,CONTADORES!BL255-CONTADORES!BL254)/1000</f>
        <v>3.766</v>
      </c>
      <c r="BN249" s="1450">
        <f ca="1">IF(B249&gt;=$J$5,0,CONTADORES!BM255-CONTADORES!BM254)/1000</f>
        <v>0.17399999999999999</v>
      </c>
      <c r="BO249" s="1450">
        <f ca="1">IF(B249&gt;=$J$5,0,CONTADORES!BN255-CONTADORES!BN254)</f>
        <v>24</v>
      </c>
      <c r="BP249" s="1450">
        <f ca="1">IF(B249&gt;=$J$5,0,CONTADORES!BO255-CONTADORES!BO254)/1000</f>
        <v>4.6130000000000004</v>
      </c>
      <c r="BQ249" s="1450">
        <f ca="1">IF(B249&gt;=$J$5,0,CONTADORES!BP255-CONTADORES!BP254)/1000</f>
        <v>0.44600000000000001</v>
      </c>
      <c r="BR249" s="1450">
        <f ca="1">IF(B249&gt;=$J$5,0,CONTADORES!BQ255-CONTADORES!BQ254)</f>
        <v>24</v>
      </c>
      <c r="BS249" s="1450">
        <f ca="1">IF(B249&gt;=$J$5,0,(CONTADORES!BT255-CONTADORES!BT254)+(CONTADORES!BV255-CONTADORES!BV254))/1000</f>
        <v>1.4670000000000001</v>
      </c>
      <c r="BT249" s="1450">
        <f ca="1">IF(B249&gt;=$J$5,0,(CONTADORES!BU255-CONTADORES!BU254)+(CONTADORES!BW255-CONTADORES!BW254))/1000</f>
        <v>0.82899999999999996</v>
      </c>
      <c r="BU249" s="1450">
        <f ca="1">IF(B249&gt;=$J$5,0,CONTADORES!BR255-CONTADORES!BR254)</f>
        <v>6</v>
      </c>
      <c r="BV249" s="1450">
        <f ca="1">IF(B249&gt;=$J$5,0,CONTADORES!BS255-CONTADORES!BS254)</f>
        <v>3.8000000000001819</v>
      </c>
      <c r="BW249" s="1450">
        <f t="shared" ca="1" si="108"/>
        <v>10.310500000000228</v>
      </c>
      <c r="BX249" s="1450">
        <f t="shared" ca="1" si="109"/>
        <v>10.800000000000182</v>
      </c>
      <c r="BY249" s="1450">
        <f t="shared" ca="1" si="110"/>
        <v>4.3105000000002276</v>
      </c>
      <c r="BZ249" s="1450">
        <f t="shared" ca="1" si="111"/>
        <v>1.6131999999998179</v>
      </c>
      <c r="CA249" s="1450">
        <f t="shared" ca="1" si="112"/>
        <v>4.3105000000002276</v>
      </c>
      <c r="CB249" s="1450">
        <f t="shared" ca="1" si="113"/>
        <v>2.4197999999997268</v>
      </c>
      <c r="CC249" s="1450">
        <f t="shared" ca="1" si="114"/>
        <v>3.080199999999818</v>
      </c>
      <c r="CD249" s="1450">
        <f t="shared" ca="1" si="115"/>
        <v>7</v>
      </c>
      <c r="CE249" s="1450">
        <f ca="1">IF(B249&gt;=$J$5,0,CONTADORES!BS255-CONTADORES!BS254)</f>
        <v>3.8000000000001819</v>
      </c>
      <c r="CF249" s="1450">
        <f t="shared" ca="1" si="116"/>
        <v>7</v>
      </c>
      <c r="CG249" s="1450">
        <f t="shared" ca="1" si="117"/>
        <v>1.0500000000001819</v>
      </c>
      <c r="CH249" s="1450">
        <f t="shared" ca="1" si="118"/>
        <v>1.0500000000001819</v>
      </c>
      <c r="CI249" s="1450">
        <f t="shared" ca="1" si="119"/>
        <v>1.8790000000001819</v>
      </c>
      <c r="CJ249" s="1505">
        <f ca="1">IF($B249&gt;=$J$5,0,CONTADORES!$BG255)</f>
        <v>11410.4673245206</v>
      </c>
      <c r="CK249" s="1384">
        <f>CONTADORES!E255</f>
        <v>0</v>
      </c>
      <c r="CL249" s="1384">
        <f>CONTADORES!BX255</f>
        <v>0</v>
      </c>
    </row>
    <row r="250" spans="2:90" s="1451" customFormat="1">
      <c r="B250" s="1506">
        <v>45166</v>
      </c>
      <c r="C250" s="1452">
        <f t="shared" ca="1" si="95"/>
        <v>150</v>
      </c>
      <c r="D250" s="1453">
        <f ca="1">'CALCULO DE GAS'!P65</f>
        <v>3.9390553477192993</v>
      </c>
      <c r="E250" s="202">
        <f ca="1">IF(B250&gt;=$J$5,0,(CONTADORES!$AB256-CONTADORES!$AB255)-$H250)</f>
        <v>24</v>
      </c>
      <c r="F250" s="1452">
        <f t="shared" ca="1" si="121"/>
        <v>0</v>
      </c>
      <c r="G250" s="212">
        <f ca="1">IF(B250&gt;=$J$5,0,CONTADORES!$AD256-CONTADORES!$AD255)</f>
        <v>0</v>
      </c>
      <c r="H250" s="212">
        <f ca="1">IF(G250&gt;0,CONTADORES!$AC256-CONTADORES!$AC255,0)</f>
        <v>0</v>
      </c>
      <c r="I250" s="214">
        <f ca="1">IF(B250&gt;=$J$5,0,CONTADORES!$Z256-CONTADORES!$Z255)</f>
        <v>150</v>
      </c>
      <c r="J250" s="204">
        <f t="shared" ca="1" si="96"/>
        <v>300</v>
      </c>
      <c r="K250" s="1453">
        <f ca="1">'CALCULO DE GAS'!Q65</f>
        <v>5.5333467161403513</v>
      </c>
      <c r="L250" s="1437">
        <f ca="1">IF(B250&gt;=$J$5,0,(CONTADORES!$W256-CONTADORES!$W255)-$O250)</f>
        <v>24</v>
      </c>
      <c r="M250" s="1454">
        <f t="shared" ca="1" si="122"/>
        <v>0</v>
      </c>
      <c r="N250" s="1437">
        <f ca="1">IF(B250&gt;=$J$5,0,CONTADORES!$Y256-CONTADORES!$Y255)</f>
        <v>0</v>
      </c>
      <c r="O250" s="1437">
        <f ca="1">IF(N250&gt;0,CONTADORES!$X256-CONTADORES!$X255,0)</f>
        <v>0</v>
      </c>
      <c r="P250" s="208">
        <f ca="1">IF(B250&gt;=$J$5,0,CONTADORES!$U256-CONTADORES!$U255)</f>
        <v>300</v>
      </c>
      <c r="Q250" s="1456">
        <f ca="1">IF(B250&gt;=$J$5,0,CONTADORES!$B256-CONTADORES!$B255)</f>
        <v>0</v>
      </c>
      <c r="R250" s="1453">
        <f t="shared" ca="1" si="97"/>
        <v>0</v>
      </c>
      <c r="S250" s="11">
        <f ca="1">IF(B250&gt;=$J$5,0,CONTADORES!$D256-CONTADORES!$D255)</f>
        <v>0</v>
      </c>
      <c r="T250" s="204">
        <f ca="1">IF(B250&gt;=$J$5,0,CONTADORES!$AZ256-CONTADORES!$AZ255)</f>
        <v>0</v>
      </c>
      <c r="U250" s="202">
        <f t="shared" ca="1" si="123"/>
        <v>0</v>
      </c>
      <c r="V250" s="205">
        <f ca="1">IF(B250&gt;=$J$5,0,CONTADORES!$BB256-CONTADORES!$BB255)</f>
        <v>0</v>
      </c>
      <c r="W250" s="1443">
        <f t="shared" ca="1" si="98"/>
        <v>450</v>
      </c>
      <c r="X250" s="1443">
        <f t="shared" ca="1" si="99"/>
        <v>0</v>
      </c>
      <c r="Y250" s="1448">
        <f t="shared" ca="1" si="100"/>
        <v>450</v>
      </c>
      <c r="Z250" s="1448">
        <f t="shared" ca="1" si="101"/>
        <v>9.4724020638596507</v>
      </c>
      <c r="AA250" s="1448">
        <f t="shared" ca="1" si="102"/>
        <v>0</v>
      </c>
      <c r="AB250" s="1448">
        <f t="shared" ca="1" si="103"/>
        <v>48</v>
      </c>
      <c r="AC250" s="1443">
        <f t="shared" ca="1" si="104"/>
        <v>0</v>
      </c>
      <c r="AD250" s="1450">
        <f ca="1">IF(B250&gt;=$J$5,0,CONTADORES!H256-CONTADORES!H255)</f>
        <v>166</v>
      </c>
      <c r="AE250" s="1479">
        <f ca="1">IF(B250&gt;=$J$5,0,CONTADORES!J256-CONTADORES!J255)</f>
        <v>24</v>
      </c>
      <c r="AF250" s="1479">
        <f ca="1">IF(B250&gt;=$J$5,0,CONTADORES!AS256-CONTADORES!AS255)</f>
        <v>150</v>
      </c>
      <c r="AG250" s="1479">
        <f ca="1">IF(B250&gt;=$J$5,0,CONTADORES!AU256-CONTADORES!AU255)</f>
        <v>24</v>
      </c>
      <c r="AH250" s="1450">
        <f ca="1">IF(B250&gt;=$J$5,0,(CONTADORES!AK256-CONTADORES!AK255)+(CONTADORES!K256-CONTADORES!K255))</f>
        <v>10.599999999998545</v>
      </c>
      <c r="AI250" s="1479">
        <f ca="1">IF(B250&gt;=$J$5,0,(CONTADORES!AI256-CONTADORES!AI255)+(CONTADORES!M256-CONTADORES!M255))</f>
        <v>38.899999999994179</v>
      </c>
      <c r="AJ250" s="1479">
        <f ca="1">IF(B250&gt;=$J$5,0,(CONTADORES!AG256-CONTADORES!AG255))</f>
        <v>7.1000000000058208</v>
      </c>
      <c r="AK250" s="1479">
        <f ca="1">IF(B250&gt;=$J$5,0,(CONTADORES!O256-CONTADORES!O255))</f>
        <v>11</v>
      </c>
      <c r="AL250" s="1501">
        <f t="shared" ca="1" si="105"/>
        <v>35.799999999999272</v>
      </c>
      <c r="AM250" s="1450">
        <f ca="1">IF(B250&gt;=$J$5,0,(((CONTADORES!F256-CONTADORES!F255)+(CONTADORES!AO256-CONTADORES!AO255))))-BJ250-AF250-AN250-BM250-BP250-BU250-BS250</f>
        <v>10.50400000000109</v>
      </c>
      <c r="AN250" s="1479">
        <f ca="1">IF(B250&gt;=$J$5,0,(CONTADORES!AV256-CONTADORES!AV255)+(CONTADORES!AX256-CONTADORES!AX255)+(CONTADORES!BC256-CONTADORES!BC255))-BS250</f>
        <v>4.2480000000007276</v>
      </c>
      <c r="AO250" s="1440">
        <f ca="1">IF(B250&gt;=$J$5,0,(CONTADORES!AA256-CONTADORES!AA255))</f>
        <v>72</v>
      </c>
      <c r="AP250" s="1440">
        <f ca="1">IF(B250&gt;=$J$5,0,(CONTADORES!V256-CONTADORES!V255))</f>
        <v>160</v>
      </c>
      <c r="AQ250" s="1445">
        <f ca="1">IF(B250&gt;=$J$5,0,(CONTADORES!C256-CONTADORES!C255))</f>
        <v>0</v>
      </c>
      <c r="AR250" s="1440">
        <f ca="1">IF(B250&gt;=$J$5,0,(CONTADORES!BA256-CONTADORES!BA255))</f>
        <v>0</v>
      </c>
      <c r="AS250" s="1479">
        <f ca="1">IF(B250&gt;=$J$5,0,CONTADORES!Q256-CONTADORES!Q255)</f>
        <v>15</v>
      </c>
      <c r="AT250" s="1479">
        <f ca="1">IF(B250&gt;=$J$5,0,(CONTADORES!S256-CONTADORES!S255)+(CONTADORES!AE256-CONTADORES!AE255))</f>
        <v>3.3000000000000114</v>
      </c>
      <c r="AU250" s="1474">
        <f ca="1">IF(B250&gt;=$J$5,0,(CONTADORES!I256-CONTADORES!I255))</f>
        <v>83</v>
      </c>
      <c r="AV250" s="1440">
        <f ca="1">IF(B250&gt;=$J$5,0,(CONTADORES!AT256-CONTADORES!AT255))</f>
        <v>66</v>
      </c>
      <c r="AW250" s="1504">
        <f ca="1">IF(B250&gt;=$J$5,0,(CONTADORES!L256-CONTADORES!L255)+(CONTADORES!AL256-CONTADORES!AL255))</f>
        <v>3.8999999999978172</v>
      </c>
      <c r="AX250" s="1504">
        <f ca="1">IF(B250&gt;=$J$5,0,(CONTADORES!N256-CONTADORES!N255)+(CONTADORES!AJ256-CONTADORES!AJ255))</f>
        <v>33.700000000004366</v>
      </c>
      <c r="AY250" s="1504">
        <f ca="1">IF(B250&gt;=$J$5,0,(CONTADORES!AH256-CONTADORES!AH255))</f>
        <v>5.4000000000014552</v>
      </c>
      <c r="AZ250" s="1504">
        <f ca="1">IF(B250&gt;=$J$5,0,(CONTADORES!P256-CONTADORES!P255))</f>
        <v>9</v>
      </c>
      <c r="BA250" s="1482">
        <f t="shared" ca="1" si="106"/>
        <v>10.376999999996002</v>
      </c>
      <c r="BB250" s="1478">
        <f ca="1">IF(B250&gt;=$J$5,0,(((CONTADORES!G256-CONTADORES!G255)+(CONTADORES!AP256-CONTADORES!AP255)+AR250)-(AV250+BC250)))</f>
        <v>13.000000000000455</v>
      </c>
      <c r="BC250" s="1479">
        <f ca="1">IF(B250&gt;=$J$5,0,(CONTADORES!AW256-CONTADORES!AW255)+(CONTADORES!AY256-CONTADORES!AY255)+(CONTADORES!BD256-CONTADORES!BD255))</f>
        <v>2.0999999999999091</v>
      </c>
      <c r="BD250" s="1443">
        <f t="shared" ca="1" si="107"/>
        <v>232</v>
      </c>
      <c r="BE250" s="1439">
        <f ca="1">IF($B250&gt;=$J$5,0,CONTADORES!$BE256)</f>
        <v>5773.79</v>
      </c>
      <c r="BF250" s="1438">
        <f ca="1">IF($B250&gt;=$J$5,0,CONTADORES!$BF256)</f>
        <v>33831.385000000002</v>
      </c>
      <c r="BG250" s="1438">
        <f ca="1">IF($B250&gt;=$J$5,0,CONTADORES!$BH256)</f>
        <v>5841.02</v>
      </c>
      <c r="BH250" s="1479">
        <f ca="1">IF(B250&gt;=$J$5,0,(CONTADORES!AQ256-CONTADORES!AQ255))</f>
        <v>6</v>
      </c>
      <c r="BI250" s="1479">
        <f ca="1">IF(C250&gt;=$J$5,0,(CONTADORES!AR256-CONTADORES!AR255))</f>
        <v>0</v>
      </c>
      <c r="BJ250" s="1450">
        <f ca="1">IF(B250&gt;=$J$5,0,CONTADORES!BI256-CONTADORES!BI255)/1000</f>
        <v>0</v>
      </c>
      <c r="BK250" s="1450">
        <f ca="1">IF(B250&gt;=$J$5,0,CONTADORES!BJ256-CONTADORES!BJ255)</f>
        <v>0</v>
      </c>
      <c r="BL250" s="1450">
        <f ca="1">IF(B250&gt;=$J$5,0,CONTADORES!BK256-CONTADORES!BK255)</f>
        <v>0</v>
      </c>
      <c r="BM250" s="1450">
        <f ca="1">IF(B250&gt;=$J$5,0,CONTADORES!BL256-CONTADORES!BL255)/1000</f>
        <v>3.7010000000000001</v>
      </c>
      <c r="BN250" s="1450">
        <f ca="1">IF(B250&gt;=$J$5,0,CONTADORES!BM256-CONTADORES!BM255)/1000</f>
        <v>0.20499999999999999</v>
      </c>
      <c r="BO250" s="1450">
        <f ca="1">IF(B250&gt;=$J$5,0,CONTADORES!BN256-CONTADORES!BN255)</f>
        <v>24</v>
      </c>
      <c r="BP250" s="1450">
        <f ca="1">IF(B250&gt;=$J$5,0,CONTADORES!BO256-CONTADORES!BO255)/1000</f>
        <v>4.5949999999999998</v>
      </c>
      <c r="BQ250" s="1450">
        <f ca="1">IF(B250&gt;=$J$5,0,CONTADORES!BP256-CONTADORES!BP255)/1000</f>
        <v>0.504</v>
      </c>
      <c r="BR250" s="1450">
        <f ca="1">IF(B250&gt;=$J$5,0,CONTADORES!BQ256-CONTADORES!BQ255)</f>
        <v>24</v>
      </c>
      <c r="BS250" s="1450">
        <f ca="1">IF(B250&gt;=$J$5,0,(CONTADORES!BT256-CONTADORES!BT255)+(CONTADORES!BV256-CONTADORES!BV255))/1000</f>
        <v>1.452</v>
      </c>
      <c r="BT250" s="1450">
        <f ca="1">IF(B250&gt;=$J$5,0,(CONTADORES!BU256-CONTADORES!BU255)+(CONTADORES!BW256-CONTADORES!BW255))/1000</f>
        <v>0.81399999999999995</v>
      </c>
      <c r="BU250" s="1450">
        <f ca="1">IF(B250&gt;=$J$5,0,CONTADORES!BR256-CONTADORES!BR255)</f>
        <v>6.1000000000003638</v>
      </c>
      <c r="BV250" s="1450">
        <f ca="1">IF(B250&gt;=$J$5,0,CONTADORES!BS256-CONTADORES!BS255)</f>
        <v>4</v>
      </c>
      <c r="BW250" s="1482">
        <f t="shared" ca="1" si="108"/>
        <v>11.35200000000091</v>
      </c>
      <c r="BX250" s="1482">
        <f t="shared" ca="1" si="109"/>
        <v>10.500000000000227</v>
      </c>
      <c r="BY250" s="1482">
        <f t="shared" ca="1" si="110"/>
        <v>5.2520000000005451</v>
      </c>
      <c r="BZ250" s="1482">
        <f t="shared" ca="1" si="111"/>
        <v>1.6992000000002911</v>
      </c>
      <c r="CA250" s="1482">
        <f t="shared" ca="1" si="112"/>
        <v>5.2520000000005451</v>
      </c>
      <c r="CB250" s="1482">
        <f t="shared" ca="1" si="113"/>
        <v>2.5488000000004365</v>
      </c>
      <c r="CC250" s="1482">
        <f t="shared" ca="1" si="114"/>
        <v>3.1512000000002911</v>
      </c>
      <c r="CD250" s="1482">
        <f t="shared" ca="1" si="115"/>
        <v>6.5000000000002274</v>
      </c>
      <c r="CE250" s="1450">
        <f ca="1">IF(B250&gt;=$J$5,0,CONTADORES!BS256-CONTADORES!BS255)</f>
        <v>4</v>
      </c>
      <c r="CF250" s="1482">
        <f t="shared" ca="1" si="116"/>
        <v>6.5000000000002274</v>
      </c>
      <c r="CG250" s="1482">
        <f t="shared" ca="1" si="117"/>
        <v>1.0499999999999545</v>
      </c>
      <c r="CH250" s="1482">
        <f t="shared" ca="1" si="118"/>
        <v>1.0499999999999545</v>
      </c>
      <c r="CI250" s="1482">
        <f t="shared" ca="1" si="119"/>
        <v>1.8639999999999546</v>
      </c>
      <c r="CJ250" s="1505">
        <f ca="1">IF($B250&gt;=$J$5,0,CONTADORES!$BG256)</f>
        <v>10139.407999999999</v>
      </c>
      <c r="CK250" s="1384">
        <f>CONTADORES!E256</f>
        <v>0</v>
      </c>
      <c r="CL250" s="1384">
        <f>CONTADORES!BX256</f>
        <v>0</v>
      </c>
    </row>
    <row r="251" spans="2:90" s="1451" customFormat="1">
      <c r="B251" s="1506">
        <v>45167</v>
      </c>
      <c r="C251" s="1452">
        <f t="shared" ca="1" si="95"/>
        <v>150</v>
      </c>
      <c r="D251" s="1453">
        <f ca="1">'CALCULO DE GAS'!P66</f>
        <v>3.9390553477192993</v>
      </c>
      <c r="E251" s="202">
        <f ca="1">IF(B251&gt;=$J$5,0,(CONTADORES!$AB257-CONTADORES!$AB256)-$H251)</f>
        <v>24</v>
      </c>
      <c r="F251" s="1452">
        <f t="shared" ca="1" si="121"/>
        <v>0</v>
      </c>
      <c r="G251" s="212">
        <f ca="1">IF(B251&gt;=$J$5,0,CONTADORES!$AD257-CONTADORES!$AD256)</f>
        <v>0</v>
      </c>
      <c r="H251" s="212">
        <f ca="1">IF(G251&gt;0,CONTADORES!$AC257-CONTADORES!$AC256,0)</f>
        <v>0</v>
      </c>
      <c r="I251" s="214">
        <f ca="1">IF(B251&gt;=$J$5,0,CONTADORES!$Z257-CONTADORES!$Z256)</f>
        <v>150</v>
      </c>
      <c r="J251" s="204">
        <f t="shared" ca="1" si="96"/>
        <v>309</v>
      </c>
      <c r="K251" s="1453">
        <f ca="1">'CALCULO DE GAS'!Q66</f>
        <v>5.6280046108771931</v>
      </c>
      <c r="L251" s="1437">
        <f ca="1">IF(B251&gt;=$J$5,0,(CONTADORES!$W257-CONTADORES!$W256)-$O251)</f>
        <v>24</v>
      </c>
      <c r="M251" s="1454">
        <f t="shared" ca="1" si="122"/>
        <v>0</v>
      </c>
      <c r="N251" s="1437">
        <f ca="1">IF(B251&gt;=$J$5,0,CONTADORES!$Y257-CONTADORES!$Y256)</f>
        <v>0</v>
      </c>
      <c r="O251" s="1437">
        <f ca="1">IF(N251&gt;0,CONTADORES!$X257-CONTADORES!$X256,0)</f>
        <v>0</v>
      </c>
      <c r="P251" s="208">
        <f ca="1">IF(B251&gt;=$J$5,0,CONTADORES!$U257-CONTADORES!$U256)</f>
        <v>309</v>
      </c>
      <c r="Q251" s="1456">
        <f ca="1">IF(B251&gt;=$J$5,0,CONTADORES!$B257-CONTADORES!$B256)</f>
        <v>0.22400000000016007</v>
      </c>
      <c r="R251" s="1453">
        <f t="shared" ca="1" si="97"/>
        <v>26.880000000019209</v>
      </c>
      <c r="S251" s="11">
        <f ca="1">IF(B251&gt;=$J$5,0,CONTADORES!$D257-CONTADORES!$D256)</f>
        <v>0.6999999999998181</v>
      </c>
      <c r="T251" s="204">
        <f ca="1">IF(B251&gt;=$J$5,0,CONTADORES!$AZ257-CONTADORES!$AZ256)</f>
        <v>0.41200000000003456</v>
      </c>
      <c r="U251" s="202">
        <f t="shared" ca="1" si="123"/>
        <v>49.440000000004147</v>
      </c>
      <c r="V251" s="205">
        <f ca="1">IF(B251&gt;=$J$5,0,CONTADORES!$BB257-CONTADORES!$BB256)</f>
        <v>0.79999999999995453</v>
      </c>
      <c r="W251" s="1443">
        <f t="shared" ca="1" si="98"/>
        <v>459</v>
      </c>
      <c r="X251" s="1443">
        <f t="shared" ca="1" si="99"/>
        <v>0.63600000000019463</v>
      </c>
      <c r="Y251" s="1448">
        <f t="shared" ca="1" si="100"/>
        <v>459.63600000000019</v>
      </c>
      <c r="Z251" s="1448">
        <f t="shared" ca="1" si="101"/>
        <v>9.5670599585964915</v>
      </c>
      <c r="AA251" s="1448">
        <f t="shared" ca="1" si="102"/>
        <v>76.320000000023356</v>
      </c>
      <c r="AB251" s="1448">
        <f t="shared" ca="1" si="103"/>
        <v>48</v>
      </c>
      <c r="AC251" s="1443">
        <f t="shared" ca="1" si="104"/>
        <v>1.4999999999997726</v>
      </c>
      <c r="AD251" s="1450">
        <f ca="1">IF(B251&gt;=$J$5,0,CONTADORES!H257-CONTADORES!H256)</f>
        <v>166</v>
      </c>
      <c r="AE251" s="1479">
        <f ca="1">IF(B251&gt;=$J$5,0,CONTADORES!J257-CONTADORES!J256)</f>
        <v>24</v>
      </c>
      <c r="AF251" s="1479">
        <f ca="1">IF(B251&gt;=$J$5,0,CONTADORES!AS257-CONTADORES!AS256)</f>
        <v>155</v>
      </c>
      <c r="AG251" s="1479">
        <f ca="1">IF(B251&gt;=$J$5,0,CONTADORES!AU257-CONTADORES!AU256)</f>
        <v>24</v>
      </c>
      <c r="AH251" s="1450">
        <f ca="1">IF(B251&gt;=$J$5,0,(CONTADORES!AK257-CONTADORES!AK256)+(CONTADORES!K257-CONTADORES!K256))</f>
        <v>14.799999999995634</v>
      </c>
      <c r="AI251" s="1479">
        <f ca="1">IF(B251&gt;=$J$5,0,(CONTADORES!AI257-CONTADORES!AI256)+(CONTADORES!M257-CONTADORES!M256))</f>
        <v>39.100000000005821</v>
      </c>
      <c r="AJ251" s="1479">
        <f ca="1">IF(B251&gt;=$J$5,0,(CONTADORES!AG257-CONTADORES!AG256))</f>
        <v>8</v>
      </c>
      <c r="AK251" s="1479">
        <f ca="1">IF(B251&gt;=$J$5,0,(CONTADORES!O257-CONTADORES!O256))</f>
        <v>13</v>
      </c>
      <c r="AL251" s="1501">
        <f t="shared" ca="1" si="105"/>
        <v>35.536000000001707</v>
      </c>
      <c r="AM251" s="1450">
        <f ca="1">IF(B251&gt;=$J$5,0,(((CONTADORES!F257-CONTADORES!F256)+(CONTADORES!AO257-CONTADORES!AO256))))-BJ251-AF251-AN251-BM251-BP251-BU251-BS251</f>
        <v>8.9379999999971886</v>
      </c>
      <c r="AN251" s="1479">
        <f ca="1">IF(B251&gt;=$J$5,0,(CONTADORES!AV257-CONTADORES!AV256)+(CONTADORES!AX257-CONTADORES!AX256)+(CONTADORES!BC257-CONTADORES!BC256))-BS251</f>
        <v>4.0939999999999008</v>
      </c>
      <c r="AO251" s="1440">
        <f ca="1">IF(B251&gt;=$J$5,0,(CONTADORES!AA257-CONTADORES!AA256))</f>
        <v>76</v>
      </c>
      <c r="AP251" s="1440">
        <f ca="1">IF(B251&gt;=$J$5,0,(CONTADORES!V257-CONTADORES!V256))</f>
        <v>158</v>
      </c>
      <c r="AQ251" s="1445">
        <f ca="1">IF(B251&gt;=$J$5,0,(CONTADORES!C257-CONTADORES!C256))</f>
        <v>0.10999999999989996</v>
      </c>
      <c r="AR251" s="1440">
        <f ca="1">IF(B251&gt;=$J$5,0,(CONTADORES!BA257-CONTADORES!BA256))</f>
        <v>0.15800000000001546</v>
      </c>
      <c r="AS251" s="1479">
        <f ca="1">IF(B251&gt;=$J$5,0,CONTADORES!Q257-CONTADORES!Q256)</f>
        <v>15</v>
      </c>
      <c r="AT251" s="1479">
        <f ca="1">IF(B251&gt;=$J$5,0,(CONTADORES!S257-CONTADORES!S256)+(CONTADORES!AE257-CONTADORES!AE256))</f>
        <v>3.2999999999999545</v>
      </c>
      <c r="AU251" s="1474">
        <f ca="1">IF(B251&gt;=$J$5,0,(CONTADORES!I257-CONTADORES!I256))</f>
        <v>82</v>
      </c>
      <c r="AV251" s="1440">
        <f ca="1">IF(B251&gt;=$J$5,0,(CONTADORES!AT257-CONTADORES!AT256))</f>
        <v>67</v>
      </c>
      <c r="AW251" s="1504">
        <f ca="1">IF(B251&gt;=$J$5,0,(CONTADORES!L257-CONTADORES!L256)+(CONTADORES!AL257-CONTADORES!AL256))</f>
        <v>5.8000000000029104</v>
      </c>
      <c r="AX251" s="1504">
        <f ca="1">IF(B251&gt;=$J$5,0,(CONTADORES!N257-CONTADORES!N256)+(CONTADORES!AJ257-CONTADORES!AJ256))</f>
        <v>33.69999999999709</v>
      </c>
      <c r="AY251" s="1504">
        <f ca="1">IF(B251&gt;=$J$5,0,(CONTADORES!AH257-CONTADORES!AH256))</f>
        <v>6.1999999999970896</v>
      </c>
      <c r="AZ251" s="1504">
        <f ca="1">IF(B251&gt;=$J$5,0,(CONTADORES!P257-CONTADORES!P256))</f>
        <v>10</v>
      </c>
      <c r="BA251" s="1482">
        <f t="shared" ca="1" si="106"/>
        <v>11.51500000000334</v>
      </c>
      <c r="BB251" s="1478">
        <f ca="1">IF(B251&gt;=$J$5,0,(((CONTADORES!G257-CONTADORES!G256)+(CONTADORES!AP257-CONTADORES!AP256)+AR251)-(AV251+BC251)))</f>
        <v>10.62799999999956</v>
      </c>
      <c r="BC251" s="1479">
        <f ca="1">IF(B251&gt;=$J$5,0,(CONTADORES!AW257-CONTADORES!AW256)+(CONTADORES!AY257-CONTADORES!AY256)+(CONTADORES!BD257-CONTADORES!BD256))</f>
        <v>2.1299999999999102</v>
      </c>
      <c r="BD251" s="1443">
        <f t="shared" ca="1" si="107"/>
        <v>234.26799999999992</v>
      </c>
      <c r="BE251" s="1439">
        <f ca="1">IF($B251&gt;=$J$5,0,CONTADORES!$BE257)</f>
        <v>5721.67</v>
      </c>
      <c r="BF251" s="1438">
        <f ca="1">IF($B251&gt;=$J$5,0,CONTADORES!$BF257)</f>
        <v>33432.024561403501</v>
      </c>
      <c r="BG251" s="1438">
        <f ca="1">IF($B251&gt;=$J$5,0,CONTADORES!$BH257)</f>
        <v>4692.47</v>
      </c>
      <c r="BH251" s="1479">
        <f ca="1">IF(B251&gt;=$J$5,0,(CONTADORES!AQ257-CONTADORES!AQ256))</f>
        <v>6</v>
      </c>
      <c r="BI251" s="1479">
        <f ca="1">IF(C251&gt;=$J$5,0,(CONTADORES!AR257-CONTADORES!AR256))</f>
        <v>0</v>
      </c>
      <c r="BJ251" s="1450">
        <f ca="1">IF(B251&gt;=$J$5,0,CONTADORES!BI257-CONTADORES!BI256)/1000</f>
        <v>0</v>
      </c>
      <c r="BK251" s="1450">
        <f ca="1">IF(B251&gt;=$J$5,0,CONTADORES!BJ257-CONTADORES!BJ256)</f>
        <v>0</v>
      </c>
      <c r="BL251" s="1450">
        <f ca="1">IF(B251&gt;=$J$5,0,CONTADORES!BK257-CONTADORES!BK256)</f>
        <v>0.2999999999992724</v>
      </c>
      <c r="BM251" s="1450">
        <f ca="1">IF(B251&gt;=$J$5,0,CONTADORES!BL257-CONTADORES!BL256)/1000</f>
        <v>3.37</v>
      </c>
      <c r="BN251" s="1450">
        <f ca="1">IF(B251&gt;=$J$5,0,CONTADORES!BM257-CONTADORES!BM256)/1000</f>
        <v>0.15</v>
      </c>
      <c r="BO251" s="1450">
        <f ca="1">IF(B251&gt;=$J$5,0,CONTADORES!BN257-CONTADORES!BN256)</f>
        <v>24</v>
      </c>
      <c r="BP251" s="1450">
        <f ca="1">IF(B251&gt;=$J$5,0,CONTADORES!BO257-CONTADORES!BO256)/1000</f>
        <v>4.2519999999999998</v>
      </c>
      <c r="BQ251" s="1450">
        <f ca="1">IF(B251&gt;=$J$5,0,CONTADORES!BP257-CONTADORES!BP256)/1000</f>
        <v>0.27500000000000002</v>
      </c>
      <c r="BR251" s="1450">
        <f ca="1">IF(B251&gt;=$J$5,0,CONTADORES!BQ257-CONTADORES!BQ256)</f>
        <v>24</v>
      </c>
      <c r="BS251" s="1450">
        <f ca="1">IF(B251&gt;=$J$5,0,(CONTADORES!BT257-CONTADORES!BT256)+(CONTADORES!BV257-CONTADORES!BV256))/1000</f>
        <v>1.546</v>
      </c>
      <c r="BT251" s="1450">
        <f ca="1">IF(B251&gt;=$J$5,0,(CONTADORES!BU257-CONTADORES!BU256)+(CONTADORES!BW257-CONTADORES!BW256))/1000</f>
        <v>0.87</v>
      </c>
      <c r="BU251" s="1450">
        <f ca="1">IF(B251&gt;=$J$5,0,CONTADORES!BR257-CONTADORES!BR256)</f>
        <v>6</v>
      </c>
      <c r="BV251" s="1450">
        <f ca="1">IF(B251&gt;=$J$5,0,CONTADORES!BS257-CONTADORES!BS256)</f>
        <v>4</v>
      </c>
      <c r="BW251" s="1482">
        <f t="shared" ca="1" si="108"/>
        <v>10.468999999998594</v>
      </c>
      <c r="BX251" s="1482">
        <f t="shared" ca="1" si="109"/>
        <v>9.3139999999997798</v>
      </c>
      <c r="BY251" s="1482">
        <f t="shared" ca="1" si="110"/>
        <v>4.4689999999985943</v>
      </c>
      <c r="BZ251" s="1482">
        <f t="shared" ca="1" si="111"/>
        <v>1.6375999999999604</v>
      </c>
      <c r="CA251" s="1482">
        <f t="shared" ca="1" si="112"/>
        <v>4.4689999999985943</v>
      </c>
      <c r="CB251" s="1482">
        <f t="shared" ca="1" si="113"/>
        <v>2.4563999999999404</v>
      </c>
      <c r="CC251" s="1482">
        <f t="shared" ca="1" si="114"/>
        <v>3.1835999999999602</v>
      </c>
      <c r="CD251" s="1482">
        <f t="shared" ca="1" si="115"/>
        <v>5.3139999999997798</v>
      </c>
      <c r="CE251" s="1450">
        <f ca="1">IF(B251&gt;=$J$5,0,CONTADORES!BS257-CONTADORES!BS256)</f>
        <v>4</v>
      </c>
      <c r="CF251" s="1482">
        <f t="shared" ca="1" si="116"/>
        <v>5.3139999999997798</v>
      </c>
      <c r="CG251" s="1482">
        <f t="shared" ca="1" si="117"/>
        <v>1.0649999999999551</v>
      </c>
      <c r="CH251" s="1482">
        <f t="shared" ca="1" si="118"/>
        <v>1.0649999999999551</v>
      </c>
      <c r="CI251" s="1482">
        <f t="shared" ca="1" si="119"/>
        <v>1.9349999999999552</v>
      </c>
      <c r="CJ251" s="1505">
        <f ca="1">IF($B251&gt;=$J$5,0,CONTADORES!$BG257)</f>
        <v>9120.7421174266292</v>
      </c>
      <c r="CK251" s="1384">
        <f>CONTADORES!E257</f>
        <v>0.5</v>
      </c>
      <c r="CL251" s="1384">
        <f>CONTADORES!BX257</f>
        <v>0.5</v>
      </c>
    </row>
    <row r="252" spans="2:90" s="1451" customFormat="1">
      <c r="B252" s="1506">
        <v>45168</v>
      </c>
      <c r="C252" s="1452">
        <f t="shared" ca="1" si="95"/>
        <v>150</v>
      </c>
      <c r="D252" s="1453">
        <f ca="1">'CALCULO DE GAS'!P67</f>
        <v>3.9390553477192993</v>
      </c>
      <c r="E252" s="202">
        <f ca="1">IF(B252&gt;=$J$5,0,(CONTADORES!$AB258-CONTADORES!$AB257)-$H252)</f>
        <v>24</v>
      </c>
      <c r="F252" s="1452">
        <f t="shared" ca="1" si="121"/>
        <v>0</v>
      </c>
      <c r="G252" s="212">
        <f ca="1">IF(B252&gt;=$J$5,0,CONTADORES!$AD258-CONTADORES!$AD257)</f>
        <v>0</v>
      </c>
      <c r="H252" s="212">
        <f ca="1">IF(G252&gt;0,CONTADORES!$AC258-CONTADORES!$AC257,0)</f>
        <v>0</v>
      </c>
      <c r="I252" s="214">
        <f ca="1">IF(B252&gt;=$J$5,0,CONTADORES!$Z258-CONTADORES!$Z257)</f>
        <v>150</v>
      </c>
      <c r="J252" s="204">
        <f t="shared" ca="1" si="96"/>
        <v>296</v>
      </c>
      <c r="K252" s="1453">
        <f ca="1">'CALCULO DE GAS'!Q67</f>
        <v>5.4912765407017554</v>
      </c>
      <c r="L252" s="1437">
        <f ca="1">IF(B252&gt;=$J$5,0,(CONTADORES!$W258-CONTADORES!$W257)-$O252)</f>
        <v>24</v>
      </c>
      <c r="M252" s="1454">
        <f t="shared" ca="1" si="122"/>
        <v>0</v>
      </c>
      <c r="N252" s="1437">
        <f ca="1">IF(B252&gt;=$J$5,0,CONTADORES!$Y258-CONTADORES!$Y257)</f>
        <v>0</v>
      </c>
      <c r="O252" s="1437">
        <f ca="1">IF(N252&gt;0,CONTADORES!$X258-CONTADORES!$X257,0)</f>
        <v>0</v>
      </c>
      <c r="P252" s="208">
        <f ca="1">IF(B252&gt;=$J$5,0,CONTADORES!$U258-CONTADORES!$U257)</f>
        <v>296</v>
      </c>
      <c r="Q252" s="1456">
        <f ca="1">IF(B252&gt;=$J$5,0,CONTADORES!$B258-CONTADORES!$B257)</f>
        <v>0</v>
      </c>
      <c r="R252" s="1453">
        <f t="shared" ca="1" si="97"/>
        <v>0</v>
      </c>
      <c r="S252" s="11">
        <f ca="1">IF(B252&gt;=$J$5,0,CONTADORES!$D258-CONTADORES!$D257)</f>
        <v>0</v>
      </c>
      <c r="T252" s="204">
        <f ca="1">IF(B252&gt;=$J$5,0,CONTADORES!$AZ258-CONTADORES!$AZ257)</f>
        <v>0</v>
      </c>
      <c r="U252" s="202">
        <f t="shared" ca="1" si="123"/>
        <v>0</v>
      </c>
      <c r="V252" s="205">
        <f ca="1">IF(B252&gt;=$J$5,0,CONTADORES!$BB258-CONTADORES!$BB257)</f>
        <v>0</v>
      </c>
      <c r="W252" s="1443">
        <f t="shared" ca="1" si="98"/>
        <v>446</v>
      </c>
      <c r="X252" s="1443">
        <f t="shared" ca="1" si="99"/>
        <v>0</v>
      </c>
      <c r="Y252" s="1448">
        <f t="shared" ca="1" si="100"/>
        <v>446</v>
      </c>
      <c r="Z252" s="1448">
        <f t="shared" ca="1" si="101"/>
        <v>9.4303318884210547</v>
      </c>
      <c r="AA252" s="1448">
        <f t="shared" ca="1" si="102"/>
        <v>0</v>
      </c>
      <c r="AB252" s="1448">
        <f t="shared" ca="1" si="103"/>
        <v>48</v>
      </c>
      <c r="AC252" s="1443">
        <f t="shared" ca="1" si="104"/>
        <v>0</v>
      </c>
      <c r="AD252" s="1450">
        <f ca="1">IF(B252&gt;=$J$5,0,CONTADORES!H258-CONTADORES!H257)</f>
        <v>164</v>
      </c>
      <c r="AE252" s="1479">
        <f ca="1">IF(B252&gt;=$J$5,0,CONTADORES!J258-CONTADORES!J257)</f>
        <v>24</v>
      </c>
      <c r="AF252" s="1479">
        <f ca="1">IF(B252&gt;=$J$5,0,CONTADORES!AS258-CONTADORES!AS257)</f>
        <v>151</v>
      </c>
      <c r="AG252" s="1479">
        <f ca="1">IF(B252&gt;=$J$5,0,CONTADORES!AU258-CONTADORES!AU257)</f>
        <v>24</v>
      </c>
      <c r="AH252" s="1450">
        <f ca="1">IF(B252&gt;=$J$5,0,(CONTADORES!AK258-CONTADORES!AK257)+(CONTADORES!K258-CONTADORES!K257))</f>
        <v>8.7000000000061846</v>
      </c>
      <c r="AI252" s="1479">
        <f ca="1">IF(B252&gt;=$J$5,0,(CONTADORES!AI258-CONTADORES!AI257)+(CONTADORES!M258-CONTADORES!M257))</f>
        <v>38</v>
      </c>
      <c r="AJ252" s="1479">
        <f ca="1">IF(B252&gt;=$J$5,0,(CONTADORES!AG258-CONTADORES!AG257))</f>
        <v>8.6000000000058208</v>
      </c>
      <c r="AK252" s="1479">
        <f ca="1">IF(B252&gt;=$J$5,0,(CONTADORES!O258-CONTADORES!O257))</f>
        <v>12</v>
      </c>
      <c r="AL252" s="1501">
        <f t="shared" ca="1" si="105"/>
        <v>34.399999999985084</v>
      </c>
      <c r="AM252" s="1450">
        <f ca="1">IF(B252&gt;=$J$5,0,(((CONTADORES!F258-CONTADORES!F257)+(CONTADORES!AO258-CONTADORES!AO257))))-BJ252-AF252-AN252-BM252-BP252-BU252-BS252</f>
        <v>10.240000000003002</v>
      </c>
      <c r="AN252" s="1479">
        <f ca="1">IF(B252&gt;=$J$5,0,(CONTADORES!AV258-CONTADORES!AV257)+(CONTADORES!AX258-CONTADORES!AX257)+(CONTADORES!BC258-CONTADORES!BC257))-BS252</f>
        <v>3.6219999999999093</v>
      </c>
      <c r="AO252" s="1440">
        <f ca="1">IF(B252&gt;=$J$5,0,(CONTADORES!AA258-CONTADORES!AA257))</f>
        <v>73</v>
      </c>
      <c r="AP252" s="1440">
        <f ca="1">IF(B252&gt;=$J$5,0,(CONTADORES!V258-CONTADORES!V257))</f>
        <v>152</v>
      </c>
      <c r="AQ252" s="1445">
        <f ca="1">IF(B252&gt;=$J$5,0,(CONTADORES!C258-CONTADORES!C257))</f>
        <v>0</v>
      </c>
      <c r="AR252" s="1440">
        <f ca="1">IF(B252&gt;=$J$5,0,(CONTADORES!BA258-CONTADORES!BA257))</f>
        <v>0</v>
      </c>
      <c r="AS252" s="1479">
        <f ca="1">IF(B252&gt;=$J$5,0,CONTADORES!Q258-CONTADORES!Q257)</f>
        <v>15</v>
      </c>
      <c r="AT252" s="1479">
        <f ca="1">IF(B252&gt;=$J$5,0,(CONTADORES!S258-CONTADORES!S257)+(CONTADORES!AE258-CONTADORES!AE257))</f>
        <v>3.1000000000000227</v>
      </c>
      <c r="AU252" s="1474">
        <f ca="1">IF(B252&gt;=$J$5,0,(CONTADORES!I258-CONTADORES!I257))</f>
        <v>82</v>
      </c>
      <c r="AV252" s="1440">
        <f ca="1">IF(B252&gt;=$J$5,0,(CONTADORES!AT258-CONTADORES!AT257))</f>
        <v>65</v>
      </c>
      <c r="AW252" s="1504">
        <f ca="1">IF(B252&gt;=$J$5,0,(CONTADORES!L258-CONTADORES!L257)+(CONTADORES!AL258-CONTADORES!AL257))</f>
        <v>3.1999999999970896</v>
      </c>
      <c r="AX252" s="1504">
        <f ca="1">IF(B252&gt;=$J$5,0,(CONTADORES!N258-CONTADORES!N257)+(CONTADORES!AJ258-CONTADORES!AJ257))</f>
        <v>33.099999999998545</v>
      </c>
      <c r="AY252" s="1504">
        <f ca="1">IF(B252&gt;=$J$5,0,(CONTADORES!AH258-CONTADORES!AH257))</f>
        <v>6.5999999999985448</v>
      </c>
      <c r="AZ252" s="1504">
        <f ca="1">IF(B252&gt;=$J$5,0,(CONTADORES!P258-CONTADORES!P257))</f>
        <v>9</v>
      </c>
      <c r="BA252" s="1482">
        <f t="shared" ca="1" si="106"/>
        <v>9.7710000000053014</v>
      </c>
      <c r="BB252" s="1478">
        <f ca="1">IF(B252&gt;=$J$5,0,(((CONTADORES!G258-CONTADORES!G257)+(CONTADORES!AP258-CONTADORES!AP257)+AR252)-(AV252+BC252)))</f>
        <v>9.1000000000003638</v>
      </c>
      <c r="BC252" s="1479">
        <f ca="1">IF(B252&gt;=$J$5,0,(CONTADORES!AW258-CONTADORES!AW257)+(CONTADORES!AY258-CONTADORES!AY257)+(CONTADORES!BD258-CONTADORES!BD257))</f>
        <v>1.8000000000001819</v>
      </c>
      <c r="BD252" s="1443">
        <f t="shared" ca="1" si="107"/>
        <v>225</v>
      </c>
      <c r="BE252" s="1439">
        <f ca="1">IF($B252&gt;=$J$5,0,CONTADORES!$BE258)</f>
        <v>5474.2800000000007</v>
      </c>
      <c r="BF252" s="1438">
        <f ca="1">IF($B252&gt;=$J$5,0,CONTADORES!$BF258)</f>
        <v>33518.57543859649</v>
      </c>
      <c r="BG252" s="1438">
        <f ca="1">IF($B252&gt;=$J$5,0,CONTADORES!$BH258)</f>
        <v>6441.8299999999981</v>
      </c>
      <c r="BH252" s="1479">
        <f ca="1">IF(B252&gt;=$J$5,0,(CONTADORES!AQ258-CONTADORES!AQ257))</f>
        <v>5</v>
      </c>
      <c r="BI252" s="1479">
        <f ca="1">IF(C252&gt;=$J$5,0,(CONTADORES!AR258-CONTADORES!AR257))</f>
        <v>0</v>
      </c>
      <c r="BJ252" s="1450">
        <f ca="1">IF(B252&gt;=$J$5,0,CONTADORES!BI258-CONTADORES!BI257)/1000</f>
        <v>0</v>
      </c>
      <c r="BK252" s="1450">
        <f ca="1">IF(B252&gt;=$J$5,0,CONTADORES!BJ258-CONTADORES!BJ257)</f>
        <v>0</v>
      </c>
      <c r="BL252" s="1450">
        <f ca="1">IF(B252&gt;=$J$5,0,CONTADORES!BK258-CONTADORES!BK257)</f>
        <v>0</v>
      </c>
      <c r="BM252" s="1450">
        <f ca="1">IF(B252&gt;=$J$5,0,CONTADORES!BL258-CONTADORES!BL257)/1000</f>
        <v>3.5760000000000001</v>
      </c>
      <c r="BN252" s="1450">
        <f ca="1">IF(B252&gt;=$J$5,0,CONTADORES!BM258-CONTADORES!BM257)/1000</f>
        <v>0.23100000000000001</v>
      </c>
      <c r="BO252" s="1450">
        <f ca="1">IF(B252&gt;=$J$5,0,CONTADORES!BN258-CONTADORES!BN257)</f>
        <v>24</v>
      </c>
      <c r="BP252" s="1450">
        <f ca="1">IF(B252&gt;=$J$5,0,CONTADORES!BO258-CONTADORES!BO257)/1000</f>
        <v>4.3840000000000003</v>
      </c>
      <c r="BQ252" s="1450">
        <f ca="1">IF(B252&gt;=$J$5,0,CONTADORES!BP258-CONTADORES!BP257)/1000</f>
        <v>0.36699999999999999</v>
      </c>
      <c r="BR252" s="1450">
        <f ca="1">IF(B252&gt;=$J$5,0,CONTADORES!BQ258-CONTADORES!BQ257)</f>
        <v>24</v>
      </c>
      <c r="BS252" s="1450">
        <f ca="1">IF(B252&gt;=$J$5,0,(CONTADORES!BT258-CONTADORES!BT257)+(CONTADORES!BV258-CONTADORES!BV257))/1000</f>
        <v>1.478</v>
      </c>
      <c r="BT252" s="1450">
        <f ca="1">IF(B252&gt;=$J$5,0,(CONTADORES!BU258-CONTADORES!BU257)+(CONTADORES!BW258-CONTADORES!BW257))/1000</f>
        <v>0.83099999999999996</v>
      </c>
      <c r="BU252" s="1450">
        <f ca="1">IF(B252&gt;=$J$5,0,CONTADORES!BR258-CONTADORES!BR257)</f>
        <v>6</v>
      </c>
      <c r="BV252" s="1450">
        <f ca="1">IF(B252&gt;=$J$5,0,CONTADORES!BS258-CONTADORES!BS257)</f>
        <v>4</v>
      </c>
      <c r="BW252" s="1482">
        <f t="shared" ca="1" si="108"/>
        <v>11.1200000000015</v>
      </c>
      <c r="BX252" s="1482">
        <f t="shared" ca="1" si="109"/>
        <v>8.5500000000001819</v>
      </c>
      <c r="BY252" s="1482">
        <f t="shared" ca="1" si="110"/>
        <v>5.1200000000015011</v>
      </c>
      <c r="BZ252" s="1482">
        <f t="shared" ca="1" si="111"/>
        <v>1.4487999999999639</v>
      </c>
      <c r="CA252" s="1482">
        <f t="shared" ca="1" si="112"/>
        <v>5.1200000000015011</v>
      </c>
      <c r="CB252" s="1482">
        <f t="shared" ca="1" si="113"/>
        <v>2.1731999999999454</v>
      </c>
      <c r="CC252" s="1482">
        <f t="shared" ca="1" si="114"/>
        <v>2.9267999999999637</v>
      </c>
      <c r="CD252" s="1482">
        <f t="shared" ca="1" si="115"/>
        <v>4.5500000000001819</v>
      </c>
      <c r="CE252" s="1450">
        <f ca="1">IF(B252&gt;=$J$5,0,CONTADORES!BS258-CONTADORES!BS257)</f>
        <v>4</v>
      </c>
      <c r="CF252" s="1482">
        <f t="shared" ca="1" si="116"/>
        <v>4.5500000000001819</v>
      </c>
      <c r="CG252" s="1482">
        <f t="shared" ca="1" si="117"/>
        <v>0.90000000000009095</v>
      </c>
      <c r="CH252" s="1482">
        <f t="shared" ca="1" si="118"/>
        <v>0.90000000000009095</v>
      </c>
      <c r="CI252" s="1482">
        <f t="shared" ca="1" si="119"/>
        <v>1.7310000000000909</v>
      </c>
      <c r="CJ252" s="1505">
        <f ca="1">IF($B252&gt;=$J$5,0,CONTADORES!$BG258)</f>
        <v>8442.0265468876059</v>
      </c>
      <c r="CK252" s="1384">
        <f>CONTADORES!E258</f>
        <v>0</v>
      </c>
      <c r="CL252" s="1384">
        <f>CONTADORES!BX258</f>
        <v>0</v>
      </c>
    </row>
    <row r="253" spans="2:90" ht="15" thickBot="1">
      <c r="B253" s="1069">
        <v>45169</v>
      </c>
      <c r="C253" s="206">
        <f t="shared" ca="1" si="95"/>
        <v>147.30000000004657</v>
      </c>
      <c r="D253" s="203">
        <f ca="1">'CALCULO DE GAS'!P68</f>
        <v>3.9125511371934403</v>
      </c>
      <c r="E253" s="203">
        <f ca="1">IF(B253&gt;=$J$5,0,(CONTADORES!$AB259-CONTADORES!$AB258)-$H253)</f>
        <v>24</v>
      </c>
      <c r="F253" s="206">
        <f t="shared" ca="1" si="121"/>
        <v>0</v>
      </c>
      <c r="G253" s="203">
        <f ca="1">IF(B253&gt;=$J$5,0,CONTADORES!$AD259-CONTADORES!$AD258)</f>
        <v>0</v>
      </c>
      <c r="H253" s="203">
        <f ca="1">IF(G253&gt;0,CONTADORES!$AC259-CONTADORES!$AC258,0)</f>
        <v>0</v>
      </c>
      <c r="I253" s="207">
        <f ca="1">IF(B253&gt;=$J$5,0,CONTADORES!$Z259-CONTADORES!$Z258)</f>
        <v>147.30000000004657</v>
      </c>
      <c r="J253" s="1507">
        <f t="shared" ca="1" si="96"/>
        <v>298.40000000000146</v>
      </c>
      <c r="K253" s="1263">
        <f ca="1">'CALCULO DE GAS'!Q68</f>
        <v>5.5165186459649282</v>
      </c>
      <c r="L253" s="1263">
        <f ca="1">IF(B253&gt;=$J$5,0,(CONTADORES!$W259-CONTADORES!$W258)-$O253)</f>
        <v>24</v>
      </c>
      <c r="M253" s="1508">
        <f t="shared" ca="1" si="122"/>
        <v>0</v>
      </c>
      <c r="N253" s="1508">
        <f ca="1">IF(B253&gt;=$J$5,0,CONTADORES!$Y259-CONTADORES!$Y258)</f>
        <v>0</v>
      </c>
      <c r="O253" s="1508">
        <f ca="1">IF(N253&gt;0,CONTADORES!$X259-CONTADORES!$X258,0)</f>
        <v>0</v>
      </c>
      <c r="P253" s="1467">
        <f ca="1">IF(B253&gt;=$J$5,0,CONTADORES!$U259-CONTADORES!$U258)</f>
        <v>298.40000000000146</v>
      </c>
      <c r="Q253" s="209">
        <f ca="1">IF(B253&gt;=$J$5,0,CONTADORES!$B259-CONTADORES!$B258)</f>
        <v>0</v>
      </c>
      <c r="R253" s="203">
        <f t="shared" ca="1" si="97"/>
        <v>0</v>
      </c>
      <c r="S253" s="65">
        <f ca="1">IF(B253&gt;=$J$5,0,CONTADORES!$D259-CONTADORES!$D258)</f>
        <v>0</v>
      </c>
      <c r="T253" s="206">
        <f ca="1">IF(B253&gt;=$J$5,0,CONTADORES!$AZ259-CONTADORES!$AZ258)</f>
        <v>0</v>
      </c>
      <c r="U253" s="203">
        <f t="shared" ca="1" si="123"/>
        <v>0</v>
      </c>
      <c r="V253" s="207">
        <f ca="1">IF(B253&gt;=$J$5,0,CONTADORES!$BB259-CONTADORES!$BB258)</f>
        <v>0</v>
      </c>
      <c r="W253" s="1466">
        <f t="shared" ca="1" si="98"/>
        <v>445.70000000004802</v>
      </c>
      <c r="X253" s="1466">
        <f t="shared" ca="1" si="99"/>
        <v>0</v>
      </c>
      <c r="Y253" s="1467">
        <f t="shared" ca="1" si="100"/>
        <v>445.70000000004802</v>
      </c>
      <c r="Z253" s="1467">
        <f t="shared" ca="1" si="101"/>
        <v>9.4290697831583685</v>
      </c>
      <c r="AA253" s="1467">
        <f t="shared" ca="1" si="102"/>
        <v>0</v>
      </c>
      <c r="AB253" s="1467">
        <f t="shared" ca="1" si="103"/>
        <v>48</v>
      </c>
      <c r="AC253" s="1467">
        <f t="shared" ca="1" si="104"/>
        <v>0</v>
      </c>
      <c r="AD253" s="1467">
        <f ca="1">IF(B253&gt;=$J$5,0,CONTADORES!H259-CONTADORES!H258)</f>
        <v>161.70000000000073</v>
      </c>
      <c r="AE253" s="1466">
        <f ca="1">IF(B253&gt;=$J$5,0,CONTADORES!J259-CONTADORES!J258)</f>
        <v>24</v>
      </c>
      <c r="AF253" s="1466">
        <f ca="1">IF(B253&gt;=$J$5,0,CONTADORES!AS259-CONTADORES!AS258)</f>
        <v>151.70000000001164</v>
      </c>
      <c r="AG253" s="1466">
        <f ca="1">IF(B253&gt;=$J$5,0,CONTADORES!AU259-CONTADORES!AU258)</f>
        <v>24</v>
      </c>
      <c r="AH253" s="1467">
        <f ca="1">IF(B253&gt;=$J$5,0,(CONTADORES!AK259-CONTADORES!AK258)+(CONTADORES!K259-CONTADORES!K258))</f>
        <v>12</v>
      </c>
      <c r="AI253" s="1466">
        <f ca="1">IF(B253&gt;=$J$5,0,(CONTADORES!AI259-CONTADORES!AI258)+(CONTADORES!M259-CONTADORES!M258))</f>
        <v>38.100000000005821</v>
      </c>
      <c r="AJ253" s="1466">
        <f ca="1">IF(B253&gt;=$J$5,0,(CONTADORES!AG259-CONTADORES!AG258))</f>
        <v>9</v>
      </c>
      <c r="AK253" s="1466">
        <f ca="1">IF(B253&gt;=$J$5,0,(CONTADORES!O259-CONTADORES!O258))</f>
        <v>11.299999999988358</v>
      </c>
      <c r="AL253" s="1509">
        <f t="shared" ca="1" si="105"/>
        <v>36.700000000029831</v>
      </c>
      <c r="AM253" s="1467">
        <f ca="1">IF(B253&gt;=$J$5,0,(((CONTADORES!F259-CONTADORES!F258)+(CONTADORES!AO259-CONTADORES!AO258))))-BJ253-AF253-AN253-BM253-BP253-BU253-BS253</f>
        <v>7.0490000000122759</v>
      </c>
      <c r="AN253" s="1466">
        <f ca="1">IF(B253&gt;=$J$5,0,(CONTADORES!AV259-CONTADORES!AV258)+(CONTADORES!AX259-CONTADORES!AX258)+(CONTADORES!BC259-CONTADORES!BC258))-BS253</f>
        <v>2.7899999999997274</v>
      </c>
      <c r="AO253" s="1440">
        <f ca="1">IF(B253&gt;=$J$5,0,(CONTADORES!AA259-CONTADORES!AA258))</f>
        <v>72.400000000023283</v>
      </c>
      <c r="AP253" s="1440">
        <f ca="1">IF(B253&gt;=$J$5,0,(CONTADORES!V259-CONTADORES!V258))</f>
        <v>152.40000000000146</v>
      </c>
      <c r="AQ253" s="1510">
        <f ca="1">IF(B253&gt;=$J$5,0,(CONTADORES!C259-CONTADORES!C258))</f>
        <v>0</v>
      </c>
      <c r="AR253" s="1468">
        <f ca="1">AR252+(CONTADORES!BA259-CONTADORES!BA258)</f>
        <v>0</v>
      </c>
      <c r="AS253" s="1466">
        <f ca="1">IF(B253&gt;=$J$5,0,CONTADORES!Q259-CONTADORES!Q258)</f>
        <v>15.799999999988358</v>
      </c>
      <c r="AT253" s="1466">
        <f ca="1">IF(B253&gt;=$J$5,0,(CONTADORES!S259-CONTADORES!S258)+(CONTADORES!AE259-CONTADORES!AE258))</f>
        <v>3.1999999999999886</v>
      </c>
      <c r="AU253" s="62">
        <f ca="1">IF(B253&gt;=$J$5,0,(CONTADORES!I259-CONTADORES!I258))</f>
        <v>80.5</v>
      </c>
      <c r="AV253" s="62">
        <f ca="1">IF(B253&gt;=$J$5,0,(CONTADORES!AT259-CONTADORES!AT258))</f>
        <v>65.299999999988358</v>
      </c>
      <c r="AW253" s="1468">
        <f ca="1">IF(B253&gt;=$J$5,0,(CONTADORES!L259-CONTADORES!L258)+(CONTADORES!AL259-CONTADORES!AL258))</f>
        <v>4.6000000000021828</v>
      </c>
      <c r="AX253" s="1468">
        <f ca="1">IF(B253&gt;=$J$5,0,(CONTADORES!N259-CONTADORES!N258)+(CONTADORES!AJ259-CONTADORES!AJ258))</f>
        <v>33</v>
      </c>
      <c r="AY253" s="1468">
        <f ca="1">IF(B253&gt;=$J$5,0,(CONTADORES!AH259-CONTADORES!AH258))</f>
        <v>7</v>
      </c>
      <c r="AZ253" s="1468">
        <f ca="1">IF(B253&gt;=$J$5,0,(CONTADORES!P259-CONTADORES!P258))</f>
        <v>8.8999999999941792</v>
      </c>
      <c r="BA253" s="1467">
        <f t="shared" ca="1" si="106"/>
        <v>10.139000000035281</v>
      </c>
      <c r="BB253" s="62">
        <f ca="1">IF(B253&gt;=$J$5,0,(((CONTADORES!G259-CONTADORES!G258)+(CONTADORES!AP259-CONTADORES!AP258)+AR253)-(AV253+BC253)))</f>
        <v>7.7000000000056161</v>
      </c>
      <c r="BC253" s="1466">
        <f ca="1">IF(B253&gt;=$J$5,0,(CONTADORES!AW259-CONTADORES!AW258)+(CONTADORES!AY259-CONTADORES!AY258)+(CONTADORES!BD259-CONTADORES!BD258))</f>
        <v>1.9999999999996589</v>
      </c>
      <c r="BD253" s="1466">
        <f t="shared" ca="1" si="107"/>
        <v>224.80000000002474</v>
      </c>
      <c r="BE253" s="1497">
        <f ca="1">IF($B253&gt;=$J$5,0,CONTADORES!$BE259)</f>
        <v>5605.8200000000006</v>
      </c>
      <c r="BF253" s="1496">
        <f ca="1">IF($B253&gt;=$J$5,0,CONTADORES!$BF259)</f>
        <v>33972.510526315789</v>
      </c>
      <c r="BG253" s="1496">
        <f ca="1">IF($B253&gt;=$J$5,0,CONTADORES!$BH259)</f>
        <v>6243.07</v>
      </c>
      <c r="BH253" s="1466">
        <f ca="1">IF(B253&gt;=$J$5,0,(CONTADORES!AQ259-CONTADORES!AQ258))</f>
        <v>5.5</v>
      </c>
      <c r="BI253" s="1466">
        <f ca="1">IF(C253&gt;=$J$5,0,(CONTADORES!AR259-CONTADORES!AR258))</f>
        <v>0</v>
      </c>
      <c r="BJ253" s="1467">
        <f ca="1">IF(B253&gt;=$J$5,0,CONTADORES!BI259-CONTADORES!BI258)/1000</f>
        <v>0</v>
      </c>
      <c r="BK253" s="1467">
        <f ca="1">IF(B253&gt;=$J$5,0,CONTADORES!BJ259-CONTADORES!BJ258)</f>
        <v>0</v>
      </c>
      <c r="BL253" s="1467">
        <f ca="1">IF(B253&gt;=$J$5,0,CONTADORES!BK259-CONTADORES!BK258)</f>
        <v>0</v>
      </c>
      <c r="BM253" s="1467">
        <f ca="1">IF(B253&gt;=$J$5,0,CONTADORES!BL259-CONTADORES!BL258)/1000</f>
        <v>3.605</v>
      </c>
      <c r="BN253" s="1467">
        <f ca="1">IF(B253&gt;=$J$5,0,CONTADORES!BM259-CONTADORES!BM258)/1000</f>
        <v>0.23599999999999999</v>
      </c>
      <c r="BO253" s="1467">
        <f ca="1">IF(B253&gt;=$J$5,0,CONTADORES!BN259-CONTADORES!BN258)</f>
        <v>24</v>
      </c>
      <c r="BP253" s="1467">
        <f ca="1">IF(B253&gt;=$J$5,0,CONTADORES!BO259-CONTADORES!BO258)/1000</f>
        <v>4.3460000000000001</v>
      </c>
      <c r="BQ253" s="1467">
        <f ca="1">IF(B253&gt;=$J$5,0,CONTADORES!BP259-CONTADORES!BP258)/1000</f>
        <v>0.47899999999999998</v>
      </c>
      <c r="BR253" s="1467">
        <f ca="1">IF(B253&gt;=$J$5,0,CONTADORES!BQ259-CONTADORES!BQ258)</f>
        <v>24</v>
      </c>
      <c r="BS253" s="1467">
        <f ca="1">IF(B253&gt;=$J$5,0,(CONTADORES!BT259-CONTADORES!BT258)+(CONTADORES!BV259-CONTADORES!BV258))/1000</f>
        <v>1.51</v>
      </c>
      <c r="BT253" s="1467">
        <f ca="1">IF(B253&gt;=$J$5,0,(CONTADORES!BU259-CONTADORES!BU258)+(CONTADORES!BW259-CONTADORES!BW258))/1000</f>
        <v>0.84599999999999997</v>
      </c>
      <c r="BU253" s="1467">
        <f ca="1">IF(B253&gt;=$J$5,0,CONTADORES!BR259-CONTADORES!BR258)</f>
        <v>5.8999999999996362</v>
      </c>
      <c r="BV253" s="1467">
        <f ca="1">IF(B253&gt;=$J$5,0,CONTADORES!BS259-CONTADORES!BS258)</f>
        <v>4.0999999999994543</v>
      </c>
      <c r="BW253" s="1467">
        <f t="shared" ca="1" si="108"/>
        <v>9.424500000005775</v>
      </c>
      <c r="BX253" s="1467">
        <f t="shared" ca="1" si="109"/>
        <v>7.9500000000022624</v>
      </c>
      <c r="BY253" s="1467">
        <f t="shared" ca="1" si="110"/>
        <v>3.5245000000061379</v>
      </c>
      <c r="BZ253" s="1467">
        <f t="shared" ca="1" si="111"/>
        <v>1.1159999999998911</v>
      </c>
      <c r="CA253" s="1467">
        <f t="shared" ca="1" si="112"/>
        <v>3.5245000000061379</v>
      </c>
      <c r="CB253" s="1467">
        <f t="shared" ca="1" si="113"/>
        <v>1.6739999999998363</v>
      </c>
      <c r="CC253" s="1467">
        <f t="shared" ca="1" si="114"/>
        <v>2.6259999999998911</v>
      </c>
      <c r="CD253" s="1467">
        <f t="shared" ca="1" si="115"/>
        <v>3.8500000000028081</v>
      </c>
      <c r="CE253" s="1467">
        <f ca="1">IF(B253&gt;=$J$5,0,CONTADORES!BS259-CONTADORES!BS258)</f>
        <v>4.0999999999994543</v>
      </c>
      <c r="CF253" s="1467">
        <f t="shared" ca="1" si="116"/>
        <v>3.8500000000028081</v>
      </c>
      <c r="CG253" s="1467">
        <f t="shared" ca="1" si="117"/>
        <v>0.99999999999982947</v>
      </c>
      <c r="CH253" s="1467">
        <f t="shared" ca="1" si="118"/>
        <v>0.99999999999982947</v>
      </c>
      <c r="CI253" s="1467">
        <f t="shared" ca="1" si="119"/>
        <v>1.8459999999998296</v>
      </c>
      <c r="CJ253" s="1489">
        <f ca="1">IF($B253&gt;=$J$5,0,CONTADORES!$BG259)</f>
        <v>5215.2745453981261</v>
      </c>
      <c r="CK253" s="1385">
        <f>CONTADORES!E259</f>
        <v>0</v>
      </c>
      <c r="CL253" s="1385">
        <f>CONTADORES!BX259</f>
        <v>0</v>
      </c>
    </row>
    <row r="254" spans="2:90">
      <c r="B254" s="410">
        <v>45170</v>
      </c>
      <c r="C254" s="217">
        <f t="shared" ca="1" si="95"/>
        <v>153.45999999996275</v>
      </c>
      <c r="D254" s="210">
        <f ca="1">'CALCULO DE GAS'!P72</f>
        <v>3.7925005469996274</v>
      </c>
      <c r="E254" s="210">
        <f ca="1">IF(B254&gt;=$J$5,0,(CONTADORES!$AB262-CONTADORES!$AB261)-$H254)</f>
        <v>24</v>
      </c>
      <c r="F254" s="1511">
        <f t="shared" ca="1" si="121"/>
        <v>0</v>
      </c>
      <c r="G254" s="210">
        <f ca="1">IF(B254&gt;=$J$5,0,CONTADORES!$AD262-CONTADORES!$AD261)</f>
        <v>0</v>
      </c>
      <c r="H254" s="210">
        <f ca="1">IF(G254&gt;0,CONTADORES!$AC262-CONTADORES!$AC261,0)</f>
        <v>0</v>
      </c>
      <c r="I254" s="1512">
        <f ca="1">IF(B254&gt;=$J$5,0,CONTADORES!$Z262-CONTADORES!$Z261)</f>
        <v>153.45999999996275</v>
      </c>
      <c r="J254" s="217">
        <f t="shared" ca="1" si="96"/>
        <v>305.05999999999767</v>
      </c>
      <c r="K254" s="210">
        <f ca="1">'CALCULO DE GAS'!Q72</f>
        <v>5.1881232247777547</v>
      </c>
      <c r="L254" s="1512">
        <f ca="1">IF(B254&gt;=$J$5,0,(CONTADORES!$W262-CONTADORES!$W261)-$O254)</f>
        <v>24</v>
      </c>
      <c r="M254" s="1512">
        <f t="shared" ca="1" si="122"/>
        <v>0</v>
      </c>
      <c r="N254" s="1512">
        <f ca="1">IF(B254&gt;=$J$5,0,CONTADORES!$Y262-CONTADORES!$Y261)</f>
        <v>0</v>
      </c>
      <c r="O254" s="218">
        <f ca="1">IF(N254&gt;0,CONTADORES!$X262-CONTADORES!$X261,0)</f>
        <v>0</v>
      </c>
      <c r="P254" s="1475">
        <f ca="1">IF(B254&gt;=$J$5,0,CONTADORES!$U262-CONTADORES!$U261)</f>
        <v>305.05999999999767</v>
      </c>
      <c r="Q254" s="217">
        <f ca="1">IF(B254&gt;=$J$5,0,CONTADORES!$B262-CONTADORES!$B261)</f>
        <v>0</v>
      </c>
      <c r="R254" s="210">
        <f t="shared" ca="1" si="97"/>
        <v>0</v>
      </c>
      <c r="S254" s="180">
        <f ca="1">IF(B254&gt;=$J$5,0,CONTADORES!$D262-CONTADORES!$D261)</f>
        <v>0</v>
      </c>
      <c r="T254" s="217">
        <f ca="1">IF(B254&gt;=$J$5,0,CONTADORES!$AZ262-CONTADORES!$AZ261)</f>
        <v>0</v>
      </c>
      <c r="U254" s="210">
        <f t="shared" ca="1" si="123"/>
        <v>0</v>
      </c>
      <c r="V254" s="218">
        <f ca="1">IF(B254&gt;=$J$5,0,CONTADORES!$BB262-CONTADORES!$BB261)</f>
        <v>0</v>
      </c>
      <c r="W254" s="1438">
        <f t="shared" ca="1" si="98"/>
        <v>458.51999999996042</v>
      </c>
      <c r="X254" s="1438">
        <f t="shared" ca="1" si="99"/>
        <v>0</v>
      </c>
      <c r="Y254" s="1439">
        <f t="shared" ca="1" si="100"/>
        <v>458.51999999996042</v>
      </c>
      <c r="Z254" s="1439">
        <f t="shared" ca="1" si="101"/>
        <v>8.9806237717773811</v>
      </c>
      <c r="AA254" s="1439">
        <f t="shared" ca="1" si="102"/>
        <v>0</v>
      </c>
      <c r="AB254" s="1439">
        <f t="shared" ca="1" si="103"/>
        <v>48</v>
      </c>
      <c r="AC254" s="1438">
        <f t="shared" ca="1" si="104"/>
        <v>0</v>
      </c>
      <c r="AD254" s="1475">
        <f ca="1">IF(B254&gt;=$J$5,0,CONTADORES!H262-CONTADORES!H261)</f>
        <v>165.68699999999808</v>
      </c>
      <c r="AE254" s="1476">
        <f ca="1">IF(B254&gt;=$J$5,0,CONTADORES!J262-CONTADORES!J261)</f>
        <v>24</v>
      </c>
      <c r="AF254" s="1475">
        <f ca="1">IF(B254&gt;=$J$5,0,CONTADORES!AS262-CONTADORES!AS261)</f>
        <v>151.09999999997672</v>
      </c>
      <c r="AG254" s="1476">
        <f ca="1">IF(B254&gt;=$J$5,0,CONTADORES!AU262-CONTADORES!AU261)</f>
        <v>24</v>
      </c>
      <c r="AH254" s="1475">
        <f ca="1">IF(B254&gt;=$J$5,0,(CONTADORES!AK262-CONTADORES!AK261)+(CONTADORES!K262-CONTADORES!K261))</f>
        <v>11.399999999994179</v>
      </c>
      <c r="AI254" s="1475">
        <f ca="1">IF(B254&gt;=$J$5,0,(CONTADORES!AI262-CONTADORES!AI261)+(CONTADORES!M262-CONTADORES!M261))</f>
        <v>39.819999999992433</v>
      </c>
      <c r="AJ254" s="1475">
        <f ca="1">IF(B254&gt;=$J$5,0,(CONTADORES!AG262-CONTADORES!AG261))</f>
        <v>11.139999999999418</v>
      </c>
      <c r="AK254" s="1475">
        <f ca="1">IF(B254&gt;=$J$5,0,(CONTADORES!O262-CONTADORES!O261))</f>
        <v>12.080000000016298</v>
      </c>
      <c r="AL254" s="1490">
        <f t="shared" ca="1" si="105"/>
        <v>36.692999999962922</v>
      </c>
      <c r="AM254" s="1475">
        <f ca="1">IF(B254&gt;=$J$5,0,(((CONTADORES!F262-CONTADORES!F261)+(CONTADORES!AO262-CONTADORES!AO261))))-BJ254-AF254-AN254-BM254-BP254-BU254-BS254</f>
        <v>12.719000000019737</v>
      </c>
      <c r="AN254" s="1475">
        <f ca="1">IF(B254&gt;=$J$5,0,(CONTADORES!AV262-CONTADORES!AV261)+(CONTADORES!AX262-CONTADORES!AX261)+(CONTADORES!BC262-CONTADORES!BC261))</f>
        <v>2.419999999999618</v>
      </c>
      <c r="AO254" s="1502">
        <f>(CONTADORES!AA262-CONTADORES!AA261)</f>
        <v>75.839999999967404</v>
      </c>
      <c r="AP254" s="1513">
        <f>(CONTADORES!V262-CONTADORES!V261)</f>
        <v>156.86999999999898</v>
      </c>
      <c r="AQ254" s="1440">
        <f>(CONTADORES!C262-CONTADORES!C261)</f>
        <v>0</v>
      </c>
      <c r="AR254" s="1440">
        <f>(CONTADORES!BA262-CONTADORES!BA261)</f>
        <v>0</v>
      </c>
      <c r="AS254" s="1438">
        <f ca="1">IF(B254&gt;=$J$5,0,CONTADORES!Q262-CONTADORES!Q261)</f>
        <v>16.309999999997672</v>
      </c>
      <c r="AT254" s="1438">
        <f ca="1">IF(B254&gt;=$J$5,0,(CONTADORES!S262-CONTADORES!S261)+(CONTADORES!AE262-CONTADORES!AE261))</f>
        <v>3.0799999999999841</v>
      </c>
      <c r="AU254" s="1474">
        <f>CONTADORES!I262-CONTADORES!I261</f>
        <v>83.322000000000116</v>
      </c>
      <c r="AV254" s="1440">
        <f>CONTADORES!AT262-CONTADORES!AT261</f>
        <v>65.309999999997672</v>
      </c>
      <c r="AW254" s="1440">
        <f ca="1">IF(B254&gt;=$J$5,0,(CONTADORES!L262-CONTADORES!L261)+(CONTADORES!AL262-CONTADORES!AL261))</f>
        <v>4.5999999999985448</v>
      </c>
      <c r="AX254" s="1440">
        <f ca="1">IF(B254&gt;=$J$5,0,(CONTADORES!N262-CONTADORES!N261)+(CONTADORES!AJ262-CONTADORES!AJ261))</f>
        <v>34.319999999999709</v>
      </c>
      <c r="AY254" s="1440">
        <f ca="1">IF(B254&gt;=$J$5,0,(CONTADORES!AH262-CONTADORES!AH261))</f>
        <v>8.5200000000040745</v>
      </c>
      <c r="AZ254" s="1440">
        <f ca="1">IF(B254&gt;=$J$5,0,(CONTADORES!P262-CONTADORES!P261))</f>
        <v>9.5900000000110595</v>
      </c>
      <c r="BA254" s="1439">
        <f t="shared" ca="1" si="106"/>
        <v>10.940999999934888</v>
      </c>
      <c r="BB254" s="1440">
        <f ca="1">IF(B254&gt;=$J$5,0,(((CONTADORES!G262-CONTADORES!G261)+(CONTADORES!AP262-CONTADORES!AP261)+AR254)-(AV254+BC254)))</f>
        <v>10.640000000019427</v>
      </c>
      <c r="BC254" s="1438">
        <f ca="1">IF(B254&gt;=$J$5,0,(CONTADORES!AW262-CONTADORES!AW261)+(CONTADORES!AY262-CONTADORES!AY261)+(CONTADORES!BD262-CONTADORES!BD261))</f>
        <v>5.0000000000181899E-2</v>
      </c>
      <c r="BD254" s="1438">
        <f t="shared" si="107"/>
        <v>232.70999999996639</v>
      </c>
      <c r="BE254" s="1439">
        <f ca="1">IF($B254&gt;=$J$5,0,CONTADORES!$BE262)</f>
        <v>5943.4</v>
      </c>
      <c r="BF254" s="1438">
        <f ca="1">IF($B254&gt;=$J$5,0,CONTADORES!$BF262)</f>
        <v>33203.987719298202</v>
      </c>
      <c r="BG254" s="1438">
        <f ca="1">IF($B254&gt;=$J$5,0,CONTADORES!$BH262)</f>
        <v>5373.1</v>
      </c>
      <c r="BH254" s="1438">
        <f ca="1">IF(B254&gt;=$J$5,0,(CONTADORES!AQ262-CONTADORES!AQ261))</f>
        <v>5.0910000000003492</v>
      </c>
      <c r="BI254" s="1438">
        <f ca="1">IF(C254&gt;=$J$5,0,(CONTADORES!AR262-CONTADORES!AR261))</f>
        <v>0</v>
      </c>
      <c r="BJ254" s="1438">
        <f ca="1">IF(B254&gt;=$J$5,0,CONTADORES!BI262-CONTADORES!BI261)/1000</f>
        <v>0</v>
      </c>
      <c r="BK254" s="1438">
        <f ca="1">IF(BF254&gt;=$J$5,0,CONTADORES!BJ262-CONTADORES!BJ261)</f>
        <v>0</v>
      </c>
      <c r="BL254" s="1438">
        <f ca="1">IF(BG254&gt;=$J$5,0,CONTADORES!BK262-CONTADORES!BK261)</f>
        <v>0</v>
      </c>
      <c r="BM254" s="1438">
        <f ca="1">IF(B254&gt;=$J$5,0,CONTADORES!BL262-CONTADORES!BL261)/1000</f>
        <v>3.4670000000000001</v>
      </c>
      <c r="BN254" s="1438">
        <f ca="1">IF(B254&gt;=$J$5,0,CONTADORES!BM262-CONTADORES!BM261)/1000</f>
        <v>0.11700000000000001</v>
      </c>
      <c r="BO254" s="1438">
        <f ca="1">IF(B254&gt;=$J$5,0,CONTADORES!BN262-CONTADORES!BN261)</f>
        <v>24</v>
      </c>
      <c r="BP254" s="1438">
        <f ca="1">IF(B254&gt;=$J$5,0,CONTADORES!BO262-CONTADORES!BO261)/1000</f>
        <v>4.3719999999999999</v>
      </c>
      <c r="BQ254" s="1438">
        <f ca="1">IF(B254&gt;=$J$5,0,CONTADORES!BP262-CONTADORES!BP261)/1000</f>
        <v>0.251</v>
      </c>
      <c r="BR254" s="1438">
        <f ca="1">IF(B254&gt;=$J$5,0,CONTADORES!BQ262-CONTADORES!BQ261)</f>
        <v>24</v>
      </c>
      <c r="BS254" s="1439">
        <f ca="1">IF(B254&gt;=$J$5,0,(CONTADORES!BT262-CONTADORES!BT261)+(CONTADORES!BV262-CONTADORES!BV261))/1000</f>
        <v>1.492</v>
      </c>
      <c r="BT254" s="1439">
        <f ca="1">IF(B254&gt;=$J$5,0,(CONTADORES!BU262-CONTADORES!BU261)+(CONTADORES!BW262-CONTADORES!BW261))/1000</f>
        <v>0.84899999999999998</v>
      </c>
      <c r="BU254" s="1439">
        <f ca="1">IF(B254&gt;=$J$5,0,CONTADORES!BR262-CONTADORES!BR261)</f>
        <v>6.1300000000010186</v>
      </c>
      <c r="BV254" s="1439">
        <f ca="1">IF(B254&gt;=$J$5,0,CONTADORES!BS262-CONTADORES!BS261)</f>
        <v>4.2000000000007276</v>
      </c>
      <c r="BW254" s="1475">
        <f t="shared" ca="1" si="108"/>
        <v>12.489500000010887</v>
      </c>
      <c r="BX254" s="1475">
        <f t="shared" ca="1" si="109"/>
        <v>9.520000000010441</v>
      </c>
      <c r="BY254" s="1475">
        <f t="shared" ca="1" si="110"/>
        <v>6.3595000000098683</v>
      </c>
      <c r="BZ254" s="1475">
        <f t="shared" ca="1" si="111"/>
        <v>0.9679999999998472</v>
      </c>
      <c r="CA254" s="1475">
        <f t="shared" ca="1" si="112"/>
        <v>6.3595000000098683</v>
      </c>
      <c r="CB254" s="1475">
        <f t="shared" ca="1" si="113"/>
        <v>1.4519999999997708</v>
      </c>
      <c r="CC254" s="1475">
        <f t="shared" ca="1" si="114"/>
        <v>2.4599999999998472</v>
      </c>
      <c r="CD254" s="1475">
        <f t="shared" ca="1" si="115"/>
        <v>5.3200000000097134</v>
      </c>
      <c r="CE254" s="1475">
        <f ca="1">IF(B254&gt;=$J$5,0,CONTADORES!BS262-CONTADORES!BS261)</f>
        <v>4.2000000000007276</v>
      </c>
      <c r="CF254" s="1475">
        <f t="shared" ca="1" si="116"/>
        <v>5.3200000000097134</v>
      </c>
      <c r="CG254" s="1475">
        <f t="shared" ca="1" si="117"/>
        <v>2.5000000000090949E-2</v>
      </c>
      <c r="CH254" s="1475">
        <f t="shared" ca="1" si="118"/>
        <v>2.5000000000090949E-2</v>
      </c>
      <c r="CI254" s="1475">
        <f t="shared" ca="1" si="119"/>
        <v>0.87400000000009093</v>
      </c>
      <c r="CJ254" s="1475">
        <f ca="1">IF($B254&gt;=$J$5,0,CONTADORES!$BG262)</f>
        <v>1004.00010491381</v>
      </c>
      <c r="CK254" s="1383">
        <f>CONTADORES!E262</f>
        <v>0</v>
      </c>
      <c r="CL254" s="1383">
        <f>CONTADORES!BX262</f>
        <v>0</v>
      </c>
    </row>
    <row r="255" spans="2:90">
      <c r="B255" s="410">
        <v>45171</v>
      </c>
      <c r="C255" s="208">
        <f t="shared" ca="1" si="95"/>
        <v>147.04000000003725</v>
      </c>
      <c r="D255" s="202">
        <f ca="1">'CALCULO DE GAS'!P73</f>
        <v>3.7283540470003715</v>
      </c>
      <c r="E255" s="202">
        <f ca="1">IF(B255&gt;=$J$5,0,(CONTADORES!$AB263-CONTADORES!$AB262)-$H255)</f>
        <v>24</v>
      </c>
      <c r="F255" s="204">
        <f t="shared" ca="1" si="121"/>
        <v>0</v>
      </c>
      <c r="G255" s="202">
        <f ca="1">IF(B255&gt;=$J$5,0,CONTADORES!$AD263-CONTADORES!$AD262)</f>
        <v>0</v>
      </c>
      <c r="H255" s="202">
        <f ca="1">IF(G255&gt;0,CONTADORES!$AC263-CONTADORES!$AC262,0)</f>
        <v>0</v>
      </c>
      <c r="I255" s="1437">
        <f ca="1">IF(B255&gt;=$J$5,0,CONTADORES!$Z263-CONTADORES!$Z262)</f>
        <v>147.04000000003725</v>
      </c>
      <c r="J255" s="208">
        <f t="shared" ca="1" si="96"/>
        <v>293.87000000000262</v>
      </c>
      <c r="K255" s="202">
        <f ca="1">'CALCULO DE GAS'!Q73</f>
        <v>5.0837702581111346</v>
      </c>
      <c r="L255" s="1437">
        <f ca="1">IF(B255&gt;=$J$5,0,(CONTADORES!$W263-CONTADORES!$W262)-$O255)</f>
        <v>24</v>
      </c>
      <c r="M255" s="1437">
        <f t="shared" ca="1" si="122"/>
        <v>0</v>
      </c>
      <c r="N255" s="1437">
        <f ca="1">IF(B255&gt;=$J$5,0,CONTADORES!$Y263-CONTADORES!$Y262)</f>
        <v>0</v>
      </c>
      <c r="O255" s="205">
        <f ca="1">IF(N255&gt;0,CONTADORES!$X263-CONTADORES!$X262,0)</f>
        <v>0</v>
      </c>
      <c r="P255" s="1439">
        <f ca="1">IF(B255&gt;=$J$5,0,CONTADORES!$U263-CONTADORES!$U262)</f>
        <v>293.87000000000262</v>
      </c>
      <c r="Q255" s="208">
        <f ca="1">IF(B255&gt;=$J$5,0,CONTADORES!$B263-CONTADORES!$B262)</f>
        <v>0</v>
      </c>
      <c r="R255" s="202">
        <f t="shared" ca="1" si="97"/>
        <v>0</v>
      </c>
      <c r="S255" s="11">
        <f ca="1">IF(B255&gt;=$J$5,0,CONTADORES!$D263-CONTADORES!$D262)</f>
        <v>0</v>
      </c>
      <c r="T255" s="208">
        <f ca="1">IF(B255&gt;=$J$5,0,CONTADORES!$AZ263-CONTADORES!$AZ262)</f>
        <v>0</v>
      </c>
      <c r="U255" s="202">
        <f t="shared" ca="1" si="123"/>
        <v>0</v>
      </c>
      <c r="V255" s="205">
        <f ca="1">IF(B255&gt;=$J$5,0,CONTADORES!$BB263-CONTADORES!$BB262)</f>
        <v>0</v>
      </c>
      <c r="W255" s="1438">
        <f t="shared" ca="1" si="98"/>
        <v>440.91000000003987</v>
      </c>
      <c r="X255" s="1438">
        <f t="shared" ca="1" si="99"/>
        <v>0</v>
      </c>
      <c r="Y255" s="1439">
        <f t="shared" ca="1" si="100"/>
        <v>440.91000000003987</v>
      </c>
      <c r="Z255" s="1439">
        <f t="shared" ca="1" si="101"/>
        <v>8.8121243051115066</v>
      </c>
      <c r="AA255" s="1439">
        <f t="shared" ca="1" si="102"/>
        <v>0</v>
      </c>
      <c r="AB255" s="1439">
        <f t="shared" ca="1" si="103"/>
        <v>48</v>
      </c>
      <c r="AC255" s="1438">
        <f t="shared" ca="1" si="104"/>
        <v>0</v>
      </c>
      <c r="AD255" s="1439">
        <f ca="1">IF(B255&gt;=$J$5,0,CONTADORES!H263-CONTADORES!H262)</f>
        <v>162.91300000000047</v>
      </c>
      <c r="AE255" s="1438">
        <f ca="1">IF(B255&gt;=$J$5,0,CONTADORES!J263-CONTADORES!J262)</f>
        <v>24</v>
      </c>
      <c r="AF255" s="1439">
        <f ca="1">IF(B255&gt;=$J$5,0,CONTADORES!AS263-CONTADORES!AS262)</f>
        <v>149.90000000002328</v>
      </c>
      <c r="AG255" s="1438">
        <f ca="1">IF(B255&gt;=$J$5,0,CONTADORES!AU263-CONTADORES!AU262)</f>
        <v>24</v>
      </c>
      <c r="AH255" s="1439">
        <f ca="1">IF(B255&gt;=$J$5,0,(CONTADORES!AK263-CONTADORES!AK262)+(CONTADORES!K263-CONTADORES!K262))</f>
        <v>8.7000000000043656</v>
      </c>
      <c r="AI255" s="1439">
        <f ca="1">IF(B255&gt;=$J$5,0,(CONTADORES!AI263-CONTADORES!AI262)+(CONTADORES!M263-CONTADORES!M262))</f>
        <v>37.850000000005821</v>
      </c>
      <c r="AJ255" s="1439">
        <f ca="1">IF(B255&gt;=$J$5,0,(CONTADORES!AG263-CONTADORES!AG262))</f>
        <v>10</v>
      </c>
      <c r="AK255" s="1439">
        <f ca="1">IF(B255&gt;=$J$5,0,(CONTADORES!O263-CONTADORES!O262))</f>
        <v>11.820000000006985</v>
      </c>
      <c r="AL255" s="1500">
        <f t="shared" ca="1" si="105"/>
        <v>33.92700000005425</v>
      </c>
      <c r="AM255" s="1450">
        <f ca="1">IF(B255&gt;=$J$5,0,(((CONTADORES!F263-CONTADORES!F262)+(CONTADORES!AO263-CONTADORES!AO262))))-BJ255-AF255-AN255-BM255-BP255-BU255-BS255</f>
        <v>8.2479999999449216</v>
      </c>
      <c r="AN255" s="1439">
        <f ca="1">IF(B255&gt;=$J$5,0,(CONTADORES!AV263-CONTADORES!AV262)+(CONTADORES!AX263-CONTADORES!AX262)+(CONTADORES!BC263-CONTADORES!BC262))</f>
        <v>3</v>
      </c>
      <c r="AO255" s="1474">
        <f>(CONTADORES!AA263-CONTADORES!AA262)</f>
        <v>71.059999999997672</v>
      </c>
      <c r="AP255" s="1474">
        <f>(CONTADORES!V263-CONTADORES!V262)</f>
        <v>152.72999999999956</v>
      </c>
      <c r="AQ255" s="1440">
        <f>(CONTADORES!C263-CONTADORES!C262)</f>
        <v>0</v>
      </c>
      <c r="AR255" s="1440">
        <f>(CONTADORES!BA263-CONTADORES!BA262)</f>
        <v>0</v>
      </c>
      <c r="AS255" s="1438">
        <f ca="1">IF(B255&gt;=$J$5,0,CONTADORES!Q263-CONTADORES!Q262)</f>
        <v>15.260000000009313</v>
      </c>
      <c r="AT255" s="1438">
        <f ca="1">IF(B255&gt;=$J$5,0,(CONTADORES!S263-CONTADORES!S262)+(CONTADORES!AE263-CONTADORES!AE262))</f>
        <v>2.8100000000000023</v>
      </c>
      <c r="AU255" s="1474">
        <f>CONTADORES!I263-CONTADORES!I262</f>
        <v>80.778000000000247</v>
      </c>
      <c r="AV255" s="1440">
        <f>CONTADORES!AT263-CONTADORES!AT262</f>
        <v>64.790000000008149</v>
      </c>
      <c r="AW255" s="1440">
        <f ca="1">IF(B255&gt;=$J$5,0,(CONTADORES!L263-CONTADORES!L262)+(CONTADORES!AL263-CONTADORES!AL262))</f>
        <v>3.4000000000014552</v>
      </c>
      <c r="AX255" s="1440">
        <f ca="1">IF(B255&gt;=$J$5,0,(CONTADORES!N263-CONTADORES!N262)+(CONTADORES!AJ263-CONTADORES!AJ262))</f>
        <v>32.599999999998545</v>
      </c>
      <c r="AY255" s="1440">
        <f ca="1">IF(B255&gt;=$J$5,0,(CONTADORES!AH263-CONTADORES!AH262))</f>
        <v>7.7099999999991269</v>
      </c>
      <c r="AZ255" s="1440">
        <f ca="1">IF(B255&gt;=$J$5,0,(CONTADORES!P263-CONTADORES!P262))</f>
        <v>9.4899999999906868</v>
      </c>
      <c r="BA255" s="1450">
        <f t="shared" ca="1" si="106"/>
        <v>10.532000000013198</v>
      </c>
      <c r="BB255" s="1440">
        <f ca="1">IF(B255&gt;=$J$5,0,(((CONTADORES!G263-CONTADORES!G262)+(CONTADORES!AP263-CONTADORES!AP262)+AR255)-(AV255+BC255)))</f>
        <v>8.3099999999864167</v>
      </c>
      <c r="BC255" s="1438">
        <f ca="1">IF(B255&gt;=$J$5,0,(CONTADORES!AW263-CONTADORES!AW262)+(CONTADORES!AY263-CONTADORES!AY262)+(CONTADORES!BD263-CONTADORES!BD262))</f>
        <v>0.89999999999997726</v>
      </c>
      <c r="BD255" s="1438">
        <f t="shared" si="107"/>
        <v>223.78999999999724</v>
      </c>
      <c r="BE255" s="1439">
        <f ca="1">IF($B255&gt;=$J$5,0,CONTADORES!$BE263)</f>
        <v>6080.68</v>
      </c>
      <c r="BF255" s="1438">
        <f ca="1">IF($B255&gt;=$J$5,0,CONTADORES!$BF263)</f>
        <v>33517.836842105302</v>
      </c>
      <c r="BG255" s="1438">
        <f ca="1">IF($B255&gt;=$J$5,0,CONTADORES!$BH263)</f>
        <v>5556.2</v>
      </c>
      <c r="BH255" s="1438">
        <f ca="1">IF(B255&gt;=$J$5,0,(CONTADORES!AQ263-CONTADORES!AQ262))</f>
        <v>4.6239999999961583</v>
      </c>
      <c r="BI255" s="1438">
        <f ca="1">IF(C255&gt;=$J$5,0,(CONTADORES!AR263-CONTADORES!AR262))</f>
        <v>0</v>
      </c>
      <c r="BJ255" s="1438">
        <f ca="1">IF(B255&gt;=$J$5,0,CONTADORES!BI263-CONTADORES!BI262)/1000</f>
        <v>0</v>
      </c>
      <c r="BK255" s="1438">
        <f ca="1">IF(BF255&gt;=$J$5,0,CONTADORES!BJ263-CONTADORES!BJ262)</f>
        <v>0</v>
      </c>
      <c r="BL255" s="1438">
        <f ca="1">IF(BG255&gt;=$J$5,0,CONTADORES!BK263-CONTADORES!BK262)</f>
        <v>0</v>
      </c>
      <c r="BM255" s="1438">
        <f ca="1">IF(B255&gt;=$J$5,0,CONTADORES!BL263-CONTADORES!BL262)/1000</f>
        <v>3.2810000000000001</v>
      </c>
      <c r="BN255" s="1438">
        <f ca="1">IF(B255&gt;=$J$5,0,CONTADORES!BM263-CONTADORES!BM262)/1000</f>
        <v>0.13900000000000001</v>
      </c>
      <c r="BO255" s="1438">
        <f ca="1">IF(B255&gt;=$J$5,0,CONTADORES!BN263-CONTADORES!BN262)</f>
        <v>24</v>
      </c>
      <c r="BP255" s="1438">
        <f ca="1">IF(B255&gt;=$J$5,0,CONTADORES!BO263-CONTADORES!BO262)/1000</f>
        <v>3.931</v>
      </c>
      <c r="BQ255" s="1438">
        <f ca="1">IF(B255&gt;=$J$5,0,CONTADORES!BP263-CONTADORES!BP262)/1000</f>
        <v>0.20799999999999999</v>
      </c>
      <c r="BR255" s="1438">
        <f ca="1">IF(B255&gt;=$J$5,0,CONTADORES!BQ263-CONTADORES!BQ262)</f>
        <v>24</v>
      </c>
      <c r="BS255" s="1439">
        <f ca="1">IF(B255&gt;=$J$5,0,(CONTADORES!BT263-CONTADORES!BT262)+(CONTADORES!BV263-CONTADORES!BV262))/1000</f>
        <v>1.35</v>
      </c>
      <c r="BT255" s="1439">
        <f ca="1">IF(B255&gt;=$J$5,0,(CONTADORES!BU263-CONTADORES!BU262)+(CONTADORES!BW263-CONTADORES!BW262))/1000</f>
        <v>0.79300000000000004</v>
      </c>
      <c r="BU255" s="1439">
        <f ca="1">IF(B255&gt;=$J$5,0,CONTADORES!BR263-CONTADORES!BR262)</f>
        <v>5.9899999999997817</v>
      </c>
      <c r="BV255" s="1439">
        <f ca="1">IF(B255&gt;=$J$5,0,CONTADORES!BS263-CONTADORES!BS262)</f>
        <v>4.1399999999994179</v>
      </c>
      <c r="BW255" s="1450">
        <f t="shared" ca="1" si="108"/>
        <v>10.113999999972243</v>
      </c>
      <c r="BX255" s="1450">
        <f t="shared" ca="1" si="109"/>
        <v>8.2949999999926263</v>
      </c>
      <c r="BY255" s="1450">
        <f t="shared" ca="1" si="110"/>
        <v>4.1239999999724608</v>
      </c>
      <c r="BZ255" s="1450">
        <f t="shared" ca="1" si="111"/>
        <v>1.2000000000000002</v>
      </c>
      <c r="CA255" s="1450">
        <f t="shared" ca="1" si="112"/>
        <v>4.1239999999724608</v>
      </c>
      <c r="CB255" s="1450">
        <f t="shared" ca="1" si="113"/>
        <v>1.7999999999999998</v>
      </c>
      <c r="CC255" s="1450">
        <f t="shared" ca="1" si="114"/>
        <v>2.5500000000000003</v>
      </c>
      <c r="CD255" s="1450">
        <f t="shared" ca="1" si="115"/>
        <v>4.1549999999932083</v>
      </c>
      <c r="CE255" s="1450">
        <f ca="1">IF(B255&gt;=$J$5,0,CONTADORES!BS263-CONTADORES!BS262)</f>
        <v>4.1399999999994179</v>
      </c>
      <c r="CF255" s="1450">
        <f t="shared" ca="1" si="116"/>
        <v>4.1549999999932083</v>
      </c>
      <c r="CG255" s="1450">
        <f t="shared" ca="1" si="117"/>
        <v>0.44999999999998863</v>
      </c>
      <c r="CH255" s="1450">
        <f t="shared" ca="1" si="118"/>
        <v>0.44999999999998863</v>
      </c>
      <c r="CI255" s="1450">
        <f t="shared" ca="1" si="119"/>
        <v>1.2429999999999888</v>
      </c>
      <c r="CJ255" s="1450">
        <f ca="1">IF($B255&gt;=$J$5,0,CONTADORES!$BG263)</f>
        <v>7615.4942622490598</v>
      </c>
      <c r="CK255" s="1384">
        <f>CONTADORES!E263</f>
        <v>0</v>
      </c>
      <c r="CL255" s="1384">
        <f>CONTADORES!BX263</f>
        <v>0</v>
      </c>
    </row>
    <row r="256" spans="2:90">
      <c r="B256" s="410">
        <v>45172</v>
      </c>
      <c r="C256" s="208">
        <f t="shared" ca="1" si="95"/>
        <v>152.26000000000931</v>
      </c>
      <c r="D256" s="202">
        <f ca="1">'CALCULO DE GAS'!P74</f>
        <v>3.7805105470000928</v>
      </c>
      <c r="E256" s="202">
        <f ca="1">IF(B256&gt;=$J$5,0,(CONTADORES!$AB264-CONTADORES!$AB263)-$H256)</f>
        <v>24</v>
      </c>
      <c r="F256" s="204">
        <f t="shared" ca="1" si="121"/>
        <v>0</v>
      </c>
      <c r="G256" s="202">
        <f ca="1">IF(B256&gt;=$J$5,0,CONTADORES!$AD264-CONTADORES!$AD263)</f>
        <v>0</v>
      </c>
      <c r="H256" s="202">
        <f ca="1">IF(G256&gt;0,CONTADORES!$AC264-CONTADORES!$AC263,0)</f>
        <v>0</v>
      </c>
      <c r="I256" s="1437">
        <f ca="1">IF(B256&gt;=$J$5,0,CONTADORES!$Z264-CONTADORES!$Z263)</f>
        <v>152.26000000000931</v>
      </c>
      <c r="J256" s="208">
        <f t="shared" ca="1" si="96"/>
        <v>291.16999999999825</v>
      </c>
      <c r="K256" s="202">
        <f ca="1">'CALCULO DE GAS'!Q74</f>
        <v>5.0585912581110941</v>
      </c>
      <c r="L256" s="1437">
        <f ca="1">IF(B256&gt;=$J$5,0,(CONTADORES!$W264-CONTADORES!$W263)-$O256)</f>
        <v>24</v>
      </c>
      <c r="M256" s="1437">
        <f t="shared" ca="1" si="122"/>
        <v>0</v>
      </c>
      <c r="N256" s="1437">
        <f ca="1">IF(B256&gt;=$J$5,0,CONTADORES!$Y264-CONTADORES!$Y263)</f>
        <v>0</v>
      </c>
      <c r="O256" s="205">
        <f ca="1">IF(N256&gt;0,CONTADORES!$X264-CONTADORES!$X263,0)</f>
        <v>0</v>
      </c>
      <c r="P256" s="1439">
        <f ca="1">IF(B256&gt;=$J$5,0,CONTADORES!$U264-CONTADORES!$U263)</f>
        <v>291.16999999999825</v>
      </c>
      <c r="Q256" s="208">
        <f ca="1">IF(B256&gt;=$J$5,0,CONTADORES!$B264-CONTADORES!$B263)</f>
        <v>0</v>
      </c>
      <c r="R256" s="202">
        <f t="shared" ca="1" si="97"/>
        <v>0</v>
      </c>
      <c r="S256" s="11">
        <f ca="1">IF(B256&gt;=$J$5,0,CONTADORES!$D264-CONTADORES!$D263)</f>
        <v>0</v>
      </c>
      <c r="T256" s="208">
        <f ca="1">IF(B256&gt;=$J$5,0,CONTADORES!$AZ264-CONTADORES!$AZ263)</f>
        <v>0</v>
      </c>
      <c r="U256" s="202">
        <f t="shared" ca="1" si="123"/>
        <v>0</v>
      </c>
      <c r="V256" s="205">
        <f ca="1">IF(B256&gt;=$J$5,0,CONTADORES!$BB264-CONTADORES!$BB263)</f>
        <v>0</v>
      </c>
      <c r="W256" s="1438">
        <f t="shared" ca="1" si="98"/>
        <v>443.43000000000757</v>
      </c>
      <c r="X256" s="1438">
        <f t="shared" ca="1" si="99"/>
        <v>0</v>
      </c>
      <c r="Y256" s="1439">
        <f t="shared" ca="1" si="100"/>
        <v>443.43000000000757</v>
      </c>
      <c r="Z256" s="1439">
        <f t="shared" ca="1" si="101"/>
        <v>8.8391018051111878</v>
      </c>
      <c r="AA256" s="1439">
        <f t="shared" ca="1" si="102"/>
        <v>0</v>
      </c>
      <c r="AB256" s="1439">
        <f t="shared" ca="1" si="103"/>
        <v>48</v>
      </c>
      <c r="AC256" s="1438">
        <f t="shared" ca="1" si="104"/>
        <v>0</v>
      </c>
      <c r="AD256" s="1439">
        <f ca="1">IF(B256&gt;=$J$5,0,CONTADORES!H264-CONTADORES!H263)</f>
        <v>161.70000000000073</v>
      </c>
      <c r="AE256" s="1438">
        <f ca="1">IF(B256&gt;=$J$5,0,CONTADORES!J264-CONTADORES!J263)</f>
        <v>24</v>
      </c>
      <c r="AF256" s="1439">
        <f ca="1">IF(B256&gt;=$J$5,0,CONTADORES!AS264-CONTADORES!AS263)</f>
        <v>148.70000000001164</v>
      </c>
      <c r="AG256" s="1438">
        <f ca="1">IF(B256&gt;=$J$5,0,CONTADORES!AU264-CONTADORES!AU263)</f>
        <v>24</v>
      </c>
      <c r="AH256" s="1439">
        <f ca="1">IF(B256&gt;=$J$5,0,(CONTADORES!AK264-CONTADORES!AK263)+(CONTADORES!K264-CONTADORES!K263))</f>
        <v>10</v>
      </c>
      <c r="AI256" s="1439">
        <f ca="1">IF(B256&gt;=$J$5,0,(CONTADORES!AI264-CONTADORES!AI263)+(CONTADORES!M264-CONTADORES!M263))</f>
        <v>38.059999999997672</v>
      </c>
      <c r="AJ256" s="1439">
        <f ca="1">IF(B256&gt;=$J$5,0,(CONTADORES!AG264-CONTADORES!AG263))</f>
        <v>8.6199999999953434</v>
      </c>
      <c r="AK256" s="1439">
        <f ca="1">IF(B256&gt;=$J$5,0,(CONTADORES!O264-CONTADORES!O263))</f>
        <v>11.349999999976717</v>
      </c>
      <c r="AL256" s="1500">
        <f t="shared" ca="1" si="105"/>
        <v>35.900000000005093</v>
      </c>
      <c r="AM256" s="1450">
        <f ca="1">IF(B256&gt;=$J$5,0,(((CONTADORES!F264-CONTADORES!F263)+(CONTADORES!AO264-CONTADORES!AO263))))-BJ256-AF256-AN256-BM256-BP256-BU256-BS256</f>
        <v>9.2020000000206661</v>
      </c>
      <c r="AN256" s="1439">
        <f ca="1">IF(B256&gt;=$J$5,0,(CONTADORES!AV264-CONTADORES!AV263)+(CONTADORES!AX264-CONTADORES!AX263)+(CONTADORES!BC264-CONTADORES!BC263))</f>
        <v>4.3600000000005821</v>
      </c>
      <c r="AO256" s="1474">
        <f>(CONTADORES!AA264-CONTADORES!AA263)</f>
        <v>75.200000000011642</v>
      </c>
      <c r="AP256" s="1474">
        <f>(CONTADORES!V264-CONTADORES!V263)</f>
        <v>150</v>
      </c>
      <c r="AQ256" s="1440">
        <f>(CONTADORES!C264-CONTADORES!C263)</f>
        <v>0</v>
      </c>
      <c r="AR256" s="1440">
        <f>(CONTADORES!BA264-CONTADORES!BA263)</f>
        <v>0</v>
      </c>
      <c r="AS256" s="1438">
        <f ca="1">IF(B256&gt;=$J$5,0,CONTADORES!Q264-CONTADORES!Q263)</f>
        <v>15.619999999995343</v>
      </c>
      <c r="AT256" s="1438">
        <f ca="1">IF(B256&gt;=$J$5,0,(CONTADORES!S264-CONTADORES!S263)+(CONTADORES!AE264-CONTADORES!AE263))</f>
        <v>2.8400000000000318</v>
      </c>
      <c r="AU256" s="1474">
        <f>CONTADORES!I264-CONTADORES!I263</f>
        <v>81.020000000000437</v>
      </c>
      <c r="AV256" s="1440">
        <f>CONTADORES!AT264-CONTADORES!AT263</f>
        <v>64.300000000017462</v>
      </c>
      <c r="AW256" s="1440">
        <f ca="1">IF(B256&gt;=$J$5,0,(CONTADORES!L264-CONTADORES!L263)+(CONTADORES!AL264-CONTADORES!AL263))</f>
        <v>3.7999999999992724</v>
      </c>
      <c r="AX256" s="1440">
        <f ca="1">IF(B256&gt;=$J$5,0,(CONTADORES!N264-CONTADORES!N263)+(CONTADORES!AJ264-CONTADORES!AJ263))</f>
        <v>32.810000000004948</v>
      </c>
      <c r="AY256" s="1440">
        <f ca="1">IF(B256&gt;=$J$5,0,(CONTADORES!AH264-CONTADORES!AH263))</f>
        <v>6.5999999999985448</v>
      </c>
      <c r="AZ256" s="1440">
        <f ca="1">IF(B256&gt;=$J$5,0,(CONTADORES!P264-CONTADORES!P263))</f>
        <v>8.9000000000087311</v>
      </c>
      <c r="BA256" s="1450">
        <f t="shared" ca="1" si="106"/>
        <v>10.142000000016822</v>
      </c>
      <c r="BB256" s="1440">
        <f ca="1">IF(B256&gt;=$J$5,0,(((CONTADORES!G264-CONTADORES!G263)+(CONTADORES!AP264-CONTADORES!AP263)+AR256)-(AV256+BC256)))</f>
        <v>9.1499999999652459</v>
      </c>
      <c r="BC256" s="1438">
        <f ca="1">IF(B256&gt;=$J$5,0,(CONTADORES!AW264-CONTADORES!AW263)+(CONTADORES!AY264-CONTADORES!AY263)+(CONTADORES!BD264-CONTADORES!BD263))</f>
        <v>2.3500000000001933</v>
      </c>
      <c r="BD256" s="1438">
        <f t="shared" si="107"/>
        <v>225.20000000001164</v>
      </c>
      <c r="BE256" s="1439">
        <f ca="1">IF($B256&gt;=$J$5,0,CONTADORES!$BE264)</f>
        <v>5690.11</v>
      </c>
      <c r="BF256" s="1438">
        <f ca="1">IF($B256&gt;=$J$5,0,CONTADORES!$BF264)</f>
        <v>32978.0614035088</v>
      </c>
      <c r="BG256" s="1438">
        <f ca="1">IF($B256&gt;=$J$5,0,CONTADORES!$BH264)</f>
        <v>5258.31</v>
      </c>
      <c r="BH256" s="1438">
        <f ca="1">IF(B256&gt;=$J$5,0,(CONTADORES!AQ264-CONTADORES!AQ263))</f>
        <v>4.8010000000067521</v>
      </c>
      <c r="BI256" s="1438">
        <f ca="1">IF(C256&gt;=$J$5,0,(CONTADORES!AR264-CONTADORES!AR263))</f>
        <v>0</v>
      </c>
      <c r="BJ256" s="1438">
        <f ca="1">IF(B256&gt;=$J$5,0,CONTADORES!BI264-CONTADORES!BI263)/1000</f>
        <v>0</v>
      </c>
      <c r="BK256" s="1438">
        <f ca="1">IF(BF256&gt;=$J$5,0,CONTADORES!BJ264-CONTADORES!BJ263)</f>
        <v>0</v>
      </c>
      <c r="BL256" s="1438">
        <f ca="1">IF(BG256&gt;=$J$5,0,CONTADORES!BK264-CONTADORES!BK263)</f>
        <v>0</v>
      </c>
      <c r="BM256" s="1438">
        <f ca="1">IF(B256&gt;=$J$5,0,CONTADORES!BL264-CONTADORES!BL263)/1000</f>
        <v>3.5950000000000002</v>
      </c>
      <c r="BN256" s="1438">
        <f ca="1">IF(B256&gt;=$J$5,0,CONTADORES!BM264-CONTADORES!BM263)/1000</f>
        <v>0.34</v>
      </c>
      <c r="BO256" s="1438">
        <f ca="1">IF(B256&gt;=$J$5,0,CONTADORES!BN264-CONTADORES!BN263)</f>
        <v>23.200000000000728</v>
      </c>
      <c r="BP256" s="1438">
        <f ca="1">IF(B256&gt;=$J$5,0,CONTADORES!BO264-CONTADORES!BO263)/1000</f>
        <v>4.2290000000000001</v>
      </c>
      <c r="BQ256" s="1438">
        <f ca="1">IF(B256&gt;=$J$5,0,CONTADORES!BP264-CONTADORES!BP263)/1000</f>
        <v>0.58599999999999997</v>
      </c>
      <c r="BR256" s="1438">
        <f ca="1">IF(B256&gt;=$J$5,0,CONTADORES!BQ264-CONTADORES!BQ263)</f>
        <v>24</v>
      </c>
      <c r="BS256" s="1439">
        <f ca="1">IF(B256&gt;=$J$5,0,(CONTADORES!BT264-CONTADORES!BT263)+(CONTADORES!BV264-CONTADORES!BV263))/1000</f>
        <v>1.504</v>
      </c>
      <c r="BT256" s="1439">
        <f ca="1">IF(B256&gt;=$J$5,0,(CONTADORES!BU264-CONTADORES!BU263)+(CONTADORES!BW264-CONTADORES!BW263))/1000</f>
        <v>0.91200000000000003</v>
      </c>
      <c r="BU256" s="1439">
        <f ca="1">IF(B256&gt;=$J$5,0,CONTADORES!BR264-CONTADORES!BR263)</f>
        <v>6.2099999999991269</v>
      </c>
      <c r="BV256" s="1439">
        <f ca="1">IF(B256&gt;=$J$5,0,CONTADORES!BS264-CONTADORES!BS263)</f>
        <v>4.2899999999999636</v>
      </c>
      <c r="BW256" s="1450">
        <f t="shared" ca="1" si="108"/>
        <v>10.811000000009461</v>
      </c>
      <c r="BX256" s="1450">
        <f t="shared" ca="1" si="109"/>
        <v>8.8649999999825866</v>
      </c>
      <c r="BY256" s="1450">
        <f t="shared" ca="1" si="110"/>
        <v>4.601000000010333</v>
      </c>
      <c r="BZ256" s="1450">
        <f t="shared" ca="1" si="111"/>
        <v>1.7440000000002329</v>
      </c>
      <c r="CA256" s="1450">
        <f t="shared" ca="1" si="112"/>
        <v>4.601000000010333</v>
      </c>
      <c r="CB256" s="1450">
        <f t="shared" ca="1" si="113"/>
        <v>2.6160000000003492</v>
      </c>
      <c r="CC256" s="1450">
        <f t="shared" ca="1" si="114"/>
        <v>3.2480000000002329</v>
      </c>
      <c r="CD256" s="1450">
        <f t="shared" ca="1" si="115"/>
        <v>4.574999999982623</v>
      </c>
      <c r="CE256" s="1450">
        <f ca="1">IF(B256&gt;=$J$5,0,CONTADORES!BS264-CONTADORES!BS263)</f>
        <v>4.2899999999999636</v>
      </c>
      <c r="CF256" s="1450">
        <f t="shared" ca="1" si="116"/>
        <v>4.574999999982623</v>
      </c>
      <c r="CG256" s="1450">
        <f t="shared" ca="1" si="117"/>
        <v>1.1750000000000966</v>
      </c>
      <c r="CH256" s="1450">
        <f t="shared" ca="1" si="118"/>
        <v>1.1750000000000966</v>
      </c>
      <c r="CI256" s="1450">
        <f t="shared" ca="1" si="119"/>
        <v>2.0870000000000966</v>
      </c>
      <c r="CJ256" s="1450">
        <f ca="1">IF($B256&gt;=$J$5,0,CONTADORES!$BG264)</f>
        <v>12887.5395643269</v>
      </c>
      <c r="CK256" s="1384">
        <f>CONTADORES!E264</f>
        <v>0</v>
      </c>
      <c r="CL256" s="1384">
        <f>CONTADORES!BX264</f>
        <v>0</v>
      </c>
    </row>
    <row r="257" spans="2:90">
      <c r="B257" s="410">
        <v>45173</v>
      </c>
      <c r="C257" s="208">
        <f t="shared" ca="1" si="95"/>
        <v>158.18999999994412</v>
      </c>
      <c r="D257" s="202">
        <f ca="1">'CALCULO DE GAS'!P75</f>
        <v>3.8397611303327746</v>
      </c>
      <c r="E257" s="202">
        <f ca="1">IF(B257&gt;=$J$5,0,(CONTADORES!$AB265-CONTADORES!$AB264)-$H257)</f>
        <v>24</v>
      </c>
      <c r="F257" s="204">
        <f t="shared" ca="1" si="121"/>
        <v>0</v>
      </c>
      <c r="G257" s="202">
        <f ca="1">IF(B257&gt;=$J$5,0,CONTADORES!$AD265-CONTADORES!$AD264)</f>
        <v>0</v>
      </c>
      <c r="H257" s="202">
        <f ca="1">IF(G257&gt;0,CONTADORES!$AC265-CONTADORES!$AC264,0)</f>
        <v>0</v>
      </c>
      <c r="I257" s="1437">
        <f ca="1">IF(B257&gt;=$J$5,0,CONTADORES!$Z265-CONTADORES!$Z264)</f>
        <v>158.18999999994412</v>
      </c>
      <c r="J257" s="208">
        <f t="shared" ca="1" si="96"/>
        <v>286.94899999999711</v>
      </c>
      <c r="K257" s="202">
        <f ca="1">'CALCULO DE GAS'!Q75</f>
        <v>5.0192280881110838</v>
      </c>
      <c r="L257" s="1437">
        <f ca="1">IF(B257&gt;=$J$5,0,(CONTADORES!$W265-CONTADORES!$W264)-$O257)</f>
        <v>24</v>
      </c>
      <c r="M257" s="1437">
        <v>1E-3</v>
      </c>
      <c r="N257" s="1437">
        <f ca="1">IF(B257&gt;=$J$5,0,CONTADORES!$Y265-CONTADORES!$Y264)</f>
        <v>0</v>
      </c>
      <c r="O257" s="205">
        <f ca="1">IF(N257&gt;0,CONTADORES!$X265-CONTADORES!$X264,0)</f>
        <v>0</v>
      </c>
      <c r="P257" s="1439">
        <f ca="1">IF(B257&gt;=$J$5,0,CONTADORES!$U265-CONTADORES!$U264)</f>
        <v>286.94999999999709</v>
      </c>
      <c r="Q257" s="208">
        <f ca="1">IF(B257&gt;=$J$5,0,CONTADORES!$B265-CONTADORES!$B264)</f>
        <v>0.21299999999996544</v>
      </c>
      <c r="R257" s="202">
        <f t="shared" ca="1" si="97"/>
        <v>25.559999999995853</v>
      </c>
      <c r="S257" s="11">
        <f ca="1">IF(B257&gt;=$J$5,0,CONTADORES!$D265-CONTADORES!$D264)</f>
        <v>0.5</v>
      </c>
      <c r="T257" s="208">
        <f ca="1">IF(B257&gt;=$J$5,0,CONTADORES!$AZ265-CONTADORES!$AZ264)</f>
        <v>0.34299999999996089</v>
      </c>
      <c r="U257" s="202">
        <f t="shared" ca="1" si="123"/>
        <v>41.159999999995307</v>
      </c>
      <c r="V257" s="205">
        <f ca="1">IF(B257&gt;=$J$5,0,CONTADORES!$BB265-CONTADORES!$BB264)</f>
        <v>0.20000000000004547</v>
      </c>
      <c r="W257" s="1438">
        <f t="shared" ca="1" si="98"/>
        <v>445.13899999994123</v>
      </c>
      <c r="X257" s="1438">
        <f t="shared" ca="1" si="99"/>
        <v>0.55699999999992633</v>
      </c>
      <c r="Y257" s="1439">
        <f t="shared" ca="1" si="100"/>
        <v>445.69599999994114</v>
      </c>
      <c r="Z257" s="1439">
        <f t="shared" ca="1" si="101"/>
        <v>8.8589892184438579</v>
      </c>
      <c r="AA257" s="1439">
        <f t="shared" ca="1" si="102"/>
        <v>66.71999999999116</v>
      </c>
      <c r="AB257" s="1439">
        <f t="shared" ca="1" si="103"/>
        <v>48</v>
      </c>
      <c r="AC257" s="1438">
        <f t="shared" ca="1" si="104"/>
        <v>0.70000000000004547</v>
      </c>
      <c r="AD257" s="1439">
        <f ca="1">IF(B257&gt;=$J$5,0,CONTADORES!H265-CONTADORES!H264)</f>
        <v>161.40000000000146</v>
      </c>
      <c r="AE257" s="1438">
        <f ca="1">IF(B257&gt;=$J$5,0,CONTADORES!J265-CONTADORES!J264)</f>
        <v>24</v>
      </c>
      <c r="AF257" s="1439">
        <f ca="1">IF(B257&gt;=$J$5,0,CONTADORES!AS265-CONTADORES!AS264)</f>
        <v>150.29999999998836</v>
      </c>
      <c r="AG257" s="1438">
        <f ca="1">IF(B257&gt;=$J$5,0,CONTADORES!AU265-CONTADORES!AU264)</f>
        <v>24</v>
      </c>
      <c r="AH257" s="1439">
        <f ca="1">IF(B257&gt;=$J$5,0,(CONTADORES!AK265-CONTADORES!AK264)+(CONTADORES!K265-CONTADORES!K264))</f>
        <v>11.19999999999709</v>
      </c>
      <c r="AI257" s="1439">
        <f ca="1">IF(B257&gt;=$J$5,0,(CONTADORES!AI265-CONTADORES!AI264)+(CONTADORES!M265-CONTADORES!M264))</f>
        <v>38.440000000002328</v>
      </c>
      <c r="AJ257" s="1439">
        <f ca="1">IF(B257&gt;=$J$5,0,(CONTADORES!AG265-CONTADORES!AG264))</f>
        <v>8.7700000000040745</v>
      </c>
      <c r="AK257" s="1439">
        <f ca="1">IF(B257&gt;=$J$5,0,(CONTADORES!O265-CONTADORES!O264))</f>
        <v>11.400000000023283</v>
      </c>
      <c r="AL257" s="1500">
        <f t="shared" ca="1" si="105"/>
        <v>34.785999999933949</v>
      </c>
      <c r="AM257" s="1450">
        <f ca="1">IF(B257&gt;=$J$5,0,(((CONTADORES!F265-CONTADORES!F264)+(CONTADORES!AO265-CONTADORES!AO264))))-BJ257-AF257-AN257-BM257-BP257-BU257-BS257</f>
        <v>10.530999999989907</v>
      </c>
      <c r="AN257" s="1439">
        <f ca="1">IF(B257&gt;=$J$5,0,(CONTADORES!AV265-CONTADORES!AV264)+(CONTADORES!AX265-CONTADORES!AX264)+(CONTADORES!BC265-CONTADORES!BC264))</f>
        <v>4.3299999999994725</v>
      </c>
      <c r="AO257" s="1474">
        <f>(CONTADORES!AA265-CONTADORES!AA264)</f>
        <v>78.880000000004657</v>
      </c>
      <c r="AP257" s="1474">
        <f>(CONTADORES!V265-CONTADORES!V264)</f>
        <v>147</v>
      </c>
      <c r="AQ257" s="1440">
        <f>(CONTADORES!C265-CONTADORES!C264)</f>
        <v>0.10500000000001819</v>
      </c>
      <c r="AR257" s="1440">
        <f>(CONTADORES!BA265-CONTADORES!BA264)</f>
        <v>0.132000000000005</v>
      </c>
      <c r="AS257" s="1438">
        <f ca="1">IF(B257&gt;=$J$5,0,CONTADORES!Q265-CONTADORES!Q264)</f>
        <v>15.290000000008149</v>
      </c>
      <c r="AT257" s="1438">
        <f ca="1">IF(B257&gt;=$J$5,0,(CONTADORES!S265-CONTADORES!S264)+(CONTADORES!AE265-CONTADORES!AE264))</f>
        <v>3.1599999999999682</v>
      </c>
      <c r="AU257" s="1474">
        <f>CONTADORES!I265-CONTADORES!I264</f>
        <v>81.279999999998836</v>
      </c>
      <c r="AV257" s="1440">
        <f>CONTADORES!AT265-CONTADORES!AT264</f>
        <v>65</v>
      </c>
      <c r="AW257" s="1440">
        <f ca="1">IF(B257&gt;=$J$5,0,(CONTADORES!L265-CONTADORES!L264)+(CONTADORES!AL265-CONTADORES!AL264))</f>
        <v>4.5</v>
      </c>
      <c r="AX257" s="1440">
        <f ca="1">IF(B257&gt;=$J$5,0,(CONTADORES!N265-CONTADORES!N264)+(CONTADORES!AJ265-CONTADORES!AJ264))</f>
        <v>33.009999999994761</v>
      </c>
      <c r="AY257" s="1440">
        <f ca="1">IF(B257&gt;=$J$5,0,(CONTADORES!AH265-CONTADORES!AH264))</f>
        <v>6.7099999999991269</v>
      </c>
      <c r="AZ257" s="1440">
        <f ca="1">IF(B257&gt;=$J$5,0,(CONTADORES!P265-CONTADORES!P264))</f>
        <v>9.069999999992433</v>
      </c>
      <c r="BA257" s="1450">
        <f t="shared" ca="1" si="106"/>
        <v>9.1060000000018704</v>
      </c>
      <c r="BB257" s="1440">
        <f ca="1">IF(B257&gt;=$J$5,0,(((CONTADORES!G265-CONTADORES!G264)+(CONTADORES!AP265-CONTADORES!AP264)+AR257)-(AV257+BC257)))</f>
        <v>9.5220000000177265</v>
      </c>
      <c r="BC257" s="1438">
        <f ca="1">IF(B257&gt;=$J$5,0,(CONTADORES!AW265-CONTADORES!AW264)+(CONTADORES!AY265-CONTADORES!AY264)+(CONTADORES!BD265-CONTADORES!BD264))</f>
        <v>2.4099999999997408</v>
      </c>
      <c r="BD257" s="1438">
        <f t="shared" si="107"/>
        <v>226.11700000000468</v>
      </c>
      <c r="BE257" s="1439">
        <f ca="1">IF($B257&gt;=$J$5,0,CONTADORES!$BE265)</f>
        <v>5613.52</v>
      </c>
      <c r="BF257" s="1438">
        <f ca="1">IF($B257&gt;=$J$5,0,CONTADORES!$BF265)</f>
        <v>34134.463157894701</v>
      </c>
      <c r="BG257" s="1438">
        <f ca="1">IF($B257&gt;=$J$5,0,CONTADORES!$BH265)</f>
        <v>5743.48</v>
      </c>
      <c r="BH257" s="1438">
        <f ca="1">IF(B257&gt;=$J$5,0,(CONTADORES!AQ265-CONTADORES!AQ264))</f>
        <v>5.1779999999998836</v>
      </c>
      <c r="BI257" s="1438">
        <f ca="1">IF(C257&gt;=$J$5,0,(CONTADORES!AR265-CONTADORES!AR264))</f>
        <v>0</v>
      </c>
      <c r="BJ257" s="1438">
        <f ca="1">IF(B257&gt;=$J$5,0,CONTADORES!BI265-CONTADORES!BI264)/1000</f>
        <v>0</v>
      </c>
      <c r="BK257" s="1438">
        <f ca="1">IF(BF257&gt;=$J$5,0,CONTADORES!BJ265-CONTADORES!BJ264)</f>
        <v>0</v>
      </c>
      <c r="BL257" s="1438">
        <f ca="1">IF(BG257&gt;=$J$5,0,CONTADORES!BK265-CONTADORES!BK264)</f>
        <v>0</v>
      </c>
      <c r="BM257" s="1438">
        <f ca="1">IF(B257&gt;=$J$5,0,CONTADORES!BL265-CONTADORES!BL264)/1000</f>
        <v>3.6179999999999999</v>
      </c>
      <c r="BN257" s="1438">
        <f ca="1">IF(B257&gt;=$J$5,0,CONTADORES!BM265-CONTADORES!BM264)/1000</f>
        <v>0.27400000000000002</v>
      </c>
      <c r="BO257" s="1438">
        <f ca="1">IF(B257&gt;=$J$5,0,CONTADORES!BN265-CONTADORES!BN264)</f>
        <v>24</v>
      </c>
      <c r="BP257" s="1438">
        <f ca="1">IF(B257&gt;=$J$5,0,CONTADORES!BO265-CONTADORES!BO264)/1000</f>
        <v>4.2949999999999999</v>
      </c>
      <c r="BQ257" s="1438">
        <f ca="1">IF(B257&gt;=$J$5,0,CONTADORES!BP265-CONTADORES!BP264)/1000</f>
        <v>0.56299999999999994</v>
      </c>
      <c r="BR257" s="1438">
        <f ca="1">IF(B257&gt;=$J$5,0,CONTADORES!BQ265-CONTADORES!BQ264)</f>
        <v>24</v>
      </c>
      <c r="BS257" s="1439">
        <f ca="1">IF(B257&gt;=$J$5,0,(CONTADORES!BT265-CONTADORES!BT264)+(CONTADORES!BV265-CONTADORES!BV264))/1000</f>
        <v>1.4059999999999999</v>
      </c>
      <c r="BT257" s="1439">
        <f ca="1">IF(B257&gt;=$J$5,0,(CONTADORES!BU265-CONTADORES!BU264)+(CONTADORES!BW265-CONTADORES!BW264))/1000</f>
        <v>0.872</v>
      </c>
      <c r="BU257" s="1439">
        <f ca="1">IF(B257&gt;=$J$5,0,CONTADORES!BR265-CONTADORES!BR264)</f>
        <v>5.2200000000011642</v>
      </c>
      <c r="BV257" s="1439">
        <f ca="1">IF(B257&gt;=$J$5,0,CONTADORES!BS265-CONTADORES!BS264)</f>
        <v>3.8000000000001819</v>
      </c>
      <c r="BW257" s="1450">
        <f t="shared" ca="1" si="108"/>
        <v>10.485499999996119</v>
      </c>
      <c r="BX257" s="1450">
        <f t="shared" ca="1" si="109"/>
        <v>8.5610000000090452</v>
      </c>
      <c r="BY257" s="1450">
        <f t="shared" ca="1" si="110"/>
        <v>5.2654999999949537</v>
      </c>
      <c r="BZ257" s="1450">
        <f t="shared" ca="1" si="111"/>
        <v>1.731999999999789</v>
      </c>
      <c r="CA257" s="1450">
        <f t="shared" ca="1" si="112"/>
        <v>5.2654999999949537</v>
      </c>
      <c r="CB257" s="1450">
        <f t="shared" ca="1" si="113"/>
        <v>2.5979999999996837</v>
      </c>
      <c r="CC257" s="1450">
        <f t="shared" ca="1" si="114"/>
        <v>3.137999999999789</v>
      </c>
      <c r="CD257" s="1450">
        <f t="shared" ca="1" si="115"/>
        <v>4.7610000000088633</v>
      </c>
      <c r="CE257" s="1450">
        <f ca="1">IF(B257&gt;=$J$5,0,CONTADORES!BS265-CONTADORES!BS264)</f>
        <v>3.8000000000001819</v>
      </c>
      <c r="CF257" s="1450">
        <f t="shared" ca="1" si="116"/>
        <v>4.7610000000088633</v>
      </c>
      <c r="CG257" s="1450">
        <f t="shared" ca="1" si="117"/>
        <v>1.2049999999998704</v>
      </c>
      <c r="CH257" s="1450">
        <f t="shared" ca="1" si="118"/>
        <v>1.2049999999998704</v>
      </c>
      <c r="CI257" s="1450">
        <f t="shared" ca="1" si="119"/>
        <v>2.0769999999998703</v>
      </c>
      <c r="CJ257" s="1450">
        <f ca="1">IF($B257&gt;=$J$5,0,CONTADORES!$BG265)</f>
        <v>10351.4395319662</v>
      </c>
      <c r="CK257" s="1384">
        <f>CONTADORES!E265</f>
        <v>0</v>
      </c>
      <c r="CL257" s="1384">
        <f>CONTADORES!BX265</f>
        <v>0</v>
      </c>
    </row>
    <row r="258" spans="2:90">
      <c r="B258" s="410">
        <v>45174</v>
      </c>
      <c r="C258" s="208">
        <f t="shared" ca="1" si="95"/>
        <v>153.05000000004657</v>
      </c>
      <c r="D258" s="202">
        <f ca="1">'CALCULO DE GAS'!P76</f>
        <v>3.7884039636671316</v>
      </c>
      <c r="E258" s="202">
        <f ca="1">IF(B258&gt;=$J$5,0,(CONTADORES!$AB266-CONTADORES!$AB265)-$H258)</f>
        <v>24</v>
      </c>
      <c r="F258" s="204">
        <f t="shared" ca="1" si="121"/>
        <v>0</v>
      </c>
      <c r="G258" s="202">
        <f ca="1">IF(B258&gt;=$J$5,0,CONTADORES!$AD266-CONTADORES!$AD265)</f>
        <v>0</v>
      </c>
      <c r="H258" s="202">
        <f ca="1">IF(G258&gt;0,CONTADORES!$AC266-CONTADORES!$AC265,0)</f>
        <v>0</v>
      </c>
      <c r="I258" s="1437">
        <f ca="1">IF(B258&gt;=$J$5,0,CONTADORES!$Z266-CONTADORES!$Z265)</f>
        <v>153.05000000004657</v>
      </c>
      <c r="J258" s="208">
        <f t="shared" ca="1" si="96"/>
        <v>293.31999999999971</v>
      </c>
      <c r="K258" s="202">
        <f ca="1">'CALCULO DE GAS'!Q76</f>
        <v>5.0786412025555521</v>
      </c>
      <c r="L258" s="1437">
        <f ca="1">IF(B258&gt;=$J$5,0,(CONTADORES!$W266-CONTADORES!$W265)-$O258)</f>
        <v>24</v>
      </c>
      <c r="M258" s="1437">
        <f t="shared" ref="M258:M289" ca="1" si="124">IF(O258=0,0,"ERROR")</f>
        <v>0</v>
      </c>
      <c r="N258" s="1437">
        <f ca="1">IF(B258&gt;=$J$5,0,CONTADORES!$Y266-CONTADORES!$Y265)</f>
        <v>0</v>
      </c>
      <c r="O258" s="205">
        <f ca="1">IF(N258&gt;0,CONTADORES!$X266-CONTADORES!$X265,0)</f>
        <v>0</v>
      </c>
      <c r="P258" s="1439">
        <f ca="1">IF(B258&gt;=$J$5,0,CONTADORES!$U266-CONTADORES!$U265)</f>
        <v>293.31999999999971</v>
      </c>
      <c r="Q258" s="208">
        <f ca="1">IF(B258&gt;=$J$5,0,CONTADORES!$B266-CONTADORES!$B265)</f>
        <v>0</v>
      </c>
      <c r="R258" s="202">
        <f t="shared" ca="1" si="97"/>
        <v>0</v>
      </c>
      <c r="S258" s="11">
        <f ca="1">IF(B258&gt;=$J$5,0,CONTADORES!$D266-CONTADORES!$D265)</f>
        <v>0</v>
      </c>
      <c r="T258" s="208">
        <f ca="1">IF(B258&gt;=$J$5,0,CONTADORES!$AZ266-CONTADORES!$AZ265)</f>
        <v>0</v>
      </c>
      <c r="U258" s="202">
        <f t="shared" ca="1" si="123"/>
        <v>0</v>
      </c>
      <c r="V258" s="205">
        <f ca="1">IF(B258&gt;=$J$5,0,CONTADORES!$BB266-CONTADORES!$BB265)</f>
        <v>0</v>
      </c>
      <c r="W258" s="1438">
        <f t="shared" ca="1" si="98"/>
        <v>446.37000000004628</v>
      </c>
      <c r="X258" s="1438">
        <f t="shared" ca="1" si="99"/>
        <v>0</v>
      </c>
      <c r="Y258" s="1439">
        <f t="shared" ca="1" si="100"/>
        <v>446.37000000004628</v>
      </c>
      <c r="Z258" s="1439">
        <f t="shared" ca="1" si="101"/>
        <v>8.8670451662226846</v>
      </c>
      <c r="AA258" s="1439">
        <f t="shared" ca="1" si="102"/>
        <v>0</v>
      </c>
      <c r="AB258" s="1439">
        <f t="shared" ca="1" si="103"/>
        <v>48</v>
      </c>
      <c r="AC258" s="1438">
        <f t="shared" ca="1" si="104"/>
        <v>0</v>
      </c>
      <c r="AD258" s="1439">
        <f ca="1">IF(B258&gt;=$J$5,0,CONTADORES!H266-CONTADORES!H265)</f>
        <v>161.79999999999927</v>
      </c>
      <c r="AE258" s="1438">
        <f ca="1">IF(B258&gt;=$J$5,0,CONTADORES!J266-CONTADORES!J265)</f>
        <v>24</v>
      </c>
      <c r="AF258" s="1439">
        <f ca="1">IF(B258&gt;=$J$5,0,CONTADORES!AS266-CONTADORES!AS265)</f>
        <v>150</v>
      </c>
      <c r="AG258" s="1438">
        <f ca="1">IF(B258&gt;=$J$5,0,CONTADORES!AU266-CONTADORES!AU265)</f>
        <v>24</v>
      </c>
      <c r="AH258" s="1439">
        <f ca="1">IF(B258&gt;=$J$5,0,(CONTADORES!AK266-CONTADORES!AK265)+(CONTADORES!K266-CONTADORES!K265))</f>
        <v>10.700000000004366</v>
      </c>
      <c r="AI258" s="1439">
        <f ca="1">IF(B258&gt;=$J$5,0,(CONTADORES!AI266-CONTADORES!AI265)+(CONTADORES!M266-CONTADORES!M265))</f>
        <v>37.830000000001746</v>
      </c>
      <c r="AJ258" s="1439">
        <f ca="1">IF(B258&gt;=$J$5,0,(CONTADORES!AG266-CONTADORES!AG265))</f>
        <v>8.2699999999895226</v>
      </c>
      <c r="AK258" s="1439">
        <f ca="1">IF(B258&gt;=$J$5,0,(CONTADORES!O266-CONTADORES!O265))</f>
        <v>11.049999999988358</v>
      </c>
      <c r="AL258" s="1500">
        <f t="shared" ca="1" si="105"/>
        <v>37.520000000062282</v>
      </c>
      <c r="AM258" s="1450">
        <f ca="1">IF(B258&gt;=$J$5,0,(((CONTADORES!F266-CONTADORES!F265)+(CONTADORES!AO266-CONTADORES!AO265))))-BJ258-AF258-AN258-BM258-BP258-BU258-BS258</f>
        <v>8.9670000000014944</v>
      </c>
      <c r="AN258" s="1439">
        <f ca="1">IF(B258&gt;=$J$5,0,(CONTADORES!AV266-CONTADORES!AV265)+(CONTADORES!AX266-CONTADORES!AX265)+(CONTADORES!BC266-CONTADORES!BC265))</f>
        <v>4.4200000000006128</v>
      </c>
      <c r="AO258" s="1474">
        <f>(CONTADORES!AA266-CONTADORES!AA265)</f>
        <v>72.020000000018626</v>
      </c>
      <c r="AP258" s="1474">
        <f>(CONTADORES!V266-CONTADORES!V265)</f>
        <v>153</v>
      </c>
      <c r="AQ258" s="1440">
        <f>(CONTADORES!C266-CONTADORES!C265)</f>
        <v>0</v>
      </c>
      <c r="AR258" s="1440">
        <f>(CONTADORES!BA266-CONTADORES!BA265)</f>
        <v>0</v>
      </c>
      <c r="AS258" s="1438">
        <f ca="1">IF(B258&gt;=$J$5,0,CONTADORES!Q266-CONTADORES!Q265)</f>
        <v>14.720000000001164</v>
      </c>
      <c r="AT258" s="1438">
        <f ca="1">IF(B258&gt;=$J$5,0,(CONTADORES!S266-CONTADORES!S265)+(CONTADORES!AE266-CONTADORES!AE265))</f>
        <v>3.3300000000000409</v>
      </c>
      <c r="AU258" s="1474">
        <f>CONTADORES!I266-CONTADORES!I265</f>
        <v>81.5</v>
      </c>
      <c r="AV258" s="1440">
        <f>CONTADORES!AT266-CONTADORES!AT265</f>
        <v>64.799999999988358</v>
      </c>
      <c r="AW258" s="1440">
        <f ca="1">IF(B258&gt;=$J$5,0,(CONTADORES!L266-CONTADORES!L265)+(CONTADORES!AL266-CONTADORES!AL265))</f>
        <v>4.2999999999992724</v>
      </c>
      <c r="AX258" s="1440">
        <f ca="1">IF(B258&gt;=$J$5,0,(CONTADORES!N266-CONTADORES!N265)+(CONTADORES!AJ266-CONTADORES!AJ265))</f>
        <v>32.460000000006403</v>
      </c>
      <c r="AY258" s="1440">
        <f ca="1">IF(B258&gt;=$J$5,0,(CONTADORES!AH266-CONTADORES!AH265))</f>
        <v>6.2600000000020373</v>
      </c>
      <c r="AZ258" s="1440">
        <f ca="1">IF(B258&gt;=$J$5,0,(CONTADORES!P266-CONTADORES!P265))</f>
        <v>9.0500000000029104</v>
      </c>
      <c r="BA258" s="1450">
        <f t="shared" ca="1" si="106"/>
        <v>10.29700000001435</v>
      </c>
      <c r="BB258" s="1440">
        <f ca="1">IF(B258&gt;=$J$5,0,(((CONTADORES!G266-CONTADORES!G265)+(CONTADORES!AP266-CONTADORES!AP265)+AR258)-(AV258+BC258)))</f>
        <v>8.4200000000056434</v>
      </c>
      <c r="BC258" s="1438">
        <f ca="1">IF(B258&gt;=$J$5,0,(CONTADORES!AW266-CONTADORES!AW265)+(CONTADORES!AY266-CONTADORES!AY265)+(CONTADORES!BD266-CONTADORES!BD265))</f>
        <v>2.3799999999999955</v>
      </c>
      <c r="BD258" s="1438">
        <f t="shared" si="107"/>
        <v>225.02000000001863</v>
      </c>
      <c r="BE258" s="1439">
        <f ca="1">IF($B258&gt;=$J$5,0,CONTADORES!$BE266)</f>
        <v>5687.64</v>
      </c>
      <c r="BF258" s="1438">
        <f ca="1">IF($B258&gt;=$J$5,0,CONTADORES!$BF266)</f>
        <v>34073.870175438598</v>
      </c>
      <c r="BG258" s="1438">
        <f ca="1">IF($B258&gt;=$J$5,0,CONTADORES!$BH266)</f>
        <v>5539.27</v>
      </c>
      <c r="BH258" s="1438">
        <f ca="1">IF(B258&gt;=$J$5,0,(CONTADORES!AQ266-CONTADORES!AQ265))</f>
        <v>5.4060000000026776</v>
      </c>
      <c r="BI258" s="1438">
        <f ca="1">IF(C258&gt;=$J$5,0,(CONTADORES!AR266-CONTADORES!AR265))</f>
        <v>0</v>
      </c>
      <c r="BJ258" s="1438">
        <f ca="1">IF(B258&gt;=$J$5,0,CONTADORES!BI266-CONTADORES!BI265)/1000</f>
        <v>0</v>
      </c>
      <c r="BK258" s="1438">
        <f ca="1">IF(BF258&gt;=$J$5,0,CONTADORES!BJ266-CONTADORES!BJ265)</f>
        <v>0</v>
      </c>
      <c r="BL258" s="1438">
        <f ca="1">IF(BG258&gt;=$J$5,0,CONTADORES!BK266-CONTADORES!BK265)</f>
        <v>0</v>
      </c>
      <c r="BM258" s="1438">
        <f ca="1">IF(B258&gt;=$J$5,0,CONTADORES!BL266-CONTADORES!BL265)/1000</f>
        <v>3.8639999999999999</v>
      </c>
      <c r="BN258" s="1438">
        <f ca="1">IF(B258&gt;=$J$5,0,CONTADORES!BM266-CONTADORES!BM265)/1000</f>
        <v>0.17499999999999999</v>
      </c>
      <c r="BO258" s="1438">
        <f ca="1">IF(B258&gt;=$J$5,0,CONTADORES!BN266-CONTADORES!BN265)</f>
        <v>24</v>
      </c>
      <c r="BP258" s="1438">
        <f ca="1">IF(B258&gt;=$J$5,0,CONTADORES!BO266-CONTADORES!BO265)/1000</f>
        <v>4.7080000000000002</v>
      </c>
      <c r="BQ258" s="1438">
        <f ca="1">IF(B258&gt;=$J$5,0,CONTADORES!BP266-CONTADORES!BP265)/1000</f>
        <v>0.55400000000000005</v>
      </c>
      <c r="BR258" s="1438">
        <f ca="1">IF(B258&gt;=$J$5,0,CONTADORES!BQ266-CONTADORES!BQ265)</f>
        <v>24</v>
      </c>
      <c r="BS258" s="1439">
        <f ca="1">IF(B258&gt;=$J$5,0,(CONTADORES!BT266-CONTADORES!BT265)+(CONTADORES!BV266-CONTADORES!BV265))/1000</f>
        <v>1.4710000000000001</v>
      </c>
      <c r="BT258" s="1439">
        <f ca="1">IF(B258&gt;=$J$5,0,(CONTADORES!BU266-CONTADORES!BU265)+(CONTADORES!BW266-CONTADORES!BW265))/1000</f>
        <v>0.92400000000000004</v>
      </c>
      <c r="BU258" s="1439">
        <f ca="1">IF(B258&gt;=$J$5,0,CONTADORES!BR266-CONTADORES!BR265)</f>
        <v>5.7699999999986176</v>
      </c>
      <c r="BV258" s="1439">
        <f ca="1">IF(B258&gt;=$J$5,0,CONTADORES!BS266-CONTADORES!BS265)</f>
        <v>3.8999999999996362</v>
      </c>
      <c r="BW258" s="1450">
        <f t="shared" ca="1" si="108"/>
        <v>10.253499999999365</v>
      </c>
      <c r="BX258" s="1450">
        <f t="shared" ca="1" si="109"/>
        <v>8.1100000000024579</v>
      </c>
      <c r="BY258" s="1450">
        <f t="shared" ca="1" si="110"/>
        <v>4.4835000000007472</v>
      </c>
      <c r="BZ258" s="1450">
        <f t="shared" ca="1" si="111"/>
        <v>1.7680000000002452</v>
      </c>
      <c r="CA258" s="1450">
        <f t="shared" ca="1" si="112"/>
        <v>4.4835000000007472</v>
      </c>
      <c r="CB258" s="1450">
        <f t="shared" ca="1" si="113"/>
        <v>2.6520000000003678</v>
      </c>
      <c r="CC258" s="1450">
        <f t="shared" ca="1" si="114"/>
        <v>3.239000000000245</v>
      </c>
      <c r="CD258" s="1450">
        <f t="shared" ca="1" si="115"/>
        <v>4.2100000000028217</v>
      </c>
      <c r="CE258" s="1450">
        <f ca="1">IF(B258&gt;=$J$5,0,CONTADORES!BS266-CONTADORES!BS265)</f>
        <v>3.8999999999996362</v>
      </c>
      <c r="CF258" s="1450">
        <f t="shared" ca="1" si="116"/>
        <v>4.2100000000028217</v>
      </c>
      <c r="CG258" s="1450">
        <f t="shared" ca="1" si="117"/>
        <v>1.1899999999999977</v>
      </c>
      <c r="CH258" s="1450">
        <f t="shared" ca="1" si="118"/>
        <v>1.1899999999999977</v>
      </c>
      <c r="CI258" s="1450">
        <f t="shared" ca="1" si="119"/>
        <v>2.1139999999999977</v>
      </c>
      <c r="CJ258" s="1450">
        <f ca="1">IF($B258&gt;=$J$5,0,CONTADORES!$BG266)</f>
        <v>9758.0519611493892</v>
      </c>
      <c r="CK258" s="1384">
        <f>CONTADORES!E266</f>
        <v>0</v>
      </c>
      <c r="CL258" s="1384">
        <f>CONTADORES!BX266</f>
        <v>0</v>
      </c>
    </row>
    <row r="259" spans="2:90">
      <c r="B259" s="410">
        <v>45175</v>
      </c>
      <c r="C259" s="208">
        <f t="shared" ca="1" si="95"/>
        <v>147.69999999995343</v>
      </c>
      <c r="D259" s="202">
        <f ca="1">'CALCULO DE GAS'!P77</f>
        <v>3.7349485469995343</v>
      </c>
      <c r="E259" s="202">
        <f ca="1">IF(B259&gt;=$J$5,0,(CONTADORES!$AB267-CONTADORES!$AB266)-$H259)</f>
        <v>24</v>
      </c>
      <c r="F259" s="204">
        <f t="shared" ca="1" si="121"/>
        <v>0</v>
      </c>
      <c r="G259" s="202">
        <f ca="1">IF(B259&gt;=$J$5,0,CONTADORES!$AD267-CONTADORES!$AD266)</f>
        <v>0</v>
      </c>
      <c r="H259" s="202">
        <f ca="1">IF(G259&gt;0,CONTADORES!$AC267-CONTADORES!$AC266,0)</f>
        <v>0</v>
      </c>
      <c r="I259" s="1437">
        <f ca="1">IF(B259&gt;=$J$5,0,CONTADORES!$Z267-CONTADORES!$Z266)</f>
        <v>147.69999999995343</v>
      </c>
      <c r="J259" s="208">
        <f t="shared" ca="1" si="96"/>
        <v>283.93000000000029</v>
      </c>
      <c r="K259" s="202">
        <f ca="1">'CALCULO DE GAS'!Q77</f>
        <v>4.9910742358888909</v>
      </c>
      <c r="L259" s="1437">
        <f ca="1">IF(B259&gt;=$J$5,0,(CONTADORES!$W267-CONTADORES!$W266)-$O259)</f>
        <v>24</v>
      </c>
      <c r="M259" s="1437">
        <f t="shared" ca="1" si="124"/>
        <v>0</v>
      </c>
      <c r="N259" s="1437">
        <f ca="1">IF(B259&gt;=$J$5,0,CONTADORES!$Y267-CONTADORES!$Y266)</f>
        <v>0</v>
      </c>
      <c r="O259" s="205">
        <f ca="1">IF(N259&gt;0,CONTADORES!$X267-CONTADORES!$X266,0)</f>
        <v>0</v>
      </c>
      <c r="P259" s="1439">
        <f ca="1">IF(B259&gt;=$J$5,0,CONTADORES!$U267-CONTADORES!$U266)</f>
        <v>283.93000000000029</v>
      </c>
      <c r="Q259" s="208">
        <f ca="1">IF(B259&gt;=$J$5,0,CONTADORES!$B267-CONTADORES!$B266)</f>
        <v>0</v>
      </c>
      <c r="R259" s="202">
        <f t="shared" ca="1" si="97"/>
        <v>0</v>
      </c>
      <c r="S259" s="11">
        <f ca="1">IF(B259&gt;=$J$5,0,CONTADORES!$D267-CONTADORES!$D266)</f>
        <v>0</v>
      </c>
      <c r="T259" s="208">
        <f ca="1">IF(B259&gt;=$J$5,0,CONTADORES!$AZ267-CONTADORES!$AZ266)</f>
        <v>0</v>
      </c>
      <c r="U259" s="202">
        <f t="shared" ca="1" si="123"/>
        <v>0</v>
      </c>
      <c r="V259" s="205">
        <f ca="1">IF(B259&gt;=$J$5,0,CONTADORES!$BB267-CONTADORES!$BB266)</f>
        <v>0</v>
      </c>
      <c r="W259" s="1438">
        <f t="shared" ca="1" si="98"/>
        <v>431.62999999995372</v>
      </c>
      <c r="X259" s="1438">
        <f t="shared" ca="1" si="99"/>
        <v>0</v>
      </c>
      <c r="Y259" s="1439">
        <f t="shared" ca="1" si="100"/>
        <v>431.62999999995372</v>
      </c>
      <c r="Z259" s="1439">
        <f t="shared" ca="1" si="101"/>
        <v>8.7260227828884247</v>
      </c>
      <c r="AA259" s="1439">
        <f t="shared" ca="1" si="102"/>
        <v>0</v>
      </c>
      <c r="AB259" s="1439">
        <f t="shared" ca="1" si="103"/>
        <v>48</v>
      </c>
      <c r="AC259" s="1438">
        <f t="shared" ca="1" si="104"/>
        <v>0</v>
      </c>
      <c r="AD259" s="1439">
        <f ca="1">IF(B259&gt;=$J$5,0,CONTADORES!H267-CONTADORES!H266)</f>
        <v>159.22999999999956</v>
      </c>
      <c r="AE259" s="1438">
        <f ca="1">IF(B259&gt;=$J$5,0,CONTADORES!J267-CONTADORES!J266)</f>
        <v>24</v>
      </c>
      <c r="AF259" s="1439">
        <f ca="1">IF(B259&gt;=$J$5,0,CONTADORES!AS267-CONTADORES!AS266)</f>
        <v>146.29999999998836</v>
      </c>
      <c r="AG259" s="1438">
        <f ca="1">IF(B259&gt;=$J$5,0,CONTADORES!AU267-CONTADORES!AU266)</f>
        <v>24</v>
      </c>
      <c r="AH259" s="1439">
        <f ca="1">IF(B259&gt;=$J$5,0,(CONTADORES!AK267-CONTADORES!AK266)+(CONTADORES!K267-CONTADORES!K266))</f>
        <v>3.2999999999956344</v>
      </c>
      <c r="AI259" s="1439">
        <f ca="1">IF(B259&gt;=$J$5,0,(CONTADORES!AI267-CONTADORES!AI266)+(CONTADORES!M267-CONTADORES!M266))</f>
        <v>37.19999999999709</v>
      </c>
      <c r="AJ259" s="1439">
        <f ca="1">IF(B259&gt;=$J$5,0,(CONTADORES!AG267-CONTADORES!AG266))</f>
        <v>8.9000000000087311</v>
      </c>
      <c r="AK259" s="1439">
        <f ca="1">IF(B259&gt;=$J$5,0,(CONTADORES!O267-CONTADORES!O266))</f>
        <v>11</v>
      </c>
      <c r="AL259" s="1500">
        <f t="shared" ca="1" si="105"/>
        <v>33.399999999954161</v>
      </c>
      <c r="AM259" s="1450">
        <f ca="1">IF(B259&gt;=$J$5,0,(((CONTADORES!F267-CONTADORES!F266)+(CONTADORES!AO267-CONTADORES!AO266))))-BJ259-AF259-AN259-BM259-BP259-BU259-BS259</f>
        <v>11.291000000010424</v>
      </c>
      <c r="AN259" s="1439">
        <f ca="1">IF(B259&gt;=$J$5,0,(CONTADORES!AV267-CONTADORES!AV266)+(CONTADORES!AX267-CONTADORES!AX266)+(CONTADORES!BC267-CONTADORES!BC266))</f>
        <v>4.0999999999999091</v>
      </c>
      <c r="AO259" s="1474">
        <f>(CONTADORES!AA267-CONTADORES!AA266)</f>
        <v>73.599999999976717</v>
      </c>
      <c r="AP259" s="1474">
        <f>(CONTADORES!V267-CONTADORES!V266)</f>
        <v>145.09999999999854</v>
      </c>
      <c r="AQ259" s="1440">
        <f>(CONTADORES!C267-CONTADORES!C266)</f>
        <v>0</v>
      </c>
      <c r="AR259" s="1440">
        <f>(CONTADORES!BA267-CONTADORES!BA266)</f>
        <v>0</v>
      </c>
      <c r="AS259" s="1438">
        <f ca="1">IF(B259&gt;=$J$5,0,CONTADORES!Q267-CONTADORES!Q266)</f>
        <v>16</v>
      </c>
      <c r="AT259" s="1438">
        <f ca="1">IF(B259&gt;=$J$5,0,(CONTADORES!S267-CONTADORES!S266)+(CONTADORES!AE267-CONTADORES!AE266))</f>
        <v>3.3000000000000114</v>
      </c>
      <c r="AU259" s="1474">
        <f>CONTADORES!I267-CONTADORES!I266</f>
        <v>79.970000000001164</v>
      </c>
      <c r="AV259" s="1440">
        <f>CONTADORES!AT267-CONTADORES!AT266</f>
        <v>62.5</v>
      </c>
      <c r="AW259" s="1440">
        <f ca="1">IF(B259&gt;=$J$5,0,(CONTADORES!L267-CONTADORES!L266)+(CONTADORES!AL267-CONTADORES!AL266))</f>
        <v>1.2999999999992724</v>
      </c>
      <c r="AX259" s="1440">
        <f ca="1">IF(B259&gt;=$J$5,0,(CONTADORES!N267-CONTADORES!N266)+(CONTADORES!AJ267-CONTADORES!AJ266))</f>
        <v>31.899999999994179</v>
      </c>
      <c r="AY259" s="1440">
        <f ca="1">IF(B259&gt;=$J$5,0,(CONTADORES!AH267-CONTADORES!AH266))</f>
        <v>6.9000000000014552</v>
      </c>
      <c r="AZ259" s="1440">
        <f ca="1">IF(B259&gt;=$J$5,0,(CONTADORES!P267-CONTADORES!P266))</f>
        <v>8</v>
      </c>
      <c r="BA259" s="1450">
        <f t="shared" ca="1" si="106"/>
        <v>8.757999999978324</v>
      </c>
      <c r="BB259" s="1440">
        <f ca="1">IF(B259&gt;=$J$5,0,(((CONTADORES!G267-CONTADORES!G266)+(CONTADORES!AP267-CONTADORES!AP266)+AR259)-(AV259+BC259)))</f>
        <v>11.099999999999966</v>
      </c>
      <c r="BC259" s="1438">
        <f ca="1">IF(B259&gt;=$J$5,0,(CONTADORES!AW267-CONTADORES!AW266)+(CONTADORES!AY267-CONTADORES!AY266)+(CONTADORES!BD267-CONTADORES!BD266))</f>
        <v>2.4000000000000341</v>
      </c>
      <c r="BD259" s="1438">
        <f t="shared" si="107"/>
        <v>218.69999999997526</v>
      </c>
      <c r="BE259" s="1439">
        <f ca="1">IF($B259&gt;=$J$5,0,CONTADORES!$BE267)</f>
        <v>5441.37</v>
      </c>
      <c r="BF259" s="1438">
        <f ca="1">IF($B259&gt;=$J$5,0,CONTADORES!$BF267)</f>
        <v>34035.285964912298</v>
      </c>
      <c r="BG259" s="1438">
        <f ca="1">IF($B259&gt;=$J$5,0,CONTADORES!$BH267)</f>
        <v>6158.66</v>
      </c>
      <c r="BH259" s="1438">
        <f ca="1">IF(B259&gt;=$J$5,0,(CONTADORES!AQ267-CONTADORES!AQ266))</f>
        <v>4.5999999999912689</v>
      </c>
      <c r="BI259" s="1438">
        <f ca="1">IF(C259&gt;=$J$5,0,(CONTADORES!AR267-CONTADORES!AR266))</f>
        <v>0</v>
      </c>
      <c r="BJ259" s="1438">
        <f ca="1">IF(B259&gt;=$J$5,0,CONTADORES!BI267-CONTADORES!BI266)/1000</f>
        <v>0</v>
      </c>
      <c r="BK259" s="1438">
        <f ca="1">IF(BF259&gt;=$J$5,0,CONTADORES!BJ267-CONTADORES!BJ266)</f>
        <v>0</v>
      </c>
      <c r="BL259" s="1438">
        <f ca="1">IF(BG259&gt;=$J$5,0,CONTADORES!BK267-CONTADORES!BK266)</f>
        <v>0</v>
      </c>
      <c r="BM259" s="1438">
        <f ca="1">IF(B259&gt;=$J$5,0,CONTADORES!BL267-CONTADORES!BL266)/1000</f>
        <v>4.7229999999999999</v>
      </c>
      <c r="BN259" s="1438">
        <f ca="1">IF(B259&gt;=$J$5,0,CONTADORES!BM267-CONTADORES!BM266)/1000</f>
        <v>0.55500000000000005</v>
      </c>
      <c r="BO259" s="1438">
        <f ca="1">IF(B259&gt;=$J$5,0,CONTADORES!BN267-CONTADORES!BN266)</f>
        <v>24</v>
      </c>
      <c r="BP259" s="1438">
        <f ca="1">IF(B259&gt;=$J$5,0,CONTADORES!BO267-CONTADORES!BO266)/1000</f>
        <v>3.8050000000000002</v>
      </c>
      <c r="BQ259" s="1438">
        <f ca="1">IF(B259&gt;=$J$5,0,CONTADORES!BP267-CONTADORES!BP266)/1000</f>
        <v>0.13600000000000001</v>
      </c>
      <c r="BR259" s="1438">
        <f ca="1">IF(B259&gt;=$J$5,0,CONTADORES!BQ267-CONTADORES!BQ266)</f>
        <v>24</v>
      </c>
      <c r="BS259" s="1439">
        <f ca="1">IF(B259&gt;=$J$5,0,(CONTADORES!BT267-CONTADORES!BT266)+(CONTADORES!BV267-CONTADORES!BV266))/1000</f>
        <v>1.4710000000000001</v>
      </c>
      <c r="BT259" s="1439">
        <f ca="1">IF(B259&gt;=$J$5,0,(CONTADORES!BU267-CONTADORES!BU266)+(CONTADORES!BW267-CONTADORES!BW266))/1000</f>
        <v>0.89100000000000001</v>
      </c>
      <c r="BU259" s="1439">
        <f ca="1">IF(B259&gt;=$J$5,0,CONTADORES!BR267-CONTADORES!BR266)</f>
        <v>6.9099999999998545</v>
      </c>
      <c r="BV259" s="1439">
        <f ca="1">IF(B259&gt;=$J$5,0,CONTADORES!BS267-CONTADORES!BS266)</f>
        <v>4.2900000000008731</v>
      </c>
      <c r="BW259" s="1450">
        <f t="shared" ca="1" si="108"/>
        <v>12.555500000005066</v>
      </c>
      <c r="BX259" s="1450">
        <f t="shared" ca="1" si="109"/>
        <v>9.8400000000008561</v>
      </c>
      <c r="BY259" s="1450">
        <f t="shared" ca="1" si="110"/>
        <v>5.645500000005212</v>
      </c>
      <c r="BZ259" s="1450">
        <f t="shared" ca="1" si="111"/>
        <v>1.6399999999999637</v>
      </c>
      <c r="CA259" s="1450">
        <f t="shared" ca="1" si="112"/>
        <v>5.645500000005212</v>
      </c>
      <c r="CB259" s="1450">
        <f t="shared" ca="1" si="113"/>
        <v>2.4599999999999453</v>
      </c>
      <c r="CC259" s="1450">
        <f t="shared" ca="1" si="114"/>
        <v>3.1109999999999638</v>
      </c>
      <c r="CD259" s="1450">
        <f t="shared" ca="1" si="115"/>
        <v>5.5499999999999829</v>
      </c>
      <c r="CE259" s="1450">
        <f ca="1">IF(B259&gt;=$J$5,0,CONTADORES!BS267-CONTADORES!BS266)</f>
        <v>4.2900000000008731</v>
      </c>
      <c r="CF259" s="1450">
        <f t="shared" ca="1" si="116"/>
        <v>5.5499999999999829</v>
      </c>
      <c r="CG259" s="1450">
        <f t="shared" ca="1" si="117"/>
        <v>1.2000000000000171</v>
      </c>
      <c r="CH259" s="1450">
        <f t="shared" ca="1" si="118"/>
        <v>1.2000000000000171</v>
      </c>
      <c r="CI259" s="1450">
        <f t="shared" ca="1" si="119"/>
        <v>2.0910000000000171</v>
      </c>
      <c r="CJ259" s="1450">
        <f ca="1">IF($B259&gt;=$J$5,0,CONTADORES!$BG267)</f>
        <v>10237.288879431901</v>
      </c>
      <c r="CK259" s="1384">
        <f>CONTADORES!E267</f>
        <v>0</v>
      </c>
      <c r="CL259" s="1384">
        <f>CONTADORES!BX267</f>
        <v>0</v>
      </c>
    </row>
    <row r="260" spans="2:90">
      <c r="B260" s="410">
        <v>45176</v>
      </c>
      <c r="C260" s="208">
        <f t="shared" ca="1" si="95"/>
        <v>152</v>
      </c>
      <c r="D260" s="202">
        <f ca="1">'CALCULO DE GAS'!P78</f>
        <v>3.7779127136666664</v>
      </c>
      <c r="E260" s="202">
        <f ca="1">IF(B260&gt;=$J$5,0,(CONTADORES!$AB268-CONTADORES!$AB267)-$H260)</f>
        <v>24</v>
      </c>
      <c r="F260" s="204">
        <f t="shared" ca="1" si="121"/>
        <v>0</v>
      </c>
      <c r="G260" s="202">
        <f ca="1">IF(B260&gt;=$J$5,0,CONTADORES!$AD268-CONTADORES!$AD267)</f>
        <v>0</v>
      </c>
      <c r="H260" s="202">
        <f ca="1">IF(G260&gt;0,CONTADORES!$AC268-CONTADORES!$AC267,0)</f>
        <v>0</v>
      </c>
      <c r="I260" s="1437">
        <f ca="1">IF(B260&gt;=$J$5,0,CONTADORES!$Z268-CONTADORES!$Z267)</f>
        <v>152</v>
      </c>
      <c r="J260" s="208">
        <f t="shared" ca="1" si="96"/>
        <v>297.30000000000291</v>
      </c>
      <c r="K260" s="202">
        <f ca="1">'CALCULO DE GAS'!Q78</f>
        <v>5.1157569136666927</v>
      </c>
      <c r="L260" s="1437">
        <f ca="1">IF(B260&gt;=$J$5,0,(CONTADORES!$W268-CONTADORES!$W267)-$O260)</f>
        <v>24</v>
      </c>
      <c r="M260" s="1437">
        <f t="shared" ca="1" si="124"/>
        <v>0</v>
      </c>
      <c r="N260" s="1437">
        <f ca="1">IF(B260&gt;=$J$5,0,CONTADORES!$Y268-CONTADORES!$Y267)</f>
        <v>0</v>
      </c>
      <c r="O260" s="205">
        <f ca="1">IF(N260&gt;0,CONTADORES!$X268-CONTADORES!$X267,0)</f>
        <v>0</v>
      </c>
      <c r="P260" s="1439">
        <f ca="1">IF(B260&gt;=$J$5,0,CONTADORES!$U268-CONTADORES!$U267)</f>
        <v>297.30000000000291</v>
      </c>
      <c r="Q260" s="208">
        <f ca="1">IF(B260&gt;=$J$5,0,CONTADORES!$B268-CONTADORES!$B267)</f>
        <v>0</v>
      </c>
      <c r="R260" s="202">
        <f t="shared" ca="1" si="97"/>
        <v>0</v>
      </c>
      <c r="S260" s="11">
        <f ca="1">IF(B260&gt;=$J$5,0,CONTADORES!$D268-CONTADORES!$D267)</f>
        <v>0</v>
      </c>
      <c r="T260" s="208">
        <f ca="1">IF(B260&gt;=$J$5,0,CONTADORES!$AZ268-CONTADORES!$AZ267)</f>
        <v>0</v>
      </c>
      <c r="U260" s="202">
        <f t="shared" ca="1" si="123"/>
        <v>0</v>
      </c>
      <c r="V260" s="205">
        <f ca="1">IF(B260&gt;=$J$5,0,CONTADORES!$BB268-CONTADORES!$BB267)</f>
        <v>0</v>
      </c>
      <c r="W260" s="1438">
        <f t="shared" ca="1" si="98"/>
        <v>449.30000000000291</v>
      </c>
      <c r="X260" s="1438">
        <f t="shared" ca="1" si="99"/>
        <v>0</v>
      </c>
      <c r="Y260" s="1439">
        <f t="shared" ca="1" si="100"/>
        <v>449.30000000000291</v>
      </c>
      <c r="Z260" s="1439">
        <f t="shared" ca="1" si="101"/>
        <v>8.8936696273333595</v>
      </c>
      <c r="AA260" s="1439">
        <f t="shared" ca="1" si="102"/>
        <v>0</v>
      </c>
      <c r="AB260" s="1439">
        <f t="shared" ca="1" si="103"/>
        <v>48</v>
      </c>
      <c r="AC260" s="1438">
        <f t="shared" ca="1" si="104"/>
        <v>0</v>
      </c>
      <c r="AD260" s="1439">
        <f ca="1">IF(B260&gt;=$J$5,0,CONTADORES!H268-CONTADORES!H267)</f>
        <v>163.56999999999971</v>
      </c>
      <c r="AE260" s="1438">
        <f ca="1">IF(B260&gt;=$J$5,0,CONTADORES!J268-CONTADORES!J267)</f>
        <v>24</v>
      </c>
      <c r="AF260" s="1439">
        <f ca="1">IF(B260&gt;=$J$5,0,CONTADORES!AS268-CONTADORES!AS267)</f>
        <v>151</v>
      </c>
      <c r="AG260" s="1438">
        <f ca="1">IF(B260&gt;=$J$5,0,CONTADORES!AU268-CONTADORES!AU267)</f>
        <v>24</v>
      </c>
      <c r="AH260" s="1439">
        <f ca="1">IF(B260&gt;=$J$5,0,(CONTADORES!AK268-CONTADORES!AK267)+(CONTADORES!K268-CONTADORES!K267))</f>
        <v>12.099999999998545</v>
      </c>
      <c r="AI260" s="1439">
        <f ca="1">IF(B260&gt;=$J$5,0,(CONTADORES!AI268-CONTADORES!AI267)+(CONTADORES!M268-CONTADORES!M267))</f>
        <v>36.599999999991269</v>
      </c>
      <c r="AJ260" s="1439">
        <f ca="1">IF(B260&gt;=$J$5,0,(CONTADORES!AG268-CONTADORES!AG267))</f>
        <v>8</v>
      </c>
      <c r="AK260" s="1439">
        <f ca="1">IF(B260&gt;=$J$5,0,(CONTADORES!O268-CONTADORES!O267))</f>
        <v>11</v>
      </c>
      <c r="AL260" s="1500">
        <f t="shared" ca="1" si="105"/>
        <v>36.030000000013331</v>
      </c>
      <c r="AM260" s="1450">
        <f ca="1">IF(B260&gt;=$J$5,0,(((CONTADORES!F268-CONTADORES!F267)+(CONTADORES!AO268-CONTADORES!AO267))))-BJ260-AF260-AN260-BM260-BP260-BU260-BS260</f>
        <v>9.2900000000000347</v>
      </c>
      <c r="AN260" s="1439">
        <f ca="1">IF(B260&gt;=$J$5,0,(CONTADORES!AV268-CONTADORES!AV267)+(CONTADORES!AX268-CONTADORES!AX267)+(CONTADORES!BC268-CONTADORES!BC267))</f>
        <v>4.2699999999995271</v>
      </c>
      <c r="AO260" s="1474">
        <f>(CONTADORES!AA268-CONTADORES!AA267)</f>
        <v>78</v>
      </c>
      <c r="AP260" s="1474">
        <f>(CONTADORES!V268-CONTADORES!V267)</f>
        <v>149.90000000000146</v>
      </c>
      <c r="AQ260" s="1440">
        <f>(CONTADORES!C268-CONTADORES!C267)</f>
        <v>0</v>
      </c>
      <c r="AR260" s="1440">
        <f>(CONTADORES!BA268-CONTADORES!BA267)</f>
        <v>0</v>
      </c>
      <c r="AS260" s="1438">
        <f ca="1">IF(B260&gt;=$J$5,0,CONTADORES!Q268-CONTADORES!Q267)</f>
        <v>15</v>
      </c>
      <c r="AT260" s="1438">
        <f ca="1">IF(B260&gt;=$J$5,0,(CONTADORES!S268-CONTADORES!S267)+(CONTADORES!AE268-CONTADORES!AE267))</f>
        <v>3.3799999999999955</v>
      </c>
      <c r="AU260" s="1474">
        <f>CONTADORES!I268-CONTADORES!I267</f>
        <v>82.6299999999992</v>
      </c>
      <c r="AV260" s="1440">
        <f>CONTADORES!AT268-CONTADORES!AT267</f>
        <v>66</v>
      </c>
      <c r="AW260" s="1440">
        <f ca="1">IF(B260&gt;=$J$5,0,(CONTADORES!L268-CONTADORES!L267)+(CONTADORES!AL268-CONTADORES!AL267))</f>
        <v>4.7000000000007276</v>
      </c>
      <c r="AX260" s="1440">
        <f ca="1">IF(B260&gt;=$J$5,0,(CONTADORES!N268-CONTADORES!N267)+(CONTADORES!AJ268-CONTADORES!AJ267))</f>
        <v>31.700000000004366</v>
      </c>
      <c r="AY260" s="1440">
        <f ca="1">IF(B260&gt;=$J$5,0,(CONTADORES!AH268-CONTADORES!AH267))</f>
        <v>6.1999999999970896</v>
      </c>
      <c r="AZ260" s="1440">
        <f ca="1">IF(B260&gt;=$J$5,0,(CONTADORES!P268-CONTADORES!P267))</f>
        <v>9</v>
      </c>
      <c r="BA260" s="1450">
        <f t="shared" ca="1" si="106"/>
        <v>9.5590000000003386</v>
      </c>
      <c r="BB260" s="1440">
        <f ca="1">IF(B260&gt;=$J$5,0,(((CONTADORES!G268-CONTADORES!G267)+(CONTADORES!AP268-CONTADORES!AP267)+AR260)-(AV260+BC260)))</f>
        <v>9.3299999999995862</v>
      </c>
      <c r="BC260" s="1438">
        <f ca="1">IF(B260&gt;=$J$5,0,(CONTADORES!AW268-CONTADORES!AW267)+(CONTADORES!AY268-CONTADORES!AY267)+(CONTADORES!BD268-CONTADORES!BD267))</f>
        <v>2.3700000000002319</v>
      </c>
      <c r="BD260" s="1438">
        <f t="shared" si="107"/>
        <v>227.90000000000146</v>
      </c>
      <c r="BE260" s="1439">
        <f ca="1">IF($B260&gt;=$J$5,0,CONTADORES!$BE268)</f>
        <v>5697.14</v>
      </c>
      <c r="BF260" s="1438">
        <f ca="1">IF($B260&gt;=$J$5,0,CONTADORES!$BF268)</f>
        <v>34121.028070175402</v>
      </c>
      <c r="BG260" s="1438">
        <f ca="1">IF($B260&gt;=$J$5,0,CONTADORES!$BH268)</f>
        <v>4703.9399999999996</v>
      </c>
      <c r="BH260" s="1438">
        <f ca="1">IF(B260&gt;=$J$5,0,(CONTADORES!AQ268-CONTADORES!AQ267))</f>
        <v>5.8000000000029104</v>
      </c>
      <c r="BI260" s="1438">
        <f ca="1">IF(C260&gt;=$J$5,0,(CONTADORES!AR268-CONTADORES!AR267))</f>
        <v>0</v>
      </c>
      <c r="BJ260" s="1438">
        <f ca="1">IF(B260&gt;=$J$5,0,CONTADORES!BI268-CONTADORES!BI267)/1000</f>
        <v>0</v>
      </c>
      <c r="BK260" s="1438">
        <f ca="1">IF(BF260&gt;=$J$5,0,CONTADORES!BJ268-CONTADORES!BJ267)</f>
        <v>0</v>
      </c>
      <c r="BL260" s="1438">
        <f ca="1">IF(BG260&gt;=$J$5,0,CONTADORES!BK268-CONTADORES!BK267)</f>
        <v>0</v>
      </c>
      <c r="BM260" s="1438">
        <f ca="1">IF(B260&gt;=$J$5,0,CONTADORES!BL268-CONTADORES!BL267)/1000</f>
        <v>4.9939999999999998</v>
      </c>
      <c r="BN260" s="1438">
        <f ca="1">IF(B260&gt;=$J$5,0,CONTADORES!BM268-CONTADORES!BM267)/1000</f>
        <v>0.79300000000000004</v>
      </c>
      <c r="BO260" s="1438">
        <f ca="1">IF(B260&gt;=$J$5,0,CONTADORES!BN268-CONTADORES!BN267)</f>
        <v>24</v>
      </c>
      <c r="BP260" s="1438">
        <f ca="1">IF(B260&gt;=$J$5,0,CONTADORES!BO268-CONTADORES!BO267)/1000</f>
        <v>3.681</v>
      </c>
      <c r="BQ260" s="1438">
        <f ca="1">IF(B260&gt;=$J$5,0,CONTADORES!BP268-CONTADORES!BP267)/1000</f>
        <v>0.111</v>
      </c>
      <c r="BR260" s="1438">
        <f ca="1">IF(B260&gt;=$J$5,0,CONTADORES!BQ268-CONTADORES!BQ267)</f>
        <v>24</v>
      </c>
      <c r="BS260" s="1439">
        <f ca="1">IF(B260&gt;=$J$5,0,(CONTADORES!BT268-CONTADORES!BT267)+(CONTADORES!BV268-CONTADORES!BV267))/1000</f>
        <v>1.4950000000000001</v>
      </c>
      <c r="BT260" s="1439">
        <f ca="1">IF(B260&gt;=$J$5,0,(CONTADORES!BU268-CONTADORES!BU267)+(CONTADORES!BW268-CONTADORES!BW267))/1000</f>
        <v>0.92700000000000005</v>
      </c>
      <c r="BU260" s="1439">
        <f ca="1">IF(B260&gt;=$J$5,0,CONTADORES!BR268-CONTADORES!BR267)</f>
        <v>7.2700000000004366</v>
      </c>
      <c r="BV260" s="1439">
        <f ca="1">IF(B260&gt;=$J$5,0,CONTADORES!BS268-CONTADORES!BS267)</f>
        <v>4.5799999999999272</v>
      </c>
      <c r="BW260" s="1450">
        <f t="shared" ca="1" si="108"/>
        <v>11.915000000000454</v>
      </c>
      <c r="BX260" s="1450">
        <f t="shared" ca="1" si="109"/>
        <v>9.2449999999997203</v>
      </c>
      <c r="BY260" s="1450">
        <f t="shared" ca="1" si="110"/>
        <v>4.6450000000000173</v>
      </c>
      <c r="BZ260" s="1450">
        <f t="shared" ca="1" si="111"/>
        <v>1.707999999999811</v>
      </c>
      <c r="CA260" s="1450">
        <f t="shared" ca="1" si="112"/>
        <v>4.6450000000000173</v>
      </c>
      <c r="CB260" s="1450">
        <f t="shared" ca="1" si="113"/>
        <v>2.5619999999997161</v>
      </c>
      <c r="CC260" s="1450">
        <f t="shared" ca="1" si="114"/>
        <v>3.2029999999998111</v>
      </c>
      <c r="CD260" s="1450">
        <f t="shared" ca="1" si="115"/>
        <v>4.6649999999997931</v>
      </c>
      <c r="CE260" s="1450">
        <f ca="1">IF(B260&gt;=$J$5,0,CONTADORES!BS268-CONTADORES!BS267)</f>
        <v>4.5799999999999272</v>
      </c>
      <c r="CF260" s="1450">
        <f t="shared" ca="1" si="116"/>
        <v>4.6649999999997931</v>
      </c>
      <c r="CG260" s="1450">
        <f t="shared" ca="1" si="117"/>
        <v>1.185000000000116</v>
      </c>
      <c r="CH260" s="1450">
        <f t="shared" ca="1" si="118"/>
        <v>1.185000000000116</v>
      </c>
      <c r="CI260" s="1450">
        <f t="shared" ca="1" si="119"/>
        <v>2.112000000000116</v>
      </c>
      <c r="CJ260" s="1450">
        <f ca="1">IF($B260&gt;=$J$5,0,CONTADORES!$BG268)</f>
        <v>10000.8657901192</v>
      </c>
      <c r="CK260" s="1384">
        <f>CONTADORES!E268</f>
        <v>0</v>
      </c>
      <c r="CL260" s="1384">
        <f>CONTADORES!BX268</f>
        <v>0</v>
      </c>
    </row>
    <row r="261" spans="2:90">
      <c r="B261" s="410">
        <v>45177</v>
      </c>
      <c r="C261" s="208">
        <f t="shared" ca="1" si="95"/>
        <v>148</v>
      </c>
      <c r="D261" s="202">
        <f ca="1">'CALCULO DE GAS'!P79</f>
        <v>3.7379460469999999</v>
      </c>
      <c r="E261" s="202">
        <f ca="1">IF(B261&gt;=$J$5,0,(CONTADORES!$AB269-CONTADORES!$AB268)-$H261)</f>
        <v>24</v>
      </c>
      <c r="F261" s="204">
        <v>0</v>
      </c>
      <c r="G261" s="202">
        <f ca="1">IF(B261&gt;=$J$5,0,CONTADORES!$AD269-CONTADORES!$AD268)</f>
        <v>0</v>
      </c>
      <c r="H261" s="202">
        <f ca="1">IF(G261&gt;0,CONTADORES!$AC269-CONTADORES!$AC268,0)</f>
        <v>0</v>
      </c>
      <c r="I261" s="1437">
        <f ca="1">IF(B261&gt;=$J$5,0,CONTADORES!$Z269-CONTADORES!$Z268)</f>
        <v>148</v>
      </c>
      <c r="J261" s="208">
        <f t="shared" ca="1" si="96"/>
        <v>286</v>
      </c>
      <c r="K261" s="202">
        <f ca="1">'CALCULO DE GAS'!Q79</f>
        <v>5.0103781358888879</v>
      </c>
      <c r="L261" s="1437">
        <f ca="1">IF(B261&gt;=$J$5,0,(CONTADORES!$W269-CONTADORES!$W268)-$O261)</f>
        <v>24</v>
      </c>
      <c r="M261" s="1437">
        <f t="shared" ca="1" si="124"/>
        <v>0</v>
      </c>
      <c r="N261" s="1437">
        <f ca="1">IF(B261&gt;=$J$5,0,CONTADORES!$Y269-CONTADORES!$Y268)</f>
        <v>0</v>
      </c>
      <c r="O261" s="205">
        <f ca="1">IF(N261&gt;0,CONTADORES!$X269-CONTADORES!$X268,0)</f>
        <v>0</v>
      </c>
      <c r="P261" s="1439">
        <f ca="1">IF(B261&gt;=$J$5,0,CONTADORES!$U269-CONTADORES!$U268)</f>
        <v>286</v>
      </c>
      <c r="Q261" s="208">
        <f ca="1">IF(B261&gt;=$J$5,0,CONTADORES!$B269-CONTADORES!$B268)</f>
        <v>0.3569999999999709</v>
      </c>
      <c r="R261" s="202">
        <f t="shared" ca="1" si="97"/>
        <v>42.839999999996508</v>
      </c>
      <c r="S261" s="11">
        <f ca="1">IF(B261&gt;=$J$5,0,CONTADORES!$D269-CONTADORES!$D268)</f>
        <v>2.1999999999998181</v>
      </c>
      <c r="T261" s="208">
        <f ca="1">IF(B261&gt;=$J$5,0,CONTADORES!$AZ269-CONTADORES!$AZ268)</f>
        <v>0</v>
      </c>
      <c r="U261" s="202">
        <f t="shared" ca="1" si="123"/>
        <v>0</v>
      </c>
      <c r="V261" s="205">
        <f ca="1">IF(B261&gt;=$J$5,0,CONTADORES!$BB269-CONTADORES!$BB268)</f>
        <v>0</v>
      </c>
      <c r="W261" s="1438">
        <f t="shared" ca="1" si="98"/>
        <v>434</v>
      </c>
      <c r="X261" s="1438">
        <f t="shared" ca="1" si="99"/>
        <v>0.3569999999999709</v>
      </c>
      <c r="Y261" s="1439">
        <f t="shared" ca="1" si="100"/>
        <v>434.35699999999997</v>
      </c>
      <c r="Z261" s="1439">
        <f t="shared" ca="1" si="101"/>
        <v>8.7483241828888882</v>
      </c>
      <c r="AA261" s="1439">
        <f t="shared" ca="1" si="102"/>
        <v>42.839999999996508</v>
      </c>
      <c r="AB261" s="1439">
        <f t="shared" ca="1" si="103"/>
        <v>48</v>
      </c>
      <c r="AC261" s="1438">
        <f t="shared" ca="1" si="104"/>
        <v>2.1999999999998181</v>
      </c>
      <c r="AD261" s="1439">
        <f ca="1">IF(B261&gt;=$J$5,0,CONTADORES!H269-CONTADORES!H268)</f>
        <v>158</v>
      </c>
      <c r="AE261" s="1438">
        <f ca="1">IF(B261&gt;=$J$5,0,CONTADORES!J269-CONTADORES!J268)</f>
        <v>24</v>
      </c>
      <c r="AF261" s="1439">
        <f ca="1">IF(B261&gt;=$J$5,0,CONTADORES!AS269-CONTADORES!AS268)</f>
        <v>147</v>
      </c>
      <c r="AG261" s="1438">
        <f ca="1">IF(B261&gt;=$J$5,0,CONTADORES!AU269-CONTADORES!AU268)</f>
        <v>24</v>
      </c>
      <c r="AH261" s="1439">
        <f ca="1">IF(B261&gt;=$J$5,0,(CONTADORES!AK269-CONTADORES!AK268)+(CONTADORES!K269-CONTADORES!K268))</f>
        <v>9.5999999999985448</v>
      </c>
      <c r="AI261" s="1439">
        <f ca="1">IF(B261&gt;=$J$5,0,(CONTADORES!AI269-CONTADORES!AI268)+(CONTADORES!M269-CONTADORES!M268))</f>
        <v>36.100000000005821</v>
      </c>
      <c r="AJ261" s="1439">
        <f ca="1">IF(B261&gt;=$J$5,0,(CONTADORES!AG269-CONTADORES!AG268))</f>
        <v>7.1999999999970896</v>
      </c>
      <c r="AK261" s="1439">
        <f ca="1">IF(B261&gt;=$J$5,0,(CONTADORES!O269-CONTADORES!O268))</f>
        <v>11</v>
      </c>
      <c r="AL261" s="1500">
        <f t="shared" ca="1" si="105"/>
        <v>35.756999999997731</v>
      </c>
      <c r="AM261" s="1450">
        <f ca="1">IF(B261&gt;=$J$5,0,(((CONTADORES!F269-CONTADORES!F268)+(CONTADORES!AO269-CONTADORES!AO268))))-BJ261-AF261-AN261-BM261-BP261-BU261-BS261</f>
        <v>10.096999999999818</v>
      </c>
      <c r="AN261" s="1439">
        <f ca="1">IF(B261&gt;=$J$5,0,(CONTADORES!AV269-CONTADORES!AV268)+(CONTADORES!AX269-CONTADORES!AX268)+(CONTADORES!BC269-CONTADORES!BC268))</f>
        <v>4.3000000000001819</v>
      </c>
      <c r="AO261" s="1474">
        <f>(CONTADORES!AA269-CONTADORES!AA268)</f>
        <v>72</v>
      </c>
      <c r="AP261" s="1474">
        <f>(CONTADORES!V269-CONTADORES!V268)</f>
        <v>147</v>
      </c>
      <c r="AQ261" s="1440">
        <f>(CONTADORES!C269-CONTADORES!C268)</f>
        <v>0.17200000000002547</v>
      </c>
      <c r="AR261" s="1440">
        <f>(CONTADORES!BA269-CONTADORES!BA268)</f>
        <v>0</v>
      </c>
      <c r="AS261" s="1438">
        <f ca="1">IF(B261&gt;=$J$5,0,CONTADORES!Q269-CONTADORES!Q268)</f>
        <v>15</v>
      </c>
      <c r="AT261" s="1438">
        <f ca="1">IF(B261&gt;=$J$5,0,(CONTADORES!S269-CONTADORES!S268)+(CONTADORES!AE269-CONTADORES!AE268))</f>
        <v>3.0999999999999659</v>
      </c>
      <c r="AU261" s="1474">
        <f>CONTADORES!I269-CONTADORES!I268</f>
        <v>80</v>
      </c>
      <c r="AV261" s="1440">
        <f>CONTADORES!AT269-CONTADORES!AT268</f>
        <v>63</v>
      </c>
      <c r="AW261" s="1440">
        <f ca="1">IF(B261&gt;=$J$5,0,(CONTADORES!L269-CONTADORES!L268)+(CONTADORES!AL269-CONTADORES!AL268))</f>
        <v>3.7999999999992724</v>
      </c>
      <c r="AX261" s="1440">
        <f ca="1">IF(B261&gt;=$J$5,0,(CONTADORES!N269-CONTADORES!N268)+(CONTADORES!AJ269-CONTADORES!AJ268))</f>
        <v>31.099999999998545</v>
      </c>
      <c r="AY261" s="1440">
        <f ca="1">IF(B261&gt;=$J$5,0,(CONTADORES!AH269-CONTADORES!AH268))</f>
        <v>6</v>
      </c>
      <c r="AZ261" s="1440">
        <f ca="1">IF(B261&gt;=$J$5,0,(CONTADORES!P269-CONTADORES!P268))</f>
        <v>9</v>
      </c>
      <c r="BA261" s="1450">
        <f t="shared" ca="1" si="106"/>
        <v>9.377000000002937</v>
      </c>
      <c r="BB261" s="1440">
        <f ca="1">IF(B261&gt;=$J$5,0,(((CONTADORES!G269-CONTADORES!G268)+(CONTADORES!AP269-CONTADORES!AP268)+AR261)-(AV261+BC261)))</f>
        <v>9.1000000000000796</v>
      </c>
      <c r="BC261" s="1438">
        <f ca="1">IF(B261&gt;=$J$5,0,(CONTADORES!AW269-CONTADORES!AW268)+(CONTADORES!AY269-CONTADORES!AY268)+(CONTADORES!BD269-CONTADORES!BD268))</f>
        <v>2.3999999999999204</v>
      </c>
      <c r="BD261" s="1438">
        <f t="shared" si="107"/>
        <v>219.17200000000003</v>
      </c>
      <c r="BE261" s="1439">
        <f ca="1">IF($B261&gt;=$J$5,0,CONTADORES!$BE269)</f>
        <v>5486.77</v>
      </c>
      <c r="BF261" s="1438">
        <f ca="1">IF($B261&gt;=$J$5,0,CONTADORES!$BF269)</f>
        <v>34016.050877193004</v>
      </c>
      <c r="BG261" s="1438">
        <f ca="1">IF($B261&gt;=$J$5,0,CONTADORES!$BH269)</f>
        <v>4995.25</v>
      </c>
      <c r="BH261" s="1438">
        <f ca="1">IF(B261&gt;=$J$5,0,(CONTADORES!AQ269-CONTADORES!AQ268))</f>
        <v>5</v>
      </c>
      <c r="BI261" s="1438">
        <f ca="1">IF(C261&gt;=$J$5,0,(CONTADORES!AR269-CONTADORES!AR268))</f>
        <v>0</v>
      </c>
      <c r="BJ261" s="1438">
        <f ca="1">IF(B261&gt;=$J$5,0,CONTADORES!BI269-CONTADORES!BI268)/1000</f>
        <v>0</v>
      </c>
      <c r="BK261" s="1438">
        <f ca="1">IF(BF261&gt;=$J$5,0,CONTADORES!BJ269-CONTADORES!BJ268)</f>
        <v>0</v>
      </c>
      <c r="BL261" s="1438">
        <f ca="1">IF(BG261&gt;=$J$5,0,CONTADORES!BK269-CONTADORES!BK268)</f>
        <v>0</v>
      </c>
      <c r="BM261" s="1438">
        <f ca="1">IF(B261&gt;=$J$5,0,CONTADORES!BL269-CONTADORES!BL268)/1000</f>
        <v>4.7140000000000004</v>
      </c>
      <c r="BN261" s="1438">
        <f ca="1">IF(B261&gt;=$J$5,0,CONTADORES!BM269-CONTADORES!BM268)/1000</f>
        <v>0.67400000000000004</v>
      </c>
      <c r="BO261" s="1438">
        <f ca="1">IF(B261&gt;=$J$5,0,CONTADORES!BN269-CONTADORES!BN268)</f>
        <v>24</v>
      </c>
      <c r="BP261" s="1438">
        <f ca="1">IF(B261&gt;=$J$5,0,CONTADORES!BO269-CONTADORES!BO268)/1000</f>
        <v>3.5409999999999999</v>
      </c>
      <c r="BQ261" s="1438">
        <f ca="1">IF(B261&gt;=$J$5,0,CONTADORES!BP269-CONTADORES!BP268)/1000</f>
        <v>9.5000000000000001E-2</v>
      </c>
      <c r="BR261" s="1438">
        <f ca="1">IF(B261&gt;=$J$5,0,CONTADORES!BQ269-CONTADORES!BQ268)</f>
        <v>24</v>
      </c>
      <c r="BS261" s="1439">
        <f ca="1">IF(B261&gt;=$J$5,0,(CONTADORES!BT269-CONTADORES!BT268)+(CONTADORES!BV269-CONTADORES!BV268))/1000</f>
        <v>1.3480000000000001</v>
      </c>
      <c r="BT261" s="1439">
        <f ca="1">IF(B261&gt;=$J$5,0,(CONTADORES!BU269-CONTADORES!BU268)+(CONTADORES!BW269-CONTADORES!BW268))/1000</f>
        <v>0.82599999999999996</v>
      </c>
      <c r="BU261" s="1439">
        <f ca="1">IF(B261&gt;=$J$5,0,CONTADORES!BR269-CONTADORES!BR268)</f>
        <v>5.7000000000007276</v>
      </c>
      <c r="BV261" s="1439">
        <f ca="1">IF(B261&gt;=$J$5,0,CONTADORES!BS269-CONTADORES!BS268)</f>
        <v>3.7999999999992724</v>
      </c>
      <c r="BW261" s="1450">
        <f t="shared" ca="1" si="108"/>
        <v>10.748500000000636</v>
      </c>
      <c r="BX261" s="1450">
        <f t="shared" ca="1" si="109"/>
        <v>8.3499999999993122</v>
      </c>
      <c r="BY261" s="1450">
        <f t="shared" ca="1" si="110"/>
        <v>5.0484999999999092</v>
      </c>
      <c r="BZ261" s="1450">
        <f t="shared" ca="1" si="111"/>
        <v>1.7200000000000728</v>
      </c>
      <c r="CA261" s="1450">
        <f t="shared" ca="1" si="112"/>
        <v>5.0484999999999092</v>
      </c>
      <c r="CB261" s="1450">
        <f t="shared" ca="1" si="113"/>
        <v>2.5800000000001093</v>
      </c>
      <c r="CC261" s="1450">
        <f t="shared" ca="1" si="114"/>
        <v>3.0680000000000729</v>
      </c>
      <c r="CD261" s="1450">
        <f t="shared" ca="1" si="115"/>
        <v>4.5500000000000398</v>
      </c>
      <c r="CE261" s="1450">
        <f ca="1">IF(B261&gt;=$J$5,0,CONTADORES!BS269-CONTADORES!BS268)</f>
        <v>3.7999999999992724</v>
      </c>
      <c r="CF261" s="1450">
        <f t="shared" ca="1" si="116"/>
        <v>4.5500000000000398</v>
      </c>
      <c r="CG261" s="1450">
        <f t="shared" ca="1" si="117"/>
        <v>1.1999999999999602</v>
      </c>
      <c r="CH261" s="1450">
        <f t="shared" ca="1" si="118"/>
        <v>1.1999999999999602</v>
      </c>
      <c r="CI261" s="1450">
        <f t="shared" ca="1" si="119"/>
        <v>2.0259999999999603</v>
      </c>
      <c r="CJ261" s="1450">
        <f ca="1">IF($B261&gt;=$J$5,0,CONTADORES!$BG269)</f>
        <v>9764.7129203571203</v>
      </c>
      <c r="CK261" s="1384">
        <f>CONTADORES!E269</f>
        <v>1</v>
      </c>
      <c r="CL261" s="1384">
        <f>CONTADORES!BX269</f>
        <v>0</v>
      </c>
    </row>
    <row r="262" spans="2:90">
      <c r="B262" s="410">
        <v>45178</v>
      </c>
      <c r="C262" s="208">
        <f t="shared" ca="1" si="95"/>
        <v>150</v>
      </c>
      <c r="D262" s="202">
        <f ca="1">'CALCULO DE GAS'!P80</f>
        <v>3.7579293803333331</v>
      </c>
      <c r="E262" s="202">
        <f ca="1">IF(B262&gt;=$J$5,0,(CONTADORES!$AB270-CONTADORES!$AB269)-$H262)</f>
        <v>24</v>
      </c>
      <c r="F262" s="204">
        <f t="shared" ref="F262:F293" ca="1" si="125">IF(H262=0,0,"ERROR")</f>
        <v>0</v>
      </c>
      <c r="G262" s="202">
        <f ca="1">IF(B262&gt;=$J$5,0,CONTADORES!$AD270-CONTADORES!$AD269)</f>
        <v>0</v>
      </c>
      <c r="H262" s="202">
        <f ca="1">IF(G262&gt;0,CONTADORES!$AC270-CONTADORES!$AC269,0)</f>
        <v>0</v>
      </c>
      <c r="I262" s="1437">
        <f ca="1">IF(B262&gt;=$J$5,0,CONTADORES!$Z270-CONTADORES!$Z269)</f>
        <v>150</v>
      </c>
      <c r="J262" s="208">
        <f t="shared" ca="1" si="96"/>
        <v>296</v>
      </c>
      <c r="K262" s="202">
        <f ca="1">'CALCULO DE GAS'!Q80</f>
        <v>5.1036336914444433</v>
      </c>
      <c r="L262" s="1437">
        <f ca="1">IF(B262&gt;=$J$5,0,(CONTADORES!$W270-CONTADORES!$W269)-$O262)</f>
        <v>24</v>
      </c>
      <c r="M262" s="1437">
        <f t="shared" ca="1" si="124"/>
        <v>0</v>
      </c>
      <c r="N262" s="1437">
        <f ca="1">IF(B262&gt;=$J$5,0,CONTADORES!$Y270-CONTADORES!$Y269)</f>
        <v>0</v>
      </c>
      <c r="O262" s="205">
        <f ca="1">IF(N262&gt;0,CONTADORES!$X270-CONTADORES!$X269,0)</f>
        <v>0</v>
      </c>
      <c r="P262" s="1439">
        <f ca="1">IF(B262&gt;=$J$5,0,CONTADORES!$U270-CONTADORES!$U269)</f>
        <v>296</v>
      </c>
      <c r="Q262" s="208">
        <f ca="1">IF(B262&gt;=$J$5,0,CONTADORES!$B270-CONTADORES!$B269)</f>
        <v>0</v>
      </c>
      <c r="R262" s="202">
        <f t="shared" ca="1" si="97"/>
        <v>0</v>
      </c>
      <c r="S262" s="11">
        <f ca="1">IF(B262&gt;=$J$5,0,CONTADORES!$D270-CONTADORES!$D269)</f>
        <v>0</v>
      </c>
      <c r="T262" s="208">
        <f ca="1">IF(B262&gt;=$J$5,0,CONTADORES!$AZ270-CONTADORES!$AZ269)</f>
        <v>0</v>
      </c>
      <c r="U262" s="202">
        <f t="shared" ca="1" si="123"/>
        <v>0</v>
      </c>
      <c r="V262" s="205">
        <f ca="1">IF(B262&gt;=$J$5,0,CONTADORES!$BB270-CONTADORES!$BB269)</f>
        <v>0</v>
      </c>
      <c r="W262" s="1438">
        <f t="shared" ca="1" si="98"/>
        <v>446</v>
      </c>
      <c r="X262" s="1438">
        <f t="shared" ca="1" si="99"/>
        <v>0</v>
      </c>
      <c r="Y262" s="1439">
        <f t="shared" ca="1" si="100"/>
        <v>446</v>
      </c>
      <c r="Z262" s="1439">
        <f t="shared" ca="1" si="101"/>
        <v>8.8615630717777769</v>
      </c>
      <c r="AA262" s="1439">
        <f t="shared" ca="1" si="102"/>
        <v>0</v>
      </c>
      <c r="AB262" s="1439">
        <f t="shared" ca="1" si="103"/>
        <v>48</v>
      </c>
      <c r="AC262" s="1438">
        <f t="shared" ca="1" si="104"/>
        <v>0</v>
      </c>
      <c r="AD262" s="1439">
        <f ca="1">IF(B262&gt;=$J$5,0,CONTADORES!H270-CONTADORES!H269)</f>
        <v>162</v>
      </c>
      <c r="AE262" s="1438">
        <f ca="1">IF(B262&gt;=$J$5,0,CONTADORES!J270-CONTADORES!J269)</f>
        <v>24</v>
      </c>
      <c r="AF262" s="1439">
        <f ca="1">IF(B262&gt;=$J$5,0,CONTADORES!AS270-CONTADORES!AS269)</f>
        <v>151</v>
      </c>
      <c r="AG262" s="1438">
        <f ca="1">IF(B262&gt;=$J$5,0,CONTADORES!AU270-CONTADORES!AU269)</f>
        <v>24</v>
      </c>
      <c r="AH262" s="1439">
        <f ca="1">IF(B262&gt;=$J$5,0,(CONTADORES!AK270-CONTADORES!AK269)+(CONTADORES!K270-CONTADORES!K269))</f>
        <v>10.200000000004366</v>
      </c>
      <c r="AI262" s="1439">
        <f ca="1">IF(B262&gt;=$J$5,0,(CONTADORES!AI270-CONTADORES!AI269)+(CONTADORES!M270-CONTADORES!M269))</f>
        <v>38.30000000000291</v>
      </c>
      <c r="AJ262" s="1439">
        <f ca="1">IF(B262&gt;=$J$5,0,(CONTADORES!AG270-CONTADORES!AG269))</f>
        <v>10.30000000000291</v>
      </c>
      <c r="AK262" s="1439">
        <f ca="1">IF(B262&gt;=$J$5,0,(CONTADORES!O270-CONTADORES!O269))</f>
        <v>12</v>
      </c>
      <c r="AL262" s="1500">
        <f t="shared" ca="1" si="105"/>
        <v>33.199999999989757</v>
      </c>
      <c r="AM262" s="1450">
        <f ca="1">IF(B262&gt;=$J$5,0,(((CONTADORES!F270-CONTADORES!F269)+(CONTADORES!AO270-CONTADORES!AO269))))-BJ262-AF262-AN262-BM262-BP262-BU262-BS262</f>
        <v>8.5709999999998061</v>
      </c>
      <c r="AN262" s="1439">
        <f ca="1">IF(B262&gt;=$J$5,0,(CONTADORES!AV270-CONTADORES!AV269)+(CONTADORES!AX270-CONTADORES!AX269)+(CONTADORES!BC270-CONTADORES!BC269))</f>
        <v>4.7300000000005582</v>
      </c>
      <c r="AO262" s="1474">
        <f>(CONTADORES!AA270-CONTADORES!AA269)</f>
        <v>74</v>
      </c>
      <c r="AP262" s="1474">
        <f>(CONTADORES!V270-CONTADORES!V269)</f>
        <v>152</v>
      </c>
      <c r="AQ262" s="1440">
        <f>(CONTADORES!C270-CONTADORES!C269)</f>
        <v>0</v>
      </c>
      <c r="AR262" s="1440">
        <f>(CONTADORES!BA270-CONTADORES!BA269)</f>
        <v>0</v>
      </c>
      <c r="AS262" s="1438">
        <f ca="1">IF(B262&gt;=$J$5,0,CONTADORES!Q270-CONTADORES!Q269)</f>
        <v>15</v>
      </c>
      <c r="AT262" s="1438">
        <f ca="1">IF(B262&gt;=$J$5,0,(CONTADORES!S270-CONTADORES!S269)+(CONTADORES!AE270-CONTADORES!AE269))</f>
        <v>3.3000000000000114</v>
      </c>
      <c r="AU262" s="1474">
        <f>CONTADORES!I270-CONTADORES!I269</f>
        <v>81</v>
      </c>
      <c r="AV262" s="1440">
        <f>CONTADORES!AT270-CONTADORES!AT269</f>
        <v>65</v>
      </c>
      <c r="AW262" s="1440">
        <f ca="1">IF(B262&gt;=$J$5,0,(CONTADORES!L270-CONTADORES!L269)+(CONTADORES!AL270-CONTADORES!AL269))</f>
        <v>4</v>
      </c>
      <c r="AX262" s="1440">
        <f ca="1">IF(B262&gt;=$J$5,0,(CONTADORES!N270-CONTADORES!N269)+(CONTADORES!AJ270-CONTADORES!AJ269))</f>
        <v>33.099999999998545</v>
      </c>
      <c r="AY262" s="1440">
        <f ca="1">IF(B262&gt;=$J$5,0,(CONTADORES!AH270-CONTADORES!AH269))</f>
        <v>7.5999999999985448</v>
      </c>
      <c r="AZ262" s="1440">
        <f ca="1">IF(B262&gt;=$J$5,0,(CONTADORES!P270-CONTADORES!P269))</f>
        <v>9</v>
      </c>
      <c r="BA262" s="1450">
        <f t="shared" ca="1" si="106"/>
        <v>10.142000000002753</v>
      </c>
      <c r="BB262" s="1440">
        <f ca="1">IF(B262&gt;=$J$5,0,(((CONTADORES!G270-CONTADORES!G269)+(CONTADORES!AP270-CONTADORES!AP269)+AR262)-(AV262+BC262)))</f>
        <v>7.9200000000000443</v>
      </c>
      <c r="BC262" s="1438">
        <f ca="1">IF(B262&gt;=$J$5,0,(CONTADORES!AW270-CONTADORES!AW269)+(CONTADORES!AY270-CONTADORES!AY269)+(CONTADORES!BD270-CONTADORES!BD269))</f>
        <v>2.5799999999999557</v>
      </c>
      <c r="BD262" s="1438">
        <f t="shared" si="107"/>
        <v>226</v>
      </c>
      <c r="BE262" s="1439">
        <f ca="1">IF($B262&gt;=$J$5,0,CONTADORES!$BE270)</f>
        <v>5316.18</v>
      </c>
      <c r="BF262" s="1438">
        <f ca="1">IF($B262&gt;=$J$5,0,CONTADORES!$BF270)</f>
        <v>33888.991228070197</v>
      </c>
      <c r="BG262" s="1438">
        <f ca="1">IF($B262&gt;=$J$5,0,CONTADORES!$BH270)</f>
        <v>5560.39</v>
      </c>
      <c r="BH262" s="1438">
        <f ca="1">IF(B262&gt;=$J$5,0,(CONTADORES!AQ270-CONTADORES!AQ269))</f>
        <v>5</v>
      </c>
      <c r="BI262" s="1438">
        <f ca="1">IF(C262&gt;=$J$5,0,(CONTADORES!AR270-CONTADORES!AR269))</f>
        <v>0</v>
      </c>
      <c r="BJ262" s="1438">
        <f ca="1">IF(B262&gt;=$J$5,0,CONTADORES!BI270-CONTADORES!BI269)/1000</f>
        <v>0</v>
      </c>
      <c r="BK262" s="1438">
        <f ca="1">IF(BF262&gt;=$J$5,0,CONTADORES!BJ270-CONTADORES!BJ269)</f>
        <v>0</v>
      </c>
      <c r="BL262" s="1438">
        <f ca="1">IF(BG262&gt;=$J$5,0,CONTADORES!BK270-CONTADORES!BK269)</f>
        <v>0</v>
      </c>
      <c r="BM262" s="1438">
        <f ca="1">IF(B262&gt;=$J$5,0,CONTADORES!BL270-CONTADORES!BL269)/1000</f>
        <v>4.8860000000000001</v>
      </c>
      <c r="BN262" s="1438">
        <f ca="1">IF(B262&gt;=$J$5,0,CONTADORES!BM270-CONTADORES!BM269)/1000</f>
        <v>0.71199999999999997</v>
      </c>
      <c r="BO262" s="1438">
        <f ca="1">IF(B262&gt;=$J$5,0,CONTADORES!BN270-CONTADORES!BN269)</f>
        <v>24</v>
      </c>
      <c r="BP262" s="1438">
        <f ca="1">IF(B262&gt;=$J$5,0,CONTADORES!BO270-CONTADORES!BO269)/1000</f>
        <v>3.66</v>
      </c>
      <c r="BQ262" s="1438">
        <f ca="1">IF(B262&gt;=$J$5,0,CONTADORES!BP270-CONTADORES!BP269)/1000</f>
        <v>7.2999999999999995E-2</v>
      </c>
      <c r="BR262" s="1438">
        <f ca="1">IF(B262&gt;=$J$5,0,CONTADORES!BQ270-CONTADORES!BQ269)</f>
        <v>24</v>
      </c>
      <c r="BS262" s="1439">
        <f ca="1">IF(B262&gt;=$J$5,0,(CONTADORES!BT270-CONTADORES!BT269)+(CONTADORES!BV270-CONTADORES!BV269))/1000</f>
        <v>1.7529999999999999</v>
      </c>
      <c r="BT262" s="1439">
        <f ca="1">IF(B262&gt;=$J$5,0,(CONTADORES!BU270-CONTADORES!BU269)+(CONTADORES!BW270-CONTADORES!BW269))/1000</f>
        <v>1.073</v>
      </c>
      <c r="BU262" s="1439">
        <f ca="1">IF(B262&gt;=$J$5,0,CONTADORES!BR270-CONTADORES!BR269)</f>
        <v>5.3999999999996362</v>
      </c>
      <c r="BV262" s="1439">
        <f ca="1">IF(B262&gt;=$J$5,0,CONTADORES!BS270-CONTADORES!BS269)</f>
        <v>3.8000000000001819</v>
      </c>
      <c r="BW262" s="1450">
        <f t="shared" ca="1" si="108"/>
        <v>9.6854999999995393</v>
      </c>
      <c r="BX262" s="1450">
        <f t="shared" ca="1" si="109"/>
        <v>7.7600000000002041</v>
      </c>
      <c r="BY262" s="1450">
        <f t="shared" ca="1" si="110"/>
        <v>4.2854999999999031</v>
      </c>
      <c r="BZ262" s="1450">
        <f t="shared" ca="1" si="111"/>
        <v>1.8920000000002233</v>
      </c>
      <c r="CA262" s="1450">
        <f t="shared" ca="1" si="112"/>
        <v>4.2854999999999031</v>
      </c>
      <c r="CB262" s="1450">
        <f t="shared" ca="1" si="113"/>
        <v>2.8380000000003349</v>
      </c>
      <c r="CC262" s="1450">
        <f t="shared" ca="1" si="114"/>
        <v>3.6450000000002234</v>
      </c>
      <c r="CD262" s="1450">
        <f t="shared" ca="1" si="115"/>
        <v>3.9600000000000222</v>
      </c>
      <c r="CE262" s="1450">
        <f ca="1">IF(B262&gt;=$J$5,0,CONTADORES!BS270-CONTADORES!BS269)</f>
        <v>3.8000000000001819</v>
      </c>
      <c r="CF262" s="1450">
        <f t="shared" ca="1" si="116"/>
        <v>3.9600000000000222</v>
      </c>
      <c r="CG262" s="1450">
        <f t="shared" ca="1" si="117"/>
        <v>1.2899999999999778</v>
      </c>
      <c r="CH262" s="1450">
        <f t="shared" ca="1" si="118"/>
        <v>1.2899999999999778</v>
      </c>
      <c r="CI262" s="1450">
        <f t="shared" ca="1" si="119"/>
        <v>2.3629999999999778</v>
      </c>
      <c r="CJ262" s="1450">
        <f ca="1">IF($B262&gt;=$J$5,0,CONTADORES!$BG270)</f>
        <v>9144.8168884633196</v>
      </c>
      <c r="CK262" s="1384">
        <f>CONTADORES!E270</f>
        <v>0</v>
      </c>
      <c r="CL262" s="1384">
        <f>CONTADORES!BX270</f>
        <v>0</v>
      </c>
    </row>
    <row r="263" spans="2:90">
      <c r="B263" s="410">
        <v>45179</v>
      </c>
      <c r="C263" s="208">
        <f t="shared" ca="1" si="95"/>
        <v>151</v>
      </c>
      <c r="D263" s="202">
        <f ca="1">'CALCULO DE GAS'!P81</f>
        <v>3.7679210469999997</v>
      </c>
      <c r="E263" s="202">
        <f ca="1">IF(B263&gt;=$J$5,0,(CONTADORES!$AB271-CONTADORES!$AB270)-$H263)</f>
        <v>24</v>
      </c>
      <c r="F263" s="204">
        <f t="shared" ca="1" si="125"/>
        <v>0</v>
      </c>
      <c r="G263" s="202">
        <f ca="1">IF(B263&gt;=$J$5,0,CONTADORES!$AD271-CONTADORES!$AD270)</f>
        <v>0</v>
      </c>
      <c r="H263" s="202">
        <f ca="1">IF(G263&gt;0,CONTADORES!$AC271-CONTADORES!$AC270,0)</f>
        <v>0</v>
      </c>
      <c r="I263" s="1437">
        <f ca="1">IF(B263&gt;=$J$5,0,CONTADORES!$Z271-CONTADORES!$Z270)</f>
        <v>151</v>
      </c>
      <c r="J263" s="208">
        <f t="shared" ca="1" si="96"/>
        <v>289</v>
      </c>
      <c r="K263" s="202">
        <f ca="1">'CALCULO DE GAS'!Q81</f>
        <v>5.0383548025555545</v>
      </c>
      <c r="L263" s="1437">
        <f ca="1">IF(B263&gt;=$J$5,0,(CONTADORES!$W271-CONTADORES!$W270)-$O263)</f>
        <v>24</v>
      </c>
      <c r="M263" s="1437">
        <f t="shared" ca="1" si="124"/>
        <v>0</v>
      </c>
      <c r="N263" s="1437">
        <f ca="1">IF(B263&gt;=$J$5,0,CONTADORES!$Y271-CONTADORES!$Y270)</f>
        <v>0</v>
      </c>
      <c r="O263" s="205">
        <f ca="1">IF(N263&gt;0,CONTADORES!$X271-CONTADORES!$X270,0)</f>
        <v>0</v>
      </c>
      <c r="P263" s="1439">
        <f ca="1">IF(B263&gt;=$J$5,0,CONTADORES!$U271-CONTADORES!$U270)</f>
        <v>289</v>
      </c>
      <c r="Q263" s="208">
        <f ca="1">IF(B263&gt;=$J$5,0,CONTADORES!$B271-CONTADORES!$B270)</f>
        <v>0.1009999999998854</v>
      </c>
      <c r="R263" s="202">
        <f t="shared" ca="1" si="97"/>
        <v>12.119999999986248</v>
      </c>
      <c r="S263" s="11">
        <f ca="1">IF(B263&gt;=$J$5,0,CONTADORES!$D271-CONTADORES!$D270)</f>
        <v>0.5</v>
      </c>
      <c r="T263" s="208">
        <f ca="1">IF(B263&gt;=$J$5,0,CONTADORES!$AZ271-CONTADORES!$AZ270)</f>
        <v>0</v>
      </c>
      <c r="U263" s="202">
        <f t="shared" ca="1" si="123"/>
        <v>0</v>
      </c>
      <c r="V263" s="205">
        <f ca="1">IF(B263&gt;=$J$5,0,CONTADORES!$BB271-CONTADORES!$BB270)</f>
        <v>0</v>
      </c>
      <c r="W263" s="1438">
        <f t="shared" ca="1" si="98"/>
        <v>440</v>
      </c>
      <c r="X263" s="1438">
        <f t="shared" ca="1" si="99"/>
        <v>0.1009999999998854</v>
      </c>
      <c r="Y263" s="1439">
        <f t="shared" ca="1" si="100"/>
        <v>440.10099999999989</v>
      </c>
      <c r="Z263" s="1439">
        <f t="shared" ca="1" si="101"/>
        <v>8.8062758495555542</v>
      </c>
      <c r="AA263" s="1439">
        <f t="shared" ca="1" si="102"/>
        <v>12.119999999986248</v>
      </c>
      <c r="AB263" s="1439">
        <f t="shared" ca="1" si="103"/>
        <v>48</v>
      </c>
      <c r="AC263" s="1438">
        <f t="shared" ca="1" si="104"/>
        <v>0.5</v>
      </c>
      <c r="AD263" s="1439">
        <f ca="1">IF(B263&gt;=$J$5,0,CONTADORES!H271-CONTADORES!H270)</f>
        <v>164</v>
      </c>
      <c r="AE263" s="1438">
        <f ca="1">IF(B263&gt;=$J$5,0,CONTADORES!J271-CONTADORES!J270)</f>
        <v>24</v>
      </c>
      <c r="AF263" s="1439">
        <f ca="1">IF(B263&gt;=$J$5,0,CONTADORES!AS271-CONTADORES!AS270)</f>
        <v>149</v>
      </c>
      <c r="AG263" s="1438">
        <f ca="1">IF(B263&gt;=$J$5,0,CONTADORES!AU271-CONTADORES!AU270)</f>
        <v>24</v>
      </c>
      <c r="AH263" s="1439">
        <f ca="1">IF(B263&gt;=$J$5,0,(CONTADORES!AK271-CONTADORES!AK270)+(CONTADORES!K271-CONTADORES!K270))</f>
        <v>7.1999999999970896</v>
      </c>
      <c r="AI263" s="1439">
        <f ca="1">IF(B263&gt;=$J$5,0,(CONTADORES!AI271-CONTADORES!AI270)+(CONTADORES!M271-CONTADORES!M270))</f>
        <v>36.69999999999709</v>
      </c>
      <c r="AJ263" s="1439">
        <f ca="1">IF(B263&gt;=$J$5,0,(CONTADORES!AG271-CONTADORES!AG270))</f>
        <v>6.6999999999970896</v>
      </c>
      <c r="AK263" s="1439">
        <f ca="1">IF(B263&gt;=$J$5,0,(CONTADORES!O271-CONTADORES!O270))</f>
        <v>10</v>
      </c>
      <c r="AL263" s="1500">
        <f t="shared" ca="1" si="105"/>
        <v>36.901000000010015</v>
      </c>
      <c r="AM263" s="1450">
        <f ca="1">IF(B263&gt;=$J$5,0,(((CONTADORES!F271-CONTADORES!F270)+(CONTADORES!AO271-CONTADORES!AO270))))-BJ263-AF263-AN263-BM263-BP263-BU263-BS263</f>
        <v>10.094999999999182</v>
      </c>
      <c r="AN263" s="1439">
        <f ca="1">IF(B263&gt;=$J$5,0,(CONTADORES!AV271-CONTADORES!AV270)+(CONTADORES!AX271-CONTADORES!AX270)+(CONTADORES!BC271-CONTADORES!BC270))</f>
        <v>4.1999999999993634</v>
      </c>
      <c r="AO263" s="1474">
        <f>(CONTADORES!AA271-CONTADORES!AA270)</f>
        <v>74</v>
      </c>
      <c r="AP263" s="1474">
        <f>(CONTADORES!V271-CONTADORES!V270)</f>
        <v>148</v>
      </c>
      <c r="AQ263" s="1440">
        <f>(CONTADORES!C271-CONTADORES!C270)</f>
        <v>4.8999999999978172E-2</v>
      </c>
      <c r="AR263" s="1440">
        <f>(CONTADORES!BA271-CONTADORES!BA270)</f>
        <v>0</v>
      </c>
      <c r="AS263" s="1438">
        <f ca="1">IF(B263&gt;=$J$5,0,CONTADORES!Q271-CONTADORES!Q270)</f>
        <v>14</v>
      </c>
      <c r="AT263" s="1438">
        <f ca="1">IF(B263&gt;=$J$5,0,(CONTADORES!S271-CONTADORES!S270)+(CONTADORES!AE271-CONTADORES!AE270))</f>
        <v>3.1999999999999886</v>
      </c>
      <c r="AU263" s="1474">
        <f>CONTADORES!I271-CONTADORES!I270</f>
        <v>82</v>
      </c>
      <c r="AV263" s="1440">
        <f>CONTADORES!AT271-CONTADORES!AT270</f>
        <v>65</v>
      </c>
      <c r="AW263" s="1440">
        <f ca="1">IF(B263&gt;=$J$5,0,(CONTADORES!L271-CONTADORES!L270)+(CONTADORES!AL271-CONTADORES!AL270))</f>
        <v>2.9000000000014552</v>
      </c>
      <c r="AX263" s="1440">
        <f ca="1">IF(B263&gt;=$J$5,0,(CONTADORES!N271-CONTADORES!N270)+(CONTADORES!AJ271-CONTADORES!AJ270))</f>
        <v>31.5</v>
      </c>
      <c r="AY263" s="1440">
        <f ca="1">IF(B263&gt;=$J$5,0,(CONTADORES!AH271-CONTADORES!AH270))</f>
        <v>5.4000000000014552</v>
      </c>
      <c r="AZ263" s="1440">
        <f ca="1">IF(B263&gt;=$J$5,0,(CONTADORES!P271-CONTADORES!P270))</f>
        <v>8</v>
      </c>
      <c r="BA263" s="1450">
        <f t="shared" ca="1" si="106"/>
        <v>10.453999999997251</v>
      </c>
      <c r="BB263" s="1440">
        <f ca="1">IF(B263&gt;=$J$5,0,(((CONTADORES!G271-CONTADORES!G270)+(CONTADORES!AP271-CONTADORES!AP270)+AR263)-(AV263+BC263)))</f>
        <v>8.8999999999997499</v>
      </c>
      <c r="BC263" s="1438">
        <f ca="1">IF(B263&gt;=$J$5,0,(CONTADORES!AW271-CONTADORES!AW270)+(CONTADORES!AY271-CONTADORES!AY270)+(CONTADORES!BD271-CONTADORES!BD270))</f>
        <v>2.4999999999998863</v>
      </c>
      <c r="BD263" s="1438">
        <f t="shared" si="107"/>
        <v>222.04899999999998</v>
      </c>
      <c r="BE263" s="1439">
        <f ca="1">IF($B263&gt;=$J$5,0,CONTADORES!$BE271)</f>
        <v>5995.53</v>
      </c>
      <c r="BF263" s="1438">
        <f ca="1">IF($B263&gt;=$J$5,0,CONTADORES!$BF271)</f>
        <v>33891.952631578897</v>
      </c>
      <c r="BG263" s="1438">
        <f ca="1">IF($B263&gt;=$J$5,0,CONTADORES!$BH271)</f>
        <v>6484.76</v>
      </c>
      <c r="BH263" s="1438">
        <f ca="1">IF(B263&gt;=$J$5,0,(CONTADORES!AQ271-CONTADORES!AQ270))</f>
        <v>5</v>
      </c>
      <c r="BI263" s="1438">
        <f ca="1">IF(C263&gt;=$J$5,0,(CONTADORES!AR271-CONTADORES!AR270))</f>
        <v>0</v>
      </c>
      <c r="BJ263" s="1438">
        <f ca="1">IF(B263&gt;=$J$5,0,CONTADORES!BI271-CONTADORES!BI270)/1000</f>
        <v>0</v>
      </c>
      <c r="BK263" s="1438">
        <f ca="1">IF(BF263&gt;=$J$5,0,CONTADORES!BJ271-CONTADORES!BJ270)</f>
        <v>0</v>
      </c>
      <c r="BL263" s="1438">
        <f ca="1">IF(BG263&gt;=$J$5,0,CONTADORES!BK271-CONTADORES!BK270)</f>
        <v>0</v>
      </c>
      <c r="BM263" s="1438">
        <f ca="1">IF(B263&gt;=$J$5,0,CONTADORES!BL271-CONTADORES!BL270)/1000</f>
        <v>4.7969999999999997</v>
      </c>
      <c r="BN263" s="1438">
        <f ca="1">IF(B263&gt;=$J$5,0,CONTADORES!BM271-CONTADORES!BM270)/1000</f>
        <v>0.61799999999999999</v>
      </c>
      <c r="BO263" s="1438">
        <f ca="1">IF(B263&gt;=$J$5,0,CONTADORES!BN271-CONTADORES!BN270)</f>
        <v>24</v>
      </c>
      <c r="BP263" s="1438">
        <f ca="1">IF(B263&gt;=$J$5,0,CONTADORES!BO271-CONTADORES!BO270)/1000</f>
        <v>3.5539999999999998</v>
      </c>
      <c r="BQ263" s="1438">
        <f ca="1">IF(B263&gt;=$J$5,0,CONTADORES!BP271-CONTADORES!BP270)/1000</f>
        <v>7.6999999999999999E-2</v>
      </c>
      <c r="BR263" s="1438">
        <f ca="1">IF(B263&gt;=$J$5,0,CONTADORES!BQ271-CONTADORES!BQ270)</f>
        <v>24</v>
      </c>
      <c r="BS263" s="1439">
        <f ca="1">IF(B263&gt;=$J$5,0,(CONTADORES!BT271-CONTADORES!BT270)+(CONTADORES!BV271-CONTADORES!BV270))/1000</f>
        <v>1.454</v>
      </c>
      <c r="BT263" s="1439">
        <f ca="1">IF(B263&gt;=$J$5,0,(CONTADORES!BU271-CONTADORES!BU270)+(CONTADORES!BW271-CONTADORES!BW270))/1000</f>
        <v>0.9</v>
      </c>
      <c r="BU263" s="1439">
        <f ca="1">IF(B263&gt;=$J$5,0,CONTADORES!BR271-CONTADORES!BR270)</f>
        <v>5.5</v>
      </c>
      <c r="BV263" s="1439">
        <f ca="1">IF(B263&gt;=$J$5,0,CONTADORES!BS271-CONTADORES!BS270)</f>
        <v>3.8000000000001819</v>
      </c>
      <c r="BW263" s="1450">
        <f t="shared" ca="1" si="108"/>
        <v>10.547499999999591</v>
      </c>
      <c r="BX263" s="1450">
        <f t="shared" ca="1" si="109"/>
        <v>8.2500000000000568</v>
      </c>
      <c r="BY263" s="1450">
        <f t="shared" ca="1" si="110"/>
        <v>5.0474999999995909</v>
      </c>
      <c r="BZ263" s="1450">
        <f t="shared" ca="1" si="111"/>
        <v>1.6799999999997455</v>
      </c>
      <c r="CA263" s="1450">
        <f t="shared" ca="1" si="112"/>
        <v>5.0474999999995909</v>
      </c>
      <c r="CB263" s="1450">
        <f t="shared" ca="1" si="113"/>
        <v>2.5199999999996177</v>
      </c>
      <c r="CC263" s="1450">
        <f t="shared" ca="1" si="114"/>
        <v>3.1339999999997454</v>
      </c>
      <c r="CD263" s="1450">
        <f t="shared" ca="1" si="115"/>
        <v>4.4499999999998749</v>
      </c>
      <c r="CE263" s="1450">
        <f ca="1">IF(B263&gt;=$J$5,0,CONTADORES!BS271-CONTADORES!BS270)</f>
        <v>3.8000000000001819</v>
      </c>
      <c r="CF263" s="1450">
        <f t="shared" ca="1" si="116"/>
        <v>4.4499999999998749</v>
      </c>
      <c r="CG263" s="1450">
        <f t="shared" ca="1" si="117"/>
        <v>1.2499999999999432</v>
      </c>
      <c r="CH263" s="1450">
        <f t="shared" ca="1" si="118"/>
        <v>1.2499999999999432</v>
      </c>
      <c r="CI263" s="1450">
        <f t="shared" ca="1" si="119"/>
        <v>2.1499999999999431</v>
      </c>
      <c r="CJ263" s="1450">
        <f ca="1">IF($B263&gt;=$J$5,0,CONTADORES!$BG271)</f>
        <v>9128.71626503888</v>
      </c>
      <c r="CK263" s="1384">
        <f>CONTADORES!E271</f>
        <v>0.2</v>
      </c>
      <c r="CL263" s="1384">
        <f>CONTADORES!BX271</f>
        <v>0</v>
      </c>
    </row>
    <row r="264" spans="2:90">
      <c r="B264" s="410">
        <v>45180</v>
      </c>
      <c r="C264" s="208">
        <f t="shared" ca="1" si="95"/>
        <v>148</v>
      </c>
      <c r="D264" s="202">
        <f ca="1">'CALCULO DE GAS'!P82</f>
        <v>3.7379460469999999</v>
      </c>
      <c r="E264" s="202">
        <f ca="1">IF(B264&gt;=$J$5,0,(CONTADORES!$AB272-CONTADORES!$AB271)-$H264)</f>
        <v>24</v>
      </c>
      <c r="F264" s="204">
        <f t="shared" ca="1" si="125"/>
        <v>0</v>
      </c>
      <c r="G264" s="202">
        <f ca="1">IF(B264&gt;=$J$5,0,CONTADORES!$AD272-CONTADORES!$AD271)</f>
        <v>0</v>
      </c>
      <c r="H264" s="202">
        <f ca="1">IF(G264&gt;0,CONTADORES!$AC272-CONTADORES!$AC271,0)</f>
        <v>0</v>
      </c>
      <c r="I264" s="1437">
        <f ca="1">IF(B264&gt;=$J$5,0,CONTADORES!$Z272-CONTADORES!$Z271)</f>
        <v>148</v>
      </c>
      <c r="J264" s="208">
        <f t="shared" ca="1" si="96"/>
        <v>302</v>
      </c>
      <c r="K264" s="202">
        <f ca="1">'CALCULO DE GAS'!Q82</f>
        <v>5.1595870247777773</v>
      </c>
      <c r="L264" s="1437">
        <f ca="1">IF(B264&gt;=$J$5,0,(CONTADORES!$W272-CONTADORES!$W271)-$O264)</f>
        <v>24</v>
      </c>
      <c r="M264" s="1437">
        <f t="shared" ca="1" si="124"/>
        <v>0</v>
      </c>
      <c r="N264" s="1437">
        <f ca="1">IF(B264&gt;=$J$5,0,CONTADORES!$Y272-CONTADORES!$Y271)</f>
        <v>0</v>
      </c>
      <c r="O264" s="205">
        <f ca="1">IF(N264&gt;0,CONTADORES!$X272-CONTADORES!$X271,0)</f>
        <v>0</v>
      </c>
      <c r="P264" s="1439">
        <f ca="1">IF(B264&gt;=$J$5,0,CONTADORES!$U272-CONTADORES!$U271)</f>
        <v>302</v>
      </c>
      <c r="Q264" s="208">
        <f ca="1">IF(B264&gt;=$J$5,0,CONTADORES!$B272-CONTADORES!$B271)</f>
        <v>0.44000000000005457</v>
      </c>
      <c r="R264" s="202">
        <f t="shared" ca="1" si="97"/>
        <v>52.800000000006548</v>
      </c>
      <c r="S264" s="11">
        <f ca="1">IF(B264&gt;=$J$5,0,CONTADORES!$D272-CONTADORES!$D271)</f>
        <v>1.6000000000003638</v>
      </c>
      <c r="T264" s="208">
        <f ca="1">IF(B264&gt;=$J$5,0,CONTADORES!$AZ272-CONTADORES!$AZ271)</f>
        <v>0</v>
      </c>
      <c r="U264" s="202">
        <f t="shared" ca="1" si="123"/>
        <v>0</v>
      </c>
      <c r="V264" s="205">
        <f ca="1">IF(B264&gt;=$J$5,0,CONTADORES!$BB272-CONTADORES!$BB271)</f>
        <v>0</v>
      </c>
      <c r="W264" s="1438">
        <f t="shared" ca="1" si="98"/>
        <v>450</v>
      </c>
      <c r="X264" s="1438">
        <f t="shared" ca="1" si="99"/>
        <v>0.44000000000005457</v>
      </c>
      <c r="Y264" s="1439">
        <f t="shared" ca="1" si="100"/>
        <v>450.44000000000005</v>
      </c>
      <c r="Z264" s="1439">
        <f t="shared" ca="1" si="101"/>
        <v>8.8975330717777776</v>
      </c>
      <c r="AA264" s="1439">
        <f t="shared" ca="1" si="102"/>
        <v>52.800000000006548</v>
      </c>
      <c r="AB264" s="1439">
        <f t="shared" ca="1" si="103"/>
        <v>48</v>
      </c>
      <c r="AC264" s="1438">
        <f t="shared" ca="1" si="104"/>
        <v>1.6000000000003638</v>
      </c>
      <c r="AD264" s="1439">
        <f ca="1">IF(B264&gt;=$J$5,0,CONTADORES!H272-CONTADORES!H271)</f>
        <v>162</v>
      </c>
      <c r="AE264" s="1438">
        <f ca="1">IF(B264&gt;=$J$5,0,CONTADORES!J272-CONTADORES!J271)</f>
        <v>24</v>
      </c>
      <c r="AF264" s="1439">
        <f ca="1">IF(B264&gt;=$J$5,0,CONTADORES!AS272-CONTADORES!AS271)</f>
        <v>149</v>
      </c>
      <c r="AG264" s="1438">
        <f ca="1">IF(B264&gt;=$J$5,0,CONTADORES!AU272-CONTADORES!AU271)</f>
        <v>24</v>
      </c>
      <c r="AH264" s="1439">
        <f ca="1">IF(B264&gt;=$J$5,0,(CONTADORES!AK272-CONTADORES!AK271)+(CONTADORES!K272-CONTADORES!K271))</f>
        <v>15.700000000004366</v>
      </c>
      <c r="AI264" s="1439">
        <f ca="1">IF(B264&gt;=$J$5,0,(CONTADORES!AI272-CONTADORES!AI271)+(CONTADORES!M272-CONTADORES!M271))</f>
        <v>37.69999999999709</v>
      </c>
      <c r="AJ264" s="1439">
        <f ca="1">IF(B264&gt;=$J$5,0,(CONTADORES!AG272-CONTADORES!AG271))</f>
        <v>9.5</v>
      </c>
      <c r="AK264" s="1439">
        <f ca="1">IF(B264&gt;=$J$5,0,(CONTADORES!O272-CONTADORES!O271))</f>
        <v>12</v>
      </c>
      <c r="AL264" s="1500">
        <f t="shared" ca="1" si="105"/>
        <v>35.239999999999327</v>
      </c>
      <c r="AM264" s="1450">
        <f ca="1">IF(B264&gt;=$J$5,0,(((CONTADORES!F272-CONTADORES!F271)+(CONTADORES!AO272-CONTADORES!AO271))))-BJ264-AF264-AN264-BM264-BP264-BU264-BS264</f>
        <v>11.031999999999908</v>
      </c>
      <c r="AN264" s="1439">
        <f ca="1">IF(B264&gt;=$J$5,0,(CONTADORES!AV272-CONTADORES!AV271)+(CONTADORES!AX272-CONTADORES!AX271)+(CONTADORES!BC272-CONTADORES!BC271))</f>
        <v>3.4000000000000909</v>
      </c>
      <c r="AO264" s="1474">
        <f>(CONTADORES!AA272-CONTADORES!AA271)</f>
        <v>72</v>
      </c>
      <c r="AP264" s="1474">
        <f>(CONTADORES!V272-CONTADORES!V271)</f>
        <v>154</v>
      </c>
      <c r="AQ264" s="1440">
        <f>(CONTADORES!C272-CONTADORES!C271)</f>
        <v>0.21699999999998454</v>
      </c>
      <c r="AR264" s="1440">
        <f>(CONTADORES!BA272-CONTADORES!BA271)</f>
        <v>0</v>
      </c>
      <c r="AS264" s="1438">
        <f ca="1">IF(B264&gt;=$J$5,0,CONTADORES!Q272-CONTADORES!Q271)</f>
        <v>15</v>
      </c>
      <c r="AT264" s="1438">
        <f ca="1">IF(B264&gt;=$J$5,0,(CONTADORES!S272-CONTADORES!S271)+(CONTADORES!AE272-CONTADORES!AE271))</f>
        <v>3.1999999999999886</v>
      </c>
      <c r="AU264" s="1474">
        <f>CONTADORES!I272-CONTADORES!I271</f>
        <v>81</v>
      </c>
      <c r="AV264" s="1440">
        <f>CONTADORES!AT272-CONTADORES!AT271</f>
        <v>64</v>
      </c>
      <c r="AW264" s="1440">
        <f ca="1">IF(B264&gt;=$J$5,0,(CONTADORES!L272-CONTADORES!L271)+(CONTADORES!AL272-CONTADORES!AL271))</f>
        <v>5.9000000000014552</v>
      </c>
      <c r="AX264" s="1440">
        <f ca="1">IF(B264&gt;=$J$5,0,(CONTADORES!N272-CONTADORES!N271)+(CONTADORES!AJ272-CONTADORES!AJ271))</f>
        <v>32.5</v>
      </c>
      <c r="AY264" s="1440">
        <f ca="1">IF(B264&gt;=$J$5,0,(CONTADORES!AH272-CONTADORES!AH271))</f>
        <v>7.0999999999985448</v>
      </c>
      <c r="AZ264" s="1440">
        <f ca="1">IF(B264&gt;=$J$5,0,(CONTADORES!P272-CONTADORES!P271))</f>
        <v>10</v>
      </c>
      <c r="BA264" s="1450">
        <f t="shared" ca="1" si="106"/>
        <v>9.004999999999427</v>
      </c>
      <c r="BB264" s="1440">
        <f ca="1">IF(B264&gt;=$J$5,0,(((CONTADORES!G272-CONTADORES!G271)+(CONTADORES!AP272-CONTADORES!AP271)+AR264)-(AV264+BC264)))</f>
        <v>9.2000000000001592</v>
      </c>
      <c r="BC264" s="1438">
        <f ca="1">IF(B264&gt;=$J$5,0,(CONTADORES!AW272-CONTADORES!AW271)+(CONTADORES!AY272-CONTADORES!AY271)+(CONTADORES!BD272-CONTADORES!BD271))</f>
        <v>2.1000000000000227</v>
      </c>
      <c r="BD264" s="1438">
        <f t="shared" si="107"/>
        <v>226.21699999999998</v>
      </c>
      <c r="BE264" s="1439">
        <f ca="1">IF($B264&gt;=$J$5,0,CONTADORES!$BE272)</f>
        <v>5769.36</v>
      </c>
      <c r="BF264" s="1438">
        <f ca="1">IF($B264&gt;=$J$5,0,CONTADORES!$BF272)</f>
        <v>34017.7526315789</v>
      </c>
      <c r="BG264" s="1438">
        <f ca="1">IF($B264&gt;=$J$5,0,CONTADORES!$BH272)</f>
        <v>5431.51</v>
      </c>
      <c r="BH264" s="1438">
        <f ca="1">IF(B264&gt;=$J$5,0,(CONTADORES!AQ272-CONTADORES!AQ271))</f>
        <v>5</v>
      </c>
      <c r="BI264" s="1438">
        <f ca="1">IF(C264&gt;=$J$5,0,(CONTADORES!AR272-CONTADORES!AR271))</f>
        <v>0</v>
      </c>
      <c r="BJ264" s="1438">
        <f ca="1">IF(B264&gt;=$J$5,0,CONTADORES!BI272-CONTADORES!BI271)/1000</f>
        <v>0</v>
      </c>
      <c r="BK264" s="1438">
        <f ca="1">IF(BF264&gt;=$J$5,0,CONTADORES!BJ272-CONTADORES!BJ271)</f>
        <v>0</v>
      </c>
      <c r="BL264" s="1438">
        <f ca="1">IF(BG264&gt;=$J$5,0,CONTADORES!BK272-CONTADORES!BK271)</f>
        <v>0</v>
      </c>
      <c r="BM264" s="1438">
        <f ca="1">IF(B264&gt;=$J$5,0,CONTADORES!BL272-CONTADORES!BL271)/1000</f>
        <v>4.5789999999999997</v>
      </c>
      <c r="BN264" s="1438">
        <f ca="1">IF(B264&gt;=$J$5,0,CONTADORES!BM272-CONTADORES!BM271)/1000</f>
        <v>0.78</v>
      </c>
      <c r="BO264" s="1438">
        <f ca="1">IF(B264&gt;=$J$5,0,CONTADORES!BN272-CONTADORES!BN271)</f>
        <v>24</v>
      </c>
      <c r="BP264" s="1438">
        <f ca="1">IF(B264&gt;=$J$5,0,CONTADORES!BO272-CONTADORES!BO271)/1000</f>
        <v>3.5059999999999998</v>
      </c>
      <c r="BQ264" s="1438">
        <f ca="1">IF(B264&gt;=$J$5,0,CONTADORES!BP272-CONTADORES!BP271)/1000</f>
        <v>0.125</v>
      </c>
      <c r="BR264" s="1438">
        <f ca="1">IF(B264&gt;=$J$5,0,CONTADORES!BQ272-CONTADORES!BQ271)</f>
        <v>24</v>
      </c>
      <c r="BS264" s="1439">
        <f ca="1">IF(B264&gt;=$J$5,0,(CONTADORES!BT272-CONTADORES!BT271)+(CONTADORES!BV272-CONTADORES!BV271))/1000</f>
        <v>1.4830000000000001</v>
      </c>
      <c r="BT264" s="1439">
        <f ca="1">IF(B264&gt;=$J$5,0,(CONTADORES!BU272-CONTADORES!BU271)+(CONTADORES!BW272-CONTADORES!BW271))/1000</f>
        <v>0.90700000000000003</v>
      </c>
      <c r="BU264" s="1439">
        <f ca="1">IF(B264&gt;=$J$5,0,CONTADORES!BR272-CONTADORES!BR271)</f>
        <v>5.2999999999992724</v>
      </c>
      <c r="BV264" s="1439">
        <f ca="1">IF(B264&gt;=$J$5,0,CONTADORES!BS272-CONTADORES!BS271)</f>
        <v>3.6000000000003638</v>
      </c>
      <c r="BW264" s="1450">
        <f t="shared" ca="1" si="108"/>
        <v>10.815999999999226</v>
      </c>
      <c r="BX264" s="1450">
        <f t="shared" ca="1" si="109"/>
        <v>8.2000000000004434</v>
      </c>
      <c r="BY264" s="1450">
        <f t="shared" ca="1" si="110"/>
        <v>5.5159999999999538</v>
      </c>
      <c r="BZ264" s="1450">
        <f t="shared" ca="1" si="111"/>
        <v>1.3600000000000365</v>
      </c>
      <c r="CA264" s="1450">
        <f t="shared" ca="1" si="112"/>
        <v>5.5159999999999538</v>
      </c>
      <c r="CB264" s="1450">
        <f t="shared" ca="1" si="113"/>
        <v>2.0400000000000542</v>
      </c>
      <c r="CC264" s="1450">
        <f t="shared" ca="1" si="114"/>
        <v>2.8430000000000364</v>
      </c>
      <c r="CD264" s="1450">
        <f t="shared" ca="1" si="115"/>
        <v>4.6000000000000796</v>
      </c>
      <c r="CE264" s="1450">
        <f ca="1">IF(B264&gt;=$J$5,0,CONTADORES!BS272-CONTADORES!BS271)</f>
        <v>3.6000000000003638</v>
      </c>
      <c r="CF264" s="1450">
        <f t="shared" ca="1" si="116"/>
        <v>4.6000000000000796</v>
      </c>
      <c r="CG264" s="1450">
        <f t="shared" ca="1" si="117"/>
        <v>1.0500000000000114</v>
      </c>
      <c r="CH264" s="1450">
        <f t="shared" ca="1" si="118"/>
        <v>1.0500000000000114</v>
      </c>
      <c r="CI264" s="1450">
        <f t="shared" ca="1" si="119"/>
        <v>1.9570000000000114</v>
      </c>
      <c r="CJ264" s="1450">
        <f ca="1">IF($B264&gt;=$J$5,0,CONTADORES!$BG272)</f>
        <v>9696.8845620486409</v>
      </c>
      <c r="CK264" s="1384">
        <f>CONTADORES!E272</f>
        <v>0.6</v>
      </c>
      <c r="CL264" s="1384">
        <f>CONTADORES!BX272</f>
        <v>0</v>
      </c>
    </row>
    <row r="265" spans="2:90">
      <c r="B265" s="410">
        <v>45181</v>
      </c>
      <c r="C265" s="208">
        <f t="shared" ca="1" si="95"/>
        <v>150</v>
      </c>
      <c r="D265" s="202">
        <f ca="1">'CALCULO DE GAS'!P83</f>
        <v>3.7579293803333331</v>
      </c>
      <c r="E265" s="202">
        <f ca="1">IF(B265&gt;=$J$5,0,(CONTADORES!$AB273-CONTADORES!$AB272)-$H265)</f>
        <v>24</v>
      </c>
      <c r="F265" s="204">
        <f t="shared" ca="1" si="125"/>
        <v>0</v>
      </c>
      <c r="G265" s="202">
        <f ca="1">IF(B265&gt;=$J$5,0,CONTADORES!$AD273-CONTADORES!$AD272)</f>
        <v>0</v>
      </c>
      <c r="H265" s="202">
        <f ca="1">IF(G265&gt;0,CONTADORES!$AC273-CONTADORES!$AC272,0)</f>
        <v>0</v>
      </c>
      <c r="I265" s="1437">
        <f ca="1">IF(B265&gt;=$J$5,0,CONTADORES!$Z273-CONTADORES!$Z272)</f>
        <v>150</v>
      </c>
      <c r="J265" s="208">
        <f t="shared" ca="1" si="96"/>
        <v>293</v>
      </c>
      <c r="K265" s="202">
        <f ca="1">'CALCULO DE GAS'!Q83</f>
        <v>5.0756570247777768</v>
      </c>
      <c r="L265" s="1437">
        <f ca="1">IF(B265&gt;=$J$5,0,(CONTADORES!$W273-CONTADORES!$W272)-$O265)</f>
        <v>24</v>
      </c>
      <c r="M265" s="1437">
        <f t="shared" ca="1" si="124"/>
        <v>0</v>
      </c>
      <c r="N265" s="1437">
        <f ca="1">IF(B265&gt;=$J$5,0,CONTADORES!$Y273-CONTADORES!$Y272)</f>
        <v>0</v>
      </c>
      <c r="O265" s="205">
        <f ca="1">IF(N265&gt;0,CONTADORES!$X273-CONTADORES!$X272,0)</f>
        <v>0</v>
      </c>
      <c r="P265" s="1439">
        <f ca="1">IF(B265&gt;=$J$5,0,CONTADORES!$U273-CONTADORES!$U272)</f>
        <v>293</v>
      </c>
      <c r="Q265" s="208">
        <f ca="1">IF(B265&gt;=$J$5,0,CONTADORES!$B273-CONTADORES!$B272)</f>
        <v>0.16100000000005821</v>
      </c>
      <c r="R265" s="202">
        <f t="shared" ca="1" si="97"/>
        <v>19.320000000006985</v>
      </c>
      <c r="S265" s="11">
        <f ca="1">IF(B265&gt;=$J$5,0,CONTADORES!$D273-CONTADORES!$D272)</f>
        <v>0.6999999999998181</v>
      </c>
      <c r="T265" s="208">
        <f ca="1">IF(B265&gt;=$J$5,0,CONTADORES!$AZ273-CONTADORES!$AZ272)</f>
        <v>0.41800000000000637</v>
      </c>
      <c r="U265" s="202">
        <f t="shared" ca="1" si="123"/>
        <v>50.160000000000764</v>
      </c>
      <c r="V265" s="205">
        <f ca="1">IF(B265&gt;=$J$5,0,CONTADORES!$BB273-CONTADORES!$BB272)</f>
        <v>0.5</v>
      </c>
      <c r="W265" s="1438">
        <f t="shared" ca="1" si="98"/>
        <v>443</v>
      </c>
      <c r="X265" s="1438">
        <f t="shared" ca="1" si="99"/>
        <v>0.57900000000006457</v>
      </c>
      <c r="Y265" s="1439">
        <f t="shared" ca="1" si="100"/>
        <v>443.57900000000006</v>
      </c>
      <c r="Z265" s="1439">
        <f t="shared" ca="1" si="101"/>
        <v>8.8335864051111095</v>
      </c>
      <c r="AA265" s="1439">
        <f t="shared" ca="1" si="102"/>
        <v>69.480000000007749</v>
      </c>
      <c r="AB265" s="1439">
        <f t="shared" ca="1" si="103"/>
        <v>48</v>
      </c>
      <c r="AC265" s="1438">
        <f t="shared" ca="1" si="104"/>
        <v>1.1999999999998181</v>
      </c>
      <c r="AD265" s="1439">
        <f ca="1">IF(B265&gt;=$J$5,0,CONTADORES!H273-CONTADORES!H272)</f>
        <v>164</v>
      </c>
      <c r="AE265" s="1438">
        <f ca="1">IF(B265&gt;=$J$5,0,CONTADORES!J273-CONTADORES!J272)</f>
        <v>24</v>
      </c>
      <c r="AF265" s="1439">
        <f ca="1">IF(B265&gt;=$J$5,0,CONTADORES!AS273-CONTADORES!AS272)</f>
        <v>148</v>
      </c>
      <c r="AG265" s="1438">
        <f ca="1">IF(B265&gt;=$J$5,0,CONTADORES!AU273-CONTADORES!AU272)</f>
        <v>24</v>
      </c>
      <c r="AH265" s="1439">
        <f ca="1">IF(B265&gt;=$J$5,0,(CONTADORES!AK273-CONTADORES!AK272)+(CONTADORES!K273-CONTADORES!K272))</f>
        <v>7.1999999999989086</v>
      </c>
      <c r="AI265" s="1439">
        <f ca="1">IF(B265&gt;=$J$5,0,(CONTADORES!AI273-CONTADORES!AI272)+(CONTADORES!M273-CONTADORES!M272))</f>
        <v>39.80000000000291</v>
      </c>
      <c r="AJ265" s="1439">
        <f ca="1">IF(B265&gt;=$J$5,0,(CONTADORES!AG273-CONTADORES!AG272))</f>
        <v>10</v>
      </c>
      <c r="AK265" s="1439">
        <f ca="1">IF(B265&gt;=$J$5,0,(CONTADORES!O273-CONTADORES!O272))</f>
        <v>12</v>
      </c>
      <c r="AL265" s="1500">
        <f t="shared" ca="1" si="105"/>
        <v>33.178999999996734</v>
      </c>
      <c r="AM265" s="1450">
        <f ca="1">IF(B265&gt;=$J$5,0,(((CONTADORES!F273-CONTADORES!F272)+(CONTADORES!AO273-CONTADORES!AO272))))-BJ265-AF265-AN265-BM265-BP265-BU265-BS265</f>
        <v>8.9780000000008187</v>
      </c>
      <c r="AN265" s="1439">
        <f ca="1">IF(B265&gt;=$J$5,0,(CONTADORES!AV273-CONTADORES!AV272)+(CONTADORES!AX273-CONTADORES!AX272)+(CONTADORES!BC273-CONTADORES!BC272))</f>
        <v>5.5999999999999091</v>
      </c>
      <c r="AO265" s="1474">
        <f>(CONTADORES!AA273-CONTADORES!AA272)</f>
        <v>70</v>
      </c>
      <c r="AP265" s="1474">
        <f>(CONTADORES!V273-CONTADORES!V272)</f>
        <v>156</v>
      </c>
      <c r="AQ265" s="1440">
        <f>(CONTADORES!C273-CONTADORES!C272)</f>
        <v>7.8000000000088221E-2</v>
      </c>
      <c r="AR265" s="1440">
        <f>(CONTADORES!BA273-CONTADORES!BA272)</f>
        <v>0.15999999999996817</v>
      </c>
      <c r="AS265" s="1438">
        <f ca="1">IF(B265&gt;=$J$5,0,CONTADORES!Q273-CONTADORES!Q272)</f>
        <v>15</v>
      </c>
      <c r="AT265" s="1438">
        <f ca="1">IF(B265&gt;=$J$5,0,(CONTADORES!S273-CONTADORES!S272)+(CONTADORES!AE273-CONTADORES!AE272))</f>
        <v>3.4000000000000341</v>
      </c>
      <c r="AU265" s="1474">
        <f>CONTADORES!I273-CONTADORES!I272</f>
        <v>82</v>
      </c>
      <c r="AV265" s="1440">
        <f>CONTADORES!AT273-CONTADORES!AT272</f>
        <v>65</v>
      </c>
      <c r="AW265" s="1440">
        <f ca="1">IF(B265&gt;=$J$5,0,(CONTADORES!L273-CONTADORES!L272)+(CONTADORES!AL273-CONTADORES!AL272))</f>
        <v>2.6999999999970896</v>
      </c>
      <c r="AX265" s="1440">
        <f ca="1">IF(B265&gt;=$J$5,0,(CONTADORES!N273-CONTADORES!N272)+(CONTADORES!AJ273-CONTADORES!AJ272))</f>
        <v>34.400000000001455</v>
      </c>
      <c r="AY265" s="1440">
        <f ca="1">IF(B265&gt;=$J$5,0,(CONTADORES!AH273-CONTADORES!AH272))</f>
        <v>7.5</v>
      </c>
      <c r="AZ265" s="1440">
        <f ca="1">IF(B265&gt;=$J$5,0,(CONTADORES!P273-CONTADORES!P272))</f>
        <v>10</v>
      </c>
      <c r="BA265" s="1450">
        <f t="shared" ca="1" si="106"/>
        <v>8.3440000000011878</v>
      </c>
      <c r="BB265" s="1440">
        <f ca="1">IF(B265&gt;=$J$5,0,(((CONTADORES!G273-CONTADORES!G272)+(CONTADORES!AP273-CONTADORES!AP272)+AR265)-(AV265+BC265)))</f>
        <v>7.760000000000332</v>
      </c>
      <c r="BC265" s="1438">
        <f ca="1">IF(B265&gt;=$J$5,0,(CONTADORES!AW273-CONTADORES!AW272)+(CONTADORES!AY273-CONTADORES!AY272)+(CONTADORES!BD273-CONTADORES!BD272))</f>
        <v>3.5</v>
      </c>
      <c r="BD265" s="1438">
        <f t="shared" si="107"/>
        <v>226.23800000000006</v>
      </c>
      <c r="BE265" s="1439">
        <f ca="1">IF($B265&gt;=$J$5,0,CONTADORES!$BE273)</f>
        <v>5538.05</v>
      </c>
      <c r="BF265" s="1438">
        <f ca="1">IF($B265&gt;=$J$5,0,CONTADORES!$BF273)</f>
        <v>34041.640350877198</v>
      </c>
      <c r="BG265" s="1438">
        <f ca="1">IF($B265&gt;=$J$5,0,CONTADORES!$BH273)</f>
        <v>5311.64</v>
      </c>
      <c r="BH265" s="1438">
        <f ca="1">IF(B265&gt;=$J$5,0,(CONTADORES!AQ273-CONTADORES!AQ272))</f>
        <v>5</v>
      </c>
      <c r="BI265" s="1438">
        <f ca="1">IF(C265&gt;=$J$5,0,(CONTADORES!AR273-CONTADORES!AR272))</f>
        <v>0</v>
      </c>
      <c r="BJ265" s="1438">
        <f ca="1">IF(B265&gt;=$J$5,0,CONTADORES!BI273-CONTADORES!BI272)/1000</f>
        <v>0</v>
      </c>
      <c r="BK265" s="1438">
        <f ca="1">IF(BF265&gt;=$J$5,0,CONTADORES!BJ273-CONTADORES!BJ272)</f>
        <v>0</v>
      </c>
      <c r="BL265" s="1438">
        <f ca="1">IF(BG265&gt;=$J$5,0,CONTADORES!BK273-CONTADORES!BK272)</f>
        <v>0</v>
      </c>
      <c r="BM265" s="1438">
        <f ca="1">IF(B265&gt;=$J$5,0,CONTADORES!BL273-CONTADORES!BL272)/1000</f>
        <v>4.7039999999999997</v>
      </c>
      <c r="BN265" s="1438">
        <f ca="1">IF(B265&gt;=$J$5,0,CONTADORES!BM273-CONTADORES!BM272)/1000</f>
        <v>0.57699999999999996</v>
      </c>
      <c r="BO265" s="1438">
        <f ca="1">IF(B265&gt;=$J$5,0,CONTADORES!BN273-CONTADORES!BN272)</f>
        <v>24</v>
      </c>
      <c r="BP265" s="1438">
        <f ca="1">IF(B265&gt;=$J$5,0,CONTADORES!BO273-CONTADORES!BO272)/1000</f>
        <v>3.476</v>
      </c>
      <c r="BQ265" s="1438">
        <f ca="1">IF(B265&gt;=$J$5,0,CONTADORES!BP273-CONTADORES!BP272)/1000</f>
        <v>5.7000000000000002E-2</v>
      </c>
      <c r="BR265" s="1438">
        <f ca="1">IF(B265&gt;=$J$5,0,CONTADORES!BQ273-CONTADORES!BQ272)</f>
        <v>24</v>
      </c>
      <c r="BS265" s="1439">
        <f ca="1">IF(B265&gt;=$J$5,0,(CONTADORES!BT273-CONTADORES!BT272)+(CONTADORES!BV273-CONTADORES!BV272))/1000</f>
        <v>1.4419999999999999</v>
      </c>
      <c r="BT265" s="1439">
        <f ca="1">IF(B265&gt;=$J$5,0,(CONTADORES!BU273-CONTADORES!BU272)+(CONTADORES!BW273-CONTADORES!BW272))/1000</f>
        <v>0.9</v>
      </c>
      <c r="BU265" s="1439">
        <f ca="1">IF(B265&gt;=$J$5,0,CONTADORES!BR273-CONTADORES!BR272)</f>
        <v>5.2000000000007276</v>
      </c>
      <c r="BV265" s="1439">
        <f ca="1">IF(B265&gt;=$J$5,0,CONTADORES!BS273-CONTADORES!BS272)</f>
        <v>3.5</v>
      </c>
      <c r="BW265" s="1450">
        <f t="shared" ca="1" si="108"/>
        <v>9.6890000000011369</v>
      </c>
      <c r="BX265" s="1450">
        <f t="shared" ca="1" si="109"/>
        <v>7.380000000000166</v>
      </c>
      <c r="BY265" s="1450">
        <f t="shared" ca="1" si="110"/>
        <v>4.4890000000004093</v>
      </c>
      <c r="BZ265" s="1450">
        <f t="shared" ca="1" si="111"/>
        <v>2.2399999999999638</v>
      </c>
      <c r="CA265" s="1450">
        <f t="shared" ca="1" si="112"/>
        <v>4.4890000000004093</v>
      </c>
      <c r="CB265" s="1450">
        <f t="shared" ca="1" si="113"/>
        <v>3.3599999999999453</v>
      </c>
      <c r="CC265" s="1450">
        <f t="shared" ca="1" si="114"/>
        <v>3.681999999999964</v>
      </c>
      <c r="CD265" s="1450">
        <f t="shared" ca="1" si="115"/>
        <v>3.880000000000166</v>
      </c>
      <c r="CE265" s="1450">
        <f ca="1">IF(B265&gt;=$J$5,0,CONTADORES!BS273-CONTADORES!BS272)</f>
        <v>3.5</v>
      </c>
      <c r="CF265" s="1450">
        <f t="shared" ca="1" si="116"/>
        <v>3.880000000000166</v>
      </c>
      <c r="CG265" s="1450">
        <f t="shared" ca="1" si="117"/>
        <v>1.75</v>
      </c>
      <c r="CH265" s="1450">
        <f t="shared" ca="1" si="118"/>
        <v>1.75</v>
      </c>
      <c r="CI265" s="1450">
        <f t="shared" ca="1" si="119"/>
        <v>2.65</v>
      </c>
      <c r="CJ265" s="1450">
        <f ca="1">IF($B265&gt;=$J$5,0,CONTADORES!$BG273)</f>
        <v>9204.3520981284</v>
      </c>
      <c r="CK265" s="1384">
        <f>CONTADORES!E273</f>
        <v>0.6</v>
      </c>
      <c r="CL265" s="1384">
        <f>CONTADORES!BX273</f>
        <v>0.6</v>
      </c>
    </row>
    <row r="266" spans="2:90">
      <c r="B266" s="410">
        <v>45182</v>
      </c>
      <c r="C266" s="208">
        <f t="shared" ca="1" si="95"/>
        <v>150</v>
      </c>
      <c r="D266" s="202">
        <f ca="1">'CALCULO DE GAS'!P84</f>
        <v>3.7579293803333331</v>
      </c>
      <c r="E266" s="202">
        <f ca="1">IF(B266&gt;=$J$5,0,(CONTADORES!$AB274-CONTADORES!$AB273)-$H266)</f>
        <v>24</v>
      </c>
      <c r="F266" s="204">
        <f t="shared" ca="1" si="125"/>
        <v>0</v>
      </c>
      <c r="G266" s="202">
        <f ca="1">IF(B266&gt;=$J$5,0,CONTADORES!$AD274-CONTADORES!$AD273)</f>
        <v>0</v>
      </c>
      <c r="H266" s="202">
        <f ca="1">IF(G266&gt;0,CONTADORES!$AC274-CONTADORES!$AC273,0)</f>
        <v>0</v>
      </c>
      <c r="I266" s="1437">
        <f ca="1">IF(B266&gt;=$J$5,0,CONTADORES!$Z274-CONTADORES!$Z273)</f>
        <v>150</v>
      </c>
      <c r="J266" s="208">
        <f t="shared" ca="1" si="96"/>
        <v>306</v>
      </c>
      <c r="K266" s="202">
        <f ca="1">'CALCULO DE GAS'!Q84</f>
        <v>5.1968892469999988</v>
      </c>
      <c r="L266" s="1437">
        <f ca="1">IF(B266&gt;=$J$5,0,(CONTADORES!$W274-CONTADORES!$W273)-$O266)</f>
        <v>24</v>
      </c>
      <c r="M266" s="1437">
        <f t="shared" ca="1" si="124"/>
        <v>0</v>
      </c>
      <c r="N266" s="1437">
        <f ca="1">IF(B266&gt;=$J$5,0,CONTADORES!$Y274-CONTADORES!$Y273)</f>
        <v>0</v>
      </c>
      <c r="O266" s="205">
        <f ca="1">IF(N266&gt;0,CONTADORES!$X274-CONTADORES!$X273,0)</f>
        <v>0</v>
      </c>
      <c r="P266" s="1439">
        <f ca="1">IF(B266&gt;=$J$5,0,CONTADORES!$U274-CONTADORES!$U273)</f>
        <v>306</v>
      </c>
      <c r="Q266" s="208">
        <f ca="1">IF(B266&gt;=$J$5,0,CONTADORES!$B274-CONTADORES!$B273)</f>
        <v>0</v>
      </c>
      <c r="R266" s="202">
        <f t="shared" ca="1" si="97"/>
        <v>0</v>
      </c>
      <c r="S266" s="11">
        <f ca="1">IF(B266&gt;=$J$5,0,CONTADORES!$D274-CONTADORES!$D273)</f>
        <v>0</v>
      </c>
      <c r="T266" s="208">
        <f ca="1">IF(B266&gt;=$J$5,0,CONTADORES!$AZ274-CONTADORES!$AZ273)</f>
        <v>0</v>
      </c>
      <c r="U266" s="202">
        <f t="shared" ca="1" si="123"/>
        <v>0</v>
      </c>
      <c r="V266" s="205">
        <f ca="1">IF(B266&gt;=$J$5,0,CONTADORES!$BB274-CONTADORES!$BB273)</f>
        <v>0</v>
      </c>
      <c r="W266" s="1438">
        <f t="shared" ca="1" si="98"/>
        <v>456</v>
      </c>
      <c r="X266" s="1438">
        <f t="shared" ca="1" si="99"/>
        <v>0</v>
      </c>
      <c r="Y266" s="1439">
        <f t="shared" ca="1" si="100"/>
        <v>456</v>
      </c>
      <c r="Z266" s="1439">
        <f t="shared" ca="1" si="101"/>
        <v>8.9548186273333314</v>
      </c>
      <c r="AA266" s="1439">
        <f t="shared" ca="1" si="102"/>
        <v>0</v>
      </c>
      <c r="AB266" s="1439">
        <f t="shared" ca="1" si="103"/>
        <v>48</v>
      </c>
      <c r="AC266" s="1438">
        <f t="shared" ca="1" si="104"/>
        <v>0</v>
      </c>
      <c r="AD266" s="1439">
        <f ca="1">IF(B266&gt;=$J$5,0,CONTADORES!H274-CONTADORES!H273)</f>
        <v>164</v>
      </c>
      <c r="AE266" s="1438">
        <f ca="1">IF(B266&gt;=$J$5,0,CONTADORES!J274-CONTADORES!J273)</f>
        <v>24</v>
      </c>
      <c r="AF266" s="1439">
        <f ca="1">IF(B266&gt;=$J$5,0,CONTADORES!AS274-CONTADORES!AS273)</f>
        <v>150</v>
      </c>
      <c r="AG266" s="1438">
        <f ca="1">IF(B266&gt;=$J$5,0,CONTADORES!AU274-CONTADORES!AU273)</f>
        <v>24</v>
      </c>
      <c r="AH266" s="1439">
        <f ca="1">IF(B266&gt;=$J$5,0,(CONTADORES!AK274-CONTADORES!AK273)+(CONTADORES!K274-CONTADORES!K273))</f>
        <v>12.19999999999709</v>
      </c>
      <c r="AI266" s="1439">
        <f ca="1">IF(B266&gt;=$J$5,0,(CONTADORES!AI274-CONTADORES!AI273)+(CONTADORES!M274-CONTADORES!M273))</f>
        <v>39.899999999994179</v>
      </c>
      <c r="AJ266" s="1439">
        <f ca="1">IF(B266&gt;=$J$5,0,(CONTADORES!AG274-CONTADORES!AG273))</f>
        <v>10.19999999999709</v>
      </c>
      <c r="AK266" s="1439">
        <f ca="1">IF(B266&gt;=$J$5,0,(CONTADORES!O274-CONTADORES!O273))</f>
        <v>12</v>
      </c>
      <c r="AL266" s="1500">
        <f t="shared" ca="1" si="105"/>
        <v>38.200000000011698</v>
      </c>
      <c r="AM266" s="1450">
        <f ca="1">IF(B266&gt;=$J$5,0,(((CONTADORES!F274-CONTADORES!F273)+(CONTADORES!AO274-CONTADORES!AO273))))-BJ266-AF266-AN266-BM266-BP266-BU266-BS266</f>
        <v>10.384000000000727</v>
      </c>
      <c r="AN266" s="1439">
        <f ca="1">IF(B266&gt;=$J$5,0,(CONTADORES!AV274-CONTADORES!AV273)+(CONTADORES!AX274-CONTADORES!AX273)+(CONTADORES!BC274-CONTADORES!BC273))</f>
        <v>4</v>
      </c>
      <c r="AO266" s="1474">
        <f>(CONTADORES!AA274-CONTADORES!AA273)</f>
        <v>71</v>
      </c>
      <c r="AP266" s="1474">
        <f>(CONTADORES!V274-CONTADORES!V273)</f>
        <v>159</v>
      </c>
      <c r="AQ266" s="1440">
        <f>(CONTADORES!C274-CONTADORES!C273)</f>
        <v>0</v>
      </c>
      <c r="AR266" s="1440">
        <f>(CONTADORES!BA274-CONTADORES!BA273)</f>
        <v>0</v>
      </c>
      <c r="AS266" s="1438">
        <f ca="1">IF(B266&gt;=$J$5,0,CONTADORES!Q274-CONTADORES!Q273)</f>
        <v>16</v>
      </c>
      <c r="AT266" s="1438">
        <f ca="1">IF(B266&gt;=$J$5,0,(CONTADORES!S274-CONTADORES!S273)+(CONTADORES!AE274-CONTADORES!AE273))</f>
        <v>3.3999999999999773</v>
      </c>
      <c r="AU266" s="1474">
        <f>CONTADORES!I274-CONTADORES!I273</f>
        <v>82</v>
      </c>
      <c r="AV266" s="1440">
        <f>CONTADORES!AT274-CONTADORES!AT273</f>
        <v>65</v>
      </c>
      <c r="AW266" s="1440">
        <f ca="1">IF(B266&gt;=$J$5,0,(CONTADORES!L274-CONTADORES!L273)+(CONTADORES!AL274-CONTADORES!AL273))</f>
        <v>4.9000000000014552</v>
      </c>
      <c r="AX266" s="1440">
        <f ca="1">IF(B266&gt;=$J$5,0,(CONTADORES!N274-CONTADORES!N273)+(CONTADORES!AJ274-CONTADORES!AJ273))</f>
        <v>34.599999999998545</v>
      </c>
      <c r="AY266" s="1440">
        <f ca="1">IF(B266&gt;=$J$5,0,(CONTADORES!AH274-CONTADORES!AH273))</f>
        <v>7.9000000000014552</v>
      </c>
      <c r="AZ266" s="1440">
        <f ca="1">IF(B266&gt;=$J$5,0,(CONTADORES!P274-CONTADORES!P273))</f>
        <v>9</v>
      </c>
      <c r="BA266" s="1450">
        <f t="shared" ca="1" si="106"/>
        <v>10.980999999999256</v>
      </c>
      <c r="BB266" s="1440">
        <f ca="1">IF(B266&gt;=$J$5,0,(((CONTADORES!G274-CONTADORES!G273)+(CONTADORES!AP274-CONTADORES!AP273)+AR266)-(AV266+BC266)))</f>
        <v>7.7999999999997272</v>
      </c>
      <c r="BC266" s="1438">
        <f ca="1">IF(B266&gt;=$J$5,0,(CONTADORES!AW274-CONTADORES!AW273)+(CONTADORES!AY274-CONTADORES!AY273)+(CONTADORES!BD274-CONTADORES!BD273))</f>
        <v>2.4000000000000909</v>
      </c>
      <c r="BD266" s="1438">
        <f t="shared" si="107"/>
        <v>230</v>
      </c>
      <c r="BE266" s="1439">
        <f ca="1">IF($B266&gt;=$J$5,0,CONTADORES!$BE274)</f>
        <v>5359.47</v>
      </c>
      <c r="BF266" s="1438">
        <f ca="1">IF($B266&gt;=$J$5,0,CONTADORES!$BF274)</f>
        <v>33880.463157894701</v>
      </c>
      <c r="BG266" s="1438">
        <f ca="1">IF($B266&gt;=$J$5,0,CONTADORES!$BH274)</f>
        <v>5624.81</v>
      </c>
      <c r="BH266" s="1438">
        <f ca="1">IF(B266&gt;=$J$5,0,(CONTADORES!AQ274-CONTADORES!AQ273))</f>
        <v>5</v>
      </c>
      <c r="BI266" s="1438">
        <f ca="1">IF(C266&gt;=$J$5,0,(CONTADORES!AR274-CONTADORES!AR273))</f>
        <v>0</v>
      </c>
      <c r="BJ266" s="1438">
        <f ca="1">IF(B266&gt;=$J$5,0,CONTADORES!BI274-CONTADORES!BI273)/1000</f>
        <v>0</v>
      </c>
      <c r="BK266" s="1438">
        <f ca="1">IF(BF266&gt;=$J$5,0,CONTADORES!BJ274-CONTADORES!BJ273)</f>
        <v>0</v>
      </c>
      <c r="BL266" s="1438">
        <f ca="1">IF(BG266&gt;=$J$5,0,CONTADORES!BK274-CONTADORES!BK273)</f>
        <v>0</v>
      </c>
      <c r="BM266" s="1438">
        <f ca="1">IF(B266&gt;=$J$5,0,CONTADORES!BL274-CONTADORES!BL273)/1000</f>
        <v>4.7859999999999996</v>
      </c>
      <c r="BN266" s="1438">
        <f ca="1">IF(B266&gt;=$J$5,0,CONTADORES!BM274-CONTADORES!BM273)/1000</f>
        <v>0.80800000000000005</v>
      </c>
      <c r="BO266" s="1438">
        <f ca="1">IF(B266&gt;=$J$5,0,CONTADORES!BN274-CONTADORES!BN273)</f>
        <v>24</v>
      </c>
      <c r="BP266" s="1438">
        <f ca="1">IF(B266&gt;=$J$5,0,CONTADORES!BO274-CONTADORES!BO273)/1000</f>
        <v>3.5579999999999998</v>
      </c>
      <c r="BQ266" s="1438">
        <f ca="1">IF(B266&gt;=$J$5,0,CONTADORES!BP274-CONTADORES!BP273)/1000</f>
        <v>0.104</v>
      </c>
      <c r="BR266" s="1438">
        <f ca="1">IF(B266&gt;=$J$5,0,CONTADORES!BQ274-CONTADORES!BQ273)</f>
        <v>24</v>
      </c>
      <c r="BS266" s="1439">
        <f ca="1">IF(B266&gt;=$J$5,0,(CONTADORES!BT274-CONTADORES!BT273)+(CONTADORES!BV274-CONTADORES!BV273))/1000</f>
        <v>1.472</v>
      </c>
      <c r="BT266" s="1439">
        <f ca="1">IF(B266&gt;=$J$5,0,(CONTADORES!BU274-CONTADORES!BU273)+(CONTADORES!BW274-CONTADORES!BW273))/1000</f>
        <v>0.90700000000000003</v>
      </c>
      <c r="BU266" s="1439">
        <f ca="1">IF(B266&gt;=$J$5,0,CONTADORES!BR274-CONTADORES!BR273)</f>
        <v>5.2999999999992724</v>
      </c>
      <c r="BV266" s="1439">
        <f ca="1">IF(B266&gt;=$J$5,0,CONTADORES!BS274-CONTADORES!BS273)</f>
        <v>3.5999999999994543</v>
      </c>
      <c r="BW266" s="1450">
        <f t="shared" ca="1" si="108"/>
        <v>10.491999999999635</v>
      </c>
      <c r="BX266" s="1450">
        <f t="shared" ca="1" si="109"/>
        <v>7.4999999999993179</v>
      </c>
      <c r="BY266" s="1450">
        <f t="shared" ca="1" si="110"/>
        <v>5.1920000000003634</v>
      </c>
      <c r="BZ266" s="1450">
        <f t="shared" ca="1" si="111"/>
        <v>1.6</v>
      </c>
      <c r="CA266" s="1450">
        <f t="shared" ca="1" si="112"/>
        <v>5.1920000000003634</v>
      </c>
      <c r="CB266" s="1450">
        <f t="shared" ca="1" si="113"/>
        <v>2.4</v>
      </c>
      <c r="CC266" s="1450">
        <f t="shared" ca="1" si="114"/>
        <v>3.0720000000000001</v>
      </c>
      <c r="CD266" s="1450">
        <f t="shared" ca="1" si="115"/>
        <v>3.8999999999998636</v>
      </c>
      <c r="CE266" s="1450">
        <f ca="1">IF(B266&gt;=$J$5,0,CONTADORES!BS274-CONTADORES!BS273)</f>
        <v>3.5999999999994543</v>
      </c>
      <c r="CF266" s="1450">
        <f t="shared" ca="1" si="116"/>
        <v>3.8999999999998636</v>
      </c>
      <c r="CG266" s="1450">
        <f t="shared" ca="1" si="117"/>
        <v>1.2000000000000455</v>
      </c>
      <c r="CH266" s="1450">
        <f t="shared" ca="1" si="118"/>
        <v>1.2000000000000455</v>
      </c>
      <c r="CI266" s="1450">
        <f t="shared" ca="1" si="119"/>
        <v>2.1070000000000455</v>
      </c>
      <c r="CJ266" s="1450">
        <f ca="1">IF($B266&gt;=$J$5,0,CONTADORES!$BG274)</f>
        <v>8735.9311123001607</v>
      </c>
      <c r="CK266" s="1384">
        <f>CONTADORES!E274</f>
        <v>0</v>
      </c>
      <c r="CL266" s="1384">
        <f>CONTADORES!BX274</f>
        <v>0</v>
      </c>
    </row>
    <row r="267" spans="2:90">
      <c r="B267" s="410">
        <v>45183</v>
      </c>
      <c r="C267" s="208">
        <f t="shared" ref="C267:C330" ca="1" si="126">I267-F267</f>
        <v>149</v>
      </c>
      <c r="D267" s="202">
        <f ca="1">'CALCULO DE GAS'!P85</f>
        <v>3.7479377136666661</v>
      </c>
      <c r="E267" s="202">
        <f ca="1">IF(B267&gt;=$J$5,0,(CONTADORES!$AB275-CONTADORES!$AB274)-$H267)</f>
        <v>24</v>
      </c>
      <c r="F267" s="204">
        <f t="shared" ca="1" si="125"/>
        <v>0</v>
      </c>
      <c r="G267" s="202">
        <f ca="1">IF(B267&gt;=$J$5,0,CONTADORES!$AD275-CONTADORES!$AD274)</f>
        <v>0</v>
      </c>
      <c r="H267" s="202">
        <f ca="1">IF(G267&gt;0,CONTADORES!$AC275-CONTADORES!$AC274,0)</f>
        <v>0</v>
      </c>
      <c r="I267" s="1437">
        <f ca="1">IF(B267&gt;=$J$5,0,CONTADORES!$Z275-CONTADORES!$Z274)</f>
        <v>149</v>
      </c>
      <c r="J267" s="208">
        <f t="shared" ref="J267:J330" ca="1" si="127">P267-M267</f>
        <v>302</v>
      </c>
      <c r="K267" s="202">
        <f ca="1">'CALCULO DE GAS'!Q85</f>
        <v>5.1595870247777773</v>
      </c>
      <c r="L267" s="1437">
        <f ca="1">IF(B267&gt;=$J$5,0,(CONTADORES!$W275-CONTADORES!$W274)-$O267)</f>
        <v>24</v>
      </c>
      <c r="M267" s="1437">
        <f t="shared" ca="1" si="124"/>
        <v>0</v>
      </c>
      <c r="N267" s="1437">
        <f ca="1">IF(B267&gt;=$J$5,0,CONTADORES!$Y275-CONTADORES!$Y274)</f>
        <v>0</v>
      </c>
      <c r="O267" s="205">
        <f ca="1">IF(N267&gt;0,CONTADORES!$X275-CONTADORES!$X274,0)</f>
        <v>0</v>
      </c>
      <c r="P267" s="1439">
        <f ca="1">IF(B267&gt;=$J$5,0,CONTADORES!$U275-CONTADORES!$U274)</f>
        <v>302</v>
      </c>
      <c r="Q267" s="208">
        <f ca="1">IF(B267&gt;=$J$5,0,CONTADORES!$B275-CONTADORES!$B274)</f>
        <v>0</v>
      </c>
      <c r="R267" s="202">
        <f t="shared" ref="R267:R330" ca="1" si="128">$Q267*120</f>
        <v>0</v>
      </c>
      <c r="S267" s="11">
        <f ca="1">IF(B267&gt;=$J$5,0,CONTADORES!$D275-CONTADORES!$D274)</f>
        <v>0</v>
      </c>
      <c r="T267" s="208">
        <f ca="1">IF(B267&gt;=$J$5,0,CONTADORES!$AZ275-CONTADORES!$AZ274)</f>
        <v>0.17300000000000182</v>
      </c>
      <c r="U267" s="202">
        <f t="shared" ca="1" si="123"/>
        <v>20.760000000000218</v>
      </c>
      <c r="V267" s="205">
        <f ca="1">IF(B267&gt;=$J$5,0,CONTADORES!$BB275-CONTADORES!$BB274)</f>
        <v>0.29999999999995453</v>
      </c>
      <c r="W267" s="1438">
        <f t="shared" ref="W267:W330" ca="1" si="129">C267+J267</f>
        <v>451</v>
      </c>
      <c r="X267" s="1438">
        <f t="shared" ref="X267:X330" ca="1" si="130">F267+M267+Q267+T267</f>
        <v>0.17300000000000182</v>
      </c>
      <c r="Y267" s="1439">
        <f t="shared" ref="Y267:Y330" ca="1" si="131">W267+X267</f>
        <v>451.173</v>
      </c>
      <c r="Z267" s="1439">
        <f t="shared" ref="Z267:Z330" ca="1" si="132">D267+K267</f>
        <v>8.9075247384444438</v>
      </c>
      <c r="AA267" s="1439">
        <f t="shared" ref="AA267:AA330" ca="1" si="133">G267+N267+R267+U267</f>
        <v>20.760000000000218</v>
      </c>
      <c r="AB267" s="1439">
        <f t="shared" ref="AB267:AB330" ca="1" si="134">E267+L267</f>
        <v>48</v>
      </c>
      <c r="AC267" s="1438">
        <f t="shared" ref="AC267:AC330" ca="1" si="135">H267+O267+S267+V267</f>
        <v>0.29999999999995453</v>
      </c>
      <c r="AD267" s="1439">
        <f ca="1">IF(B267&gt;=$J$5,0,CONTADORES!H275-CONTADORES!H274)</f>
        <v>163</v>
      </c>
      <c r="AE267" s="1438">
        <f ca="1">IF(B267&gt;=$J$5,0,CONTADORES!J275-CONTADORES!J274)</f>
        <v>24</v>
      </c>
      <c r="AF267" s="1439">
        <f ca="1">IF(B267&gt;=$J$5,0,CONTADORES!AS275-CONTADORES!AS274)</f>
        <v>150</v>
      </c>
      <c r="AG267" s="1438">
        <f ca="1">IF(B267&gt;=$J$5,0,CONTADORES!AU275-CONTADORES!AU274)</f>
        <v>24</v>
      </c>
      <c r="AH267" s="1439">
        <f ca="1">IF(B267&gt;=$J$5,0,(CONTADORES!AK275-CONTADORES!AK274)+(CONTADORES!K275-CONTADORES!K274))</f>
        <v>15.400000000003274</v>
      </c>
      <c r="AI267" s="1439">
        <f ca="1">IF(B267&gt;=$J$5,0,(CONTADORES!AI275-CONTADORES!AI274)+(CONTADORES!M275-CONTADORES!M274))</f>
        <v>38.600000000005821</v>
      </c>
      <c r="AJ267" s="1439">
        <f ca="1">IF(B267&gt;=$J$5,0,(CONTADORES!AG275-CONTADORES!AG274))</f>
        <v>9.5</v>
      </c>
      <c r="AK267" s="1439">
        <f ca="1">IF(B267&gt;=$J$5,0,(CONTADORES!O275-CONTADORES!O274))</f>
        <v>12</v>
      </c>
      <c r="AL267" s="1500">
        <f t="shared" ref="AL267:AL330" ca="1" si="136">Y267-(AD267+AF267+AH267+AI267+AJ267+AK267+CA267+CB267+BJ267+BM267+BP267+BW267+CC267)</f>
        <v>34.272999999989509</v>
      </c>
      <c r="AM267" s="1450">
        <f ca="1">IF(B267&gt;=$J$5,0,(((CONTADORES!F275-CONTADORES!F274)+(CONTADORES!AO275-CONTADORES!AO274))))-BJ267-AF267-AN267-BM267-BP267-BU267-BS267</f>
        <v>9.1080000000005654</v>
      </c>
      <c r="AN267" s="1439">
        <f ca="1">IF(B267&gt;=$J$5,0,(CONTADORES!AV275-CONTADORES!AV274)+(CONTADORES!AX275-CONTADORES!AX274)+(CONTADORES!BC275-CONTADORES!BC274))</f>
        <v>4.249999999999801</v>
      </c>
      <c r="AO267" s="1474">
        <f>(CONTADORES!AA275-CONTADORES!AA274)</f>
        <v>71</v>
      </c>
      <c r="AP267" s="1474">
        <f>(CONTADORES!V275-CONTADORES!V274)</f>
        <v>156</v>
      </c>
      <c r="AQ267" s="1440">
        <f>(CONTADORES!C275-CONTADORES!C274)</f>
        <v>0</v>
      </c>
      <c r="AR267" s="1440">
        <f>(CONTADORES!BA275-CONTADORES!BA274)</f>
        <v>6.6000000000030923E-2</v>
      </c>
      <c r="AS267" s="1438">
        <f ca="1">IF(B267&gt;=$J$5,0,CONTADORES!Q275-CONTADORES!Q274)</f>
        <v>15</v>
      </c>
      <c r="AT267" s="1438">
        <f ca="1">IF(B267&gt;=$J$5,0,(CONTADORES!S275-CONTADORES!S274)+(CONTADORES!AE275-CONTADORES!AE274))</f>
        <v>3.4000000000000341</v>
      </c>
      <c r="AU267" s="1474">
        <f>CONTADORES!I275-CONTADORES!I274</f>
        <v>80</v>
      </c>
      <c r="AV267" s="1440">
        <f>CONTADORES!AT275-CONTADORES!AT274</f>
        <v>64</v>
      </c>
      <c r="AW267" s="1440">
        <f ca="1">IF(B267&gt;=$J$5,0,(CONTADORES!L275-CONTADORES!L274)+(CONTADORES!AL275-CONTADORES!AL274))</f>
        <v>6</v>
      </c>
      <c r="AX267" s="1440">
        <f ca="1">IF(B267&gt;=$J$5,0,(CONTADORES!N275-CONTADORES!N274)+(CONTADORES!AJ275-CONTADORES!AJ274))</f>
        <v>33.400000000001455</v>
      </c>
      <c r="AY267" s="1440">
        <f ca="1">IF(B267&gt;=$J$5,0,(CONTADORES!AH275-CONTADORES!AH274))</f>
        <v>7.3000000000029104</v>
      </c>
      <c r="AZ267" s="1440">
        <f ca="1">IF(B267&gt;=$J$5,0,(CONTADORES!P275-CONTADORES!P274))</f>
        <v>9</v>
      </c>
      <c r="BA267" s="1450">
        <f t="shared" ref="BA267:BA330" ca="1" si="137">BD267-(AU267+AV267+AW267+AX267+AY267+AZ267+BK267+BN267+BQ267+BX267+CF267+CH267+CI267)</f>
        <v>11.028999999994909</v>
      </c>
      <c r="BB267" s="1440">
        <f ca="1">IF(B267&gt;=$J$5,0,(((CONTADORES!G275-CONTADORES!G274)+(CONTADORES!AP275-CONTADORES!AP274)+AR267)-(AV267+BC267)))</f>
        <v>8.7360000000004447</v>
      </c>
      <c r="BC267" s="1438">
        <f ca="1">IF(B267&gt;=$J$5,0,(CONTADORES!AW275-CONTADORES!AW274)+(CONTADORES!AY275-CONTADORES!AY274)+(CONTADORES!BD275-CONTADORES!BD274))</f>
        <v>2.42999999999995</v>
      </c>
      <c r="BD267" s="1438">
        <f t="shared" ref="BD267:BD330" si="138">SUM(AO267:AR267)</f>
        <v>227.06600000000003</v>
      </c>
      <c r="BE267" s="1439">
        <f ca="1">IF($B267&gt;=$J$5,0,CONTADORES!$BE275)</f>
        <v>5520.27</v>
      </c>
      <c r="BF267" s="1438">
        <f ca="1">IF($B267&gt;=$J$5,0,CONTADORES!$BF275)</f>
        <v>34034.457894736799</v>
      </c>
      <c r="BG267" s="1438">
        <f ca="1">IF($B267&gt;=$J$5,0,CONTADORES!$BH275)</f>
        <v>6152.49</v>
      </c>
      <c r="BH267" s="1438">
        <f ca="1">IF(B267&gt;=$J$5,0,(CONTADORES!AQ275-CONTADORES!AQ274))</f>
        <v>6</v>
      </c>
      <c r="BI267" s="1438">
        <f ca="1">IF(C267&gt;=$J$5,0,(CONTADORES!AR275-CONTADORES!AR274))</f>
        <v>0</v>
      </c>
      <c r="BJ267" s="1438">
        <f ca="1">IF(B267&gt;=$J$5,0,CONTADORES!BI275-CONTADORES!BI274)/1000</f>
        <v>0</v>
      </c>
      <c r="BK267" s="1438">
        <f ca="1">IF(BF267&gt;=$J$5,0,CONTADORES!BJ275-CONTADORES!BJ274)</f>
        <v>0</v>
      </c>
      <c r="BL267" s="1438">
        <f ca="1">IF(BG267&gt;=$J$5,0,CONTADORES!BK275-CONTADORES!BK274)</f>
        <v>0</v>
      </c>
      <c r="BM267" s="1438">
        <f ca="1">IF(B267&gt;=$J$5,0,CONTADORES!BL275-CONTADORES!BL274)/1000</f>
        <v>4.6929999999999996</v>
      </c>
      <c r="BN267" s="1438">
        <f ca="1">IF(B267&gt;=$J$5,0,CONTADORES!BM275-CONTADORES!BM274)/1000</f>
        <v>0.56699999999999995</v>
      </c>
      <c r="BO267" s="1438">
        <f ca="1">IF(B267&gt;=$J$5,0,CONTADORES!BN275-CONTADORES!BN274)</f>
        <v>24</v>
      </c>
      <c r="BP267" s="1438">
        <f ca="1">IF(B267&gt;=$J$5,0,CONTADORES!BO275-CONTADORES!BO274)/1000</f>
        <v>3.5739999999999998</v>
      </c>
      <c r="BQ267" s="1438">
        <f ca="1">IF(B267&gt;=$J$5,0,CONTADORES!BP275-CONTADORES!BP274)/1000</f>
        <v>9.6000000000000002E-2</v>
      </c>
      <c r="BR267" s="1438">
        <f ca="1">IF(B267&gt;=$J$5,0,CONTADORES!BQ275-CONTADORES!BQ274)</f>
        <v>24</v>
      </c>
      <c r="BS267" s="1439">
        <f ca="1">IF(B267&gt;=$J$5,0,(CONTADORES!BT275-CONTADORES!BT274)+(CONTADORES!BV275-CONTADORES!BV274))/1000</f>
        <v>1.4750000000000001</v>
      </c>
      <c r="BT267" s="1439">
        <f ca="1">IF(B267&gt;=$J$5,0,(CONTADORES!BU275-CONTADORES!BU274)+(CONTADORES!BW275-CONTADORES!BW274))/1000</f>
        <v>0.90800000000000003</v>
      </c>
      <c r="BU267" s="1439">
        <f ca="1">IF(B267&gt;=$J$5,0,CONTADORES!BR275-CONTADORES!BR274)</f>
        <v>5.3000000000010914</v>
      </c>
      <c r="BV267" s="1439">
        <f ca="1">IF(B267&gt;=$J$5,0,CONTADORES!BS275-CONTADORES!BS274)</f>
        <v>3.6000000000003638</v>
      </c>
      <c r="BW267" s="1450">
        <f t="shared" ref="BW267:BW330" ca="1" si="139">BU267+BY267</f>
        <v>9.8540000000013741</v>
      </c>
      <c r="BX267" s="1450">
        <f t="shared" ref="BX267:BX330" ca="1" si="140">CE267+CD267</f>
        <v>7.9680000000005862</v>
      </c>
      <c r="BY267" s="1450">
        <f t="shared" ref="BY267:BY330" ca="1" si="141">(AM267*0.5)</f>
        <v>4.5540000000002827</v>
      </c>
      <c r="BZ267" s="1450">
        <f t="shared" ref="BZ267:BZ330" ca="1" si="142">(AN267*0.4)</f>
        <v>1.6999999999999205</v>
      </c>
      <c r="CA267" s="1450">
        <f t="shared" ref="CA267:CA330" ca="1" si="143">AM267-BY267</f>
        <v>4.5540000000002827</v>
      </c>
      <c r="CB267" s="1450">
        <f t="shared" ref="CB267:CB330" ca="1" si="144">AN267-BZ267</f>
        <v>2.5499999999998808</v>
      </c>
      <c r="CC267" s="1450">
        <f t="shared" ref="CC267:CC330" ca="1" si="145">BS267+BZ267</f>
        <v>3.1749999999999208</v>
      </c>
      <c r="CD267" s="1450">
        <f t="shared" ref="CD267:CD330" ca="1" si="146">(BB267*0.5)</f>
        <v>4.3680000000002224</v>
      </c>
      <c r="CE267" s="1450">
        <f ca="1">IF(B267&gt;=$J$5,0,CONTADORES!BS275-CONTADORES!BS274)</f>
        <v>3.6000000000003638</v>
      </c>
      <c r="CF267" s="1450">
        <f t="shared" ref="CF267:CF330" ca="1" si="147">BB267-CD267</f>
        <v>4.3680000000002224</v>
      </c>
      <c r="CG267" s="1450">
        <f t="shared" ref="CG267:CG330" ca="1" si="148">BC267*0.5</f>
        <v>1.214999999999975</v>
      </c>
      <c r="CH267" s="1450">
        <f t="shared" ref="CH267:CH330" ca="1" si="149">BC267-CG267</f>
        <v>1.214999999999975</v>
      </c>
      <c r="CI267" s="1450">
        <f t="shared" ref="CI267:CI330" ca="1" si="150">BT267+CG267</f>
        <v>2.1229999999999749</v>
      </c>
      <c r="CJ267" s="1450">
        <f ca="1">IF($B267&gt;=$J$5,0,CONTADORES!$BG275)</f>
        <v>9201.5985133270096</v>
      </c>
      <c r="CK267" s="1384">
        <f>CONTADORES!E275</f>
        <v>0</v>
      </c>
      <c r="CL267" s="1384">
        <f>CONTADORES!BX275</f>
        <v>0.4</v>
      </c>
    </row>
    <row r="268" spans="2:90">
      <c r="B268" s="410">
        <v>45184</v>
      </c>
      <c r="C268" s="208">
        <f t="shared" ca="1" si="126"/>
        <v>150</v>
      </c>
      <c r="D268" s="202">
        <f ca="1">'CALCULO DE GAS'!P86</f>
        <v>3.7579293803333331</v>
      </c>
      <c r="E268" s="202">
        <f ca="1">IF(B268&gt;=$J$5,0,(CONTADORES!$AB276-CONTADORES!$AB275)-$H268)</f>
        <v>24</v>
      </c>
      <c r="F268" s="204">
        <f t="shared" ca="1" si="125"/>
        <v>0</v>
      </c>
      <c r="G268" s="202">
        <f ca="1">IF(B268&gt;=$J$5,0,CONTADORES!$AD276-CONTADORES!$AD275)</f>
        <v>0</v>
      </c>
      <c r="H268" s="202">
        <f ca="1">IF(G268&gt;0,CONTADORES!$AC276-CONTADORES!$AC275,0)</f>
        <v>0</v>
      </c>
      <c r="I268" s="1437">
        <f ca="1">IF(B268&gt;=$J$5,0,CONTADORES!$Z276-CONTADORES!$Z275)</f>
        <v>150</v>
      </c>
      <c r="J268" s="208">
        <f t="shared" ca="1" si="127"/>
        <v>298</v>
      </c>
      <c r="K268" s="202">
        <f ca="1">'CALCULO DE GAS'!Q86</f>
        <v>5.122284802555555</v>
      </c>
      <c r="L268" s="1437">
        <f ca="1">IF(B268&gt;=$J$5,0,(CONTADORES!$W276-CONTADORES!$W275)-$O268)</f>
        <v>24</v>
      </c>
      <c r="M268" s="1437">
        <f t="shared" ca="1" si="124"/>
        <v>0</v>
      </c>
      <c r="N268" s="1437">
        <f ca="1">IF(B268&gt;=$J$5,0,CONTADORES!$Y276-CONTADORES!$Y275)</f>
        <v>0</v>
      </c>
      <c r="O268" s="205">
        <f ca="1">IF(N268&gt;0,CONTADORES!$X276-CONTADORES!$X275,0)</f>
        <v>0</v>
      </c>
      <c r="P268" s="1439">
        <f ca="1">IF(B268&gt;=$J$5,0,CONTADORES!$U276-CONTADORES!$U275)</f>
        <v>298</v>
      </c>
      <c r="Q268" s="208">
        <f ca="1">IF(B268&gt;=$J$5,0,CONTADORES!$B276-CONTADORES!$B275)</f>
        <v>0</v>
      </c>
      <c r="R268" s="202">
        <f t="shared" ca="1" si="128"/>
        <v>0</v>
      </c>
      <c r="S268" s="11">
        <f ca="1">IF(B268&gt;=$J$5,0,CONTADORES!$D276-CONTADORES!$D275)</f>
        <v>0</v>
      </c>
      <c r="T268" s="208">
        <f ca="1">IF(B268&gt;=$J$5,0,CONTADORES!$AZ276-CONTADORES!$AZ275)</f>
        <v>0</v>
      </c>
      <c r="U268" s="202">
        <f t="shared" ca="1" si="123"/>
        <v>0</v>
      </c>
      <c r="V268" s="205">
        <f ca="1">IF(B268&gt;=$J$5,0,CONTADORES!$BB276-CONTADORES!$BB275)</f>
        <v>0</v>
      </c>
      <c r="W268" s="1438">
        <f t="shared" ca="1" si="129"/>
        <v>448</v>
      </c>
      <c r="X268" s="1438">
        <f t="shared" ca="1" si="130"/>
        <v>0</v>
      </c>
      <c r="Y268" s="1439">
        <f t="shared" ca="1" si="131"/>
        <v>448</v>
      </c>
      <c r="Z268" s="1439">
        <f t="shared" ca="1" si="132"/>
        <v>8.8802141828888885</v>
      </c>
      <c r="AA268" s="1439">
        <f t="shared" ca="1" si="133"/>
        <v>0</v>
      </c>
      <c r="AB268" s="1439">
        <f t="shared" ca="1" si="134"/>
        <v>48</v>
      </c>
      <c r="AC268" s="1438">
        <f t="shared" ca="1" si="135"/>
        <v>0</v>
      </c>
      <c r="AD268" s="1439">
        <f ca="1">IF(B268&gt;=$J$5,0,CONTADORES!H276-CONTADORES!H275)</f>
        <v>163</v>
      </c>
      <c r="AE268" s="1438">
        <f ca="1">IF(B268&gt;=$J$5,0,CONTADORES!J276-CONTADORES!J275)</f>
        <v>24</v>
      </c>
      <c r="AF268" s="1439">
        <f ca="1">IF(B268&gt;=$J$5,0,CONTADORES!AS276-CONTADORES!AS275)</f>
        <v>150</v>
      </c>
      <c r="AG268" s="1438">
        <f ca="1">IF(B268&gt;=$J$5,0,CONTADORES!AU276-CONTADORES!AU275)</f>
        <v>24</v>
      </c>
      <c r="AH268" s="1439">
        <f ca="1">IF(B268&gt;=$J$5,0,(CONTADORES!AK276-CONTADORES!AK275)+(CONTADORES!K276-CONTADORES!K275))</f>
        <v>7.1999999999970896</v>
      </c>
      <c r="AI268" s="1439">
        <f ca="1">IF(B268&gt;=$J$5,0,(CONTADORES!AI276-CONTADORES!AI275)+(CONTADORES!M276-CONTADORES!M275))</f>
        <v>39.30000000000291</v>
      </c>
      <c r="AJ268" s="1439">
        <f ca="1">IF(B268&gt;=$J$5,0,(CONTADORES!AG276-CONTADORES!AG275))</f>
        <v>9.6999999999970896</v>
      </c>
      <c r="AK268" s="1439">
        <f ca="1">IF(B268&gt;=$J$5,0,(CONTADORES!O276-CONTADORES!O275))</f>
        <v>12</v>
      </c>
      <c r="AL268" s="1500">
        <f t="shared" ca="1" si="136"/>
        <v>37.700000000004366</v>
      </c>
      <c r="AM268" s="1450">
        <f ca="1">IF(B268&gt;=$J$5,0,(((CONTADORES!F276-CONTADORES!F275)+(CONTADORES!AO276-CONTADORES!AO275))))-BJ268-AF268-AN268-BM268-BP268-BU268-BS268</f>
        <v>9.2439999999987741</v>
      </c>
      <c r="AN268" s="1439">
        <f ca="1">IF(B268&gt;=$J$5,0,(CONTADORES!AV276-CONTADORES!AV275)+(CONTADORES!AX276-CONTADORES!AX275)+(CONTADORES!BC276-CONTADORES!BC275))</f>
        <v>3.8400000000001455</v>
      </c>
      <c r="AO268" s="1474">
        <f>(CONTADORES!AA276-CONTADORES!AA275)</f>
        <v>74</v>
      </c>
      <c r="AP268" s="1474">
        <f>(CONTADORES!V276-CONTADORES!V275)</f>
        <v>155</v>
      </c>
      <c r="AQ268" s="1440">
        <f>(CONTADORES!C276-CONTADORES!C275)</f>
        <v>0</v>
      </c>
      <c r="AR268" s="1440">
        <f>(CONTADORES!BA276-CONTADORES!BA275)</f>
        <v>0</v>
      </c>
      <c r="AS268" s="1438">
        <f ca="1">IF(B268&gt;=$J$5,0,CONTADORES!Q276-CONTADORES!Q275)</f>
        <v>15</v>
      </c>
      <c r="AT268" s="1438">
        <f ca="1">IF(B268&gt;=$J$5,0,(CONTADORES!S276-CONTADORES!S275)+(CONTADORES!AE276-CONTADORES!AE275))</f>
        <v>3.5999999999999659</v>
      </c>
      <c r="AU268" s="1474">
        <f>CONTADORES!I276-CONTADORES!I275</f>
        <v>82</v>
      </c>
      <c r="AV268" s="1440">
        <f>CONTADORES!AT276-CONTADORES!AT275</f>
        <v>65</v>
      </c>
      <c r="AW268" s="1440">
        <f ca="1">IF(B268&gt;=$J$5,0,(CONTADORES!L276-CONTADORES!L275)+(CONTADORES!AL276-CONTADORES!AL275))</f>
        <v>2.7999999999992724</v>
      </c>
      <c r="AX268" s="1440">
        <f ca="1">IF(B268&gt;=$J$5,0,(CONTADORES!N276-CONTADORES!N275)+(CONTADORES!AJ276-CONTADORES!AJ275))</f>
        <v>33.80000000000291</v>
      </c>
      <c r="AY268" s="1440">
        <f ca="1">IF(B268&gt;=$J$5,0,(CONTADORES!AH276-CONTADORES!AH275))</f>
        <v>7.5</v>
      </c>
      <c r="AZ268" s="1440">
        <f ca="1">IF(B268&gt;=$J$5,0,(CONTADORES!P276-CONTADORES!P275))</f>
        <v>10</v>
      </c>
      <c r="BA268" s="1450">
        <f t="shared" ca="1" si="137"/>
        <v>9.7199999999976114</v>
      </c>
      <c r="BB268" s="1440">
        <f ca="1">IF(B268&gt;=$J$5,0,(((CONTADORES!G276-CONTADORES!G275)+(CONTADORES!AP276-CONTADORES!AP275)+AR268)-(AV268+BC268)))</f>
        <v>9.9499999999998181</v>
      </c>
      <c r="BC268" s="1438">
        <f ca="1">IF(B268&gt;=$J$5,0,(CONTADORES!AW276-CONTADORES!AW275)+(CONTADORES!AY276-CONTADORES!AY275)+(CONTADORES!BD276-CONTADORES!BD275))</f>
        <v>2.0500000000001819</v>
      </c>
      <c r="BD268" s="1438">
        <f t="shared" si="138"/>
        <v>229</v>
      </c>
      <c r="BE268" s="1439">
        <f ca="1">IF($B268&gt;=$J$5,0,CONTADORES!$BE276)</f>
        <v>5780.8</v>
      </c>
      <c r="BF268" s="1438">
        <f ca="1">IF($B268&gt;=$J$5,0,CONTADORES!$BF276)</f>
        <v>34574.250877193001</v>
      </c>
      <c r="BG268" s="1438">
        <f ca="1">IF($B268&gt;=$J$5,0,CONTADORES!$BH276)</f>
        <v>5228.2299999999996</v>
      </c>
      <c r="BH268" s="1438">
        <f ca="1">IF(B268&gt;=$J$5,0,(CONTADORES!AQ276-CONTADORES!AQ275))</f>
        <v>4</v>
      </c>
      <c r="BI268" s="1438">
        <f ca="1">IF(C268&gt;=$J$5,0,(CONTADORES!AR276-CONTADORES!AR275))</f>
        <v>0</v>
      </c>
      <c r="BJ268" s="1438">
        <f ca="1">IF(B268&gt;=$J$5,0,CONTADORES!BI276-CONTADORES!BI275)/1000</f>
        <v>2.2000000000000002</v>
      </c>
      <c r="BK268" s="1438">
        <f ca="1">IF(BF268&gt;=$J$5,0,CONTADORES!BJ276-CONTADORES!BJ275)</f>
        <v>1</v>
      </c>
      <c r="BL268" s="1438">
        <f ca="1">IF(BG268&gt;=$J$5,0,CONTADORES!BK276-CONTADORES!BK275)</f>
        <v>9.2000000000007276</v>
      </c>
      <c r="BM268" s="1438">
        <f ca="1">IF(B268&gt;=$J$5,0,CONTADORES!BL276-CONTADORES!BL275)/1000</f>
        <v>3.3220000000000001</v>
      </c>
      <c r="BN268" s="1438">
        <f ca="1">IF(B268&gt;=$J$5,0,CONTADORES!BM276-CONTADORES!BM275)/1000</f>
        <v>0.36599999999999999</v>
      </c>
      <c r="BO268" s="1438">
        <f ca="1">IF(B268&gt;=$J$5,0,CONTADORES!BN276-CONTADORES!BN275)</f>
        <v>18.200000000000728</v>
      </c>
      <c r="BP268" s="1438">
        <f ca="1">IF(B268&gt;=$J$5,0,CONTADORES!BO276-CONTADORES!BO275)/1000</f>
        <v>3.5619999999999998</v>
      </c>
      <c r="BQ268" s="1438">
        <f ca="1">IF(B268&gt;=$J$5,0,CONTADORES!BP276-CONTADORES!BP275)/1000</f>
        <v>8.3000000000000004E-2</v>
      </c>
      <c r="BR268" s="1438">
        <f ca="1">IF(B268&gt;=$J$5,0,CONTADORES!BQ276-CONTADORES!BQ275)</f>
        <v>24</v>
      </c>
      <c r="BS268" s="1439">
        <f ca="1">IF(B268&gt;=$J$5,0,(CONTADORES!BT276-CONTADORES!BT275)+(CONTADORES!BV276-CONTADORES!BV275))/1000</f>
        <v>1.532</v>
      </c>
      <c r="BT268" s="1439">
        <f ca="1">IF(B268&gt;=$J$5,0,(CONTADORES!BU276-CONTADORES!BU275)+(CONTADORES!BW276-CONTADORES!BW275))/1000</f>
        <v>0.93100000000000005</v>
      </c>
      <c r="BU268" s="1439">
        <f ca="1">IF(B268&gt;=$J$5,0,CONTADORES!BR276-CONTADORES!BR275)</f>
        <v>5.3999999999996362</v>
      </c>
      <c r="BV268" s="1439">
        <f ca="1">IF(B268&gt;=$J$5,0,CONTADORES!BS276-CONTADORES!BS275)</f>
        <v>3.8000000000001819</v>
      </c>
      <c r="BW268" s="1450">
        <f t="shared" ca="1" si="139"/>
        <v>10.021999999999023</v>
      </c>
      <c r="BX268" s="1450">
        <f t="shared" ca="1" si="140"/>
        <v>8.7750000000000909</v>
      </c>
      <c r="BY268" s="1450">
        <f t="shared" ca="1" si="141"/>
        <v>4.621999999999387</v>
      </c>
      <c r="BZ268" s="1450">
        <f t="shared" ca="1" si="142"/>
        <v>1.5360000000000582</v>
      </c>
      <c r="CA268" s="1450">
        <f t="shared" ca="1" si="143"/>
        <v>4.621999999999387</v>
      </c>
      <c r="CB268" s="1450">
        <f t="shared" ca="1" si="144"/>
        <v>2.3040000000000873</v>
      </c>
      <c r="CC268" s="1450">
        <f t="shared" ca="1" si="145"/>
        <v>3.0680000000000582</v>
      </c>
      <c r="CD268" s="1450">
        <f t="shared" ca="1" si="146"/>
        <v>4.9749999999999091</v>
      </c>
      <c r="CE268" s="1450">
        <f ca="1">IF(B268&gt;=$J$5,0,CONTADORES!BS276-CONTADORES!BS275)</f>
        <v>3.8000000000001819</v>
      </c>
      <c r="CF268" s="1450">
        <f t="shared" ca="1" si="147"/>
        <v>4.9749999999999091</v>
      </c>
      <c r="CG268" s="1450">
        <f t="shared" ca="1" si="148"/>
        <v>1.0250000000000909</v>
      </c>
      <c r="CH268" s="1450">
        <f t="shared" ca="1" si="149"/>
        <v>1.0250000000000909</v>
      </c>
      <c r="CI268" s="1450">
        <f t="shared" ca="1" si="150"/>
        <v>1.956000000000091</v>
      </c>
      <c r="CJ268" s="1450">
        <f ca="1">IF($B268&gt;=$J$5,0,CONTADORES!$BG276)</f>
        <v>6667.3140365809304</v>
      </c>
      <c r="CK268" s="1384">
        <f>CONTADORES!E276</f>
        <v>0</v>
      </c>
      <c r="CL268" s="1384">
        <f>CONTADORES!BX276</f>
        <v>0</v>
      </c>
    </row>
    <row r="269" spans="2:90">
      <c r="B269" s="410">
        <v>45185</v>
      </c>
      <c r="C269" s="208">
        <f t="shared" ca="1" si="126"/>
        <v>150</v>
      </c>
      <c r="D269" s="202">
        <f ca="1">'CALCULO DE GAS'!P87</f>
        <v>3.7579293803333331</v>
      </c>
      <c r="E269" s="202">
        <f ca="1">IF(B269&gt;=$J$5,0,(CONTADORES!$AB277-CONTADORES!$AB276)-$H269)</f>
        <v>24</v>
      </c>
      <c r="F269" s="204">
        <f t="shared" ca="1" si="125"/>
        <v>0</v>
      </c>
      <c r="G269" s="202">
        <f ca="1">IF(B269&gt;=$J$5,0,CONTADORES!$AD277-CONTADORES!$AD276)</f>
        <v>0</v>
      </c>
      <c r="H269" s="202">
        <f ca="1">IF(G269&gt;0,CONTADORES!$AC277-CONTADORES!$AC276,0)</f>
        <v>0</v>
      </c>
      <c r="I269" s="1437">
        <f ca="1">IF(B269&gt;=$J$5,0,CONTADORES!$Z277-CONTADORES!$Z276)</f>
        <v>150</v>
      </c>
      <c r="J269" s="208">
        <f t="shared" ca="1" si="127"/>
        <v>298</v>
      </c>
      <c r="K269" s="202">
        <f ca="1">'CALCULO DE GAS'!Q87</f>
        <v>5.122284802555555</v>
      </c>
      <c r="L269" s="1437">
        <f ca="1">IF(B269&gt;=$J$5,0,(CONTADORES!$W277-CONTADORES!$W276)-$O269)</f>
        <v>24</v>
      </c>
      <c r="M269" s="1437">
        <f t="shared" ca="1" si="124"/>
        <v>0</v>
      </c>
      <c r="N269" s="1437">
        <f ca="1">IF(B269&gt;=$J$5,0,CONTADORES!$Y277-CONTADORES!$Y276)</f>
        <v>0</v>
      </c>
      <c r="O269" s="205">
        <f ca="1">IF(N269&gt;0,CONTADORES!$X277-CONTADORES!$X276,0)</f>
        <v>0</v>
      </c>
      <c r="P269" s="1439">
        <f ca="1">IF(B269&gt;=$J$5,0,CONTADORES!$U277-CONTADORES!$U276)</f>
        <v>298</v>
      </c>
      <c r="Q269" s="208">
        <f ca="1">IF(B269&gt;=$J$5,0,CONTADORES!$B277-CONTADORES!$B276)</f>
        <v>0</v>
      </c>
      <c r="R269" s="202">
        <f t="shared" ca="1" si="128"/>
        <v>0</v>
      </c>
      <c r="S269" s="11">
        <f ca="1">IF(B269&gt;=$J$5,0,CONTADORES!$D277-CONTADORES!$D276)</f>
        <v>0</v>
      </c>
      <c r="T269" s="208">
        <f ca="1">IF(B269&gt;=$J$5,0,CONTADORES!$AZ277-CONTADORES!$AZ276)</f>
        <v>0</v>
      </c>
      <c r="U269" s="202">
        <f t="shared" ca="1" si="123"/>
        <v>0</v>
      </c>
      <c r="V269" s="205">
        <f ca="1">IF(B269&gt;=$J$5,0,CONTADORES!$BB277-CONTADORES!$BB276)</f>
        <v>0</v>
      </c>
      <c r="W269" s="1438">
        <f t="shared" ca="1" si="129"/>
        <v>448</v>
      </c>
      <c r="X269" s="1438">
        <f t="shared" ca="1" si="130"/>
        <v>0</v>
      </c>
      <c r="Y269" s="1439">
        <f t="shared" ca="1" si="131"/>
        <v>448</v>
      </c>
      <c r="Z269" s="1439">
        <f t="shared" ca="1" si="132"/>
        <v>8.8802141828888885</v>
      </c>
      <c r="AA269" s="1439">
        <f t="shared" ca="1" si="133"/>
        <v>0</v>
      </c>
      <c r="AB269" s="1439">
        <f t="shared" ca="1" si="134"/>
        <v>48</v>
      </c>
      <c r="AC269" s="1438">
        <f t="shared" ca="1" si="135"/>
        <v>0</v>
      </c>
      <c r="AD269" s="1439">
        <f ca="1">IF(B269&gt;=$J$5,0,CONTADORES!H277-CONTADORES!H276)</f>
        <v>169</v>
      </c>
      <c r="AE269" s="1438">
        <f ca="1">IF(B269&gt;=$J$5,0,CONTADORES!J277-CONTADORES!J276)</f>
        <v>24</v>
      </c>
      <c r="AF269" s="1439">
        <f ca="1">IF(B269&gt;=$J$5,0,CONTADORES!AS277-CONTADORES!AS276)</f>
        <v>151</v>
      </c>
      <c r="AG269" s="1438">
        <f ca="1">IF(B269&gt;=$J$5,0,CONTADORES!AU277-CONTADORES!AU276)</f>
        <v>24</v>
      </c>
      <c r="AH269" s="1439">
        <f ca="1">IF(B269&gt;=$J$5,0,(CONTADORES!AK277-CONTADORES!AK276)+(CONTADORES!K277-CONTADORES!K276))</f>
        <v>4.0999999999985448</v>
      </c>
      <c r="AI269" s="1439">
        <f ca="1">IF(B269&gt;=$J$5,0,(CONTADORES!AI277-CONTADORES!AI276)+(CONTADORES!M277-CONTADORES!M276))</f>
        <v>37.099999999991269</v>
      </c>
      <c r="AJ269" s="1439">
        <f ca="1">IF(B269&gt;=$J$5,0,(CONTADORES!AG277-CONTADORES!AG276))</f>
        <v>11.100000000005821</v>
      </c>
      <c r="AK269" s="1439">
        <f ca="1">IF(B269&gt;=$J$5,0,(CONTADORES!O277-CONTADORES!O276))</f>
        <v>12</v>
      </c>
      <c r="AL269" s="1500">
        <f t="shared" ca="1" si="136"/>
        <v>35.000000000003638</v>
      </c>
      <c r="AM269" s="1450">
        <f ca="1">IF(B269&gt;=$J$5,0,(((CONTADORES!F277-CONTADORES!F276)+(CONTADORES!AO277-CONTADORES!AO276))))-BJ269-AF269-AN269-BM269-BP269-BU269-BS269</f>
        <v>11.242000000001823</v>
      </c>
      <c r="AN269" s="1439">
        <f ca="1">IF(B269&gt;=$J$5,0,(CONTADORES!AV277-CONTADORES!AV276)+(CONTADORES!AX277-CONTADORES!AX276)+(CONTADORES!BC277-CONTADORES!BC276))</f>
        <v>2.3999999999996362</v>
      </c>
      <c r="AO269" s="1474">
        <f>(CONTADORES!AA277-CONTADORES!AA276)</f>
        <v>72</v>
      </c>
      <c r="AP269" s="1474">
        <f>(CONTADORES!V277-CONTADORES!V276)</f>
        <v>155</v>
      </c>
      <c r="AQ269" s="1440">
        <f>(CONTADORES!C277-CONTADORES!C276)</f>
        <v>0</v>
      </c>
      <c r="AR269" s="1440">
        <f>(CONTADORES!BA277-CONTADORES!BA276)</f>
        <v>0</v>
      </c>
      <c r="AS269" s="1438">
        <f ca="1">IF(B269&gt;=$J$5,0,CONTADORES!Q277-CONTADORES!Q276)</f>
        <v>15</v>
      </c>
      <c r="AT269" s="1438">
        <f ca="1">IF(B269&gt;=$J$5,0,(CONTADORES!S277-CONTADORES!S276)+(CONTADORES!AE277-CONTADORES!AE276))</f>
        <v>3.1999999999999886</v>
      </c>
      <c r="AU269" s="1474">
        <f>CONTADORES!I277-CONTADORES!I276</f>
        <v>83</v>
      </c>
      <c r="AV269" s="1440">
        <f>CONTADORES!AT277-CONTADORES!AT276</f>
        <v>65</v>
      </c>
      <c r="AW269" s="1440">
        <f ca="1">IF(B269&gt;=$J$5,0,(CONTADORES!L277-CONTADORES!L276)+(CONTADORES!AL277-CONTADORES!AL276))</f>
        <v>1.6000000000021828</v>
      </c>
      <c r="AX269" s="1440">
        <f ca="1">IF(B269&gt;=$J$5,0,(CONTADORES!N277-CONTADORES!N276)+(CONTADORES!AJ277-CONTADORES!AJ276))</f>
        <v>31.599999999998545</v>
      </c>
      <c r="AY269" s="1440">
        <f ca="1">IF(B269&gt;=$J$5,0,(CONTADORES!AH277-CONTADORES!AH276))</f>
        <v>8.6999999999970896</v>
      </c>
      <c r="AZ269" s="1440">
        <f ca="1">IF(B269&gt;=$J$5,0,(CONTADORES!P277-CONTADORES!P276))</f>
        <v>10</v>
      </c>
      <c r="BA269" s="1450">
        <f t="shared" ca="1" si="137"/>
        <v>8.9150000000029195</v>
      </c>
      <c r="BB269" s="1440">
        <f ca="1">IF(B269&gt;=$J$5,0,(((CONTADORES!G277-CONTADORES!G276)+(CONTADORES!AP277-CONTADORES!AP276)+AR269)-(AV269+BC269)))</f>
        <v>12.799999999999272</v>
      </c>
      <c r="BC269" s="1438">
        <f ca="1">IF(B269&gt;=$J$5,0,(CONTADORES!AW277-CONTADORES!AW276)+(CONTADORES!AY277-CONTADORES!AY276)+(CONTADORES!BD277-CONTADORES!BD276))</f>
        <v>0</v>
      </c>
      <c r="BD269" s="1438">
        <f t="shared" si="138"/>
        <v>227</v>
      </c>
      <c r="BE269" s="1439">
        <f ca="1">IF($B269&gt;=$J$5,0,CONTADORES!$BE277)</f>
        <v>5988.17</v>
      </c>
      <c r="BF269" s="1438">
        <f ca="1">IF($B269&gt;=$J$5,0,CONTADORES!$BF277)</f>
        <v>34409.221052631598</v>
      </c>
      <c r="BG269" s="1438">
        <f ca="1">IF($B269&gt;=$J$5,0,CONTADORES!$BH277)</f>
        <v>6375.49</v>
      </c>
      <c r="BH269" s="1438">
        <f ca="1">IF(B269&gt;=$J$5,0,(CONTADORES!AQ277-CONTADORES!AQ276))</f>
        <v>6</v>
      </c>
      <c r="BI269" s="1438">
        <f ca="1">IF(C269&gt;=$J$5,0,(CONTADORES!AR277-CONTADORES!AR276))</f>
        <v>0</v>
      </c>
      <c r="BJ269" s="1438">
        <f ca="1">IF(B269&gt;=$J$5,0,CONTADORES!BI277-CONTADORES!BI276)/1000</f>
        <v>4.5999999999999996</v>
      </c>
      <c r="BK269" s="1438">
        <f ca="1">IF(BF269&gt;=$J$5,0,CONTADORES!BJ277-CONTADORES!BJ276)</f>
        <v>1</v>
      </c>
      <c r="BL269" s="1438">
        <f ca="1">IF(BG269&gt;=$J$5,0,CONTADORES!BK277-CONTADORES!BK276)</f>
        <v>24</v>
      </c>
      <c r="BM269" s="1438">
        <f ca="1">IF(B269&gt;=$J$5,0,CONTADORES!BL277-CONTADORES!BL276)/1000</f>
        <v>0</v>
      </c>
      <c r="BN269" s="1438">
        <f ca="1">IF(B269&gt;=$J$5,0,CONTADORES!BM277-CONTADORES!BM276)/1000</f>
        <v>0</v>
      </c>
      <c r="BO269" s="1438">
        <f ca="1">IF(B269&gt;=$J$5,0,CONTADORES!BN277-CONTADORES!BN276)</f>
        <v>0</v>
      </c>
      <c r="BP269" s="1438">
        <f ca="1">IF(B269&gt;=$J$5,0,CONTADORES!BO277-CONTADORES!BO276)/1000</f>
        <v>4.7300000000000004</v>
      </c>
      <c r="BQ269" s="1438">
        <f ca="1">IF(B269&gt;=$J$5,0,CONTADORES!BP277-CONTADORES!BP276)/1000</f>
        <v>0.50900000000000001</v>
      </c>
      <c r="BR269" s="1438">
        <f ca="1">IF(B269&gt;=$J$5,0,CONTADORES!BQ277-CONTADORES!BQ276)</f>
        <v>24</v>
      </c>
      <c r="BS269" s="1439">
        <f ca="1">IF(B269&gt;=$J$5,0,(CONTADORES!BT277-CONTADORES!BT276)+(CONTADORES!BV277-CONTADORES!BV276))/1000</f>
        <v>1.4279999999999999</v>
      </c>
      <c r="BT269" s="1439">
        <f ca="1">IF(B269&gt;=$J$5,0,(CONTADORES!BU277-CONTADORES!BU276)+(CONTADORES!BW277-CONTADORES!BW276))/1000</f>
        <v>0.876</v>
      </c>
      <c r="BU269" s="1439">
        <f ca="1">IF(B269&gt;=$J$5,0,CONTADORES!BR277-CONTADORES!BR276)</f>
        <v>4.2999999999992724</v>
      </c>
      <c r="BV269" s="1439">
        <f ca="1">IF(B269&gt;=$J$5,0,CONTADORES!BS277-CONTADORES!BS276)</f>
        <v>3</v>
      </c>
      <c r="BW269" s="1450">
        <f t="shared" ca="1" si="139"/>
        <v>9.9210000000001841</v>
      </c>
      <c r="BX269" s="1450">
        <f t="shared" ca="1" si="140"/>
        <v>9.3999999999996362</v>
      </c>
      <c r="BY269" s="1450">
        <f t="shared" ca="1" si="141"/>
        <v>5.6210000000009117</v>
      </c>
      <c r="BZ269" s="1450">
        <f t="shared" ca="1" si="142"/>
        <v>0.95999999999985453</v>
      </c>
      <c r="CA269" s="1450">
        <f t="shared" ca="1" si="143"/>
        <v>5.6210000000009117</v>
      </c>
      <c r="CB269" s="1450">
        <f t="shared" ca="1" si="144"/>
        <v>1.4399999999997817</v>
      </c>
      <c r="CC269" s="1450">
        <f t="shared" ca="1" si="145"/>
        <v>2.3879999999998542</v>
      </c>
      <c r="CD269" s="1450">
        <f t="shared" ca="1" si="146"/>
        <v>6.3999999999996362</v>
      </c>
      <c r="CE269" s="1450">
        <f ca="1">IF(B269&gt;=$J$5,0,CONTADORES!BS277-CONTADORES!BS276)</f>
        <v>3</v>
      </c>
      <c r="CF269" s="1450">
        <f t="shared" ca="1" si="147"/>
        <v>6.3999999999996362</v>
      </c>
      <c r="CG269" s="1450">
        <f t="shared" ca="1" si="148"/>
        <v>0</v>
      </c>
      <c r="CH269" s="1450">
        <f t="shared" ca="1" si="149"/>
        <v>0</v>
      </c>
      <c r="CI269" s="1450">
        <f t="shared" ca="1" si="150"/>
        <v>0.876</v>
      </c>
      <c r="CJ269" s="1450">
        <f ca="1">IF($B269&gt;=$J$5,0,CONTADORES!$BG277)</f>
        <v>2379.1817387912201</v>
      </c>
      <c r="CK269" s="1384">
        <f>CONTADORES!E277</f>
        <v>0</v>
      </c>
      <c r="CL269" s="1384">
        <f>CONTADORES!BX277</f>
        <v>0</v>
      </c>
    </row>
    <row r="270" spans="2:90">
      <c r="B270" s="410">
        <v>45186</v>
      </c>
      <c r="C270" s="208">
        <f t="shared" ca="1" si="126"/>
        <v>148</v>
      </c>
      <c r="D270" s="202">
        <f ca="1">'CALCULO DE GAS'!P88</f>
        <v>3.7379460469999999</v>
      </c>
      <c r="E270" s="202">
        <f ca="1">IF(B270&gt;=$J$5,0,(CONTADORES!$AB278-CONTADORES!$AB277)-$H270)</f>
        <v>24</v>
      </c>
      <c r="F270" s="204">
        <f t="shared" ca="1" si="125"/>
        <v>0</v>
      </c>
      <c r="G270" s="202">
        <f ca="1">IF(B270&gt;=$J$5,0,CONTADORES!$AD278-CONTADORES!$AD277)</f>
        <v>0</v>
      </c>
      <c r="H270" s="202">
        <f ca="1">IF(G270&gt;0,CONTADORES!$AC278-CONTADORES!$AC277,0)</f>
        <v>0</v>
      </c>
      <c r="I270" s="1437">
        <f ca="1">IF(B270&gt;=$J$5,0,CONTADORES!$Z278-CONTADORES!$Z277)</f>
        <v>148</v>
      </c>
      <c r="J270" s="208">
        <f t="shared" ca="1" si="127"/>
        <v>304</v>
      </c>
      <c r="K270" s="202">
        <f ca="1">'CALCULO DE GAS'!Q88</f>
        <v>5.178238135888888</v>
      </c>
      <c r="L270" s="1437">
        <f ca="1">IF(B270&gt;=$J$5,0,(CONTADORES!$W278-CONTADORES!$W277)-$O270)</f>
        <v>24</v>
      </c>
      <c r="M270" s="1437">
        <f t="shared" ca="1" si="124"/>
        <v>0</v>
      </c>
      <c r="N270" s="1437">
        <f ca="1">IF(B270&gt;=$J$5,0,CONTADORES!$Y278-CONTADORES!$Y277)</f>
        <v>0</v>
      </c>
      <c r="O270" s="205">
        <f ca="1">IF(N270&gt;0,CONTADORES!$X278-CONTADORES!$X277,0)</f>
        <v>0</v>
      </c>
      <c r="P270" s="1439">
        <f ca="1">IF(B270&gt;=$J$5,0,CONTADORES!$U278-CONTADORES!$U277)</f>
        <v>304</v>
      </c>
      <c r="Q270" s="208">
        <f ca="1">IF(B270&gt;=$J$5,0,CONTADORES!$B278-CONTADORES!$B277)</f>
        <v>0</v>
      </c>
      <c r="R270" s="202">
        <f t="shared" ca="1" si="128"/>
        <v>0</v>
      </c>
      <c r="S270" s="11">
        <f ca="1">IF(B270&gt;=$J$5,0,CONTADORES!$D278-CONTADORES!$D277)</f>
        <v>0</v>
      </c>
      <c r="T270" s="208">
        <f ca="1">IF(B270&gt;=$J$5,0,CONTADORES!$AZ278-CONTADORES!$AZ277)</f>
        <v>0</v>
      </c>
      <c r="U270" s="202">
        <f t="shared" ca="1" si="123"/>
        <v>0</v>
      </c>
      <c r="V270" s="205">
        <f ca="1">IF(B270&gt;=$J$5,0,CONTADORES!$BB278-CONTADORES!$BB277)</f>
        <v>0</v>
      </c>
      <c r="W270" s="1438">
        <f t="shared" ca="1" si="129"/>
        <v>452</v>
      </c>
      <c r="X270" s="1438">
        <f t="shared" ca="1" si="130"/>
        <v>0</v>
      </c>
      <c r="Y270" s="1439">
        <f t="shared" ca="1" si="131"/>
        <v>452</v>
      </c>
      <c r="Z270" s="1439">
        <f t="shared" ca="1" si="132"/>
        <v>8.9161841828888875</v>
      </c>
      <c r="AA270" s="1439">
        <f t="shared" ca="1" si="133"/>
        <v>0</v>
      </c>
      <c r="AB270" s="1439">
        <f t="shared" ca="1" si="134"/>
        <v>48</v>
      </c>
      <c r="AC270" s="1438">
        <f t="shared" ca="1" si="135"/>
        <v>0</v>
      </c>
      <c r="AD270" s="1439">
        <f ca="1">IF(B270&gt;=$J$5,0,CONTADORES!H278-CONTADORES!H277)</f>
        <v>168</v>
      </c>
      <c r="AE270" s="1438">
        <f ca="1">IF(B270&gt;=$J$5,0,CONTADORES!J278-CONTADORES!J277)</f>
        <v>24</v>
      </c>
      <c r="AF270" s="1439">
        <f ca="1">IF(B270&gt;=$J$5,0,CONTADORES!AS278-CONTADORES!AS277)</f>
        <v>152</v>
      </c>
      <c r="AG270" s="1438">
        <f ca="1">IF(B270&gt;=$J$5,0,CONTADORES!AU278-CONTADORES!AU277)</f>
        <v>24</v>
      </c>
      <c r="AH270" s="1439">
        <f ca="1">IF(B270&gt;=$J$5,0,(CONTADORES!AK278-CONTADORES!AK277)+(CONTADORES!K278-CONTADORES!K277))</f>
        <v>12</v>
      </c>
      <c r="AI270" s="1439">
        <f ca="1">IF(B270&gt;=$J$5,0,(CONTADORES!AI278-CONTADORES!AI277)+(CONTADORES!M278-CONTADORES!M277))</f>
        <v>35.5</v>
      </c>
      <c r="AJ270" s="1439">
        <f ca="1">IF(B270&gt;=$J$5,0,(CONTADORES!AG278-CONTADORES!AG277))</f>
        <v>10.399999999994179</v>
      </c>
      <c r="AK270" s="1439">
        <f ca="1">IF(B270&gt;=$J$5,0,(CONTADORES!O278-CONTADORES!O277))</f>
        <v>13</v>
      </c>
      <c r="AL270" s="1500">
        <f t="shared" ca="1" si="136"/>
        <v>34.100000000005821</v>
      </c>
      <c r="AM270" s="1450">
        <f ca="1">IF(B270&gt;=$J$5,0,(((CONTADORES!F278-CONTADORES!F277)+(CONTADORES!AO278-CONTADORES!AO277))))-BJ270-AF270-AN270-BM270-BP270-BU270-BS270</f>
        <v>9.379999999999459</v>
      </c>
      <c r="AN270" s="1439">
        <f ca="1">IF(B270&gt;=$J$5,0,(CONTADORES!AV278-CONTADORES!AV277)+(CONTADORES!AX278-CONTADORES!AX277)+(CONTADORES!BC278-CONTADORES!BC277))</f>
        <v>2.3000000000001819</v>
      </c>
      <c r="AO270" s="1474">
        <f>(CONTADORES!AA278-CONTADORES!AA277)</f>
        <v>69</v>
      </c>
      <c r="AP270" s="1474">
        <f>(CONTADORES!V278-CONTADORES!V277)</f>
        <v>156</v>
      </c>
      <c r="AQ270" s="1440">
        <f>(CONTADORES!C278-CONTADORES!C277)</f>
        <v>0</v>
      </c>
      <c r="AR270" s="1440">
        <f>(CONTADORES!BA278-CONTADORES!BA277)</f>
        <v>0</v>
      </c>
      <c r="AS270" s="1438">
        <f ca="1">IF(B270&gt;=$J$5,0,CONTADORES!Q278-CONTADORES!Q277)</f>
        <v>14</v>
      </c>
      <c r="AT270" s="1438">
        <f ca="1">IF(B270&gt;=$J$5,0,(CONTADORES!S278-CONTADORES!S277)+(CONTADORES!AE278-CONTADORES!AE277))</f>
        <v>3.2000000000000455</v>
      </c>
      <c r="AU270" s="1474">
        <f>CONTADORES!I278-CONTADORES!I277</f>
        <v>82</v>
      </c>
      <c r="AV270" s="1440">
        <f>CONTADORES!AT278-CONTADORES!AT277</f>
        <v>65</v>
      </c>
      <c r="AW270" s="1440">
        <f ca="1">IF(B270&gt;=$J$5,0,(CONTADORES!L278-CONTADORES!L277)+(CONTADORES!AL278-CONTADORES!AL277))</f>
        <v>4.7999999999992724</v>
      </c>
      <c r="AX270" s="1440">
        <f ca="1">IF(B270&gt;=$J$5,0,(CONTADORES!N278-CONTADORES!N277)+(CONTADORES!AJ278-CONTADORES!AJ277))</f>
        <v>30.400000000001455</v>
      </c>
      <c r="AY270" s="1440">
        <f ca="1">IF(B270&gt;=$J$5,0,(CONTADORES!AH278-CONTADORES!AH277))</f>
        <v>8</v>
      </c>
      <c r="AZ270" s="1440">
        <f ca="1">IF(B270&gt;=$J$5,0,(CONTADORES!P278-CONTADORES!P277))</f>
        <v>10</v>
      </c>
      <c r="BA270" s="1450">
        <f t="shared" ca="1" si="137"/>
        <v>8.8019999999992535</v>
      </c>
      <c r="BB270" s="1440">
        <f ca="1">IF(B270&gt;=$J$5,0,(((CONTADORES!G278-CONTADORES!G277)+(CONTADORES!AP278-CONTADORES!AP277)+AR270)-(AV270+BC270)))</f>
        <v>10.5</v>
      </c>
      <c r="BC270" s="1438">
        <f ca="1">IF(B270&gt;=$J$5,0,(CONTADORES!AW278-CONTADORES!AW277)+(CONTADORES!AY278-CONTADORES!AY277)+(CONTADORES!BD278-CONTADORES!BD277))</f>
        <v>0</v>
      </c>
      <c r="BD270" s="1438">
        <f t="shared" si="138"/>
        <v>225</v>
      </c>
      <c r="BE270" s="1439">
        <f ca="1">IF($B270&gt;=$J$5,0,CONTADORES!$BE278)</f>
        <v>6416.19</v>
      </c>
      <c r="BF270" s="1438">
        <f ca="1">IF($B270&gt;=$J$5,0,CONTADORES!$BF278)</f>
        <v>35403.940350877201</v>
      </c>
      <c r="BG270" s="1438">
        <f ca="1">IF($B270&gt;=$J$5,0,CONTADORES!$BH278)</f>
        <v>6456.46</v>
      </c>
      <c r="BH270" s="1438">
        <f ca="1">IF(B270&gt;=$J$5,0,(CONTADORES!AQ278-CONTADORES!AQ277))</f>
        <v>5</v>
      </c>
      <c r="BI270" s="1438">
        <f ca="1">IF(C270&gt;=$J$5,0,(CONTADORES!AR278-CONTADORES!AR277))</f>
        <v>0</v>
      </c>
      <c r="BJ270" s="1438">
        <f ca="1">IF(B270&gt;=$J$5,0,CONTADORES!BI278-CONTADORES!BI277)/1000</f>
        <v>4.5999999999999996</v>
      </c>
      <c r="BK270" s="1438">
        <f ca="1">IF(BF270&gt;=$J$5,0,CONTADORES!BJ278-CONTADORES!BJ277)</f>
        <v>1</v>
      </c>
      <c r="BL270" s="1438">
        <f ca="1">IF(BG270&gt;=$J$5,0,CONTADORES!BK278-CONTADORES!BK277)</f>
        <v>24</v>
      </c>
      <c r="BM270" s="1438">
        <f ca="1">IF(B270&gt;=$J$5,0,CONTADORES!BL278-CONTADORES!BL277)/1000</f>
        <v>0</v>
      </c>
      <c r="BN270" s="1438">
        <f ca="1">IF(B270&gt;=$J$5,0,CONTADORES!BM278-CONTADORES!BM277)/1000</f>
        <v>0</v>
      </c>
      <c r="BO270" s="1438">
        <f ca="1">IF(B270&gt;=$J$5,0,CONTADORES!BN278-CONTADORES!BN277)</f>
        <v>0</v>
      </c>
      <c r="BP270" s="1438">
        <f ca="1">IF(B270&gt;=$J$5,0,CONTADORES!BO278-CONTADORES!BO277)/1000</f>
        <v>5.2709999999999999</v>
      </c>
      <c r="BQ270" s="1438">
        <f ca="1">IF(B270&gt;=$J$5,0,CONTADORES!BP278-CONTADORES!BP277)/1000</f>
        <v>0.65600000000000003</v>
      </c>
      <c r="BR270" s="1438">
        <f ca="1">IF(B270&gt;=$J$5,0,CONTADORES!BQ278-CONTADORES!BQ277)</f>
        <v>24</v>
      </c>
      <c r="BS270" s="1439">
        <f ca="1">IF(B270&gt;=$J$5,0,(CONTADORES!BT278-CONTADORES!BT277)+(CONTADORES!BV278-CONTADORES!BV277))/1000</f>
        <v>1.349</v>
      </c>
      <c r="BT270" s="1439">
        <f ca="1">IF(B270&gt;=$J$5,0,(CONTADORES!BU278-CONTADORES!BU277)+(CONTADORES!BW278-CONTADORES!BW277))/1000</f>
        <v>0.84199999999999997</v>
      </c>
      <c r="BU270" s="1439">
        <f ca="1">IF(B270&gt;=$J$5,0,CONTADORES!BR278-CONTADORES!BR277)</f>
        <v>4.1000000000003638</v>
      </c>
      <c r="BV270" s="1439">
        <f ca="1">IF(B270&gt;=$J$5,0,CONTADORES!BS278-CONTADORES!BS277)</f>
        <v>3</v>
      </c>
      <c r="BW270" s="1450">
        <f t="shared" ca="1" si="139"/>
        <v>8.7900000000000933</v>
      </c>
      <c r="BX270" s="1450">
        <f t="shared" ca="1" si="140"/>
        <v>8.25</v>
      </c>
      <c r="BY270" s="1450">
        <f t="shared" ca="1" si="141"/>
        <v>4.6899999999997295</v>
      </c>
      <c r="BZ270" s="1450">
        <f t="shared" ca="1" si="142"/>
        <v>0.92000000000007276</v>
      </c>
      <c r="CA270" s="1450">
        <f t="shared" ca="1" si="143"/>
        <v>4.6899999999997295</v>
      </c>
      <c r="CB270" s="1450">
        <f t="shared" ca="1" si="144"/>
        <v>1.3800000000001091</v>
      </c>
      <c r="CC270" s="1450">
        <f t="shared" ca="1" si="145"/>
        <v>2.269000000000073</v>
      </c>
      <c r="CD270" s="1450">
        <f t="shared" ca="1" si="146"/>
        <v>5.25</v>
      </c>
      <c r="CE270" s="1450">
        <f ca="1">IF(B270&gt;=$J$5,0,CONTADORES!BS278-CONTADORES!BS277)</f>
        <v>3</v>
      </c>
      <c r="CF270" s="1450">
        <f t="shared" ca="1" si="147"/>
        <v>5.25</v>
      </c>
      <c r="CG270" s="1450">
        <f t="shared" ca="1" si="148"/>
        <v>0</v>
      </c>
      <c r="CH270" s="1450">
        <f t="shared" ca="1" si="149"/>
        <v>0</v>
      </c>
      <c r="CI270" s="1450">
        <f t="shared" ca="1" si="150"/>
        <v>0.84199999999999997</v>
      </c>
      <c r="CJ270" s="1450">
        <f ca="1">IF($B270&gt;=$J$5,0,CONTADORES!$BG278)</f>
        <v>2133.1602957387299</v>
      </c>
      <c r="CK270" s="1384">
        <f>CONTADORES!E278</f>
        <v>0</v>
      </c>
      <c r="CL270" s="1384">
        <f>CONTADORES!BX278</f>
        <v>0</v>
      </c>
    </row>
    <row r="271" spans="2:90">
      <c r="B271" s="410">
        <v>45187</v>
      </c>
      <c r="C271" s="208">
        <f t="shared" ca="1" si="126"/>
        <v>148</v>
      </c>
      <c r="D271" s="202">
        <f ca="1">'CALCULO DE GAS'!P89</f>
        <v>3.7379460469999999</v>
      </c>
      <c r="E271" s="202">
        <f ca="1">IF(B271&gt;=$J$5,0,(CONTADORES!$AB279-CONTADORES!$AB278)-$H271)</f>
        <v>24</v>
      </c>
      <c r="F271" s="204">
        <f t="shared" ca="1" si="125"/>
        <v>0</v>
      </c>
      <c r="G271" s="202">
        <f ca="1">IF(B271&gt;=$J$5,0,CONTADORES!$AD279-CONTADORES!$AD278)</f>
        <v>0</v>
      </c>
      <c r="H271" s="202">
        <f ca="1">IF(G271&gt;0,CONTADORES!$AC279-CONTADORES!$AC278,0)</f>
        <v>0</v>
      </c>
      <c r="I271" s="1437">
        <f ca="1">IF(B271&gt;=$J$5,0,CONTADORES!$Z279-CONTADORES!$Z278)</f>
        <v>148</v>
      </c>
      <c r="J271" s="208">
        <f t="shared" ca="1" si="127"/>
        <v>317</v>
      </c>
      <c r="K271" s="202">
        <f ca="1">'CALCULO DE GAS'!Q89</f>
        <v>5.29947035811111</v>
      </c>
      <c r="L271" s="1437">
        <f ca="1">IF(B271&gt;=$J$5,0,(CONTADORES!$W279-CONTADORES!$W278)-$O271)</f>
        <v>24</v>
      </c>
      <c r="M271" s="1437">
        <f t="shared" ca="1" si="124"/>
        <v>0</v>
      </c>
      <c r="N271" s="1437">
        <f ca="1">IF(B271&gt;=$J$5,0,CONTADORES!$Y279-CONTADORES!$Y278)</f>
        <v>0</v>
      </c>
      <c r="O271" s="205">
        <f ca="1">IF(N271&gt;0,CONTADORES!$X279-CONTADORES!$X278,0)</f>
        <v>0</v>
      </c>
      <c r="P271" s="1439">
        <f ca="1">IF(B271&gt;=$J$5,0,CONTADORES!$U279-CONTADORES!$U278)</f>
        <v>317</v>
      </c>
      <c r="Q271" s="208">
        <f ca="1">IF(B271&gt;=$J$5,0,CONTADORES!$B279-CONTADORES!$B278)</f>
        <v>0</v>
      </c>
      <c r="R271" s="202">
        <f t="shared" ca="1" si="128"/>
        <v>0</v>
      </c>
      <c r="S271" s="11">
        <f ca="1">IF(B271&gt;=$J$5,0,CONTADORES!$D279-CONTADORES!$D278)</f>
        <v>0</v>
      </c>
      <c r="T271" s="208">
        <f ca="1">IF(B271&gt;=$J$5,0,CONTADORES!$AZ279-CONTADORES!$AZ278)</f>
        <v>0</v>
      </c>
      <c r="U271" s="202">
        <f t="shared" ca="1" si="123"/>
        <v>0</v>
      </c>
      <c r="V271" s="205">
        <f ca="1">IF(B271&gt;=$J$5,0,CONTADORES!$BB279-CONTADORES!$BB278)</f>
        <v>0</v>
      </c>
      <c r="W271" s="1438">
        <f t="shared" ca="1" si="129"/>
        <v>465</v>
      </c>
      <c r="X271" s="1438">
        <f t="shared" ca="1" si="130"/>
        <v>0</v>
      </c>
      <c r="Y271" s="1439">
        <f t="shared" ca="1" si="131"/>
        <v>465</v>
      </c>
      <c r="Z271" s="1439">
        <f t="shared" ca="1" si="132"/>
        <v>9.0374164051111094</v>
      </c>
      <c r="AA271" s="1439">
        <f t="shared" ca="1" si="133"/>
        <v>0</v>
      </c>
      <c r="AB271" s="1439">
        <f t="shared" ca="1" si="134"/>
        <v>48</v>
      </c>
      <c r="AC271" s="1438">
        <f t="shared" ca="1" si="135"/>
        <v>0</v>
      </c>
      <c r="AD271" s="1439">
        <f ca="1">IF(B271&gt;=$J$5,0,CONTADORES!H279-CONTADORES!H278)</f>
        <v>174</v>
      </c>
      <c r="AE271" s="1438">
        <f ca="1">IF(B271&gt;=$J$5,0,CONTADORES!J279-CONTADORES!J278)</f>
        <v>24</v>
      </c>
      <c r="AF271" s="1439">
        <f ca="1">IF(B271&gt;=$J$5,0,CONTADORES!AS279-CONTADORES!AS278)</f>
        <v>153</v>
      </c>
      <c r="AG271" s="1438">
        <f ca="1">IF(B271&gt;=$J$5,0,CONTADORES!AU279-CONTADORES!AU278)</f>
        <v>24</v>
      </c>
      <c r="AH271" s="1439">
        <f ca="1">IF(B271&gt;=$J$5,0,(CONTADORES!AK279-CONTADORES!AK278)+(CONTADORES!K279-CONTADORES!K278))</f>
        <v>10.400000000003274</v>
      </c>
      <c r="AI271" s="1439">
        <f ca="1">IF(B271&gt;=$J$5,0,(CONTADORES!AI279-CONTADORES!AI278)+(CONTADORES!M279-CONTADORES!M278))</f>
        <v>38.100000000005821</v>
      </c>
      <c r="AJ271" s="1439">
        <f ca="1">IF(B271&gt;=$J$5,0,(CONTADORES!AG279-CONTADORES!AG278))</f>
        <v>11.100000000005821</v>
      </c>
      <c r="AK271" s="1439">
        <f ca="1">IF(B271&gt;=$J$5,0,(CONTADORES!O279-CONTADORES!O278))</f>
        <v>13</v>
      </c>
      <c r="AL271" s="1500">
        <f t="shared" ca="1" si="136"/>
        <v>37.299999999986539</v>
      </c>
      <c r="AM271" s="1450">
        <f ca="1">IF(B271&gt;=$J$5,0,(((CONTADORES!F279-CONTADORES!F278)+(CONTADORES!AO279-CONTADORES!AO278))))-BJ271-AF271-AN271-BM271-BP271-BU271-BS271</f>
        <v>10.993999999997792</v>
      </c>
      <c r="AN271" s="1439">
        <f ca="1">IF(B271&gt;=$J$5,0,(CONTADORES!AV279-CONTADORES!AV278)+(CONTADORES!AX279-CONTADORES!AX278)+(CONTADORES!BC279-CONTADORES!BC278))</f>
        <v>2.410000000000764</v>
      </c>
      <c r="AO271" s="1474">
        <f>(CONTADORES!AA279-CONTADORES!AA278)</f>
        <v>74</v>
      </c>
      <c r="AP271" s="1474">
        <f>(CONTADORES!V279-CONTADORES!V278)</f>
        <v>158</v>
      </c>
      <c r="AQ271" s="1440">
        <f>(CONTADORES!C279-CONTADORES!C278)</f>
        <v>0</v>
      </c>
      <c r="AR271" s="1440">
        <f>(CONTADORES!BA279-CONTADORES!BA278)</f>
        <v>0</v>
      </c>
      <c r="AS271" s="1438">
        <f ca="1">IF(B271&gt;=$J$5,0,CONTADORES!Q279-CONTADORES!Q278)</f>
        <v>15</v>
      </c>
      <c r="AT271" s="1438">
        <f ca="1">IF(B271&gt;=$J$5,0,(CONTADORES!S279-CONTADORES!S278)+(CONTADORES!AE279-CONTADORES!AE278))</f>
        <v>3.3999999999999773</v>
      </c>
      <c r="AU271" s="1474">
        <f>CONTADORES!I279-CONTADORES!I278</f>
        <v>84</v>
      </c>
      <c r="AV271" s="1440">
        <f>CONTADORES!AT279-CONTADORES!AT278</f>
        <v>66</v>
      </c>
      <c r="AW271" s="1440">
        <f ca="1">IF(B271&gt;=$J$5,0,(CONTADORES!L279-CONTADORES!L278)+(CONTADORES!AL279-CONTADORES!AL278))</f>
        <v>4</v>
      </c>
      <c r="AX271" s="1440">
        <f ca="1">IF(B271&gt;=$J$5,0,(CONTADORES!N279-CONTADORES!N278)+(CONTADORES!AJ279-CONTADORES!AJ278))</f>
        <v>32.69999999999709</v>
      </c>
      <c r="AY271" s="1440">
        <f ca="1">IF(B271&gt;=$J$5,0,(CONTADORES!AH279-CONTADORES!AH278))</f>
        <v>8.4000000000014552</v>
      </c>
      <c r="AZ271" s="1440">
        <f ca="1">IF(B271&gt;=$J$5,0,(CONTADORES!P279-CONTADORES!P278))</f>
        <v>10</v>
      </c>
      <c r="BA271" s="1450">
        <f t="shared" ca="1" si="137"/>
        <v>9.7420000000014397</v>
      </c>
      <c r="BB271" s="1440">
        <f ca="1">IF(B271&gt;=$J$5,0,(((CONTADORES!G279-CONTADORES!G278)+(CONTADORES!AP279-CONTADORES!AP278)+AR271)-(AV271+BC271)))</f>
        <v>11.1200000000008</v>
      </c>
      <c r="BC271" s="1438">
        <f ca="1">IF(B271&gt;=$J$5,0,(CONTADORES!AW279-CONTADORES!AW278)+(CONTADORES!AY279-CONTADORES!AY278)+(CONTADORES!BD279-CONTADORES!BD278))</f>
        <v>7.999999999992724E-2</v>
      </c>
      <c r="BD271" s="1438">
        <f t="shared" si="138"/>
        <v>232</v>
      </c>
      <c r="BE271" s="1439">
        <f ca="1">IF($B271&gt;=$J$5,0,CONTADORES!$BE279)</f>
        <v>5712.99</v>
      </c>
      <c r="BF271" s="1438">
        <f ca="1">IF($B271&gt;=$J$5,0,CONTADORES!$BF279)</f>
        <v>35425.300000000003</v>
      </c>
      <c r="BG271" s="1438">
        <f ca="1">IF($B271&gt;=$J$5,0,CONTADORES!$BH279)</f>
        <v>5892.23</v>
      </c>
      <c r="BH271" s="1438">
        <f ca="1">IF(B271&gt;=$J$5,0,(CONTADORES!AQ279-CONTADORES!AQ278))</f>
        <v>4</v>
      </c>
      <c r="BI271" s="1438">
        <f ca="1">IF(C271&gt;=$J$5,0,(CONTADORES!AR279-CONTADORES!AR278))</f>
        <v>0</v>
      </c>
      <c r="BJ271" s="1438">
        <f ca="1">IF(B271&gt;=$J$5,0,CONTADORES!BI279-CONTADORES!BI278)/1000</f>
        <v>3.2</v>
      </c>
      <c r="BK271" s="1438">
        <f ca="1">IF(BF271&gt;=$J$5,0,CONTADORES!BJ279-CONTADORES!BJ278)</f>
        <v>1</v>
      </c>
      <c r="BL271" s="1438">
        <f ca="1">IF(BG271&gt;=$J$5,0,CONTADORES!BK279-CONTADORES!BK278)</f>
        <v>24</v>
      </c>
      <c r="BM271" s="1438">
        <f ca="1">IF(B271&gt;=$J$5,0,CONTADORES!BL279-CONTADORES!BL278)/1000</f>
        <v>0</v>
      </c>
      <c r="BN271" s="1438">
        <f ca="1">IF(B271&gt;=$J$5,0,CONTADORES!BM279-CONTADORES!BM278)/1000</f>
        <v>0</v>
      </c>
      <c r="BO271" s="1438">
        <f ca="1">IF(B271&gt;=$J$5,0,CONTADORES!BN279-CONTADORES!BN278)</f>
        <v>0</v>
      </c>
      <c r="BP271" s="1438">
        <f ca="1">IF(B271&gt;=$J$5,0,CONTADORES!BO279-CONTADORES!BO278)/1000</f>
        <v>5.0620000000000003</v>
      </c>
      <c r="BQ271" s="1438">
        <f ca="1">IF(B271&gt;=$J$5,0,CONTADORES!BP279-CONTADORES!BP278)/1000</f>
        <v>0.77600000000000002</v>
      </c>
      <c r="BR271" s="1438">
        <f ca="1">IF(B271&gt;=$J$5,0,CONTADORES!BQ279-CONTADORES!BQ278)</f>
        <v>24</v>
      </c>
      <c r="BS271" s="1439">
        <f ca="1">IF(B271&gt;=$J$5,0,(CONTADORES!BT279-CONTADORES!BT278)+(CONTADORES!BV279-CONTADORES!BV278))/1000</f>
        <v>1.4339999999999999</v>
      </c>
      <c r="BT271" s="1439">
        <f ca="1">IF(B271&gt;=$J$5,0,(CONTADORES!BU279-CONTADORES!BU278)+(CONTADORES!BW279-CONTADORES!BW278))/1000</f>
        <v>0.88200000000000001</v>
      </c>
      <c r="BU271" s="1439">
        <f ca="1">IF(B271&gt;=$J$5,0,CONTADORES!BR279-CONTADORES!BR278)</f>
        <v>5</v>
      </c>
      <c r="BV271" s="1439">
        <f ca="1">IF(B271&gt;=$J$5,0,CONTADORES!BS279-CONTADORES!BS278)</f>
        <v>3.2999999999992724</v>
      </c>
      <c r="BW271" s="1450">
        <f t="shared" ca="1" si="139"/>
        <v>10.496999999998895</v>
      </c>
      <c r="BX271" s="1450">
        <f t="shared" ca="1" si="140"/>
        <v>8.8599999999996726</v>
      </c>
      <c r="BY271" s="1450">
        <f t="shared" ca="1" si="141"/>
        <v>5.4969999999988959</v>
      </c>
      <c r="BZ271" s="1450">
        <f t="shared" ca="1" si="142"/>
        <v>0.96400000000030561</v>
      </c>
      <c r="CA271" s="1450">
        <f t="shared" ca="1" si="143"/>
        <v>5.4969999999988959</v>
      </c>
      <c r="CB271" s="1450">
        <f t="shared" ca="1" si="144"/>
        <v>1.4460000000004585</v>
      </c>
      <c r="CC271" s="1450">
        <f t="shared" ca="1" si="145"/>
        <v>2.3980000000003057</v>
      </c>
      <c r="CD271" s="1450">
        <f t="shared" ca="1" si="146"/>
        <v>5.5600000000004002</v>
      </c>
      <c r="CE271" s="1450">
        <f ca="1">IF(B271&gt;=$J$5,0,CONTADORES!BS279-CONTADORES!BS278)</f>
        <v>3.2999999999992724</v>
      </c>
      <c r="CF271" s="1450">
        <f t="shared" ca="1" si="147"/>
        <v>5.5600000000004002</v>
      </c>
      <c r="CG271" s="1450">
        <f t="shared" ca="1" si="148"/>
        <v>3.999999999996362E-2</v>
      </c>
      <c r="CH271" s="1450">
        <f t="shared" ca="1" si="149"/>
        <v>3.999999999996362E-2</v>
      </c>
      <c r="CI271" s="1450">
        <f t="shared" ca="1" si="150"/>
        <v>0.92199999999996363</v>
      </c>
      <c r="CJ271" s="1450">
        <f ca="1">IF($B271&gt;=$J$5,0,CONTADORES!$BG279)</f>
        <v>3612.1333903499499</v>
      </c>
      <c r="CK271" s="1384">
        <f>CONTADORES!E279</f>
        <v>0</v>
      </c>
      <c r="CL271" s="1384">
        <f>CONTADORES!BX279</f>
        <v>0</v>
      </c>
    </row>
    <row r="272" spans="2:90">
      <c r="B272" s="410">
        <v>45188</v>
      </c>
      <c r="C272" s="208">
        <f t="shared" ca="1" si="126"/>
        <v>140</v>
      </c>
      <c r="D272" s="202">
        <f ca="1">'CALCULO DE GAS'!P90</f>
        <v>3.658012713666666</v>
      </c>
      <c r="E272" s="202">
        <f ca="1">IF(B272&gt;=$J$5,0,(CONTADORES!$AB280-CONTADORES!$AB279)-$H272)</f>
        <v>24</v>
      </c>
      <c r="F272" s="204">
        <f t="shared" ca="1" si="125"/>
        <v>0</v>
      </c>
      <c r="G272" s="202">
        <f ca="1">IF(B272&gt;=$J$5,0,CONTADORES!$AD280-CONTADORES!$AD279)</f>
        <v>0</v>
      </c>
      <c r="H272" s="202">
        <f ca="1">IF(G272&gt;0,CONTADORES!$AC280-CONTADORES!$AC279,0)</f>
        <v>0</v>
      </c>
      <c r="I272" s="1437">
        <f ca="1">IF(B272&gt;=$J$5,0,CONTADORES!$Z280-CONTADORES!$Z279)</f>
        <v>140</v>
      </c>
      <c r="J272" s="208">
        <f t="shared" ca="1" si="127"/>
        <v>280</v>
      </c>
      <c r="K272" s="202">
        <f ca="1">'CALCULO DE GAS'!Q90</f>
        <v>4.9544248025555548</v>
      </c>
      <c r="L272" s="1437">
        <f ca="1">IF(B272&gt;=$J$5,0,(CONTADORES!$W280-CONTADORES!$W279)-$O272)</f>
        <v>24</v>
      </c>
      <c r="M272" s="1437">
        <f t="shared" ca="1" si="124"/>
        <v>0</v>
      </c>
      <c r="N272" s="1437">
        <f ca="1">IF(B272&gt;=$J$5,0,CONTADORES!$Y280-CONTADORES!$Y279)</f>
        <v>0</v>
      </c>
      <c r="O272" s="205">
        <f ca="1">IF(N272&gt;0,CONTADORES!$X280-CONTADORES!$X279,0)</f>
        <v>0</v>
      </c>
      <c r="P272" s="1439">
        <f ca="1">IF(B272&gt;=$J$5,0,CONTADORES!$U280-CONTADORES!$U279)</f>
        <v>280</v>
      </c>
      <c r="Q272" s="208">
        <f ca="1">IF(B272&gt;=$J$5,0,CONTADORES!$B280-CONTADORES!$B279)</f>
        <v>0</v>
      </c>
      <c r="R272" s="202">
        <f t="shared" ca="1" si="128"/>
        <v>0</v>
      </c>
      <c r="S272" s="11">
        <f ca="1">IF(B272&gt;=$J$5,0,CONTADORES!$D280-CONTADORES!$D279)</f>
        <v>0</v>
      </c>
      <c r="T272" s="208">
        <f ca="1">IF(B272&gt;=$J$5,0,CONTADORES!$AZ280-CONTADORES!$AZ279)</f>
        <v>0</v>
      </c>
      <c r="U272" s="202">
        <f t="shared" ca="1" si="123"/>
        <v>0</v>
      </c>
      <c r="V272" s="205">
        <f ca="1">IF(B272&gt;=$J$5,0,CONTADORES!$BB280-CONTADORES!$BB279)</f>
        <v>0</v>
      </c>
      <c r="W272" s="1438">
        <f t="shared" ca="1" si="129"/>
        <v>420</v>
      </c>
      <c r="X272" s="1438">
        <f t="shared" ca="1" si="130"/>
        <v>0</v>
      </c>
      <c r="Y272" s="1439">
        <f t="shared" ca="1" si="131"/>
        <v>420</v>
      </c>
      <c r="Z272" s="1439">
        <f t="shared" ca="1" si="132"/>
        <v>8.6124375162222204</v>
      </c>
      <c r="AA272" s="1439">
        <f t="shared" ca="1" si="133"/>
        <v>0</v>
      </c>
      <c r="AB272" s="1439">
        <f t="shared" ca="1" si="134"/>
        <v>48</v>
      </c>
      <c r="AC272" s="1438">
        <f t="shared" ca="1" si="135"/>
        <v>0</v>
      </c>
      <c r="AD272" s="1439">
        <f ca="1">IF(B272&gt;=$J$5,0,CONTADORES!H280-CONTADORES!H279)</f>
        <v>165</v>
      </c>
      <c r="AE272" s="1438">
        <f ca="1">IF(B272&gt;=$J$5,0,CONTADORES!J280-CONTADORES!J279)</f>
        <v>24</v>
      </c>
      <c r="AF272" s="1439">
        <f ca="1">IF(B272&gt;=$J$5,0,CONTADORES!AS280-CONTADORES!AS279)</f>
        <v>124</v>
      </c>
      <c r="AG272" s="1438">
        <f ca="1">IF(B272&gt;=$J$5,0,CONTADORES!AU280-CONTADORES!AU279)</f>
        <v>20</v>
      </c>
      <c r="AH272" s="1439">
        <f ca="1">IF(B272&gt;=$J$5,0,(CONTADORES!AK280-CONTADORES!AK279)+(CONTADORES!K280-CONTADORES!K279))</f>
        <v>11.400000000001455</v>
      </c>
      <c r="AI272" s="1439">
        <f ca="1">IF(B272&gt;=$J$5,0,(CONTADORES!AI280-CONTADORES!AI279)+(CONTADORES!M280-CONTADORES!M279))</f>
        <v>40.30000000000291</v>
      </c>
      <c r="AJ272" s="1439">
        <f ca="1">IF(B272&gt;=$J$5,0,(CONTADORES!AG280-CONTADORES!AG279))</f>
        <v>6.8000000000029104</v>
      </c>
      <c r="AK272" s="1439">
        <f ca="1">IF(B272&gt;=$J$5,0,(CONTADORES!O280-CONTADORES!O279))</f>
        <v>12</v>
      </c>
      <c r="AL272" s="1500">
        <f t="shared" ca="1" si="136"/>
        <v>33.399999999990541</v>
      </c>
      <c r="AM272" s="1450">
        <f ca="1">IF(B272&gt;=$J$5,0,(((CONTADORES!F280-CONTADORES!F279)+(CONTADORES!AO280-CONTADORES!AO279))))-BJ272-AF272-AN272-BM272-BP272-BU272-BS272</f>
        <v>8.7660000000028191</v>
      </c>
      <c r="AN272" s="1439">
        <f ca="1">IF(B272&gt;=$J$5,0,(CONTADORES!AV280-CONTADORES!AV279)+(CONTADORES!AX280-CONTADORES!AX279)+(CONTADORES!BC280-CONTADORES!BC279))</f>
        <v>4.7599999999997351</v>
      </c>
      <c r="AO272" s="1474">
        <f>(CONTADORES!AA280-CONTADORES!AA279)</f>
        <v>70</v>
      </c>
      <c r="AP272" s="1474">
        <f>(CONTADORES!V280-CONTADORES!V279)</f>
        <v>146</v>
      </c>
      <c r="AQ272" s="1440">
        <f>(CONTADORES!C280-CONTADORES!C279)</f>
        <v>0</v>
      </c>
      <c r="AR272" s="1440">
        <f>(CONTADORES!BA280-CONTADORES!BA279)</f>
        <v>0</v>
      </c>
      <c r="AS272" s="1438">
        <f ca="1">IF(B272&gt;=$J$5,0,CONTADORES!Q280-CONTADORES!Q279)</f>
        <v>15</v>
      </c>
      <c r="AT272" s="1438">
        <f ca="1">IF(B272&gt;=$J$5,0,(CONTADORES!S280-CONTADORES!S279)+(CONTADORES!AE280-CONTADORES!AE279))</f>
        <v>3.3999999999999773</v>
      </c>
      <c r="AU272" s="1474">
        <f>CONTADORES!I280-CONTADORES!I279</f>
        <v>81</v>
      </c>
      <c r="AV272" s="1440">
        <f>CONTADORES!AT280-CONTADORES!AT279</f>
        <v>54</v>
      </c>
      <c r="AW272" s="1440">
        <f ca="1">IF(B272&gt;=$J$5,0,(CONTADORES!L280-CONTADORES!L279)+(CONTADORES!AL280-CONTADORES!AL279))</f>
        <v>4.2000000000007276</v>
      </c>
      <c r="AX272" s="1440">
        <f ca="1">IF(B272&gt;=$J$5,0,(CONTADORES!N280-CONTADORES!N279)+(CONTADORES!AJ280-CONTADORES!AJ279))</f>
        <v>34.5</v>
      </c>
      <c r="AY272" s="1440">
        <f ca="1">IF(B272&gt;=$J$5,0,(CONTADORES!AH280-CONTADORES!AH279))</f>
        <v>5</v>
      </c>
      <c r="AZ272" s="1440">
        <f ca="1">IF(B272&gt;=$J$5,0,(CONTADORES!P280-CONTADORES!P279))</f>
        <v>9</v>
      </c>
      <c r="BA272" s="1450">
        <f t="shared" ca="1" si="137"/>
        <v>9.0649999999992588</v>
      </c>
      <c r="BB272" s="1440">
        <f ca="1">IF(B272&gt;=$J$5,0,(((CONTADORES!G280-CONTADORES!G279)+(CONTADORES!AP280-CONTADORES!AP279)+AR272)-(AV272+BC272)))</f>
        <v>11.709999999999354</v>
      </c>
      <c r="BC272" s="1438">
        <f ca="1">IF(B272&gt;=$J$5,0,(CONTADORES!AW280-CONTADORES!AW279)+(CONTADORES!AY280-CONTADORES!AY279)+(CONTADORES!BD280-CONTADORES!BD279))</f>
        <v>1.5899999999999181</v>
      </c>
      <c r="BD272" s="1438">
        <f t="shared" si="138"/>
        <v>216</v>
      </c>
      <c r="BE272" s="1439">
        <f ca="1">IF($B272&gt;=$J$5,0,CONTADORES!$BE280)</f>
        <v>5855.22</v>
      </c>
      <c r="BF272" s="1438">
        <f ca="1">IF($B272&gt;=$J$5,0,CONTADORES!$BF280)</f>
        <v>30770.485964912299</v>
      </c>
      <c r="BG272" s="1438">
        <f ca="1">IF($B272&gt;=$J$5,0,CONTADORES!$BH280)</f>
        <v>5609.36</v>
      </c>
      <c r="BH272" s="1438">
        <f ca="1">IF(B272&gt;=$J$5,0,(CONTADORES!AQ280-CONTADORES!AQ279))</f>
        <v>5</v>
      </c>
      <c r="BI272" s="1438">
        <f ca="1">IF(C272&gt;=$J$5,0,(CONTADORES!AR280-CONTADORES!AR279))</f>
        <v>0</v>
      </c>
      <c r="BJ272" s="1438">
        <f ca="1">IF(B272&gt;=$J$5,0,CONTADORES!BI280-CONTADORES!BI279)/1000</f>
        <v>1.6</v>
      </c>
      <c r="BK272" s="1438">
        <f ca="1">IF(BF272&gt;=$J$5,0,CONTADORES!BJ280-CONTADORES!BJ279)</f>
        <v>1</v>
      </c>
      <c r="BL272" s="1438">
        <f ca="1">IF(BG272&gt;=$J$5,0,CONTADORES!BK280-CONTADORES!BK279)</f>
        <v>11</v>
      </c>
      <c r="BM272" s="1438">
        <f ca="1">IF(B272&gt;=$J$5,0,CONTADORES!BL280-CONTADORES!BL279)/1000</f>
        <v>2.0139999999999998</v>
      </c>
      <c r="BN272" s="1438">
        <f ca="1">IF(B272&gt;=$J$5,0,CONTADORES!BM280-CONTADORES!BM279)/1000</f>
        <v>0.32800000000000001</v>
      </c>
      <c r="BO272" s="1438">
        <f ca="1">IF(B272&gt;=$J$5,0,CONTADORES!BN280-CONTADORES!BN279)</f>
        <v>9.7999999999992724</v>
      </c>
      <c r="BP272" s="1438">
        <f ca="1">IF(B272&gt;=$J$5,0,CONTADORES!BO280-CONTADORES!BO279)/1000</f>
        <v>3.1680000000000001</v>
      </c>
      <c r="BQ272" s="1438">
        <f ca="1">IF(B272&gt;=$J$5,0,CONTADORES!BP280-CONTADORES!BP279)/1000</f>
        <v>5.6000000000000001E-2</v>
      </c>
      <c r="BR272" s="1438">
        <f ca="1">IF(B272&gt;=$J$5,0,CONTADORES!BQ280-CONTADORES!BQ279)</f>
        <v>21</v>
      </c>
      <c r="BS272" s="1439">
        <f ca="1">IF(B272&gt;=$J$5,0,(CONTADORES!BT280-CONTADORES!BT279)+(CONTADORES!BV280-CONTADORES!BV279))/1000</f>
        <v>1.3919999999999999</v>
      </c>
      <c r="BT272" s="1439">
        <f ca="1">IF(B272&gt;=$J$5,0,(CONTADORES!BU280-CONTADORES!BU279)+(CONTADORES!BW280-CONTADORES!BW279))/1000</f>
        <v>0.85099999999999998</v>
      </c>
      <c r="BU272" s="1439">
        <f ca="1">IF(B272&gt;=$J$5,0,CONTADORES!BR280-CONTADORES!BR279)</f>
        <v>5.3999999999996362</v>
      </c>
      <c r="BV272" s="1439">
        <f ca="1">IF(B272&gt;=$J$5,0,CONTADORES!BS280-CONTADORES!BS279)</f>
        <v>3.7000000000007276</v>
      </c>
      <c r="BW272" s="1450">
        <f t="shared" ca="1" si="139"/>
        <v>9.7830000000010457</v>
      </c>
      <c r="BX272" s="1450">
        <f t="shared" ca="1" si="140"/>
        <v>9.5550000000004047</v>
      </c>
      <c r="BY272" s="1450">
        <f t="shared" ca="1" si="141"/>
        <v>4.3830000000014095</v>
      </c>
      <c r="BZ272" s="1450">
        <f t="shared" ca="1" si="142"/>
        <v>1.9039999999998942</v>
      </c>
      <c r="CA272" s="1450">
        <f t="shared" ca="1" si="143"/>
        <v>4.3830000000014095</v>
      </c>
      <c r="CB272" s="1450">
        <f t="shared" ca="1" si="144"/>
        <v>2.8559999999998409</v>
      </c>
      <c r="CC272" s="1450">
        <f t="shared" ca="1" si="145"/>
        <v>3.2959999999998941</v>
      </c>
      <c r="CD272" s="1450">
        <f t="shared" ca="1" si="146"/>
        <v>5.8549999999996771</v>
      </c>
      <c r="CE272" s="1450">
        <f ca="1">IF(B272&gt;=$J$5,0,CONTADORES!BS280-CONTADORES!BS279)</f>
        <v>3.7000000000007276</v>
      </c>
      <c r="CF272" s="1450">
        <f t="shared" ca="1" si="147"/>
        <v>5.8549999999996771</v>
      </c>
      <c r="CG272" s="1450">
        <f t="shared" ca="1" si="148"/>
        <v>0.79499999999995907</v>
      </c>
      <c r="CH272" s="1450">
        <f t="shared" ca="1" si="149"/>
        <v>0.79499999999995907</v>
      </c>
      <c r="CI272" s="1450">
        <f t="shared" ca="1" si="150"/>
        <v>1.6459999999999591</v>
      </c>
      <c r="CJ272" s="1450">
        <f ca="1">IF($B272&gt;=$J$5,0,CONTADORES!$BG280)</f>
        <v>12730.489108912399</v>
      </c>
      <c r="CK272" s="1384">
        <f>CONTADORES!E280</f>
        <v>0</v>
      </c>
      <c r="CL272" s="1384">
        <f>CONTADORES!BX280</f>
        <v>0</v>
      </c>
    </row>
    <row r="273" spans="2:90">
      <c r="B273" s="410">
        <v>45189</v>
      </c>
      <c r="C273" s="208">
        <f t="shared" ca="1" si="126"/>
        <v>150</v>
      </c>
      <c r="D273" s="202">
        <f ca="1">'CALCULO DE GAS'!P91</f>
        <v>3.7579293803333331</v>
      </c>
      <c r="E273" s="202">
        <f ca="1">IF(B273&gt;=$J$5,0,(CONTADORES!$AB281-CONTADORES!$AB280)-$H273)</f>
        <v>24</v>
      </c>
      <c r="F273" s="204">
        <f t="shared" ca="1" si="125"/>
        <v>0</v>
      </c>
      <c r="G273" s="202">
        <f ca="1">IF(B273&gt;=$J$5,0,CONTADORES!$AD281-CONTADORES!$AD280)</f>
        <v>0</v>
      </c>
      <c r="H273" s="202">
        <f ca="1">IF(G273&gt;0,CONTADORES!$AC281-CONTADORES!$AC280,0)</f>
        <v>0</v>
      </c>
      <c r="I273" s="1437">
        <f ca="1">IF(B273&gt;=$J$5,0,CONTADORES!$Z281-CONTADORES!$Z280)</f>
        <v>150</v>
      </c>
      <c r="J273" s="208">
        <f t="shared" ca="1" si="127"/>
        <v>294</v>
      </c>
      <c r="K273" s="202">
        <f ca="1">'CALCULO DE GAS'!Q91</f>
        <v>5.0849825803333326</v>
      </c>
      <c r="L273" s="1437">
        <f ca="1">IF(B273&gt;=$J$5,0,(CONTADORES!$W281-CONTADORES!$W280)-$O273)</f>
        <v>24</v>
      </c>
      <c r="M273" s="1437">
        <f t="shared" ca="1" si="124"/>
        <v>0</v>
      </c>
      <c r="N273" s="1437">
        <f ca="1">IF(B273&gt;=$J$5,0,CONTADORES!$Y281-CONTADORES!$Y280)</f>
        <v>0</v>
      </c>
      <c r="O273" s="205">
        <f ca="1">IF(N273&gt;0,CONTADORES!$X281-CONTADORES!$X280,0)</f>
        <v>0</v>
      </c>
      <c r="P273" s="1439">
        <f ca="1">IF(B273&gt;=$J$5,0,CONTADORES!$U281-CONTADORES!$U280)</f>
        <v>294</v>
      </c>
      <c r="Q273" s="208">
        <f ca="1">IF(B273&gt;=$J$5,0,CONTADORES!$B281-CONTADORES!$B280)</f>
        <v>0.28199999999992542</v>
      </c>
      <c r="R273" s="202">
        <f t="shared" ca="1" si="128"/>
        <v>33.839999999991051</v>
      </c>
      <c r="S273" s="11">
        <f ca="1">IF(B273&gt;=$J$5,0,CONTADORES!$D281-CONTADORES!$D280)</f>
        <v>0.6000000000003638</v>
      </c>
      <c r="T273" s="208">
        <f ca="1">IF(B273&gt;=$J$5,0,CONTADORES!$AZ281-CONTADORES!$AZ280)</f>
        <v>0.44799999999997908</v>
      </c>
      <c r="U273" s="202">
        <f t="shared" ca="1" si="123"/>
        <v>53.75999999999749</v>
      </c>
      <c r="V273" s="205">
        <f ca="1">IF(B273&gt;=$J$5,0,CONTADORES!$BB281-CONTADORES!$BB280)</f>
        <v>0.20000000000004547</v>
      </c>
      <c r="W273" s="1438">
        <f t="shared" ca="1" si="129"/>
        <v>444</v>
      </c>
      <c r="X273" s="1438">
        <f t="shared" ca="1" si="130"/>
        <v>0.7299999999999045</v>
      </c>
      <c r="Y273" s="1439">
        <f t="shared" ca="1" si="131"/>
        <v>444.7299999999999</v>
      </c>
      <c r="Z273" s="1439">
        <f t="shared" ca="1" si="132"/>
        <v>8.8429119606666653</v>
      </c>
      <c r="AA273" s="1439">
        <f t="shared" ca="1" si="133"/>
        <v>87.59999999998854</v>
      </c>
      <c r="AB273" s="1439">
        <f t="shared" ca="1" si="134"/>
        <v>48</v>
      </c>
      <c r="AC273" s="1438">
        <f t="shared" ca="1" si="135"/>
        <v>0.80000000000040927</v>
      </c>
      <c r="AD273" s="1439">
        <f ca="1">IF(B273&gt;=$J$5,0,CONTADORES!H281-CONTADORES!H280)</f>
        <v>162</v>
      </c>
      <c r="AE273" s="1438">
        <f ca="1">IF(B273&gt;=$J$5,0,CONTADORES!J281-CONTADORES!J280)</f>
        <v>24</v>
      </c>
      <c r="AF273" s="1439">
        <f ca="1">IF(B273&gt;=$J$5,0,CONTADORES!AS281-CONTADORES!AS280)</f>
        <v>150</v>
      </c>
      <c r="AG273" s="1438">
        <f ca="1">IF(B273&gt;=$J$5,0,CONTADORES!AU281-CONTADORES!AU280)</f>
        <v>24</v>
      </c>
      <c r="AH273" s="1439">
        <f ca="1">IF(B273&gt;=$J$5,0,(CONTADORES!AK281-CONTADORES!AK280)+(CONTADORES!K281-CONTADORES!K280))</f>
        <v>10.5</v>
      </c>
      <c r="AI273" s="1439">
        <f ca="1">IF(B273&gt;=$J$5,0,(CONTADORES!AI281-CONTADORES!AI280)+(CONTADORES!M281-CONTADORES!M280))</f>
        <v>39.19999999999709</v>
      </c>
      <c r="AJ273" s="1439">
        <f ca="1">IF(B273&gt;=$J$5,0,(CONTADORES!AG281-CONTADORES!AG280))</f>
        <v>4.5999999999912689</v>
      </c>
      <c r="AK273" s="1439">
        <f ca="1">IF(B273&gt;=$J$5,0,(CONTADORES!O281-CONTADORES!O280))</f>
        <v>11</v>
      </c>
      <c r="AL273" s="1500">
        <f t="shared" ca="1" si="136"/>
        <v>37.830000000013001</v>
      </c>
      <c r="AM273" s="1450">
        <f ca="1">IF(B273&gt;=$J$5,0,(((CONTADORES!F281-CONTADORES!F280)+(CONTADORES!AO281-CONTADORES!AO280))))-BJ273-AF273-AN273-BM273-BP273-BU273-BS273</f>
        <v>9.1339999999982773</v>
      </c>
      <c r="AN273" s="1439">
        <f ca="1">IF(B273&gt;=$J$5,0,(CONTADORES!AV281-CONTADORES!AV280)+(CONTADORES!AX281-CONTADORES!AX280)+(CONTADORES!BC281-CONTADORES!BC280))</f>
        <v>4.0999999999999091</v>
      </c>
      <c r="AO273" s="1474">
        <f>(CONTADORES!AA281-CONTADORES!AA280)</f>
        <v>73</v>
      </c>
      <c r="AP273" s="1474">
        <f>(CONTADORES!V281-CONTADORES!V280)</f>
        <v>152</v>
      </c>
      <c r="AQ273" s="1440">
        <f>(CONTADORES!C281-CONTADORES!C280)</f>
        <v>0.13699999999994361</v>
      </c>
      <c r="AR273" s="1440">
        <f>(CONTADORES!BA281-CONTADORES!BA280)</f>
        <v>0.17199999999996862</v>
      </c>
      <c r="AS273" s="1438">
        <f ca="1">IF(B273&gt;=$J$5,0,CONTADORES!Q281-CONTADORES!Q280)</f>
        <v>14</v>
      </c>
      <c r="AT273" s="1438">
        <f ca="1">IF(B273&gt;=$J$5,0,(CONTADORES!S281-CONTADORES!S280)+(CONTADORES!AE281-CONTADORES!AE280))</f>
        <v>3.4000000000000341</v>
      </c>
      <c r="AU273" s="1474">
        <f>CONTADORES!I281-CONTADORES!I280</f>
        <v>81</v>
      </c>
      <c r="AV273" s="1440">
        <f>CONTADORES!AT281-CONTADORES!AT280</f>
        <v>65</v>
      </c>
      <c r="AW273" s="1440">
        <f ca="1">IF(B273&gt;=$J$5,0,(CONTADORES!L281-CONTADORES!L280)+(CONTADORES!AL281-CONTADORES!AL280))</f>
        <v>4.1999999999970896</v>
      </c>
      <c r="AX273" s="1440">
        <f ca="1">IF(B273&gt;=$J$5,0,(CONTADORES!N281-CONTADORES!N280)+(CONTADORES!AJ281-CONTADORES!AJ280))</f>
        <v>34</v>
      </c>
      <c r="AY273" s="1440">
        <f ca="1">IF(B273&gt;=$J$5,0,(CONTADORES!AH281-CONTADORES!AH280))</f>
        <v>3.4000000000014552</v>
      </c>
      <c r="AZ273" s="1440">
        <f ca="1">IF(B273&gt;=$J$5,0,(CONTADORES!P281-CONTADORES!P280))</f>
        <v>9</v>
      </c>
      <c r="BA273" s="1450">
        <f t="shared" ca="1" si="137"/>
        <v>7.878000000001748</v>
      </c>
      <c r="BB273" s="1440">
        <f ca="1">IF(B273&gt;=$J$5,0,(((CONTADORES!G281-CONTADORES!G280)+(CONTADORES!AP281-CONTADORES!AP280)+AR273)-(AV273+BC273)))</f>
        <v>13.272000000000219</v>
      </c>
      <c r="BC273" s="1438">
        <f ca="1">IF(B273&gt;=$J$5,0,(CONTADORES!AW281-CONTADORES!AW280)+(CONTADORES!AY281-CONTADORES!AY280)+(CONTADORES!BD281-CONTADORES!BD280))</f>
        <v>1.1999999999999318</v>
      </c>
      <c r="BD273" s="1438">
        <f t="shared" si="138"/>
        <v>225.30899999999991</v>
      </c>
      <c r="BE273" s="1439">
        <f ca="1">IF($B273&gt;=$J$5,0,CONTADORES!$BE281)</f>
        <v>5864.28</v>
      </c>
      <c r="BF273" s="1438">
        <f ca="1">IF($B273&gt;=$J$5,0,CONTADORES!$BF281)</f>
        <v>34938.535087719298</v>
      </c>
      <c r="BG273" s="1438">
        <f ca="1">IF($B273&gt;=$J$5,0,CONTADORES!$BH281)</f>
        <v>6065.29</v>
      </c>
      <c r="BH273" s="1438">
        <f ca="1">IF(B273&gt;=$J$5,0,(CONTADORES!AQ281-CONTADORES!AQ280))</f>
        <v>5</v>
      </c>
      <c r="BI273" s="1438">
        <f ca="1">IF(C273&gt;=$J$5,0,(CONTADORES!AR281-CONTADORES!AR280))</f>
        <v>0</v>
      </c>
      <c r="BJ273" s="1438">
        <f ca="1">IF(B273&gt;=$J$5,0,CONTADORES!BI281-CONTADORES!BI280)/1000</f>
        <v>1.6</v>
      </c>
      <c r="BK273" s="1438">
        <f ca="1">IF(BF273&gt;=$J$5,0,CONTADORES!BJ281-CONTADORES!BJ280)</f>
        <v>1</v>
      </c>
      <c r="BL273" s="1438">
        <f ca="1">IF(BG273&gt;=$J$5,0,CONTADORES!BK281-CONTADORES!BK280)</f>
        <v>11.799999999999272</v>
      </c>
      <c r="BM273" s="1438">
        <f ca="1">IF(B273&gt;=$J$5,0,CONTADORES!BL281-CONTADORES!BL280)/1000</f>
        <v>1.877</v>
      </c>
      <c r="BN273" s="1438">
        <f ca="1">IF(B273&gt;=$J$5,0,CONTADORES!BM281-CONTADORES!BM280)/1000</f>
        <v>0.26400000000000001</v>
      </c>
      <c r="BO273" s="1438">
        <f ca="1">IF(B273&gt;=$J$5,0,CONTADORES!BN281-CONTADORES!BN280)</f>
        <v>10.400000000001455</v>
      </c>
      <c r="BP273" s="1438">
        <f ca="1">IF(B273&gt;=$J$5,0,CONTADORES!BO281-CONTADORES!BO280)/1000</f>
        <v>5.3639999999999999</v>
      </c>
      <c r="BQ273" s="1438">
        <f ca="1">IF(B273&gt;=$J$5,0,CONTADORES!BP281-CONTADORES!BP280)/1000</f>
        <v>0.11799999999999999</v>
      </c>
      <c r="BR273" s="1438">
        <f ca="1">IF(B273&gt;=$J$5,0,CONTADORES!BQ281-CONTADORES!BQ280)</f>
        <v>24</v>
      </c>
      <c r="BS273" s="1439">
        <f ca="1">IF(B273&gt;=$J$5,0,(CONTADORES!BT281-CONTADORES!BT280)+(CONTADORES!BV281-CONTADORES!BV280))/1000</f>
        <v>1.425</v>
      </c>
      <c r="BT273" s="1439">
        <f ca="1">IF(B273&gt;=$J$5,0,(CONTADORES!BU281-CONTADORES!BU280)+(CONTADORES!BW281-CONTADORES!BW280))/1000</f>
        <v>0.877</v>
      </c>
      <c r="BU273" s="1439">
        <f ca="1">IF(B273&gt;=$J$5,0,CONTADORES!BR281-CONTADORES!BR280)</f>
        <v>6.1000000000003638</v>
      </c>
      <c r="BV273" s="1439">
        <f ca="1">IF(B273&gt;=$J$5,0,CONTADORES!BS281-CONTADORES!BS280)</f>
        <v>4.0999999999994543</v>
      </c>
      <c r="BW273" s="1450">
        <f t="shared" ca="1" si="139"/>
        <v>10.666999999999502</v>
      </c>
      <c r="BX273" s="1450">
        <f t="shared" ca="1" si="140"/>
        <v>10.735999999999564</v>
      </c>
      <c r="BY273" s="1450">
        <f t="shared" ca="1" si="141"/>
        <v>4.5669999999991386</v>
      </c>
      <c r="BZ273" s="1450">
        <f t="shared" ca="1" si="142"/>
        <v>1.6399999999999637</v>
      </c>
      <c r="CA273" s="1450">
        <f t="shared" ca="1" si="143"/>
        <v>4.5669999999991386</v>
      </c>
      <c r="CB273" s="1450">
        <f t="shared" ca="1" si="144"/>
        <v>2.4599999999999453</v>
      </c>
      <c r="CC273" s="1450">
        <f t="shared" ca="1" si="145"/>
        <v>3.064999999999964</v>
      </c>
      <c r="CD273" s="1450">
        <f t="shared" ca="1" si="146"/>
        <v>6.6360000000001094</v>
      </c>
      <c r="CE273" s="1450">
        <f ca="1">IF(B273&gt;=$J$5,0,CONTADORES!BS281-CONTADORES!BS280)</f>
        <v>4.0999999999994543</v>
      </c>
      <c r="CF273" s="1450">
        <f t="shared" ca="1" si="147"/>
        <v>6.6360000000001094</v>
      </c>
      <c r="CG273" s="1450">
        <f t="shared" ca="1" si="148"/>
        <v>0.59999999999996589</v>
      </c>
      <c r="CH273" s="1450">
        <f t="shared" ca="1" si="149"/>
        <v>0.59999999999996589</v>
      </c>
      <c r="CI273" s="1450">
        <f t="shared" ca="1" si="150"/>
        <v>1.4769999999999659</v>
      </c>
      <c r="CJ273" s="1450">
        <f ca="1">IF($B273&gt;=$J$5,0,CONTADORES!$BG281)</f>
        <v>8781.3130554151794</v>
      </c>
      <c r="CK273" s="1384">
        <f>CONTADORES!E281</f>
        <v>0.6</v>
      </c>
      <c r="CL273" s="1384">
        <f>CONTADORES!BX281</f>
        <v>0.6</v>
      </c>
    </row>
    <row r="274" spans="2:90">
      <c r="B274" s="410">
        <v>45190</v>
      </c>
      <c r="C274" s="208">
        <f t="shared" ca="1" si="126"/>
        <v>147.92000000004191</v>
      </c>
      <c r="D274" s="202">
        <f ca="1">'CALCULO DE GAS'!P92</f>
        <v>3.7371467136670851</v>
      </c>
      <c r="E274" s="202">
        <f ca="1">IF(B274&gt;=$J$5,0,(CONTADORES!$AB282-CONTADORES!$AB281)-$H274)</f>
        <v>24</v>
      </c>
      <c r="F274" s="204">
        <f t="shared" ca="1" si="125"/>
        <v>0</v>
      </c>
      <c r="G274" s="202">
        <f ca="1">IF(B274&gt;=$J$5,0,CONTADORES!$AD282-CONTADORES!$AD281)</f>
        <v>0</v>
      </c>
      <c r="H274" s="202">
        <f ca="1">IF(G274&gt;0,CONTADORES!$AC282-CONTADORES!$AC281,0)</f>
        <v>0</v>
      </c>
      <c r="I274" s="1437">
        <f ca="1">IF(B274&gt;=$J$5,0,CONTADORES!$Z282-CONTADORES!$Z281)</f>
        <v>147.92000000004191</v>
      </c>
      <c r="J274" s="208">
        <f t="shared" ca="1" si="127"/>
        <v>294.67999999999302</v>
      </c>
      <c r="K274" s="202">
        <f ca="1">'CALCULO DE GAS'!Q92</f>
        <v>5.0913239581110457</v>
      </c>
      <c r="L274" s="1437">
        <f ca="1">IF(B274&gt;=$J$5,0,(CONTADORES!$W282-CONTADORES!$W281)-$O274)</f>
        <v>24</v>
      </c>
      <c r="M274" s="1437">
        <f t="shared" ca="1" si="124"/>
        <v>0</v>
      </c>
      <c r="N274" s="1437">
        <f ca="1">IF(B274&gt;=$J$5,0,CONTADORES!$Y282-CONTADORES!$Y281)</f>
        <v>0</v>
      </c>
      <c r="O274" s="205">
        <f ca="1">IF(N274&gt;0,CONTADORES!$X282-CONTADORES!$X281,0)</f>
        <v>0</v>
      </c>
      <c r="P274" s="1439">
        <f ca="1">IF(B274&gt;=$J$5,0,CONTADORES!$U282-CONTADORES!$U281)</f>
        <v>294.67999999999302</v>
      </c>
      <c r="Q274" s="208">
        <f ca="1">IF(B274&gt;=$J$5,0,CONTADORES!$B282-CONTADORES!$B281)</f>
        <v>0</v>
      </c>
      <c r="R274" s="202">
        <f t="shared" ca="1" si="128"/>
        <v>0</v>
      </c>
      <c r="S274" s="11">
        <f ca="1">IF(B274&gt;=$J$5,0,CONTADORES!$D282-CONTADORES!$D281)</f>
        <v>0</v>
      </c>
      <c r="T274" s="208">
        <f ca="1">IF(B274&gt;=$J$5,0,CONTADORES!$AZ282-CONTADORES!$AZ281)</f>
        <v>0</v>
      </c>
      <c r="U274" s="202">
        <f t="shared" ca="1" si="123"/>
        <v>0</v>
      </c>
      <c r="V274" s="205">
        <f ca="1">IF(B274&gt;=$J$5,0,CONTADORES!$BB282-CONTADORES!$BB281)</f>
        <v>0</v>
      </c>
      <c r="W274" s="1438">
        <f t="shared" ca="1" si="129"/>
        <v>442.60000000003492</v>
      </c>
      <c r="X274" s="1438">
        <f t="shared" ca="1" si="130"/>
        <v>0</v>
      </c>
      <c r="Y274" s="1439">
        <f t="shared" ca="1" si="131"/>
        <v>442.60000000003492</v>
      </c>
      <c r="Z274" s="1439">
        <f t="shared" ca="1" si="132"/>
        <v>8.8284706717781312</v>
      </c>
      <c r="AA274" s="1439">
        <f t="shared" ca="1" si="133"/>
        <v>0</v>
      </c>
      <c r="AB274" s="1439">
        <f t="shared" ca="1" si="134"/>
        <v>48</v>
      </c>
      <c r="AC274" s="1438">
        <f t="shared" ca="1" si="135"/>
        <v>0</v>
      </c>
      <c r="AD274" s="1439">
        <f ca="1">IF(B274&gt;=$J$5,0,CONTADORES!H282-CONTADORES!H281)</f>
        <v>160.79999999999927</v>
      </c>
      <c r="AE274" s="1438">
        <f ca="1">IF(B274&gt;=$J$5,0,CONTADORES!J282-CONTADORES!J281)</f>
        <v>24</v>
      </c>
      <c r="AF274" s="1439">
        <f ca="1">IF(B274&gt;=$J$5,0,CONTADORES!AS282-CONTADORES!AS281)</f>
        <v>149.69000000000233</v>
      </c>
      <c r="AG274" s="1438">
        <f ca="1">IF(B274&gt;=$J$5,0,CONTADORES!AU282-CONTADORES!AU281)</f>
        <v>24</v>
      </c>
      <c r="AH274" s="1439">
        <f ca="1">IF(B274&gt;=$J$5,0,(CONTADORES!AK282-CONTADORES!AK281)+(CONTADORES!K282-CONTADORES!K281))</f>
        <v>10.899999999995998</v>
      </c>
      <c r="AI274" s="1439">
        <f ca="1">IF(B274&gt;=$J$5,0,(CONTADORES!AI282-CONTADORES!AI281)+(CONTADORES!M282-CONTADORES!M281))</f>
        <v>38.070000000006985</v>
      </c>
      <c r="AJ274" s="1439">
        <f ca="1">IF(B274&gt;=$J$5,0,(CONTADORES!AG282-CONTADORES!AG281))</f>
        <v>7.9000000000087311</v>
      </c>
      <c r="AK274" s="1439">
        <f ca="1">IF(B274&gt;=$J$5,0,(CONTADORES!O282-CONTADORES!O281))</f>
        <v>11.119999999995343</v>
      </c>
      <c r="AL274" s="1500">
        <f t="shared" ca="1" si="136"/>
        <v>37.010000000029322</v>
      </c>
      <c r="AM274" s="1450">
        <f ca="1">IF(B274&gt;=$J$5,0,(((CONTADORES!F282-CONTADORES!F281)+(CONTADORES!AO282-CONTADORES!AO281))))-BJ274-AF274-AN274-BM274-BP274-BU274-BS274</f>
        <v>6.6749999999977137</v>
      </c>
      <c r="AN274" s="1439">
        <f ca="1">IF(B274&gt;=$J$5,0,(CONTADORES!AV282-CONTADORES!AV281)+(CONTADORES!AX282-CONTADORES!AX281)+(CONTADORES!BC282-CONTADORES!BC281))</f>
        <v>4.3499999999994543</v>
      </c>
      <c r="AO274" s="1474">
        <f>(CONTADORES!AA282-CONTADORES!AA281)</f>
        <v>76.909999999974389</v>
      </c>
      <c r="AP274" s="1474">
        <f>(CONTADORES!V282-CONTADORES!V281)</f>
        <v>145.0199999999968</v>
      </c>
      <c r="AQ274" s="1440">
        <f>(CONTADORES!C282-CONTADORES!C281)</f>
        <v>0</v>
      </c>
      <c r="AR274" s="1440">
        <f>(CONTADORES!BA282-CONTADORES!BA281)</f>
        <v>0</v>
      </c>
      <c r="AS274" s="1438">
        <f ca="1">IF(B274&gt;=$J$5,0,CONTADORES!Q282-CONTADORES!Q281)</f>
        <v>15.600000000005821</v>
      </c>
      <c r="AT274" s="1438">
        <f ca="1">IF(B274&gt;=$J$5,0,(CONTADORES!S282-CONTADORES!S281)+(CONTADORES!AE282-CONTADORES!AE281))</f>
        <v>3.3799999999999955</v>
      </c>
      <c r="AU274" s="1474">
        <f>CONTADORES!I282-CONTADORES!I281</f>
        <v>80.680000000000291</v>
      </c>
      <c r="AV274" s="1440">
        <f>CONTADORES!AT282-CONTADORES!AT281</f>
        <v>64.429999999993015</v>
      </c>
      <c r="AW274" s="1440">
        <f ca="1">IF(B274&gt;=$J$5,0,(CONTADORES!L282-CONTADORES!L281)+(CONTADORES!AL282-CONTADORES!AL281))</f>
        <v>4.2000000000007276</v>
      </c>
      <c r="AX274" s="1440">
        <f ca="1">IF(B274&gt;=$J$5,0,(CONTADORES!N282-CONTADORES!N281)+(CONTADORES!AJ282-CONTADORES!AJ281))</f>
        <v>32.959999999999127</v>
      </c>
      <c r="AY274" s="1440">
        <f ca="1">IF(B274&gt;=$J$5,0,(CONTADORES!AH282-CONTADORES!AH281))</f>
        <v>6.0099999999947613</v>
      </c>
      <c r="AZ274" s="1440">
        <f ca="1">IF(B274&gt;=$J$5,0,(CONTADORES!P282-CONTADORES!P281))</f>
        <v>9.1300000000046566</v>
      </c>
      <c r="BA274" s="1450">
        <f t="shared" ca="1" si="137"/>
        <v>8.2709999999651984</v>
      </c>
      <c r="BB274" s="1440">
        <f ca="1">IF(B274&gt;=$J$5,0,(((CONTADORES!G282-CONTADORES!G281)+(CONTADORES!AP282-CONTADORES!AP281)+AR274)-(AV274+BC274)))</f>
        <v>8.5400000000125829</v>
      </c>
      <c r="BC274" s="1438">
        <f ca="1">IF(B274&gt;=$J$5,0,(CONTADORES!AW282-CONTADORES!AW281)+(CONTADORES!AY282-CONTADORES!AY281)+(CONTADORES!BD282-CONTADORES!BD281))</f>
        <v>1.6300000000002228</v>
      </c>
      <c r="BD274" s="1438">
        <f t="shared" si="138"/>
        <v>221.92999999997119</v>
      </c>
      <c r="BE274" s="1439">
        <f ca="1">IF($B274&gt;=$J$5,0,CONTADORES!$BE282)</f>
        <v>5680.89</v>
      </c>
      <c r="BF274" s="1438">
        <f ca="1">IF($B274&gt;=$J$5,0,CONTADORES!$BF282)</f>
        <v>34527.9157894737</v>
      </c>
      <c r="BG274" s="1438">
        <f ca="1">IF($B274&gt;=$J$5,0,CONTADORES!$BH282)</f>
        <v>5612.56</v>
      </c>
      <c r="BH274" s="1438">
        <f ca="1">IF(B274&gt;=$J$5,0,(CONTADORES!AQ282-CONTADORES!AQ281))</f>
        <v>5.6790000000037253</v>
      </c>
      <c r="BI274" s="1438">
        <f ca="1">IF(C274&gt;=$J$5,0,(CONTADORES!AR282-CONTADORES!AR281))</f>
        <v>0</v>
      </c>
      <c r="BJ274" s="1438">
        <f ca="1">IF(B274&gt;=$J$5,0,CONTADORES!BI282-CONTADORES!BI281)/1000</f>
        <v>2.35</v>
      </c>
      <c r="BK274" s="1438">
        <f ca="1">IF(BF274&gt;=$J$5,0,CONTADORES!BJ282-CONTADORES!BJ281)</f>
        <v>1</v>
      </c>
      <c r="BL274" s="1438">
        <f ca="1">IF(BG274&gt;=$J$5,0,CONTADORES!BK282-CONTADORES!BK281)</f>
        <v>23.979999999999563</v>
      </c>
      <c r="BM274" s="1438">
        <f ca="1">IF(B274&gt;=$J$5,0,CONTADORES!BL282-CONTADORES!BL281)/1000</f>
        <v>0</v>
      </c>
      <c r="BN274" s="1438">
        <f ca="1">IF(B274&gt;=$J$5,0,CONTADORES!BM282-CONTADORES!BM281)/1000</f>
        <v>0</v>
      </c>
      <c r="BO274" s="1438">
        <f ca="1">IF(B274&gt;=$J$5,0,CONTADORES!BN282-CONTADORES!BN281)</f>
        <v>0</v>
      </c>
      <c r="BP274" s="1438">
        <f ca="1">IF(B274&gt;=$J$5,0,CONTADORES!BO282-CONTADORES!BO281)/1000</f>
        <v>6</v>
      </c>
      <c r="BQ274" s="1438">
        <f ca="1">IF(B274&gt;=$J$5,0,CONTADORES!BP282-CONTADORES!BP281)/1000</f>
        <v>8.8999999999999996E-2</v>
      </c>
      <c r="BR274" s="1438">
        <f ca="1">IF(B274&gt;=$J$5,0,CONTADORES!BQ282-CONTADORES!BQ281)</f>
        <v>24</v>
      </c>
      <c r="BS274" s="1439">
        <f ca="1">IF(B274&gt;=$J$5,0,(CONTADORES!BT282-CONTADORES!BT281)+(CONTADORES!BV282-CONTADORES!BV281))/1000</f>
        <v>1.4950000000000001</v>
      </c>
      <c r="BT274" s="1439">
        <f ca="1">IF(B274&gt;=$J$5,0,(CONTADORES!BU282-CONTADORES!BU281)+(CONTADORES!BW282-CONTADORES!BW281))/1000</f>
        <v>0.92</v>
      </c>
      <c r="BU274" s="1439">
        <f ca="1">IF(B274&gt;=$J$5,0,CONTADORES!BR282-CONTADORES!BR281)</f>
        <v>6.2399999999997817</v>
      </c>
      <c r="BV274" s="1439">
        <f ca="1">IF(B274&gt;=$J$5,0,CONTADORES!BS282-CONTADORES!BS281)</f>
        <v>4.0700000000006185</v>
      </c>
      <c r="BW274" s="1450">
        <f t="shared" ca="1" si="139"/>
        <v>9.5774999999986381</v>
      </c>
      <c r="BX274" s="1450">
        <f t="shared" ca="1" si="140"/>
        <v>8.3400000000069099</v>
      </c>
      <c r="BY274" s="1450">
        <f t="shared" ca="1" si="141"/>
        <v>3.3374999999988568</v>
      </c>
      <c r="BZ274" s="1450">
        <f t="shared" ca="1" si="142"/>
        <v>1.7399999999997817</v>
      </c>
      <c r="CA274" s="1450">
        <f t="shared" ca="1" si="143"/>
        <v>3.3374999999988568</v>
      </c>
      <c r="CB274" s="1450">
        <f t="shared" ca="1" si="144"/>
        <v>2.6099999999996726</v>
      </c>
      <c r="CC274" s="1450">
        <f t="shared" ca="1" si="145"/>
        <v>3.2349999999997818</v>
      </c>
      <c r="CD274" s="1450">
        <f t="shared" ca="1" si="146"/>
        <v>4.2700000000062914</v>
      </c>
      <c r="CE274" s="1450">
        <f ca="1">IF(B274&gt;=$J$5,0,CONTADORES!BS282-CONTADORES!BS281)</f>
        <v>4.0700000000006185</v>
      </c>
      <c r="CF274" s="1450">
        <f t="shared" ca="1" si="147"/>
        <v>4.2700000000062914</v>
      </c>
      <c r="CG274" s="1450">
        <f t="shared" ca="1" si="148"/>
        <v>0.81500000000011141</v>
      </c>
      <c r="CH274" s="1450">
        <f t="shared" ca="1" si="149"/>
        <v>0.81500000000011141</v>
      </c>
      <c r="CI274" s="1450">
        <f t="shared" ca="1" si="150"/>
        <v>1.7350000000001113</v>
      </c>
      <c r="CJ274" s="1450">
        <f ca="1">IF($B274&gt;=$J$5,0,CONTADORES!$BG282)</f>
        <v>6247.6284898617796</v>
      </c>
      <c r="CK274" s="1384">
        <f>CONTADORES!E282</f>
        <v>0</v>
      </c>
      <c r="CL274" s="1384">
        <f>CONTADORES!BX282</f>
        <v>0</v>
      </c>
    </row>
    <row r="275" spans="2:90">
      <c r="B275" s="410">
        <v>45191</v>
      </c>
      <c r="C275" s="208">
        <f t="shared" ca="1" si="126"/>
        <v>150.78999999992084</v>
      </c>
      <c r="D275" s="202">
        <f ca="1">'CALCULO DE GAS'!P93</f>
        <v>3.7658227969992089</v>
      </c>
      <c r="E275" s="202">
        <f ca="1">IF(B275&gt;=$J$5,0,(CONTADORES!$AB283-CONTADORES!$AB282)-$H275)</f>
        <v>24</v>
      </c>
      <c r="F275" s="204">
        <f t="shared" ca="1" si="125"/>
        <v>0</v>
      </c>
      <c r="G275" s="202">
        <f ca="1">IF(B275&gt;=$J$5,0,CONTADORES!$AD283-CONTADORES!$AD282)</f>
        <v>0</v>
      </c>
      <c r="H275" s="202">
        <f ca="1">IF(G275&gt;0,CONTADORES!$AC283-CONTADORES!$AC282,0)</f>
        <v>0</v>
      </c>
      <c r="I275" s="1437">
        <f ca="1">IF(B275&gt;=$J$5,0,CONTADORES!$Z283-CONTADORES!$Z282)</f>
        <v>150.78999999992084</v>
      </c>
      <c r="J275" s="208">
        <f t="shared" ca="1" si="127"/>
        <v>291.77000000000407</v>
      </c>
      <c r="K275" s="202">
        <f ca="1">'CALCULO DE GAS'!Q93</f>
        <v>5.0641865914444812</v>
      </c>
      <c r="L275" s="1437">
        <f ca="1">IF(B275&gt;=$J$5,0,(CONTADORES!$W283-CONTADORES!$W282)-$O275)</f>
        <v>24</v>
      </c>
      <c r="M275" s="1437">
        <f t="shared" ca="1" si="124"/>
        <v>0</v>
      </c>
      <c r="N275" s="1437">
        <f ca="1">IF(B275&gt;=$J$5,0,CONTADORES!$Y283-CONTADORES!$Y282)</f>
        <v>0</v>
      </c>
      <c r="O275" s="205">
        <f ca="1">IF(N275&gt;0,CONTADORES!$X283-CONTADORES!$X282,0)</f>
        <v>0</v>
      </c>
      <c r="P275" s="1439">
        <f ca="1">IF(B275&gt;=$J$5,0,CONTADORES!$U283-CONTADORES!$U282)</f>
        <v>291.77000000000407</v>
      </c>
      <c r="Q275" s="208">
        <f ca="1">IF(B275&gt;=$J$5,0,CONTADORES!$B283-CONTADORES!$B282)</f>
        <v>0</v>
      </c>
      <c r="R275" s="202">
        <f t="shared" ca="1" si="128"/>
        <v>0</v>
      </c>
      <c r="S275" s="11">
        <f ca="1">IF(B275&gt;=$J$5,0,CONTADORES!$D283-CONTADORES!$D282)</f>
        <v>0</v>
      </c>
      <c r="T275" s="208">
        <f ca="1">IF(B275&gt;=$J$5,0,CONTADORES!$AZ283-CONTADORES!$AZ282)</f>
        <v>0</v>
      </c>
      <c r="U275" s="202">
        <f t="shared" ca="1" si="123"/>
        <v>0</v>
      </c>
      <c r="V275" s="205">
        <f ca="1">IF(B275&gt;=$J$5,0,CONTADORES!$BB283-CONTADORES!$BB282)</f>
        <v>0</v>
      </c>
      <c r="W275" s="1438">
        <f t="shared" ca="1" si="129"/>
        <v>442.55999999992491</v>
      </c>
      <c r="X275" s="1438">
        <f t="shared" ca="1" si="130"/>
        <v>0</v>
      </c>
      <c r="Y275" s="1439">
        <f t="shared" ca="1" si="131"/>
        <v>442.55999999992491</v>
      </c>
      <c r="Z275" s="1439">
        <f t="shared" ca="1" si="132"/>
        <v>8.8300093884436901</v>
      </c>
      <c r="AA275" s="1439">
        <f t="shared" ca="1" si="133"/>
        <v>0</v>
      </c>
      <c r="AB275" s="1439">
        <f t="shared" ca="1" si="134"/>
        <v>48</v>
      </c>
      <c r="AC275" s="1438">
        <f t="shared" ca="1" si="135"/>
        <v>0</v>
      </c>
      <c r="AD275" s="1439">
        <f ca="1">IF(B275&gt;=$J$5,0,CONTADORES!H283-CONTADORES!H282)</f>
        <v>163.97000000000116</v>
      </c>
      <c r="AE275" s="1438">
        <f ca="1">IF(B275&gt;=$J$5,0,CONTADORES!J283-CONTADORES!J282)</f>
        <v>24</v>
      </c>
      <c r="AF275" s="1439">
        <f ca="1">IF(B275&gt;=$J$5,0,CONTADORES!AS283-CONTADORES!AS282)</f>
        <v>151.73999999999069</v>
      </c>
      <c r="AG275" s="1438">
        <f ca="1">IF(B275&gt;=$J$5,0,CONTADORES!AU283-CONTADORES!AU282)</f>
        <v>24</v>
      </c>
      <c r="AH275" s="1439">
        <f ca="1">IF(B275&gt;=$J$5,0,(CONTADORES!AK283-CONTADORES!AK282)+(CONTADORES!K283-CONTADORES!K282))</f>
        <v>3.3000000000029104</v>
      </c>
      <c r="AI275" s="1439">
        <f ca="1">IF(B275&gt;=$J$5,0,(CONTADORES!AI283-CONTADORES!AI282)+(CONTADORES!M283-CONTADORES!M282))</f>
        <v>39.629999999990105</v>
      </c>
      <c r="AJ275" s="1439">
        <f ca="1">IF(B275&gt;=$J$5,0,(CONTADORES!AG283-CONTADORES!AG282))</f>
        <v>6.8699999999953434</v>
      </c>
      <c r="AK275" s="1439">
        <f ca="1">IF(B275&gt;=$J$5,0,(CONTADORES!O283-CONTADORES!O282))</f>
        <v>10.980000000010477</v>
      </c>
      <c r="AL275" s="1500">
        <f t="shared" ca="1" si="136"/>
        <v>34.509999999936554</v>
      </c>
      <c r="AM275" s="1450">
        <f ca="1">IF(B275&gt;=$J$5,0,(((CONTADORES!F283-CONTADORES!F282)+(CONTADORES!AO283-CONTADORES!AO282))))-BJ275-AF275-AN275-BM275-BP275-BU275-BS275</f>
        <v>12.17239999999765</v>
      </c>
      <c r="AN275" s="1439">
        <f ca="1">IF(B275&gt;=$J$5,0,(CONTADORES!AV283-CONTADORES!AV282)+(CONTADORES!AX283-CONTADORES!AX282)+(CONTADORES!BC283-CONTADORES!BC282))</f>
        <v>4.5100000000002183</v>
      </c>
      <c r="AO275" s="1474">
        <f>(CONTADORES!AA283-CONTADORES!AA282)</f>
        <v>76.410000000032596</v>
      </c>
      <c r="AP275" s="1474">
        <f>(CONTADORES!V283-CONTADORES!V282)</f>
        <v>146.52000000000407</v>
      </c>
      <c r="AQ275" s="1440">
        <f>(CONTADORES!C283-CONTADORES!C282)</f>
        <v>0</v>
      </c>
      <c r="AR275" s="1440">
        <f>(CONTADORES!BA283-CONTADORES!BA282)</f>
        <v>0</v>
      </c>
      <c r="AS275" s="1438">
        <f ca="1">IF(B275&gt;=$J$5,0,CONTADORES!Q283-CONTADORES!Q282)</f>
        <v>15.239999999990687</v>
      </c>
      <c r="AT275" s="1438">
        <f ca="1">IF(B275&gt;=$J$5,0,(CONTADORES!S283-CONTADORES!S282)+(CONTADORES!AE283-CONTADORES!AE282))</f>
        <v>3.4699999999999704</v>
      </c>
      <c r="AU275" s="1474">
        <f>CONTADORES!I283-CONTADORES!I282</f>
        <v>82.010000000000218</v>
      </c>
      <c r="AV275" s="1440">
        <f>CONTADORES!AT283-CONTADORES!AT282</f>
        <v>65.510000000009313</v>
      </c>
      <c r="AW275" s="1440">
        <f ca="1">IF(B275&gt;=$J$5,0,(CONTADORES!L283-CONTADORES!L282)+(CONTADORES!AL283-CONTADORES!AL282))</f>
        <v>1.2000000000007276</v>
      </c>
      <c r="AX275" s="1440">
        <f ca="1">IF(B275&gt;=$J$5,0,(CONTADORES!N283-CONTADORES!N282)+(CONTADORES!AJ283-CONTADORES!AJ282))</f>
        <v>34</v>
      </c>
      <c r="AY275" s="1440">
        <f ca="1">IF(B275&gt;=$J$5,0,(CONTADORES!AH283-CONTADORES!AH282))</f>
        <v>5.2900000000008731</v>
      </c>
      <c r="AZ275" s="1440">
        <f ca="1">IF(B275&gt;=$J$5,0,(CONTADORES!P283-CONTADORES!P282))</f>
        <v>9.0399999999935972</v>
      </c>
      <c r="BA275" s="1450">
        <f t="shared" ca="1" si="137"/>
        <v>8.3790000000528266</v>
      </c>
      <c r="BB275" s="1440">
        <f ca="1">IF(B275&gt;=$J$5,0,(((CONTADORES!G283-CONTADORES!G282)+(CONTADORES!AP283-CONTADORES!AP282)+AR275)-(AV275+BC275)))</f>
        <v>9.7699999999797456</v>
      </c>
      <c r="BC275" s="1438">
        <f ca="1">IF(B275&gt;=$J$5,0,(CONTADORES!AW283-CONTADORES!AW282)+(CONTADORES!AY283-CONTADORES!AY282)+(CONTADORES!BD283-CONTADORES!BD282))</f>
        <v>1.6199999999996635</v>
      </c>
      <c r="BD275" s="1438">
        <f t="shared" si="138"/>
        <v>222.93000000003667</v>
      </c>
      <c r="BE275" s="1439">
        <f ca="1">IF($B275&gt;=$J$5,0,CONTADORES!$BE283)</f>
        <v>5548.73</v>
      </c>
      <c r="BF275" s="1438">
        <f ca="1">IF($B275&gt;=$J$5,0,CONTADORES!$BF283)</f>
        <v>34052.350877192999</v>
      </c>
      <c r="BG275" s="1438">
        <f ca="1">IF($B275&gt;=$J$5,0,CONTADORES!$BH283)</f>
        <v>6375.6</v>
      </c>
      <c r="BH275" s="1438">
        <f ca="1">IF(B275&gt;=$J$5,0,(CONTADORES!AQ283-CONTADORES!AQ282))</f>
        <v>5.1710000000020955</v>
      </c>
      <c r="BI275" s="1438">
        <f ca="1">IF(C275&gt;=$J$5,0,(CONTADORES!AR283-CONTADORES!AR282))</f>
        <v>0</v>
      </c>
      <c r="BJ275" s="1438">
        <f ca="1">IF(B275&gt;=$J$5,0,CONTADORES!BI283-CONTADORES!BI282)/1000</f>
        <v>2.2426000000000932</v>
      </c>
      <c r="BK275" s="1438">
        <f ca="1">IF(BF275&gt;=$J$5,0,CONTADORES!BJ283-CONTADORES!BJ282)</f>
        <v>1</v>
      </c>
      <c r="BL275" s="1438">
        <f ca="1">IF(BG275&gt;=$J$5,0,CONTADORES!BK283-CONTADORES!BK282)</f>
        <v>23.220000000001164</v>
      </c>
      <c r="BM275" s="1438">
        <f ca="1">IF(B275&gt;=$J$5,0,CONTADORES!BL283-CONTADORES!BL282)/1000</f>
        <v>1.907</v>
      </c>
      <c r="BN275" s="1438">
        <f ca="1">IF(B275&gt;=$J$5,0,CONTADORES!BM283-CONTADORES!BM282)/1000</f>
        <v>0.316</v>
      </c>
      <c r="BO275" s="1438">
        <f ca="1">IF(B275&gt;=$J$5,0,CONTADORES!BN283-CONTADORES!BN282)</f>
        <v>8.6599999999998545</v>
      </c>
      <c r="BP275" s="1438">
        <f ca="1">IF(B275&gt;=$J$5,0,CONTADORES!BO283-CONTADORES!BO282)/1000</f>
        <v>3.6480000000000001</v>
      </c>
      <c r="BQ275" s="1438">
        <f ca="1">IF(B275&gt;=$J$5,0,CONTADORES!BP283-CONTADORES!BP282)/1000</f>
        <v>3.5000000000000003E-2</v>
      </c>
      <c r="BR275" s="1438">
        <f ca="1">IF(B275&gt;=$J$5,0,CONTADORES!BQ283-CONTADORES!BQ282)</f>
        <v>14.729999999999563</v>
      </c>
      <c r="BS275" s="1439">
        <f ca="1">IF(B275&gt;=$J$5,0,(CONTADORES!BT283-CONTADORES!BT282)+(CONTADORES!BV283-CONTADORES!BV282))/1000</f>
        <v>1.51</v>
      </c>
      <c r="BT275" s="1439">
        <f ca="1">IF(B275&gt;=$J$5,0,(CONTADORES!BU283-CONTADORES!BU282)+(CONTADORES!BW283-CONTADORES!BW282))/1000</f>
        <v>0.94</v>
      </c>
      <c r="BU275" s="1439">
        <f ca="1">IF(B275&gt;=$J$5,0,CONTADORES!BR283-CONTADORES!BR282)</f>
        <v>5.569999999999709</v>
      </c>
      <c r="BV275" s="1439">
        <f ca="1">IF(B275&gt;=$J$5,0,CONTADORES!BS283-CONTADORES!BS282)</f>
        <v>3.819999999999709</v>
      </c>
      <c r="BW275" s="1450">
        <f t="shared" ca="1" si="139"/>
        <v>11.656199999998535</v>
      </c>
      <c r="BX275" s="1450">
        <f t="shared" ca="1" si="140"/>
        <v>8.7049999999895817</v>
      </c>
      <c r="BY275" s="1450">
        <f t="shared" ca="1" si="141"/>
        <v>6.0861999999988248</v>
      </c>
      <c r="BZ275" s="1450">
        <f t="shared" ca="1" si="142"/>
        <v>1.8040000000000873</v>
      </c>
      <c r="CA275" s="1450">
        <f t="shared" ca="1" si="143"/>
        <v>6.0861999999988248</v>
      </c>
      <c r="CB275" s="1450">
        <f t="shared" ca="1" si="144"/>
        <v>2.706000000000131</v>
      </c>
      <c r="CC275" s="1450">
        <f t="shared" ca="1" si="145"/>
        <v>3.3140000000000871</v>
      </c>
      <c r="CD275" s="1450">
        <f t="shared" ca="1" si="146"/>
        <v>4.8849999999898728</v>
      </c>
      <c r="CE275" s="1450">
        <f ca="1">IF(B275&gt;=$J$5,0,CONTADORES!BS283-CONTADORES!BS282)</f>
        <v>3.819999999999709</v>
      </c>
      <c r="CF275" s="1450">
        <f t="shared" ca="1" si="147"/>
        <v>4.8849999999898728</v>
      </c>
      <c r="CG275" s="1450">
        <f t="shared" ca="1" si="148"/>
        <v>0.80999999999983174</v>
      </c>
      <c r="CH275" s="1450">
        <f t="shared" ca="1" si="149"/>
        <v>0.80999999999983174</v>
      </c>
      <c r="CI275" s="1450">
        <f t="shared" ca="1" si="150"/>
        <v>1.7499999999998317</v>
      </c>
      <c r="CJ275" s="1450">
        <f ca="1">IF($B275&gt;=$J$5,0,CONTADORES!$BG283)</f>
        <v>10563.0620461739</v>
      </c>
      <c r="CK275" s="1384">
        <f>CONTADORES!E283</f>
        <v>0</v>
      </c>
      <c r="CL275" s="1384">
        <f>CONTADORES!BX283</f>
        <v>0</v>
      </c>
    </row>
    <row r="276" spans="2:90">
      <c r="B276" s="410">
        <v>45192</v>
      </c>
      <c r="C276" s="208">
        <f t="shared" ca="1" si="126"/>
        <v>119.04000000003725</v>
      </c>
      <c r="D276" s="202">
        <f ca="1">'CALCULO DE GAS'!P94</f>
        <v>3.4485873803337048</v>
      </c>
      <c r="E276" s="202">
        <f ca="1">IF(B276&gt;=$J$5,0,(CONTADORES!$AB284-CONTADORES!$AB283)-$H276)</f>
        <v>24</v>
      </c>
      <c r="F276" s="204">
        <f t="shared" ca="1" si="125"/>
        <v>0</v>
      </c>
      <c r="G276" s="202">
        <f ca="1">IF(B276&gt;=$J$5,0,CONTADORES!$AD284-CONTADORES!$AD283)</f>
        <v>0</v>
      </c>
      <c r="H276" s="202">
        <f ca="1">IF(G276&gt;0,CONTADORES!$AC284-CONTADORES!$AC283,0)</f>
        <v>0</v>
      </c>
      <c r="I276" s="1437">
        <f ca="1">IF(B276&gt;=$J$5,0,CONTADORES!$Z284-CONTADORES!$Z283)</f>
        <v>119.04000000003725</v>
      </c>
      <c r="J276" s="208">
        <f t="shared" ca="1" si="127"/>
        <v>323.74000000000524</v>
      </c>
      <c r="K276" s="202">
        <f ca="1">'CALCULO DE GAS'!Q94</f>
        <v>5.3623246025556028</v>
      </c>
      <c r="L276" s="1437">
        <f ca="1">IF(B276&gt;=$J$5,0,(CONTADORES!$W284-CONTADORES!$W283)-$O276)</f>
        <v>24</v>
      </c>
      <c r="M276" s="1437">
        <f t="shared" ca="1" si="124"/>
        <v>0</v>
      </c>
      <c r="N276" s="1437">
        <f ca="1">IF(B276&gt;=$J$5,0,CONTADORES!$Y284-CONTADORES!$Y283)</f>
        <v>0</v>
      </c>
      <c r="O276" s="205">
        <f ca="1">IF(N276&gt;0,CONTADORES!$X284-CONTADORES!$X283,0)</f>
        <v>0</v>
      </c>
      <c r="P276" s="1439">
        <f ca="1">IF(B276&gt;=$J$5,0,CONTADORES!$U284-CONTADORES!$U283)</f>
        <v>323.74000000000524</v>
      </c>
      <c r="Q276" s="208">
        <f ca="1">IF(B276&gt;=$J$5,0,CONTADORES!$B284-CONTADORES!$B283)</f>
        <v>0</v>
      </c>
      <c r="R276" s="202">
        <f t="shared" ca="1" si="128"/>
        <v>0</v>
      </c>
      <c r="S276" s="11">
        <f ca="1">IF(B276&gt;=$J$5,0,CONTADORES!$D284-CONTADORES!$D283)</f>
        <v>0</v>
      </c>
      <c r="T276" s="208">
        <f ca="1">IF(B276&gt;=$J$5,0,CONTADORES!$AZ284-CONTADORES!$AZ283)</f>
        <v>0</v>
      </c>
      <c r="U276" s="202">
        <f t="shared" ca="1" si="123"/>
        <v>0</v>
      </c>
      <c r="V276" s="205">
        <f ca="1">IF(B276&gt;=$J$5,0,CONTADORES!$BB284-CONTADORES!$BB283)</f>
        <v>0</v>
      </c>
      <c r="W276" s="1438">
        <f t="shared" ca="1" si="129"/>
        <v>442.78000000004249</v>
      </c>
      <c r="X276" s="1438">
        <f t="shared" ca="1" si="130"/>
        <v>0</v>
      </c>
      <c r="Y276" s="1439">
        <f t="shared" ca="1" si="131"/>
        <v>442.78000000004249</v>
      </c>
      <c r="Z276" s="1439">
        <f t="shared" ca="1" si="132"/>
        <v>8.8109119828893085</v>
      </c>
      <c r="AA276" s="1439">
        <f t="shared" ca="1" si="133"/>
        <v>0</v>
      </c>
      <c r="AB276" s="1439">
        <f t="shared" ca="1" si="134"/>
        <v>48</v>
      </c>
      <c r="AC276" s="1438">
        <f t="shared" ca="1" si="135"/>
        <v>0</v>
      </c>
      <c r="AD276" s="1439">
        <f ca="1">IF(B276&gt;=$J$5,0,CONTADORES!H284-CONTADORES!H283)</f>
        <v>164.63000000000102</v>
      </c>
      <c r="AE276" s="1438">
        <f ca="1">IF(B276&gt;=$J$5,0,CONTADORES!J284-CONTADORES!J283)</f>
        <v>24</v>
      </c>
      <c r="AF276" s="1439">
        <f ca="1">IF(B276&gt;=$J$5,0,CONTADORES!AS284-CONTADORES!AS283)</f>
        <v>150.36999999999534</v>
      </c>
      <c r="AG276" s="1438">
        <f ca="1">IF(B276&gt;=$J$5,0,CONTADORES!AU284-CONTADORES!AU283)</f>
        <v>24</v>
      </c>
      <c r="AH276" s="1439">
        <f ca="1">IF(B276&gt;=$J$5,0,(CONTADORES!AK284-CONTADORES!AK283)+(CONTADORES!K284-CONTADORES!K283))</f>
        <v>9.0999999999985448</v>
      </c>
      <c r="AI276" s="1439">
        <f ca="1">IF(B276&gt;=$J$5,0,(CONTADORES!AI284-CONTADORES!AI283)+(CONTADORES!M284-CONTADORES!M283))</f>
        <v>37.69999999999709</v>
      </c>
      <c r="AJ276" s="1439">
        <f ca="1">IF(B276&gt;=$J$5,0,(CONTADORES!AG284-CONTADORES!AG283))</f>
        <v>6.8500000000058208</v>
      </c>
      <c r="AK276" s="1439">
        <f ca="1">IF(B276&gt;=$J$5,0,(CONTADORES!O284-CONTADORES!O283))</f>
        <v>12.579999999987194</v>
      </c>
      <c r="AL276" s="1500">
        <f t="shared" ca="1" si="136"/>
        <v>35.220000000030268</v>
      </c>
      <c r="AM276" s="1450">
        <f ca="1">IF(B276&gt;=$J$5,0,(((CONTADORES!F284-CONTADORES!F283)+(CONTADORES!AO284-CONTADORES!AO283))))-BJ276-AF276-AN276-BM276-BP276-BU276-BS276</f>
        <v>8.5410000000254023</v>
      </c>
      <c r="AN276" s="1439">
        <f ca="1">IF(B276&gt;=$J$5,0,(CONTADORES!AV284-CONTADORES!AV283)+(CONTADORES!AX284-CONTADORES!AX283)+(CONTADORES!BC284-CONTADORES!BC283))</f>
        <v>4.5800000000002115</v>
      </c>
      <c r="AO276" s="1474">
        <f>(CONTADORES!AA284-CONTADORES!AA283)</f>
        <v>62.380000000004657</v>
      </c>
      <c r="AP276" s="1474">
        <f>(CONTADORES!V284-CONTADORES!V283)</f>
        <v>161.45999999999913</v>
      </c>
      <c r="AQ276" s="1440">
        <f>(CONTADORES!C284-CONTADORES!C283)</f>
        <v>0</v>
      </c>
      <c r="AR276" s="1440">
        <f>(CONTADORES!BA284-CONTADORES!BA283)</f>
        <v>0</v>
      </c>
      <c r="AS276" s="1438">
        <f ca="1">IF(B276&gt;=$J$5,0,CONTADORES!Q284-CONTADORES!Q283)</f>
        <v>14.350000000005821</v>
      </c>
      <c r="AT276" s="1438">
        <f ca="1">IF(B276&gt;=$J$5,0,(CONTADORES!S284-CONTADORES!S283)+(CONTADORES!AE284-CONTADORES!AE283))</f>
        <v>3.410000000000025</v>
      </c>
      <c r="AU276" s="1474">
        <f>CONTADORES!I284-CONTADORES!I283</f>
        <v>81.010000000000218</v>
      </c>
      <c r="AV276" s="1440">
        <f>CONTADORES!AT284-CONTADORES!AT283</f>
        <v>64.959999999991851</v>
      </c>
      <c r="AW276" s="1440">
        <f ca="1">IF(B276&gt;=$J$5,0,(CONTADORES!L284-CONTADORES!L283)+(CONTADORES!AL284-CONTADORES!AL283))</f>
        <v>3.2999999999992724</v>
      </c>
      <c r="AX276" s="1440">
        <f ca="1">IF(B276&gt;=$J$5,0,(CONTADORES!N284-CONTADORES!N283)+(CONTADORES!AJ284-CONTADORES!AJ283))</f>
        <v>32.599999999998545</v>
      </c>
      <c r="AY276" s="1440">
        <f ca="1">IF(B276&gt;=$J$5,0,(CONTADORES!AH284-CONTADORES!AH283))</f>
        <v>5.1200000000026193</v>
      </c>
      <c r="AZ276" s="1440">
        <f ca="1">IF(B276&gt;=$J$5,0,(CONTADORES!P284-CONTADORES!P283))</f>
        <v>10.169999999998254</v>
      </c>
      <c r="BA276" s="1450">
        <f t="shared" ca="1" si="137"/>
        <v>10.073999999993589</v>
      </c>
      <c r="BB276" s="1440">
        <f ca="1">IF(B276&gt;=$J$5,0,(((CONTADORES!G284-CONTADORES!G283)+(CONTADORES!AP284-CONTADORES!AP283)+AR276)-(AV276+BC276)))</f>
        <v>8.7700000000191665</v>
      </c>
      <c r="BC276" s="1438">
        <f ca="1">IF(B276&gt;=$J$5,0,(CONTADORES!AW284-CONTADORES!AW283)+(CONTADORES!AY284-CONTADORES!AY283)+(CONTADORES!BD284-CONTADORES!BD283))</f>
        <v>1.5700000000000784</v>
      </c>
      <c r="BD276" s="1438">
        <f t="shared" si="138"/>
        <v>223.84000000000378</v>
      </c>
      <c r="BE276" s="1439">
        <f ca="1">IF($B276&gt;=$J$5,0,CONTADORES!$BE284)</f>
        <v>5342.37</v>
      </c>
      <c r="BF276" s="1438">
        <f ca="1">IF($B276&gt;=$J$5,0,CONTADORES!$BF284)</f>
        <v>35127.045614035102</v>
      </c>
      <c r="BG276" s="1438">
        <f ca="1">IF($B276&gt;=$J$5,0,CONTADORES!$BH284)</f>
        <v>6200.37</v>
      </c>
      <c r="BH276" s="1438">
        <f ca="1">IF(B276&gt;=$J$5,0,(CONTADORES!AQ284-CONTADORES!AQ283))</f>
        <v>4.6039999999920838</v>
      </c>
      <c r="BI276" s="1438">
        <f ca="1">IF(C276&gt;=$J$5,0,(CONTADORES!AR284-CONTADORES!AR283))</f>
        <v>0</v>
      </c>
      <c r="BJ276" s="1438">
        <f ca="1">IF(B276&gt;=$J$5,0,CONTADORES!BI284-CONTADORES!BI283)/1000</f>
        <v>2.1840000000000002</v>
      </c>
      <c r="BK276" s="1438">
        <f ca="1">IF(BF276&gt;=$J$5,0,CONTADORES!BJ284-CONTADORES!BJ283)</f>
        <v>1</v>
      </c>
      <c r="BL276" s="1438">
        <f ca="1">IF(BG276&gt;=$J$5,0,CONTADORES!BK284-CONTADORES!BK283)</f>
        <v>24</v>
      </c>
      <c r="BM276" s="1438">
        <f ca="1">IF(B276&gt;=$J$5,0,CONTADORES!BL284-CONTADORES!BL283)/1000</f>
        <v>5.0720000000000001</v>
      </c>
      <c r="BN276" s="1438">
        <f ca="1">IF(B276&gt;=$J$5,0,CONTADORES!BM284-CONTADORES!BM283)/1000</f>
        <v>1.0509999999999999</v>
      </c>
      <c r="BO276" s="1438">
        <f ca="1">IF(B276&gt;=$J$5,0,CONTADORES!BN284-CONTADORES!BN283)</f>
        <v>24.039999999997235</v>
      </c>
      <c r="BP276" s="1438">
        <f ca="1">IF(B276&gt;=$J$5,0,CONTADORES!BO284-CONTADORES!BO283)/1000</f>
        <v>0</v>
      </c>
      <c r="BQ276" s="1438">
        <f ca="1">IF(B276&gt;=$J$5,0,CONTADORES!BP284-CONTADORES!BP283)/1000</f>
        <v>0</v>
      </c>
      <c r="BR276" s="1438">
        <f ca="1">IF(B276&gt;=$J$5,0,CONTADORES!BQ284-CONTADORES!BQ283)</f>
        <v>0</v>
      </c>
      <c r="BS276" s="1439">
        <f ca="1">IF(B276&gt;=$J$5,0,(CONTADORES!BT284-CONTADORES!BT283)+(CONTADORES!BV284-CONTADORES!BV283))/1000</f>
        <v>1.4630000000000001</v>
      </c>
      <c r="BT276" s="1439">
        <f ca="1">IF(B276&gt;=$J$5,0,(CONTADORES!BU284-CONTADORES!BU283)+(CONTADORES!BW284-CONTADORES!BW283))/1000</f>
        <v>0.91500000000000004</v>
      </c>
      <c r="BU276" s="1439">
        <f ca="1">IF(B276&gt;=$J$5,0,CONTADORES!BR284-CONTADORES!BR283)</f>
        <v>4.4900000000016007</v>
      </c>
      <c r="BV276" s="1439">
        <f ca="1">IF(B276&gt;=$J$5,0,CONTADORES!BS284-CONTADORES!BS283)</f>
        <v>3.3000000000001819</v>
      </c>
      <c r="BW276" s="1450">
        <f t="shared" ca="1" si="139"/>
        <v>8.7605000000143018</v>
      </c>
      <c r="BX276" s="1450">
        <f t="shared" ca="1" si="140"/>
        <v>7.6850000000097651</v>
      </c>
      <c r="BY276" s="1450">
        <f t="shared" ca="1" si="141"/>
        <v>4.2705000000127011</v>
      </c>
      <c r="BZ276" s="1450">
        <f t="shared" ca="1" si="142"/>
        <v>1.8320000000000847</v>
      </c>
      <c r="CA276" s="1450">
        <f t="shared" ca="1" si="143"/>
        <v>4.2705000000127011</v>
      </c>
      <c r="CB276" s="1450">
        <f t="shared" ca="1" si="144"/>
        <v>2.7480000000001268</v>
      </c>
      <c r="CC276" s="1450">
        <f t="shared" ca="1" si="145"/>
        <v>3.2950000000000847</v>
      </c>
      <c r="CD276" s="1450">
        <f t="shared" ca="1" si="146"/>
        <v>4.3850000000095832</v>
      </c>
      <c r="CE276" s="1450">
        <f ca="1">IF(B276&gt;=$J$5,0,CONTADORES!BS284-CONTADORES!BS283)</f>
        <v>3.3000000000001819</v>
      </c>
      <c r="CF276" s="1450">
        <f t="shared" ca="1" si="147"/>
        <v>4.3850000000095832</v>
      </c>
      <c r="CG276" s="1450">
        <f t="shared" ca="1" si="148"/>
        <v>0.78500000000003922</v>
      </c>
      <c r="CH276" s="1450">
        <f t="shared" ca="1" si="149"/>
        <v>0.78500000000003922</v>
      </c>
      <c r="CI276" s="1450">
        <f t="shared" ca="1" si="150"/>
        <v>1.7000000000000393</v>
      </c>
      <c r="CJ276" s="1450">
        <f ca="1">IF($B276&gt;=$J$5,0,CONTADORES!$BG284)</f>
        <v>10942.0351173114</v>
      </c>
      <c r="CK276" s="1384">
        <f>CONTADORES!E284</f>
        <v>0</v>
      </c>
      <c r="CL276" s="1384">
        <f>CONTADORES!BX284</f>
        <v>0</v>
      </c>
    </row>
    <row r="277" spans="2:90">
      <c r="B277" s="410">
        <v>45193</v>
      </c>
      <c r="C277" s="208">
        <f t="shared" ca="1" si="126"/>
        <v>63.75</v>
      </c>
      <c r="D277" s="202">
        <f ca="1">'CALCULO DE GAS'!P95</f>
        <v>2.8961481303333323</v>
      </c>
      <c r="E277" s="202">
        <f ca="1">IF(B277&gt;=$J$5,0,(CONTADORES!$AB285-CONTADORES!$AB284)-$H277)</f>
        <v>24</v>
      </c>
      <c r="F277" s="204">
        <f t="shared" ca="1" si="125"/>
        <v>0</v>
      </c>
      <c r="G277" s="202">
        <f ca="1">IF(B277&gt;=$J$5,0,CONTADORES!$AD285-CONTADORES!$AD284)</f>
        <v>0</v>
      </c>
      <c r="H277" s="202">
        <f ca="1">IF(G277&gt;0,CONTADORES!$AC285-CONTADORES!$AC284,0)</f>
        <v>0</v>
      </c>
      <c r="I277" s="1437">
        <f ca="1">IF(B277&gt;=$J$5,0,CONTADORES!$Z285-CONTADORES!$Z284)</f>
        <v>63.75</v>
      </c>
      <c r="J277" s="208">
        <f t="shared" ca="1" si="127"/>
        <v>386.05000000000291</v>
      </c>
      <c r="K277" s="202">
        <f ca="1">'CALCULO DE GAS'!Q95</f>
        <v>5.9433999692222477</v>
      </c>
      <c r="L277" s="1437">
        <f ca="1">IF(B277&gt;=$J$5,0,(CONTADORES!$W285-CONTADORES!$W284)-$O277)</f>
        <v>24</v>
      </c>
      <c r="M277" s="1437">
        <f t="shared" ca="1" si="124"/>
        <v>0</v>
      </c>
      <c r="N277" s="1437">
        <f ca="1">IF(B277&gt;=$J$5,0,CONTADORES!$Y285-CONTADORES!$Y284)</f>
        <v>0</v>
      </c>
      <c r="O277" s="205">
        <f ca="1">IF(N277&gt;0,CONTADORES!$X285-CONTADORES!$X284,0)</f>
        <v>0</v>
      </c>
      <c r="P277" s="1439">
        <f ca="1">IF(B277&gt;=$J$5,0,CONTADORES!$U285-CONTADORES!$U284)</f>
        <v>386.05000000000291</v>
      </c>
      <c r="Q277" s="208">
        <f ca="1">IF(B277&gt;=$J$5,0,CONTADORES!$B285-CONTADORES!$B284)</f>
        <v>0</v>
      </c>
      <c r="R277" s="202">
        <f t="shared" ca="1" si="128"/>
        <v>0</v>
      </c>
      <c r="S277" s="11">
        <f ca="1">IF(B277&gt;=$J$5,0,CONTADORES!$D285-CONTADORES!$D284)</f>
        <v>0</v>
      </c>
      <c r="T277" s="208">
        <f ca="1">IF(B277&gt;=$J$5,0,CONTADORES!$AZ285-CONTADORES!$AZ284)</f>
        <v>0</v>
      </c>
      <c r="U277" s="202">
        <f t="shared" ca="1" si="123"/>
        <v>0</v>
      </c>
      <c r="V277" s="205">
        <f ca="1">IF(B277&gt;=$J$5,0,CONTADORES!$BB285-CONTADORES!$BB284)</f>
        <v>0</v>
      </c>
      <c r="W277" s="1438">
        <f t="shared" ca="1" si="129"/>
        <v>449.80000000000291</v>
      </c>
      <c r="X277" s="1438">
        <f t="shared" ca="1" si="130"/>
        <v>0</v>
      </c>
      <c r="Y277" s="1439">
        <f t="shared" ca="1" si="131"/>
        <v>449.80000000000291</v>
      </c>
      <c r="Z277" s="1439">
        <f t="shared" ca="1" si="132"/>
        <v>8.8395480995555804</v>
      </c>
      <c r="AA277" s="1439">
        <f t="shared" ca="1" si="133"/>
        <v>0</v>
      </c>
      <c r="AB277" s="1439">
        <f t="shared" ca="1" si="134"/>
        <v>48</v>
      </c>
      <c r="AC277" s="1438">
        <f t="shared" ca="1" si="135"/>
        <v>0</v>
      </c>
      <c r="AD277" s="1439">
        <f ca="1">IF(B277&gt;=$J$5,0,CONTADORES!H285-CONTADORES!H284)</f>
        <v>166.69999999999709</v>
      </c>
      <c r="AE277" s="1438">
        <f ca="1">IF(B277&gt;=$J$5,0,CONTADORES!J285-CONTADORES!J284)</f>
        <v>24</v>
      </c>
      <c r="AF277" s="1439">
        <f ca="1">IF(B277&gt;=$J$5,0,CONTADORES!AS285-CONTADORES!AS284)</f>
        <v>150.5</v>
      </c>
      <c r="AG277" s="1438">
        <f ca="1">IF(B277&gt;=$J$5,0,CONTADORES!AU285-CONTADORES!AU284)</f>
        <v>24</v>
      </c>
      <c r="AH277" s="1439">
        <f ca="1">IF(B277&gt;=$J$5,0,(CONTADORES!AK285-CONTADORES!AK284)+(CONTADORES!K285-CONTADORES!K284))</f>
        <v>11.099999999998545</v>
      </c>
      <c r="AI277" s="1439">
        <f ca="1">IF(B277&gt;=$J$5,0,(CONTADORES!AI285-CONTADORES!AI284)+(CONTADORES!M285-CONTADORES!M284))</f>
        <v>37.639999999999418</v>
      </c>
      <c r="AJ277" s="1439">
        <f ca="1">IF(B277&gt;=$J$5,0,(CONTADORES!AG285-CONTADORES!AG284))</f>
        <v>6.2799999999988358</v>
      </c>
      <c r="AK277" s="1439">
        <f ca="1">IF(B277&gt;=$J$5,0,(CONTADORES!O285-CONTADORES!O284))</f>
        <v>12.660000000003492</v>
      </c>
      <c r="AL277" s="1500">
        <f t="shared" ca="1" si="136"/>
        <v>35.320000000039727</v>
      </c>
      <c r="AM277" s="1450">
        <f ca="1">IF(B277&gt;=$J$5,0,(((CONTADORES!F285-CONTADORES!F284)+(CONTADORES!AO285-CONTADORES!AO284))))-BJ277-AF277-AN277-BM277-BP277-BU277-BS277</f>
        <v>10.394999999966709</v>
      </c>
      <c r="AN277" s="1439">
        <f ca="1">IF(B277&gt;=$J$5,0,(CONTADORES!AV285-CONTADORES!AV284)+(CONTADORES!AX285-CONTADORES!AX284)+(CONTADORES!BC285-CONTADORES!BC284))</f>
        <v>4.5600000000001728</v>
      </c>
      <c r="AO277" s="1474">
        <f>(CONTADORES!AA285-CONTADORES!AA284)</f>
        <v>30.830000000016298</v>
      </c>
      <c r="AP277" s="1474">
        <f>(CONTADORES!V285-CONTADORES!V284)</f>
        <v>198</v>
      </c>
      <c r="AQ277" s="1440">
        <f>(CONTADORES!C285-CONTADORES!C284)</f>
        <v>0</v>
      </c>
      <c r="AR277" s="1440">
        <f>(CONTADORES!BA285-CONTADORES!BA284)</f>
        <v>0</v>
      </c>
      <c r="AS277" s="1438">
        <f ca="1">IF(B277&gt;=$J$5,0,CONTADORES!Q285-CONTADORES!Q284)</f>
        <v>14.35999999998603</v>
      </c>
      <c r="AT277" s="1438">
        <f ca="1">IF(B277&gt;=$J$5,0,(CONTADORES!S285-CONTADORES!S284)+(CONTADORES!AE285-CONTADORES!AE284))</f>
        <v>3.339999999999975</v>
      </c>
      <c r="AU277" s="1474">
        <f>CONTADORES!I285-CONTADORES!I284</f>
        <v>82.299999999999272</v>
      </c>
      <c r="AV277" s="1440">
        <f>CONTADORES!AT285-CONTADORES!AT284</f>
        <v>65.100000000005821</v>
      </c>
      <c r="AW277" s="1440">
        <f ca="1">IF(B277&gt;=$J$5,0,(CONTADORES!L285-CONTADORES!L284)+(CONTADORES!AL285-CONTADORES!AL284))</f>
        <v>4.4000000000014552</v>
      </c>
      <c r="AX277" s="1440">
        <f ca="1">IF(B277&gt;=$J$5,0,(CONTADORES!N285-CONTADORES!N284)+(CONTADORES!AJ285-CONTADORES!AJ284))</f>
        <v>32.590000000003783</v>
      </c>
      <c r="AY277" s="1440">
        <f ca="1">IF(B277&gt;=$J$5,0,(CONTADORES!AH285-CONTADORES!AH284))</f>
        <v>4.819999999999709</v>
      </c>
      <c r="AZ277" s="1440">
        <f ca="1">IF(B277&gt;=$J$5,0,(CONTADORES!P285-CONTADORES!P284))</f>
        <v>10.029999999998836</v>
      </c>
      <c r="BA277" s="1450">
        <f t="shared" ca="1" si="137"/>
        <v>11.606000000018753</v>
      </c>
      <c r="BB277" s="1440">
        <f ca="1">IF(B277&gt;=$J$5,0,(((CONTADORES!G285-CONTADORES!G284)+(CONTADORES!AP285-CONTADORES!AP284)+AR277)-(AV277+BC277)))</f>
        <v>10.439999999988885</v>
      </c>
      <c r="BC277" s="1438">
        <f ca="1">IF(B277&gt;=$J$5,0,(CONTADORES!AW285-CONTADORES!AW284)+(CONTADORES!AY285-CONTADORES!AY284)+(CONTADORES!BD285-CONTADORES!BD284))</f>
        <v>1.5600000000002012</v>
      </c>
      <c r="BD277" s="1438">
        <f t="shared" si="138"/>
        <v>228.8300000000163</v>
      </c>
      <c r="BE277" s="1439">
        <f ca="1">IF($B277&gt;=$J$5,0,CONTADORES!$BE285)</f>
        <v>4595.74</v>
      </c>
      <c r="BF277" s="1438">
        <f ca="1">IF($B277&gt;=$J$5,0,CONTADORES!$BF285)</f>
        <v>34779.289473684199</v>
      </c>
      <c r="BG277" s="1438">
        <f ca="1">IF($B277&gt;=$J$5,0,CONTADORES!$BH285)</f>
        <v>5472.45</v>
      </c>
      <c r="BH277" s="1438">
        <f ca="1">IF(B277&gt;=$J$5,0,(CONTADORES!AQ285-CONTADORES!AQ284))</f>
        <v>4.5899999999965075</v>
      </c>
      <c r="BI277" s="1438">
        <f ca="1">IF(C277&gt;=$J$5,0,(CONTADORES!AR285-CONTADORES!AR284))</f>
        <v>0</v>
      </c>
      <c r="BJ277" s="1438">
        <f ca="1">IF(B277&gt;=$J$5,0,CONTADORES!BI285-CONTADORES!BI284)/1000</f>
        <v>3.2879999999999998</v>
      </c>
      <c r="BK277" s="1438">
        <f ca="1">IF(BF277&gt;=$J$5,0,CONTADORES!BJ285-CONTADORES!BJ284)</f>
        <v>1</v>
      </c>
      <c r="BL277" s="1438">
        <f ca="1">IF(BG277&gt;=$J$5,0,CONTADORES!BK285-CONTADORES!BK284)</f>
        <v>24</v>
      </c>
      <c r="BM277" s="1438">
        <f ca="1">IF(B277&gt;=$J$5,0,CONTADORES!BL285-CONTADORES!BL284)/1000</f>
        <v>5.4370000000000003</v>
      </c>
      <c r="BN277" s="1438">
        <f ca="1">IF(B277&gt;=$J$5,0,CONTADORES!BM285-CONTADORES!BM284)/1000</f>
        <v>0.83899999999999997</v>
      </c>
      <c r="BO277" s="1438">
        <f ca="1">IF(B277&gt;=$J$5,0,CONTADORES!BN285-CONTADORES!BN284)</f>
        <v>23.900000000001455</v>
      </c>
      <c r="BP277" s="1438">
        <f ca="1">IF(B277&gt;=$J$5,0,CONTADORES!BO285-CONTADORES!BO284)/1000</f>
        <v>0</v>
      </c>
      <c r="BQ277" s="1438">
        <f ca="1">IF(B277&gt;=$J$5,0,CONTADORES!BP285-CONTADORES!BP284)/1000</f>
        <v>0</v>
      </c>
      <c r="BR277" s="1438">
        <f ca="1">IF(B277&gt;=$J$5,0,CONTADORES!BQ285-CONTADORES!BQ284)</f>
        <v>0</v>
      </c>
      <c r="BS277" s="1439">
        <f ca="1">IF(B277&gt;=$J$5,0,(CONTADORES!BT285-CONTADORES!BT284)+(CONTADORES!BV285-CONTADORES!BV284))/1000</f>
        <v>1.47</v>
      </c>
      <c r="BT277" s="1439">
        <f ca="1">IF(B277&gt;=$J$5,0,(CONTADORES!BU285-CONTADORES!BU284)+(CONTADORES!BW285-CONTADORES!BW284))/1000</f>
        <v>0.91500000000000004</v>
      </c>
      <c r="BU277" s="1439">
        <f ca="1">IF(B277&gt;=$J$5,0,CONTADORES!BR285-CONTADORES!BR284)</f>
        <v>4.4499999999989086</v>
      </c>
      <c r="BV277" s="1439">
        <f ca="1">IF(B277&gt;=$J$5,0,CONTADORES!BS285-CONTADORES!BS284)</f>
        <v>3.2299999999995634</v>
      </c>
      <c r="BW277" s="1450">
        <f t="shared" ca="1" si="139"/>
        <v>9.6474999999822622</v>
      </c>
      <c r="BX277" s="1450">
        <f t="shared" ca="1" si="140"/>
        <v>8.4499999999940059</v>
      </c>
      <c r="BY277" s="1450">
        <f t="shared" ca="1" si="141"/>
        <v>5.1974999999833544</v>
      </c>
      <c r="BZ277" s="1450">
        <f t="shared" ca="1" si="142"/>
        <v>1.8240000000000691</v>
      </c>
      <c r="CA277" s="1450">
        <f t="shared" ca="1" si="143"/>
        <v>5.1974999999833544</v>
      </c>
      <c r="CB277" s="1450">
        <f t="shared" ca="1" si="144"/>
        <v>2.7360000000001037</v>
      </c>
      <c r="CC277" s="1450">
        <f t="shared" ca="1" si="145"/>
        <v>3.2940000000000689</v>
      </c>
      <c r="CD277" s="1450">
        <f t="shared" ca="1" si="146"/>
        <v>5.2199999999944424</v>
      </c>
      <c r="CE277" s="1450">
        <f ca="1">IF(B277&gt;=$J$5,0,CONTADORES!BS285-CONTADORES!BS284)</f>
        <v>3.2299999999995634</v>
      </c>
      <c r="CF277" s="1450">
        <f t="shared" ca="1" si="147"/>
        <v>5.2199999999944424</v>
      </c>
      <c r="CG277" s="1450">
        <f t="shared" ca="1" si="148"/>
        <v>0.78000000000010061</v>
      </c>
      <c r="CH277" s="1450">
        <f t="shared" ca="1" si="149"/>
        <v>0.78000000000010061</v>
      </c>
      <c r="CI277" s="1450">
        <f t="shared" ca="1" si="150"/>
        <v>1.6950000000001006</v>
      </c>
      <c r="CJ277" s="1450">
        <f ca="1">IF($B277&gt;=$J$5,0,CONTADORES!$BG285)</f>
        <v>9806.2753935745495</v>
      </c>
      <c r="CK277" s="1384">
        <f>CONTADORES!E285</f>
        <v>0</v>
      </c>
      <c r="CL277" s="1384">
        <f>CONTADORES!BX285</f>
        <v>0</v>
      </c>
    </row>
    <row r="278" spans="2:90">
      <c r="B278" s="410">
        <v>45194</v>
      </c>
      <c r="C278" s="208">
        <f t="shared" ca="1" si="126"/>
        <v>198.19999999995343</v>
      </c>
      <c r="D278" s="202">
        <f ca="1">'CALCULO DE GAS'!P96</f>
        <v>4.2395277136662015</v>
      </c>
      <c r="E278" s="202">
        <f ca="1">IF(B278&gt;=$J$5,0,(CONTADORES!$AB286-CONTADORES!$AB285)-$H278)</f>
        <v>24</v>
      </c>
      <c r="F278" s="204">
        <f t="shared" ca="1" si="125"/>
        <v>0</v>
      </c>
      <c r="G278" s="202">
        <f ca="1">IF(B278&gt;=$J$5,0,CONTADORES!$AD286-CONTADORES!$AD285)</f>
        <v>0</v>
      </c>
      <c r="H278" s="202">
        <f ca="1">IF(G278&gt;0,CONTADORES!$AC286-CONTADORES!$AC285,0)</f>
        <v>0</v>
      </c>
      <c r="I278" s="1437">
        <f ca="1">IF(B278&gt;=$J$5,0,CONTADORES!$Z286-CONTADORES!$Z285)</f>
        <v>198.19999999995343</v>
      </c>
      <c r="J278" s="208">
        <f t="shared" ca="1" si="127"/>
        <v>244.31999999999243</v>
      </c>
      <c r="K278" s="202">
        <f ca="1">'CALCULO DE GAS'!Q96</f>
        <v>4.6216889803332624</v>
      </c>
      <c r="L278" s="1437">
        <f ca="1">IF(B278&gt;=$J$5,0,(CONTADORES!$W286-CONTADORES!$W285)-$O278)</f>
        <v>24</v>
      </c>
      <c r="M278" s="1437">
        <f t="shared" ca="1" si="124"/>
        <v>0</v>
      </c>
      <c r="N278" s="1437">
        <f ca="1">IF(B278&gt;=$J$5,0,CONTADORES!$Y286-CONTADORES!$Y285)</f>
        <v>0</v>
      </c>
      <c r="O278" s="205">
        <f ca="1">IF(N278&gt;0,CONTADORES!$X286-CONTADORES!$X285,0)</f>
        <v>0</v>
      </c>
      <c r="P278" s="1439">
        <f ca="1">IF(B278&gt;=$J$5,0,CONTADORES!$U286-CONTADORES!$U285)</f>
        <v>244.31999999999243</v>
      </c>
      <c r="Q278" s="208">
        <f ca="1">IF(B278&gt;=$J$5,0,CONTADORES!$B286-CONTADORES!$B285)</f>
        <v>0.3000000000001819</v>
      </c>
      <c r="R278" s="202">
        <f t="shared" ca="1" si="128"/>
        <v>36.000000000021828</v>
      </c>
      <c r="S278" s="11">
        <f ca="1">IF(B278&gt;=$J$5,0,CONTADORES!$D286-CONTADORES!$D285)</f>
        <v>0.8000000000001819</v>
      </c>
      <c r="T278" s="208">
        <f ca="1">IF(B278&gt;=$J$5,0,CONTADORES!$AZ286-CONTADORES!$AZ285)</f>
        <v>0.33199999999999363</v>
      </c>
      <c r="U278" s="202">
        <f t="shared" ca="1" si="123"/>
        <v>39.839999999999236</v>
      </c>
      <c r="V278" s="205">
        <f ca="1">IF(B278&gt;=$J$5,0,CONTADORES!$BB286-CONTADORES!$BB285)</f>
        <v>0.70000000000004547</v>
      </c>
      <c r="W278" s="1438">
        <f t="shared" ca="1" si="129"/>
        <v>442.51999999994587</v>
      </c>
      <c r="X278" s="1438">
        <f t="shared" ca="1" si="130"/>
        <v>0.63200000000017553</v>
      </c>
      <c r="Y278" s="1439">
        <f t="shared" ca="1" si="131"/>
        <v>443.15199999994604</v>
      </c>
      <c r="Z278" s="1439">
        <f t="shared" ca="1" si="132"/>
        <v>8.861216693999463</v>
      </c>
      <c r="AA278" s="1439">
        <f t="shared" ca="1" si="133"/>
        <v>75.840000000021064</v>
      </c>
      <c r="AB278" s="1439">
        <f t="shared" ca="1" si="134"/>
        <v>48</v>
      </c>
      <c r="AC278" s="1438">
        <f t="shared" ca="1" si="135"/>
        <v>1.5000000000002274</v>
      </c>
      <c r="AD278" s="1439">
        <f ca="1">IF(B278&gt;=$J$5,0,CONTADORES!H286-CONTADORES!H285)</f>
        <v>161.30000000000291</v>
      </c>
      <c r="AE278" s="1438">
        <f ca="1">IF(B278&gt;=$J$5,0,CONTADORES!J286-CONTADORES!J285)</f>
        <v>24</v>
      </c>
      <c r="AF278" s="1439">
        <f ca="1">IF(B278&gt;=$J$5,0,CONTADORES!AS286-CONTADORES!AS285)</f>
        <v>148.89000000001397</v>
      </c>
      <c r="AG278" s="1438">
        <f ca="1">IF(B278&gt;=$J$5,0,CONTADORES!AU286-CONTADORES!AU285)</f>
        <v>24</v>
      </c>
      <c r="AH278" s="1439">
        <f ca="1">IF(B278&gt;=$J$5,0,(CONTADORES!AK286-CONTADORES!AK285)+(CONTADORES!K286-CONTADORES!K285))</f>
        <v>10.100000000000364</v>
      </c>
      <c r="AI278" s="1439">
        <f ca="1">IF(B278&gt;=$J$5,0,(CONTADORES!AI286-CONTADORES!AI285)+(CONTADORES!M286-CONTADORES!M285))</f>
        <v>37.280000000013388</v>
      </c>
      <c r="AJ278" s="1439">
        <f ca="1">IF(B278&gt;=$J$5,0,(CONTADORES!AG286-CONTADORES!AG285))</f>
        <v>7.8099999999976717</v>
      </c>
      <c r="AK278" s="1439">
        <f ca="1">IF(B278&gt;=$J$5,0,(CONTADORES!O286-CONTADORES!O285))</f>
        <v>12.309999999997672</v>
      </c>
      <c r="AL278" s="1500">
        <f t="shared" ca="1" si="136"/>
        <v>35.551999999909299</v>
      </c>
      <c r="AM278" s="1450">
        <f ca="1">IF(B278&gt;=$J$5,0,(((CONTADORES!F286-CONTADORES!F285)+(CONTADORES!AO286-CONTADORES!AO285))))-BJ278-AF278-AN278-BM278-BP278-BU278-BS278</f>
        <v>12.067000000010651</v>
      </c>
      <c r="AN278" s="1439">
        <f ca="1">IF(B278&gt;=$J$5,0,(CONTADORES!AV286-CONTADORES!AV285)+(CONTADORES!AX286-CONTADORES!AX285)+(CONTADORES!BC286-CONTADORES!BC285))</f>
        <v>4.5500000000001819</v>
      </c>
      <c r="AO278" s="1474">
        <f>(CONTADORES!AA286-CONTADORES!AA285)</f>
        <v>94.5</v>
      </c>
      <c r="AP278" s="1474">
        <f>(CONTADORES!V286-CONTADORES!V285)</f>
        <v>129</v>
      </c>
      <c r="AQ278" s="1440">
        <f>(CONTADORES!C286-CONTADORES!C285)</f>
        <v>0.14900000000000091</v>
      </c>
      <c r="AR278" s="1440">
        <f>(CONTADORES!BA286-CONTADORES!BA285)</f>
        <v>0.12700000000000955</v>
      </c>
      <c r="AS278" s="1438">
        <f ca="1">IF(B278&gt;=$J$5,0,CONTADORES!Q286-CONTADORES!Q285)</f>
        <v>15.230000000010477</v>
      </c>
      <c r="AT278" s="1438">
        <f ca="1">IF(B278&gt;=$J$5,0,(CONTADORES!S286-CONTADORES!S285)+(CONTADORES!AE286-CONTADORES!AE285))</f>
        <v>3.2800000000000296</v>
      </c>
      <c r="AU278" s="1474">
        <f>CONTADORES!I286-CONTADORES!I285</f>
        <v>80.799999999999272</v>
      </c>
      <c r="AV278" s="1440">
        <f>CONTADORES!AT286-CONTADORES!AT285</f>
        <v>64.230000000010477</v>
      </c>
      <c r="AW278" s="1440">
        <f ca="1">IF(B278&gt;=$J$5,0,(CONTADORES!L286-CONTADORES!L285)+(CONTADORES!AL286-CONTADORES!AL285))</f>
        <v>3.8999999999978172</v>
      </c>
      <c r="AX278" s="1440">
        <f ca="1">IF(B278&gt;=$J$5,0,(CONTADORES!N286-CONTADORES!N285)+(CONTADORES!AJ286-CONTADORES!AJ285))</f>
        <v>32.19999999999709</v>
      </c>
      <c r="AY278" s="1440">
        <f ca="1">IF(B278&gt;=$J$5,0,(CONTADORES!AH286-CONTADORES!AH285))</f>
        <v>6.0499999999956344</v>
      </c>
      <c r="AZ278" s="1440">
        <f ca="1">IF(B278&gt;=$J$5,0,(CONTADORES!P286-CONTADORES!P285))</f>
        <v>9.6900000000023283</v>
      </c>
      <c r="BA278" s="1450">
        <f t="shared" ca="1" si="137"/>
        <v>8.6889999999964402</v>
      </c>
      <c r="BB278" s="1440">
        <f ca="1">IF(B278&gt;=$J$5,0,(((CONTADORES!G286-CONTADORES!G285)+(CONTADORES!AP286-CONTADORES!AP285)+AR278)-(AV278+BC278)))</f>
        <v>10.557000000000528</v>
      </c>
      <c r="BC278" s="1438">
        <f ca="1">IF(B278&gt;=$J$5,0,(CONTADORES!AW286-CONTADORES!AW285)+(CONTADORES!AY286-CONTADORES!AY285)+(CONTADORES!BD286-CONTADORES!BD285))</f>
        <v>1.6400000000001</v>
      </c>
      <c r="BD278" s="1438">
        <f t="shared" si="138"/>
        <v>223.77600000000001</v>
      </c>
      <c r="BE278" s="1439">
        <f ca="1">IF($B278&gt;=$J$5,0,CONTADORES!$BE286)</f>
        <v>4765.4799999999996</v>
      </c>
      <c r="BF278" s="1438">
        <f ca="1">IF($B278&gt;=$J$5,0,CONTADORES!$BF286)</f>
        <v>34984.589473684202</v>
      </c>
      <c r="BG278" s="1438">
        <f ca="1">IF($B278&gt;=$J$5,0,CONTADORES!$BH286)</f>
        <v>5096.93</v>
      </c>
      <c r="BH278" s="1438">
        <f ca="1">IF(B278&gt;=$J$5,0,(CONTADORES!AQ286-CONTADORES!AQ285))</f>
        <v>5.4680000000080327</v>
      </c>
      <c r="BI278" s="1438">
        <f ca="1">IF(C278&gt;=$J$5,0,(CONTADORES!AR286-CONTADORES!AR285))</f>
        <v>0</v>
      </c>
      <c r="BJ278" s="1438">
        <f ca="1">IF(B278&gt;=$J$5,0,CONTADORES!BI286-CONTADORES!BI285)/1000</f>
        <v>2.472</v>
      </c>
      <c r="BK278" s="1438">
        <f ca="1">IF(BF278&gt;=$J$5,0,CONTADORES!BJ286-CONTADORES!BJ285)</f>
        <v>1</v>
      </c>
      <c r="BL278" s="1438">
        <f ca="1">IF(BG278&gt;=$J$5,0,CONTADORES!BK286-CONTADORES!BK285)</f>
        <v>24</v>
      </c>
      <c r="BM278" s="1438">
        <f ca="1">IF(B278&gt;=$J$5,0,CONTADORES!BL286-CONTADORES!BL285)/1000</f>
        <v>5.0629999999999997</v>
      </c>
      <c r="BN278" s="1438">
        <f ca="1">IF(B278&gt;=$J$5,0,CONTADORES!BM286-CONTADORES!BM285)/1000</f>
        <v>0.99</v>
      </c>
      <c r="BO278" s="1438">
        <f ca="1">IF(B278&gt;=$J$5,0,CONTADORES!BN286-CONTADORES!BN285)</f>
        <v>24</v>
      </c>
      <c r="BP278" s="1438">
        <f ca="1">IF(B278&gt;=$J$5,0,CONTADORES!BO286-CONTADORES!BO285)/1000</f>
        <v>0</v>
      </c>
      <c r="BQ278" s="1438">
        <f ca="1">IF(B278&gt;=$J$5,0,CONTADORES!BP286-CONTADORES!BP285)/1000</f>
        <v>0</v>
      </c>
      <c r="BR278" s="1438">
        <f ca="1">IF(B278&gt;=$J$5,0,CONTADORES!BQ286-CONTADORES!BQ285)</f>
        <v>0</v>
      </c>
      <c r="BS278" s="1439">
        <f ca="1">IF(B278&gt;=$J$5,0,(CONTADORES!BT286-CONTADORES!BT285)+(CONTADORES!BV286-CONTADORES!BV285))/1000</f>
        <v>1.4279999999999999</v>
      </c>
      <c r="BT278" s="1439">
        <f ca="1">IF(B278&gt;=$J$5,0,(CONTADORES!BU286-CONTADORES!BU285)+(CONTADORES!BW286-CONTADORES!BW285))/1000</f>
        <v>0.89</v>
      </c>
      <c r="BU278" s="1439">
        <f ca="1">IF(B278&gt;=$J$5,0,CONTADORES!BR286-CONTADORES!BR285)</f>
        <v>4.3299999999999272</v>
      </c>
      <c r="BV278" s="1439">
        <f ca="1">IF(B278&gt;=$J$5,0,CONTADORES!BS286-CONTADORES!BS285)</f>
        <v>3.1400000000003274</v>
      </c>
      <c r="BW278" s="1450">
        <f t="shared" ca="1" si="139"/>
        <v>10.363500000005253</v>
      </c>
      <c r="BX278" s="1450">
        <f t="shared" ca="1" si="140"/>
        <v>8.4185000000005914</v>
      </c>
      <c r="BY278" s="1450">
        <f t="shared" ca="1" si="141"/>
        <v>6.0335000000053256</v>
      </c>
      <c r="BZ278" s="1450">
        <f t="shared" ca="1" si="142"/>
        <v>1.8200000000000729</v>
      </c>
      <c r="CA278" s="1450">
        <f t="shared" ca="1" si="143"/>
        <v>6.0335000000053256</v>
      </c>
      <c r="CB278" s="1450">
        <f t="shared" ca="1" si="144"/>
        <v>2.7300000000001088</v>
      </c>
      <c r="CC278" s="1450">
        <f t="shared" ca="1" si="145"/>
        <v>3.2480000000000731</v>
      </c>
      <c r="CD278" s="1450">
        <f t="shared" ca="1" si="146"/>
        <v>5.278500000000264</v>
      </c>
      <c r="CE278" s="1450">
        <f ca="1">IF(B278&gt;=$J$5,0,CONTADORES!BS286-CONTADORES!BS285)</f>
        <v>3.1400000000003274</v>
      </c>
      <c r="CF278" s="1450">
        <f t="shared" ca="1" si="147"/>
        <v>5.278500000000264</v>
      </c>
      <c r="CG278" s="1450">
        <f t="shared" ca="1" si="148"/>
        <v>0.82000000000005002</v>
      </c>
      <c r="CH278" s="1450">
        <f t="shared" ca="1" si="149"/>
        <v>0.82000000000005002</v>
      </c>
      <c r="CI278" s="1450">
        <f t="shared" ca="1" si="150"/>
        <v>1.7100000000000501</v>
      </c>
      <c r="CJ278" s="1450">
        <f ca="1">IF($B278&gt;=$J$5,0,CONTADORES!$BG286)</f>
        <v>10632.747434044701</v>
      </c>
      <c r="CK278" s="1384">
        <f>CONTADORES!E286</f>
        <v>0.3</v>
      </c>
      <c r="CL278" s="1384">
        <f>CONTADORES!BX286</f>
        <v>0.3</v>
      </c>
    </row>
    <row r="279" spans="2:90">
      <c r="B279" s="410">
        <v>45195</v>
      </c>
      <c r="C279" s="208">
        <f t="shared" ca="1" si="126"/>
        <v>69.800000000046566</v>
      </c>
      <c r="D279" s="202">
        <f ca="1">'CALCULO DE GAS'!P97</f>
        <v>2.9565977136671311</v>
      </c>
      <c r="E279" s="202">
        <f ca="1">IF(B279&gt;=$J$5,0,(CONTADORES!$AB287-CONTADORES!$AB286)-$H279)</f>
        <v>11.700000000011642</v>
      </c>
      <c r="F279" s="204">
        <f t="shared" ca="1" si="125"/>
        <v>0</v>
      </c>
      <c r="G279" s="202">
        <f ca="1">IF(B279&gt;=$J$5,0,CONTADORES!$AD287-CONTADORES!$AD286)</f>
        <v>0</v>
      </c>
      <c r="H279" s="202">
        <f ca="1">IF(G279&gt;0,CONTADORES!$AC287-CONTADORES!$AC286,0)</f>
        <v>0</v>
      </c>
      <c r="I279" s="1437">
        <f ca="1">IF(B279&gt;=$J$5,0,CONTADORES!$Z287-CONTADORES!$Z286)</f>
        <v>69.800000000046566</v>
      </c>
      <c r="J279" s="208">
        <f t="shared" ca="1" si="127"/>
        <v>375.24499999999534</v>
      </c>
      <c r="K279" s="202">
        <f ca="1">'CALCULO DE GAS'!Q97</f>
        <v>5.8426373414443997</v>
      </c>
      <c r="L279" s="1437">
        <f ca="1">IF(B279&gt;=$J$5,0,(CONTADORES!$W287-CONTADORES!$W286)-$O279)</f>
        <v>24</v>
      </c>
      <c r="M279" s="1437">
        <f t="shared" ca="1" si="124"/>
        <v>0</v>
      </c>
      <c r="N279" s="1437">
        <f ca="1">IF(B279&gt;=$J$5,0,CONTADORES!$Y287-CONTADORES!$Y286)</f>
        <v>0</v>
      </c>
      <c r="O279" s="205">
        <f ca="1">IF(N279&gt;0,CONTADORES!$X287-CONTADORES!$X286,0)</f>
        <v>0</v>
      </c>
      <c r="P279" s="1439">
        <f ca="1">IF(B279&gt;=$J$5,0,CONTADORES!$U287-CONTADORES!$U286)</f>
        <v>375.24499999999534</v>
      </c>
      <c r="Q279" s="208">
        <f ca="1">IF(B279&gt;=$J$5,0,CONTADORES!$B287-CONTADORES!$B286)</f>
        <v>0</v>
      </c>
      <c r="R279" s="202">
        <f t="shared" ca="1" si="128"/>
        <v>0</v>
      </c>
      <c r="S279" s="11">
        <f ca="1">IF(B279&gt;=$J$5,0,CONTADORES!$D287-CONTADORES!$D286)</f>
        <v>0</v>
      </c>
      <c r="T279" s="208">
        <f ca="1">IF(B279&gt;=$J$5,0,CONTADORES!$AZ287-CONTADORES!$AZ286)</f>
        <v>2.5499999999999545</v>
      </c>
      <c r="U279" s="202">
        <f t="shared" ca="1" si="123"/>
        <v>305.99999999999454</v>
      </c>
      <c r="V279" s="205">
        <f ca="1">IF(B279&gt;=$J$5,0,CONTADORES!$BB287-CONTADORES!$BB286)</f>
        <v>3.2999999999999545</v>
      </c>
      <c r="W279" s="1438">
        <f t="shared" ca="1" si="129"/>
        <v>445.04500000004191</v>
      </c>
      <c r="X279" s="1438">
        <f t="shared" ca="1" si="130"/>
        <v>2.5499999999999545</v>
      </c>
      <c r="Y279" s="1439">
        <f t="shared" ca="1" si="131"/>
        <v>447.59500000004186</v>
      </c>
      <c r="Z279" s="1439">
        <f t="shared" ca="1" si="132"/>
        <v>8.7992350551115308</v>
      </c>
      <c r="AA279" s="1439">
        <f t="shared" ca="1" si="133"/>
        <v>305.99999999999454</v>
      </c>
      <c r="AB279" s="1439">
        <f t="shared" ca="1" si="134"/>
        <v>35.700000000011642</v>
      </c>
      <c r="AC279" s="1438">
        <f t="shared" ca="1" si="135"/>
        <v>3.2999999999999545</v>
      </c>
      <c r="AD279" s="1439">
        <f ca="1">IF(B279&gt;=$J$5,0,CONTADORES!H287-CONTADORES!H286)</f>
        <v>163.71999999999753</v>
      </c>
      <c r="AE279" s="1438">
        <f ca="1">IF(B279&gt;=$J$5,0,CONTADORES!J287-CONTADORES!J286)</f>
        <v>24</v>
      </c>
      <c r="AF279" s="1439">
        <f ca="1">IF(B279&gt;=$J$5,0,CONTADORES!AS287-CONTADORES!AS286)</f>
        <v>150.20000000001164</v>
      </c>
      <c r="AG279" s="1438">
        <f ca="1">IF(B279&gt;=$J$5,0,CONTADORES!AU287-CONTADORES!AU286)</f>
        <v>24</v>
      </c>
      <c r="AH279" s="1439">
        <f ca="1">IF(B279&gt;=$J$5,0,(CONTADORES!AK287-CONTADORES!AK286)+(CONTADORES!K287-CONTADORES!K286))</f>
        <v>6.0999999999985448</v>
      </c>
      <c r="AI279" s="1439">
        <f ca="1">IF(B279&gt;=$J$5,0,(CONTADORES!AI287-CONTADORES!AI286)+(CONTADORES!M287-CONTADORES!M286))</f>
        <v>38.879999999990105</v>
      </c>
      <c r="AJ279" s="1439">
        <f ca="1">IF(B279&gt;=$J$5,0,(CONTADORES!AG287-CONTADORES!AG286))</f>
        <v>8.5599999999976717</v>
      </c>
      <c r="AK279" s="1439">
        <f ca="1">IF(B279&gt;=$J$5,0,(CONTADORES!O287-CONTADORES!O286))</f>
        <v>12.14000000001397</v>
      </c>
      <c r="AL279" s="1500">
        <f t="shared" ca="1" si="136"/>
        <v>41.195000000033133</v>
      </c>
      <c r="AM279" s="1450">
        <f ca="1">IF(B279&gt;=$J$5,0,(((CONTADORES!F287-CONTADORES!F286)+(CONTADORES!AO287-CONTADORES!AO286))))-BJ279-AF279-AN279-BM279-BP279-BU279-BS279</f>
        <v>8.497999999999422</v>
      </c>
      <c r="AN279" s="1439">
        <f ca="1">IF(B279&gt;=$J$5,0,(CONTADORES!AV287-CONTADORES!AV286)+(CONTADORES!AX287-CONTADORES!AX286)+(CONTADORES!BC287-CONTADORES!BC286))</f>
        <v>4.6299999999992565</v>
      </c>
      <c r="AO279" s="1474">
        <f>(CONTADORES!AA287-CONTADORES!AA286)</f>
        <v>33.629999999946449</v>
      </c>
      <c r="AP279" s="1474">
        <f>(CONTADORES!V287-CONTADORES!V286)</f>
        <v>194.58499999999913</v>
      </c>
      <c r="AQ279" s="1440">
        <f>(CONTADORES!C287-CONTADORES!C286)</f>
        <v>0</v>
      </c>
      <c r="AR279" s="1440">
        <f>(CONTADORES!BA287-CONTADORES!BA286)</f>
        <v>0.97200000000003683</v>
      </c>
      <c r="AS279" s="1438">
        <f ca="1">IF(B279&gt;=$J$5,0,CONTADORES!Q287-CONTADORES!Q286)</f>
        <v>15.940000000002328</v>
      </c>
      <c r="AT279" s="1438">
        <f ca="1">IF(B279&gt;=$J$5,0,(CONTADORES!S287-CONTADORES!S286)+(CONTADORES!AE287-CONTADORES!AE286))</f>
        <v>3.0999999999999659</v>
      </c>
      <c r="AU279" s="1474">
        <f>CONTADORES!I287-CONTADORES!I286</f>
        <v>81.951000000000931</v>
      </c>
      <c r="AV279" s="1440">
        <f>CONTADORES!AT287-CONTADORES!AT286</f>
        <v>64.929999999993015</v>
      </c>
      <c r="AW279" s="1440">
        <f ca="1">IF(B279&gt;=$J$5,0,(CONTADORES!L287-CONTADORES!L286)+(CONTADORES!AL287-CONTADORES!AL286))</f>
        <v>2.4000000000014552</v>
      </c>
      <c r="AX279" s="1440">
        <f ca="1">IF(B279&gt;=$J$5,0,(CONTADORES!N287-CONTADORES!N286)+(CONTADORES!AJ287-CONTADORES!AJ286))</f>
        <v>33.510000000002037</v>
      </c>
      <c r="AY279" s="1440">
        <f ca="1">IF(B279&gt;=$J$5,0,(CONTADORES!AH287-CONTADORES!AH286))</f>
        <v>6.5200000000040745</v>
      </c>
      <c r="AZ279" s="1440">
        <f ca="1">IF(B279&gt;=$J$5,0,(CONTADORES!P287-CONTADORES!P286))</f>
        <v>9.6999999999970896</v>
      </c>
      <c r="BA279" s="1450">
        <f t="shared" ca="1" si="137"/>
        <v>12.405999999940065</v>
      </c>
      <c r="BB279" s="1440">
        <f ca="1">IF(B279&gt;=$J$5,0,(((CONTADORES!G287-CONTADORES!G286)+(CONTADORES!AP287-CONTADORES!AP286)+AR279)-(AV279+BC279)))</f>
        <v>10.132000000007054</v>
      </c>
      <c r="BC279" s="1438">
        <f ca="1">IF(B279&gt;=$J$5,0,(CONTADORES!AW287-CONTADORES!AW286)+(CONTADORES!AY287-CONTADORES!AY286)+(CONTADORES!BD287-CONTADORES!BD286))</f>
        <v>1.6099999999997863</v>
      </c>
      <c r="BD279" s="1438">
        <f t="shared" si="138"/>
        <v>229.18699999994561</v>
      </c>
      <c r="BE279" s="1439">
        <f ca="1">IF($B279&gt;=$J$5,0,CONTADORES!$BE287)</f>
        <v>5020.8</v>
      </c>
      <c r="BF279" s="1438">
        <f ca="1">IF($B279&gt;=$J$5,0,CONTADORES!$BF287)</f>
        <v>34718.557894736798</v>
      </c>
      <c r="BG279" s="1438">
        <f ca="1">IF($B279&gt;=$J$5,0,CONTADORES!$BH287)</f>
        <v>5489.03</v>
      </c>
      <c r="BH279" s="1438">
        <f ca="1">IF(B279&gt;=$J$5,0,(CONTADORES!AQ287-CONTADORES!AQ286))</f>
        <v>5.6929999999993015</v>
      </c>
      <c r="BI279" s="1438">
        <f ca="1">IF(C279&gt;=$J$5,0,(CONTADORES!AR287-CONTADORES!AR286))</f>
        <v>0</v>
      </c>
      <c r="BJ279" s="1438">
        <f ca="1">IF(B279&gt;=$J$5,0,CONTADORES!BI287-CONTADORES!BI286)/1000</f>
        <v>2.5680000000000001</v>
      </c>
      <c r="BK279" s="1438">
        <f ca="1">IF(BF279&gt;=$J$5,0,CONTADORES!BJ287-CONTADORES!BJ286)</f>
        <v>1</v>
      </c>
      <c r="BL279" s="1438">
        <f ca="1">IF(BG279&gt;=$J$5,0,CONTADORES!BK287-CONTADORES!BK286)</f>
        <v>24</v>
      </c>
      <c r="BM279" s="1438">
        <f ca="1">IF(B279&gt;=$J$5,0,CONTADORES!BL287-CONTADORES!BL286)/1000</f>
        <v>5.1890000000000001</v>
      </c>
      <c r="BN279" s="1438">
        <f ca="1">IF(B279&gt;=$J$5,0,CONTADORES!BM287-CONTADORES!BM286)/1000</f>
        <v>0.93200000000000005</v>
      </c>
      <c r="BO279" s="1438">
        <f ca="1">IF(B279&gt;=$J$5,0,CONTADORES!BN287-CONTADORES!BN286)</f>
        <v>24</v>
      </c>
      <c r="BP279" s="1438">
        <f ca="1">IF(B279&gt;=$J$5,0,CONTADORES!BO287-CONTADORES!BO286)/1000</f>
        <v>0</v>
      </c>
      <c r="BQ279" s="1438">
        <f ca="1">IF(B279&gt;=$J$5,0,CONTADORES!BP287-CONTADORES!BP286)/1000</f>
        <v>0</v>
      </c>
      <c r="BR279" s="1438">
        <f ca="1">IF(B279&gt;=$J$5,0,CONTADORES!BQ287-CONTADORES!BQ286)</f>
        <v>0</v>
      </c>
      <c r="BS279" s="1439">
        <f ca="1">IF(B279&gt;=$J$5,0,(CONTADORES!BT287-CONTADORES!BT286)+(CONTADORES!BV287-CONTADORES!BV286))/1000</f>
        <v>1.5549999999999999</v>
      </c>
      <c r="BT279" s="1439">
        <f ca="1">IF(B279&gt;=$J$5,0,(CONTADORES!BU287-CONTADORES!BU286)+(CONTADORES!BW287-CONTADORES!BW286))/1000</f>
        <v>0.96599999999999997</v>
      </c>
      <c r="BU279" s="1439">
        <f ca="1">IF(B279&gt;=$J$5,0,CONTADORES!BR287-CONTADORES!BR286)</f>
        <v>4.3600000000005821</v>
      </c>
      <c r="BV279" s="1439">
        <f ca="1">IF(B279&gt;=$J$5,0,CONTADORES!BS287-CONTADORES!BS286)</f>
        <v>3.1300000000001091</v>
      </c>
      <c r="BW279" s="1450">
        <f t="shared" ca="1" si="139"/>
        <v>8.6090000000002931</v>
      </c>
      <c r="BX279" s="1450">
        <f t="shared" ca="1" si="140"/>
        <v>8.1960000000036359</v>
      </c>
      <c r="BY279" s="1450">
        <f t="shared" ca="1" si="141"/>
        <v>4.248999999999711</v>
      </c>
      <c r="BZ279" s="1450">
        <f t="shared" ca="1" si="142"/>
        <v>1.8519999999997028</v>
      </c>
      <c r="CA279" s="1450">
        <f t="shared" ca="1" si="143"/>
        <v>4.248999999999711</v>
      </c>
      <c r="CB279" s="1450">
        <f t="shared" ca="1" si="144"/>
        <v>2.7779999999995537</v>
      </c>
      <c r="CC279" s="1450">
        <f t="shared" ca="1" si="145"/>
        <v>3.4069999999997025</v>
      </c>
      <c r="CD279" s="1450">
        <f t="shared" ca="1" si="146"/>
        <v>5.0660000000035268</v>
      </c>
      <c r="CE279" s="1450">
        <f ca="1">IF(B279&gt;=$J$5,0,CONTADORES!BS287-CONTADORES!BS286)</f>
        <v>3.1300000000001091</v>
      </c>
      <c r="CF279" s="1450">
        <f t="shared" ca="1" si="147"/>
        <v>5.0660000000035268</v>
      </c>
      <c r="CG279" s="1450">
        <f t="shared" ca="1" si="148"/>
        <v>0.80499999999989313</v>
      </c>
      <c r="CH279" s="1450">
        <f t="shared" ca="1" si="149"/>
        <v>0.80499999999989313</v>
      </c>
      <c r="CI279" s="1450">
        <f t="shared" ca="1" si="150"/>
        <v>1.7709999999998931</v>
      </c>
      <c r="CJ279" s="1450">
        <f ca="1">IF($B279&gt;=$J$5,0,CONTADORES!$BG287)</f>
        <v>10225.7200892211</v>
      </c>
      <c r="CK279" s="1384">
        <f>CONTADORES!E287</f>
        <v>0</v>
      </c>
      <c r="CL279" s="1384">
        <f>CONTADORES!BX287</f>
        <v>2.5</v>
      </c>
    </row>
    <row r="280" spans="2:90">
      <c r="B280" s="410">
        <v>45196</v>
      </c>
      <c r="C280" s="208">
        <f t="shared" ca="1" si="126"/>
        <v>0</v>
      </c>
      <c r="D280" s="202">
        <f ca="1">'CALCULO DE GAS'!P98</f>
        <v>0</v>
      </c>
      <c r="E280" s="202">
        <f ca="1">IF(B280&gt;=$J$5,0,(CONTADORES!$AB288-CONTADORES!$AB287)-$H280)</f>
        <v>0</v>
      </c>
      <c r="F280" s="204">
        <f t="shared" ca="1" si="125"/>
        <v>0</v>
      </c>
      <c r="G280" s="202">
        <f ca="1">IF(B280&gt;=$J$5,0,CONTADORES!$AD288-CONTADORES!$AD287)</f>
        <v>0</v>
      </c>
      <c r="H280" s="202">
        <f ca="1">IF(G280&gt;0,CONTADORES!$AC288-CONTADORES!$AC287,0)</f>
        <v>0</v>
      </c>
      <c r="I280" s="1437">
        <f ca="1">IF(B280&gt;=$J$5,0,CONTADORES!$Z288-CONTADORES!$Z287)</f>
        <v>0</v>
      </c>
      <c r="J280" s="208">
        <f t="shared" ca="1" si="127"/>
        <v>433.14000000001397</v>
      </c>
      <c r="K280" s="202">
        <f ca="1">'CALCULO DE GAS'!Q98</f>
        <v>6.3825403803334613</v>
      </c>
      <c r="L280" s="1437">
        <f ca="1">IF(B280&gt;=$J$5,0,(CONTADORES!$W288-CONTADORES!$W287)-$O280)</f>
        <v>24</v>
      </c>
      <c r="M280" s="1437">
        <f t="shared" ca="1" si="124"/>
        <v>0</v>
      </c>
      <c r="N280" s="1437">
        <f ca="1">IF(B280&gt;=$J$5,0,CONTADORES!$Y288-CONTADORES!$Y287)</f>
        <v>0</v>
      </c>
      <c r="O280" s="205">
        <f ca="1">IF(N280&gt;0,CONTADORES!$X288-CONTADORES!$X287,0)</f>
        <v>0</v>
      </c>
      <c r="P280" s="1439">
        <f ca="1">IF(B280&gt;=$J$5,0,CONTADORES!$U288-CONTADORES!$U287)</f>
        <v>433.14000000001397</v>
      </c>
      <c r="Q280" s="208">
        <f ca="1">IF(B280&gt;=$J$5,0,CONTADORES!$B288-CONTADORES!$B287)</f>
        <v>0</v>
      </c>
      <c r="R280" s="202">
        <f t="shared" ca="1" si="128"/>
        <v>0</v>
      </c>
      <c r="S280" s="11">
        <f ca="1">IF(B280&gt;=$J$5,0,CONTADORES!$D288-CONTADORES!$D287)</f>
        <v>0</v>
      </c>
      <c r="T280" s="208">
        <f ca="1">IF(B280&gt;=$J$5,0,CONTADORES!$AZ288-CONTADORES!$AZ287)</f>
        <v>9.3230000000000928</v>
      </c>
      <c r="U280" s="202">
        <f t="shared" ca="1" si="123"/>
        <v>1118.7600000000111</v>
      </c>
      <c r="V280" s="205">
        <f ca="1">IF(B280&gt;=$J$5,0,CONTADORES!$BB288-CONTADORES!$BB287)</f>
        <v>11.299999999999955</v>
      </c>
      <c r="W280" s="1438">
        <f t="shared" ca="1" si="129"/>
        <v>433.14000000001397</v>
      </c>
      <c r="X280" s="1438">
        <f t="shared" ca="1" si="130"/>
        <v>9.3230000000000928</v>
      </c>
      <c r="Y280" s="1439">
        <f t="shared" ca="1" si="131"/>
        <v>442.46300000001406</v>
      </c>
      <c r="Z280" s="1439">
        <f t="shared" ca="1" si="132"/>
        <v>6.3825403803334613</v>
      </c>
      <c r="AA280" s="1439">
        <f t="shared" ca="1" si="133"/>
        <v>1118.7600000000111</v>
      </c>
      <c r="AB280" s="1439">
        <f t="shared" ca="1" si="134"/>
        <v>24</v>
      </c>
      <c r="AC280" s="1438">
        <f t="shared" ca="1" si="135"/>
        <v>11.299999999999955</v>
      </c>
      <c r="AD280" s="1439">
        <f ca="1">IF(B280&gt;=$J$5,0,CONTADORES!H288-CONTADORES!H287)</f>
        <v>162.46900000000096</v>
      </c>
      <c r="AE280" s="1438">
        <f ca="1">IF(B280&gt;=$J$5,0,CONTADORES!J288-CONTADORES!J287)</f>
        <v>24</v>
      </c>
      <c r="AF280" s="1439">
        <f ca="1">IF(B280&gt;=$J$5,0,CONTADORES!AS288-CONTADORES!AS287)</f>
        <v>145.60999999998603</v>
      </c>
      <c r="AG280" s="1438">
        <f ca="1">IF(B280&gt;=$J$5,0,CONTADORES!AU288-CONTADORES!AU287)</f>
        <v>24</v>
      </c>
      <c r="AH280" s="1439">
        <f ca="1">IF(B280&gt;=$J$5,0,(CONTADORES!AK288-CONTADORES!AK287)+(CONTADORES!K288-CONTADORES!K287))</f>
        <v>13.80000000000291</v>
      </c>
      <c r="AI280" s="1439">
        <f ca="1">IF(B280&gt;=$J$5,0,(CONTADORES!AI288-CONTADORES!AI287)+(CONTADORES!M288-CONTADORES!M287))</f>
        <v>38.900000000008731</v>
      </c>
      <c r="AJ280" s="1439">
        <f ca="1">IF(B280&gt;=$J$5,0,(CONTADORES!AG288-CONTADORES!AG287))</f>
        <v>9.7299999999959255</v>
      </c>
      <c r="AK280" s="1439">
        <f ca="1">IF(B280&gt;=$J$5,0,(CONTADORES!O288-CONTADORES!O287))</f>
        <v>12.209999999991851</v>
      </c>
      <c r="AL280" s="1500">
        <f t="shared" ca="1" si="136"/>
        <v>38.554000000025326</v>
      </c>
      <c r="AM280" s="1450">
        <f ca="1">IF(B280&gt;=$J$5,0,(((CONTADORES!F288-CONTADORES!F287)+(CONTADORES!AO288-CONTADORES!AO287))))-BJ280-AF280-AN280-BM280-BP280-BU280-BS280</f>
        <v>2.2030000000017025</v>
      </c>
      <c r="AN280" s="1439">
        <f ca="1">IF(B280&gt;=$J$5,0,(CONTADORES!AV288-CONTADORES!AV287)+(CONTADORES!AX288-CONTADORES!AX287)+(CONTADORES!BC288-CONTADORES!BC287))</f>
        <v>4.4400000000000546</v>
      </c>
      <c r="AO280" s="1474">
        <f>(CONTADORES!AA288-CONTADORES!AA287)</f>
        <v>0</v>
      </c>
      <c r="AP280" s="1474">
        <f>(CONTADORES!V288-CONTADORES!V287)</f>
        <v>226.41500000000087</v>
      </c>
      <c r="AQ280" s="1440">
        <f>(CONTADORES!C288-CONTADORES!C287)</f>
        <v>0</v>
      </c>
      <c r="AR280" s="1440">
        <f>(CONTADORES!BA288-CONTADORES!BA287)</f>
        <v>3.5509999999999877</v>
      </c>
      <c r="AS280" s="1438">
        <f ca="1">IF(B280&gt;=$J$5,0,CONTADORES!Q288-CONTADORES!Q287)</f>
        <v>15.279999999998836</v>
      </c>
      <c r="AT280" s="1438">
        <f ca="1">IF(B280&gt;=$J$5,0,(CONTADORES!S288-CONTADORES!S287)+(CONTADORES!AE288-CONTADORES!AE287))</f>
        <v>2.6100000000000136</v>
      </c>
      <c r="AU280" s="1474">
        <f>CONTADORES!I288-CONTADORES!I287</f>
        <v>80.432000000000698</v>
      </c>
      <c r="AV280" s="1440">
        <f>CONTADORES!AT288-CONTADORES!AT287</f>
        <v>62.839999999996508</v>
      </c>
      <c r="AW280" s="1440">
        <f ca="1">IF(B280&gt;=$J$5,0,(CONTADORES!L288-CONTADORES!L287)+(CONTADORES!AL288-CONTADORES!AL287))</f>
        <v>5.5</v>
      </c>
      <c r="AX280" s="1440">
        <f ca="1">IF(B280&gt;=$J$5,0,(CONTADORES!N288-CONTADORES!N287)+(CONTADORES!AJ288-CONTADORES!AJ287))</f>
        <v>33.239999999997963</v>
      </c>
      <c r="AY280" s="1440">
        <f ca="1">IF(B280&gt;=$J$5,0,(CONTADORES!AH288-CONTADORES!AH287))</f>
        <v>7.4899999999979627</v>
      </c>
      <c r="AZ280" s="1440">
        <f ca="1">IF(B280&gt;=$J$5,0,(CONTADORES!P288-CONTADORES!P287))</f>
        <v>9.2400000000052387</v>
      </c>
      <c r="BA280" s="1450">
        <f t="shared" ca="1" si="137"/>
        <v>13.567000000010239</v>
      </c>
      <c r="BB280" s="1440">
        <f ca="1">IF(B280&gt;=$J$5,0,(((CONTADORES!G288-CONTADORES!G287)+(CONTADORES!AP288-CONTADORES!AP287)+AR280)-(AV280+BC280)))</f>
        <v>9.9609999999924526</v>
      </c>
      <c r="BC280" s="1438">
        <f ca="1">IF(B280&gt;=$J$5,0,(CONTADORES!AW288-CONTADORES!AW287)+(CONTADORES!AY288-CONTADORES!AY287)+(CONTADORES!BD288-CONTADORES!BD287))</f>
        <v>1.6499999999997499</v>
      </c>
      <c r="BD280" s="1438">
        <f t="shared" si="138"/>
        <v>229.96600000000086</v>
      </c>
      <c r="BE280" s="1439">
        <f ca="1">IF($B280&gt;=$J$5,0,CONTADORES!$BE288)</f>
        <v>4232.84</v>
      </c>
      <c r="BF280" s="1438">
        <f ca="1">IF($B280&gt;=$J$5,0,CONTADORES!$BF288)</f>
        <v>34974.731578947401</v>
      </c>
      <c r="BG280" s="1438">
        <f ca="1">IF($B280&gt;=$J$5,0,CONTADORES!$BH288)</f>
        <v>4779.6400000000003</v>
      </c>
      <c r="BH280" s="1438">
        <f ca="1">IF(B280&gt;=$J$5,0,(CONTADORES!AQ288-CONTADORES!AQ287))</f>
        <v>5.694999999992433</v>
      </c>
      <c r="BI280" s="1438">
        <f ca="1">IF(C280&gt;=$J$5,0,(CONTADORES!AR288-CONTADORES!AR287))</f>
        <v>0</v>
      </c>
      <c r="BJ280" s="1438">
        <f ca="1">IF(B280&gt;=$J$5,0,CONTADORES!BI288-CONTADORES!BI287)/1000</f>
        <v>3.48</v>
      </c>
      <c r="BK280" s="1438">
        <f ca="1">IF(BF280&gt;=$J$5,0,CONTADORES!BJ288-CONTADORES!BJ287)</f>
        <v>1</v>
      </c>
      <c r="BL280" s="1438">
        <f ca="1">IF(BG280&gt;=$J$5,0,CONTADORES!BK288-CONTADORES!BK287)</f>
        <v>24</v>
      </c>
      <c r="BM280" s="1438">
        <f ca="1">IF(B280&gt;=$J$5,0,CONTADORES!BL288-CONTADORES!BL287)/1000</f>
        <v>5.2030000000000003</v>
      </c>
      <c r="BN280" s="1438">
        <f ca="1">IF(B280&gt;=$J$5,0,CONTADORES!BM288-CONTADORES!BM287)/1000</f>
        <v>0.90700000000000003</v>
      </c>
      <c r="BO280" s="1438">
        <f ca="1">IF(B280&gt;=$J$5,0,CONTADORES!BN288-CONTADORES!BN287)</f>
        <v>24</v>
      </c>
      <c r="BP280" s="1438">
        <f ca="1">IF(B280&gt;=$J$5,0,CONTADORES!BO288-CONTADORES!BO287)/1000</f>
        <v>0</v>
      </c>
      <c r="BQ280" s="1438">
        <f ca="1">IF(B280&gt;=$J$5,0,CONTADORES!BP288-CONTADORES!BP287)/1000</f>
        <v>0</v>
      </c>
      <c r="BR280" s="1438">
        <f ca="1">IF(B280&gt;=$J$5,0,CONTADORES!BQ288-CONTADORES!BQ287)</f>
        <v>0</v>
      </c>
      <c r="BS280" s="1439">
        <f ca="1">IF(B280&gt;=$J$5,0,(CONTADORES!BT288-CONTADORES!BT287)+(CONTADORES!BV288-CONTADORES!BV287))/1000</f>
        <v>1.504</v>
      </c>
      <c r="BT280" s="1439">
        <f ca="1">IF(B280&gt;=$J$5,0,(CONTADORES!BU288-CONTADORES!BU287)+(CONTADORES!BW288-CONTADORES!BW287))/1000</f>
        <v>0.92900000000000005</v>
      </c>
      <c r="BU280" s="1439">
        <f ca="1">IF(B280&gt;=$J$5,0,CONTADORES!BR288-CONTADORES!BR287)</f>
        <v>4.3600000000005821</v>
      </c>
      <c r="BV280" s="1439">
        <f ca="1">IF(B280&gt;=$J$5,0,CONTADORES!BS288-CONTADORES!BS287)</f>
        <v>3.2100000000000364</v>
      </c>
      <c r="BW280" s="1450">
        <f t="shared" ca="1" si="139"/>
        <v>5.4615000000014335</v>
      </c>
      <c r="BX280" s="1450">
        <f t="shared" ca="1" si="140"/>
        <v>8.1904999999962627</v>
      </c>
      <c r="BY280" s="1450">
        <f t="shared" ca="1" si="141"/>
        <v>1.1015000000008512</v>
      </c>
      <c r="BZ280" s="1450">
        <f t="shared" ca="1" si="142"/>
        <v>1.776000000000022</v>
      </c>
      <c r="CA280" s="1450">
        <f t="shared" ca="1" si="143"/>
        <v>1.1015000000008512</v>
      </c>
      <c r="CB280" s="1450">
        <f t="shared" ca="1" si="144"/>
        <v>2.6640000000000326</v>
      </c>
      <c r="CC280" s="1450">
        <f t="shared" ca="1" si="145"/>
        <v>3.280000000000022</v>
      </c>
      <c r="CD280" s="1450">
        <f t="shared" ca="1" si="146"/>
        <v>4.9804999999962263</v>
      </c>
      <c r="CE280" s="1450">
        <f ca="1">IF(B280&gt;=$J$5,0,CONTADORES!BS288-CONTADORES!BS287)</f>
        <v>3.2100000000000364</v>
      </c>
      <c r="CF280" s="1450">
        <f t="shared" ca="1" si="147"/>
        <v>4.9804999999962263</v>
      </c>
      <c r="CG280" s="1450">
        <f t="shared" ca="1" si="148"/>
        <v>0.82499999999987494</v>
      </c>
      <c r="CH280" s="1450">
        <f t="shared" ca="1" si="149"/>
        <v>0.82499999999987494</v>
      </c>
      <c r="CI280" s="1450">
        <f t="shared" ca="1" si="150"/>
        <v>1.753999999999875</v>
      </c>
      <c r="CJ280" s="1450">
        <f ca="1">IF($B280&gt;=$J$5,0,CONTADORES!$BG288)</f>
        <v>10571.284680663101</v>
      </c>
      <c r="CK280" s="1384">
        <f>CONTADORES!E288</f>
        <v>0</v>
      </c>
      <c r="CL280" s="1384">
        <f>CONTADORES!BX288</f>
        <v>9.3000000000000007</v>
      </c>
    </row>
    <row r="281" spans="2:90">
      <c r="B281" s="410">
        <v>45197</v>
      </c>
      <c r="C281" s="208">
        <f t="shared" ca="1" si="126"/>
        <v>0</v>
      </c>
      <c r="D281" s="202">
        <f ca="1">'CALCULO DE GAS'!P99</f>
        <v>0</v>
      </c>
      <c r="E281" s="202">
        <f ca="1">IF(B281&gt;=$J$5,0,(CONTADORES!$AB289-CONTADORES!$AB288)-$H281)</f>
        <v>0</v>
      </c>
      <c r="F281" s="204">
        <f t="shared" ca="1" si="125"/>
        <v>0</v>
      </c>
      <c r="G281" s="202">
        <f ca="1">IF(B281&gt;=$J$5,0,CONTADORES!$AD289-CONTADORES!$AD288)</f>
        <v>0</v>
      </c>
      <c r="H281" s="202">
        <f ca="1">IF(G281&gt;0,CONTADORES!$AC289-CONTADORES!$AC288,0)</f>
        <v>0</v>
      </c>
      <c r="I281" s="1437">
        <f ca="1">IF(B281&gt;=$J$5,0,CONTADORES!$Z289-CONTADORES!$Z288)</f>
        <v>0</v>
      </c>
      <c r="J281" s="208">
        <f t="shared" ca="1" si="127"/>
        <v>436.05499999999302</v>
      </c>
      <c r="K281" s="202">
        <f ca="1">'CALCULO DE GAS'!Q99</f>
        <v>6.40972437477771</v>
      </c>
      <c r="L281" s="1437">
        <f ca="1">IF(B281&gt;=$J$5,0,(CONTADORES!$W289-CONTADORES!$W288)-$O281)</f>
        <v>24</v>
      </c>
      <c r="M281" s="1437">
        <f t="shared" ca="1" si="124"/>
        <v>0</v>
      </c>
      <c r="N281" s="1437">
        <f ca="1">IF(B281&gt;=$J$5,0,CONTADORES!$Y289-CONTADORES!$Y288)</f>
        <v>0</v>
      </c>
      <c r="O281" s="205">
        <f ca="1">IF(N281&gt;0,CONTADORES!$X289-CONTADORES!$X288,0)</f>
        <v>0</v>
      </c>
      <c r="P281" s="1439">
        <f ca="1">IF(B281&gt;=$J$5,0,CONTADORES!$U289-CONTADORES!$U288)</f>
        <v>436.05499999999302</v>
      </c>
      <c r="Q281" s="208">
        <f ca="1">IF(B281&gt;=$J$5,0,CONTADORES!$B289-CONTADORES!$B288)</f>
        <v>0</v>
      </c>
      <c r="R281" s="202">
        <f t="shared" ca="1" si="128"/>
        <v>0</v>
      </c>
      <c r="S281" s="11">
        <f ca="1">IF(B281&gt;=$J$5,0,CONTADORES!$D289-CONTADORES!$D288)</f>
        <v>0</v>
      </c>
      <c r="T281" s="208">
        <f ca="1">IF(B281&gt;=$J$5,0,CONTADORES!$AZ289-CONTADORES!$AZ288)</f>
        <v>10.178999999999974</v>
      </c>
      <c r="U281" s="202">
        <f t="shared" ca="1" si="123"/>
        <v>1221.4799999999968</v>
      </c>
      <c r="V281" s="205">
        <f ca="1">IF(B281&gt;=$J$5,0,CONTADORES!$BB289-CONTADORES!$BB288)</f>
        <v>10.200000000000045</v>
      </c>
      <c r="W281" s="1438">
        <f t="shared" ca="1" si="129"/>
        <v>436.05499999999302</v>
      </c>
      <c r="X281" s="1438">
        <f t="shared" ca="1" si="130"/>
        <v>10.178999999999974</v>
      </c>
      <c r="Y281" s="1439">
        <f t="shared" ca="1" si="131"/>
        <v>446.23399999999299</v>
      </c>
      <c r="Z281" s="1439">
        <f t="shared" ca="1" si="132"/>
        <v>6.40972437477771</v>
      </c>
      <c r="AA281" s="1439">
        <f t="shared" ca="1" si="133"/>
        <v>1221.4799999999968</v>
      </c>
      <c r="AB281" s="1439">
        <f t="shared" ca="1" si="134"/>
        <v>24</v>
      </c>
      <c r="AC281" s="1438">
        <f t="shared" ca="1" si="135"/>
        <v>10.200000000000045</v>
      </c>
      <c r="AD281" s="1439">
        <f ca="1">IF(B281&gt;=$J$5,0,CONTADORES!H289-CONTADORES!H288)</f>
        <v>160.41100000000006</v>
      </c>
      <c r="AE281" s="1438">
        <f ca="1">IF(B281&gt;=$J$5,0,CONTADORES!J289-CONTADORES!J288)</f>
        <v>24</v>
      </c>
      <c r="AF281" s="1439">
        <f ca="1">IF(B281&gt;=$J$5,0,CONTADORES!AS289-CONTADORES!AS288)</f>
        <v>151</v>
      </c>
      <c r="AG281" s="1438">
        <f ca="1">IF(B281&gt;=$J$5,0,CONTADORES!AU289-CONTADORES!AU288)</f>
        <v>24</v>
      </c>
      <c r="AH281" s="1439">
        <f ca="1">IF(B281&gt;=$J$5,0,(CONTADORES!AK289-CONTADORES!AK288)+(CONTADORES!K289-CONTADORES!K288))</f>
        <v>7.9000000000014552</v>
      </c>
      <c r="AI281" s="1439">
        <f ca="1">IF(B281&gt;=$J$5,0,(CONTADORES!AI289-CONTADORES!AI288)+(CONTADORES!M289-CONTADORES!M288))</f>
        <v>40.299999999988358</v>
      </c>
      <c r="AJ281" s="1439">
        <f ca="1">IF(B281&gt;=$J$5,0,(CONTADORES!AG289-CONTADORES!AG288))</f>
        <v>9.1000000000058208</v>
      </c>
      <c r="AK281" s="1439">
        <f ca="1">IF(B281&gt;=$J$5,0,(CONTADORES!O289-CONTADORES!O288))</f>
        <v>10</v>
      </c>
      <c r="AL281" s="1500">
        <f t="shared" ca="1" si="136"/>
        <v>47.922999999998808</v>
      </c>
      <c r="AM281" s="1450">
        <f ca="1">IF(B281&gt;=$J$5,0,(((CONTADORES!F289-CONTADORES!F288)+(CONTADORES!AO289-CONTADORES!AO288))))-BJ281-AF281-AN281-BM281-BP281-BU281-BS281</f>
        <v>1.5285999999979876</v>
      </c>
      <c r="AN281" s="1439">
        <f ca="1">IF(B281&gt;=$J$5,0,(CONTADORES!AV289-CONTADORES!AV288)+(CONTADORES!AX289-CONTADORES!AX288)+(CONTADORES!BC289-CONTADORES!BC288))</f>
        <v>4.3000000000006366</v>
      </c>
      <c r="AO281" s="1474">
        <f>(CONTADORES!AA289-CONTADORES!AA288)</f>
        <v>0</v>
      </c>
      <c r="AP281" s="1474">
        <f>(CONTADORES!V289-CONTADORES!V288)</f>
        <v>228</v>
      </c>
      <c r="AQ281" s="1440">
        <f>(CONTADORES!C289-CONTADORES!C288)</f>
        <v>0</v>
      </c>
      <c r="AR281" s="1440">
        <f>(CONTADORES!BA289-CONTADORES!BA288)</f>
        <v>3.9389999999999645</v>
      </c>
      <c r="AS281" s="1438">
        <f ca="1">IF(B281&gt;=$J$5,0,CONTADORES!Q289-CONTADORES!Q288)</f>
        <v>16</v>
      </c>
      <c r="AT281" s="1438">
        <f ca="1">IF(B281&gt;=$J$5,0,(CONTADORES!S289-CONTADORES!S288)+(CONTADORES!AE289-CONTADORES!AE288))</f>
        <v>2.6100000000000136</v>
      </c>
      <c r="AU281" s="1474">
        <f>CONTADORES!I289-CONTADORES!I288</f>
        <v>81.816999999999098</v>
      </c>
      <c r="AV281" s="1440">
        <f>CONTADORES!AT289-CONTADORES!AT288</f>
        <v>65</v>
      </c>
      <c r="AW281" s="1440">
        <f ca="1">IF(B281&gt;=$J$5,0,(CONTADORES!L289-CONTADORES!L288)+(CONTADORES!AL289-CONTADORES!AL288))</f>
        <v>2.9000000000014552</v>
      </c>
      <c r="AX281" s="1440">
        <f ca="1">IF(B281&gt;=$J$5,0,(CONTADORES!N289-CONTADORES!N288)+(CONTADORES!AJ289-CONTADORES!AJ288))</f>
        <v>34.200000000004366</v>
      </c>
      <c r="AY281" s="1440">
        <f ca="1">IF(B281&gt;=$J$5,0,(CONTADORES!AH289-CONTADORES!AH288))</f>
        <v>7.0999999999985448</v>
      </c>
      <c r="AZ281" s="1440">
        <f ca="1">IF(B281&gt;=$J$5,0,(CONTADORES!P289-CONTADORES!P288))</f>
        <v>8</v>
      </c>
      <c r="BA281" s="1450">
        <f t="shared" ca="1" si="137"/>
        <v>14.769999999996884</v>
      </c>
      <c r="BB281" s="1440">
        <f ca="1">IF(B281&gt;=$J$5,0,(((CONTADORES!G289-CONTADORES!G288)+(CONTADORES!AP289-CONTADORES!AP288)+AR281)-(AV281+BC281)))</f>
        <v>10.539000000000215</v>
      </c>
      <c r="BC281" s="1438">
        <f ca="1">IF(B281&gt;=$J$5,0,(CONTADORES!AW289-CONTADORES!AW288)+(CONTADORES!AY289-CONTADORES!AY288)+(CONTADORES!BD289-CONTADORES!BD288))</f>
        <v>1.5000000000001137</v>
      </c>
      <c r="BD281" s="1438">
        <f t="shared" si="138"/>
        <v>231.93899999999996</v>
      </c>
      <c r="BE281" s="1439">
        <f ca="1">IF($B281&gt;=$J$5,0,CONTADORES!$BE289)</f>
        <v>4652.6899999999996</v>
      </c>
      <c r="BF281" s="1438">
        <f ca="1">IF($B281&gt;=$J$5,0,CONTADORES!$BF289)</f>
        <v>34729.414035087699</v>
      </c>
      <c r="BG281" s="1438">
        <f ca="1">IF($B281&gt;=$J$5,0,CONTADORES!$BH289)</f>
        <v>5108.91</v>
      </c>
      <c r="BH281" s="1438">
        <f ca="1">IF(B281&gt;=$J$5,0,(CONTADORES!AQ289-CONTADORES!AQ288))</f>
        <v>5.1000000000058208</v>
      </c>
      <c r="BI281" s="1438">
        <f ca="1">IF(C281&gt;=$J$5,0,(CONTADORES!AR289-CONTADORES!AR288))</f>
        <v>0</v>
      </c>
      <c r="BJ281" s="1438">
        <f ca="1">IF(B281&gt;=$J$5,0,CONTADORES!BI289-CONTADORES!BI288)/1000</f>
        <v>2.4153999999999067</v>
      </c>
      <c r="BK281" s="1438">
        <f ca="1">IF(BF281&gt;=$J$5,0,CONTADORES!BJ289-CONTADORES!BJ288)</f>
        <v>1</v>
      </c>
      <c r="BL281" s="1438">
        <f ca="1">IF(BG281&gt;=$J$5,0,CONTADORES!BK289-CONTADORES!BK288)</f>
        <v>24</v>
      </c>
      <c r="BM281" s="1438">
        <f ca="1">IF(B281&gt;=$J$5,0,CONTADORES!BL289-CONTADORES!BL288)/1000</f>
        <v>5.3630000000000004</v>
      </c>
      <c r="BN281" s="1438">
        <f ca="1">IF(B281&gt;=$J$5,0,CONTADORES!BM289-CONTADORES!BM288)/1000</f>
        <v>0.89500000000000002</v>
      </c>
      <c r="BO281" s="1438">
        <f ca="1">IF(B281&gt;=$J$5,0,CONTADORES!BN289-CONTADORES!BN288)</f>
        <v>24</v>
      </c>
      <c r="BP281" s="1438">
        <f ca="1">IF(B281&gt;=$J$5,0,CONTADORES!BO289-CONTADORES!BO288)/1000</f>
        <v>0</v>
      </c>
      <c r="BQ281" s="1438">
        <f ca="1">IF(B281&gt;=$J$5,0,CONTADORES!BP289-CONTADORES!BP288)/1000</f>
        <v>0</v>
      </c>
      <c r="BR281" s="1438">
        <f ca="1">IF(B281&gt;=$J$5,0,CONTADORES!BQ289-CONTADORES!BQ288)</f>
        <v>0</v>
      </c>
      <c r="BS281" s="1439">
        <f ca="1">IF(B281&gt;=$J$5,0,(CONTADORES!BT289-CONTADORES!BT288)+(CONTADORES!BV289-CONTADORES!BV288))/1000</f>
        <v>1.4930000000000001</v>
      </c>
      <c r="BT281" s="1439">
        <f ca="1">IF(B281&gt;=$J$5,0,(CONTADORES!BU289-CONTADORES!BU288)+(CONTADORES!BW289-CONTADORES!BW288))/1000</f>
        <v>0.91800000000000004</v>
      </c>
      <c r="BU281" s="1439">
        <f ca="1">IF(B281&gt;=$J$5,0,CONTADORES!BR289-CONTADORES!BR288)</f>
        <v>4.5</v>
      </c>
      <c r="BV281" s="1439">
        <f ca="1">IF(B281&gt;=$J$5,0,CONTADORES!BS289-CONTADORES!BS288)</f>
        <v>3.2999999999992724</v>
      </c>
      <c r="BW281" s="1450">
        <f t="shared" ca="1" si="139"/>
        <v>5.2642999999989941</v>
      </c>
      <c r="BX281" s="1450">
        <f t="shared" ca="1" si="140"/>
        <v>8.5694999999993797</v>
      </c>
      <c r="BY281" s="1450">
        <f t="shared" ca="1" si="141"/>
        <v>0.76429999999899378</v>
      </c>
      <c r="BZ281" s="1450">
        <f t="shared" ca="1" si="142"/>
        <v>1.7200000000002547</v>
      </c>
      <c r="CA281" s="1450">
        <f t="shared" ca="1" si="143"/>
        <v>0.76429999999899378</v>
      </c>
      <c r="CB281" s="1450">
        <f t="shared" ca="1" si="144"/>
        <v>2.580000000000382</v>
      </c>
      <c r="CC281" s="1450">
        <f t="shared" ca="1" si="145"/>
        <v>3.213000000000255</v>
      </c>
      <c r="CD281" s="1450">
        <f t="shared" ca="1" si="146"/>
        <v>5.2695000000001073</v>
      </c>
      <c r="CE281" s="1450">
        <f ca="1">IF(B281&gt;=$J$5,0,CONTADORES!BS289-CONTADORES!BS288)</f>
        <v>3.2999999999992724</v>
      </c>
      <c r="CF281" s="1450">
        <f t="shared" ca="1" si="147"/>
        <v>5.2695000000001073</v>
      </c>
      <c r="CG281" s="1450">
        <f t="shared" ca="1" si="148"/>
        <v>0.75000000000005684</v>
      </c>
      <c r="CH281" s="1450">
        <f t="shared" ca="1" si="149"/>
        <v>0.75000000000005684</v>
      </c>
      <c r="CI281" s="1450">
        <f t="shared" ca="1" si="150"/>
        <v>1.668000000000057</v>
      </c>
      <c r="CJ281" s="1450">
        <f ca="1">IF($B281&gt;=$J$5,0,CONTADORES!$BG289)</f>
        <v>8536.5255575947303</v>
      </c>
      <c r="CK281" s="1384">
        <f>CONTADORES!E289</f>
        <v>0</v>
      </c>
      <c r="CL281" s="1384">
        <f>CONTADORES!BX289</f>
        <v>10</v>
      </c>
    </row>
    <row r="282" spans="2:90">
      <c r="B282" s="410">
        <v>45198</v>
      </c>
      <c r="C282" s="208">
        <f t="shared" ca="1" si="126"/>
        <v>0</v>
      </c>
      <c r="D282" s="202">
        <f ca="1">'CALCULO DE GAS'!P100</f>
        <v>0</v>
      </c>
      <c r="E282" s="202">
        <f ca="1">IF(B282&gt;=$J$5,0,(CONTADORES!$AB290-CONTADORES!$AB289)-$H282)</f>
        <v>0</v>
      </c>
      <c r="F282" s="204">
        <f t="shared" ca="1" si="125"/>
        <v>0</v>
      </c>
      <c r="G282" s="202">
        <f ca="1">IF(B282&gt;=$J$5,0,CONTADORES!$AD290-CONTADORES!$AD289)</f>
        <v>0</v>
      </c>
      <c r="H282" s="202">
        <f ca="1">IF(G282&gt;0,CONTADORES!$AC290-CONTADORES!$AC289,0)</f>
        <v>0</v>
      </c>
      <c r="I282" s="1437">
        <f ca="1">IF(B282&gt;=$J$5,0,CONTADORES!$Z290-CONTADORES!$Z289)</f>
        <v>0</v>
      </c>
      <c r="J282" s="208">
        <f t="shared" ca="1" si="127"/>
        <v>434</v>
      </c>
      <c r="K282" s="202">
        <f ca="1">'CALCULO DE GAS'!Q100</f>
        <v>6.3905603581111086</v>
      </c>
      <c r="L282" s="1437">
        <f ca="1">IF(B282&gt;=$J$5,0,(CONTADORES!$W290-CONTADORES!$W289)-$O282)</f>
        <v>24</v>
      </c>
      <c r="M282" s="1437">
        <f t="shared" ca="1" si="124"/>
        <v>0</v>
      </c>
      <c r="N282" s="1437">
        <f ca="1">IF(B282&gt;=$J$5,0,CONTADORES!$Y290-CONTADORES!$Y289)</f>
        <v>0</v>
      </c>
      <c r="O282" s="205">
        <f ca="1">IF(N282&gt;0,CONTADORES!$X290-CONTADORES!$X289,0)</f>
        <v>0</v>
      </c>
      <c r="P282" s="1439">
        <f ca="1">IF(B282&gt;=$J$5,0,CONTADORES!$U290-CONTADORES!$U289)</f>
        <v>434</v>
      </c>
      <c r="Q282" s="208">
        <f ca="1">IF(B282&gt;=$J$5,0,CONTADORES!$B290-CONTADORES!$B289)</f>
        <v>0</v>
      </c>
      <c r="R282" s="202">
        <f t="shared" ca="1" si="128"/>
        <v>0</v>
      </c>
      <c r="S282" s="11">
        <f ca="1">IF(B282&gt;=$J$5,0,CONTADORES!$D290-CONTADORES!$D289)</f>
        <v>0</v>
      </c>
      <c r="T282" s="208">
        <f ca="1">IF(B282&gt;=$J$5,0,CONTADORES!$AZ290-CONTADORES!$AZ289)</f>
        <v>9.9950000000000045</v>
      </c>
      <c r="U282" s="202">
        <f t="shared" ca="1" si="123"/>
        <v>1199.4000000000005</v>
      </c>
      <c r="V282" s="205">
        <f ca="1">IF(B282&gt;=$J$5,0,CONTADORES!$BB290-CONTADORES!$BB289)</f>
        <v>10.299999999999955</v>
      </c>
      <c r="W282" s="1438">
        <f t="shared" ca="1" si="129"/>
        <v>434</v>
      </c>
      <c r="X282" s="1438">
        <f t="shared" ca="1" si="130"/>
        <v>9.9950000000000045</v>
      </c>
      <c r="Y282" s="1439">
        <f t="shared" ca="1" si="131"/>
        <v>443.995</v>
      </c>
      <c r="Z282" s="1439">
        <f t="shared" ca="1" si="132"/>
        <v>6.3905603581111086</v>
      </c>
      <c r="AA282" s="1439">
        <f t="shared" ca="1" si="133"/>
        <v>1199.4000000000005</v>
      </c>
      <c r="AB282" s="1439">
        <f t="shared" ca="1" si="134"/>
        <v>24</v>
      </c>
      <c r="AC282" s="1438">
        <f t="shared" ca="1" si="135"/>
        <v>10.299999999999955</v>
      </c>
      <c r="AD282" s="1439">
        <f ca="1">IF(B282&gt;=$J$5,0,CONTADORES!H290-CONTADORES!H289)</f>
        <v>166</v>
      </c>
      <c r="AE282" s="1438">
        <f ca="1">IF(B282&gt;=$J$5,0,CONTADORES!J290-CONTADORES!J289)</f>
        <v>24</v>
      </c>
      <c r="AF282" s="1439">
        <f ca="1">IF(B282&gt;=$J$5,0,CONTADORES!AS290-CONTADORES!AS289)</f>
        <v>150</v>
      </c>
      <c r="AG282" s="1438">
        <f ca="1">IF(B282&gt;=$J$5,0,CONTADORES!AU290-CONTADORES!AU289)</f>
        <v>24</v>
      </c>
      <c r="AH282" s="1439">
        <f ca="1">IF(B282&gt;=$J$5,0,(CONTADORES!AK290-CONTADORES!AK289)+(CONTADORES!K290-CONTADORES!K289))</f>
        <v>6.5999999999985448</v>
      </c>
      <c r="AI282" s="1439">
        <f ca="1">IF(B282&gt;=$J$5,0,(CONTADORES!AI290-CONTADORES!AI289)+(CONTADORES!M290-CONTADORES!M289))</f>
        <v>40.80000000000291</v>
      </c>
      <c r="AJ282" s="1439">
        <f ca="1">IF(B282&gt;=$J$5,0,(CONTADORES!AG290-CONTADORES!AG289))</f>
        <v>8.5</v>
      </c>
      <c r="AK282" s="1439">
        <f ca="1">IF(B282&gt;=$J$5,0,(CONTADORES!O290-CONTADORES!O289))</f>
        <v>9</v>
      </c>
      <c r="AL282" s="1500">
        <f t="shared" ca="1" si="136"/>
        <v>43.994999999996367</v>
      </c>
      <c r="AM282" s="1450">
        <f ca="1">IF(B282&gt;=$J$5,0,(((CONTADORES!F290-CONTADORES!F289)+(CONTADORES!AO290-CONTADORES!AO289))))-BJ282-AF282-AN282-BM282-BP282-BU282-BS282</f>
        <v>0.98400000000300158</v>
      </c>
      <c r="AN282" s="1439">
        <f ca="1">IF(B282&gt;=$J$5,0,(CONTADORES!AV290-CONTADORES!AV289)+(CONTADORES!AX290-CONTADORES!AX289)+(CONTADORES!BC290-CONTADORES!BC289))</f>
        <v>4.2000000000002728</v>
      </c>
      <c r="AO282" s="1474">
        <f>(CONTADORES!AA290-CONTADORES!AA289)</f>
        <v>0</v>
      </c>
      <c r="AP282" s="1474">
        <f>(CONTADORES!V290-CONTADORES!V289)</f>
        <v>226</v>
      </c>
      <c r="AQ282" s="1440">
        <f>(CONTADORES!C290-CONTADORES!C289)</f>
        <v>0</v>
      </c>
      <c r="AR282" s="1440">
        <f>(CONTADORES!BA290-CONTADORES!BA289)</f>
        <v>3.8650000000000091</v>
      </c>
      <c r="AS282" s="1450">
        <f ca="1">IF(B282&gt;=$J$5,0,CONTADORES!Q290-CONTADORES!Q289)</f>
        <v>15</v>
      </c>
      <c r="AT282" s="1479">
        <f ca="1">IF(B282&gt;=$J$5,0,(CONTADORES!S290-CONTADORES!S289)+(CONTADORES!AE290-CONTADORES!AE289))</f>
        <v>2.6999999999999886</v>
      </c>
      <c r="AU282" s="1474">
        <f>CONTADORES!I290-CONTADORES!I289</f>
        <v>82</v>
      </c>
      <c r="AV282" s="1440">
        <f>CONTADORES!AT290-CONTADORES!AT289</f>
        <v>65</v>
      </c>
      <c r="AW282" s="1440">
        <f ca="1">IF(B282&gt;=$J$5,0,(CONTADORES!L290-CONTADORES!L289)+(CONTADORES!AL290-CONTADORES!AL289))</f>
        <v>2.5</v>
      </c>
      <c r="AX282" s="1440">
        <f ca="1">IF(B282&gt;=$J$5,0,(CONTADORES!N290-CONTADORES!N289)+(CONTADORES!AJ290-CONTADORES!AJ289))</f>
        <v>34.69999999999709</v>
      </c>
      <c r="AY282" s="1440">
        <f ca="1">IF(B282&gt;=$J$5,0,(CONTADORES!AH290-CONTADORES!AH289))</f>
        <v>6.5</v>
      </c>
      <c r="AZ282" s="1440">
        <f ca="1">IF(B282&gt;=$J$5,0,(CONTADORES!P290-CONTADORES!P289))</f>
        <v>8</v>
      </c>
      <c r="BA282" s="1450">
        <f t="shared" ca="1" si="137"/>
        <v>13.486000000002349</v>
      </c>
      <c r="BB282" s="1440">
        <f ca="1">IF(B282&gt;=$J$5,0,(((CONTADORES!G290-CONTADORES!G289)+(CONTADORES!AP290-CONTADORES!AP289)+AR282)-(AV282+BC282)))</f>
        <v>9.654999999999518</v>
      </c>
      <c r="BC282" s="1438">
        <f ca="1">IF(B282&gt;=$J$5,0,(CONTADORES!AW290-CONTADORES!AW289)+(CONTADORES!AY290-CONTADORES!AY289)+(CONTADORES!BD290-CONTADORES!BD289))</f>
        <v>1.4100000000003092</v>
      </c>
      <c r="BD282" s="1438">
        <f t="shared" si="138"/>
        <v>229.86500000000001</v>
      </c>
      <c r="BE282" s="1439">
        <f ca="1">IF($B282&gt;=$J$5,0,CONTADORES!$BE290)</f>
        <v>4390.3599999999997</v>
      </c>
      <c r="BF282" s="1438">
        <f ca="1">IF($B282&gt;=$J$5,0,CONTADORES!$BF290)</f>
        <v>34435.103508771899</v>
      </c>
      <c r="BG282" s="1438">
        <f ca="1">IF($B282&gt;=$J$5,0,CONTADORES!$BH290)</f>
        <v>5217.51</v>
      </c>
      <c r="BH282" s="1438">
        <f ca="1">IF(B282&gt;=$J$5,0,(CONTADORES!AQ290-CONTADORES!AQ289))</f>
        <v>6</v>
      </c>
      <c r="BI282" s="1438">
        <f ca="1">IF(C282&gt;=$J$5,0,(CONTADORES!AR290-CONTADORES!AR289))</f>
        <v>0</v>
      </c>
      <c r="BJ282" s="1438">
        <f ca="1">IF(B282&gt;=$J$5,0,CONTADORES!BI290-CONTADORES!BI289)/1000</f>
        <v>2</v>
      </c>
      <c r="BK282" s="1438">
        <f ca="1">IF(BF282&gt;=$J$5,0,CONTADORES!BJ290-CONTADORES!BJ289)</f>
        <v>1</v>
      </c>
      <c r="BL282" s="1438">
        <f ca="1">IF(BG282&gt;=$J$5,0,CONTADORES!BK290-CONTADORES!BK289)</f>
        <v>24</v>
      </c>
      <c r="BM282" s="1438">
        <f ca="1">IF(B282&gt;=$J$5,0,CONTADORES!BL290-CONTADORES!BL289)/1000</f>
        <v>5.1319999999999997</v>
      </c>
      <c r="BN282" s="1438">
        <f ca="1">IF(B282&gt;=$J$5,0,CONTADORES!BM290-CONTADORES!BM289)/1000</f>
        <v>0.995</v>
      </c>
      <c r="BO282" s="1438">
        <f ca="1">IF(B282&gt;=$J$5,0,CONTADORES!BN290-CONTADORES!BN289)</f>
        <v>24</v>
      </c>
      <c r="BP282" s="1438">
        <f ca="1">IF(B282&gt;=$J$5,0,CONTADORES!BO290-CONTADORES!BO289)/1000</f>
        <v>0</v>
      </c>
      <c r="BQ282" s="1438">
        <f ca="1">IF(B282&gt;=$J$5,0,CONTADORES!BP290-CONTADORES!BP289)/1000</f>
        <v>0</v>
      </c>
      <c r="BR282" s="1438">
        <f ca="1">IF(B282&gt;=$J$5,0,CONTADORES!BQ290-CONTADORES!BQ289)</f>
        <v>0</v>
      </c>
      <c r="BS282" s="1439">
        <f ca="1">IF(B282&gt;=$J$5,0,(CONTADORES!BT290-CONTADORES!BT289)+(CONTADORES!BV290-CONTADORES!BV289))/1000</f>
        <v>1.5840000000000001</v>
      </c>
      <c r="BT282" s="1439">
        <f ca="1">IF(B282&gt;=$J$5,0,(CONTADORES!BU290-CONTADORES!BU289)+(CONTADORES!BW290-CONTADORES!BW289))/1000</f>
        <v>0.91900000000000004</v>
      </c>
      <c r="BU282" s="1439">
        <f ca="1">IF(B282&gt;=$J$5,0,CONTADORES!BR290-CONTADORES!BR289)</f>
        <v>5.1999999999989086</v>
      </c>
      <c r="BV282" s="1439">
        <f ca="1">IF(B282&gt;=$J$5,0,CONTADORES!BS290-CONTADORES!BS289)</f>
        <v>3.7000000000007276</v>
      </c>
      <c r="BW282" s="1450">
        <f t="shared" ca="1" si="139"/>
        <v>5.6920000000004096</v>
      </c>
      <c r="BX282" s="1450">
        <f t="shared" ca="1" si="140"/>
        <v>8.5275000000004866</v>
      </c>
      <c r="BY282" s="1450">
        <f t="shared" ca="1" si="141"/>
        <v>0.49200000000150079</v>
      </c>
      <c r="BZ282" s="1450">
        <f t="shared" ca="1" si="142"/>
        <v>1.6800000000001092</v>
      </c>
      <c r="CA282" s="1450">
        <f t="shared" ca="1" si="143"/>
        <v>0.49200000000150079</v>
      </c>
      <c r="CB282" s="1450">
        <f t="shared" ca="1" si="144"/>
        <v>2.5200000000001639</v>
      </c>
      <c r="CC282" s="1450">
        <f t="shared" ca="1" si="145"/>
        <v>3.2640000000001095</v>
      </c>
      <c r="CD282" s="1450">
        <f t="shared" ca="1" si="146"/>
        <v>4.827499999999759</v>
      </c>
      <c r="CE282" s="1450">
        <f ca="1">IF(B282&gt;=$J$5,0,CONTADORES!BS290-CONTADORES!BS289)</f>
        <v>3.7000000000007276</v>
      </c>
      <c r="CF282" s="1450">
        <f t="shared" ca="1" si="147"/>
        <v>4.827499999999759</v>
      </c>
      <c r="CG282" s="1450">
        <f t="shared" ca="1" si="148"/>
        <v>0.70500000000015461</v>
      </c>
      <c r="CH282" s="1450">
        <f t="shared" ca="1" si="149"/>
        <v>0.70500000000015461</v>
      </c>
      <c r="CI282" s="1450">
        <f t="shared" ca="1" si="150"/>
        <v>1.6240000000001547</v>
      </c>
      <c r="CJ282" s="1450">
        <f ca="1">IF($B282&gt;=$J$5,0,CONTADORES!$BG290)</f>
        <v>9211.3535137259805</v>
      </c>
      <c r="CK282" s="1384">
        <f>CONTADORES!E290</f>
        <v>0</v>
      </c>
      <c r="CL282" s="1384">
        <f>CONTADORES!BX290</f>
        <v>10</v>
      </c>
    </row>
    <row r="283" spans="2:90" ht="15" thickBot="1">
      <c r="B283" s="1069">
        <v>45199</v>
      </c>
      <c r="C283" s="209">
        <f t="shared" ca="1" si="126"/>
        <v>0</v>
      </c>
      <c r="D283" s="203">
        <f ca="1">'CALCULO DE GAS'!P101</f>
        <v>0</v>
      </c>
      <c r="E283" s="203">
        <f ca="1">IF(B283&gt;=$J$5,0,(CONTADORES!$AB291-CONTADORES!$AB290)-$H283)</f>
        <v>0</v>
      </c>
      <c r="F283" s="206">
        <f t="shared" ca="1" si="125"/>
        <v>0</v>
      </c>
      <c r="G283" s="1492">
        <f ca="1">IF(B283&gt;=$J$5,0,CONTADORES!$AD291-CONTADORES!$AD290)</f>
        <v>0</v>
      </c>
      <c r="H283" s="1492">
        <f ca="1">IF(G283&gt;0,CONTADORES!$AC291-CONTADORES!$AC290,0)</f>
        <v>0</v>
      </c>
      <c r="I283" s="1495">
        <f ca="1">IF(B283&gt;=$J$5,0,CONTADORES!$Z291-CONTADORES!$Z290)</f>
        <v>0</v>
      </c>
      <c r="J283" s="209">
        <f t="shared" ca="1" si="127"/>
        <v>428</v>
      </c>
      <c r="K283" s="203">
        <f ca="1">'CALCULO DE GAS'!Q101</f>
        <v>6.3346070247777755</v>
      </c>
      <c r="L283" s="1495">
        <f ca="1">IF(B283&gt;=$J$5,0,(CONTADORES!$W291-CONTADORES!$W290)-$O283)</f>
        <v>24</v>
      </c>
      <c r="M283" s="1465">
        <f t="shared" ca="1" si="124"/>
        <v>0</v>
      </c>
      <c r="N283" s="1495">
        <f ca="1">IF(B283&gt;=$J$5,0,CONTADORES!$Y291-CONTADORES!$Y290)</f>
        <v>0</v>
      </c>
      <c r="O283" s="1494">
        <f ca="1">IF(N283&gt;0,CONTADORES!$X291-CONTADORES!$X290,0)</f>
        <v>0</v>
      </c>
      <c r="P283" s="1497">
        <f ca="1">IF(B283&gt;=$J$5,0,CONTADORES!$U291-CONTADORES!$U290)</f>
        <v>428</v>
      </c>
      <c r="Q283" s="1491">
        <f ca="1">IF(B283&gt;=$J$5,0,CONTADORES!$B291-CONTADORES!$B290)</f>
        <v>0</v>
      </c>
      <c r="R283" s="203">
        <f t="shared" ca="1" si="128"/>
        <v>0</v>
      </c>
      <c r="S283" s="1378">
        <f ca="1">IF(B283&gt;=$J$5,0,CONTADORES!$D291-CONTADORES!$D290)</f>
        <v>0</v>
      </c>
      <c r="T283" s="1491">
        <f ca="1">IF(B283&gt;=$J$5,0,CONTADORES!$AZ291-CONTADORES!$AZ290)</f>
        <v>13.634000000000015</v>
      </c>
      <c r="U283" s="203">
        <f t="shared" ca="1" si="123"/>
        <v>1636.0800000000017</v>
      </c>
      <c r="V283" s="1494">
        <f ca="1">IF(B283&gt;=$J$5,0,CONTADORES!$BB291-CONTADORES!$BB290)</f>
        <v>13.5</v>
      </c>
      <c r="W283" s="1466">
        <f t="shared" ca="1" si="129"/>
        <v>428</v>
      </c>
      <c r="X283" s="1466">
        <f t="shared" ca="1" si="130"/>
        <v>13.634000000000015</v>
      </c>
      <c r="Y283" s="1467">
        <f t="shared" ca="1" si="131"/>
        <v>441.63400000000001</v>
      </c>
      <c r="Z283" s="1467">
        <f t="shared" ca="1" si="132"/>
        <v>6.3346070247777755</v>
      </c>
      <c r="AA283" s="1467">
        <f t="shared" ca="1" si="133"/>
        <v>1636.0800000000017</v>
      </c>
      <c r="AB283" s="1467">
        <f t="shared" ca="1" si="134"/>
        <v>24</v>
      </c>
      <c r="AC283" s="1467">
        <f t="shared" ca="1" si="135"/>
        <v>13.5</v>
      </c>
      <c r="AD283" s="1497">
        <f ca="1">IF(B283&gt;=$J$5,0,CONTADORES!H291-CONTADORES!H290)</f>
        <v>162</v>
      </c>
      <c r="AE283" s="1496">
        <f ca="1">IF(B283&gt;=$J$5,0,CONTADORES!J291-CONTADORES!J290)</f>
        <v>24</v>
      </c>
      <c r="AF283" s="1497">
        <f ca="1">IF(B283&gt;=$J$5,0,CONTADORES!AS291-CONTADORES!AS290)</f>
        <v>148</v>
      </c>
      <c r="AG283" s="1496">
        <f ca="1">IF(B283&gt;=$J$5,0,CONTADORES!AU291-CONTADORES!AU290)</f>
        <v>24</v>
      </c>
      <c r="AH283" s="1497">
        <f ca="1">IF(B283&gt;=$J$5,0,(CONTADORES!AK291-CONTADORES!AK290)+(CONTADORES!K291-CONTADORES!K290))</f>
        <v>10.800000000001091</v>
      </c>
      <c r="AI283" s="1497">
        <f ca="1">IF(B283&gt;=$J$5,0,(CONTADORES!AI291-CONTADORES!AI290)+(CONTADORES!M291-CONTADORES!M290))</f>
        <v>39.600000000005821</v>
      </c>
      <c r="AJ283" s="1497">
        <f ca="1">IF(B283&gt;=$J$5,0,(CONTADORES!AG291-CONTADORES!AG290))</f>
        <v>8.8999999999941792</v>
      </c>
      <c r="AK283" s="1497">
        <f ca="1">IF(B283&gt;=$J$5,0,(CONTADORES!O291-CONTADORES!O290))</f>
        <v>10</v>
      </c>
      <c r="AL283" s="1467">
        <f t="shared" ca="1" si="136"/>
        <v>44.434000000001049</v>
      </c>
      <c r="AM283" s="1467">
        <f ca="1">IF(B283&gt;=$J$5,0,(((CONTADORES!F291-CONTADORES!F290)+(CONTADORES!AO291-CONTADORES!AO290))))-BJ283-AF283-AN283-BM283-BP283-BU283-BS283</f>
        <v>0.18499999999845951</v>
      </c>
      <c r="AN283" s="1497">
        <f ca="1">IF(B283&gt;=$J$5,0,(CONTADORES!AV291-CONTADORES!AV290)+(CONTADORES!AX291-CONTADORES!AX290)+(CONTADORES!BC291-CONTADORES!BC290))</f>
        <v>4.7999999999997272</v>
      </c>
      <c r="AO283" s="1498">
        <f>(CONTADORES!AA291-CONTADORES!AA290)</f>
        <v>0</v>
      </c>
      <c r="AP283" s="1498">
        <f>(CONTADORES!V291-CONTADORES!V290)</f>
        <v>223</v>
      </c>
      <c r="AQ283" s="1440">
        <f>(CONTADORES!C291-CONTADORES!C290)</f>
        <v>0</v>
      </c>
      <c r="AR283" s="1440">
        <f>(CONTADORES!BA291-CONTADORES!BA290)</f>
        <v>5.285000000000025</v>
      </c>
      <c r="AS283" s="1497">
        <f ca="1">IF(B283&gt;=$J$5,0,CONTADORES!Q291-CONTADORES!Q290)</f>
        <v>15</v>
      </c>
      <c r="AT283" s="1496">
        <f ca="1">IF(B283&gt;=$J$5,0,(CONTADORES!S291-CONTADORES!S290)+(CONTADORES!AE291-CONTADORES!AE290))</f>
        <v>2.4000000000000341</v>
      </c>
      <c r="AU283" s="62">
        <f>CONTADORES!I291-CONTADORES!I290</f>
        <v>80</v>
      </c>
      <c r="AV283" s="1440">
        <f>CONTADORES!AT291-CONTADORES!AT290</f>
        <v>64</v>
      </c>
      <c r="AW283" s="1440">
        <f ca="1">IF(B283&gt;=$J$5,0,(CONTADORES!L291-CONTADORES!L290)+(CONTADORES!AL291-CONTADORES!AL290))</f>
        <v>4.0999999999985448</v>
      </c>
      <c r="AX283" s="1440">
        <f ca="1">IF(B283&gt;=$J$5,0,(CONTADORES!N291-CONTADORES!N290)+(CONTADORES!AJ291-CONTADORES!AJ290))</f>
        <v>33.80000000000291</v>
      </c>
      <c r="AY283" s="1440">
        <f ca="1">IF(B283&gt;=$J$5,0,(CONTADORES!AH291-CONTADORES!AH290))</f>
        <v>6.8000000000029104</v>
      </c>
      <c r="AZ283" s="1440">
        <f ca="1">IF(B283&gt;=$J$5,0,(CONTADORES!P291-CONTADORES!P290))</f>
        <v>8</v>
      </c>
      <c r="BA283" s="1467">
        <f t="shared" ca="1" si="137"/>
        <v>13.43599999999563</v>
      </c>
      <c r="BB283" s="62">
        <f ca="1">IF(B283&gt;=$J$5,0,(((CONTADORES!G291-CONTADORES!G290)+(CONTADORES!AP291-CONTADORES!AP290)+AR283)-(AV283+BC283)))</f>
        <v>8.8850000000003888</v>
      </c>
      <c r="BC283" s="1485">
        <f ca="1">IF(B283&gt;=$J$5,0,(CONTADORES!AW291-CONTADORES!AW290)+(CONTADORES!AY291-CONTADORES!AY290)+(CONTADORES!BD291-CONTADORES!BD290))</f>
        <v>1.8999999999996362</v>
      </c>
      <c r="BD283" s="1466">
        <f t="shared" si="138"/>
        <v>228.28500000000003</v>
      </c>
      <c r="BE283" s="1467">
        <f ca="1">IF($B283&gt;=$J$5,0,CONTADORES!$BE291)</f>
        <v>4942.9800000000005</v>
      </c>
      <c r="BF283" s="1466">
        <f ca="1">IF($B283&gt;=$J$5,0,CONTADORES!$BF291)</f>
        <v>33962.264912280705</v>
      </c>
      <c r="BG283" s="1466">
        <f ca="1">IF($B283&gt;=$J$5,0,CONTADORES!$BH291)</f>
        <v>5149.46</v>
      </c>
      <c r="BH283" s="1466">
        <f ca="1">IF(B283&gt;=$J$5,0,(CONTADORES!AQ291-CONTADORES!AQ290))</f>
        <v>5</v>
      </c>
      <c r="BI283" s="1466">
        <f ca="1">IF(C283&gt;=$J$5,0,(CONTADORES!AR291-CONTADORES!AR290))</f>
        <v>0</v>
      </c>
      <c r="BJ283" s="1466">
        <f ca="1">IF(B283&gt;=$J$5,0,CONTADORES!BI291-CONTADORES!BI290)/1000</f>
        <v>0.1</v>
      </c>
      <c r="BK283" s="1438">
        <f ca="1">IF(BF283&gt;=$J$5,0,CONTADORES!BJ291-CONTADORES!BJ290)</f>
        <v>1</v>
      </c>
      <c r="BL283" s="1438">
        <f ca="1">IF(BG283&gt;=$J$5,0,CONTADORES!BK291-CONTADORES!BK290)</f>
        <v>24</v>
      </c>
      <c r="BM283" s="1438">
        <f ca="1">IF(B283&gt;=$J$5,0,CONTADORES!BL291-CONTADORES!BL290)/1000</f>
        <v>4.9870000000000001</v>
      </c>
      <c r="BN283" s="1438">
        <f ca="1">IF(B283&gt;=$J$5,0,CONTADORES!BM291-CONTADORES!BM290)/1000</f>
        <v>0.93100000000000005</v>
      </c>
      <c r="BO283" s="1438">
        <f ca="1">IF(B283&gt;=$J$5,0,CONTADORES!BN291-CONTADORES!BN290)</f>
        <v>24</v>
      </c>
      <c r="BP283" s="1438">
        <f ca="1">IF(B283&gt;=$J$5,0,CONTADORES!BO291-CONTADORES!BO290)/1000</f>
        <v>0</v>
      </c>
      <c r="BQ283" s="1438">
        <f ca="1">IF(B283&gt;=$J$5,0,CONTADORES!BP291-CONTADORES!BP290)/1000</f>
        <v>0</v>
      </c>
      <c r="BR283" s="1438">
        <f ca="1">IF(B283&gt;=$J$5,0,CONTADORES!BQ291-CONTADORES!BQ290)</f>
        <v>0</v>
      </c>
      <c r="BS283" s="1439">
        <f ca="1">IF(B283&gt;=$J$5,0,(CONTADORES!BT291-CONTADORES!BT290)+(CONTADORES!BV291-CONTADORES!BV290))/1000</f>
        <v>1.4279999999999999</v>
      </c>
      <c r="BT283" s="1439">
        <f ca="1">IF(B283&gt;=$J$5,0,(CONTADORES!BU291-CONTADORES!BU290)+(CONTADORES!BW291-CONTADORES!BW290))/1000</f>
        <v>0.93300000000000005</v>
      </c>
      <c r="BU283" s="1439">
        <f ca="1">IF(B283&gt;=$J$5,0,CONTADORES!BR291-CONTADORES!BR290)</f>
        <v>6.3999999999996362</v>
      </c>
      <c r="BV283" s="1439">
        <f ca="1">IF(B283&gt;=$J$5,0,CONTADORES!BS291-CONTADORES!BS290)</f>
        <v>4.5</v>
      </c>
      <c r="BW283" s="1467">
        <f t="shared" ca="1" si="139"/>
        <v>6.4924999999988664</v>
      </c>
      <c r="BX283" s="1467">
        <f t="shared" ca="1" si="140"/>
        <v>8.9425000000001944</v>
      </c>
      <c r="BY283" s="1467">
        <f t="shared" ca="1" si="141"/>
        <v>9.2499999999229754E-2</v>
      </c>
      <c r="BZ283" s="1467">
        <f t="shared" ca="1" si="142"/>
        <v>1.9199999999998909</v>
      </c>
      <c r="CA283" s="1467">
        <f t="shared" ca="1" si="143"/>
        <v>9.2499999999229754E-2</v>
      </c>
      <c r="CB283" s="1467">
        <f t="shared" ca="1" si="144"/>
        <v>2.8799999999998365</v>
      </c>
      <c r="CC283" s="1467">
        <f t="shared" ca="1" si="145"/>
        <v>3.3479999999998906</v>
      </c>
      <c r="CD283" s="1467">
        <f t="shared" ca="1" si="146"/>
        <v>4.4425000000001944</v>
      </c>
      <c r="CE283" s="1467">
        <f ca="1">IF(B283&gt;=$J$5,0,CONTADORES!BS291-CONTADORES!BS290)</f>
        <v>4.5</v>
      </c>
      <c r="CF283" s="1467">
        <f t="shared" ca="1" si="147"/>
        <v>4.4425000000001944</v>
      </c>
      <c r="CG283" s="1467">
        <f t="shared" ca="1" si="148"/>
        <v>0.9499999999998181</v>
      </c>
      <c r="CH283" s="1467">
        <f t="shared" ca="1" si="149"/>
        <v>0.9499999999998181</v>
      </c>
      <c r="CI283" s="1467">
        <f t="shared" ca="1" si="150"/>
        <v>1.8829999999998182</v>
      </c>
      <c r="CJ283" s="1467">
        <f ca="1">IF($B283&gt;=$J$5,0,CONTADORES!$BG291)</f>
        <v>8139.1111990318368</v>
      </c>
      <c r="CK283" s="1385">
        <f>CONTADORES!E291</f>
        <v>0</v>
      </c>
      <c r="CL283" s="1385">
        <f>CONTADORES!BX291</f>
        <v>13</v>
      </c>
    </row>
    <row r="284" spans="2:90" s="1110" customFormat="1">
      <c r="B284" s="1514">
        <v>45200</v>
      </c>
      <c r="C284" s="208">
        <f t="shared" ca="1" si="126"/>
        <v>0</v>
      </c>
      <c r="D284" s="202">
        <f ca="1">'CALCULO DE GAS'!P106</f>
        <v>0</v>
      </c>
      <c r="E284" s="202">
        <f ca="1">IF(B284&gt;=$J$5,0,(CONTADORES!$AB294-CONTADORES!$AB293)-$H284)</f>
        <v>0</v>
      </c>
      <c r="F284" s="204">
        <f t="shared" ca="1" si="125"/>
        <v>0</v>
      </c>
      <c r="G284" s="202">
        <f ca="1">IF(B284&gt;=$J$5,0,CONTADORES!$AD294-CONTADORES!$AD293)</f>
        <v>0</v>
      </c>
      <c r="H284" s="202">
        <f ca="1">IF(G284&gt;0,CONTADORES!$AC294-CONTADORES!$AC293,0)</f>
        <v>0</v>
      </c>
      <c r="I284" s="205">
        <f ca="1">IF(B284&gt;=$J$5,0,CONTADORES!$Z294-CONTADORES!$Z293)</f>
        <v>0</v>
      </c>
      <c r="J284" s="204">
        <f t="shared" ca="1" si="127"/>
        <v>440</v>
      </c>
      <c r="K284" s="202">
        <f ca="1">'CALCULO DE GAS'!Q106</f>
        <v>7.0371553427557654</v>
      </c>
      <c r="L284" s="1437">
        <f ca="1">IF(B284&gt;=$J$5,0,(CONTADORES!$W294-CONTADORES!$W293)-$O284)</f>
        <v>24</v>
      </c>
      <c r="M284" s="1437">
        <f t="shared" ca="1" si="124"/>
        <v>0</v>
      </c>
      <c r="N284" s="1437">
        <f ca="1">IF(B284&gt;=$J$5,0,CONTADORES!$Y294-CONTADORES!$Y293)</f>
        <v>0</v>
      </c>
      <c r="O284" s="1437">
        <f ca="1">IF(N284&gt;0,CONTADORES!$X294-CONTADORES!$X293,0)</f>
        <v>0</v>
      </c>
      <c r="P284" s="208">
        <f ca="1">IF(B284&gt;=$J$5,0,CONTADORES!$U294-CONTADORES!$U293)</f>
        <v>440</v>
      </c>
      <c r="Q284" s="208">
        <f ca="1">IF(B284&gt;=$J$5,0,CONTADORES!$B294-CONTADORES!$B293)</f>
        <v>0</v>
      </c>
      <c r="R284" s="202">
        <f t="shared" ca="1" si="128"/>
        <v>0</v>
      </c>
      <c r="S284" s="11">
        <f ca="1">IF(B284&gt;=$J$5,0,CONTADORES!$D294-CONTADORES!$D293)</f>
        <v>0</v>
      </c>
      <c r="T284" s="204">
        <f ca="1">IF(B284&gt;=$J$5,0,CONTADORES!$AZ294-CONTADORES!$AZ293)</f>
        <v>8.5620000000000118</v>
      </c>
      <c r="U284" s="202">
        <f t="shared" ca="1" si="123"/>
        <v>1027.4400000000014</v>
      </c>
      <c r="V284" s="205">
        <f ca="1">IF(B284&gt;=$J$5,0,CONTADORES!$BB294-CONTADORES!$BB293)</f>
        <v>9.4000000000000909</v>
      </c>
      <c r="W284" s="1438">
        <f t="shared" ca="1" si="129"/>
        <v>440</v>
      </c>
      <c r="X284" s="1438">
        <f t="shared" ca="1" si="130"/>
        <v>8.5620000000000118</v>
      </c>
      <c r="Y284" s="1439">
        <f t="shared" ca="1" si="131"/>
        <v>448.56200000000001</v>
      </c>
      <c r="Z284" s="1439">
        <f t="shared" ca="1" si="132"/>
        <v>7.0371553427557654</v>
      </c>
      <c r="AA284" s="1439">
        <f t="shared" ca="1" si="133"/>
        <v>1027.4400000000014</v>
      </c>
      <c r="AB284" s="1439">
        <f t="shared" ca="1" si="134"/>
        <v>24</v>
      </c>
      <c r="AC284" s="1438">
        <f t="shared" ca="1" si="135"/>
        <v>9.4000000000000909</v>
      </c>
      <c r="AD284" s="1438">
        <f ca="1">IF(B284&gt;=$J$5,0,CONTADORES!H294-CONTADORES!H293)</f>
        <v>166</v>
      </c>
      <c r="AE284" s="1438">
        <f ca="1">IF(B284&gt;=$J$5,0,CONTADORES!J294-CONTADORES!J293)</f>
        <v>24</v>
      </c>
      <c r="AF284" s="1438">
        <f ca="1">IF(B284&gt;=$J$5,0,CONTADORES!AS294-CONTADORES!AS293)</f>
        <v>150</v>
      </c>
      <c r="AG284" s="1438">
        <f ca="1">IF(B284&gt;=$J$5,0,CONTADORES!AU294-CONTADORES!AU293)</f>
        <v>24</v>
      </c>
      <c r="AH284" s="1475">
        <f ca="1">IF(B284&gt;=$J$5,0,(CONTADORES!AK294-CONTADORES!AK293)+(CONTADORES!K294-CONTADORES!K293))</f>
        <v>11.19999999999709</v>
      </c>
      <c r="AI284" s="1475">
        <f ca="1">IF(B284&gt;=$J$5,0,(CONTADORES!AI294-CONTADORES!AI293)+(CONTADORES!M294-CONTADORES!M293))</f>
        <v>39.80000000000291</v>
      </c>
      <c r="AJ284" s="1475">
        <f ca="1">IF(B284&gt;=$J$5,0,(CONTADORES!AG294-CONTADORES!AG293))</f>
        <v>8.8000000000029104</v>
      </c>
      <c r="AK284" s="1475">
        <f ca="1">IF(B284&gt;=$J$5,0,(CONTADORES!O294-CONTADORES!O293))</f>
        <v>10</v>
      </c>
      <c r="AL284" s="1490">
        <f t="shared" ca="1" si="136"/>
        <v>36.799999999995634</v>
      </c>
      <c r="AM284" s="1475">
        <f ca="1">IF(B284&gt;=$J$5,0,(((CONTADORES!F294-CONTADORES!F293)+(CONTADORES!AO294-CONTADORES!AO293))))-BJ284-AF284-AN284-BM284-BP284-BU284-BS284+T284</f>
        <v>6.500000000000921</v>
      </c>
      <c r="AN284" s="1438">
        <f ca="1">IF(B284&gt;=$J$5,0,(CONTADORES!AV294-CONTADORES!AV293)+(CONTADORES!AX294-CONTADORES!AX293)+(CONTADORES!BC294-CONTADORES!BC293))-BS284</f>
        <v>3.8480000000001819</v>
      </c>
      <c r="AO284" s="1502">
        <f>(CONTADORES!AA294-CONTADORES!AA293)</f>
        <v>0</v>
      </c>
      <c r="AP284" s="1502">
        <f>(CONTADORES!V294-CONTADORES!V293)</f>
        <v>228</v>
      </c>
      <c r="AQ284" s="1502">
        <f>(CONTADORES!C294-CONTADORES!C293)</f>
        <v>0</v>
      </c>
      <c r="AR284" s="1502">
        <f>(CONTADORES!BA294-CONTADORES!BA293)</f>
        <v>3.3070000000000164</v>
      </c>
      <c r="AS284" s="1438">
        <f ca="1">IF(B284&gt;=$J$5,0,CONTADORES!Q294-CONTADORES!Q293)</f>
        <v>14</v>
      </c>
      <c r="AT284" s="1438">
        <f ca="1">IF(B284&gt;=$J$5,0,(CONTADORES!S294-CONTADORES!S293)+(CONTADORES!AE294-CONTADORES!AE293))</f>
        <v>2.5</v>
      </c>
      <c r="AU284" s="1474">
        <f>CONTADORES!I294-CONTADORES!I293</f>
        <v>83</v>
      </c>
      <c r="AV284" s="1502">
        <f>CONTADORES!AT294-CONTADORES!AT293</f>
        <v>65</v>
      </c>
      <c r="AW284" s="1502">
        <f ca="1">IF(B284&gt;=$J$5,0,(CONTADORES!L294-CONTADORES!L293)+(CONTADORES!AL294-CONTADORES!AL293))</f>
        <v>4.4000000000014552</v>
      </c>
      <c r="AX284" s="1502">
        <f ca="1">IF(B284&gt;=$J$5,0,(CONTADORES!N294-CONTADORES!N293)+(CONTADORES!AJ294-CONTADORES!AJ293))</f>
        <v>34</v>
      </c>
      <c r="AY284" s="1502">
        <f ca="1">IF(B284&gt;=$J$5,0,(CONTADORES!AH294-CONTADORES!AH293))</f>
        <v>6.5999999999985448</v>
      </c>
      <c r="AZ284" s="1502">
        <f ca="1">IF(B284&gt;=$J$5,0,(CONTADORES!P294-CONTADORES!P293))</f>
        <v>8</v>
      </c>
      <c r="BA284" s="1439">
        <f ca="1">BD284-(AU284+AV284+AW284+AX284+AY284+AZ284+BK284+BN284+BQ284+BX284+CF284+CH284+CI284)</f>
        <v>12.544000000000352</v>
      </c>
      <c r="BB284" s="1440">
        <f ca="1">IF(B284&gt;=$J$5,0,(((CONTADORES!G294-CONTADORES!G293)+(CONTADORES!AP294-CONTADORES!AP293)+AR284)-(AV284+BC284)))</f>
        <v>8.6069999999997435</v>
      </c>
      <c r="BC284" s="1475">
        <f ca="1">IF(B284&gt;=$J$5,0,(CONTADORES!AW294-CONTADORES!AW293)+(CONTADORES!AY294-CONTADORES!AY293)+(CONTADORES!BD294-CONTADORES!BD293))</f>
        <v>1.7000000000002728</v>
      </c>
      <c r="BD284" s="1438">
        <f t="shared" si="138"/>
        <v>231.30700000000002</v>
      </c>
      <c r="BE284" s="1439">
        <f ca="1">IF($B284&gt;=$J$5,0,CONTADORES!$BE294)</f>
        <v>4479.54</v>
      </c>
      <c r="BF284" s="1438">
        <f ca="1">IF($B284&gt;=$J$5,0,CONTADORES!$BF294)</f>
        <v>34051.556140350804</v>
      </c>
      <c r="BG284" s="1475">
        <f ca="1">IF($B284&gt;=$J$5,0,CONTADORES!$BH294)</f>
        <v>4931.18</v>
      </c>
      <c r="BH284" s="1438">
        <f ca="1">IF(B284&gt;=$J$5,0,(CONTADORES!AQ294-CONTADORES!AQ293))</f>
        <v>4</v>
      </c>
      <c r="BI284" s="1438">
        <f ca="1">IF(B284&gt;=$J$5,0,(CONTADORES!AR294-CONTADORES!AR293))</f>
        <v>0</v>
      </c>
      <c r="BJ284" s="1439">
        <f ca="1">IF(B284&gt;=$J$5,0,CONTADORES!BI294-CONTADORES!BI293)/1000</f>
        <v>2</v>
      </c>
      <c r="BK284" s="1475">
        <f ca="1">IF(B284&gt;=$J$5,0,CONTADORES!BJ294-CONTADORES!BJ293)</f>
        <v>1</v>
      </c>
      <c r="BL284" s="1475">
        <f ca="1">IF(B284&gt;=$J$5,0,CONTADORES!BK294-CONTADORES!BK293)</f>
        <v>24</v>
      </c>
      <c r="BM284" s="1475">
        <f ca="1">IF(B284&gt;=$J$5,0,CONTADORES!BL294-CONTADORES!BL293)/1000</f>
        <v>5.0620000000000003</v>
      </c>
      <c r="BN284" s="1475">
        <f ca="1">IF(B284&gt;=$J$5,0,CONTADORES!BM294-CONTADORES!BM293)/1000</f>
        <v>0.98499999999999999</v>
      </c>
      <c r="BO284" s="1475">
        <f ca="1">IF(B284&gt;=$J$5,0,CONTADORES!BN294-CONTADORES!BN293)</f>
        <v>24</v>
      </c>
      <c r="BP284" s="1475">
        <f ca="1">IF(B284&gt;=$J$5,0,CONTADORES!BO294-CONTADORES!BO293)/1000</f>
        <v>0</v>
      </c>
      <c r="BQ284" s="1475">
        <f ca="1">IF(B284&gt;=$J$5,0,CONTADORES!BP294-CONTADORES!BP293)/1000</f>
        <v>0</v>
      </c>
      <c r="BR284" s="1475">
        <f ca="1">IF(B284&gt;=$J$5,0,CONTADORES!BQ294-CONTADORES!BQ293)</f>
        <v>0</v>
      </c>
      <c r="BS284" s="1475">
        <f ca="1">IF(B284&gt;=$J$5,0,(CONTADORES!BT294-CONTADORES!BT293)+(CONTADORES!BV294-CONTADORES!BV293))/1000</f>
        <v>0.95199999999999996</v>
      </c>
      <c r="BT284" s="1475">
        <f ca="1">IF(B284&gt;=$J$5,0,(CONTADORES!BU294-CONTADORES!BU293)+(CONTADORES!BW294-CONTADORES!BW293))/1000</f>
        <v>0.57099999999999995</v>
      </c>
      <c r="BU284" s="1475">
        <f ca="1">IF(B284&gt;=$J$5,0,CONTADORES!BR294-CONTADORES!BR293)</f>
        <v>7.6000000000003638</v>
      </c>
      <c r="BV284" s="1475">
        <f ca="1">IF(B284&gt;=$J$5,0,CONTADORES!BS294-CONTADORES!BS293)</f>
        <v>4.8999999999996362</v>
      </c>
      <c r="BW284" s="1475">
        <f t="shared" ca="1" si="139"/>
        <v>10.850000000000824</v>
      </c>
      <c r="BX284" s="1475">
        <f ca="1">CE284+CD284</f>
        <v>9.203499999999508</v>
      </c>
      <c r="BY284" s="1475">
        <f t="shared" ca="1" si="141"/>
        <v>3.2500000000004605</v>
      </c>
      <c r="BZ284" s="1475">
        <f t="shared" ca="1" si="142"/>
        <v>1.539200000000073</v>
      </c>
      <c r="CA284" s="1475">
        <f t="shared" ca="1" si="143"/>
        <v>3.2500000000004605</v>
      </c>
      <c r="CB284" s="1475">
        <f t="shared" ca="1" si="144"/>
        <v>2.308800000000109</v>
      </c>
      <c r="CC284" s="1475">
        <f t="shared" ca="1" si="145"/>
        <v>2.4912000000000729</v>
      </c>
      <c r="CD284" s="1475">
        <f t="shared" ca="1" si="146"/>
        <v>4.3034999999998718</v>
      </c>
      <c r="CE284" s="1475">
        <f ca="1">IF(B284&gt;=$J$5,0,CONTADORES!BS294-CONTADORES!BS293)</f>
        <v>4.8999999999996362</v>
      </c>
      <c r="CF284" s="1475">
        <f t="shared" ca="1" si="147"/>
        <v>4.3034999999998718</v>
      </c>
      <c r="CG284" s="1475">
        <f t="shared" ca="1" si="148"/>
        <v>0.85000000000013642</v>
      </c>
      <c r="CH284" s="1475">
        <f t="shared" ca="1" si="149"/>
        <v>0.85000000000013642</v>
      </c>
      <c r="CI284" s="1475">
        <f t="shared" ca="1" si="150"/>
        <v>1.4210000000001364</v>
      </c>
      <c r="CJ284" s="1475">
        <f ca="1">IF($B284&gt;=$J$5,0,CONTADORES!$BG294)</f>
        <v>9127.8883694916494</v>
      </c>
      <c r="CK284" s="1515">
        <f>CONTADORES!E294</f>
        <v>0</v>
      </c>
      <c r="CL284" s="1515">
        <f>CONTADORES!BX294</f>
        <v>9</v>
      </c>
    </row>
    <row r="285" spans="2:90">
      <c r="B285" s="1514">
        <v>45201</v>
      </c>
      <c r="C285" s="208">
        <f t="shared" ca="1" si="126"/>
        <v>0</v>
      </c>
      <c r="D285" s="202">
        <f ca="1">'CALCULO DE GAS'!P107</f>
        <v>0</v>
      </c>
      <c r="E285" s="202">
        <f ca="1">IF(B285&gt;=$J$5,0,(CONTADORES!$AB295-CONTADORES!$AB294)-$H285)</f>
        <v>0</v>
      </c>
      <c r="F285" s="204">
        <f t="shared" ca="1" si="125"/>
        <v>0</v>
      </c>
      <c r="G285" s="202">
        <f ca="1">IF(B285&gt;=$J$5,0,CONTADORES!$AD295-CONTADORES!$AD294)</f>
        <v>0</v>
      </c>
      <c r="H285" s="202">
        <f ca="1">IF(G285&gt;0,CONTADORES!$AC295-CONTADORES!$AC294,0)</f>
        <v>0</v>
      </c>
      <c r="I285" s="205">
        <f ca="1">IF(B285&gt;=$J$5,0,CONTADORES!$Z295-CONTADORES!$Z294)</f>
        <v>0</v>
      </c>
      <c r="J285" s="204">
        <f t="shared" ca="1" si="127"/>
        <v>437</v>
      </c>
      <c r="K285" s="202">
        <f ca="1">'CALCULO DE GAS'!Q107</f>
        <v>7.0009938998225891</v>
      </c>
      <c r="L285" s="1437">
        <f ca="1">IF(B285&gt;=$J$5,0,(CONTADORES!$W295-CONTADORES!$W294)-$O285)</f>
        <v>24</v>
      </c>
      <c r="M285" s="1437">
        <f t="shared" ca="1" si="124"/>
        <v>0</v>
      </c>
      <c r="N285" s="1437">
        <f ca="1">IF(B285&gt;=$J$5,0,CONTADORES!$Y295-CONTADORES!$Y294)</f>
        <v>0</v>
      </c>
      <c r="O285" s="1437">
        <f ca="1">IF(N285&gt;0,CONTADORES!$X295-CONTADORES!$X294,0)</f>
        <v>0</v>
      </c>
      <c r="P285" s="208">
        <f ca="1">IF(B285&gt;=$J$5,0,CONTADORES!$U295-CONTADORES!$U294)</f>
        <v>437</v>
      </c>
      <c r="Q285" s="208">
        <f ca="1">IF(B285&gt;=$J$5,0,CONTADORES!$B295-CONTADORES!$B294)</f>
        <v>0.39199999999982538</v>
      </c>
      <c r="R285" s="202">
        <f t="shared" ca="1" si="128"/>
        <v>47.039999999979045</v>
      </c>
      <c r="S285" s="11">
        <f ca="1">IF(B285&gt;=$J$5,0,CONTADORES!$D295-CONTADORES!$D294)</f>
        <v>0.7999999999992724</v>
      </c>
      <c r="T285" s="204">
        <f ca="1">IF(B285&gt;=$J$5,0,CONTADORES!$AZ295-CONTADORES!$AZ294)</f>
        <v>13.410999999999945</v>
      </c>
      <c r="U285" s="202">
        <f t="shared" ca="1" si="123"/>
        <v>1609.3199999999933</v>
      </c>
      <c r="V285" s="205">
        <f ca="1">IF(B285&gt;=$J$5,0,CONTADORES!$BB295-CONTADORES!$BB294)</f>
        <v>13.299999999999955</v>
      </c>
      <c r="W285" s="1438">
        <f t="shared" ca="1" si="129"/>
        <v>437</v>
      </c>
      <c r="X285" s="1438">
        <f t="shared" ca="1" si="130"/>
        <v>13.80299999999977</v>
      </c>
      <c r="Y285" s="1439">
        <f t="shared" ca="1" si="131"/>
        <v>450.80299999999977</v>
      </c>
      <c r="Z285" s="1439">
        <f t="shared" ca="1" si="132"/>
        <v>7.0009938998225891</v>
      </c>
      <c r="AA285" s="1439">
        <f t="shared" ca="1" si="133"/>
        <v>1656.3599999999724</v>
      </c>
      <c r="AB285" s="1439">
        <f t="shared" ca="1" si="134"/>
        <v>24</v>
      </c>
      <c r="AC285" s="1438">
        <f t="shared" ca="1" si="135"/>
        <v>14.099999999999227</v>
      </c>
      <c r="AD285" s="1438">
        <f ca="1">IF(B285&gt;=$J$5,0,CONTADORES!H295-CONTADORES!H294)</f>
        <v>167</v>
      </c>
      <c r="AE285" s="1438">
        <f ca="1">IF(B285&gt;=$J$5,0,CONTADORES!J295-CONTADORES!J294)</f>
        <v>24</v>
      </c>
      <c r="AF285" s="1438">
        <f ca="1">IF(B285&gt;=$J$5,0,CONTADORES!AS295-CONTADORES!AS294)</f>
        <v>151</v>
      </c>
      <c r="AG285" s="1438">
        <f ca="1">IF(B285&gt;=$J$5,0,CONTADORES!AU295-CONTADORES!AU294)</f>
        <v>24</v>
      </c>
      <c r="AH285" s="1450">
        <f ca="1">IF(B285&gt;=$J$5,0,(CONTADORES!AK295-CONTADORES!AK294)+(CONTADORES!K295-CONTADORES!K294))</f>
        <v>11.599999999998545</v>
      </c>
      <c r="AI285" s="1450">
        <f ca="1">IF(B285&gt;=$J$5,0,(CONTADORES!AI295-CONTADORES!AI294)+(CONTADORES!M295-CONTADORES!M294))</f>
        <v>39.599999999991269</v>
      </c>
      <c r="AJ285" s="1450">
        <f ca="1">IF(B285&gt;=$J$5,0,(CONTADORES!AG295-CONTADORES!AG294))</f>
        <v>9</v>
      </c>
      <c r="AK285" s="1450">
        <f ca="1">IF(B285&gt;=$J$5,0,(CONTADORES!O295-CONTADORES!O294))</f>
        <v>10</v>
      </c>
      <c r="AL285" s="1500">
        <f t="shared" ca="1" si="136"/>
        <v>31.792000000008557</v>
      </c>
      <c r="AM285" s="1450">
        <f ca="1">IF(B285&gt;=$J$5,0,(((CONTADORES!F295-CONTADORES!F294)+(CONTADORES!AO295-CONTADORES!AO294))))-BJ285-AF285-AN285-BM285-BP285-BU285-BS285+T285</f>
        <v>10.362000000001302</v>
      </c>
      <c r="AN285" s="1438">
        <f ca="1">IF(B285&gt;=$J$5,0,(CONTADORES!AV295-CONTADORES!AV294)+(CONTADORES!AX295-CONTADORES!AX294)+(CONTADORES!BC295-CONTADORES!BC294))-BS285</f>
        <v>3.4030000000000911</v>
      </c>
      <c r="AO285" s="1478">
        <f>(CONTADORES!AA295-CONTADORES!AA294)</f>
        <v>0</v>
      </c>
      <c r="AP285" s="1478">
        <f>(CONTADORES!V295-CONTADORES!V294)</f>
        <v>229</v>
      </c>
      <c r="AQ285" s="1478">
        <f>(CONTADORES!C295-CONTADORES!C294)</f>
        <v>0.19299999999998363</v>
      </c>
      <c r="AR285" s="1478">
        <f>(CONTADORES!BA295-CONTADORES!BA294)</f>
        <v>5.1959999999999695</v>
      </c>
      <c r="AS285" s="1438">
        <f ca="1">IF(B285&gt;=$J$5,0,CONTADORES!Q295-CONTADORES!Q294)</f>
        <v>16</v>
      </c>
      <c r="AT285" s="1438">
        <f ca="1">IF(B285&gt;=$J$5,0,(CONTADORES!S295-CONTADORES!S294)+(CONTADORES!AE295-CONTADORES!AE294))</f>
        <v>2.5999999999999659</v>
      </c>
      <c r="AU285" s="1474">
        <f>CONTADORES!I295-CONTADORES!I294</f>
        <v>82</v>
      </c>
      <c r="AV285" s="1478">
        <f>CONTADORES!AT295-CONTADORES!AT294</f>
        <v>65</v>
      </c>
      <c r="AW285" s="1478">
        <f ca="1">IF(B285&gt;=$J$5,0,(CONTADORES!L295-CONTADORES!L294)+(CONTADORES!AL295-CONTADORES!AL294))</f>
        <v>4.3999999999978172</v>
      </c>
      <c r="AX285" s="1478">
        <f ca="1">IF(B285&gt;=$J$5,0,(CONTADORES!N295-CONTADORES!N294)+(CONTADORES!AJ295-CONTADORES!AJ294))</f>
        <v>34.19999999999709</v>
      </c>
      <c r="AY285" s="1478">
        <f ca="1">IF(B285&gt;=$J$5,0,(CONTADORES!AH295-CONTADORES!AH294))</f>
        <v>7.0999999999985448</v>
      </c>
      <c r="AZ285" s="1478">
        <f ca="1">IF(B285&gt;=$J$5,0,(CONTADORES!P295-CONTADORES!P294))</f>
        <v>8</v>
      </c>
      <c r="BA285" s="1450">
        <f t="shared" ca="1" si="137"/>
        <v>13.9330000000067</v>
      </c>
      <c r="BB285" s="1440">
        <f ca="1">IF(B285&gt;=$J$5,0,(((CONTADORES!G295-CONTADORES!G294)+(CONTADORES!AP295-CONTADORES!AP294)+AR285)-(AV285+BC285)))</f>
        <v>9.9959999999996967</v>
      </c>
      <c r="BC285" s="1439">
        <f ca="1">IF(B285&gt;=$J$5,0,(CONTADORES!AW295-CONTADORES!AW294)+(CONTADORES!AY295-CONTADORES!AY294)+(CONTADORES!BD295-CONTADORES!BD294))</f>
        <v>1.9000000000000909</v>
      </c>
      <c r="BD285" s="1438">
        <f t="shared" si="138"/>
        <v>234.38899999999995</v>
      </c>
      <c r="BE285" s="1439">
        <f ca="1">IF($B285&gt;=$J$5,0,CONTADORES!$BE295)</f>
        <v>4910.5600000000004</v>
      </c>
      <c r="BF285" s="1438">
        <f ca="1">IF($B285&gt;=$J$5,0,CONTADORES!$BF295)</f>
        <v>33995.750877193001</v>
      </c>
      <c r="BG285" s="1439">
        <f ca="1">IF($B285&gt;=$J$5,0,CONTADORES!$BH295)</f>
        <v>5186.93</v>
      </c>
      <c r="BH285" s="1438">
        <f ca="1">IF(B285&gt;=$J$5,0,(CONTADORES!AQ295-CONTADORES!AQ294))</f>
        <v>6</v>
      </c>
      <c r="BI285" s="1438">
        <f ca="1">IF(B285&gt;=$J$5,0,(CONTADORES!AR295-CONTADORES!AR294))</f>
        <v>0</v>
      </c>
      <c r="BJ285" s="1439">
        <f ca="1">IF(B285&gt;=$J$5,0,CONTADORES!BI295-CONTADORES!BI294)/1000</f>
        <v>2.4</v>
      </c>
      <c r="BK285" s="1450">
        <f ca="1">IF(B285&gt;=$J$5,0,CONTADORES!BJ295-CONTADORES!BJ294)</f>
        <v>1</v>
      </c>
      <c r="BL285" s="1450">
        <f ca="1">IF(B285&gt;=$J$5,0,CONTADORES!BK295-CONTADORES!BK294)</f>
        <v>24</v>
      </c>
      <c r="BM285" s="1450">
        <f ca="1">IF(B285&gt;=$J$5,0,CONTADORES!BL295-CONTADORES!BL294)/1000</f>
        <v>5.149</v>
      </c>
      <c r="BN285" s="1450">
        <f ca="1">IF(B285&gt;=$J$5,0,CONTADORES!BM295-CONTADORES!BM294)/1000</f>
        <v>0.92900000000000005</v>
      </c>
      <c r="BO285" s="1450">
        <f ca="1">IF(B285&gt;=$J$5,0,CONTADORES!BN295-CONTADORES!BN294)</f>
        <v>24</v>
      </c>
      <c r="BP285" s="1450">
        <f ca="1">IF(B285&gt;=$J$5,0,CONTADORES!BO295-CONTADORES!BO294)/1000</f>
        <v>0</v>
      </c>
      <c r="BQ285" s="1450">
        <f ca="1">IF(B285&gt;=$J$5,0,CONTADORES!BP295-CONTADORES!BP294)/1000</f>
        <v>0</v>
      </c>
      <c r="BR285" s="1450">
        <f ca="1">IF(B285&gt;=$J$5,0,CONTADORES!BQ295-CONTADORES!BQ294)</f>
        <v>0</v>
      </c>
      <c r="BS285" s="1450">
        <f ca="1">IF(B285&gt;=$J$5,0,(CONTADORES!BT295-CONTADORES!BT294)+(CONTADORES!BV295-CONTADORES!BV294))/1000</f>
        <v>1.4970000000000001</v>
      </c>
      <c r="BT285" s="1450">
        <f ca="1">IF(B285&gt;=$J$5,0,(CONTADORES!BU295-CONTADORES!BU294)+(CONTADORES!BW295-CONTADORES!BW294))/1000</f>
        <v>0.93100000000000005</v>
      </c>
      <c r="BU285" s="1450">
        <f ca="1">IF(B285&gt;=$J$5,0,CONTADORES!BR295-CONTADORES!BR294)</f>
        <v>8</v>
      </c>
      <c r="BV285" s="1450">
        <f ca="1">IF(B285&gt;=$J$5,0,CONTADORES!BS295-CONTADORES!BS294)</f>
        <v>5</v>
      </c>
      <c r="BW285" s="1450">
        <f t="shared" ca="1" si="139"/>
        <v>13.181000000000651</v>
      </c>
      <c r="BX285" s="1450">
        <f t="shared" ca="1" si="140"/>
        <v>9.9979999999998483</v>
      </c>
      <c r="BY285" s="1450">
        <f t="shared" ca="1" si="141"/>
        <v>5.1810000000006511</v>
      </c>
      <c r="BZ285" s="1450">
        <f t="shared" ca="1" si="142"/>
        <v>1.3612000000000366</v>
      </c>
      <c r="CA285" s="1450">
        <f t="shared" ca="1" si="143"/>
        <v>5.1810000000006511</v>
      </c>
      <c r="CB285" s="1450">
        <f t="shared" ca="1" si="144"/>
        <v>2.0418000000000545</v>
      </c>
      <c r="CC285" s="1450">
        <f t="shared" ca="1" si="145"/>
        <v>2.8582000000000365</v>
      </c>
      <c r="CD285" s="1450">
        <f t="shared" ca="1" si="146"/>
        <v>4.9979999999998483</v>
      </c>
      <c r="CE285" s="1450">
        <f ca="1">IF(B285&gt;=$J$5,0,CONTADORES!BS295-CONTADORES!BS294)</f>
        <v>5</v>
      </c>
      <c r="CF285" s="1450">
        <f t="shared" ca="1" si="147"/>
        <v>4.9979999999998483</v>
      </c>
      <c r="CG285" s="1450">
        <f t="shared" ca="1" si="148"/>
        <v>0.95000000000004547</v>
      </c>
      <c r="CH285" s="1450">
        <f t="shared" ca="1" si="149"/>
        <v>0.95000000000004547</v>
      </c>
      <c r="CI285" s="1450">
        <f t="shared" ca="1" si="150"/>
        <v>1.8810000000000455</v>
      </c>
      <c r="CJ285" s="1450">
        <f ca="1">IF($B285&gt;=$J$5,0,CONTADORES!$BG295)</f>
        <v>9125.0339413184593</v>
      </c>
      <c r="CK285" s="1516">
        <f>CONTADORES!E295</f>
        <v>0.6</v>
      </c>
      <c r="CL285" s="1516">
        <f>CONTADORES!BX295</f>
        <v>13</v>
      </c>
    </row>
    <row r="286" spans="2:90">
      <c r="B286" s="1514">
        <v>45202</v>
      </c>
      <c r="C286" s="208">
        <f t="shared" ca="1" si="126"/>
        <v>0</v>
      </c>
      <c r="D286" s="202">
        <f ca="1">'CALCULO DE GAS'!P108</f>
        <v>0</v>
      </c>
      <c r="E286" s="202">
        <f ca="1">IF(B286&gt;=$J$5,0,(CONTADORES!$AB296-CONTADORES!$AB295)-$H286)</f>
        <v>0</v>
      </c>
      <c r="F286" s="204">
        <f t="shared" ca="1" si="125"/>
        <v>0</v>
      </c>
      <c r="G286" s="202">
        <f ca="1">IF(B286&gt;=$J$5,0,CONTADORES!$AD296-CONTADORES!$AD295)</f>
        <v>0</v>
      </c>
      <c r="H286" s="202">
        <f ca="1">IF(G286&gt;0,CONTADORES!$AC296-CONTADORES!$AC295,0)</f>
        <v>0</v>
      </c>
      <c r="I286" s="205">
        <f ca="1">IF(B286&gt;=$J$5,0,CONTADORES!$Z296-CONTADORES!$Z295)</f>
        <v>0</v>
      </c>
      <c r="J286" s="204">
        <f t="shared" ca="1" si="127"/>
        <v>436</v>
      </c>
      <c r="K286" s="202">
        <f ca="1">'CALCULO DE GAS'!Q108</f>
        <v>6.9889400855115316</v>
      </c>
      <c r="L286" s="1437">
        <f ca="1">IF(B286&gt;=$J$5,0,(CONTADORES!$W296-CONTADORES!$W295)-$O286)</f>
        <v>24</v>
      </c>
      <c r="M286" s="1437">
        <f t="shared" ca="1" si="124"/>
        <v>0</v>
      </c>
      <c r="N286" s="1437">
        <f ca="1">IF(B286&gt;=$J$5,0,CONTADORES!$Y296-CONTADORES!$Y295)</f>
        <v>0</v>
      </c>
      <c r="O286" s="1437">
        <f ca="1">IF(N286&gt;0,CONTADORES!$X296-CONTADORES!$X295,0)</f>
        <v>0</v>
      </c>
      <c r="P286" s="208">
        <f ca="1">IF(B286&gt;=$J$5,0,CONTADORES!$U296-CONTADORES!$U295)</f>
        <v>436</v>
      </c>
      <c r="Q286" s="208">
        <f ca="1">IF(B286&gt;=$J$5,0,CONTADORES!$B296-CONTADORES!$B295)</f>
        <v>0</v>
      </c>
      <c r="R286" s="202">
        <f t="shared" ca="1" si="128"/>
        <v>0</v>
      </c>
      <c r="S286" s="11">
        <f ca="1">IF(B286&gt;=$J$5,0,CONTADORES!$D296-CONTADORES!$D295)</f>
        <v>0</v>
      </c>
      <c r="T286" s="204">
        <f ca="1">IF(B286&gt;=$J$5,0,CONTADORES!$AZ296-CONTADORES!$AZ295)</f>
        <v>13.547000000000025</v>
      </c>
      <c r="U286" s="202">
        <f t="shared" ca="1" si="123"/>
        <v>1625.6400000000031</v>
      </c>
      <c r="V286" s="205">
        <f ca="1">IF(B286&gt;=$J$5,0,CONTADORES!$BB296-CONTADORES!$BB295)</f>
        <v>14.5</v>
      </c>
      <c r="W286" s="1438">
        <f t="shared" ca="1" si="129"/>
        <v>436</v>
      </c>
      <c r="X286" s="1438">
        <f t="shared" ca="1" si="130"/>
        <v>13.547000000000025</v>
      </c>
      <c r="Y286" s="1439">
        <f t="shared" ca="1" si="131"/>
        <v>449.54700000000003</v>
      </c>
      <c r="Z286" s="1439">
        <f t="shared" ca="1" si="132"/>
        <v>6.9889400855115316</v>
      </c>
      <c r="AA286" s="1439">
        <f t="shared" ca="1" si="133"/>
        <v>1625.6400000000031</v>
      </c>
      <c r="AB286" s="1439">
        <f t="shared" ca="1" si="134"/>
        <v>24</v>
      </c>
      <c r="AC286" s="1438">
        <f t="shared" ca="1" si="135"/>
        <v>14.5</v>
      </c>
      <c r="AD286" s="1438">
        <f ca="1">IF(B286&gt;=$J$5,0,CONTADORES!H296-CONTADORES!H295)</f>
        <v>165</v>
      </c>
      <c r="AE286" s="1438">
        <f ca="1">IF(B286&gt;=$J$5,0,CONTADORES!J296-CONTADORES!J295)</f>
        <v>24</v>
      </c>
      <c r="AF286" s="1438">
        <f ca="1">IF(B286&gt;=$J$5,0,CONTADORES!AS296-CONTADORES!AS295)</f>
        <v>150</v>
      </c>
      <c r="AG286" s="1438">
        <f ca="1">IF(B286&gt;=$J$5,0,CONTADORES!AU296-CONTADORES!AU295)</f>
        <v>24</v>
      </c>
      <c r="AH286" s="1450">
        <f ca="1">IF(B286&gt;=$J$5,0,(CONTADORES!AK296-CONTADORES!AK295)+(CONTADORES!K296-CONTADORES!K295))</f>
        <v>13.300000000004729</v>
      </c>
      <c r="AI286" s="1450">
        <f ca="1">IF(B286&gt;=$J$5,0,(CONTADORES!AI296-CONTADORES!AI295)+(CONTADORES!M296-CONTADORES!M295))</f>
        <v>38.900000000008731</v>
      </c>
      <c r="AJ286" s="1450">
        <f ca="1">IF(B286&gt;=$J$5,0,(CONTADORES!AG296-CONTADORES!AG295))</f>
        <v>9</v>
      </c>
      <c r="AK286" s="1450">
        <f ca="1">IF(B286&gt;=$J$5,0,(CONTADORES!O296-CONTADORES!O295))</f>
        <v>11</v>
      </c>
      <c r="AL286" s="1500">
        <f t="shared" ca="1" si="136"/>
        <v>33.199999999987938</v>
      </c>
      <c r="AM286" s="1450">
        <f ca="1">IF(B286&gt;=$J$5,0,(((CONTADORES!F296-CONTADORES!F295)+(CONTADORES!AO296-CONTADORES!AO295))))-BJ286-AF286-AN286-BM286-BP286-BU286-BS286+T286</f>
        <v>9.0559999999973861</v>
      </c>
      <c r="AN286" s="1438">
        <f ca="1">IF(B286&gt;=$J$5,0,(CONTADORES!AV296-CONTADORES!AV295)+(CONTADORES!AX296-CONTADORES!AX295)+(CONTADORES!BC296-CONTADORES!BC295))-BS286</f>
        <v>4.0580000000000815</v>
      </c>
      <c r="AO286" s="1478">
        <f>(CONTADORES!AA296-CONTADORES!AA295)</f>
        <v>0</v>
      </c>
      <c r="AP286" s="1478">
        <f>(CONTADORES!V296-CONTADORES!V295)</f>
        <v>226</v>
      </c>
      <c r="AQ286" s="1478">
        <f>(CONTADORES!C296-CONTADORES!C295)</f>
        <v>0</v>
      </c>
      <c r="AR286" s="1478">
        <f>(CONTADORES!BA296-CONTADORES!BA295)</f>
        <v>5.242999999999995</v>
      </c>
      <c r="AS286" s="1438">
        <f ca="1">IF(B286&gt;=$J$5,0,CONTADORES!Q296-CONTADORES!Q295)</f>
        <v>16</v>
      </c>
      <c r="AT286" s="1438">
        <f ca="1">IF(B286&gt;=$J$5,0,(CONTADORES!S296-CONTADORES!S295)+(CONTADORES!AE296-CONTADORES!AE295))</f>
        <v>2.6000000000000227</v>
      </c>
      <c r="AU286" s="1474">
        <f>CONTADORES!I296-CONTADORES!I295</f>
        <v>82</v>
      </c>
      <c r="AV286" s="1478">
        <f>CONTADORES!AT296-CONTADORES!AT295</f>
        <v>66</v>
      </c>
      <c r="AW286" s="1478">
        <f ca="1">IF(B286&gt;=$J$5,0,(CONTADORES!L296-CONTADORES!L295)+(CONTADORES!AL296-CONTADORES!AL295))</f>
        <v>4.9000000000014552</v>
      </c>
      <c r="AX286" s="1478">
        <f ca="1">IF(B286&gt;=$J$5,0,(CONTADORES!N296-CONTADORES!N295)+(CONTADORES!AJ296-CONTADORES!AJ295))</f>
        <v>33.69999999999709</v>
      </c>
      <c r="AY286" s="1478">
        <f ca="1">IF(B286&gt;=$J$5,0,(CONTADORES!AH296-CONTADORES!AH295))</f>
        <v>6.9000000000014552</v>
      </c>
      <c r="AZ286" s="1478">
        <f ca="1">IF(B286&gt;=$J$5,0,(CONTADORES!P296-CONTADORES!P295))</f>
        <v>8</v>
      </c>
      <c r="BA286" s="1450">
        <f t="shared" ca="1" si="137"/>
        <v>13.140000000000356</v>
      </c>
      <c r="BB286" s="1440">
        <f ca="1">IF(B286&gt;=$J$5,0,(((CONTADORES!G296-CONTADORES!G295)+(CONTADORES!AP296-CONTADORES!AP295)+AR286)-(AV286+BC286)))</f>
        <v>7.342999999999904</v>
      </c>
      <c r="BC286" s="1439">
        <f ca="1">IF(B286&gt;=$J$5,0,(CONTADORES!AW296-CONTADORES!AW295)+(CONTADORES!AY296-CONTADORES!AY295)+(CONTADORES!BD296-CONTADORES!BD295))</f>
        <v>1.7999999999997272</v>
      </c>
      <c r="BD286" s="1438">
        <f t="shared" si="138"/>
        <v>231.24299999999999</v>
      </c>
      <c r="BE286" s="1439">
        <f ca="1">IF($B286&gt;=$J$5,0,CONTADORES!$BE296)</f>
        <v>4581.53</v>
      </c>
      <c r="BF286" s="1438">
        <f ca="1">IF($B286&gt;=$J$5,0,CONTADORES!$BF296)</f>
        <v>33763.198245614003</v>
      </c>
      <c r="BG286" s="1439">
        <f ca="1">IF($B286&gt;=$J$5,0,CONTADORES!$BH296)</f>
        <v>4631.62</v>
      </c>
      <c r="BH286" s="1438">
        <f ca="1">IF(B286&gt;=$J$5,0,(CONTADORES!AQ296-CONTADORES!AQ295))</f>
        <v>6</v>
      </c>
      <c r="BI286" s="1438">
        <f ca="1">IF(B286&gt;=$J$5,0,(CONTADORES!AR296-CONTADORES!AR295))</f>
        <v>0</v>
      </c>
      <c r="BJ286" s="1439">
        <f ca="1">IF(B286&gt;=$J$5,0,CONTADORES!BI296-CONTADORES!BI295)/1000</f>
        <v>2.2999999999999998</v>
      </c>
      <c r="BK286" s="1450">
        <f ca="1">IF(B286&gt;=$J$5,0,CONTADORES!BJ296-CONTADORES!BJ295)</f>
        <v>1</v>
      </c>
      <c r="BL286" s="1450">
        <f ca="1">IF(B286&gt;=$J$5,0,CONTADORES!BK296-CONTADORES!BK295)</f>
        <v>24</v>
      </c>
      <c r="BM286" s="1450">
        <f ca="1">IF(B286&gt;=$J$5,0,CONTADORES!BL296-CONTADORES!BL295)/1000</f>
        <v>5.0810000000000004</v>
      </c>
      <c r="BN286" s="1450">
        <f ca="1">IF(B286&gt;=$J$5,0,CONTADORES!BM296-CONTADORES!BM295)/1000</f>
        <v>0.94799999999999995</v>
      </c>
      <c r="BO286" s="1450">
        <f ca="1">IF(B286&gt;=$J$5,0,CONTADORES!BN296-CONTADORES!BN295)</f>
        <v>24</v>
      </c>
      <c r="BP286" s="1450">
        <f ca="1">IF(B286&gt;=$J$5,0,CONTADORES!BO296-CONTADORES!BO295)/1000</f>
        <v>0</v>
      </c>
      <c r="BQ286" s="1450">
        <f ca="1">IF(B286&gt;=$J$5,0,CONTADORES!BP296-CONTADORES!BP295)/1000</f>
        <v>0</v>
      </c>
      <c r="BR286" s="1450">
        <f ca="1">IF(B286&gt;=$J$5,0,CONTADORES!BQ296-CONTADORES!BQ295)</f>
        <v>0</v>
      </c>
      <c r="BS286" s="1450">
        <f ca="1">IF(B286&gt;=$J$5,0,(CONTADORES!BT296-CONTADORES!BT295)+(CONTADORES!BV296-CONTADORES!BV295))/1000</f>
        <v>0.85199999999999998</v>
      </c>
      <c r="BT286" s="1450">
        <f ca="1">IF(B286&gt;=$J$5,0,(CONTADORES!BU296-CONTADORES!BU295)+(CONTADORES!BW296-CONTADORES!BW295))/1000</f>
        <v>0.51200000000000001</v>
      </c>
      <c r="BU286" s="1450">
        <f ca="1">IF(B286&gt;=$J$5,0,CONTADORES!BR296-CONTADORES!BR295)</f>
        <v>7.8000000000010914</v>
      </c>
      <c r="BV286" s="1450">
        <f ca="1">IF(B286&gt;=$J$5,0,CONTADORES!BS296-CONTADORES!BS295)</f>
        <v>5</v>
      </c>
      <c r="BW286" s="1450">
        <f t="shared" ca="1" si="139"/>
        <v>12.327999999999784</v>
      </c>
      <c r="BX286" s="1450">
        <f t="shared" ca="1" si="140"/>
        <v>8.671499999999952</v>
      </c>
      <c r="BY286" s="1450">
        <f t="shared" ca="1" si="141"/>
        <v>4.5279999999986931</v>
      </c>
      <c r="BZ286" s="1450">
        <f t="shared" ca="1" si="142"/>
        <v>1.6232000000000326</v>
      </c>
      <c r="CA286" s="1450">
        <f t="shared" ca="1" si="143"/>
        <v>4.5279999999986931</v>
      </c>
      <c r="CB286" s="1450">
        <f t="shared" ca="1" si="144"/>
        <v>2.4348000000000489</v>
      </c>
      <c r="CC286" s="1450">
        <f t="shared" ca="1" si="145"/>
        <v>2.4752000000000325</v>
      </c>
      <c r="CD286" s="1450">
        <f t="shared" ca="1" si="146"/>
        <v>3.671499999999952</v>
      </c>
      <c r="CE286" s="1450">
        <f ca="1">IF(B286&gt;=$J$5,0,CONTADORES!BS296-CONTADORES!BS295)</f>
        <v>5</v>
      </c>
      <c r="CF286" s="1450">
        <f t="shared" ca="1" si="147"/>
        <v>3.671499999999952</v>
      </c>
      <c r="CG286" s="1450">
        <f t="shared" ca="1" si="148"/>
        <v>0.89999999999986358</v>
      </c>
      <c r="CH286" s="1450">
        <f t="shared" ca="1" si="149"/>
        <v>0.89999999999986358</v>
      </c>
      <c r="CI286" s="1450">
        <f t="shared" ca="1" si="150"/>
        <v>1.4119999999998636</v>
      </c>
      <c r="CJ286" s="1450">
        <f ca="1">IF($B286&gt;=$J$5,0,CONTADORES!$BG296)</f>
        <v>8270.2140352510396</v>
      </c>
      <c r="CK286" s="1516">
        <f>CONTADORES!E296</f>
        <v>0</v>
      </c>
      <c r="CL286" s="1516">
        <f>CONTADORES!BX296</f>
        <v>13.5</v>
      </c>
    </row>
    <row r="287" spans="2:90">
      <c r="B287" s="1514">
        <v>45203</v>
      </c>
      <c r="C287" s="208">
        <f t="shared" ca="1" si="126"/>
        <v>0</v>
      </c>
      <c r="D287" s="202">
        <f ca="1">'CALCULO DE GAS'!P109</f>
        <v>0</v>
      </c>
      <c r="E287" s="202">
        <f ca="1">IF(B287&gt;=$J$5,0,(CONTADORES!$AB297-CONTADORES!$AB296)-$H287)</f>
        <v>0</v>
      </c>
      <c r="F287" s="204">
        <f t="shared" ca="1" si="125"/>
        <v>0</v>
      </c>
      <c r="G287" s="202">
        <f ca="1">IF(B287&gt;=$J$5,0,CONTADORES!$AD297-CONTADORES!$AD296)</f>
        <v>0</v>
      </c>
      <c r="H287" s="202">
        <f ca="1">IF(G287&gt;0,CONTADORES!$AC297-CONTADORES!$AC296,0)</f>
        <v>0</v>
      </c>
      <c r="I287" s="205">
        <f ca="1">IF(B287&gt;=$J$5,0,CONTADORES!$Z297-CONTADORES!$Z296)</f>
        <v>0</v>
      </c>
      <c r="J287" s="204">
        <f t="shared" ca="1" si="127"/>
        <v>428</v>
      </c>
      <c r="K287" s="202">
        <f ca="1">'CALCULO DE GAS'!Q109</f>
        <v>6.8925095710230622</v>
      </c>
      <c r="L287" s="1437">
        <f ca="1">IF(B287&gt;=$J$5,0,(CONTADORES!$W297-CONTADORES!$W296)-$O287)</f>
        <v>24</v>
      </c>
      <c r="M287" s="1437">
        <f t="shared" ca="1" si="124"/>
        <v>0</v>
      </c>
      <c r="N287" s="1437">
        <f ca="1">IF(B287&gt;=$J$5,0,CONTADORES!$Y297-CONTADORES!$Y296)</f>
        <v>0</v>
      </c>
      <c r="O287" s="1437">
        <f ca="1">IF(N287&gt;0,CONTADORES!$X297-CONTADORES!$X296,0)</f>
        <v>0</v>
      </c>
      <c r="P287" s="208">
        <f ca="1">IF(B287&gt;=$J$5,0,CONTADORES!$U297-CONTADORES!$U296)</f>
        <v>428</v>
      </c>
      <c r="Q287" s="208">
        <f ca="1">IF(B287&gt;=$J$5,0,CONTADORES!$B297-CONTADORES!$B296)</f>
        <v>0</v>
      </c>
      <c r="R287" s="202">
        <f t="shared" ca="1" si="128"/>
        <v>0</v>
      </c>
      <c r="S287" s="11">
        <f ca="1">IF(B287&gt;=$J$5,0,CONTADORES!$D297-CONTADORES!$D296)</f>
        <v>0</v>
      </c>
      <c r="T287" s="1452">
        <f ca="1">IF(B287&gt;=$J$5,0,CONTADORES!$AZ297-CONTADORES!$AZ296)</f>
        <v>10.004000000000019</v>
      </c>
      <c r="U287" s="1453">
        <f t="shared" ca="1" si="123"/>
        <v>1200.4800000000023</v>
      </c>
      <c r="V287" s="1455">
        <f ca="1">IF(B287&gt;=$J$5,0,CONTADORES!$BB297-CONTADORES!$BB296)</f>
        <v>10.700000000000045</v>
      </c>
      <c r="W287" s="1438">
        <f t="shared" ca="1" si="129"/>
        <v>428</v>
      </c>
      <c r="X287" s="1438">
        <f t="shared" ca="1" si="130"/>
        <v>10.004000000000019</v>
      </c>
      <c r="Y287" s="1439">
        <f t="shared" ca="1" si="131"/>
        <v>438.00400000000002</v>
      </c>
      <c r="Z287" s="1439">
        <f t="shared" ca="1" si="132"/>
        <v>6.8925095710230622</v>
      </c>
      <c r="AA287" s="1439">
        <f t="shared" ca="1" si="133"/>
        <v>1200.4800000000023</v>
      </c>
      <c r="AB287" s="1439">
        <f t="shared" ca="1" si="134"/>
        <v>24</v>
      </c>
      <c r="AC287" s="1438">
        <f t="shared" ca="1" si="135"/>
        <v>10.700000000000045</v>
      </c>
      <c r="AD287" s="1438">
        <f ca="1">IF(B287&gt;=$J$5,0,CONTADORES!H297-CONTADORES!H296)</f>
        <v>164</v>
      </c>
      <c r="AE287" s="1438">
        <f ca="1">IF(B287&gt;=$J$5,0,CONTADORES!J297-CONTADORES!J296)</f>
        <v>24</v>
      </c>
      <c r="AF287" s="1438">
        <f ca="1">IF(B287&gt;=$J$5,0,CONTADORES!AS297-CONTADORES!AS296)</f>
        <v>148</v>
      </c>
      <c r="AG287" s="1438">
        <f ca="1">IF(B287&gt;=$J$5,0,CONTADORES!AU297-CONTADORES!AU296)</f>
        <v>24</v>
      </c>
      <c r="AH287" s="1450">
        <f ca="1">IF(B287&gt;=$J$5,0,(CONTADORES!AK297-CONTADORES!AK296)+(CONTADORES!K297-CONTADORES!K296))</f>
        <v>7.5</v>
      </c>
      <c r="AI287" s="1450">
        <f ca="1">IF(B287&gt;=$J$5,0,(CONTADORES!AI297-CONTADORES!AI296)+(CONTADORES!M297-CONTADORES!M296))</f>
        <v>39.19999999999709</v>
      </c>
      <c r="AJ287" s="1450">
        <f ca="1">IF(B287&gt;=$J$5,0,(CONTADORES!AG297-CONTADORES!AG296))</f>
        <v>8.9000000000087311</v>
      </c>
      <c r="AK287" s="1450">
        <f ca="1">IF(B287&gt;=$J$5,0,(CONTADORES!O297-CONTADORES!O296))</f>
        <v>9</v>
      </c>
      <c r="AL287" s="1500">
        <f t="shared" ca="1" si="136"/>
        <v>31.999999999992724</v>
      </c>
      <c r="AM287" s="1450">
        <f ca="1">IF(B287&gt;=$J$5,0,(((CONTADORES!F297-CONTADORES!F296)+(CONTADORES!AO297-CONTADORES!AO296))))-BJ287-AF287-AN287-BM287-BP287-BU287-BS287+T287</f>
        <v>11.195000000002555</v>
      </c>
      <c r="AN287" s="1438">
        <f ca="1">IF(B287&gt;=$J$5,0,(CONTADORES!AV297-CONTADORES!AV296)+(CONTADORES!AX297-CONTADORES!AX296)+(CONTADORES!BC297-CONTADORES!BC296))-BS287</f>
        <v>3.4829999999992722</v>
      </c>
      <c r="AO287" s="1478">
        <f>(CONTADORES!AA297-CONTADORES!AA296)</f>
        <v>0</v>
      </c>
      <c r="AP287" s="1478">
        <f>(CONTADORES!V297-CONTADORES!V296)</f>
        <v>224</v>
      </c>
      <c r="AQ287" s="1478">
        <f>(CONTADORES!C297-CONTADORES!C296)</f>
        <v>0</v>
      </c>
      <c r="AR287" s="1478">
        <f>(CONTADORES!BA297-CONTADORES!BA296)</f>
        <v>3.8640000000000327</v>
      </c>
      <c r="AS287" s="1438">
        <f ca="1">IF(B287&gt;=$J$5,0,CONTADORES!Q297-CONTADORES!Q296)</f>
        <v>16</v>
      </c>
      <c r="AT287" s="1438">
        <f ca="1">IF(B287&gt;=$J$5,0,(CONTADORES!S297-CONTADORES!S296)+(CONTADORES!AE297-CONTADORES!AE296))</f>
        <v>2.5999999999999659</v>
      </c>
      <c r="AU287" s="1474">
        <f>CONTADORES!I297-CONTADORES!I296</f>
        <v>81</v>
      </c>
      <c r="AV287" s="1478">
        <f>CONTADORES!AT297-CONTADORES!AT296</f>
        <v>64</v>
      </c>
      <c r="AW287" s="1478">
        <f ca="1">IF(B287&gt;=$J$5,0,(CONTADORES!L297-CONTADORES!L296)+(CONTADORES!AL297-CONTADORES!AL296))</f>
        <v>2.7999999999992724</v>
      </c>
      <c r="AX287" s="1478">
        <f ca="1">IF(B287&gt;=$J$5,0,(CONTADORES!N297-CONTADORES!N296)+(CONTADORES!AJ297-CONTADORES!AJ296))</f>
        <v>33.900000000001455</v>
      </c>
      <c r="AY287" s="1478">
        <f ca="1">IF(B287&gt;=$J$5,0,(CONTADORES!AH297-CONTADORES!AH296))</f>
        <v>6.9000000000014552</v>
      </c>
      <c r="AZ287" s="1478">
        <f ca="1">IF(B287&gt;=$J$5,0,(CONTADORES!P297-CONTADORES!P296))</f>
        <v>7</v>
      </c>
      <c r="BA287" s="1450">
        <f t="shared" ca="1" si="137"/>
        <v>14.4399999999969</v>
      </c>
      <c r="BB287" s="1440">
        <f ca="1">IF(B287&gt;=$J$5,0,(((CONTADORES!G297-CONTADORES!G296)+(CONTADORES!AP297-CONTADORES!AP296)+AR287)-(AV287+BC287)))</f>
        <v>9.7640000000005784</v>
      </c>
      <c r="BC287" s="1439">
        <f ca="1">IF(B287&gt;=$J$5,0,(CONTADORES!AW297-CONTADORES!AW296)+(CONTADORES!AY297-CONTADORES!AY296)+(CONTADORES!BD297-CONTADORES!BD296))</f>
        <v>1.5</v>
      </c>
      <c r="BD287" s="1438">
        <f t="shared" si="138"/>
        <v>227.86400000000003</v>
      </c>
      <c r="BE287" s="1439">
        <f ca="1">IF($B287&gt;=$J$5,0,CONTADORES!$BE297)</f>
        <v>4909.43</v>
      </c>
      <c r="BF287" s="1438">
        <f ca="1">IF($B287&gt;=$J$5,0,CONTADORES!$BF297)</f>
        <v>33978.912280701697</v>
      </c>
      <c r="BG287" s="1439">
        <f ca="1">IF($B287&gt;=$J$5,0,CONTADORES!$BH297)</f>
        <v>5140.84</v>
      </c>
      <c r="BH287" s="1438">
        <f ca="1">IF(B287&gt;=$J$5,0,(CONTADORES!AQ297-CONTADORES!AQ296))</f>
        <v>5</v>
      </c>
      <c r="BI287" s="1438">
        <f ca="1">IF(B287&gt;=$J$5,0,(CONTADORES!AR297-CONTADORES!AR296))</f>
        <v>0</v>
      </c>
      <c r="BJ287" s="1439">
        <f ca="1">IF(B287&gt;=$J$5,0,CONTADORES!BI297-CONTADORES!BI296)/1000</f>
        <v>2.8</v>
      </c>
      <c r="BK287" s="1450">
        <f ca="1">IF(B287&gt;=$J$5,0,CONTADORES!BJ297-CONTADORES!BJ296)</f>
        <v>1</v>
      </c>
      <c r="BL287" s="1450">
        <f ca="1">IF(B287&gt;=$J$5,0,CONTADORES!BK297-CONTADORES!BK296)</f>
        <v>24</v>
      </c>
      <c r="BM287" s="1450">
        <f ca="1">IF(B287&gt;=$J$5,0,CONTADORES!BL297-CONTADORES!BL296)/1000</f>
        <v>5.2089999999999996</v>
      </c>
      <c r="BN287" s="1450">
        <f ca="1">IF(B287&gt;=$J$5,0,CONTADORES!BM297-CONTADORES!BM296)/1000</f>
        <v>0.96399999999999997</v>
      </c>
      <c r="BO287" s="1450">
        <f ca="1">IF(B287&gt;=$J$5,0,CONTADORES!BN297-CONTADORES!BN296)</f>
        <v>24</v>
      </c>
      <c r="BP287" s="1450">
        <f ca="1">IF(B287&gt;=$J$5,0,CONTADORES!BO297-CONTADORES!BO296)/1000</f>
        <v>0</v>
      </c>
      <c r="BQ287" s="1450">
        <f ca="1">IF(B287&gt;=$J$5,0,CONTADORES!BP297-CONTADORES!BP296)/1000</f>
        <v>0</v>
      </c>
      <c r="BR287" s="1450">
        <f ca="1">IF(B287&gt;=$J$5,0,CONTADORES!BQ297-CONTADORES!BQ296)</f>
        <v>0</v>
      </c>
      <c r="BS287" s="1450">
        <f ca="1">IF(B287&gt;=$J$5,0,(CONTADORES!BT297-CONTADORES!BT296)+(CONTADORES!BV297-CONTADORES!BV296))/1000</f>
        <v>0.81699999999999995</v>
      </c>
      <c r="BT287" s="1450">
        <f ca="1">IF(B287&gt;=$J$5,0,(CONTADORES!BU297-CONTADORES!BU296)+(CONTADORES!BW297-CONTADORES!BW296))/1000</f>
        <v>0.496</v>
      </c>
      <c r="BU287" s="1450">
        <f ca="1">IF(B287&gt;=$J$5,0,CONTADORES!BR297-CONTADORES!BR296)</f>
        <v>5.8999999999996362</v>
      </c>
      <c r="BV287" s="1450">
        <f ca="1">IF(B287&gt;=$J$5,0,CONTADORES!BS297-CONTADORES!BS296)</f>
        <v>4.1000000000003638</v>
      </c>
      <c r="BW287" s="1450">
        <f t="shared" ca="1" si="139"/>
        <v>11.497500000000914</v>
      </c>
      <c r="BX287" s="1450">
        <f t="shared" ca="1" si="140"/>
        <v>8.982000000000653</v>
      </c>
      <c r="BY287" s="1450">
        <f t="shared" ca="1" si="141"/>
        <v>5.5975000000012773</v>
      </c>
      <c r="BZ287" s="1450">
        <f t="shared" ca="1" si="142"/>
        <v>1.3931999999997089</v>
      </c>
      <c r="CA287" s="1450">
        <f t="shared" ca="1" si="143"/>
        <v>5.5975000000012773</v>
      </c>
      <c r="CB287" s="1450">
        <f t="shared" ca="1" si="144"/>
        <v>2.0897999999995633</v>
      </c>
      <c r="CC287" s="1450">
        <f t="shared" ca="1" si="145"/>
        <v>2.2101999999997091</v>
      </c>
      <c r="CD287" s="1450">
        <f t="shared" ca="1" si="146"/>
        <v>4.8820000000002892</v>
      </c>
      <c r="CE287" s="1450">
        <f ca="1">IF(B287&gt;=$J$5,0,CONTADORES!BS297-CONTADORES!BS296)</f>
        <v>4.1000000000003638</v>
      </c>
      <c r="CF287" s="1450">
        <f t="shared" ca="1" si="147"/>
        <v>4.8820000000002892</v>
      </c>
      <c r="CG287" s="1450">
        <f t="shared" ca="1" si="148"/>
        <v>0.75</v>
      </c>
      <c r="CH287" s="1450">
        <f t="shared" ca="1" si="149"/>
        <v>0.75</v>
      </c>
      <c r="CI287" s="1450">
        <f t="shared" ca="1" si="150"/>
        <v>1.246</v>
      </c>
      <c r="CJ287" s="1450">
        <f ca="1">IF($B287&gt;=$J$5,0,CONTADORES!$BG297)</f>
        <v>8493.8512639897399</v>
      </c>
      <c r="CK287" s="1516">
        <f>CONTADORES!E297</f>
        <v>0</v>
      </c>
      <c r="CL287" s="1516">
        <f>CONTADORES!BX297</f>
        <v>10</v>
      </c>
    </row>
    <row r="288" spans="2:90">
      <c r="B288" s="1514">
        <v>45204</v>
      </c>
      <c r="C288" s="208">
        <f t="shared" ca="1" si="126"/>
        <v>0</v>
      </c>
      <c r="D288" s="202">
        <f ca="1">'CALCULO DE GAS'!P110</f>
        <v>0</v>
      </c>
      <c r="E288" s="202">
        <f ca="1">IF(B288&gt;=$J$5,0,(CONTADORES!$AB298-CONTADORES!$AB297)-$H288)</f>
        <v>0</v>
      </c>
      <c r="F288" s="204">
        <f t="shared" ca="1" si="125"/>
        <v>0</v>
      </c>
      <c r="G288" s="202">
        <f ca="1">IF(B288&gt;=$J$5,0,CONTADORES!$AD298-CONTADORES!$AD297)</f>
        <v>0</v>
      </c>
      <c r="H288" s="202">
        <f ca="1">IF(G288&gt;0,CONTADORES!$AC298-CONTADORES!$AC297,0)</f>
        <v>0</v>
      </c>
      <c r="I288" s="205">
        <f ca="1">IF(B288&gt;=$J$5,0,CONTADORES!$Z298-CONTADORES!$Z297)</f>
        <v>0</v>
      </c>
      <c r="J288" s="204">
        <f t="shared" ca="1" si="127"/>
        <v>430</v>
      </c>
      <c r="K288" s="202">
        <f ca="1">'CALCULO DE GAS'!Q110</f>
        <v>6.91661719964518</v>
      </c>
      <c r="L288" s="1437">
        <f ca="1">IF(B288&gt;=$J$5,0,(CONTADORES!$W298-CONTADORES!$W297)-$O288)</f>
        <v>24</v>
      </c>
      <c r="M288" s="1437">
        <f t="shared" ca="1" si="124"/>
        <v>0</v>
      </c>
      <c r="N288" s="1437">
        <f ca="1">IF(B288&gt;=$J$5,0,CONTADORES!$Y298-CONTADORES!$Y297)</f>
        <v>0</v>
      </c>
      <c r="O288" s="1437">
        <f ca="1">IF(N288&gt;0,CONTADORES!$X298-CONTADORES!$X297,0)</f>
        <v>0</v>
      </c>
      <c r="P288" s="208">
        <f ca="1">IF(B288&gt;=$J$5,0,CONTADORES!$U298-CONTADORES!$U297)</f>
        <v>430</v>
      </c>
      <c r="Q288" s="208">
        <f ca="1">IF(B288&gt;=$J$5,0,CONTADORES!$B298-CONTADORES!$B297)</f>
        <v>0</v>
      </c>
      <c r="R288" s="202">
        <f t="shared" ca="1" si="128"/>
        <v>0</v>
      </c>
      <c r="S288" s="11">
        <f ca="1">IF(B288&gt;=$J$5,0,CONTADORES!$D298-CONTADORES!$D297)</f>
        <v>0</v>
      </c>
      <c r="T288" s="1452">
        <f ca="1">IF(B288&gt;=$J$5,0,CONTADORES!$AZ298-CONTADORES!$AZ297)</f>
        <v>7.2289999999999281</v>
      </c>
      <c r="U288" s="1453">
        <f t="shared" ca="1" si="123"/>
        <v>867.47999999999138</v>
      </c>
      <c r="V288" s="1455">
        <f ca="1">IF(B288&gt;=$J$5,0,CONTADORES!$BB298-CONTADORES!$BB297)</f>
        <v>7.7000000000000455</v>
      </c>
      <c r="W288" s="1438">
        <f t="shared" ca="1" si="129"/>
        <v>430</v>
      </c>
      <c r="X288" s="1438">
        <f t="shared" ca="1" si="130"/>
        <v>7.2289999999999281</v>
      </c>
      <c r="Y288" s="1439">
        <f t="shared" ca="1" si="131"/>
        <v>437.22899999999993</v>
      </c>
      <c r="Z288" s="1439">
        <f t="shared" ca="1" si="132"/>
        <v>6.91661719964518</v>
      </c>
      <c r="AA288" s="1439">
        <f t="shared" ca="1" si="133"/>
        <v>867.47999999999138</v>
      </c>
      <c r="AB288" s="1439">
        <f t="shared" ca="1" si="134"/>
        <v>24</v>
      </c>
      <c r="AC288" s="1438">
        <f t="shared" ca="1" si="135"/>
        <v>7.7000000000000455</v>
      </c>
      <c r="AD288" s="1438">
        <f ca="1">IF(B288&gt;=$J$5,0,CONTADORES!H298-CONTADORES!H297)</f>
        <v>162</v>
      </c>
      <c r="AE288" s="1438">
        <f ca="1">IF(B288&gt;=$J$5,0,CONTADORES!J298-CONTADORES!J297)</f>
        <v>24</v>
      </c>
      <c r="AF288" s="1438">
        <f ca="1">IF(B288&gt;=$J$5,0,CONTADORES!AS298-CONTADORES!AS297)</f>
        <v>147</v>
      </c>
      <c r="AG288" s="1438">
        <f ca="1">IF(B288&gt;=$J$5,0,CONTADORES!AU298-CONTADORES!AU297)</f>
        <v>24</v>
      </c>
      <c r="AH288" s="1450">
        <f ca="1">IF(B288&gt;=$J$5,0,(CONTADORES!AK298-CONTADORES!AK297)+(CONTADORES!K298-CONTADORES!K297))</f>
        <v>7.6999999999989086</v>
      </c>
      <c r="AI288" s="1450">
        <f ca="1">IF(B288&gt;=$J$5,0,(CONTADORES!AI298-CONTADORES!AI297)+(CONTADORES!M298-CONTADORES!M297))</f>
        <v>39.19999999999709</v>
      </c>
      <c r="AJ288" s="1450">
        <f ca="1">IF(B288&gt;=$J$5,0,(CONTADORES!AG298-CONTADORES!AG297))</f>
        <v>9.1999999999970896</v>
      </c>
      <c r="AK288" s="1450">
        <f ca="1">IF(B288&gt;=$J$5,0,(CONTADORES!O298-CONTADORES!O297))</f>
        <v>9</v>
      </c>
      <c r="AL288" s="1500">
        <f t="shared" ca="1" si="136"/>
        <v>34.400000000006969</v>
      </c>
      <c r="AM288" s="1450">
        <f ca="1">IF(B288&gt;=$J$5,0,(((CONTADORES!F298-CONTADORES!F297)+(CONTADORES!AO298-CONTADORES!AO297))))-BJ288-AF288-AN288-BM288-BP288-BU288-BS288+T288</f>
        <v>11.519000000000924</v>
      </c>
      <c r="AN288" s="1438">
        <f ca="1">IF(B288&gt;=$J$5,0,(CONTADORES!AV298-CONTADORES!AV297)+(CONTADORES!AX298-CONTADORES!AX297)+(CONTADORES!BC298-CONTADORES!BC297))-BS288</f>
        <v>3.6280000000000907</v>
      </c>
      <c r="AO288" s="1478">
        <f>(CONTADORES!AA298-CONTADORES!AA297)</f>
        <v>0</v>
      </c>
      <c r="AP288" s="1478">
        <f>(CONTADORES!V298-CONTADORES!V297)</f>
        <v>224</v>
      </c>
      <c r="AQ288" s="1478">
        <f>(CONTADORES!C298-CONTADORES!C297)</f>
        <v>0</v>
      </c>
      <c r="AR288" s="1478">
        <f>(CONTADORES!BA298-CONTADORES!BA297)</f>
        <v>2.7929999999999495</v>
      </c>
      <c r="AS288" s="1438">
        <f ca="1">IF(B288&gt;=$J$5,0,CONTADORES!Q298-CONTADORES!Q297)</f>
        <v>16</v>
      </c>
      <c r="AT288" s="1438">
        <f ca="1">IF(B288&gt;=$J$5,0,(CONTADORES!S298-CONTADORES!S297)+(CONTADORES!AE298-CONTADORES!AE297))</f>
        <v>2.6000000000000227</v>
      </c>
      <c r="AU288" s="1474">
        <f>CONTADORES!I298-CONTADORES!I297</f>
        <v>81</v>
      </c>
      <c r="AV288" s="1478">
        <f>CONTADORES!AT298-CONTADORES!AT297</f>
        <v>63</v>
      </c>
      <c r="AW288" s="1478">
        <f ca="1">IF(B288&gt;=$J$5,0,(CONTADORES!L298-CONTADORES!L297)+(CONTADORES!AL298-CONTADORES!AL297))</f>
        <v>3</v>
      </c>
      <c r="AX288" s="1478">
        <f ca="1">IF(B288&gt;=$J$5,0,(CONTADORES!N298-CONTADORES!N297)+(CONTADORES!AJ298-CONTADORES!AJ297))</f>
        <v>33.5</v>
      </c>
      <c r="AY288" s="1478">
        <f ca="1">IF(B288&gt;=$J$5,0,(CONTADORES!AH298-CONTADORES!AH297))</f>
        <v>7.1999999999970896</v>
      </c>
      <c r="AZ288" s="1478">
        <f ca="1">IF(B288&gt;=$J$5,0,(CONTADORES!P298-CONTADORES!P297))</f>
        <v>8</v>
      </c>
      <c r="BA288" s="1450">
        <f t="shared" ca="1" si="137"/>
        <v>13.027000000002914</v>
      </c>
      <c r="BB288" s="1440">
        <f ca="1">IF(B288&gt;=$J$5,0,(((CONTADORES!G298-CONTADORES!G297)+(CONTADORES!AP298-CONTADORES!AP297)+AR288)-(AV288+BC288)))</f>
        <v>9.9929999999997676</v>
      </c>
      <c r="BC288" s="1439">
        <f ca="1">IF(B288&gt;=$J$5,0,(CONTADORES!AW298-CONTADORES!AW297)+(CONTADORES!AY298-CONTADORES!AY297)+(CONTADORES!BD298-CONTADORES!BD297))</f>
        <v>1.8000000000001819</v>
      </c>
      <c r="BD288" s="1438">
        <f t="shared" si="138"/>
        <v>226.79299999999995</v>
      </c>
      <c r="BE288" s="1439">
        <f ca="1">IF($B288&gt;=$J$5,0,CONTADORES!$BE298)</f>
        <v>4583.0600000000004</v>
      </c>
      <c r="BF288" s="1438">
        <f ca="1">IF($B288&gt;=$J$5,0,CONTADORES!$BF298)</f>
        <v>34344.282456140398</v>
      </c>
      <c r="BG288" s="1439">
        <f ca="1">IF($B288&gt;=$J$5,0,CONTADORES!$BH298)</f>
        <v>5065.32</v>
      </c>
      <c r="BH288" s="1438">
        <f ca="1">IF(B288&gt;=$J$5,0,(CONTADORES!AQ298-CONTADORES!AQ297))</f>
        <v>5</v>
      </c>
      <c r="BI288" s="1438">
        <f ca="1">IF(B288&gt;=$J$5,0,(CONTADORES!AR298-CONTADORES!AR297))</f>
        <v>0</v>
      </c>
      <c r="BJ288" s="1439">
        <f ca="1">IF(B288&gt;=$J$5,0,CONTADORES!BI298-CONTADORES!BI297)/1000</f>
        <v>2.4</v>
      </c>
      <c r="BK288" s="1450">
        <f ca="1">IF(B288&gt;=$J$5,0,CONTADORES!BJ298-CONTADORES!BJ297)</f>
        <v>1</v>
      </c>
      <c r="BL288" s="1450">
        <f ca="1">IF(B288&gt;=$J$5,0,CONTADORES!BK298-CONTADORES!BK297)</f>
        <v>24</v>
      </c>
      <c r="BM288" s="1450">
        <f ca="1">IF(B288&gt;=$J$5,0,CONTADORES!BL298-CONTADORES!BL297)/1000</f>
        <v>5.21</v>
      </c>
      <c r="BN288" s="1450">
        <f ca="1">IF(B288&gt;=$J$5,0,CONTADORES!BM298-CONTADORES!BM297)/1000</f>
        <v>1.012</v>
      </c>
      <c r="BO288" s="1450">
        <f ca="1">IF(B288&gt;=$J$5,0,CONTADORES!BN298-CONTADORES!BN297)</f>
        <v>24</v>
      </c>
      <c r="BP288" s="1450">
        <f ca="1">IF(B288&gt;=$J$5,0,CONTADORES!BO298-CONTADORES!BO297)/1000</f>
        <v>0</v>
      </c>
      <c r="BQ288" s="1450">
        <f ca="1">IF(B288&gt;=$J$5,0,CONTADORES!BP298-CONTADORES!BP297)/1000</f>
        <v>0</v>
      </c>
      <c r="BR288" s="1450">
        <f ca="1">IF(B288&gt;=$J$5,0,CONTADORES!BQ298-CONTADORES!BQ297)</f>
        <v>0</v>
      </c>
      <c r="BS288" s="1450">
        <f ca="1">IF(B288&gt;=$J$5,0,(CONTADORES!BT298-CONTADORES!BT297)+(CONTADORES!BV298-CONTADORES!BV297))/1000</f>
        <v>1.272</v>
      </c>
      <c r="BT288" s="1450">
        <f ca="1">IF(B288&gt;=$J$5,0,(CONTADORES!BU298-CONTADORES!BU297)+(CONTADORES!BW298-CONTADORES!BW297))/1000</f>
        <v>0.76100000000000001</v>
      </c>
      <c r="BU288" s="1450">
        <f ca="1">IF(B288&gt;=$J$5,0,CONTADORES!BR298-CONTADORES!BR297)</f>
        <v>4.6999999999989086</v>
      </c>
      <c r="BV288" s="1450">
        <f ca="1">IF(B288&gt;=$J$5,0,CONTADORES!BS298-CONTADORES!BS297)</f>
        <v>3.5</v>
      </c>
      <c r="BW288" s="1450">
        <f t="shared" ca="1" si="139"/>
        <v>10.45949999999937</v>
      </c>
      <c r="BX288" s="1450">
        <f t="shared" ca="1" si="140"/>
        <v>8.4964999999998838</v>
      </c>
      <c r="BY288" s="1450">
        <f t="shared" ca="1" si="141"/>
        <v>5.7595000000004619</v>
      </c>
      <c r="BZ288" s="1450">
        <f t="shared" ca="1" si="142"/>
        <v>1.4512000000000365</v>
      </c>
      <c r="CA288" s="1450">
        <f t="shared" ca="1" si="143"/>
        <v>5.7595000000004619</v>
      </c>
      <c r="CB288" s="1450">
        <f t="shared" ca="1" si="144"/>
        <v>2.1768000000000542</v>
      </c>
      <c r="CC288" s="1450">
        <f t="shared" ca="1" si="145"/>
        <v>2.7232000000000367</v>
      </c>
      <c r="CD288" s="1450">
        <f t="shared" ca="1" si="146"/>
        <v>4.9964999999998838</v>
      </c>
      <c r="CE288" s="1450">
        <f ca="1">IF(B288&gt;=$J$5,0,CONTADORES!BS298-CONTADORES!BS297)</f>
        <v>3.5</v>
      </c>
      <c r="CF288" s="1450">
        <f t="shared" ca="1" si="147"/>
        <v>4.9964999999998838</v>
      </c>
      <c r="CG288" s="1450">
        <f t="shared" ca="1" si="148"/>
        <v>0.90000000000009095</v>
      </c>
      <c r="CH288" s="1450">
        <f t="shared" ca="1" si="149"/>
        <v>0.90000000000009095</v>
      </c>
      <c r="CI288" s="1450">
        <f t="shared" ca="1" si="150"/>
        <v>1.6610000000000911</v>
      </c>
      <c r="CJ288" s="1450">
        <f ca="1">IF($B288&gt;=$J$5,0,CONTADORES!$BG298)</f>
        <v>10593.0663941863</v>
      </c>
      <c r="CK288" s="1516">
        <f>CONTADORES!E298</f>
        <v>0</v>
      </c>
      <c r="CL288" s="1516">
        <f>CONTADORES!BX298</f>
        <v>7</v>
      </c>
    </row>
    <row r="289" spans="2:90">
      <c r="B289" s="1514">
        <v>45205</v>
      </c>
      <c r="C289" s="208">
        <f t="shared" ca="1" si="126"/>
        <v>0</v>
      </c>
      <c r="D289" s="202">
        <f ca="1">'CALCULO DE GAS'!P111</f>
        <v>0</v>
      </c>
      <c r="E289" s="202">
        <f ca="1">IF(B289&gt;=$J$5,0,(CONTADORES!$AB299-CONTADORES!$AB298)-$H289)</f>
        <v>0</v>
      </c>
      <c r="F289" s="204">
        <f t="shared" ca="1" si="125"/>
        <v>0</v>
      </c>
      <c r="G289" s="202">
        <f ca="1">IF(B289&gt;=$J$5,0,CONTADORES!$AD299-CONTADORES!$AD298)</f>
        <v>0</v>
      </c>
      <c r="H289" s="202">
        <f ca="1">IF(G289&gt;0,CONTADORES!$AC299-CONTADORES!$AC298,0)</f>
        <v>0</v>
      </c>
      <c r="I289" s="205">
        <f ca="1">IF(B289&gt;=$J$5,0,CONTADORES!$Z299-CONTADORES!$Z298)</f>
        <v>0</v>
      </c>
      <c r="J289" s="204">
        <f t="shared" ca="1" si="127"/>
        <v>438</v>
      </c>
      <c r="K289" s="202">
        <f ca="1">'CALCULO DE GAS'!Q111</f>
        <v>7.0130477141336485</v>
      </c>
      <c r="L289" s="1437">
        <f ca="1">IF(B289&gt;=$J$5,0,(CONTADORES!$W299-CONTADORES!$W298)-$O289)</f>
        <v>24</v>
      </c>
      <c r="M289" s="1437">
        <f t="shared" ca="1" si="124"/>
        <v>0</v>
      </c>
      <c r="N289" s="1437">
        <f ca="1">IF(B289&gt;=$J$5,0,CONTADORES!$Y299-CONTADORES!$Y298)</f>
        <v>0</v>
      </c>
      <c r="O289" s="1437">
        <f ca="1">IF(N289&gt;0,CONTADORES!$X299-CONTADORES!$X298,0)</f>
        <v>0</v>
      </c>
      <c r="P289" s="208">
        <f ca="1">IF(B289&gt;=$J$5,0,CONTADORES!$U299-CONTADORES!$U298)</f>
        <v>438</v>
      </c>
      <c r="Q289" s="208">
        <f ca="1">IF(B289&gt;=$J$5,0,CONTADORES!$B299-CONTADORES!$B298)</f>
        <v>0</v>
      </c>
      <c r="R289" s="202">
        <f t="shared" ca="1" si="128"/>
        <v>0</v>
      </c>
      <c r="S289" s="11">
        <f ca="1">IF(B289&gt;=$J$5,0,CONTADORES!$D299-CONTADORES!$D298)</f>
        <v>0</v>
      </c>
      <c r="T289" s="1452">
        <f ca="1">IF(B289&gt;=$J$5,0,CONTADORES!$AZ299-CONTADORES!$AZ298)</f>
        <v>10.633000000000038</v>
      </c>
      <c r="U289" s="1453">
        <f t="shared" ca="1" si="123"/>
        <v>1275.9600000000046</v>
      </c>
      <c r="V289" s="1455">
        <f ca="1">IF(B289&gt;=$J$5,0,CONTADORES!$BB299-CONTADORES!$BB298)</f>
        <v>11.5</v>
      </c>
      <c r="W289" s="1438">
        <f t="shared" ca="1" si="129"/>
        <v>438</v>
      </c>
      <c r="X289" s="1438">
        <f t="shared" ca="1" si="130"/>
        <v>10.633000000000038</v>
      </c>
      <c r="Y289" s="1439">
        <f t="shared" ca="1" si="131"/>
        <v>448.63300000000004</v>
      </c>
      <c r="Z289" s="1439">
        <f t="shared" ca="1" si="132"/>
        <v>7.0130477141336485</v>
      </c>
      <c r="AA289" s="1439">
        <f t="shared" ca="1" si="133"/>
        <v>1275.9600000000046</v>
      </c>
      <c r="AB289" s="1439">
        <f t="shared" ca="1" si="134"/>
        <v>24</v>
      </c>
      <c r="AC289" s="1438">
        <f t="shared" ca="1" si="135"/>
        <v>11.5</v>
      </c>
      <c r="AD289" s="1438">
        <f ca="1">IF(B289&gt;=$J$5,0,CONTADORES!H299-CONTADORES!H298)</f>
        <v>166</v>
      </c>
      <c r="AE289" s="1438">
        <f ca="1">IF(B289&gt;=$J$5,0,CONTADORES!J299-CONTADORES!J298)</f>
        <v>24</v>
      </c>
      <c r="AF289" s="1438">
        <f ca="1">IF(B289&gt;=$J$5,0,CONTADORES!AS299-CONTADORES!AS298)</f>
        <v>150</v>
      </c>
      <c r="AG289" s="1438">
        <f ca="1">IF(B289&gt;=$J$5,0,CONTADORES!AU299-CONTADORES!AU298)</f>
        <v>24</v>
      </c>
      <c r="AH289" s="1450">
        <f ca="1">IF(B289&gt;=$J$5,0,(CONTADORES!AK299-CONTADORES!AK298)+(CONTADORES!K299-CONTADORES!K298))</f>
        <v>9.8000000000029104</v>
      </c>
      <c r="AI289" s="1450">
        <f ca="1">IF(B289&gt;=$J$5,0,(CONTADORES!AI299-CONTADORES!AI298)+(CONTADORES!M299-CONTADORES!M298))</f>
        <v>38.899999999994179</v>
      </c>
      <c r="AJ289" s="1450">
        <f ca="1">IF(B289&gt;=$J$5,0,(CONTADORES!AG299-CONTADORES!AG298))</f>
        <v>8.5</v>
      </c>
      <c r="AK289" s="1450">
        <f ca="1">IF(B289&gt;=$J$5,0,(CONTADORES!O299-CONTADORES!O298))</f>
        <v>9</v>
      </c>
      <c r="AL289" s="1500">
        <f t="shared" ca="1" si="136"/>
        <v>35.400000000005093</v>
      </c>
      <c r="AM289" s="1450">
        <f ca="1">IF(B289&gt;=$J$5,0,(((CONTADORES!F299-CONTADORES!F298)+(CONTADORES!AO299-CONTADORES!AO298))))-BJ289-AF289-AN289-BM289-BP289-BU289-BS289+T289</f>
        <v>13.391999999996486</v>
      </c>
      <c r="AN289" s="1438">
        <f ca="1">IF(B289&gt;=$J$5,0,(CONTADORES!AV299-CONTADORES!AV298)+(CONTADORES!AX299-CONTADORES!AX298)+(CONTADORES!BC299-CONTADORES!BC298))-BS289</f>
        <v>3.199000000000273</v>
      </c>
      <c r="AO289" s="1478">
        <f>(CONTADORES!AA299-CONTADORES!AA298)</f>
        <v>0</v>
      </c>
      <c r="AP289" s="1478">
        <f>(CONTADORES!V299-CONTADORES!V298)</f>
        <v>229</v>
      </c>
      <c r="AQ289" s="1478">
        <f>(CONTADORES!C299-CONTADORES!C298)</f>
        <v>0</v>
      </c>
      <c r="AR289" s="1478">
        <f>(CONTADORES!BA299-CONTADORES!BA298)</f>
        <v>4.1170000000000186</v>
      </c>
      <c r="AS289" s="1438">
        <f ca="1">IF(B289&gt;=$J$5,0,CONTADORES!Q299-CONTADORES!Q298)</f>
        <v>15</v>
      </c>
      <c r="AT289" s="1438">
        <f ca="1">IF(B289&gt;=$J$5,0,(CONTADORES!S299-CONTADORES!S298)+(CONTADORES!AE299-CONTADORES!AE298))</f>
        <v>2.6999999999999886</v>
      </c>
      <c r="AU289" s="1474">
        <f>CONTADORES!I299-CONTADORES!I298</f>
        <v>84</v>
      </c>
      <c r="AV289" s="1478">
        <f>CONTADORES!AT299-CONTADORES!AT298</f>
        <v>65</v>
      </c>
      <c r="AW289" s="1478">
        <f ca="1">IF(B289&gt;=$J$5,0,(CONTADORES!L299-CONTADORES!L298)+(CONTADORES!AL299-CONTADORES!AL298))</f>
        <v>3.7000000000007276</v>
      </c>
      <c r="AX289" s="1478">
        <f ca="1">IF(B289&gt;=$J$5,0,(CONTADORES!N299-CONTADORES!N298)+(CONTADORES!AJ299-CONTADORES!AJ298))</f>
        <v>33.5</v>
      </c>
      <c r="AY289" s="1478">
        <f ca="1">IF(B289&gt;=$J$5,0,(CONTADORES!AH299-CONTADORES!AH298))</f>
        <v>6.6000000000058208</v>
      </c>
      <c r="AZ289" s="1478">
        <f ca="1">IF(B289&gt;=$J$5,0,(CONTADORES!P299-CONTADORES!P298))</f>
        <v>7</v>
      </c>
      <c r="BA289" s="1450">
        <f t="shared" ca="1" si="137"/>
        <v>14.384999999994733</v>
      </c>
      <c r="BB289" s="1440">
        <f ca="1">IF(B289&gt;=$J$5,0,(((CONTADORES!G299-CONTADORES!G298)+(CONTADORES!AP299-CONTADORES!AP298)+AR289)-(AV289+BC289)))</f>
        <v>10.416999999999632</v>
      </c>
      <c r="BC289" s="1439">
        <f ca="1">IF(B289&gt;=$J$5,0,(CONTADORES!AW299-CONTADORES!AW298)+(CONTADORES!AY299-CONTADORES!AY298)+(CONTADORES!BD299-CONTADORES!BD298))</f>
        <v>1.7999999999998408</v>
      </c>
      <c r="BD289" s="1438">
        <f t="shared" si="138"/>
        <v>233.11700000000002</v>
      </c>
      <c r="BE289" s="1439">
        <f ca="1">IF($B289&gt;=$J$5,0,CONTADORES!$BE299)</f>
        <v>4296.8500000000004</v>
      </c>
      <c r="BF289" s="1438">
        <f ca="1">IF($B289&gt;=$J$5,0,CONTADORES!$BF299)</f>
        <v>34103.778947368402</v>
      </c>
      <c r="BG289" s="1439">
        <f ca="1">IF($B289&gt;=$J$5,0,CONTADORES!$BH299)</f>
        <v>5054.33</v>
      </c>
      <c r="BH289" s="1438">
        <f ca="1">IF(B289&gt;=$J$5,0,(CONTADORES!AQ299-CONTADORES!AQ298))</f>
        <v>6</v>
      </c>
      <c r="BI289" s="1438">
        <f ca="1">IF(B289&gt;=$J$5,0,(CONTADORES!AR299-CONTADORES!AR298))</f>
        <v>0</v>
      </c>
      <c r="BJ289" s="1439">
        <f ca="1">IF(B289&gt;=$J$5,0,CONTADORES!BI299-CONTADORES!BI298)/1000</f>
        <v>2.4</v>
      </c>
      <c r="BK289" s="1450">
        <f ca="1">IF(B289&gt;=$J$5,0,CONTADORES!BJ299-CONTADORES!BJ298)</f>
        <v>1</v>
      </c>
      <c r="BL289" s="1450">
        <f ca="1">IF(B289&gt;=$J$5,0,CONTADORES!BK299-CONTADORES!BK298)</f>
        <v>24</v>
      </c>
      <c r="BM289" s="1450">
        <f ca="1">IF(B289&gt;=$J$5,0,CONTADORES!BL299-CONTADORES!BL298)/1000</f>
        <v>5.2409999999999997</v>
      </c>
      <c r="BN289" s="1450">
        <f ca="1">IF(B289&gt;=$J$5,0,CONTADORES!BM299-CONTADORES!BM298)/1000</f>
        <v>0.99299999999999999</v>
      </c>
      <c r="BO289" s="1450">
        <f ca="1">IF(B289&gt;=$J$5,0,CONTADORES!BN299-CONTADORES!BN298)</f>
        <v>24</v>
      </c>
      <c r="BP289" s="1450">
        <f ca="1">IF(B289&gt;=$J$5,0,CONTADORES!BO299-CONTADORES!BO298)/1000</f>
        <v>0</v>
      </c>
      <c r="BQ289" s="1450">
        <f ca="1">IF(B289&gt;=$J$5,0,CONTADORES!BP299-CONTADORES!BP298)/1000</f>
        <v>0</v>
      </c>
      <c r="BR289" s="1450">
        <f ca="1">IF(B289&gt;=$J$5,0,CONTADORES!BQ299-CONTADORES!BQ298)</f>
        <v>0</v>
      </c>
      <c r="BS289" s="1450">
        <f ca="1">IF(B289&gt;=$J$5,0,(CONTADORES!BT299-CONTADORES!BT298)+(CONTADORES!BV299-CONTADORES!BV298))/1000</f>
        <v>1.5009999999999999</v>
      </c>
      <c r="BT289" s="1450">
        <f ca="1">IF(B289&gt;=$J$5,0,(CONTADORES!BU299-CONTADORES!BU298)+(CONTADORES!BW299-CONTADORES!BW298))/1000</f>
        <v>0.92200000000000004</v>
      </c>
      <c r="BU289" s="1450">
        <f ca="1">IF(B289&gt;=$J$5,0,CONTADORES!BR299-CONTADORES!BR298)</f>
        <v>5.3000000000010914</v>
      </c>
      <c r="BV289" s="1450">
        <f ca="1">IF(B289&gt;=$J$5,0,CONTADORES!BS299-CONTADORES!BS298)</f>
        <v>3.7999999999992724</v>
      </c>
      <c r="BW289" s="1450">
        <f t="shared" ca="1" si="139"/>
        <v>11.995999999999334</v>
      </c>
      <c r="BX289" s="1450">
        <f t="shared" ca="1" si="140"/>
        <v>9.0084999999990885</v>
      </c>
      <c r="BY289" s="1450">
        <f t="shared" ca="1" si="141"/>
        <v>6.6959999999982429</v>
      </c>
      <c r="BZ289" s="1450">
        <f t="shared" ca="1" si="142"/>
        <v>1.2796000000001093</v>
      </c>
      <c r="CA289" s="1450">
        <f t="shared" ca="1" si="143"/>
        <v>6.6959999999982429</v>
      </c>
      <c r="CB289" s="1450">
        <f t="shared" ca="1" si="144"/>
        <v>1.9194000000001636</v>
      </c>
      <c r="CC289" s="1450">
        <f t="shared" ca="1" si="145"/>
        <v>2.780600000000109</v>
      </c>
      <c r="CD289" s="1450">
        <f t="shared" ca="1" si="146"/>
        <v>5.2084999999998161</v>
      </c>
      <c r="CE289" s="1450">
        <f ca="1">IF(B289&gt;=$J$5,0,CONTADORES!BS299-CONTADORES!BS298)</f>
        <v>3.7999999999992724</v>
      </c>
      <c r="CF289" s="1450">
        <f t="shared" ca="1" si="147"/>
        <v>5.2084999999998161</v>
      </c>
      <c r="CG289" s="1450">
        <f t="shared" ca="1" si="148"/>
        <v>0.89999999999992042</v>
      </c>
      <c r="CH289" s="1450">
        <f t="shared" ca="1" si="149"/>
        <v>0.89999999999992042</v>
      </c>
      <c r="CI289" s="1450">
        <f t="shared" ca="1" si="150"/>
        <v>1.8219999999999206</v>
      </c>
      <c r="CJ289" s="1450">
        <f ca="1">IF($B289&gt;=$J$5,0,CONTADORES!$BG299)</f>
        <v>8706.9000297009497</v>
      </c>
      <c r="CK289" s="1516">
        <f>CONTADORES!E299</f>
        <v>0</v>
      </c>
      <c r="CL289" s="1516">
        <f>CONTADORES!BX299</f>
        <v>10.63</v>
      </c>
    </row>
    <row r="290" spans="2:90">
      <c r="B290" s="1514">
        <v>45206</v>
      </c>
      <c r="C290" s="208">
        <f t="shared" ca="1" si="126"/>
        <v>0</v>
      </c>
      <c r="D290" s="202">
        <f ca="1">'CALCULO DE GAS'!P112</f>
        <v>0</v>
      </c>
      <c r="E290" s="202">
        <f ca="1">IF(B290&gt;=$J$5,0,(CONTADORES!$AB300-CONTADORES!$AB299)-$H290)</f>
        <v>0</v>
      </c>
      <c r="F290" s="204">
        <f t="shared" ca="1" si="125"/>
        <v>0</v>
      </c>
      <c r="G290" s="202">
        <f ca="1">IF(B290&gt;=$J$5,0,CONTADORES!$AD300-CONTADORES!$AD299)</f>
        <v>0</v>
      </c>
      <c r="H290" s="202">
        <f ca="1">IF(G290&gt;0,CONTADORES!$AC300-CONTADORES!$AC299,0)</f>
        <v>0</v>
      </c>
      <c r="I290" s="205">
        <f ca="1">IF(B290&gt;=$J$5,0,CONTADORES!$Z300-CONTADORES!$Z299)</f>
        <v>0</v>
      </c>
      <c r="J290" s="204">
        <f t="shared" ca="1" si="127"/>
        <v>420</v>
      </c>
      <c r="K290" s="202">
        <f ca="1">'CALCULO DE GAS'!Q112</f>
        <v>6.7960790565345945</v>
      </c>
      <c r="L290" s="1437">
        <f ca="1">IF(B290&gt;=$J$5,0,(CONTADORES!$W300-CONTADORES!$W299)-$O290)</f>
        <v>24</v>
      </c>
      <c r="M290" s="1437">
        <f t="shared" ref="M290:M321" ca="1" si="151">IF(O290=0,0,"ERROR")</f>
        <v>0</v>
      </c>
      <c r="N290" s="1437">
        <f ca="1">IF(B290&gt;=$J$5,0,CONTADORES!$Y300-CONTADORES!$Y299)</f>
        <v>0</v>
      </c>
      <c r="O290" s="1437">
        <f ca="1">IF(N290&gt;0,CONTADORES!$X300-CONTADORES!$X299,0)</f>
        <v>0</v>
      </c>
      <c r="P290" s="208">
        <f ca="1">IF(B290&gt;=$J$5,0,CONTADORES!$U300-CONTADORES!$U299)</f>
        <v>420</v>
      </c>
      <c r="Q290" s="208">
        <f ca="1">IF(B290&gt;=$J$5,0,CONTADORES!$B300-CONTADORES!$B299)</f>
        <v>0</v>
      </c>
      <c r="R290" s="202">
        <f t="shared" ca="1" si="128"/>
        <v>0</v>
      </c>
      <c r="S290" s="11">
        <f ca="1">IF(B290&gt;=$J$5,0,CONTADORES!$D300-CONTADORES!$D299)</f>
        <v>0</v>
      </c>
      <c r="T290" s="1452">
        <f ca="1">IF(B290&gt;=$J$5,0,CONTADORES!$AZ300-CONTADORES!$AZ299)</f>
        <v>7.6079999999999472</v>
      </c>
      <c r="U290" s="1453">
        <f t="shared" ca="1" si="123"/>
        <v>912.95999999999367</v>
      </c>
      <c r="V290" s="1455">
        <f ca="1">IF(B290&gt;=$J$5,0,CONTADORES!$BB300-CONTADORES!$BB299)</f>
        <v>8.1999999999998181</v>
      </c>
      <c r="W290" s="1438">
        <f t="shared" ca="1" si="129"/>
        <v>420</v>
      </c>
      <c r="X290" s="1438">
        <f t="shared" ca="1" si="130"/>
        <v>7.6079999999999472</v>
      </c>
      <c r="Y290" s="1439">
        <f t="shared" ca="1" si="131"/>
        <v>427.60799999999995</v>
      </c>
      <c r="Z290" s="1439">
        <f t="shared" ca="1" si="132"/>
        <v>6.7960790565345945</v>
      </c>
      <c r="AA290" s="1439">
        <f t="shared" ca="1" si="133"/>
        <v>912.95999999999367</v>
      </c>
      <c r="AB290" s="1439">
        <f t="shared" ca="1" si="134"/>
        <v>24</v>
      </c>
      <c r="AC290" s="1438">
        <f t="shared" ca="1" si="135"/>
        <v>8.1999999999998181</v>
      </c>
      <c r="AD290" s="1438">
        <f ca="1">IF(B290&gt;=$J$5,0,CONTADORES!H300-CONTADORES!H299)</f>
        <v>162</v>
      </c>
      <c r="AE290" s="1438">
        <f ca="1">IF(B290&gt;=$J$5,0,CONTADORES!J300-CONTADORES!J299)</f>
        <v>24</v>
      </c>
      <c r="AF290" s="1438">
        <f ca="1">IF(B290&gt;=$J$5,0,CONTADORES!AS300-CONTADORES!AS299)</f>
        <v>145</v>
      </c>
      <c r="AG290" s="1438">
        <f ca="1">IF(B290&gt;=$J$5,0,CONTADORES!AU300-CONTADORES!AU299)</f>
        <v>24</v>
      </c>
      <c r="AH290" s="1450">
        <f ca="1">IF(B290&gt;=$J$5,0,(CONTADORES!AK300-CONTADORES!AK299)+(CONTADORES!K300-CONTADORES!K299))</f>
        <v>10.600000000000364</v>
      </c>
      <c r="AI290" s="1450">
        <f ca="1">IF(B290&gt;=$J$5,0,(CONTADORES!AI300-CONTADORES!AI299)+(CONTADORES!M300-CONTADORES!M299))</f>
        <v>36.30000000000291</v>
      </c>
      <c r="AJ290" s="1450">
        <f ca="1">IF(B290&gt;=$J$5,0,(CONTADORES!AG300-CONTADORES!AG299))</f>
        <v>5</v>
      </c>
      <c r="AK290" s="1450">
        <f ca="1">IF(B290&gt;=$J$5,0,(CONTADORES!O300-CONTADORES!O299))</f>
        <v>9</v>
      </c>
      <c r="AL290" s="1500">
        <f t="shared" ca="1" si="136"/>
        <v>31.499999999994543</v>
      </c>
      <c r="AM290" s="1450">
        <f ca="1">IF(B290&gt;=$J$5,0,(((CONTADORES!F300-CONTADORES!F299)+(CONTADORES!AO300-CONTADORES!AO299))))-BJ290-AF290-AN290-BM290-BP290-BU290-BS290+T290</f>
        <v>10.461000000002397</v>
      </c>
      <c r="AN290" s="1438">
        <f ca="1">IF(B290&gt;=$J$5,0,(CONTADORES!AV300-CONTADORES!AV299)+(CONTADORES!AX300-CONTADORES!AX299)+(CONTADORES!BC300-CONTADORES!BC299))-BS290</f>
        <v>2.996000000000091</v>
      </c>
      <c r="AO290" s="1478">
        <f>(CONTADORES!AA300-CONTADORES!AA299)</f>
        <v>0</v>
      </c>
      <c r="AP290" s="1478">
        <f>(CONTADORES!V300-CONTADORES!V299)</f>
        <v>216</v>
      </c>
      <c r="AQ290" s="1478">
        <f>(CONTADORES!C300-CONTADORES!C299)</f>
        <v>0</v>
      </c>
      <c r="AR290" s="1478">
        <f>(CONTADORES!BA300-CONTADORES!BA299)</f>
        <v>2.9470000000000027</v>
      </c>
      <c r="AS290" s="1438">
        <f ca="1">IF(B290&gt;=$J$5,0,CONTADORES!Q300-CONTADORES!Q299)</f>
        <v>14</v>
      </c>
      <c r="AT290" s="1438">
        <f ca="1">IF(B290&gt;=$J$5,0,(CONTADORES!S300-CONTADORES!S299)+(CONTADORES!AE300-CONTADORES!AE299))</f>
        <v>2.4000000000000341</v>
      </c>
      <c r="AU290" s="1474">
        <f>CONTADORES!I300-CONTADORES!I299</f>
        <v>80</v>
      </c>
      <c r="AV290" s="1478">
        <f>CONTADORES!AT300-CONTADORES!AT299</f>
        <v>62</v>
      </c>
      <c r="AW290" s="1478">
        <f ca="1">IF(B290&gt;=$J$5,0,(CONTADORES!L300-CONTADORES!L299)+(CONTADORES!AL300-CONTADORES!AL299))</f>
        <v>3.7999999999992724</v>
      </c>
      <c r="AX290" s="1478">
        <f ca="1">IF(B290&gt;=$J$5,0,(CONTADORES!N300-CONTADORES!N299)+(CONTADORES!AJ300-CONTADORES!AJ299))</f>
        <v>31</v>
      </c>
      <c r="AY290" s="1478">
        <f ca="1">IF(B290&gt;=$J$5,0,(CONTADORES!AH300-CONTADORES!AH299))</f>
        <v>3.7999999999956344</v>
      </c>
      <c r="AZ290" s="1478">
        <f ca="1">IF(B290&gt;=$J$5,0,(CONTADORES!P300-CONTADORES!P299))</f>
        <v>7</v>
      </c>
      <c r="BA290" s="1450">
        <f t="shared" ca="1" si="137"/>
        <v>13.696000000004545</v>
      </c>
      <c r="BB290" s="1440">
        <f ca="1">IF(B290&gt;=$J$5,0,(((CONTADORES!G300-CONTADORES!G299)+(CONTADORES!AP300-CONTADORES!AP299)+AR290)-(AV290+BC290)))</f>
        <v>9.3470000000000937</v>
      </c>
      <c r="BC290" s="1439">
        <f ca="1">IF(B290&gt;=$J$5,0,(CONTADORES!AW300-CONTADORES!AW299)+(CONTADORES!AY300-CONTADORES!AY299)+(CONTADORES!BD300-CONTADORES!BD299))</f>
        <v>1.5999999999999091</v>
      </c>
      <c r="BD290" s="1438">
        <f t="shared" si="138"/>
        <v>218.947</v>
      </c>
      <c r="BE290" s="1439">
        <f ca="1">IF($B290&gt;=$J$5,0,CONTADORES!$BE300)</f>
        <v>4815.01</v>
      </c>
      <c r="BF290" s="1438">
        <f ca="1">IF($B290&gt;=$J$5,0,CONTADORES!$BF300)</f>
        <v>33799.482456140402</v>
      </c>
      <c r="BG290" s="1439">
        <f ca="1">IF($B290&gt;=$J$5,0,CONTADORES!$BH300)</f>
        <v>6305.57</v>
      </c>
      <c r="BH290" s="1438">
        <f ca="1">IF(B290&gt;=$J$5,0,(CONTADORES!AQ300-CONTADORES!AQ299))</f>
        <v>5</v>
      </c>
      <c r="BI290" s="1438">
        <f ca="1">IF(B290&gt;=$J$5,0,(CONTADORES!AR300-CONTADORES!AR299))</f>
        <v>0</v>
      </c>
      <c r="BJ290" s="1439">
        <f ca="1">IF(B290&gt;=$J$5,0,CONTADORES!BI300-CONTADORES!BI299)/1000</f>
        <v>2.4</v>
      </c>
      <c r="BK290" s="1450">
        <f ca="1">IF(B290&gt;=$J$5,0,CONTADORES!BJ300-CONTADORES!BJ299)</f>
        <v>1</v>
      </c>
      <c r="BL290" s="1450">
        <f ca="1">IF(B290&gt;=$J$5,0,CONTADORES!BK300-CONTADORES!BK299)</f>
        <v>24</v>
      </c>
      <c r="BM290" s="1450">
        <f ca="1">IF(B290&gt;=$J$5,0,CONTADORES!BL300-CONTADORES!BL299)/1000</f>
        <v>5.0469999999999997</v>
      </c>
      <c r="BN290" s="1450">
        <f ca="1">IF(B290&gt;=$J$5,0,CONTADORES!BM300-CONTADORES!BM299)/1000</f>
        <v>0.92800000000000005</v>
      </c>
      <c r="BO290" s="1450">
        <f ca="1">IF(B290&gt;=$J$5,0,CONTADORES!BN300-CONTADORES!BN299)</f>
        <v>24</v>
      </c>
      <c r="BP290" s="1450">
        <f ca="1">IF(B290&gt;=$J$5,0,CONTADORES!BO300-CONTADORES!BO299)/1000</f>
        <v>0</v>
      </c>
      <c r="BQ290" s="1450">
        <f ca="1">IF(B290&gt;=$J$5,0,CONTADORES!BP300-CONTADORES!BP299)/1000</f>
        <v>0</v>
      </c>
      <c r="BR290" s="1450">
        <f ca="1">IF(B290&gt;=$J$5,0,CONTADORES!BQ300-CONTADORES!BQ299)</f>
        <v>0</v>
      </c>
      <c r="BS290" s="1450">
        <f ca="1">IF(B290&gt;=$J$5,0,(CONTADORES!BT300-CONTADORES!BT299)+(CONTADORES!BV300-CONTADORES!BV299))/1000</f>
        <v>1.4039999999999999</v>
      </c>
      <c r="BT290" s="1450">
        <f ca="1">IF(B290&gt;=$J$5,0,(CONTADORES!BU300-CONTADORES!BU299)+(CONTADORES!BW300-CONTADORES!BW299))/1000</f>
        <v>0.876</v>
      </c>
      <c r="BU290" s="1450">
        <f ca="1">IF(B290&gt;=$J$5,0,CONTADORES!BR300-CONTADORES!BR299)</f>
        <v>5.8999999999996362</v>
      </c>
      <c r="BV290" s="1450">
        <f ca="1">IF(B290&gt;=$J$5,0,CONTADORES!BS300-CONTADORES!BS299)</f>
        <v>3.9000000000005457</v>
      </c>
      <c r="BW290" s="1450">
        <f t="shared" ca="1" si="139"/>
        <v>11.130500000000835</v>
      </c>
      <c r="BX290" s="1450">
        <f t="shared" ca="1" si="140"/>
        <v>8.5735000000005925</v>
      </c>
      <c r="BY290" s="1450">
        <f t="shared" ca="1" si="141"/>
        <v>5.2305000000011983</v>
      </c>
      <c r="BZ290" s="1450">
        <f t="shared" ca="1" si="142"/>
        <v>1.1984000000000365</v>
      </c>
      <c r="CA290" s="1450">
        <f t="shared" ca="1" si="143"/>
        <v>5.2305000000011983</v>
      </c>
      <c r="CB290" s="1450">
        <f t="shared" ca="1" si="144"/>
        <v>1.7976000000000545</v>
      </c>
      <c r="CC290" s="1450">
        <f t="shared" ca="1" si="145"/>
        <v>2.6024000000000367</v>
      </c>
      <c r="CD290" s="1450">
        <f t="shared" ca="1" si="146"/>
        <v>4.6735000000000468</v>
      </c>
      <c r="CE290" s="1450">
        <f ca="1">IF(B290&gt;=$J$5,0,CONTADORES!BS300-CONTADORES!BS299)</f>
        <v>3.9000000000005457</v>
      </c>
      <c r="CF290" s="1450">
        <f t="shared" ca="1" si="147"/>
        <v>4.6735000000000468</v>
      </c>
      <c r="CG290" s="1450">
        <f t="shared" ca="1" si="148"/>
        <v>0.79999999999995453</v>
      </c>
      <c r="CH290" s="1450">
        <f t="shared" ca="1" si="149"/>
        <v>0.79999999999995453</v>
      </c>
      <c r="CI290" s="1450">
        <f t="shared" ca="1" si="150"/>
        <v>1.6759999999999544</v>
      </c>
      <c r="CJ290" s="1450">
        <f ca="1">IF($B290&gt;=$J$5,0,CONTADORES!$BG300)</f>
        <v>7911.81455450051</v>
      </c>
      <c r="CK290" s="1516">
        <f>CONTADORES!E300</f>
        <v>0</v>
      </c>
      <c r="CL290" s="1516">
        <f>CONTADORES!BX300</f>
        <v>7.6</v>
      </c>
    </row>
    <row r="291" spans="2:90">
      <c r="B291" s="1514">
        <v>45207</v>
      </c>
      <c r="C291" s="208">
        <f t="shared" ca="1" si="126"/>
        <v>0</v>
      </c>
      <c r="D291" s="202">
        <f ca="1">'CALCULO DE GAS'!P113</f>
        <v>0</v>
      </c>
      <c r="E291" s="202">
        <f ca="1">IF(B291&gt;=$J$5,0,(CONTADORES!$AB301-CONTADORES!$AB300)-$H291)</f>
        <v>0</v>
      </c>
      <c r="F291" s="204">
        <f t="shared" ca="1" si="125"/>
        <v>0</v>
      </c>
      <c r="G291" s="202">
        <f ca="1">IF(B291&gt;=$J$5,0,CONTADORES!$AD301-CONTADORES!$AD300)</f>
        <v>0</v>
      </c>
      <c r="H291" s="202">
        <f ca="1">IF(G291&gt;0,CONTADORES!$AC301-CONTADORES!$AC300,0)</f>
        <v>0</v>
      </c>
      <c r="I291" s="205">
        <f ca="1">IF(B291&gt;=$J$5,0,CONTADORES!$Z301-CONTADORES!$Z300)</f>
        <v>0</v>
      </c>
      <c r="J291" s="204">
        <f t="shared" ca="1" si="127"/>
        <v>427</v>
      </c>
      <c r="K291" s="202">
        <f ca="1">'CALCULO DE GAS'!Q113</f>
        <v>6.8804557567120046</v>
      </c>
      <c r="L291" s="1437">
        <f ca="1">IF(B291&gt;=$J$5,0,(CONTADORES!$W301-CONTADORES!$W300)-$O291)</f>
        <v>24</v>
      </c>
      <c r="M291" s="1437">
        <f t="shared" ca="1" si="151"/>
        <v>0</v>
      </c>
      <c r="N291" s="1437">
        <f ca="1">IF(B291&gt;=$J$5,0,CONTADORES!$Y301-CONTADORES!$Y300)</f>
        <v>0</v>
      </c>
      <c r="O291" s="1437">
        <f ca="1">IF(N291&gt;0,CONTADORES!$X301-CONTADORES!$X300,0)</f>
        <v>0</v>
      </c>
      <c r="P291" s="208">
        <f ca="1">IF(B291&gt;=$J$5,0,CONTADORES!$U301-CONTADORES!$U300)</f>
        <v>427</v>
      </c>
      <c r="Q291" s="208">
        <f ca="1">IF(B291&gt;=$J$5,0,CONTADORES!$B301-CONTADORES!$B300)</f>
        <v>0</v>
      </c>
      <c r="R291" s="202">
        <f t="shared" ca="1" si="128"/>
        <v>0</v>
      </c>
      <c r="S291" s="11">
        <f ca="1">IF(B291&gt;=$J$5,0,CONTADORES!$D301-CONTADORES!$D300)</f>
        <v>0</v>
      </c>
      <c r="T291" s="204">
        <f ca="1">IF(B291&gt;=$J$5,0,CONTADORES!$AZ301-CONTADORES!$AZ300)</f>
        <v>6.25100000000009</v>
      </c>
      <c r="U291" s="202">
        <f t="shared" ca="1" si="123"/>
        <v>750.1200000000108</v>
      </c>
      <c r="V291" s="205">
        <f ca="1">IF(B291&gt;=$J$5,0,CONTADORES!$BB301-CONTADORES!$BB300)</f>
        <v>6.8000000000001819</v>
      </c>
      <c r="W291" s="1438">
        <f t="shared" ca="1" si="129"/>
        <v>427</v>
      </c>
      <c r="X291" s="1438">
        <f t="shared" ca="1" si="130"/>
        <v>6.25100000000009</v>
      </c>
      <c r="Y291" s="1439">
        <f t="shared" ca="1" si="131"/>
        <v>433.25100000000009</v>
      </c>
      <c r="Z291" s="1439">
        <f t="shared" ca="1" si="132"/>
        <v>6.8804557567120046</v>
      </c>
      <c r="AA291" s="1439">
        <f t="shared" ca="1" si="133"/>
        <v>750.1200000000108</v>
      </c>
      <c r="AB291" s="1439">
        <f t="shared" ca="1" si="134"/>
        <v>24</v>
      </c>
      <c r="AC291" s="1438">
        <f t="shared" ca="1" si="135"/>
        <v>6.8000000000001819</v>
      </c>
      <c r="AD291" s="1438">
        <f ca="1">IF(B291&gt;=$J$5,0,CONTADORES!H301-CONTADORES!H300)</f>
        <v>165</v>
      </c>
      <c r="AE291" s="1438">
        <f ca="1">IF(B291&gt;=$J$5,0,CONTADORES!J301-CONTADORES!J300)</f>
        <v>24</v>
      </c>
      <c r="AF291" s="1438">
        <f ca="1">IF(B291&gt;=$J$5,0,CONTADORES!AS301-CONTADORES!AS300)</f>
        <v>150</v>
      </c>
      <c r="AG291" s="1438">
        <f ca="1">IF(B291&gt;=$J$5,0,CONTADORES!AU301-CONTADORES!AU300)</f>
        <v>24</v>
      </c>
      <c r="AH291" s="1450">
        <f ca="1">IF(B291&gt;=$J$5,0,(CONTADORES!AK301-CONTADORES!AK300)+(CONTADORES!K301-CONTADORES!K300))</f>
        <v>6</v>
      </c>
      <c r="AI291" s="1450">
        <f ca="1">IF(B291&gt;=$J$5,0,(CONTADORES!AI301-CONTADORES!AI300)+(CONTADORES!M301-CONTADORES!M300))</f>
        <v>38.80000000000291</v>
      </c>
      <c r="AJ291" s="1450">
        <f ca="1">IF(B291&gt;=$J$5,0,(CONTADORES!AG301-CONTADORES!AG300))</f>
        <v>5.6999999999970896</v>
      </c>
      <c r="AK291" s="1450">
        <f ca="1">IF(B291&gt;=$J$5,0,(CONTADORES!O301-CONTADORES!O300))</f>
        <v>9</v>
      </c>
      <c r="AL291" s="1500">
        <f t="shared" ca="1" si="136"/>
        <v>28.300000000002967</v>
      </c>
      <c r="AM291" s="1450">
        <f ca="1">IF(B291&gt;=$J$5,0,(((CONTADORES!F301-CONTADORES!F300)+(CONTADORES!AO301-CONTADORES!AO300))))-BJ291-AF291-AN291-BM291-BP291-BU291-BS291+T291</f>
        <v>12.040999999997444</v>
      </c>
      <c r="AN291" s="1438">
        <f ca="1">IF(B291&gt;=$J$5,0,(CONTADORES!AV301-CONTADORES!AV300)+(CONTADORES!AX301-CONTADORES!AX300)+(CONTADORES!BC301-CONTADORES!BC300))-BS291</f>
        <v>3.4420000000000908</v>
      </c>
      <c r="AO291" s="1478">
        <f>(CONTADORES!AA301-CONTADORES!AA300)</f>
        <v>0</v>
      </c>
      <c r="AP291" s="1478">
        <f>(CONTADORES!V301-CONTADORES!V300)</f>
        <v>222</v>
      </c>
      <c r="AQ291" s="1478">
        <f>(CONTADORES!C301-CONTADORES!C300)</f>
        <v>0</v>
      </c>
      <c r="AR291" s="1478">
        <f>(CONTADORES!BA301-CONTADORES!BA300)</f>
        <v>2.4180000000000064</v>
      </c>
      <c r="AS291" s="1438">
        <f ca="1">IF(B291&gt;=$J$5,0,CONTADORES!Q301-CONTADORES!Q300)</f>
        <v>15</v>
      </c>
      <c r="AT291" s="1438">
        <f ca="1">IF(B291&gt;=$J$5,0,(CONTADORES!S301-CONTADORES!S300)+(CONTADORES!AE301-CONTADORES!AE300))</f>
        <v>2.5</v>
      </c>
      <c r="AU291" s="1474">
        <f>CONTADORES!I301-CONTADORES!I300</f>
        <v>82</v>
      </c>
      <c r="AV291" s="1478">
        <f>CONTADORES!AT301-CONTADORES!AT300</f>
        <v>66</v>
      </c>
      <c r="AW291" s="1478">
        <f ca="1">IF(B291&gt;=$J$5,0,(CONTADORES!L301-CONTADORES!L300)+(CONTADORES!AL301-CONTADORES!AL300))</f>
        <v>2.2000000000007276</v>
      </c>
      <c r="AX291" s="1478">
        <f ca="1">IF(B291&gt;=$J$5,0,(CONTADORES!N301-CONTADORES!N300)+(CONTADORES!AJ301-CONTADORES!AJ300))</f>
        <v>33</v>
      </c>
      <c r="AY291" s="1478">
        <f ca="1">IF(B291&gt;=$J$5,0,(CONTADORES!AH301-CONTADORES!AH300))</f>
        <v>4.3000000000029104</v>
      </c>
      <c r="AZ291" s="1478">
        <f ca="1">IF(B291&gt;=$J$5,0,(CONTADORES!P301-CONTADORES!P300))</f>
        <v>7</v>
      </c>
      <c r="BA291" s="1450">
        <f t="shared" ca="1" si="137"/>
        <v>12.682999999995815</v>
      </c>
      <c r="BB291" s="1440">
        <f ca="1">IF(B291&gt;=$J$5,0,(((CONTADORES!G301-CONTADORES!G300)+(CONTADORES!AP301-CONTADORES!AP300)+AR291)-(AV291+BC291)))</f>
        <v>8.7180000000001883</v>
      </c>
      <c r="BC291" s="1439">
        <f ca="1">IF(B291&gt;=$J$5,0,(CONTADORES!AW301-CONTADORES!AW300)+(CONTADORES!AY301-CONTADORES!AY300)+(CONTADORES!BD301-CONTADORES!BD300))</f>
        <v>1.8000000000001819</v>
      </c>
      <c r="BD291" s="1438">
        <f t="shared" si="138"/>
        <v>224.41800000000001</v>
      </c>
      <c r="BE291" s="1439">
        <f ca="1">IF($B291&gt;=$J$5,0,CONTADORES!$BE301)</f>
        <v>5015.2</v>
      </c>
      <c r="BF291" s="1438">
        <f ca="1">IF($B291&gt;=$J$5,0,CONTADORES!$BF301)</f>
        <v>34034.828070175397</v>
      </c>
      <c r="BG291" s="1439">
        <f ca="1">IF($B291&gt;=$J$5,0,CONTADORES!$BH301)</f>
        <v>4954.66</v>
      </c>
      <c r="BH291" s="1438">
        <f ca="1">IF(B291&gt;=$J$5,0,(CONTADORES!AQ301-CONTADORES!AQ300))</f>
        <v>5</v>
      </c>
      <c r="BI291" s="1438">
        <f ca="1">IF(B291&gt;=$J$5,0,(CONTADORES!AR301-CONTADORES!AR300))</f>
        <v>0</v>
      </c>
      <c r="BJ291" s="1439">
        <f ca="1">IF(B291&gt;=$J$5,0,CONTADORES!BI301-CONTADORES!BI300)/1000</f>
        <v>2.4</v>
      </c>
      <c r="BK291" s="1450">
        <f ca="1">IF(B291&gt;=$J$5,0,CONTADORES!BJ301-CONTADORES!BJ300)</f>
        <v>1</v>
      </c>
      <c r="BL291" s="1450">
        <f ca="1">IF(B291&gt;=$J$5,0,CONTADORES!BK301-CONTADORES!BK300)</f>
        <v>24</v>
      </c>
      <c r="BM291" s="1450">
        <f ca="1">IF(B291&gt;=$J$5,0,CONTADORES!BL301-CONTADORES!BL300)/1000</f>
        <v>5.21</v>
      </c>
      <c r="BN291" s="1450">
        <f ca="1">IF(B291&gt;=$J$5,0,CONTADORES!BM301-CONTADORES!BM300)/1000</f>
        <v>1.0129999999999999</v>
      </c>
      <c r="BO291" s="1450">
        <f ca="1">IF(B291&gt;=$J$5,0,CONTADORES!BN301-CONTADORES!BN300)</f>
        <v>24</v>
      </c>
      <c r="BP291" s="1450">
        <f ca="1">IF(B291&gt;=$J$5,0,CONTADORES!BO301-CONTADORES!BO300)/1000</f>
        <v>0</v>
      </c>
      <c r="BQ291" s="1450">
        <f ca="1">IF(B291&gt;=$J$5,0,CONTADORES!BP301-CONTADORES!BP300)/1000</f>
        <v>0</v>
      </c>
      <c r="BR291" s="1450">
        <f ca="1">IF(B291&gt;=$J$5,0,CONTADORES!BQ301-CONTADORES!BQ300)</f>
        <v>0</v>
      </c>
      <c r="BS291" s="1450">
        <f ca="1">IF(B291&gt;=$J$5,0,(CONTADORES!BT301-CONTADORES!BT300)+(CONTADORES!BV301-CONTADORES!BV300))/1000</f>
        <v>1.458</v>
      </c>
      <c r="BT291" s="1450">
        <f ca="1">IF(B291&gt;=$J$5,0,(CONTADORES!BU301-CONTADORES!BU300)+(CONTADORES!BW301-CONTADORES!BW300))/1000</f>
        <v>0.90400000000000003</v>
      </c>
      <c r="BU291" s="1450">
        <f ca="1">IF(B291&gt;=$J$5,0,CONTADORES!BR301-CONTADORES!BR300)</f>
        <v>5.8999999999996362</v>
      </c>
      <c r="BV291" s="1450">
        <f ca="1">IF(B291&gt;=$J$5,0,CONTADORES!BS301-CONTADORES!BS300)</f>
        <v>3.8000000000001819</v>
      </c>
      <c r="BW291" s="1450">
        <f t="shared" ca="1" si="139"/>
        <v>11.920499999998359</v>
      </c>
      <c r="BX291" s="1450">
        <f t="shared" ca="1" si="140"/>
        <v>8.159000000000276</v>
      </c>
      <c r="BY291" s="1450">
        <f t="shared" ca="1" si="141"/>
        <v>6.0204999999987221</v>
      </c>
      <c r="BZ291" s="1450">
        <f t="shared" ca="1" si="142"/>
        <v>1.3768000000000364</v>
      </c>
      <c r="CA291" s="1450">
        <f t="shared" ca="1" si="143"/>
        <v>6.0204999999987221</v>
      </c>
      <c r="CB291" s="1450">
        <f t="shared" ca="1" si="144"/>
        <v>2.0652000000000541</v>
      </c>
      <c r="CC291" s="1450">
        <f t="shared" ca="1" si="145"/>
        <v>2.8348000000000364</v>
      </c>
      <c r="CD291" s="1450">
        <f t="shared" ca="1" si="146"/>
        <v>4.3590000000000941</v>
      </c>
      <c r="CE291" s="1450">
        <f ca="1">IF(B291&gt;=$J$5,0,CONTADORES!BS301-CONTADORES!BS300)</f>
        <v>3.8000000000001819</v>
      </c>
      <c r="CF291" s="1450">
        <f t="shared" ca="1" si="147"/>
        <v>4.3590000000000941</v>
      </c>
      <c r="CG291" s="1450">
        <f t="shared" ca="1" si="148"/>
        <v>0.90000000000009095</v>
      </c>
      <c r="CH291" s="1450">
        <f t="shared" ca="1" si="149"/>
        <v>0.90000000000009095</v>
      </c>
      <c r="CI291" s="1450">
        <f t="shared" ca="1" si="150"/>
        <v>1.8040000000000909</v>
      </c>
      <c r="CJ291" s="1450">
        <f ca="1">IF($B291&gt;=$J$5,0,CONTADORES!$BG301)</f>
        <v>9047.6811979679205</v>
      </c>
      <c r="CK291" s="1516">
        <f>CONTADORES!E301</f>
        <v>0</v>
      </c>
      <c r="CL291" s="1516">
        <f>CONTADORES!BX301</f>
        <v>6.3</v>
      </c>
    </row>
    <row r="292" spans="2:90">
      <c r="B292" s="1514">
        <v>45208</v>
      </c>
      <c r="C292" s="208">
        <f t="shared" ca="1" si="126"/>
        <v>0</v>
      </c>
      <c r="D292" s="202">
        <f ca="1">'CALCULO DE GAS'!P114</f>
        <v>0</v>
      </c>
      <c r="E292" s="202">
        <f ca="1">IF(B292&gt;=$J$5,0,(CONTADORES!$AB302-CONTADORES!$AB301)-$H292)</f>
        <v>0</v>
      </c>
      <c r="F292" s="204">
        <f t="shared" ca="1" si="125"/>
        <v>0</v>
      </c>
      <c r="G292" s="202">
        <f ca="1">IF(B292&gt;=$J$5,0,CONTADORES!$AD302-CONTADORES!$AD301)</f>
        <v>0</v>
      </c>
      <c r="H292" s="202">
        <f ca="1">IF(G292&gt;0,CONTADORES!$AC302-CONTADORES!$AC301,0)</f>
        <v>0</v>
      </c>
      <c r="I292" s="205">
        <f ca="1">IF(B292&gt;=$J$5,0,CONTADORES!$Z302-CONTADORES!$Z301)</f>
        <v>0</v>
      </c>
      <c r="J292" s="204">
        <f t="shared" ca="1" si="127"/>
        <v>424</v>
      </c>
      <c r="K292" s="202">
        <f ca="1">'CALCULO DE GAS'!Q114</f>
        <v>6.8442943137788292</v>
      </c>
      <c r="L292" s="1437">
        <f ca="1">IF(B292&gt;=$J$5,0,(CONTADORES!$W302-CONTADORES!$W301)-$O292)</f>
        <v>24</v>
      </c>
      <c r="M292" s="1437">
        <f t="shared" ca="1" si="151"/>
        <v>0</v>
      </c>
      <c r="N292" s="1437">
        <f ca="1">IF(B292&gt;=$J$5,0,CONTADORES!$Y302-CONTADORES!$Y301)</f>
        <v>0</v>
      </c>
      <c r="O292" s="1437">
        <f ca="1">IF(N292&gt;0,CONTADORES!$X302-CONTADORES!$X301,0)</f>
        <v>0</v>
      </c>
      <c r="P292" s="208">
        <f ca="1">IF(B292&gt;=$J$5,0,CONTADORES!$U302-CONTADORES!$U301)</f>
        <v>424</v>
      </c>
      <c r="Q292" s="208">
        <f ca="1">IF(B292&gt;=$J$5,0,CONTADORES!$B302-CONTADORES!$B301)</f>
        <v>0</v>
      </c>
      <c r="R292" s="202">
        <f t="shared" ca="1" si="128"/>
        <v>0</v>
      </c>
      <c r="S292" s="11">
        <f ca="1">IF(B292&gt;=$J$5,0,CONTADORES!$D302-CONTADORES!$D301)</f>
        <v>0</v>
      </c>
      <c r="T292" s="1452">
        <f ca="1">IF(B292&gt;=$J$5,0,CONTADORES!$AZ302-CONTADORES!$AZ301)</f>
        <v>12.947000000000003</v>
      </c>
      <c r="U292" s="1453">
        <f t="shared" ca="1" si="123"/>
        <v>1553.6400000000003</v>
      </c>
      <c r="V292" s="1455">
        <f ca="1">IF(B292&gt;=$J$5,0,CONTADORES!$BB302-CONTADORES!$BB301)</f>
        <v>14.099999999999909</v>
      </c>
      <c r="W292" s="1438">
        <f t="shared" ca="1" si="129"/>
        <v>424</v>
      </c>
      <c r="X292" s="1438">
        <f t="shared" ca="1" si="130"/>
        <v>12.947000000000003</v>
      </c>
      <c r="Y292" s="1439">
        <f t="shared" ca="1" si="131"/>
        <v>436.947</v>
      </c>
      <c r="Z292" s="1439">
        <f t="shared" ca="1" si="132"/>
        <v>6.8442943137788292</v>
      </c>
      <c r="AA292" s="1439">
        <f t="shared" ca="1" si="133"/>
        <v>1553.6400000000003</v>
      </c>
      <c r="AB292" s="1439">
        <f t="shared" ca="1" si="134"/>
        <v>24</v>
      </c>
      <c r="AC292" s="1438">
        <f t="shared" ca="1" si="135"/>
        <v>14.099999999999909</v>
      </c>
      <c r="AD292" s="1438">
        <f ca="1">IF(B292&gt;=$J$5,0,CONTADORES!H302-CONTADORES!H301)</f>
        <v>163</v>
      </c>
      <c r="AE292" s="1438">
        <f ca="1">IF(B292&gt;=$J$5,0,CONTADORES!J302-CONTADORES!J301)</f>
        <v>24</v>
      </c>
      <c r="AF292" s="1438">
        <f ca="1">IF(B292&gt;=$J$5,0,CONTADORES!AS302-CONTADORES!AS301)</f>
        <v>149</v>
      </c>
      <c r="AG292" s="1438">
        <f ca="1">IF(B292&gt;=$J$5,0,CONTADORES!AU302-CONTADORES!AU301)</f>
        <v>24</v>
      </c>
      <c r="AH292" s="1450">
        <f ca="1">IF(B292&gt;=$J$5,0,(CONTADORES!AK302-CONTADORES!AK301)+(CONTADORES!K302-CONTADORES!K301))</f>
        <v>8.7999999999974534</v>
      </c>
      <c r="AI292" s="1450">
        <f ca="1">IF(B292&gt;=$J$5,0,(CONTADORES!AI302-CONTADORES!AI301)+(CONTADORES!M302-CONTADORES!M301))</f>
        <v>39.30000000000291</v>
      </c>
      <c r="AJ292" s="1450">
        <f ca="1">IF(B292&gt;=$J$5,0,(CONTADORES!AG302-CONTADORES!AG301))</f>
        <v>5.5</v>
      </c>
      <c r="AK292" s="1450">
        <f ca="1">IF(B292&gt;=$J$5,0,(CONTADORES!O302-CONTADORES!O301))</f>
        <v>9</v>
      </c>
      <c r="AL292" s="1500">
        <f t="shared" ca="1" si="136"/>
        <v>32.499999999998238</v>
      </c>
      <c r="AM292" s="1450">
        <f ca="1">IF(B292&gt;=$J$5,0,(((CONTADORES!F302-CONTADORES!F301)+(CONTADORES!AO302-CONTADORES!AO301))))-BJ292-AF292-AN292-BM292-BP292-BU292-BS292+T292</f>
        <v>11.563000000000725</v>
      </c>
      <c r="AN292" s="1438">
        <f ca="1">IF(B292&gt;=$J$5,0,(CONTADORES!AV302-CONTADORES!AV301)+(CONTADORES!AX302-CONTADORES!AX301)+(CONTADORES!BC302-CONTADORES!BC301))-BS292</f>
        <v>3.4039999999996362</v>
      </c>
      <c r="AO292" s="1478">
        <f>(CONTADORES!AA302-CONTADORES!AA301)</f>
        <v>0</v>
      </c>
      <c r="AP292" s="1478">
        <f>(CONTADORES!V302-CONTADORES!V301)</f>
        <v>220</v>
      </c>
      <c r="AQ292" s="1478">
        <f>(CONTADORES!C302-CONTADORES!C301)</f>
        <v>0</v>
      </c>
      <c r="AR292" s="1478">
        <f>(CONTADORES!BA302-CONTADORES!BA301)</f>
        <v>5.0129999999999768</v>
      </c>
      <c r="AS292" s="1438">
        <f ca="1">IF(B292&gt;=$J$5,0,CONTADORES!Q302-CONTADORES!Q301)</f>
        <v>15</v>
      </c>
      <c r="AT292" s="1438">
        <f ca="1">IF(B292&gt;=$J$5,0,(CONTADORES!S302-CONTADORES!S301)+(CONTADORES!AE302-CONTADORES!AE301))</f>
        <v>2.7999999999999545</v>
      </c>
      <c r="AU292" s="1474">
        <f>CONTADORES!I302-CONTADORES!I301</f>
        <v>81</v>
      </c>
      <c r="AV292" s="1478">
        <f>CONTADORES!AT302-CONTADORES!AT301</f>
        <v>65</v>
      </c>
      <c r="AW292" s="1478">
        <f ca="1">IF(B292&gt;=$J$5,0,(CONTADORES!L302-CONTADORES!L301)+(CONTADORES!AL302-CONTADORES!AL301))</f>
        <v>3.0999999999985448</v>
      </c>
      <c r="AX292" s="1478">
        <f ca="1">IF(B292&gt;=$J$5,0,(CONTADORES!N302-CONTADORES!N301)+(CONTADORES!AJ302-CONTADORES!AJ301))</f>
        <v>33</v>
      </c>
      <c r="AY292" s="1478">
        <f ca="1">IF(B292&gt;=$J$5,0,(CONTADORES!AH302-CONTADORES!AH301))</f>
        <v>4.0999999999985448</v>
      </c>
      <c r="AZ292" s="1478">
        <f ca="1">IF(B292&gt;=$J$5,0,(CONTADORES!P302-CONTADORES!P301))</f>
        <v>8</v>
      </c>
      <c r="BA292" s="1450">
        <f t="shared" ca="1" si="137"/>
        <v>14.029000000003265</v>
      </c>
      <c r="BB292" s="1440">
        <f ca="1">IF(B292&gt;=$J$5,0,(((CONTADORES!G302-CONTADORES!G301)+(CONTADORES!AP302-CONTADORES!AP301)+AR292)-(AV292+BC292)))</f>
        <v>8.3130000000001587</v>
      </c>
      <c r="BC292" s="1439">
        <f ca="1">IF(B292&gt;=$J$5,0,(CONTADORES!AW302-CONTADORES!AW301)+(CONTADORES!AY302-CONTADORES!AY301)+(CONTADORES!BD302-CONTADORES!BD301))</f>
        <v>1.8000000000001819</v>
      </c>
      <c r="BD292" s="1438">
        <f t="shared" si="138"/>
        <v>225.01299999999998</v>
      </c>
      <c r="BE292" s="1439">
        <f ca="1">IF($B292&gt;=$J$5,0,CONTADORES!$BE302)</f>
        <v>5361.94</v>
      </c>
      <c r="BF292" s="1438">
        <f ca="1">IF($B292&gt;=$J$5,0,CONTADORES!$BF302)</f>
        <v>33875.336842105302</v>
      </c>
      <c r="BG292" s="1439">
        <f ca="1">IF($B292&gt;=$J$5,0,CONTADORES!$BH302)</f>
        <v>4511.6099999999997</v>
      </c>
      <c r="BH292" s="1438">
        <f ca="1">IF(B292&gt;=$J$5,0,(CONTADORES!AQ302-CONTADORES!AQ301))</f>
        <v>5</v>
      </c>
      <c r="BI292" s="1438">
        <f ca="1">IF(B292&gt;=$J$5,0,(CONTADORES!AR302-CONTADORES!AR301))</f>
        <v>0</v>
      </c>
      <c r="BJ292" s="1439">
        <f ca="1">IF(B292&gt;=$J$5,0,CONTADORES!BI302-CONTADORES!BI301)/1000</f>
        <v>2.4</v>
      </c>
      <c r="BK292" s="1450">
        <f ca="1">IF(B292&gt;=$J$5,0,CONTADORES!BJ302-CONTADORES!BJ301)</f>
        <v>1</v>
      </c>
      <c r="BL292" s="1450">
        <f ca="1">IF(B292&gt;=$J$5,0,CONTADORES!BK302-CONTADORES!BK301)</f>
        <v>24</v>
      </c>
      <c r="BM292" s="1450">
        <f ca="1">IF(B292&gt;=$J$5,0,CONTADORES!BL302-CONTADORES!BL301)/1000</f>
        <v>5.1840000000000002</v>
      </c>
      <c r="BN292" s="1450">
        <f ca="1">IF(B292&gt;=$J$5,0,CONTADORES!BM302-CONTADORES!BM301)/1000</f>
        <v>0.94699999999999995</v>
      </c>
      <c r="BO292" s="1450">
        <f ca="1">IF(B292&gt;=$J$5,0,CONTADORES!BN302-CONTADORES!BN301)</f>
        <v>24</v>
      </c>
      <c r="BP292" s="1450">
        <f ca="1">IF(B292&gt;=$J$5,0,CONTADORES!BO302-CONTADORES!BO301)/1000</f>
        <v>0</v>
      </c>
      <c r="BQ292" s="1450">
        <f ca="1">IF(B292&gt;=$J$5,0,CONTADORES!BP302-CONTADORES!BP301)/1000</f>
        <v>0</v>
      </c>
      <c r="BR292" s="1450">
        <f ca="1">IF(B292&gt;=$J$5,0,CONTADORES!BQ302-CONTADORES!BQ301)</f>
        <v>0</v>
      </c>
      <c r="BS292" s="1450">
        <f ca="1">IF(B292&gt;=$J$5,0,(CONTADORES!BT302-CONTADORES!BT301)+(CONTADORES!BV302-CONTADORES!BV301))/1000</f>
        <v>1.496</v>
      </c>
      <c r="BT292" s="1450">
        <f ca="1">IF(B292&gt;=$J$5,0,(CONTADORES!BU302-CONTADORES!BU301)+(CONTADORES!BW302-CONTADORES!BW301))/1000</f>
        <v>0.92400000000000004</v>
      </c>
      <c r="BU292" s="1450">
        <f ca="1">IF(B292&gt;=$J$5,0,CONTADORES!BR302-CONTADORES!BR301)</f>
        <v>5.8000000000010914</v>
      </c>
      <c r="BV292" s="1450">
        <f ca="1">IF(B292&gt;=$J$5,0,CONTADORES!BS302-CONTADORES!BS301)</f>
        <v>3.7999999999992724</v>
      </c>
      <c r="BW292" s="1450">
        <f t="shared" ca="1" si="139"/>
        <v>11.581500000001455</v>
      </c>
      <c r="BX292" s="1450">
        <f t="shared" ca="1" si="140"/>
        <v>7.9564999999993518</v>
      </c>
      <c r="BY292" s="1450">
        <f t="shared" ca="1" si="141"/>
        <v>5.7815000000003627</v>
      </c>
      <c r="BZ292" s="1450">
        <f t="shared" ca="1" si="142"/>
        <v>1.3615999999998545</v>
      </c>
      <c r="CA292" s="1450">
        <f t="shared" ca="1" si="143"/>
        <v>5.7815000000003627</v>
      </c>
      <c r="CB292" s="1450">
        <f t="shared" ca="1" si="144"/>
        <v>2.0423999999997817</v>
      </c>
      <c r="CC292" s="1450">
        <f t="shared" ca="1" si="145"/>
        <v>2.8575999999998545</v>
      </c>
      <c r="CD292" s="1450">
        <f t="shared" ca="1" si="146"/>
        <v>4.1565000000000794</v>
      </c>
      <c r="CE292" s="1450">
        <f ca="1">IF(B292&gt;=$J$5,0,CONTADORES!BS302-CONTADORES!BS301)</f>
        <v>3.7999999999992724</v>
      </c>
      <c r="CF292" s="1450">
        <f t="shared" ca="1" si="147"/>
        <v>4.1565000000000794</v>
      </c>
      <c r="CG292" s="1450">
        <f t="shared" ca="1" si="148"/>
        <v>0.90000000000009095</v>
      </c>
      <c r="CH292" s="1450">
        <f t="shared" ca="1" si="149"/>
        <v>0.90000000000009095</v>
      </c>
      <c r="CI292" s="1450">
        <f t="shared" ca="1" si="150"/>
        <v>1.8240000000000909</v>
      </c>
      <c r="CJ292" s="1450">
        <f ca="1">IF($B292&gt;=$J$5,0,CONTADORES!$BG302)</f>
        <v>9208.0064381614393</v>
      </c>
      <c r="CK292" s="1516">
        <f>CONTADORES!E302</f>
        <v>0</v>
      </c>
      <c r="CL292" s="1516">
        <f>CONTADORES!BX302</f>
        <v>12.9</v>
      </c>
    </row>
    <row r="293" spans="2:90">
      <c r="B293" s="1514">
        <v>45209</v>
      </c>
      <c r="C293" s="208">
        <f t="shared" ca="1" si="126"/>
        <v>0</v>
      </c>
      <c r="D293" s="202">
        <f ca="1">'CALCULO DE GAS'!P115</f>
        <v>0</v>
      </c>
      <c r="E293" s="202">
        <f ca="1">IF(B293&gt;=$J$5,0,(CONTADORES!$AB303-CONTADORES!$AB302)-$H293)</f>
        <v>0</v>
      </c>
      <c r="F293" s="204">
        <f t="shared" ca="1" si="125"/>
        <v>0</v>
      </c>
      <c r="G293" s="202">
        <f ca="1">IF(B293&gt;=$J$5,0,CONTADORES!$AD303-CONTADORES!$AD302)</f>
        <v>0</v>
      </c>
      <c r="H293" s="202">
        <f ca="1">IF(G293&gt;0,CONTADORES!$AC303-CONTADORES!$AC302,0)</f>
        <v>0</v>
      </c>
      <c r="I293" s="205">
        <f ca="1">IF(B293&gt;=$J$5,0,CONTADORES!$Z303-CONTADORES!$Z302)</f>
        <v>0</v>
      </c>
      <c r="J293" s="204">
        <f t="shared" ca="1" si="127"/>
        <v>428</v>
      </c>
      <c r="K293" s="202">
        <f ca="1">'CALCULO DE GAS'!Q115</f>
        <v>6.8925095710230622</v>
      </c>
      <c r="L293" s="1437">
        <f ca="1">IF(B293&gt;=$J$5,0,(CONTADORES!$W303-CONTADORES!$W302)-$O293)</f>
        <v>24</v>
      </c>
      <c r="M293" s="1437">
        <f t="shared" ca="1" si="151"/>
        <v>0</v>
      </c>
      <c r="N293" s="1437">
        <f ca="1">IF(B293&gt;=$J$5,0,CONTADORES!$Y303-CONTADORES!$Y302)</f>
        <v>0</v>
      </c>
      <c r="O293" s="1437">
        <f ca="1">IF(N293&gt;0,CONTADORES!$X303-CONTADORES!$X302,0)</f>
        <v>0</v>
      </c>
      <c r="P293" s="208">
        <f ca="1">IF(B293&gt;=$J$5,0,CONTADORES!$U303-CONTADORES!$U302)</f>
        <v>428</v>
      </c>
      <c r="Q293" s="208">
        <f ca="1">IF(B293&gt;=$J$5,0,CONTADORES!$B303-CONTADORES!$B302)</f>
        <v>0</v>
      </c>
      <c r="R293" s="202">
        <f t="shared" ca="1" si="128"/>
        <v>0</v>
      </c>
      <c r="S293" s="11">
        <f ca="1">IF(B293&gt;=$J$5,0,CONTADORES!$D303-CONTADORES!$D302)</f>
        <v>0</v>
      </c>
      <c r="T293" s="204">
        <f ca="1">IF(B293&gt;=$J$5,0,CONTADORES!$AZ303-CONTADORES!$AZ302)</f>
        <v>13.312999999999988</v>
      </c>
      <c r="U293" s="202">
        <f t="shared" ref="U293:U356" ca="1" si="152">$T293*120</f>
        <v>1597.5599999999986</v>
      </c>
      <c r="V293" s="205">
        <f ca="1">IF(B293&gt;=$J$5,0,CONTADORES!$BB303-CONTADORES!$BB302)</f>
        <v>12.400000000000091</v>
      </c>
      <c r="W293" s="1438">
        <f t="shared" ca="1" si="129"/>
        <v>428</v>
      </c>
      <c r="X293" s="1438">
        <f t="shared" ca="1" si="130"/>
        <v>13.312999999999988</v>
      </c>
      <c r="Y293" s="1439">
        <f t="shared" ca="1" si="131"/>
        <v>441.31299999999999</v>
      </c>
      <c r="Z293" s="1439">
        <f t="shared" ca="1" si="132"/>
        <v>6.8925095710230622</v>
      </c>
      <c r="AA293" s="1439">
        <f t="shared" ca="1" si="133"/>
        <v>1597.5599999999986</v>
      </c>
      <c r="AB293" s="1439">
        <f t="shared" ca="1" si="134"/>
        <v>24</v>
      </c>
      <c r="AC293" s="1438">
        <f t="shared" ca="1" si="135"/>
        <v>12.400000000000091</v>
      </c>
      <c r="AD293" s="1438">
        <f ca="1">IF(B293&gt;=$J$5,0,CONTADORES!H303-CONTADORES!H302)</f>
        <v>164</v>
      </c>
      <c r="AE293" s="1438">
        <f ca="1">IF(B293&gt;=$J$5,0,CONTADORES!J303-CONTADORES!J302)</f>
        <v>24</v>
      </c>
      <c r="AF293" s="1438">
        <f ca="1">IF(B293&gt;=$J$5,0,CONTADORES!AS303-CONTADORES!AS302)</f>
        <v>150</v>
      </c>
      <c r="AG293" s="1438">
        <f ca="1">IF(B293&gt;=$J$5,0,CONTADORES!AU303-CONTADORES!AU302)</f>
        <v>24</v>
      </c>
      <c r="AH293" s="1450">
        <f ca="1">IF(B293&gt;=$J$5,0,(CONTADORES!AK303-CONTADORES!AK302)+(CONTADORES!K303-CONTADORES!K302))</f>
        <v>11.5</v>
      </c>
      <c r="AI293" s="1450">
        <f ca="1">IF(B293&gt;=$J$5,0,(CONTADORES!AI303-CONTADORES!AI302)+(CONTADORES!M303-CONTADORES!M302))</f>
        <v>38.599999999991269</v>
      </c>
      <c r="AJ293" s="1450">
        <f ca="1">IF(B293&gt;=$J$5,0,(CONTADORES!AG303-CONTADORES!AG302))</f>
        <v>5.6999999999970896</v>
      </c>
      <c r="AK293" s="1450">
        <f ca="1">IF(B293&gt;=$J$5,0,(CONTADORES!O303-CONTADORES!O302))</f>
        <v>10</v>
      </c>
      <c r="AL293" s="1500">
        <f t="shared" ca="1" si="136"/>
        <v>32.300000000010186</v>
      </c>
      <c r="AM293" s="1450">
        <f ca="1">IF(B293&gt;=$J$5,0,(((CONTADORES!F303-CONTADORES!F302)+(CONTADORES!AO303-CONTADORES!AO302))))-BJ293-AF293-AN293-BM293-BP293-BU293-BS293+T293</f>
        <v>10.944000000002529</v>
      </c>
      <c r="AN293" s="1438">
        <f ca="1">IF(B293&gt;=$J$5,0,(CONTADORES!AV303-CONTADORES!AV302)+(CONTADORES!AX303-CONTADORES!AX302)+(CONTADORES!BC303-CONTADORES!BC302))-BS293</f>
        <v>3.6230000000000002</v>
      </c>
      <c r="AO293" s="1478">
        <f>(CONTADORES!AA303-CONTADORES!AA302)</f>
        <v>0</v>
      </c>
      <c r="AP293" s="1478">
        <f>(CONTADORES!V303-CONTADORES!V302)</f>
        <v>223</v>
      </c>
      <c r="AQ293" s="1478">
        <f>(CONTADORES!C303-CONTADORES!C302)</f>
        <v>0</v>
      </c>
      <c r="AR293" s="1478">
        <f>(CONTADORES!BA303-CONTADORES!BA302)</f>
        <v>5.1960000000000264</v>
      </c>
      <c r="AS293" s="1438">
        <f ca="1">IF(B293&gt;=$J$5,0,CONTADORES!Q303-CONTADORES!Q302)</f>
        <v>17</v>
      </c>
      <c r="AT293" s="1438">
        <f ca="1">IF(B293&gt;=$J$5,0,(CONTADORES!S303-CONTADORES!S302)+(CONTADORES!AE303-CONTADORES!AE302))</f>
        <v>3.1200000000000045</v>
      </c>
      <c r="AU293" s="1474">
        <f>CONTADORES!I303-CONTADORES!I302</f>
        <v>82</v>
      </c>
      <c r="AV293" s="1478">
        <f>CONTADORES!AT303-CONTADORES!AT302</f>
        <v>64</v>
      </c>
      <c r="AW293" s="1478">
        <f ca="1">IF(B293&gt;=$J$5,0,(CONTADORES!L303-CONTADORES!L302)+(CONTADORES!AL303-CONTADORES!AL302))</f>
        <v>4.6000000000021828</v>
      </c>
      <c r="AX293" s="1478">
        <f ca="1">IF(B293&gt;=$J$5,0,(CONTADORES!N303-CONTADORES!N302)+(CONTADORES!AJ303-CONTADORES!AJ302))</f>
        <v>32.400000000001455</v>
      </c>
      <c r="AY293" s="1478">
        <f ca="1">IF(B293&gt;=$J$5,0,(CONTADORES!AH303-CONTADORES!AH302))</f>
        <v>4.1999999999970896</v>
      </c>
      <c r="AZ293" s="1478">
        <f ca="1">IF(B293&gt;=$J$5,0,(CONTADORES!P303-CONTADORES!P302))</f>
        <v>8</v>
      </c>
      <c r="BA293" s="1450">
        <f t="shared" ca="1" si="137"/>
        <v>15.250999999999436</v>
      </c>
      <c r="BB293" s="1440">
        <f ca="1">IF(B293&gt;=$J$5,0,(((CONTADORES!G303-CONTADORES!G302)+(CONTADORES!AP303-CONTADORES!AP302)+AR293)-(AV293+BC293)))</f>
        <v>9.3959999999998445</v>
      </c>
      <c r="BC293" s="1439">
        <f ca="1">IF(B293&gt;=$J$5,0,(CONTADORES!AW303-CONTADORES!AW302)+(CONTADORES!AY303-CONTADORES!AY302)+(CONTADORES!BD303-CONTADORES!BD302))</f>
        <v>1.8999999999996362</v>
      </c>
      <c r="BD293" s="1438">
        <f t="shared" si="138"/>
        <v>228.19600000000003</v>
      </c>
      <c r="BE293" s="1439">
        <f ca="1">IF($B293&gt;=$J$5,0,CONTADORES!$BE303)</f>
        <v>5237.03</v>
      </c>
      <c r="BF293" s="1438">
        <f ca="1">IF($B293&gt;=$J$5,0,CONTADORES!$BF303)</f>
        <v>33976.835087719301</v>
      </c>
      <c r="BG293" s="1439">
        <f ca="1">IF($B293&gt;=$J$5,0,CONTADORES!$BH303)</f>
        <v>4960.3100000000004</v>
      </c>
      <c r="BH293" s="1438">
        <f ca="1">IF(B293&gt;=$J$5,0,(CONTADORES!AQ303-CONTADORES!AQ302))</f>
        <v>5</v>
      </c>
      <c r="BI293" s="1438">
        <f ca="1">IF(B293&gt;=$J$5,0,(CONTADORES!AR303-CONTADORES!AR302))</f>
        <v>0</v>
      </c>
      <c r="BJ293" s="1439">
        <f ca="1">IF(B293&gt;=$J$5,0,CONTADORES!BI303-CONTADORES!BI302)/1000</f>
        <v>2.4</v>
      </c>
      <c r="BK293" s="1450">
        <f ca="1">IF(B293&gt;=$J$5,0,CONTADORES!BJ303-CONTADORES!BJ302)</f>
        <v>1</v>
      </c>
      <c r="BL293" s="1450">
        <f ca="1">IF(B293&gt;=$J$5,0,CONTADORES!BK303-CONTADORES!BK302)</f>
        <v>24</v>
      </c>
      <c r="BM293" s="1450">
        <f ca="1">IF(B293&gt;=$J$5,0,CONTADORES!BL303-CONTADORES!BL302)/1000</f>
        <v>5.1689999999999996</v>
      </c>
      <c r="BN293" s="1450">
        <f ca="1">IF(B293&gt;=$J$5,0,CONTADORES!BM303-CONTADORES!BM302)/1000</f>
        <v>0.98399999999999999</v>
      </c>
      <c r="BO293" s="1450">
        <f ca="1">IF(B293&gt;=$J$5,0,CONTADORES!BN303-CONTADORES!BN302)</f>
        <v>24</v>
      </c>
      <c r="BP293" s="1450">
        <f ca="1">IF(B293&gt;=$J$5,0,CONTADORES!BO303-CONTADORES!BO302)/1000</f>
        <v>0</v>
      </c>
      <c r="BQ293" s="1450">
        <f ca="1">IF(B293&gt;=$J$5,0,CONTADORES!BP303-CONTADORES!BP302)/1000</f>
        <v>0</v>
      </c>
      <c r="BR293" s="1450">
        <f ca="1">IF(B293&gt;=$J$5,0,CONTADORES!BQ303-CONTADORES!BQ302)</f>
        <v>0</v>
      </c>
      <c r="BS293" s="1450">
        <f ca="1">IF(B293&gt;=$J$5,0,(CONTADORES!BT303-CONTADORES!BT302)+(CONTADORES!BV303-CONTADORES!BV302))/1000</f>
        <v>1.377</v>
      </c>
      <c r="BT293" s="1450">
        <f ca="1">IF(B293&gt;=$J$5,0,(CONTADORES!BU303-CONTADORES!BU302)+(CONTADORES!BW303-CONTADORES!BW302))/1000</f>
        <v>0.86499999999999999</v>
      </c>
      <c r="BU293" s="1450">
        <f ca="1">IF(B293&gt;=$J$5,0,CONTADORES!BR303-CONTADORES!BR302)</f>
        <v>5.6999999999989086</v>
      </c>
      <c r="BV293" s="1450">
        <f ca="1">IF(B293&gt;=$J$5,0,CONTADORES!BS303-CONTADORES!BS302)</f>
        <v>3.6000000000003638</v>
      </c>
      <c r="BW293" s="1450">
        <f t="shared" ca="1" si="139"/>
        <v>11.172000000000173</v>
      </c>
      <c r="BX293" s="1450">
        <f t="shared" ca="1" si="140"/>
        <v>8.298000000000286</v>
      </c>
      <c r="BY293" s="1450">
        <f t="shared" ca="1" si="141"/>
        <v>5.4720000000012643</v>
      </c>
      <c r="BZ293" s="1450">
        <f t="shared" ca="1" si="142"/>
        <v>1.4492000000000003</v>
      </c>
      <c r="CA293" s="1450">
        <f t="shared" ca="1" si="143"/>
        <v>5.4720000000012643</v>
      </c>
      <c r="CB293" s="1450">
        <f t="shared" ca="1" si="144"/>
        <v>2.1738</v>
      </c>
      <c r="CC293" s="1450">
        <f t="shared" ca="1" si="145"/>
        <v>2.8262</v>
      </c>
      <c r="CD293" s="1450">
        <f t="shared" ca="1" si="146"/>
        <v>4.6979999999999222</v>
      </c>
      <c r="CE293" s="1450">
        <f ca="1">IF(B293&gt;=$J$5,0,CONTADORES!BS303-CONTADORES!BS302)</f>
        <v>3.6000000000003638</v>
      </c>
      <c r="CF293" s="1450">
        <f t="shared" ca="1" si="147"/>
        <v>4.6979999999999222</v>
      </c>
      <c r="CG293" s="1450">
        <f t="shared" ca="1" si="148"/>
        <v>0.9499999999998181</v>
      </c>
      <c r="CH293" s="1450">
        <f t="shared" ca="1" si="149"/>
        <v>0.9499999999998181</v>
      </c>
      <c r="CI293" s="1450">
        <f t="shared" ca="1" si="150"/>
        <v>1.8149999999998181</v>
      </c>
      <c r="CJ293" s="1450">
        <f ca="1">IF($B293&gt;=$J$5,0,CONTADORES!$BG303)</f>
        <v>8236.5189007397203</v>
      </c>
      <c r="CK293" s="1516">
        <f>CONTADORES!E303</f>
        <v>0</v>
      </c>
      <c r="CL293" s="1516">
        <f>CONTADORES!BX303</f>
        <v>13.3</v>
      </c>
    </row>
    <row r="294" spans="2:90">
      <c r="B294" s="1514">
        <v>45210</v>
      </c>
      <c r="C294" s="208">
        <f t="shared" ca="1" si="126"/>
        <v>61.5</v>
      </c>
      <c r="D294" s="202">
        <f ca="1">'CALCULO DE GAS'!P116</f>
        <v>3.1071013628622119</v>
      </c>
      <c r="E294" s="202">
        <f ca="1">IF(B294&gt;=$J$5,0,(CONTADORES!$AB304-CONTADORES!$AB303)-$H294)</f>
        <v>45.200000000000045</v>
      </c>
      <c r="F294" s="204">
        <v>0</v>
      </c>
      <c r="G294" s="202">
        <f ca="1">IF(B294&gt;=$J$5,0,CONTADORES!$AD304-CONTADORES!$AD303)</f>
        <v>734</v>
      </c>
      <c r="H294" s="202">
        <f ca="1">IF(G294&gt;0,CONTADORES!$AC304-CONTADORES!$AC303,0)</f>
        <v>0.79999999999995453</v>
      </c>
      <c r="I294" s="205">
        <f ca="1">IF(B294&gt;=$J$5,0,CONTADORES!$Z304-CONTADORES!$Z303)</f>
        <v>61.5</v>
      </c>
      <c r="J294" s="204">
        <f t="shared" ca="1" si="127"/>
        <v>386</v>
      </c>
      <c r="K294" s="202">
        <f ca="1">'CALCULO DE GAS'!Q116</f>
        <v>6.3862493699586045</v>
      </c>
      <c r="L294" s="1437">
        <f ca="1">IF(B294&gt;=$J$5,0,(CONTADORES!$W304-CONTADORES!$W303)-$O294)</f>
        <v>24</v>
      </c>
      <c r="M294" s="1437">
        <f t="shared" ca="1" si="151"/>
        <v>0</v>
      </c>
      <c r="N294" s="1437">
        <f ca="1">IF(B294&gt;=$J$5,0,CONTADORES!$Y304-CONTADORES!$Y303)</f>
        <v>0</v>
      </c>
      <c r="O294" s="1437">
        <f ca="1">IF(N294&gt;0,CONTADORES!$X304-CONTADORES!$X303,0)</f>
        <v>0</v>
      </c>
      <c r="P294" s="208">
        <f ca="1">IF(B294&gt;=$J$5,0,CONTADORES!$U304-CONTADORES!$U303)</f>
        <v>386</v>
      </c>
      <c r="Q294" s="208">
        <f ca="1">IF(B294&gt;=$J$5,0,CONTADORES!$B304-CONTADORES!$B303)</f>
        <v>0.24900000000002365</v>
      </c>
      <c r="R294" s="202">
        <f t="shared" ca="1" si="128"/>
        <v>29.880000000002838</v>
      </c>
      <c r="S294" s="11">
        <f ca="1">IF(B294&gt;=$J$5,0,CONTADORES!$D304-CONTADORES!$D303)</f>
        <v>1.3000000000001819</v>
      </c>
      <c r="T294" s="204">
        <f ca="1">IF(B294&gt;=$J$5,0,CONTADORES!$AZ304-CONTADORES!$AZ303)</f>
        <v>3.6139999999999191</v>
      </c>
      <c r="U294" s="202">
        <f t="shared" ca="1" si="152"/>
        <v>433.67999999999029</v>
      </c>
      <c r="V294" s="205">
        <f ca="1">IF(B294&gt;=$J$5,0,CONTADORES!$BB304-CONTADORES!$BB303)</f>
        <v>3.5</v>
      </c>
      <c r="W294" s="1438">
        <f t="shared" ca="1" si="129"/>
        <v>447.5</v>
      </c>
      <c r="X294" s="1438">
        <f t="shared" ca="1" si="130"/>
        <v>3.8629999999999427</v>
      </c>
      <c r="Y294" s="1439">
        <f t="shared" ca="1" si="131"/>
        <v>451.36299999999994</v>
      </c>
      <c r="Z294" s="1439">
        <f t="shared" ca="1" si="132"/>
        <v>9.4933507328208169</v>
      </c>
      <c r="AA294" s="1439">
        <f t="shared" ca="1" si="133"/>
        <v>1197.5599999999931</v>
      </c>
      <c r="AB294" s="1439">
        <f t="shared" ca="1" si="134"/>
        <v>69.200000000000045</v>
      </c>
      <c r="AC294" s="1438">
        <f t="shared" ca="1" si="135"/>
        <v>5.6000000000001364</v>
      </c>
      <c r="AD294" s="1438">
        <f ca="1">IF(B294&gt;=$J$5,0,CONTADORES!H304-CONTADORES!H303)</f>
        <v>166</v>
      </c>
      <c r="AE294" s="1438">
        <f ca="1">IF(B294&gt;=$J$5,0,CONTADORES!J304-CONTADORES!J303)</f>
        <v>24</v>
      </c>
      <c r="AF294" s="1438">
        <f ca="1">IF(B294&gt;=$J$5,0,CONTADORES!AS304-CONTADORES!AS303)</f>
        <v>150</v>
      </c>
      <c r="AG294" s="1438">
        <f ca="1">IF(B294&gt;=$J$5,0,CONTADORES!AU304-CONTADORES!AU303)</f>
        <v>24</v>
      </c>
      <c r="AH294" s="1450">
        <f ca="1">IF(B294&gt;=$J$5,0,(CONTADORES!AK304-CONTADORES!AK303)+(CONTADORES!K304-CONTADORES!K303))</f>
        <v>14.19999999999709</v>
      </c>
      <c r="AI294" s="1450">
        <f ca="1">IF(B294&gt;=$J$5,0,(CONTADORES!AI304-CONTADORES!AI303)+(CONTADORES!M304-CONTADORES!M303))</f>
        <v>39.600000000005821</v>
      </c>
      <c r="AJ294" s="1450">
        <f ca="1">IF(B294&gt;=$J$5,0,(CONTADORES!AG304-CONTADORES!AG303))</f>
        <v>8.1000000000058208</v>
      </c>
      <c r="AK294" s="1450">
        <f ca="1">IF(B294&gt;=$J$5,0,(CONTADORES!O304-CONTADORES!O303))</f>
        <v>10</v>
      </c>
      <c r="AL294" s="1500">
        <f t="shared" ca="1" si="136"/>
        <v>32.648999999994203</v>
      </c>
      <c r="AM294" s="1450">
        <f ca="1">IF(B294&gt;=$J$5,0,(((CONTADORES!F304-CONTADORES!F303)+(CONTADORES!AO304-CONTADORES!AO303))))-BJ294-AF294-AN294-BM294-BP294-BU294-BS294+T294</f>
        <v>13.58799999999664</v>
      </c>
      <c r="AN294" s="1438">
        <f ca="1">IF(B294&gt;=$J$5,0,(CONTADORES!AV304-CONTADORES!AV303)+(CONTADORES!AX304-CONTADORES!AX303)+(CONTADORES!BC304-CONTADORES!BC303))-BS294</f>
        <v>2.54</v>
      </c>
      <c r="AO294" s="1478">
        <f>(CONTADORES!AA304-CONTADORES!AA303)</f>
        <v>29.340000000025611</v>
      </c>
      <c r="AP294" s="1478">
        <f>(CONTADORES!V304-CONTADORES!V303)</f>
        <v>199</v>
      </c>
      <c r="AQ294" s="1478">
        <f>(CONTADORES!C304-CONTADORES!C303)</f>
        <v>0.12599999999997635</v>
      </c>
      <c r="AR294" s="1478">
        <f>(CONTADORES!BA304-CONTADORES!BA303)</f>
        <v>1.4080000000000155</v>
      </c>
      <c r="AS294" s="1438">
        <f ca="1">IF(B294&gt;=$J$5,0,CONTADORES!Q304-CONTADORES!Q303)</f>
        <v>14</v>
      </c>
      <c r="AT294" s="1438">
        <f ca="1">IF(B294&gt;=$J$5,0,(CONTADORES!S304-CONTADORES!S303)+(CONTADORES!AE304-CONTADORES!AE303))</f>
        <v>3.2800000000000296</v>
      </c>
      <c r="AU294" s="1474">
        <f>CONTADORES!I304-CONTADORES!I303</f>
        <v>82</v>
      </c>
      <c r="AV294" s="1478">
        <f>CONTADORES!AT304-CONTADORES!AT303</f>
        <v>64</v>
      </c>
      <c r="AW294" s="1478">
        <f ca="1">IF(B294&gt;=$J$5,0,(CONTADORES!L304-CONTADORES!L303)+(CONTADORES!AL304-CONTADORES!AL303))</f>
        <v>5.5999999999985448</v>
      </c>
      <c r="AX294" s="1478">
        <f ca="1">IF(B294&gt;=$J$5,0,(CONTADORES!N304-CONTADORES!N303)+(CONTADORES!AJ304-CONTADORES!AJ303))</f>
        <v>33.599999999998545</v>
      </c>
      <c r="AY294" s="1478">
        <f ca="1">IF(B294&gt;=$J$5,0,(CONTADORES!AH304-CONTADORES!AH303))</f>
        <v>6.3000000000029104</v>
      </c>
      <c r="AZ294" s="1478">
        <f ca="1">IF(B294&gt;=$J$5,0,(CONTADORES!P304-CONTADORES!P303))</f>
        <v>8</v>
      </c>
      <c r="BA294" s="1450">
        <f t="shared" ca="1" si="137"/>
        <v>10.362000000025773</v>
      </c>
      <c r="BB294" s="1440">
        <f ca="1">IF(B294&gt;=$J$5,0,(((CONTADORES!G304-CONTADORES!G303)+(CONTADORES!AP304-CONTADORES!AP303)+AR294)-(AV294+BC294)))</f>
        <v>11.207999999999743</v>
      </c>
      <c r="BC294" s="1439">
        <f ca="1">IF(B294&gt;=$J$5,0,(CONTADORES!AW304-CONTADORES!AW303)+(CONTADORES!AY304-CONTADORES!AY303)+(CONTADORES!BD304-CONTADORES!BD303))</f>
        <v>2.2000000000002728</v>
      </c>
      <c r="BD294" s="1438">
        <f t="shared" si="138"/>
        <v>229.8740000000256</v>
      </c>
      <c r="BE294" s="1439">
        <f ca="1">IF($B294&gt;=$J$5,0,CONTADORES!$BE304)</f>
        <v>5625</v>
      </c>
      <c r="BF294" s="1438">
        <f ca="1">IF($B294&gt;=$J$5,0,CONTADORES!$BF304)</f>
        <v>34071.743859649097</v>
      </c>
      <c r="BG294" s="1439">
        <f ca="1">IF($B294&gt;=$J$5,0,CONTADORES!$BH304)</f>
        <v>4906.8100000000004</v>
      </c>
      <c r="BH294" s="1438">
        <f ca="1">IF(B294&gt;=$J$5,0,(CONTADORES!AQ304-CONTADORES!AQ303))</f>
        <v>5</v>
      </c>
      <c r="BI294" s="1438">
        <f ca="1">IF(B294&gt;=$J$5,0,(CONTADORES!AR304-CONTADORES!AR303))</f>
        <v>0</v>
      </c>
      <c r="BJ294" s="1439">
        <f ca="1">IF(B294&gt;=$J$5,0,CONTADORES!BI304-CONTADORES!BI303)/1000</f>
        <v>2.4</v>
      </c>
      <c r="BK294" s="1450">
        <f ca="1">IF(B294&gt;=$J$5,0,CONTADORES!BJ304-CONTADORES!BJ303)</f>
        <v>1</v>
      </c>
      <c r="BL294" s="1450">
        <f ca="1">IF(B294&gt;=$J$5,0,CONTADORES!BK304-CONTADORES!BK303)</f>
        <v>24</v>
      </c>
      <c r="BM294" s="1450">
        <f ca="1">IF(B294&gt;=$J$5,0,CONTADORES!BL304-CONTADORES!BL303)/1000</f>
        <v>5.226</v>
      </c>
      <c r="BN294" s="1450">
        <f ca="1">IF(B294&gt;=$J$5,0,CONTADORES!BM304-CONTADORES!BM303)/1000</f>
        <v>0.998</v>
      </c>
      <c r="BO294" s="1450">
        <f ca="1">IF(B294&gt;=$J$5,0,CONTADORES!BN304-CONTADORES!BN303)</f>
        <v>24</v>
      </c>
      <c r="BP294" s="1450">
        <f ca="1">IF(B294&gt;=$J$5,0,CONTADORES!BO304-CONTADORES!BO303)/1000</f>
        <v>0</v>
      </c>
      <c r="BQ294" s="1450">
        <f ca="1">IF(B294&gt;=$J$5,0,CONTADORES!BP304-CONTADORES!BP303)/1000</f>
        <v>0</v>
      </c>
      <c r="BR294" s="1450">
        <f ca="1">IF(B294&gt;=$J$5,0,CONTADORES!BQ304-CONTADORES!BQ303)</f>
        <v>0</v>
      </c>
      <c r="BS294" s="1450">
        <f ca="1">IF(B294&gt;=$J$5,0,(CONTADORES!BT304-CONTADORES!BT303)+(CONTADORES!BV304-CONTADORES!BV303))/1000</f>
        <v>1.46</v>
      </c>
      <c r="BT294" s="1450">
        <f ca="1">IF(B294&gt;=$J$5,0,(CONTADORES!BU304-CONTADORES!BU303)+(CONTADORES!BW304-CONTADORES!BW303))/1000</f>
        <v>0.90600000000000003</v>
      </c>
      <c r="BU294" s="1450">
        <f ca="1">IF(B294&gt;=$J$5,0,CONTADORES!BR304-CONTADORES!BR303)</f>
        <v>5.6000000000003638</v>
      </c>
      <c r="BV294" s="1450">
        <f ca="1">IF(B294&gt;=$J$5,0,CONTADORES!BS304-CONTADORES!BS303)</f>
        <v>3.6999999999998181</v>
      </c>
      <c r="BW294" s="1450">
        <f t="shared" ca="1" si="139"/>
        <v>12.393999999998684</v>
      </c>
      <c r="BX294" s="1450">
        <f t="shared" ca="1" si="140"/>
        <v>9.3039999999996894</v>
      </c>
      <c r="BY294" s="1450">
        <f t="shared" ca="1" si="141"/>
        <v>6.79399999999832</v>
      </c>
      <c r="BZ294" s="1450">
        <f t="shared" ca="1" si="142"/>
        <v>1.016</v>
      </c>
      <c r="CA294" s="1450">
        <f t="shared" ca="1" si="143"/>
        <v>6.79399999999832</v>
      </c>
      <c r="CB294" s="1450">
        <f t="shared" ca="1" si="144"/>
        <v>1.524</v>
      </c>
      <c r="CC294" s="1450">
        <f t="shared" ca="1" si="145"/>
        <v>2.476</v>
      </c>
      <c r="CD294" s="1450">
        <f t="shared" ca="1" si="146"/>
        <v>5.6039999999998713</v>
      </c>
      <c r="CE294" s="1450">
        <f ca="1">IF(B294&gt;=$J$5,0,CONTADORES!BS304-CONTADORES!BS303)</f>
        <v>3.6999999999998181</v>
      </c>
      <c r="CF294" s="1450">
        <f t="shared" ca="1" si="147"/>
        <v>5.6039999999998713</v>
      </c>
      <c r="CG294" s="1450">
        <f t="shared" ca="1" si="148"/>
        <v>1.1000000000001364</v>
      </c>
      <c r="CH294" s="1450">
        <f t="shared" ca="1" si="149"/>
        <v>1.1000000000001364</v>
      </c>
      <c r="CI294" s="1450">
        <f t="shared" ca="1" si="150"/>
        <v>2.0060000000001366</v>
      </c>
      <c r="CJ294" s="1450">
        <f ca="1">IF($B294&gt;=$J$5,0,CONTADORES!$BG304)</f>
        <v>8819.4757855975495</v>
      </c>
      <c r="CK294" s="1516">
        <f>CONTADORES!E304</f>
        <v>0.2</v>
      </c>
      <c r="CL294" s="1516">
        <f>CONTADORES!BX304</f>
        <v>3.6</v>
      </c>
    </row>
    <row r="295" spans="2:90">
      <c r="B295" s="1514">
        <v>45211</v>
      </c>
      <c r="C295" s="208">
        <f t="shared" ca="1" si="126"/>
        <v>199.69999999995343</v>
      </c>
      <c r="D295" s="202">
        <f ca="1">'CALCULO DE GAS'!P117</f>
        <v>4.2829864013006098</v>
      </c>
      <c r="E295" s="202">
        <f ca="1">IF(B295&gt;=$J$5,0,(CONTADORES!$AB305-CONTADORES!$AB304)-$H295)</f>
        <v>24</v>
      </c>
      <c r="F295" s="204">
        <f t="shared" ref="F295:F316" ca="1" si="153">IF(H295=0,0,"ERROR")</f>
        <v>0</v>
      </c>
      <c r="G295" s="202">
        <f ca="1">IF(B295&gt;=$J$5,0,CONTADORES!$AD305-CONTADORES!$AD304)</f>
        <v>0</v>
      </c>
      <c r="H295" s="202">
        <f ca="1">IF(G295&gt;0,CONTADORES!$AC305-CONTADORES!$AC304,0)</f>
        <v>0</v>
      </c>
      <c r="I295" s="205">
        <f ca="1">IF(B295&gt;=$J$5,0,CONTADORES!$Z305-CONTADORES!$Z304)</f>
        <v>199.69999999995343</v>
      </c>
      <c r="J295" s="204">
        <f t="shared" ca="1" si="127"/>
        <v>239.86999999999534</v>
      </c>
      <c r="K295" s="202">
        <f ca="1">'CALCULO DE GAS'!Q117</f>
        <v>4.6248254846835648</v>
      </c>
      <c r="L295" s="1437">
        <f ca="1">IF(B295&gt;=$J$5,0,(CONTADORES!$W305-CONTADORES!$W304)-$O295)</f>
        <v>24</v>
      </c>
      <c r="M295" s="1437">
        <f t="shared" ca="1" si="151"/>
        <v>0</v>
      </c>
      <c r="N295" s="1437">
        <f ca="1">IF(B295&gt;=$J$5,0,CONTADORES!$Y305-CONTADORES!$Y304)</f>
        <v>0</v>
      </c>
      <c r="O295" s="1437">
        <f ca="1">IF(N295&gt;0,CONTADORES!$X305-CONTADORES!$X304,0)</f>
        <v>0</v>
      </c>
      <c r="P295" s="208">
        <f ca="1">IF(B295&gt;=$J$5,0,CONTADORES!$U305-CONTADORES!$U304)</f>
        <v>239.86999999999534</v>
      </c>
      <c r="Q295" s="208">
        <f ca="1">IF(B295&gt;=$J$5,0,CONTADORES!$B305-CONTADORES!$B304)</f>
        <v>0</v>
      </c>
      <c r="R295" s="202">
        <f t="shared" ca="1" si="128"/>
        <v>0</v>
      </c>
      <c r="S295" s="11">
        <f ca="1">IF(B295&gt;=$J$5,0,CONTADORES!$D305-CONTADORES!$D304)</f>
        <v>1</v>
      </c>
      <c r="T295" s="204">
        <f ca="1">IF(B295&gt;=$J$5,0,CONTADORES!$AZ305-CONTADORES!$AZ304)</f>
        <v>0</v>
      </c>
      <c r="U295" s="202">
        <f t="shared" ca="1" si="152"/>
        <v>0</v>
      </c>
      <c r="V295" s="205">
        <f ca="1">IF(B295&gt;=$J$5,0,CONTADORES!$BB305-CONTADORES!$BB304)</f>
        <v>0</v>
      </c>
      <c r="W295" s="1438">
        <f t="shared" ca="1" si="129"/>
        <v>439.56999999994878</v>
      </c>
      <c r="X295" s="1438">
        <f t="shared" ca="1" si="130"/>
        <v>0</v>
      </c>
      <c r="Y295" s="1439">
        <f t="shared" ca="1" si="131"/>
        <v>439.56999999994878</v>
      </c>
      <c r="Z295" s="1439">
        <f t="shared" ca="1" si="132"/>
        <v>8.9078118859841737</v>
      </c>
      <c r="AA295" s="1439">
        <f t="shared" ca="1" si="133"/>
        <v>0</v>
      </c>
      <c r="AB295" s="1439">
        <f t="shared" ca="1" si="134"/>
        <v>48</v>
      </c>
      <c r="AC295" s="1438">
        <f t="shared" ca="1" si="135"/>
        <v>1</v>
      </c>
      <c r="AD295" s="1438">
        <f ca="1">IF(B295&gt;=$J$5,0,CONTADORES!H305-CONTADORES!H304)</f>
        <v>167.79999999999927</v>
      </c>
      <c r="AE295" s="1438">
        <f ca="1">IF(B295&gt;=$J$5,0,CONTADORES!J305-CONTADORES!J304)</f>
        <v>24</v>
      </c>
      <c r="AF295" s="1438">
        <f ca="1">IF(B295&gt;=$J$5,0,CONTADORES!AS305-CONTADORES!AS304)</f>
        <v>151.20000000001164</v>
      </c>
      <c r="AG295" s="1438">
        <f ca="1">IF(B295&gt;=$J$5,0,CONTADORES!AU305-CONTADORES!AU304)</f>
        <v>24</v>
      </c>
      <c r="AH295" s="1450">
        <f ca="1">IF(B295&gt;=$J$5,0,(CONTADORES!AK305-CONTADORES!AK304)+(CONTADORES!K305-CONTADORES!K304))</f>
        <v>3</v>
      </c>
      <c r="AI295" s="1450">
        <f ca="1">IF(B295&gt;=$J$5,0,(CONTADORES!AI305-CONTADORES!AI304)+(CONTADORES!M305-CONTADORES!M304))</f>
        <v>39.169999999998254</v>
      </c>
      <c r="AJ295" s="1450">
        <f ca="1">IF(B295&gt;=$J$5,0,(CONTADORES!AG305-CONTADORES!AG304))</f>
        <v>8.5500000000029104</v>
      </c>
      <c r="AK295" s="1450">
        <f ca="1">IF(B295&gt;=$J$5,0,(CONTADORES!O305-CONTADORES!O304))</f>
        <v>8.4299999999930151</v>
      </c>
      <c r="AL295" s="1500">
        <f t="shared" ca="1" si="136"/>
        <v>34.719999999932099</v>
      </c>
      <c r="AM295" s="1450">
        <f ca="1">IF(B295&gt;=$J$5,0,(((CONTADORES!F305-CONTADORES!F304)+(CONTADORES!AO305-CONTADORES!AO304))))-BJ295-AF295-AN295-BM295-BP295-BU295-BS295+T295</f>
        <v>9.4970000000105603</v>
      </c>
      <c r="AN295" s="1438">
        <f ca="1">IF(B295&gt;=$J$5,0,(CONTADORES!AV305-CONTADORES!AV304)+(CONTADORES!AX305-CONTADORES!AX304)+(CONTADORES!BC305-CONTADORES!BC304))-BS295</f>
        <v>2.1540000000003641</v>
      </c>
      <c r="AO295" s="1478">
        <f>(CONTADORES!AA305-CONTADORES!AA304)</f>
        <v>97.53000000002794</v>
      </c>
      <c r="AP295" s="1478">
        <f>(CONTADORES!V305-CONTADORES!V304)</f>
        <v>122</v>
      </c>
      <c r="AQ295" s="1478">
        <f>(CONTADORES!C305-CONTADORES!C304)</f>
        <v>0</v>
      </c>
      <c r="AR295" s="1478">
        <f>(CONTADORES!BA305-CONTADORES!BA304)</f>
        <v>0</v>
      </c>
      <c r="AS295" s="1438">
        <f ca="1">IF(B295&gt;=$J$5,0,CONTADORES!Q305-CONTADORES!Q304)</f>
        <v>16.079999999987194</v>
      </c>
      <c r="AT295" s="1438">
        <f ca="1">IF(B295&gt;=$J$5,0,(CONTADORES!S305-CONTADORES!S304)+(CONTADORES!AE305-CONTADORES!AE304))</f>
        <v>3.3999999999999773</v>
      </c>
      <c r="AU295" s="1474">
        <f>CONTADORES!I305-CONTADORES!I304</f>
        <v>82.5</v>
      </c>
      <c r="AV295" s="1478">
        <f>CONTADORES!AT305-CONTADORES!AT304</f>
        <v>66.600000000005821</v>
      </c>
      <c r="AW295" s="1478">
        <f ca="1">IF(B295&gt;=$J$5,0,(CONTADORES!L305-CONTADORES!L304)+(CONTADORES!AL305-CONTADORES!AL304))</f>
        <v>1.0999999999985448</v>
      </c>
      <c r="AX295" s="1478">
        <f ca="1">IF(B295&gt;=$J$5,0,(CONTADORES!N305-CONTADORES!N304)+(CONTADORES!AJ305-CONTADORES!AJ304))</f>
        <v>32.889999999999418</v>
      </c>
      <c r="AY295" s="1478">
        <f ca="1">IF(B295&gt;=$J$5,0,(CONTADORES!AH305-CONTADORES!AH304))</f>
        <v>6.6299999999973807</v>
      </c>
      <c r="AZ295" s="1478">
        <f ca="1">IF(B295&gt;=$J$5,0,(CONTADORES!P305-CONTADORES!P304))</f>
        <v>6.7899999999935972</v>
      </c>
      <c r="BA295" s="1450">
        <f t="shared" ca="1" si="137"/>
        <v>9.3250000000330147</v>
      </c>
      <c r="BB295" s="1440">
        <f ca="1">IF(B295&gt;=$J$5,0,(((CONTADORES!G305-CONTADORES!G304)+(CONTADORES!AP305-CONTADORES!AP304)+AR295)-(AV295+BC295)))</f>
        <v>4.7000000000002728</v>
      </c>
      <c r="BC295" s="1439">
        <f ca="1">IF(B295&gt;=$J$5,0,(CONTADORES!AW305-CONTADORES!AW304)+(CONTADORES!AY305-CONTADORES!AY304)+(CONTADORES!BD305-CONTADORES!BD304))</f>
        <v>2.4000000000000909</v>
      </c>
      <c r="BD295" s="1438">
        <f t="shared" si="138"/>
        <v>219.53000000002794</v>
      </c>
      <c r="BE295" s="1439">
        <f ca="1">IF($B295&gt;=$J$5,0,CONTADORES!$BE305)</f>
        <v>5066.88</v>
      </c>
      <c r="BF295" s="1438">
        <f ca="1">IF($B295&gt;=$J$5,0,CONTADORES!$BF305)</f>
        <v>33839.454385964898</v>
      </c>
      <c r="BG295" s="1439">
        <f ca="1">IF($B295&gt;=$J$5,0,CONTADORES!$BH305)</f>
        <v>5317.11</v>
      </c>
      <c r="BH295" s="1438">
        <f ca="1">IF(B295&gt;=$J$5,0,(CONTADORES!AQ305-CONTADORES!AQ304))</f>
        <v>6.2480000000068685</v>
      </c>
      <c r="BI295" s="1438">
        <f ca="1">IF(B295&gt;=$J$5,0,(CONTADORES!AR305-CONTADORES!AR304))</f>
        <v>0</v>
      </c>
      <c r="BJ295" s="1439">
        <f ca="1">IF(B295&gt;=$J$5,0,CONTADORES!BI305-CONTADORES!BI304)/1000</f>
        <v>2.6640000000000001</v>
      </c>
      <c r="BK295" s="1450">
        <f ca="1">IF(B295&gt;=$J$5,0,CONTADORES!BJ305-CONTADORES!BJ304)</f>
        <v>1</v>
      </c>
      <c r="BL295" s="1450">
        <f ca="1">IF(B295&gt;=$J$5,0,CONTADORES!BK305-CONTADORES!BK304)</f>
        <v>24</v>
      </c>
      <c r="BM295" s="1450">
        <f ca="1">IF(B295&gt;=$J$5,0,CONTADORES!BL305-CONTADORES!BL304)/1000</f>
        <v>5.2389999999999999</v>
      </c>
      <c r="BN295" s="1450">
        <f ca="1">IF(B295&gt;=$J$5,0,CONTADORES!BM305-CONTADORES!BM304)/1000</f>
        <v>1.0109999999999999</v>
      </c>
      <c r="BO295" s="1450">
        <f ca="1">IF(B295&gt;=$J$5,0,CONTADORES!BN305-CONTADORES!BN304)</f>
        <v>24</v>
      </c>
      <c r="BP295" s="1450">
        <f ca="1">IF(B295&gt;=$J$5,0,CONTADORES!BO305-CONTADORES!BO304)/1000</f>
        <v>0</v>
      </c>
      <c r="BQ295" s="1450">
        <f ca="1">IF(B295&gt;=$J$5,0,CONTADORES!BP305-CONTADORES!BP304)/1000</f>
        <v>0</v>
      </c>
      <c r="BR295" s="1450">
        <f ca="1">IF(B295&gt;=$J$5,0,CONTADORES!BQ305-CONTADORES!BQ304)</f>
        <v>0</v>
      </c>
      <c r="BS295" s="1450">
        <f ca="1">IF(B295&gt;=$J$5,0,(CONTADORES!BT305-CONTADORES!BT304)+(CONTADORES!BV305-CONTADORES!BV304))/1000</f>
        <v>1.446</v>
      </c>
      <c r="BT295" s="1450">
        <f ca="1">IF(B295&gt;=$J$5,0,(CONTADORES!BU305-CONTADORES!BU304)+(CONTADORES!BW305-CONTADORES!BW304))/1000</f>
        <v>0.88400000000000001</v>
      </c>
      <c r="BU295" s="1450">
        <f ca="1">IF(B295&gt;=$J$5,0,CONTADORES!BR305-CONTADORES!BR304)</f>
        <v>5.7000000000007276</v>
      </c>
      <c r="BV295" s="1450">
        <f ca="1">IF(B295&gt;=$J$5,0,CONTADORES!BS305-CONTADORES!BS304)</f>
        <v>3.6999999999998181</v>
      </c>
      <c r="BW295" s="1450">
        <f t="shared" ca="1" si="139"/>
        <v>10.448500000006007</v>
      </c>
      <c r="BX295" s="1450">
        <f t="shared" ca="1" si="140"/>
        <v>6.0499999999999545</v>
      </c>
      <c r="BY295" s="1450">
        <f t="shared" ca="1" si="141"/>
        <v>4.7485000000052802</v>
      </c>
      <c r="BZ295" s="1450">
        <f t="shared" ca="1" si="142"/>
        <v>0.86160000000014569</v>
      </c>
      <c r="CA295" s="1450">
        <f t="shared" ca="1" si="143"/>
        <v>4.7485000000052802</v>
      </c>
      <c r="CB295" s="1450">
        <f t="shared" ca="1" si="144"/>
        <v>1.2924000000002183</v>
      </c>
      <c r="CC295" s="1450">
        <f t="shared" ca="1" si="145"/>
        <v>2.3076000000001455</v>
      </c>
      <c r="CD295" s="1450">
        <f t="shared" ca="1" si="146"/>
        <v>2.3500000000001364</v>
      </c>
      <c r="CE295" s="1450">
        <f ca="1">IF(B295&gt;=$J$5,0,CONTADORES!BS305-CONTADORES!BS304)</f>
        <v>3.6999999999998181</v>
      </c>
      <c r="CF295" s="1450">
        <f t="shared" ca="1" si="147"/>
        <v>2.3500000000001364</v>
      </c>
      <c r="CG295" s="1450">
        <f t="shared" ca="1" si="148"/>
        <v>1.2000000000000455</v>
      </c>
      <c r="CH295" s="1450">
        <f t="shared" ca="1" si="149"/>
        <v>1.2000000000000455</v>
      </c>
      <c r="CI295" s="1450">
        <f t="shared" ca="1" si="150"/>
        <v>2.0840000000000454</v>
      </c>
      <c r="CJ295" s="1450">
        <f ca="1">IF($B295&gt;=$J$5,0,CONTADORES!$BG305)</f>
        <v>7513.2508614753597</v>
      </c>
      <c r="CK295" s="1516">
        <f>CONTADORES!E305</f>
        <v>0</v>
      </c>
      <c r="CL295" s="1516">
        <f>CONTADORES!BX305</f>
        <v>0</v>
      </c>
    </row>
    <row r="296" spans="2:90">
      <c r="B296" s="1514">
        <v>45212</v>
      </c>
      <c r="C296" s="208">
        <f t="shared" ca="1" si="126"/>
        <v>140.90000000002328</v>
      </c>
      <c r="D296" s="202">
        <f ca="1">'CALCULO DE GAS'!P118</f>
        <v>3.7826822026022091</v>
      </c>
      <c r="E296" s="202">
        <f ca="1">IF(B296&gt;=$J$5,0,(CONTADORES!$AB306-CONTADORES!$AB305)-$H296)</f>
        <v>24</v>
      </c>
      <c r="F296" s="204">
        <f t="shared" ca="1" si="153"/>
        <v>0</v>
      </c>
      <c r="G296" s="202">
        <f ca="1">IF(B296&gt;=$J$5,0,CONTADORES!$AD306-CONTADORES!$AD305)</f>
        <v>0</v>
      </c>
      <c r="H296" s="202">
        <f ca="1">IF(G296&gt;0,CONTADORES!$AC306-CONTADORES!$AC305,0)</f>
        <v>0</v>
      </c>
      <c r="I296" s="205">
        <f ca="1">IF(B296&gt;=$J$5,0,CONTADORES!$Z306-CONTADORES!$Z305)</f>
        <v>140.90000000002328</v>
      </c>
      <c r="J296" s="204">
        <f t="shared" ca="1" si="127"/>
        <v>294.99000000000524</v>
      </c>
      <c r="K296" s="202">
        <f ca="1">'CALCULO DE GAS'!Q118</f>
        <v>5.2892317295092308</v>
      </c>
      <c r="L296" s="1437">
        <f ca="1">IF(B296&gt;=$J$5,0,(CONTADORES!$W306-CONTADORES!$W305)-$O296)</f>
        <v>24</v>
      </c>
      <c r="M296" s="1437">
        <f t="shared" ca="1" si="151"/>
        <v>0</v>
      </c>
      <c r="N296" s="1437">
        <f ca="1">IF(B296&gt;=$J$5,0,CONTADORES!$Y306-CONTADORES!$Y305)</f>
        <v>0</v>
      </c>
      <c r="O296" s="1437">
        <f ca="1">IF(N296&gt;0,CONTADORES!$X306-CONTADORES!$X305,0)</f>
        <v>0</v>
      </c>
      <c r="P296" s="208">
        <f ca="1">IF(B296&gt;=$J$5,0,CONTADORES!$U306-CONTADORES!$U305)</f>
        <v>294.99000000000524</v>
      </c>
      <c r="Q296" s="208">
        <f ca="1">IF(B296&gt;=$J$5,0,CONTADORES!$B306-CONTADORES!$B305)</f>
        <v>0.16499999999996362</v>
      </c>
      <c r="R296" s="202">
        <f t="shared" ca="1" si="128"/>
        <v>19.799999999995634</v>
      </c>
      <c r="S296" s="11">
        <f ca="1">IF(B296&gt;=$J$5,0,CONTADORES!$D306-CONTADORES!$D305)</f>
        <v>0.5</v>
      </c>
      <c r="T296" s="204">
        <f ca="1">IF(B296&gt;=$J$5,0,CONTADORES!$AZ306-CONTADORES!$AZ305)</f>
        <v>0</v>
      </c>
      <c r="U296" s="202">
        <f t="shared" ca="1" si="152"/>
        <v>0</v>
      </c>
      <c r="V296" s="205">
        <f ca="1">IF(B296&gt;=$J$5,0,CONTADORES!$BB306-CONTADORES!$BB305)</f>
        <v>0</v>
      </c>
      <c r="W296" s="1438">
        <f t="shared" ca="1" si="129"/>
        <v>435.89000000002852</v>
      </c>
      <c r="X296" s="1438">
        <f t="shared" ca="1" si="130"/>
        <v>0.16499999999996362</v>
      </c>
      <c r="Y296" s="1439">
        <f t="shared" ca="1" si="131"/>
        <v>436.05500000002849</v>
      </c>
      <c r="Z296" s="1439">
        <f t="shared" ca="1" si="132"/>
        <v>9.071913932111439</v>
      </c>
      <c r="AA296" s="1439">
        <f t="shared" ca="1" si="133"/>
        <v>19.799999999995634</v>
      </c>
      <c r="AB296" s="1439">
        <f t="shared" ca="1" si="134"/>
        <v>48</v>
      </c>
      <c r="AC296" s="1438">
        <f t="shared" ca="1" si="135"/>
        <v>0.5</v>
      </c>
      <c r="AD296" s="1438">
        <f ca="1">IF(B296&gt;=$J$5,0,CONTADORES!H306-CONTADORES!H305)</f>
        <v>162.7400000000016</v>
      </c>
      <c r="AE296" s="1438">
        <f ca="1">IF(B296&gt;=$J$5,0,CONTADORES!J306-CONTADORES!J305)</f>
        <v>24</v>
      </c>
      <c r="AF296" s="1438">
        <f ca="1">IF(B296&gt;=$J$5,0,CONTADORES!AS306-CONTADORES!AS305)</f>
        <v>148</v>
      </c>
      <c r="AG296" s="1438">
        <f ca="1">IF(B296&gt;=$J$5,0,CONTADORES!AU306-CONTADORES!AU305)</f>
        <v>24</v>
      </c>
      <c r="AH296" s="1450">
        <f ca="1">IF(B296&gt;=$J$5,0,(CONTADORES!AK306-CONTADORES!AK305)+(CONTADORES!K306-CONTADORES!K305))</f>
        <v>9.4000000000014552</v>
      </c>
      <c r="AI296" s="1450">
        <f ca="1">IF(B296&gt;=$J$5,0,(CONTADORES!AI306-CONTADORES!AI305)+(CONTADORES!M306-CONTADORES!M305))</f>
        <v>38.130000000004657</v>
      </c>
      <c r="AJ296" s="1450">
        <f ca="1">IF(B296&gt;=$J$5,0,(CONTADORES!AG306-CONTADORES!AG305))</f>
        <v>8.3799999999901047</v>
      </c>
      <c r="AK296" s="1450">
        <f ca="1">IF(B296&gt;=$J$5,0,(CONTADORES!O306-CONTADORES!O305))</f>
        <v>8.7300000000104774</v>
      </c>
      <c r="AL296" s="1500">
        <f t="shared" ca="1" si="136"/>
        <v>34.575000000018008</v>
      </c>
      <c r="AM296" s="1450">
        <f ca="1">IF(B296&gt;=$J$5,0,(((CONTADORES!F306-CONTADORES!F305)+(CONTADORES!AO306-CONTADORES!AO305))))-BJ296-AF296-AN296-BM296-BP296-BU296-BS296+T296</f>
        <v>8.1640000000030319</v>
      </c>
      <c r="AN296" s="1438">
        <f ca="1">IF(B296&gt;=$J$5,0,(CONTADORES!AV306-CONTADORES!AV305)+(CONTADORES!AX306-CONTADORES!AX305)+(CONTADORES!BC306-CONTADORES!BC305))-BS296</f>
        <v>3.0349999999998909</v>
      </c>
      <c r="AO296" s="1478">
        <f>(CONTADORES!AA306-CONTADORES!AA305)</f>
        <v>68.789999999979045</v>
      </c>
      <c r="AP296" s="1478">
        <f>(CONTADORES!V306-CONTADORES!V305)</f>
        <v>149.4800000000032</v>
      </c>
      <c r="AQ296" s="1478">
        <f>(CONTADORES!C306-CONTADORES!C305)</f>
        <v>8.0000000000040927E-2</v>
      </c>
      <c r="AR296" s="1478">
        <f>(CONTADORES!BA306-CONTADORES!BA305)</f>
        <v>0</v>
      </c>
      <c r="AS296" s="1438">
        <f ca="1">IF(B296&gt;=$J$5,0,CONTADORES!Q306-CONTADORES!Q305)</f>
        <v>14.880000000004657</v>
      </c>
      <c r="AT296" s="1438">
        <f ca="1">IF(B296&gt;=$J$5,0,(CONTADORES!S306-CONTADORES!S305)+(CONTADORES!AE306-CONTADORES!AE305))</f>
        <v>3.4800000000000182</v>
      </c>
      <c r="AU296" s="1474">
        <f>CONTADORES!I306-CONTADORES!I305</f>
        <v>80</v>
      </c>
      <c r="AV296" s="1478">
        <f>CONTADORES!AT306-CONTADORES!AT305</f>
        <v>63.899999999994179</v>
      </c>
      <c r="AW296" s="1478">
        <f ca="1">IF(B296&gt;=$J$5,0,(CONTADORES!L306-CONTADORES!L305)+(CONTADORES!AL306-CONTADORES!AL305))</f>
        <v>3.7000000000007276</v>
      </c>
      <c r="AX296" s="1478">
        <f ca="1">IF(B296&gt;=$J$5,0,(CONTADORES!N306-CONTADORES!N305)+(CONTADORES!AJ306-CONTADORES!AJ305))</f>
        <v>32.110000000000582</v>
      </c>
      <c r="AY296" s="1478">
        <f ca="1">IF(B296&gt;=$J$5,0,(CONTADORES!AH306-CONTADORES!AH305))</f>
        <v>6.4700000000011642</v>
      </c>
      <c r="AZ296" s="1478">
        <f ca="1">IF(B296&gt;=$J$5,0,(CONTADORES!P306-CONTADORES!P305))</f>
        <v>6.9200000000128057</v>
      </c>
      <c r="BA296" s="1450">
        <f t="shared" ca="1" si="137"/>
        <v>9.5159999999607408</v>
      </c>
      <c r="BB296" s="1440">
        <f ca="1">IF(B296&gt;=$J$5,0,(((CONTADORES!G306-CONTADORES!G305)+(CONTADORES!AP306-CONTADORES!AP305)+AR296)-(AV296+BC296)))</f>
        <v>6.2100000000118598</v>
      </c>
      <c r="BC296" s="1439">
        <f ca="1">IF(B296&gt;=$J$5,0,(CONTADORES!AW306-CONTADORES!AW305)+(CONTADORES!AY306-CONTADORES!AY305)+(CONTADORES!BD306-CONTADORES!BD305))</f>
        <v>2.9899999999997817</v>
      </c>
      <c r="BD296" s="1438">
        <f t="shared" si="138"/>
        <v>218.34999999998229</v>
      </c>
      <c r="BE296" s="1439">
        <f ca="1">IF($B296&gt;=$J$5,0,CONTADORES!$BE306)</f>
        <v>5005.4799999999996</v>
      </c>
      <c r="BF296" s="1438">
        <f ca="1">IF($B296&gt;=$J$5,0,CONTADORES!$BF306)</f>
        <v>34207.199999999997</v>
      </c>
      <c r="BG296" s="1439">
        <f ca="1">IF($B296&gt;=$J$5,0,CONTADORES!$BH306)</f>
        <v>4533.9600000000009</v>
      </c>
      <c r="BH296" s="1438">
        <f ca="1">IF(B296&gt;=$J$5,0,(CONTADORES!AQ306-CONTADORES!AQ305))</f>
        <v>5.1219999999884749</v>
      </c>
      <c r="BI296" s="1438">
        <f ca="1">IF(B296&gt;=$J$5,0,(CONTADORES!AR306-CONTADORES!AR305))</f>
        <v>0</v>
      </c>
      <c r="BJ296" s="1439">
        <f ca="1">IF(B296&gt;=$J$5,0,CONTADORES!BI306-CONTADORES!BI305)/1000</f>
        <v>2.64</v>
      </c>
      <c r="BK296" s="1450">
        <f ca="1">IF(B296&gt;=$J$5,0,CONTADORES!BJ306-CONTADORES!BJ305)</f>
        <v>1</v>
      </c>
      <c r="BL296" s="1450">
        <f ca="1">IF(B296&gt;=$J$5,0,CONTADORES!BK306-CONTADORES!BK305)</f>
        <v>24</v>
      </c>
      <c r="BM296" s="1450">
        <f ca="1">IF(B296&gt;=$J$5,0,CONTADORES!BL306-CONTADORES!BL305)/1000</f>
        <v>5.1260000000000003</v>
      </c>
      <c r="BN296" s="1450">
        <f ca="1">IF(B296&gt;=$J$5,0,CONTADORES!BM306-CONTADORES!BM305)/1000</f>
        <v>0.95199999999999996</v>
      </c>
      <c r="BO296" s="1450">
        <f ca="1">IF(B296&gt;=$J$5,0,CONTADORES!BN306-CONTADORES!BN305)</f>
        <v>24</v>
      </c>
      <c r="BP296" s="1450">
        <f ca="1">IF(B296&gt;=$J$5,0,CONTADORES!BO306-CONTADORES!BO305)/1000</f>
        <v>0</v>
      </c>
      <c r="BQ296" s="1450">
        <f ca="1">IF(B296&gt;=$J$5,0,CONTADORES!BP306-CONTADORES!BP305)/1000</f>
        <v>0</v>
      </c>
      <c r="BR296" s="1450">
        <f ca="1">IF(B296&gt;=$J$5,0,CONTADORES!BQ306-CONTADORES!BQ305)</f>
        <v>0</v>
      </c>
      <c r="BS296" s="1450">
        <f ca="1">IF(B296&gt;=$J$5,0,(CONTADORES!BT306-CONTADORES!BT305)+(CONTADORES!BV306-CONTADORES!BV305))/1000</f>
        <v>1.335</v>
      </c>
      <c r="BT296" s="1450">
        <f ca="1">IF(B296&gt;=$J$5,0,(CONTADORES!BU306-CONTADORES!BU305)+(CONTADORES!BW306-CONTADORES!BW305))/1000</f>
        <v>0.81200000000000006</v>
      </c>
      <c r="BU296" s="1450">
        <f ca="1">IF(B296&gt;=$J$5,0,CONTADORES!BR306-CONTADORES!BR305)</f>
        <v>5.7999999999992724</v>
      </c>
      <c r="BV296" s="1450">
        <f ca="1">IF(B296&gt;=$J$5,0,CONTADORES!BS306-CONTADORES!BS305)</f>
        <v>3.7700000000004366</v>
      </c>
      <c r="BW296" s="1450">
        <f t="shared" ca="1" si="139"/>
        <v>9.8820000000007884</v>
      </c>
      <c r="BX296" s="1450">
        <f t="shared" ca="1" si="140"/>
        <v>6.8750000000063665</v>
      </c>
      <c r="BY296" s="1450">
        <f t="shared" ca="1" si="141"/>
        <v>4.082000000001516</v>
      </c>
      <c r="BZ296" s="1450">
        <f t="shared" ca="1" si="142"/>
        <v>1.2139999999999564</v>
      </c>
      <c r="CA296" s="1450">
        <f t="shared" ca="1" si="143"/>
        <v>4.082000000001516</v>
      </c>
      <c r="CB296" s="1450">
        <f t="shared" ca="1" si="144"/>
        <v>1.8209999999999344</v>
      </c>
      <c r="CC296" s="1450">
        <f t="shared" ca="1" si="145"/>
        <v>2.5489999999999564</v>
      </c>
      <c r="CD296" s="1450">
        <f t="shared" ca="1" si="146"/>
        <v>3.1050000000059299</v>
      </c>
      <c r="CE296" s="1450">
        <f ca="1">IF(B296&gt;=$J$5,0,CONTADORES!BS306-CONTADORES!BS305)</f>
        <v>3.7700000000004366</v>
      </c>
      <c r="CF296" s="1450">
        <f t="shared" ca="1" si="147"/>
        <v>3.1050000000059299</v>
      </c>
      <c r="CG296" s="1450">
        <f t="shared" ca="1" si="148"/>
        <v>1.4949999999998909</v>
      </c>
      <c r="CH296" s="1450">
        <f t="shared" ca="1" si="149"/>
        <v>1.4949999999998909</v>
      </c>
      <c r="CI296" s="1450">
        <f t="shared" ca="1" si="150"/>
        <v>2.3069999999998911</v>
      </c>
      <c r="CJ296" s="1450">
        <f ca="1">IF($B296&gt;=$J$5,0,CONTADORES!$BG306)</f>
        <v>9614.0328609256667</v>
      </c>
      <c r="CK296" s="1516">
        <f>CONTADORES!E306</f>
        <v>0.2</v>
      </c>
      <c r="CL296" s="1516">
        <f>CONTADORES!BX306</f>
        <v>0</v>
      </c>
    </row>
    <row r="297" spans="2:90">
      <c r="B297" s="1514">
        <v>45213</v>
      </c>
      <c r="C297" s="208">
        <f t="shared" ca="1" si="126"/>
        <v>148.40000000002328</v>
      </c>
      <c r="D297" s="202">
        <f ca="1">'CALCULO DE GAS'!P119</f>
        <v>3.8464965136607545</v>
      </c>
      <c r="E297" s="202">
        <f ca="1">IF(B297&gt;=$J$5,0,(CONTADORES!$AB307-CONTADORES!$AB306)-$H297)</f>
        <v>24</v>
      </c>
      <c r="F297" s="204">
        <f t="shared" ca="1" si="153"/>
        <v>0</v>
      </c>
      <c r="G297" s="202">
        <f ca="1">IF(B297&gt;=$J$5,0,CONTADORES!$AD307-CONTADORES!$AD306)</f>
        <v>0</v>
      </c>
      <c r="H297" s="202">
        <f ca="1">IF(G297&gt;0,CONTADORES!$AC307-CONTADORES!$AC306,0)</f>
        <v>0</v>
      </c>
      <c r="I297" s="205">
        <f ca="1">IF(B297&gt;=$J$5,0,CONTADORES!$Z307-CONTADORES!$Z306)</f>
        <v>148.40000000002328</v>
      </c>
      <c r="J297" s="204">
        <f t="shared" ca="1" si="127"/>
        <v>302.24000000000524</v>
      </c>
      <c r="K297" s="202">
        <f ca="1">'CALCULO DE GAS'!Q119</f>
        <v>5.3766218832644048</v>
      </c>
      <c r="L297" s="1437">
        <f ca="1">IF(B297&gt;=$J$5,0,(CONTADORES!$W307-CONTADORES!$W306)-$O297)</f>
        <v>24</v>
      </c>
      <c r="M297" s="1437">
        <f t="shared" ca="1" si="151"/>
        <v>0</v>
      </c>
      <c r="N297" s="1437">
        <f ca="1">IF(B297&gt;=$J$5,0,CONTADORES!$Y307-CONTADORES!$Y306)</f>
        <v>0</v>
      </c>
      <c r="O297" s="1437">
        <f ca="1">IF(N297&gt;0,CONTADORES!$X307-CONTADORES!$X306,0)</f>
        <v>0</v>
      </c>
      <c r="P297" s="208">
        <f ca="1">IF(B297&gt;=$J$5,0,CONTADORES!$U307-CONTADORES!$U306)</f>
        <v>302.24000000000524</v>
      </c>
      <c r="Q297" s="208">
        <f ca="1">IF(B297&gt;=$J$5,0,CONTADORES!$B307-CONTADORES!$B306)</f>
        <v>0</v>
      </c>
      <c r="R297" s="202">
        <f t="shared" ca="1" si="128"/>
        <v>0</v>
      </c>
      <c r="S297" s="11">
        <f ca="1">IF(B297&gt;=$J$5,0,CONTADORES!$D307-CONTADORES!$D306)</f>
        <v>0</v>
      </c>
      <c r="T297" s="204">
        <f ca="1">IF(B297&gt;=$J$5,0,CONTADORES!$AZ307-CONTADORES!$AZ306)</f>
        <v>0</v>
      </c>
      <c r="U297" s="202">
        <f t="shared" ca="1" si="152"/>
        <v>0</v>
      </c>
      <c r="V297" s="205">
        <f ca="1">IF(B297&gt;=$J$5,0,CONTADORES!$BB307-CONTADORES!$BB306)</f>
        <v>0</v>
      </c>
      <c r="W297" s="1438">
        <f t="shared" ca="1" si="129"/>
        <v>450.64000000002852</v>
      </c>
      <c r="X297" s="1438">
        <f t="shared" ca="1" si="130"/>
        <v>0</v>
      </c>
      <c r="Y297" s="1439">
        <f t="shared" ca="1" si="131"/>
        <v>450.64000000002852</v>
      </c>
      <c r="Z297" s="1439">
        <f t="shared" ca="1" si="132"/>
        <v>9.2231183969251589</v>
      </c>
      <c r="AA297" s="1439">
        <f t="shared" ca="1" si="133"/>
        <v>0</v>
      </c>
      <c r="AB297" s="1439">
        <f t="shared" ca="1" si="134"/>
        <v>48</v>
      </c>
      <c r="AC297" s="1438">
        <f t="shared" ca="1" si="135"/>
        <v>0</v>
      </c>
      <c r="AD297" s="1438">
        <f ca="1">IF(B297&gt;=$J$5,0,CONTADORES!H307-CONTADORES!H306)</f>
        <v>170.05999999999767</v>
      </c>
      <c r="AE297" s="1438">
        <f ca="1">IF(B297&gt;=$J$5,0,CONTADORES!J307-CONTADORES!J306)</f>
        <v>24</v>
      </c>
      <c r="AF297" s="1438">
        <f ca="1">IF(B297&gt;=$J$5,0,CONTADORES!AS307-CONTADORES!AS306)</f>
        <v>147.09999999997672</v>
      </c>
      <c r="AG297" s="1438">
        <f ca="1">IF(B297&gt;=$J$5,0,CONTADORES!AU307-CONTADORES!AU306)</f>
        <v>24</v>
      </c>
      <c r="AH297" s="1450">
        <f ca="1">IF(B297&gt;=$J$5,0,(CONTADORES!AK307-CONTADORES!AK306)+(CONTADORES!K307-CONTADORES!K306))</f>
        <v>12.199999999998909</v>
      </c>
      <c r="AI297" s="1450">
        <f ca="1">IF(B297&gt;=$J$5,0,(CONTADORES!AI307-CONTADORES!AI306)+(CONTADORES!M307-CONTADORES!M306))</f>
        <v>36.599999999991269</v>
      </c>
      <c r="AJ297" s="1450">
        <f ca="1">IF(B297&gt;=$J$5,0,(CONTADORES!AG307-CONTADORES!AG306))</f>
        <v>8.7700000000040745</v>
      </c>
      <c r="AK297" s="1450">
        <f ca="1">IF(B297&gt;=$J$5,0,(CONTADORES!O307-CONTADORES!O306))</f>
        <v>9.2399999999906868</v>
      </c>
      <c r="AL297" s="1500">
        <f t="shared" ca="1" si="136"/>
        <v>33.970000000093989</v>
      </c>
      <c r="AM297" s="1450">
        <f ca="1">IF(B297&gt;=$J$5,0,(((CONTADORES!F307-CONTADORES!F306)+(CONTADORES!AO307-CONTADORES!AO306))))-BJ297-AF297-AN297-BM297-BP297-BU297-BS297+T297</f>
        <v>15.744999999975699</v>
      </c>
      <c r="AN297" s="1438">
        <f ca="1">IF(B297&gt;=$J$5,0,(CONTADORES!AV307-CONTADORES!AV306)+(CONTADORES!AX307-CONTADORES!AX306)+(CONTADORES!BC307-CONTADORES!BC306))-BS297</f>
        <v>2.9789999999995636</v>
      </c>
      <c r="AO297" s="1478">
        <f>(CONTADORES!AA307-CONTADORES!AA306)</f>
        <v>69.380000000004657</v>
      </c>
      <c r="AP297" s="1478">
        <f>(CONTADORES!V307-CONTADORES!V306)</f>
        <v>155.0199999999968</v>
      </c>
      <c r="AQ297" s="1478">
        <f>(CONTADORES!C307-CONTADORES!C306)</f>
        <v>0</v>
      </c>
      <c r="AR297" s="1478">
        <f>(CONTADORES!BA307-CONTADORES!BA306)</f>
        <v>0</v>
      </c>
      <c r="AS297" s="1438">
        <f ca="1">IF(B297&gt;=$J$5,0,CONTADORES!Q307-CONTADORES!Q306)</f>
        <v>14.440000000002328</v>
      </c>
      <c r="AT297" s="1438">
        <f ca="1">IF(B297&gt;=$J$5,0,(CONTADORES!S307-CONTADORES!S306)+(CONTADORES!AE307-CONTADORES!AE306))</f>
        <v>3.4200000000000159</v>
      </c>
      <c r="AU297" s="1474">
        <f>CONTADORES!I307-CONTADORES!I306</f>
        <v>83</v>
      </c>
      <c r="AV297" s="1478">
        <f>CONTADORES!AT307-CONTADORES!AT306</f>
        <v>63.5</v>
      </c>
      <c r="AW297" s="1478">
        <f ca="1">IF(B297&gt;=$J$5,0,(CONTADORES!L307-CONTADORES!L306)+(CONTADORES!AL307-CONTADORES!AL306))</f>
        <v>4.7999999999992724</v>
      </c>
      <c r="AX297" s="1478">
        <f ca="1">IF(B297&gt;=$J$5,0,(CONTADORES!N307-CONTADORES!N306)+(CONTADORES!AJ307-CONTADORES!AJ306))</f>
        <v>31</v>
      </c>
      <c r="AY297" s="1478">
        <f ca="1">IF(B297&gt;=$J$5,0,(CONTADORES!AH307-CONTADORES!AH306))</f>
        <v>6.7000000000043656</v>
      </c>
      <c r="AZ297" s="1478">
        <f ca="1">IF(B297&gt;=$J$5,0,(CONTADORES!P307-CONTADORES!P306))</f>
        <v>7.2899999999935972</v>
      </c>
      <c r="BA297" s="1450">
        <f t="shared" ca="1" si="137"/>
        <v>9.406000000022118</v>
      </c>
      <c r="BB297" s="1440">
        <f ca="1">IF(B297&gt;=$J$5,0,(((CONTADORES!G307-CONTADORES!G306)+(CONTADORES!AP307-CONTADORES!AP306)+AR297)-(AV297+BC297)))</f>
        <v>9.4899999999820466</v>
      </c>
      <c r="BC297" s="1439">
        <f ca="1">IF(B297&gt;=$J$5,0,(CONTADORES!AW307-CONTADORES!AW306)+(CONTADORES!AY307-CONTADORES!AY306)+(CONTADORES!BD307-CONTADORES!BD306))</f>
        <v>2.8099999999999454</v>
      </c>
      <c r="BD297" s="1438">
        <f t="shared" si="138"/>
        <v>224.40000000000146</v>
      </c>
      <c r="BE297" s="1439">
        <f ca="1">IF($B297&gt;=$J$5,0,CONTADORES!$BE307)</f>
        <v>5052.04</v>
      </c>
      <c r="BF297" s="1438">
        <f ca="1">IF($B297&gt;=$J$5,0,CONTADORES!$BF307)</f>
        <v>34068.424561403503</v>
      </c>
      <c r="BG297" s="1439">
        <f ca="1">IF($B297&gt;=$J$5,0,CONTADORES!$BH307)</f>
        <v>4965.74</v>
      </c>
      <c r="BH297" s="1438">
        <f ca="1">IF(B297&gt;=$J$5,0,(CONTADORES!AQ307-CONTADORES!AQ306))</f>
        <v>3.930000000007567</v>
      </c>
      <c r="BI297" s="1438">
        <f ca="1">IF(B297&gt;=$J$5,0,(CONTADORES!AR307-CONTADORES!AR306))</f>
        <v>0</v>
      </c>
      <c r="BJ297" s="1439">
        <f ca="1">IF(B297&gt;=$J$5,0,CONTADORES!BI307-CONTADORES!BI306)/1000</f>
        <v>2.6909999999999998</v>
      </c>
      <c r="BK297" s="1450">
        <f ca="1">IF(B297&gt;=$J$5,0,CONTADORES!BJ307-CONTADORES!BJ306)</f>
        <v>1</v>
      </c>
      <c r="BL297" s="1450">
        <f ca="1">IF(B297&gt;=$J$5,0,CONTADORES!BK307-CONTADORES!BK306)</f>
        <v>24</v>
      </c>
      <c r="BM297" s="1450">
        <f ca="1">IF(B297&gt;=$J$5,0,CONTADORES!BL307-CONTADORES!BL306)/1000</f>
        <v>5.0339999999999998</v>
      </c>
      <c r="BN297" s="1450">
        <f ca="1">IF(B297&gt;=$J$5,0,CONTADORES!BM307-CONTADORES!BM306)/1000</f>
        <v>1.02</v>
      </c>
      <c r="BO297" s="1450">
        <f ca="1">IF(B297&gt;=$J$5,0,CONTADORES!BN307-CONTADORES!BN306)</f>
        <v>24</v>
      </c>
      <c r="BP297" s="1450">
        <f ca="1">IF(B297&gt;=$J$5,0,CONTADORES!BO307-CONTADORES!BO306)/1000</f>
        <v>0</v>
      </c>
      <c r="BQ297" s="1450">
        <f ca="1">IF(B297&gt;=$J$5,0,CONTADORES!BP307-CONTADORES!BP306)/1000</f>
        <v>0</v>
      </c>
      <c r="BR297" s="1450">
        <f ca="1">IF(B297&gt;=$J$5,0,CONTADORES!BQ307-CONTADORES!BQ306)</f>
        <v>0</v>
      </c>
      <c r="BS297" s="1450">
        <f ca="1">IF(B297&gt;=$J$5,0,(CONTADORES!BT307-CONTADORES!BT306)+(CONTADORES!BV307-CONTADORES!BV306))/1000</f>
        <v>1.2509999999999999</v>
      </c>
      <c r="BT297" s="1450">
        <f ca="1">IF(B297&gt;=$J$5,0,(CONTADORES!BU307-CONTADORES!BU306)+(CONTADORES!BW307-CONTADORES!BW306))/1000</f>
        <v>0.754</v>
      </c>
      <c r="BU297" s="1450">
        <f ca="1">IF(B297&gt;=$J$5,0,CONTADORES!BR307-CONTADORES!BR306)</f>
        <v>5</v>
      </c>
      <c r="BV297" s="1450">
        <f ca="1">IF(B297&gt;=$J$5,0,CONTADORES!BS307-CONTADORES!BS306)</f>
        <v>3.6300000000001091</v>
      </c>
      <c r="BW297" s="1450">
        <f t="shared" ca="1" si="139"/>
        <v>12.872499999987848</v>
      </c>
      <c r="BX297" s="1450">
        <f t="shared" ca="1" si="140"/>
        <v>8.3749999999911324</v>
      </c>
      <c r="BY297" s="1450">
        <f t="shared" ca="1" si="141"/>
        <v>7.8724999999878493</v>
      </c>
      <c r="BZ297" s="1450">
        <f t="shared" ca="1" si="142"/>
        <v>1.1915999999998255</v>
      </c>
      <c r="CA297" s="1450">
        <f t="shared" ca="1" si="143"/>
        <v>7.8724999999878493</v>
      </c>
      <c r="CB297" s="1450">
        <f t="shared" ca="1" si="144"/>
        <v>1.7873999999997381</v>
      </c>
      <c r="CC297" s="1450">
        <f t="shared" ca="1" si="145"/>
        <v>2.4425999999998256</v>
      </c>
      <c r="CD297" s="1450">
        <f t="shared" ca="1" si="146"/>
        <v>4.7449999999910233</v>
      </c>
      <c r="CE297" s="1450">
        <f ca="1">IF(B297&gt;=$J$5,0,CONTADORES!BS307-CONTADORES!BS306)</f>
        <v>3.6300000000001091</v>
      </c>
      <c r="CF297" s="1450">
        <f t="shared" ca="1" si="147"/>
        <v>4.7449999999910233</v>
      </c>
      <c r="CG297" s="1450">
        <f t="shared" ca="1" si="148"/>
        <v>1.4049999999999727</v>
      </c>
      <c r="CH297" s="1450">
        <f t="shared" ca="1" si="149"/>
        <v>1.4049999999999727</v>
      </c>
      <c r="CI297" s="1450">
        <f t="shared" ca="1" si="150"/>
        <v>2.1589999999999727</v>
      </c>
      <c r="CJ297" s="1450">
        <f ca="1">IF($B297&gt;=$J$5,0,CONTADORES!$BG307)</f>
        <v>9227.33992886548</v>
      </c>
      <c r="CK297" s="1516">
        <f>CONTADORES!E307</f>
        <v>0</v>
      </c>
      <c r="CL297" s="1516">
        <f>CONTADORES!BX307</f>
        <v>0</v>
      </c>
    </row>
    <row r="298" spans="2:90">
      <c r="B298" s="1514">
        <v>45214</v>
      </c>
      <c r="C298" s="208">
        <f t="shared" ca="1" si="126"/>
        <v>148</v>
      </c>
      <c r="D298" s="202">
        <f ca="1">'CALCULO DE GAS'!P120</f>
        <v>3.8430930837374344</v>
      </c>
      <c r="E298" s="202">
        <f ca="1">IF(B298&gt;=$J$5,0,(CONTADORES!$AB308-CONTADORES!$AB307)-$H298)</f>
        <v>24</v>
      </c>
      <c r="F298" s="204">
        <f t="shared" ca="1" si="153"/>
        <v>0</v>
      </c>
      <c r="G298" s="202">
        <f ca="1">IF(B298&gt;=$J$5,0,CONTADORES!$AD308-CONTADORES!$AD307)</f>
        <v>0</v>
      </c>
      <c r="H298" s="202">
        <f ca="1">IF(G298&gt;0,CONTADORES!$AC308-CONTADORES!$AC307,0)</f>
        <v>0</v>
      </c>
      <c r="I298" s="205">
        <f ca="1">IF(B298&gt;=$J$5,0,CONTADORES!$Z308-CONTADORES!$Z307)</f>
        <v>148</v>
      </c>
      <c r="J298" s="204">
        <f t="shared" ca="1" si="127"/>
        <v>289.89999999999418</v>
      </c>
      <c r="K298" s="202">
        <f ca="1">'CALCULO DE GAS'!Q120</f>
        <v>5.2278778146658089</v>
      </c>
      <c r="L298" s="1437">
        <f ca="1">IF(B298&gt;=$J$5,0,(CONTADORES!$W308-CONTADORES!$W307)-$O298)</f>
        <v>24</v>
      </c>
      <c r="M298" s="1437">
        <f t="shared" ca="1" si="151"/>
        <v>0</v>
      </c>
      <c r="N298" s="1437">
        <f ca="1">IF(B298&gt;=$J$5,0,CONTADORES!$Y308-CONTADORES!$Y307)</f>
        <v>0</v>
      </c>
      <c r="O298" s="1437">
        <f ca="1">IF(N298&gt;0,CONTADORES!$X308-CONTADORES!$X307,0)</f>
        <v>0</v>
      </c>
      <c r="P298" s="208">
        <f ca="1">IF(B298&gt;=$J$5,0,CONTADORES!$U308-CONTADORES!$U307)</f>
        <v>289.89999999999418</v>
      </c>
      <c r="Q298" s="208">
        <f ca="1">IF(B298&gt;=$J$5,0,CONTADORES!$B308-CONTADORES!$B307)</f>
        <v>5.7999999999992724E-2</v>
      </c>
      <c r="R298" s="202">
        <f t="shared" ca="1" si="128"/>
        <v>6.9599999999991269</v>
      </c>
      <c r="S298" s="11">
        <f ca="1">IF(B298&gt;=$J$5,0,CONTADORES!$D308-CONTADORES!$D307)</f>
        <v>0.5</v>
      </c>
      <c r="T298" s="204">
        <f ca="1">IF(B298&gt;=$J$5,0,CONTADORES!$AZ308-CONTADORES!$AZ307)</f>
        <v>0</v>
      </c>
      <c r="U298" s="202">
        <f t="shared" ca="1" si="152"/>
        <v>0</v>
      </c>
      <c r="V298" s="205">
        <f ca="1">IF(B298&gt;=$J$5,0,CONTADORES!$BB308-CONTADORES!$BB307)</f>
        <v>0</v>
      </c>
      <c r="W298" s="1438">
        <f t="shared" ca="1" si="129"/>
        <v>437.89999999999418</v>
      </c>
      <c r="X298" s="1438">
        <f t="shared" ca="1" si="130"/>
        <v>5.7999999999992724E-2</v>
      </c>
      <c r="Y298" s="1439">
        <f t="shared" ca="1" si="131"/>
        <v>437.95799999999417</v>
      </c>
      <c r="Z298" s="1439">
        <f t="shared" ca="1" si="132"/>
        <v>9.0709708984032424</v>
      </c>
      <c r="AA298" s="1439">
        <f t="shared" ca="1" si="133"/>
        <v>6.9599999999991269</v>
      </c>
      <c r="AB298" s="1439">
        <f t="shared" ca="1" si="134"/>
        <v>48</v>
      </c>
      <c r="AC298" s="1438">
        <f t="shared" ca="1" si="135"/>
        <v>0.5</v>
      </c>
      <c r="AD298" s="1438">
        <f ca="1">IF(B298&gt;=$J$5,0,CONTADORES!H308-CONTADORES!H307)</f>
        <v>163.40000000000146</v>
      </c>
      <c r="AE298" s="1438">
        <f ca="1">IF(B298&gt;=$J$5,0,CONTADORES!J308-CONTADORES!J307)</f>
        <v>24</v>
      </c>
      <c r="AF298" s="1438">
        <f ca="1">IF(B298&gt;=$J$5,0,CONTADORES!AS308-CONTADORES!AS307)</f>
        <v>150.70000000001164</v>
      </c>
      <c r="AG298" s="1438">
        <f ca="1">IF(B298&gt;=$J$5,0,CONTADORES!AU308-CONTADORES!AU307)</f>
        <v>24</v>
      </c>
      <c r="AH298" s="1450">
        <f ca="1">IF(B298&gt;=$J$5,0,(CONTADORES!AK308-CONTADORES!AK307)+(CONTADORES!K308-CONTADORES!K307))</f>
        <v>11.599999999998545</v>
      </c>
      <c r="AI298" s="1450">
        <f ca="1">IF(B298&gt;=$J$5,0,(CONTADORES!AI308-CONTADORES!AI307)+(CONTADORES!M308-CONTADORES!M307))</f>
        <v>36.5</v>
      </c>
      <c r="AJ298" s="1450">
        <f ca="1">IF(B298&gt;=$J$5,0,(CONTADORES!AG308-CONTADORES!AG307))</f>
        <v>7.1000000000058208</v>
      </c>
      <c r="AK298" s="1450">
        <f ca="1">IF(B298&gt;=$J$5,0,(CONTADORES!O308-CONTADORES!O307))</f>
        <v>9.6000000000058208</v>
      </c>
      <c r="AL298" s="1500">
        <f t="shared" ca="1" si="136"/>
        <v>29.857999999959247</v>
      </c>
      <c r="AM298" s="1450">
        <f ca="1">IF(B298&gt;=$J$5,0,(((CONTADORES!F308-CONTADORES!F307)+(CONTADORES!AO308-CONTADORES!AO307))))-BJ298-AF298-AN298-BM298-BP298-BU298-BS298+T298</f>
        <v>10.483000000012186</v>
      </c>
      <c r="AN298" s="1438">
        <f ca="1">IF(B298&gt;=$J$5,0,(CONTADORES!AV308-CONTADORES!AV307)+(CONTADORES!AX308-CONTADORES!AX307)+(CONTADORES!BC308-CONTADORES!BC307))-BS298</f>
        <v>3.170000000000182</v>
      </c>
      <c r="AO298" s="1478">
        <f>(CONTADORES!AA308-CONTADORES!AA307)</f>
        <v>69.299999999988358</v>
      </c>
      <c r="AP298" s="1478">
        <f>(CONTADORES!V308-CONTADORES!V307)</f>
        <v>149.5</v>
      </c>
      <c r="AQ298" s="1478">
        <f>(CONTADORES!C308-CONTADORES!C307)</f>
        <v>9.9999999997635314E-4</v>
      </c>
      <c r="AR298" s="1478">
        <f>(CONTADORES!BA308-CONTADORES!BA307)</f>
        <v>0</v>
      </c>
      <c r="AS298" s="1438">
        <f ca="1">IF(B298&gt;=$J$5,0,CONTADORES!Q308-CONTADORES!Q307)</f>
        <v>13.600000000005821</v>
      </c>
      <c r="AT298" s="1438">
        <f ca="1">IF(B298&gt;=$J$5,0,(CONTADORES!S308-CONTADORES!S307)+(CONTADORES!AE308-CONTADORES!AE307))</f>
        <v>3.3999999999999773</v>
      </c>
      <c r="AU298" s="1474">
        <f>CONTADORES!I308-CONTADORES!I307</f>
        <v>81.5</v>
      </c>
      <c r="AV298" s="1478">
        <f>CONTADORES!AT308-CONTADORES!AT307</f>
        <v>65</v>
      </c>
      <c r="AW298" s="1478">
        <f ca="1">IF(B298&gt;=$J$5,0,(CONTADORES!L308-CONTADORES!L307)+(CONTADORES!AL308-CONTADORES!AL307))</f>
        <v>4.6000000000021828</v>
      </c>
      <c r="AX298" s="1478">
        <f ca="1">IF(B298&gt;=$J$5,0,(CONTADORES!N308-CONTADORES!N307)+(CONTADORES!AJ308-CONTADORES!AJ307))</f>
        <v>30.900000000001455</v>
      </c>
      <c r="AY298" s="1478">
        <f ca="1">IF(B298&gt;=$J$5,0,(CONTADORES!AH308-CONTADORES!AH307))</f>
        <v>5.3999999999941792</v>
      </c>
      <c r="AZ298" s="1478">
        <f ca="1">IF(B298&gt;=$J$5,0,(CONTADORES!P308-CONTADORES!P307))</f>
        <v>7</v>
      </c>
      <c r="BA298" s="1450">
        <f t="shared" ca="1" si="137"/>
        <v>7.0629999999846973</v>
      </c>
      <c r="BB298" s="1440">
        <f ca="1">IF(B298&gt;=$J$5,0,(((CONTADORES!G308-CONTADORES!G307)+(CONTADORES!AP308-CONTADORES!AP307)+AR298)-(AV298+BC298)))</f>
        <v>7.7000000000057298</v>
      </c>
      <c r="BC298" s="1439">
        <f ca="1">IF(B298&gt;=$J$5,0,(CONTADORES!AW308-CONTADORES!AW307)+(CONTADORES!AY308-CONTADORES!AY307)+(CONTADORES!BD308-CONTADORES!BD307))</f>
        <v>2.9000000000000909</v>
      </c>
      <c r="BD298" s="1438">
        <f t="shared" si="138"/>
        <v>218.80099999998833</v>
      </c>
      <c r="BE298" s="1439">
        <f ca="1">IF($B298&gt;=$J$5,0,CONTADORES!$BE308)</f>
        <v>5202.16</v>
      </c>
      <c r="BF298" s="1438">
        <f ca="1">IF($B298&gt;=$J$5,0,CONTADORES!$BF308)</f>
        <v>34054.638596491197</v>
      </c>
      <c r="BG298" s="1439">
        <f ca="1">IF($B298&gt;=$J$5,0,CONTADORES!$BH308)</f>
        <v>4903.13</v>
      </c>
      <c r="BH298" s="1438">
        <f ca="1">IF(B298&gt;=$J$5,0,(CONTADORES!AQ308-CONTADORES!AQ307))</f>
        <v>4.6999999999970896</v>
      </c>
      <c r="BI298" s="1438">
        <f ca="1">IF(B298&gt;=$J$5,0,(CONTADORES!AR308-CONTADORES!AR307))</f>
        <v>0</v>
      </c>
      <c r="BJ298" s="1439">
        <f ca="1">IF(B298&gt;=$J$5,0,CONTADORES!BI308-CONTADORES!BI307)/1000</f>
        <v>2.4049999999999998</v>
      </c>
      <c r="BK298" s="1450">
        <f ca="1">IF(B298&gt;=$J$5,0,CONTADORES!BJ308-CONTADORES!BJ307)</f>
        <v>1</v>
      </c>
      <c r="BL298" s="1450">
        <f ca="1">IF(B298&gt;=$J$5,0,CONTADORES!BK308-CONTADORES!BK307)</f>
        <v>24</v>
      </c>
      <c r="BM298" s="1450">
        <f ca="1">IF(B298&gt;=$J$5,0,CONTADORES!BL308-CONTADORES!BL307)/1000</f>
        <v>5.2119999999999997</v>
      </c>
      <c r="BN298" s="1450">
        <f ca="1">IF(B298&gt;=$J$5,0,CONTADORES!BM308-CONTADORES!BM307)/1000</f>
        <v>1.018</v>
      </c>
      <c r="BO298" s="1450">
        <f ca="1">IF(B298&gt;=$J$5,0,CONTADORES!BN308-CONTADORES!BN307)</f>
        <v>24</v>
      </c>
      <c r="BP298" s="1450">
        <f ca="1">IF(B298&gt;=$J$5,0,CONTADORES!BO308-CONTADORES!BO307)/1000</f>
        <v>0</v>
      </c>
      <c r="BQ298" s="1450">
        <f ca="1">IF(B298&gt;=$J$5,0,CONTADORES!BP308-CONTADORES!BP307)/1000</f>
        <v>0</v>
      </c>
      <c r="BR298" s="1450">
        <f ca="1">IF(B298&gt;=$J$5,0,CONTADORES!BQ308-CONTADORES!BQ307)</f>
        <v>0</v>
      </c>
      <c r="BS298" s="1450">
        <f ca="1">IF(B298&gt;=$J$5,0,(CONTADORES!BT308-CONTADORES!BT307)+(CONTADORES!BV308-CONTADORES!BV307))/1000</f>
        <v>1.1299999999999999</v>
      </c>
      <c r="BT298" s="1450">
        <f ca="1">IF(B298&gt;=$J$5,0,(CONTADORES!BU308-CONTADORES!BU307)+(CONTADORES!BW308-CONTADORES!BW307))/1000</f>
        <v>0.72</v>
      </c>
      <c r="BU298" s="1450">
        <f ca="1">IF(B298&gt;=$J$5,0,CONTADORES!BR308-CONTADORES!BR307)</f>
        <v>6.7999999999992724</v>
      </c>
      <c r="BV298" s="1450">
        <f ca="1">IF(B298&gt;=$J$5,0,CONTADORES!BS308-CONTADORES!BS307)</f>
        <v>4</v>
      </c>
      <c r="BW298" s="1450">
        <f t="shared" ca="1" si="139"/>
        <v>12.041500000005366</v>
      </c>
      <c r="BX298" s="1450">
        <f t="shared" ca="1" si="140"/>
        <v>7.8500000000028649</v>
      </c>
      <c r="BY298" s="1450">
        <f t="shared" ca="1" si="141"/>
        <v>5.2415000000060932</v>
      </c>
      <c r="BZ298" s="1450">
        <f t="shared" ca="1" si="142"/>
        <v>1.2680000000000728</v>
      </c>
      <c r="CA298" s="1450">
        <f t="shared" ca="1" si="143"/>
        <v>5.2415000000060932</v>
      </c>
      <c r="CB298" s="1450">
        <f t="shared" ca="1" si="144"/>
        <v>1.9020000000001092</v>
      </c>
      <c r="CC298" s="1450">
        <f t="shared" ca="1" si="145"/>
        <v>2.3980000000000725</v>
      </c>
      <c r="CD298" s="1450">
        <f t="shared" ca="1" si="146"/>
        <v>3.8500000000028649</v>
      </c>
      <c r="CE298" s="1450">
        <f ca="1">IF(B298&gt;=$J$5,0,CONTADORES!BS308-CONTADORES!BS307)</f>
        <v>4</v>
      </c>
      <c r="CF298" s="1450">
        <f t="shared" ca="1" si="147"/>
        <v>3.8500000000028649</v>
      </c>
      <c r="CG298" s="1450">
        <f t="shared" ca="1" si="148"/>
        <v>1.4500000000000455</v>
      </c>
      <c r="CH298" s="1450">
        <f t="shared" ca="1" si="149"/>
        <v>1.4500000000000455</v>
      </c>
      <c r="CI298" s="1450">
        <f t="shared" ca="1" si="150"/>
        <v>2.1700000000000452</v>
      </c>
      <c r="CJ298" s="1450">
        <f ca="1">IF($B298&gt;=$J$5,0,CONTADORES!$BG308)</f>
        <v>8955.1335914804095</v>
      </c>
      <c r="CK298" s="1516">
        <f>CONTADORES!E308</f>
        <v>0.1</v>
      </c>
      <c r="CL298" s="1516">
        <f>CONTADORES!BX308</f>
        <v>0</v>
      </c>
    </row>
    <row r="299" spans="2:90">
      <c r="B299" s="1514">
        <v>45215</v>
      </c>
      <c r="C299" s="208">
        <f t="shared" ca="1" si="126"/>
        <v>148</v>
      </c>
      <c r="D299" s="202">
        <f ca="1">'CALCULO DE GAS'!P121</f>
        <v>3.8430930837374344</v>
      </c>
      <c r="E299" s="202">
        <f ca="1">IF(B299&gt;=$J$5,0,(CONTADORES!$AB309-CONTADORES!$AB308)-$H299)</f>
        <v>24</v>
      </c>
      <c r="F299" s="204">
        <f t="shared" ca="1" si="153"/>
        <v>0</v>
      </c>
      <c r="G299" s="202">
        <f ca="1">IF(B299&gt;=$J$5,0,CONTADORES!$AD309-CONTADORES!$AD308)</f>
        <v>0</v>
      </c>
      <c r="H299" s="202">
        <f ca="1">IF(G299&gt;0,CONTADORES!$AC309-CONTADORES!$AC308,0)</f>
        <v>0</v>
      </c>
      <c r="I299" s="205">
        <f ca="1">IF(B299&gt;=$J$5,0,CONTADORES!$Z309-CONTADORES!$Z308)</f>
        <v>148</v>
      </c>
      <c r="J299" s="204">
        <f t="shared" ca="1" si="127"/>
        <v>285</v>
      </c>
      <c r="K299" s="202">
        <f ca="1">'CALCULO DE GAS'!Q121</f>
        <v>5.1688141245416928</v>
      </c>
      <c r="L299" s="1437">
        <f ca="1">IF(B299&gt;=$J$5,0,(CONTADORES!$W309-CONTADORES!$W308)-$O299)</f>
        <v>24</v>
      </c>
      <c r="M299" s="1437">
        <f t="shared" ca="1" si="151"/>
        <v>0</v>
      </c>
      <c r="N299" s="1437">
        <f ca="1">IF(B299&gt;=$J$5,0,CONTADORES!$Y309-CONTADORES!$Y308)</f>
        <v>0</v>
      </c>
      <c r="O299" s="1437">
        <f ca="1">IF(N299&gt;0,CONTADORES!$X309-CONTADORES!$X308,0)</f>
        <v>0</v>
      </c>
      <c r="P299" s="208">
        <f ca="1">IF(B299&gt;=$J$5,0,CONTADORES!$U309-CONTADORES!$U308)</f>
        <v>285</v>
      </c>
      <c r="Q299" s="208">
        <f ca="1">IF(B299&gt;=$J$5,0,CONTADORES!$B309-CONTADORES!$B308)</f>
        <v>0</v>
      </c>
      <c r="R299" s="202">
        <f t="shared" ca="1" si="128"/>
        <v>0</v>
      </c>
      <c r="S299" s="11">
        <f ca="1">IF(B299&gt;=$J$5,0,CONTADORES!$D309-CONTADORES!$D308)</f>
        <v>0</v>
      </c>
      <c r="T299" s="204">
        <f ca="1">IF(B299&gt;=$J$5,0,CONTADORES!$AZ309-CONTADORES!$AZ308)</f>
        <v>0.56800000000009732</v>
      </c>
      <c r="U299" s="202">
        <f t="shared" ca="1" si="152"/>
        <v>68.160000000011678</v>
      </c>
      <c r="V299" s="205">
        <f ca="1">IF(B299&gt;=$J$5,0,CONTADORES!$BB309-CONTADORES!$BB308)</f>
        <v>0.6999999999998181</v>
      </c>
      <c r="W299" s="1438">
        <f t="shared" ca="1" si="129"/>
        <v>433</v>
      </c>
      <c r="X299" s="1438">
        <f t="shared" ca="1" si="130"/>
        <v>0.56800000000009732</v>
      </c>
      <c r="Y299" s="1439">
        <f t="shared" ca="1" si="131"/>
        <v>433.5680000000001</v>
      </c>
      <c r="Z299" s="1439">
        <f t="shared" ca="1" si="132"/>
        <v>9.0119072082791263</v>
      </c>
      <c r="AA299" s="1439">
        <f t="shared" ca="1" si="133"/>
        <v>68.160000000011678</v>
      </c>
      <c r="AB299" s="1439">
        <f t="shared" ca="1" si="134"/>
        <v>48</v>
      </c>
      <c r="AC299" s="1438">
        <f t="shared" ca="1" si="135"/>
        <v>0.6999999999998181</v>
      </c>
      <c r="AD299" s="1438">
        <f ca="1">IF(B299&gt;=$J$5,0,CONTADORES!H309-CONTADORES!H308)</f>
        <v>165</v>
      </c>
      <c r="AE299" s="1438">
        <f ca="1">IF(B299&gt;=$J$5,0,CONTADORES!J309-CONTADORES!J308)</f>
        <v>24</v>
      </c>
      <c r="AF299" s="1438">
        <f ca="1">IF(B299&gt;=$J$5,0,CONTADORES!AS309-CONTADORES!AS308)</f>
        <v>150</v>
      </c>
      <c r="AG299" s="1438">
        <f ca="1">IF(B299&gt;=$J$5,0,CONTADORES!AU309-CONTADORES!AU308)</f>
        <v>24</v>
      </c>
      <c r="AH299" s="1450">
        <f ca="1">IF(B299&gt;=$J$5,0,(CONTADORES!AK309-CONTADORES!AK308)+(CONTADORES!K309-CONTADORES!K308))</f>
        <v>6.9000000000014552</v>
      </c>
      <c r="AI299" s="1450">
        <f ca="1">IF(B299&gt;=$J$5,0,(CONTADORES!AI309-CONTADORES!AI308)+(CONTADORES!M309-CONTADORES!M308))</f>
        <v>34</v>
      </c>
      <c r="AJ299" s="1450">
        <f ca="1">IF(B299&gt;=$J$5,0,(CONTADORES!AG309-CONTADORES!AG308))</f>
        <v>5.7999999999883585</v>
      </c>
      <c r="AK299" s="1450">
        <f ca="1">IF(B299&gt;=$J$5,0,(CONTADORES!O309-CONTADORES!O308))</f>
        <v>8</v>
      </c>
      <c r="AL299" s="1500">
        <f t="shared" ca="1" si="136"/>
        <v>36.600000000009459</v>
      </c>
      <c r="AM299" s="1450">
        <f ca="1">IF(B299&gt;=$J$5,0,(((CONTADORES!F309-CONTADORES!F308)+(CONTADORES!AO309-CONTADORES!AO308))))-BJ299-AF299-AN299-BM299-BP299-BU299-BS299+T299</f>
        <v>10.121999999999382</v>
      </c>
      <c r="AN299" s="1438">
        <f ca="1">IF(B299&gt;=$J$5,0,(CONTADORES!AV309-CONTADORES!AV308)+(CONTADORES!AX309-CONTADORES!AX308)+(CONTADORES!BC309-CONTADORES!BC308))-BS299</f>
        <v>2.8730000000003635</v>
      </c>
      <c r="AO299" s="1478">
        <f>(CONTADORES!AA309-CONTADORES!AA308)</f>
        <v>71</v>
      </c>
      <c r="AP299" s="1478">
        <f>(CONTADORES!V309-CONTADORES!V308)</f>
        <v>143</v>
      </c>
      <c r="AQ299" s="1478">
        <f>(CONTADORES!C309-CONTADORES!C308)</f>
        <v>0</v>
      </c>
      <c r="AR299" s="1478">
        <f>(CONTADORES!BA309-CONTADORES!BA308)</f>
        <v>0.21699999999998454</v>
      </c>
      <c r="AS299" s="1438">
        <f ca="1">IF(B299&gt;=$J$5,0,CONTADORES!Q309-CONTADORES!Q308)</f>
        <v>14</v>
      </c>
      <c r="AT299" s="1438">
        <f ca="1">IF(B299&gt;=$J$5,0,(CONTADORES!S309-CONTADORES!S308)+(CONTADORES!AE309-CONTADORES!AE308))</f>
        <v>3.1999999999999886</v>
      </c>
      <c r="AU299" s="1474">
        <f>CONTADORES!I309-CONTADORES!I308</f>
        <v>81</v>
      </c>
      <c r="AV299" s="1478">
        <f>CONTADORES!AT309-CONTADORES!AT308</f>
        <v>64</v>
      </c>
      <c r="AW299" s="1478">
        <f ca="1">IF(B299&gt;=$J$5,0,(CONTADORES!L309-CONTADORES!L308)+(CONTADORES!AL309-CONTADORES!AL308))</f>
        <v>2.7000000000007276</v>
      </c>
      <c r="AX299" s="1478">
        <f ca="1">IF(B299&gt;=$J$5,0,(CONTADORES!N309-CONTADORES!N308)+(CONTADORES!AJ309-CONTADORES!AJ308))</f>
        <v>28.599999999998545</v>
      </c>
      <c r="AY299" s="1478">
        <f ca="1">IF(B299&gt;=$J$5,0,(CONTADORES!AH309-CONTADORES!AH308))</f>
        <v>3.3000000000029104</v>
      </c>
      <c r="AZ299" s="1478">
        <f ca="1">IF(B299&gt;=$J$5,0,(CONTADORES!P309-CONTADORES!P308))</f>
        <v>7</v>
      </c>
      <c r="BA299" s="1450">
        <f t="shared" ca="1" si="137"/>
        <v>10.774999999997647</v>
      </c>
      <c r="BB299" s="1440">
        <f ca="1">IF(B299&gt;=$J$5,0,(((CONTADORES!G309-CONTADORES!G308)+(CONTADORES!AP309-CONTADORES!AP308)+AR299)-(AV299+BC299)))</f>
        <v>7.6170000000005302</v>
      </c>
      <c r="BC299" s="1439">
        <f ca="1">IF(B299&gt;=$J$5,0,(CONTADORES!AW309-CONTADORES!AW308)+(CONTADORES!AY309-CONTADORES!AY308)+(CONTADORES!BD309-CONTADORES!BD308))</f>
        <v>2.6999999999998181</v>
      </c>
      <c r="BD299" s="1438">
        <f t="shared" si="138"/>
        <v>214.21699999999998</v>
      </c>
      <c r="BE299" s="1439">
        <f ca="1">IF($B299&gt;=$J$5,0,CONTADORES!$BE309)</f>
        <v>5564.77</v>
      </c>
      <c r="BF299" s="1438">
        <f ca="1">IF($B299&gt;=$J$5,0,CONTADORES!$BF309)</f>
        <v>34027.398245614</v>
      </c>
      <c r="BG299" s="1439">
        <f ca="1">IF($B299&gt;=$J$5,0,CONTADORES!$BH309)</f>
        <v>4951.21</v>
      </c>
      <c r="BH299" s="1438">
        <f ca="1">IF(B299&gt;=$J$5,0,(CONTADORES!AQ309-CONTADORES!AQ308))</f>
        <v>4</v>
      </c>
      <c r="BI299" s="1438">
        <f ca="1">IF(B299&gt;=$J$5,0,(CONTADORES!AR309-CONTADORES!AR308))</f>
        <v>0</v>
      </c>
      <c r="BJ299" s="1439">
        <f ca="1">IF(B299&gt;=$J$5,0,CONTADORES!BI309-CONTADORES!BI308)/1000</f>
        <v>2.2000000000000002</v>
      </c>
      <c r="BK299" s="1450">
        <f ca="1">IF(B299&gt;=$J$5,0,CONTADORES!BJ309-CONTADORES!BJ308)</f>
        <v>1</v>
      </c>
      <c r="BL299" s="1450">
        <f ca="1">IF(B299&gt;=$J$5,0,CONTADORES!BK309-CONTADORES!BK308)</f>
        <v>24</v>
      </c>
      <c r="BM299" s="1450">
        <f ca="1">IF(B299&gt;=$J$5,0,CONTADORES!BL309-CONTADORES!BL308)/1000</f>
        <v>5.0460000000000003</v>
      </c>
      <c r="BN299" s="1450">
        <f ca="1">IF(B299&gt;=$J$5,0,CONTADORES!BM309-CONTADORES!BM308)/1000</f>
        <v>1.06</v>
      </c>
      <c r="BO299" s="1450">
        <f ca="1">IF(B299&gt;=$J$5,0,CONTADORES!BN309-CONTADORES!BN308)</f>
        <v>24</v>
      </c>
      <c r="BP299" s="1450">
        <f ca="1">IF(B299&gt;=$J$5,0,CONTADORES!BO309-CONTADORES!BO308)/1000</f>
        <v>0</v>
      </c>
      <c r="BQ299" s="1450">
        <f ca="1">IF(B299&gt;=$J$5,0,CONTADORES!BP309-CONTADORES!BP308)/1000</f>
        <v>0</v>
      </c>
      <c r="BR299" s="1450">
        <f ca="1">IF(B299&gt;=$J$5,0,CONTADORES!BQ309-CONTADORES!BQ308)</f>
        <v>0</v>
      </c>
      <c r="BS299" s="1450">
        <f ca="1">IF(B299&gt;=$J$5,0,(CONTADORES!BT309-CONTADORES!BT308)+(CONTADORES!BV309-CONTADORES!BV308))/1000</f>
        <v>1.2270000000000001</v>
      </c>
      <c r="BT299" s="1450">
        <f ca="1">IF(B299&gt;=$J$5,0,(CONTADORES!BU309-CONTADORES!BU308)+(CONTADORES!BW309-CONTADORES!BW308))/1000</f>
        <v>0.76500000000000001</v>
      </c>
      <c r="BU299" s="1450">
        <f ca="1">IF(B299&gt;=$J$5,0,CONTADORES!BR309-CONTADORES!BR308)</f>
        <v>5.8000000000010914</v>
      </c>
      <c r="BV299" s="1450">
        <f ca="1">IF(B299&gt;=$J$5,0,CONTADORES!BS309-CONTADORES!BS308)</f>
        <v>3.6999999999998181</v>
      </c>
      <c r="BW299" s="1450">
        <f t="shared" ca="1" si="139"/>
        <v>10.861000000000782</v>
      </c>
      <c r="BX299" s="1450">
        <f t="shared" ca="1" si="140"/>
        <v>7.5085000000000832</v>
      </c>
      <c r="BY299" s="1450">
        <f t="shared" ca="1" si="141"/>
        <v>5.0609999999996909</v>
      </c>
      <c r="BZ299" s="1450">
        <f t="shared" ca="1" si="142"/>
        <v>1.1492000000001454</v>
      </c>
      <c r="CA299" s="1450">
        <f t="shared" ca="1" si="143"/>
        <v>5.0609999999996909</v>
      </c>
      <c r="CB299" s="1450">
        <f t="shared" ca="1" si="144"/>
        <v>1.723800000000218</v>
      </c>
      <c r="CC299" s="1450">
        <f t="shared" ca="1" si="145"/>
        <v>2.3762000000001455</v>
      </c>
      <c r="CD299" s="1450">
        <f t="shared" ca="1" si="146"/>
        <v>3.8085000000002651</v>
      </c>
      <c r="CE299" s="1450">
        <f ca="1">IF(B299&gt;=$J$5,0,CONTADORES!BS309-CONTADORES!BS308)</f>
        <v>3.6999999999998181</v>
      </c>
      <c r="CF299" s="1450">
        <f t="shared" ca="1" si="147"/>
        <v>3.8085000000002651</v>
      </c>
      <c r="CG299" s="1450">
        <f t="shared" ca="1" si="148"/>
        <v>1.3499999999999091</v>
      </c>
      <c r="CH299" s="1450">
        <f t="shared" ca="1" si="149"/>
        <v>1.3499999999999091</v>
      </c>
      <c r="CI299" s="1450">
        <f t="shared" ca="1" si="150"/>
        <v>2.1149999999999092</v>
      </c>
      <c r="CJ299" s="1450">
        <f ca="1">IF($B299&gt;=$J$5,0,CONTADORES!$BG309)</f>
        <v>8800.1565838586394</v>
      </c>
      <c r="CK299" s="1516">
        <f>CONTADORES!E309</f>
        <v>0</v>
      </c>
      <c r="CL299" s="1516">
        <f>CONTADORES!BX309</f>
        <v>0.6</v>
      </c>
    </row>
    <row r="300" spans="2:90">
      <c r="B300" s="1514">
        <v>45216</v>
      </c>
      <c r="C300" s="208">
        <f t="shared" ca="1" si="126"/>
        <v>232</v>
      </c>
      <c r="D300" s="202">
        <f ca="1">'CALCULO DE GAS'!P122</f>
        <v>4.5578133675931412</v>
      </c>
      <c r="E300" s="202">
        <f ca="1">IF(B300&gt;=$J$5,0,(CONTADORES!$AB310-CONTADORES!$AB309)-$H300)</f>
        <v>24</v>
      </c>
      <c r="F300" s="204">
        <f t="shared" ca="1" si="153"/>
        <v>0</v>
      </c>
      <c r="G300" s="202">
        <f ca="1">IF(B300&gt;=$J$5,0,CONTADORES!$AD310-CONTADORES!$AD309)</f>
        <v>0</v>
      </c>
      <c r="H300" s="202">
        <f ca="1">IF(G300&gt;0,CONTADORES!$AC310-CONTADORES!$AC309,0)</f>
        <v>0</v>
      </c>
      <c r="I300" s="205">
        <f ca="1">IF(B300&gt;=$J$5,0,CONTADORES!$Z310-CONTADORES!$Z309)</f>
        <v>232</v>
      </c>
      <c r="J300" s="204">
        <f t="shared" ca="1" si="127"/>
        <v>200</v>
      </c>
      <c r="K300" s="202">
        <f ca="1">'CALCULO DE GAS'!Q122</f>
        <v>4.1442399081017172</v>
      </c>
      <c r="L300" s="1437">
        <f ca="1">IF(B300&gt;=$J$5,0,(CONTADORES!$W310-CONTADORES!$W309)-$O300)</f>
        <v>24</v>
      </c>
      <c r="M300" s="1437">
        <f t="shared" ca="1" si="151"/>
        <v>0</v>
      </c>
      <c r="N300" s="1437">
        <f ca="1">IF(B300&gt;=$J$5,0,CONTADORES!$Y310-CONTADORES!$Y309)</f>
        <v>0</v>
      </c>
      <c r="O300" s="1437">
        <f ca="1">IF(N300&gt;0,CONTADORES!$X310-CONTADORES!$X309,0)</f>
        <v>0</v>
      </c>
      <c r="P300" s="208">
        <f ca="1">IF(B300&gt;=$J$5,0,CONTADORES!$U310-CONTADORES!$U309)</f>
        <v>200</v>
      </c>
      <c r="Q300" s="208">
        <f ca="1">IF(B300&gt;=$J$5,0,CONTADORES!$B310-CONTADORES!$B309)</f>
        <v>0.66600000000016735</v>
      </c>
      <c r="R300" s="202">
        <f t="shared" ca="1" si="128"/>
        <v>79.920000000020082</v>
      </c>
      <c r="S300" s="11">
        <f ca="1">IF(B300&gt;=$J$5,0,CONTADORES!$D310-CONTADORES!$D309)</f>
        <v>1.1000000000003638</v>
      </c>
      <c r="T300" s="204">
        <f ca="1">IF(B300&gt;=$J$5,0,CONTADORES!$AZ310-CONTADORES!$AZ309)</f>
        <v>0</v>
      </c>
      <c r="U300" s="202">
        <f t="shared" ca="1" si="152"/>
        <v>0</v>
      </c>
      <c r="V300" s="205">
        <f ca="1">IF(B300&gt;=$J$5,0,CONTADORES!$BB310-CONTADORES!$BB309)</f>
        <v>0</v>
      </c>
      <c r="W300" s="1438">
        <f t="shared" ca="1" si="129"/>
        <v>432</v>
      </c>
      <c r="X300" s="1438">
        <f t="shared" ca="1" si="130"/>
        <v>0.66600000000016735</v>
      </c>
      <c r="Y300" s="1439">
        <f t="shared" ca="1" si="131"/>
        <v>432.66600000000017</v>
      </c>
      <c r="Z300" s="1439">
        <f t="shared" ca="1" si="132"/>
        <v>8.7020532756948583</v>
      </c>
      <c r="AA300" s="1439">
        <f t="shared" ca="1" si="133"/>
        <v>79.920000000020082</v>
      </c>
      <c r="AB300" s="1439">
        <f t="shared" ca="1" si="134"/>
        <v>48</v>
      </c>
      <c r="AC300" s="1438">
        <f t="shared" ca="1" si="135"/>
        <v>1.1000000000003638</v>
      </c>
      <c r="AD300" s="1438">
        <f ca="1">IF(B300&gt;=$J$5,0,CONTADORES!H310-CONTADORES!H309)</f>
        <v>166</v>
      </c>
      <c r="AE300" s="1438">
        <f ca="1">IF(B300&gt;=$J$5,0,CONTADORES!J310-CONTADORES!J309)</f>
        <v>24</v>
      </c>
      <c r="AF300" s="1438">
        <f ca="1">IF(B300&gt;=$J$5,0,CONTADORES!AS310-CONTADORES!AS309)</f>
        <v>149</v>
      </c>
      <c r="AG300" s="1438">
        <f ca="1">IF(B300&gt;=$J$5,0,CONTADORES!AU310-CONTADORES!AU309)</f>
        <v>24</v>
      </c>
      <c r="AH300" s="1450">
        <f ca="1">IF(B300&gt;=$J$5,0,(CONTADORES!AK310-CONTADORES!AK309)+(CONTADORES!K310-CONTADORES!K309))</f>
        <v>7.8000000000047294</v>
      </c>
      <c r="AI300" s="1450">
        <f ca="1">IF(B300&gt;=$J$5,0,(CONTADORES!AI310-CONTADORES!AI309)+(CONTADORES!M310-CONTADORES!M309))</f>
        <v>33.700000000011642</v>
      </c>
      <c r="AJ300" s="1450">
        <f ca="1">IF(B300&gt;=$J$5,0,(CONTADORES!AG310-CONTADORES!AG309))</f>
        <v>7.8000000000029104</v>
      </c>
      <c r="AK300" s="1450">
        <f ca="1">IF(B300&gt;=$J$5,0,(CONTADORES!O310-CONTADORES!O309))</f>
        <v>8</v>
      </c>
      <c r="AL300" s="1500">
        <f t="shared" ca="1" si="136"/>
        <v>29.765999999982341</v>
      </c>
      <c r="AM300" s="1450">
        <f ca="1">IF(B300&gt;=$J$5,0,(((CONTADORES!F310-CONTADORES!F309)+(CONTADORES!AO310-CONTADORES!AO309))))-BJ300-AF300-AN300-BM300-BP300-BU300-BS300+T300</f>
        <v>12.392999999999901</v>
      </c>
      <c r="AN300" s="1438">
        <f ca="1">IF(B300&gt;=$J$5,0,(CONTADORES!AV310-CONTADORES!AV309)+(CONTADORES!AX310-CONTADORES!AX309)+(CONTADORES!BC310-CONTADORES!BC309))-BS300</f>
        <v>3.5249999999997397</v>
      </c>
      <c r="AO300" s="1478">
        <f>(CONTADORES!AA310-CONTADORES!AA309)</f>
        <v>116</v>
      </c>
      <c r="AP300" s="1478">
        <f>(CONTADORES!V310-CONTADORES!V309)</f>
        <v>98</v>
      </c>
      <c r="AQ300" s="1478">
        <f>(CONTADORES!C310-CONTADORES!C309)</f>
        <v>0.32900000000006457</v>
      </c>
      <c r="AR300" s="1478">
        <f>(CONTADORES!BA310-CONTADORES!BA309)</f>
        <v>0</v>
      </c>
      <c r="AS300" s="1438">
        <f ca="1">IF(B300&gt;=$J$5,0,CONTADORES!Q310-CONTADORES!Q309)</f>
        <v>14</v>
      </c>
      <c r="AT300" s="1438">
        <f ca="1">IF(B300&gt;=$J$5,0,(CONTADORES!S310-CONTADORES!S309)+(CONTADORES!AE310-CONTADORES!AE309))</f>
        <v>3.4000000000000341</v>
      </c>
      <c r="AU300" s="1474">
        <f>CONTADORES!I310-CONTADORES!I309</f>
        <v>82</v>
      </c>
      <c r="AV300" s="1478">
        <f>CONTADORES!AT310-CONTADORES!AT309</f>
        <v>64</v>
      </c>
      <c r="AW300" s="1478">
        <f ca="1">IF(B300&gt;=$J$5,0,(CONTADORES!L310-CONTADORES!L309)+(CONTADORES!AL310-CONTADORES!AL309))</f>
        <v>2.8999999999978172</v>
      </c>
      <c r="AX300" s="1478">
        <f ca="1">IF(B300&gt;=$J$5,0,(CONTADORES!N310-CONTADORES!N309)+(CONTADORES!AJ310-CONTADORES!AJ309))</f>
        <v>28.400000000001455</v>
      </c>
      <c r="AY300" s="1478">
        <f ca="1">IF(B300&gt;=$J$5,0,(CONTADORES!AH310-CONTADORES!AH309))</f>
        <v>7</v>
      </c>
      <c r="AZ300" s="1478">
        <f ca="1">IF(B300&gt;=$J$5,0,(CONTADORES!P310-CONTADORES!P309))</f>
        <v>6</v>
      </c>
      <c r="BA300" s="1450">
        <f t="shared" ca="1" si="137"/>
        <v>5.3120000000006087</v>
      </c>
      <c r="BB300" s="1440">
        <f ca="1">IF(B300&gt;=$J$5,0,(((CONTADORES!G310-CONTADORES!G309)+(CONTADORES!AP310-CONTADORES!AP309)+AR300)-(AV300+BC300)))</f>
        <v>9.1500000000002615</v>
      </c>
      <c r="BC300" s="1439">
        <f ca="1">IF(B300&gt;=$J$5,0,(CONTADORES!AW310-CONTADORES!AW309)+(CONTADORES!AY310-CONTADORES!AY309)+(CONTADORES!BD310-CONTADORES!BD309))</f>
        <v>2.9500000000001023</v>
      </c>
      <c r="BD300" s="1438">
        <f t="shared" si="138"/>
        <v>214.32900000000006</v>
      </c>
      <c r="BE300" s="1439">
        <f ca="1">IF($B300&gt;=$J$5,0,CONTADORES!$BE310)</f>
        <v>5126.01</v>
      </c>
      <c r="BF300" s="1438">
        <f ca="1">IF($B300&gt;=$J$5,0,CONTADORES!$BF310)</f>
        <v>34000.077192982499</v>
      </c>
      <c r="BG300" s="1439">
        <f ca="1">IF($B300&gt;=$J$5,0,CONTADORES!$BH310)</f>
        <v>4737.8</v>
      </c>
      <c r="BH300" s="1438">
        <f ca="1">IF(B300&gt;=$J$5,0,(CONTADORES!AQ310-CONTADORES!AQ309))</f>
        <v>5</v>
      </c>
      <c r="BI300" s="1438">
        <f ca="1">IF(B300&gt;=$J$5,0,(CONTADORES!AR310-CONTADORES!AR309))</f>
        <v>0</v>
      </c>
      <c r="BJ300" s="1439">
        <f ca="1">IF(B300&gt;=$J$5,0,CONTADORES!BI310-CONTADORES!BI309)/1000</f>
        <v>2.6</v>
      </c>
      <c r="BK300" s="1450">
        <f ca="1">IF(B300&gt;=$J$5,0,CONTADORES!BJ310-CONTADORES!BJ309)</f>
        <v>1</v>
      </c>
      <c r="BL300" s="1450">
        <f ca="1">IF(B300&gt;=$J$5,0,CONTADORES!BK310-CONTADORES!BK309)</f>
        <v>24</v>
      </c>
      <c r="BM300" s="1450">
        <f ca="1">IF(B300&gt;=$J$5,0,CONTADORES!BL310-CONTADORES!BL309)/1000</f>
        <v>5.0270000000000001</v>
      </c>
      <c r="BN300" s="1450">
        <f ca="1">IF(B300&gt;=$J$5,0,CONTADORES!BM310-CONTADORES!BM309)/1000</f>
        <v>1.083</v>
      </c>
      <c r="BO300" s="1450">
        <f ca="1">IF(B300&gt;=$J$5,0,CONTADORES!BN310-CONTADORES!BN309)</f>
        <v>24</v>
      </c>
      <c r="BP300" s="1450">
        <f ca="1">IF(B300&gt;=$J$5,0,CONTADORES!BO310-CONTADORES!BO309)/1000</f>
        <v>0</v>
      </c>
      <c r="BQ300" s="1450">
        <f ca="1">IF(B300&gt;=$J$5,0,CONTADORES!BP310-CONTADORES!BP309)/1000</f>
        <v>0</v>
      </c>
      <c r="BR300" s="1450">
        <f ca="1">IF(B300&gt;=$J$5,0,CONTADORES!BQ310-CONTADORES!BQ309)</f>
        <v>0</v>
      </c>
      <c r="BS300" s="1450">
        <f ca="1">IF(B300&gt;=$J$5,0,(CONTADORES!BT310-CONTADORES!BT309)+(CONTADORES!BV310-CONTADORES!BV309))/1000</f>
        <v>1.355</v>
      </c>
      <c r="BT300" s="1450">
        <f ca="1">IF(B300&gt;=$J$5,0,(CONTADORES!BU310-CONTADORES!BU309)+(CONTADORES!BW310-CONTADORES!BW309))/1000</f>
        <v>0.83399999999999996</v>
      </c>
      <c r="BU300" s="1450">
        <f ca="1">IF(B300&gt;=$J$5,0,CONTADORES!BR310-CONTADORES!BR309)</f>
        <v>5.6999999999989086</v>
      </c>
      <c r="BV300" s="1450">
        <f ca="1">IF(B300&gt;=$J$5,0,CONTADORES!BS310-CONTADORES!BS309)</f>
        <v>3.6999999999998181</v>
      </c>
      <c r="BW300" s="1450">
        <f t="shared" ca="1" si="139"/>
        <v>11.896499999998859</v>
      </c>
      <c r="BX300" s="1450">
        <f t="shared" ca="1" si="140"/>
        <v>8.2749999999999488</v>
      </c>
      <c r="BY300" s="1450">
        <f t="shared" ca="1" si="141"/>
        <v>6.1964999999999506</v>
      </c>
      <c r="BZ300" s="1450">
        <f t="shared" ca="1" si="142"/>
        <v>1.409999999999896</v>
      </c>
      <c r="CA300" s="1450">
        <f t="shared" ca="1" si="143"/>
        <v>6.1964999999999506</v>
      </c>
      <c r="CB300" s="1450">
        <f t="shared" ca="1" si="144"/>
        <v>2.1149999999998439</v>
      </c>
      <c r="CC300" s="1450">
        <f t="shared" ca="1" si="145"/>
        <v>2.7649999999998958</v>
      </c>
      <c r="CD300" s="1450">
        <f t="shared" ca="1" si="146"/>
        <v>4.5750000000001307</v>
      </c>
      <c r="CE300" s="1450">
        <f ca="1">IF(B300&gt;=$J$5,0,CONTADORES!BS310-CONTADORES!BS309)</f>
        <v>3.6999999999998181</v>
      </c>
      <c r="CF300" s="1450">
        <f t="shared" ca="1" si="147"/>
        <v>4.5750000000001307</v>
      </c>
      <c r="CG300" s="1450">
        <f t="shared" ca="1" si="148"/>
        <v>1.4750000000000512</v>
      </c>
      <c r="CH300" s="1450">
        <f t="shared" ca="1" si="149"/>
        <v>1.4750000000000512</v>
      </c>
      <c r="CI300" s="1450">
        <f t="shared" ca="1" si="150"/>
        <v>2.3090000000000512</v>
      </c>
      <c r="CJ300" s="1450">
        <f ca="1">IF($B300&gt;=$J$5,0,CONTADORES!$BG310)</f>
        <v>8321.0522818014397</v>
      </c>
      <c r="CK300" s="1516">
        <f>CONTADORES!E310</f>
        <v>0.7</v>
      </c>
      <c r="CL300" s="1516">
        <f>CONTADORES!BX310</f>
        <v>0</v>
      </c>
    </row>
    <row r="301" spans="2:90">
      <c r="B301" s="1514">
        <v>45217</v>
      </c>
      <c r="C301" s="208">
        <f t="shared" ca="1" si="126"/>
        <v>290</v>
      </c>
      <c r="D301" s="202">
        <f ca="1">'CALCULO DE GAS'!P123</f>
        <v>5.0513107064458911</v>
      </c>
      <c r="E301" s="202">
        <f ca="1">IF(B301&gt;=$J$5,0,(CONTADORES!$AB311-CONTADORES!$AB310)-$H301)</f>
        <v>24</v>
      </c>
      <c r="F301" s="204">
        <f t="shared" ca="1" si="153"/>
        <v>0</v>
      </c>
      <c r="G301" s="202">
        <f ca="1">IF(B301&gt;=$J$5,0,CONTADORES!$AD311-CONTADORES!$AD310)</f>
        <v>0</v>
      </c>
      <c r="H301" s="202">
        <f ca="1">IF(G301&gt;0,CONTADORES!$AC311-CONTADORES!$AC310,0)</f>
        <v>0</v>
      </c>
      <c r="I301" s="205">
        <f ca="1">IF(B301&gt;=$J$5,0,CONTADORES!$Z311-CONTADORES!$Z310)</f>
        <v>290</v>
      </c>
      <c r="J301" s="204">
        <f t="shared" ca="1" si="127"/>
        <v>150</v>
      </c>
      <c r="K301" s="202">
        <f ca="1">'CALCULO DE GAS'!Q123</f>
        <v>3.5415491925487905</v>
      </c>
      <c r="L301" s="1437">
        <f ca="1">IF(B301&gt;=$J$5,0,(CONTADORES!$W311-CONTADORES!$W310)-$O301)</f>
        <v>24</v>
      </c>
      <c r="M301" s="1437">
        <f t="shared" ca="1" si="151"/>
        <v>0</v>
      </c>
      <c r="N301" s="1437">
        <f ca="1">IF(B301&gt;=$J$5,0,CONTADORES!$Y311-CONTADORES!$Y310)</f>
        <v>0</v>
      </c>
      <c r="O301" s="1437">
        <f ca="1">IF(N301&gt;0,CONTADORES!$X311-CONTADORES!$X310,0)</f>
        <v>0</v>
      </c>
      <c r="P301" s="208">
        <f ca="1">IF(B301&gt;=$J$5,0,CONTADORES!$U311-CONTADORES!$U310)</f>
        <v>150</v>
      </c>
      <c r="Q301" s="208">
        <f ca="1">IF(B301&gt;=$J$5,0,CONTADORES!$B311-CONTADORES!$B310)</f>
        <v>0</v>
      </c>
      <c r="R301" s="202">
        <f t="shared" ca="1" si="128"/>
        <v>0</v>
      </c>
      <c r="S301" s="11">
        <f ca="1">IF(B301&gt;=$J$5,0,CONTADORES!$D311-CONTADORES!$D310)</f>
        <v>0</v>
      </c>
      <c r="T301" s="204">
        <f ca="1">IF(B301&gt;=$J$5,0,CONTADORES!$AZ311-CONTADORES!$AZ310)</f>
        <v>0</v>
      </c>
      <c r="U301" s="202">
        <f t="shared" ca="1" si="152"/>
        <v>0</v>
      </c>
      <c r="V301" s="205">
        <f ca="1">IF(B301&gt;=$J$5,0,CONTADORES!$BB311-CONTADORES!$BB310)</f>
        <v>0</v>
      </c>
      <c r="W301" s="1438">
        <f t="shared" ca="1" si="129"/>
        <v>440</v>
      </c>
      <c r="X301" s="1438">
        <f t="shared" ca="1" si="130"/>
        <v>0</v>
      </c>
      <c r="Y301" s="1439">
        <f t="shared" ca="1" si="131"/>
        <v>440</v>
      </c>
      <c r="Z301" s="1439">
        <f t="shared" ca="1" si="132"/>
        <v>8.5928598989946821</v>
      </c>
      <c r="AA301" s="1439">
        <f t="shared" ca="1" si="133"/>
        <v>0</v>
      </c>
      <c r="AB301" s="1439">
        <f t="shared" ca="1" si="134"/>
        <v>48</v>
      </c>
      <c r="AC301" s="1438">
        <f t="shared" ca="1" si="135"/>
        <v>0</v>
      </c>
      <c r="AD301" s="1438">
        <f ca="1">IF(B301&gt;=$J$5,0,CONTADORES!H311-CONTADORES!H310)</f>
        <v>164</v>
      </c>
      <c r="AE301" s="1438">
        <f ca="1">IF(B301&gt;=$J$5,0,CONTADORES!J311-CONTADORES!J310)</f>
        <v>24</v>
      </c>
      <c r="AF301" s="1438">
        <f ca="1">IF(B301&gt;=$J$5,0,CONTADORES!AS311-CONTADORES!AS310)</f>
        <v>150</v>
      </c>
      <c r="AG301" s="1438">
        <f ca="1">IF(B301&gt;=$J$5,0,CONTADORES!AU311-CONTADORES!AU310)</f>
        <v>24</v>
      </c>
      <c r="AH301" s="1450">
        <f ca="1">IF(B301&gt;=$J$5,0,(CONTADORES!AK311-CONTADORES!AK310)+(CONTADORES!K311-CONTADORES!K310))</f>
        <v>11.399999999994179</v>
      </c>
      <c r="AI301" s="1450">
        <f ca="1">IF(B301&gt;=$J$5,0,(CONTADORES!AI311-CONTADORES!AI310)+(CONTADORES!M311-CONTADORES!M310))</f>
        <v>36.899999999994179</v>
      </c>
      <c r="AJ301" s="1450">
        <f ca="1">IF(B301&gt;=$J$5,0,(CONTADORES!AG311-CONTADORES!AG310))</f>
        <v>7.1999999999970896</v>
      </c>
      <c r="AK301" s="1450">
        <f ca="1">IF(B301&gt;=$J$5,0,(CONTADORES!O311-CONTADORES!O310))</f>
        <v>10</v>
      </c>
      <c r="AL301" s="1500">
        <f t="shared" ca="1" si="136"/>
        <v>31.000000000014552</v>
      </c>
      <c r="AM301" s="1450">
        <f ca="1">IF(B301&gt;=$J$5,0,(((CONTADORES!F311-CONTADORES!F310)+(CONTADORES!AO311-CONTADORES!AO310))))-BJ301-AF301-AN301-BM301-BP301-BU301-BS301+T301</f>
        <v>10.535999999999904</v>
      </c>
      <c r="AN301" s="1438">
        <f ca="1">IF(B301&gt;=$J$5,0,(CONTADORES!AV311-CONTADORES!AV310)+(CONTADORES!AX311-CONTADORES!AX310)+(CONTADORES!BC311-CONTADORES!BC310))-BS301</f>
        <v>4.1200000000000907</v>
      </c>
      <c r="AO301" s="1478">
        <f>(CONTADORES!AA311-CONTADORES!AA310)</f>
        <v>142</v>
      </c>
      <c r="AP301" s="1478">
        <f>(CONTADORES!V311-CONTADORES!V310)</f>
        <v>77</v>
      </c>
      <c r="AQ301" s="1478">
        <f>(CONTADORES!C311-CONTADORES!C310)</f>
        <v>0</v>
      </c>
      <c r="AR301" s="1478">
        <f>(CONTADORES!BA311-CONTADORES!BA310)</f>
        <v>0</v>
      </c>
      <c r="AS301" s="1438">
        <f ca="1">IF(B301&gt;=$J$5,0,CONTADORES!Q311-CONTADORES!Q310)</f>
        <v>15</v>
      </c>
      <c r="AT301" s="1438">
        <f ca="1">IF(B301&gt;=$J$5,0,(CONTADORES!S311-CONTADORES!S310)+(CONTADORES!AE311-CONTADORES!AE310))</f>
        <v>3.5</v>
      </c>
      <c r="AU301" s="1474">
        <f>CONTADORES!I311-CONTADORES!I310</f>
        <v>81</v>
      </c>
      <c r="AV301" s="1478">
        <f>CONTADORES!AT311-CONTADORES!AT310</f>
        <v>66</v>
      </c>
      <c r="AW301" s="1478">
        <f ca="1">IF(B301&gt;=$J$5,0,(CONTADORES!L311-CONTADORES!L310)+(CONTADORES!AL311-CONTADORES!AL310))</f>
        <v>4.4000000000014552</v>
      </c>
      <c r="AX301" s="1478">
        <f ca="1">IF(B301&gt;=$J$5,0,(CONTADORES!N311-CONTADORES!N310)+(CONTADORES!AJ311-CONTADORES!AJ310))</f>
        <v>30.900000000001455</v>
      </c>
      <c r="AY301" s="1478">
        <f ca="1">IF(B301&gt;=$J$5,0,(CONTADORES!AH311-CONTADORES!AH310))</f>
        <v>5.5</v>
      </c>
      <c r="AZ301" s="1478">
        <f ca="1">IF(B301&gt;=$J$5,0,(CONTADORES!P311-CONTADORES!P310))</f>
        <v>8</v>
      </c>
      <c r="BA301" s="1450">
        <f t="shared" ca="1" si="137"/>
        <v>6.4409999999971035</v>
      </c>
      <c r="BB301" s="1440">
        <f ca="1">IF(B301&gt;=$J$5,0,(((CONTADORES!G311-CONTADORES!G310)+(CONTADORES!AP311-CONTADORES!AP310)+AR301)-(AV301+BC301)))</f>
        <v>7.2999999999992724</v>
      </c>
      <c r="BC301" s="1439">
        <f ca="1">IF(B301&gt;=$J$5,0,(CONTADORES!AW311-CONTADORES!AW310)+(CONTADORES!AY311-CONTADORES!AY310)+(CONTADORES!BD311-CONTADORES!BD310))</f>
        <v>2.8000000000001819</v>
      </c>
      <c r="BD301" s="1438">
        <f t="shared" si="138"/>
        <v>219</v>
      </c>
      <c r="BE301" s="1439">
        <f ca="1">IF($B301&gt;=$J$5,0,CONTADORES!$BE311)</f>
        <v>4857.79</v>
      </c>
      <c r="BF301" s="1438">
        <f ca="1">IF($B301&gt;=$J$5,0,CONTADORES!$BF311)</f>
        <v>33197.224561403498</v>
      </c>
      <c r="BG301" s="1439">
        <f ca="1">IF($B301&gt;=$J$5,0,CONTADORES!$BH311)</f>
        <v>4739.4799999999996</v>
      </c>
      <c r="BH301" s="1438">
        <f ca="1">IF(B301&gt;=$J$5,0,(CONTADORES!AQ311-CONTADORES!AQ310))</f>
        <v>6</v>
      </c>
      <c r="BI301" s="1438">
        <f ca="1">IF(B301&gt;=$J$5,0,(CONTADORES!AR311-CONTADORES!AR310))</f>
        <v>0</v>
      </c>
      <c r="BJ301" s="1439">
        <f ca="1">IF(B301&gt;=$J$5,0,CONTADORES!BI311-CONTADORES!BI310)/1000</f>
        <v>2.4</v>
      </c>
      <c r="BK301" s="1450">
        <f ca="1">IF(B301&gt;=$J$5,0,CONTADORES!BJ311-CONTADORES!BJ310)</f>
        <v>1</v>
      </c>
      <c r="BL301" s="1450">
        <f ca="1">IF(B301&gt;=$J$5,0,CONTADORES!BK311-CONTADORES!BK310)</f>
        <v>24</v>
      </c>
      <c r="BM301" s="1450">
        <f ca="1">IF(B301&gt;=$J$5,0,CONTADORES!BL311-CONTADORES!BL310)/1000</f>
        <v>5.1639999999999997</v>
      </c>
      <c r="BN301" s="1450">
        <f ca="1">IF(B301&gt;=$J$5,0,CONTADORES!BM311-CONTADORES!BM310)/1000</f>
        <v>1.0409999999999999</v>
      </c>
      <c r="BO301" s="1450">
        <f ca="1">IF(B301&gt;=$J$5,0,CONTADORES!BN311-CONTADORES!BN310)</f>
        <v>24</v>
      </c>
      <c r="BP301" s="1450">
        <f ca="1">IF(B301&gt;=$J$5,0,CONTADORES!BO311-CONTADORES!BO310)/1000</f>
        <v>0</v>
      </c>
      <c r="BQ301" s="1450">
        <f ca="1">IF(B301&gt;=$J$5,0,CONTADORES!BP311-CONTADORES!BP310)/1000</f>
        <v>0</v>
      </c>
      <c r="BR301" s="1450">
        <f ca="1">IF(B301&gt;=$J$5,0,CONTADORES!BQ311-CONTADORES!BQ310)</f>
        <v>0</v>
      </c>
      <c r="BS301" s="1450">
        <f ca="1">IF(B301&gt;=$J$5,0,(CONTADORES!BT311-CONTADORES!BT310)+(CONTADORES!BV311-CONTADORES!BV310))/1000</f>
        <v>1.28</v>
      </c>
      <c r="BT301" s="1450">
        <f ca="1">IF(B301&gt;=$J$5,0,(CONTADORES!BU311-CONTADORES!BU310)+(CONTADORES!BW311-CONTADORES!BW310))/1000</f>
        <v>0.71799999999999997</v>
      </c>
      <c r="BU301" s="1450">
        <f ca="1">IF(B301&gt;=$J$5,0,CONTADORES!BR311-CONTADORES!BR310)</f>
        <v>6</v>
      </c>
      <c r="BV301" s="1450">
        <f ca="1">IF(B301&gt;=$J$5,0,CONTADORES!BS311-CONTADORES!BS310)</f>
        <v>3.9000000000005457</v>
      </c>
      <c r="BW301" s="1450">
        <f t="shared" ca="1" si="139"/>
        <v>11.267999999999951</v>
      </c>
      <c r="BX301" s="1450">
        <f t="shared" ca="1" si="140"/>
        <v>7.5500000000001819</v>
      </c>
      <c r="BY301" s="1450">
        <f t="shared" ca="1" si="141"/>
        <v>5.2679999999999518</v>
      </c>
      <c r="BZ301" s="1450">
        <f t="shared" ca="1" si="142"/>
        <v>1.6480000000000363</v>
      </c>
      <c r="CA301" s="1450">
        <f t="shared" ca="1" si="143"/>
        <v>5.2679999999999518</v>
      </c>
      <c r="CB301" s="1450">
        <f t="shared" ca="1" si="144"/>
        <v>2.4720000000000546</v>
      </c>
      <c r="CC301" s="1450">
        <f t="shared" ca="1" si="145"/>
        <v>2.9280000000000364</v>
      </c>
      <c r="CD301" s="1450">
        <f t="shared" ca="1" si="146"/>
        <v>3.6499999999996362</v>
      </c>
      <c r="CE301" s="1450">
        <f ca="1">IF(B301&gt;=$J$5,0,CONTADORES!BS311-CONTADORES!BS310)</f>
        <v>3.9000000000005457</v>
      </c>
      <c r="CF301" s="1450">
        <f t="shared" ca="1" si="147"/>
        <v>3.6499999999996362</v>
      </c>
      <c r="CG301" s="1450">
        <f t="shared" ca="1" si="148"/>
        <v>1.4000000000000909</v>
      </c>
      <c r="CH301" s="1450">
        <f t="shared" ca="1" si="149"/>
        <v>1.4000000000000909</v>
      </c>
      <c r="CI301" s="1450">
        <f t="shared" ca="1" si="150"/>
        <v>2.1180000000000909</v>
      </c>
      <c r="CJ301" s="1450">
        <f ca="1">IF($B301&gt;=$J$5,0,CONTADORES!$BG311)</f>
        <v>9089.0528029996203</v>
      </c>
      <c r="CK301" s="1516">
        <f>CONTADORES!E311</f>
        <v>0</v>
      </c>
      <c r="CL301" s="1516">
        <f>CONTADORES!BX311</f>
        <v>0</v>
      </c>
    </row>
    <row r="302" spans="2:90">
      <c r="B302" s="1514">
        <v>45218</v>
      </c>
      <c r="C302" s="208">
        <f t="shared" ca="1" si="126"/>
        <v>148</v>
      </c>
      <c r="D302" s="202">
        <f ca="1">'CALCULO DE GAS'!P124</f>
        <v>3.8430930837374344</v>
      </c>
      <c r="E302" s="202">
        <f ca="1">IF(B302&gt;=$J$5,0,(CONTADORES!$AB312-CONTADORES!$AB311)-$H302)</f>
        <v>24</v>
      </c>
      <c r="F302" s="204">
        <f t="shared" ca="1" si="153"/>
        <v>0</v>
      </c>
      <c r="G302" s="202">
        <f ca="1">IF(B302&gt;=$J$5,0,CONTADORES!$AD312-CONTADORES!$AD311)</f>
        <v>0</v>
      </c>
      <c r="H302" s="202">
        <f ca="1">IF(G302&gt;0,CONTADORES!$AC312-CONTADORES!$AC311,0)</f>
        <v>0</v>
      </c>
      <c r="I302" s="205">
        <f ca="1">IF(B302&gt;=$J$5,0,CONTADORES!$Z312-CONTADORES!$Z311)</f>
        <v>148</v>
      </c>
      <c r="J302" s="204">
        <f t="shared" ca="1" si="127"/>
        <v>288</v>
      </c>
      <c r="K302" s="202">
        <f ca="1">'CALCULO DE GAS'!Q124</f>
        <v>5.2049755674748681</v>
      </c>
      <c r="L302" s="1437">
        <f ca="1">IF(B302&gt;=$J$5,0,(CONTADORES!$W312-CONTADORES!$W311)-$O302)</f>
        <v>24</v>
      </c>
      <c r="M302" s="1437">
        <f t="shared" ca="1" si="151"/>
        <v>0</v>
      </c>
      <c r="N302" s="1437">
        <f ca="1">IF(B302&gt;=$J$5,0,CONTADORES!$Y312-CONTADORES!$Y311)</f>
        <v>0</v>
      </c>
      <c r="O302" s="1437">
        <f ca="1">IF(N302&gt;0,CONTADORES!$X312-CONTADORES!$X311,0)</f>
        <v>0</v>
      </c>
      <c r="P302" s="208">
        <f ca="1">IF(B302&gt;=$J$5,0,CONTADORES!$U312-CONTADORES!$U311)</f>
        <v>288</v>
      </c>
      <c r="Q302" s="208">
        <f ca="1">IF(B302&gt;=$J$5,0,CONTADORES!$B312-CONTADORES!$B311)</f>
        <v>0</v>
      </c>
      <c r="R302" s="202">
        <f t="shared" ca="1" si="128"/>
        <v>0</v>
      </c>
      <c r="S302" s="11">
        <f ca="1">IF(B302&gt;=$J$5,0,CONTADORES!$D312-CONTADORES!$D311)</f>
        <v>0</v>
      </c>
      <c r="T302" s="204">
        <f ca="1">IF(B302&gt;=$J$5,0,CONTADORES!$AZ312-CONTADORES!$AZ311)</f>
        <v>0</v>
      </c>
      <c r="U302" s="202">
        <f t="shared" ca="1" si="152"/>
        <v>0</v>
      </c>
      <c r="V302" s="205">
        <f ca="1">IF(B302&gt;=$J$5,0,CONTADORES!$BB312-CONTADORES!$BB311)</f>
        <v>0</v>
      </c>
      <c r="W302" s="1438">
        <f t="shared" ca="1" si="129"/>
        <v>436</v>
      </c>
      <c r="X302" s="1438">
        <f t="shared" ca="1" si="130"/>
        <v>0</v>
      </c>
      <c r="Y302" s="1439">
        <f t="shared" ca="1" si="131"/>
        <v>436</v>
      </c>
      <c r="Z302" s="1439">
        <f t="shared" ca="1" si="132"/>
        <v>9.0480686512123025</v>
      </c>
      <c r="AA302" s="1439">
        <f t="shared" ca="1" si="133"/>
        <v>0</v>
      </c>
      <c r="AB302" s="1439">
        <f t="shared" ca="1" si="134"/>
        <v>48</v>
      </c>
      <c r="AC302" s="1438">
        <f t="shared" ca="1" si="135"/>
        <v>0</v>
      </c>
      <c r="AD302" s="1438">
        <f ca="1">IF(B302&gt;=$J$5,0,CONTADORES!H312-CONTADORES!H311)</f>
        <v>164</v>
      </c>
      <c r="AE302" s="1438">
        <f ca="1">IF(B302&gt;=$J$5,0,CONTADORES!J312-CONTADORES!J311)</f>
        <v>24</v>
      </c>
      <c r="AF302" s="1438">
        <f ca="1">IF(B302&gt;=$J$5,0,CONTADORES!AS312-CONTADORES!AS311)</f>
        <v>147</v>
      </c>
      <c r="AG302" s="1438">
        <f ca="1">IF(B302&gt;=$J$5,0,CONTADORES!AU312-CONTADORES!AU311)</f>
        <v>24</v>
      </c>
      <c r="AH302" s="1450">
        <f ca="1">IF(B302&gt;=$J$5,0,(CONTADORES!AK312-CONTADORES!AK311)+(CONTADORES!K312-CONTADORES!K311))</f>
        <v>9.4000000000014552</v>
      </c>
      <c r="AI302" s="1450">
        <f ca="1">IF(B302&gt;=$J$5,0,(CONTADORES!AI312-CONTADORES!AI311)+(CONTADORES!M312-CONTADORES!M311))</f>
        <v>36.5</v>
      </c>
      <c r="AJ302" s="1450">
        <f ca="1">IF(B302&gt;=$J$5,0,(CONTADORES!AG312-CONTADORES!AG311))</f>
        <v>4.8000000000029104</v>
      </c>
      <c r="AK302" s="1450">
        <f ca="1">IF(B302&gt;=$J$5,0,(CONTADORES!O312-CONTADORES!O311))</f>
        <v>8</v>
      </c>
      <c r="AL302" s="1500">
        <f t="shared" ca="1" si="136"/>
        <v>36.999999999992724</v>
      </c>
      <c r="AM302" s="1450">
        <f ca="1">IF(B302&gt;=$J$5,0,(((CONTADORES!F312-CONTADORES!F311)+(CONTADORES!AO312-CONTADORES!AO311))))-BJ302-AF302-AN302-BM302-BP302-BU302-BS302+T302</f>
        <v>10.378000000001629</v>
      </c>
      <c r="AN302" s="1438">
        <f ca="1">IF(B302&gt;=$J$5,0,(CONTADORES!AV312-CONTADORES!AV311)+(CONTADORES!AX312-CONTADORES!AX311)+(CONTADORES!BC312-CONTADORES!BC311))-BS302</f>
        <v>3.8860000000001822</v>
      </c>
      <c r="AO302" s="1478">
        <f>(CONTADORES!AA312-CONTADORES!AA311)</f>
        <v>74</v>
      </c>
      <c r="AP302" s="1478">
        <f>(CONTADORES!V312-CONTADORES!V311)</f>
        <v>143</v>
      </c>
      <c r="AQ302" s="1478">
        <f>(CONTADORES!C312-CONTADORES!C311)</f>
        <v>0</v>
      </c>
      <c r="AR302" s="1478">
        <f>(CONTADORES!BA312-CONTADORES!BA311)</f>
        <v>0</v>
      </c>
      <c r="AS302" s="1438">
        <f ca="1">IF(B302&gt;=$J$5,0,CONTADORES!Q312-CONTADORES!Q311)</f>
        <v>15</v>
      </c>
      <c r="AT302" s="1438">
        <f ca="1">IF(B302&gt;=$J$5,0,(CONTADORES!S312-CONTADORES!S311)+(CONTADORES!AE312-CONTADORES!AE311))</f>
        <v>3.5999999999999659</v>
      </c>
      <c r="AU302" s="1474">
        <f>CONTADORES!I312-CONTADORES!I311</f>
        <v>81</v>
      </c>
      <c r="AV302" s="1478">
        <f>CONTADORES!AT312-CONTADORES!AT311</f>
        <v>62</v>
      </c>
      <c r="AW302" s="1478">
        <f ca="1">IF(B302&gt;=$J$5,0,(CONTADORES!L312-CONTADORES!L311)+(CONTADORES!AL312-CONTADORES!AL311))</f>
        <v>3.7000000000007276</v>
      </c>
      <c r="AX302" s="1478">
        <f ca="1">IF(B302&gt;=$J$5,0,(CONTADORES!N312-CONTADORES!N311)+(CONTADORES!AJ312-CONTADORES!AJ311))</f>
        <v>30.5</v>
      </c>
      <c r="AY302" s="1478">
        <f ca="1">IF(B302&gt;=$J$5,0,(CONTADORES!AH312-CONTADORES!AH311))</f>
        <v>3.6999999999970896</v>
      </c>
      <c r="AZ302" s="1478">
        <f ca="1">IF(B302&gt;=$J$5,0,(CONTADORES!P312-CONTADORES!P311))</f>
        <v>7</v>
      </c>
      <c r="BA302" s="1450">
        <f t="shared" ca="1" si="137"/>
        <v>9.3800000000025534</v>
      </c>
      <c r="BB302" s="1440">
        <f ca="1">IF(B302&gt;=$J$5,0,(((CONTADORES!G312-CONTADORES!G311)+(CONTADORES!AP312-CONTADORES!AP311)+AR302)-(AV302+BC302)))</f>
        <v>10.099999999999909</v>
      </c>
      <c r="BC302" s="1439">
        <f ca="1">IF(B302&gt;=$J$5,0,(CONTADORES!AW312-CONTADORES!AW311)+(CONTADORES!AY312-CONTADORES!AY311)+(CONTADORES!BD312-CONTADORES!BD311))</f>
        <v>2.9000000000000909</v>
      </c>
      <c r="BD302" s="1438">
        <f t="shared" si="138"/>
        <v>217</v>
      </c>
      <c r="BE302" s="1439">
        <f ca="1">IF($B302&gt;=$J$5,0,CONTADORES!$BE312)</f>
        <v>5166.22</v>
      </c>
      <c r="BF302" s="1438">
        <f ca="1">IF($B302&gt;=$J$5,0,CONTADORES!$BF312)</f>
        <v>33716.494736842098</v>
      </c>
      <c r="BG302" s="1439">
        <f ca="1">IF($B302&gt;=$J$5,0,CONTADORES!$BH312)</f>
        <v>4619.51</v>
      </c>
      <c r="BH302" s="1438">
        <f ca="1">IF(B302&gt;=$J$5,0,(CONTADORES!AQ312-CONTADORES!AQ311))</f>
        <v>5</v>
      </c>
      <c r="BI302" s="1438">
        <f ca="1">IF(B302&gt;=$J$5,0,(CONTADORES!AR312-CONTADORES!AR311))</f>
        <v>0</v>
      </c>
      <c r="BJ302" s="1439">
        <f ca="1">IF(B302&gt;=$J$5,0,CONTADORES!BI312-CONTADORES!BI311)/1000</f>
        <v>2.8</v>
      </c>
      <c r="BK302" s="1450">
        <f ca="1">IF(B302&gt;=$J$5,0,CONTADORES!BJ312-CONTADORES!BJ311)</f>
        <v>1</v>
      </c>
      <c r="BL302" s="1450">
        <f ca="1">IF(B302&gt;=$J$5,0,CONTADORES!BK312-CONTADORES!BK311)</f>
        <v>24</v>
      </c>
      <c r="BM302" s="1450">
        <f ca="1">IF(B302&gt;=$J$5,0,CONTADORES!BL312-CONTADORES!BL311)/1000</f>
        <v>5.0220000000000002</v>
      </c>
      <c r="BN302" s="1450">
        <f ca="1">IF(B302&gt;=$J$5,0,CONTADORES!BM312-CONTADORES!BM311)/1000</f>
        <v>1.0249999999999999</v>
      </c>
      <c r="BO302" s="1450">
        <f ca="1">IF(B302&gt;=$J$5,0,CONTADORES!BN312-CONTADORES!BN311)</f>
        <v>24</v>
      </c>
      <c r="BP302" s="1450">
        <f ca="1">IF(B302&gt;=$J$5,0,CONTADORES!BO312-CONTADORES!BO311)/1000</f>
        <v>0</v>
      </c>
      <c r="BQ302" s="1450">
        <f ca="1">IF(B302&gt;=$J$5,0,CONTADORES!BP312-CONTADORES!BP311)/1000</f>
        <v>0</v>
      </c>
      <c r="BR302" s="1450">
        <f ca="1">IF(B302&gt;=$J$5,0,CONTADORES!BQ312-CONTADORES!BQ311)</f>
        <v>0</v>
      </c>
      <c r="BS302" s="1450">
        <f ca="1">IF(B302&gt;=$J$5,0,(CONTADORES!BT312-CONTADORES!BT311)+(CONTADORES!BV312-CONTADORES!BV311))/1000</f>
        <v>1.4139999999999999</v>
      </c>
      <c r="BT302" s="1450">
        <f ca="1">IF(B302&gt;=$J$5,0,(CONTADORES!BU312-CONTADORES!BU311)+(CONTADORES!BW312-CONTADORES!BW311))/1000</f>
        <v>0.79500000000000004</v>
      </c>
      <c r="BU302" s="1450">
        <f ca="1">IF(B302&gt;=$J$5,0,CONTADORES!BR312-CONTADORES!BR311)</f>
        <v>5.8000000000010914</v>
      </c>
      <c r="BV302" s="1450">
        <f ca="1">IF(B302&gt;=$J$5,0,CONTADORES!BS312-CONTADORES!BS311)</f>
        <v>3.8999999999996362</v>
      </c>
      <c r="BW302" s="1450">
        <f t="shared" ca="1" si="139"/>
        <v>10.989000000001905</v>
      </c>
      <c r="BX302" s="1450">
        <f t="shared" ca="1" si="140"/>
        <v>8.9499999999995907</v>
      </c>
      <c r="BY302" s="1450">
        <f t="shared" ca="1" si="141"/>
        <v>5.1890000000008145</v>
      </c>
      <c r="BZ302" s="1450">
        <f t="shared" ca="1" si="142"/>
        <v>1.5544000000000731</v>
      </c>
      <c r="CA302" s="1450">
        <f t="shared" ca="1" si="143"/>
        <v>5.1890000000008145</v>
      </c>
      <c r="CB302" s="1450">
        <f t="shared" ca="1" si="144"/>
        <v>2.3316000000001091</v>
      </c>
      <c r="CC302" s="1450">
        <f t="shared" ca="1" si="145"/>
        <v>2.9684000000000728</v>
      </c>
      <c r="CD302" s="1450">
        <f t="shared" ca="1" si="146"/>
        <v>5.0499999999999545</v>
      </c>
      <c r="CE302" s="1450">
        <f ca="1">IF(B302&gt;=$J$5,0,CONTADORES!BS312-CONTADORES!BS311)</f>
        <v>3.8999999999996362</v>
      </c>
      <c r="CF302" s="1450">
        <f t="shared" ca="1" si="147"/>
        <v>5.0499999999999545</v>
      </c>
      <c r="CG302" s="1450">
        <f t="shared" ca="1" si="148"/>
        <v>1.4500000000000455</v>
      </c>
      <c r="CH302" s="1450">
        <f t="shared" ca="1" si="149"/>
        <v>1.4500000000000455</v>
      </c>
      <c r="CI302" s="1450">
        <f t="shared" ca="1" si="150"/>
        <v>2.2450000000000454</v>
      </c>
      <c r="CJ302" s="1450">
        <f ca="1">IF($B302&gt;=$J$5,0,CONTADORES!$BG312)</f>
        <v>8728.5079113877291</v>
      </c>
      <c r="CK302" s="1516">
        <f>CONTADORES!E312</f>
        <v>0</v>
      </c>
      <c r="CL302" s="1516">
        <f>CONTADORES!BX312</f>
        <v>0</v>
      </c>
    </row>
    <row r="303" spans="2:90">
      <c r="B303" s="1514">
        <v>45219</v>
      </c>
      <c r="C303" s="208">
        <f t="shared" ca="1" si="126"/>
        <v>143</v>
      </c>
      <c r="D303" s="202">
        <f ca="1">'CALCULO DE GAS'!P125</f>
        <v>3.8005502096984038</v>
      </c>
      <c r="E303" s="202">
        <f ca="1">IF(B303&gt;=$J$5,0,(CONTADORES!$AB313-CONTADORES!$AB312)-$H303)</f>
        <v>24</v>
      </c>
      <c r="F303" s="204">
        <f t="shared" ca="1" si="153"/>
        <v>0</v>
      </c>
      <c r="G303" s="202">
        <f ca="1">IF(B303&gt;=$J$5,0,CONTADORES!$AD313-CONTADORES!$AD312)</f>
        <v>0</v>
      </c>
      <c r="H303" s="202">
        <f ca="1">IF(G303&gt;0,CONTADORES!$AC313-CONTADORES!$AC312,0)</f>
        <v>0</v>
      </c>
      <c r="I303" s="205">
        <f ca="1">IF(B303&gt;=$J$5,0,CONTADORES!$Z313-CONTADORES!$Z312)</f>
        <v>143</v>
      </c>
      <c r="J303" s="204">
        <f t="shared" ca="1" si="127"/>
        <v>297</v>
      </c>
      <c r="K303" s="202">
        <f ca="1">'CALCULO DE GAS'!Q125</f>
        <v>5.3134598962743951</v>
      </c>
      <c r="L303" s="1437">
        <f ca="1">IF(B303&gt;=$J$5,0,(CONTADORES!$W313-CONTADORES!$W312)-$O303)</f>
        <v>24</v>
      </c>
      <c r="M303" s="1437">
        <f t="shared" ca="1" si="151"/>
        <v>0</v>
      </c>
      <c r="N303" s="1437">
        <f ca="1">IF(B303&gt;=$J$5,0,CONTADORES!$Y313-CONTADORES!$Y312)</f>
        <v>0</v>
      </c>
      <c r="O303" s="1437">
        <f ca="1">IF(N303&gt;0,CONTADORES!$X313-CONTADORES!$X312,0)</f>
        <v>0</v>
      </c>
      <c r="P303" s="208">
        <f ca="1">IF(B303&gt;=$J$5,0,CONTADORES!$U313-CONTADORES!$U312)</f>
        <v>297</v>
      </c>
      <c r="Q303" s="208">
        <f ca="1">IF(B303&gt;=$J$5,0,CONTADORES!$B313-CONTADORES!$B312)</f>
        <v>0</v>
      </c>
      <c r="R303" s="202">
        <f t="shared" ca="1" si="128"/>
        <v>0</v>
      </c>
      <c r="S303" s="11">
        <f ca="1">IF(B303&gt;=$J$5,0,CONTADORES!$D313-CONTADORES!$D312)</f>
        <v>0</v>
      </c>
      <c r="T303" s="204">
        <f ca="1">IF(B303&gt;=$J$5,0,CONTADORES!$AZ313-CONTADORES!$AZ312)</f>
        <v>0</v>
      </c>
      <c r="U303" s="202">
        <f t="shared" ca="1" si="152"/>
        <v>0</v>
      </c>
      <c r="V303" s="205">
        <f ca="1">IF(B303&gt;=$J$5,0,CONTADORES!$BB313-CONTADORES!$BB312)</f>
        <v>0</v>
      </c>
      <c r="W303" s="1438">
        <f t="shared" ca="1" si="129"/>
        <v>440</v>
      </c>
      <c r="X303" s="1438">
        <f t="shared" ca="1" si="130"/>
        <v>0</v>
      </c>
      <c r="Y303" s="1439">
        <f t="shared" ca="1" si="131"/>
        <v>440</v>
      </c>
      <c r="Z303" s="1439">
        <f t="shared" ca="1" si="132"/>
        <v>9.1140101059727989</v>
      </c>
      <c r="AA303" s="1439">
        <f t="shared" ca="1" si="133"/>
        <v>0</v>
      </c>
      <c r="AB303" s="1439">
        <f t="shared" ca="1" si="134"/>
        <v>48</v>
      </c>
      <c r="AC303" s="1438">
        <f t="shared" ca="1" si="135"/>
        <v>0</v>
      </c>
      <c r="AD303" s="1438">
        <f ca="1">IF(B303&gt;=$J$5,0,CONTADORES!H313-CONTADORES!H312)</f>
        <v>164</v>
      </c>
      <c r="AE303" s="1438">
        <f ca="1">IF(B303&gt;=$J$5,0,CONTADORES!J313-CONTADORES!J312)</f>
        <v>24</v>
      </c>
      <c r="AF303" s="1438">
        <f ca="1">IF(B303&gt;=$J$5,0,CONTADORES!AS313-CONTADORES!AS312)</f>
        <v>148</v>
      </c>
      <c r="AG303" s="1438">
        <f ca="1">IF(B303&gt;=$J$5,0,CONTADORES!AU313-CONTADORES!AU312)</f>
        <v>24</v>
      </c>
      <c r="AH303" s="1450">
        <f ca="1">IF(B303&gt;=$J$5,0,(CONTADORES!AK313-CONTADORES!AK312)+(CONTADORES!K313-CONTADORES!K312))</f>
        <v>9.9000000000032742</v>
      </c>
      <c r="AI303" s="1450">
        <f ca="1">IF(B303&gt;=$J$5,0,(CONTADORES!AI313-CONTADORES!AI312)+(CONTADORES!M313-CONTADORES!M312))</f>
        <v>38.5</v>
      </c>
      <c r="AJ303" s="1450">
        <f ca="1">IF(B303&gt;=$J$5,0,(CONTADORES!AG313-CONTADORES!AG312))</f>
        <v>5.6000000000058208</v>
      </c>
      <c r="AK303" s="1450">
        <f ca="1">IF(B303&gt;=$J$5,0,(CONTADORES!O313-CONTADORES!O312))</f>
        <v>10</v>
      </c>
      <c r="AL303" s="1500">
        <f t="shared" ca="1" si="136"/>
        <v>32.099999999993088</v>
      </c>
      <c r="AM303" s="1450">
        <f ca="1">IF(B303&gt;=$J$5,0,(((CONTADORES!F313-CONTADORES!F312)+(CONTADORES!AO313-CONTADORES!AO312))))-BJ303-AF303-AN303-BM303-BP303-BU303-BS303+T303</f>
        <v>12.241999999998725</v>
      </c>
      <c r="AN303" s="1438">
        <f ca="1">IF(B303&gt;=$J$5,0,(CONTADORES!AV313-CONTADORES!AV312)+(CONTADORES!AX313-CONTADORES!AX312)+(CONTADORES!BC313-CONTADORES!BC312))-BS303</f>
        <v>3.6259999999994541</v>
      </c>
      <c r="AO303" s="1478">
        <f>(CONTADORES!AA313-CONTADORES!AA312)</f>
        <v>70</v>
      </c>
      <c r="AP303" s="1478">
        <f>(CONTADORES!V313-CONTADORES!V312)</f>
        <v>150</v>
      </c>
      <c r="AQ303" s="1478">
        <f>(CONTADORES!C313-CONTADORES!C312)</f>
        <v>0</v>
      </c>
      <c r="AR303" s="1478">
        <f>(CONTADORES!BA313-CONTADORES!BA312)</f>
        <v>0</v>
      </c>
      <c r="AS303" s="1438">
        <f ca="1">IF(B303&gt;=$J$5,0,CONTADORES!Q313-CONTADORES!Q312)</f>
        <v>14</v>
      </c>
      <c r="AT303" s="1438">
        <f ca="1">IF(B303&gt;=$J$5,0,(CONTADORES!S313-CONTADORES!S312)+(CONTADORES!AE313-CONTADORES!AE312))</f>
        <v>3.6000000000000227</v>
      </c>
      <c r="AU303" s="1474">
        <f>CONTADORES!I313-CONTADORES!I312</f>
        <v>81</v>
      </c>
      <c r="AV303" s="1478">
        <f>CONTADORES!AT313-CONTADORES!AT312</f>
        <v>64</v>
      </c>
      <c r="AW303" s="1478">
        <f ca="1">IF(B303&gt;=$J$5,0,(CONTADORES!L313-CONTADORES!L312)+(CONTADORES!AL313-CONTADORES!AL312))</f>
        <v>3.7999999999992724</v>
      </c>
      <c r="AX303" s="1478">
        <f ca="1">IF(B303&gt;=$J$5,0,(CONTADORES!N313-CONTADORES!N312)+(CONTADORES!AJ313-CONTADORES!AJ312))</f>
        <v>32.299999999995634</v>
      </c>
      <c r="AY303" s="1478">
        <f ca="1">IF(B303&gt;=$J$5,0,(CONTADORES!AH313-CONTADORES!AH312))</f>
        <v>4.3000000000029104</v>
      </c>
      <c r="AZ303" s="1478">
        <f ca="1">IF(B303&gt;=$J$5,0,(CONTADORES!P313-CONTADORES!P312))</f>
        <v>8</v>
      </c>
      <c r="BA303" s="1450">
        <f t="shared" ca="1" si="137"/>
        <v>7.5340000000014413</v>
      </c>
      <c r="BB303" s="1440">
        <f ca="1">IF(B303&gt;=$J$5,0,(((CONTADORES!G313-CONTADORES!G312)+(CONTADORES!AP313-CONTADORES!AP312)+AR303)-(AV303+BC303)))</f>
        <v>9.3000000000006366</v>
      </c>
      <c r="BC303" s="1439">
        <f ca="1">IF(B303&gt;=$J$5,0,(CONTADORES!AW313-CONTADORES!AW312)+(CONTADORES!AY313-CONTADORES!AY312)+(CONTADORES!BD313-CONTADORES!BD312))</f>
        <v>2.7999999999997272</v>
      </c>
      <c r="BD303" s="1438">
        <f t="shared" si="138"/>
        <v>220</v>
      </c>
      <c r="BE303" s="1439">
        <f ca="1">IF($B303&gt;=$J$5,0,CONTADORES!$BE313)</f>
        <v>5005.4799999999996</v>
      </c>
      <c r="BF303" s="1438">
        <f ca="1">IF($B303&gt;=$J$5,0,CONTADORES!$BF313)</f>
        <v>33799.110526315802</v>
      </c>
      <c r="BG303" s="1439">
        <f ca="1">IF($B303&gt;=$J$5,0,CONTADORES!$BH313)</f>
        <v>4648.63</v>
      </c>
      <c r="BH303" s="1438">
        <f ca="1">IF(B303&gt;=$J$5,0,(CONTADORES!AQ313-CONTADORES!AQ312))</f>
        <v>6</v>
      </c>
      <c r="BI303" s="1438">
        <f ca="1">IF(B303&gt;=$J$5,0,(CONTADORES!AR313-CONTADORES!AR312))</f>
        <v>0</v>
      </c>
      <c r="BJ303" s="1439">
        <f ca="1">IF(B303&gt;=$J$5,0,CONTADORES!BI313-CONTADORES!BI312)/1000</f>
        <v>3</v>
      </c>
      <c r="BK303" s="1450">
        <f ca="1">IF(B303&gt;=$J$5,0,CONTADORES!BJ313-CONTADORES!BJ312)</f>
        <v>1</v>
      </c>
      <c r="BL303" s="1450">
        <f ca="1">IF(B303&gt;=$J$5,0,CONTADORES!BK313-CONTADORES!BK312)</f>
        <v>24</v>
      </c>
      <c r="BM303" s="1450">
        <f ca="1">IF(B303&gt;=$J$5,0,CONTADORES!BL313-CONTADORES!BL312)/1000</f>
        <v>5.1580000000000004</v>
      </c>
      <c r="BN303" s="1450">
        <f ca="1">IF(B303&gt;=$J$5,0,CONTADORES!BM313-CONTADORES!BM312)/1000</f>
        <v>1.056</v>
      </c>
      <c r="BO303" s="1450">
        <f ca="1">IF(B303&gt;=$J$5,0,CONTADORES!BN313-CONTADORES!BN312)</f>
        <v>24</v>
      </c>
      <c r="BP303" s="1450">
        <f ca="1">IF(B303&gt;=$J$5,0,CONTADORES!BO313-CONTADORES!BO312)/1000</f>
        <v>0</v>
      </c>
      <c r="BQ303" s="1450">
        <f ca="1">IF(B303&gt;=$J$5,0,CONTADORES!BP313-CONTADORES!BP312)/1000</f>
        <v>0</v>
      </c>
      <c r="BR303" s="1450">
        <f ca="1">IF(B303&gt;=$J$5,0,CONTADORES!BQ313-CONTADORES!BQ312)</f>
        <v>0</v>
      </c>
      <c r="BS303" s="1450">
        <f ca="1">IF(B303&gt;=$J$5,0,(CONTADORES!BT313-CONTADORES!BT312)+(CONTADORES!BV313-CONTADORES!BV312))/1000</f>
        <v>1.474</v>
      </c>
      <c r="BT303" s="1450">
        <f ca="1">IF(B303&gt;=$J$5,0,(CONTADORES!BU313-CONTADORES!BU312)+(CONTADORES!BW313-CONTADORES!BW312))/1000</f>
        <v>0.81</v>
      </c>
      <c r="BU303" s="1450">
        <f ca="1">IF(B303&gt;=$J$5,0,CONTADORES!BR313-CONTADORES!BR312)</f>
        <v>6.3999999999996362</v>
      </c>
      <c r="BV303" s="1450">
        <f ca="1">IF(B303&gt;=$J$5,0,CONTADORES!BS313-CONTADORES!BS312)</f>
        <v>4.1000000000003638</v>
      </c>
      <c r="BW303" s="1450">
        <f t="shared" ca="1" si="139"/>
        <v>12.520999999998999</v>
      </c>
      <c r="BX303" s="1450">
        <f t="shared" ca="1" si="140"/>
        <v>8.7500000000006821</v>
      </c>
      <c r="BY303" s="1450">
        <f t="shared" ca="1" si="141"/>
        <v>6.1209999999993627</v>
      </c>
      <c r="BZ303" s="1450">
        <f t="shared" ca="1" si="142"/>
        <v>1.4503999999997816</v>
      </c>
      <c r="CA303" s="1450">
        <f t="shared" ca="1" si="143"/>
        <v>6.1209999999993627</v>
      </c>
      <c r="CB303" s="1450">
        <f t="shared" ca="1" si="144"/>
        <v>2.1755999999996725</v>
      </c>
      <c r="CC303" s="1450">
        <f t="shared" ca="1" si="145"/>
        <v>2.9243999999997818</v>
      </c>
      <c r="CD303" s="1450">
        <f t="shared" ca="1" si="146"/>
        <v>4.6500000000003183</v>
      </c>
      <c r="CE303" s="1450">
        <f ca="1">IF(B303&gt;=$J$5,0,CONTADORES!BS313-CONTADORES!BS312)</f>
        <v>4.1000000000003638</v>
      </c>
      <c r="CF303" s="1450">
        <f t="shared" ca="1" si="147"/>
        <v>4.6500000000003183</v>
      </c>
      <c r="CG303" s="1450">
        <f t="shared" ca="1" si="148"/>
        <v>1.3999999999998636</v>
      </c>
      <c r="CH303" s="1450">
        <f t="shared" ca="1" si="149"/>
        <v>1.3999999999998636</v>
      </c>
      <c r="CI303" s="1450">
        <f t="shared" ca="1" si="150"/>
        <v>2.2099999999998636</v>
      </c>
      <c r="CJ303" s="1450">
        <f ca="1">IF($B303&gt;=$J$5,0,CONTADORES!$BG313)</f>
        <v>8463.5611699219498</v>
      </c>
      <c r="CK303" s="1516">
        <f>CONTADORES!E313</f>
        <v>0</v>
      </c>
      <c r="CL303" s="1516">
        <f>CONTADORES!BX313</f>
        <v>0</v>
      </c>
    </row>
    <row r="304" spans="2:90">
      <c r="B304" s="1514">
        <v>45220</v>
      </c>
      <c r="C304" s="208">
        <f t="shared" ca="1" si="126"/>
        <v>129</v>
      </c>
      <c r="D304" s="202">
        <f ca="1">'CALCULO DE GAS'!P126</f>
        <v>3.6814301623891197</v>
      </c>
      <c r="E304" s="202">
        <f ca="1">IF(B304&gt;=$J$5,0,(CONTADORES!$AB314-CONTADORES!$AB313)-$H304)</f>
        <v>24</v>
      </c>
      <c r="F304" s="204">
        <f t="shared" ca="1" si="153"/>
        <v>0</v>
      </c>
      <c r="G304" s="202">
        <f ca="1">IF(B304&gt;=$J$5,0,CONTADORES!$AD314-CONTADORES!$AD313)</f>
        <v>0</v>
      </c>
      <c r="H304" s="202">
        <f ca="1">IF(G304&gt;0,CONTADORES!$AC314-CONTADORES!$AC313,0)</f>
        <v>0</v>
      </c>
      <c r="I304" s="205">
        <f ca="1">IF(B304&gt;=$J$5,0,CONTADORES!$Z314-CONTADORES!$Z313)</f>
        <v>129</v>
      </c>
      <c r="J304" s="204">
        <f t="shared" ca="1" si="127"/>
        <v>321</v>
      </c>
      <c r="K304" s="202">
        <f ca="1">'CALCULO DE GAS'!Q126</f>
        <v>5.6027514397397997</v>
      </c>
      <c r="L304" s="1437">
        <f ca="1">IF(B304&gt;=$J$5,0,(CONTADORES!$W314-CONTADORES!$W313)-$O304)</f>
        <v>24</v>
      </c>
      <c r="M304" s="1437">
        <f t="shared" ca="1" si="151"/>
        <v>0</v>
      </c>
      <c r="N304" s="1437">
        <f ca="1">IF(B304&gt;=$J$5,0,CONTADORES!$Y314-CONTADORES!$Y313)</f>
        <v>0</v>
      </c>
      <c r="O304" s="1437">
        <f ca="1">IF(N304&gt;0,CONTADORES!$X314-CONTADORES!$X313,0)</f>
        <v>0</v>
      </c>
      <c r="P304" s="208">
        <f ca="1">IF(B304&gt;=$J$5,0,CONTADORES!$U314-CONTADORES!$U313)</f>
        <v>321</v>
      </c>
      <c r="Q304" s="208">
        <f ca="1">IF(B304&gt;=$J$5,0,CONTADORES!$B314-CONTADORES!$B313)</f>
        <v>0</v>
      </c>
      <c r="R304" s="202">
        <f t="shared" ca="1" si="128"/>
        <v>0</v>
      </c>
      <c r="S304" s="11">
        <f ca="1">IF(B304&gt;=$J$5,0,CONTADORES!$D314-CONTADORES!$D313)</f>
        <v>0.5</v>
      </c>
      <c r="T304" s="204">
        <f ca="1">IF(B304&gt;=$J$5,0,CONTADORES!$AZ314-CONTADORES!$AZ313)</f>
        <v>0</v>
      </c>
      <c r="U304" s="202">
        <f t="shared" ca="1" si="152"/>
        <v>0</v>
      </c>
      <c r="V304" s="205">
        <f ca="1">IF(B304&gt;=$J$5,0,CONTADORES!$BB314-CONTADORES!$BB313)</f>
        <v>0</v>
      </c>
      <c r="W304" s="1438">
        <f t="shared" ca="1" si="129"/>
        <v>450</v>
      </c>
      <c r="X304" s="1438">
        <f t="shared" ca="1" si="130"/>
        <v>0</v>
      </c>
      <c r="Y304" s="1439">
        <f t="shared" ca="1" si="131"/>
        <v>450</v>
      </c>
      <c r="Z304" s="1439">
        <f t="shared" ca="1" si="132"/>
        <v>9.2841816021289194</v>
      </c>
      <c r="AA304" s="1439">
        <f t="shared" ca="1" si="133"/>
        <v>0</v>
      </c>
      <c r="AB304" s="1439">
        <f t="shared" ca="1" si="134"/>
        <v>48</v>
      </c>
      <c r="AC304" s="1438">
        <f t="shared" ca="1" si="135"/>
        <v>0.5</v>
      </c>
      <c r="AD304" s="1438">
        <f ca="1">IF(B304&gt;=$J$5,0,CONTADORES!H314-CONTADORES!H313)</f>
        <v>167</v>
      </c>
      <c r="AE304" s="1438">
        <f ca="1">IF(B304&gt;=$J$5,0,CONTADORES!J314-CONTADORES!J313)</f>
        <v>24</v>
      </c>
      <c r="AF304" s="1438">
        <f ca="1">IF(B304&gt;=$J$5,0,CONTADORES!AS314-CONTADORES!AS313)</f>
        <v>151</v>
      </c>
      <c r="AG304" s="1438">
        <f ca="1">IF(B304&gt;=$J$5,0,CONTADORES!AU314-CONTADORES!AU313)</f>
        <v>24</v>
      </c>
      <c r="AH304" s="1450">
        <f ca="1">IF(B304&gt;=$J$5,0,(CONTADORES!AK314-CONTADORES!AK313)+(CONTADORES!K314-CONTADORES!K313))</f>
        <v>10.600000000000364</v>
      </c>
      <c r="AI304" s="1450">
        <f ca="1">IF(B304&gt;=$J$5,0,(CONTADORES!AI314-CONTADORES!AI313)+(CONTADORES!M314-CONTADORES!M313))</f>
        <v>40.30000000000291</v>
      </c>
      <c r="AJ304" s="1450">
        <f ca="1">IF(B304&gt;=$J$5,0,(CONTADORES!AG314-CONTADORES!AG313))</f>
        <v>6.5</v>
      </c>
      <c r="AK304" s="1450">
        <f ca="1">IF(B304&gt;=$J$5,0,(CONTADORES!O314-CONTADORES!O313))</f>
        <v>9</v>
      </c>
      <c r="AL304" s="1500">
        <f t="shared" ca="1" si="136"/>
        <v>34.399999999995941</v>
      </c>
      <c r="AM304" s="1450">
        <f ca="1">IF(B304&gt;=$J$5,0,(((CONTADORES!F314-CONTADORES!F313)+(CONTADORES!AO314-CONTADORES!AO313))))-BJ304-AF304-AN304-BM304-BP304-BU304-BS304+T304</f>
        <v>11.842000000001644</v>
      </c>
      <c r="AN304" s="1438">
        <f ca="1">IF(B304&gt;=$J$5,0,(CONTADORES!AV314-CONTADORES!AV313)+(CONTADORES!AX314-CONTADORES!AX313)+(CONTADORES!BC314-CONTADORES!BC313))-BS304</f>
        <v>3.2119999999998181</v>
      </c>
      <c r="AO304" s="1478">
        <f>(CONTADORES!AA314-CONTADORES!AA313)</f>
        <v>60</v>
      </c>
      <c r="AP304" s="1478">
        <f>(CONTADORES!V314-CONTADORES!V313)</f>
        <v>166</v>
      </c>
      <c r="AQ304" s="1478">
        <f>(CONTADORES!C314-CONTADORES!C313)</f>
        <v>0</v>
      </c>
      <c r="AR304" s="1478">
        <f>(CONTADORES!BA314-CONTADORES!BA313)</f>
        <v>0</v>
      </c>
      <c r="AS304" s="1438">
        <f ca="1">IF(B304&gt;=$J$5,0,CONTADORES!Q314-CONTADORES!Q313)</f>
        <v>15</v>
      </c>
      <c r="AT304" s="1438">
        <f ca="1">IF(B304&gt;=$J$5,0,(CONTADORES!S314-CONTADORES!S313)+(CONTADORES!AE314-CONTADORES!AE313))</f>
        <v>3.5999999999999659</v>
      </c>
      <c r="AU304" s="1474">
        <f>CONTADORES!I314-CONTADORES!I313</f>
        <v>82</v>
      </c>
      <c r="AV304" s="1478">
        <f>CONTADORES!AT314-CONTADORES!AT313</f>
        <v>66</v>
      </c>
      <c r="AW304" s="1478">
        <f ca="1">IF(B304&gt;=$J$5,0,(CONTADORES!L314-CONTADORES!L313)+(CONTADORES!AL314-CONTADORES!AL313))</f>
        <v>4.0999999999985448</v>
      </c>
      <c r="AX304" s="1478">
        <f ca="1">IF(B304&gt;=$J$5,0,(CONTADORES!N314-CONTADORES!N313)+(CONTADORES!AJ314-CONTADORES!AJ313))</f>
        <v>33.80000000000291</v>
      </c>
      <c r="AY304" s="1478">
        <f ca="1">IF(B304&gt;=$J$5,0,(CONTADORES!AH314-CONTADORES!AH313))</f>
        <v>4.8000000000029104</v>
      </c>
      <c r="AZ304" s="1478">
        <f ca="1">IF(B304&gt;=$J$5,0,(CONTADORES!P314-CONTADORES!P313))</f>
        <v>7</v>
      </c>
      <c r="BA304" s="1450">
        <f t="shared" ca="1" si="137"/>
        <v>8.9769999999969059</v>
      </c>
      <c r="BB304" s="1440">
        <f ca="1">IF(B304&gt;=$J$5,0,(((CONTADORES!G314-CONTADORES!G313)+(CONTADORES!AP314-CONTADORES!AP313)+AR304)-(AV304+BC304)))</f>
        <v>9.3999999999991815</v>
      </c>
      <c r="BC304" s="1439">
        <f ca="1">IF(B304&gt;=$J$5,0,(CONTADORES!AW314-CONTADORES!AW313)+(CONTADORES!AY314-CONTADORES!AY313)+(CONTADORES!BD314-CONTADORES!BD313))</f>
        <v>2.7000000000002728</v>
      </c>
      <c r="BD304" s="1438">
        <f t="shared" si="138"/>
        <v>226</v>
      </c>
      <c r="BE304" s="1439">
        <f ca="1">IF($B304&gt;=$J$5,0,CONTADORES!$BE314)</f>
        <v>5266.22</v>
      </c>
      <c r="BF304" s="1438">
        <f ca="1">IF($B304&gt;=$J$5,0,CONTADORES!$BF314)</f>
        <v>34082.1245614035</v>
      </c>
      <c r="BG304" s="1439">
        <f ca="1">IF($B304&gt;=$J$5,0,CONTADORES!$BH314)</f>
        <v>5984.6</v>
      </c>
      <c r="BH304" s="1438">
        <f ca="1">IF(B304&gt;=$J$5,0,(CONTADORES!AQ314-CONTADORES!AQ313))</f>
        <v>5</v>
      </c>
      <c r="BI304" s="1438">
        <f ca="1">IF(B304&gt;=$J$5,0,(CONTADORES!AR314-CONTADORES!AR313))</f>
        <v>0</v>
      </c>
      <c r="BJ304" s="1439">
        <f ca="1">IF(B304&gt;=$J$5,0,CONTADORES!BI314-CONTADORES!BI313)/1000</f>
        <v>2.6</v>
      </c>
      <c r="BK304" s="1450">
        <f ca="1">IF(B304&gt;=$J$5,0,CONTADORES!BJ314-CONTADORES!BJ313)</f>
        <v>1</v>
      </c>
      <c r="BL304" s="1450">
        <f ca="1">IF(B304&gt;=$J$5,0,CONTADORES!BK314-CONTADORES!BK313)</f>
        <v>24</v>
      </c>
      <c r="BM304" s="1450">
        <f ca="1">IF(B304&gt;=$J$5,0,CONTADORES!BL314-CONTADORES!BL313)/1000</f>
        <v>5.258</v>
      </c>
      <c r="BN304" s="1450">
        <f ca="1">IF(B304&gt;=$J$5,0,CONTADORES!BM314-CONTADORES!BM313)/1000</f>
        <v>1.1000000000000001</v>
      </c>
      <c r="BO304" s="1450">
        <f ca="1">IF(B304&gt;=$J$5,0,CONTADORES!BN314-CONTADORES!BN313)</f>
        <v>24</v>
      </c>
      <c r="BP304" s="1450">
        <f ca="1">IF(B304&gt;=$J$5,0,CONTADORES!BO314-CONTADORES!BO313)/1000</f>
        <v>0</v>
      </c>
      <c r="BQ304" s="1450">
        <f ca="1">IF(B304&gt;=$J$5,0,CONTADORES!BP314-CONTADORES!BP313)/1000</f>
        <v>0</v>
      </c>
      <c r="BR304" s="1450">
        <f ca="1">IF(B304&gt;=$J$5,0,CONTADORES!BQ314-CONTADORES!BQ313)</f>
        <v>0</v>
      </c>
      <c r="BS304" s="1450">
        <f ca="1">IF(B304&gt;=$J$5,0,(CONTADORES!BT314-CONTADORES!BT313)+(CONTADORES!BV314-CONTADORES!BV313))/1000</f>
        <v>1.488</v>
      </c>
      <c r="BT304" s="1450">
        <f ca="1">IF(B304&gt;=$J$5,0,(CONTADORES!BU314-CONTADORES!BU313)+(CONTADORES!BW314-CONTADORES!BW313))/1000</f>
        <v>0.82299999999999995</v>
      </c>
      <c r="BU304" s="1450">
        <f ca="1">IF(B304&gt;=$J$5,0,CONTADORES!BR314-CONTADORES!BR313)</f>
        <v>6.7999999999992724</v>
      </c>
      <c r="BV304" s="1450">
        <f ca="1">IF(B304&gt;=$J$5,0,CONTADORES!BS314-CONTADORES!BS313)</f>
        <v>4.2999999999992724</v>
      </c>
      <c r="BW304" s="1450">
        <f t="shared" ca="1" si="139"/>
        <v>12.721000000000094</v>
      </c>
      <c r="BX304" s="1450">
        <f t="shared" ca="1" si="140"/>
        <v>8.9999999999988631</v>
      </c>
      <c r="BY304" s="1450">
        <f t="shared" ca="1" si="141"/>
        <v>5.9210000000008218</v>
      </c>
      <c r="BZ304" s="1450">
        <f t="shared" ca="1" si="142"/>
        <v>1.2847999999999273</v>
      </c>
      <c r="CA304" s="1450">
        <f t="shared" ca="1" si="143"/>
        <v>5.9210000000008218</v>
      </c>
      <c r="CB304" s="1450">
        <f t="shared" ca="1" si="144"/>
        <v>1.9271999999998908</v>
      </c>
      <c r="CC304" s="1450">
        <f t="shared" ca="1" si="145"/>
        <v>2.7727999999999273</v>
      </c>
      <c r="CD304" s="1450">
        <f t="shared" ca="1" si="146"/>
        <v>4.6999999999995907</v>
      </c>
      <c r="CE304" s="1450">
        <f ca="1">IF(B304&gt;=$J$5,0,CONTADORES!BS314-CONTADORES!BS313)</f>
        <v>4.2999999999992724</v>
      </c>
      <c r="CF304" s="1450">
        <f t="shared" ca="1" si="147"/>
        <v>4.6999999999995907</v>
      </c>
      <c r="CG304" s="1450">
        <f t="shared" ca="1" si="148"/>
        <v>1.3500000000001364</v>
      </c>
      <c r="CH304" s="1450">
        <f t="shared" ca="1" si="149"/>
        <v>1.3500000000001364</v>
      </c>
      <c r="CI304" s="1450">
        <f t="shared" ca="1" si="150"/>
        <v>2.1730000000001364</v>
      </c>
      <c r="CJ304" s="1450">
        <f ca="1">IF($B304&gt;=$J$5,0,CONTADORES!$BG314)</f>
        <v>8476.4914125831601</v>
      </c>
      <c r="CK304" s="1516">
        <f>CONTADORES!E314</f>
        <v>0</v>
      </c>
      <c r="CL304" s="1516">
        <f>CONTADORES!BX314</f>
        <v>0</v>
      </c>
    </row>
    <row r="305" spans="2:90" ht="14" customHeight="1">
      <c r="B305" s="1514">
        <v>45221</v>
      </c>
      <c r="C305" s="208">
        <f t="shared" ca="1" si="126"/>
        <v>73</v>
      </c>
      <c r="D305" s="202">
        <f ca="1">'CALCULO DE GAS'!P127</f>
        <v>3.2049499731519813</v>
      </c>
      <c r="E305" s="202">
        <f ca="1">IF(B305&gt;=$J$5,0,(CONTADORES!$AB315-CONTADORES!$AB314)-$H305)</f>
        <v>24</v>
      </c>
      <c r="F305" s="204">
        <f t="shared" ca="1" si="153"/>
        <v>0</v>
      </c>
      <c r="G305" s="202">
        <f ca="1">IF(B305&gt;=$J$5,0,CONTADORES!$AD315-CONTADORES!$AD314)</f>
        <v>0</v>
      </c>
      <c r="H305" s="202">
        <f ca="1">IF(G305&gt;0,CONTADORES!$AC315-CONTADORES!$AC314,0)</f>
        <v>0</v>
      </c>
      <c r="I305" s="205">
        <f ca="1">IF(B305&gt;=$J$5,0,CONTADORES!$Z315-CONTADORES!$Z314)</f>
        <v>73</v>
      </c>
      <c r="J305" s="204">
        <f t="shared" ca="1" si="127"/>
        <v>368</v>
      </c>
      <c r="K305" s="202">
        <f ca="1">'CALCULO DE GAS'!Q127</f>
        <v>6.1692807123595514</v>
      </c>
      <c r="L305" s="1437">
        <f ca="1">IF(B305&gt;=$J$5,0,(CONTADORES!$W315-CONTADORES!$W314)-$O305)</f>
        <v>24</v>
      </c>
      <c r="M305" s="1437">
        <f t="shared" ca="1" si="151"/>
        <v>0</v>
      </c>
      <c r="N305" s="1437">
        <f ca="1">IF(B305&gt;=$J$5,0,CONTADORES!$Y315-CONTADORES!$Y314)</f>
        <v>0</v>
      </c>
      <c r="O305" s="1437">
        <f ca="1">IF(N305&gt;0,CONTADORES!$X315-CONTADORES!$X314,0)</f>
        <v>0</v>
      </c>
      <c r="P305" s="208">
        <f ca="1">IF(B305&gt;=$J$5,0,CONTADORES!$U315-CONTADORES!$U314)</f>
        <v>368</v>
      </c>
      <c r="Q305" s="208">
        <f ca="1">IF(B305&gt;=$J$5,0,CONTADORES!$B315-CONTADORES!$B314)</f>
        <v>0</v>
      </c>
      <c r="R305" s="202">
        <f t="shared" ca="1" si="128"/>
        <v>0</v>
      </c>
      <c r="S305" s="11">
        <f ca="1">IF(B305&gt;=$J$5,0,CONTADORES!$D315-CONTADORES!$D314)</f>
        <v>0</v>
      </c>
      <c r="T305" s="204">
        <f ca="1">IF(B305&gt;=$J$5,0,CONTADORES!$AZ315-CONTADORES!$AZ314)</f>
        <v>0.45899999999994634</v>
      </c>
      <c r="U305" s="202">
        <f t="shared" ca="1" si="152"/>
        <v>55.079999999993561</v>
      </c>
      <c r="V305" s="205">
        <f ca="1">IF(B305&gt;=$J$5,0,CONTADORES!$BB315-CONTADORES!$BB314)</f>
        <v>0.60000000000013642</v>
      </c>
      <c r="W305" s="1438">
        <f t="shared" ca="1" si="129"/>
        <v>441</v>
      </c>
      <c r="X305" s="1438">
        <f t="shared" ca="1" si="130"/>
        <v>0.45899999999994634</v>
      </c>
      <c r="Y305" s="1439">
        <f t="shared" ca="1" si="131"/>
        <v>441.45899999999995</v>
      </c>
      <c r="Z305" s="1439">
        <f t="shared" ca="1" si="132"/>
        <v>9.3742306855115327</v>
      </c>
      <c r="AA305" s="1439">
        <f t="shared" ca="1" si="133"/>
        <v>55.079999999993561</v>
      </c>
      <c r="AB305" s="1439">
        <f t="shared" ca="1" si="134"/>
        <v>48</v>
      </c>
      <c r="AC305" s="1438">
        <f t="shared" ca="1" si="135"/>
        <v>0.60000000000013642</v>
      </c>
      <c r="AD305" s="1438">
        <f ca="1">IF(B305&gt;=$J$5,0,CONTADORES!H315-CONTADORES!H314)</f>
        <v>168</v>
      </c>
      <c r="AE305" s="1438">
        <f ca="1">IF(B305&gt;=$J$5,0,CONTADORES!J315-CONTADORES!J314)</f>
        <v>24</v>
      </c>
      <c r="AF305" s="1438">
        <f ca="1">IF(B305&gt;=$J$5,0,CONTADORES!AS315-CONTADORES!AS314)</f>
        <v>153</v>
      </c>
      <c r="AG305" s="1438">
        <f ca="1">IF(B305&gt;=$J$5,0,CONTADORES!AU315-CONTADORES!AU314)</f>
        <v>24</v>
      </c>
      <c r="AH305" s="1450">
        <f ca="1">IF(B305&gt;=$J$5,0,(CONTADORES!AK315-CONTADORES!AK314)+(CONTADORES!K315-CONTADORES!K314))</f>
        <v>8</v>
      </c>
      <c r="AI305" s="1450">
        <f ca="1">IF(B305&gt;=$J$5,0,(CONTADORES!AI315-CONTADORES!AI314)+(CONTADORES!M315-CONTADORES!M314))</f>
        <v>38.599999999991269</v>
      </c>
      <c r="AJ305" s="1450">
        <f ca="1">IF(B305&gt;=$J$5,0,(CONTADORES!AG315-CONTADORES!AG314))</f>
        <v>5.1999999999970896</v>
      </c>
      <c r="AK305" s="1450">
        <f ca="1">IF(B305&gt;=$J$5,0,(CONTADORES!O315-CONTADORES!O314))</f>
        <v>9</v>
      </c>
      <c r="AL305" s="1500">
        <f t="shared" ca="1" si="136"/>
        <v>28.900000000012369</v>
      </c>
      <c r="AM305" s="1450">
        <f ca="1">IF(B305&gt;=$J$5,0,(((CONTADORES!F315-CONTADORES!F314)+(CONTADORES!AO315-CONTADORES!AO314))))-BJ305-AF305-AN305-BM305-BP305-BU305-BS305+T305</f>
        <v>11.898999999998484</v>
      </c>
      <c r="AN305" s="1438">
        <f ca="1">IF(B305&gt;=$J$5,0,(CONTADORES!AV315-CONTADORES!AV314)+(CONTADORES!AX315-CONTADORES!AX314)+(CONTADORES!BC315-CONTADORES!BC314))-BS305</f>
        <v>4.09</v>
      </c>
      <c r="AO305" s="1478">
        <f ca="1">IF(B305&gt;=$J$5,0,(CONTADORES!AA315-CONTADORES!AA314))</f>
        <v>34</v>
      </c>
      <c r="AP305" s="1478">
        <f ca="1">IF(B305&gt;=$J$5,0,(CONTADORES!V315-CONTADORES!V314))</f>
        <v>189</v>
      </c>
      <c r="AQ305" s="1478">
        <f ca="1">IF(B305&gt;=$J$5,0,(CONTADORES!C315-CONTADORES!C314))</f>
        <v>0</v>
      </c>
      <c r="AR305" s="1478">
        <f ca="1">IF(B305&gt;=$J$5,0,(CONTADORES!BA315-CONTADORES!BA314))</f>
        <v>0.17599999999998772</v>
      </c>
      <c r="AS305" s="1438">
        <f ca="1">IF(B305&gt;=$J$5,0,CONTADORES!Q315-CONTADORES!Q314)</f>
        <v>14</v>
      </c>
      <c r="AT305" s="1438">
        <f ca="1">IF(B305&gt;=$J$5,0,(CONTADORES!S315-CONTADORES!S314)+(CONTADORES!AE315-CONTADORES!AE314))</f>
        <v>3.3000000000000114</v>
      </c>
      <c r="AU305" s="1474">
        <f ca="1">IF(B305&gt;=$J$5,0,(CONTADORES!I315-CONTADORES!I314))</f>
        <v>83</v>
      </c>
      <c r="AV305" s="1478">
        <f ca="1">IF(B305&gt;=$J$5,0,(CONTADORES!AT315-CONTADORES!AT314))</f>
        <v>66</v>
      </c>
      <c r="AW305" s="1478">
        <f ca="1">IF(B305&gt;=$J$5,0,(CONTADORES!L315-CONTADORES!L314)+(CONTADORES!AL315-CONTADORES!AL314))</f>
        <v>3.2000000000007276</v>
      </c>
      <c r="AX305" s="1478">
        <f ca="1">IF(B305&gt;=$J$5,0,(CONTADORES!N315-CONTADORES!N314)+(CONTADORES!AJ315-CONTADORES!AJ314))</f>
        <v>32.30000000000291</v>
      </c>
      <c r="AY305" s="1478">
        <f ca="1">IF(B305&gt;=$J$5,0,(CONTADORES!AH315-CONTADORES!AH314))</f>
        <v>3.7999999999956344</v>
      </c>
      <c r="AZ305" s="1478">
        <f ca="1">IF(B305&gt;=$J$5,0,(CONTADORES!P315-CONTADORES!P314))</f>
        <v>7</v>
      </c>
      <c r="BA305" s="1450">
        <f t="shared" ca="1" si="137"/>
        <v>7.2239999999999895</v>
      </c>
      <c r="BB305" s="1440">
        <f ca="1">IF(B305&gt;=$J$5,0,(((CONTADORES!G315-CONTADORES!G314)+(CONTADORES!AP315-CONTADORES!AP314)+AR305)-(AV305+BC305)))</f>
        <v>11.276000000000352</v>
      </c>
      <c r="BC305" s="1439">
        <f ca="1">IF(B305&gt;=$J$5,0,(CONTADORES!AW315-CONTADORES!AW314)+(CONTADORES!AY315-CONTADORES!AY314)+(CONTADORES!BD315-CONTADORES!BD314))</f>
        <v>2.6999999999998181</v>
      </c>
      <c r="BD305" s="1438">
        <f t="shared" ca="1" si="138"/>
        <v>223.17599999999999</v>
      </c>
      <c r="BE305" s="1439">
        <f ca="1">IF($B305&gt;=$J$5,0,CONTADORES!$BE315)</f>
        <v>5189.26</v>
      </c>
      <c r="BF305" s="1438">
        <f ca="1">IF($B305&gt;=$J$5,0,CONTADORES!$BF315)</f>
        <v>34004.842105263197</v>
      </c>
      <c r="BG305" s="1439">
        <f ca="1">IF($B305&gt;=$J$5,0,CONTADORES!$BH315)</f>
        <v>4429.13</v>
      </c>
      <c r="BH305" s="1438">
        <f ca="1">IF(B305&gt;=$J$5,0,(CONTADORES!AQ315-CONTADORES!AQ314))</f>
        <v>5</v>
      </c>
      <c r="BI305" s="1438">
        <f ca="1">IF(B305&gt;=$J$5,0,(CONTADORES!AR315-CONTADORES!AR314))</f>
        <v>0</v>
      </c>
      <c r="BJ305" s="1439">
        <f ca="1">IF(B305&gt;=$J$5,0,CONTADORES!BI315-CONTADORES!BI314)/1000</f>
        <v>2.4</v>
      </c>
      <c r="BK305" s="1450">
        <f ca="1">IF(B305&gt;=$J$5,0,CONTADORES!BJ315-CONTADORES!BJ314)</f>
        <v>1</v>
      </c>
      <c r="BL305" s="1450">
        <f ca="1">IF(B305&gt;=$J$5,0,CONTADORES!BK315-CONTADORES!BK314)</f>
        <v>24</v>
      </c>
      <c r="BM305" s="1450">
        <f ca="1">IF(B305&gt;=$J$5,0,CONTADORES!BL315-CONTADORES!BL314)/1000</f>
        <v>4.26</v>
      </c>
      <c r="BN305" s="1450">
        <f ca="1">IF(B305&gt;=$J$5,0,CONTADORES!BM315-CONTADORES!BM314)/1000</f>
        <v>0.502</v>
      </c>
      <c r="BO305" s="1450">
        <f ca="1">IF(B305&gt;=$J$5,0,CONTADORES!BN315-CONTADORES!BN314)</f>
        <v>24</v>
      </c>
      <c r="BP305" s="1450">
        <f ca="1">IF(B305&gt;=$J$5,0,CONTADORES!BO315-CONTADORES!BO314)/1000</f>
        <v>0</v>
      </c>
      <c r="BQ305" s="1450">
        <f ca="1">IF(B305&gt;=$J$5,0,CONTADORES!BP315-CONTADORES!BP314)/1000</f>
        <v>0</v>
      </c>
      <c r="BR305" s="1450">
        <f ca="1">IF(B305&gt;=$J$5,0,CONTADORES!BQ315-CONTADORES!BQ314)</f>
        <v>0</v>
      </c>
      <c r="BS305" s="1450">
        <f ca="1">IF(B305&gt;=$J$5,0,(CONTADORES!BT315-CONTADORES!BT314)+(CONTADORES!BV315-CONTADORES!BV314))/1000</f>
        <v>1.41</v>
      </c>
      <c r="BT305" s="1450">
        <f ca="1">IF(B305&gt;=$J$5,0,(CONTADORES!BU315-CONTADORES!BU314)+(CONTADORES!BW315-CONTADORES!BW314))/1000</f>
        <v>0.77400000000000002</v>
      </c>
      <c r="BU305" s="1450">
        <f ca="1">IF(B305&gt;=$J$5,0,CONTADORES!BR315-CONTADORES!BR314)</f>
        <v>6.7000000000007276</v>
      </c>
      <c r="BV305" s="1450">
        <f ca="1">IF(B305&gt;=$J$5,0,CONTADORES!BS315-CONTADORES!BS314)</f>
        <v>4.4000000000005457</v>
      </c>
      <c r="BW305" s="1450">
        <f t="shared" ca="1" si="139"/>
        <v>12.64949999999997</v>
      </c>
      <c r="BX305" s="1450">
        <f t="shared" ca="1" si="140"/>
        <v>10.038000000000721</v>
      </c>
      <c r="BY305" s="1450">
        <f t="shared" ca="1" si="141"/>
        <v>5.949499999999242</v>
      </c>
      <c r="BZ305" s="1450">
        <f t="shared" ca="1" si="142"/>
        <v>1.6360000000000001</v>
      </c>
      <c r="CA305" s="1450">
        <f t="shared" ca="1" si="143"/>
        <v>5.949499999999242</v>
      </c>
      <c r="CB305" s="1450">
        <f t="shared" ca="1" si="144"/>
        <v>2.4539999999999997</v>
      </c>
      <c r="CC305" s="1450">
        <f t="shared" ca="1" si="145"/>
        <v>3.0460000000000003</v>
      </c>
      <c r="CD305" s="1450">
        <f t="shared" ca="1" si="146"/>
        <v>5.6380000000001758</v>
      </c>
      <c r="CE305" s="1450">
        <f ca="1">IF(B305&gt;=$J$5,0,CONTADORES!BS315-CONTADORES!BS314)</f>
        <v>4.4000000000005457</v>
      </c>
      <c r="CF305" s="1450">
        <f t="shared" ca="1" si="147"/>
        <v>5.6380000000001758</v>
      </c>
      <c r="CG305" s="1450">
        <f t="shared" ca="1" si="148"/>
        <v>1.3499999999999091</v>
      </c>
      <c r="CH305" s="1450">
        <f t="shared" ca="1" si="149"/>
        <v>1.3499999999999091</v>
      </c>
      <c r="CI305" s="1450">
        <f t="shared" ca="1" si="150"/>
        <v>2.1239999999999091</v>
      </c>
      <c r="CJ305" s="1450">
        <f ca="1">IF($B305&gt;=$J$5,0,CONTADORES!$BG315)</f>
        <v>8639.8914142085796</v>
      </c>
      <c r="CK305" s="1516">
        <f>CONTADORES!E315</f>
        <v>0</v>
      </c>
      <c r="CL305" s="1516">
        <f>CONTADORES!BX315</f>
        <v>0.5</v>
      </c>
    </row>
    <row r="306" spans="2:90">
      <c r="B306" s="1514">
        <v>45222</v>
      </c>
      <c r="C306" s="208">
        <f t="shared" ca="1" si="126"/>
        <v>0</v>
      </c>
      <c r="D306" s="202">
        <f ca="1">'CALCULO DE GAS'!P128</f>
        <v>0</v>
      </c>
      <c r="E306" s="202">
        <f ca="1">IF(B306&gt;=$J$5,0,(CONTADORES!$AB316-CONTADORES!$AB315)-$H306)</f>
        <v>0</v>
      </c>
      <c r="F306" s="204">
        <f t="shared" ca="1" si="153"/>
        <v>0</v>
      </c>
      <c r="G306" s="202">
        <f ca="1">IF(B306&gt;=$J$5,0,CONTADORES!$AD316-CONTADORES!$AD315)</f>
        <v>0</v>
      </c>
      <c r="H306" s="202">
        <f ca="1">IF(G306&gt;0,CONTADORES!$AC316-CONTADORES!$AC315,0)</f>
        <v>0</v>
      </c>
      <c r="I306" s="205">
        <f ca="1">IF(B306&gt;=$J$5,0,CONTADORES!$Z316-CONTADORES!$Z315)</f>
        <v>0</v>
      </c>
      <c r="J306" s="204">
        <f t="shared" ca="1" si="127"/>
        <v>380</v>
      </c>
      <c r="K306" s="202">
        <f ca="1">'CALCULO DE GAS'!Q128</f>
        <v>6.3139264840922538</v>
      </c>
      <c r="L306" s="1437">
        <f ca="1">IF(B306&gt;=$J$5,0,(CONTADORES!$W316-CONTADORES!$W315)-$O306)</f>
        <v>24</v>
      </c>
      <c r="M306" s="1437">
        <f t="shared" ca="1" si="151"/>
        <v>0</v>
      </c>
      <c r="N306" s="1437">
        <f ca="1">IF(B306&gt;=$J$5,0,CONTADORES!$Y316-CONTADORES!$Y315)</f>
        <v>0</v>
      </c>
      <c r="O306" s="1437">
        <f ca="1">IF(N306&gt;0,CONTADORES!$X316-CONTADORES!$X315,0)</f>
        <v>0</v>
      </c>
      <c r="P306" s="208">
        <f ca="1">IF(B306&gt;=$J$5,0,CONTADORES!$U316-CONTADORES!$U315)</f>
        <v>380</v>
      </c>
      <c r="Q306" s="208">
        <f ca="1">IF(B306&gt;=$J$5,0,CONTADORES!$B316-CONTADORES!$B315)</f>
        <v>0</v>
      </c>
      <c r="R306" s="202">
        <f t="shared" ca="1" si="128"/>
        <v>0</v>
      </c>
      <c r="S306" s="11">
        <f ca="1">IF(B306&gt;=$J$5,0,CONTADORES!$D316-CONTADORES!$D315)</f>
        <v>0</v>
      </c>
      <c r="T306" s="204">
        <f ca="1">IF(B306&gt;=$J$5,0,CONTADORES!$AZ316-CONTADORES!$AZ315)</f>
        <v>0</v>
      </c>
      <c r="U306" s="202">
        <f t="shared" ca="1" si="152"/>
        <v>0</v>
      </c>
      <c r="V306" s="205">
        <f ca="1">IF(B306&gt;=$J$5,0,CONTADORES!$BB316-CONTADORES!$BB315)</f>
        <v>0</v>
      </c>
      <c r="W306" s="1438">
        <f t="shared" ca="1" si="129"/>
        <v>380</v>
      </c>
      <c r="X306" s="1438">
        <f t="shared" ca="1" si="130"/>
        <v>0</v>
      </c>
      <c r="Y306" s="1439">
        <f t="shared" ca="1" si="131"/>
        <v>380</v>
      </c>
      <c r="Z306" s="1439">
        <f t="shared" ca="1" si="132"/>
        <v>6.3139264840922538</v>
      </c>
      <c r="AA306" s="1439">
        <f t="shared" ca="1" si="133"/>
        <v>0</v>
      </c>
      <c r="AB306" s="1439">
        <f t="shared" ca="1" si="134"/>
        <v>24</v>
      </c>
      <c r="AC306" s="1438">
        <f t="shared" ca="1" si="135"/>
        <v>0</v>
      </c>
      <c r="AD306" s="1438">
        <f ca="1">IF(B306&gt;=$J$5,0,CONTADORES!H316-CONTADORES!H315)</f>
        <v>163</v>
      </c>
      <c r="AE306" s="1438">
        <f ca="1">IF(B306&gt;=$J$5,0,CONTADORES!J316-CONTADORES!J315)</f>
        <v>24</v>
      </c>
      <c r="AF306" s="1438">
        <f ca="1">IF(B306&gt;=$J$5,0,CONTADORES!AS316-CONTADORES!AS315)</f>
        <v>98</v>
      </c>
      <c r="AG306" s="1438">
        <f ca="1">IF(B306&gt;=$J$5,0,CONTADORES!AU316-CONTADORES!AU315)</f>
        <v>16</v>
      </c>
      <c r="AH306" s="1450">
        <f ca="1">IF(B306&gt;=$J$5,0,(CONTADORES!AK316-CONTADORES!AK315)+(CONTADORES!K316-CONTADORES!K315))</f>
        <v>6.2999999999956344</v>
      </c>
      <c r="AI306" s="1450">
        <f ca="1">IF(B306&gt;=$J$5,0,(CONTADORES!AI316-CONTADORES!AI315)+(CONTADORES!M316-CONTADORES!M315))</f>
        <v>34.600000000005821</v>
      </c>
      <c r="AJ306" s="1450">
        <f ca="1">IF(B306&gt;=$J$5,0,(CONTADORES!AG316-CONTADORES!AG315))</f>
        <v>6.1999999999970896</v>
      </c>
      <c r="AK306" s="1450">
        <f ca="1">IF(B306&gt;=$J$5,0,(CONTADORES!O316-CONTADORES!O315))</f>
        <v>9</v>
      </c>
      <c r="AL306" s="1500">
        <f t="shared" ca="1" si="136"/>
        <v>38.100000000002183</v>
      </c>
      <c r="AM306" s="1450">
        <f ca="1">IF(B306&gt;=$J$5,0,(((CONTADORES!F316-CONTADORES!F315)+(CONTADORES!AO316-CONTADORES!AO315))))-BJ306-AF306-AN306-BM306-BP306-BU306-BS306+T306</f>
        <v>7.464999999999451</v>
      </c>
      <c r="AN306" s="1438">
        <f ca="1">IF(B306&gt;=$J$5,0,(CONTADORES!AV316-CONTADORES!AV315)+(CONTADORES!AX316-CONTADORES!AX315)+(CONTADORES!BC316-CONTADORES!BC315))-BS306</f>
        <v>3.9980000000001819</v>
      </c>
      <c r="AO306" s="1478">
        <f ca="1">IF(B306&gt;=$J$5,0,(CONTADORES!AA316-CONTADORES!AA315))</f>
        <v>0</v>
      </c>
      <c r="AP306" s="1478">
        <f ca="1">IF(B306&gt;=$J$5,0,(CONTADORES!V316-CONTADORES!V315))</f>
        <v>198</v>
      </c>
      <c r="AQ306" s="1478">
        <f ca="1">IF(B306&gt;=$J$5,0,(CONTADORES!C316-CONTADORES!C315))</f>
        <v>0</v>
      </c>
      <c r="AR306" s="1478">
        <f ca="1">IF(B306&gt;=$J$5,0,(CONTADORES!BA316-CONTADORES!BA315))</f>
        <v>0</v>
      </c>
      <c r="AS306" s="1438">
        <f ca="1">IF(B306&gt;=$J$5,0,CONTADORES!Q316-CONTADORES!Q315)</f>
        <v>15</v>
      </c>
      <c r="AT306" s="1438">
        <f ca="1">IF(B306&gt;=$J$5,0,(CONTADORES!S316-CONTADORES!S315)+(CONTADORES!AE316-CONTADORES!AE315))</f>
        <v>2.9000000000000341</v>
      </c>
      <c r="AU306" s="1474">
        <f ca="1">IF(B306&gt;=$J$5,0,(CONTADORES!I316-CONTADORES!I315))</f>
        <v>81</v>
      </c>
      <c r="AV306" s="1478">
        <f ca="1">IF(B306&gt;=$J$5,0,(CONTADORES!AT316-CONTADORES!AT315))</f>
        <v>42</v>
      </c>
      <c r="AW306" s="1478">
        <f ca="1">IF(B306&gt;=$J$5,0,(CONTADORES!L316-CONTADORES!L315)+(CONTADORES!AL316-CONTADORES!AL315))</f>
        <v>2.4000000000014552</v>
      </c>
      <c r="AX306" s="1478">
        <f ca="1">IF(B306&gt;=$J$5,0,(CONTADORES!N316-CONTADORES!N315)+(CONTADORES!AJ316-CONTADORES!AJ315))</f>
        <v>28.299999999995634</v>
      </c>
      <c r="AY306" s="1478">
        <f ca="1">IF(B306&gt;=$J$5,0,(CONTADORES!AH316-CONTADORES!AH315))</f>
        <v>4.7000000000043656</v>
      </c>
      <c r="AZ306" s="1478">
        <f ca="1">IF(B306&gt;=$J$5,0,(CONTADORES!P316-CONTADORES!P315))</f>
        <v>7</v>
      </c>
      <c r="BA306" s="1450">
        <f t="shared" ca="1" si="137"/>
        <v>14.638999999998902</v>
      </c>
      <c r="BB306" s="1440">
        <f ca="1">IF(B306&gt;=$J$5,0,(((CONTADORES!G316-CONTADORES!G315)+(CONTADORES!AP316-CONTADORES!AP315)+AR306)-(AV306+BC306)))</f>
        <v>9</v>
      </c>
      <c r="BC306" s="1439">
        <f ca="1">IF(B306&gt;=$J$5,0,(CONTADORES!AW316-CONTADORES!AW315)+(CONTADORES!AY316-CONTADORES!AY315)+(CONTADORES!BD316-CONTADORES!BD315))</f>
        <v>2.8000000000001819</v>
      </c>
      <c r="BD306" s="1438">
        <f t="shared" ca="1" si="138"/>
        <v>198</v>
      </c>
      <c r="BE306" s="1439">
        <f ca="1">IF($B306&gt;=$J$5,0,CONTADORES!$BE316)</f>
        <v>4836.08</v>
      </c>
      <c r="BF306" s="1438">
        <f ca="1">IF($B306&gt;=$J$5,0,CONTADORES!$BF316)</f>
        <v>30392.191228070202</v>
      </c>
      <c r="BG306" s="1439">
        <f ca="1">IF($B306&gt;=$J$5,0,CONTADORES!$BH316)</f>
        <v>4345.09</v>
      </c>
      <c r="BH306" s="1438">
        <f ca="1">IF(B306&gt;=$J$5,0,(CONTADORES!AQ316-CONTADORES!AQ315))</f>
        <v>5</v>
      </c>
      <c r="BI306" s="1438">
        <f ca="1">IF(B306&gt;=$J$5,0,(CONTADORES!AR316-CONTADORES!AR315))</f>
        <v>0</v>
      </c>
      <c r="BJ306" s="1439">
        <f ca="1">IF(B306&gt;=$J$5,0,CONTADORES!BI316-CONTADORES!BI315)/1000</f>
        <v>1.2</v>
      </c>
      <c r="BK306" s="1450">
        <f ca="1">IF(B306&gt;=$J$5,0,CONTADORES!BJ316-CONTADORES!BJ315)</f>
        <v>1</v>
      </c>
      <c r="BL306" s="1450">
        <f ca="1">IF(B306&gt;=$J$5,0,CONTADORES!BK316-CONTADORES!BK315)</f>
        <v>16</v>
      </c>
      <c r="BM306" s="1450">
        <f ca="1">IF(B306&gt;=$J$5,0,CONTADORES!BL316-CONTADORES!BL315)/1000</f>
        <v>3.1190000000000002</v>
      </c>
      <c r="BN306" s="1450">
        <f ca="1">IF(B306&gt;=$J$5,0,CONTADORES!BM316-CONTADORES!BM315)/1000</f>
        <v>0.186</v>
      </c>
      <c r="BO306" s="1450">
        <f ca="1">IF(B306&gt;=$J$5,0,CONTADORES!BN316-CONTADORES!BN315)</f>
        <v>22</v>
      </c>
      <c r="BP306" s="1450">
        <f ca="1">IF(B306&gt;=$J$5,0,CONTADORES!BO316-CONTADORES!BO315)/1000</f>
        <v>1.3160000000000001</v>
      </c>
      <c r="BQ306" s="1450">
        <f ca="1">IF(B306&gt;=$J$5,0,CONTADORES!BP316-CONTADORES!BP315)/1000</f>
        <v>0.15</v>
      </c>
      <c r="BR306" s="1450">
        <f ca="1">IF(B306&gt;=$J$5,0,CONTADORES!BQ316-CONTADORES!BQ315)</f>
        <v>5.2700000000004366</v>
      </c>
      <c r="BS306" s="1450">
        <f ca="1">IF(B306&gt;=$J$5,0,(CONTADORES!BT316-CONTADORES!BT315)+(CONTADORES!BV316-CONTADORES!BV315))/1000</f>
        <v>1.302</v>
      </c>
      <c r="BT306" s="1450">
        <f ca="1">IF(B306&gt;=$J$5,0,(CONTADORES!BU316-CONTADORES!BU315)+(CONTADORES!BW316-CONTADORES!BW315))/1000</f>
        <v>0.72499999999999998</v>
      </c>
      <c r="BU306" s="1450">
        <f ca="1">IF(B306&gt;=$J$5,0,CONTADORES!BR316-CONTADORES!BR315)</f>
        <v>6.3999999999996362</v>
      </c>
      <c r="BV306" s="1450">
        <f ca="1">IF(B306&gt;=$J$5,0,CONTADORES!BS316-CONTADORES!BS315)</f>
        <v>4.0999999999994543</v>
      </c>
      <c r="BW306" s="1450">
        <f t="shared" ca="1" si="139"/>
        <v>10.132499999999361</v>
      </c>
      <c r="BX306" s="1450">
        <f t="shared" ca="1" si="140"/>
        <v>8.5999999999994543</v>
      </c>
      <c r="BY306" s="1450">
        <f t="shared" ca="1" si="141"/>
        <v>3.7324999999997255</v>
      </c>
      <c r="BZ306" s="1450">
        <f t="shared" ca="1" si="142"/>
        <v>1.5992000000000728</v>
      </c>
      <c r="CA306" s="1450">
        <f t="shared" ca="1" si="143"/>
        <v>3.7324999999997255</v>
      </c>
      <c r="CB306" s="1450">
        <f t="shared" ca="1" si="144"/>
        <v>2.3988000000001088</v>
      </c>
      <c r="CC306" s="1450">
        <f t="shared" ca="1" si="145"/>
        <v>2.9012000000000731</v>
      </c>
      <c r="CD306" s="1450">
        <f t="shared" ca="1" si="146"/>
        <v>4.5</v>
      </c>
      <c r="CE306" s="1450">
        <f ca="1">IF(B306&gt;=$J$5,0,CONTADORES!BS316-CONTADORES!BS315)</f>
        <v>4.0999999999994543</v>
      </c>
      <c r="CF306" s="1450">
        <f t="shared" ca="1" si="147"/>
        <v>4.5</v>
      </c>
      <c r="CG306" s="1450">
        <f t="shared" ca="1" si="148"/>
        <v>1.4000000000000909</v>
      </c>
      <c r="CH306" s="1450">
        <f t="shared" ca="1" si="149"/>
        <v>1.4000000000000909</v>
      </c>
      <c r="CI306" s="1450">
        <f t="shared" ca="1" si="150"/>
        <v>2.125000000000091</v>
      </c>
      <c r="CJ306" s="1450">
        <f ca="1">IF($B306&gt;=$J$5,0,CONTADORES!$BG316)</f>
        <v>7610.5125889503297</v>
      </c>
      <c r="CK306" s="1516">
        <f>CONTADORES!E316</f>
        <v>0</v>
      </c>
      <c r="CL306" s="1516">
        <f>CONTADORES!BX316</f>
        <v>0</v>
      </c>
    </row>
    <row r="307" spans="2:90">
      <c r="B307" s="1514">
        <v>45223</v>
      </c>
      <c r="C307" s="208">
        <f t="shared" ca="1" si="126"/>
        <v>172</v>
      </c>
      <c r="D307" s="202">
        <f ca="1">'CALCULO DE GAS'!P129</f>
        <v>4.0472988791247788</v>
      </c>
      <c r="E307" s="202">
        <f ca="1">IF(B307&gt;=$J$5,0,(CONTADORES!$AB317-CONTADORES!$AB316)-$H307)</f>
        <v>19</v>
      </c>
      <c r="F307" s="204">
        <f t="shared" ca="1" si="153"/>
        <v>0</v>
      </c>
      <c r="G307" s="202">
        <f ca="1">IF(B307&gt;=$J$5,0,CONTADORES!$AD317-CONTADORES!$AD316)</f>
        <v>0</v>
      </c>
      <c r="H307" s="202">
        <f ca="1">IF(G307&gt;0,CONTADORES!$AC317-CONTADORES!$AC316,0)</f>
        <v>0</v>
      </c>
      <c r="I307" s="205">
        <f ca="1">IF(B307&gt;=$J$5,0,CONTADORES!$Z317-CONTADORES!$Z316)</f>
        <v>172</v>
      </c>
      <c r="J307" s="204">
        <f t="shared" ca="1" si="127"/>
        <v>230</v>
      </c>
      <c r="K307" s="202">
        <f ca="1">'CALCULO DE GAS'!Q129</f>
        <v>4.5058543374334734</v>
      </c>
      <c r="L307" s="1437">
        <f ca="1">IF(B307&gt;=$J$5,0,(CONTADORES!$W317-CONTADORES!$W316)-$O307)</f>
        <v>24</v>
      </c>
      <c r="M307" s="1437">
        <f t="shared" ca="1" si="151"/>
        <v>0</v>
      </c>
      <c r="N307" s="1437">
        <f ca="1">IF(B307&gt;=$J$5,0,CONTADORES!$Y317-CONTADORES!$Y316)</f>
        <v>0</v>
      </c>
      <c r="O307" s="1437">
        <f ca="1">IF(N307&gt;0,CONTADORES!$X317-CONTADORES!$X316,0)</f>
        <v>0</v>
      </c>
      <c r="P307" s="208">
        <f ca="1">IF(B307&gt;=$J$5,0,CONTADORES!$U317-CONTADORES!$U316)</f>
        <v>230</v>
      </c>
      <c r="Q307" s="208">
        <f ca="1">IF(B307&gt;=$J$5,0,CONTADORES!$B317-CONTADORES!$B316)</f>
        <v>0</v>
      </c>
      <c r="R307" s="202">
        <f t="shared" ca="1" si="128"/>
        <v>0</v>
      </c>
      <c r="S307" s="11">
        <f ca="1">IF(B307&gt;=$J$5,0,CONTADORES!$D317-CONTADORES!$D316)</f>
        <v>0.1999999999998181</v>
      </c>
      <c r="T307" s="204">
        <f ca="1">IF(B307&gt;=$J$5,0,CONTADORES!$AZ317-CONTADORES!$AZ316)</f>
        <v>0</v>
      </c>
      <c r="U307" s="202">
        <f t="shared" ca="1" si="152"/>
        <v>0</v>
      </c>
      <c r="V307" s="205">
        <f ca="1">IF(B307&gt;=$J$5,0,CONTADORES!$BB317-CONTADORES!$BB316)</f>
        <v>0</v>
      </c>
      <c r="W307" s="1438">
        <f t="shared" ca="1" si="129"/>
        <v>402</v>
      </c>
      <c r="X307" s="1438">
        <f t="shared" ca="1" si="130"/>
        <v>0</v>
      </c>
      <c r="Y307" s="1439">
        <f t="shared" ca="1" si="131"/>
        <v>402</v>
      </c>
      <c r="Z307" s="1439">
        <f t="shared" ca="1" si="132"/>
        <v>8.5531532165582522</v>
      </c>
      <c r="AA307" s="1439">
        <f t="shared" ca="1" si="133"/>
        <v>0</v>
      </c>
      <c r="AB307" s="1439">
        <f t="shared" ca="1" si="134"/>
        <v>43</v>
      </c>
      <c r="AC307" s="1438">
        <f t="shared" ca="1" si="135"/>
        <v>0.1999999999998181</v>
      </c>
      <c r="AD307" s="1438">
        <f ca="1">IF(B307&gt;=$J$5,0,CONTADORES!H317-CONTADORES!H316)</f>
        <v>166</v>
      </c>
      <c r="AE307" s="1438">
        <f ca="1">IF(B307&gt;=$J$5,0,CONTADORES!J317-CONTADORES!J316)</f>
        <v>24</v>
      </c>
      <c r="AF307" s="1438">
        <f ca="1">IF(B307&gt;=$J$5,0,CONTADORES!AS317-CONTADORES!AS316)</f>
        <v>110</v>
      </c>
      <c r="AG307" s="1438">
        <f ca="1">IF(B307&gt;=$J$5,0,CONTADORES!AU317-CONTADORES!AU316)</f>
        <v>17.69999999999709</v>
      </c>
      <c r="AH307" s="1450">
        <f ca="1">IF(B307&gt;=$J$5,0,(CONTADORES!AK317-CONTADORES!AK316)+(CONTADORES!K317-CONTADORES!K316))</f>
        <v>7.3000000000029104</v>
      </c>
      <c r="AI307" s="1450">
        <f ca="1">IF(B307&gt;=$J$5,0,(CONTADORES!AI317-CONTADORES!AI316)+(CONTADORES!M317-CONTADORES!M316))</f>
        <v>40.30000000000291</v>
      </c>
      <c r="AJ307" s="1450">
        <f ca="1">IF(B307&gt;=$J$5,0,(CONTADORES!AG317-CONTADORES!AG316))</f>
        <v>6.4000000000087311</v>
      </c>
      <c r="AK307" s="1450">
        <f ca="1">IF(B307&gt;=$J$5,0,(CONTADORES!O317-CONTADORES!O316))</f>
        <v>9</v>
      </c>
      <c r="AL307" s="1500">
        <f t="shared" ca="1" si="136"/>
        <v>30.899999999983265</v>
      </c>
      <c r="AM307" s="1450">
        <f ca="1">IF(B307&gt;=$J$5,0,(((CONTADORES!F317-CONTADORES!F316)+(CONTADORES!AO317-CONTADORES!AO316))))-BJ307-AF307-AN307-BM307-BP307-BU307-BS307+T307</f>
        <v>11.027000000001456</v>
      </c>
      <c r="AN307" s="1438">
        <f ca="1">IF(B307&gt;=$J$5,0,(CONTADORES!AV317-CONTADORES!AV316)+(CONTADORES!AX317-CONTADORES!AX316)+(CONTADORES!BC317-CONTADORES!BC316))-BS307</f>
        <v>3.8729999999996361</v>
      </c>
      <c r="AO307" s="1478">
        <f ca="1">IF(B307&gt;=$J$5,0,(CONTADORES!AA317-CONTADORES!AA316))</f>
        <v>88</v>
      </c>
      <c r="AP307" s="1478">
        <f ca="1">IF(B307&gt;=$J$5,0,(CONTADORES!V317-CONTADORES!V316))</f>
        <v>121</v>
      </c>
      <c r="AQ307" s="1478">
        <f ca="1">IF(B307&gt;=$J$5,0,(CONTADORES!C317-CONTADORES!C316))</f>
        <v>0</v>
      </c>
      <c r="AR307" s="1478">
        <f ca="1">IF(B307&gt;=$J$5,0,(CONTADORES!BA317-CONTADORES!BA316))</f>
        <v>0</v>
      </c>
      <c r="AS307" s="1438">
        <f ca="1">IF(B307&gt;=$J$5,0,CONTADORES!Q317-CONTADORES!Q316)</f>
        <v>16</v>
      </c>
      <c r="AT307" s="1438">
        <f ca="1">IF(B307&gt;=$J$5,0,(CONTADORES!S317-CONTADORES!S316)+(CONTADORES!AE317-CONTADORES!AE316))</f>
        <v>3.3999999999999773</v>
      </c>
      <c r="AU307" s="1474">
        <f ca="1">IF(B307&gt;=$J$5,0,(CONTADORES!I317-CONTADORES!I316))</f>
        <v>82</v>
      </c>
      <c r="AV307" s="1478">
        <f ca="1">IF(B307&gt;=$J$5,0,(CONTADORES!AT317-CONTADORES!AT316))</f>
        <v>48</v>
      </c>
      <c r="AW307" s="1478">
        <f ca="1">IF(B307&gt;=$J$5,0,(CONTADORES!L317-CONTADORES!L316)+(CONTADORES!AL317-CONTADORES!AL316))</f>
        <v>2.8999999999978172</v>
      </c>
      <c r="AX307" s="1478">
        <f ca="1">IF(B307&gt;=$J$5,0,(CONTADORES!N317-CONTADORES!N316)+(CONTADORES!AJ317-CONTADORES!AJ316))</f>
        <v>33.80000000000291</v>
      </c>
      <c r="AY307" s="1478">
        <f ca="1">IF(B307&gt;=$J$5,0,(CONTADORES!AH317-CONTADORES!AH316))</f>
        <v>5</v>
      </c>
      <c r="AZ307" s="1478">
        <f ca="1">IF(B307&gt;=$J$5,0,(CONTADORES!P317-CONTADORES!P316))</f>
        <v>8</v>
      </c>
      <c r="BA307" s="1450">
        <f t="shared" ca="1" si="137"/>
        <v>8.787999999999073</v>
      </c>
      <c r="BB307" s="1440">
        <f ca="1">IF(B307&gt;=$J$5,0,(((CONTADORES!G317-CONTADORES!G316)+(CONTADORES!AP317-CONTADORES!AP316)+AR307)-(AV307+BC307)))</f>
        <v>12.300000000000182</v>
      </c>
      <c r="BC307" s="1439">
        <f ca="1">IF(B307&gt;=$J$5,0,(CONTADORES!AW317-CONTADORES!AW316)+(CONTADORES!AY317-CONTADORES!AY316)+(CONTADORES!BD317-CONTADORES!BD316))</f>
        <v>2.6999999999998181</v>
      </c>
      <c r="BD307" s="1438">
        <f t="shared" ca="1" si="138"/>
        <v>209</v>
      </c>
      <c r="BE307" s="1439">
        <f ca="1">IF($B307&gt;=$J$5,0,CONTADORES!$BE317)</f>
        <v>4846.43</v>
      </c>
      <c r="BF307" s="1438">
        <f ca="1">IF($B307&gt;=$J$5,0,CONTADORES!$BF317)</f>
        <v>33976.096491228098</v>
      </c>
      <c r="BG307" s="1439">
        <f ca="1">IF($B307&gt;=$J$5,0,CONTADORES!$BH317)</f>
        <v>4472.26</v>
      </c>
      <c r="BH307" s="1438">
        <f ca="1">IF(B307&gt;=$J$5,0,(CONTADORES!AQ317-CONTADORES!AQ316))</f>
        <v>6</v>
      </c>
      <c r="BI307" s="1438">
        <f ca="1">IF(B307&gt;=$J$5,0,(CONTADORES!AR317-CONTADORES!AR316))</f>
        <v>0</v>
      </c>
      <c r="BJ307" s="1439">
        <f ca="1">IF(B307&gt;=$J$5,0,CONTADORES!BI317-CONTADORES!BI316)/1000</f>
        <v>0</v>
      </c>
      <c r="BK307" s="1450">
        <f ca="1">IF(B307&gt;=$J$5,0,CONTADORES!BJ317-CONTADORES!BJ316)</f>
        <v>0</v>
      </c>
      <c r="BL307" s="1450">
        <f ca="1">IF(B307&gt;=$J$5,0,CONTADORES!BK317-CONTADORES!BK316)</f>
        <v>0</v>
      </c>
      <c r="BM307" s="1450">
        <f ca="1">IF(B307&gt;=$J$5,0,CONTADORES!BL317-CONTADORES!BL316)/1000</f>
        <v>2.91</v>
      </c>
      <c r="BN307" s="1450">
        <f ca="1">IF(B307&gt;=$J$5,0,CONTADORES!BM317-CONTADORES!BM316)/1000</f>
        <v>0.02</v>
      </c>
      <c r="BO307" s="1450">
        <f ca="1">IF(B307&gt;=$J$5,0,CONTADORES!BN317-CONTADORES!BN316)</f>
        <v>24</v>
      </c>
      <c r="BP307" s="1450">
        <f ca="1">IF(B307&gt;=$J$5,0,CONTADORES!BO317-CONTADORES!BO316)/1000</f>
        <v>5.9630000000000001</v>
      </c>
      <c r="BQ307" s="1450">
        <f ca="1">IF(B307&gt;=$J$5,0,CONTADORES!BP317-CONTADORES!BP316)/1000</f>
        <v>0.33600000000000002</v>
      </c>
      <c r="BR307" s="1450">
        <f ca="1">IF(B307&gt;=$J$5,0,CONTADORES!BQ317-CONTADORES!BQ316)</f>
        <v>24</v>
      </c>
      <c r="BS307" s="1450">
        <f ca="1">IF(B307&gt;=$J$5,0,(CONTADORES!BT317-CONTADORES!BT316)+(CONTADORES!BV317-CONTADORES!BV316))/1000</f>
        <v>1.5269999999999999</v>
      </c>
      <c r="BT307" s="1450">
        <f ca="1">IF(B307&gt;=$J$5,0,(CONTADORES!BU317-CONTADORES!BU316)+(CONTADORES!BW317-CONTADORES!BW316))/1000</f>
        <v>0.85599999999999998</v>
      </c>
      <c r="BU307" s="1450">
        <f ca="1">IF(B307&gt;=$J$5,0,CONTADORES!BR317-CONTADORES!BR316)</f>
        <v>6.8000000000010914</v>
      </c>
      <c r="BV307" s="1450">
        <f ca="1">IF(B307&gt;=$J$5,0,CONTADORES!BS317-CONTADORES!BS316)</f>
        <v>4.3000000000001819</v>
      </c>
      <c r="BW307" s="1450">
        <f t="shared" ca="1" si="139"/>
        <v>12.31350000000182</v>
      </c>
      <c r="BX307" s="1450">
        <f t="shared" ca="1" si="140"/>
        <v>10.450000000000273</v>
      </c>
      <c r="BY307" s="1450">
        <f t="shared" ca="1" si="141"/>
        <v>5.5135000000007279</v>
      </c>
      <c r="BZ307" s="1450">
        <f t="shared" ca="1" si="142"/>
        <v>1.5491999999998545</v>
      </c>
      <c r="CA307" s="1450">
        <f t="shared" ca="1" si="143"/>
        <v>5.5135000000007279</v>
      </c>
      <c r="CB307" s="1450">
        <f t="shared" ca="1" si="144"/>
        <v>2.3237999999997818</v>
      </c>
      <c r="CC307" s="1450">
        <f t="shared" ca="1" si="145"/>
        <v>3.0761999999998544</v>
      </c>
      <c r="CD307" s="1450">
        <f t="shared" ca="1" si="146"/>
        <v>6.1500000000000909</v>
      </c>
      <c r="CE307" s="1450">
        <f ca="1">IF(B307&gt;=$J$5,0,CONTADORES!BS317-CONTADORES!BS316)</f>
        <v>4.3000000000001819</v>
      </c>
      <c r="CF307" s="1450">
        <f t="shared" ca="1" si="147"/>
        <v>6.1500000000000909</v>
      </c>
      <c r="CG307" s="1450">
        <f t="shared" ca="1" si="148"/>
        <v>1.3499999999999091</v>
      </c>
      <c r="CH307" s="1450">
        <f t="shared" ca="1" si="149"/>
        <v>1.3499999999999091</v>
      </c>
      <c r="CI307" s="1450">
        <f t="shared" ca="1" si="150"/>
        <v>2.2059999999999089</v>
      </c>
      <c r="CJ307" s="1450">
        <f ca="1">IF($B307&gt;=$J$5,0,CONTADORES!$BG317)</f>
        <v>9090.0909794812305</v>
      </c>
      <c r="CK307" s="1516">
        <f>CONTADORES!E317</f>
        <v>0</v>
      </c>
      <c r="CL307" s="1516">
        <f>CONTADORES!BX317</f>
        <v>0</v>
      </c>
    </row>
    <row r="308" spans="2:90">
      <c r="B308" s="1514">
        <v>45224</v>
      </c>
      <c r="C308" s="208">
        <f t="shared" ca="1" si="126"/>
        <v>148</v>
      </c>
      <c r="D308" s="202">
        <f ca="1">'CALCULO DE GAS'!P130</f>
        <v>3.8430930837374344</v>
      </c>
      <c r="E308" s="202">
        <f ca="1">IF(B308&gt;=$J$5,0,(CONTADORES!$AB318-CONTADORES!$AB317)-$H308)</f>
        <v>24</v>
      </c>
      <c r="F308" s="204">
        <f t="shared" ca="1" si="153"/>
        <v>0</v>
      </c>
      <c r="G308" s="202">
        <f ca="1">IF(B308&gt;=$J$5,0,CONTADORES!$AD318-CONTADORES!$AD317)</f>
        <v>0</v>
      </c>
      <c r="H308" s="202">
        <f ca="1">IF(G308&gt;0,CONTADORES!$AC318-CONTADORES!$AC317,0)</f>
        <v>0</v>
      </c>
      <c r="I308" s="205">
        <f ca="1">IF(B308&gt;=$J$5,0,CONTADORES!$Z318-CONTADORES!$Z317)</f>
        <v>148</v>
      </c>
      <c r="J308" s="204">
        <f t="shared" ca="1" si="127"/>
        <v>302</v>
      </c>
      <c r="K308" s="202">
        <f ca="1">'CALCULO DE GAS'!Q130</f>
        <v>5.3737289678296882</v>
      </c>
      <c r="L308" s="1437">
        <f ca="1">IF(B308&gt;=$J$5,0,(CONTADORES!$W318-CONTADORES!$W317)-$O308)</f>
        <v>24</v>
      </c>
      <c r="M308" s="1437">
        <f t="shared" ca="1" si="151"/>
        <v>0</v>
      </c>
      <c r="N308" s="1437">
        <f ca="1">IF(B308&gt;=$J$5,0,CONTADORES!$Y318-CONTADORES!$Y317)</f>
        <v>0</v>
      </c>
      <c r="O308" s="1437">
        <f ca="1">IF(N308&gt;0,CONTADORES!$X318-CONTADORES!$X317,0)</f>
        <v>0</v>
      </c>
      <c r="P308" s="208">
        <f ca="1">IF(B308&gt;=$J$5,0,CONTADORES!$U318-CONTADORES!$U317)</f>
        <v>302</v>
      </c>
      <c r="Q308" s="208">
        <f ca="1">IF(B308&gt;=$J$5,0,CONTADORES!$B318-CONTADORES!$B317)</f>
        <v>0</v>
      </c>
      <c r="R308" s="202">
        <f t="shared" ca="1" si="128"/>
        <v>0</v>
      </c>
      <c r="S308" s="11">
        <f ca="1">IF(B308&gt;=$J$5,0,CONTADORES!$D318-CONTADORES!$D317)</f>
        <v>0</v>
      </c>
      <c r="T308" s="204">
        <f ca="1">IF(B308&gt;=$J$5,0,CONTADORES!$AZ318-CONTADORES!$AZ317)</f>
        <v>0</v>
      </c>
      <c r="U308" s="202">
        <f t="shared" ca="1" si="152"/>
        <v>0</v>
      </c>
      <c r="V308" s="205">
        <f ca="1">IF(B308&gt;=$J$5,0,CONTADORES!$BB318-CONTADORES!$BB317)</f>
        <v>0</v>
      </c>
      <c r="W308" s="1438">
        <f t="shared" ca="1" si="129"/>
        <v>450</v>
      </c>
      <c r="X308" s="1438">
        <f t="shared" ca="1" si="130"/>
        <v>0</v>
      </c>
      <c r="Y308" s="1439">
        <f t="shared" ca="1" si="131"/>
        <v>450</v>
      </c>
      <c r="Z308" s="1439">
        <f t="shared" ca="1" si="132"/>
        <v>9.2168220515671226</v>
      </c>
      <c r="AA308" s="1439">
        <f t="shared" ca="1" si="133"/>
        <v>0</v>
      </c>
      <c r="AB308" s="1439">
        <f t="shared" ca="1" si="134"/>
        <v>48</v>
      </c>
      <c r="AC308" s="1438">
        <f t="shared" ca="1" si="135"/>
        <v>0</v>
      </c>
      <c r="AD308" s="1438">
        <f ca="1">IF(B308&gt;=$J$5,0,CONTADORES!H318-CONTADORES!H317)</f>
        <v>167</v>
      </c>
      <c r="AE308" s="1438">
        <f ca="1">IF(B308&gt;=$J$5,0,CONTADORES!J318-CONTADORES!J317)</f>
        <v>24</v>
      </c>
      <c r="AF308" s="1438">
        <f ca="1">IF(B308&gt;=$J$5,0,CONTADORES!AS318-CONTADORES!AS317)</f>
        <v>150</v>
      </c>
      <c r="AG308" s="1438">
        <f ca="1">IF(B308&gt;=$J$5,0,CONTADORES!AU318-CONTADORES!AU317)</f>
        <v>24</v>
      </c>
      <c r="AH308" s="1450">
        <f ca="1">IF(B308&gt;=$J$5,0,(CONTADORES!AK318-CONTADORES!AK317)+(CONTADORES!K318-CONTADORES!K317))</f>
        <v>14.19999999999709</v>
      </c>
      <c r="AI308" s="1450">
        <f ca="1">IF(B308&gt;=$J$5,0,(CONTADORES!AI318-CONTADORES!AI317)+(CONTADORES!M318-CONTADORES!M317))</f>
        <v>38.69999999999709</v>
      </c>
      <c r="AJ308" s="1450">
        <f ca="1">IF(B308&gt;=$J$5,0,(CONTADORES!AG318-CONTADORES!AG317))</f>
        <v>6.3999999999941792</v>
      </c>
      <c r="AK308" s="1450">
        <f ca="1">IF(B308&gt;=$J$5,0,(CONTADORES!O318-CONTADORES!O317))</f>
        <v>10</v>
      </c>
      <c r="AL308" s="1500">
        <f t="shared" ca="1" si="136"/>
        <v>32.700000000011642</v>
      </c>
      <c r="AM308" s="1450">
        <f ca="1">IF(B308&gt;=$J$5,0,(((CONTADORES!F318-CONTADORES!F317)+(CONTADORES!AO318-CONTADORES!AO317))))-BJ308-AF308-AN308-BM308-BP308-BU308-BS308+T308</f>
        <v>9.3010000000011797</v>
      </c>
      <c r="AN308" s="1438">
        <f ca="1">IF(B308&gt;=$J$5,0,(CONTADORES!AV318-CONTADORES!AV317)+(CONTADORES!AX318-CONTADORES!AX317)+(CONTADORES!BC318-CONTADORES!BC317))-BS308</f>
        <v>4.7450000000002728</v>
      </c>
      <c r="AO308" s="1478">
        <f ca="1">IF(B308&gt;=$J$5,0,(CONTADORES!AA318-CONTADORES!AA317))</f>
        <v>76</v>
      </c>
      <c r="AP308" s="1478">
        <f ca="1">IF(B308&gt;=$J$5,0,(CONTADORES!V318-CONTADORES!V317))</f>
        <v>154</v>
      </c>
      <c r="AQ308" s="1478">
        <f ca="1">IF(B308&gt;=$J$5,0,(CONTADORES!C318-CONTADORES!C317))</f>
        <v>0</v>
      </c>
      <c r="AR308" s="1478">
        <f ca="1">IF(B308&gt;=$J$5,0,(CONTADORES!BA318-CONTADORES!BA317))</f>
        <v>0</v>
      </c>
      <c r="AS308" s="1438">
        <f ca="1">IF(B308&gt;=$J$5,0,CONTADORES!Q318-CONTADORES!Q317)</f>
        <v>15</v>
      </c>
      <c r="AT308" s="1438">
        <f ca="1">IF(B308&gt;=$J$5,0,(CONTADORES!S318-CONTADORES!S317)+(CONTADORES!AE318-CONTADORES!AE317))</f>
        <v>3.3999999999999773</v>
      </c>
      <c r="AU308" s="1474">
        <f ca="1">IF(B308&gt;=$J$5,0,(CONTADORES!I318-CONTADORES!I317))</f>
        <v>82</v>
      </c>
      <c r="AV308" s="1478">
        <f ca="1">IF(B308&gt;=$J$5,0,(CONTADORES!AT318-CONTADORES!AT317))</f>
        <v>64</v>
      </c>
      <c r="AW308" s="1478">
        <f ca="1">IF(B308&gt;=$J$5,0,(CONTADORES!L318-CONTADORES!L317)+(CONTADORES!AL318-CONTADORES!AL317))</f>
        <v>5.4000000000014552</v>
      </c>
      <c r="AX308" s="1478">
        <f ca="1">IF(B308&gt;=$J$5,0,(CONTADORES!N318-CONTADORES!N317)+(CONTADORES!AJ318-CONTADORES!AJ317))</f>
        <v>32.69999999999709</v>
      </c>
      <c r="AY308" s="1478">
        <f ca="1">IF(B308&gt;=$J$5,0,(CONTADORES!AH318-CONTADORES!AH317))</f>
        <v>4.7999999999956344</v>
      </c>
      <c r="AZ308" s="1478">
        <f ca="1">IF(B308&gt;=$J$5,0,(CONTADORES!P318-CONTADORES!P317))</f>
        <v>8</v>
      </c>
      <c r="BA308" s="1450">
        <f t="shared" ca="1" si="137"/>
        <v>8.8350000000060049</v>
      </c>
      <c r="BB308" s="1440">
        <f ca="1">IF(B308&gt;=$J$5,0,(((CONTADORES!G318-CONTADORES!G317)+(CONTADORES!AP318-CONTADORES!AP317)+AR308)-(AV308+BC308)))</f>
        <v>15.5</v>
      </c>
      <c r="BC308" s="1439">
        <f ca="1">IF(B308&gt;=$J$5,0,(CONTADORES!AW318-CONTADORES!AW317)+(CONTADORES!AY318-CONTADORES!AY317)+(CONTADORES!BD318-CONTADORES!BD317))</f>
        <v>2.5</v>
      </c>
      <c r="BD308" s="1438">
        <f t="shared" ca="1" si="138"/>
        <v>230</v>
      </c>
      <c r="BE308" s="1439">
        <f ca="1">IF($B308&gt;=$J$5,0,CONTADORES!$BE318)</f>
        <v>4697.24</v>
      </c>
      <c r="BF308" s="1438">
        <f ca="1">IF($B308&gt;=$J$5,0,CONTADORES!$BF318)</f>
        <v>33659.6052631579</v>
      </c>
      <c r="BG308" s="1439">
        <f ca="1">IF($B308&gt;=$J$5,0,CONTADORES!$BH318)</f>
        <v>4611.53</v>
      </c>
      <c r="BH308" s="1438">
        <f ca="1">IF(B308&gt;=$J$5,0,(CONTADORES!AQ318-CONTADORES!AQ317))</f>
        <v>5</v>
      </c>
      <c r="BI308" s="1438">
        <f ca="1">IF(B308&gt;=$J$5,0,(CONTADORES!AR318-CONTADORES!AR317))</f>
        <v>0</v>
      </c>
      <c r="BJ308" s="1439">
        <f ca="1">IF(B308&gt;=$J$5,0,CONTADORES!BI318-CONTADORES!BI317)/1000</f>
        <v>0</v>
      </c>
      <c r="BK308" s="1450">
        <f ca="1">IF(B308&gt;=$J$5,0,CONTADORES!BJ318-CONTADORES!BJ317)</f>
        <v>0</v>
      </c>
      <c r="BL308" s="1450">
        <f ca="1">IF(B308&gt;=$J$5,0,CONTADORES!BK318-CONTADORES!BK317)</f>
        <v>0</v>
      </c>
      <c r="BM308" s="1450">
        <f ca="1">IF(B308&gt;=$J$5,0,CONTADORES!BL318-CONTADORES!BL317)/1000</f>
        <v>4.1980000000000004</v>
      </c>
      <c r="BN308" s="1450">
        <f ca="1">IF(B308&gt;=$J$5,0,CONTADORES!BM318-CONTADORES!BM317)/1000</f>
        <v>0.36499999999999999</v>
      </c>
      <c r="BO308" s="1450">
        <f ca="1">IF(B308&gt;=$J$5,0,CONTADORES!BN318-CONTADORES!BN317)</f>
        <v>24</v>
      </c>
      <c r="BP308" s="1450">
        <f ca="1">IF(B308&gt;=$J$5,0,CONTADORES!BO318-CONTADORES!BO317)/1000</f>
        <v>4.7009999999999996</v>
      </c>
      <c r="BQ308" s="1450">
        <f ca="1">IF(B308&gt;=$J$5,0,CONTADORES!BP318-CONTADORES!BP317)/1000</f>
        <v>0.89300000000000002</v>
      </c>
      <c r="BR308" s="1450">
        <f ca="1">IF(B308&gt;=$J$5,0,CONTADORES!BQ318-CONTADORES!BQ317)</f>
        <v>24</v>
      </c>
      <c r="BS308" s="1450">
        <f ca="1">IF(B308&gt;=$J$5,0,(CONTADORES!BT318-CONTADORES!BT317)+(CONTADORES!BV318-CONTADORES!BV317))/1000</f>
        <v>1.4550000000000001</v>
      </c>
      <c r="BT308" s="1450">
        <f ca="1">IF(B308&gt;=$J$5,0,(CONTADORES!BU318-CONTADORES!BU317)+(CONTADORES!BW318-CONTADORES!BW317))/1000</f>
        <v>0.80700000000000005</v>
      </c>
      <c r="BU308" s="1450">
        <f ca="1">IF(B308&gt;=$J$5,0,CONTADORES!BR318-CONTADORES!BR317)</f>
        <v>6.5999999999985448</v>
      </c>
      <c r="BV308" s="1450">
        <f ca="1">IF(B308&gt;=$J$5,0,CONTADORES!BS318-CONTADORES!BS317)</f>
        <v>4.1999999999998181</v>
      </c>
      <c r="BW308" s="1450">
        <f t="shared" ca="1" si="139"/>
        <v>11.250499999999136</v>
      </c>
      <c r="BX308" s="1450">
        <f t="shared" ca="1" si="140"/>
        <v>11.949999999999818</v>
      </c>
      <c r="BY308" s="1450">
        <f t="shared" ca="1" si="141"/>
        <v>4.6505000000005898</v>
      </c>
      <c r="BZ308" s="1450">
        <f t="shared" ca="1" si="142"/>
        <v>1.8980000000001092</v>
      </c>
      <c r="CA308" s="1450">
        <f t="shared" ca="1" si="143"/>
        <v>4.6505000000005898</v>
      </c>
      <c r="CB308" s="1450">
        <f t="shared" ca="1" si="144"/>
        <v>2.8470000000001638</v>
      </c>
      <c r="CC308" s="1450">
        <f t="shared" ca="1" si="145"/>
        <v>3.353000000000109</v>
      </c>
      <c r="CD308" s="1450">
        <f t="shared" ca="1" si="146"/>
        <v>7.75</v>
      </c>
      <c r="CE308" s="1450">
        <f ca="1">IF(B308&gt;=$J$5,0,CONTADORES!BS318-CONTADORES!BS317)</f>
        <v>4.1999999999998181</v>
      </c>
      <c r="CF308" s="1450">
        <f t="shared" ca="1" si="147"/>
        <v>7.75</v>
      </c>
      <c r="CG308" s="1450">
        <f t="shared" ca="1" si="148"/>
        <v>1.25</v>
      </c>
      <c r="CH308" s="1450">
        <f t="shared" ca="1" si="149"/>
        <v>1.25</v>
      </c>
      <c r="CI308" s="1450">
        <f t="shared" ca="1" si="150"/>
        <v>2.0569999999999999</v>
      </c>
      <c r="CJ308" s="1450">
        <f ca="1">IF($B308&gt;=$J$5,0,CONTADORES!$BG318)</f>
        <v>7189.4275621872903</v>
      </c>
      <c r="CK308" s="1516">
        <f>CONTADORES!E318</f>
        <v>0</v>
      </c>
      <c r="CL308" s="1516">
        <f>CONTADORES!BX318</f>
        <v>0</v>
      </c>
    </row>
    <row r="309" spans="2:90">
      <c r="B309" s="1514">
        <v>45225</v>
      </c>
      <c r="C309" s="208">
        <f t="shared" ca="1" si="126"/>
        <v>150</v>
      </c>
      <c r="D309" s="202">
        <f ca="1">'CALCULO DE GAS'!P131</f>
        <v>3.8601102333530459</v>
      </c>
      <c r="E309" s="202">
        <f ca="1">IF(B309&gt;=$J$5,0,(CONTADORES!$AB319-CONTADORES!$AB318)-$H309)</f>
        <v>24</v>
      </c>
      <c r="F309" s="204">
        <f t="shared" ca="1" si="153"/>
        <v>0</v>
      </c>
      <c r="G309" s="202">
        <f ca="1">IF(B309&gt;=$J$5,0,CONTADORES!$AD319-CONTADORES!$AD318)</f>
        <v>0</v>
      </c>
      <c r="H309" s="202">
        <f ca="1">IF(G309&gt;0,CONTADORES!$AC319-CONTADORES!$AC318,0)</f>
        <v>0</v>
      </c>
      <c r="I309" s="205">
        <f ca="1">IF(B309&gt;=$J$5,0,CONTADORES!$Z319-CONTADORES!$Z318)</f>
        <v>150</v>
      </c>
      <c r="J309" s="204">
        <f t="shared" ca="1" si="127"/>
        <v>294</v>
      </c>
      <c r="K309" s="202">
        <f ca="1">'CALCULO DE GAS'!Q131</f>
        <v>5.2772984533412188</v>
      </c>
      <c r="L309" s="1437">
        <f ca="1">IF(B309&gt;=$J$5,0,(CONTADORES!$W319-CONTADORES!$W318)-$O309)</f>
        <v>24</v>
      </c>
      <c r="M309" s="1437">
        <f t="shared" ca="1" si="151"/>
        <v>0</v>
      </c>
      <c r="N309" s="1437">
        <f ca="1">IF(B309&gt;=$J$5,0,CONTADORES!$Y319-CONTADORES!$Y318)</f>
        <v>0</v>
      </c>
      <c r="O309" s="1437">
        <f ca="1">IF(N309&gt;0,CONTADORES!$X319-CONTADORES!$X318,0)</f>
        <v>0</v>
      </c>
      <c r="P309" s="208">
        <f ca="1">IF(B309&gt;=$J$5,0,CONTADORES!$U319-CONTADORES!$U318)</f>
        <v>294</v>
      </c>
      <c r="Q309" s="208">
        <f ca="1">IF(B309&gt;=$J$5,0,CONTADORES!$B319-CONTADORES!$B318)</f>
        <v>0</v>
      </c>
      <c r="R309" s="202">
        <f t="shared" ca="1" si="128"/>
        <v>0</v>
      </c>
      <c r="S309" s="11">
        <f ca="1">IF(B309&gt;=$J$5,0,CONTADORES!$D319-CONTADORES!$D318)</f>
        <v>0</v>
      </c>
      <c r="T309" s="204">
        <f ca="1">IF(B309&gt;=$J$5,0,CONTADORES!$AZ319-CONTADORES!$AZ318)</f>
        <v>0</v>
      </c>
      <c r="U309" s="202">
        <f t="shared" ca="1" si="152"/>
        <v>0</v>
      </c>
      <c r="V309" s="205">
        <f ca="1">IF(B309&gt;=$J$5,0,CONTADORES!$BB319-CONTADORES!$BB318)</f>
        <v>0</v>
      </c>
      <c r="W309" s="1438">
        <f t="shared" ca="1" si="129"/>
        <v>444</v>
      </c>
      <c r="X309" s="1438">
        <f t="shared" ca="1" si="130"/>
        <v>0</v>
      </c>
      <c r="Y309" s="1439">
        <f t="shared" ca="1" si="131"/>
        <v>444</v>
      </c>
      <c r="Z309" s="1439">
        <f t="shared" ca="1" si="132"/>
        <v>9.1374086866942648</v>
      </c>
      <c r="AA309" s="1439">
        <f t="shared" ca="1" si="133"/>
        <v>0</v>
      </c>
      <c r="AB309" s="1439">
        <f t="shared" ca="1" si="134"/>
        <v>48</v>
      </c>
      <c r="AC309" s="1438">
        <f t="shared" ca="1" si="135"/>
        <v>0</v>
      </c>
      <c r="AD309" s="1438">
        <f ca="1">IF(B309&gt;=$J$5,0,CONTADORES!H319-CONTADORES!H318)</f>
        <v>168</v>
      </c>
      <c r="AE309" s="1438">
        <f ca="1">IF(B309&gt;=$J$5,0,CONTADORES!J319-CONTADORES!J318)</f>
        <v>24</v>
      </c>
      <c r="AF309" s="1438">
        <f ca="1">IF(B309&gt;=$J$5,0,CONTADORES!AS319-CONTADORES!AS318)</f>
        <v>152</v>
      </c>
      <c r="AG309" s="1438">
        <f ca="1">IF(B309&gt;=$J$5,0,CONTADORES!AU319-CONTADORES!AU318)</f>
        <v>24</v>
      </c>
      <c r="AH309" s="1450">
        <f ca="1">IF(B309&gt;=$J$5,0,(CONTADORES!AK319-CONTADORES!AK318)+(CONTADORES!K319-CONTADORES!K318))</f>
        <v>6.1999999999989086</v>
      </c>
      <c r="AI309" s="1450">
        <f ca="1">IF(B309&gt;=$J$5,0,(CONTADORES!AI319-CONTADORES!AI318)+(CONTADORES!M319-CONTADORES!M318))</f>
        <v>37.600000000005821</v>
      </c>
      <c r="AJ309" s="1450">
        <f ca="1">IF(B309&gt;=$J$5,0,(CONTADORES!AG319-CONTADORES!AG318))</f>
        <v>6</v>
      </c>
      <c r="AK309" s="1450">
        <f ca="1">IF(B309&gt;=$J$5,0,(CONTADORES!O319-CONTADORES!O318))</f>
        <v>9</v>
      </c>
      <c r="AL309" s="1500">
        <f t="shared" ca="1" si="136"/>
        <v>34.599999999996726</v>
      </c>
      <c r="AM309" s="1450">
        <f ca="1">IF(B309&gt;=$J$5,0,(((CONTADORES!F319-CONTADORES!F318)+(CONTADORES!AO319-CONTADORES!AO318))))-BJ309-AF309-AN309-BM309-BP309-BU309-BS309+T309</f>
        <v>8.5109999999974555</v>
      </c>
      <c r="AN309" s="1438">
        <f ca="1">IF(B309&gt;=$J$5,0,(CONTADORES!AV319-CONTADORES!AV318)+(CONTADORES!AX319-CONTADORES!AX318)+(CONTADORES!BC319-CONTADORES!BC318))-BS309</f>
        <v>4.4820000000000002</v>
      </c>
      <c r="AO309" s="1478">
        <f ca="1">IF(B309&gt;=$J$5,0,(CONTADORES!AA319-CONTADORES!AA318))</f>
        <v>74</v>
      </c>
      <c r="AP309" s="1478">
        <f ca="1">IF(B309&gt;=$J$5,0,(CONTADORES!V319-CONTADORES!V318))</f>
        <v>151</v>
      </c>
      <c r="AQ309" s="1478">
        <f ca="1">IF(B309&gt;=$J$5,0,(CONTADORES!C319-CONTADORES!C318))</f>
        <v>0</v>
      </c>
      <c r="AR309" s="1478">
        <f ca="1">IF(B309&gt;=$J$5,0,(CONTADORES!BA319-CONTADORES!BA318))</f>
        <v>0</v>
      </c>
      <c r="AS309" s="1438">
        <f ca="1">IF(B309&gt;=$J$5,0,CONTADORES!Q319-CONTADORES!Q318)</f>
        <v>15</v>
      </c>
      <c r="AT309" s="1438">
        <f ca="1">IF(B309&gt;=$J$5,0,(CONTADORES!S319-CONTADORES!S318)+(CONTADORES!AE319-CONTADORES!AE318))</f>
        <v>3.5</v>
      </c>
      <c r="AU309" s="1474">
        <f ca="1">IF(B309&gt;=$J$5,0,(CONTADORES!I319-CONTADORES!I318))</f>
        <v>82</v>
      </c>
      <c r="AV309" s="1478">
        <f ca="1">IF(B309&gt;=$J$5,0,(CONTADORES!AT319-CONTADORES!AT318))</f>
        <v>66</v>
      </c>
      <c r="AW309" s="1478">
        <f ca="1">IF(B309&gt;=$J$5,0,(CONTADORES!L319-CONTADORES!L318)+(CONTADORES!AL319-CONTADORES!AL318))</f>
        <v>2.5</v>
      </c>
      <c r="AX309" s="1478">
        <f ca="1">IF(B309&gt;=$J$5,0,(CONTADORES!N319-CONTADORES!N318)+(CONTADORES!AJ319-CONTADORES!AJ318))</f>
        <v>31.700000000004366</v>
      </c>
      <c r="AY309" s="1478">
        <f ca="1">IF(B309&gt;=$J$5,0,(CONTADORES!AH319-CONTADORES!AH318))</f>
        <v>4.5999999999985448</v>
      </c>
      <c r="AZ309" s="1478">
        <f ca="1">IF(B309&gt;=$J$5,0,(CONTADORES!P319-CONTADORES!P318))</f>
        <v>7</v>
      </c>
      <c r="BA309" s="1450">
        <f t="shared" ca="1" si="137"/>
        <v>10.6959999999969</v>
      </c>
      <c r="BB309" s="1440">
        <f ca="1">IF(B309&gt;=$J$5,0,(((CONTADORES!G319-CONTADORES!G318)+(CONTADORES!AP319-CONTADORES!AP318)+AR309)-(AV309+BC309)))</f>
        <v>12.400000000000091</v>
      </c>
      <c r="BC309" s="1439">
        <f ca="1">IF(B309&gt;=$J$5,0,(CONTADORES!AW319-CONTADORES!AW318)+(CONTADORES!AY319-CONTADORES!AY318)+(CONTADORES!BD319-CONTADORES!BD318))</f>
        <v>2.5999999999999091</v>
      </c>
      <c r="BD309" s="1438">
        <f t="shared" ca="1" si="138"/>
        <v>225</v>
      </c>
      <c r="BE309" s="1439">
        <f ca="1">IF($B309&gt;=$J$5,0,CONTADORES!$BE319)</f>
        <v>4694.96</v>
      </c>
      <c r="BF309" s="1438">
        <f ca="1">IF($B309&gt;=$J$5,0,CONTADORES!$BF319)</f>
        <v>34590.608771929801</v>
      </c>
      <c r="BG309" s="1439">
        <f ca="1">IF($B309&gt;=$J$5,0,CONTADORES!$BH319)</f>
        <v>4535.1000000000004</v>
      </c>
      <c r="BH309" s="1438">
        <f ca="1">IF(B309&gt;=$J$5,0,(CONTADORES!AQ319-CONTADORES!AQ318))</f>
        <v>5</v>
      </c>
      <c r="BI309" s="1438">
        <f ca="1">IF(B309&gt;=$J$5,0,(CONTADORES!AR319-CONTADORES!AR318))</f>
        <v>0</v>
      </c>
      <c r="BJ309" s="1439">
        <f ca="1">IF(B309&gt;=$J$5,0,CONTADORES!BI319-CONTADORES!BI318)/1000</f>
        <v>0</v>
      </c>
      <c r="BK309" s="1450">
        <f ca="1">IF(B309&gt;=$J$5,0,CONTADORES!BJ319-CONTADORES!BJ318)</f>
        <v>0</v>
      </c>
      <c r="BL309" s="1450">
        <f ca="1">IF(B309&gt;=$J$5,0,CONTADORES!BK319-CONTADORES!BK318)</f>
        <v>0</v>
      </c>
      <c r="BM309" s="1450">
        <f ca="1">IF(B309&gt;=$J$5,0,CONTADORES!BL319-CONTADORES!BL318)/1000</f>
        <v>6.3540000000000001</v>
      </c>
      <c r="BN309" s="1450">
        <f ca="1">IF(B309&gt;=$J$5,0,CONTADORES!BM319-CONTADORES!BM318)/1000</f>
        <v>0.36</v>
      </c>
      <c r="BO309" s="1450">
        <f ca="1">IF(B309&gt;=$J$5,0,CONTADORES!BN319-CONTADORES!BN318)</f>
        <v>24</v>
      </c>
      <c r="BP309" s="1450">
        <f ca="1">IF(B309&gt;=$J$5,0,CONTADORES!BO319-CONTADORES!BO318)/1000</f>
        <v>2.9350000000000001</v>
      </c>
      <c r="BQ309" s="1450">
        <f ca="1">IF(B309&gt;=$J$5,0,CONTADORES!BP319-CONTADORES!BP318)/1000</f>
        <v>0</v>
      </c>
      <c r="BR309" s="1450">
        <f ca="1">IF(B309&gt;=$J$5,0,CONTADORES!BQ319-CONTADORES!BQ318)</f>
        <v>24</v>
      </c>
      <c r="BS309" s="1450">
        <f ca="1">IF(B309&gt;=$J$5,0,(CONTADORES!BT319-CONTADORES!BT318)+(CONTADORES!BV319-CONTADORES!BV318))/1000</f>
        <v>1.518</v>
      </c>
      <c r="BT309" s="1450">
        <f ca="1">IF(B309&gt;=$J$5,0,(CONTADORES!BU319-CONTADORES!BU318)+(CONTADORES!BW319-CONTADORES!BW318))/1000</f>
        <v>0.84399999999999997</v>
      </c>
      <c r="BU309" s="1450">
        <f ca="1">IF(B309&gt;=$J$5,0,CONTADORES!BR319-CONTADORES!BR318)</f>
        <v>6.8000000000010914</v>
      </c>
      <c r="BV309" s="1450">
        <f ca="1">IF(B309&gt;=$J$5,0,CONTADORES!BS319-CONTADORES!BS318)</f>
        <v>4.3000000000001819</v>
      </c>
      <c r="BW309" s="1450">
        <f t="shared" ca="1" si="139"/>
        <v>11.055499999999819</v>
      </c>
      <c r="BX309" s="1450">
        <f t="shared" ca="1" si="140"/>
        <v>10.500000000000227</v>
      </c>
      <c r="BY309" s="1450">
        <f t="shared" ca="1" si="141"/>
        <v>4.2554999999987277</v>
      </c>
      <c r="BZ309" s="1450">
        <f t="shared" ca="1" si="142"/>
        <v>1.7928000000000002</v>
      </c>
      <c r="CA309" s="1450">
        <f t="shared" ca="1" si="143"/>
        <v>4.2554999999987277</v>
      </c>
      <c r="CB309" s="1450">
        <f t="shared" ca="1" si="144"/>
        <v>2.6892</v>
      </c>
      <c r="CC309" s="1450">
        <f t="shared" ca="1" si="145"/>
        <v>3.3108000000000004</v>
      </c>
      <c r="CD309" s="1450">
        <f t="shared" ca="1" si="146"/>
        <v>6.2000000000000455</v>
      </c>
      <c r="CE309" s="1450">
        <f ca="1">IF(B309&gt;=$J$5,0,CONTADORES!BS319-CONTADORES!BS318)</f>
        <v>4.3000000000001819</v>
      </c>
      <c r="CF309" s="1450">
        <f t="shared" ca="1" si="147"/>
        <v>6.2000000000000455</v>
      </c>
      <c r="CG309" s="1450">
        <f t="shared" ca="1" si="148"/>
        <v>1.2999999999999545</v>
      </c>
      <c r="CH309" s="1450">
        <f t="shared" ca="1" si="149"/>
        <v>1.2999999999999545</v>
      </c>
      <c r="CI309" s="1450">
        <f t="shared" ca="1" si="150"/>
        <v>2.1439999999999544</v>
      </c>
      <c r="CJ309" s="1450">
        <f ca="1">IF($B309&gt;=$J$5,0,CONTADORES!$BG319)</f>
        <v>8696.6450918328592</v>
      </c>
      <c r="CK309" s="1516">
        <f>CONTADORES!E319</f>
        <v>0</v>
      </c>
      <c r="CL309" s="1516">
        <f>CONTADORES!BX319</f>
        <v>0</v>
      </c>
    </row>
    <row r="310" spans="2:90">
      <c r="B310" s="1514">
        <v>45226</v>
      </c>
      <c r="C310" s="208">
        <f t="shared" ca="1" si="126"/>
        <v>226</v>
      </c>
      <c r="D310" s="202">
        <f ca="1">'CALCULO DE GAS'!P132</f>
        <v>4.5067619187463048</v>
      </c>
      <c r="E310" s="202">
        <f ca="1">IF(B310&gt;=$J$5,0,(CONTADORES!$AB320-CONTADORES!$AB319)-$H310)</f>
        <v>24</v>
      </c>
      <c r="F310" s="204">
        <f t="shared" ca="1" si="153"/>
        <v>0</v>
      </c>
      <c r="G310" s="202">
        <f ca="1">IF(B310&gt;=$J$5,0,CONTADORES!$AD320-CONTADORES!$AD319)</f>
        <v>0</v>
      </c>
      <c r="H310" s="202">
        <f ca="1">IF(G310&gt;0,CONTADORES!$AC320-CONTADORES!$AC319,0)</f>
        <v>0</v>
      </c>
      <c r="I310" s="205">
        <f ca="1">IF(B310&gt;=$J$5,0,CONTADORES!$Z320-CONTADORES!$Z319)</f>
        <v>226</v>
      </c>
      <c r="J310" s="204">
        <f t="shared" ca="1" si="127"/>
        <v>214</v>
      </c>
      <c r="K310" s="202">
        <f ca="1">'CALCULO DE GAS'!Q132</f>
        <v>4.3129933084565364</v>
      </c>
      <c r="L310" s="1437">
        <f ca="1">IF(B310&gt;=$J$5,0,(CONTADORES!$W320-CONTADORES!$W319)-$O310)</f>
        <v>24</v>
      </c>
      <c r="M310" s="1437">
        <f t="shared" ca="1" si="151"/>
        <v>0</v>
      </c>
      <c r="N310" s="1437">
        <f ca="1">IF(B310&gt;=$J$5,0,CONTADORES!$Y320-CONTADORES!$Y319)</f>
        <v>0</v>
      </c>
      <c r="O310" s="1437">
        <f ca="1">IF(N310&gt;0,CONTADORES!$X320-CONTADORES!$X319,0)</f>
        <v>0</v>
      </c>
      <c r="P310" s="208">
        <f ca="1">IF(B310&gt;=$J$5,0,CONTADORES!$U320-CONTADORES!$U319)</f>
        <v>214</v>
      </c>
      <c r="Q310" s="208">
        <f ca="1">IF(B310&gt;=$J$5,0,CONTADORES!$B320-CONTADORES!$B319)</f>
        <v>0</v>
      </c>
      <c r="R310" s="202">
        <f t="shared" ca="1" si="128"/>
        <v>0</v>
      </c>
      <c r="S310" s="11">
        <f ca="1">IF(B310&gt;=$J$5,0,CONTADORES!$D320-CONTADORES!$D319)</f>
        <v>0</v>
      </c>
      <c r="T310" s="204">
        <f ca="1">IF(B310&gt;=$J$5,0,CONTADORES!$AZ320-CONTADORES!$AZ319)</f>
        <v>0</v>
      </c>
      <c r="U310" s="202">
        <f t="shared" ca="1" si="152"/>
        <v>0</v>
      </c>
      <c r="V310" s="205">
        <f ca="1">IF(B310&gt;=$J$5,0,CONTADORES!$BB320-CONTADORES!$BB319)</f>
        <v>0</v>
      </c>
      <c r="W310" s="1438">
        <f t="shared" ca="1" si="129"/>
        <v>440</v>
      </c>
      <c r="X310" s="1438">
        <f t="shared" ca="1" si="130"/>
        <v>0</v>
      </c>
      <c r="Y310" s="1439">
        <f t="shared" ca="1" si="131"/>
        <v>440</v>
      </c>
      <c r="Z310" s="1439">
        <f t="shared" ca="1" si="132"/>
        <v>8.8197552272028403</v>
      </c>
      <c r="AA310" s="1439">
        <f t="shared" ca="1" si="133"/>
        <v>0</v>
      </c>
      <c r="AB310" s="1439">
        <f t="shared" ca="1" si="134"/>
        <v>48</v>
      </c>
      <c r="AC310" s="1438">
        <f t="shared" ca="1" si="135"/>
        <v>0</v>
      </c>
      <c r="AD310" s="1438">
        <f ca="1">IF(B310&gt;=$J$5,0,CONTADORES!H320-CONTADORES!H319)</f>
        <v>166</v>
      </c>
      <c r="AE310" s="1438">
        <f ca="1">IF(B310&gt;=$J$5,0,CONTADORES!J320-CONTADORES!J319)</f>
        <v>24</v>
      </c>
      <c r="AF310" s="1438">
        <f ca="1">IF(B310&gt;=$J$5,0,CONTADORES!AS320-CONTADORES!AS319)</f>
        <v>150</v>
      </c>
      <c r="AG310" s="1438">
        <f ca="1">IF(B310&gt;=$J$5,0,CONTADORES!AU320-CONTADORES!AU319)</f>
        <v>24</v>
      </c>
      <c r="AH310" s="1450">
        <f ca="1">IF(B310&gt;=$J$5,0,(CONTADORES!AK320-CONTADORES!AK319)+(CONTADORES!K320-CONTADORES!K319))</f>
        <v>9.6000000000003638</v>
      </c>
      <c r="AI310" s="1450">
        <f ca="1">IF(B310&gt;=$J$5,0,(CONTADORES!AI320-CONTADORES!AI319)+(CONTADORES!M320-CONTADORES!M319))</f>
        <v>37</v>
      </c>
      <c r="AJ310" s="1450">
        <f ca="1">IF(B310&gt;=$J$5,0,(CONTADORES!AG320-CONTADORES!AG319))</f>
        <v>7.1000000000058208</v>
      </c>
      <c r="AK310" s="1450">
        <f ca="1">IF(B310&gt;=$J$5,0,(CONTADORES!O320-CONTADORES!O319))</f>
        <v>9</v>
      </c>
      <c r="AL310" s="1500">
        <f t="shared" ca="1" si="136"/>
        <v>31.099999999993088</v>
      </c>
      <c r="AM310" s="1450">
        <f ca="1">IF(B310&gt;=$J$5,0,(((CONTADORES!F320-CONTADORES!F319)+(CONTADORES!AO320-CONTADORES!AO319))))-BJ310-AF310-AN310-BM310-BP310-BU310-BS310+T310</f>
        <v>10.306000000000093</v>
      </c>
      <c r="AN310" s="1438">
        <f ca="1">IF(B310&gt;=$J$5,0,(CONTADORES!AV320-CONTADORES!AV319)+(CONTADORES!AX320-CONTADORES!AX319)+(CONTADORES!BC320-CONTADORES!BC319))-BS310</f>
        <v>3.3460000000006369</v>
      </c>
      <c r="AO310" s="1478">
        <f ca="1">IF(B310&gt;=$J$5,0,(CONTADORES!AA320-CONTADORES!AA319))</f>
        <v>114</v>
      </c>
      <c r="AP310" s="1478">
        <f ca="1">IF(B310&gt;=$J$5,0,(CONTADORES!V320-CONTADORES!V319))</f>
        <v>107</v>
      </c>
      <c r="AQ310" s="1478">
        <f ca="1">IF(B310&gt;=$J$5,0,(CONTADORES!C320-CONTADORES!C319))</f>
        <v>0</v>
      </c>
      <c r="AR310" s="1478">
        <f ca="1">IF(B310&gt;=$J$5,0,(CONTADORES!BA320-CONTADORES!BA319))</f>
        <v>0</v>
      </c>
      <c r="AS310" s="1438">
        <f ca="1">IF(B310&gt;=$J$5,0,CONTADORES!Q320-CONTADORES!Q319)</f>
        <v>14</v>
      </c>
      <c r="AT310" s="1438">
        <f ca="1">IF(B310&gt;=$J$5,0,(CONTADORES!S320-CONTADORES!S319)+(CONTADORES!AE320-CONTADORES!AE319))</f>
        <v>3.5</v>
      </c>
      <c r="AU310" s="1474">
        <f ca="1">IF(B310&gt;=$J$5,0,(CONTADORES!I320-CONTADORES!I319))</f>
        <v>81</v>
      </c>
      <c r="AV310" s="1478">
        <f ca="1">IF(B310&gt;=$J$5,0,(CONTADORES!AT320-CONTADORES!AT319))</f>
        <v>66</v>
      </c>
      <c r="AW310" s="1478">
        <f ca="1">IF(B310&gt;=$J$5,0,(CONTADORES!L320-CONTADORES!L319)+(CONTADORES!AL320-CONTADORES!AL319))</f>
        <v>3.5999999999985448</v>
      </c>
      <c r="AX310" s="1478">
        <f ca="1">IF(B310&gt;=$J$5,0,(CONTADORES!N320-CONTADORES!N319)+(CONTADORES!AJ320-CONTADORES!AJ319))</f>
        <v>31.299999999995634</v>
      </c>
      <c r="AY310" s="1478">
        <f ca="1">IF(B310&gt;=$J$5,0,(CONTADORES!AH320-CONTADORES!AH319))</f>
        <v>5.5</v>
      </c>
      <c r="AZ310" s="1478">
        <f ca="1">IF(B310&gt;=$J$5,0,(CONTADORES!P320-CONTADORES!P319))</f>
        <v>7</v>
      </c>
      <c r="BA310" s="1450">
        <f t="shared" ca="1" si="137"/>
        <v>7.1000000000059913</v>
      </c>
      <c r="BB310" s="1440">
        <f ca="1">IF(B310&gt;=$J$5,0,(((CONTADORES!G320-CONTADORES!G319)+(CONTADORES!AP320-CONTADORES!AP319)+AR310)-(AV310+BC310)))</f>
        <v>12.199999999999818</v>
      </c>
      <c r="BC310" s="1439">
        <f ca="1">IF(B310&gt;=$J$5,0,(CONTADORES!AW320-CONTADORES!AW319)+(CONTADORES!AY320-CONTADORES!AY319)+(CONTADORES!BD320-CONTADORES!BD319))</f>
        <v>1.8000000000001819</v>
      </c>
      <c r="BD310" s="1438">
        <f t="shared" ca="1" si="138"/>
        <v>221</v>
      </c>
      <c r="BE310" s="1439">
        <f ca="1">IF($B310&gt;=$J$5,0,CONTADORES!$BE320)</f>
        <v>5012.8500000000004</v>
      </c>
      <c r="BF310" s="1438">
        <f ca="1">IF($B310&gt;=$J$5,0,CONTADORES!$BF320)</f>
        <v>34028.663157894698</v>
      </c>
      <c r="BG310" s="1439">
        <f ca="1">IF($B310&gt;=$J$5,0,CONTADORES!$BH320)</f>
        <v>4757.4799999999996</v>
      </c>
      <c r="BH310" s="1438">
        <f ca="1">IF(B310&gt;=$J$5,0,(CONTADORES!AQ320-CONTADORES!AQ319))</f>
        <v>5</v>
      </c>
      <c r="BI310" s="1438">
        <f ca="1">IF(B310&gt;=$J$5,0,(CONTADORES!AR320-CONTADORES!AR319))</f>
        <v>0</v>
      </c>
      <c r="BJ310" s="1439">
        <f ca="1">IF(B310&gt;=$J$5,0,CONTADORES!BI320-CONTADORES!BI319)/1000</f>
        <v>0</v>
      </c>
      <c r="BK310" s="1450">
        <f ca="1">IF(B310&gt;=$J$5,0,CONTADORES!BJ320-CONTADORES!BJ319)</f>
        <v>0</v>
      </c>
      <c r="BL310" s="1450">
        <f ca="1">IF(B310&gt;=$J$5,0,CONTADORES!BK320-CONTADORES!BK319)</f>
        <v>0</v>
      </c>
      <c r="BM310" s="1450">
        <f ca="1">IF(B310&gt;=$J$5,0,CONTADORES!BL320-CONTADORES!BL319)/1000</f>
        <v>5.8209999999999997</v>
      </c>
      <c r="BN310" s="1450">
        <f ca="1">IF(B310&gt;=$J$5,0,CONTADORES!BM320-CONTADORES!BM319)/1000</f>
        <v>0.42599999999999999</v>
      </c>
      <c r="BO310" s="1450">
        <f ca="1">IF(B310&gt;=$J$5,0,CONTADORES!BN320-CONTADORES!BN319)</f>
        <v>24</v>
      </c>
      <c r="BP310" s="1450">
        <f ca="1">IF(B310&gt;=$J$5,0,CONTADORES!BO320-CONTADORES!BO319)/1000</f>
        <v>2.7730000000000001</v>
      </c>
      <c r="BQ310" s="1450">
        <f ca="1">IF(B310&gt;=$J$5,0,CONTADORES!BP320-CONTADORES!BP319)/1000</f>
        <v>1.4E-2</v>
      </c>
      <c r="BR310" s="1450">
        <f ca="1">IF(B310&gt;=$J$5,0,CONTADORES!BQ320-CONTADORES!BQ319)</f>
        <v>24</v>
      </c>
      <c r="BS310" s="1450">
        <f ca="1">IF(B310&gt;=$J$5,0,(CONTADORES!BT320-CONTADORES!BT319)+(CONTADORES!BV320-CONTADORES!BV319))/1000</f>
        <v>1.454</v>
      </c>
      <c r="BT310" s="1450">
        <f ca="1">IF(B310&gt;=$J$5,0,(CONTADORES!BU320-CONTADORES!BU319)+(CONTADORES!BW320-CONTADORES!BW319))/1000</f>
        <v>0.86</v>
      </c>
      <c r="BU310" s="1450">
        <f ca="1">IF(B310&gt;=$J$5,0,CONTADORES!BR320-CONTADORES!BR319)</f>
        <v>6.5</v>
      </c>
      <c r="BV310" s="1450">
        <f ca="1">IF(B310&gt;=$J$5,0,CONTADORES!BS320-CONTADORES!BS319)</f>
        <v>4.1999999999998181</v>
      </c>
      <c r="BW310" s="1450">
        <f t="shared" ca="1" si="139"/>
        <v>11.653000000000047</v>
      </c>
      <c r="BX310" s="1450">
        <f t="shared" ca="1" si="140"/>
        <v>10.299999999999727</v>
      </c>
      <c r="BY310" s="1450">
        <f t="shared" ca="1" si="141"/>
        <v>5.1530000000000467</v>
      </c>
      <c r="BZ310" s="1450">
        <f t="shared" ca="1" si="142"/>
        <v>1.3384000000002549</v>
      </c>
      <c r="CA310" s="1450">
        <f t="shared" ca="1" si="143"/>
        <v>5.1530000000000467</v>
      </c>
      <c r="CB310" s="1450">
        <f t="shared" ca="1" si="144"/>
        <v>2.007600000000382</v>
      </c>
      <c r="CC310" s="1450">
        <f t="shared" ca="1" si="145"/>
        <v>2.7924000000002547</v>
      </c>
      <c r="CD310" s="1450">
        <f t="shared" ca="1" si="146"/>
        <v>6.0999999999999091</v>
      </c>
      <c r="CE310" s="1450">
        <f ca="1">IF(B310&gt;=$J$5,0,CONTADORES!BS320-CONTADORES!BS319)</f>
        <v>4.1999999999998181</v>
      </c>
      <c r="CF310" s="1450">
        <f t="shared" ca="1" si="147"/>
        <v>6.0999999999999091</v>
      </c>
      <c r="CG310" s="1450">
        <f t="shared" ca="1" si="148"/>
        <v>0.90000000000009095</v>
      </c>
      <c r="CH310" s="1450">
        <f t="shared" ca="1" si="149"/>
        <v>0.90000000000009095</v>
      </c>
      <c r="CI310" s="1450">
        <f t="shared" ca="1" si="150"/>
        <v>1.7600000000000908</v>
      </c>
      <c r="CJ310" s="1450">
        <f ca="1">IF($B310&gt;=$J$5,0,CONTADORES!$BG320)</f>
        <v>9204.0331095851107</v>
      </c>
      <c r="CK310" s="1516">
        <f>CONTADORES!E320</f>
        <v>0</v>
      </c>
      <c r="CL310" s="1516">
        <f>CONTADORES!BX320</f>
        <v>0</v>
      </c>
    </row>
    <row r="311" spans="2:90">
      <c r="B311" s="1514">
        <v>45227</v>
      </c>
      <c r="C311" s="208">
        <f t="shared" ca="1" si="126"/>
        <v>294</v>
      </c>
      <c r="D311" s="202">
        <f ca="1">'CALCULO DE GAS'!P133</f>
        <v>5.0853450056771159</v>
      </c>
      <c r="E311" s="202">
        <f ca="1">IF(B311&gt;=$J$5,0,(CONTADORES!$AB321-CONTADORES!$AB320)-$H311)</f>
        <v>24</v>
      </c>
      <c r="F311" s="204">
        <f t="shared" ca="1" si="153"/>
        <v>0</v>
      </c>
      <c r="G311" s="202">
        <f ca="1">IF(B311&gt;=$J$5,0,CONTADORES!$AD321-CONTADORES!$AD320)</f>
        <v>0</v>
      </c>
      <c r="H311" s="202">
        <f ca="1">IF(G311&gt;0,CONTADORES!$AC321-CONTADORES!$AC320,0)</f>
        <v>0</v>
      </c>
      <c r="I311" s="205">
        <f ca="1">IF(B311&gt;=$J$5,0,CONTADORES!$Z321-CONTADORES!$Z320)</f>
        <v>294</v>
      </c>
      <c r="J311" s="204">
        <f t="shared" ca="1" si="127"/>
        <v>150</v>
      </c>
      <c r="K311" s="202">
        <f ca="1">'CALCULO DE GAS'!Q133</f>
        <v>3.5415491925487905</v>
      </c>
      <c r="L311" s="1437">
        <f ca="1">IF(B311&gt;=$J$5,0,(CONTADORES!$W321-CONTADORES!$W320)-$O311)</f>
        <v>24</v>
      </c>
      <c r="M311" s="1437">
        <f t="shared" ca="1" si="151"/>
        <v>0</v>
      </c>
      <c r="N311" s="1437">
        <f ca="1">IF(B311&gt;=$J$5,0,CONTADORES!$Y321-CONTADORES!$Y320)</f>
        <v>0</v>
      </c>
      <c r="O311" s="1437">
        <f ca="1">IF(N311&gt;0,CONTADORES!$X321-CONTADORES!$X320,0)</f>
        <v>0</v>
      </c>
      <c r="P311" s="208">
        <f ca="1">IF(B311&gt;=$J$5,0,CONTADORES!$U321-CONTADORES!$U320)</f>
        <v>150</v>
      </c>
      <c r="Q311" s="208">
        <f ca="1">IF(B311&gt;=$J$5,0,CONTADORES!$B321-CONTADORES!$B320)</f>
        <v>0</v>
      </c>
      <c r="R311" s="202">
        <f t="shared" ca="1" si="128"/>
        <v>0</v>
      </c>
      <c r="S311" s="11">
        <f ca="1">IF(B311&gt;=$J$5,0,CONTADORES!$D321-CONTADORES!$D320)</f>
        <v>0</v>
      </c>
      <c r="T311" s="204">
        <f ca="1">IF(B311&gt;=$J$5,0,CONTADORES!$AZ321-CONTADORES!$AZ320)</f>
        <v>0</v>
      </c>
      <c r="U311" s="202">
        <f t="shared" ca="1" si="152"/>
        <v>0</v>
      </c>
      <c r="V311" s="205">
        <f ca="1">IF(B311&gt;=$J$5,0,CONTADORES!$BB321-CONTADORES!$BB320)</f>
        <v>0</v>
      </c>
      <c r="W311" s="1438">
        <f t="shared" ca="1" si="129"/>
        <v>444</v>
      </c>
      <c r="X311" s="1438">
        <f t="shared" ca="1" si="130"/>
        <v>0</v>
      </c>
      <c r="Y311" s="1439">
        <f t="shared" ca="1" si="131"/>
        <v>444</v>
      </c>
      <c r="Z311" s="1439">
        <f t="shared" ca="1" si="132"/>
        <v>8.6268941982259069</v>
      </c>
      <c r="AA311" s="1439">
        <f t="shared" ca="1" si="133"/>
        <v>0</v>
      </c>
      <c r="AB311" s="1439">
        <f t="shared" ca="1" si="134"/>
        <v>48</v>
      </c>
      <c r="AC311" s="1438">
        <f t="shared" ca="1" si="135"/>
        <v>0</v>
      </c>
      <c r="AD311" s="1438">
        <f ca="1">IF(B311&gt;=$J$5,0,CONTADORES!H321-CONTADORES!H320)</f>
        <v>166</v>
      </c>
      <c r="AE311" s="1438">
        <f ca="1">IF(B311&gt;=$J$5,0,CONTADORES!J321-CONTADORES!J320)</f>
        <v>24</v>
      </c>
      <c r="AF311" s="1438">
        <f ca="1">IF(B311&gt;=$J$5,0,CONTADORES!AS321-CONTADORES!AS320)</f>
        <v>151</v>
      </c>
      <c r="AG311" s="1438">
        <f ca="1">IF(B311&gt;=$J$5,0,CONTADORES!AU321-CONTADORES!AU320)</f>
        <v>24</v>
      </c>
      <c r="AH311" s="1450">
        <f ca="1">IF(B311&gt;=$J$5,0,(CONTADORES!AK321-CONTADORES!AK320)+(CONTADORES!K321-CONTADORES!K320))</f>
        <v>5.7000000000043656</v>
      </c>
      <c r="AI311" s="1450">
        <f ca="1">IF(B311&gt;=$J$5,0,(CONTADORES!AI321-CONTADORES!AI320)+(CONTADORES!M321-CONTADORES!M320))</f>
        <v>40.19999999999709</v>
      </c>
      <c r="AJ311" s="1450">
        <f ca="1">IF(B311&gt;=$J$5,0,(CONTADORES!AG321-CONTADORES!AG320))</f>
        <v>8</v>
      </c>
      <c r="AK311" s="1450">
        <f ca="1">IF(B311&gt;=$J$5,0,(CONTADORES!O321-CONTADORES!O320))</f>
        <v>8</v>
      </c>
      <c r="AL311" s="1500">
        <f t="shared" ca="1" si="136"/>
        <v>34.69999999999709</v>
      </c>
      <c r="AM311" s="1450">
        <f ca="1">IF(B311&gt;=$J$5,0,(((CONTADORES!F321-CONTADORES!F320)+(CONTADORES!AO321-CONTADORES!AO320))))-BJ311-AF311-AN311-BM311-BP311-BU311-BS311+T311</f>
        <v>10.365000000003294</v>
      </c>
      <c r="AN311" s="1438">
        <f ca="1">IF(B311&gt;=$J$5,0,(CONTADORES!AV321-CONTADORES!AV320)+(CONTADORES!AX321-CONTADORES!AX320)+(CONTADORES!BC321-CONTADORES!BC320))-BS311</f>
        <v>3.3519999999992551</v>
      </c>
      <c r="AO311" s="1478">
        <f ca="1">IF(B311&gt;=$J$5,0,(CONTADORES!AA321-CONTADORES!AA320))</f>
        <v>149</v>
      </c>
      <c r="AP311" s="1478">
        <f ca="1">IF(B311&gt;=$J$5,0,(CONTADORES!V321-CONTADORES!V320))</f>
        <v>78</v>
      </c>
      <c r="AQ311" s="1478">
        <f ca="1">IF(B311&gt;=$J$5,0,(CONTADORES!C321-CONTADORES!C320))</f>
        <v>0</v>
      </c>
      <c r="AR311" s="1478">
        <f ca="1">IF(B311&gt;=$J$5,0,(CONTADORES!BA321-CONTADORES!BA320))</f>
        <v>0</v>
      </c>
      <c r="AS311" s="1438">
        <f ca="1">IF(B311&gt;=$J$5,0,CONTADORES!Q321-CONTADORES!Q320)</f>
        <v>15</v>
      </c>
      <c r="AT311" s="1438">
        <f ca="1">IF(B311&gt;=$J$5,0,(CONTADORES!S321-CONTADORES!S320)+(CONTADORES!AE321-CONTADORES!AE320))</f>
        <v>3.5</v>
      </c>
      <c r="AU311" s="1474">
        <f ca="1">IF(B311&gt;=$J$5,0,(CONTADORES!I321-CONTADORES!I320))</f>
        <v>82</v>
      </c>
      <c r="AV311" s="1478">
        <f ca="1">IF(B311&gt;=$J$5,0,(CONTADORES!AT321-CONTADORES!AT320))</f>
        <v>64</v>
      </c>
      <c r="AW311" s="1478">
        <f ca="1">IF(B311&gt;=$J$5,0,(CONTADORES!L321-CONTADORES!L320)+(CONTADORES!AL321-CONTADORES!AL320))</f>
        <v>2.2000000000007276</v>
      </c>
      <c r="AX311" s="1478">
        <f ca="1">IF(B311&gt;=$J$5,0,(CONTADORES!N321-CONTADORES!N320)+(CONTADORES!AJ321-CONTADORES!AJ320))</f>
        <v>34</v>
      </c>
      <c r="AY311" s="1478">
        <f ca="1">IF(B311&gt;=$J$5,0,(CONTADORES!AH321-CONTADORES!AH320))</f>
        <v>6.2000000000043656</v>
      </c>
      <c r="AZ311" s="1478">
        <f ca="1">IF(B311&gt;=$J$5,0,(CONTADORES!P321-CONTADORES!P320))</f>
        <v>7</v>
      </c>
      <c r="BA311" s="1450">
        <f t="shared" ca="1" si="137"/>
        <v>8.867999999994737</v>
      </c>
      <c r="BB311" s="1440">
        <f ca="1">IF(B311&gt;=$J$5,0,(((CONTADORES!G321-CONTADORES!G320)+(CONTADORES!AP321-CONTADORES!AP320)+AR311)-(AV311+BC311)))</f>
        <v>15.060000000000258</v>
      </c>
      <c r="BC311" s="1439">
        <f ca="1">IF(B311&gt;=$J$5,0,(CONTADORES!AW321-CONTADORES!AW320)+(CONTADORES!AY321-CONTADORES!AY320)+(CONTADORES!BD321-CONTADORES!BD320))</f>
        <v>1.9399999999997419</v>
      </c>
      <c r="BD311" s="1438">
        <f t="shared" ca="1" si="138"/>
        <v>227</v>
      </c>
      <c r="BE311" s="1439">
        <f ca="1">IF($B311&gt;=$J$5,0,CONTADORES!$BE321)</f>
        <v>4709.99</v>
      </c>
      <c r="BF311" s="1438">
        <f ca="1">IF($B311&gt;=$J$5,0,CONTADORES!$BF321)</f>
        <v>33813.384210526303</v>
      </c>
      <c r="BG311" s="1439">
        <f ca="1">IF($B311&gt;=$J$5,0,CONTADORES!$BH321)</f>
        <v>4908.76</v>
      </c>
      <c r="BH311" s="1438">
        <f ca="1">IF(B311&gt;=$J$5,0,(CONTADORES!AQ321-CONTADORES!AQ320))</f>
        <v>5</v>
      </c>
      <c r="BI311" s="1438">
        <f ca="1">IF(B311&gt;=$J$5,0,(CONTADORES!AR321-CONTADORES!AR320))</f>
        <v>0</v>
      </c>
      <c r="BJ311" s="1439">
        <f ca="1">IF(B311&gt;=$J$5,0,CONTADORES!BI321-CONTADORES!BI320)/1000</f>
        <v>0</v>
      </c>
      <c r="BK311" s="1450">
        <f ca="1">IF(B311&gt;=$J$5,0,CONTADORES!BJ321-CONTADORES!BJ320)</f>
        <v>0</v>
      </c>
      <c r="BL311" s="1450">
        <f ca="1">IF(B311&gt;=$J$5,0,CONTADORES!BK321-CONTADORES!BK320)</f>
        <v>0</v>
      </c>
      <c r="BM311" s="1450">
        <f ca="1">IF(B311&gt;=$J$5,0,CONTADORES!BL321-CONTADORES!BL320)/1000</f>
        <v>5.4119999999999999</v>
      </c>
      <c r="BN311" s="1450">
        <f ca="1">IF(B311&gt;=$J$5,0,CONTADORES!BM321-CONTADORES!BM320)/1000</f>
        <v>0.45300000000000001</v>
      </c>
      <c r="BO311" s="1450">
        <f ca="1">IF(B311&gt;=$J$5,0,CONTADORES!BN321-CONTADORES!BN320)</f>
        <v>24</v>
      </c>
      <c r="BP311" s="1450">
        <f ca="1">IF(B311&gt;=$J$5,0,CONTADORES!BO321-CONTADORES!BO320)/1000</f>
        <v>3.073</v>
      </c>
      <c r="BQ311" s="1450">
        <f ca="1">IF(B311&gt;=$J$5,0,CONTADORES!BP321-CONTADORES!BP320)/1000</f>
        <v>5.8000000000000003E-2</v>
      </c>
      <c r="BR311" s="1450">
        <f ca="1">IF(B311&gt;=$J$5,0,CONTADORES!BQ321-CONTADORES!BQ320)</f>
        <v>24</v>
      </c>
      <c r="BS311" s="1450">
        <f ca="1">IF(B311&gt;=$J$5,0,(CONTADORES!BT321-CONTADORES!BT320)+(CONTADORES!BV321-CONTADORES!BV320))/1000</f>
        <v>1.498</v>
      </c>
      <c r="BT311" s="1450">
        <f ca="1">IF(B311&gt;=$J$5,0,(CONTADORES!BU321-CONTADORES!BU320)+(CONTADORES!BW321-CONTADORES!BW320))/1000</f>
        <v>0.92100000000000004</v>
      </c>
      <c r="BU311" s="1450">
        <f ca="1">IF(B311&gt;=$J$5,0,CONTADORES!BR321-CONTADORES!BR320)</f>
        <v>6.6999999999989086</v>
      </c>
      <c r="BV311" s="1450">
        <f ca="1">IF(B311&gt;=$J$5,0,CONTADORES!BS321-CONTADORES!BS320)</f>
        <v>4.3000000000001819</v>
      </c>
      <c r="BW311" s="1450">
        <f t="shared" ca="1" si="139"/>
        <v>11.882500000000555</v>
      </c>
      <c r="BX311" s="1450">
        <f t="shared" ca="1" si="140"/>
        <v>11.830000000000311</v>
      </c>
      <c r="BY311" s="1450">
        <f t="shared" ca="1" si="141"/>
        <v>5.1825000000016468</v>
      </c>
      <c r="BZ311" s="1450">
        <f t="shared" ca="1" si="142"/>
        <v>1.3407999999997022</v>
      </c>
      <c r="CA311" s="1450">
        <f t="shared" ca="1" si="143"/>
        <v>5.1825000000016468</v>
      </c>
      <c r="CB311" s="1450">
        <f t="shared" ca="1" si="144"/>
        <v>2.0111999999995529</v>
      </c>
      <c r="CC311" s="1450">
        <f t="shared" ca="1" si="145"/>
        <v>2.8387999999997025</v>
      </c>
      <c r="CD311" s="1450">
        <f t="shared" ca="1" si="146"/>
        <v>7.530000000000129</v>
      </c>
      <c r="CE311" s="1450">
        <f ca="1">IF(B311&gt;=$J$5,0,CONTADORES!BS321-CONTADORES!BS320)</f>
        <v>4.3000000000001819</v>
      </c>
      <c r="CF311" s="1450">
        <f t="shared" ca="1" si="147"/>
        <v>7.530000000000129</v>
      </c>
      <c r="CG311" s="1450">
        <f t="shared" ca="1" si="148"/>
        <v>0.96999999999987097</v>
      </c>
      <c r="CH311" s="1450">
        <f t="shared" ca="1" si="149"/>
        <v>0.96999999999987097</v>
      </c>
      <c r="CI311" s="1450">
        <f t="shared" ca="1" si="150"/>
        <v>1.890999999999871</v>
      </c>
      <c r="CJ311" s="1450">
        <f ca="1">IF($B311&gt;=$J$5,0,CONTADORES!$BG321)</f>
        <v>8233.3362221572006</v>
      </c>
      <c r="CK311" s="1516">
        <f>CONTADORES!E321</f>
        <v>0</v>
      </c>
      <c r="CL311" s="1516">
        <f>CONTADORES!BX321</f>
        <v>0</v>
      </c>
    </row>
    <row r="312" spans="2:90">
      <c r="B312" s="1514">
        <v>45228</v>
      </c>
      <c r="C312" s="208">
        <f t="shared" ca="1" si="126"/>
        <v>290</v>
      </c>
      <c r="D312" s="202">
        <f ca="1">'CALCULO DE GAS'!P134</f>
        <v>5.0513107064458911</v>
      </c>
      <c r="E312" s="202">
        <f ca="1">IF(B312&gt;=$J$5,0,(CONTADORES!$AB322-CONTADORES!$AB321)-$H312)</f>
        <v>24</v>
      </c>
      <c r="F312" s="204">
        <f t="shared" ca="1" si="153"/>
        <v>0</v>
      </c>
      <c r="G312" s="202">
        <f ca="1">IF(B312&gt;=$J$5,0,CONTADORES!$AD322-CONTADORES!$AD321)</f>
        <v>0</v>
      </c>
      <c r="H312" s="202">
        <f ca="1">IF(G312&gt;0,CONTADORES!$AC322-CONTADORES!$AC321,0)</f>
        <v>0</v>
      </c>
      <c r="I312" s="205">
        <f ca="1">IF(B312&gt;=$J$5,0,CONTADORES!$Z322-CONTADORES!$Z321)</f>
        <v>290</v>
      </c>
      <c r="J312" s="204">
        <f t="shared" ca="1" si="127"/>
        <v>150</v>
      </c>
      <c r="K312" s="202">
        <f ca="1">'CALCULO DE GAS'!Q134</f>
        <v>3.5415491925487905</v>
      </c>
      <c r="L312" s="1437">
        <f ca="1">IF(B312&gt;=$J$5,0,(CONTADORES!$W322-CONTADORES!$W321)-$O312)</f>
        <v>24</v>
      </c>
      <c r="M312" s="1437">
        <f t="shared" ca="1" si="151"/>
        <v>0</v>
      </c>
      <c r="N312" s="1437">
        <f ca="1">IF(B312&gt;=$J$5,0,CONTADORES!$Y322-CONTADORES!$Y321)</f>
        <v>0</v>
      </c>
      <c r="O312" s="1437">
        <f ca="1">IF(N312&gt;0,CONTADORES!$X322-CONTADORES!$X321,0)</f>
        <v>0</v>
      </c>
      <c r="P312" s="208">
        <f ca="1">IF(B312&gt;=$J$5,0,CONTADORES!$U322-CONTADORES!$U321)</f>
        <v>150</v>
      </c>
      <c r="Q312" s="208">
        <f ca="1">IF(B312&gt;=$J$5,0,CONTADORES!$B322-CONTADORES!$B321)</f>
        <v>0</v>
      </c>
      <c r="R312" s="202">
        <f t="shared" ca="1" si="128"/>
        <v>0</v>
      </c>
      <c r="S312" s="11">
        <f ca="1">IF(B312&gt;=$J$5,0,CONTADORES!$D322-CONTADORES!$D321)</f>
        <v>0</v>
      </c>
      <c r="T312" s="204">
        <f ca="1">IF(B312&gt;=$J$5,0,CONTADORES!$AZ322-CONTADORES!$AZ321)</f>
        <v>0</v>
      </c>
      <c r="U312" s="202">
        <f t="shared" ca="1" si="152"/>
        <v>0</v>
      </c>
      <c r="V312" s="205">
        <f ca="1">IF(B312&gt;=$J$5,0,CONTADORES!$BB322-CONTADORES!$BB321)</f>
        <v>0</v>
      </c>
      <c r="W312" s="1438">
        <f t="shared" ca="1" si="129"/>
        <v>440</v>
      </c>
      <c r="X312" s="1438">
        <f t="shared" ca="1" si="130"/>
        <v>0</v>
      </c>
      <c r="Y312" s="1439">
        <f t="shared" ca="1" si="131"/>
        <v>440</v>
      </c>
      <c r="Z312" s="1439">
        <f t="shared" ca="1" si="132"/>
        <v>8.5928598989946821</v>
      </c>
      <c r="AA312" s="1439">
        <f t="shared" ca="1" si="133"/>
        <v>0</v>
      </c>
      <c r="AB312" s="1439">
        <f t="shared" ca="1" si="134"/>
        <v>48</v>
      </c>
      <c r="AC312" s="1438">
        <f t="shared" ca="1" si="135"/>
        <v>0</v>
      </c>
      <c r="AD312" s="1438">
        <f ca="1">IF(B312&gt;=$J$5,0,CONTADORES!H322-CONTADORES!H321)</f>
        <v>164</v>
      </c>
      <c r="AE312" s="1438">
        <f ca="1">IF(B312&gt;=$J$5,0,CONTADORES!J322-CONTADORES!J321)</f>
        <v>24</v>
      </c>
      <c r="AF312" s="1438">
        <f ca="1">IF(B312&gt;=$J$5,0,CONTADORES!AS322-CONTADORES!AS321)</f>
        <v>151</v>
      </c>
      <c r="AG312" s="1438">
        <f ca="1">IF(B312&gt;=$J$5,0,CONTADORES!AU322-CONTADORES!AU321)</f>
        <v>24</v>
      </c>
      <c r="AH312" s="1450">
        <f ca="1">IF(B312&gt;=$J$5,0,(CONTADORES!AK322-CONTADORES!AK321)+(CONTADORES!K322-CONTADORES!K321))</f>
        <v>9.0999999999985448</v>
      </c>
      <c r="AI312" s="1450">
        <f ca="1">IF(B312&gt;=$J$5,0,(CONTADORES!AI322-CONTADORES!AI321)+(CONTADORES!M322-CONTADORES!M321))</f>
        <v>40.19999999999709</v>
      </c>
      <c r="AJ312" s="1450">
        <f ca="1">IF(B312&gt;=$J$5,0,(CONTADORES!AG322-CONTADORES!AG321))</f>
        <v>6.1999999999970896</v>
      </c>
      <c r="AK312" s="1450">
        <f ca="1">IF(B312&gt;=$J$5,0,(CONTADORES!O322-CONTADORES!O321))</f>
        <v>8</v>
      </c>
      <c r="AL312" s="1500">
        <f t="shared" ca="1" si="136"/>
        <v>31.200000000008004</v>
      </c>
      <c r="AM312" s="1450">
        <f ca="1">IF(B312&gt;=$J$5,0,(((CONTADORES!F322-CONTADORES!F321)+(CONTADORES!AO322-CONTADORES!AO321))))-BJ312-AF312-AN312-BM312-BP312-BU312-BS312+T312</f>
        <v>12.488999999997546</v>
      </c>
      <c r="AN312" s="1438">
        <f ca="1">IF(B312&gt;=$J$5,0,(CONTADORES!AV322-CONTADORES!AV321)+(CONTADORES!AX322-CONTADORES!AX321)+(CONTADORES!BC322-CONTADORES!BC321))-BS312</f>
        <v>3.3780000000006369</v>
      </c>
      <c r="AO312" s="1478">
        <f ca="1">IF(B312&gt;=$J$5,0,(CONTADORES!AA322-CONTADORES!AA321))</f>
        <v>153</v>
      </c>
      <c r="AP312" s="1478">
        <f ca="1">IF(B312&gt;=$J$5,0,(CONTADORES!V322-CONTADORES!V321))</f>
        <v>72</v>
      </c>
      <c r="AQ312" s="1478">
        <f ca="1">IF(B312&gt;=$J$5,0,(CONTADORES!C322-CONTADORES!C321))</f>
        <v>0</v>
      </c>
      <c r="AR312" s="1478">
        <f ca="1">IF(B312&gt;=$J$5,0,(CONTADORES!BA322-CONTADORES!BA321))</f>
        <v>0</v>
      </c>
      <c r="AS312" s="1438">
        <f ca="1">IF(B312&gt;=$J$5,0,CONTADORES!Q322-CONTADORES!Q321)</f>
        <v>14</v>
      </c>
      <c r="AT312" s="1438">
        <f ca="1">IF(B312&gt;=$J$5,0,(CONTADORES!S322-CONTADORES!S321)+(CONTADORES!AE322-CONTADORES!AE321))</f>
        <v>3.5</v>
      </c>
      <c r="AU312" s="1474">
        <f ca="1">IF(B312&gt;=$J$5,0,(CONTADORES!I322-CONTADORES!I321))</f>
        <v>81</v>
      </c>
      <c r="AV312" s="1478">
        <f ca="1">IF(B312&gt;=$J$5,0,(CONTADORES!AT322-CONTADORES!AT321))</f>
        <v>65</v>
      </c>
      <c r="AW312" s="1478">
        <f ca="1">IF(B312&gt;=$J$5,0,(CONTADORES!L322-CONTADORES!L321)+(CONTADORES!AL322-CONTADORES!AL321))</f>
        <v>3.5999999999985448</v>
      </c>
      <c r="AX312" s="1478">
        <f ca="1">IF(B312&gt;=$J$5,0,(CONTADORES!N322-CONTADORES!N321)+(CONTADORES!AJ322-CONTADORES!AJ321))</f>
        <v>34.099999999998545</v>
      </c>
      <c r="AY312" s="1478">
        <f ca="1">IF(B312&gt;=$J$5,0,(CONTADORES!AH322-CONTADORES!AH321))</f>
        <v>4.7999999999956344</v>
      </c>
      <c r="AZ312" s="1478">
        <f ca="1">IF(B312&gt;=$J$5,0,(CONTADORES!P322-CONTADORES!P321))</f>
        <v>7</v>
      </c>
      <c r="BA312" s="1450">
        <f t="shared" ca="1" si="137"/>
        <v>7.0620000000068899</v>
      </c>
      <c r="BB312" s="1440">
        <f ca="1">IF(B312&gt;=$J$5,0,(((CONTADORES!G322-CONTADORES!G321)+(CONTADORES!AP322-CONTADORES!AP321)+AR312)-(AV312+BC312)))</f>
        <v>15.199999999999704</v>
      </c>
      <c r="BC312" s="1439">
        <f ca="1">IF(B312&gt;=$J$5,0,(CONTADORES!AW322-CONTADORES!AW321)+(CONTADORES!AY322-CONTADORES!AY321)+(CONTADORES!BD322-CONTADORES!BD321))</f>
        <v>1.8000000000002956</v>
      </c>
      <c r="BD312" s="1438">
        <f t="shared" ca="1" si="138"/>
        <v>225</v>
      </c>
      <c r="BE312" s="1439">
        <f ca="1">IF($B312&gt;=$J$5,0,CONTADORES!$BE322)</f>
        <v>4671.3100000000004</v>
      </c>
      <c r="BF312" s="1438">
        <f ca="1">IF($B312&gt;=$J$5,0,CONTADORES!$BF322)</f>
        <v>33885.298245614002</v>
      </c>
      <c r="BG312" s="1439">
        <f ca="1">IF($B312&gt;=$J$5,0,CONTADORES!$BH322)</f>
        <v>3986.85</v>
      </c>
      <c r="BH312" s="1438">
        <f ca="1">IF(B312&gt;=$J$5,0,(CONTADORES!AQ322-CONTADORES!AQ321))</f>
        <v>5</v>
      </c>
      <c r="BI312" s="1438">
        <f ca="1">IF(B312&gt;=$J$5,0,(CONTADORES!AR322-CONTADORES!AR321))</f>
        <v>0</v>
      </c>
      <c r="BJ312" s="1439">
        <f ca="1">IF(B312&gt;=$J$5,0,CONTADORES!BI322-CONTADORES!BI321)/1000</f>
        <v>0</v>
      </c>
      <c r="BK312" s="1450">
        <f ca="1">IF(B312&gt;=$J$5,0,CONTADORES!BJ322-CONTADORES!BJ321)</f>
        <v>0</v>
      </c>
      <c r="BL312" s="1450">
        <f ca="1">IF(B312&gt;=$J$5,0,CONTADORES!BK322-CONTADORES!BK321)</f>
        <v>0</v>
      </c>
      <c r="BM312" s="1450">
        <f ca="1">IF(B312&gt;=$J$5,0,CONTADORES!BL322-CONTADORES!BL321)/1000</f>
        <v>5.093</v>
      </c>
      <c r="BN312" s="1450">
        <f ca="1">IF(B312&gt;=$J$5,0,CONTADORES!BM322-CONTADORES!BM321)/1000</f>
        <v>0.91800000000000004</v>
      </c>
      <c r="BO312" s="1450">
        <f ca="1">IF(B312&gt;=$J$5,0,CONTADORES!BN322-CONTADORES!BN321)</f>
        <v>24</v>
      </c>
      <c r="BP312" s="1450">
        <f ca="1">IF(B312&gt;=$J$5,0,CONTADORES!BO322-CONTADORES!BO321)/1000</f>
        <v>2.6179999999999999</v>
      </c>
      <c r="BQ312" s="1450">
        <f ca="1">IF(B312&gt;=$J$5,0,CONTADORES!BP322-CONTADORES!BP321)/1000</f>
        <v>4.2000000000000003E-2</v>
      </c>
      <c r="BR312" s="1450">
        <f ca="1">IF(B312&gt;=$J$5,0,CONTADORES!BQ322-CONTADORES!BQ321)</f>
        <v>24</v>
      </c>
      <c r="BS312" s="1450">
        <f ca="1">IF(B312&gt;=$J$5,0,(CONTADORES!BT322-CONTADORES!BT321)+(CONTADORES!BV322-CONTADORES!BV321))/1000</f>
        <v>1.4219999999999999</v>
      </c>
      <c r="BT312" s="1450">
        <f ca="1">IF(B312&gt;=$J$5,0,(CONTADORES!BU322-CONTADORES!BU321)+(CONTADORES!BW322-CONTADORES!BW321))/1000</f>
        <v>0.878</v>
      </c>
      <c r="BU312" s="1450">
        <f ca="1">IF(B312&gt;=$J$5,0,CONTADORES!BR322-CONTADORES!BR321)</f>
        <v>5.3000000000010914</v>
      </c>
      <c r="BV312" s="1450">
        <f ca="1">IF(B312&gt;=$J$5,0,CONTADORES!BS322-CONTADORES!BS321)</f>
        <v>3.6000000000003638</v>
      </c>
      <c r="BW312" s="1450">
        <f t="shared" ca="1" si="139"/>
        <v>11.544499999999864</v>
      </c>
      <c r="BX312" s="1450">
        <f t="shared" ca="1" si="140"/>
        <v>11.200000000000216</v>
      </c>
      <c r="BY312" s="1450">
        <f t="shared" ca="1" si="141"/>
        <v>6.2444999999987729</v>
      </c>
      <c r="BZ312" s="1450">
        <f t="shared" ca="1" si="142"/>
        <v>1.3512000000002549</v>
      </c>
      <c r="CA312" s="1450">
        <f t="shared" ca="1" si="143"/>
        <v>6.2444999999987729</v>
      </c>
      <c r="CB312" s="1450">
        <f t="shared" ca="1" si="144"/>
        <v>2.0268000000003821</v>
      </c>
      <c r="CC312" s="1450">
        <f t="shared" ca="1" si="145"/>
        <v>2.773200000000255</v>
      </c>
      <c r="CD312" s="1450">
        <f t="shared" ca="1" si="146"/>
        <v>7.5999999999998522</v>
      </c>
      <c r="CE312" s="1450">
        <f ca="1">IF(B312&gt;=$J$5,0,CONTADORES!BS322-CONTADORES!BS321)</f>
        <v>3.6000000000003638</v>
      </c>
      <c r="CF312" s="1450">
        <f t="shared" ca="1" si="147"/>
        <v>7.5999999999998522</v>
      </c>
      <c r="CG312" s="1450">
        <f t="shared" ca="1" si="148"/>
        <v>0.90000000000014779</v>
      </c>
      <c r="CH312" s="1450">
        <f t="shared" ca="1" si="149"/>
        <v>0.90000000000014779</v>
      </c>
      <c r="CI312" s="1450">
        <f t="shared" ca="1" si="150"/>
        <v>1.7780000000001479</v>
      </c>
      <c r="CJ312" s="1450">
        <f ca="1">IF($B312&gt;=$J$5,0,CONTADORES!$BG322)</f>
        <v>6135.1851678433104</v>
      </c>
      <c r="CK312" s="1516">
        <f>CONTADORES!E322</f>
        <v>0</v>
      </c>
      <c r="CL312" s="1516">
        <f>CONTADORES!BX322</f>
        <v>0</v>
      </c>
    </row>
    <row r="313" spans="2:90">
      <c r="B313" s="1514">
        <v>45229</v>
      </c>
      <c r="C313" s="208">
        <f t="shared" ca="1" si="126"/>
        <v>286</v>
      </c>
      <c r="D313" s="202">
        <f ca="1">'CALCULO DE GAS'!P135</f>
        <v>5.0172764072146672</v>
      </c>
      <c r="E313" s="202">
        <f ca="1">IF(B313&gt;=$J$5,0,(CONTADORES!$AB323-CONTADORES!$AB322)-$H313)</f>
        <v>24</v>
      </c>
      <c r="F313" s="204">
        <f t="shared" ca="1" si="153"/>
        <v>0</v>
      </c>
      <c r="G313" s="202">
        <f ca="1">IF(B313&gt;=$J$5,0,CONTADORES!$AD323-CONTADORES!$AD322)</f>
        <v>0</v>
      </c>
      <c r="H313" s="202">
        <f ca="1">IF(G313&gt;0,CONTADORES!$AC323-CONTADORES!$AC322,0)</f>
        <v>0</v>
      </c>
      <c r="I313" s="205">
        <f ca="1">IF(B313&gt;=$J$5,0,CONTADORES!$Z323-CONTADORES!$Z322)</f>
        <v>286</v>
      </c>
      <c r="J313" s="204">
        <f t="shared" ca="1" si="127"/>
        <v>148</v>
      </c>
      <c r="K313" s="202">
        <f ca="1">'CALCULO DE GAS'!Q135</f>
        <v>3.5174415639266741</v>
      </c>
      <c r="L313" s="1437">
        <f ca="1">IF(B313&gt;=$J$5,0,(CONTADORES!$W323-CONTADORES!$W322)-$O313)</f>
        <v>24</v>
      </c>
      <c r="M313" s="1437">
        <f t="shared" ca="1" si="151"/>
        <v>0</v>
      </c>
      <c r="N313" s="1437">
        <f ca="1">IF(B313&gt;=$J$5,0,CONTADORES!$Y323-CONTADORES!$Y322)</f>
        <v>0</v>
      </c>
      <c r="O313" s="1437">
        <f ca="1">IF(N313&gt;0,CONTADORES!$X323-CONTADORES!$X322,0)</f>
        <v>0</v>
      </c>
      <c r="P313" s="208">
        <f ca="1">IF(B313&gt;=$J$5,0,CONTADORES!$U323-CONTADORES!$U322)</f>
        <v>148</v>
      </c>
      <c r="Q313" s="208">
        <f ca="1">IF(B313&gt;=$J$5,0,CONTADORES!$B323-CONTADORES!$B322)</f>
        <v>0</v>
      </c>
      <c r="R313" s="202">
        <f t="shared" ca="1" si="128"/>
        <v>0</v>
      </c>
      <c r="S313" s="11">
        <f ca="1">IF(B313&gt;=$J$5,0,CONTADORES!$D323-CONTADORES!$D322)</f>
        <v>0</v>
      </c>
      <c r="T313" s="204">
        <f ca="1">IF(B313&gt;=$J$5,0,CONTADORES!$AZ323-CONTADORES!$AZ322)</f>
        <v>0</v>
      </c>
      <c r="U313" s="202">
        <f t="shared" ca="1" si="152"/>
        <v>0</v>
      </c>
      <c r="V313" s="205">
        <f ca="1">IF(B313&gt;=$J$5,0,CONTADORES!$BB323-CONTADORES!$BB322)</f>
        <v>0</v>
      </c>
      <c r="W313" s="1438">
        <f t="shared" ca="1" si="129"/>
        <v>434</v>
      </c>
      <c r="X313" s="1438">
        <f t="shared" ca="1" si="130"/>
        <v>0</v>
      </c>
      <c r="Y313" s="1439">
        <f t="shared" ca="1" si="131"/>
        <v>434</v>
      </c>
      <c r="Z313" s="1439">
        <f t="shared" ca="1" si="132"/>
        <v>8.5347179711413403</v>
      </c>
      <c r="AA313" s="1439">
        <f t="shared" ca="1" si="133"/>
        <v>0</v>
      </c>
      <c r="AB313" s="1439">
        <f t="shared" ca="1" si="134"/>
        <v>48</v>
      </c>
      <c r="AC313" s="1438">
        <f t="shared" ca="1" si="135"/>
        <v>0</v>
      </c>
      <c r="AD313" s="1438">
        <f ca="1">IF(B313&gt;=$J$5,0,CONTADORES!H323-CONTADORES!H322)</f>
        <v>160</v>
      </c>
      <c r="AE313" s="1438">
        <f ca="1">IF(B313&gt;=$J$5,0,CONTADORES!J323-CONTADORES!J322)</f>
        <v>24</v>
      </c>
      <c r="AF313" s="1438">
        <f ca="1">IF(B313&gt;=$J$5,0,CONTADORES!AS323-CONTADORES!AS322)</f>
        <v>150</v>
      </c>
      <c r="AG313" s="1438">
        <f ca="1">IF(B313&gt;=$J$5,0,CONTADORES!AU323-CONTADORES!AU322)</f>
        <v>24</v>
      </c>
      <c r="AH313" s="1450">
        <f ca="1">IF(B313&gt;=$J$5,0,(CONTADORES!AK323-CONTADORES!AK322)+(CONTADORES!K323-CONTADORES!K322))</f>
        <v>8.2999999999974534</v>
      </c>
      <c r="AI313" s="1450">
        <f ca="1">IF(B313&gt;=$J$5,0,(CONTADORES!AI323-CONTADORES!AI322)+(CONTADORES!M323-CONTADORES!M322))</f>
        <v>39.899999999994179</v>
      </c>
      <c r="AJ313" s="1450">
        <f ca="1">IF(B313&gt;=$J$5,0,(CONTADORES!AG323-CONTADORES!AG322))</f>
        <v>7</v>
      </c>
      <c r="AK313" s="1450">
        <f ca="1">IF(B313&gt;=$J$5,0,(CONTADORES!O323-CONTADORES!O322))</f>
        <v>8</v>
      </c>
      <c r="AL313" s="1500">
        <f t="shared" ca="1" si="136"/>
        <v>32.60000000000764</v>
      </c>
      <c r="AM313" s="1450">
        <f ca="1">IF(B313&gt;=$J$5,0,(((CONTADORES!F323-CONTADORES!F322)+(CONTADORES!AO323-CONTADORES!AO322))))-BJ313-AF313-AN313-BM313-BP313-BU313-BS313+T313</f>
        <v>9.9960000000021836</v>
      </c>
      <c r="AN313" s="1438">
        <f ca="1">IF(B313&gt;=$J$5,0,(CONTADORES!AV323-CONTADORES!AV322)+(CONTADORES!AX323-CONTADORES!AX322)+(CONTADORES!BC323-CONTADORES!BC322))-BS313</f>
        <v>3.417999999999636</v>
      </c>
      <c r="AO313" s="1478">
        <f ca="1">IF(B313&gt;=$J$5,0,(CONTADORES!AA323-CONTADORES!AA322))</f>
        <v>148</v>
      </c>
      <c r="AP313" s="1478">
        <f ca="1">IF(B313&gt;=$J$5,0,(CONTADORES!V323-CONTADORES!V322))</f>
        <v>73</v>
      </c>
      <c r="AQ313" s="1478">
        <f ca="1">IF(B313&gt;=$J$5,0,(CONTADORES!C323-CONTADORES!C322))</f>
        <v>0</v>
      </c>
      <c r="AR313" s="1478">
        <f ca="1">IF(B313&gt;=$J$5,0,(CONTADORES!BA323-CONTADORES!BA322))</f>
        <v>0</v>
      </c>
      <c r="AS313" s="1438">
        <f ca="1">IF(B313&gt;=$J$5,0,CONTADORES!Q323-CONTADORES!Q322)</f>
        <v>15</v>
      </c>
      <c r="AT313" s="1438">
        <f ca="1">IF(B313&gt;=$J$5,0,(CONTADORES!S323-CONTADORES!S322)+(CONTADORES!AE323-CONTADORES!AE322))</f>
        <v>3.6000000000000227</v>
      </c>
      <c r="AU313" s="1474">
        <f ca="1">IF(B313&gt;=$J$5,0,(CONTADORES!I323-CONTADORES!I322))</f>
        <v>80</v>
      </c>
      <c r="AV313" s="1478">
        <f ca="1">IF(B313&gt;=$J$5,0,(CONTADORES!AT323-CONTADORES!AT322))</f>
        <v>65</v>
      </c>
      <c r="AW313" s="1478">
        <f ca="1">IF(B313&gt;=$J$5,0,(CONTADORES!L323-CONTADORES!L322)+(CONTADORES!AL323-CONTADORES!AL322))</f>
        <v>3.2000000000007276</v>
      </c>
      <c r="AX313" s="1478">
        <f ca="1">IF(B313&gt;=$J$5,0,(CONTADORES!N323-CONTADORES!N322)+(CONTADORES!AJ323-CONTADORES!AJ322))</f>
        <v>34</v>
      </c>
      <c r="AY313" s="1478">
        <f ca="1">IF(B313&gt;=$J$5,0,(CONTADORES!AH323-CONTADORES!AH322))</f>
        <v>5.5</v>
      </c>
      <c r="AZ313" s="1478">
        <f ca="1">IF(B313&gt;=$J$5,0,(CONTADORES!P323-CONTADORES!P322))</f>
        <v>6</v>
      </c>
      <c r="BA313" s="1450">
        <f t="shared" ca="1" si="137"/>
        <v>6.1899999999992872</v>
      </c>
      <c r="BB313" s="1440">
        <f ca="1">IF(B313&gt;=$J$5,0,(((CONTADORES!G323-CONTADORES!G322)+(CONTADORES!AP323-CONTADORES!AP322)+AR313)-(AV313+BC313)))</f>
        <v>14.10000000000025</v>
      </c>
      <c r="BC313" s="1439">
        <f ca="1">IF(B313&gt;=$J$5,0,(CONTADORES!AW323-CONTADORES!AW322)+(CONTADORES!AY323-CONTADORES!AY322)+(CONTADORES!BD323-CONTADORES!BD322))</f>
        <v>1.8999999999997499</v>
      </c>
      <c r="BD313" s="1438">
        <f t="shared" ca="1" si="138"/>
        <v>221</v>
      </c>
      <c r="BE313" s="1439">
        <f ca="1">IF($B313&gt;=$J$5,0,CONTADORES!$BE323)</f>
        <v>4815.7</v>
      </c>
      <c r="BF313" s="1438">
        <f ca="1">IF($B313&gt;=$J$5,0,CONTADORES!$BF323)</f>
        <v>34177.035087719298</v>
      </c>
      <c r="BG313" s="1439">
        <f ca="1">IF($B313&gt;=$J$5,0,CONTADORES!$BH323)</f>
        <v>5444.8</v>
      </c>
      <c r="BH313" s="1438">
        <f ca="1">IF(B313&gt;=$J$5,0,(CONTADORES!AQ323-CONTADORES!AQ322))</f>
        <v>5</v>
      </c>
      <c r="BI313" s="1438">
        <f ca="1">IF(B313&gt;=$J$5,0,(CONTADORES!AR323-CONTADORES!AR322))</f>
        <v>0</v>
      </c>
      <c r="BJ313" s="1439">
        <f ca="1">IF(B313&gt;=$J$5,0,CONTADORES!BI323-CONTADORES!BI322)/1000</f>
        <v>0</v>
      </c>
      <c r="BK313" s="1450">
        <f ca="1">IF(B313&gt;=$J$5,0,CONTADORES!BJ323-CONTADORES!BJ322)</f>
        <v>0</v>
      </c>
      <c r="BL313" s="1450">
        <f ca="1">IF(B313&gt;=$J$5,0,CONTADORES!BK323-CONTADORES!BK322)</f>
        <v>0</v>
      </c>
      <c r="BM313" s="1450">
        <f ca="1">IF(B313&gt;=$J$5,0,CONTADORES!BL323-CONTADORES!BL322)/1000</f>
        <v>4.6189999999999998</v>
      </c>
      <c r="BN313" s="1450">
        <f ca="1">IF(B313&gt;=$J$5,0,CONTADORES!BM323-CONTADORES!BM322)/1000</f>
        <v>0.625</v>
      </c>
      <c r="BO313" s="1450">
        <f ca="1">IF(B313&gt;=$J$5,0,CONTADORES!BN323-CONTADORES!BN322)</f>
        <v>24</v>
      </c>
      <c r="BP313" s="1450">
        <f ca="1">IF(B313&gt;=$J$5,0,CONTADORES!BO323-CONTADORES!BO322)/1000</f>
        <v>3.4849999999999999</v>
      </c>
      <c r="BQ313" s="1450">
        <f ca="1">IF(B313&gt;=$J$5,0,CONTADORES!BP323-CONTADORES!BP322)/1000</f>
        <v>8.2000000000000003E-2</v>
      </c>
      <c r="BR313" s="1450">
        <f ca="1">IF(B313&gt;=$J$5,0,CONTADORES!BQ323-CONTADORES!BQ322)</f>
        <v>24</v>
      </c>
      <c r="BS313" s="1450">
        <f ca="1">IF(B313&gt;=$J$5,0,(CONTADORES!BT323-CONTADORES!BT322)+(CONTADORES!BV323-CONTADORES!BV322))/1000</f>
        <v>1.482</v>
      </c>
      <c r="BT313" s="1450">
        <f ca="1">IF(B313&gt;=$J$5,0,(CONTADORES!BU323-CONTADORES!BU322)+(CONTADORES!BW323-CONTADORES!BW322))/1000</f>
        <v>0.90300000000000002</v>
      </c>
      <c r="BU313" s="1450">
        <f ca="1">IF(B313&gt;=$J$5,0,CONTADORES!BR323-CONTADORES!BR322)</f>
        <v>5.1999999999989086</v>
      </c>
      <c r="BV313" s="1450">
        <f ca="1">IF(B313&gt;=$J$5,0,CONTADORES!BS323-CONTADORES!BS322)</f>
        <v>3.5</v>
      </c>
      <c r="BW313" s="1450">
        <f t="shared" ca="1" si="139"/>
        <v>10.198</v>
      </c>
      <c r="BX313" s="1450">
        <f t="shared" ca="1" si="140"/>
        <v>10.550000000000125</v>
      </c>
      <c r="BY313" s="1450">
        <f t="shared" ca="1" si="141"/>
        <v>4.9980000000010918</v>
      </c>
      <c r="BZ313" s="1450">
        <f t="shared" ca="1" si="142"/>
        <v>1.3671999999998545</v>
      </c>
      <c r="CA313" s="1450">
        <f t="shared" ca="1" si="143"/>
        <v>4.9980000000010918</v>
      </c>
      <c r="CB313" s="1450">
        <f t="shared" ca="1" si="144"/>
        <v>2.0507999999997812</v>
      </c>
      <c r="CC313" s="1450">
        <f t="shared" ca="1" si="145"/>
        <v>2.8491999999998545</v>
      </c>
      <c r="CD313" s="1450">
        <f t="shared" ca="1" si="146"/>
        <v>7.0500000000001251</v>
      </c>
      <c r="CE313" s="1450">
        <f ca="1">IF(B313&gt;=$J$5,0,CONTADORES!BS323-CONTADORES!BS322)</f>
        <v>3.5</v>
      </c>
      <c r="CF313" s="1450">
        <f t="shared" ca="1" si="147"/>
        <v>7.0500000000001251</v>
      </c>
      <c r="CG313" s="1450">
        <f t="shared" ca="1" si="148"/>
        <v>0.94999999999987494</v>
      </c>
      <c r="CH313" s="1450">
        <f t="shared" ca="1" si="149"/>
        <v>0.94999999999987494</v>
      </c>
      <c r="CI313" s="1450">
        <f t="shared" ca="1" si="150"/>
        <v>1.852999999999875</v>
      </c>
      <c r="CJ313" s="1450">
        <f ca="1">IF($B313&gt;=$J$5,0,CONTADORES!$BG323)</f>
        <v>8779.0094917443203</v>
      </c>
      <c r="CK313" s="1516">
        <f>CONTADORES!E323</f>
        <v>0</v>
      </c>
      <c r="CL313" s="1516">
        <f>CONTADORES!BX323</f>
        <v>0</v>
      </c>
    </row>
    <row r="314" spans="2:90" ht="15" thickBot="1">
      <c r="B314" s="1517">
        <v>45230</v>
      </c>
      <c r="C314" s="209">
        <f t="shared" ca="1" si="126"/>
        <v>240</v>
      </c>
      <c r="D314" s="203">
        <f ca="1">'CALCULO DE GAS'!P136</f>
        <v>4.625881966055589</v>
      </c>
      <c r="E314" s="203">
        <f ca="1">IF(B314&gt;=$J$5,0,(CONTADORES!$AB324-CONTADORES!$AB323)-$H314)</f>
        <v>24</v>
      </c>
      <c r="F314" s="206">
        <f t="shared" ca="1" si="153"/>
        <v>0</v>
      </c>
      <c r="G314" s="203">
        <f ca="1">IF(B314&gt;=$J$5,0,CONTADORES!$AD324-CONTADORES!$AD323)</f>
        <v>0</v>
      </c>
      <c r="H314" s="203">
        <f ca="1">IF(G314&gt;0,CONTADORES!$AC324-CONTADORES!$AC323,0)</f>
        <v>0</v>
      </c>
      <c r="I314" s="207">
        <f ca="1">IF(B314&gt;=$J$5,0,CONTADORES!$Z324-CONTADORES!$Z323)</f>
        <v>240</v>
      </c>
      <c r="J314" s="206">
        <f t="shared" ca="1" si="127"/>
        <v>209</v>
      </c>
      <c r="K314" s="203">
        <f ca="1">'CALCULO DE GAS'!Q136</f>
        <v>4.2527242369012441</v>
      </c>
      <c r="L314" s="1465">
        <f ca="1">IF(B314&gt;=$J$5,0,(CONTADORES!$W324-CONTADORES!$W323)-$O314)</f>
        <v>24</v>
      </c>
      <c r="M314" s="1465">
        <f t="shared" ca="1" si="151"/>
        <v>0</v>
      </c>
      <c r="N314" s="1465">
        <f ca="1">IF(B314&gt;=$J$5,0,CONTADORES!$Y324-CONTADORES!$Y323)</f>
        <v>0</v>
      </c>
      <c r="O314" s="1465">
        <f ca="1">IF(N314&gt;0,CONTADORES!$X324-CONTADORES!$X323,0)</f>
        <v>0</v>
      </c>
      <c r="P314" s="209">
        <f ca="1">IF(B314&gt;=$J$5,0,CONTADORES!$U324-CONTADORES!$U323)</f>
        <v>209</v>
      </c>
      <c r="Q314" s="209">
        <f ca="1">IF(B314&gt;=$J$5,0,CONTADORES!$B324-CONTADORES!$B323)</f>
        <v>0</v>
      </c>
      <c r="R314" s="203">
        <f t="shared" ca="1" si="128"/>
        <v>0</v>
      </c>
      <c r="S314" s="65">
        <f ca="1">IF(B314&gt;=$J$5,0,CONTADORES!$D324-CONTADORES!$D323)</f>
        <v>0</v>
      </c>
      <c r="T314" s="206">
        <f ca="1">IF(B314&gt;=$J$5,0,CONTADORES!$AZ324-CONTADORES!$AZ323)</f>
        <v>0.25700000000006185</v>
      </c>
      <c r="U314" s="203">
        <f t="shared" ca="1" si="152"/>
        <v>30.840000000007421</v>
      </c>
      <c r="V314" s="207">
        <f ca="1">IF(B314&gt;=$J$5,0,CONTADORES!$BB324-CONTADORES!$BB323)</f>
        <v>0.39999999999986358</v>
      </c>
      <c r="W314" s="1466">
        <f t="shared" ca="1" si="129"/>
        <v>449</v>
      </c>
      <c r="X314" s="1466">
        <f t="shared" ca="1" si="130"/>
        <v>0.25700000000006185</v>
      </c>
      <c r="Y314" s="1467">
        <f t="shared" ca="1" si="131"/>
        <v>449.25700000000006</v>
      </c>
      <c r="Z314" s="1467">
        <f t="shared" ca="1" si="132"/>
        <v>8.8786062029568331</v>
      </c>
      <c r="AA314" s="1467">
        <f t="shared" ca="1" si="133"/>
        <v>30.840000000007421</v>
      </c>
      <c r="AB314" s="1467">
        <f t="shared" ca="1" si="134"/>
        <v>48</v>
      </c>
      <c r="AC314" s="1467">
        <f t="shared" ca="1" si="135"/>
        <v>0.39999999999986358</v>
      </c>
      <c r="AD314" s="1466">
        <f ca="1">IF(B314&gt;=$J$5,0,CONTADORES!H324-CONTADORES!H323)</f>
        <v>167</v>
      </c>
      <c r="AE314" s="1466">
        <f ca="1">IF(B314&gt;=$J$5,0,CONTADORES!J324-CONTADORES!J323)</f>
        <v>24</v>
      </c>
      <c r="AF314" s="1466">
        <f ca="1">IF(B314&gt;=$J$5,0,CONTADORES!AS324-CONTADORES!AS323)</f>
        <v>150</v>
      </c>
      <c r="AG314" s="1466">
        <f ca="1">IF(B314&gt;=$J$5,0,CONTADORES!AU324-CONTADORES!AU323)</f>
        <v>24</v>
      </c>
      <c r="AH314" s="1467">
        <f ca="1">IF(B314&gt;=$J$5,0,(CONTADORES!AK324-CONTADORES!AK323)+(CONTADORES!K324-CONTADORES!K323))</f>
        <v>10.100000000005821</v>
      </c>
      <c r="AI314" s="1467">
        <f ca="1">IF(B314&gt;=$J$5,0,(CONTADORES!AI324-CONTADORES!AI323)+(CONTADORES!M324-CONTADORES!M323))</f>
        <v>41.400000000008731</v>
      </c>
      <c r="AJ314" s="1467">
        <f ca="1">IF(B314&gt;=$J$5,0,(CONTADORES!AG324-CONTADORES!AG323))</f>
        <v>6</v>
      </c>
      <c r="AK314" s="1467">
        <f ca="1">IF(B314&gt;=$J$5,0,(CONTADORES!O324-CONTADORES!O323))</f>
        <v>9</v>
      </c>
      <c r="AL314" s="1467">
        <f t="shared" ca="1" si="136"/>
        <v>33.899999999986903</v>
      </c>
      <c r="AM314" s="1467">
        <f ca="1">IF(B314&gt;=$J$5,0,(((CONTADORES!F324-CONTADORES!F323)+(CONTADORES!AO324-CONTADORES!AO323))))-BJ314-AF314-AN314-BM314-BP314-BU314-BS314+T314</f>
        <v>13.246999999997769</v>
      </c>
      <c r="AN314" s="1467">
        <f ca="1">IF(B314&gt;=$J$5,0,(CONTADORES!AV324-CONTADORES!AV323)+(CONTADORES!AX324-CONTADORES!AX323)+(CONTADORES!BC324-CONTADORES!BC323))-BS314</f>
        <v>3.3329999999997462</v>
      </c>
      <c r="AO314" s="62">
        <f ca="1">IF(B314&gt;=$J$5,0,(CONTADORES!AA324-CONTADORES!AA323))</f>
        <v>123</v>
      </c>
      <c r="AP314" s="62">
        <f ca="1">IF(B314&gt;=$J$5,0,(CONTADORES!V324-CONTADORES!V323))</f>
        <v>107</v>
      </c>
      <c r="AQ314" s="62">
        <f ca="1">IF(B314&gt;=$J$5,0,(CONTADORES!C324-CONTADORES!C323))</f>
        <v>0</v>
      </c>
      <c r="AR314" s="62">
        <f ca="1">IF(B314&gt;=$J$5,0,(CONTADORES!BA324-CONTADORES!BA323))</f>
        <v>9.6999999999979991E-2</v>
      </c>
      <c r="AS314" s="1466">
        <f ca="1">IF(B314&gt;=$J$5,0,CONTADORES!Q324-CONTADORES!Q323)</f>
        <v>15</v>
      </c>
      <c r="AT314" s="1466">
        <f ca="1">IF(B314&gt;=$J$5,0,(CONTADORES!S324-CONTADORES!S323)+(CONTADORES!AE324-CONTADORES!AE323))</f>
        <v>3.6000000000000227</v>
      </c>
      <c r="AU314" s="62">
        <f ca="1">IF(B314&gt;=$J$5,0,(CONTADORES!I324-CONTADORES!I323))</f>
        <v>83</v>
      </c>
      <c r="AV314" s="62">
        <f ca="1">IF(B314&gt;=$J$5,0,(CONTADORES!AT324-CONTADORES!AT323))</f>
        <v>65</v>
      </c>
      <c r="AW314" s="62">
        <f ca="1">IF(B314&gt;=$J$5,0,(CONTADORES!L324-CONTADORES!L323)+(CONTADORES!AL324-CONTADORES!AL323))</f>
        <v>4</v>
      </c>
      <c r="AX314" s="62">
        <f ca="1">IF(B314&gt;=$J$5,0,(CONTADORES!N324-CONTADORES!N323)+(CONTADORES!AJ324-CONTADORES!AJ323))</f>
        <v>35.30000000000291</v>
      </c>
      <c r="AY314" s="62">
        <f ca="1">IF(B314&gt;=$J$5,0,(CONTADORES!AH324-CONTADORES!AH323))</f>
        <v>4.6000000000058208</v>
      </c>
      <c r="AZ314" s="62">
        <f ca="1">IF(B314&gt;=$J$5,0,(CONTADORES!P324-CONTADORES!P323))</f>
        <v>7</v>
      </c>
      <c r="BA314" s="1467">
        <f t="shared" ca="1" si="137"/>
        <v>9.9189999999918257</v>
      </c>
      <c r="BB314" s="62">
        <f ca="1">IF(B314&gt;=$J$5,0,(((CONTADORES!G324-CONTADORES!G323)+(CONTADORES!AP324-CONTADORES!AP323)+AR314)-(AV314+BC314)))</f>
        <v>14.296999999999684</v>
      </c>
      <c r="BC314" s="1467">
        <f ca="1">IF(B314&gt;=$J$5,0,(CONTADORES!AW324-CONTADORES!AW323)+(CONTADORES!AY324-CONTADORES!AY323)+(CONTADORES!BD324-CONTADORES!BD323))</f>
        <v>1.8000000000002956</v>
      </c>
      <c r="BD314" s="1466">
        <f t="shared" ca="1" si="138"/>
        <v>230.09699999999998</v>
      </c>
      <c r="BE314" s="1467">
        <f ca="1">IF($B314&gt;=$J$5,0,CONTADORES!$BE324)</f>
        <v>4600</v>
      </c>
      <c r="BF314" s="1466">
        <f ca="1">IF($B314&gt;=$J$5,0,CONTADORES!$BF324)</f>
        <v>34130.9368421053</v>
      </c>
      <c r="BG314" s="1467">
        <f ca="1">IF($B314&gt;=$J$5,0,CONTADORES!$BH324)</f>
        <v>6117.73</v>
      </c>
      <c r="BH314" s="1466">
        <f ca="1">IF(B314&gt;=$J$5,0,(CONTADORES!AQ324-CONTADORES!AQ323))</f>
        <v>5</v>
      </c>
      <c r="BI314" s="1466">
        <f ca="1">IF(B314&gt;=$J$5,0,(CONTADORES!AR324-CONTADORES!AR323))</f>
        <v>0</v>
      </c>
      <c r="BJ314" s="1467">
        <f ca="1">IF(B314&gt;=$J$5,0,CONTADORES!BI324-CONTADORES!BI323)/1000</f>
        <v>0</v>
      </c>
      <c r="BK314" s="1467">
        <f ca="1">IF(B314&gt;=$J$5,0,CONTADORES!BJ324-CONTADORES!BJ323)</f>
        <v>0</v>
      </c>
      <c r="BL314" s="1467">
        <f ca="1">IF(B314&gt;=$J$5,0,CONTADORES!BK324-CONTADORES!BK323)</f>
        <v>0</v>
      </c>
      <c r="BM314" s="1467">
        <f ca="1">IF(B314&gt;=$J$5,0,CONTADORES!BL324-CONTADORES!BL323)/1000</f>
        <v>4.7709999999999999</v>
      </c>
      <c r="BN314" s="1467">
        <f ca="1">IF(B314&gt;=$J$5,0,CONTADORES!BM324-CONTADORES!BM323)/1000</f>
        <v>0.59899999999999998</v>
      </c>
      <c r="BO314" s="1467">
        <f ca="1">IF(B314&gt;=$J$5,0,CONTADORES!BN324-CONTADORES!BN323)</f>
        <v>24</v>
      </c>
      <c r="BP314" s="1467">
        <f ca="1">IF(B314&gt;=$J$5,0,CONTADORES!BO324-CONTADORES!BO323)/1000</f>
        <v>3.7290000000000001</v>
      </c>
      <c r="BQ314" s="1467">
        <f ca="1">IF(B314&gt;=$J$5,0,CONTADORES!BP324-CONTADORES!BP323)/1000</f>
        <v>8.2000000000000003E-2</v>
      </c>
      <c r="BR314" s="1467">
        <f ca="1">IF(B314&gt;=$J$5,0,CONTADORES!BQ324-CONTADORES!BQ323)</f>
        <v>24</v>
      </c>
      <c r="BS314" s="1467">
        <f ca="1">IF(B314&gt;=$J$5,0,(CONTADORES!BT324-CONTADORES!BT323)+(CONTADORES!BV324-CONTADORES!BV323))/1000</f>
        <v>1.4770000000000001</v>
      </c>
      <c r="BT314" s="1467">
        <f ca="1">IF(B314&gt;=$J$5,0,(CONTADORES!BU324-CONTADORES!BU323)+(CONTADORES!BW324-CONTADORES!BW323))/1000</f>
        <v>0.9</v>
      </c>
      <c r="BU314" s="1467">
        <f ca="1">IF(B314&gt;=$J$5,0,CONTADORES!BR324-CONTADORES!BR323)</f>
        <v>5.3000000000010914</v>
      </c>
      <c r="BV314" s="1467">
        <f ca="1">IF(B314&gt;=$J$5,0,CONTADORES!BS324-CONTADORES!BS323)</f>
        <v>3.5999999999994543</v>
      </c>
      <c r="BW314" s="1467">
        <f t="shared" ca="1" si="139"/>
        <v>11.923499999999976</v>
      </c>
      <c r="BX314" s="1467">
        <f t="shared" ca="1" si="140"/>
        <v>10.748499999999297</v>
      </c>
      <c r="BY314" s="1467">
        <f t="shared" ca="1" si="141"/>
        <v>6.6234999999988844</v>
      </c>
      <c r="BZ314" s="1467">
        <f t="shared" ca="1" si="142"/>
        <v>1.3331999999998985</v>
      </c>
      <c r="CA314" s="1467">
        <f t="shared" ca="1" si="143"/>
        <v>6.6234999999988844</v>
      </c>
      <c r="CB314" s="1467">
        <f t="shared" ca="1" si="144"/>
        <v>1.9997999999998477</v>
      </c>
      <c r="CC314" s="1467">
        <f t="shared" ca="1" si="145"/>
        <v>2.8101999999998988</v>
      </c>
      <c r="CD314" s="1467">
        <f t="shared" ca="1" si="146"/>
        <v>7.1484999999998422</v>
      </c>
      <c r="CE314" s="1467">
        <f ca="1">IF(B314&gt;=$J$5,0,CONTADORES!BS324-CONTADORES!BS323)</f>
        <v>3.5999999999994543</v>
      </c>
      <c r="CF314" s="1467">
        <f t="shared" ca="1" si="147"/>
        <v>7.1484999999998422</v>
      </c>
      <c r="CG314" s="1467">
        <f t="shared" ca="1" si="148"/>
        <v>0.90000000000014779</v>
      </c>
      <c r="CH314" s="1467">
        <f t="shared" ca="1" si="149"/>
        <v>0.90000000000014779</v>
      </c>
      <c r="CI314" s="1467">
        <f t="shared" ca="1" si="150"/>
        <v>1.8000000000001477</v>
      </c>
      <c r="CJ314" s="1467">
        <f ca="1">IF($B314&gt;=$J$5,0,CONTADORES!$BG324)</f>
        <v>9710.88027487418</v>
      </c>
      <c r="CK314" s="1518">
        <f>CONTADORES!E324</f>
        <v>0</v>
      </c>
      <c r="CL314" s="1518">
        <f>CONTADORES!BX324</f>
        <v>0.3</v>
      </c>
    </row>
    <row r="315" spans="2:90">
      <c r="B315" s="410">
        <v>45231</v>
      </c>
      <c r="C315" s="204">
        <f t="shared" ca="1" si="126"/>
        <v>147</v>
      </c>
      <c r="D315" s="202">
        <f ca="1">'CALCULO DE GAS'!P140</f>
        <v>4.0365242327959576</v>
      </c>
      <c r="E315" s="202">
        <f ca="1">IF(B315&gt;=$J$5,0,(CONTADORES!$AB327-CONTADORES!$AB326)-$H315)</f>
        <v>24</v>
      </c>
      <c r="F315" s="204">
        <f t="shared" ca="1" si="153"/>
        <v>0</v>
      </c>
      <c r="G315" s="202">
        <f ca="1">IF(B315&gt;=$J$5,0,CONTADORES!$AD327-CONTADORES!$AD326)</f>
        <v>0</v>
      </c>
      <c r="H315" s="202">
        <f ca="1">IF(G315&gt;0,CONTADORES!$AC327-CONTADORES!$AC326,0)</f>
        <v>0</v>
      </c>
      <c r="I315" s="205">
        <f ca="1">IF(B315&gt;=$J$5,0,CONTADORES!$Z327-CONTADORES!$Z326)</f>
        <v>147</v>
      </c>
      <c r="J315" s="204">
        <f t="shared" ca="1" si="127"/>
        <v>293</v>
      </c>
      <c r="K315" s="202">
        <f ca="1">'CALCULO DE GAS'!Q140</f>
        <v>5.4957787804379201</v>
      </c>
      <c r="L315" s="1437">
        <f ca="1">IF(B315&gt;=$J$5,0,(CONTADORES!$W327-CONTADORES!$W326)-$O315)</f>
        <v>24</v>
      </c>
      <c r="M315" s="1437">
        <f t="shared" ca="1" si="151"/>
        <v>0</v>
      </c>
      <c r="N315" s="1437">
        <f ca="1">IF(B315&gt;=$J$5,0,CONTADORES!$Y327-CONTADORES!$Y326)</f>
        <v>0</v>
      </c>
      <c r="O315" s="1437">
        <f ca="1">IF(N315&gt;0,CONTADORES!$X327-CONTADORES!$X326,0)</f>
        <v>0</v>
      </c>
      <c r="P315" s="208">
        <f ca="1">IF(B315&gt;=$J$5,0,CONTADORES!$U327-CONTADORES!$U326)</f>
        <v>293</v>
      </c>
      <c r="Q315" s="208">
        <f ca="1">IF(B315&gt;=$J$5,0,CONTADORES!$B327-CONTADORES!$B326)</f>
        <v>0</v>
      </c>
      <c r="R315" s="202">
        <f t="shared" ca="1" si="128"/>
        <v>0</v>
      </c>
      <c r="S315" s="11">
        <f ca="1">IF(B315&gt;=$J$5,0,CONTADORES!$D327-CONTADORES!$D326)</f>
        <v>0</v>
      </c>
      <c r="T315" s="204">
        <f ca="1">IF(B315&gt;=$J$5,0,CONTADORES!$AZ327-CONTADORES!$AZ326)</f>
        <v>0</v>
      </c>
      <c r="U315" s="202">
        <f t="shared" ca="1" si="152"/>
        <v>0</v>
      </c>
      <c r="V315" s="11">
        <f ca="1">IF(B315&gt;=$J$5,0,CONTADORES!$BB327-CONTADORES!$BB326)</f>
        <v>0</v>
      </c>
      <c r="W315" s="1438">
        <f t="shared" ca="1" si="129"/>
        <v>440</v>
      </c>
      <c r="X315" s="1438">
        <f t="shared" ca="1" si="130"/>
        <v>0</v>
      </c>
      <c r="Y315" s="1439">
        <f t="shared" ca="1" si="131"/>
        <v>440</v>
      </c>
      <c r="Z315" s="1439">
        <f t="shared" ca="1" si="132"/>
        <v>9.5323030132338786</v>
      </c>
      <c r="AA315" s="1439">
        <f t="shared" ca="1" si="133"/>
        <v>0</v>
      </c>
      <c r="AB315" s="1439">
        <f t="shared" ca="1" si="134"/>
        <v>48</v>
      </c>
      <c r="AC315" s="1438">
        <f t="shared" ca="1" si="135"/>
        <v>0</v>
      </c>
      <c r="AD315" s="1448">
        <f ca="1">IF(B315&gt;=$J$5,0,CONTADORES!H327-CONTADORES!H326)</f>
        <v>163.20000000000073</v>
      </c>
      <c r="AE315" s="1438">
        <f ca="1">IF(B315&gt;=$J$5,0,CONTADORES!J327-CONTADORES!J326)</f>
        <v>24</v>
      </c>
      <c r="AF315" s="1438">
        <f ca="1">IF(B315&gt;=$J$5,0,CONTADORES!AS327-CONTADORES!AS326)</f>
        <v>151</v>
      </c>
      <c r="AG315" s="1438">
        <f ca="1">IF(B315&gt;=$J$5,0,CONTADORES!AU327-CONTADORES!AU326)</f>
        <v>24</v>
      </c>
      <c r="AH315" s="1439">
        <f ca="1">IF(B315&gt;=$J$5,0,(CONTADORES!AK327-CONTADORES!AK326)+(CONTADORES!K327-CONTADORES!K326))</f>
        <v>9.6999999999989086</v>
      </c>
      <c r="AI315" s="1438">
        <f ca="1">IF(B315&gt;=$J$5,0,(CONTADORES!AI327-CONTADORES!AI326)+(CONTADORES!M327-CONTADORES!M326))</f>
        <v>38.69999999999709</v>
      </c>
      <c r="AJ315" s="1438">
        <f ca="1">IF(B315&gt;=$J$5,0,(CONTADORES!AG327-CONTADORES!AG326))</f>
        <v>5</v>
      </c>
      <c r="AK315" s="1438">
        <f ca="1">IF(B315&gt;=$J$5,0,(CONTADORES!O327-CONTADORES!O326))</f>
        <v>9</v>
      </c>
      <c r="AL315" s="1490">
        <f t="shared" ca="1" si="136"/>
        <v>33.300000000004673</v>
      </c>
      <c r="AM315" s="1438">
        <f ca="1">IF(B315&gt;=$J$5,0,(((CONTADORES!F327-CONTADORES!F326)+(CONTADORES!AO327-CONTADORES!AO326))))-BJ315-AF315-AN315-BM315-BP315-BU315-BS315+T315</f>
        <v>11.722999999997556</v>
      </c>
      <c r="AN315" s="1438">
        <f ca="1">IF(B315&gt;=$J$5,0,(CONTADORES!AV327-CONTADORES!AV326)+(CONTADORES!AX327-CONTADORES!AX326)+(CONTADORES!BC327-CONTADORES!BC326))-BS315</f>
        <v>3.3780000000006276</v>
      </c>
      <c r="AO315" s="1440">
        <f ca="1">IF(B315&gt;=$J$5,0,(CONTADORES!AA327-CONTADORES!AA326))</f>
        <v>70</v>
      </c>
      <c r="AP315" s="1474">
        <f ca="1">IF(B315&gt;=$J$5,0,(CONTADORES!V327-CONTADORES!V326))</f>
        <v>152</v>
      </c>
      <c r="AQ315" s="1440">
        <f ca="1">IF(B315&gt;=$J$5,0,(CONTADORES!C327-CONTADORES!C326))</f>
        <v>0</v>
      </c>
      <c r="AR315" s="1440">
        <f ca="1">IF(B315&gt;=$J$5,0,(CONTADORES!BA327-CONTADORES!BA326))</f>
        <v>0</v>
      </c>
      <c r="AS315" s="1438">
        <f ca="1">IF(B315&gt;=$J$5,0,CONTADORES!Q327-CONTADORES!Q326)</f>
        <v>15</v>
      </c>
      <c r="AT315" s="1438">
        <f ca="1">IF(B315&gt;=$J$5,0,(CONTADORES!S327-CONTADORES!S326)+(CONTADORES!AE327-CONTADORES!AE326))</f>
        <v>3.5</v>
      </c>
      <c r="AU315" s="1474">
        <f ca="1">IF(B315&gt;=$J$5,0,(CONTADORES!I327-CONTADORES!I326))</f>
        <v>80.700000000000728</v>
      </c>
      <c r="AV315" s="1440">
        <f ca="1">IF(B315&gt;=$J$5,0,(CONTADORES!AT327-CONTADORES!AT326))</f>
        <v>65</v>
      </c>
      <c r="AW315" s="1474">
        <f ca="1">IF(B315&gt;=$J$5,0,(CONTADORES!L327-CONTADORES!L326)+(CONTADORES!AL327-CONTADORES!AL326))</f>
        <v>3.8999999999996362</v>
      </c>
      <c r="AX315" s="1440">
        <f ca="1">IF(B315&gt;=$J$5,0,(CONTADORES!N327-CONTADORES!N326)+(CONTADORES!AJ327-CONTADORES!AJ326))</f>
        <v>32.599999999998545</v>
      </c>
      <c r="AY315" s="1440">
        <f ca="1">IF(B315&gt;=$J$5,0,(CONTADORES!AH327-CONTADORES!AH326))</f>
        <v>3.8999999999941792</v>
      </c>
      <c r="AZ315" s="1440">
        <f ca="1">IF(B315&gt;=$J$5,0,(CONTADORES!P327-CONTADORES!P326))</f>
        <v>7</v>
      </c>
      <c r="BA315" s="1439">
        <f t="shared" ca="1" si="137"/>
        <v>8.7130000000063887</v>
      </c>
      <c r="BB315" s="1440">
        <f ca="1">IF(B315&gt;=$J$5,0,(((CONTADORES!G327-CONTADORES!G326)+(CONTADORES!AP327-CONTADORES!AP326)+AR315)-(AV315+BC315)))</f>
        <v>12.290000000000163</v>
      </c>
      <c r="BC315" s="1438">
        <f ca="1">IF(B315&gt;=$J$5,0,(CONTADORES!AW327-CONTADORES!AW326)+(CONTADORES!AY327-CONTADORES!AY326)+(CONTADORES!BD327-CONTADORES!BD326))</f>
        <v>1.9099999999996555</v>
      </c>
      <c r="BD315" s="1438">
        <f t="shared" ca="1" si="138"/>
        <v>222</v>
      </c>
      <c r="BE315" s="1439">
        <f ca="1">IF($B315&gt;=$J$5,0,CONTADORES!$BE327)</f>
        <v>0</v>
      </c>
      <c r="BF315" s="1438">
        <f ca="1">IF($B315&gt;=$J$5,0,CONTADORES!$BF327)</f>
        <v>0</v>
      </c>
      <c r="BG315" s="1438">
        <f ca="1">IF($B315&gt;=$J$5,0,CONTADORES!$BH327)</f>
        <v>0</v>
      </c>
      <c r="BH315" s="1438">
        <f ca="1">IF(B315&gt;=$J$5,0,(CONTADORES!AQ327-CONTADORES!AQ326))</f>
        <v>6</v>
      </c>
      <c r="BI315" s="1438">
        <f ca="1">IF(B315&gt;=$J$5,0,(CONTADORES!AR327-CONTADORES!AR326))</f>
        <v>0</v>
      </c>
      <c r="BJ315" s="1438">
        <f ca="1">IF(B315&gt;=$J$5,0,CONTADORES!BI327-CONTADORES!BI326)/1000</f>
        <v>2.6</v>
      </c>
      <c r="BK315" s="1439">
        <f ca="1">IF(B315&gt;=$J$5,0,CONTADORES!BJ327-CONTADORES!BJ326)</f>
        <v>1</v>
      </c>
      <c r="BL315" s="1438">
        <f ca="1">IF(B315&gt;=$J$5,0,CONTADORES!BK327-CONTADORES!BK326)</f>
        <v>15.5</v>
      </c>
      <c r="BM315" s="1438">
        <f ca="1">IF(B315&gt;=$J$5,0,CONTADORES!BL327-CONTADORES!BL326)/1000</f>
        <v>1.5720000000000001</v>
      </c>
      <c r="BN315" s="1438">
        <f ca="1">IF(B315&gt;=$J$5,0,CONTADORES!BM327-CONTADORES!BM326)/1000</f>
        <v>0.26</v>
      </c>
      <c r="BO315" s="1438">
        <f ca="1">IF(B315&gt;=$J$5,0,CONTADORES!BN327-CONTADORES!BN326)</f>
        <v>8</v>
      </c>
      <c r="BP315" s="1438">
        <f ca="1">IF(B315&gt;=$J$5,0,CONTADORES!BO327-CONTADORES!BO326)/1000</f>
        <v>3.7949999999999999</v>
      </c>
      <c r="BQ315" s="1438">
        <f ca="1">IF(B315&gt;=$J$5,0,CONTADORES!BP327-CONTADORES!BP326)/1000</f>
        <v>0.14099999999999999</v>
      </c>
      <c r="BR315" s="1438">
        <f ca="1">IF(B315&gt;=$J$5,0,CONTADORES!BQ327-CONTADORES!BQ326)</f>
        <v>24</v>
      </c>
      <c r="BS315" s="1438">
        <f ca="1">IF(B315&gt;=$J$5,0,(CONTADORES!BT327-CONTADORES!BT326)+(CONTADORES!BV327-CONTADORES!BV326))/1000</f>
        <v>1.4319999999999999</v>
      </c>
      <c r="BT315" s="1438">
        <f ca="1">IF(B315&gt;=$J$5,0,(CONTADORES!BU327-CONTADORES!BU326)+(CONTADORES!BW327-CONTADORES!BW326))/1000</f>
        <v>0.88600000000000001</v>
      </c>
      <c r="BU315" s="1438">
        <f ca="1">IF(B315&gt;=$J$5,0,CONTADORES!BR327-CONTADORES!BR326)</f>
        <v>5.6000000000003638</v>
      </c>
      <c r="BV315" s="1438">
        <f ca="1">IF(B315&gt;=$J$5,0,CONTADORES!BS327-CONTADORES!BS326)</f>
        <v>3.7000000000007276</v>
      </c>
      <c r="BW315" s="1438">
        <f t="shared" ca="1" si="139"/>
        <v>11.461499999999141</v>
      </c>
      <c r="BX315" s="1438">
        <f t="shared" ca="1" si="140"/>
        <v>9.8450000000008089</v>
      </c>
      <c r="BY315" s="1438">
        <f t="shared" ca="1" si="141"/>
        <v>5.8614999999987782</v>
      </c>
      <c r="BZ315" s="1438">
        <f t="shared" ca="1" si="142"/>
        <v>1.3512000000002511</v>
      </c>
      <c r="CA315" s="1438">
        <f t="shared" ca="1" si="143"/>
        <v>5.8614999999987782</v>
      </c>
      <c r="CB315" s="1438">
        <f t="shared" ca="1" si="144"/>
        <v>2.0268000000003763</v>
      </c>
      <c r="CC315" s="1438">
        <f t="shared" ca="1" si="145"/>
        <v>2.7832000000002513</v>
      </c>
      <c r="CD315" s="1438">
        <f t="shared" ca="1" si="146"/>
        <v>6.1450000000000813</v>
      </c>
      <c r="CE315" s="1438">
        <f ca="1">IF(B315&gt;=$J$5,0,CONTADORES!BS327-CONTADORES!BS326)</f>
        <v>3.7000000000007276</v>
      </c>
      <c r="CF315" s="1438">
        <f t="shared" ca="1" si="147"/>
        <v>6.1450000000000813</v>
      </c>
      <c r="CG315" s="1438">
        <f t="shared" ca="1" si="148"/>
        <v>0.95499999999982776</v>
      </c>
      <c r="CH315" s="1438">
        <f t="shared" ca="1" si="149"/>
        <v>0.95499999999982776</v>
      </c>
      <c r="CI315" s="1438">
        <f t="shared" ca="1" si="150"/>
        <v>1.8409999999998279</v>
      </c>
      <c r="CJ315" s="1444">
        <f ca="1">IF($B315&gt;=$J$5,0,CONTADORES!$BG327)</f>
        <v>0</v>
      </c>
      <c r="CK315" s="1406">
        <f>CONTADORES!E327</f>
        <v>0</v>
      </c>
      <c r="CL315" s="1406">
        <f>CONTADORES!BX327</f>
        <v>0</v>
      </c>
    </row>
    <row r="316" spans="2:90">
      <c r="B316" s="410">
        <v>45232</v>
      </c>
      <c r="C316" s="204">
        <f t="shared" ca="1" si="126"/>
        <v>0</v>
      </c>
      <c r="D316" s="202">
        <f ca="1">'CALCULO DE GAS'!P141</f>
        <v>0</v>
      </c>
      <c r="E316" s="202">
        <f ca="1">IF(B316&gt;=$J$5,0,(CONTADORES!$AB328-CONTADORES!$AB327)-$H316)</f>
        <v>0</v>
      </c>
      <c r="F316" s="204">
        <f t="shared" ca="1" si="153"/>
        <v>0</v>
      </c>
      <c r="G316" s="202">
        <f ca="1">IF(B316&gt;=$J$5,0,CONTADORES!$AD328-CONTADORES!$AD327)</f>
        <v>0</v>
      </c>
      <c r="H316" s="202">
        <f ca="1">IF(G316&gt;0,CONTADORES!$AC328-CONTADORES!$AC327,0)</f>
        <v>0</v>
      </c>
      <c r="I316" s="205">
        <f ca="1">IF(B316&gt;=$J$5,0,CONTADORES!$Z328-CONTADORES!$Z327)</f>
        <v>0</v>
      </c>
      <c r="J316" s="204">
        <f t="shared" ca="1" si="127"/>
        <v>0</v>
      </c>
      <c r="K316" s="202">
        <f ca="1">'CALCULO DE GAS'!Q141</f>
        <v>0</v>
      </c>
      <c r="L316" s="1437">
        <f ca="1">IF(B316&gt;=$J$5,0,(CONTADORES!$W328-CONTADORES!$W327)-$O316)</f>
        <v>0</v>
      </c>
      <c r="M316" s="1437">
        <f t="shared" ca="1" si="151"/>
        <v>0</v>
      </c>
      <c r="N316" s="1437">
        <f ca="1">IF(B316&gt;=$J$5,0,CONTADORES!$Y328-CONTADORES!$Y327)</f>
        <v>0</v>
      </c>
      <c r="O316" s="1437">
        <f ca="1">IF(N316&gt;0,CONTADORES!$X328-CONTADORES!$X327,0)</f>
        <v>0</v>
      </c>
      <c r="P316" s="208">
        <f ca="1">IF(B316&gt;=$J$5,0,CONTADORES!$U328-CONTADORES!$U327)</f>
        <v>0</v>
      </c>
      <c r="Q316" s="208">
        <f ca="1">IF(B316&gt;=$J$5,0,CONTADORES!$B328-CONTADORES!$B327)</f>
        <v>0</v>
      </c>
      <c r="R316" s="202">
        <f t="shared" ca="1" si="128"/>
        <v>0</v>
      </c>
      <c r="S316" s="11">
        <f ca="1">IF(B316&gt;=$J$5,0,CONTADORES!$D328-CONTADORES!$D327)</f>
        <v>0</v>
      </c>
      <c r="T316" s="204">
        <f ca="1">IF(B316&gt;=$J$5,0,CONTADORES!$AZ328-CONTADORES!$AZ327)</f>
        <v>0</v>
      </c>
      <c r="U316" s="202">
        <f t="shared" ca="1" si="152"/>
        <v>0</v>
      </c>
      <c r="V316" s="11">
        <f ca="1">IF(B316&gt;=$J$5,0,CONTADORES!$BB328-CONTADORES!$BB327)</f>
        <v>0</v>
      </c>
      <c r="W316" s="1438">
        <f t="shared" ca="1" si="129"/>
        <v>0</v>
      </c>
      <c r="X316" s="1438">
        <f t="shared" ca="1" si="130"/>
        <v>0</v>
      </c>
      <c r="Y316" s="1439">
        <f t="shared" ca="1" si="131"/>
        <v>0</v>
      </c>
      <c r="Z316" s="1439">
        <f t="shared" ca="1" si="132"/>
        <v>0</v>
      </c>
      <c r="AA316" s="1439">
        <f t="shared" ca="1" si="133"/>
        <v>0</v>
      </c>
      <c r="AB316" s="1439">
        <f t="shared" ca="1" si="134"/>
        <v>0</v>
      </c>
      <c r="AC316" s="1438">
        <f t="shared" ca="1" si="135"/>
        <v>0</v>
      </c>
      <c r="AD316" s="1448">
        <f ca="1">IF(B316&gt;=$J$5,0,CONTADORES!H328-CONTADORES!H327)</f>
        <v>0</v>
      </c>
      <c r="AE316" s="1438">
        <f ca="1">IF(B316&gt;=$J$5,0,CONTADORES!J328-CONTADORES!J327)</f>
        <v>0</v>
      </c>
      <c r="AF316" s="1438">
        <f ca="1">IF(B316&gt;=$J$5,0,CONTADORES!AS328-CONTADORES!AS327)</f>
        <v>0</v>
      </c>
      <c r="AG316" s="1438">
        <f ca="1">IF(B316&gt;=$J$5,0,CONTADORES!AU328-CONTADORES!AU327)</f>
        <v>0</v>
      </c>
      <c r="AH316" s="1439">
        <f ca="1">IF(B316&gt;=$J$5,0,(CONTADORES!AK328-CONTADORES!AK327)+(CONTADORES!K328-CONTADORES!K327))</f>
        <v>0</v>
      </c>
      <c r="AI316" s="1438">
        <f ca="1">IF(B316&gt;=$J$5,0,(CONTADORES!AI328-CONTADORES!AI327)+(CONTADORES!M328-CONTADORES!M327))</f>
        <v>0</v>
      </c>
      <c r="AJ316" s="1438">
        <f ca="1">IF(B316&gt;=$J$5,0,(CONTADORES!AG328-CONTADORES!AG327))</f>
        <v>0</v>
      </c>
      <c r="AK316" s="1438">
        <f ca="1">IF(B316&gt;=$J$5,0,(CONTADORES!O328-CONTADORES!O327))</f>
        <v>0</v>
      </c>
      <c r="AL316" s="1500">
        <f t="shared" ca="1" si="136"/>
        <v>0</v>
      </c>
      <c r="AM316" s="1438">
        <f ca="1">IF(B316&gt;=$J$5,0,(((CONTADORES!F328-CONTADORES!F327)+(CONTADORES!AO328-CONTADORES!AO327))))-BJ316-AF316-AN316-BM316-BP316-BU316-BS316+T316</f>
        <v>0</v>
      </c>
      <c r="AN316" s="1438">
        <f ca="1">IF(B316&gt;=$J$5,0,(CONTADORES!AV328-CONTADORES!AV327)+(CONTADORES!AX328-CONTADORES!AX327)+(CONTADORES!BC328-CONTADORES!BC327))-BS316</f>
        <v>0</v>
      </c>
      <c r="AO316" s="1440">
        <f ca="1">IF(B316&gt;=$J$5,0,(CONTADORES!AA328-CONTADORES!AA327))</f>
        <v>0</v>
      </c>
      <c r="AP316" s="1474">
        <f ca="1">IF(B316&gt;=$J$5,0,(CONTADORES!V328-CONTADORES!V327))</f>
        <v>0</v>
      </c>
      <c r="AQ316" s="1440">
        <f ca="1">IF(B316&gt;=$J$5,0,(CONTADORES!C328-CONTADORES!C327))</f>
        <v>0</v>
      </c>
      <c r="AR316" s="1440">
        <f ca="1">IF(B316&gt;=$J$5,0,(CONTADORES!BA328-CONTADORES!BA327))</f>
        <v>0</v>
      </c>
      <c r="AS316" s="1438">
        <f ca="1">IF(B316&gt;=$J$5,0,CONTADORES!Q328-CONTADORES!Q327)</f>
        <v>0</v>
      </c>
      <c r="AT316" s="1438">
        <f ca="1">IF(B316&gt;=$J$5,0,(CONTADORES!S328-CONTADORES!S327)+(CONTADORES!AE328-CONTADORES!AE327))</f>
        <v>0</v>
      </c>
      <c r="AU316" s="1474">
        <f ca="1">IF(B316&gt;=$J$5,0,(CONTADORES!I328-CONTADORES!I327))</f>
        <v>0</v>
      </c>
      <c r="AV316" s="1440">
        <f ca="1">IF(B316&gt;=$J$5,0,(CONTADORES!AT328-CONTADORES!AT327))</f>
        <v>0</v>
      </c>
      <c r="AW316" s="1474">
        <f ca="1">IF(B316&gt;=$J$5,0,(CONTADORES!L328-CONTADORES!L327)+(CONTADORES!AL328-CONTADORES!AL327))</f>
        <v>0</v>
      </c>
      <c r="AX316" s="1440">
        <f ca="1">IF(B316&gt;=$J$5,0,(CONTADORES!N328-CONTADORES!N327)+(CONTADORES!AJ328-CONTADORES!AJ327))</f>
        <v>0</v>
      </c>
      <c r="AY316" s="1440">
        <f ca="1">IF(B316&gt;=$J$5,0,(CONTADORES!AH328-CONTADORES!AH327))</f>
        <v>0</v>
      </c>
      <c r="AZ316" s="1440">
        <f ca="1">IF(B316&gt;=$J$5,0,(CONTADORES!P328-CONTADORES!P327))</f>
        <v>0</v>
      </c>
      <c r="BA316" s="1450">
        <f t="shared" ca="1" si="137"/>
        <v>0</v>
      </c>
      <c r="BB316" s="1440">
        <f ca="1">IF(B316&gt;=$J$5,0,(((CONTADORES!G328-CONTADORES!G327)+(CONTADORES!AP328-CONTADORES!AP327)+AR316)-(AV316+BC316)))</f>
        <v>0</v>
      </c>
      <c r="BC316" s="1438">
        <f ca="1">IF(B316&gt;=$J$5,0,(CONTADORES!AW328-CONTADORES!AW327)+(CONTADORES!AY328-CONTADORES!AY327)+(CONTADORES!BD328-CONTADORES!BD327))</f>
        <v>0</v>
      </c>
      <c r="BD316" s="1438">
        <f t="shared" ca="1" si="138"/>
        <v>0</v>
      </c>
      <c r="BE316" s="1439">
        <f ca="1">IF($B316&gt;=$J$5,0,CONTADORES!$BE328)</f>
        <v>0</v>
      </c>
      <c r="BF316" s="1438">
        <f ca="1">IF($B316&gt;=$J$5,0,CONTADORES!$BF328)</f>
        <v>0</v>
      </c>
      <c r="BG316" s="1438">
        <f ca="1">IF($B316&gt;=$J$5,0,CONTADORES!$BH328)</f>
        <v>0</v>
      </c>
      <c r="BH316" s="1438">
        <f ca="1">IF(B316&gt;=$J$5,0,(CONTADORES!AQ328-CONTADORES!AQ327))</f>
        <v>0</v>
      </c>
      <c r="BI316" s="1438">
        <f ca="1">IF(B316&gt;=$J$5,0,(CONTADORES!AR328-CONTADORES!AR327))</f>
        <v>0</v>
      </c>
      <c r="BJ316" s="1438">
        <f ca="1">IF(B316&gt;=$J$5,0,CONTADORES!BI328-CONTADORES!BI327)/1000</f>
        <v>0</v>
      </c>
      <c r="BK316" s="1439">
        <f ca="1">IF(B316&gt;=$J$5,0,CONTADORES!BJ328-CONTADORES!BJ327)</f>
        <v>0</v>
      </c>
      <c r="BL316" s="1438">
        <f ca="1">IF(B316&gt;=$J$5,0,CONTADORES!BK328-CONTADORES!BK327)</f>
        <v>0</v>
      </c>
      <c r="BM316" s="1438">
        <f ca="1">IF(B316&gt;=$J$5,0,CONTADORES!BL328-CONTADORES!BL327)/1000</f>
        <v>0</v>
      </c>
      <c r="BN316" s="1438">
        <f ca="1">IF(B316&gt;=$J$5,0,CONTADORES!BM328-CONTADORES!BM327)/1000</f>
        <v>0</v>
      </c>
      <c r="BO316" s="1438">
        <f ca="1">IF(B316&gt;=$J$5,0,CONTADORES!BN328-CONTADORES!BN327)</f>
        <v>0</v>
      </c>
      <c r="BP316" s="1438">
        <f ca="1">IF(B316&gt;=$J$5,0,CONTADORES!BO328-CONTADORES!BO327)/1000</f>
        <v>0</v>
      </c>
      <c r="BQ316" s="1438">
        <f ca="1">IF(B316&gt;=$J$5,0,CONTADORES!BP328-CONTADORES!BP327)/1000</f>
        <v>0</v>
      </c>
      <c r="BR316" s="1438">
        <f ca="1">IF(B316&gt;=$J$5,0,CONTADORES!BQ328-CONTADORES!BQ327)</f>
        <v>0</v>
      </c>
      <c r="BS316" s="1438">
        <f ca="1">IF(B316&gt;=$J$5,0,(CONTADORES!BT328-CONTADORES!BT327)+(CONTADORES!BV328-CONTADORES!BV327))/1000</f>
        <v>0</v>
      </c>
      <c r="BT316" s="1438">
        <f ca="1">IF(B316&gt;=$J$5,0,(CONTADORES!BU328-CONTADORES!BU327)+(CONTADORES!BW328-CONTADORES!BW327))/1000</f>
        <v>0</v>
      </c>
      <c r="BU316" s="1438">
        <f ca="1">IF(B316&gt;=$J$5,0,CONTADORES!BR328-CONTADORES!BR327)</f>
        <v>0</v>
      </c>
      <c r="BV316" s="1438">
        <f ca="1">IF(B316&gt;=$J$5,0,CONTADORES!BS328-CONTADORES!BS327)</f>
        <v>0</v>
      </c>
      <c r="BW316" s="1438">
        <f t="shared" ca="1" si="139"/>
        <v>0</v>
      </c>
      <c r="BX316" s="1438">
        <f t="shared" ca="1" si="140"/>
        <v>0</v>
      </c>
      <c r="BY316" s="1438">
        <f t="shared" ca="1" si="141"/>
        <v>0</v>
      </c>
      <c r="BZ316" s="1438">
        <f t="shared" ca="1" si="142"/>
        <v>0</v>
      </c>
      <c r="CA316" s="1438">
        <f t="shared" ca="1" si="143"/>
        <v>0</v>
      </c>
      <c r="CB316" s="1438">
        <f t="shared" ca="1" si="144"/>
        <v>0</v>
      </c>
      <c r="CC316" s="1438">
        <f t="shared" ca="1" si="145"/>
        <v>0</v>
      </c>
      <c r="CD316" s="1438">
        <f t="shared" ca="1" si="146"/>
        <v>0</v>
      </c>
      <c r="CE316" s="1438">
        <f ca="1">IF(B316&gt;=$J$5,0,CONTADORES!BS328-CONTADORES!BS327)</f>
        <v>0</v>
      </c>
      <c r="CF316" s="1438">
        <f t="shared" ca="1" si="147"/>
        <v>0</v>
      </c>
      <c r="CG316" s="1438">
        <f t="shared" ca="1" si="148"/>
        <v>0</v>
      </c>
      <c r="CH316" s="1438">
        <f t="shared" ca="1" si="149"/>
        <v>0</v>
      </c>
      <c r="CI316" s="1438">
        <f t="shared" ca="1" si="150"/>
        <v>0</v>
      </c>
      <c r="CJ316" s="1444">
        <f ca="1">IF($B316&gt;=$J$5,0,CONTADORES!$BG328)</f>
        <v>0</v>
      </c>
      <c r="CK316" s="1406">
        <f>CONTADORES!E328</f>
        <v>0</v>
      </c>
      <c r="CL316" s="1406">
        <f>CONTADORES!BX328</f>
        <v>0</v>
      </c>
    </row>
    <row r="317" spans="2:90">
      <c r="B317" s="410">
        <v>45233</v>
      </c>
      <c r="C317" s="204">
        <f t="shared" ca="1" si="126"/>
        <v>0</v>
      </c>
      <c r="D317" s="202">
        <f ca="1">'CALCULO DE GAS'!P142</f>
        <v>0</v>
      </c>
      <c r="E317" s="202">
        <f ca="1">IF(B317&gt;=$J$5,0,(CONTADORES!$AB329-CONTADORES!$AB328)-$H317)</f>
        <v>0</v>
      </c>
      <c r="F317" s="204">
        <f t="shared" ref="F317:F344" ca="1" si="154">IF(H317=0,0,"ERROR")</f>
        <v>0</v>
      </c>
      <c r="G317" s="202">
        <f ca="1">IF(B317&gt;=$J$5,0,CONTADORES!$AD329-CONTADORES!$AD328)</f>
        <v>0</v>
      </c>
      <c r="H317" s="202">
        <f ca="1">IF(G317&gt;0,CONTADORES!$AC329-CONTADORES!$AC328,0)</f>
        <v>0</v>
      </c>
      <c r="I317" s="205">
        <f ca="1">IF(B317&gt;=$J$5,0,CONTADORES!$Z329-CONTADORES!$Z328)</f>
        <v>0</v>
      </c>
      <c r="J317" s="204">
        <f t="shared" ca="1" si="127"/>
        <v>0</v>
      </c>
      <c r="K317" s="202">
        <f ca="1">'CALCULO DE GAS'!Q142</f>
        <v>0</v>
      </c>
      <c r="L317" s="1437">
        <f ca="1">IF(B317&gt;=$J$5,0,(CONTADORES!$W329-CONTADORES!$W328)-$O317)</f>
        <v>0</v>
      </c>
      <c r="M317" s="1437">
        <f t="shared" ca="1" si="151"/>
        <v>0</v>
      </c>
      <c r="N317" s="1437">
        <f ca="1">IF(B317&gt;=$J$5,0,CONTADORES!$Y329-CONTADORES!$Y328)</f>
        <v>0</v>
      </c>
      <c r="O317" s="1437">
        <f ca="1">IF(N317&gt;0,CONTADORES!$X329-CONTADORES!$X328,0)</f>
        <v>0</v>
      </c>
      <c r="P317" s="208">
        <f ca="1">IF(B317&gt;=$J$5,0,CONTADORES!$U329-CONTADORES!$U328)</f>
        <v>0</v>
      </c>
      <c r="Q317" s="208">
        <f ca="1">IF(B317&gt;=$J$5,0,CONTADORES!$B329-CONTADORES!$B328)</f>
        <v>0</v>
      </c>
      <c r="R317" s="202">
        <f t="shared" ca="1" si="128"/>
        <v>0</v>
      </c>
      <c r="S317" s="11">
        <f ca="1">IF(B317&gt;=$J$5,0,CONTADORES!$D329-CONTADORES!$D328)</f>
        <v>0</v>
      </c>
      <c r="T317" s="204">
        <f ca="1">IF(B317&gt;=$J$5,0,CONTADORES!$AZ329-CONTADORES!$AZ328)</f>
        <v>0</v>
      </c>
      <c r="U317" s="202">
        <f t="shared" ca="1" si="152"/>
        <v>0</v>
      </c>
      <c r="V317" s="11">
        <f ca="1">IF(B317&gt;=$J$5,0,CONTADORES!$BB329-CONTADORES!$BB328)</f>
        <v>0</v>
      </c>
      <c r="W317" s="1438">
        <f t="shared" ca="1" si="129"/>
        <v>0</v>
      </c>
      <c r="X317" s="1438">
        <f t="shared" ca="1" si="130"/>
        <v>0</v>
      </c>
      <c r="Y317" s="1439">
        <f t="shared" ca="1" si="131"/>
        <v>0</v>
      </c>
      <c r="Z317" s="1439">
        <f t="shared" ca="1" si="132"/>
        <v>0</v>
      </c>
      <c r="AA317" s="1439">
        <f t="shared" ca="1" si="133"/>
        <v>0</v>
      </c>
      <c r="AB317" s="1439">
        <f t="shared" ca="1" si="134"/>
        <v>0</v>
      </c>
      <c r="AC317" s="1438">
        <f t="shared" ca="1" si="135"/>
        <v>0</v>
      </c>
      <c r="AD317" s="1448">
        <f ca="1">IF(B317&gt;=$J$5,0,CONTADORES!H329-CONTADORES!H328)</f>
        <v>0</v>
      </c>
      <c r="AE317" s="1438">
        <f ca="1">IF(B317&gt;=$J$5,0,CONTADORES!J329-CONTADORES!J328)</f>
        <v>0</v>
      </c>
      <c r="AF317" s="1438">
        <f ca="1">IF(B317&gt;=$J$5,0,CONTADORES!AS329-CONTADORES!AS328)</f>
        <v>0</v>
      </c>
      <c r="AG317" s="1438">
        <f ca="1">IF(B317&gt;=$J$5,0,CONTADORES!AU329-CONTADORES!AU328)</f>
        <v>0</v>
      </c>
      <c r="AH317" s="1439">
        <f ca="1">IF(B317&gt;=$J$5,0,(CONTADORES!AK329-CONTADORES!AK328)+(CONTADORES!K329-CONTADORES!K328))</f>
        <v>0</v>
      </c>
      <c r="AI317" s="1438">
        <f ca="1">IF(B317&gt;=$J$5,0,(CONTADORES!AI329-CONTADORES!AI328)+(CONTADORES!M329-CONTADORES!M328))</f>
        <v>0</v>
      </c>
      <c r="AJ317" s="1438">
        <f ca="1">IF(B317&gt;=$J$5,0,(CONTADORES!AG329-CONTADORES!AG328))</f>
        <v>0</v>
      </c>
      <c r="AK317" s="1438">
        <f ca="1">IF(B317&gt;=$J$5,0,(CONTADORES!O329-CONTADORES!O328))</f>
        <v>0</v>
      </c>
      <c r="AL317" s="1500">
        <f t="shared" ca="1" si="136"/>
        <v>0</v>
      </c>
      <c r="AM317" s="1438">
        <f ca="1">IF(B317&gt;=$J$5,0,(((CONTADORES!F329-CONTADORES!F328)+(CONTADORES!AO329-CONTADORES!AO328))))-BJ317-AF317-AN317-BM317-BP317-BU317-BS317+T317</f>
        <v>0</v>
      </c>
      <c r="AN317" s="1438">
        <f ca="1">IF(B317&gt;=$J$5,0,(CONTADORES!AV329-CONTADORES!AV328)+(CONTADORES!AX329-CONTADORES!AX328)+(CONTADORES!BC329-CONTADORES!BC328))-BS317</f>
        <v>0</v>
      </c>
      <c r="AO317" s="1440">
        <f ca="1">IF(B317&gt;=$J$5,0,(CONTADORES!AA329-CONTADORES!AA328))</f>
        <v>0</v>
      </c>
      <c r="AP317" s="1474">
        <f ca="1">IF(B317&gt;=$J$5,0,(CONTADORES!V329-CONTADORES!V328))</f>
        <v>0</v>
      </c>
      <c r="AQ317" s="1440">
        <f ca="1">IF(B317&gt;=$J$5,0,(CONTADORES!C329-CONTADORES!C328))</f>
        <v>0</v>
      </c>
      <c r="AR317" s="1440">
        <f ca="1">IF(B317&gt;=$J$5,0,(CONTADORES!BA329-CONTADORES!BA328))</f>
        <v>0</v>
      </c>
      <c r="AS317" s="1438">
        <f ca="1">IF(B317&gt;=$J$5,0,CONTADORES!Q329-CONTADORES!Q328)</f>
        <v>0</v>
      </c>
      <c r="AT317" s="1438">
        <f ca="1">IF(B317&gt;=$J$5,0,(CONTADORES!S329-CONTADORES!S328)+(CONTADORES!AE329-CONTADORES!AE328))</f>
        <v>0</v>
      </c>
      <c r="AU317" s="1474">
        <f ca="1">IF(B317&gt;=$J$5,0,(CONTADORES!I329-CONTADORES!I328))</f>
        <v>0</v>
      </c>
      <c r="AV317" s="1440">
        <f ca="1">IF(B317&gt;=$J$5,0,(CONTADORES!AT329-CONTADORES!AT328))</f>
        <v>0</v>
      </c>
      <c r="AW317" s="1474">
        <f ca="1">IF(B317&gt;=$J$5,0,(CONTADORES!L329-CONTADORES!L328)+(CONTADORES!AL329-CONTADORES!AL328))</f>
        <v>0</v>
      </c>
      <c r="AX317" s="1440">
        <f ca="1">IF(B317&gt;=$J$5,0,(CONTADORES!N329-CONTADORES!N328)+(CONTADORES!AJ329-CONTADORES!AJ328))</f>
        <v>0</v>
      </c>
      <c r="AY317" s="1440">
        <f ca="1">IF(B317&gt;=$J$5,0,(CONTADORES!AH329-CONTADORES!AH328))</f>
        <v>0</v>
      </c>
      <c r="AZ317" s="1440">
        <f ca="1">IF(B317&gt;=$J$5,0,(CONTADORES!P329-CONTADORES!P328))</f>
        <v>0</v>
      </c>
      <c r="BA317" s="1450">
        <f t="shared" ca="1" si="137"/>
        <v>0</v>
      </c>
      <c r="BB317" s="1440">
        <f ca="1">IF(B317&gt;=$J$5,0,(((CONTADORES!G329-CONTADORES!G328)+(CONTADORES!AP329-CONTADORES!AP328)+AR317)-(AV317+BC317)))</f>
        <v>0</v>
      </c>
      <c r="BC317" s="1438">
        <f ca="1">IF(B317&gt;=$J$5,0,(CONTADORES!AW329-CONTADORES!AW328)+(CONTADORES!AY329-CONTADORES!AY328)+(CONTADORES!BD329-CONTADORES!BD328))</f>
        <v>0</v>
      </c>
      <c r="BD317" s="1438">
        <f t="shared" ca="1" si="138"/>
        <v>0</v>
      </c>
      <c r="BE317" s="1439">
        <f ca="1">IF($B317&gt;=$J$5,0,CONTADORES!$BE329)</f>
        <v>0</v>
      </c>
      <c r="BF317" s="1438">
        <f ca="1">IF($B317&gt;=$J$5,0,CONTADORES!$BF329)</f>
        <v>0</v>
      </c>
      <c r="BG317" s="1438">
        <f ca="1">IF($B317&gt;=$J$5,0,CONTADORES!$BH329)</f>
        <v>0</v>
      </c>
      <c r="BH317" s="1438">
        <f ca="1">IF(B317&gt;=$J$5,0,(CONTADORES!AQ329-CONTADORES!AQ328))</f>
        <v>0</v>
      </c>
      <c r="BI317" s="1438">
        <f ca="1">IF(B317&gt;=$J$5,0,(CONTADORES!AR329-CONTADORES!AR328))</f>
        <v>0</v>
      </c>
      <c r="BJ317" s="1438">
        <f ca="1">IF(B317&gt;=$J$5,0,CONTADORES!BI329-CONTADORES!BI328)/1000</f>
        <v>0</v>
      </c>
      <c r="BK317" s="1439">
        <f ca="1">IF(B317&gt;=$J$5,0,CONTADORES!BJ329-CONTADORES!BJ328)</f>
        <v>0</v>
      </c>
      <c r="BL317" s="1438">
        <f ca="1">IF(B317&gt;=$J$5,0,CONTADORES!BK329-CONTADORES!BK328)</f>
        <v>0</v>
      </c>
      <c r="BM317" s="1438">
        <f ca="1">IF(B317&gt;=$J$5,0,CONTADORES!BL329-CONTADORES!BL328)/1000</f>
        <v>0</v>
      </c>
      <c r="BN317" s="1438">
        <f ca="1">IF(B317&gt;=$J$5,0,CONTADORES!BM329-CONTADORES!BM328)/1000</f>
        <v>0</v>
      </c>
      <c r="BO317" s="1438">
        <f ca="1">IF(B317&gt;=$J$5,0,CONTADORES!BN329-CONTADORES!BN328)</f>
        <v>0</v>
      </c>
      <c r="BP317" s="1438">
        <f ca="1">IF(B317&gt;=$J$5,0,CONTADORES!BO329-CONTADORES!BO328)/1000</f>
        <v>0</v>
      </c>
      <c r="BQ317" s="1438">
        <f ca="1">IF(B317&gt;=$J$5,0,CONTADORES!BP329-CONTADORES!BP328)/1000</f>
        <v>0</v>
      </c>
      <c r="BR317" s="1438">
        <f ca="1">IF(B317&gt;=$J$5,0,CONTADORES!BQ329-CONTADORES!BQ328)</f>
        <v>0</v>
      </c>
      <c r="BS317" s="1438">
        <f ca="1">IF(B317&gt;=$J$5,0,(CONTADORES!BT329-CONTADORES!BT328)+(CONTADORES!BV329-CONTADORES!BV328))/1000</f>
        <v>0</v>
      </c>
      <c r="BT317" s="1438">
        <f ca="1">IF(B317&gt;=$J$5,0,(CONTADORES!BU329-CONTADORES!BU328)+(CONTADORES!BW329-CONTADORES!BW328))/1000</f>
        <v>0</v>
      </c>
      <c r="BU317" s="1438">
        <f ca="1">IF(B317&gt;=$J$5,0,CONTADORES!BR329-CONTADORES!BR328)</f>
        <v>0</v>
      </c>
      <c r="BV317" s="1438">
        <f ca="1">IF(B317&gt;=$J$5,0,CONTADORES!BS329-CONTADORES!BS328)</f>
        <v>0</v>
      </c>
      <c r="BW317" s="1438">
        <f t="shared" ca="1" si="139"/>
        <v>0</v>
      </c>
      <c r="BX317" s="1438">
        <f t="shared" ca="1" si="140"/>
        <v>0</v>
      </c>
      <c r="BY317" s="1438">
        <f t="shared" ca="1" si="141"/>
        <v>0</v>
      </c>
      <c r="BZ317" s="1438">
        <f t="shared" ca="1" si="142"/>
        <v>0</v>
      </c>
      <c r="CA317" s="1438">
        <f t="shared" ca="1" si="143"/>
        <v>0</v>
      </c>
      <c r="CB317" s="1438">
        <f t="shared" ca="1" si="144"/>
        <v>0</v>
      </c>
      <c r="CC317" s="1438">
        <f t="shared" ca="1" si="145"/>
        <v>0</v>
      </c>
      <c r="CD317" s="1438">
        <f t="shared" ca="1" si="146"/>
        <v>0</v>
      </c>
      <c r="CE317" s="1438">
        <f ca="1">IF(B317&gt;=$J$5,0,CONTADORES!BS329-CONTADORES!BS328)</f>
        <v>0</v>
      </c>
      <c r="CF317" s="1438">
        <f t="shared" ca="1" si="147"/>
        <v>0</v>
      </c>
      <c r="CG317" s="1438">
        <f t="shared" ca="1" si="148"/>
        <v>0</v>
      </c>
      <c r="CH317" s="1438">
        <f t="shared" ca="1" si="149"/>
        <v>0</v>
      </c>
      <c r="CI317" s="1438">
        <f t="shared" ca="1" si="150"/>
        <v>0</v>
      </c>
      <c r="CJ317" s="1444">
        <f ca="1">IF($B317&gt;=$J$5,0,CONTADORES!$BG329)</f>
        <v>0</v>
      </c>
      <c r="CK317" s="1406">
        <f>CONTADORES!E329</f>
        <v>0</v>
      </c>
      <c r="CL317" s="1406">
        <f>CONTADORES!BX329</f>
        <v>0</v>
      </c>
    </row>
    <row r="318" spans="2:90">
      <c r="B318" s="410">
        <v>45234</v>
      </c>
      <c r="C318" s="204">
        <f t="shared" ca="1" si="126"/>
        <v>0</v>
      </c>
      <c r="D318" s="202">
        <f ca="1">'CALCULO DE GAS'!P143</f>
        <v>0</v>
      </c>
      <c r="E318" s="202">
        <f ca="1">IF(B318&gt;=$J$5,0,(CONTADORES!$AB330-CONTADORES!$AB329)-$H318)</f>
        <v>0</v>
      </c>
      <c r="F318" s="204">
        <f t="shared" ca="1" si="154"/>
        <v>0</v>
      </c>
      <c r="G318" s="202">
        <f ca="1">IF(B318&gt;=$J$5,0,CONTADORES!$AD330-CONTADORES!$AD329)</f>
        <v>0</v>
      </c>
      <c r="H318" s="202">
        <f ca="1">IF(G318&gt;0,CONTADORES!$AC330-CONTADORES!$AC329,0)</f>
        <v>0</v>
      </c>
      <c r="I318" s="205">
        <f ca="1">IF(B318&gt;=$J$5,0,CONTADORES!$Z330-CONTADORES!$Z329)</f>
        <v>0</v>
      </c>
      <c r="J318" s="204">
        <f t="shared" ca="1" si="127"/>
        <v>0</v>
      </c>
      <c r="K318" s="202">
        <f ca="1">'CALCULO DE GAS'!Q143</f>
        <v>0</v>
      </c>
      <c r="L318" s="1437">
        <f ca="1">IF(B318&gt;=$J$5,0,(CONTADORES!$W330-CONTADORES!$W329)-$O318)</f>
        <v>0</v>
      </c>
      <c r="M318" s="1437">
        <f t="shared" ca="1" si="151"/>
        <v>0</v>
      </c>
      <c r="N318" s="1437">
        <f ca="1">IF(B318&gt;=$J$5,0,CONTADORES!$Y330-CONTADORES!$Y329)</f>
        <v>0</v>
      </c>
      <c r="O318" s="1437">
        <f ca="1">IF(N318&gt;0,CONTADORES!$X330-CONTADORES!$X329,0)</f>
        <v>0</v>
      </c>
      <c r="P318" s="208">
        <f ca="1">IF(B318&gt;=$J$5,0,CONTADORES!$U330-CONTADORES!$U329)</f>
        <v>0</v>
      </c>
      <c r="Q318" s="208">
        <f ca="1">IF(B318&gt;=$J$5,0,CONTADORES!$B330-CONTADORES!$B329)</f>
        <v>0</v>
      </c>
      <c r="R318" s="202">
        <f t="shared" ca="1" si="128"/>
        <v>0</v>
      </c>
      <c r="S318" s="11">
        <f ca="1">IF(B318&gt;=$J$5,0,CONTADORES!$D330-CONTADORES!$D329)</f>
        <v>0</v>
      </c>
      <c r="T318" s="204">
        <f ca="1">IF(B318&gt;=$J$5,0,CONTADORES!$AZ330-CONTADORES!$AZ329)</f>
        <v>0</v>
      </c>
      <c r="U318" s="202">
        <f t="shared" ca="1" si="152"/>
        <v>0</v>
      </c>
      <c r="V318" s="11">
        <f ca="1">IF(B318&gt;=$J$5,0,CONTADORES!$BB330-CONTADORES!$BB329)</f>
        <v>0</v>
      </c>
      <c r="W318" s="1438">
        <f t="shared" ca="1" si="129"/>
        <v>0</v>
      </c>
      <c r="X318" s="1438">
        <f t="shared" ca="1" si="130"/>
        <v>0</v>
      </c>
      <c r="Y318" s="1439">
        <f t="shared" ca="1" si="131"/>
        <v>0</v>
      </c>
      <c r="Z318" s="1439">
        <f t="shared" ca="1" si="132"/>
        <v>0</v>
      </c>
      <c r="AA318" s="1439">
        <f t="shared" ca="1" si="133"/>
        <v>0</v>
      </c>
      <c r="AB318" s="1439">
        <f t="shared" ca="1" si="134"/>
        <v>0</v>
      </c>
      <c r="AC318" s="1438">
        <f t="shared" ca="1" si="135"/>
        <v>0</v>
      </c>
      <c r="AD318" s="1448">
        <f ca="1">IF(B318&gt;=$J$5,0,CONTADORES!H330-CONTADORES!H329)</f>
        <v>0</v>
      </c>
      <c r="AE318" s="1438">
        <f ca="1">IF(B318&gt;=$J$5,0,CONTADORES!J330-CONTADORES!J329)</f>
        <v>0</v>
      </c>
      <c r="AF318" s="1438">
        <f ca="1">IF(B318&gt;=$J$5,0,CONTADORES!AS330-CONTADORES!AS329)</f>
        <v>0</v>
      </c>
      <c r="AG318" s="1438">
        <f ca="1">IF(B318&gt;=$J$5,0,CONTADORES!AU330-CONTADORES!AU329)</f>
        <v>0</v>
      </c>
      <c r="AH318" s="1439">
        <f ca="1">IF(B318&gt;=$J$5,0,(CONTADORES!AK330-CONTADORES!AK329)+(CONTADORES!K330-CONTADORES!K329))</f>
        <v>0</v>
      </c>
      <c r="AI318" s="1438">
        <f ca="1">IF(B318&gt;=$J$5,0,(CONTADORES!AI330-CONTADORES!AI329)+(CONTADORES!M330-CONTADORES!M329))</f>
        <v>0</v>
      </c>
      <c r="AJ318" s="1438">
        <f ca="1">IF(B318&gt;=$J$5,0,(CONTADORES!AG330-CONTADORES!AG329))</f>
        <v>0</v>
      </c>
      <c r="AK318" s="1438">
        <f ca="1">IF(B318&gt;=$J$5,0,(CONTADORES!O330-CONTADORES!O329))</f>
        <v>0</v>
      </c>
      <c r="AL318" s="1500">
        <f t="shared" ca="1" si="136"/>
        <v>0</v>
      </c>
      <c r="AM318" s="1438">
        <f ca="1">IF(B318&gt;=$J$5,0,(((CONTADORES!F330-CONTADORES!F329)+(CONTADORES!AO330-CONTADORES!AO329))))-BJ318-AF318-AN318-BM318-BP318-BU318-BS318+T318</f>
        <v>0</v>
      </c>
      <c r="AN318" s="1438">
        <f ca="1">IF(B318&gt;=$J$5,0,(CONTADORES!AV330-CONTADORES!AV329)+(CONTADORES!AX330-CONTADORES!AX329)+(CONTADORES!BC330-CONTADORES!BC329))-BS318</f>
        <v>0</v>
      </c>
      <c r="AO318" s="1440">
        <f ca="1">IF(B318&gt;=$J$5,0,(CONTADORES!AA330-CONTADORES!AA329))</f>
        <v>0</v>
      </c>
      <c r="AP318" s="1474">
        <f ca="1">IF(B318&gt;=$J$5,0,(CONTADORES!V330-CONTADORES!V329))</f>
        <v>0</v>
      </c>
      <c r="AQ318" s="1440">
        <f ca="1">IF(B318&gt;=$J$5,0,(CONTADORES!C330-CONTADORES!C329))</f>
        <v>0</v>
      </c>
      <c r="AR318" s="1440">
        <f ca="1">IF(B318&gt;=$J$5,0,(CONTADORES!BA330-CONTADORES!BA329))</f>
        <v>0</v>
      </c>
      <c r="AS318" s="1438">
        <f ca="1">IF(B318&gt;=$J$5,0,CONTADORES!Q330-CONTADORES!Q329)</f>
        <v>0</v>
      </c>
      <c r="AT318" s="1438">
        <f ca="1">IF(B318&gt;=$J$5,0,(CONTADORES!S330-CONTADORES!S329)+(CONTADORES!AE330-CONTADORES!AE329))</f>
        <v>0</v>
      </c>
      <c r="AU318" s="1474">
        <f ca="1">IF(B318&gt;=$J$5,0,(CONTADORES!I330-CONTADORES!I329))</f>
        <v>0</v>
      </c>
      <c r="AV318" s="1440">
        <f ca="1">IF(B318&gt;=$J$5,0,(CONTADORES!AT330-CONTADORES!AT329))</f>
        <v>0</v>
      </c>
      <c r="AW318" s="1474">
        <f ca="1">IF(B318&gt;=$J$5,0,(CONTADORES!L330-CONTADORES!L329)+(CONTADORES!AL330-CONTADORES!AL329))</f>
        <v>0</v>
      </c>
      <c r="AX318" s="1440">
        <f ca="1">IF(B318&gt;=$J$5,0,(CONTADORES!N330-CONTADORES!N329)+(CONTADORES!AJ330-CONTADORES!AJ329))</f>
        <v>0</v>
      </c>
      <c r="AY318" s="1440">
        <f ca="1">IF(B318&gt;=$J$5,0,(CONTADORES!AH330-CONTADORES!AH329))</f>
        <v>0</v>
      </c>
      <c r="AZ318" s="1440">
        <f ca="1">IF(B318&gt;=$J$5,0,(CONTADORES!P330-CONTADORES!P329))</f>
        <v>0</v>
      </c>
      <c r="BA318" s="1450">
        <f t="shared" ca="1" si="137"/>
        <v>0</v>
      </c>
      <c r="BB318" s="1440">
        <f ca="1">IF(B318&gt;=$J$5,0,(((CONTADORES!G330-CONTADORES!G329)+(CONTADORES!AP330-CONTADORES!AP329)+AR318)-(AV318+BC318)))</f>
        <v>0</v>
      </c>
      <c r="BC318" s="1438">
        <f ca="1">IF(B318&gt;=$J$5,0,(CONTADORES!AW330-CONTADORES!AW329)+(CONTADORES!AY330-CONTADORES!AY329)+(CONTADORES!BD330-CONTADORES!BD329))</f>
        <v>0</v>
      </c>
      <c r="BD318" s="1438">
        <f t="shared" ca="1" si="138"/>
        <v>0</v>
      </c>
      <c r="BE318" s="1439">
        <f ca="1">IF($B318&gt;=$J$5,0,CONTADORES!$BE330)</f>
        <v>0</v>
      </c>
      <c r="BF318" s="1438">
        <f ca="1">IF($B318&gt;=$J$5,0,CONTADORES!$BF330)</f>
        <v>0</v>
      </c>
      <c r="BG318" s="1438">
        <f ca="1">IF($B318&gt;=$J$5,0,CONTADORES!$BH330)</f>
        <v>0</v>
      </c>
      <c r="BH318" s="1438">
        <f ca="1">IF(B318&gt;=$J$5,0,(CONTADORES!AQ330-CONTADORES!AQ329))</f>
        <v>0</v>
      </c>
      <c r="BI318" s="1438">
        <f ca="1">IF(B318&gt;=$J$5,0,(CONTADORES!AR330-CONTADORES!AR329))</f>
        <v>0</v>
      </c>
      <c r="BJ318" s="1438">
        <f ca="1">IF(B318&gt;=$J$5,0,CONTADORES!BI330-CONTADORES!BI329)/1000</f>
        <v>0</v>
      </c>
      <c r="BK318" s="1439">
        <f ca="1">IF(B318&gt;=$J$5,0,CONTADORES!BJ330-CONTADORES!BJ329)</f>
        <v>0</v>
      </c>
      <c r="BL318" s="1438">
        <f ca="1">IF(B318&gt;=$J$5,0,CONTADORES!BK330-CONTADORES!BK329)</f>
        <v>0</v>
      </c>
      <c r="BM318" s="1438">
        <f ca="1">IF(B318&gt;=$J$5,0,CONTADORES!BL330-CONTADORES!BL329)/1000</f>
        <v>0</v>
      </c>
      <c r="BN318" s="1438">
        <f ca="1">IF(B318&gt;=$J$5,0,CONTADORES!BM330-CONTADORES!BM329)/1000</f>
        <v>0</v>
      </c>
      <c r="BO318" s="1438">
        <f ca="1">IF(B318&gt;=$J$5,0,CONTADORES!BN330-CONTADORES!BN329)</f>
        <v>0</v>
      </c>
      <c r="BP318" s="1438">
        <f ca="1">IF(B318&gt;=$J$5,0,CONTADORES!BO330-CONTADORES!BO329)/1000</f>
        <v>0</v>
      </c>
      <c r="BQ318" s="1438">
        <f ca="1">IF(B318&gt;=$J$5,0,CONTADORES!BP330-CONTADORES!BP329)/1000</f>
        <v>0</v>
      </c>
      <c r="BR318" s="1438">
        <f ca="1">IF(B318&gt;=$J$5,0,CONTADORES!BQ330-CONTADORES!BQ329)</f>
        <v>0</v>
      </c>
      <c r="BS318" s="1438">
        <f ca="1">IF(B318&gt;=$J$5,0,(CONTADORES!BT330-CONTADORES!BT329)+(CONTADORES!BV330-CONTADORES!BV329))/1000</f>
        <v>0</v>
      </c>
      <c r="BT318" s="1438">
        <f ca="1">IF(B318&gt;=$J$5,0,(CONTADORES!BU330-CONTADORES!BU329)+(CONTADORES!BW330-CONTADORES!BW329))/1000</f>
        <v>0</v>
      </c>
      <c r="BU318" s="1438">
        <f ca="1">IF(B318&gt;=$J$5,0,CONTADORES!BR330-CONTADORES!BR329)</f>
        <v>0</v>
      </c>
      <c r="BV318" s="1438">
        <f ca="1">IF(B318&gt;=$J$5,0,CONTADORES!BS330-CONTADORES!BS329)</f>
        <v>0</v>
      </c>
      <c r="BW318" s="1438">
        <f t="shared" ca="1" si="139"/>
        <v>0</v>
      </c>
      <c r="BX318" s="1438">
        <f t="shared" ca="1" si="140"/>
        <v>0</v>
      </c>
      <c r="BY318" s="1438">
        <f t="shared" ca="1" si="141"/>
        <v>0</v>
      </c>
      <c r="BZ318" s="1438">
        <f t="shared" ca="1" si="142"/>
        <v>0</v>
      </c>
      <c r="CA318" s="1438">
        <f t="shared" ca="1" si="143"/>
        <v>0</v>
      </c>
      <c r="CB318" s="1438">
        <f t="shared" ca="1" si="144"/>
        <v>0</v>
      </c>
      <c r="CC318" s="1438">
        <f t="shared" ca="1" si="145"/>
        <v>0</v>
      </c>
      <c r="CD318" s="1438">
        <f t="shared" ca="1" si="146"/>
        <v>0</v>
      </c>
      <c r="CE318" s="1438">
        <f ca="1">IF(B318&gt;=$J$5,0,CONTADORES!BS330-CONTADORES!BS329)</f>
        <v>0</v>
      </c>
      <c r="CF318" s="1438">
        <f t="shared" ca="1" si="147"/>
        <v>0</v>
      </c>
      <c r="CG318" s="1438">
        <f t="shared" ca="1" si="148"/>
        <v>0</v>
      </c>
      <c r="CH318" s="1438">
        <f t="shared" ca="1" si="149"/>
        <v>0</v>
      </c>
      <c r="CI318" s="1438">
        <f t="shared" ca="1" si="150"/>
        <v>0</v>
      </c>
      <c r="CJ318" s="1444">
        <f ca="1">IF($B318&gt;=$J$5,0,CONTADORES!$BG330)</f>
        <v>0</v>
      </c>
      <c r="CK318" s="1406">
        <f>CONTADORES!E330</f>
        <v>0</v>
      </c>
      <c r="CL318" s="1406">
        <f>CONTADORES!BX330</f>
        <v>0</v>
      </c>
    </row>
    <row r="319" spans="2:90">
      <c r="B319" s="410">
        <v>45235</v>
      </c>
      <c r="C319" s="204">
        <f t="shared" ca="1" si="126"/>
        <v>0</v>
      </c>
      <c r="D319" s="202">
        <f ca="1">'CALCULO DE GAS'!P144</f>
        <v>0</v>
      </c>
      <c r="E319" s="202">
        <f ca="1">IF(B319&gt;=$J$5,0,(CONTADORES!$AB331-CONTADORES!$AB330)-$H319)</f>
        <v>0</v>
      </c>
      <c r="F319" s="204">
        <f t="shared" ca="1" si="154"/>
        <v>0</v>
      </c>
      <c r="G319" s="202">
        <f ca="1">IF(B319&gt;=$J$5,0,CONTADORES!$AD331-CONTADORES!$AD330)</f>
        <v>0</v>
      </c>
      <c r="H319" s="202">
        <f ca="1">IF(G319&gt;0,CONTADORES!$AC331-CONTADORES!$AC330,0)</f>
        <v>0</v>
      </c>
      <c r="I319" s="205">
        <f ca="1">IF(B319&gt;=$J$5,0,CONTADORES!$Z331-CONTADORES!$Z330)</f>
        <v>0</v>
      </c>
      <c r="J319" s="204">
        <f t="shared" ca="1" si="127"/>
        <v>0</v>
      </c>
      <c r="K319" s="202">
        <f ca="1">'CALCULO DE GAS'!Q144</f>
        <v>0</v>
      </c>
      <c r="L319" s="1437">
        <f ca="1">IF(B319&gt;=$J$5,0,(CONTADORES!$W331-CONTADORES!$W330)-$O319)</f>
        <v>0</v>
      </c>
      <c r="M319" s="1437">
        <f t="shared" ca="1" si="151"/>
        <v>0</v>
      </c>
      <c r="N319" s="1437">
        <f ca="1">IF(B319&gt;=$J$5,0,CONTADORES!$Y331-CONTADORES!$Y330)</f>
        <v>0</v>
      </c>
      <c r="O319" s="1437">
        <f ca="1">IF(N319&gt;0,CONTADORES!$X331-CONTADORES!$X330,0)</f>
        <v>0</v>
      </c>
      <c r="P319" s="208">
        <f ca="1">IF(B319&gt;=$J$5,0,CONTADORES!$U331-CONTADORES!$U330)</f>
        <v>0</v>
      </c>
      <c r="Q319" s="208">
        <f ca="1">IF(B319&gt;=$J$5,0,CONTADORES!$B331-CONTADORES!$B330)</f>
        <v>0</v>
      </c>
      <c r="R319" s="202">
        <f t="shared" ca="1" si="128"/>
        <v>0</v>
      </c>
      <c r="S319" s="11">
        <f ca="1">IF(B319&gt;=$J$5,0,CONTADORES!$D331-CONTADORES!$D330)</f>
        <v>0</v>
      </c>
      <c r="T319" s="204">
        <f ca="1">IF(B319&gt;=$J$5,0,CONTADORES!$AZ331-CONTADORES!$AZ330)</f>
        <v>0</v>
      </c>
      <c r="U319" s="202">
        <f t="shared" ca="1" si="152"/>
        <v>0</v>
      </c>
      <c r="V319" s="11">
        <f ca="1">IF(B319&gt;=$J$5,0,CONTADORES!$BB331-CONTADORES!$BB330)</f>
        <v>0</v>
      </c>
      <c r="W319" s="1438">
        <f t="shared" ca="1" si="129"/>
        <v>0</v>
      </c>
      <c r="X319" s="1438">
        <f t="shared" ca="1" si="130"/>
        <v>0</v>
      </c>
      <c r="Y319" s="1439">
        <f t="shared" ca="1" si="131"/>
        <v>0</v>
      </c>
      <c r="Z319" s="1439">
        <f t="shared" ca="1" si="132"/>
        <v>0</v>
      </c>
      <c r="AA319" s="1439">
        <f t="shared" ca="1" si="133"/>
        <v>0</v>
      </c>
      <c r="AB319" s="1439">
        <f t="shared" ca="1" si="134"/>
        <v>0</v>
      </c>
      <c r="AC319" s="1438">
        <f t="shared" ca="1" si="135"/>
        <v>0</v>
      </c>
      <c r="AD319" s="1448">
        <f ca="1">IF(B319&gt;=$J$5,0,CONTADORES!H331-CONTADORES!H330)</f>
        <v>0</v>
      </c>
      <c r="AE319" s="1438">
        <f ca="1">IF(B319&gt;=$J$5,0,CONTADORES!J331-CONTADORES!J330)</f>
        <v>0</v>
      </c>
      <c r="AF319" s="1438">
        <f ca="1">IF(B319&gt;=$J$5,0,CONTADORES!AS331-CONTADORES!AS330)</f>
        <v>0</v>
      </c>
      <c r="AG319" s="1438">
        <f ca="1">IF(B319&gt;=$J$5,0,CONTADORES!AU331-CONTADORES!AU330)</f>
        <v>0</v>
      </c>
      <c r="AH319" s="1439">
        <f ca="1">IF(B319&gt;=$J$5,0,(CONTADORES!AK331-CONTADORES!AK330)+(CONTADORES!K331-CONTADORES!K330))</f>
        <v>0</v>
      </c>
      <c r="AI319" s="1438">
        <f ca="1">IF(B319&gt;=$J$5,0,(CONTADORES!AI331-CONTADORES!AI330)+(CONTADORES!M331-CONTADORES!M330))</f>
        <v>0</v>
      </c>
      <c r="AJ319" s="1438">
        <f ca="1">IF(B319&gt;=$J$5,0,(CONTADORES!AG331-CONTADORES!AG330))</f>
        <v>0</v>
      </c>
      <c r="AK319" s="1438">
        <f ca="1">IF(B319&gt;=$J$5,0,(CONTADORES!O331-CONTADORES!O330))</f>
        <v>0</v>
      </c>
      <c r="AL319" s="1500">
        <f t="shared" ca="1" si="136"/>
        <v>0</v>
      </c>
      <c r="AM319" s="1438">
        <f ca="1">IF(B319&gt;=$J$5,0,(((CONTADORES!F331-CONTADORES!F330)+(CONTADORES!AO331-CONTADORES!AO330))))-BJ319-AF319-AN319-BM319-BP319-BU319-BS319+T319</f>
        <v>0</v>
      </c>
      <c r="AN319" s="1438">
        <f ca="1">IF(B319&gt;=$J$5,0,(CONTADORES!AV331-CONTADORES!AV330)+(CONTADORES!AX331-CONTADORES!AX330)+(CONTADORES!BC331-CONTADORES!BC330))-BS319</f>
        <v>0</v>
      </c>
      <c r="AO319" s="1440">
        <f ca="1">IF(B319&gt;=$J$5,0,(CONTADORES!AA331-CONTADORES!AA330))</f>
        <v>0</v>
      </c>
      <c r="AP319" s="1474">
        <f ca="1">IF(B319&gt;=$J$5,0,(CONTADORES!V331-CONTADORES!V330))</f>
        <v>0</v>
      </c>
      <c r="AQ319" s="1440">
        <f ca="1">IF(B319&gt;=$J$5,0,(CONTADORES!C331-CONTADORES!C330))</f>
        <v>0</v>
      </c>
      <c r="AR319" s="1440">
        <f ca="1">IF(B319&gt;=$J$5,0,(CONTADORES!BA331-CONTADORES!BA330))</f>
        <v>0</v>
      </c>
      <c r="AS319" s="1438">
        <f ca="1">IF(B319&gt;=$J$5,0,CONTADORES!Q331-CONTADORES!Q330)</f>
        <v>0</v>
      </c>
      <c r="AT319" s="1438">
        <f ca="1">IF(B319&gt;=$J$5,0,(CONTADORES!S331-CONTADORES!S330)+(CONTADORES!AE331-CONTADORES!AE330))</f>
        <v>0</v>
      </c>
      <c r="AU319" s="1474">
        <f ca="1">IF(B319&gt;=$J$5,0,(CONTADORES!I331-CONTADORES!I330))</f>
        <v>0</v>
      </c>
      <c r="AV319" s="1440">
        <f ca="1">IF(B319&gt;=$J$5,0,(CONTADORES!AT331-CONTADORES!AT330))</f>
        <v>0</v>
      </c>
      <c r="AW319" s="1474">
        <f ca="1">IF(B319&gt;=$J$5,0,(CONTADORES!L331-CONTADORES!L330)+(CONTADORES!AL331-CONTADORES!AL330))</f>
        <v>0</v>
      </c>
      <c r="AX319" s="1440">
        <f ca="1">IF(B319&gt;=$J$5,0,(CONTADORES!N331-CONTADORES!N330)+(CONTADORES!AJ331-CONTADORES!AJ330))</f>
        <v>0</v>
      </c>
      <c r="AY319" s="1440">
        <f ca="1">IF(B319&gt;=$J$5,0,(CONTADORES!AH331-CONTADORES!AH330))</f>
        <v>0</v>
      </c>
      <c r="AZ319" s="1440">
        <f ca="1">IF(B319&gt;=$J$5,0,(CONTADORES!P331-CONTADORES!P330))</f>
        <v>0</v>
      </c>
      <c r="BA319" s="1450">
        <f t="shared" ca="1" si="137"/>
        <v>0</v>
      </c>
      <c r="BB319" s="1440">
        <f ca="1">IF(B319&gt;=$J$5,0,(((CONTADORES!G331-CONTADORES!G330)+(CONTADORES!AP331-CONTADORES!AP330)+AR319)-(AV319+BC319)))</f>
        <v>0</v>
      </c>
      <c r="BC319" s="1438">
        <f ca="1">IF(B319&gt;=$J$5,0,(CONTADORES!AW331-CONTADORES!AW330)+(CONTADORES!AY331-CONTADORES!AY330)+(CONTADORES!BD331-CONTADORES!BD330))</f>
        <v>0</v>
      </c>
      <c r="BD319" s="1438">
        <f t="shared" ca="1" si="138"/>
        <v>0</v>
      </c>
      <c r="BE319" s="1439">
        <f ca="1">IF($B319&gt;=$J$5,0,CONTADORES!$BE331)</f>
        <v>0</v>
      </c>
      <c r="BF319" s="1438">
        <f ca="1">IF($B319&gt;=$J$5,0,CONTADORES!$BF331)</f>
        <v>0</v>
      </c>
      <c r="BG319" s="1438">
        <f ca="1">IF($B319&gt;=$J$5,0,CONTADORES!$BH331)</f>
        <v>0</v>
      </c>
      <c r="BH319" s="1438">
        <f ca="1">IF(B319&gt;=$J$5,0,(CONTADORES!AQ331-CONTADORES!AQ330))</f>
        <v>0</v>
      </c>
      <c r="BI319" s="1438">
        <f ca="1">IF(B319&gt;=$J$5,0,(CONTADORES!AR331-CONTADORES!AR330))</f>
        <v>0</v>
      </c>
      <c r="BJ319" s="1438">
        <f ca="1">IF(B319&gt;=$J$5,0,CONTADORES!BI331-CONTADORES!BI330)/1000</f>
        <v>0</v>
      </c>
      <c r="BK319" s="1439">
        <f ca="1">IF(B319&gt;=$J$5,0,CONTADORES!BJ331-CONTADORES!BJ330)</f>
        <v>0</v>
      </c>
      <c r="BL319" s="1438">
        <f ca="1">IF(B319&gt;=$J$5,0,CONTADORES!BK331-CONTADORES!BK330)</f>
        <v>0</v>
      </c>
      <c r="BM319" s="1438">
        <f ca="1">IF(B319&gt;=$J$5,0,CONTADORES!BL331-CONTADORES!BL330)/1000</f>
        <v>0</v>
      </c>
      <c r="BN319" s="1438">
        <f ca="1">IF(B319&gt;=$J$5,0,CONTADORES!BM331-CONTADORES!BM330)/1000</f>
        <v>0</v>
      </c>
      <c r="BO319" s="1438">
        <f ca="1">IF(B319&gt;=$J$5,0,CONTADORES!BN331-CONTADORES!BN330)</f>
        <v>0</v>
      </c>
      <c r="BP319" s="1438">
        <f ca="1">IF(B319&gt;=$J$5,0,CONTADORES!BO331-CONTADORES!BO330)/1000</f>
        <v>0</v>
      </c>
      <c r="BQ319" s="1438">
        <f ca="1">IF(B319&gt;=$J$5,0,CONTADORES!BP331-CONTADORES!BP330)/1000</f>
        <v>0</v>
      </c>
      <c r="BR319" s="1438">
        <f ca="1">IF(B319&gt;=$J$5,0,CONTADORES!BQ331-CONTADORES!BQ330)</f>
        <v>0</v>
      </c>
      <c r="BS319" s="1438">
        <f ca="1">IF(B319&gt;=$J$5,0,(CONTADORES!BT331-CONTADORES!BT330)+(CONTADORES!BV331-CONTADORES!BV330))/1000</f>
        <v>0</v>
      </c>
      <c r="BT319" s="1438">
        <f ca="1">IF(B319&gt;=$J$5,0,(CONTADORES!BU331-CONTADORES!BU330)+(CONTADORES!BW331-CONTADORES!BW330))/1000</f>
        <v>0</v>
      </c>
      <c r="BU319" s="1438">
        <f ca="1">IF(B319&gt;=$J$5,0,CONTADORES!BR331-CONTADORES!BR330)</f>
        <v>0</v>
      </c>
      <c r="BV319" s="1438">
        <f ca="1">IF(B319&gt;=$J$5,0,CONTADORES!BS331-CONTADORES!BS330)</f>
        <v>0</v>
      </c>
      <c r="BW319" s="1438">
        <f t="shared" ca="1" si="139"/>
        <v>0</v>
      </c>
      <c r="BX319" s="1438">
        <f t="shared" ca="1" si="140"/>
        <v>0</v>
      </c>
      <c r="BY319" s="1438">
        <f t="shared" ca="1" si="141"/>
        <v>0</v>
      </c>
      <c r="BZ319" s="1438">
        <f t="shared" ca="1" si="142"/>
        <v>0</v>
      </c>
      <c r="CA319" s="1438">
        <f t="shared" ca="1" si="143"/>
        <v>0</v>
      </c>
      <c r="CB319" s="1438">
        <f t="shared" ca="1" si="144"/>
        <v>0</v>
      </c>
      <c r="CC319" s="1438">
        <f t="shared" ca="1" si="145"/>
        <v>0</v>
      </c>
      <c r="CD319" s="1438">
        <f t="shared" ca="1" si="146"/>
        <v>0</v>
      </c>
      <c r="CE319" s="1438">
        <f ca="1">IF(B319&gt;=$J$5,0,CONTADORES!BS331-CONTADORES!BS330)</f>
        <v>0</v>
      </c>
      <c r="CF319" s="1438">
        <f t="shared" ca="1" si="147"/>
        <v>0</v>
      </c>
      <c r="CG319" s="1438">
        <f t="shared" ca="1" si="148"/>
        <v>0</v>
      </c>
      <c r="CH319" s="1438">
        <f t="shared" ca="1" si="149"/>
        <v>0</v>
      </c>
      <c r="CI319" s="1438">
        <f t="shared" ca="1" si="150"/>
        <v>0</v>
      </c>
      <c r="CJ319" s="1444">
        <f ca="1">IF($B319&gt;=$J$5,0,CONTADORES!$BG331)</f>
        <v>0</v>
      </c>
      <c r="CK319" s="1406">
        <f>CONTADORES!E331</f>
        <v>0</v>
      </c>
      <c r="CL319" s="1406">
        <f>CONTADORES!BX331</f>
        <v>0</v>
      </c>
    </row>
    <row r="320" spans="2:90">
      <c r="B320" s="410">
        <v>45236</v>
      </c>
      <c r="C320" s="204">
        <f t="shared" ca="1" si="126"/>
        <v>0</v>
      </c>
      <c r="D320" s="202">
        <f ca="1">'CALCULO DE GAS'!P145</f>
        <v>0</v>
      </c>
      <c r="E320" s="202">
        <f ca="1">IF(B320&gt;=$J$5,0,(CONTADORES!$AB332-CONTADORES!$AB331)-$H320)</f>
        <v>0</v>
      </c>
      <c r="F320" s="204">
        <f t="shared" ca="1" si="154"/>
        <v>0</v>
      </c>
      <c r="G320" s="202">
        <f ca="1">IF(B320&gt;=$J$5,0,CONTADORES!$AD332-CONTADORES!$AD331)</f>
        <v>0</v>
      </c>
      <c r="H320" s="202">
        <f ca="1">IF(G320&gt;0,CONTADORES!$AC332-CONTADORES!$AC331,0)</f>
        <v>0</v>
      </c>
      <c r="I320" s="205">
        <f ca="1">IF(B320&gt;=$J$5,0,CONTADORES!$Z332-CONTADORES!$Z331)</f>
        <v>0</v>
      </c>
      <c r="J320" s="204">
        <f t="shared" ca="1" si="127"/>
        <v>0</v>
      </c>
      <c r="K320" s="202">
        <f ca="1">'CALCULO DE GAS'!Q145</f>
        <v>0</v>
      </c>
      <c r="L320" s="1437">
        <f ca="1">IF(B320&gt;=$J$5,0,(CONTADORES!$W332-CONTADORES!$W331)-$O320)</f>
        <v>0</v>
      </c>
      <c r="M320" s="1437">
        <f t="shared" ca="1" si="151"/>
        <v>0</v>
      </c>
      <c r="N320" s="1437">
        <f ca="1">IF(B320&gt;=$J$5,0,CONTADORES!$Y332-CONTADORES!$Y331)</f>
        <v>0</v>
      </c>
      <c r="O320" s="1437">
        <f ca="1">IF(N320&gt;0,CONTADORES!$X332-CONTADORES!$X331,0)</f>
        <v>0</v>
      </c>
      <c r="P320" s="208">
        <f ca="1">IF(B320&gt;=$J$5,0,CONTADORES!$U332-CONTADORES!$U331)</f>
        <v>0</v>
      </c>
      <c r="Q320" s="208">
        <f ca="1">IF(B320&gt;=$J$5,0,CONTADORES!$B332-CONTADORES!$B331)</f>
        <v>0</v>
      </c>
      <c r="R320" s="202">
        <f t="shared" ca="1" si="128"/>
        <v>0</v>
      </c>
      <c r="S320" s="11">
        <f ca="1">IF(B320&gt;=$J$5,0,CONTADORES!$D332-CONTADORES!$D331)</f>
        <v>0</v>
      </c>
      <c r="T320" s="204">
        <f ca="1">IF(B320&gt;=$J$5,0,CONTADORES!$AZ332-CONTADORES!$AZ331)</f>
        <v>0</v>
      </c>
      <c r="U320" s="202">
        <f t="shared" ca="1" si="152"/>
        <v>0</v>
      </c>
      <c r="V320" s="11">
        <f ca="1">IF(B320&gt;=$J$5,0,CONTADORES!$BB332-CONTADORES!$BB331)</f>
        <v>0</v>
      </c>
      <c r="W320" s="1438">
        <f t="shared" ca="1" si="129"/>
        <v>0</v>
      </c>
      <c r="X320" s="1438">
        <f t="shared" ca="1" si="130"/>
        <v>0</v>
      </c>
      <c r="Y320" s="1439">
        <f t="shared" ca="1" si="131"/>
        <v>0</v>
      </c>
      <c r="Z320" s="1439">
        <f t="shared" ca="1" si="132"/>
        <v>0</v>
      </c>
      <c r="AA320" s="1439">
        <f t="shared" ca="1" si="133"/>
        <v>0</v>
      </c>
      <c r="AB320" s="1439">
        <f t="shared" ca="1" si="134"/>
        <v>0</v>
      </c>
      <c r="AC320" s="1438">
        <f t="shared" ca="1" si="135"/>
        <v>0</v>
      </c>
      <c r="AD320" s="1448">
        <f ca="1">IF(B320&gt;=$J$5,0,CONTADORES!H332-CONTADORES!H331)</f>
        <v>0</v>
      </c>
      <c r="AE320" s="1438">
        <f ca="1">IF(B320&gt;=$J$5,0,CONTADORES!J332-CONTADORES!J331)</f>
        <v>0</v>
      </c>
      <c r="AF320" s="1438">
        <f ca="1">IF(B320&gt;=$J$5,0,CONTADORES!AS332-CONTADORES!AS331)</f>
        <v>0</v>
      </c>
      <c r="AG320" s="1438">
        <f ca="1">IF(B320&gt;=$J$5,0,CONTADORES!AU332-CONTADORES!AU331)</f>
        <v>0</v>
      </c>
      <c r="AH320" s="1439">
        <f ca="1">IF(B320&gt;=$J$5,0,(CONTADORES!AK332-CONTADORES!AK331)+(CONTADORES!K332-CONTADORES!K331))</f>
        <v>0</v>
      </c>
      <c r="AI320" s="1438">
        <f ca="1">IF(B320&gt;=$J$5,0,(CONTADORES!AI332-CONTADORES!AI331)+(CONTADORES!M332-CONTADORES!M331))</f>
        <v>0</v>
      </c>
      <c r="AJ320" s="1438">
        <f ca="1">IF(B320&gt;=$J$5,0,(CONTADORES!AG332-CONTADORES!AG331))</f>
        <v>0</v>
      </c>
      <c r="AK320" s="1438">
        <f ca="1">IF(B320&gt;=$J$5,0,(CONTADORES!O332-CONTADORES!O331))</f>
        <v>0</v>
      </c>
      <c r="AL320" s="1500">
        <f t="shared" ca="1" si="136"/>
        <v>0</v>
      </c>
      <c r="AM320" s="1438">
        <f ca="1">IF(B320&gt;=$J$5,0,(((CONTADORES!F332-CONTADORES!F331)+(CONTADORES!AO332-CONTADORES!AO331))))-BJ320-AF320-AN320-BM320-BP320-BU320-BS320+T320</f>
        <v>0</v>
      </c>
      <c r="AN320" s="1438">
        <f ca="1">IF(B320&gt;=$J$5,0,(CONTADORES!AV332-CONTADORES!AV331)+(CONTADORES!AX332-CONTADORES!AX331)+(CONTADORES!BC332-CONTADORES!BC331))-BS320</f>
        <v>0</v>
      </c>
      <c r="AO320" s="1440">
        <f ca="1">IF(B320&gt;=$J$5,0,(CONTADORES!AA332-CONTADORES!AA331))</f>
        <v>0</v>
      </c>
      <c r="AP320" s="1474">
        <f ca="1">IF(B320&gt;=$J$5,0,(CONTADORES!V332-CONTADORES!V331))</f>
        <v>0</v>
      </c>
      <c r="AQ320" s="1440">
        <f ca="1">IF(B320&gt;=$J$5,0,(CONTADORES!C332-CONTADORES!C331))</f>
        <v>0</v>
      </c>
      <c r="AR320" s="1440">
        <f ca="1">IF(B320&gt;=$J$5,0,(CONTADORES!BA332-CONTADORES!BA331))</f>
        <v>0</v>
      </c>
      <c r="AS320" s="1438">
        <f ca="1">IF(B320&gt;=$J$5,0,CONTADORES!Q332-CONTADORES!Q331)</f>
        <v>0</v>
      </c>
      <c r="AT320" s="1438">
        <f ca="1">IF(B320&gt;=$J$5,0,(CONTADORES!S332-CONTADORES!S331)+(CONTADORES!AE332-CONTADORES!AE331))</f>
        <v>0</v>
      </c>
      <c r="AU320" s="1474">
        <f ca="1">IF(B320&gt;=$J$5,0,(CONTADORES!I332-CONTADORES!I331))</f>
        <v>0</v>
      </c>
      <c r="AV320" s="1440">
        <f ca="1">IF(B320&gt;=$J$5,0,(CONTADORES!AT332-CONTADORES!AT331))</f>
        <v>0</v>
      </c>
      <c r="AW320" s="1474">
        <f ca="1">IF(B320&gt;=$J$5,0,(CONTADORES!L332-CONTADORES!L331)+(CONTADORES!AL332-CONTADORES!AL331))</f>
        <v>0</v>
      </c>
      <c r="AX320" s="1440">
        <f ca="1">IF(B320&gt;=$J$5,0,(CONTADORES!N332-CONTADORES!N331)+(CONTADORES!AJ332-CONTADORES!AJ331))</f>
        <v>0</v>
      </c>
      <c r="AY320" s="1440">
        <f ca="1">IF(B320&gt;=$J$5,0,(CONTADORES!AH332-CONTADORES!AH331))</f>
        <v>0</v>
      </c>
      <c r="AZ320" s="1440">
        <f ca="1">IF(B320&gt;=$J$5,0,(CONTADORES!P332-CONTADORES!P331))</f>
        <v>0</v>
      </c>
      <c r="BA320" s="1450">
        <f t="shared" ca="1" si="137"/>
        <v>0</v>
      </c>
      <c r="BB320" s="1440">
        <f ca="1">IF(B320&gt;=$J$5,0,(((CONTADORES!G332-CONTADORES!G331)+(CONTADORES!AP332-CONTADORES!AP331)+AR320)-(AV320+BC320)))</f>
        <v>0</v>
      </c>
      <c r="BC320" s="1438">
        <f ca="1">IF(B320&gt;=$J$5,0,(CONTADORES!AW332-CONTADORES!AW331)+(CONTADORES!AY332-CONTADORES!AY331)+(CONTADORES!BD332-CONTADORES!BD331))</f>
        <v>0</v>
      </c>
      <c r="BD320" s="1438">
        <f t="shared" ca="1" si="138"/>
        <v>0</v>
      </c>
      <c r="BE320" s="1439">
        <f ca="1">IF($B320&gt;=$J$5,0,CONTADORES!$BE332)</f>
        <v>0</v>
      </c>
      <c r="BF320" s="1438">
        <f ca="1">IF($B320&gt;=$J$5,0,CONTADORES!$BF332)</f>
        <v>0</v>
      </c>
      <c r="BG320" s="1438">
        <f ca="1">IF($B320&gt;=$J$5,0,CONTADORES!$BH332)</f>
        <v>0</v>
      </c>
      <c r="BH320" s="1438">
        <f ca="1">IF(B320&gt;=$J$5,0,(CONTADORES!AQ332-CONTADORES!AQ331))</f>
        <v>0</v>
      </c>
      <c r="BI320" s="1438">
        <f ca="1">IF(B320&gt;=$J$5,0,(CONTADORES!AR332-CONTADORES!AR331))</f>
        <v>0</v>
      </c>
      <c r="BJ320" s="1438">
        <f ca="1">IF(B320&gt;=$J$5,0,CONTADORES!BI332-CONTADORES!BI331)/1000</f>
        <v>0</v>
      </c>
      <c r="BK320" s="1439">
        <f ca="1">IF(B320&gt;=$J$5,0,CONTADORES!BJ332-CONTADORES!BJ331)</f>
        <v>0</v>
      </c>
      <c r="BL320" s="1438">
        <f ca="1">IF(B320&gt;=$J$5,0,CONTADORES!BK332-CONTADORES!BK331)</f>
        <v>0</v>
      </c>
      <c r="BM320" s="1438">
        <f ca="1">IF(B320&gt;=$J$5,0,CONTADORES!BL332-CONTADORES!BL331)/1000</f>
        <v>0</v>
      </c>
      <c r="BN320" s="1438">
        <f ca="1">IF(B320&gt;=$J$5,0,CONTADORES!BM332-CONTADORES!BM331)/1000</f>
        <v>0</v>
      </c>
      <c r="BO320" s="1438">
        <f ca="1">IF(B320&gt;=$J$5,0,CONTADORES!BN332-CONTADORES!BN331)</f>
        <v>0</v>
      </c>
      <c r="BP320" s="1438">
        <f ca="1">IF(B320&gt;=$J$5,0,CONTADORES!BO332-CONTADORES!BO331)/1000</f>
        <v>0</v>
      </c>
      <c r="BQ320" s="1438">
        <f ca="1">IF(B320&gt;=$J$5,0,CONTADORES!BP332-CONTADORES!BP331)/1000</f>
        <v>0</v>
      </c>
      <c r="BR320" s="1438">
        <f ca="1">IF(B320&gt;=$J$5,0,CONTADORES!BQ332-CONTADORES!BQ331)</f>
        <v>0</v>
      </c>
      <c r="BS320" s="1438">
        <f ca="1">IF(B320&gt;=$J$5,0,(CONTADORES!BT332-CONTADORES!BT331)+(CONTADORES!BV332-CONTADORES!BV331))/1000</f>
        <v>0</v>
      </c>
      <c r="BT320" s="1438">
        <f ca="1">IF(B320&gt;=$J$5,0,(CONTADORES!BU332-CONTADORES!BU331)+(CONTADORES!BW332-CONTADORES!BW331))/1000</f>
        <v>0</v>
      </c>
      <c r="BU320" s="1438">
        <f ca="1">IF(B320&gt;=$J$5,0,CONTADORES!BR332-CONTADORES!BR331)</f>
        <v>0</v>
      </c>
      <c r="BV320" s="1438">
        <f ca="1">IF(B320&gt;=$J$5,0,CONTADORES!BS332-CONTADORES!BS331)</f>
        <v>0</v>
      </c>
      <c r="BW320" s="1438">
        <f t="shared" ca="1" si="139"/>
        <v>0</v>
      </c>
      <c r="BX320" s="1438">
        <f t="shared" ca="1" si="140"/>
        <v>0</v>
      </c>
      <c r="BY320" s="1438">
        <f t="shared" ca="1" si="141"/>
        <v>0</v>
      </c>
      <c r="BZ320" s="1438">
        <f t="shared" ca="1" si="142"/>
        <v>0</v>
      </c>
      <c r="CA320" s="1438">
        <f t="shared" ca="1" si="143"/>
        <v>0</v>
      </c>
      <c r="CB320" s="1438">
        <f t="shared" ca="1" si="144"/>
        <v>0</v>
      </c>
      <c r="CC320" s="1438">
        <f t="shared" ca="1" si="145"/>
        <v>0</v>
      </c>
      <c r="CD320" s="1438">
        <f t="shared" ca="1" si="146"/>
        <v>0</v>
      </c>
      <c r="CE320" s="1438">
        <f ca="1">IF(B320&gt;=$J$5,0,CONTADORES!BS332-CONTADORES!BS331)</f>
        <v>0</v>
      </c>
      <c r="CF320" s="1438">
        <f t="shared" ca="1" si="147"/>
        <v>0</v>
      </c>
      <c r="CG320" s="1438">
        <f t="shared" ca="1" si="148"/>
        <v>0</v>
      </c>
      <c r="CH320" s="1438">
        <f t="shared" ca="1" si="149"/>
        <v>0</v>
      </c>
      <c r="CI320" s="1438">
        <f t="shared" ca="1" si="150"/>
        <v>0</v>
      </c>
      <c r="CJ320" s="1444">
        <f ca="1">IF($B320&gt;=$J$5,0,CONTADORES!$BG332)</f>
        <v>0</v>
      </c>
      <c r="CK320" s="1406">
        <f>CONTADORES!E332</f>
        <v>0</v>
      </c>
      <c r="CL320" s="1406">
        <f>CONTADORES!BX332</f>
        <v>0</v>
      </c>
    </row>
    <row r="321" spans="2:90">
      <c r="B321" s="410">
        <v>45237</v>
      </c>
      <c r="C321" s="204">
        <f t="shared" ca="1" si="126"/>
        <v>0</v>
      </c>
      <c r="D321" s="202">
        <f ca="1">'CALCULO DE GAS'!P146</f>
        <v>0</v>
      </c>
      <c r="E321" s="202">
        <f ca="1">IF(B321&gt;=$J$5,0,(CONTADORES!$AB333-CONTADORES!$AB332)-$H321)</f>
        <v>0</v>
      </c>
      <c r="F321" s="204">
        <f t="shared" ca="1" si="154"/>
        <v>0</v>
      </c>
      <c r="G321" s="202">
        <f ca="1">IF(B321&gt;=$J$5,0,CONTADORES!$AD333-CONTADORES!$AD332)</f>
        <v>0</v>
      </c>
      <c r="H321" s="202">
        <f ca="1">IF(G321&gt;0,CONTADORES!$AC333-CONTADORES!$AC332,0)</f>
        <v>0</v>
      </c>
      <c r="I321" s="205">
        <f ca="1">IF(B321&gt;=$J$5,0,CONTADORES!$Z333-CONTADORES!$Z332)</f>
        <v>0</v>
      </c>
      <c r="J321" s="204">
        <f t="shared" ca="1" si="127"/>
        <v>0</v>
      </c>
      <c r="K321" s="202">
        <f ca="1">'CALCULO DE GAS'!Q146</f>
        <v>0</v>
      </c>
      <c r="L321" s="1437">
        <f ca="1">IF(B321&gt;=$J$5,0,(CONTADORES!$W333-CONTADORES!$W332)-$O321)</f>
        <v>0</v>
      </c>
      <c r="M321" s="1437">
        <f t="shared" ca="1" si="151"/>
        <v>0</v>
      </c>
      <c r="N321" s="1437">
        <f ca="1">IF(B321&gt;=$J$5,0,CONTADORES!$Y333-CONTADORES!$Y332)</f>
        <v>0</v>
      </c>
      <c r="O321" s="1437">
        <f ca="1">IF(N321&gt;0,CONTADORES!$X333-CONTADORES!$X332,0)</f>
        <v>0</v>
      </c>
      <c r="P321" s="208">
        <f ca="1">IF(B321&gt;=$J$5,0,CONTADORES!$U333-CONTADORES!$U332)</f>
        <v>0</v>
      </c>
      <c r="Q321" s="208">
        <f ca="1">IF(B321&gt;=$J$5,0,CONTADORES!$B333-CONTADORES!$B332)</f>
        <v>0</v>
      </c>
      <c r="R321" s="202">
        <f t="shared" ca="1" si="128"/>
        <v>0</v>
      </c>
      <c r="S321" s="11">
        <f ca="1">IF(B321&gt;=$J$5,0,CONTADORES!$D333-CONTADORES!$D332)</f>
        <v>0</v>
      </c>
      <c r="T321" s="204">
        <f ca="1">IF(B321&gt;=$J$5,0,CONTADORES!$AZ333-CONTADORES!$AZ332)</f>
        <v>0</v>
      </c>
      <c r="U321" s="202">
        <f t="shared" ca="1" si="152"/>
        <v>0</v>
      </c>
      <c r="V321" s="11">
        <f ca="1">IF(B321&gt;=$J$5,0,CONTADORES!$BB333-CONTADORES!$BB332)</f>
        <v>0</v>
      </c>
      <c r="W321" s="1438">
        <f t="shared" ca="1" si="129"/>
        <v>0</v>
      </c>
      <c r="X321" s="1438">
        <f t="shared" ca="1" si="130"/>
        <v>0</v>
      </c>
      <c r="Y321" s="1439">
        <f t="shared" ca="1" si="131"/>
        <v>0</v>
      </c>
      <c r="Z321" s="1439">
        <f t="shared" ca="1" si="132"/>
        <v>0</v>
      </c>
      <c r="AA321" s="1439">
        <f t="shared" ca="1" si="133"/>
        <v>0</v>
      </c>
      <c r="AB321" s="1439">
        <f t="shared" ca="1" si="134"/>
        <v>0</v>
      </c>
      <c r="AC321" s="1438">
        <f t="shared" ca="1" si="135"/>
        <v>0</v>
      </c>
      <c r="AD321" s="1448">
        <f ca="1">IF(B321&gt;=$J$5,0,CONTADORES!H333-CONTADORES!H332)</f>
        <v>0</v>
      </c>
      <c r="AE321" s="1438">
        <f ca="1">IF(B321&gt;=$J$5,0,CONTADORES!J333-CONTADORES!J332)</f>
        <v>0</v>
      </c>
      <c r="AF321" s="1438">
        <f ca="1">IF(B321&gt;=$J$5,0,CONTADORES!AS333-CONTADORES!AS332)</f>
        <v>0</v>
      </c>
      <c r="AG321" s="1438">
        <f ca="1">IF(B321&gt;=$J$5,0,CONTADORES!AU333-CONTADORES!AU332)</f>
        <v>0</v>
      </c>
      <c r="AH321" s="1439">
        <f ca="1">IF(B321&gt;=$J$5,0,(CONTADORES!AK333-CONTADORES!AK332)+(CONTADORES!K333-CONTADORES!K332))</f>
        <v>0</v>
      </c>
      <c r="AI321" s="1438">
        <f ca="1">IF(B321&gt;=$J$5,0,(CONTADORES!AI333-CONTADORES!AI332)+(CONTADORES!M333-CONTADORES!M332))</f>
        <v>0</v>
      </c>
      <c r="AJ321" s="1438">
        <f ca="1">IF(B321&gt;=$J$5,0,(CONTADORES!AG333-CONTADORES!AG332))</f>
        <v>0</v>
      </c>
      <c r="AK321" s="1438">
        <f ca="1">IF(B321&gt;=$J$5,0,(CONTADORES!O333-CONTADORES!O332))</f>
        <v>0</v>
      </c>
      <c r="AL321" s="1500">
        <f t="shared" ca="1" si="136"/>
        <v>0</v>
      </c>
      <c r="AM321" s="1438">
        <f ca="1">IF(B321&gt;=$J$5,0,(((CONTADORES!F333-CONTADORES!F332)+(CONTADORES!AO333-CONTADORES!AO332))))-BJ321-AF321-AN321-BM321-BP321-BU321-BS321+T321</f>
        <v>0</v>
      </c>
      <c r="AN321" s="1438">
        <f ca="1">IF(B321&gt;=$J$5,0,(CONTADORES!AV333-CONTADORES!AV332)+(CONTADORES!AX333-CONTADORES!AX332)+(CONTADORES!BC333-CONTADORES!BC332))-BS321</f>
        <v>0</v>
      </c>
      <c r="AO321" s="1440">
        <f ca="1">IF(B321&gt;=$J$5,0,(CONTADORES!AA333-CONTADORES!AA332))</f>
        <v>0</v>
      </c>
      <c r="AP321" s="1474">
        <f ca="1">IF(B321&gt;=$J$5,0,(CONTADORES!V333-CONTADORES!V332))</f>
        <v>0</v>
      </c>
      <c r="AQ321" s="1440">
        <f ca="1">IF(B321&gt;=$J$5,0,(CONTADORES!C333-CONTADORES!C332))</f>
        <v>0</v>
      </c>
      <c r="AR321" s="1440">
        <f ca="1">IF(B321&gt;=$J$5,0,(CONTADORES!BA333-CONTADORES!BA332))</f>
        <v>0</v>
      </c>
      <c r="AS321" s="1438">
        <f ca="1">IF(B321&gt;=$J$5,0,CONTADORES!Q333-CONTADORES!Q332)</f>
        <v>0</v>
      </c>
      <c r="AT321" s="1438">
        <f ca="1">IF(B321&gt;=$J$5,0,(CONTADORES!S333-CONTADORES!S332)+(CONTADORES!AE333-CONTADORES!AE332))</f>
        <v>0</v>
      </c>
      <c r="AU321" s="1474">
        <f ca="1">IF(B321&gt;=$J$5,0,(CONTADORES!I333-CONTADORES!I332))</f>
        <v>0</v>
      </c>
      <c r="AV321" s="1440">
        <f ca="1">IF(B321&gt;=$J$5,0,(CONTADORES!AT333-CONTADORES!AT332))</f>
        <v>0</v>
      </c>
      <c r="AW321" s="1474">
        <f ca="1">IF(B321&gt;=$J$5,0,(CONTADORES!L333-CONTADORES!L332)+(CONTADORES!AL333-CONTADORES!AL332))</f>
        <v>0</v>
      </c>
      <c r="AX321" s="1440">
        <f ca="1">IF(B321&gt;=$J$5,0,(CONTADORES!N333-CONTADORES!N332)+(CONTADORES!AJ333-CONTADORES!AJ332))</f>
        <v>0</v>
      </c>
      <c r="AY321" s="1440">
        <f ca="1">IF(B321&gt;=$J$5,0,(CONTADORES!AH333-CONTADORES!AH332))</f>
        <v>0</v>
      </c>
      <c r="AZ321" s="1440">
        <f ca="1">IF(B321&gt;=$J$5,0,(CONTADORES!P333-CONTADORES!P332))</f>
        <v>0</v>
      </c>
      <c r="BA321" s="1450">
        <f t="shared" ca="1" si="137"/>
        <v>0</v>
      </c>
      <c r="BB321" s="1440">
        <f ca="1">IF(B321&gt;=$J$5,0,(((CONTADORES!G333-CONTADORES!G332)+(CONTADORES!AP333-CONTADORES!AP332)+AR321)-(AV321+BC321)))</f>
        <v>0</v>
      </c>
      <c r="BC321" s="1438">
        <f ca="1">IF(B321&gt;=$J$5,0,(CONTADORES!AW333-CONTADORES!AW332)+(CONTADORES!AY333-CONTADORES!AY332)+(CONTADORES!BD333-CONTADORES!BD332))</f>
        <v>0</v>
      </c>
      <c r="BD321" s="1438">
        <f t="shared" ca="1" si="138"/>
        <v>0</v>
      </c>
      <c r="BE321" s="1439">
        <f ca="1">IF($B321&gt;=$J$5,0,CONTADORES!$BE333)</f>
        <v>0</v>
      </c>
      <c r="BF321" s="1438">
        <f ca="1">IF($B321&gt;=$J$5,0,CONTADORES!$BF333)</f>
        <v>0</v>
      </c>
      <c r="BG321" s="1438">
        <f ca="1">IF($B321&gt;=$J$5,0,CONTADORES!$BH333)</f>
        <v>0</v>
      </c>
      <c r="BH321" s="1438">
        <f ca="1">IF(B321&gt;=$J$5,0,(CONTADORES!AQ333-CONTADORES!AQ332))</f>
        <v>0</v>
      </c>
      <c r="BI321" s="1438">
        <f ca="1">IF(B321&gt;=$J$5,0,(CONTADORES!AR333-CONTADORES!AR332))</f>
        <v>0</v>
      </c>
      <c r="BJ321" s="1438">
        <f ca="1">IF(B321&gt;=$J$5,0,CONTADORES!BI333-CONTADORES!BI332)/1000</f>
        <v>0</v>
      </c>
      <c r="BK321" s="1439">
        <f ca="1">IF(B321&gt;=$J$5,0,CONTADORES!BJ333-CONTADORES!BJ332)</f>
        <v>0</v>
      </c>
      <c r="BL321" s="1438">
        <f ca="1">IF(B321&gt;=$J$5,0,CONTADORES!BK333-CONTADORES!BK332)</f>
        <v>0</v>
      </c>
      <c r="BM321" s="1438">
        <f ca="1">IF(B321&gt;=$J$5,0,CONTADORES!BL333-CONTADORES!BL332)/1000</f>
        <v>0</v>
      </c>
      <c r="BN321" s="1438">
        <f ca="1">IF(B321&gt;=$J$5,0,CONTADORES!BM333-CONTADORES!BM332)/1000</f>
        <v>0</v>
      </c>
      <c r="BO321" s="1438">
        <f ca="1">IF(B321&gt;=$J$5,0,CONTADORES!BN333-CONTADORES!BN332)</f>
        <v>0</v>
      </c>
      <c r="BP321" s="1438">
        <f ca="1">IF(B321&gt;=$J$5,0,CONTADORES!BO333-CONTADORES!BO332)/1000</f>
        <v>0</v>
      </c>
      <c r="BQ321" s="1438">
        <f ca="1">IF(B321&gt;=$J$5,0,CONTADORES!BP333-CONTADORES!BP332)/1000</f>
        <v>0</v>
      </c>
      <c r="BR321" s="1438">
        <f ca="1">IF(B321&gt;=$J$5,0,CONTADORES!BQ333-CONTADORES!BQ332)</f>
        <v>0</v>
      </c>
      <c r="BS321" s="1438">
        <f ca="1">IF(B321&gt;=$J$5,0,(CONTADORES!BT333-CONTADORES!BT332)+(CONTADORES!BV333-CONTADORES!BV332))/1000</f>
        <v>0</v>
      </c>
      <c r="BT321" s="1438">
        <f ca="1">IF(B321&gt;=$J$5,0,(CONTADORES!BU333-CONTADORES!BU332)+(CONTADORES!BW333-CONTADORES!BW332))/1000</f>
        <v>0</v>
      </c>
      <c r="BU321" s="1438">
        <f ca="1">IF(B321&gt;=$J$5,0,CONTADORES!BR333-CONTADORES!BR332)</f>
        <v>0</v>
      </c>
      <c r="BV321" s="1438">
        <f ca="1">IF(B321&gt;=$J$5,0,CONTADORES!BS333-CONTADORES!BS332)</f>
        <v>0</v>
      </c>
      <c r="BW321" s="1438">
        <f t="shared" ca="1" si="139"/>
        <v>0</v>
      </c>
      <c r="BX321" s="1438">
        <f t="shared" ca="1" si="140"/>
        <v>0</v>
      </c>
      <c r="BY321" s="1438">
        <f t="shared" ca="1" si="141"/>
        <v>0</v>
      </c>
      <c r="BZ321" s="1438">
        <f t="shared" ca="1" si="142"/>
        <v>0</v>
      </c>
      <c r="CA321" s="1438">
        <f t="shared" ca="1" si="143"/>
        <v>0</v>
      </c>
      <c r="CB321" s="1438">
        <f t="shared" ca="1" si="144"/>
        <v>0</v>
      </c>
      <c r="CC321" s="1438">
        <f t="shared" ca="1" si="145"/>
        <v>0</v>
      </c>
      <c r="CD321" s="1438">
        <f t="shared" ca="1" si="146"/>
        <v>0</v>
      </c>
      <c r="CE321" s="1438">
        <f ca="1">IF(B321&gt;=$J$5,0,CONTADORES!BS333-CONTADORES!BS332)</f>
        <v>0</v>
      </c>
      <c r="CF321" s="1438">
        <f t="shared" ca="1" si="147"/>
        <v>0</v>
      </c>
      <c r="CG321" s="1438">
        <f t="shared" ca="1" si="148"/>
        <v>0</v>
      </c>
      <c r="CH321" s="1438">
        <f t="shared" ca="1" si="149"/>
        <v>0</v>
      </c>
      <c r="CI321" s="1438">
        <f t="shared" ca="1" si="150"/>
        <v>0</v>
      </c>
      <c r="CJ321" s="1444">
        <f ca="1">IF($B321&gt;=$J$5,0,CONTADORES!$BG333)</f>
        <v>0</v>
      </c>
      <c r="CK321" s="1406">
        <f>CONTADORES!E333</f>
        <v>0</v>
      </c>
      <c r="CL321" s="1406">
        <f>CONTADORES!BX333</f>
        <v>0</v>
      </c>
    </row>
    <row r="322" spans="2:90">
      <c r="B322" s="410">
        <v>45238</v>
      </c>
      <c r="C322" s="204">
        <f t="shared" ca="1" si="126"/>
        <v>0</v>
      </c>
      <c r="D322" s="202">
        <f ca="1">'CALCULO DE GAS'!P147</f>
        <v>0</v>
      </c>
      <c r="E322" s="202">
        <f ca="1">IF(B322&gt;=$J$5,0,(CONTADORES!$AB334-CONTADORES!$AB333)-$H322)</f>
        <v>0</v>
      </c>
      <c r="F322" s="204">
        <f t="shared" ca="1" si="154"/>
        <v>0</v>
      </c>
      <c r="G322" s="202">
        <f ca="1">IF(B322&gt;=$J$5,0,CONTADORES!$AD334-CONTADORES!$AD333)</f>
        <v>0</v>
      </c>
      <c r="H322" s="202">
        <f ca="1">IF(G322&gt;0,CONTADORES!$AC334-CONTADORES!$AC333,0)</f>
        <v>0</v>
      </c>
      <c r="I322" s="205">
        <f ca="1">IF(B322&gt;=$J$5,0,CONTADORES!$Z334-CONTADORES!$Z333)</f>
        <v>0</v>
      </c>
      <c r="J322" s="204">
        <f t="shared" ca="1" si="127"/>
        <v>0</v>
      </c>
      <c r="K322" s="202">
        <f ca="1">'CALCULO DE GAS'!Q147</f>
        <v>0</v>
      </c>
      <c r="L322" s="1437">
        <f ca="1">IF(B322&gt;=$J$5,0,(CONTADORES!$W334-CONTADORES!$W333)-$O322)</f>
        <v>0</v>
      </c>
      <c r="M322" s="1437">
        <f t="shared" ref="M322:M329" ca="1" si="155">IF(O322=0,0,"ERROR")</f>
        <v>0</v>
      </c>
      <c r="N322" s="1437">
        <f ca="1">IF(B322&gt;=$J$5,0,CONTADORES!$Y334-CONTADORES!$Y333)</f>
        <v>0</v>
      </c>
      <c r="O322" s="1437">
        <f ca="1">IF(N322&gt;0,CONTADORES!$X334-CONTADORES!$X333,0)</f>
        <v>0</v>
      </c>
      <c r="P322" s="208">
        <f ca="1">IF(B322&gt;=$J$5,0,CONTADORES!$U334-CONTADORES!$U333)</f>
        <v>0</v>
      </c>
      <c r="Q322" s="208">
        <f ca="1">IF(B322&gt;=$J$5,0,CONTADORES!$B334-CONTADORES!$B333)</f>
        <v>0</v>
      </c>
      <c r="R322" s="202">
        <f t="shared" ca="1" si="128"/>
        <v>0</v>
      </c>
      <c r="S322" s="11">
        <f ca="1">IF(B322&gt;=$J$5,0,CONTADORES!$D334-CONTADORES!$D333)</f>
        <v>0</v>
      </c>
      <c r="T322" s="204">
        <f ca="1">IF(B322&gt;=$J$5,0,CONTADORES!$AZ334-CONTADORES!$AZ333)</f>
        <v>0</v>
      </c>
      <c r="U322" s="202">
        <f t="shared" ca="1" si="152"/>
        <v>0</v>
      </c>
      <c r="V322" s="11">
        <f ca="1">IF(B322&gt;=$J$5,0,CONTADORES!$BB334-CONTADORES!$BB333)</f>
        <v>0</v>
      </c>
      <c r="W322" s="1438">
        <f t="shared" ca="1" si="129"/>
        <v>0</v>
      </c>
      <c r="X322" s="1438">
        <f t="shared" ca="1" si="130"/>
        <v>0</v>
      </c>
      <c r="Y322" s="1439">
        <f t="shared" ca="1" si="131"/>
        <v>0</v>
      </c>
      <c r="Z322" s="1439">
        <f t="shared" ca="1" si="132"/>
        <v>0</v>
      </c>
      <c r="AA322" s="1439">
        <f t="shared" ca="1" si="133"/>
        <v>0</v>
      </c>
      <c r="AB322" s="1439">
        <f t="shared" ca="1" si="134"/>
        <v>0</v>
      </c>
      <c r="AC322" s="1438">
        <f t="shared" ca="1" si="135"/>
        <v>0</v>
      </c>
      <c r="AD322" s="1448">
        <f ca="1">IF(B322&gt;=$J$5,0,CONTADORES!H334-CONTADORES!H333)</f>
        <v>0</v>
      </c>
      <c r="AE322" s="1438">
        <f ca="1">IF(B322&gt;=$J$5,0,CONTADORES!J334-CONTADORES!J333)</f>
        <v>0</v>
      </c>
      <c r="AF322" s="1438">
        <f ca="1">IF(B322&gt;=$J$5,0,CONTADORES!AS334-CONTADORES!AS333)</f>
        <v>0</v>
      </c>
      <c r="AG322" s="1438">
        <f ca="1">IF(B322&gt;=$J$5,0,CONTADORES!AU334-CONTADORES!AU333)</f>
        <v>0</v>
      </c>
      <c r="AH322" s="1439">
        <f ca="1">IF(B322&gt;=$J$5,0,(CONTADORES!AK334-CONTADORES!AK333)+(CONTADORES!K334-CONTADORES!K333))</f>
        <v>0</v>
      </c>
      <c r="AI322" s="1438">
        <f ca="1">IF(B322&gt;=$J$5,0,(CONTADORES!AI334-CONTADORES!AI333)+(CONTADORES!M334-CONTADORES!M333))</f>
        <v>0</v>
      </c>
      <c r="AJ322" s="1438">
        <f ca="1">IF(B322&gt;=$J$5,0,(CONTADORES!AG334-CONTADORES!AG333))</f>
        <v>0</v>
      </c>
      <c r="AK322" s="1438">
        <f ca="1">IF(B322&gt;=$J$5,0,(CONTADORES!O334-CONTADORES!O333))</f>
        <v>0</v>
      </c>
      <c r="AL322" s="1500">
        <f t="shared" ca="1" si="136"/>
        <v>0</v>
      </c>
      <c r="AM322" s="1438">
        <f ca="1">IF(B322&gt;=$J$5,0,(((CONTADORES!F334-CONTADORES!F333)+(CONTADORES!AO334-CONTADORES!AO333))))-BJ322-AF322-AN322-BM322-BP322-BU322-BS322+T322</f>
        <v>0</v>
      </c>
      <c r="AN322" s="1438">
        <f ca="1">IF(B322&gt;=$J$5,0,(CONTADORES!AV334-CONTADORES!AV333)+(CONTADORES!AX334-CONTADORES!AX333)+(CONTADORES!BC334-CONTADORES!BC333))-BS322</f>
        <v>0</v>
      </c>
      <c r="AO322" s="1440">
        <f ca="1">IF(B322&gt;=$J$5,0,(CONTADORES!AA334-CONTADORES!AA333))</f>
        <v>0</v>
      </c>
      <c r="AP322" s="1474">
        <f ca="1">IF(B322&gt;=$J$5,0,(CONTADORES!V334-CONTADORES!V333))</f>
        <v>0</v>
      </c>
      <c r="AQ322" s="1440">
        <f ca="1">IF(B322&gt;=$J$5,0,(CONTADORES!C334-CONTADORES!C333))</f>
        <v>0</v>
      </c>
      <c r="AR322" s="1440">
        <f ca="1">IF(B322&gt;=$J$5,0,(CONTADORES!BA334-CONTADORES!BA333))</f>
        <v>0</v>
      </c>
      <c r="AS322" s="1438">
        <f ca="1">IF(B322&gt;=$J$5,0,CONTADORES!Q334-CONTADORES!Q333)</f>
        <v>0</v>
      </c>
      <c r="AT322" s="1438">
        <f ca="1">IF(B322&gt;=$J$5,0,(CONTADORES!S334-CONTADORES!S333)+(CONTADORES!AE334-CONTADORES!AE333))</f>
        <v>0</v>
      </c>
      <c r="AU322" s="1474">
        <f ca="1">IF(B322&gt;=$J$5,0,(CONTADORES!I334-CONTADORES!I333))</f>
        <v>0</v>
      </c>
      <c r="AV322" s="1440">
        <f ca="1">IF(B322&gt;=$J$5,0,(CONTADORES!AT334-CONTADORES!AT333))</f>
        <v>0</v>
      </c>
      <c r="AW322" s="1474">
        <f ca="1">IF(B322&gt;=$J$5,0,(CONTADORES!L334-CONTADORES!L333)+(CONTADORES!AL334-CONTADORES!AL333))</f>
        <v>0</v>
      </c>
      <c r="AX322" s="1440">
        <f ca="1">IF(B322&gt;=$J$5,0,(CONTADORES!N334-CONTADORES!N333)+(CONTADORES!AJ334-CONTADORES!AJ333))</f>
        <v>0</v>
      </c>
      <c r="AY322" s="1440">
        <f ca="1">IF(B322&gt;=$J$5,0,(CONTADORES!AH334-CONTADORES!AH333))</f>
        <v>0</v>
      </c>
      <c r="AZ322" s="1440">
        <f ca="1">IF(B322&gt;=$J$5,0,(CONTADORES!P334-CONTADORES!P333))</f>
        <v>0</v>
      </c>
      <c r="BA322" s="1450">
        <f t="shared" ca="1" si="137"/>
        <v>0</v>
      </c>
      <c r="BB322" s="1440">
        <f ca="1">IF(B322&gt;=$J$5,0,(((CONTADORES!G334-CONTADORES!G333)+(CONTADORES!AP334-CONTADORES!AP333)+AR322)-(AV322+BC322)))</f>
        <v>0</v>
      </c>
      <c r="BC322" s="1438">
        <f ca="1">IF(B322&gt;=$J$5,0,(CONTADORES!AW334-CONTADORES!AW333)+(CONTADORES!AY334-CONTADORES!AY333)+(CONTADORES!BD334-CONTADORES!BD333))</f>
        <v>0</v>
      </c>
      <c r="BD322" s="1438">
        <f t="shared" ca="1" si="138"/>
        <v>0</v>
      </c>
      <c r="BE322" s="1439">
        <f ca="1">IF($B322&gt;=$J$5,0,CONTADORES!$BE334)</f>
        <v>0</v>
      </c>
      <c r="BF322" s="1438">
        <f ca="1">IF($B322&gt;=$J$5,0,CONTADORES!$BF334)</f>
        <v>0</v>
      </c>
      <c r="BG322" s="1438">
        <f ca="1">IF($B322&gt;=$J$5,0,CONTADORES!$BH334)</f>
        <v>0</v>
      </c>
      <c r="BH322" s="1438">
        <f ca="1">IF(B322&gt;=$J$5,0,(CONTADORES!AQ334-CONTADORES!AQ333))</f>
        <v>0</v>
      </c>
      <c r="BI322" s="1438">
        <f ca="1">IF(B322&gt;=$J$5,0,(CONTADORES!AR334-CONTADORES!AR333))</f>
        <v>0</v>
      </c>
      <c r="BJ322" s="1438">
        <f ca="1">IF(B322&gt;=$J$5,0,CONTADORES!BI334-CONTADORES!BI333)/1000</f>
        <v>0</v>
      </c>
      <c r="BK322" s="1439">
        <f ca="1">IF(B322&gt;=$J$5,0,CONTADORES!BJ334-CONTADORES!BJ333)</f>
        <v>0</v>
      </c>
      <c r="BL322" s="1438">
        <f ca="1">IF(B322&gt;=$J$5,0,CONTADORES!BK334-CONTADORES!BK333)</f>
        <v>0</v>
      </c>
      <c r="BM322" s="1438">
        <f ca="1">IF(B322&gt;=$J$5,0,CONTADORES!BL334-CONTADORES!BL333)/1000</f>
        <v>0</v>
      </c>
      <c r="BN322" s="1438">
        <f ca="1">IF(B322&gt;=$J$5,0,CONTADORES!BM334-CONTADORES!BM333)/1000</f>
        <v>0</v>
      </c>
      <c r="BO322" s="1438">
        <f ca="1">IF(B322&gt;=$J$5,0,CONTADORES!BN334-CONTADORES!BN333)</f>
        <v>0</v>
      </c>
      <c r="BP322" s="1438">
        <f ca="1">IF(B322&gt;=$J$5,0,CONTADORES!BO334-CONTADORES!BO333)/1000</f>
        <v>0</v>
      </c>
      <c r="BQ322" s="1438">
        <f ca="1">IF(B322&gt;=$J$5,0,CONTADORES!BP334-CONTADORES!BP333)/1000</f>
        <v>0</v>
      </c>
      <c r="BR322" s="1438">
        <f ca="1">IF(B322&gt;=$J$5,0,CONTADORES!BQ334-CONTADORES!BQ333)</f>
        <v>0</v>
      </c>
      <c r="BS322" s="1438">
        <f ca="1">IF(B322&gt;=$J$5,0,(CONTADORES!BT334-CONTADORES!BT333)+(CONTADORES!BV334-CONTADORES!BV333))/1000</f>
        <v>0</v>
      </c>
      <c r="BT322" s="1438">
        <f ca="1">IF(B322&gt;=$J$5,0,(CONTADORES!BU334-CONTADORES!BU333)+(CONTADORES!BW334-CONTADORES!BW333))/1000</f>
        <v>0</v>
      </c>
      <c r="BU322" s="1438">
        <f ca="1">IF(B322&gt;=$J$5,0,CONTADORES!BR334-CONTADORES!BR333)</f>
        <v>0</v>
      </c>
      <c r="BV322" s="1438">
        <f ca="1">IF(B322&gt;=$J$5,0,CONTADORES!BS334-CONTADORES!BS333)</f>
        <v>0</v>
      </c>
      <c r="BW322" s="1438">
        <f t="shared" ca="1" si="139"/>
        <v>0</v>
      </c>
      <c r="BX322" s="1438">
        <f t="shared" ca="1" si="140"/>
        <v>0</v>
      </c>
      <c r="BY322" s="1438">
        <f t="shared" ca="1" si="141"/>
        <v>0</v>
      </c>
      <c r="BZ322" s="1438">
        <f t="shared" ca="1" si="142"/>
        <v>0</v>
      </c>
      <c r="CA322" s="1438">
        <f t="shared" ca="1" si="143"/>
        <v>0</v>
      </c>
      <c r="CB322" s="1438">
        <f t="shared" ca="1" si="144"/>
        <v>0</v>
      </c>
      <c r="CC322" s="1438">
        <f t="shared" ca="1" si="145"/>
        <v>0</v>
      </c>
      <c r="CD322" s="1438">
        <f t="shared" ca="1" si="146"/>
        <v>0</v>
      </c>
      <c r="CE322" s="1438">
        <f ca="1">IF(B322&gt;=$J$5,0,CONTADORES!BS334-CONTADORES!BS333)</f>
        <v>0</v>
      </c>
      <c r="CF322" s="1438">
        <f t="shared" ca="1" si="147"/>
        <v>0</v>
      </c>
      <c r="CG322" s="1438">
        <f t="shared" ca="1" si="148"/>
        <v>0</v>
      </c>
      <c r="CH322" s="1438">
        <f t="shared" ca="1" si="149"/>
        <v>0</v>
      </c>
      <c r="CI322" s="1438">
        <f t="shared" ca="1" si="150"/>
        <v>0</v>
      </c>
      <c r="CJ322" s="1444">
        <f ca="1">IF($B322&gt;=$J$5,0,CONTADORES!$BG334)</f>
        <v>0</v>
      </c>
      <c r="CK322" s="1406">
        <f>CONTADORES!E334</f>
        <v>0</v>
      </c>
      <c r="CL322" s="1406">
        <f>CONTADORES!BX334</f>
        <v>0</v>
      </c>
    </row>
    <row r="323" spans="2:90">
      <c r="B323" s="410">
        <v>45239</v>
      </c>
      <c r="C323" s="204">
        <f t="shared" ca="1" si="126"/>
        <v>0</v>
      </c>
      <c r="D323" s="202">
        <f ca="1">'CALCULO DE GAS'!P148</f>
        <v>0</v>
      </c>
      <c r="E323" s="202">
        <f ca="1">IF(B323&gt;=$J$5,0,(CONTADORES!$AB335-CONTADORES!$AB334)-$H323)</f>
        <v>0</v>
      </c>
      <c r="F323" s="204">
        <f t="shared" ca="1" si="154"/>
        <v>0</v>
      </c>
      <c r="G323" s="202">
        <f ca="1">IF(B323&gt;=$J$5,0,CONTADORES!$AD335-CONTADORES!$AD334)</f>
        <v>0</v>
      </c>
      <c r="H323" s="202">
        <f ca="1">IF(G323&gt;0,CONTADORES!$AC335-CONTADORES!$AC334,0)</f>
        <v>0</v>
      </c>
      <c r="I323" s="205">
        <f ca="1">IF(B323&gt;=$J$5,0,CONTADORES!$Z335-CONTADORES!$Z334)</f>
        <v>0</v>
      </c>
      <c r="J323" s="204">
        <f t="shared" ca="1" si="127"/>
        <v>0</v>
      </c>
      <c r="K323" s="202">
        <f ca="1">'CALCULO DE GAS'!Q148</f>
        <v>0</v>
      </c>
      <c r="L323" s="1437">
        <f ca="1">IF(B323&gt;=$J$5,0,(CONTADORES!$W335-CONTADORES!$W334)-$O323)</f>
        <v>0</v>
      </c>
      <c r="M323" s="1437">
        <f t="shared" ca="1" si="155"/>
        <v>0</v>
      </c>
      <c r="N323" s="1437">
        <f ca="1">IF(B323&gt;=$J$5,0,CONTADORES!$Y335-CONTADORES!$Y334)</f>
        <v>0</v>
      </c>
      <c r="O323" s="1437">
        <f ca="1">IF(N323&gt;0,CONTADORES!$X335-CONTADORES!$X334,0)</f>
        <v>0</v>
      </c>
      <c r="P323" s="208">
        <f ca="1">IF(B323&gt;=$J$5,0,CONTADORES!$U335-CONTADORES!$U334)</f>
        <v>0</v>
      </c>
      <c r="Q323" s="208">
        <f ca="1">IF(B323&gt;=$J$5,0,CONTADORES!$B335-CONTADORES!$B334)</f>
        <v>0</v>
      </c>
      <c r="R323" s="202">
        <f t="shared" ca="1" si="128"/>
        <v>0</v>
      </c>
      <c r="S323" s="11">
        <f ca="1">IF(B323&gt;=$J$5,0,CONTADORES!$D335-CONTADORES!$D334)</f>
        <v>0</v>
      </c>
      <c r="T323" s="204">
        <f ca="1">IF(B323&gt;=$J$5,0,CONTADORES!$AZ335-CONTADORES!$AZ334)</f>
        <v>0</v>
      </c>
      <c r="U323" s="202">
        <f t="shared" ca="1" si="152"/>
        <v>0</v>
      </c>
      <c r="V323" s="11">
        <f ca="1">IF(B323&gt;=$J$5,0,CONTADORES!$BB335-CONTADORES!$BB334)</f>
        <v>0</v>
      </c>
      <c r="W323" s="1438">
        <f ca="1">C323+J323</f>
        <v>0</v>
      </c>
      <c r="X323" s="1438">
        <f t="shared" ca="1" si="130"/>
        <v>0</v>
      </c>
      <c r="Y323" s="1439">
        <f t="shared" ca="1" si="131"/>
        <v>0</v>
      </c>
      <c r="Z323" s="1439">
        <f t="shared" ca="1" si="132"/>
        <v>0</v>
      </c>
      <c r="AA323" s="1439">
        <f t="shared" ca="1" si="133"/>
        <v>0</v>
      </c>
      <c r="AB323" s="1439">
        <f t="shared" ca="1" si="134"/>
        <v>0</v>
      </c>
      <c r="AC323" s="1438">
        <f t="shared" ca="1" si="135"/>
        <v>0</v>
      </c>
      <c r="AD323" s="1448">
        <f ca="1">IF(B323&gt;=$J$5,0,CONTADORES!H335-CONTADORES!H334)</f>
        <v>0</v>
      </c>
      <c r="AE323" s="1438">
        <f ca="1">IF(B323&gt;=$J$5,0,CONTADORES!J335-CONTADORES!J334)</f>
        <v>0</v>
      </c>
      <c r="AF323" s="1438">
        <f ca="1">IF(B323&gt;=$J$5,0,CONTADORES!AS335-CONTADORES!AS334)</f>
        <v>0</v>
      </c>
      <c r="AG323" s="1438">
        <f ca="1">IF(B323&gt;=$J$5,0,CONTADORES!AU335-CONTADORES!AU334)</f>
        <v>0</v>
      </c>
      <c r="AH323" s="1439">
        <f ca="1">IF(B323&gt;=$J$5,0,(CONTADORES!AK335-CONTADORES!AK334)+(CONTADORES!K335-CONTADORES!K334))</f>
        <v>0</v>
      </c>
      <c r="AI323" s="1438">
        <f ca="1">IF(B323&gt;=$J$5,0,(CONTADORES!AI335-CONTADORES!AI334)+(CONTADORES!M335-CONTADORES!M334))</f>
        <v>0</v>
      </c>
      <c r="AJ323" s="1438">
        <f ca="1">IF(B323&gt;=$J$5,0,(CONTADORES!AG335-CONTADORES!AG334))</f>
        <v>0</v>
      </c>
      <c r="AK323" s="1438">
        <f ca="1">IF(B323&gt;=$J$5,0,(CONTADORES!O335-CONTADORES!O334))</f>
        <v>0</v>
      </c>
      <c r="AL323" s="1500">
        <f t="shared" ca="1" si="136"/>
        <v>0</v>
      </c>
      <c r="AM323" s="1438">
        <f ca="1">IF(B323&gt;=$J$5,0,(((CONTADORES!F335-CONTADORES!F334)+(CONTADORES!AO335-CONTADORES!AO334))))-BJ323-AF323-AN323-BM323-BP323-BU323-BS323+T323</f>
        <v>0</v>
      </c>
      <c r="AN323" s="1438">
        <f ca="1">IF(B323&gt;=$J$5,0,(CONTADORES!AV335-CONTADORES!AV334)+(CONTADORES!AX335-CONTADORES!AX334)+(CONTADORES!BC335-CONTADORES!BC334))-BS323</f>
        <v>0</v>
      </c>
      <c r="AO323" s="1440">
        <f ca="1">IF(B323&gt;=$J$5,0,(CONTADORES!AA335-CONTADORES!AA334))</f>
        <v>0</v>
      </c>
      <c r="AP323" s="1474">
        <f ca="1">IF(B323&gt;=$J$5,0,(CONTADORES!V335-CONTADORES!V334))</f>
        <v>0</v>
      </c>
      <c r="AQ323" s="1440">
        <f ca="1">IF(B323&gt;=$J$5,0,(CONTADORES!C335-CONTADORES!C334))</f>
        <v>0</v>
      </c>
      <c r="AR323" s="1440">
        <f ca="1">IF(B323&gt;=$J$5,0,(CONTADORES!BA335-CONTADORES!BA334))</f>
        <v>0</v>
      </c>
      <c r="AS323" s="1438">
        <f ca="1">IF(B323&gt;=$J$5,0,CONTADORES!Q335-CONTADORES!Q334)</f>
        <v>0</v>
      </c>
      <c r="AT323" s="1438">
        <f ca="1">IF(B323&gt;=$J$5,0,(CONTADORES!S335-CONTADORES!S334)+(CONTADORES!AE335-CONTADORES!AE334))</f>
        <v>0</v>
      </c>
      <c r="AU323" s="1474">
        <f ca="1">IF(B323&gt;=$J$5,0,(CONTADORES!I335-CONTADORES!I334))</f>
        <v>0</v>
      </c>
      <c r="AV323" s="1440">
        <f ca="1">IF(B323&gt;=$J$5,0,(CONTADORES!AT335-CONTADORES!AT334))</f>
        <v>0</v>
      </c>
      <c r="AW323" s="1474">
        <f ca="1">IF(B323&gt;=$J$5,0,(CONTADORES!L335-CONTADORES!L334)+(CONTADORES!AL335-CONTADORES!AL334))</f>
        <v>0</v>
      </c>
      <c r="AX323" s="1440">
        <f ca="1">IF(B323&gt;=$J$5,0,(CONTADORES!N335-CONTADORES!N334)+(CONTADORES!AJ335-CONTADORES!AJ334))</f>
        <v>0</v>
      </c>
      <c r="AY323" s="1440">
        <f ca="1">IF(B323&gt;=$J$5,0,(CONTADORES!AH335-CONTADORES!AH334))</f>
        <v>0</v>
      </c>
      <c r="AZ323" s="1440">
        <f ca="1">IF(B323&gt;=$J$5,0,(CONTADORES!P335-CONTADORES!P334))</f>
        <v>0</v>
      </c>
      <c r="BA323" s="1450">
        <f t="shared" ca="1" si="137"/>
        <v>0</v>
      </c>
      <c r="BB323" s="1440">
        <f ca="1">IF(B323&gt;=$J$5,0,(((CONTADORES!G335-CONTADORES!G334)+(CONTADORES!AP335-CONTADORES!AP334)+AR323)-(AV323+BC323)))</f>
        <v>0</v>
      </c>
      <c r="BC323" s="1438">
        <f ca="1">IF(B323&gt;=$J$5,0,(CONTADORES!AW335-CONTADORES!AW334)+(CONTADORES!AY335-CONTADORES!AY334)+(CONTADORES!BD335-CONTADORES!BD334))</f>
        <v>0</v>
      </c>
      <c r="BD323" s="1438">
        <f t="shared" ca="1" si="138"/>
        <v>0</v>
      </c>
      <c r="BE323" s="1439">
        <f ca="1">IF($B323&gt;=$J$5,0,CONTADORES!$BE335)</f>
        <v>0</v>
      </c>
      <c r="BF323" s="1438">
        <f ca="1">IF($B323&gt;=$J$5,0,CONTADORES!$BF335)</f>
        <v>0</v>
      </c>
      <c r="BG323" s="1438">
        <f ca="1">IF($B323&gt;=$J$5,0,CONTADORES!$BH335)</f>
        <v>0</v>
      </c>
      <c r="BH323" s="1438">
        <f ca="1">IF(B323&gt;=$J$5,0,(CONTADORES!AQ335-CONTADORES!AQ334))</f>
        <v>0</v>
      </c>
      <c r="BI323" s="1438">
        <f ca="1">IF(B323&gt;=$J$5,0,(CONTADORES!AR335-CONTADORES!AR334))</f>
        <v>0</v>
      </c>
      <c r="BJ323" s="1438">
        <f ca="1">IF(B323&gt;=$J$5,0,CONTADORES!BI335-CONTADORES!BI334)/1000</f>
        <v>0</v>
      </c>
      <c r="BK323" s="1439">
        <f ca="1">IF(B323&gt;=$J$5,0,CONTADORES!BJ335-CONTADORES!BJ334)</f>
        <v>0</v>
      </c>
      <c r="BL323" s="1438">
        <f ca="1">IF(B323&gt;=$J$5,0,CONTADORES!BK335-CONTADORES!BK334)</f>
        <v>0</v>
      </c>
      <c r="BM323" s="1438">
        <f ca="1">IF(B323&gt;=$J$5,0,CONTADORES!BL335-CONTADORES!BL334)/1000</f>
        <v>0</v>
      </c>
      <c r="BN323" s="1438">
        <f ca="1">IF(B323&gt;=$J$5,0,CONTADORES!BM335-CONTADORES!BM334)/1000</f>
        <v>0</v>
      </c>
      <c r="BO323" s="1438">
        <f ca="1">IF(B323&gt;=$J$5,0,CONTADORES!BN335-CONTADORES!BN334)</f>
        <v>0</v>
      </c>
      <c r="BP323" s="1438">
        <f ca="1">IF(B323&gt;=$J$5,0,CONTADORES!BO335-CONTADORES!BO334)/1000</f>
        <v>0</v>
      </c>
      <c r="BQ323" s="1438">
        <f ca="1">IF(B323&gt;=$J$5,0,CONTADORES!BP335-CONTADORES!BP334)/1000</f>
        <v>0</v>
      </c>
      <c r="BR323" s="1438">
        <f ca="1">IF(B323&gt;=$J$5,0,CONTADORES!BQ335-CONTADORES!BQ334)</f>
        <v>0</v>
      </c>
      <c r="BS323" s="1438">
        <f ca="1">IF(B323&gt;=$J$5,0,(CONTADORES!BT335-CONTADORES!BT334)+(CONTADORES!BV335-CONTADORES!BV334))/1000</f>
        <v>0</v>
      </c>
      <c r="BT323" s="1438">
        <f ca="1">IF(B323&gt;=$J$5,0,(CONTADORES!BU335-CONTADORES!BU334)+(CONTADORES!BW335-CONTADORES!BW334))/1000</f>
        <v>0</v>
      </c>
      <c r="BU323" s="1438">
        <f ca="1">IF(B323&gt;=$J$5,0,CONTADORES!BR335-CONTADORES!BR334)</f>
        <v>0</v>
      </c>
      <c r="BV323" s="1438">
        <f ca="1">IF(B323&gt;=$J$5,0,CONTADORES!BS335-CONTADORES!BS334)</f>
        <v>0</v>
      </c>
      <c r="BW323" s="1438">
        <f t="shared" ca="1" si="139"/>
        <v>0</v>
      </c>
      <c r="BX323" s="1438">
        <f t="shared" ca="1" si="140"/>
        <v>0</v>
      </c>
      <c r="BY323" s="1438">
        <f t="shared" ca="1" si="141"/>
        <v>0</v>
      </c>
      <c r="BZ323" s="1438">
        <f t="shared" ca="1" si="142"/>
        <v>0</v>
      </c>
      <c r="CA323" s="1438">
        <f t="shared" ca="1" si="143"/>
        <v>0</v>
      </c>
      <c r="CB323" s="1438">
        <f t="shared" ca="1" si="144"/>
        <v>0</v>
      </c>
      <c r="CC323" s="1438">
        <f t="shared" ca="1" si="145"/>
        <v>0</v>
      </c>
      <c r="CD323" s="1438">
        <f t="shared" ca="1" si="146"/>
        <v>0</v>
      </c>
      <c r="CE323" s="1438">
        <f ca="1">IF(B323&gt;=$J$5,0,CONTADORES!BS335-CONTADORES!BS334)</f>
        <v>0</v>
      </c>
      <c r="CF323" s="1438">
        <f t="shared" ca="1" si="147"/>
        <v>0</v>
      </c>
      <c r="CG323" s="1438">
        <f t="shared" ca="1" si="148"/>
        <v>0</v>
      </c>
      <c r="CH323" s="1438">
        <f t="shared" ca="1" si="149"/>
        <v>0</v>
      </c>
      <c r="CI323" s="1438">
        <f t="shared" ca="1" si="150"/>
        <v>0</v>
      </c>
      <c r="CJ323" s="1444">
        <f ca="1">IF($B323&gt;=$J$5,0,CONTADORES!$BG335)</f>
        <v>0</v>
      </c>
      <c r="CK323" s="1406">
        <f>CONTADORES!E335</f>
        <v>0</v>
      </c>
      <c r="CL323" s="1406">
        <f>CONTADORES!BX335</f>
        <v>0</v>
      </c>
    </row>
    <row r="324" spans="2:90">
      <c r="B324" s="410">
        <v>45240</v>
      </c>
      <c r="C324" s="204">
        <f t="shared" ca="1" si="126"/>
        <v>0</v>
      </c>
      <c r="D324" s="202">
        <f ca="1">'CALCULO DE GAS'!P149</f>
        <v>0</v>
      </c>
      <c r="E324" s="202">
        <f ca="1">IF(B324&gt;=$J$5,0,(CONTADORES!$AB336-CONTADORES!$AB335)-$H324)</f>
        <v>0</v>
      </c>
      <c r="F324" s="204">
        <f t="shared" ca="1" si="154"/>
        <v>0</v>
      </c>
      <c r="G324" s="202">
        <f ca="1">IF(B324&gt;=$J$5,0,CONTADORES!$AD336-CONTADORES!$AD335)</f>
        <v>0</v>
      </c>
      <c r="H324" s="202">
        <f ca="1">IF(G324&gt;0,CONTADORES!$AC336-CONTADORES!$AC335,0)</f>
        <v>0</v>
      </c>
      <c r="I324" s="205">
        <f ca="1">IF(B324&gt;=$J$5,0,CONTADORES!$Z336-CONTADORES!$Z335)</f>
        <v>0</v>
      </c>
      <c r="J324" s="204">
        <f t="shared" ca="1" si="127"/>
        <v>0</v>
      </c>
      <c r="K324" s="202">
        <f ca="1">'CALCULO DE GAS'!Q149</f>
        <v>0</v>
      </c>
      <c r="L324" s="1437">
        <f ca="1">IF(B324&gt;=$J$5,0,(CONTADORES!$W336-CONTADORES!$W335)-$O324)</f>
        <v>0</v>
      </c>
      <c r="M324" s="1437">
        <f t="shared" ca="1" si="155"/>
        <v>0</v>
      </c>
      <c r="N324" s="1437">
        <f ca="1">IF(B324&gt;=$J$5,0,CONTADORES!$Y336-CONTADORES!$Y335)</f>
        <v>0</v>
      </c>
      <c r="O324" s="1437">
        <f ca="1">IF(N324&gt;0,CONTADORES!$X336-CONTADORES!$X335,0)</f>
        <v>0</v>
      </c>
      <c r="P324" s="208">
        <f ca="1">IF(B324&gt;=$J$5,0,CONTADORES!$U336-CONTADORES!$U335)</f>
        <v>0</v>
      </c>
      <c r="Q324" s="208">
        <f ca="1">IF(B324&gt;=$J$5,0,CONTADORES!$B336-CONTADORES!$B335)</f>
        <v>0</v>
      </c>
      <c r="R324" s="202">
        <f t="shared" ca="1" si="128"/>
        <v>0</v>
      </c>
      <c r="S324" s="11">
        <f ca="1">IF(B324&gt;=$J$5,0,CONTADORES!$D336-CONTADORES!$D335)</f>
        <v>0</v>
      </c>
      <c r="T324" s="204">
        <f ca="1">IF(B324&gt;=$J$5,0,CONTADORES!$AZ336-CONTADORES!$AZ335)</f>
        <v>0</v>
      </c>
      <c r="U324" s="202">
        <f t="shared" ca="1" si="152"/>
        <v>0</v>
      </c>
      <c r="V324" s="11">
        <f ca="1">IF(B324&gt;=$J$5,0,CONTADORES!$BB336-CONTADORES!$BB335)</f>
        <v>0</v>
      </c>
      <c r="W324" s="1438">
        <f t="shared" ca="1" si="129"/>
        <v>0</v>
      </c>
      <c r="X324" s="1438">
        <f t="shared" ca="1" si="130"/>
        <v>0</v>
      </c>
      <c r="Y324" s="1439">
        <f t="shared" ca="1" si="131"/>
        <v>0</v>
      </c>
      <c r="Z324" s="1439">
        <f t="shared" ca="1" si="132"/>
        <v>0</v>
      </c>
      <c r="AA324" s="1439">
        <f t="shared" ca="1" si="133"/>
        <v>0</v>
      </c>
      <c r="AB324" s="1439">
        <f t="shared" ca="1" si="134"/>
        <v>0</v>
      </c>
      <c r="AC324" s="1438">
        <f t="shared" ca="1" si="135"/>
        <v>0</v>
      </c>
      <c r="AD324" s="1448">
        <f ca="1">IF(B324&gt;=$J$5,0,CONTADORES!H336-CONTADORES!H335)</f>
        <v>0</v>
      </c>
      <c r="AE324" s="1438">
        <f ca="1">IF(B324&gt;=$J$5,0,CONTADORES!J336-CONTADORES!J335)</f>
        <v>0</v>
      </c>
      <c r="AF324" s="1438">
        <f ca="1">IF(B324&gt;=$J$5,0,CONTADORES!AS336-CONTADORES!AS335)</f>
        <v>0</v>
      </c>
      <c r="AG324" s="1438">
        <f ca="1">IF(B324&gt;=$J$5,0,CONTADORES!AU336-CONTADORES!AU335)</f>
        <v>0</v>
      </c>
      <c r="AH324" s="1439">
        <f ca="1">IF(B324&gt;=$J$5,0,(CONTADORES!AK336-CONTADORES!AK335)+(CONTADORES!K336-CONTADORES!K335))</f>
        <v>0</v>
      </c>
      <c r="AI324" s="1438">
        <f ca="1">IF(B324&gt;=$J$5,0,(CONTADORES!AI336-CONTADORES!AI335)+(CONTADORES!M336-CONTADORES!M335))</f>
        <v>0</v>
      </c>
      <c r="AJ324" s="1438">
        <f ca="1">IF(B324&gt;=$J$5,0,(CONTADORES!AG336-CONTADORES!AG335))</f>
        <v>0</v>
      </c>
      <c r="AK324" s="1438">
        <f ca="1">IF(B324&gt;=$J$5,0,(CONTADORES!O336-CONTADORES!O335))</f>
        <v>0</v>
      </c>
      <c r="AL324" s="1500">
        <f t="shared" ca="1" si="136"/>
        <v>0</v>
      </c>
      <c r="AM324" s="1438">
        <f ca="1">IF(B324&gt;=$J$5,0,(((CONTADORES!F336-CONTADORES!F335)+(CONTADORES!AO336-CONTADORES!AO335))))-BJ324-AF324-AN324-BM324-BP324-BU324-BS324+T324</f>
        <v>0</v>
      </c>
      <c r="AN324" s="1438">
        <f ca="1">IF(B324&gt;=$J$5,0,(CONTADORES!AV336-CONTADORES!AV335)+(CONTADORES!AX336-CONTADORES!AX335)+(CONTADORES!BC336-CONTADORES!BC335))-BS324</f>
        <v>0</v>
      </c>
      <c r="AO324" s="1440">
        <f ca="1">IF(B324&gt;=$J$5,0,(CONTADORES!AA336-CONTADORES!AA335))</f>
        <v>0</v>
      </c>
      <c r="AP324" s="1474">
        <f ca="1">IF(B324&gt;=$J$5,0,(CONTADORES!V336-CONTADORES!V335))</f>
        <v>0</v>
      </c>
      <c r="AQ324" s="1440">
        <f ca="1">IF(B324&gt;=$J$5,0,(CONTADORES!C336-CONTADORES!C335))</f>
        <v>0</v>
      </c>
      <c r="AR324" s="1440">
        <f ca="1">IF(B324&gt;=$J$5,0,(CONTADORES!BA336-CONTADORES!BA335))</f>
        <v>0</v>
      </c>
      <c r="AS324" s="1438">
        <f ca="1">IF(B324&gt;=$J$5,0,CONTADORES!Q336-CONTADORES!Q335)</f>
        <v>0</v>
      </c>
      <c r="AT324" s="1438">
        <f ca="1">IF(B324&gt;=$J$5,0,(CONTADORES!S336-CONTADORES!S335)+(CONTADORES!AE336-CONTADORES!AE335))</f>
        <v>0</v>
      </c>
      <c r="AU324" s="1474">
        <f ca="1">IF(B324&gt;=$J$5,0,(CONTADORES!I336-CONTADORES!I335))</f>
        <v>0</v>
      </c>
      <c r="AV324" s="1440">
        <f ca="1">IF(B324&gt;=$J$5,0,(CONTADORES!AT336-CONTADORES!AT335))</f>
        <v>0</v>
      </c>
      <c r="AW324" s="1474">
        <f ca="1">IF(B324&gt;=$J$5,0,(CONTADORES!L336-CONTADORES!L335)+(CONTADORES!AL336-CONTADORES!AL335))</f>
        <v>0</v>
      </c>
      <c r="AX324" s="1440">
        <f ca="1">IF(B324&gt;=$J$5,0,(CONTADORES!N336-CONTADORES!N335)+(CONTADORES!AJ336-CONTADORES!AJ335))</f>
        <v>0</v>
      </c>
      <c r="AY324" s="1440">
        <f ca="1">IF(B324&gt;=$J$5,0,(CONTADORES!AH336-CONTADORES!AH335))</f>
        <v>0</v>
      </c>
      <c r="AZ324" s="1440">
        <f ca="1">IF(B324&gt;=$J$5,0,(CONTADORES!P336-CONTADORES!P335))</f>
        <v>0</v>
      </c>
      <c r="BA324" s="1450">
        <f t="shared" ca="1" si="137"/>
        <v>0</v>
      </c>
      <c r="BB324" s="1440">
        <f ca="1">IF(B324&gt;=$J$5,0,(((CONTADORES!G336-CONTADORES!G335)+(CONTADORES!AP336-CONTADORES!AP335)+AR324)-(AV324+BC324)))</f>
        <v>0</v>
      </c>
      <c r="BC324" s="1438">
        <f ca="1">IF(B324&gt;=$J$5,0,(CONTADORES!AW336-CONTADORES!AW335)+(CONTADORES!AY336-CONTADORES!AY335)+(CONTADORES!BD336-CONTADORES!BD335))</f>
        <v>0</v>
      </c>
      <c r="BD324" s="1438">
        <f t="shared" ca="1" si="138"/>
        <v>0</v>
      </c>
      <c r="BE324" s="1439">
        <f ca="1">IF($B324&gt;=$J$5,0,CONTADORES!$BE336)</f>
        <v>0</v>
      </c>
      <c r="BF324" s="1438">
        <f ca="1">IF($B324&gt;=$J$5,0,CONTADORES!$BF336)</f>
        <v>0</v>
      </c>
      <c r="BG324" s="1438">
        <f ca="1">IF($B324&gt;=$J$5,0,CONTADORES!$BH336)</f>
        <v>0</v>
      </c>
      <c r="BH324" s="1438">
        <f ca="1">IF(B324&gt;=$J$5,0,(CONTADORES!AQ336-CONTADORES!AQ335))</f>
        <v>0</v>
      </c>
      <c r="BI324" s="1438">
        <f ca="1">IF(B324&gt;=$J$5,0,(CONTADORES!AR336-CONTADORES!AR335))</f>
        <v>0</v>
      </c>
      <c r="BJ324" s="1438">
        <f ca="1">IF(B324&gt;=$J$5,0,CONTADORES!BI336-CONTADORES!BI335)/1000</f>
        <v>0</v>
      </c>
      <c r="BK324" s="1439">
        <f ca="1">IF(B324&gt;=$J$5,0,CONTADORES!BJ336-CONTADORES!BJ335)</f>
        <v>0</v>
      </c>
      <c r="BL324" s="1438">
        <f ca="1">IF(B324&gt;=$J$5,0,CONTADORES!BK336-CONTADORES!BK335)</f>
        <v>0</v>
      </c>
      <c r="BM324" s="1438">
        <f ca="1">IF(B324&gt;=$J$5,0,CONTADORES!BL336-CONTADORES!BL335)/1000</f>
        <v>0</v>
      </c>
      <c r="BN324" s="1438">
        <f ca="1">IF(B324&gt;=$J$5,0,CONTADORES!BM336-CONTADORES!BM335)/1000</f>
        <v>0</v>
      </c>
      <c r="BO324" s="1438">
        <f ca="1">IF(B324&gt;=$J$5,0,CONTADORES!BN336-CONTADORES!BN335)</f>
        <v>0</v>
      </c>
      <c r="BP324" s="1438">
        <f ca="1">IF(B324&gt;=$J$5,0,CONTADORES!BO336-CONTADORES!BO335)/1000</f>
        <v>0</v>
      </c>
      <c r="BQ324" s="1438">
        <f ca="1">IF(B324&gt;=$J$5,0,CONTADORES!BP336-CONTADORES!BP335)/1000</f>
        <v>0</v>
      </c>
      <c r="BR324" s="1438">
        <f ca="1">IF(B324&gt;=$J$5,0,CONTADORES!BQ336-CONTADORES!BQ335)</f>
        <v>0</v>
      </c>
      <c r="BS324" s="1438">
        <f ca="1">IF(B324&gt;=$J$5,0,(CONTADORES!BT336-CONTADORES!BT335)+(CONTADORES!BV336-CONTADORES!BV335))/1000</f>
        <v>0</v>
      </c>
      <c r="BT324" s="1438">
        <f ca="1">IF(B324&gt;=$J$5,0,(CONTADORES!BU336-CONTADORES!BU335)+(CONTADORES!BW336-CONTADORES!BW335))/1000</f>
        <v>0</v>
      </c>
      <c r="BU324" s="1438">
        <f ca="1">IF(B324&gt;=$J$5,0,CONTADORES!BR336-CONTADORES!BR335)</f>
        <v>0</v>
      </c>
      <c r="BV324" s="1438">
        <f ca="1">IF(B324&gt;=$J$5,0,CONTADORES!BS336-CONTADORES!BS335)</f>
        <v>0</v>
      </c>
      <c r="BW324" s="1438">
        <f t="shared" ca="1" si="139"/>
        <v>0</v>
      </c>
      <c r="BX324" s="1438">
        <f t="shared" ca="1" si="140"/>
        <v>0</v>
      </c>
      <c r="BY324" s="1438">
        <f t="shared" ca="1" si="141"/>
        <v>0</v>
      </c>
      <c r="BZ324" s="1438">
        <f t="shared" ca="1" si="142"/>
        <v>0</v>
      </c>
      <c r="CA324" s="1438">
        <f t="shared" ca="1" si="143"/>
        <v>0</v>
      </c>
      <c r="CB324" s="1438">
        <f t="shared" ca="1" si="144"/>
        <v>0</v>
      </c>
      <c r="CC324" s="1438">
        <f t="shared" ca="1" si="145"/>
        <v>0</v>
      </c>
      <c r="CD324" s="1438">
        <f t="shared" ca="1" si="146"/>
        <v>0</v>
      </c>
      <c r="CE324" s="1438">
        <f ca="1">IF(B324&gt;=$J$5,0,CONTADORES!BS336-CONTADORES!BS335)</f>
        <v>0</v>
      </c>
      <c r="CF324" s="1438">
        <f t="shared" ca="1" si="147"/>
        <v>0</v>
      </c>
      <c r="CG324" s="1438">
        <f t="shared" ca="1" si="148"/>
        <v>0</v>
      </c>
      <c r="CH324" s="1438">
        <f t="shared" ca="1" si="149"/>
        <v>0</v>
      </c>
      <c r="CI324" s="1438">
        <f t="shared" ca="1" si="150"/>
        <v>0</v>
      </c>
      <c r="CJ324" s="1444">
        <f ca="1">IF($B324&gt;=$J$5,0,CONTADORES!$BG336)</f>
        <v>0</v>
      </c>
      <c r="CK324" s="1406">
        <f>CONTADORES!E336</f>
        <v>0</v>
      </c>
      <c r="CL324" s="1406">
        <f>CONTADORES!BX336</f>
        <v>0</v>
      </c>
    </row>
    <row r="325" spans="2:90">
      <c r="B325" s="410">
        <v>45241</v>
      </c>
      <c r="C325" s="204">
        <f t="shared" ca="1" si="126"/>
        <v>0</v>
      </c>
      <c r="D325" s="202">
        <f ca="1">'CALCULO DE GAS'!P150</f>
        <v>0</v>
      </c>
      <c r="E325" s="202">
        <f ca="1">IF(B325&gt;=$J$5,0,(CONTADORES!$AB337-CONTADORES!$AB336)-$H325)</f>
        <v>0</v>
      </c>
      <c r="F325" s="204">
        <f t="shared" ca="1" si="154"/>
        <v>0</v>
      </c>
      <c r="G325" s="202">
        <f ca="1">IF(B325&gt;=$J$5,0,CONTADORES!$AD337-CONTADORES!$AD336)</f>
        <v>0</v>
      </c>
      <c r="H325" s="202">
        <f ca="1">IF(G325&gt;0,CONTADORES!$AC337-CONTADORES!$AC336,0)</f>
        <v>0</v>
      </c>
      <c r="I325" s="205">
        <f ca="1">IF(B325&gt;=$J$5,0,CONTADORES!$Z337-CONTADORES!$Z336)</f>
        <v>0</v>
      </c>
      <c r="J325" s="204">
        <f t="shared" ca="1" si="127"/>
        <v>0</v>
      </c>
      <c r="K325" s="202">
        <f ca="1">'CALCULO DE GAS'!Q150</f>
        <v>0</v>
      </c>
      <c r="L325" s="1437">
        <f ca="1">IF(B325&gt;=$J$5,0,(CONTADORES!$W337-CONTADORES!$W336)-$O325)</f>
        <v>0</v>
      </c>
      <c r="M325" s="1437">
        <f t="shared" ca="1" si="155"/>
        <v>0</v>
      </c>
      <c r="N325" s="1437">
        <f ca="1">IF(B325&gt;=$J$5,0,CONTADORES!$Y337-CONTADORES!$Y336)</f>
        <v>0</v>
      </c>
      <c r="O325" s="1437">
        <f ca="1">IF(N325&gt;0,CONTADORES!$X337-CONTADORES!$X336,0)</f>
        <v>0</v>
      </c>
      <c r="P325" s="208">
        <f ca="1">IF(B325&gt;=$J$5,0,CONTADORES!$U337-CONTADORES!$U336)</f>
        <v>0</v>
      </c>
      <c r="Q325" s="208">
        <f ca="1">IF(B325&gt;=$J$5,0,CONTADORES!$B337-CONTADORES!$B336)</f>
        <v>0</v>
      </c>
      <c r="R325" s="202">
        <f t="shared" ca="1" si="128"/>
        <v>0</v>
      </c>
      <c r="S325" s="11">
        <f ca="1">IF(B325&gt;=$J$5,0,CONTADORES!$D337-CONTADORES!$D336)</f>
        <v>0</v>
      </c>
      <c r="T325" s="204">
        <f ca="1">IF(B325&gt;=$J$5,0,CONTADORES!$AZ337-CONTADORES!$AZ336)</f>
        <v>0</v>
      </c>
      <c r="U325" s="202">
        <f t="shared" ca="1" si="152"/>
        <v>0</v>
      </c>
      <c r="V325" s="11">
        <f ca="1">IF(B325&gt;=$J$5,0,CONTADORES!$BB337-CONTADORES!$BB336)</f>
        <v>0</v>
      </c>
      <c r="W325" s="1438">
        <f t="shared" ca="1" si="129"/>
        <v>0</v>
      </c>
      <c r="X325" s="1438">
        <f t="shared" ca="1" si="130"/>
        <v>0</v>
      </c>
      <c r="Y325" s="1439">
        <f t="shared" ca="1" si="131"/>
        <v>0</v>
      </c>
      <c r="Z325" s="1439">
        <f t="shared" ca="1" si="132"/>
        <v>0</v>
      </c>
      <c r="AA325" s="1439">
        <f t="shared" ca="1" si="133"/>
        <v>0</v>
      </c>
      <c r="AB325" s="1439">
        <f t="shared" ca="1" si="134"/>
        <v>0</v>
      </c>
      <c r="AC325" s="1438">
        <f t="shared" ca="1" si="135"/>
        <v>0</v>
      </c>
      <c r="AD325" s="1448">
        <f ca="1">IF(B325&gt;=$J$5,0,CONTADORES!H337-CONTADORES!H336)</f>
        <v>0</v>
      </c>
      <c r="AE325" s="1438">
        <f ca="1">IF(B325&gt;=$J$5,0,CONTADORES!J337-CONTADORES!J336)</f>
        <v>0</v>
      </c>
      <c r="AF325" s="1438">
        <f ca="1">IF(B325&gt;=$J$5,0,CONTADORES!AS337-CONTADORES!AS336)</f>
        <v>0</v>
      </c>
      <c r="AG325" s="1438">
        <f ca="1">IF(B325&gt;=$J$5,0,CONTADORES!AU337-CONTADORES!AU336)</f>
        <v>0</v>
      </c>
      <c r="AH325" s="1439">
        <f ca="1">IF(B325&gt;=$J$5,0,(CONTADORES!AK337-CONTADORES!AK336)+(CONTADORES!K337-CONTADORES!K336))</f>
        <v>0</v>
      </c>
      <c r="AI325" s="1438">
        <f ca="1">IF(B325&gt;=$J$5,0,(CONTADORES!AI337-CONTADORES!AI336)+(CONTADORES!M337-CONTADORES!M336))</f>
        <v>0</v>
      </c>
      <c r="AJ325" s="1438">
        <f ca="1">IF(B325&gt;=$J$5,0,(CONTADORES!AG337-CONTADORES!AG336))</f>
        <v>0</v>
      </c>
      <c r="AK325" s="1438">
        <f ca="1">IF(B325&gt;=$J$5,0,(CONTADORES!O337-CONTADORES!O336))</f>
        <v>0</v>
      </c>
      <c r="AL325" s="1500">
        <f t="shared" ca="1" si="136"/>
        <v>0</v>
      </c>
      <c r="AM325" s="1438">
        <f ca="1">IF(B325&gt;=$J$5,0,(((CONTADORES!F337-CONTADORES!F336)+(CONTADORES!AO337-CONTADORES!AO336))))-BJ325-AF325-AN325-BM325-BP325-BU325-BS325+T325</f>
        <v>0</v>
      </c>
      <c r="AN325" s="1438">
        <f ca="1">IF(B325&gt;=$J$5,0,(CONTADORES!AV337-CONTADORES!AV336)+(CONTADORES!AX337-CONTADORES!AX336)+(CONTADORES!BC337-CONTADORES!BC336))-BS325</f>
        <v>0</v>
      </c>
      <c r="AO325" s="1440">
        <f ca="1">IF(B325&gt;=$J$5,0,(CONTADORES!AA337-CONTADORES!AA336))</f>
        <v>0</v>
      </c>
      <c r="AP325" s="1474">
        <f ca="1">IF(B325&gt;=$J$5,0,(CONTADORES!V337-CONTADORES!V336))</f>
        <v>0</v>
      </c>
      <c r="AQ325" s="1440">
        <f ca="1">IF(B325&gt;=$J$5,0,(CONTADORES!C337-CONTADORES!C336))</f>
        <v>0</v>
      </c>
      <c r="AR325" s="1440">
        <f ca="1">IF(B325&gt;=$J$5,0,(CONTADORES!BA337-CONTADORES!BA336))</f>
        <v>0</v>
      </c>
      <c r="AS325" s="1438">
        <f ca="1">IF(B325&gt;=$J$5,0,CONTADORES!Q337-CONTADORES!Q336)</f>
        <v>0</v>
      </c>
      <c r="AT325" s="1438">
        <f ca="1">IF(B325&gt;=$J$5,0,(CONTADORES!S337-CONTADORES!S336)+(CONTADORES!AE337-CONTADORES!AE336))</f>
        <v>0</v>
      </c>
      <c r="AU325" s="1474">
        <f ca="1">IF(B325&gt;=$J$5,0,(CONTADORES!I337-CONTADORES!I336))</f>
        <v>0</v>
      </c>
      <c r="AV325" s="1440">
        <f ca="1">IF(B325&gt;=$J$5,0,(CONTADORES!AT337-CONTADORES!AT336))</f>
        <v>0</v>
      </c>
      <c r="AW325" s="1474">
        <f ca="1">IF(B325&gt;=$J$5,0,(CONTADORES!L337-CONTADORES!L336)+(CONTADORES!AL337-CONTADORES!AL336))</f>
        <v>0</v>
      </c>
      <c r="AX325" s="1440">
        <f ca="1">IF(B325&gt;=$J$5,0,(CONTADORES!N337-CONTADORES!N336)+(CONTADORES!AJ337-CONTADORES!AJ336))</f>
        <v>0</v>
      </c>
      <c r="AY325" s="1440">
        <f ca="1">IF(B325&gt;=$J$5,0,(CONTADORES!AH337-CONTADORES!AH336))</f>
        <v>0</v>
      </c>
      <c r="AZ325" s="1440">
        <f ca="1">IF(B325&gt;=$J$5,0,(CONTADORES!P337-CONTADORES!P336))</f>
        <v>0</v>
      </c>
      <c r="BA325" s="1450">
        <f t="shared" ca="1" si="137"/>
        <v>0</v>
      </c>
      <c r="BB325" s="1440">
        <f ca="1">IF(B325&gt;=$J$5,0,(((CONTADORES!G337-CONTADORES!G336)+(CONTADORES!AP337-CONTADORES!AP336)+AR325)-(AV325+BC325)))</f>
        <v>0</v>
      </c>
      <c r="BC325" s="1438">
        <f ca="1">IF(B325&gt;=$J$5,0,(CONTADORES!AW337-CONTADORES!AW336)+(CONTADORES!AY337-CONTADORES!AY336)+(CONTADORES!BD337-CONTADORES!BD336))</f>
        <v>0</v>
      </c>
      <c r="BD325" s="1438">
        <f t="shared" ca="1" si="138"/>
        <v>0</v>
      </c>
      <c r="BE325" s="1439">
        <f ca="1">IF($B325&gt;=$J$5,0,CONTADORES!$BE337)</f>
        <v>0</v>
      </c>
      <c r="BF325" s="1438">
        <f ca="1">IF($B325&gt;=$J$5,0,CONTADORES!$BF337)</f>
        <v>0</v>
      </c>
      <c r="BG325" s="1438">
        <f ca="1">IF($B325&gt;=$J$5,0,CONTADORES!$BH337)</f>
        <v>0</v>
      </c>
      <c r="BH325" s="1438">
        <f ca="1">IF(B325&gt;=$J$5,0,(CONTADORES!AQ337-CONTADORES!AQ336))</f>
        <v>0</v>
      </c>
      <c r="BI325" s="1438">
        <f ca="1">IF(B325&gt;=$J$5,0,(CONTADORES!AR337-CONTADORES!AR336))</f>
        <v>0</v>
      </c>
      <c r="BJ325" s="1438">
        <f ca="1">IF(B325&gt;=$J$5,0,CONTADORES!BI337-CONTADORES!BI336)/1000</f>
        <v>0</v>
      </c>
      <c r="BK325" s="1439">
        <f ca="1">IF(B325&gt;=$J$5,0,CONTADORES!BJ337-CONTADORES!BJ336)</f>
        <v>0</v>
      </c>
      <c r="BL325" s="1438">
        <f ca="1">IF(B325&gt;=$J$5,0,CONTADORES!BK337-CONTADORES!BK336)</f>
        <v>0</v>
      </c>
      <c r="BM325" s="1438">
        <f ca="1">IF(B325&gt;=$J$5,0,CONTADORES!BL337-CONTADORES!BL336)/1000</f>
        <v>0</v>
      </c>
      <c r="BN325" s="1438">
        <f ca="1">IF(B325&gt;=$J$5,0,CONTADORES!BM337-CONTADORES!BM336)/1000</f>
        <v>0</v>
      </c>
      <c r="BO325" s="1438">
        <f ca="1">IF(B325&gt;=$J$5,0,CONTADORES!BN337-CONTADORES!BN336)</f>
        <v>0</v>
      </c>
      <c r="BP325" s="1438">
        <f ca="1">IF(B325&gt;=$J$5,0,CONTADORES!BO337-CONTADORES!BO336)/1000</f>
        <v>0</v>
      </c>
      <c r="BQ325" s="1438">
        <f ca="1">IF(B325&gt;=$J$5,0,CONTADORES!BP337-CONTADORES!BP336)/1000</f>
        <v>0</v>
      </c>
      <c r="BR325" s="1438">
        <f ca="1">IF(B325&gt;=$J$5,0,CONTADORES!BQ337-CONTADORES!BQ336)</f>
        <v>0</v>
      </c>
      <c r="BS325" s="1438">
        <f ca="1">IF(B325&gt;=$J$5,0,(CONTADORES!BT337-CONTADORES!BT336)+(CONTADORES!BV337-CONTADORES!BV336))/1000</f>
        <v>0</v>
      </c>
      <c r="BT325" s="1438">
        <f ca="1">IF(B325&gt;=$J$5,0,(CONTADORES!BU337-CONTADORES!BU336)+(CONTADORES!BW337-CONTADORES!BW336))/1000</f>
        <v>0</v>
      </c>
      <c r="BU325" s="1438">
        <f ca="1">IF(B325&gt;=$J$5,0,CONTADORES!BR337-CONTADORES!BR336)</f>
        <v>0</v>
      </c>
      <c r="BV325" s="1438">
        <f ca="1">IF(B325&gt;=$J$5,0,CONTADORES!BS337-CONTADORES!BS336)</f>
        <v>0</v>
      </c>
      <c r="BW325" s="1438">
        <f t="shared" ca="1" si="139"/>
        <v>0</v>
      </c>
      <c r="BX325" s="1438">
        <f t="shared" ca="1" si="140"/>
        <v>0</v>
      </c>
      <c r="BY325" s="1438">
        <f t="shared" ca="1" si="141"/>
        <v>0</v>
      </c>
      <c r="BZ325" s="1438">
        <f t="shared" ca="1" si="142"/>
        <v>0</v>
      </c>
      <c r="CA325" s="1438">
        <f t="shared" ca="1" si="143"/>
        <v>0</v>
      </c>
      <c r="CB325" s="1438">
        <f t="shared" ca="1" si="144"/>
        <v>0</v>
      </c>
      <c r="CC325" s="1438">
        <f t="shared" ca="1" si="145"/>
        <v>0</v>
      </c>
      <c r="CD325" s="1438">
        <f t="shared" ca="1" si="146"/>
        <v>0</v>
      </c>
      <c r="CE325" s="1438">
        <f ca="1">IF(B325&gt;=$J$5,0,CONTADORES!BS337-CONTADORES!BS336)</f>
        <v>0</v>
      </c>
      <c r="CF325" s="1438">
        <f t="shared" ca="1" si="147"/>
        <v>0</v>
      </c>
      <c r="CG325" s="1438">
        <f t="shared" ca="1" si="148"/>
        <v>0</v>
      </c>
      <c r="CH325" s="1438">
        <f t="shared" ca="1" si="149"/>
        <v>0</v>
      </c>
      <c r="CI325" s="1438">
        <f t="shared" ca="1" si="150"/>
        <v>0</v>
      </c>
      <c r="CJ325" s="1444">
        <f ca="1">IF($B325&gt;=$J$5,0,CONTADORES!$BG337)</f>
        <v>0</v>
      </c>
      <c r="CK325" s="1406">
        <f>CONTADORES!E337</f>
        <v>0</v>
      </c>
      <c r="CL325" s="1406">
        <f>CONTADORES!BX337</f>
        <v>0</v>
      </c>
    </row>
    <row r="326" spans="2:90">
      <c r="B326" s="410">
        <v>45242</v>
      </c>
      <c r="C326" s="204">
        <f t="shared" ca="1" si="126"/>
        <v>0</v>
      </c>
      <c r="D326" s="202">
        <f ca="1">'CALCULO DE GAS'!P151</f>
        <v>0</v>
      </c>
      <c r="E326" s="202">
        <f ca="1">IF(B326&gt;=$J$5,0,(CONTADORES!$AB338-CONTADORES!$AB337)-$H326)</f>
        <v>0</v>
      </c>
      <c r="F326" s="204">
        <f t="shared" ca="1" si="154"/>
        <v>0</v>
      </c>
      <c r="G326" s="202">
        <f ca="1">IF(B326&gt;=$J$5,0,CONTADORES!$AD338-CONTADORES!$AD337)</f>
        <v>0</v>
      </c>
      <c r="H326" s="202">
        <f ca="1">IF(G326&gt;0,CONTADORES!$AC338-CONTADORES!$AC337,0)</f>
        <v>0</v>
      </c>
      <c r="I326" s="205">
        <f ca="1">IF(B326&gt;=$J$5,0,CONTADORES!$Z338-CONTADORES!$Z337)</f>
        <v>0</v>
      </c>
      <c r="J326" s="204">
        <f t="shared" ca="1" si="127"/>
        <v>0</v>
      </c>
      <c r="K326" s="202">
        <f ca="1">'CALCULO DE GAS'!Q151</f>
        <v>0</v>
      </c>
      <c r="L326" s="1437">
        <f ca="1">IF(B326&gt;=$J$5,0,(CONTADORES!$W338-CONTADORES!$W337)-$O326)</f>
        <v>0</v>
      </c>
      <c r="M326" s="1437">
        <f t="shared" ca="1" si="155"/>
        <v>0</v>
      </c>
      <c r="N326" s="1437">
        <f ca="1">IF(B326&gt;=$J$5,0,CONTADORES!$Y338-CONTADORES!$Y337)</f>
        <v>0</v>
      </c>
      <c r="O326" s="1437">
        <f ca="1">IF(N326&gt;0,CONTADORES!$X338-CONTADORES!$X337,0)</f>
        <v>0</v>
      </c>
      <c r="P326" s="208">
        <f ca="1">IF(B326&gt;=$J$5,0,CONTADORES!$U338-CONTADORES!$U337)</f>
        <v>0</v>
      </c>
      <c r="Q326" s="208">
        <f ca="1">IF(B326&gt;=$J$5,0,CONTADORES!$B338-CONTADORES!$B337)</f>
        <v>0</v>
      </c>
      <c r="R326" s="202">
        <f t="shared" ca="1" si="128"/>
        <v>0</v>
      </c>
      <c r="S326" s="11">
        <f ca="1">IF(B326&gt;=$J$5,0,CONTADORES!$D338-CONTADORES!$D337)</f>
        <v>0</v>
      </c>
      <c r="T326" s="204">
        <f ca="1">IF(B326&gt;=$J$5,0,CONTADORES!$AZ338-CONTADORES!$AZ337)</f>
        <v>0</v>
      </c>
      <c r="U326" s="202">
        <f t="shared" ca="1" si="152"/>
        <v>0</v>
      </c>
      <c r="V326" s="11">
        <f ca="1">IF(B326&gt;=$J$5,0,CONTADORES!$BB338-CONTADORES!$BB337)</f>
        <v>0</v>
      </c>
      <c r="W326" s="1438">
        <f t="shared" ca="1" si="129"/>
        <v>0</v>
      </c>
      <c r="X326" s="1438">
        <f t="shared" ca="1" si="130"/>
        <v>0</v>
      </c>
      <c r="Y326" s="1439">
        <f t="shared" ca="1" si="131"/>
        <v>0</v>
      </c>
      <c r="Z326" s="1439">
        <f t="shared" ca="1" si="132"/>
        <v>0</v>
      </c>
      <c r="AA326" s="1439">
        <f t="shared" ca="1" si="133"/>
        <v>0</v>
      </c>
      <c r="AB326" s="1439">
        <f t="shared" ca="1" si="134"/>
        <v>0</v>
      </c>
      <c r="AC326" s="1438">
        <f t="shared" ca="1" si="135"/>
        <v>0</v>
      </c>
      <c r="AD326" s="1448">
        <f ca="1">IF(B326&gt;=$J$5,0,CONTADORES!H338-CONTADORES!H337)</f>
        <v>0</v>
      </c>
      <c r="AE326" s="1438">
        <f ca="1">IF(B326&gt;=$J$5,0,CONTADORES!J338-CONTADORES!J337)</f>
        <v>0</v>
      </c>
      <c r="AF326" s="1438">
        <f ca="1">IF(B326&gt;=$J$5,0,CONTADORES!AS338-CONTADORES!AS337)</f>
        <v>0</v>
      </c>
      <c r="AG326" s="1438">
        <f ca="1">IF(B326&gt;=$J$5,0,CONTADORES!AU338-CONTADORES!AU337)</f>
        <v>0</v>
      </c>
      <c r="AH326" s="1439">
        <f ca="1">IF(B326&gt;=$J$5,0,(CONTADORES!AK338-CONTADORES!AK337)+(CONTADORES!K338-CONTADORES!K337))</f>
        <v>0</v>
      </c>
      <c r="AI326" s="1438">
        <f ca="1">IF(B326&gt;=$J$5,0,(CONTADORES!AI338-CONTADORES!AI337)+(CONTADORES!M338-CONTADORES!M337))</f>
        <v>0</v>
      </c>
      <c r="AJ326" s="1438">
        <f ca="1">IF(B326&gt;=$J$5,0,(CONTADORES!AG338-CONTADORES!AG337))</f>
        <v>0</v>
      </c>
      <c r="AK326" s="1438">
        <f ca="1">IF(B326&gt;=$J$5,0,(CONTADORES!O338-CONTADORES!O337))</f>
        <v>0</v>
      </c>
      <c r="AL326" s="1500">
        <f t="shared" ca="1" si="136"/>
        <v>0</v>
      </c>
      <c r="AM326" s="1438">
        <f ca="1">IF(B326&gt;=$J$5,0,(((CONTADORES!F338-CONTADORES!F337)+(CONTADORES!AO338-CONTADORES!AO337))))-BJ326-AF326-AN326-BM326-BP326-BU326-BS326+T326</f>
        <v>0</v>
      </c>
      <c r="AN326" s="1438">
        <f ca="1">IF(B326&gt;=$J$5,0,(CONTADORES!AV338-CONTADORES!AV337)+(CONTADORES!AX338-CONTADORES!AX337)+(CONTADORES!BC338-CONTADORES!BC337))-BS326</f>
        <v>0</v>
      </c>
      <c r="AO326" s="1440">
        <f ca="1">IF(B326&gt;=$J$5,0,(CONTADORES!AA338-CONTADORES!AA337))</f>
        <v>0</v>
      </c>
      <c r="AP326" s="1474">
        <f ca="1">IF(B326&gt;=$J$5,0,(CONTADORES!V338-CONTADORES!V337))</f>
        <v>0</v>
      </c>
      <c r="AQ326" s="1440">
        <f ca="1">IF(B326&gt;=$J$5,0,(CONTADORES!C338-CONTADORES!C337))</f>
        <v>0</v>
      </c>
      <c r="AR326" s="1440">
        <f ca="1">IF(B326&gt;=$J$5,0,(CONTADORES!BA338-CONTADORES!BA337))</f>
        <v>0</v>
      </c>
      <c r="AS326" s="1438">
        <f ca="1">IF(B326&gt;=$J$5,0,CONTADORES!Q338-CONTADORES!Q337)</f>
        <v>0</v>
      </c>
      <c r="AT326" s="1438">
        <f ca="1">IF(B326&gt;=$J$5,0,(CONTADORES!S338-CONTADORES!S337)+(CONTADORES!AE338-CONTADORES!AE337))</f>
        <v>0</v>
      </c>
      <c r="AU326" s="1474">
        <f ca="1">IF(B326&gt;=$J$5,0,(CONTADORES!I338-CONTADORES!I337))</f>
        <v>0</v>
      </c>
      <c r="AV326" s="1440">
        <f ca="1">IF(B326&gt;=$J$5,0,(CONTADORES!AT338-CONTADORES!AT337))</f>
        <v>0</v>
      </c>
      <c r="AW326" s="1474">
        <f ca="1">IF(B326&gt;=$J$5,0,(CONTADORES!L338-CONTADORES!L337)+(CONTADORES!AL338-CONTADORES!AL337))</f>
        <v>0</v>
      </c>
      <c r="AX326" s="1440">
        <f ca="1">IF(B326&gt;=$J$5,0,(CONTADORES!N338-CONTADORES!N337)+(CONTADORES!AJ338-CONTADORES!AJ337))</f>
        <v>0</v>
      </c>
      <c r="AY326" s="1440">
        <f ca="1">IF(B326&gt;=$J$5,0,(CONTADORES!AH338-CONTADORES!AH337))</f>
        <v>0</v>
      </c>
      <c r="AZ326" s="1440">
        <f ca="1">IF(B326&gt;=$J$5,0,(CONTADORES!P338-CONTADORES!P337))</f>
        <v>0</v>
      </c>
      <c r="BA326" s="1450">
        <f t="shared" ca="1" si="137"/>
        <v>0</v>
      </c>
      <c r="BB326" s="1440">
        <f ca="1">IF(B326&gt;=$J$5,0,(((CONTADORES!G338-CONTADORES!G337)+(CONTADORES!AP338-CONTADORES!AP337)+AR326)-(AV326+BC326)))</f>
        <v>0</v>
      </c>
      <c r="BC326" s="1438">
        <f ca="1">IF(B326&gt;=$J$5,0,(CONTADORES!AW338-CONTADORES!AW337)+(CONTADORES!AY338-CONTADORES!AY337)+(CONTADORES!BD338-CONTADORES!BD337))</f>
        <v>0</v>
      </c>
      <c r="BD326" s="1438">
        <f t="shared" ca="1" si="138"/>
        <v>0</v>
      </c>
      <c r="BE326" s="1439">
        <f ca="1">IF($B326&gt;=$J$5,0,CONTADORES!$BE338)</f>
        <v>0</v>
      </c>
      <c r="BF326" s="1438">
        <f ca="1">IF($B326&gt;=$J$5,0,CONTADORES!$BF338)</f>
        <v>0</v>
      </c>
      <c r="BG326" s="1438">
        <f ca="1">IF($B326&gt;=$J$5,0,CONTADORES!$BH338)</f>
        <v>0</v>
      </c>
      <c r="BH326" s="1438">
        <f ca="1">IF(B326&gt;=$J$5,0,(CONTADORES!AQ338-CONTADORES!AQ337))</f>
        <v>0</v>
      </c>
      <c r="BI326" s="1438">
        <f ca="1">IF(B326&gt;=$J$5,0,(CONTADORES!AR338-CONTADORES!AR337))</f>
        <v>0</v>
      </c>
      <c r="BJ326" s="1438">
        <f ca="1">IF(B326&gt;=$J$5,0,CONTADORES!BI338-CONTADORES!BI337)/1000</f>
        <v>0</v>
      </c>
      <c r="BK326" s="1439">
        <f ca="1">IF(B326&gt;=$J$5,0,CONTADORES!BJ338-CONTADORES!BJ337)</f>
        <v>0</v>
      </c>
      <c r="BL326" s="1438">
        <f ca="1">IF(B326&gt;=$J$5,0,CONTADORES!BK338-CONTADORES!BK337)</f>
        <v>0</v>
      </c>
      <c r="BM326" s="1438">
        <f ca="1">IF(B326&gt;=$J$5,0,CONTADORES!BL338-CONTADORES!BL337)/1000</f>
        <v>0</v>
      </c>
      <c r="BN326" s="1438">
        <f ca="1">IF(B326&gt;=$J$5,0,CONTADORES!BM338-CONTADORES!BM337)/1000</f>
        <v>0</v>
      </c>
      <c r="BO326" s="1438">
        <f ca="1">IF(B326&gt;=$J$5,0,CONTADORES!BN338-CONTADORES!BN337)</f>
        <v>0</v>
      </c>
      <c r="BP326" s="1438">
        <f ca="1">IF(B326&gt;=$J$5,0,CONTADORES!BO338-CONTADORES!BO337)/1000</f>
        <v>0</v>
      </c>
      <c r="BQ326" s="1438">
        <f ca="1">IF(B326&gt;=$J$5,0,CONTADORES!BP338-CONTADORES!BP337)/1000</f>
        <v>0</v>
      </c>
      <c r="BR326" s="1438">
        <f ca="1">IF(B326&gt;=$J$5,0,CONTADORES!BQ338-CONTADORES!BQ337)</f>
        <v>0</v>
      </c>
      <c r="BS326" s="1438">
        <f ca="1">IF(B326&gt;=$J$5,0,(CONTADORES!BT338-CONTADORES!BT337)+(CONTADORES!BV338-CONTADORES!BV337))/1000</f>
        <v>0</v>
      </c>
      <c r="BT326" s="1438">
        <f ca="1">IF(B326&gt;=$J$5,0,(CONTADORES!BU338-CONTADORES!BU337)+(CONTADORES!BW338-CONTADORES!BW337))/1000</f>
        <v>0</v>
      </c>
      <c r="BU326" s="1438">
        <f ca="1">IF(B326&gt;=$J$5,0,CONTADORES!BR338-CONTADORES!BR337)</f>
        <v>0</v>
      </c>
      <c r="BV326" s="1438">
        <f ca="1">IF(B326&gt;=$J$5,0,CONTADORES!BS338-CONTADORES!BS337)</f>
        <v>0</v>
      </c>
      <c r="BW326" s="1438">
        <f t="shared" ca="1" si="139"/>
        <v>0</v>
      </c>
      <c r="BX326" s="1438">
        <f t="shared" ca="1" si="140"/>
        <v>0</v>
      </c>
      <c r="BY326" s="1438">
        <f t="shared" ca="1" si="141"/>
        <v>0</v>
      </c>
      <c r="BZ326" s="1438">
        <f t="shared" ca="1" si="142"/>
        <v>0</v>
      </c>
      <c r="CA326" s="1438">
        <f t="shared" ca="1" si="143"/>
        <v>0</v>
      </c>
      <c r="CB326" s="1438">
        <f t="shared" ca="1" si="144"/>
        <v>0</v>
      </c>
      <c r="CC326" s="1438">
        <f t="shared" ca="1" si="145"/>
        <v>0</v>
      </c>
      <c r="CD326" s="1438">
        <f t="shared" ca="1" si="146"/>
        <v>0</v>
      </c>
      <c r="CE326" s="1438">
        <f ca="1">IF(B326&gt;=$J$5,0,CONTADORES!BS338-CONTADORES!BS337)</f>
        <v>0</v>
      </c>
      <c r="CF326" s="1438">
        <f t="shared" ca="1" si="147"/>
        <v>0</v>
      </c>
      <c r="CG326" s="1438">
        <f t="shared" ca="1" si="148"/>
        <v>0</v>
      </c>
      <c r="CH326" s="1438">
        <f t="shared" ca="1" si="149"/>
        <v>0</v>
      </c>
      <c r="CI326" s="1438">
        <f t="shared" ca="1" si="150"/>
        <v>0</v>
      </c>
      <c r="CJ326" s="1444">
        <f ca="1">IF($B326&gt;=$J$5,0,CONTADORES!$BG338)</f>
        <v>0</v>
      </c>
      <c r="CK326" s="1406">
        <f>CONTADORES!E338</f>
        <v>0</v>
      </c>
      <c r="CL326" s="1406">
        <f>CONTADORES!BX338</f>
        <v>0</v>
      </c>
    </row>
    <row r="327" spans="2:90">
      <c r="B327" s="410">
        <v>45243</v>
      </c>
      <c r="C327" s="204">
        <f t="shared" ca="1" si="126"/>
        <v>0</v>
      </c>
      <c r="D327" s="202">
        <f ca="1">'CALCULO DE GAS'!P152</f>
        <v>0</v>
      </c>
      <c r="E327" s="202">
        <f ca="1">IF(B327&gt;=$J$5,0,(CONTADORES!$AB339-CONTADORES!$AB338)-$H327)</f>
        <v>0</v>
      </c>
      <c r="F327" s="204">
        <f t="shared" ca="1" si="154"/>
        <v>0</v>
      </c>
      <c r="G327" s="202">
        <f ca="1">IF(B327&gt;=$J$5,0,CONTADORES!$AD339-CONTADORES!$AD338)</f>
        <v>0</v>
      </c>
      <c r="H327" s="202">
        <f ca="1">IF(G327&gt;0,CONTADORES!$AC339-CONTADORES!$AC338,0)</f>
        <v>0</v>
      </c>
      <c r="I327" s="205">
        <f ca="1">IF(B327&gt;=$J$5,0,CONTADORES!$Z339-CONTADORES!$Z338)</f>
        <v>0</v>
      </c>
      <c r="J327" s="204">
        <f t="shared" ca="1" si="127"/>
        <v>0</v>
      </c>
      <c r="K327" s="202">
        <f ca="1">'CALCULO DE GAS'!Q152</f>
        <v>0</v>
      </c>
      <c r="L327" s="1437">
        <f ca="1">IF(B327&gt;=$J$5,0,(CONTADORES!$W339-CONTADORES!$W338)-$O327)</f>
        <v>0</v>
      </c>
      <c r="M327" s="1437">
        <f t="shared" ca="1" si="155"/>
        <v>0</v>
      </c>
      <c r="N327" s="1437">
        <f ca="1">IF(B327&gt;=$J$5,0,CONTADORES!$Y339-CONTADORES!$Y338)</f>
        <v>0</v>
      </c>
      <c r="O327" s="1437">
        <f ca="1">IF(N327&gt;0,CONTADORES!$X339-CONTADORES!$X338,0)</f>
        <v>0</v>
      </c>
      <c r="P327" s="208">
        <f ca="1">IF(B327&gt;=$J$5,0,CONTADORES!$U339-CONTADORES!$U338)</f>
        <v>0</v>
      </c>
      <c r="Q327" s="208">
        <f ca="1">IF(B327&gt;=$J$5,0,CONTADORES!$B339-CONTADORES!$B338)</f>
        <v>0</v>
      </c>
      <c r="R327" s="202">
        <f t="shared" ca="1" si="128"/>
        <v>0</v>
      </c>
      <c r="S327" s="11">
        <f ca="1">IF(B327&gt;=$J$5,0,CONTADORES!$D339-CONTADORES!$D338)</f>
        <v>0</v>
      </c>
      <c r="T327" s="204">
        <f ca="1">IF(B327&gt;=$J$5,0,CONTADORES!$AZ339-CONTADORES!$AZ338)</f>
        <v>0</v>
      </c>
      <c r="U327" s="202">
        <f t="shared" ca="1" si="152"/>
        <v>0</v>
      </c>
      <c r="V327" s="11">
        <f ca="1">IF(B327&gt;=$J$5,0,CONTADORES!$BB339-CONTADORES!$BB338)</f>
        <v>0</v>
      </c>
      <c r="W327" s="1438">
        <f t="shared" ca="1" si="129"/>
        <v>0</v>
      </c>
      <c r="X327" s="1438">
        <f t="shared" ca="1" si="130"/>
        <v>0</v>
      </c>
      <c r="Y327" s="1439">
        <f t="shared" ca="1" si="131"/>
        <v>0</v>
      </c>
      <c r="Z327" s="1439">
        <f t="shared" ca="1" si="132"/>
        <v>0</v>
      </c>
      <c r="AA327" s="1439">
        <f t="shared" ca="1" si="133"/>
        <v>0</v>
      </c>
      <c r="AB327" s="1439">
        <f t="shared" ca="1" si="134"/>
        <v>0</v>
      </c>
      <c r="AC327" s="1438">
        <f t="shared" ca="1" si="135"/>
        <v>0</v>
      </c>
      <c r="AD327" s="1448">
        <f ca="1">IF(B327&gt;=$J$5,0,CONTADORES!H339-CONTADORES!H338)</f>
        <v>0</v>
      </c>
      <c r="AE327" s="1438">
        <f ca="1">IF(B327&gt;=$J$5,0,CONTADORES!J339-CONTADORES!J338)</f>
        <v>0</v>
      </c>
      <c r="AF327" s="1438">
        <f ca="1">IF(B327&gt;=$J$5,0,CONTADORES!AS339-CONTADORES!AS338)</f>
        <v>0</v>
      </c>
      <c r="AG327" s="1438">
        <f ca="1">IF(B327&gt;=$J$5,0,CONTADORES!AU339-CONTADORES!AU338)</f>
        <v>0</v>
      </c>
      <c r="AH327" s="1439">
        <f ca="1">IF(B327&gt;=$J$5,0,(CONTADORES!AK339-CONTADORES!AK338)+(CONTADORES!K339-CONTADORES!K338))</f>
        <v>0</v>
      </c>
      <c r="AI327" s="1438">
        <f ca="1">IF(B327&gt;=$J$5,0,(CONTADORES!AI339-CONTADORES!AI338)+(CONTADORES!M339-CONTADORES!M338))</f>
        <v>0</v>
      </c>
      <c r="AJ327" s="1438">
        <f ca="1">IF(B327&gt;=$J$5,0,(CONTADORES!AG339-CONTADORES!AG338))</f>
        <v>0</v>
      </c>
      <c r="AK327" s="1438">
        <f ca="1">IF(B327&gt;=$J$5,0,(CONTADORES!O339-CONTADORES!O338))</f>
        <v>0</v>
      </c>
      <c r="AL327" s="1500">
        <f t="shared" ca="1" si="136"/>
        <v>0</v>
      </c>
      <c r="AM327" s="1438">
        <f ca="1">IF(B327&gt;=$J$5,0,(((CONTADORES!F339-CONTADORES!F338)+(CONTADORES!AO339-CONTADORES!AO338))))-BJ327-AF327-AN327-BM327-BP327-BU327-BS327+T327</f>
        <v>0</v>
      </c>
      <c r="AN327" s="1438">
        <f ca="1">IF(B327&gt;=$J$5,0,(CONTADORES!AV339-CONTADORES!AV338)+(CONTADORES!AX339-CONTADORES!AX338)+(CONTADORES!BC339-CONTADORES!BC338))-BS327</f>
        <v>0</v>
      </c>
      <c r="AO327" s="1440">
        <f ca="1">IF(B327&gt;=$J$5,0,(CONTADORES!AA339-CONTADORES!AA338))</f>
        <v>0</v>
      </c>
      <c r="AP327" s="1474">
        <f ca="1">IF(B327&gt;=$J$5,0,(CONTADORES!V339-CONTADORES!V338))</f>
        <v>0</v>
      </c>
      <c r="AQ327" s="1440">
        <f ca="1">IF(B327&gt;=$J$5,0,(CONTADORES!C339-CONTADORES!C338))</f>
        <v>0</v>
      </c>
      <c r="AR327" s="1440">
        <f ca="1">IF(B327&gt;=$J$5,0,(CONTADORES!BA339-CONTADORES!BA338))</f>
        <v>0</v>
      </c>
      <c r="AS327" s="1438">
        <f ca="1">IF(B327&gt;=$J$5,0,CONTADORES!Q339-CONTADORES!Q338)</f>
        <v>0</v>
      </c>
      <c r="AT327" s="1438">
        <f ca="1">IF(B327&gt;=$J$5,0,(CONTADORES!S339-CONTADORES!S338)+(CONTADORES!AE339-CONTADORES!AE338))</f>
        <v>0</v>
      </c>
      <c r="AU327" s="1474">
        <f ca="1">IF(B327&gt;=$J$5,0,(CONTADORES!I339-CONTADORES!I338))</f>
        <v>0</v>
      </c>
      <c r="AV327" s="1440">
        <f ca="1">IF(B327&gt;=$J$5,0,(CONTADORES!AT339-CONTADORES!AT338))</f>
        <v>0</v>
      </c>
      <c r="AW327" s="1474">
        <f ca="1">IF(B327&gt;=$J$5,0,(CONTADORES!L339-CONTADORES!L338)+(CONTADORES!AL339-CONTADORES!AL338))</f>
        <v>0</v>
      </c>
      <c r="AX327" s="1440">
        <f ca="1">IF(B327&gt;=$J$5,0,(CONTADORES!N339-CONTADORES!N338)+(CONTADORES!AJ339-CONTADORES!AJ338))</f>
        <v>0</v>
      </c>
      <c r="AY327" s="1440">
        <f ca="1">IF(B327&gt;=$J$5,0,(CONTADORES!AH339-CONTADORES!AH338))</f>
        <v>0</v>
      </c>
      <c r="AZ327" s="1440">
        <f ca="1">IF(B327&gt;=$J$5,0,(CONTADORES!P339-CONTADORES!P338))</f>
        <v>0</v>
      </c>
      <c r="BA327" s="1450">
        <f t="shared" ca="1" si="137"/>
        <v>0</v>
      </c>
      <c r="BB327" s="1440">
        <f ca="1">IF(B327&gt;=$J$5,0,(((CONTADORES!G339-CONTADORES!G338)+(CONTADORES!AP339-CONTADORES!AP338)+AR327)-(AV327+BC327)))</f>
        <v>0</v>
      </c>
      <c r="BC327" s="1438">
        <f ca="1">IF(B327&gt;=$J$5,0,(CONTADORES!AW339-CONTADORES!AW338)+(CONTADORES!AY339-CONTADORES!AY338)+(CONTADORES!BD339-CONTADORES!BD338))</f>
        <v>0</v>
      </c>
      <c r="BD327" s="1438">
        <f t="shared" ca="1" si="138"/>
        <v>0</v>
      </c>
      <c r="BE327" s="1439">
        <f ca="1">IF($B327&gt;=$J$5,0,CONTADORES!$BE339)</f>
        <v>0</v>
      </c>
      <c r="BF327" s="1438">
        <f ca="1">IF($B327&gt;=$J$5,0,CONTADORES!$BF339)</f>
        <v>0</v>
      </c>
      <c r="BG327" s="1438">
        <f ca="1">IF($B327&gt;=$J$5,0,CONTADORES!$BH339)</f>
        <v>0</v>
      </c>
      <c r="BH327" s="1438">
        <f ca="1">IF(B327&gt;=$J$5,0,(CONTADORES!AQ339-CONTADORES!AQ338))</f>
        <v>0</v>
      </c>
      <c r="BI327" s="1438">
        <f ca="1">IF(B327&gt;=$J$5,0,(CONTADORES!AR339-CONTADORES!AR338))</f>
        <v>0</v>
      </c>
      <c r="BJ327" s="1438">
        <f ca="1">IF(B327&gt;=$J$5,0,CONTADORES!BI339-CONTADORES!BI338)/1000</f>
        <v>0</v>
      </c>
      <c r="BK327" s="1439">
        <f ca="1">IF(B327&gt;=$J$5,0,CONTADORES!BJ339-CONTADORES!BJ338)</f>
        <v>0</v>
      </c>
      <c r="BL327" s="1438">
        <f ca="1">IF(B327&gt;=$J$5,0,CONTADORES!BK339-CONTADORES!BK338)</f>
        <v>0</v>
      </c>
      <c r="BM327" s="1438">
        <f ca="1">IF(B327&gt;=$J$5,0,CONTADORES!BL339-CONTADORES!BL338)/1000</f>
        <v>0</v>
      </c>
      <c r="BN327" s="1438">
        <f ca="1">IF(B327&gt;=$J$5,0,CONTADORES!BM339-CONTADORES!BM338)/1000</f>
        <v>0</v>
      </c>
      <c r="BO327" s="1438">
        <f ca="1">IF(B327&gt;=$J$5,0,CONTADORES!BN339-CONTADORES!BN338)</f>
        <v>0</v>
      </c>
      <c r="BP327" s="1438">
        <f ca="1">IF(B327&gt;=$J$5,0,CONTADORES!BO339-CONTADORES!BO338)/1000</f>
        <v>0</v>
      </c>
      <c r="BQ327" s="1438">
        <f ca="1">IF(B327&gt;=$J$5,0,CONTADORES!BP339-CONTADORES!BP338)/1000</f>
        <v>0</v>
      </c>
      <c r="BR327" s="1438">
        <f ca="1">IF(B327&gt;=$J$5,0,CONTADORES!BQ339-CONTADORES!BQ338)</f>
        <v>0</v>
      </c>
      <c r="BS327" s="1438">
        <f ca="1">IF(B327&gt;=$J$5,0,(CONTADORES!BT339-CONTADORES!BT338)+(CONTADORES!BV339-CONTADORES!BV338))/1000</f>
        <v>0</v>
      </c>
      <c r="BT327" s="1438">
        <f ca="1">IF(B327&gt;=$J$5,0,(CONTADORES!BU339-CONTADORES!BU338)+(CONTADORES!BW339-CONTADORES!BW338))/1000</f>
        <v>0</v>
      </c>
      <c r="BU327" s="1438">
        <f ca="1">IF(B327&gt;=$J$5,0,CONTADORES!BR339-CONTADORES!BR338)</f>
        <v>0</v>
      </c>
      <c r="BV327" s="1438">
        <f ca="1">IF(B327&gt;=$J$5,0,CONTADORES!BS339-CONTADORES!BS338)</f>
        <v>0</v>
      </c>
      <c r="BW327" s="1438">
        <f t="shared" ca="1" si="139"/>
        <v>0</v>
      </c>
      <c r="BX327" s="1438">
        <f t="shared" ca="1" si="140"/>
        <v>0</v>
      </c>
      <c r="BY327" s="1438">
        <f t="shared" ca="1" si="141"/>
        <v>0</v>
      </c>
      <c r="BZ327" s="1438">
        <f t="shared" ca="1" si="142"/>
        <v>0</v>
      </c>
      <c r="CA327" s="1438">
        <f t="shared" ca="1" si="143"/>
        <v>0</v>
      </c>
      <c r="CB327" s="1438">
        <f t="shared" ca="1" si="144"/>
        <v>0</v>
      </c>
      <c r="CC327" s="1438">
        <f t="shared" ca="1" si="145"/>
        <v>0</v>
      </c>
      <c r="CD327" s="1438">
        <f t="shared" ca="1" si="146"/>
        <v>0</v>
      </c>
      <c r="CE327" s="1438">
        <f ca="1">IF(B327&gt;=$J$5,0,CONTADORES!BS339-CONTADORES!BS338)</f>
        <v>0</v>
      </c>
      <c r="CF327" s="1438">
        <f t="shared" ca="1" si="147"/>
        <v>0</v>
      </c>
      <c r="CG327" s="1438">
        <f t="shared" ca="1" si="148"/>
        <v>0</v>
      </c>
      <c r="CH327" s="1438">
        <f t="shared" ca="1" si="149"/>
        <v>0</v>
      </c>
      <c r="CI327" s="1438">
        <f t="shared" ca="1" si="150"/>
        <v>0</v>
      </c>
      <c r="CJ327" s="1444">
        <f ca="1">IF($B327&gt;=$J$5,0,CONTADORES!$BG339)</f>
        <v>0</v>
      </c>
      <c r="CK327" s="1406">
        <f>CONTADORES!E339</f>
        <v>0</v>
      </c>
      <c r="CL327" s="1406">
        <f>CONTADORES!BX339</f>
        <v>0</v>
      </c>
    </row>
    <row r="328" spans="2:90">
      <c r="B328" s="410">
        <v>45244</v>
      </c>
      <c r="C328" s="204">
        <f t="shared" ca="1" si="126"/>
        <v>0</v>
      </c>
      <c r="D328" s="202">
        <f ca="1">'CALCULO DE GAS'!P153</f>
        <v>0</v>
      </c>
      <c r="E328" s="202">
        <f ca="1">IF(B328&gt;=$J$5,0,(CONTADORES!$AB340-CONTADORES!$AB339)-$H328)</f>
        <v>0</v>
      </c>
      <c r="F328" s="204">
        <f t="shared" ca="1" si="154"/>
        <v>0</v>
      </c>
      <c r="G328" s="202">
        <f ca="1">IF(B328&gt;=$J$5,0,CONTADORES!$AD340-CONTADORES!$AD339)</f>
        <v>0</v>
      </c>
      <c r="H328" s="202">
        <f ca="1">IF(G328&gt;0,CONTADORES!$AC340-CONTADORES!$AC339,0)</f>
        <v>0</v>
      </c>
      <c r="I328" s="205">
        <f ca="1">IF(B328&gt;=$J$5,0,CONTADORES!$Z340-CONTADORES!$Z339)</f>
        <v>0</v>
      </c>
      <c r="J328" s="204">
        <f t="shared" ca="1" si="127"/>
        <v>0</v>
      </c>
      <c r="K328" s="202">
        <f ca="1">'CALCULO DE GAS'!Q153</f>
        <v>0</v>
      </c>
      <c r="L328" s="1437">
        <f ca="1">IF(B328&gt;=$J$5,0,(CONTADORES!$W340-CONTADORES!$W339)-$O328)</f>
        <v>0</v>
      </c>
      <c r="M328" s="1437">
        <f t="shared" ca="1" si="155"/>
        <v>0</v>
      </c>
      <c r="N328" s="1437">
        <f ca="1">IF(B328&gt;=$J$5,0,CONTADORES!$Y340-CONTADORES!$Y339)</f>
        <v>0</v>
      </c>
      <c r="O328" s="1437">
        <f ca="1">IF(N328&gt;0,CONTADORES!$X340-CONTADORES!$X339,0)</f>
        <v>0</v>
      </c>
      <c r="P328" s="208">
        <f ca="1">IF(B328&gt;=$J$5,0,CONTADORES!$U340-CONTADORES!$U339)</f>
        <v>0</v>
      </c>
      <c r="Q328" s="208">
        <f ca="1">IF(B328&gt;=$J$5,0,CONTADORES!$B340-CONTADORES!$B339)</f>
        <v>0</v>
      </c>
      <c r="R328" s="202">
        <f t="shared" ca="1" si="128"/>
        <v>0</v>
      </c>
      <c r="S328" s="11">
        <f ca="1">IF(B328&gt;=$J$5,0,CONTADORES!$D340-CONTADORES!$D339)</f>
        <v>0</v>
      </c>
      <c r="T328" s="204">
        <f ca="1">IF(B328&gt;=$J$5,0,CONTADORES!$AZ340-CONTADORES!$AZ339)</f>
        <v>0</v>
      </c>
      <c r="U328" s="202">
        <f t="shared" ca="1" si="152"/>
        <v>0</v>
      </c>
      <c r="V328" s="11">
        <f ca="1">IF(B328&gt;=$J$5,0,CONTADORES!$BB340-CONTADORES!$BB339)</f>
        <v>0</v>
      </c>
      <c r="W328" s="1438">
        <f t="shared" ca="1" si="129"/>
        <v>0</v>
      </c>
      <c r="X328" s="1438">
        <f t="shared" ca="1" si="130"/>
        <v>0</v>
      </c>
      <c r="Y328" s="1439">
        <f t="shared" ca="1" si="131"/>
        <v>0</v>
      </c>
      <c r="Z328" s="1439">
        <f t="shared" ca="1" si="132"/>
        <v>0</v>
      </c>
      <c r="AA328" s="1439">
        <f t="shared" ca="1" si="133"/>
        <v>0</v>
      </c>
      <c r="AB328" s="1439">
        <f t="shared" ca="1" si="134"/>
        <v>0</v>
      </c>
      <c r="AC328" s="1438">
        <f t="shared" ca="1" si="135"/>
        <v>0</v>
      </c>
      <c r="AD328" s="1448">
        <f ca="1">IF(B328&gt;=$J$5,0,CONTADORES!H340-CONTADORES!H339)</f>
        <v>0</v>
      </c>
      <c r="AE328" s="1438">
        <f ca="1">IF(B328&gt;=$J$5,0,CONTADORES!J340-CONTADORES!J339)</f>
        <v>0</v>
      </c>
      <c r="AF328" s="1438">
        <f ca="1">IF(B328&gt;=$J$5,0,CONTADORES!AS340-CONTADORES!AS339)</f>
        <v>0</v>
      </c>
      <c r="AG328" s="1438">
        <f ca="1">IF(B328&gt;=$J$5,0,CONTADORES!AU340-CONTADORES!AU339)</f>
        <v>0</v>
      </c>
      <c r="AH328" s="1439">
        <f ca="1">IF(B328&gt;=$J$5,0,(CONTADORES!AK340-CONTADORES!AK339)+(CONTADORES!K340-CONTADORES!K339))</f>
        <v>0</v>
      </c>
      <c r="AI328" s="1438">
        <f ca="1">IF(B328&gt;=$J$5,0,(CONTADORES!AI340-CONTADORES!AI339)+(CONTADORES!M340-CONTADORES!M339))</f>
        <v>0</v>
      </c>
      <c r="AJ328" s="1438">
        <f ca="1">IF(B328&gt;=$J$5,0,(CONTADORES!AG340-CONTADORES!AG339))</f>
        <v>0</v>
      </c>
      <c r="AK328" s="1438">
        <f ca="1">IF(B328&gt;=$J$5,0,(CONTADORES!O340-CONTADORES!O339))</f>
        <v>0</v>
      </c>
      <c r="AL328" s="1500">
        <f t="shared" ca="1" si="136"/>
        <v>0</v>
      </c>
      <c r="AM328" s="1438">
        <f ca="1">IF(B328&gt;=$J$5,0,(((CONTADORES!F340-CONTADORES!F339)+(CONTADORES!AO340-CONTADORES!AO339))))-BJ328-AF328-AN328-BM328-BP328-BU328-BS328+T328</f>
        <v>0</v>
      </c>
      <c r="AN328" s="1438">
        <f ca="1">IF(B328&gt;=$J$5,0,(CONTADORES!AV340-CONTADORES!AV339)+(CONTADORES!AX340-CONTADORES!AX339)+(CONTADORES!BC340-CONTADORES!BC339))-BS328</f>
        <v>0</v>
      </c>
      <c r="AO328" s="1440">
        <f ca="1">IF(B328&gt;=$J$5,0,(CONTADORES!AA340-CONTADORES!AA339))</f>
        <v>0</v>
      </c>
      <c r="AP328" s="1474">
        <f ca="1">IF(B328&gt;=$J$5,0,(CONTADORES!V340-CONTADORES!V339))</f>
        <v>0</v>
      </c>
      <c r="AQ328" s="1440">
        <f ca="1">IF(B328&gt;=$J$5,0,(CONTADORES!C340-CONTADORES!C339))</f>
        <v>0</v>
      </c>
      <c r="AR328" s="1440">
        <f ca="1">IF(B328&gt;=$J$5,0,(CONTADORES!BA340-CONTADORES!BA339))</f>
        <v>0</v>
      </c>
      <c r="AS328" s="1438">
        <f ca="1">IF(B328&gt;=$J$5,0,CONTADORES!Q340-CONTADORES!Q339)</f>
        <v>0</v>
      </c>
      <c r="AT328" s="1438">
        <f ca="1">IF(B328&gt;=$J$5,0,(CONTADORES!S340-CONTADORES!S339)+(CONTADORES!AE340-CONTADORES!AE339))</f>
        <v>0</v>
      </c>
      <c r="AU328" s="1474">
        <f ca="1">IF(B328&gt;=$J$5,0,(CONTADORES!I340-CONTADORES!I339))</f>
        <v>0</v>
      </c>
      <c r="AV328" s="1440">
        <f ca="1">IF(B328&gt;=$J$5,0,(CONTADORES!AT340-CONTADORES!AT339))</f>
        <v>0</v>
      </c>
      <c r="AW328" s="1474">
        <f ca="1">IF(B328&gt;=$J$5,0,(CONTADORES!L340-CONTADORES!L339)+(CONTADORES!AL340-CONTADORES!AL339))</f>
        <v>0</v>
      </c>
      <c r="AX328" s="1440">
        <f ca="1">IF(B328&gt;=$J$5,0,(CONTADORES!N340-CONTADORES!N339)+(CONTADORES!AJ340-CONTADORES!AJ339))</f>
        <v>0</v>
      </c>
      <c r="AY328" s="1440">
        <f ca="1">IF(B328&gt;=$J$5,0,(CONTADORES!AH340-CONTADORES!AH339))</f>
        <v>0</v>
      </c>
      <c r="AZ328" s="1440">
        <f ca="1">IF(B328&gt;=$J$5,0,(CONTADORES!P340-CONTADORES!P339))</f>
        <v>0</v>
      </c>
      <c r="BA328" s="1450">
        <f t="shared" ca="1" si="137"/>
        <v>0</v>
      </c>
      <c r="BB328" s="1440">
        <f ca="1">IF(B328&gt;=$J$5,0,(((CONTADORES!G340-CONTADORES!G339)+(CONTADORES!AP340-CONTADORES!AP339)+AR328)-(AV328+BC328)))</f>
        <v>0</v>
      </c>
      <c r="BC328" s="1438">
        <f ca="1">IF(B328&gt;=$J$5,0,(CONTADORES!AW340-CONTADORES!AW339)+(CONTADORES!AY340-CONTADORES!AY339)+(CONTADORES!BD340-CONTADORES!BD339))</f>
        <v>0</v>
      </c>
      <c r="BD328" s="1438">
        <f t="shared" ca="1" si="138"/>
        <v>0</v>
      </c>
      <c r="BE328" s="1439">
        <f ca="1">IF($B328&gt;=$J$5,0,CONTADORES!$BE340)</f>
        <v>0</v>
      </c>
      <c r="BF328" s="1438">
        <f ca="1">IF($B328&gt;=$J$5,0,CONTADORES!$BF340)</f>
        <v>0</v>
      </c>
      <c r="BG328" s="1438">
        <f ca="1">IF($B328&gt;=$J$5,0,CONTADORES!$BH340)</f>
        <v>0</v>
      </c>
      <c r="BH328" s="1438">
        <f ca="1">IF(B328&gt;=$J$5,0,(CONTADORES!AQ340-CONTADORES!AQ339))</f>
        <v>0</v>
      </c>
      <c r="BI328" s="1438">
        <f ca="1">IF(B328&gt;=$J$5,0,(CONTADORES!AR340-CONTADORES!AR339))</f>
        <v>0</v>
      </c>
      <c r="BJ328" s="1438">
        <f ca="1">IF(B328&gt;=$J$5,0,CONTADORES!BI340-CONTADORES!BI339)/1000</f>
        <v>0</v>
      </c>
      <c r="BK328" s="1439">
        <f ca="1">IF(B328&gt;=$J$5,0,CONTADORES!BJ340-CONTADORES!BJ339)</f>
        <v>0</v>
      </c>
      <c r="BL328" s="1438">
        <f ca="1">IF(B328&gt;=$J$5,0,CONTADORES!BK340-CONTADORES!BK339)</f>
        <v>0</v>
      </c>
      <c r="BM328" s="1438">
        <f ca="1">IF(B328&gt;=$J$5,0,CONTADORES!BL340-CONTADORES!BL339)/1000</f>
        <v>0</v>
      </c>
      <c r="BN328" s="1438">
        <f ca="1">IF(B328&gt;=$J$5,0,CONTADORES!BM340-CONTADORES!BM339)/1000</f>
        <v>0</v>
      </c>
      <c r="BO328" s="1438">
        <f ca="1">IF(B328&gt;=$J$5,0,CONTADORES!BN340-CONTADORES!BN339)</f>
        <v>0</v>
      </c>
      <c r="BP328" s="1438">
        <f ca="1">IF(B328&gt;=$J$5,0,CONTADORES!BO340-CONTADORES!BO339)/1000</f>
        <v>0</v>
      </c>
      <c r="BQ328" s="1438">
        <f ca="1">IF(B328&gt;=$J$5,0,CONTADORES!BP340-CONTADORES!BP339)/1000</f>
        <v>0</v>
      </c>
      <c r="BR328" s="1438">
        <f ca="1">IF(B328&gt;=$J$5,0,CONTADORES!BQ340-CONTADORES!BQ339)</f>
        <v>0</v>
      </c>
      <c r="BS328" s="1438">
        <f ca="1">IF(B328&gt;=$J$5,0,(CONTADORES!BT340-CONTADORES!BT339)+(CONTADORES!BV340-CONTADORES!BV339))/1000</f>
        <v>0</v>
      </c>
      <c r="BT328" s="1438">
        <f ca="1">IF(B328&gt;=$J$5,0,(CONTADORES!BU340-CONTADORES!BU339)+(CONTADORES!BW340-CONTADORES!BW339))/1000</f>
        <v>0</v>
      </c>
      <c r="BU328" s="1438">
        <f ca="1">IF(B328&gt;=$J$5,0,CONTADORES!BR340-CONTADORES!BR339)</f>
        <v>0</v>
      </c>
      <c r="BV328" s="1438">
        <f ca="1">IF(B328&gt;=$J$5,0,CONTADORES!BS340-CONTADORES!BS339)</f>
        <v>0</v>
      </c>
      <c r="BW328" s="1438">
        <f t="shared" ca="1" si="139"/>
        <v>0</v>
      </c>
      <c r="BX328" s="1438">
        <f t="shared" ca="1" si="140"/>
        <v>0</v>
      </c>
      <c r="BY328" s="1438">
        <f t="shared" ca="1" si="141"/>
        <v>0</v>
      </c>
      <c r="BZ328" s="1438">
        <f t="shared" ca="1" si="142"/>
        <v>0</v>
      </c>
      <c r="CA328" s="1438">
        <f t="shared" ca="1" si="143"/>
        <v>0</v>
      </c>
      <c r="CB328" s="1438">
        <f t="shared" ca="1" si="144"/>
        <v>0</v>
      </c>
      <c r="CC328" s="1438">
        <f t="shared" ca="1" si="145"/>
        <v>0</v>
      </c>
      <c r="CD328" s="1438">
        <f t="shared" ca="1" si="146"/>
        <v>0</v>
      </c>
      <c r="CE328" s="1438">
        <f ca="1">IF(B328&gt;=$J$5,0,CONTADORES!BS340-CONTADORES!BS339)</f>
        <v>0</v>
      </c>
      <c r="CF328" s="1438">
        <f t="shared" ca="1" si="147"/>
        <v>0</v>
      </c>
      <c r="CG328" s="1438">
        <f t="shared" ca="1" si="148"/>
        <v>0</v>
      </c>
      <c r="CH328" s="1438">
        <f t="shared" ca="1" si="149"/>
        <v>0</v>
      </c>
      <c r="CI328" s="1438">
        <f t="shared" ca="1" si="150"/>
        <v>0</v>
      </c>
      <c r="CJ328" s="1444">
        <f ca="1">IF($B328&gt;=$J$5,0,CONTADORES!$BG340)</f>
        <v>0</v>
      </c>
      <c r="CK328" s="1406">
        <f>CONTADORES!E340</f>
        <v>0</v>
      </c>
      <c r="CL328" s="1406">
        <f>CONTADORES!BX340</f>
        <v>0</v>
      </c>
    </row>
    <row r="329" spans="2:90">
      <c r="B329" s="410">
        <v>45245</v>
      </c>
      <c r="C329" s="204">
        <f t="shared" ca="1" si="126"/>
        <v>0</v>
      </c>
      <c r="D329" s="202">
        <f ca="1">'CALCULO DE GAS'!P154</f>
        <v>0</v>
      </c>
      <c r="E329" s="202">
        <f ca="1">IF(B329&gt;=$J$5,0,(CONTADORES!$AB341-CONTADORES!$AB340)-$H329)</f>
        <v>0</v>
      </c>
      <c r="F329" s="204">
        <f t="shared" ca="1" si="154"/>
        <v>0</v>
      </c>
      <c r="G329" s="202">
        <f ca="1">IF(B329&gt;=$J$5,0,CONTADORES!$AD341-CONTADORES!$AD340)</f>
        <v>0</v>
      </c>
      <c r="H329" s="202">
        <f ca="1">IF(G329&gt;0,CONTADORES!$AC341-CONTADORES!$AC340,0)</f>
        <v>0</v>
      </c>
      <c r="I329" s="205">
        <f ca="1">IF(B329&gt;=$J$5,0,CONTADORES!$Z341-CONTADORES!$Z340)</f>
        <v>0</v>
      </c>
      <c r="J329" s="204">
        <f t="shared" ca="1" si="127"/>
        <v>0</v>
      </c>
      <c r="K329" s="202">
        <f ca="1">'CALCULO DE GAS'!Q154</f>
        <v>0</v>
      </c>
      <c r="L329" s="1437">
        <f ca="1">IF(B329&gt;=$J$5,0,(CONTADORES!$W341-CONTADORES!$W340)-$O329)</f>
        <v>0</v>
      </c>
      <c r="M329" s="1437">
        <f t="shared" ca="1" si="155"/>
        <v>0</v>
      </c>
      <c r="N329" s="1437">
        <f ca="1">IF(B329&gt;=$J$5,0,CONTADORES!$Y341-CONTADORES!$Y340)</f>
        <v>0</v>
      </c>
      <c r="O329" s="1437">
        <f ca="1">IF(N329&gt;0,CONTADORES!$X341-CONTADORES!$X340,0)</f>
        <v>0</v>
      </c>
      <c r="P329" s="208">
        <f ca="1">IF(B329&gt;=$J$5,0,CONTADORES!$U341-CONTADORES!$U340)</f>
        <v>0</v>
      </c>
      <c r="Q329" s="208">
        <f ca="1">IF(B329&gt;=$J$5,0,CONTADORES!$B341-CONTADORES!$B340)</f>
        <v>0</v>
      </c>
      <c r="R329" s="202">
        <f t="shared" ca="1" si="128"/>
        <v>0</v>
      </c>
      <c r="S329" s="11">
        <f ca="1">IF(B329&gt;=$J$5,0,CONTADORES!$D341-CONTADORES!$D340)</f>
        <v>0</v>
      </c>
      <c r="T329" s="204">
        <f ca="1">IF(B329&gt;=$J$5,0,CONTADORES!$AZ341-CONTADORES!$AZ340)</f>
        <v>0</v>
      </c>
      <c r="U329" s="202">
        <f t="shared" ca="1" si="152"/>
        <v>0</v>
      </c>
      <c r="V329" s="11">
        <f ca="1">IF(B329&gt;=$J$5,0,CONTADORES!$BB341-CONTADORES!$BB340)</f>
        <v>0</v>
      </c>
      <c r="W329" s="1438">
        <f t="shared" ca="1" si="129"/>
        <v>0</v>
      </c>
      <c r="X329" s="1438">
        <f t="shared" ca="1" si="130"/>
        <v>0</v>
      </c>
      <c r="Y329" s="1439">
        <f t="shared" ca="1" si="131"/>
        <v>0</v>
      </c>
      <c r="Z329" s="1439">
        <f t="shared" ca="1" si="132"/>
        <v>0</v>
      </c>
      <c r="AA329" s="1439">
        <f t="shared" ca="1" si="133"/>
        <v>0</v>
      </c>
      <c r="AB329" s="1439">
        <f t="shared" ca="1" si="134"/>
        <v>0</v>
      </c>
      <c r="AC329" s="1438">
        <f t="shared" ca="1" si="135"/>
        <v>0</v>
      </c>
      <c r="AD329" s="1448">
        <f ca="1">IF(B329&gt;=$J$5,0,CONTADORES!H341-CONTADORES!H340)</f>
        <v>0</v>
      </c>
      <c r="AE329" s="1438">
        <f ca="1">IF(B329&gt;=$J$5,0,CONTADORES!J341-CONTADORES!J340)</f>
        <v>0</v>
      </c>
      <c r="AF329" s="1438">
        <f ca="1">IF(B329&gt;=$J$5,0,CONTADORES!AS341-CONTADORES!AS340)</f>
        <v>0</v>
      </c>
      <c r="AG329" s="1438">
        <f ca="1">IF(B329&gt;=$J$5,0,CONTADORES!AU341-CONTADORES!AU340)</f>
        <v>0</v>
      </c>
      <c r="AH329" s="1439">
        <f ca="1">IF(B329&gt;=$J$5,0,(CONTADORES!AK341-CONTADORES!AK340)+(CONTADORES!K341-CONTADORES!K340))</f>
        <v>0</v>
      </c>
      <c r="AI329" s="1438">
        <f ca="1">IF(B329&gt;=$J$5,0,(CONTADORES!AI341-CONTADORES!AI340)+(CONTADORES!M341-CONTADORES!M340))</f>
        <v>0</v>
      </c>
      <c r="AJ329" s="1438">
        <f ca="1">IF(B329&gt;=$J$5,0,(CONTADORES!AG341-CONTADORES!AG340))</f>
        <v>0</v>
      </c>
      <c r="AK329" s="1438">
        <f ca="1">IF(B329&gt;=$J$5,0,(CONTADORES!O341-CONTADORES!O340))</f>
        <v>0</v>
      </c>
      <c r="AL329" s="1500">
        <f t="shared" ca="1" si="136"/>
        <v>0</v>
      </c>
      <c r="AM329" s="1438">
        <f ca="1">IF(B329&gt;=$J$5,0,(((CONTADORES!F341-CONTADORES!F340)+(CONTADORES!AO341-CONTADORES!AO340))))-BJ329-AF329-AN329-BM329-BP329-BU329-BS329+T329</f>
        <v>0</v>
      </c>
      <c r="AN329" s="1438">
        <f ca="1">IF(B329&gt;=$J$5,0,(CONTADORES!AV341-CONTADORES!AV340)+(CONTADORES!AX341-CONTADORES!AX340)+(CONTADORES!BC341-CONTADORES!BC340))-BS329</f>
        <v>0</v>
      </c>
      <c r="AO329" s="1440">
        <f ca="1">IF(B329&gt;=$J$5,0,(CONTADORES!AA341-CONTADORES!AA340))</f>
        <v>0</v>
      </c>
      <c r="AP329" s="1474">
        <f ca="1">IF(B329&gt;=$J$5,0,(CONTADORES!V341-CONTADORES!V340))</f>
        <v>0</v>
      </c>
      <c r="AQ329" s="1440">
        <f ca="1">IF(B329&gt;=$J$5,0,(CONTADORES!C341-CONTADORES!C340))</f>
        <v>0</v>
      </c>
      <c r="AR329" s="1440">
        <f ca="1">IF(B329&gt;=$J$5,0,(CONTADORES!BA341-CONTADORES!BA340))</f>
        <v>0</v>
      </c>
      <c r="AS329" s="1438">
        <f ca="1">IF(B329&gt;=$J$5,0,CONTADORES!Q341-CONTADORES!Q340)</f>
        <v>0</v>
      </c>
      <c r="AT329" s="1438">
        <f ca="1">IF(B329&gt;=$J$5,0,(CONTADORES!S341-CONTADORES!S340)+(CONTADORES!AE341-CONTADORES!AE340))</f>
        <v>0</v>
      </c>
      <c r="AU329" s="1474">
        <f ca="1">IF(B329&gt;=$J$5,0,(CONTADORES!I341-CONTADORES!I340))</f>
        <v>0</v>
      </c>
      <c r="AV329" s="1440">
        <f ca="1">IF(B329&gt;=$J$5,0,(CONTADORES!AT341-CONTADORES!AT340))</f>
        <v>0</v>
      </c>
      <c r="AW329" s="1474">
        <f ca="1">IF(B329&gt;=$J$5,0,(CONTADORES!L341-CONTADORES!L340)+(CONTADORES!AL341-CONTADORES!AL340))</f>
        <v>0</v>
      </c>
      <c r="AX329" s="1440">
        <f ca="1">IF(B329&gt;=$J$5,0,(CONTADORES!N341-CONTADORES!N340)+(CONTADORES!AJ341-CONTADORES!AJ340))</f>
        <v>0</v>
      </c>
      <c r="AY329" s="1440">
        <f ca="1">IF(B329&gt;=$J$5,0,(CONTADORES!AH341-CONTADORES!AH340))</f>
        <v>0</v>
      </c>
      <c r="AZ329" s="1440">
        <f ca="1">IF(B329&gt;=$J$5,0,(CONTADORES!P341-CONTADORES!P340))</f>
        <v>0</v>
      </c>
      <c r="BA329" s="1450">
        <f t="shared" ca="1" si="137"/>
        <v>0</v>
      </c>
      <c r="BB329" s="1440">
        <f ca="1">IF(B329&gt;=$J$5,0,(((CONTADORES!G341-CONTADORES!G340)+(CONTADORES!AP341-CONTADORES!AP340)+AR329)-(AV329+BC329)))</f>
        <v>0</v>
      </c>
      <c r="BC329" s="1438">
        <f ca="1">IF(B329&gt;=$J$5,0,(CONTADORES!AW341-CONTADORES!AW340)+(CONTADORES!AY341-CONTADORES!AY340)+(CONTADORES!BD341-CONTADORES!BD340))</f>
        <v>0</v>
      </c>
      <c r="BD329" s="1438">
        <f t="shared" ca="1" si="138"/>
        <v>0</v>
      </c>
      <c r="BE329" s="1439">
        <f ca="1">IF($B329&gt;=$J$5,0,CONTADORES!$BE341)</f>
        <v>0</v>
      </c>
      <c r="BF329" s="1438">
        <f ca="1">IF($B329&gt;=$J$5,0,CONTADORES!$BF341)</f>
        <v>0</v>
      </c>
      <c r="BG329" s="1438">
        <f ca="1">IF($B329&gt;=$J$5,0,CONTADORES!$BH341)</f>
        <v>0</v>
      </c>
      <c r="BH329" s="1438">
        <f ca="1">IF(B329&gt;=$J$5,0,(CONTADORES!AQ341-CONTADORES!AQ340))</f>
        <v>0</v>
      </c>
      <c r="BI329" s="1438">
        <f ca="1">IF(B329&gt;=$J$5,0,(CONTADORES!AR341-CONTADORES!AR340))</f>
        <v>0</v>
      </c>
      <c r="BJ329" s="1438">
        <f ca="1">IF(B329&gt;=$J$5,0,CONTADORES!BI341-CONTADORES!BI340)/1000</f>
        <v>0</v>
      </c>
      <c r="BK329" s="1439">
        <f ca="1">IF(B329&gt;=$J$5,0,CONTADORES!BJ341-CONTADORES!BJ340)</f>
        <v>0</v>
      </c>
      <c r="BL329" s="1438">
        <f ca="1">IF(B329&gt;=$J$5,0,CONTADORES!BK341-CONTADORES!BK340)</f>
        <v>0</v>
      </c>
      <c r="BM329" s="1438">
        <f ca="1">IF(B329&gt;=$J$5,0,CONTADORES!BL341-CONTADORES!BL340)/1000</f>
        <v>0</v>
      </c>
      <c r="BN329" s="1438">
        <f ca="1">IF(B329&gt;=$J$5,0,CONTADORES!BM341-CONTADORES!BM340)/1000</f>
        <v>0</v>
      </c>
      <c r="BO329" s="1438">
        <f ca="1">IF(B329&gt;=$J$5,0,CONTADORES!BN341-CONTADORES!BN340)</f>
        <v>0</v>
      </c>
      <c r="BP329" s="1438">
        <f ca="1">IF(B329&gt;=$J$5,0,CONTADORES!BO341-CONTADORES!BO340)/1000</f>
        <v>0</v>
      </c>
      <c r="BQ329" s="1438">
        <f ca="1">IF(B329&gt;=$J$5,0,CONTADORES!BP341-CONTADORES!BP340)/1000</f>
        <v>0</v>
      </c>
      <c r="BR329" s="1438">
        <f ca="1">IF(B329&gt;=$J$5,0,CONTADORES!BQ341-CONTADORES!BQ340)</f>
        <v>0</v>
      </c>
      <c r="BS329" s="1438">
        <f ca="1">IF(B329&gt;=$J$5,0,(CONTADORES!BT341-CONTADORES!BT340)+(CONTADORES!BV341-CONTADORES!BV340))/1000</f>
        <v>0</v>
      </c>
      <c r="BT329" s="1438">
        <f ca="1">IF(B329&gt;=$J$5,0,(CONTADORES!BU341-CONTADORES!BU340)+(CONTADORES!BW341-CONTADORES!BW340))/1000</f>
        <v>0</v>
      </c>
      <c r="BU329" s="1438">
        <f ca="1">IF(B329&gt;=$J$5,0,CONTADORES!BR341-CONTADORES!BR340)</f>
        <v>0</v>
      </c>
      <c r="BV329" s="1438">
        <f ca="1">IF(B329&gt;=$J$5,0,CONTADORES!BS341-CONTADORES!BS340)</f>
        <v>0</v>
      </c>
      <c r="BW329" s="1438">
        <f t="shared" ca="1" si="139"/>
        <v>0</v>
      </c>
      <c r="BX329" s="1438">
        <f t="shared" ca="1" si="140"/>
        <v>0</v>
      </c>
      <c r="BY329" s="1438">
        <f t="shared" ca="1" si="141"/>
        <v>0</v>
      </c>
      <c r="BZ329" s="1438">
        <f t="shared" ca="1" si="142"/>
        <v>0</v>
      </c>
      <c r="CA329" s="1438">
        <f t="shared" ca="1" si="143"/>
        <v>0</v>
      </c>
      <c r="CB329" s="1438">
        <f t="shared" ca="1" si="144"/>
        <v>0</v>
      </c>
      <c r="CC329" s="1438">
        <f t="shared" ca="1" si="145"/>
        <v>0</v>
      </c>
      <c r="CD329" s="1438">
        <f t="shared" ca="1" si="146"/>
        <v>0</v>
      </c>
      <c r="CE329" s="1438">
        <f ca="1">IF(B329&gt;=$J$5,0,CONTADORES!BS341-CONTADORES!BS340)</f>
        <v>0</v>
      </c>
      <c r="CF329" s="1438">
        <f t="shared" ca="1" si="147"/>
        <v>0</v>
      </c>
      <c r="CG329" s="1438">
        <f t="shared" ca="1" si="148"/>
        <v>0</v>
      </c>
      <c r="CH329" s="1438">
        <f t="shared" ca="1" si="149"/>
        <v>0</v>
      </c>
      <c r="CI329" s="1438">
        <f t="shared" ca="1" si="150"/>
        <v>0</v>
      </c>
      <c r="CJ329" s="1444">
        <f ca="1">IF($B329&gt;=$J$5,0,CONTADORES!$BG341)</f>
        <v>0</v>
      </c>
      <c r="CK329" s="1406">
        <f>CONTADORES!E341</f>
        <v>0</v>
      </c>
      <c r="CL329" s="1406">
        <f>CONTADORES!BX341</f>
        <v>0</v>
      </c>
    </row>
    <row r="330" spans="2:90">
      <c r="B330" s="410">
        <v>45246</v>
      </c>
      <c r="C330" s="204">
        <f t="shared" ca="1" si="126"/>
        <v>0</v>
      </c>
      <c r="D330" s="202">
        <f ca="1">'CALCULO DE GAS'!P155</f>
        <v>0</v>
      </c>
      <c r="E330" s="202">
        <f ca="1">IF(B330&gt;=$J$5,0,(CONTADORES!$AB342-CONTADORES!$AB341)-$H330)</f>
        <v>0</v>
      </c>
      <c r="F330" s="204">
        <f t="shared" ca="1" si="154"/>
        <v>0</v>
      </c>
      <c r="G330" s="202">
        <f ca="1">IF(B330&gt;=$J$5,0,CONTADORES!$AD342-CONTADORES!$AD341)</f>
        <v>0</v>
      </c>
      <c r="H330" s="202">
        <f ca="1">IF(G330&gt;0,CONTADORES!$AC342-CONTADORES!$AC341,0)</f>
        <v>0</v>
      </c>
      <c r="I330" s="205">
        <f ca="1">IF(B330&gt;=$J$5,0,CONTADORES!$Z342-CONTADORES!$Z341)</f>
        <v>0</v>
      </c>
      <c r="J330" s="204">
        <f t="shared" ca="1" si="127"/>
        <v>0</v>
      </c>
      <c r="K330" s="202">
        <f ca="1">'CALCULO DE GAS'!Q155</f>
        <v>0</v>
      </c>
      <c r="L330" s="1437">
        <f ca="1">IF(B330&gt;=$J$5,0,(CONTADORES!$W342-CONTADORES!$W341)-$O330)</f>
        <v>0</v>
      </c>
      <c r="M330" s="1437">
        <v>0</v>
      </c>
      <c r="N330" s="1437">
        <f ca="1">IF(B330&gt;=$J$5,0,CONTADORES!$Y342-CONTADORES!$Y341)</f>
        <v>0</v>
      </c>
      <c r="O330" s="1437">
        <f ca="1">IF(N330&gt;0,CONTADORES!$X342-CONTADORES!$X341,0)</f>
        <v>0</v>
      </c>
      <c r="P330" s="208">
        <f ca="1">IF(B330&gt;=$J$5,0,CONTADORES!$U342-CONTADORES!$U341)</f>
        <v>0</v>
      </c>
      <c r="Q330" s="208">
        <f ca="1">IF(B330&gt;=$J$5,0,CONTADORES!$B342-CONTADORES!$B341)</f>
        <v>0</v>
      </c>
      <c r="R330" s="202">
        <f t="shared" ca="1" si="128"/>
        <v>0</v>
      </c>
      <c r="S330" s="11">
        <f ca="1">IF(B330&gt;=$J$5,0,CONTADORES!$D342-CONTADORES!$D341)</f>
        <v>0</v>
      </c>
      <c r="T330" s="204">
        <f ca="1">IF(B330&gt;=$J$5,0,CONTADORES!$AZ342-CONTADORES!$AZ341)</f>
        <v>0</v>
      </c>
      <c r="U330" s="202">
        <f t="shared" ca="1" si="152"/>
        <v>0</v>
      </c>
      <c r="V330" s="11">
        <f ca="1">IF(B330&gt;=$J$5,0,CONTADORES!$BB342-CONTADORES!$BB341)</f>
        <v>0</v>
      </c>
      <c r="W330" s="1438">
        <f t="shared" ca="1" si="129"/>
        <v>0</v>
      </c>
      <c r="X330" s="1438">
        <f t="shared" ca="1" si="130"/>
        <v>0</v>
      </c>
      <c r="Y330" s="1439">
        <f t="shared" ca="1" si="131"/>
        <v>0</v>
      </c>
      <c r="Z330" s="1439">
        <f t="shared" ca="1" si="132"/>
        <v>0</v>
      </c>
      <c r="AA330" s="1439">
        <f t="shared" ca="1" si="133"/>
        <v>0</v>
      </c>
      <c r="AB330" s="1439">
        <f t="shared" ca="1" si="134"/>
        <v>0</v>
      </c>
      <c r="AC330" s="1438">
        <f t="shared" ca="1" si="135"/>
        <v>0</v>
      </c>
      <c r="AD330" s="1448">
        <f ca="1">IF(B330&gt;=$J$5,0,CONTADORES!H342-CONTADORES!H341)</f>
        <v>0</v>
      </c>
      <c r="AE330" s="1438">
        <f ca="1">IF(B330&gt;=$J$5,0,CONTADORES!J342-CONTADORES!J341)</f>
        <v>0</v>
      </c>
      <c r="AF330" s="1438">
        <f ca="1">IF(B330&gt;=$J$5,0,CONTADORES!AS342-CONTADORES!AS341)</f>
        <v>0</v>
      </c>
      <c r="AG330" s="1438">
        <f ca="1">IF(B330&gt;=$J$5,0,CONTADORES!AU342-CONTADORES!AU341)</f>
        <v>0</v>
      </c>
      <c r="AH330" s="1439">
        <f ca="1">IF(B330&gt;=$J$5,0,(CONTADORES!AK342-CONTADORES!AK341)+(CONTADORES!K342-CONTADORES!K341))</f>
        <v>0</v>
      </c>
      <c r="AI330" s="1438">
        <f ca="1">IF(B330&gt;=$J$5,0,(CONTADORES!AI342-CONTADORES!AI341)+(CONTADORES!M342-CONTADORES!M341))</f>
        <v>0</v>
      </c>
      <c r="AJ330" s="1438">
        <f ca="1">IF(B330&gt;=$J$5,0,(CONTADORES!AG342-CONTADORES!AG341))</f>
        <v>0</v>
      </c>
      <c r="AK330" s="1438">
        <f ca="1">IF(B330&gt;=$J$5,0,(CONTADORES!O342-CONTADORES!O341))</f>
        <v>0</v>
      </c>
      <c r="AL330" s="1500">
        <f t="shared" ca="1" si="136"/>
        <v>0</v>
      </c>
      <c r="AM330" s="1438">
        <f ca="1">IF(B330&gt;=$J$5,0,(((CONTADORES!F342-CONTADORES!F341)+(CONTADORES!AO342-CONTADORES!AO341))))-BJ330-AF330-AN330-BM330-BP330-BU330-BS330+T330</f>
        <v>0</v>
      </c>
      <c r="AN330" s="1438">
        <f ca="1">IF(B330&gt;=$J$5,0,(CONTADORES!AV342-CONTADORES!AV341)+(CONTADORES!AX342-CONTADORES!AX341)+(CONTADORES!BC342-CONTADORES!BC341))-BS330</f>
        <v>0</v>
      </c>
      <c r="AO330" s="1440">
        <f ca="1">IF(B330&gt;=$J$5,0,(CONTADORES!AA342-CONTADORES!AA341))</f>
        <v>0</v>
      </c>
      <c r="AP330" s="1474">
        <f ca="1">IF(B330&gt;=$J$5,0,(CONTADORES!V342-CONTADORES!V341))</f>
        <v>0</v>
      </c>
      <c r="AQ330" s="1440">
        <f ca="1">IF(B330&gt;=$J$5,0,(CONTADORES!C342-CONTADORES!C341))</f>
        <v>0</v>
      </c>
      <c r="AR330" s="1440">
        <f ca="1">IF(B330&gt;=$J$5,0,(CONTADORES!BA342-CONTADORES!BA341))</f>
        <v>0</v>
      </c>
      <c r="AS330" s="1438">
        <f ca="1">IF(B330&gt;=$J$5,0,CONTADORES!Q342-CONTADORES!Q341)</f>
        <v>0</v>
      </c>
      <c r="AT330" s="1438">
        <f ca="1">IF(B330&gt;=$J$5,0,(CONTADORES!S342-CONTADORES!S341)+(CONTADORES!AE342-CONTADORES!AE341))</f>
        <v>0</v>
      </c>
      <c r="AU330" s="1474">
        <f ca="1">IF(B330&gt;=$J$5,0,(CONTADORES!I342-CONTADORES!I341))</f>
        <v>0</v>
      </c>
      <c r="AV330" s="1440">
        <f ca="1">IF(B330&gt;=$J$5,0,(CONTADORES!AT342-CONTADORES!AT341))</f>
        <v>0</v>
      </c>
      <c r="AW330" s="1474">
        <f ca="1">IF(B330&gt;=$J$5,0,(CONTADORES!L342-CONTADORES!L341)+(CONTADORES!AL342-CONTADORES!AL341))</f>
        <v>0</v>
      </c>
      <c r="AX330" s="1440">
        <f ca="1">IF(B330&gt;=$J$5,0,(CONTADORES!N342-CONTADORES!N341)+(CONTADORES!AJ342-CONTADORES!AJ341))</f>
        <v>0</v>
      </c>
      <c r="AY330" s="1440">
        <f ca="1">IF(B330&gt;=$J$5,0,(CONTADORES!AH342-CONTADORES!AH341))</f>
        <v>0</v>
      </c>
      <c r="AZ330" s="1440">
        <f ca="1">IF(B330&gt;=$J$5,0,(CONTADORES!P342-CONTADORES!P341))</f>
        <v>0</v>
      </c>
      <c r="BA330" s="1450">
        <f t="shared" ca="1" si="137"/>
        <v>0</v>
      </c>
      <c r="BB330" s="1440">
        <f ca="1">IF(B330&gt;=$J$5,0,(((CONTADORES!G342-CONTADORES!G341)+(CONTADORES!AP342-CONTADORES!AP341)+AR330)-(AV330+BC330)))</f>
        <v>0</v>
      </c>
      <c r="BC330" s="1438">
        <f ca="1">IF(B330&gt;=$J$5,0,(CONTADORES!AW342-CONTADORES!AW341)+(CONTADORES!AY342-CONTADORES!AY341)+(CONTADORES!BD342-CONTADORES!BD341))</f>
        <v>0</v>
      </c>
      <c r="BD330" s="1438">
        <f t="shared" ca="1" si="138"/>
        <v>0</v>
      </c>
      <c r="BE330" s="1439">
        <f ca="1">IF($B330&gt;=$J$5,0,CONTADORES!$BE342)</f>
        <v>0</v>
      </c>
      <c r="BF330" s="1438">
        <f ca="1">IF($B330&gt;=$J$5,0,CONTADORES!$BF342)</f>
        <v>0</v>
      </c>
      <c r="BG330" s="1438">
        <f ca="1">IF($B330&gt;=$J$5,0,CONTADORES!$BH342)</f>
        <v>0</v>
      </c>
      <c r="BH330" s="1438">
        <f ca="1">IF(B330&gt;=$J$5,0,(CONTADORES!AQ342-CONTADORES!AQ341))</f>
        <v>0</v>
      </c>
      <c r="BI330" s="1438">
        <f ca="1">IF(B330&gt;=$J$5,0,(CONTADORES!AR342-CONTADORES!AR341))</f>
        <v>0</v>
      </c>
      <c r="BJ330" s="1438">
        <f ca="1">IF(B330&gt;=$J$5,0,CONTADORES!BI342-CONTADORES!BI341)/1000</f>
        <v>0</v>
      </c>
      <c r="BK330" s="1439">
        <f ca="1">IF(B330&gt;=$J$5,0,CONTADORES!BJ342-CONTADORES!BJ341)</f>
        <v>0</v>
      </c>
      <c r="BL330" s="1438">
        <f ca="1">IF(B330&gt;=$J$5,0,CONTADORES!BK342-CONTADORES!BK341)</f>
        <v>0</v>
      </c>
      <c r="BM330" s="1438">
        <f ca="1">IF(B330&gt;=$J$5,0,CONTADORES!BL342-CONTADORES!BL341)/1000</f>
        <v>0</v>
      </c>
      <c r="BN330" s="1438">
        <f ca="1">IF(B330&gt;=$J$5,0,CONTADORES!BM342-CONTADORES!BM341)/1000</f>
        <v>0</v>
      </c>
      <c r="BO330" s="1438">
        <f ca="1">IF(B330&gt;=$J$5,0,CONTADORES!BN342-CONTADORES!BN341)</f>
        <v>0</v>
      </c>
      <c r="BP330" s="1438">
        <f ca="1">IF(B330&gt;=$J$5,0,CONTADORES!BO342-CONTADORES!BO341)/1000</f>
        <v>0</v>
      </c>
      <c r="BQ330" s="1438">
        <f ca="1">IF(B330&gt;=$J$5,0,CONTADORES!BP342-CONTADORES!BP341)/1000</f>
        <v>0</v>
      </c>
      <c r="BR330" s="1438">
        <f ca="1">IF(B330&gt;=$J$5,0,CONTADORES!BQ342-CONTADORES!BQ341)</f>
        <v>0</v>
      </c>
      <c r="BS330" s="1438">
        <f ca="1">IF(B330&gt;=$J$5,0,(CONTADORES!BT342-CONTADORES!BT341)+(CONTADORES!BV342-CONTADORES!BV341))/1000</f>
        <v>0</v>
      </c>
      <c r="BT330" s="1438">
        <f ca="1">IF(B330&gt;=$J$5,0,(CONTADORES!BU342-CONTADORES!BU341)+(CONTADORES!BW342-CONTADORES!BW341))/1000</f>
        <v>0</v>
      </c>
      <c r="BU330" s="1438">
        <f ca="1">IF(B330&gt;=$J$5,0,CONTADORES!BR342-CONTADORES!BR341)</f>
        <v>0</v>
      </c>
      <c r="BV330" s="1438">
        <f ca="1">IF(B330&gt;=$J$5,0,CONTADORES!BS342-CONTADORES!BS341)</f>
        <v>0</v>
      </c>
      <c r="BW330" s="1438">
        <f t="shared" ca="1" si="139"/>
        <v>0</v>
      </c>
      <c r="BX330" s="1438">
        <f t="shared" ca="1" si="140"/>
        <v>0</v>
      </c>
      <c r="BY330" s="1438">
        <f t="shared" ca="1" si="141"/>
        <v>0</v>
      </c>
      <c r="BZ330" s="1438">
        <f t="shared" ca="1" si="142"/>
        <v>0</v>
      </c>
      <c r="CA330" s="1438">
        <f t="shared" ca="1" si="143"/>
        <v>0</v>
      </c>
      <c r="CB330" s="1438">
        <f t="shared" ca="1" si="144"/>
        <v>0</v>
      </c>
      <c r="CC330" s="1438">
        <f t="shared" ca="1" si="145"/>
        <v>0</v>
      </c>
      <c r="CD330" s="1438">
        <f t="shared" ca="1" si="146"/>
        <v>0</v>
      </c>
      <c r="CE330" s="1438">
        <f ca="1">IF(B330&gt;=$J$5,0,CONTADORES!BS342-CONTADORES!BS341)</f>
        <v>0</v>
      </c>
      <c r="CF330" s="1438">
        <f t="shared" ca="1" si="147"/>
        <v>0</v>
      </c>
      <c r="CG330" s="1438">
        <f t="shared" ca="1" si="148"/>
        <v>0</v>
      </c>
      <c r="CH330" s="1438">
        <f t="shared" ca="1" si="149"/>
        <v>0</v>
      </c>
      <c r="CI330" s="1438">
        <f t="shared" ca="1" si="150"/>
        <v>0</v>
      </c>
      <c r="CJ330" s="1444">
        <f ca="1">IF($B330&gt;=$J$5,0,CONTADORES!$BG342)</f>
        <v>0</v>
      </c>
      <c r="CK330" s="1406">
        <f>CONTADORES!E342</f>
        <v>0</v>
      </c>
      <c r="CL330" s="1406">
        <f>CONTADORES!BX342</f>
        <v>0</v>
      </c>
    </row>
    <row r="331" spans="2:90">
      <c r="B331" s="410">
        <v>45247</v>
      </c>
      <c r="C331" s="204">
        <f t="shared" ref="C331:C375" ca="1" si="156">I331-F331</f>
        <v>0</v>
      </c>
      <c r="D331" s="202">
        <f ca="1">'CALCULO DE GAS'!P156</f>
        <v>0</v>
      </c>
      <c r="E331" s="202">
        <f ca="1">IF(B331&gt;=$J$5,0,(CONTADORES!$AB343-CONTADORES!$AB342)-$H331)</f>
        <v>0</v>
      </c>
      <c r="F331" s="204">
        <f t="shared" ca="1" si="154"/>
        <v>0</v>
      </c>
      <c r="G331" s="202">
        <f ca="1">IF(B331&gt;=$J$5,0,CONTADORES!$AD343-CONTADORES!$AD342)</f>
        <v>0</v>
      </c>
      <c r="H331" s="202">
        <f ca="1">IF(G331&gt;0,CONTADORES!$AC343-CONTADORES!$AC342,0)</f>
        <v>0</v>
      </c>
      <c r="I331" s="205">
        <f ca="1">IF(B331&gt;=$J$5,0,CONTADORES!$Z343-CONTADORES!$Z342)</f>
        <v>0</v>
      </c>
      <c r="J331" s="204">
        <f t="shared" ref="J331:J375" ca="1" si="157">P331-M331</f>
        <v>0</v>
      </c>
      <c r="K331" s="202">
        <f ca="1">'CALCULO DE GAS'!Q156</f>
        <v>0</v>
      </c>
      <c r="L331" s="1437">
        <f ca="1">IF(B331&gt;=$J$5,0,(CONTADORES!$W343-CONTADORES!$W342)-$O331)</f>
        <v>0</v>
      </c>
      <c r="M331" s="1437">
        <f t="shared" ref="M331:M344" ca="1" si="158">IF(O331=0,0,"ERROR")</f>
        <v>0</v>
      </c>
      <c r="N331" s="1437">
        <f ca="1">IF(B331&gt;=$J$5,0,CONTADORES!$Y343-CONTADORES!$Y342)</f>
        <v>0</v>
      </c>
      <c r="O331" s="1437">
        <f ca="1">IF(N331&gt;0,CONTADORES!$X343-CONTADORES!$X342,0)</f>
        <v>0</v>
      </c>
      <c r="P331" s="208">
        <f ca="1">IF(B331&gt;=$J$5,0,CONTADORES!$U343-CONTADORES!$U342)</f>
        <v>0</v>
      </c>
      <c r="Q331" s="208">
        <f ca="1">IF(B331&gt;=$J$5,0,CONTADORES!$B343-CONTADORES!$B342)</f>
        <v>0</v>
      </c>
      <c r="R331" s="202">
        <f t="shared" ref="R331:R375" ca="1" si="159">$Q331*120</f>
        <v>0</v>
      </c>
      <c r="S331" s="11">
        <f ca="1">IF(B331&gt;=$J$5,0,CONTADORES!$D343-CONTADORES!$D342)</f>
        <v>0</v>
      </c>
      <c r="T331" s="204">
        <f ca="1">IF(B331&gt;=$J$5,0,CONTADORES!$AZ343-CONTADORES!$AZ342)</f>
        <v>0</v>
      </c>
      <c r="U331" s="202">
        <f t="shared" ca="1" si="152"/>
        <v>0</v>
      </c>
      <c r="V331" s="11">
        <f ca="1">IF(B331&gt;=$J$5,0,CONTADORES!$BB343-CONTADORES!$BB342)</f>
        <v>0</v>
      </c>
      <c r="W331" s="1438">
        <f t="shared" ref="W331:W375" ca="1" si="160">C331+J331</f>
        <v>0</v>
      </c>
      <c r="X331" s="1438">
        <f t="shared" ref="X331:X375" ca="1" si="161">F331+M331+Q331+T331</f>
        <v>0</v>
      </c>
      <c r="Y331" s="1439">
        <f t="shared" ref="Y331:Y375" ca="1" si="162">W331+X331</f>
        <v>0</v>
      </c>
      <c r="Z331" s="1439">
        <f t="shared" ref="Z331:Z375" ca="1" si="163">D331+K331</f>
        <v>0</v>
      </c>
      <c r="AA331" s="1439">
        <f t="shared" ref="AA331:AA375" ca="1" si="164">G331+N331+R331+U331</f>
        <v>0</v>
      </c>
      <c r="AB331" s="1439">
        <f t="shared" ref="AB331:AB375" ca="1" si="165">E331+L331</f>
        <v>0</v>
      </c>
      <c r="AC331" s="1438">
        <f t="shared" ref="AC331:AC375" ca="1" si="166">H331+O331+S331+V331</f>
        <v>0</v>
      </c>
      <c r="AD331" s="1448">
        <f ca="1">IF(B331&gt;=$J$5,0,CONTADORES!H343-CONTADORES!H342)</f>
        <v>0</v>
      </c>
      <c r="AE331" s="1438">
        <f ca="1">IF(B331&gt;=$J$5,0,CONTADORES!J343-CONTADORES!J342)</f>
        <v>0</v>
      </c>
      <c r="AF331" s="1438">
        <f ca="1">IF(B331&gt;=$J$5,0,CONTADORES!AS343-CONTADORES!AS342)</f>
        <v>0</v>
      </c>
      <c r="AG331" s="1438">
        <f ca="1">IF(B331&gt;=$J$5,0,CONTADORES!AU343-CONTADORES!AU342)</f>
        <v>0</v>
      </c>
      <c r="AH331" s="1439">
        <f ca="1">IF(B331&gt;=$J$5,0,(CONTADORES!AK343-CONTADORES!AK342)+(CONTADORES!K343-CONTADORES!K342))</f>
        <v>0</v>
      </c>
      <c r="AI331" s="1438">
        <f ca="1">IF(B331&gt;=$J$5,0,(CONTADORES!AI343-CONTADORES!AI342)+(CONTADORES!M343-CONTADORES!M342))</f>
        <v>0</v>
      </c>
      <c r="AJ331" s="1438">
        <f ca="1">IF(B331&gt;=$J$5,0,(CONTADORES!AG343-CONTADORES!AG342))</f>
        <v>0</v>
      </c>
      <c r="AK331" s="1438">
        <f ca="1">IF(B331&gt;=$J$5,0,(CONTADORES!O343-CONTADORES!O342))</f>
        <v>0</v>
      </c>
      <c r="AL331" s="1500">
        <f t="shared" ref="AL331:AL375" ca="1" si="167">Y331-(AD331+AF331+AH331+AI331+AJ331+AK331+CA331+CB331+BJ331+BM331+BP331+BW331+CC331)</f>
        <v>0</v>
      </c>
      <c r="AM331" s="1438">
        <f ca="1">IF(B331&gt;=$J$5,0,(((CONTADORES!F343-CONTADORES!F342)+(CONTADORES!AO343-CONTADORES!AO342))))-BJ331-AF331-AN331-BM331-BP331-BU331-BS331+T331</f>
        <v>0</v>
      </c>
      <c r="AN331" s="1438">
        <f ca="1">IF(B331&gt;=$J$5,0,(CONTADORES!AV343-CONTADORES!AV342)+(CONTADORES!AX343-CONTADORES!AX342)+(CONTADORES!BC343-CONTADORES!BC342))-BS331</f>
        <v>0</v>
      </c>
      <c r="AO331" s="1440">
        <f ca="1">IF(B331&gt;=$J$5,0,(CONTADORES!AA343-CONTADORES!AA342))</f>
        <v>0</v>
      </c>
      <c r="AP331" s="1474">
        <f ca="1">IF(B331&gt;=$J$5,0,(CONTADORES!V343-CONTADORES!V342))</f>
        <v>0</v>
      </c>
      <c r="AQ331" s="1440">
        <f ca="1">IF(B331&gt;=$J$5,0,(CONTADORES!C343-CONTADORES!C342))</f>
        <v>0</v>
      </c>
      <c r="AR331" s="1440">
        <f ca="1">IF(B331&gt;=$J$5,0,(CONTADORES!BA343-CONTADORES!BA342))</f>
        <v>0</v>
      </c>
      <c r="AS331" s="1438">
        <f ca="1">IF(B331&gt;=$J$5,0,CONTADORES!Q343-CONTADORES!Q342)</f>
        <v>0</v>
      </c>
      <c r="AT331" s="1438">
        <f ca="1">IF(B331&gt;=$J$5,0,(CONTADORES!S343-CONTADORES!S342)+(CONTADORES!AE343-CONTADORES!AE342))</f>
        <v>0</v>
      </c>
      <c r="AU331" s="1474">
        <f ca="1">IF(B331&gt;=$J$5,0,(CONTADORES!I343-CONTADORES!I342))</f>
        <v>0</v>
      </c>
      <c r="AV331" s="1440">
        <f ca="1">IF(B331&gt;=$J$5,0,(CONTADORES!AT343-CONTADORES!AT342))</f>
        <v>0</v>
      </c>
      <c r="AW331" s="1474">
        <f ca="1">IF(B331&gt;=$J$5,0,(CONTADORES!L343-CONTADORES!L342)+(CONTADORES!AL343-CONTADORES!AL342))</f>
        <v>0</v>
      </c>
      <c r="AX331" s="1440">
        <f ca="1">IF(B331&gt;=$J$5,0,(CONTADORES!N343-CONTADORES!N342)+(CONTADORES!AJ343-CONTADORES!AJ342))</f>
        <v>0</v>
      </c>
      <c r="AY331" s="1440">
        <f ca="1">IF(B331&gt;=$J$5,0,(CONTADORES!AH343-CONTADORES!AH342))</f>
        <v>0</v>
      </c>
      <c r="AZ331" s="1440">
        <f ca="1">IF(B331&gt;=$J$5,0,(CONTADORES!P343-CONTADORES!P342))</f>
        <v>0</v>
      </c>
      <c r="BA331" s="1450">
        <f t="shared" ref="BA331:BA375" ca="1" si="168">BD331-(AU331+AV331+AW331+AX331+AY331+AZ331+BK331+BN331+BQ331+BX331+CF331+CH331+CI331)</f>
        <v>0</v>
      </c>
      <c r="BB331" s="1440">
        <f ca="1">IF(B331&gt;=$J$5,0,(((CONTADORES!G343-CONTADORES!G342)+(CONTADORES!AP343-CONTADORES!AP342)+AR331)-(AV331+BC331)))</f>
        <v>0</v>
      </c>
      <c r="BC331" s="1438">
        <f ca="1">IF(B331&gt;=$J$5,0,(CONTADORES!AW343-CONTADORES!AW342)+(CONTADORES!AY343-CONTADORES!AY342)+(CONTADORES!BD343-CONTADORES!BD342))</f>
        <v>0</v>
      </c>
      <c r="BD331" s="1438">
        <f t="shared" ref="BD331:BD375" ca="1" si="169">SUM(AO331:AR331)</f>
        <v>0</v>
      </c>
      <c r="BE331" s="1439">
        <f ca="1">IF($B331&gt;=$J$5,0,CONTADORES!$BE343)</f>
        <v>0</v>
      </c>
      <c r="BF331" s="1438">
        <f ca="1">IF($B331&gt;=$J$5,0,CONTADORES!$BF343)</f>
        <v>0</v>
      </c>
      <c r="BG331" s="1438">
        <f ca="1">IF($B331&gt;=$J$5,0,CONTADORES!$BH343)</f>
        <v>0</v>
      </c>
      <c r="BH331" s="1438">
        <f ca="1">IF(B331&gt;=$J$5,0,(CONTADORES!AQ343-CONTADORES!AQ342))</f>
        <v>0</v>
      </c>
      <c r="BI331" s="1438">
        <f ca="1">IF(B331&gt;=$J$5,0,(CONTADORES!AR343-CONTADORES!AR342))</f>
        <v>0</v>
      </c>
      <c r="BJ331" s="1438">
        <f ca="1">IF(B331&gt;=$J$5,0,CONTADORES!BI343-CONTADORES!BI342)/1000</f>
        <v>0</v>
      </c>
      <c r="BK331" s="1439">
        <f ca="1">IF(B331&gt;=$J$5,0,CONTADORES!BJ343-CONTADORES!BJ342)</f>
        <v>0</v>
      </c>
      <c r="BL331" s="1438">
        <f ca="1">IF(B331&gt;=$J$5,0,CONTADORES!BK343-CONTADORES!BK342)</f>
        <v>0</v>
      </c>
      <c r="BM331" s="1438">
        <f ca="1">IF(B331&gt;=$J$5,0,CONTADORES!BL343-CONTADORES!BL342)/1000</f>
        <v>0</v>
      </c>
      <c r="BN331" s="1438">
        <f ca="1">IF(B331&gt;=$J$5,0,CONTADORES!BM343-CONTADORES!BM342)/1000</f>
        <v>0</v>
      </c>
      <c r="BO331" s="1438">
        <f ca="1">IF(B331&gt;=$J$5,0,CONTADORES!BN343-CONTADORES!BN342)</f>
        <v>0</v>
      </c>
      <c r="BP331" s="1438">
        <f ca="1">IF(B331&gt;=$J$5,0,CONTADORES!BO343-CONTADORES!BO342)/1000</f>
        <v>0</v>
      </c>
      <c r="BQ331" s="1438">
        <f ca="1">IF(B331&gt;=$J$5,0,CONTADORES!BP343-CONTADORES!BP342)/1000</f>
        <v>0</v>
      </c>
      <c r="BR331" s="1438">
        <f ca="1">IF(B331&gt;=$J$5,0,CONTADORES!BQ343-CONTADORES!BQ342)</f>
        <v>0</v>
      </c>
      <c r="BS331" s="1438">
        <f ca="1">IF(B331&gt;=$J$5,0,(CONTADORES!BT343-CONTADORES!BT342)+(CONTADORES!BV343-CONTADORES!BV342))/1000</f>
        <v>0</v>
      </c>
      <c r="BT331" s="1438">
        <f ca="1">IF(B331&gt;=$J$5,0,(CONTADORES!BU343-CONTADORES!BU342)+(CONTADORES!BW343-CONTADORES!BW342))/1000</f>
        <v>0</v>
      </c>
      <c r="BU331" s="1438">
        <f ca="1">IF(B331&gt;=$J$5,0,CONTADORES!BR343-CONTADORES!BR342)</f>
        <v>0</v>
      </c>
      <c r="BV331" s="1438">
        <f ca="1">IF(B331&gt;=$J$5,0,CONTADORES!BS343-CONTADORES!BS342)</f>
        <v>0</v>
      </c>
      <c r="BW331" s="1438">
        <f t="shared" ref="BW331:BW375" ca="1" si="170">BU331+BY331</f>
        <v>0</v>
      </c>
      <c r="BX331" s="1438">
        <f t="shared" ref="BX331:BX375" ca="1" si="171">CE331+CD331</f>
        <v>0</v>
      </c>
      <c r="BY331" s="1438">
        <f t="shared" ref="BY331:BY375" ca="1" si="172">(AM331*0.5)</f>
        <v>0</v>
      </c>
      <c r="BZ331" s="1438">
        <f t="shared" ref="BZ331:BZ375" ca="1" si="173">(AN331*0.4)</f>
        <v>0</v>
      </c>
      <c r="CA331" s="1438">
        <f t="shared" ref="CA331:CA375" ca="1" si="174">AM331-BY331</f>
        <v>0</v>
      </c>
      <c r="CB331" s="1438">
        <f t="shared" ref="CB331:CB375" ca="1" si="175">AN331-BZ331</f>
        <v>0</v>
      </c>
      <c r="CC331" s="1438">
        <f t="shared" ref="CC331:CC375" ca="1" si="176">BS331+BZ331</f>
        <v>0</v>
      </c>
      <c r="CD331" s="1438">
        <f t="shared" ref="CD331:CD375" ca="1" si="177">(BB331*0.5)</f>
        <v>0</v>
      </c>
      <c r="CE331" s="1438">
        <f ca="1">IF(B331&gt;=$J$5,0,CONTADORES!BS343-CONTADORES!BS342)</f>
        <v>0</v>
      </c>
      <c r="CF331" s="1438">
        <f t="shared" ref="CF331:CF375" ca="1" si="178">BB331-CD331</f>
        <v>0</v>
      </c>
      <c r="CG331" s="1438">
        <f t="shared" ref="CG331:CG375" ca="1" si="179">BC331*0.5</f>
        <v>0</v>
      </c>
      <c r="CH331" s="1438">
        <f t="shared" ref="CH331:CH375" ca="1" si="180">BC331-CG331</f>
        <v>0</v>
      </c>
      <c r="CI331" s="1438">
        <f t="shared" ref="CI331:CI375" ca="1" si="181">BT331+CG331</f>
        <v>0</v>
      </c>
      <c r="CJ331" s="1444">
        <f ca="1">IF($B331&gt;=$J$5,0,CONTADORES!$BG343)</f>
        <v>0</v>
      </c>
      <c r="CK331" s="1406">
        <f>CONTADORES!E343</f>
        <v>0</v>
      </c>
      <c r="CL331" s="1406">
        <f>CONTADORES!BX343</f>
        <v>0</v>
      </c>
    </row>
    <row r="332" spans="2:90">
      <c r="B332" s="410">
        <v>45248</v>
      </c>
      <c r="C332" s="204">
        <f t="shared" ca="1" si="156"/>
        <v>0</v>
      </c>
      <c r="D332" s="202">
        <f ca="1">'CALCULO DE GAS'!P157</f>
        <v>0</v>
      </c>
      <c r="E332" s="202">
        <f ca="1">IF(B332&gt;=$J$5,0,(CONTADORES!$AB344-CONTADORES!$AB343)-$H332)</f>
        <v>0</v>
      </c>
      <c r="F332" s="204">
        <f t="shared" ca="1" si="154"/>
        <v>0</v>
      </c>
      <c r="G332" s="202">
        <f ca="1">IF(B332&gt;=$J$5,0,CONTADORES!$AD344-CONTADORES!$AD343)</f>
        <v>0</v>
      </c>
      <c r="H332" s="202">
        <f ca="1">IF(G332&gt;0,CONTADORES!$AC344-CONTADORES!$AC343,0)</f>
        <v>0</v>
      </c>
      <c r="I332" s="205">
        <f ca="1">IF(B332&gt;=$J$5,0,CONTADORES!$Z344-CONTADORES!$Z343)</f>
        <v>0</v>
      </c>
      <c r="J332" s="204">
        <f ca="1">P332-M332</f>
        <v>0</v>
      </c>
      <c r="K332" s="202">
        <f ca="1">'CALCULO DE GAS'!Q157</f>
        <v>0</v>
      </c>
      <c r="L332" s="1437">
        <f ca="1">IF(B332&gt;=$J$5,0,(CONTADORES!$W344-CONTADORES!$W343)-$O332)</f>
        <v>0</v>
      </c>
      <c r="M332" s="1437">
        <f t="shared" ca="1" si="158"/>
        <v>0</v>
      </c>
      <c r="N332" s="1437">
        <f ca="1">IF(B332&gt;=$J$5,0,CONTADORES!$Y344-CONTADORES!$Y343)</f>
        <v>0</v>
      </c>
      <c r="O332" s="1437">
        <f ca="1">IF(N332&gt;0,CONTADORES!$X344-CONTADORES!$X343,0)</f>
        <v>0</v>
      </c>
      <c r="P332" s="208">
        <f ca="1">IF(B332&gt;=$J$5,0,CONTADORES!$U344-CONTADORES!$U343)</f>
        <v>0</v>
      </c>
      <c r="Q332" s="208">
        <f ca="1">IF(B332&gt;=$J$5,0,CONTADORES!$B344-CONTADORES!$B343)</f>
        <v>0</v>
      </c>
      <c r="R332" s="202">
        <f t="shared" ca="1" si="159"/>
        <v>0</v>
      </c>
      <c r="S332" s="11">
        <f ca="1">IF(B332&gt;=$J$5,0,CONTADORES!$D344-CONTADORES!$D343)</f>
        <v>0</v>
      </c>
      <c r="T332" s="204">
        <f ca="1">IF(B332&gt;=$J$5,0,CONTADORES!$AZ344-CONTADORES!$AZ343)</f>
        <v>0</v>
      </c>
      <c r="U332" s="202">
        <f t="shared" ca="1" si="152"/>
        <v>0</v>
      </c>
      <c r="V332" s="11">
        <f ca="1">IF(B332&gt;=$J$5,0,CONTADORES!$BB344-CONTADORES!$BB343)</f>
        <v>0</v>
      </c>
      <c r="W332" s="1438">
        <f t="shared" ca="1" si="160"/>
        <v>0</v>
      </c>
      <c r="X332" s="1438">
        <f t="shared" ca="1" si="161"/>
        <v>0</v>
      </c>
      <c r="Y332" s="1439">
        <f t="shared" ca="1" si="162"/>
        <v>0</v>
      </c>
      <c r="Z332" s="1439">
        <f t="shared" ca="1" si="163"/>
        <v>0</v>
      </c>
      <c r="AA332" s="1439">
        <f t="shared" ca="1" si="164"/>
        <v>0</v>
      </c>
      <c r="AB332" s="1439">
        <f t="shared" ca="1" si="165"/>
        <v>0</v>
      </c>
      <c r="AC332" s="1438">
        <f t="shared" ca="1" si="166"/>
        <v>0</v>
      </c>
      <c r="AD332" s="1448">
        <f ca="1">IF(B332&gt;=$J$5,0,CONTADORES!H344-CONTADORES!H343)</f>
        <v>0</v>
      </c>
      <c r="AE332" s="1438">
        <f ca="1">IF(B332&gt;=$J$5,0,CONTADORES!J344-CONTADORES!J343)</f>
        <v>0</v>
      </c>
      <c r="AF332" s="1438">
        <f ca="1">IF(B332&gt;=$J$5,0,CONTADORES!AS344-CONTADORES!AS343)</f>
        <v>0</v>
      </c>
      <c r="AG332" s="1438">
        <f ca="1">IF(B332&gt;=$J$5,0,CONTADORES!AU344-CONTADORES!AU343)</f>
        <v>0</v>
      </c>
      <c r="AH332" s="1439">
        <f ca="1">IF(B332&gt;=$J$5,0,(CONTADORES!AK344-CONTADORES!AK343)+(CONTADORES!K344-CONTADORES!K343))</f>
        <v>0</v>
      </c>
      <c r="AI332" s="1438">
        <f ca="1">IF(B332&gt;=$J$5,0,(CONTADORES!AI344-CONTADORES!AI343)+(CONTADORES!M344-CONTADORES!M343))</f>
        <v>0</v>
      </c>
      <c r="AJ332" s="1438">
        <f ca="1">IF(B332&gt;=$J$5,0,(CONTADORES!AG344-CONTADORES!AG343))</f>
        <v>0</v>
      </c>
      <c r="AK332" s="1438">
        <f ca="1">IF(B332&gt;=$J$5,0,(CONTADORES!O344-CONTADORES!O343))</f>
        <v>0</v>
      </c>
      <c r="AL332" s="1500">
        <f t="shared" ca="1" si="167"/>
        <v>0</v>
      </c>
      <c r="AM332" s="1438">
        <f ca="1">IF(B332&gt;=$J$5,0,(((CONTADORES!F344-CONTADORES!F343)+(CONTADORES!AO344-CONTADORES!AO343))))-BJ332-AF332-AN332-BM332-BP332-BU332-BS332+T332</f>
        <v>0</v>
      </c>
      <c r="AN332" s="1438">
        <f ca="1">IF(B332&gt;=$J$5,0,(CONTADORES!AV344-CONTADORES!AV343)+(CONTADORES!AX344-CONTADORES!AX343)+(CONTADORES!BC344-CONTADORES!BC343))-BS332</f>
        <v>0</v>
      </c>
      <c r="AO332" s="1440">
        <f ca="1">IF(B332&gt;=$J$5,0,(CONTADORES!AA344-CONTADORES!AA343))</f>
        <v>0</v>
      </c>
      <c r="AP332" s="1474">
        <f ca="1">IF(B332&gt;=$J$5,0,(CONTADORES!V344-CONTADORES!V343))</f>
        <v>0</v>
      </c>
      <c r="AQ332" s="1440">
        <f ca="1">IF(B332&gt;=$J$5,0,(CONTADORES!C344-CONTADORES!C343))</f>
        <v>0</v>
      </c>
      <c r="AR332" s="1440">
        <f ca="1">IF(B332&gt;=$J$5,0,(CONTADORES!BA344-CONTADORES!BA343))</f>
        <v>0</v>
      </c>
      <c r="AS332" s="1438">
        <f ca="1">IF(B332&gt;=$J$5,0,CONTADORES!Q344-CONTADORES!Q343)</f>
        <v>0</v>
      </c>
      <c r="AT332" s="1438">
        <f ca="1">IF(B332&gt;=$J$5,0,(CONTADORES!S344-CONTADORES!S343)+(CONTADORES!AE344-CONTADORES!AE343))</f>
        <v>0</v>
      </c>
      <c r="AU332" s="1474">
        <f ca="1">IF(B332&gt;=$J$5,0,(CONTADORES!I344-CONTADORES!I343))</f>
        <v>0</v>
      </c>
      <c r="AV332" s="1440">
        <f ca="1">IF(B332&gt;=$J$5,0,(CONTADORES!AT344-CONTADORES!AT343))</f>
        <v>0</v>
      </c>
      <c r="AW332" s="1474">
        <f ca="1">IF(B332&gt;=$J$5,0,(CONTADORES!L344-CONTADORES!L343)+(CONTADORES!AL344-CONTADORES!AL343))</f>
        <v>0</v>
      </c>
      <c r="AX332" s="1440">
        <f ca="1">IF(B332&gt;=$J$5,0,(CONTADORES!N344-CONTADORES!N343)+(CONTADORES!AJ344-CONTADORES!AJ343))</f>
        <v>0</v>
      </c>
      <c r="AY332" s="1440">
        <f ca="1">IF(B332&gt;=$J$5,0,(CONTADORES!AH344-CONTADORES!AH343))</f>
        <v>0</v>
      </c>
      <c r="AZ332" s="1440">
        <f ca="1">IF(B332&gt;=$J$5,0,(CONTADORES!P344-CONTADORES!P343))</f>
        <v>0</v>
      </c>
      <c r="BA332" s="1450">
        <f t="shared" ca="1" si="168"/>
        <v>0</v>
      </c>
      <c r="BB332" s="1440">
        <f ca="1">IF(B332&gt;=$J$5,0,(((CONTADORES!G344-CONTADORES!G343)+(CONTADORES!AP344-CONTADORES!AP343)+AR332)-(AV332+BC332)))</f>
        <v>0</v>
      </c>
      <c r="BC332" s="1438">
        <f ca="1">IF(B332&gt;=$J$5,0,(CONTADORES!AW344-CONTADORES!AW343)+(CONTADORES!AY344-CONTADORES!AY343)+(CONTADORES!BD344-CONTADORES!BD343))</f>
        <v>0</v>
      </c>
      <c r="BD332" s="1438">
        <f t="shared" ca="1" si="169"/>
        <v>0</v>
      </c>
      <c r="BE332" s="1439">
        <f ca="1">IF($B332&gt;=$J$5,0,CONTADORES!$BE344)</f>
        <v>0</v>
      </c>
      <c r="BF332" s="1438">
        <f ca="1">IF($B332&gt;=$J$5,0,CONTADORES!$BF344)</f>
        <v>0</v>
      </c>
      <c r="BG332" s="1438">
        <f ca="1">IF($B332&gt;=$J$5,0,CONTADORES!$BH344)</f>
        <v>0</v>
      </c>
      <c r="BH332" s="1438">
        <f ca="1">IF(B332&gt;=$J$5,0,(CONTADORES!AQ344-CONTADORES!AQ343))</f>
        <v>0</v>
      </c>
      <c r="BI332" s="1438">
        <f ca="1">IF(B332&gt;=$J$5,0,(CONTADORES!AR344-CONTADORES!AR343))</f>
        <v>0</v>
      </c>
      <c r="BJ332" s="1438">
        <f ca="1">IF(B332&gt;=$J$5,0,CONTADORES!BI344-CONTADORES!BI343)/1000</f>
        <v>0</v>
      </c>
      <c r="BK332" s="1439">
        <f ca="1">IF(B332&gt;=$J$5,0,CONTADORES!BJ344-CONTADORES!BJ343)</f>
        <v>0</v>
      </c>
      <c r="BL332" s="1438">
        <f ca="1">IF(B332&gt;=$J$5,0,CONTADORES!BK344-CONTADORES!BK343)</f>
        <v>0</v>
      </c>
      <c r="BM332" s="1438">
        <f ca="1">IF(B332&gt;=$J$5,0,CONTADORES!BL344-CONTADORES!BL343)/1000</f>
        <v>0</v>
      </c>
      <c r="BN332" s="1438">
        <f ca="1">IF(B332&gt;=$J$5,0,CONTADORES!BM344-CONTADORES!BM343)/1000</f>
        <v>0</v>
      </c>
      <c r="BO332" s="1438">
        <f ca="1">IF(B332&gt;=$J$5,0,CONTADORES!BN344-CONTADORES!BN343)</f>
        <v>0</v>
      </c>
      <c r="BP332" s="1438">
        <f ca="1">IF(B332&gt;=$J$5,0,CONTADORES!BO344-CONTADORES!BO343)/1000</f>
        <v>0</v>
      </c>
      <c r="BQ332" s="1438">
        <f ca="1">IF(B332&gt;=$J$5,0,CONTADORES!BP344-CONTADORES!BP343)/1000</f>
        <v>0</v>
      </c>
      <c r="BR332" s="1438">
        <f ca="1">IF(B332&gt;=$J$5,0,CONTADORES!BQ344-CONTADORES!BQ343)</f>
        <v>0</v>
      </c>
      <c r="BS332" s="1438">
        <f ca="1">IF(B332&gt;=$J$5,0,(CONTADORES!BT344-CONTADORES!BT343)+(CONTADORES!BV344-CONTADORES!BV343))/1000</f>
        <v>0</v>
      </c>
      <c r="BT332" s="1438">
        <f ca="1">IF(B332&gt;=$J$5,0,(CONTADORES!BU344-CONTADORES!BU343)+(CONTADORES!BW344-CONTADORES!BW343))/1000</f>
        <v>0</v>
      </c>
      <c r="BU332" s="1438">
        <f ca="1">IF(B332&gt;=$J$5,0,CONTADORES!BR344-CONTADORES!BR343)</f>
        <v>0</v>
      </c>
      <c r="BV332" s="1438">
        <f ca="1">IF(B332&gt;=$J$5,0,CONTADORES!BS344-CONTADORES!BS343)</f>
        <v>0</v>
      </c>
      <c r="BW332" s="1438">
        <f t="shared" ca="1" si="170"/>
        <v>0</v>
      </c>
      <c r="BX332" s="1438">
        <f t="shared" ca="1" si="171"/>
        <v>0</v>
      </c>
      <c r="BY332" s="1438">
        <f t="shared" ca="1" si="172"/>
        <v>0</v>
      </c>
      <c r="BZ332" s="1438">
        <f t="shared" ca="1" si="173"/>
        <v>0</v>
      </c>
      <c r="CA332" s="1438">
        <f t="shared" ca="1" si="174"/>
        <v>0</v>
      </c>
      <c r="CB332" s="1438">
        <f t="shared" ca="1" si="175"/>
        <v>0</v>
      </c>
      <c r="CC332" s="1438">
        <f t="shared" ca="1" si="176"/>
        <v>0</v>
      </c>
      <c r="CD332" s="1438">
        <f t="shared" ca="1" si="177"/>
        <v>0</v>
      </c>
      <c r="CE332" s="1438">
        <f ca="1">IF(B332&gt;=$J$5,0,CONTADORES!BS344-CONTADORES!BS343)</f>
        <v>0</v>
      </c>
      <c r="CF332" s="1438">
        <f t="shared" ca="1" si="178"/>
        <v>0</v>
      </c>
      <c r="CG332" s="1438">
        <f t="shared" ca="1" si="179"/>
        <v>0</v>
      </c>
      <c r="CH332" s="1438">
        <f t="shared" ca="1" si="180"/>
        <v>0</v>
      </c>
      <c r="CI332" s="1438">
        <f t="shared" ca="1" si="181"/>
        <v>0</v>
      </c>
      <c r="CJ332" s="1444">
        <f ca="1">IF($B332&gt;=$J$5,0,CONTADORES!$BG344)</f>
        <v>0</v>
      </c>
      <c r="CK332" s="1406">
        <f>CONTADORES!E344</f>
        <v>0</v>
      </c>
      <c r="CL332" s="1406">
        <f>CONTADORES!BX344</f>
        <v>0</v>
      </c>
    </row>
    <row r="333" spans="2:90">
      <c r="B333" s="410">
        <v>45249</v>
      </c>
      <c r="C333" s="204">
        <f t="shared" ca="1" si="156"/>
        <v>0</v>
      </c>
      <c r="D333" s="202">
        <f ca="1">'CALCULO DE GAS'!P158</f>
        <v>0</v>
      </c>
      <c r="E333" s="202">
        <f ca="1">IF(B333&gt;=$J$5,0,(CONTADORES!$AB345-CONTADORES!$AB344)-$H333)</f>
        <v>0</v>
      </c>
      <c r="F333" s="204">
        <f t="shared" ca="1" si="154"/>
        <v>0</v>
      </c>
      <c r="G333" s="202">
        <f ca="1">IF(B333&gt;=$J$5,0,CONTADORES!$AD345-CONTADORES!$AD344)</f>
        <v>0</v>
      </c>
      <c r="H333" s="202">
        <f ca="1">IF(G333&gt;0,CONTADORES!$AC345-CONTADORES!$AC344,0)</f>
        <v>0</v>
      </c>
      <c r="I333" s="205">
        <f ca="1">IF(B333&gt;=$J$5,0,CONTADORES!$Z345-CONTADORES!$Z344)</f>
        <v>0</v>
      </c>
      <c r="J333" s="204">
        <f t="shared" ca="1" si="157"/>
        <v>0</v>
      </c>
      <c r="K333" s="202">
        <f ca="1">'CALCULO DE GAS'!Q158</f>
        <v>0</v>
      </c>
      <c r="L333" s="1437">
        <f ca="1">IF(B333&gt;=$J$5,0,(CONTADORES!$W345-CONTADORES!$W344)-$O333)</f>
        <v>0</v>
      </c>
      <c r="M333" s="1437">
        <f t="shared" ca="1" si="158"/>
        <v>0</v>
      </c>
      <c r="N333" s="1437">
        <f ca="1">IF(B333&gt;=$J$5,0,CONTADORES!$Y345-CONTADORES!$Y344)</f>
        <v>0</v>
      </c>
      <c r="O333" s="1437">
        <f ca="1">IF(N333&gt;0,CONTADORES!$X345-CONTADORES!$X344,0)</f>
        <v>0</v>
      </c>
      <c r="P333" s="208">
        <f ca="1">IF(B333&gt;=$J$5,0,CONTADORES!$U345-CONTADORES!$U344)</f>
        <v>0</v>
      </c>
      <c r="Q333" s="208">
        <f ca="1">IF(B333&gt;=$J$5,0,CONTADORES!$B345-CONTADORES!$B344)</f>
        <v>0</v>
      </c>
      <c r="R333" s="202">
        <f t="shared" ca="1" si="159"/>
        <v>0</v>
      </c>
      <c r="S333" s="11">
        <f ca="1">IF(B333&gt;=$J$5,0,CONTADORES!$D345-CONTADORES!$D344)</f>
        <v>0</v>
      </c>
      <c r="T333" s="204">
        <f ca="1">IF(B333&gt;=$J$5,0,CONTADORES!$AZ345-CONTADORES!$AZ344)</f>
        <v>0</v>
      </c>
      <c r="U333" s="202">
        <f t="shared" ca="1" si="152"/>
        <v>0</v>
      </c>
      <c r="V333" s="11">
        <f ca="1">IF(B333&gt;=$J$5,0,CONTADORES!$BB345-CONTADORES!$BB344)</f>
        <v>0</v>
      </c>
      <c r="W333" s="1438">
        <f t="shared" ca="1" si="160"/>
        <v>0</v>
      </c>
      <c r="X333" s="1438">
        <f t="shared" ca="1" si="161"/>
        <v>0</v>
      </c>
      <c r="Y333" s="1439">
        <f t="shared" ca="1" si="162"/>
        <v>0</v>
      </c>
      <c r="Z333" s="1439">
        <f t="shared" ca="1" si="163"/>
        <v>0</v>
      </c>
      <c r="AA333" s="1439">
        <f t="shared" ca="1" si="164"/>
        <v>0</v>
      </c>
      <c r="AB333" s="1439">
        <f t="shared" ca="1" si="165"/>
        <v>0</v>
      </c>
      <c r="AC333" s="1438">
        <f t="shared" ca="1" si="166"/>
        <v>0</v>
      </c>
      <c r="AD333" s="1448">
        <f ca="1">IF(B333&gt;=$J$5,0,CONTADORES!H345-CONTADORES!H344)</f>
        <v>0</v>
      </c>
      <c r="AE333" s="1438">
        <f ca="1">IF(B333&gt;=$J$5,0,CONTADORES!J345-CONTADORES!J344)</f>
        <v>0</v>
      </c>
      <c r="AF333" s="1438">
        <f ca="1">IF(B333&gt;=$J$5,0,CONTADORES!AS345-CONTADORES!AS344)</f>
        <v>0</v>
      </c>
      <c r="AG333" s="1438">
        <f ca="1">IF(B333&gt;=$J$5,0,CONTADORES!AU345-CONTADORES!AU344)</f>
        <v>0</v>
      </c>
      <c r="AH333" s="1439">
        <f ca="1">IF(B333&gt;=$J$5,0,(CONTADORES!AK345-CONTADORES!AK344)+(CONTADORES!K345-CONTADORES!K344))</f>
        <v>0</v>
      </c>
      <c r="AI333" s="1438">
        <f ca="1">IF(B333&gt;=$J$5,0,(CONTADORES!AI345-CONTADORES!AI344)+(CONTADORES!M345-CONTADORES!M344))</f>
        <v>0</v>
      </c>
      <c r="AJ333" s="1438">
        <f ca="1">IF(B333&gt;=$J$5,0,(CONTADORES!AG345-CONTADORES!AG344))</f>
        <v>0</v>
      </c>
      <c r="AK333" s="1438">
        <f ca="1">IF(B333&gt;=$J$5,0,(CONTADORES!O345-CONTADORES!O344))</f>
        <v>0</v>
      </c>
      <c r="AL333" s="1500">
        <f t="shared" ca="1" si="167"/>
        <v>0</v>
      </c>
      <c r="AM333" s="1438">
        <f ca="1">IF(B333&gt;=$J$5,0,(((CONTADORES!F345-CONTADORES!F344)+(CONTADORES!AO345-CONTADORES!AO344))))-BJ333-AF333-AN333-BM333-BP333-BU333-BS333+T333</f>
        <v>0</v>
      </c>
      <c r="AN333" s="1438">
        <f ca="1">IF(B333&gt;=$J$5,0,(CONTADORES!AV345-CONTADORES!AV344)+(CONTADORES!AX345-CONTADORES!AX344)+(CONTADORES!BC345-CONTADORES!BC344))-BS333</f>
        <v>0</v>
      </c>
      <c r="AO333" s="1440">
        <f ca="1">IF(B333&gt;=$J$5,0,(CONTADORES!AA345-CONTADORES!AA344))</f>
        <v>0</v>
      </c>
      <c r="AP333" s="1474">
        <f ca="1">IF(B333&gt;=$J$5,0,(CONTADORES!V345-CONTADORES!V344))</f>
        <v>0</v>
      </c>
      <c r="AQ333" s="1440">
        <f ca="1">IF(B333&gt;=$J$5,0,(CONTADORES!C345-CONTADORES!C344))</f>
        <v>0</v>
      </c>
      <c r="AR333" s="1440">
        <f ca="1">IF(B333&gt;=$J$5,0,(CONTADORES!BA345-CONTADORES!BA344))</f>
        <v>0</v>
      </c>
      <c r="AS333" s="1438">
        <f ca="1">IF(B333&gt;=$J$5,0,CONTADORES!Q345-CONTADORES!Q344)</f>
        <v>0</v>
      </c>
      <c r="AT333" s="1438">
        <f ca="1">IF(B333&gt;=$J$5,0,(CONTADORES!S345-CONTADORES!S344)+(CONTADORES!AE345-CONTADORES!AE344))</f>
        <v>0</v>
      </c>
      <c r="AU333" s="1474">
        <f ca="1">IF(B333&gt;=$J$5,0,(CONTADORES!I345-CONTADORES!I344))</f>
        <v>0</v>
      </c>
      <c r="AV333" s="1440">
        <f ca="1">IF(B333&gt;=$J$5,0,(CONTADORES!AT345-CONTADORES!AT344))</f>
        <v>0</v>
      </c>
      <c r="AW333" s="1474">
        <f ca="1">IF(B333&gt;=$J$5,0,(CONTADORES!L345-CONTADORES!L344)+(CONTADORES!AL345-CONTADORES!AL344))</f>
        <v>0</v>
      </c>
      <c r="AX333" s="1440">
        <f ca="1">IF(B333&gt;=$J$5,0,(CONTADORES!N345-CONTADORES!N344)+(CONTADORES!AJ345-CONTADORES!AJ344))</f>
        <v>0</v>
      </c>
      <c r="AY333" s="1440">
        <f ca="1">IF(B333&gt;=$J$5,0,(CONTADORES!AH345-CONTADORES!AH344))</f>
        <v>0</v>
      </c>
      <c r="AZ333" s="1440">
        <f ca="1">IF(B333&gt;=$J$5,0,(CONTADORES!P345-CONTADORES!P344))</f>
        <v>0</v>
      </c>
      <c r="BA333" s="1450">
        <f t="shared" ca="1" si="168"/>
        <v>0</v>
      </c>
      <c r="BB333" s="1440">
        <f ca="1">IF(B333&gt;=$J$5,0,(((CONTADORES!G345-CONTADORES!G344)+(CONTADORES!AP345-CONTADORES!AP344)+AR333)-(AV333+BC333)))</f>
        <v>0</v>
      </c>
      <c r="BC333" s="1438">
        <f ca="1">IF(B333&gt;=$J$5,0,(CONTADORES!AW345-CONTADORES!AW344)+(CONTADORES!AY345-CONTADORES!AY344)+(CONTADORES!BD345-CONTADORES!BD344))</f>
        <v>0</v>
      </c>
      <c r="BD333" s="1438">
        <f t="shared" ca="1" si="169"/>
        <v>0</v>
      </c>
      <c r="BE333" s="1439">
        <f ca="1">IF($B333&gt;=$J$5,0,CONTADORES!$BE345)</f>
        <v>0</v>
      </c>
      <c r="BF333" s="1438">
        <f ca="1">IF($B333&gt;=$J$5,0,CONTADORES!$BF345)</f>
        <v>0</v>
      </c>
      <c r="BG333" s="1438">
        <f ca="1">IF($B333&gt;=$J$5,0,CONTADORES!$BH345)</f>
        <v>0</v>
      </c>
      <c r="BH333" s="1438">
        <f ca="1">IF(B333&gt;=$J$5,0,(CONTADORES!AQ345-CONTADORES!AQ344))</f>
        <v>0</v>
      </c>
      <c r="BI333" s="1438">
        <f ca="1">IF(B333&gt;=$J$5,0,(CONTADORES!AR345-CONTADORES!AR344))</f>
        <v>0</v>
      </c>
      <c r="BJ333" s="1438">
        <f ca="1">IF(B333&gt;=$J$5,0,CONTADORES!BI345-CONTADORES!BI344)/1000</f>
        <v>0</v>
      </c>
      <c r="BK333" s="1439">
        <f ca="1">IF(B333&gt;=$J$5,0,CONTADORES!BJ345-CONTADORES!BJ344)</f>
        <v>0</v>
      </c>
      <c r="BL333" s="1438">
        <f ca="1">IF(B333&gt;=$J$5,0,CONTADORES!BK345-CONTADORES!BK344)</f>
        <v>0</v>
      </c>
      <c r="BM333" s="1438">
        <f ca="1">IF(B333&gt;=$J$5,0,CONTADORES!BL345-CONTADORES!BL344)/1000</f>
        <v>0</v>
      </c>
      <c r="BN333" s="1438">
        <f ca="1">IF(B333&gt;=$J$5,0,CONTADORES!BM345-CONTADORES!BM344)/1000</f>
        <v>0</v>
      </c>
      <c r="BO333" s="1438">
        <f ca="1">IF(B333&gt;=$J$5,0,CONTADORES!BN345-CONTADORES!BN344)</f>
        <v>0</v>
      </c>
      <c r="BP333" s="1438">
        <f ca="1">IF(B333&gt;=$J$5,0,CONTADORES!BO345-CONTADORES!BO344)/1000</f>
        <v>0</v>
      </c>
      <c r="BQ333" s="1438">
        <f ca="1">IF(B333&gt;=$J$5,0,CONTADORES!BP345-CONTADORES!BP344)/1000</f>
        <v>0</v>
      </c>
      <c r="BR333" s="1438">
        <f ca="1">IF(B333&gt;=$J$5,0,CONTADORES!BQ345-CONTADORES!BQ344)</f>
        <v>0</v>
      </c>
      <c r="BS333" s="1438">
        <f ca="1">IF(B333&gt;=$J$5,0,(CONTADORES!BT345-CONTADORES!BT344)+(CONTADORES!BV345-CONTADORES!BV344))/1000</f>
        <v>0</v>
      </c>
      <c r="BT333" s="1438">
        <f ca="1">IF(B333&gt;=$J$5,0,(CONTADORES!BU345-CONTADORES!BU344)+(CONTADORES!BW345-CONTADORES!BW344))/1000</f>
        <v>0</v>
      </c>
      <c r="BU333" s="1438">
        <f ca="1">IF(B333&gt;=$J$5,0,CONTADORES!BR345-CONTADORES!BR344)</f>
        <v>0</v>
      </c>
      <c r="BV333" s="1438">
        <f ca="1">IF(B333&gt;=$J$5,0,CONTADORES!BS345-CONTADORES!BS344)</f>
        <v>0</v>
      </c>
      <c r="BW333" s="1438">
        <f t="shared" ca="1" si="170"/>
        <v>0</v>
      </c>
      <c r="BX333" s="1438">
        <f t="shared" ca="1" si="171"/>
        <v>0</v>
      </c>
      <c r="BY333" s="1438">
        <f t="shared" ca="1" si="172"/>
        <v>0</v>
      </c>
      <c r="BZ333" s="1438">
        <f t="shared" ca="1" si="173"/>
        <v>0</v>
      </c>
      <c r="CA333" s="1438">
        <f t="shared" ca="1" si="174"/>
        <v>0</v>
      </c>
      <c r="CB333" s="1438">
        <f t="shared" ca="1" si="175"/>
        <v>0</v>
      </c>
      <c r="CC333" s="1438">
        <f t="shared" ca="1" si="176"/>
        <v>0</v>
      </c>
      <c r="CD333" s="1438">
        <f t="shared" ca="1" si="177"/>
        <v>0</v>
      </c>
      <c r="CE333" s="1438">
        <f ca="1">IF(B333&gt;=$J$5,0,CONTADORES!BS345-CONTADORES!BS344)</f>
        <v>0</v>
      </c>
      <c r="CF333" s="1438">
        <f t="shared" ca="1" si="178"/>
        <v>0</v>
      </c>
      <c r="CG333" s="1438">
        <f t="shared" ca="1" si="179"/>
        <v>0</v>
      </c>
      <c r="CH333" s="1438">
        <f t="shared" ca="1" si="180"/>
        <v>0</v>
      </c>
      <c r="CI333" s="1438">
        <f t="shared" ca="1" si="181"/>
        <v>0</v>
      </c>
      <c r="CJ333" s="1444">
        <f ca="1">IF($B333&gt;=$J$5,0,CONTADORES!$BG345)</f>
        <v>0</v>
      </c>
      <c r="CK333" s="1406">
        <f>CONTADORES!E345</f>
        <v>0</v>
      </c>
      <c r="CL333" s="1406">
        <f>CONTADORES!BX345</f>
        <v>0</v>
      </c>
    </row>
    <row r="334" spans="2:90">
      <c r="B334" s="410">
        <v>45250</v>
      </c>
      <c r="C334" s="204">
        <f t="shared" ca="1" si="156"/>
        <v>0</v>
      </c>
      <c r="D334" s="202">
        <f ca="1">'CALCULO DE GAS'!P159</f>
        <v>0</v>
      </c>
      <c r="E334" s="202">
        <f ca="1">IF(B334&gt;=$J$5,0,(CONTADORES!$AB346-CONTADORES!$AB345)-$H334)</f>
        <v>0</v>
      </c>
      <c r="F334" s="204">
        <f t="shared" ca="1" si="154"/>
        <v>0</v>
      </c>
      <c r="G334" s="202">
        <f ca="1">IF(B334&gt;=$J$5,0,CONTADORES!$AD346-CONTADORES!$AD345)</f>
        <v>0</v>
      </c>
      <c r="H334" s="202">
        <f ca="1">IF(G334&gt;0,CONTADORES!$AC346-CONTADORES!$AC345,0)</f>
        <v>0</v>
      </c>
      <c r="I334" s="205">
        <f ca="1">IF(B334&gt;=$J$5,0,CONTADORES!$Z346-CONTADORES!$Z345)</f>
        <v>0</v>
      </c>
      <c r="J334" s="204">
        <f t="shared" ca="1" si="157"/>
        <v>0</v>
      </c>
      <c r="K334" s="202">
        <f ca="1">'CALCULO DE GAS'!Q159</f>
        <v>0</v>
      </c>
      <c r="L334" s="1437">
        <f ca="1">IF(B334&gt;=$J$5,0,(CONTADORES!$W346-CONTADORES!$W345)-$O334)</f>
        <v>0</v>
      </c>
      <c r="M334" s="1437">
        <f t="shared" ca="1" si="158"/>
        <v>0</v>
      </c>
      <c r="N334" s="1437">
        <f ca="1">IF(B334&gt;=$J$5,0,CONTADORES!$Y346-CONTADORES!$Y345)</f>
        <v>0</v>
      </c>
      <c r="O334" s="1437">
        <f ca="1">IF(N334&gt;0,CONTADORES!$X346-CONTADORES!$X345,0)</f>
        <v>0</v>
      </c>
      <c r="P334" s="208">
        <f ca="1">IF(B334&gt;=$J$5,0,CONTADORES!$U346-CONTADORES!$U345)</f>
        <v>0</v>
      </c>
      <c r="Q334" s="208">
        <f ca="1">IF(B334&gt;=$J$5,0,CONTADORES!$B346-CONTADORES!$B345)</f>
        <v>0</v>
      </c>
      <c r="R334" s="202">
        <f t="shared" ca="1" si="159"/>
        <v>0</v>
      </c>
      <c r="S334" s="11">
        <f ca="1">IF(B334&gt;=$J$5,0,CONTADORES!$D346-CONTADORES!$D345)</f>
        <v>0</v>
      </c>
      <c r="T334" s="204">
        <f ca="1">IF(B334&gt;=$J$5,0,CONTADORES!$AZ346-CONTADORES!$AZ345)</f>
        <v>0</v>
      </c>
      <c r="U334" s="202">
        <f t="shared" ca="1" si="152"/>
        <v>0</v>
      </c>
      <c r="V334" s="11">
        <f ca="1">IF(B334&gt;=$J$5,0,CONTADORES!$BB346-CONTADORES!$BB345)</f>
        <v>0</v>
      </c>
      <c r="W334" s="1438">
        <f t="shared" ca="1" si="160"/>
        <v>0</v>
      </c>
      <c r="X334" s="1438">
        <f t="shared" ca="1" si="161"/>
        <v>0</v>
      </c>
      <c r="Y334" s="1439">
        <f t="shared" ca="1" si="162"/>
        <v>0</v>
      </c>
      <c r="Z334" s="1439">
        <f t="shared" ca="1" si="163"/>
        <v>0</v>
      </c>
      <c r="AA334" s="1439">
        <f t="shared" ca="1" si="164"/>
        <v>0</v>
      </c>
      <c r="AB334" s="1439">
        <f t="shared" ca="1" si="165"/>
        <v>0</v>
      </c>
      <c r="AC334" s="1438">
        <f t="shared" ca="1" si="166"/>
        <v>0</v>
      </c>
      <c r="AD334" s="1448">
        <f ca="1">IF(B334&gt;=$J$5,0,CONTADORES!H346-CONTADORES!H345)</f>
        <v>0</v>
      </c>
      <c r="AE334" s="1438">
        <f ca="1">IF(B334&gt;=$J$5,0,CONTADORES!J346-CONTADORES!J345)</f>
        <v>0</v>
      </c>
      <c r="AF334" s="1438">
        <f ca="1">IF(B334&gt;=$J$5,0,CONTADORES!AS346-CONTADORES!AS345)</f>
        <v>0</v>
      </c>
      <c r="AG334" s="1438">
        <f ca="1">IF(B334&gt;=$J$5,0,CONTADORES!AU346-CONTADORES!AU345)</f>
        <v>0</v>
      </c>
      <c r="AH334" s="1439">
        <f ca="1">IF(B334&gt;=$J$5,0,(CONTADORES!AK346-CONTADORES!AK345)+(CONTADORES!K346-CONTADORES!K345))</f>
        <v>0</v>
      </c>
      <c r="AI334" s="1438">
        <f ca="1">IF(B334&gt;=$J$5,0,(CONTADORES!AI346-CONTADORES!AI345)+(CONTADORES!M346-CONTADORES!M345))</f>
        <v>0</v>
      </c>
      <c r="AJ334" s="1438">
        <f ca="1">IF(B334&gt;=$J$5,0,(CONTADORES!AG346-CONTADORES!AG345))</f>
        <v>0</v>
      </c>
      <c r="AK334" s="1438">
        <f ca="1">IF(B334&gt;=$J$5,0,(CONTADORES!O346-CONTADORES!O345))</f>
        <v>0</v>
      </c>
      <c r="AL334" s="1500">
        <f t="shared" ca="1" si="167"/>
        <v>0</v>
      </c>
      <c r="AM334" s="1438">
        <f ca="1">IF(B334&gt;=$J$5,0,(((CONTADORES!F346-CONTADORES!F345)+(CONTADORES!AO346-CONTADORES!AO345))))-BJ334-AF334-AN334-BM334-BP334-BU334-BS334+T334</f>
        <v>0</v>
      </c>
      <c r="AN334" s="1438">
        <f ca="1">IF(B334&gt;=$J$5,0,(CONTADORES!AV346-CONTADORES!AV345)+(CONTADORES!AX346-CONTADORES!AX345)+(CONTADORES!BC346-CONTADORES!BC345))-BS334</f>
        <v>0</v>
      </c>
      <c r="AO334" s="1440">
        <f ca="1">IF(B334&gt;=$J$5,0,(CONTADORES!AA346-CONTADORES!AA345))</f>
        <v>0</v>
      </c>
      <c r="AP334" s="1474">
        <f ca="1">IF(B334&gt;=$J$5,0,(CONTADORES!V346-CONTADORES!V345))</f>
        <v>0</v>
      </c>
      <c r="AQ334" s="1440">
        <f ca="1">IF(B334&gt;=$J$5,0,(CONTADORES!C346-CONTADORES!C345))</f>
        <v>0</v>
      </c>
      <c r="AR334" s="1440">
        <f ca="1">IF(B334&gt;=$J$5,0,(CONTADORES!BA346-CONTADORES!BA345))</f>
        <v>0</v>
      </c>
      <c r="AS334" s="1438">
        <f ca="1">IF(B334&gt;=$J$5,0,CONTADORES!Q346-CONTADORES!Q345)</f>
        <v>0</v>
      </c>
      <c r="AT334" s="1438">
        <f ca="1">IF(B334&gt;=$J$5,0,(CONTADORES!S346-CONTADORES!S345)+(CONTADORES!AE346-CONTADORES!AE345))</f>
        <v>0</v>
      </c>
      <c r="AU334" s="1474">
        <f ca="1">IF(B334&gt;=$J$5,0,(CONTADORES!I346-CONTADORES!I345))</f>
        <v>0</v>
      </c>
      <c r="AV334" s="1440">
        <f ca="1">IF(B334&gt;=$J$5,0,(CONTADORES!AT346-CONTADORES!AT345))</f>
        <v>0</v>
      </c>
      <c r="AW334" s="1474">
        <f ca="1">IF(B334&gt;=$J$5,0,(CONTADORES!L346-CONTADORES!L345)+(CONTADORES!AL346-CONTADORES!AL345))</f>
        <v>0</v>
      </c>
      <c r="AX334" s="1440">
        <f ca="1">IF(B334&gt;=$J$5,0,(CONTADORES!N346-CONTADORES!N345)+(CONTADORES!AJ346-CONTADORES!AJ345))</f>
        <v>0</v>
      </c>
      <c r="AY334" s="1440">
        <f ca="1">IF(B334&gt;=$J$5,0,(CONTADORES!AH346-CONTADORES!AH345))</f>
        <v>0</v>
      </c>
      <c r="AZ334" s="1440">
        <f ca="1">IF(B334&gt;=$J$5,0,(CONTADORES!P346-CONTADORES!P345))</f>
        <v>0</v>
      </c>
      <c r="BA334" s="1450">
        <f t="shared" ca="1" si="168"/>
        <v>0</v>
      </c>
      <c r="BB334" s="1440">
        <f ca="1">IF(B334&gt;=$J$5,0,(((CONTADORES!G346-CONTADORES!G345)+(CONTADORES!AP346-CONTADORES!AP345)+AR334)-(AV334+BC334)))</f>
        <v>0</v>
      </c>
      <c r="BC334" s="1438">
        <f ca="1">IF(B334&gt;=$J$5,0,(CONTADORES!AW346-CONTADORES!AW345)+(CONTADORES!AY346-CONTADORES!AY345)+(CONTADORES!BD346-CONTADORES!BD345))</f>
        <v>0</v>
      </c>
      <c r="BD334" s="1438">
        <f t="shared" ca="1" si="169"/>
        <v>0</v>
      </c>
      <c r="BE334" s="1439">
        <f ca="1">IF($B334&gt;=$J$5,0,CONTADORES!$BE346)</f>
        <v>0</v>
      </c>
      <c r="BF334" s="1438">
        <f ca="1">IF($B334&gt;=$J$5,0,CONTADORES!$BF346)</f>
        <v>0</v>
      </c>
      <c r="BG334" s="1438">
        <f ca="1">IF($B334&gt;=$J$5,0,CONTADORES!$BH346)</f>
        <v>0</v>
      </c>
      <c r="BH334" s="1438">
        <f ca="1">IF(B334&gt;=$J$5,0,(CONTADORES!AQ346-CONTADORES!AQ345))</f>
        <v>0</v>
      </c>
      <c r="BI334" s="1438">
        <f ca="1">IF(B334&gt;=$J$5,0,(CONTADORES!AR346-CONTADORES!AR345))</f>
        <v>0</v>
      </c>
      <c r="BJ334" s="1438">
        <f ca="1">IF(B334&gt;=$J$5,0,CONTADORES!BI346-CONTADORES!BI345)/1000</f>
        <v>0</v>
      </c>
      <c r="BK334" s="1439">
        <f ca="1">IF(B334&gt;=$J$5,0,CONTADORES!BJ346-CONTADORES!BJ345)</f>
        <v>0</v>
      </c>
      <c r="BL334" s="1438">
        <f ca="1">IF(B334&gt;=$J$5,0,CONTADORES!BK346-CONTADORES!BK345)</f>
        <v>0</v>
      </c>
      <c r="BM334" s="1438">
        <f ca="1">IF(B334&gt;=$J$5,0,CONTADORES!BL346-CONTADORES!BL345)/1000</f>
        <v>0</v>
      </c>
      <c r="BN334" s="1438">
        <f ca="1">IF(B334&gt;=$J$5,0,CONTADORES!BM346-CONTADORES!BM345)/1000</f>
        <v>0</v>
      </c>
      <c r="BO334" s="1438">
        <f ca="1">IF(B334&gt;=$J$5,0,CONTADORES!BN346-CONTADORES!BN345)</f>
        <v>0</v>
      </c>
      <c r="BP334" s="1438">
        <f ca="1">IF(B334&gt;=$J$5,0,CONTADORES!BO346-CONTADORES!BO345)/1000</f>
        <v>0</v>
      </c>
      <c r="BQ334" s="1438">
        <f ca="1">IF(B334&gt;=$J$5,0,CONTADORES!BP346-CONTADORES!BP345)/1000</f>
        <v>0</v>
      </c>
      <c r="BR334" s="1438">
        <f ca="1">IF(B334&gt;=$J$5,0,CONTADORES!BQ346-CONTADORES!BQ345)</f>
        <v>0</v>
      </c>
      <c r="BS334" s="1438">
        <f ca="1">IF(B334&gt;=$J$5,0,(CONTADORES!BT346-CONTADORES!BT345)+(CONTADORES!BV346-CONTADORES!BV345))/1000</f>
        <v>0</v>
      </c>
      <c r="BT334" s="1438">
        <f ca="1">IF(B334&gt;=$J$5,0,(CONTADORES!BU346-CONTADORES!BU345)+(CONTADORES!BW346-CONTADORES!BW345))/1000</f>
        <v>0</v>
      </c>
      <c r="BU334" s="1438">
        <f ca="1">IF(B334&gt;=$J$5,0,CONTADORES!BR346-CONTADORES!BR345)</f>
        <v>0</v>
      </c>
      <c r="BV334" s="1438">
        <f ca="1">IF(B334&gt;=$J$5,0,CONTADORES!BS346-CONTADORES!BS345)</f>
        <v>0</v>
      </c>
      <c r="BW334" s="1438">
        <f t="shared" ca="1" si="170"/>
        <v>0</v>
      </c>
      <c r="BX334" s="1438">
        <f t="shared" ca="1" si="171"/>
        <v>0</v>
      </c>
      <c r="BY334" s="1438">
        <f t="shared" ca="1" si="172"/>
        <v>0</v>
      </c>
      <c r="BZ334" s="1438">
        <f t="shared" ca="1" si="173"/>
        <v>0</v>
      </c>
      <c r="CA334" s="1438">
        <f t="shared" ca="1" si="174"/>
        <v>0</v>
      </c>
      <c r="CB334" s="1438">
        <f t="shared" ca="1" si="175"/>
        <v>0</v>
      </c>
      <c r="CC334" s="1438">
        <f t="shared" ca="1" si="176"/>
        <v>0</v>
      </c>
      <c r="CD334" s="1438">
        <f t="shared" ca="1" si="177"/>
        <v>0</v>
      </c>
      <c r="CE334" s="1438">
        <f ca="1">IF(B334&gt;=$J$5,0,CONTADORES!BS346-CONTADORES!BS345)</f>
        <v>0</v>
      </c>
      <c r="CF334" s="1438">
        <f t="shared" ca="1" si="178"/>
        <v>0</v>
      </c>
      <c r="CG334" s="1438">
        <f t="shared" ca="1" si="179"/>
        <v>0</v>
      </c>
      <c r="CH334" s="1438">
        <f t="shared" ca="1" si="180"/>
        <v>0</v>
      </c>
      <c r="CI334" s="1438">
        <f t="shared" ca="1" si="181"/>
        <v>0</v>
      </c>
      <c r="CJ334" s="1444">
        <f ca="1">IF($B334&gt;=$J$5,0,CONTADORES!$BG346)</f>
        <v>0</v>
      </c>
      <c r="CK334" s="1406">
        <f>CONTADORES!E346</f>
        <v>0</v>
      </c>
      <c r="CL334" s="1406">
        <f>CONTADORES!BX346</f>
        <v>0</v>
      </c>
    </row>
    <row r="335" spans="2:90">
      <c r="B335" s="410">
        <v>45251</v>
      </c>
      <c r="C335" s="204">
        <f t="shared" ca="1" si="156"/>
        <v>0</v>
      </c>
      <c r="D335" s="202">
        <f ca="1">'CALCULO DE GAS'!P160</f>
        <v>0</v>
      </c>
      <c r="E335" s="202">
        <f ca="1">IF(B335&gt;=$J$5,0,(CONTADORES!$AB347-CONTADORES!$AB346)-$H335)</f>
        <v>0</v>
      </c>
      <c r="F335" s="204">
        <f t="shared" ca="1" si="154"/>
        <v>0</v>
      </c>
      <c r="G335" s="202">
        <f ca="1">IF(B335&gt;=$J$5,0,CONTADORES!$AD347-CONTADORES!$AD346)</f>
        <v>0</v>
      </c>
      <c r="H335" s="202">
        <f ca="1">IF(G335&gt;0,CONTADORES!$AC347-CONTADORES!$AC346,0)</f>
        <v>0</v>
      </c>
      <c r="I335" s="205">
        <f ca="1">IF(B335&gt;=$J$5,0,CONTADORES!$Z347-CONTADORES!$Z346)</f>
        <v>0</v>
      </c>
      <c r="J335" s="204">
        <f t="shared" ca="1" si="157"/>
        <v>0</v>
      </c>
      <c r="K335" s="202">
        <f ca="1">'CALCULO DE GAS'!Q160</f>
        <v>0</v>
      </c>
      <c r="L335" s="1437">
        <f ca="1">IF(B335&gt;=$J$5,0,(CONTADORES!$W347-CONTADORES!$W346)-$O335)</f>
        <v>0</v>
      </c>
      <c r="M335" s="1437">
        <f t="shared" ca="1" si="158"/>
        <v>0</v>
      </c>
      <c r="N335" s="1437">
        <f ca="1">IF(B335&gt;=$J$5,0,CONTADORES!$Y347-CONTADORES!$Y346)</f>
        <v>0</v>
      </c>
      <c r="O335" s="1437">
        <f ca="1">IF(N335&gt;0,CONTADORES!$X347-CONTADORES!$X346,0)</f>
        <v>0</v>
      </c>
      <c r="P335" s="208">
        <f ca="1">IF(B335&gt;=$J$5,0,CONTADORES!$U347-CONTADORES!$U346)</f>
        <v>0</v>
      </c>
      <c r="Q335" s="208">
        <f ca="1">IF(B335&gt;=$J$5,0,CONTADORES!$B347-CONTADORES!$B346)</f>
        <v>0</v>
      </c>
      <c r="R335" s="202">
        <f t="shared" ca="1" si="159"/>
        <v>0</v>
      </c>
      <c r="S335" s="11">
        <f ca="1">IF(B335&gt;=$J$5,0,CONTADORES!$D347-CONTADORES!$D346)</f>
        <v>0</v>
      </c>
      <c r="T335" s="204">
        <f ca="1">IF(B335&gt;=$J$5,0,CONTADORES!$AZ347-CONTADORES!$AZ346)</f>
        <v>0</v>
      </c>
      <c r="U335" s="202">
        <f t="shared" ca="1" si="152"/>
        <v>0</v>
      </c>
      <c r="V335" s="11">
        <f ca="1">IF(B335&gt;=$J$5,0,CONTADORES!$BB347-CONTADORES!$BB346)</f>
        <v>0</v>
      </c>
      <c r="W335" s="1438">
        <f t="shared" ca="1" si="160"/>
        <v>0</v>
      </c>
      <c r="X335" s="1438">
        <f t="shared" ca="1" si="161"/>
        <v>0</v>
      </c>
      <c r="Y335" s="1439">
        <f t="shared" ca="1" si="162"/>
        <v>0</v>
      </c>
      <c r="Z335" s="1439">
        <f t="shared" ca="1" si="163"/>
        <v>0</v>
      </c>
      <c r="AA335" s="1439">
        <f t="shared" ca="1" si="164"/>
        <v>0</v>
      </c>
      <c r="AB335" s="1439">
        <f t="shared" ca="1" si="165"/>
        <v>0</v>
      </c>
      <c r="AC335" s="1438">
        <f t="shared" ca="1" si="166"/>
        <v>0</v>
      </c>
      <c r="AD335" s="1448">
        <f ca="1">IF(B335&gt;=$J$5,0,CONTADORES!H347-CONTADORES!H346)</f>
        <v>0</v>
      </c>
      <c r="AE335" s="1438">
        <f ca="1">IF(B335&gt;=$J$5,0,CONTADORES!J347-CONTADORES!J346)</f>
        <v>0</v>
      </c>
      <c r="AF335" s="1438">
        <f ca="1">IF(B335&gt;=$J$5,0,CONTADORES!AS347-CONTADORES!AS346)</f>
        <v>0</v>
      </c>
      <c r="AG335" s="1438">
        <f ca="1">IF(B335&gt;=$J$5,0,CONTADORES!AU347-CONTADORES!AU346)</f>
        <v>0</v>
      </c>
      <c r="AH335" s="1439">
        <f ca="1">IF(B335&gt;=$J$5,0,(CONTADORES!AK347-CONTADORES!AK346)+(CONTADORES!K347-CONTADORES!K346))</f>
        <v>0</v>
      </c>
      <c r="AI335" s="1438">
        <f ca="1">IF(B335&gt;=$J$5,0,(CONTADORES!AI347-CONTADORES!AI346)+(CONTADORES!M347-CONTADORES!M346))</f>
        <v>0</v>
      </c>
      <c r="AJ335" s="1438">
        <f ca="1">IF(B335&gt;=$J$5,0,(CONTADORES!AG347-CONTADORES!AG346))</f>
        <v>0</v>
      </c>
      <c r="AK335" s="1438">
        <f ca="1">IF(B335&gt;=$J$5,0,(CONTADORES!O347-CONTADORES!O346))</f>
        <v>0</v>
      </c>
      <c r="AL335" s="1500">
        <f t="shared" ca="1" si="167"/>
        <v>0</v>
      </c>
      <c r="AM335" s="1438">
        <f ca="1">IF(B335&gt;=$J$5,0,(((CONTADORES!F347-CONTADORES!F346)+(CONTADORES!AO347-CONTADORES!AO346))))-BJ335-AF335-AN335-BM335-BP335-BU335-BS335+T335</f>
        <v>0</v>
      </c>
      <c r="AN335" s="1438">
        <f ca="1">IF(B335&gt;=$J$5,0,(CONTADORES!AV347-CONTADORES!AV346)+(CONTADORES!AX347-CONTADORES!AX346)+(CONTADORES!BC347-CONTADORES!BC346))-BS335</f>
        <v>0</v>
      </c>
      <c r="AO335" s="1440">
        <f ca="1">IF(B335&gt;=$J$5,0,(CONTADORES!AA347-CONTADORES!AA346))</f>
        <v>0</v>
      </c>
      <c r="AP335" s="1474">
        <f ca="1">IF(B335&gt;=$J$5,0,(CONTADORES!V347-CONTADORES!V346))</f>
        <v>0</v>
      </c>
      <c r="AQ335" s="1440">
        <f ca="1">IF(B335&gt;=$J$5,0,(CONTADORES!C347-CONTADORES!C346))</f>
        <v>0</v>
      </c>
      <c r="AR335" s="1440">
        <f ca="1">IF(B335&gt;=$J$5,0,(CONTADORES!BA347-CONTADORES!BA346))</f>
        <v>0</v>
      </c>
      <c r="AS335" s="1438">
        <f ca="1">IF(B335&gt;=$J$5,0,CONTADORES!Q347-CONTADORES!Q346)</f>
        <v>0</v>
      </c>
      <c r="AT335" s="1438">
        <f ca="1">IF(B335&gt;=$J$5,0,(CONTADORES!S347-CONTADORES!S346)+(CONTADORES!AE347-CONTADORES!AE346))</f>
        <v>0</v>
      </c>
      <c r="AU335" s="1474">
        <f ca="1">IF(B335&gt;=$J$5,0,(CONTADORES!I347-CONTADORES!I346))</f>
        <v>0</v>
      </c>
      <c r="AV335" s="1440">
        <f ca="1">IF(B335&gt;=$J$5,0,(CONTADORES!AT347-CONTADORES!AT346))</f>
        <v>0</v>
      </c>
      <c r="AW335" s="1474">
        <f ca="1">IF(B335&gt;=$J$5,0,(CONTADORES!L347-CONTADORES!L346)+(CONTADORES!AL347-CONTADORES!AL346))</f>
        <v>0</v>
      </c>
      <c r="AX335" s="1440">
        <f ca="1">IF(B335&gt;=$J$5,0,(CONTADORES!N347-CONTADORES!N346)+(CONTADORES!AJ347-CONTADORES!AJ346))</f>
        <v>0</v>
      </c>
      <c r="AY335" s="1440">
        <f ca="1">IF(B335&gt;=$J$5,0,(CONTADORES!AH347-CONTADORES!AH346))</f>
        <v>0</v>
      </c>
      <c r="AZ335" s="1440">
        <f ca="1">IF(B335&gt;=$J$5,0,(CONTADORES!P347-CONTADORES!P346))</f>
        <v>0</v>
      </c>
      <c r="BA335" s="1450">
        <f t="shared" ca="1" si="168"/>
        <v>0</v>
      </c>
      <c r="BB335" s="1440">
        <f ca="1">IF(B335&gt;=$J$5,0,(((CONTADORES!G347-CONTADORES!G346)+(CONTADORES!AP347-CONTADORES!AP346)+AR335)-(AV335+BC335)))</f>
        <v>0</v>
      </c>
      <c r="BC335" s="1438">
        <f ca="1">IF(B335&gt;=$J$5,0,(CONTADORES!AW347-CONTADORES!AW346)+(CONTADORES!AY347-CONTADORES!AY346)+(CONTADORES!BD347-CONTADORES!BD346))</f>
        <v>0</v>
      </c>
      <c r="BD335" s="1438">
        <f t="shared" ca="1" si="169"/>
        <v>0</v>
      </c>
      <c r="BE335" s="1439">
        <f ca="1">IF($B335&gt;=$J$5,0,CONTADORES!$BE347)</f>
        <v>0</v>
      </c>
      <c r="BF335" s="1438">
        <f ca="1">IF($B335&gt;=$J$5,0,CONTADORES!$BF347)</f>
        <v>0</v>
      </c>
      <c r="BG335" s="1438">
        <f ca="1">IF($B335&gt;=$J$5,0,CONTADORES!$BH347)</f>
        <v>0</v>
      </c>
      <c r="BH335" s="1438">
        <f ca="1">IF(B335&gt;=$J$5,0,(CONTADORES!AQ347-CONTADORES!AQ346))</f>
        <v>0</v>
      </c>
      <c r="BI335" s="1438">
        <f ca="1">IF(B335&gt;=$J$5,0,(CONTADORES!AR347-CONTADORES!AR346))</f>
        <v>0</v>
      </c>
      <c r="BJ335" s="1438">
        <f ca="1">IF(B335&gt;=$J$5,0,CONTADORES!BI347-CONTADORES!BI346)/1000</f>
        <v>0</v>
      </c>
      <c r="BK335" s="1439">
        <f ca="1">IF(B335&gt;=$J$5,0,CONTADORES!BJ347-CONTADORES!BJ346)</f>
        <v>0</v>
      </c>
      <c r="BL335" s="1438">
        <f ca="1">IF(B335&gt;=$J$5,0,CONTADORES!BK347-CONTADORES!BK346)</f>
        <v>0</v>
      </c>
      <c r="BM335" s="1438">
        <f ca="1">IF(B335&gt;=$J$5,0,CONTADORES!BL347-CONTADORES!BL346)/1000</f>
        <v>0</v>
      </c>
      <c r="BN335" s="1438">
        <f ca="1">IF(B335&gt;=$J$5,0,CONTADORES!BM347-CONTADORES!BM346)/1000</f>
        <v>0</v>
      </c>
      <c r="BO335" s="1438">
        <f ca="1">IF(B335&gt;=$J$5,0,CONTADORES!BN347-CONTADORES!BN346)</f>
        <v>0</v>
      </c>
      <c r="BP335" s="1438">
        <f ca="1">IF(B335&gt;=$J$5,0,CONTADORES!BO347-CONTADORES!BO346)/1000</f>
        <v>0</v>
      </c>
      <c r="BQ335" s="1438">
        <f ca="1">IF(B335&gt;=$J$5,0,CONTADORES!BP347-CONTADORES!BP346)/1000</f>
        <v>0</v>
      </c>
      <c r="BR335" s="1438">
        <f ca="1">IF(B335&gt;=$J$5,0,CONTADORES!BQ347-CONTADORES!BQ346)</f>
        <v>0</v>
      </c>
      <c r="BS335" s="1438">
        <f ca="1">IF(B335&gt;=$J$5,0,(CONTADORES!BT347-CONTADORES!BT346)+(CONTADORES!BV347-CONTADORES!BV346))/1000</f>
        <v>0</v>
      </c>
      <c r="BT335" s="1438">
        <f ca="1">IF(B335&gt;=$J$5,0,(CONTADORES!BU347-CONTADORES!BU346)+(CONTADORES!BW347-CONTADORES!BW346))/1000</f>
        <v>0</v>
      </c>
      <c r="BU335" s="1438">
        <f ca="1">IF(B335&gt;=$J$5,0,CONTADORES!BR347-CONTADORES!BR346)</f>
        <v>0</v>
      </c>
      <c r="BV335" s="1438">
        <f ca="1">IF(B335&gt;=$J$5,0,CONTADORES!BS347-CONTADORES!BS346)</f>
        <v>0</v>
      </c>
      <c r="BW335" s="1438">
        <f t="shared" ca="1" si="170"/>
        <v>0</v>
      </c>
      <c r="BX335" s="1438">
        <f t="shared" ca="1" si="171"/>
        <v>0</v>
      </c>
      <c r="BY335" s="1438">
        <f t="shared" ca="1" si="172"/>
        <v>0</v>
      </c>
      <c r="BZ335" s="1438">
        <f t="shared" ca="1" si="173"/>
        <v>0</v>
      </c>
      <c r="CA335" s="1438">
        <f t="shared" ca="1" si="174"/>
        <v>0</v>
      </c>
      <c r="CB335" s="1438">
        <f t="shared" ca="1" si="175"/>
        <v>0</v>
      </c>
      <c r="CC335" s="1438">
        <f t="shared" ca="1" si="176"/>
        <v>0</v>
      </c>
      <c r="CD335" s="1438">
        <f t="shared" ca="1" si="177"/>
        <v>0</v>
      </c>
      <c r="CE335" s="1438">
        <f ca="1">IF(B335&gt;=$J$5,0,CONTADORES!BS347-CONTADORES!BS346)</f>
        <v>0</v>
      </c>
      <c r="CF335" s="1438">
        <f t="shared" ca="1" si="178"/>
        <v>0</v>
      </c>
      <c r="CG335" s="1438">
        <f t="shared" ca="1" si="179"/>
        <v>0</v>
      </c>
      <c r="CH335" s="1438">
        <f t="shared" ca="1" si="180"/>
        <v>0</v>
      </c>
      <c r="CI335" s="1438">
        <f t="shared" ca="1" si="181"/>
        <v>0</v>
      </c>
      <c r="CJ335" s="1444">
        <f ca="1">IF($B335&gt;=$J$5,0,CONTADORES!$BG347)</f>
        <v>0</v>
      </c>
      <c r="CK335" s="1406">
        <f>CONTADORES!E347</f>
        <v>0</v>
      </c>
      <c r="CL335" s="1406">
        <f>CONTADORES!BX347</f>
        <v>0</v>
      </c>
    </row>
    <row r="336" spans="2:90">
      <c r="B336" s="410">
        <v>45252</v>
      </c>
      <c r="C336" s="204">
        <f t="shared" ca="1" si="156"/>
        <v>0</v>
      </c>
      <c r="D336" s="202">
        <f ca="1">'CALCULO DE GAS'!P161</f>
        <v>0</v>
      </c>
      <c r="E336" s="202">
        <f ca="1">IF(B336&gt;=$J$5,0,(CONTADORES!$AB348-CONTADORES!$AB347)-$H336)</f>
        <v>0</v>
      </c>
      <c r="F336" s="204">
        <f t="shared" ca="1" si="154"/>
        <v>0</v>
      </c>
      <c r="G336" s="202">
        <f ca="1">IF(B336&gt;=$J$5,0,CONTADORES!$AD348-CONTADORES!$AD347)</f>
        <v>0</v>
      </c>
      <c r="H336" s="202">
        <f ca="1">IF(G336&gt;0,CONTADORES!$AC348-CONTADORES!$AC347,0)</f>
        <v>0</v>
      </c>
      <c r="I336" s="205">
        <f ca="1">IF(B336&gt;=$J$5,0,CONTADORES!$Z348-CONTADORES!$Z347)</f>
        <v>0</v>
      </c>
      <c r="J336" s="204">
        <f t="shared" ca="1" si="157"/>
        <v>0</v>
      </c>
      <c r="K336" s="202">
        <f ca="1">'CALCULO DE GAS'!Q161</f>
        <v>0</v>
      </c>
      <c r="L336" s="1437">
        <f ca="1">IF(B336&gt;=$J$5,0,(CONTADORES!$W348-CONTADORES!$W347)-$O336)</f>
        <v>0</v>
      </c>
      <c r="M336" s="1437">
        <f t="shared" ca="1" si="158"/>
        <v>0</v>
      </c>
      <c r="N336" s="1437">
        <f ca="1">IF(B336&gt;=$J$5,0,CONTADORES!$Y348-CONTADORES!$Y347)</f>
        <v>0</v>
      </c>
      <c r="O336" s="1437">
        <f ca="1">IF(N336&gt;0,CONTADORES!$X348-CONTADORES!$X347,0)</f>
        <v>0</v>
      </c>
      <c r="P336" s="208">
        <f ca="1">IF(B336&gt;=$J$5,0,CONTADORES!$U348-CONTADORES!$U347)</f>
        <v>0</v>
      </c>
      <c r="Q336" s="208">
        <f ca="1">IF(B336&gt;=$J$5,0,CONTADORES!$B348-CONTADORES!$B347)</f>
        <v>0</v>
      </c>
      <c r="R336" s="202">
        <f t="shared" ca="1" si="159"/>
        <v>0</v>
      </c>
      <c r="S336" s="11">
        <f ca="1">IF(B336&gt;=$J$5,0,CONTADORES!$D348-CONTADORES!$D347)</f>
        <v>0</v>
      </c>
      <c r="T336" s="204">
        <f ca="1">IF(B336&gt;=$J$5,0,CONTADORES!$AZ348-CONTADORES!$AZ347)</f>
        <v>0</v>
      </c>
      <c r="U336" s="202">
        <f t="shared" ca="1" si="152"/>
        <v>0</v>
      </c>
      <c r="V336" s="11">
        <f ca="1">IF(B336&gt;=$J$5,0,CONTADORES!$BB348-CONTADORES!$BB347)</f>
        <v>0</v>
      </c>
      <c r="W336" s="1438">
        <f t="shared" ca="1" si="160"/>
        <v>0</v>
      </c>
      <c r="X336" s="1438">
        <f t="shared" ca="1" si="161"/>
        <v>0</v>
      </c>
      <c r="Y336" s="1439">
        <f t="shared" ca="1" si="162"/>
        <v>0</v>
      </c>
      <c r="Z336" s="1439">
        <f t="shared" ca="1" si="163"/>
        <v>0</v>
      </c>
      <c r="AA336" s="1439">
        <f t="shared" ca="1" si="164"/>
        <v>0</v>
      </c>
      <c r="AB336" s="1439">
        <f t="shared" ca="1" si="165"/>
        <v>0</v>
      </c>
      <c r="AC336" s="1438">
        <f t="shared" ca="1" si="166"/>
        <v>0</v>
      </c>
      <c r="AD336" s="1448">
        <f ca="1">IF(B336&gt;=$J$5,0,CONTADORES!H348-CONTADORES!H347)</f>
        <v>0</v>
      </c>
      <c r="AE336" s="1438">
        <f ca="1">IF(B336&gt;=$J$5,0,CONTADORES!J348-CONTADORES!J347)</f>
        <v>0</v>
      </c>
      <c r="AF336" s="1438">
        <f ca="1">IF(B336&gt;=$J$5,0,CONTADORES!AS348-CONTADORES!AS347)</f>
        <v>0</v>
      </c>
      <c r="AG336" s="1438">
        <f ca="1">IF(B336&gt;=$J$5,0,CONTADORES!AU348-CONTADORES!AU347)</f>
        <v>0</v>
      </c>
      <c r="AH336" s="1439">
        <f ca="1">IF(B336&gt;=$J$5,0,(CONTADORES!AK348-CONTADORES!AK347)+(CONTADORES!K348-CONTADORES!K347))</f>
        <v>0</v>
      </c>
      <c r="AI336" s="1438">
        <f ca="1">IF(B336&gt;=$J$5,0,(CONTADORES!AI348-CONTADORES!AI347)+(CONTADORES!M348-CONTADORES!M347))</f>
        <v>0</v>
      </c>
      <c r="AJ336" s="1438">
        <f ca="1">IF(B336&gt;=$J$5,0,(CONTADORES!AG348-CONTADORES!AG347))</f>
        <v>0</v>
      </c>
      <c r="AK336" s="1438">
        <f ca="1">IF(B336&gt;=$J$5,0,(CONTADORES!O348-CONTADORES!O347))</f>
        <v>0</v>
      </c>
      <c r="AL336" s="1500">
        <f t="shared" ca="1" si="167"/>
        <v>0</v>
      </c>
      <c r="AM336" s="1438">
        <f ca="1">IF(B336&gt;=$J$5,0,(((CONTADORES!F348-CONTADORES!F347)+(CONTADORES!AO348-CONTADORES!AO347))))-BJ336-AF336-AN336-BM336-BP336-BU336-BS336+T336</f>
        <v>0</v>
      </c>
      <c r="AN336" s="1438">
        <f ca="1">IF(B336&gt;=$J$5,0,(CONTADORES!AV348-CONTADORES!AV347)+(CONTADORES!AX348-CONTADORES!AX347)+(CONTADORES!BC348-CONTADORES!BC347))-BS336</f>
        <v>0</v>
      </c>
      <c r="AO336" s="1440">
        <f ca="1">IF(B336&gt;=$J$5,0,(CONTADORES!AA348-CONTADORES!AA347))</f>
        <v>0</v>
      </c>
      <c r="AP336" s="1474">
        <f ca="1">IF(B336&gt;=$J$5,0,(CONTADORES!V348-CONTADORES!V347))</f>
        <v>0</v>
      </c>
      <c r="AQ336" s="1440">
        <f ca="1">IF(B336&gt;=$J$5,0,(CONTADORES!C348-CONTADORES!C347))</f>
        <v>0</v>
      </c>
      <c r="AR336" s="1440">
        <f ca="1">IF(B336&gt;=$J$5,0,(CONTADORES!BA348-CONTADORES!BA347))</f>
        <v>0</v>
      </c>
      <c r="AS336" s="1438">
        <f ca="1">IF(B336&gt;=$J$5,0,CONTADORES!Q348-CONTADORES!Q347)</f>
        <v>0</v>
      </c>
      <c r="AT336" s="1438">
        <f ca="1">IF(B336&gt;=$J$5,0,(CONTADORES!S348-CONTADORES!S347)+(CONTADORES!AE348-CONTADORES!AE347))</f>
        <v>0</v>
      </c>
      <c r="AU336" s="1474">
        <f ca="1">IF(B336&gt;=$J$5,0,(CONTADORES!I348-CONTADORES!I347))</f>
        <v>0</v>
      </c>
      <c r="AV336" s="1440">
        <f ca="1">IF(B336&gt;=$J$5,0,(CONTADORES!AT348-CONTADORES!AT347))</f>
        <v>0</v>
      </c>
      <c r="AW336" s="1474">
        <f ca="1">IF(B336&gt;=$J$5,0,(CONTADORES!L348-CONTADORES!L347)+(CONTADORES!AL348-CONTADORES!AL347))</f>
        <v>0</v>
      </c>
      <c r="AX336" s="1440">
        <f ca="1">IF(B336&gt;=$J$5,0,(CONTADORES!N348-CONTADORES!N347)+(CONTADORES!AJ348-CONTADORES!AJ347))</f>
        <v>0</v>
      </c>
      <c r="AY336" s="1440">
        <f ca="1">IF(B336&gt;=$J$5,0,(CONTADORES!AH348-CONTADORES!AH347))</f>
        <v>0</v>
      </c>
      <c r="AZ336" s="1440">
        <f ca="1">IF(B336&gt;=$J$5,0,(CONTADORES!P348-CONTADORES!P347))</f>
        <v>0</v>
      </c>
      <c r="BA336" s="1450">
        <f t="shared" ca="1" si="168"/>
        <v>0</v>
      </c>
      <c r="BB336" s="1440">
        <f ca="1">IF(B336&gt;=$J$5,0,(((CONTADORES!G348-CONTADORES!G347)+(CONTADORES!AP348-CONTADORES!AP347)+AR336)-(AV336+BC336)))</f>
        <v>0</v>
      </c>
      <c r="BC336" s="1438">
        <f ca="1">IF(B336&gt;=$J$5,0,(CONTADORES!AW348-CONTADORES!AW347)+(CONTADORES!AY348-CONTADORES!AY347)+(CONTADORES!BD348-CONTADORES!BD347))</f>
        <v>0</v>
      </c>
      <c r="BD336" s="1438">
        <f t="shared" ca="1" si="169"/>
        <v>0</v>
      </c>
      <c r="BE336" s="1439">
        <f ca="1">IF($B336&gt;=$J$5,0,CONTADORES!$BE348)</f>
        <v>0</v>
      </c>
      <c r="BF336" s="1438">
        <f ca="1">IF($B336&gt;=$J$5,0,CONTADORES!$BF348)</f>
        <v>0</v>
      </c>
      <c r="BG336" s="1438">
        <f ca="1">IF($B336&gt;=$J$5,0,CONTADORES!$BH348)</f>
        <v>0</v>
      </c>
      <c r="BH336" s="1438">
        <f ca="1">IF(B336&gt;=$J$5,0,(CONTADORES!AQ348-CONTADORES!AQ347))</f>
        <v>0</v>
      </c>
      <c r="BI336" s="1438">
        <f ca="1">IF(B336&gt;=$J$5,0,(CONTADORES!AR348-CONTADORES!AR347))</f>
        <v>0</v>
      </c>
      <c r="BJ336" s="1438">
        <f ca="1">IF(B336&gt;=$J$5,0,CONTADORES!BI348-CONTADORES!BI347)/1000</f>
        <v>0</v>
      </c>
      <c r="BK336" s="1439">
        <f ca="1">IF(B336&gt;=$J$5,0,CONTADORES!BJ348-CONTADORES!BJ347)</f>
        <v>0</v>
      </c>
      <c r="BL336" s="1438">
        <f ca="1">IF(B336&gt;=$J$5,0,CONTADORES!BK348-CONTADORES!BK347)</f>
        <v>0</v>
      </c>
      <c r="BM336" s="1438">
        <f ca="1">IF(B336&gt;=$J$5,0,CONTADORES!BL348-CONTADORES!BL347)/1000</f>
        <v>0</v>
      </c>
      <c r="BN336" s="1438">
        <f ca="1">IF(B336&gt;=$J$5,0,CONTADORES!BM348-CONTADORES!BM347)/1000</f>
        <v>0</v>
      </c>
      <c r="BO336" s="1438">
        <f ca="1">IF(B336&gt;=$J$5,0,CONTADORES!BN348-CONTADORES!BN347)</f>
        <v>0</v>
      </c>
      <c r="BP336" s="1438">
        <f ca="1">IF(B336&gt;=$J$5,0,CONTADORES!BO348-CONTADORES!BO347)/1000</f>
        <v>0</v>
      </c>
      <c r="BQ336" s="1438">
        <f ca="1">IF(B336&gt;=$J$5,0,CONTADORES!BP348-CONTADORES!BP347)/1000</f>
        <v>0</v>
      </c>
      <c r="BR336" s="1438">
        <f ca="1">IF(B336&gt;=$J$5,0,CONTADORES!BQ348-CONTADORES!BQ347)</f>
        <v>0</v>
      </c>
      <c r="BS336" s="1438">
        <f ca="1">IF(B336&gt;=$J$5,0,(CONTADORES!BT348-CONTADORES!BT347)+(CONTADORES!BV348-CONTADORES!BV347))/1000</f>
        <v>0</v>
      </c>
      <c r="BT336" s="1438">
        <f ca="1">IF(B336&gt;=$J$5,0,(CONTADORES!BU348-CONTADORES!BU347)+(CONTADORES!BW348-CONTADORES!BW347))/1000</f>
        <v>0</v>
      </c>
      <c r="BU336" s="1438">
        <f ca="1">IF(B336&gt;=$J$5,0,CONTADORES!BR348-CONTADORES!BR347)</f>
        <v>0</v>
      </c>
      <c r="BV336" s="1438">
        <f ca="1">IF(B336&gt;=$J$5,0,CONTADORES!BS348-CONTADORES!BS347)</f>
        <v>0</v>
      </c>
      <c r="BW336" s="1438">
        <f t="shared" ca="1" si="170"/>
        <v>0</v>
      </c>
      <c r="BX336" s="1438">
        <f t="shared" ca="1" si="171"/>
        <v>0</v>
      </c>
      <c r="BY336" s="1438">
        <f t="shared" ca="1" si="172"/>
        <v>0</v>
      </c>
      <c r="BZ336" s="1438">
        <f t="shared" ca="1" si="173"/>
        <v>0</v>
      </c>
      <c r="CA336" s="1438">
        <f t="shared" ca="1" si="174"/>
        <v>0</v>
      </c>
      <c r="CB336" s="1438">
        <f t="shared" ca="1" si="175"/>
        <v>0</v>
      </c>
      <c r="CC336" s="1438">
        <f t="shared" ca="1" si="176"/>
        <v>0</v>
      </c>
      <c r="CD336" s="1438">
        <f t="shared" ca="1" si="177"/>
        <v>0</v>
      </c>
      <c r="CE336" s="1438">
        <f ca="1">IF(B336&gt;=$J$5,0,CONTADORES!BS348-CONTADORES!BS347)</f>
        <v>0</v>
      </c>
      <c r="CF336" s="1438">
        <f t="shared" ca="1" si="178"/>
        <v>0</v>
      </c>
      <c r="CG336" s="1438">
        <f t="shared" ca="1" si="179"/>
        <v>0</v>
      </c>
      <c r="CH336" s="1438">
        <f t="shared" ca="1" si="180"/>
        <v>0</v>
      </c>
      <c r="CI336" s="1438">
        <f t="shared" ca="1" si="181"/>
        <v>0</v>
      </c>
      <c r="CJ336" s="1444">
        <f ca="1">IF($B336&gt;=$J$5,0,CONTADORES!$BG348)</f>
        <v>0</v>
      </c>
      <c r="CK336" s="1406">
        <f>CONTADORES!E348</f>
        <v>0</v>
      </c>
      <c r="CL336" s="1406">
        <f>CONTADORES!BX348</f>
        <v>0</v>
      </c>
    </row>
    <row r="337" spans="2:90">
      <c r="B337" s="410">
        <v>45253</v>
      </c>
      <c r="C337" s="204">
        <f t="shared" ca="1" si="156"/>
        <v>0</v>
      </c>
      <c r="D337" s="202">
        <f ca="1">'CALCULO DE GAS'!P162</f>
        <v>0</v>
      </c>
      <c r="E337" s="202">
        <f ca="1">IF(B337&gt;=$J$5,0,(CONTADORES!$AB349-CONTADORES!$AB348)-$H337)</f>
        <v>0</v>
      </c>
      <c r="F337" s="204">
        <f t="shared" ca="1" si="154"/>
        <v>0</v>
      </c>
      <c r="G337" s="202">
        <f ca="1">IF(B337&gt;=$J$5,0,CONTADORES!$AD349-CONTADORES!$AD348)</f>
        <v>0</v>
      </c>
      <c r="H337" s="202">
        <f ca="1">IF(G337&gt;0,CONTADORES!$AC349-CONTADORES!$AC348,0)</f>
        <v>0</v>
      </c>
      <c r="I337" s="205">
        <f ca="1">IF(B337&gt;=$J$5,0,CONTADORES!$Z349-CONTADORES!$Z348)</f>
        <v>0</v>
      </c>
      <c r="J337" s="204">
        <f t="shared" ca="1" si="157"/>
        <v>0</v>
      </c>
      <c r="K337" s="202">
        <f ca="1">'CALCULO DE GAS'!Q162</f>
        <v>0</v>
      </c>
      <c r="L337" s="1437">
        <f ca="1">IF(B337&gt;=$J$5,0,(CONTADORES!$W349-CONTADORES!$W348)-$O337)</f>
        <v>0</v>
      </c>
      <c r="M337" s="1437">
        <f t="shared" ca="1" si="158"/>
        <v>0</v>
      </c>
      <c r="N337" s="1437">
        <f ca="1">IF(B337&gt;=$J$5,0,CONTADORES!$Y349-CONTADORES!$Y348)</f>
        <v>0</v>
      </c>
      <c r="O337" s="1437">
        <f ca="1">IF(N337&gt;0,CONTADORES!$X349-CONTADORES!$X348,0)</f>
        <v>0</v>
      </c>
      <c r="P337" s="208">
        <f ca="1">IF(B337&gt;=$J$5,0,CONTADORES!$U349-CONTADORES!$U348)</f>
        <v>0</v>
      </c>
      <c r="Q337" s="208">
        <f ca="1">IF(B337&gt;=$J$5,0,CONTADORES!$B349-CONTADORES!$B348)</f>
        <v>0</v>
      </c>
      <c r="R337" s="202">
        <f t="shared" ca="1" si="159"/>
        <v>0</v>
      </c>
      <c r="S337" s="11">
        <f ca="1">IF(B337&gt;=$J$5,0,CONTADORES!$D349-CONTADORES!$D348)</f>
        <v>0</v>
      </c>
      <c r="T337" s="204">
        <f ca="1">IF(B337&gt;=$J$5,0,CONTADORES!$AZ349-CONTADORES!$AZ348)</f>
        <v>0</v>
      </c>
      <c r="U337" s="202">
        <f t="shared" ca="1" si="152"/>
        <v>0</v>
      </c>
      <c r="V337" s="11">
        <f ca="1">IF(B337&gt;=$J$5,0,CONTADORES!$BB349-CONTADORES!$BB348)</f>
        <v>0</v>
      </c>
      <c r="W337" s="1438">
        <f t="shared" ca="1" si="160"/>
        <v>0</v>
      </c>
      <c r="X337" s="1438">
        <f t="shared" ca="1" si="161"/>
        <v>0</v>
      </c>
      <c r="Y337" s="1439">
        <f t="shared" ca="1" si="162"/>
        <v>0</v>
      </c>
      <c r="Z337" s="1439">
        <f t="shared" ca="1" si="163"/>
        <v>0</v>
      </c>
      <c r="AA337" s="1439">
        <f t="shared" ca="1" si="164"/>
        <v>0</v>
      </c>
      <c r="AB337" s="1439">
        <f t="shared" ca="1" si="165"/>
        <v>0</v>
      </c>
      <c r="AC337" s="1438">
        <f t="shared" ca="1" si="166"/>
        <v>0</v>
      </c>
      <c r="AD337" s="1448">
        <f ca="1">IF(B337&gt;=$J$5,0,CONTADORES!H349-CONTADORES!H348)</f>
        <v>0</v>
      </c>
      <c r="AE337" s="1438">
        <f ca="1">IF(B337&gt;=$J$5,0,CONTADORES!J349-CONTADORES!J348)</f>
        <v>0</v>
      </c>
      <c r="AF337" s="1438">
        <f ca="1">IF(B337&gt;=$J$5,0,CONTADORES!AS349-CONTADORES!AS348)</f>
        <v>0</v>
      </c>
      <c r="AG337" s="1438">
        <f ca="1">IF(B337&gt;=$J$5,0,CONTADORES!AU349-CONTADORES!AU348)</f>
        <v>0</v>
      </c>
      <c r="AH337" s="1439">
        <f ca="1">IF(B337&gt;=$J$5,0,(CONTADORES!AK349-CONTADORES!AK348)+(CONTADORES!K349-CONTADORES!K348))</f>
        <v>0</v>
      </c>
      <c r="AI337" s="1438">
        <f ca="1">IF(B337&gt;=$J$5,0,(CONTADORES!AI349-CONTADORES!AI348)+(CONTADORES!M349-CONTADORES!M348))</f>
        <v>0</v>
      </c>
      <c r="AJ337" s="1438">
        <f ca="1">IF(B337&gt;=$J$5,0,(CONTADORES!AG349-CONTADORES!AG348))</f>
        <v>0</v>
      </c>
      <c r="AK337" s="1438">
        <f ca="1">IF(B337&gt;=$J$5,0,(CONTADORES!O349-CONTADORES!O348))</f>
        <v>0</v>
      </c>
      <c r="AL337" s="1500">
        <f t="shared" ca="1" si="167"/>
        <v>0</v>
      </c>
      <c r="AM337" s="1438">
        <f ca="1">IF(B337&gt;=$J$5,0,(((CONTADORES!F349-CONTADORES!F348)+(CONTADORES!AO349-CONTADORES!AO348))))-BJ337-AF337-AN337-BM337-BP337-BU337-BS337+T337</f>
        <v>0</v>
      </c>
      <c r="AN337" s="1438">
        <f ca="1">IF(B337&gt;=$J$5,0,(CONTADORES!AV349-CONTADORES!AV348)+(CONTADORES!AX349-CONTADORES!AX348)+(CONTADORES!BC349-CONTADORES!BC348))-BS337</f>
        <v>0</v>
      </c>
      <c r="AO337" s="1440">
        <f ca="1">IF(B337&gt;=$J$5,0,(CONTADORES!AA349-CONTADORES!AA348))</f>
        <v>0</v>
      </c>
      <c r="AP337" s="1474">
        <f ca="1">IF(B337&gt;=$J$5,0,(CONTADORES!V349-CONTADORES!V348))</f>
        <v>0</v>
      </c>
      <c r="AQ337" s="1440">
        <f ca="1">IF(B337&gt;=$J$5,0,(CONTADORES!C349-CONTADORES!C348))</f>
        <v>0</v>
      </c>
      <c r="AR337" s="1440">
        <f ca="1">IF(B337&gt;=$J$5,0,(CONTADORES!BA349-CONTADORES!BA348))</f>
        <v>0</v>
      </c>
      <c r="AS337" s="1438">
        <f ca="1">IF(B337&gt;=$J$5,0,CONTADORES!Q349-CONTADORES!Q348)</f>
        <v>0</v>
      </c>
      <c r="AT337" s="1438">
        <f ca="1">IF(B337&gt;=$J$5,0,(CONTADORES!S349-CONTADORES!S348)+(CONTADORES!AE349-CONTADORES!AE348))</f>
        <v>0</v>
      </c>
      <c r="AU337" s="1474">
        <f ca="1">IF(B337&gt;=$J$5,0,(CONTADORES!I349-CONTADORES!I348))</f>
        <v>0</v>
      </c>
      <c r="AV337" s="1440">
        <f ca="1">IF(B337&gt;=$J$5,0,(CONTADORES!AT349-CONTADORES!AT348))</f>
        <v>0</v>
      </c>
      <c r="AW337" s="1474">
        <f ca="1">IF(B337&gt;=$J$5,0,(CONTADORES!L349-CONTADORES!L348)+(CONTADORES!AL349-CONTADORES!AL348))</f>
        <v>0</v>
      </c>
      <c r="AX337" s="1440">
        <f ca="1">IF(B337&gt;=$J$5,0,(CONTADORES!N349-CONTADORES!N348)+(CONTADORES!AJ349-CONTADORES!AJ348))</f>
        <v>0</v>
      </c>
      <c r="AY337" s="1440">
        <f ca="1">IF(B337&gt;=$J$5,0,(CONTADORES!AH349-CONTADORES!AH348))</f>
        <v>0</v>
      </c>
      <c r="AZ337" s="1440">
        <f ca="1">IF(B337&gt;=$J$5,0,(CONTADORES!P349-CONTADORES!P348))</f>
        <v>0</v>
      </c>
      <c r="BA337" s="1450">
        <f t="shared" ca="1" si="168"/>
        <v>0</v>
      </c>
      <c r="BB337" s="1440">
        <f ca="1">IF(B337&gt;=$J$5,0,(((CONTADORES!G349-CONTADORES!G348)+(CONTADORES!AP349-CONTADORES!AP348)+AR337)-(AV337+BC337)))</f>
        <v>0</v>
      </c>
      <c r="BC337" s="1438">
        <f ca="1">IF(B337&gt;=$J$5,0,(CONTADORES!AW349-CONTADORES!AW348)+(CONTADORES!AY349-CONTADORES!AY348)+(CONTADORES!BD349-CONTADORES!BD348))</f>
        <v>0</v>
      </c>
      <c r="BD337" s="1438">
        <f t="shared" ca="1" si="169"/>
        <v>0</v>
      </c>
      <c r="BE337" s="1439">
        <f ca="1">IF($B337&gt;=$J$5,0,CONTADORES!$BE349)</f>
        <v>0</v>
      </c>
      <c r="BF337" s="1438">
        <f ca="1">IF($B337&gt;=$J$5,0,CONTADORES!$BF349)</f>
        <v>0</v>
      </c>
      <c r="BG337" s="1438">
        <f ca="1">IF($B337&gt;=$J$5,0,CONTADORES!$BH349)</f>
        <v>0</v>
      </c>
      <c r="BH337" s="1438">
        <f ca="1">IF(B337&gt;=$J$5,0,(CONTADORES!AQ349-CONTADORES!AQ348))</f>
        <v>0</v>
      </c>
      <c r="BI337" s="1438">
        <f ca="1">IF(B337&gt;=$J$5,0,(CONTADORES!AR349-CONTADORES!AR348))</f>
        <v>0</v>
      </c>
      <c r="BJ337" s="1438">
        <f ca="1">IF(B337&gt;=$J$5,0,CONTADORES!BI349-CONTADORES!BI348)/1000</f>
        <v>0</v>
      </c>
      <c r="BK337" s="1439">
        <f ca="1">IF(B337&gt;=$J$5,0,CONTADORES!BJ349-CONTADORES!BJ348)</f>
        <v>0</v>
      </c>
      <c r="BL337" s="1438">
        <f ca="1">IF(B337&gt;=$J$5,0,CONTADORES!BK349-CONTADORES!BK348)</f>
        <v>0</v>
      </c>
      <c r="BM337" s="1438">
        <f ca="1">IF(B337&gt;=$J$5,0,CONTADORES!BL349-CONTADORES!BL348)/1000</f>
        <v>0</v>
      </c>
      <c r="BN337" s="1438">
        <f ca="1">IF(B337&gt;=$J$5,0,CONTADORES!BM349-CONTADORES!BM348)/1000</f>
        <v>0</v>
      </c>
      <c r="BO337" s="1438">
        <f ca="1">IF(B337&gt;=$J$5,0,CONTADORES!BN349-CONTADORES!BN348)</f>
        <v>0</v>
      </c>
      <c r="BP337" s="1438">
        <f ca="1">IF(B337&gt;=$J$5,0,CONTADORES!BO349-CONTADORES!BO348)/1000</f>
        <v>0</v>
      </c>
      <c r="BQ337" s="1438">
        <f ca="1">IF(B337&gt;=$J$5,0,CONTADORES!BP349-CONTADORES!BP348)/1000</f>
        <v>0</v>
      </c>
      <c r="BR337" s="1438">
        <f ca="1">IF(B337&gt;=$J$5,0,CONTADORES!BQ349-CONTADORES!BQ348)</f>
        <v>0</v>
      </c>
      <c r="BS337" s="1438">
        <f ca="1">IF(B337&gt;=$J$5,0,(CONTADORES!BT349-CONTADORES!BT348)+(CONTADORES!BV349-CONTADORES!BV348))/1000</f>
        <v>0</v>
      </c>
      <c r="BT337" s="1438">
        <f ca="1">IF(B337&gt;=$J$5,0,(CONTADORES!BU349-CONTADORES!BU348)+(CONTADORES!BW349-CONTADORES!BW348))/1000</f>
        <v>0</v>
      </c>
      <c r="BU337" s="1438">
        <f ca="1">IF(B337&gt;=$J$5,0,CONTADORES!BR349-CONTADORES!BR348)</f>
        <v>0</v>
      </c>
      <c r="BV337" s="1438">
        <f ca="1">IF(B337&gt;=$J$5,0,CONTADORES!BS349-CONTADORES!BS348)</f>
        <v>0</v>
      </c>
      <c r="BW337" s="1438">
        <f t="shared" ca="1" si="170"/>
        <v>0</v>
      </c>
      <c r="BX337" s="1438">
        <f t="shared" ca="1" si="171"/>
        <v>0</v>
      </c>
      <c r="BY337" s="1438">
        <f t="shared" ca="1" si="172"/>
        <v>0</v>
      </c>
      <c r="BZ337" s="1438">
        <f t="shared" ca="1" si="173"/>
        <v>0</v>
      </c>
      <c r="CA337" s="1438">
        <f t="shared" ca="1" si="174"/>
        <v>0</v>
      </c>
      <c r="CB337" s="1438">
        <f t="shared" ca="1" si="175"/>
        <v>0</v>
      </c>
      <c r="CC337" s="1438">
        <f t="shared" ca="1" si="176"/>
        <v>0</v>
      </c>
      <c r="CD337" s="1438">
        <f t="shared" ca="1" si="177"/>
        <v>0</v>
      </c>
      <c r="CE337" s="1438">
        <f ca="1">IF(B337&gt;=$J$5,0,CONTADORES!BS349-CONTADORES!BS348)</f>
        <v>0</v>
      </c>
      <c r="CF337" s="1438">
        <f t="shared" ca="1" si="178"/>
        <v>0</v>
      </c>
      <c r="CG337" s="1438">
        <f t="shared" ca="1" si="179"/>
        <v>0</v>
      </c>
      <c r="CH337" s="1438">
        <f t="shared" ca="1" si="180"/>
        <v>0</v>
      </c>
      <c r="CI337" s="1438">
        <f t="shared" ca="1" si="181"/>
        <v>0</v>
      </c>
      <c r="CJ337" s="1444">
        <f ca="1">IF($B337&gt;=$J$5,0,CONTADORES!$BG349)</f>
        <v>0</v>
      </c>
      <c r="CK337" s="1406">
        <f>CONTADORES!E349</f>
        <v>0</v>
      </c>
      <c r="CL337" s="1406">
        <f>CONTADORES!BX349</f>
        <v>0</v>
      </c>
    </row>
    <row r="338" spans="2:90">
      <c r="B338" s="410">
        <v>45254</v>
      </c>
      <c r="C338" s="204">
        <f t="shared" ca="1" si="156"/>
        <v>0</v>
      </c>
      <c r="D338" s="202">
        <f ca="1">'CALCULO DE GAS'!P163</f>
        <v>0</v>
      </c>
      <c r="E338" s="202">
        <f ca="1">IF(B338&gt;=$J$5,0,(CONTADORES!$AB350-CONTADORES!$AB349)-$H338)</f>
        <v>0</v>
      </c>
      <c r="F338" s="204">
        <f t="shared" ca="1" si="154"/>
        <v>0</v>
      </c>
      <c r="G338" s="202">
        <f ca="1">IF(B338&gt;=$J$5,0,CONTADORES!$AD350-CONTADORES!$AD349)</f>
        <v>0</v>
      </c>
      <c r="H338" s="202">
        <f ca="1">IF(G338&gt;0,CONTADORES!$AC350-CONTADORES!$AC349,0)</f>
        <v>0</v>
      </c>
      <c r="I338" s="205">
        <f ca="1">IF(B338&gt;=$J$5,0,CONTADORES!$Z350-CONTADORES!$Z349)</f>
        <v>0</v>
      </c>
      <c r="J338" s="204">
        <f t="shared" ca="1" si="157"/>
        <v>0</v>
      </c>
      <c r="K338" s="202">
        <f ca="1">'CALCULO DE GAS'!Q163</f>
        <v>0</v>
      </c>
      <c r="L338" s="1437">
        <f ca="1">IF(B338&gt;=$J$5,0,(CONTADORES!$W350-CONTADORES!$W349)-$O338)</f>
        <v>0</v>
      </c>
      <c r="M338" s="1437">
        <f t="shared" ca="1" si="158"/>
        <v>0</v>
      </c>
      <c r="N338" s="1437">
        <f ca="1">IF(B338&gt;=$J$5,0,CONTADORES!$Y350-CONTADORES!$Y349)</f>
        <v>0</v>
      </c>
      <c r="O338" s="1437">
        <f ca="1">IF(N338&gt;0,CONTADORES!$X350-CONTADORES!$X349,0)</f>
        <v>0</v>
      </c>
      <c r="P338" s="208">
        <f ca="1">IF(B338&gt;=$J$5,0,CONTADORES!$U350-CONTADORES!$U349)</f>
        <v>0</v>
      </c>
      <c r="Q338" s="208">
        <f ca="1">IF(B338&gt;=$J$5,0,CONTADORES!$B350-CONTADORES!$B349)</f>
        <v>0</v>
      </c>
      <c r="R338" s="202">
        <f t="shared" ca="1" si="159"/>
        <v>0</v>
      </c>
      <c r="S338" s="11">
        <f ca="1">IF(B338&gt;=$J$5,0,CONTADORES!$D350-CONTADORES!$D349)</f>
        <v>0</v>
      </c>
      <c r="T338" s="204">
        <f ca="1">IF(B338&gt;=$J$5,0,CONTADORES!$AZ350-CONTADORES!$AZ349)</f>
        <v>0</v>
      </c>
      <c r="U338" s="202">
        <f t="shared" ca="1" si="152"/>
        <v>0</v>
      </c>
      <c r="V338" s="11">
        <f ca="1">IF(B338&gt;=$J$5,0,CONTADORES!$BB350-CONTADORES!$BB349)</f>
        <v>0</v>
      </c>
      <c r="W338" s="1438">
        <f t="shared" ca="1" si="160"/>
        <v>0</v>
      </c>
      <c r="X338" s="1438">
        <f t="shared" ca="1" si="161"/>
        <v>0</v>
      </c>
      <c r="Y338" s="1439">
        <f t="shared" ca="1" si="162"/>
        <v>0</v>
      </c>
      <c r="Z338" s="1439">
        <f t="shared" ca="1" si="163"/>
        <v>0</v>
      </c>
      <c r="AA338" s="1439">
        <f t="shared" ca="1" si="164"/>
        <v>0</v>
      </c>
      <c r="AB338" s="1439">
        <f t="shared" ca="1" si="165"/>
        <v>0</v>
      </c>
      <c r="AC338" s="1438">
        <f t="shared" ca="1" si="166"/>
        <v>0</v>
      </c>
      <c r="AD338" s="1448">
        <f ca="1">IF(B338&gt;=$J$5,0,CONTADORES!H350-CONTADORES!H349)</f>
        <v>0</v>
      </c>
      <c r="AE338" s="1438">
        <f ca="1">IF(B338&gt;=$J$5,0,CONTADORES!J350-CONTADORES!J349)</f>
        <v>0</v>
      </c>
      <c r="AF338" s="1438">
        <f ca="1">IF(B338&gt;=$J$5,0,CONTADORES!AS350-CONTADORES!AS349)</f>
        <v>0</v>
      </c>
      <c r="AG338" s="1438">
        <f ca="1">IF(B338&gt;=$J$5,0,CONTADORES!AU350-CONTADORES!AU349)</f>
        <v>0</v>
      </c>
      <c r="AH338" s="1439">
        <f ca="1">IF(B338&gt;=$J$5,0,(CONTADORES!AK350-CONTADORES!AK349)+(CONTADORES!K350-CONTADORES!K349))</f>
        <v>0</v>
      </c>
      <c r="AI338" s="1438">
        <f ca="1">IF(B338&gt;=$J$5,0,(CONTADORES!AI350-CONTADORES!AI349)+(CONTADORES!M350-CONTADORES!M349))</f>
        <v>0</v>
      </c>
      <c r="AJ338" s="1438">
        <f ca="1">IF(B338&gt;=$J$5,0,(CONTADORES!AG350-CONTADORES!AG349))</f>
        <v>0</v>
      </c>
      <c r="AK338" s="1438">
        <f ca="1">IF(B338&gt;=$J$5,0,(CONTADORES!O350-CONTADORES!O349))</f>
        <v>0</v>
      </c>
      <c r="AL338" s="1500">
        <f t="shared" ca="1" si="167"/>
        <v>0</v>
      </c>
      <c r="AM338" s="1438">
        <f ca="1">IF(B338&gt;=$J$5,0,(((CONTADORES!F350-CONTADORES!F349)+(CONTADORES!AO350-CONTADORES!AO349))))-BJ338-AF338-AN338-BM338-BP338-BU338-BS338+T338</f>
        <v>0</v>
      </c>
      <c r="AN338" s="1438">
        <f ca="1">IF(B338&gt;=$J$5,0,(CONTADORES!AV350-CONTADORES!AV349)+(CONTADORES!AX350-CONTADORES!AX349)+(CONTADORES!BC350-CONTADORES!BC349))-BS338</f>
        <v>0</v>
      </c>
      <c r="AO338" s="1440">
        <f ca="1">IF(B338&gt;=$J$5,0,(CONTADORES!AA350-CONTADORES!AA349))</f>
        <v>0</v>
      </c>
      <c r="AP338" s="1474">
        <f ca="1">IF(B338&gt;=$J$5,0,(CONTADORES!V350-CONTADORES!V349))</f>
        <v>0</v>
      </c>
      <c r="AQ338" s="1440">
        <f ca="1">IF(B338&gt;=$J$5,0,(CONTADORES!C350-CONTADORES!C349))</f>
        <v>0</v>
      </c>
      <c r="AR338" s="1440">
        <f ca="1">IF(B338&gt;=$J$5,0,(CONTADORES!BA350-CONTADORES!BA349))</f>
        <v>0</v>
      </c>
      <c r="AS338" s="1438">
        <f ca="1">IF(B338&gt;=$J$5,0,CONTADORES!Q350-CONTADORES!Q349)</f>
        <v>0</v>
      </c>
      <c r="AT338" s="1438">
        <f ca="1">IF(B338&gt;=$J$5,0,(CONTADORES!S350-CONTADORES!S349)+(CONTADORES!AE350-CONTADORES!AE349))</f>
        <v>0</v>
      </c>
      <c r="AU338" s="1474">
        <f ca="1">IF(B338&gt;=$J$5,0,(CONTADORES!I350-CONTADORES!I349))</f>
        <v>0</v>
      </c>
      <c r="AV338" s="1440">
        <f ca="1">IF(B338&gt;=$J$5,0,(CONTADORES!AT350-CONTADORES!AT349))</f>
        <v>0</v>
      </c>
      <c r="AW338" s="1474">
        <f ca="1">IF(B338&gt;=$J$5,0,(CONTADORES!L350-CONTADORES!L349)+(CONTADORES!AL350-CONTADORES!AL349))</f>
        <v>0</v>
      </c>
      <c r="AX338" s="1440">
        <f ca="1">IF(B338&gt;=$J$5,0,(CONTADORES!N350-CONTADORES!N349)+(CONTADORES!AJ350-CONTADORES!AJ349))</f>
        <v>0</v>
      </c>
      <c r="AY338" s="1440">
        <f ca="1">IF(B338&gt;=$J$5,0,(CONTADORES!AH350-CONTADORES!AH349))</f>
        <v>0</v>
      </c>
      <c r="AZ338" s="1440">
        <f ca="1">IF(B338&gt;=$J$5,0,(CONTADORES!P350-CONTADORES!P349))</f>
        <v>0</v>
      </c>
      <c r="BA338" s="1450">
        <f t="shared" ca="1" si="168"/>
        <v>0</v>
      </c>
      <c r="BB338" s="1440">
        <f ca="1">IF(B338&gt;=$J$5,0,(((CONTADORES!G350-CONTADORES!G349)+(CONTADORES!AP350-CONTADORES!AP349)+AR338)-(AV338+BC338)))</f>
        <v>0</v>
      </c>
      <c r="BC338" s="1438">
        <f ca="1">IF(B338&gt;=$J$5,0,(CONTADORES!AW350-CONTADORES!AW349)+(CONTADORES!AY350-CONTADORES!AY349)+(CONTADORES!BD350-CONTADORES!BD349))</f>
        <v>0</v>
      </c>
      <c r="BD338" s="1438">
        <f t="shared" ca="1" si="169"/>
        <v>0</v>
      </c>
      <c r="BE338" s="1439">
        <f ca="1">IF($B338&gt;=$J$5,0,CONTADORES!$BE350)</f>
        <v>0</v>
      </c>
      <c r="BF338" s="1438">
        <f ca="1">IF($B338&gt;=$J$5,0,CONTADORES!$BF350)</f>
        <v>0</v>
      </c>
      <c r="BG338" s="1438">
        <f ca="1">IF($B338&gt;=$J$5,0,CONTADORES!$BH350)</f>
        <v>0</v>
      </c>
      <c r="BH338" s="1438">
        <f ca="1">IF(B338&gt;=$J$5,0,(CONTADORES!AQ350-CONTADORES!AQ349))</f>
        <v>0</v>
      </c>
      <c r="BI338" s="1438">
        <f ca="1">IF(B338&gt;=$J$5,0,(CONTADORES!AR350-CONTADORES!AR349))</f>
        <v>0</v>
      </c>
      <c r="BJ338" s="1438">
        <f ca="1">IF(B338&gt;=$J$5,0,CONTADORES!BI350-CONTADORES!BI349)/1000</f>
        <v>0</v>
      </c>
      <c r="BK338" s="1439">
        <f ca="1">IF(B338&gt;=$J$5,0,CONTADORES!BJ350-CONTADORES!BJ349)</f>
        <v>0</v>
      </c>
      <c r="BL338" s="1438">
        <f ca="1">IF(B338&gt;=$J$5,0,CONTADORES!BK350-CONTADORES!BK349)</f>
        <v>0</v>
      </c>
      <c r="BM338" s="1438">
        <f ca="1">IF(B338&gt;=$J$5,0,CONTADORES!BL350-CONTADORES!BL349)/1000</f>
        <v>0</v>
      </c>
      <c r="BN338" s="1438">
        <f ca="1">IF(B338&gt;=$J$5,0,CONTADORES!BM350-CONTADORES!BM349)/1000</f>
        <v>0</v>
      </c>
      <c r="BO338" s="1438">
        <f ca="1">IF(B338&gt;=$J$5,0,CONTADORES!BN350-CONTADORES!BN349)</f>
        <v>0</v>
      </c>
      <c r="BP338" s="1438">
        <f ca="1">IF(B338&gt;=$J$5,0,CONTADORES!BO350-CONTADORES!BO349)/1000</f>
        <v>0</v>
      </c>
      <c r="BQ338" s="1438">
        <f ca="1">IF(B338&gt;=$J$5,0,CONTADORES!BP350-CONTADORES!BP349)/1000</f>
        <v>0</v>
      </c>
      <c r="BR338" s="1438">
        <f ca="1">IF(B338&gt;=$J$5,0,CONTADORES!BQ350-CONTADORES!BQ349)</f>
        <v>0</v>
      </c>
      <c r="BS338" s="1438">
        <f ca="1">IF(B338&gt;=$J$5,0,(CONTADORES!BT350-CONTADORES!BT349)+(CONTADORES!BV350-CONTADORES!BV349))/1000</f>
        <v>0</v>
      </c>
      <c r="BT338" s="1438">
        <f ca="1">IF(B338&gt;=$J$5,0,(CONTADORES!BU350-CONTADORES!BU349)+(CONTADORES!BW350-CONTADORES!BW349))/1000</f>
        <v>0</v>
      </c>
      <c r="BU338" s="1438">
        <f ca="1">IF(B338&gt;=$J$5,0,CONTADORES!BR350-CONTADORES!BR349)</f>
        <v>0</v>
      </c>
      <c r="BV338" s="1438">
        <f ca="1">IF(B338&gt;=$J$5,0,CONTADORES!BS350-CONTADORES!BS349)</f>
        <v>0</v>
      </c>
      <c r="BW338" s="1438">
        <f t="shared" ca="1" si="170"/>
        <v>0</v>
      </c>
      <c r="BX338" s="1438">
        <f t="shared" ca="1" si="171"/>
        <v>0</v>
      </c>
      <c r="BY338" s="1438">
        <f t="shared" ca="1" si="172"/>
        <v>0</v>
      </c>
      <c r="BZ338" s="1438">
        <f t="shared" ca="1" si="173"/>
        <v>0</v>
      </c>
      <c r="CA338" s="1438">
        <f t="shared" ca="1" si="174"/>
        <v>0</v>
      </c>
      <c r="CB338" s="1438">
        <f t="shared" ca="1" si="175"/>
        <v>0</v>
      </c>
      <c r="CC338" s="1438">
        <f t="shared" ca="1" si="176"/>
        <v>0</v>
      </c>
      <c r="CD338" s="1438">
        <f t="shared" ca="1" si="177"/>
        <v>0</v>
      </c>
      <c r="CE338" s="1438">
        <f ca="1">IF(B338&gt;=$J$5,0,CONTADORES!BS350-CONTADORES!BS349)</f>
        <v>0</v>
      </c>
      <c r="CF338" s="1438">
        <f t="shared" ca="1" si="178"/>
        <v>0</v>
      </c>
      <c r="CG338" s="1438">
        <f t="shared" ca="1" si="179"/>
        <v>0</v>
      </c>
      <c r="CH338" s="1438">
        <f t="shared" ca="1" si="180"/>
        <v>0</v>
      </c>
      <c r="CI338" s="1438">
        <f t="shared" ca="1" si="181"/>
        <v>0</v>
      </c>
      <c r="CJ338" s="1444">
        <f ca="1">IF($B338&gt;=$J$5,0,CONTADORES!$BG350)</f>
        <v>0</v>
      </c>
      <c r="CK338" s="1406">
        <f>CONTADORES!E350</f>
        <v>0</v>
      </c>
      <c r="CL338" s="1406">
        <f>CONTADORES!BX350</f>
        <v>0</v>
      </c>
    </row>
    <row r="339" spans="2:90">
      <c r="B339" s="410">
        <v>45255</v>
      </c>
      <c r="C339" s="204">
        <f t="shared" ca="1" si="156"/>
        <v>0</v>
      </c>
      <c r="D339" s="202">
        <f ca="1">'CALCULO DE GAS'!P164</f>
        <v>0</v>
      </c>
      <c r="E339" s="202">
        <f ca="1">IF(B339&gt;=$J$5,0,(CONTADORES!$AB351-CONTADORES!$AB350)-$H339)</f>
        <v>0</v>
      </c>
      <c r="F339" s="204">
        <f t="shared" ca="1" si="154"/>
        <v>0</v>
      </c>
      <c r="G339" s="202">
        <f ca="1">IF(B339&gt;=$J$5,0,CONTADORES!$AD351-CONTADORES!$AD350)</f>
        <v>0</v>
      </c>
      <c r="H339" s="202">
        <f ca="1">IF(G339&gt;0,CONTADORES!$AC351-CONTADORES!$AC350,0)</f>
        <v>0</v>
      </c>
      <c r="I339" s="205">
        <f ca="1">IF(B339&gt;=$J$5,0,CONTADORES!$Z351-CONTADORES!$Z350)</f>
        <v>0</v>
      </c>
      <c r="J339" s="204">
        <f t="shared" ca="1" si="157"/>
        <v>0</v>
      </c>
      <c r="K339" s="202">
        <f ca="1">'CALCULO DE GAS'!Q164</f>
        <v>0</v>
      </c>
      <c r="L339" s="1437">
        <f ca="1">IF(B339&gt;=$J$5,0,(CONTADORES!$W351-CONTADORES!$W350)-$O339)</f>
        <v>0</v>
      </c>
      <c r="M339" s="1437">
        <f t="shared" ca="1" si="158"/>
        <v>0</v>
      </c>
      <c r="N339" s="1437">
        <f ca="1">IF(B339&gt;=$J$5,0,CONTADORES!$Y351-CONTADORES!$Y350)</f>
        <v>0</v>
      </c>
      <c r="O339" s="1437">
        <f ca="1">IF(N339&gt;0,CONTADORES!$X351-CONTADORES!$X350,0)</f>
        <v>0</v>
      </c>
      <c r="P339" s="208">
        <f ca="1">IF(B339&gt;=$J$5,0,CONTADORES!$U351-CONTADORES!$U350)</f>
        <v>0</v>
      </c>
      <c r="Q339" s="208">
        <f ca="1">IF(B339&gt;=$J$5,0,CONTADORES!$B351-CONTADORES!$B350)</f>
        <v>0</v>
      </c>
      <c r="R339" s="202">
        <f t="shared" ca="1" si="159"/>
        <v>0</v>
      </c>
      <c r="S339" s="11">
        <f ca="1">IF(B339&gt;=$J$5,0,CONTADORES!$D351-CONTADORES!$D350)</f>
        <v>0</v>
      </c>
      <c r="T339" s="204">
        <f ca="1">IF(B339&gt;=$J$5,0,CONTADORES!$AZ351-CONTADORES!$AZ350)</f>
        <v>0</v>
      </c>
      <c r="U339" s="202">
        <f t="shared" ca="1" si="152"/>
        <v>0</v>
      </c>
      <c r="V339" s="11">
        <f ca="1">IF(B339&gt;=$J$5,0,CONTADORES!$BB351-CONTADORES!$BB350)</f>
        <v>0</v>
      </c>
      <c r="W339" s="1438">
        <f t="shared" ca="1" si="160"/>
        <v>0</v>
      </c>
      <c r="X339" s="1438">
        <f t="shared" ca="1" si="161"/>
        <v>0</v>
      </c>
      <c r="Y339" s="1439">
        <f t="shared" ca="1" si="162"/>
        <v>0</v>
      </c>
      <c r="Z339" s="1439">
        <f t="shared" ca="1" si="163"/>
        <v>0</v>
      </c>
      <c r="AA339" s="1439">
        <f t="shared" ca="1" si="164"/>
        <v>0</v>
      </c>
      <c r="AB339" s="1439">
        <f t="shared" ca="1" si="165"/>
        <v>0</v>
      </c>
      <c r="AC339" s="1438">
        <f t="shared" ca="1" si="166"/>
        <v>0</v>
      </c>
      <c r="AD339" s="1448">
        <f ca="1">IF(B339&gt;=$J$5,0,CONTADORES!H351-CONTADORES!H350)</f>
        <v>0</v>
      </c>
      <c r="AE339" s="1438">
        <f ca="1">IF(B339&gt;=$J$5,0,CONTADORES!J351-CONTADORES!J350)</f>
        <v>0</v>
      </c>
      <c r="AF339" s="1438">
        <f ca="1">IF(B339&gt;=$J$5,0,CONTADORES!AS351-CONTADORES!AS350)</f>
        <v>0</v>
      </c>
      <c r="AG339" s="1438">
        <f ca="1">IF(B339&gt;=$J$5,0,CONTADORES!AU351-CONTADORES!AU350)</f>
        <v>0</v>
      </c>
      <c r="AH339" s="1439">
        <f ca="1">IF(B339&gt;=$J$5,0,(CONTADORES!AK351-CONTADORES!AK350)+(CONTADORES!K351-CONTADORES!K350))</f>
        <v>0</v>
      </c>
      <c r="AI339" s="1438">
        <f ca="1">IF(B339&gt;=$J$5,0,(CONTADORES!AI351-CONTADORES!AI350)+(CONTADORES!M351-CONTADORES!M350))</f>
        <v>0</v>
      </c>
      <c r="AJ339" s="1438">
        <f ca="1">IF(B339&gt;=$J$5,0,(CONTADORES!AG351-CONTADORES!AG350))</f>
        <v>0</v>
      </c>
      <c r="AK339" s="1438">
        <f ca="1">IF(B339&gt;=$J$5,0,(CONTADORES!O351-CONTADORES!O350))</f>
        <v>0</v>
      </c>
      <c r="AL339" s="1500">
        <f t="shared" ca="1" si="167"/>
        <v>0</v>
      </c>
      <c r="AM339" s="1438">
        <f ca="1">IF(B339&gt;=$J$5,0,(((CONTADORES!F351-CONTADORES!F350)+(CONTADORES!AO351-CONTADORES!AO350))))-BJ339-AF339-AN339-BM339-BP339-BU339-BS339+T339</f>
        <v>0</v>
      </c>
      <c r="AN339" s="1438">
        <f ca="1">IF(B339&gt;=$J$5,0,(CONTADORES!AV351-CONTADORES!AV350)+(CONTADORES!AX351-CONTADORES!AX350)+(CONTADORES!BC351-CONTADORES!BC350))-BS339</f>
        <v>0</v>
      </c>
      <c r="AO339" s="1440">
        <f ca="1">IF(B339&gt;=$J$5,0,(CONTADORES!AA351-CONTADORES!AA350))</f>
        <v>0</v>
      </c>
      <c r="AP339" s="1474">
        <f ca="1">IF(B339&gt;=$J$5,0,(CONTADORES!V351-CONTADORES!V350))</f>
        <v>0</v>
      </c>
      <c r="AQ339" s="1440">
        <f ca="1">IF(B339&gt;=$J$5,0,(CONTADORES!C351-CONTADORES!C350))</f>
        <v>0</v>
      </c>
      <c r="AR339" s="1440">
        <f ca="1">IF(B339&gt;=$J$5,0,(CONTADORES!BA351-CONTADORES!BA350))</f>
        <v>0</v>
      </c>
      <c r="AS339" s="1438">
        <f ca="1">IF(B339&gt;=$J$5,0,CONTADORES!Q351-CONTADORES!Q350)</f>
        <v>0</v>
      </c>
      <c r="AT339" s="1438">
        <f ca="1">IF(B339&gt;=$J$5,0,(CONTADORES!S351-CONTADORES!S350)+(CONTADORES!AE351-CONTADORES!AE350))</f>
        <v>0</v>
      </c>
      <c r="AU339" s="1474">
        <f ca="1">IF(B339&gt;=$J$5,0,(CONTADORES!I351-CONTADORES!I350))</f>
        <v>0</v>
      </c>
      <c r="AV339" s="1440">
        <f ca="1">IF(B339&gt;=$J$5,0,(CONTADORES!AT351-CONTADORES!AT350))</f>
        <v>0</v>
      </c>
      <c r="AW339" s="1474">
        <f ca="1">IF(B339&gt;=$J$5,0,(CONTADORES!L351-CONTADORES!L350)+(CONTADORES!AL351-CONTADORES!AL350))</f>
        <v>0</v>
      </c>
      <c r="AX339" s="1440">
        <f ca="1">IF(B339&gt;=$J$5,0,(CONTADORES!N351-CONTADORES!N350)+(CONTADORES!AJ351-CONTADORES!AJ350))</f>
        <v>0</v>
      </c>
      <c r="AY339" s="1440">
        <f ca="1">IF(B339&gt;=$J$5,0,(CONTADORES!AH351-CONTADORES!AH350))</f>
        <v>0</v>
      </c>
      <c r="AZ339" s="1440">
        <f ca="1">IF(B339&gt;=$J$5,0,(CONTADORES!P351-CONTADORES!P350))</f>
        <v>0</v>
      </c>
      <c r="BA339" s="1450">
        <f t="shared" ca="1" si="168"/>
        <v>0</v>
      </c>
      <c r="BB339" s="1440">
        <f ca="1">IF(B339&gt;=$J$5,0,(((CONTADORES!G351-CONTADORES!G350)+(CONTADORES!AP351-CONTADORES!AP350)+AR339)-(AV339+BC339)))</f>
        <v>0</v>
      </c>
      <c r="BC339" s="1438">
        <f ca="1">IF(B339&gt;=$J$5,0,(CONTADORES!AW351-CONTADORES!AW350)+(CONTADORES!AY351-CONTADORES!AY350)+(CONTADORES!BD351-CONTADORES!BD350))</f>
        <v>0</v>
      </c>
      <c r="BD339" s="1438">
        <f t="shared" ca="1" si="169"/>
        <v>0</v>
      </c>
      <c r="BE339" s="1439">
        <f ca="1">IF($B339&gt;=$J$5,0,CONTADORES!$BE351)</f>
        <v>0</v>
      </c>
      <c r="BF339" s="1438">
        <f ca="1">IF($B339&gt;=$J$5,0,CONTADORES!$BF351)</f>
        <v>0</v>
      </c>
      <c r="BG339" s="1438">
        <f ca="1">IF($B339&gt;=$J$5,0,CONTADORES!$BH351)</f>
        <v>0</v>
      </c>
      <c r="BH339" s="1438">
        <f ca="1">IF(B339&gt;=$J$5,0,(CONTADORES!AQ351-CONTADORES!AQ350))</f>
        <v>0</v>
      </c>
      <c r="BI339" s="1438">
        <f ca="1">IF(B339&gt;=$J$5,0,(CONTADORES!AR351-CONTADORES!AR350))</f>
        <v>0</v>
      </c>
      <c r="BJ339" s="1438">
        <f ca="1">IF(B339&gt;=$J$5,0,CONTADORES!BI351-CONTADORES!BI350)/1000</f>
        <v>0</v>
      </c>
      <c r="BK339" s="1439">
        <f ca="1">IF(B339&gt;=$J$5,0,CONTADORES!BJ351-CONTADORES!BJ350)</f>
        <v>0</v>
      </c>
      <c r="BL339" s="1438">
        <f ca="1">IF(B339&gt;=$J$5,0,CONTADORES!BK351-CONTADORES!BK350)</f>
        <v>0</v>
      </c>
      <c r="BM339" s="1438">
        <f ca="1">IF(B339&gt;=$J$5,0,CONTADORES!BL351-CONTADORES!BL350)/1000</f>
        <v>0</v>
      </c>
      <c r="BN339" s="1438">
        <f ca="1">IF(B339&gt;=$J$5,0,CONTADORES!BM351-CONTADORES!BM350)/1000</f>
        <v>0</v>
      </c>
      <c r="BO339" s="1438">
        <f ca="1">IF(B339&gt;=$J$5,0,CONTADORES!BN351-CONTADORES!BN350)</f>
        <v>0</v>
      </c>
      <c r="BP339" s="1438">
        <f ca="1">IF(B339&gt;=$J$5,0,CONTADORES!BO351-CONTADORES!BO350)/1000</f>
        <v>0</v>
      </c>
      <c r="BQ339" s="1438">
        <f ca="1">IF(B339&gt;=$J$5,0,CONTADORES!BP351-CONTADORES!BP350)/1000</f>
        <v>0</v>
      </c>
      <c r="BR339" s="1438">
        <f ca="1">IF(B339&gt;=$J$5,0,CONTADORES!BQ351-CONTADORES!BQ350)</f>
        <v>0</v>
      </c>
      <c r="BS339" s="1438">
        <f ca="1">IF(B339&gt;=$J$5,0,(CONTADORES!BT351-CONTADORES!BT350)+(CONTADORES!BV351-CONTADORES!BV350))/1000</f>
        <v>0</v>
      </c>
      <c r="BT339" s="1438">
        <f ca="1">IF(B339&gt;=$J$5,0,(CONTADORES!BU351-CONTADORES!BU350)+(CONTADORES!BW351-CONTADORES!BW350))/1000</f>
        <v>0</v>
      </c>
      <c r="BU339" s="1438">
        <f ca="1">IF(B339&gt;=$J$5,0,CONTADORES!BR351-CONTADORES!BR350)</f>
        <v>0</v>
      </c>
      <c r="BV339" s="1438">
        <f ca="1">IF(B339&gt;=$J$5,0,CONTADORES!BS351-CONTADORES!BS350)</f>
        <v>0</v>
      </c>
      <c r="BW339" s="1438">
        <f t="shared" ca="1" si="170"/>
        <v>0</v>
      </c>
      <c r="BX339" s="1438">
        <f t="shared" ca="1" si="171"/>
        <v>0</v>
      </c>
      <c r="BY339" s="1438">
        <f t="shared" ca="1" si="172"/>
        <v>0</v>
      </c>
      <c r="BZ339" s="1438">
        <f t="shared" ca="1" si="173"/>
        <v>0</v>
      </c>
      <c r="CA339" s="1438">
        <f t="shared" ca="1" si="174"/>
        <v>0</v>
      </c>
      <c r="CB339" s="1438">
        <f t="shared" ca="1" si="175"/>
        <v>0</v>
      </c>
      <c r="CC339" s="1438">
        <f t="shared" ca="1" si="176"/>
        <v>0</v>
      </c>
      <c r="CD339" s="1438">
        <f t="shared" ca="1" si="177"/>
        <v>0</v>
      </c>
      <c r="CE339" s="1438">
        <f ca="1">IF(B339&gt;=$J$5,0,CONTADORES!BS351-CONTADORES!BS350)</f>
        <v>0</v>
      </c>
      <c r="CF339" s="1438">
        <f t="shared" ca="1" si="178"/>
        <v>0</v>
      </c>
      <c r="CG339" s="1438">
        <f t="shared" ca="1" si="179"/>
        <v>0</v>
      </c>
      <c r="CH339" s="1438">
        <f t="shared" ca="1" si="180"/>
        <v>0</v>
      </c>
      <c r="CI339" s="1438">
        <f t="shared" ca="1" si="181"/>
        <v>0</v>
      </c>
      <c r="CJ339" s="1444">
        <f ca="1">IF($B339&gt;=$J$5,0,CONTADORES!$BG351)</f>
        <v>0</v>
      </c>
      <c r="CK339" s="1406">
        <f>CONTADORES!E351</f>
        <v>0</v>
      </c>
      <c r="CL339" s="1406">
        <f>CONTADORES!BX351</f>
        <v>0</v>
      </c>
    </row>
    <row r="340" spans="2:90">
      <c r="B340" s="410">
        <v>45256</v>
      </c>
      <c r="C340" s="204">
        <f t="shared" ca="1" si="156"/>
        <v>0</v>
      </c>
      <c r="D340" s="202">
        <f ca="1">'CALCULO DE GAS'!P165</f>
        <v>0</v>
      </c>
      <c r="E340" s="202">
        <f ca="1">IF(B340&gt;=$J$5,0,(CONTADORES!$AB352-CONTADORES!$AB351)-$H340)</f>
        <v>0</v>
      </c>
      <c r="F340" s="204">
        <f t="shared" ca="1" si="154"/>
        <v>0</v>
      </c>
      <c r="G340" s="202">
        <f ca="1">IF(B340&gt;=$J$5,0,CONTADORES!$AD352-CONTADORES!$AD351)</f>
        <v>0</v>
      </c>
      <c r="H340" s="202">
        <f ca="1">IF(G340&gt;0,CONTADORES!$AC352-CONTADORES!$AC351,0)</f>
        <v>0</v>
      </c>
      <c r="I340" s="205">
        <f ca="1">IF(B340&gt;=$J$5,0,CONTADORES!$Z352-CONTADORES!$Z351)</f>
        <v>0</v>
      </c>
      <c r="J340" s="204">
        <f t="shared" ca="1" si="157"/>
        <v>0</v>
      </c>
      <c r="K340" s="202">
        <f ca="1">'CALCULO DE GAS'!Q165</f>
        <v>0</v>
      </c>
      <c r="L340" s="1437">
        <f ca="1">IF(B340&gt;=$J$5,0,(CONTADORES!$W352-CONTADORES!$W351)-$O340)</f>
        <v>0</v>
      </c>
      <c r="M340" s="1437">
        <f t="shared" ca="1" si="158"/>
        <v>0</v>
      </c>
      <c r="N340" s="1437">
        <f ca="1">IF(B340&gt;=$J$5,0,CONTADORES!$Y352-CONTADORES!$Y351)</f>
        <v>0</v>
      </c>
      <c r="O340" s="1437">
        <f ca="1">IF(N340&gt;0,CONTADORES!$X352-CONTADORES!$X351,0)</f>
        <v>0</v>
      </c>
      <c r="P340" s="208">
        <f ca="1">IF(B340&gt;=$J$5,0,CONTADORES!$U352-CONTADORES!$U351)</f>
        <v>0</v>
      </c>
      <c r="Q340" s="208">
        <f ca="1">IF(B340&gt;=$J$5,0,CONTADORES!$B352-CONTADORES!$B351)</f>
        <v>0</v>
      </c>
      <c r="R340" s="202">
        <f t="shared" ca="1" si="159"/>
        <v>0</v>
      </c>
      <c r="S340" s="11">
        <f ca="1">IF(B340&gt;=$J$5,0,CONTADORES!$D352-CONTADORES!$D351)</f>
        <v>0</v>
      </c>
      <c r="T340" s="204">
        <f ca="1">IF(B340&gt;=$J$5,0,CONTADORES!$AZ352-CONTADORES!$AZ351)</f>
        <v>0</v>
      </c>
      <c r="U340" s="202">
        <f t="shared" ca="1" si="152"/>
        <v>0</v>
      </c>
      <c r="V340" s="11">
        <f ca="1">IF(B340&gt;=$J$5,0,CONTADORES!$BB352-CONTADORES!$BB351)</f>
        <v>0</v>
      </c>
      <c r="W340" s="1438">
        <f t="shared" ca="1" si="160"/>
        <v>0</v>
      </c>
      <c r="X340" s="1438">
        <f t="shared" ca="1" si="161"/>
        <v>0</v>
      </c>
      <c r="Y340" s="1439">
        <f t="shared" ca="1" si="162"/>
        <v>0</v>
      </c>
      <c r="Z340" s="1439">
        <f t="shared" ca="1" si="163"/>
        <v>0</v>
      </c>
      <c r="AA340" s="1439">
        <f t="shared" ca="1" si="164"/>
        <v>0</v>
      </c>
      <c r="AB340" s="1439">
        <f t="shared" ca="1" si="165"/>
        <v>0</v>
      </c>
      <c r="AC340" s="1438">
        <f t="shared" ca="1" si="166"/>
        <v>0</v>
      </c>
      <c r="AD340" s="1448">
        <f ca="1">IF(B340&gt;=$J$5,0,CONTADORES!H352-CONTADORES!H351)</f>
        <v>0</v>
      </c>
      <c r="AE340" s="1438">
        <f ca="1">IF(B340&gt;=$J$5,0,CONTADORES!J352-CONTADORES!J351)</f>
        <v>0</v>
      </c>
      <c r="AF340" s="1438">
        <f ca="1">IF(B340&gt;=$J$5,0,CONTADORES!AS352-CONTADORES!AS351)</f>
        <v>0</v>
      </c>
      <c r="AG340" s="1438">
        <f ca="1">IF(B340&gt;=$J$5,0,CONTADORES!AU352-CONTADORES!AU351)</f>
        <v>0</v>
      </c>
      <c r="AH340" s="1439">
        <f ca="1">IF(B340&gt;=$J$5,0,(CONTADORES!AK352-CONTADORES!AK351)+(CONTADORES!K352-CONTADORES!K351))</f>
        <v>0</v>
      </c>
      <c r="AI340" s="1438">
        <f ca="1">IF(B340&gt;=$J$5,0,(CONTADORES!AI352-CONTADORES!AI351)+(CONTADORES!M352-CONTADORES!M351))</f>
        <v>0</v>
      </c>
      <c r="AJ340" s="1438">
        <f ca="1">IF(B340&gt;=$J$5,0,(CONTADORES!AG352-CONTADORES!AG351))</f>
        <v>0</v>
      </c>
      <c r="AK340" s="1438">
        <f ca="1">IF(B340&gt;=$J$5,0,(CONTADORES!O352-CONTADORES!O351))</f>
        <v>0</v>
      </c>
      <c r="AL340" s="1500">
        <f t="shared" ca="1" si="167"/>
        <v>0</v>
      </c>
      <c r="AM340" s="1438">
        <f ca="1">IF(B340&gt;=$J$5,0,(((CONTADORES!F352-CONTADORES!F351)+(CONTADORES!AO352-CONTADORES!AO351))))-BJ340-AF340-AN340-BM340-BP340-BU340-BS340+T340</f>
        <v>0</v>
      </c>
      <c r="AN340" s="1438">
        <f ca="1">IF(B340&gt;=$J$5,0,(CONTADORES!AV352-CONTADORES!AV351)+(CONTADORES!AX352-CONTADORES!AX351)+(CONTADORES!BC352-CONTADORES!BC351))-BS340</f>
        <v>0</v>
      </c>
      <c r="AO340" s="1440">
        <f ca="1">IF(B340&gt;=$J$5,0,(CONTADORES!AA352-CONTADORES!AA351))</f>
        <v>0</v>
      </c>
      <c r="AP340" s="1474">
        <f ca="1">IF(B340&gt;=$J$5,0,(CONTADORES!V352-CONTADORES!V351))</f>
        <v>0</v>
      </c>
      <c r="AQ340" s="1440">
        <f ca="1">IF(B340&gt;=$J$5,0,(CONTADORES!C352-CONTADORES!C351))</f>
        <v>0</v>
      </c>
      <c r="AR340" s="1440">
        <f ca="1">IF(B340&gt;=$J$5,0,(CONTADORES!BA352-CONTADORES!BA351))</f>
        <v>0</v>
      </c>
      <c r="AS340" s="1438">
        <f ca="1">IF(B340&gt;=$J$5,0,CONTADORES!Q352-CONTADORES!Q351)</f>
        <v>0</v>
      </c>
      <c r="AT340" s="1438">
        <f ca="1">IF(B340&gt;=$J$5,0,(CONTADORES!S352-CONTADORES!S351)+(CONTADORES!AE352-CONTADORES!AE351))</f>
        <v>0</v>
      </c>
      <c r="AU340" s="1474">
        <f ca="1">IF(B340&gt;=$J$5,0,(CONTADORES!I352-CONTADORES!I351))</f>
        <v>0</v>
      </c>
      <c r="AV340" s="1440">
        <f ca="1">IF(B340&gt;=$J$5,0,(CONTADORES!AT352-CONTADORES!AT351))</f>
        <v>0</v>
      </c>
      <c r="AW340" s="1474">
        <f ca="1">IF(B340&gt;=$J$5,0,(CONTADORES!L352-CONTADORES!L351)+(CONTADORES!AL352-CONTADORES!AL351))</f>
        <v>0</v>
      </c>
      <c r="AX340" s="1440">
        <f ca="1">IF(B340&gt;=$J$5,0,(CONTADORES!N352-CONTADORES!N351)+(CONTADORES!AJ352-CONTADORES!AJ351))</f>
        <v>0</v>
      </c>
      <c r="AY340" s="1440">
        <f ca="1">IF(B340&gt;=$J$5,0,(CONTADORES!AH352-CONTADORES!AH351))</f>
        <v>0</v>
      </c>
      <c r="AZ340" s="1440">
        <f ca="1">IF(B340&gt;=$J$5,0,(CONTADORES!P352-CONTADORES!P351))</f>
        <v>0</v>
      </c>
      <c r="BA340" s="1450">
        <f t="shared" ca="1" si="168"/>
        <v>0</v>
      </c>
      <c r="BB340" s="1440">
        <f ca="1">IF(B340&gt;=$J$5,0,(((CONTADORES!G352-CONTADORES!G351)+(CONTADORES!AP352-CONTADORES!AP351)+AR340)-(AV340+BC340)))</f>
        <v>0</v>
      </c>
      <c r="BC340" s="1438">
        <f ca="1">IF(B340&gt;=$J$5,0,(CONTADORES!AW352-CONTADORES!AW351)+(CONTADORES!AY352-CONTADORES!AY351)+(CONTADORES!BD352-CONTADORES!BD351))</f>
        <v>0</v>
      </c>
      <c r="BD340" s="1438">
        <f t="shared" ca="1" si="169"/>
        <v>0</v>
      </c>
      <c r="BE340" s="1439">
        <f ca="1">IF($B340&gt;=$J$5,0,CONTADORES!$BE352)</f>
        <v>0</v>
      </c>
      <c r="BF340" s="1438">
        <f ca="1">IF($B340&gt;=$J$5,0,CONTADORES!$BF352)</f>
        <v>0</v>
      </c>
      <c r="BG340" s="1438">
        <f ca="1">IF($B340&gt;=$J$5,0,CONTADORES!$BH352)</f>
        <v>0</v>
      </c>
      <c r="BH340" s="1438">
        <f ca="1">IF(B340&gt;=$J$5,0,(CONTADORES!AQ352-CONTADORES!AQ351))</f>
        <v>0</v>
      </c>
      <c r="BI340" s="1438">
        <f ca="1">IF(B340&gt;=$J$5,0,(CONTADORES!AR352-CONTADORES!AR351))</f>
        <v>0</v>
      </c>
      <c r="BJ340" s="1438">
        <f ca="1">IF(B340&gt;=$J$5,0,CONTADORES!BI352-CONTADORES!BI351)/1000</f>
        <v>0</v>
      </c>
      <c r="BK340" s="1439">
        <f ca="1">IF(B340&gt;=$J$5,0,CONTADORES!BJ352-CONTADORES!BJ351)</f>
        <v>0</v>
      </c>
      <c r="BL340" s="1438">
        <f ca="1">IF(B340&gt;=$J$5,0,CONTADORES!BK352-CONTADORES!BK351)</f>
        <v>0</v>
      </c>
      <c r="BM340" s="1438">
        <f ca="1">IF(B340&gt;=$J$5,0,CONTADORES!BL352-CONTADORES!BL351)/1000</f>
        <v>0</v>
      </c>
      <c r="BN340" s="1438">
        <f ca="1">IF(B340&gt;=$J$5,0,CONTADORES!BM352-CONTADORES!BM351)/1000</f>
        <v>0</v>
      </c>
      <c r="BO340" s="1438">
        <f ca="1">IF(B340&gt;=$J$5,0,CONTADORES!BN352-CONTADORES!BN351)</f>
        <v>0</v>
      </c>
      <c r="BP340" s="1438">
        <f ca="1">IF(B340&gt;=$J$5,0,CONTADORES!BO352-CONTADORES!BO351)/1000</f>
        <v>0</v>
      </c>
      <c r="BQ340" s="1438">
        <f ca="1">IF(B340&gt;=$J$5,0,CONTADORES!BP352-CONTADORES!BP351)/1000</f>
        <v>0</v>
      </c>
      <c r="BR340" s="1438">
        <f ca="1">IF(B340&gt;=$J$5,0,CONTADORES!BQ352-CONTADORES!BQ351)</f>
        <v>0</v>
      </c>
      <c r="BS340" s="1438">
        <f ca="1">IF(B340&gt;=$J$5,0,(CONTADORES!BT352-CONTADORES!BT351)+(CONTADORES!BV352-CONTADORES!BV351))/1000</f>
        <v>0</v>
      </c>
      <c r="BT340" s="1438">
        <f ca="1">IF(B340&gt;=$J$5,0,(CONTADORES!BU352-CONTADORES!BU351)+(CONTADORES!BW352-CONTADORES!BW351))/1000</f>
        <v>0</v>
      </c>
      <c r="BU340" s="1438">
        <f ca="1">IF(B340&gt;=$J$5,0,CONTADORES!BR352-CONTADORES!BR351)</f>
        <v>0</v>
      </c>
      <c r="BV340" s="1438">
        <f ca="1">IF(B340&gt;=$J$5,0,CONTADORES!BS352-CONTADORES!BS351)</f>
        <v>0</v>
      </c>
      <c r="BW340" s="1438">
        <f t="shared" ca="1" si="170"/>
        <v>0</v>
      </c>
      <c r="BX340" s="1438">
        <f t="shared" ca="1" si="171"/>
        <v>0</v>
      </c>
      <c r="BY340" s="1438">
        <f t="shared" ca="1" si="172"/>
        <v>0</v>
      </c>
      <c r="BZ340" s="1438">
        <f t="shared" ca="1" si="173"/>
        <v>0</v>
      </c>
      <c r="CA340" s="1438">
        <f t="shared" ca="1" si="174"/>
        <v>0</v>
      </c>
      <c r="CB340" s="1438">
        <f t="shared" ca="1" si="175"/>
        <v>0</v>
      </c>
      <c r="CC340" s="1438">
        <f t="shared" ca="1" si="176"/>
        <v>0</v>
      </c>
      <c r="CD340" s="1438">
        <f t="shared" ca="1" si="177"/>
        <v>0</v>
      </c>
      <c r="CE340" s="1438">
        <f ca="1">IF(B340&gt;=$J$5,0,CONTADORES!BS352-CONTADORES!BS351)</f>
        <v>0</v>
      </c>
      <c r="CF340" s="1438">
        <f t="shared" ca="1" si="178"/>
        <v>0</v>
      </c>
      <c r="CG340" s="1438">
        <f t="shared" ca="1" si="179"/>
        <v>0</v>
      </c>
      <c r="CH340" s="1438">
        <f t="shared" ca="1" si="180"/>
        <v>0</v>
      </c>
      <c r="CI340" s="1438">
        <f t="shared" ca="1" si="181"/>
        <v>0</v>
      </c>
      <c r="CJ340" s="1444">
        <f ca="1">IF($B340&gt;=$J$5,0,CONTADORES!$BG352)</f>
        <v>0</v>
      </c>
      <c r="CK340" s="1406">
        <f>CONTADORES!E352</f>
        <v>0</v>
      </c>
      <c r="CL340" s="1406">
        <f>CONTADORES!BX352</f>
        <v>0</v>
      </c>
    </row>
    <row r="341" spans="2:90">
      <c r="B341" s="410">
        <v>45257</v>
      </c>
      <c r="C341" s="204">
        <f t="shared" ca="1" si="156"/>
        <v>0</v>
      </c>
      <c r="D341" s="202">
        <f ca="1">'CALCULO DE GAS'!P166</f>
        <v>0</v>
      </c>
      <c r="E341" s="202">
        <f ca="1">IF(B341&gt;=$J$5,0,(CONTADORES!$AB353-CONTADORES!$AB352)-$H341)</f>
        <v>0</v>
      </c>
      <c r="F341" s="204">
        <f t="shared" ca="1" si="154"/>
        <v>0</v>
      </c>
      <c r="G341" s="202">
        <f ca="1">IF(B341&gt;=$J$5,0,CONTADORES!$AD353-CONTADORES!$AD352)</f>
        <v>0</v>
      </c>
      <c r="H341" s="202">
        <f ca="1">IF(G341&gt;0,CONTADORES!$AC353-CONTADORES!$AC352,0)</f>
        <v>0</v>
      </c>
      <c r="I341" s="205">
        <f ca="1">IF(B341&gt;=$J$5,0,CONTADORES!$Z353-CONTADORES!$Z352)</f>
        <v>0</v>
      </c>
      <c r="J341" s="204">
        <f t="shared" ca="1" si="157"/>
        <v>0</v>
      </c>
      <c r="K341" s="202">
        <f ca="1">'CALCULO DE GAS'!Q166</f>
        <v>0</v>
      </c>
      <c r="L341" s="1437">
        <f ca="1">IF(B341&gt;=$J$5,0,(CONTADORES!$W353-CONTADORES!$W352)-$O341)</f>
        <v>0</v>
      </c>
      <c r="M341" s="1437">
        <f t="shared" ca="1" si="158"/>
        <v>0</v>
      </c>
      <c r="N341" s="1437">
        <f ca="1">IF(B341&gt;=$J$5,0,CONTADORES!$Y353-CONTADORES!$Y352)</f>
        <v>0</v>
      </c>
      <c r="O341" s="1437">
        <f ca="1">IF(N341&gt;0,CONTADORES!$X353-CONTADORES!$X352,0)</f>
        <v>0</v>
      </c>
      <c r="P341" s="208">
        <f ca="1">IF(B341&gt;=$J$5,0,CONTADORES!$U353-CONTADORES!$U352)</f>
        <v>0</v>
      </c>
      <c r="Q341" s="208">
        <f ca="1">IF(B341&gt;=$J$5,0,CONTADORES!$B353-CONTADORES!$B352)</f>
        <v>0</v>
      </c>
      <c r="R341" s="202">
        <f t="shared" ca="1" si="159"/>
        <v>0</v>
      </c>
      <c r="S341" s="11">
        <f ca="1">IF(B341&gt;=$J$5,0,CONTADORES!$D353-CONTADORES!$D352)</f>
        <v>0</v>
      </c>
      <c r="T341" s="204">
        <f ca="1">IF(B341&gt;=$J$5,0,CONTADORES!$AZ353-CONTADORES!$AZ352)</f>
        <v>0</v>
      </c>
      <c r="U341" s="202">
        <f t="shared" ca="1" si="152"/>
        <v>0</v>
      </c>
      <c r="V341" s="11">
        <f ca="1">IF(B341&gt;=$J$5,0,CONTADORES!$BB353-CONTADORES!$BB352)</f>
        <v>0</v>
      </c>
      <c r="W341" s="1438">
        <f t="shared" ca="1" si="160"/>
        <v>0</v>
      </c>
      <c r="X341" s="1438">
        <f t="shared" ca="1" si="161"/>
        <v>0</v>
      </c>
      <c r="Y341" s="1439">
        <f t="shared" ca="1" si="162"/>
        <v>0</v>
      </c>
      <c r="Z341" s="1439">
        <f t="shared" ca="1" si="163"/>
        <v>0</v>
      </c>
      <c r="AA341" s="1439">
        <f t="shared" ca="1" si="164"/>
        <v>0</v>
      </c>
      <c r="AB341" s="1439">
        <f t="shared" ca="1" si="165"/>
        <v>0</v>
      </c>
      <c r="AC341" s="1438">
        <f t="shared" ca="1" si="166"/>
        <v>0</v>
      </c>
      <c r="AD341" s="1448">
        <f ca="1">IF(B341&gt;=$J$5,0,CONTADORES!H353-CONTADORES!H352)</f>
        <v>0</v>
      </c>
      <c r="AE341" s="1438">
        <f ca="1">IF(B341&gt;=$J$5,0,CONTADORES!J353-CONTADORES!J352)</f>
        <v>0</v>
      </c>
      <c r="AF341" s="1438">
        <f ca="1">IF(B341&gt;=$J$5,0,CONTADORES!AS353-CONTADORES!AS352)</f>
        <v>0</v>
      </c>
      <c r="AG341" s="1438">
        <f ca="1">IF(B341&gt;=$J$5,0,CONTADORES!AU353-CONTADORES!AU352)</f>
        <v>0</v>
      </c>
      <c r="AH341" s="1439">
        <f ca="1">IF(B341&gt;=$J$5,0,(CONTADORES!AK353-CONTADORES!AK352)+(CONTADORES!K353-CONTADORES!K352))</f>
        <v>0</v>
      </c>
      <c r="AI341" s="1438">
        <f ca="1">IF(B341&gt;=$J$5,0,(CONTADORES!AI353-CONTADORES!AI352)+(CONTADORES!M353-CONTADORES!M352))</f>
        <v>0</v>
      </c>
      <c r="AJ341" s="1438">
        <f ca="1">IF(B341&gt;=$J$5,0,(CONTADORES!AG353-CONTADORES!AG352))</f>
        <v>0</v>
      </c>
      <c r="AK341" s="1438">
        <f ca="1">IF(B341&gt;=$J$5,0,(CONTADORES!O353-CONTADORES!O352))</f>
        <v>0</v>
      </c>
      <c r="AL341" s="1500">
        <f t="shared" ca="1" si="167"/>
        <v>0</v>
      </c>
      <c r="AM341" s="1438">
        <f ca="1">IF(B341&gt;=$J$5,0,(((CONTADORES!F353-CONTADORES!F352)+(CONTADORES!AO353-CONTADORES!AO352))))-BJ341-AF341-AN341-BM341-BP341-BU341-BS341+T341</f>
        <v>0</v>
      </c>
      <c r="AN341" s="1438">
        <f ca="1">IF(B341&gt;=$J$5,0,(CONTADORES!AV353-CONTADORES!AV352)+(CONTADORES!AX353-CONTADORES!AX352)+(CONTADORES!BC353-CONTADORES!BC352))-BS341</f>
        <v>0</v>
      </c>
      <c r="AO341" s="1440">
        <f ca="1">IF(B341&gt;=$J$5,0,(CONTADORES!AA353-CONTADORES!AA352))</f>
        <v>0</v>
      </c>
      <c r="AP341" s="1474">
        <f ca="1">IF(B341&gt;=$J$5,0,(CONTADORES!V353-CONTADORES!V352))</f>
        <v>0</v>
      </c>
      <c r="AQ341" s="1440">
        <f ca="1">IF(B341&gt;=$J$5,0,(CONTADORES!C353-CONTADORES!C352))</f>
        <v>0</v>
      </c>
      <c r="AR341" s="1440">
        <f ca="1">IF(B341&gt;=$J$5,0,(CONTADORES!BA353-CONTADORES!BA352))</f>
        <v>0</v>
      </c>
      <c r="AS341" s="1438">
        <f ca="1">IF(B341&gt;=$J$5,0,CONTADORES!Q353-CONTADORES!Q352)</f>
        <v>0</v>
      </c>
      <c r="AT341" s="1438">
        <f ca="1">IF(B341&gt;=$J$5,0,(CONTADORES!S353-CONTADORES!S352)+(CONTADORES!AE353-CONTADORES!AE352))</f>
        <v>0</v>
      </c>
      <c r="AU341" s="1474">
        <f ca="1">IF(B341&gt;=$J$5,0,(CONTADORES!I353-CONTADORES!I352))</f>
        <v>0</v>
      </c>
      <c r="AV341" s="1440">
        <f ca="1">IF(B341&gt;=$J$5,0,(CONTADORES!AT353-CONTADORES!AT352))</f>
        <v>0</v>
      </c>
      <c r="AW341" s="1474">
        <f ca="1">IF(B341&gt;=$J$5,0,(CONTADORES!L353-CONTADORES!L352)+(CONTADORES!AL353-CONTADORES!AL352))</f>
        <v>0</v>
      </c>
      <c r="AX341" s="1440">
        <f ca="1">IF(B341&gt;=$J$5,0,(CONTADORES!N353-CONTADORES!N352)+(CONTADORES!AJ353-CONTADORES!AJ352))</f>
        <v>0</v>
      </c>
      <c r="AY341" s="1440">
        <f ca="1">IF(B341&gt;=$J$5,0,(CONTADORES!AH353-CONTADORES!AH352))</f>
        <v>0</v>
      </c>
      <c r="AZ341" s="1440">
        <f ca="1">IF(B341&gt;=$J$5,0,(CONTADORES!P353-CONTADORES!P352))</f>
        <v>0</v>
      </c>
      <c r="BA341" s="1450">
        <f t="shared" ca="1" si="168"/>
        <v>0</v>
      </c>
      <c r="BB341" s="1440">
        <f ca="1">IF(B341&gt;=$J$5,0,(((CONTADORES!G353-CONTADORES!G352)+(CONTADORES!AP353-CONTADORES!AP352)+AR341)-(AV341+BC341)))</f>
        <v>0</v>
      </c>
      <c r="BC341" s="1438">
        <f ca="1">IF(B341&gt;=$J$5,0,(CONTADORES!AW353-CONTADORES!AW352)+(CONTADORES!AY353-CONTADORES!AY352)+(CONTADORES!BD353-CONTADORES!BD352))</f>
        <v>0</v>
      </c>
      <c r="BD341" s="1438">
        <f t="shared" ca="1" si="169"/>
        <v>0</v>
      </c>
      <c r="BE341" s="1439">
        <f ca="1">IF($B341&gt;=$J$5,0,CONTADORES!$BE353)</f>
        <v>0</v>
      </c>
      <c r="BF341" s="1438">
        <f ca="1">IF($B341&gt;=$J$5,0,CONTADORES!$BF353)</f>
        <v>0</v>
      </c>
      <c r="BG341" s="1438">
        <f ca="1">IF($B341&gt;=$J$5,0,CONTADORES!$BH353)</f>
        <v>0</v>
      </c>
      <c r="BH341" s="1438">
        <f ca="1">IF(B341&gt;=$J$5,0,(CONTADORES!AQ353-CONTADORES!AQ352))</f>
        <v>0</v>
      </c>
      <c r="BI341" s="1438">
        <f ca="1">IF(B341&gt;=$J$5,0,(CONTADORES!AR353-CONTADORES!AR352))</f>
        <v>0</v>
      </c>
      <c r="BJ341" s="1438">
        <f ca="1">IF(B341&gt;=$J$5,0,CONTADORES!BI353-CONTADORES!BI352)/1000</f>
        <v>0</v>
      </c>
      <c r="BK341" s="1439">
        <f ca="1">IF(B341&gt;=$J$5,0,CONTADORES!BJ353-CONTADORES!BJ352)</f>
        <v>0</v>
      </c>
      <c r="BL341" s="1438">
        <f ca="1">IF(B341&gt;=$J$5,0,CONTADORES!BK353-CONTADORES!BK352)</f>
        <v>0</v>
      </c>
      <c r="BM341" s="1438">
        <f ca="1">IF(B341&gt;=$J$5,0,CONTADORES!BL353-CONTADORES!BL352)/1000</f>
        <v>0</v>
      </c>
      <c r="BN341" s="1438">
        <f ca="1">IF(B341&gt;=$J$5,0,CONTADORES!BM353-CONTADORES!BM352)/1000</f>
        <v>0</v>
      </c>
      <c r="BO341" s="1438">
        <f ca="1">IF(B341&gt;=$J$5,0,CONTADORES!BN353-CONTADORES!BN352)</f>
        <v>0</v>
      </c>
      <c r="BP341" s="1438">
        <f ca="1">IF(B341&gt;=$J$5,0,CONTADORES!BO353-CONTADORES!BO352)/1000</f>
        <v>0</v>
      </c>
      <c r="BQ341" s="1438">
        <f ca="1">IF(B341&gt;=$J$5,0,CONTADORES!BP353-CONTADORES!BP352)/1000</f>
        <v>0</v>
      </c>
      <c r="BR341" s="1438">
        <f ca="1">IF(B341&gt;=$J$5,0,CONTADORES!BQ353-CONTADORES!BQ352)</f>
        <v>0</v>
      </c>
      <c r="BS341" s="1438">
        <f ca="1">IF(B341&gt;=$J$5,0,(CONTADORES!BT353-CONTADORES!BT352)+(CONTADORES!BV353-CONTADORES!BV352))/1000</f>
        <v>0</v>
      </c>
      <c r="BT341" s="1438">
        <f ca="1">IF(B341&gt;=$J$5,0,(CONTADORES!BU353-CONTADORES!BU352)+(CONTADORES!BW353-CONTADORES!BW352))/1000</f>
        <v>0</v>
      </c>
      <c r="BU341" s="1438">
        <f ca="1">IF(B341&gt;=$J$5,0,CONTADORES!BR353-CONTADORES!BR352)</f>
        <v>0</v>
      </c>
      <c r="BV341" s="1438">
        <f ca="1">IF(B341&gt;=$J$5,0,CONTADORES!BS353-CONTADORES!BS352)</f>
        <v>0</v>
      </c>
      <c r="BW341" s="1438">
        <f t="shared" ca="1" si="170"/>
        <v>0</v>
      </c>
      <c r="BX341" s="1438">
        <f t="shared" ca="1" si="171"/>
        <v>0</v>
      </c>
      <c r="BY341" s="1438">
        <f t="shared" ca="1" si="172"/>
        <v>0</v>
      </c>
      <c r="BZ341" s="1438">
        <f t="shared" ca="1" si="173"/>
        <v>0</v>
      </c>
      <c r="CA341" s="1438">
        <f t="shared" ca="1" si="174"/>
        <v>0</v>
      </c>
      <c r="CB341" s="1438">
        <f t="shared" ca="1" si="175"/>
        <v>0</v>
      </c>
      <c r="CC341" s="1438">
        <f t="shared" ca="1" si="176"/>
        <v>0</v>
      </c>
      <c r="CD341" s="1438">
        <f t="shared" ca="1" si="177"/>
        <v>0</v>
      </c>
      <c r="CE341" s="1438">
        <f ca="1">IF(B341&gt;=$J$5,0,CONTADORES!BS353-CONTADORES!BS352)</f>
        <v>0</v>
      </c>
      <c r="CF341" s="1438">
        <f t="shared" ca="1" si="178"/>
        <v>0</v>
      </c>
      <c r="CG341" s="1438">
        <f t="shared" ca="1" si="179"/>
        <v>0</v>
      </c>
      <c r="CH341" s="1438">
        <f t="shared" ca="1" si="180"/>
        <v>0</v>
      </c>
      <c r="CI341" s="1438">
        <f t="shared" ca="1" si="181"/>
        <v>0</v>
      </c>
      <c r="CJ341" s="1444">
        <f ca="1">IF($B341&gt;=$J$5,0,CONTADORES!$BG353)</f>
        <v>0</v>
      </c>
      <c r="CK341" s="1406">
        <f>CONTADORES!E353</f>
        <v>0</v>
      </c>
      <c r="CL341" s="1406">
        <f>CONTADORES!BX353</f>
        <v>0</v>
      </c>
    </row>
    <row r="342" spans="2:90">
      <c r="B342" s="410">
        <v>45258</v>
      </c>
      <c r="C342" s="204">
        <f t="shared" ca="1" si="156"/>
        <v>0</v>
      </c>
      <c r="D342" s="202">
        <f ca="1">'CALCULO DE GAS'!P167</f>
        <v>0</v>
      </c>
      <c r="E342" s="202">
        <f ca="1">IF(B342&gt;=$J$5,0,(CONTADORES!$AB354-CONTADORES!$AB353)-$H342)</f>
        <v>0</v>
      </c>
      <c r="F342" s="204">
        <f t="shared" ca="1" si="154"/>
        <v>0</v>
      </c>
      <c r="G342" s="202">
        <f ca="1">IF(B342&gt;=$J$5,0,CONTADORES!$AD354-CONTADORES!$AD353)</f>
        <v>0</v>
      </c>
      <c r="H342" s="202">
        <f ca="1">IF(G342&gt;0,CONTADORES!$AC354-CONTADORES!$AC353,0)</f>
        <v>0</v>
      </c>
      <c r="I342" s="205">
        <f ca="1">IF(B342&gt;=$J$5,0,CONTADORES!$Z354-CONTADORES!$Z353)</f>
        <v>0</v>
      </c>
      <c r="J342" s="204">
        <f t="shared" ca="1" si="157"/>
        <v>0</v>
      </c>
      <c r="K342" s="202">
        <f ca="1">'CALCULO DE GAS'!Q167</f>
        <v>0</v>
      </c>
      <c r="L342" s="1437">
        <f ca="1">IF(B342&gt;=$J$5,0,(CONTADORES!$W354-CONTADORES!$W353)-$O342)</f>
        <v>0</v>
      </c>
      <c r="M342" s="1437">
        <f t="shared" ca="1" si="158"/>
        <v>0</v>
      </c>
      <c r="N342" s="1437">
        <f ca="1">IF(B342&gt;=$J$5,0,CONTADORES!$Y354-CONTADORES!$Y353)</f>
        <v>0</v>
      </c>
      <c r="O342" s="1437">
        <f ca="1">IF(N342&gt;0,CONTADORES!$X354-CONTADORES!$X353,0)</f>
        <v>0</v>
      </c>
      <c r="P342" s="208">
        <f ca="1">IF(B342&gt;=$J$5,0,CONTADORES!$U354-CONTADORES!$U353)</f>
        <v>0</v>
      </c>
      <c r="Q342" s="208">
        <f ca="1">IF(B342&gt;=$J$5,0,CONTADORES!$B354-CONTADORES!$B353)</f>
        <v>0</v>
      </c>
      <c r="R342" s="202">
        <f t="shared" ca="1" si="159"/>
        <v>0</v>
      </c>
      <c r="S342" s="11">
        <f ca="1">IF(B342&gt;=$J$5,0,CONTADORES!$D354-CONTADORES!$D353)</f>
        <v>0</v>
      </c>
      <c r="T342" s="204">
        <f ca="1">IF(B342&gt;=$J$5,0,CONTADORES!$AZ354-CONTADORES!$AZ353)</f>
        <v>0</v>
      </c>
      <c r="U342" s="202">
        <f t="shared" ca="1" si="152"/>
        <v>0</v>
      </c>
      <c r="V342" s="11">
        <f ca="1">IF(B342&gt;=$J$5,0,CONTADORES!$BB354-CONTADORES!$BB353)</f>
        <v>0</v>
      </c>
      <c r="W342" s="1438">
        <f t="shared" ca="1" si="160"/>
        <v>0</v>
      </c>
      <c r="X342" s="1438">
        <f t="shared" ca="1" si="161"/>
        <v>0</v>
      </c>
      <c r="Y342" s="1439">
        <f t="shared" ca="1" si="162"/>
        <v>0</v>
      </c>
      <c r="Z342" s="1439">
        <f t="shared" ca="1" si="163"/>
        <v>0</v>
      </c>
      <c r="AA342" s="1439">
        <f t="shared" ca="1" si="164"/>
        <v>0</v>
      </c>
      <c r="AB342" s="1439">
        <f t="shared" ca="1" si="165"/>
        <v>0</v>
      </c>
      <c r="AC342" s="1438">
        <f t="shared" ca="1" si="166"/>
        <v>0</v>
      </c>
      <c r="AD342" s="1448">
        <f ca="1">IF(B342&gt;=$J$5,0,CONTADORES!H354-CONTADORES!H353)</f>
        <v>0</v>
      </c>
      <c r="AE342" s="1438">
        <f ca="1">IF(B342&gt;=$J$5,0,CONTADORES!J354-CONTADORES!J353)</f>
        <v>0</v>
      </c>
      <c r="AF342" s="1438">
        <f ca="1">IF(B342&gt;=$J$5,0,CONTADORES!AS354-CONTADORES!AS353)</f>
        <v>0</v>
      </c>
      <c r="AG342" s="1438">
        <f ca="1">IF(B342&gt;=$J$5,0,CONTADORES!AU354-CONTADORES!AU353)</f>
        <v>0</v>
      </c>
      <c r="AH342" s="1439">
        <f ca="1">IF(B342&gt;=$J$5,0,(CONTADORES!AK354-CONTADORES!AK353)+(CONTADORES!K354-CONTADORES!K353))</f>
        <v>0</v>
      </c>
      <c r="AI342" s="1438">
        <f ca="1">IF(B342&gt;=$J$5,0,(CONTADORES!AI354-CONTADORES!AI353)+(CONTADORES!M354-CONTADORES!M353))</f>
        <v>0</v>
      </c>
      <c r="AJ342" s="1438">
        <f ca="1">IF(B342&gt;=$J$5,0,(CONTADORES!AG354-CONTADORES!AG353))</f>
        <v>0</v>
      </c>
      <c r="AK342" s="1438">
        <f ca="1">IF(B342&gt;=$J$5,0,(CONTADORES!O354-CONTADORES!O353))</f>
        <v>0</v>
      </c>
      <c r="AL342" s="1500">
        <f t="shared" ca="1" si="167"/>
        <v>0</v>
      </c>
      <c r="AM342" s="1438">
        <f ca="1">IF(B342&gt;=$J$5,0,(((CONTADORES!F354-CONTADORES!F353)+(CONTADORES!AO354-CONTADORES!AO353))))-BJ342-AF342-AN342-BM342-BP342-BU342-BS342+T342</f>
        <v>0</v>
      </c>
      <c r="AN342" s="1438">
        <f ca="1">IF(B342&gt;=$J$5,0,(CONTADORES!AV354-CONTADORES!AV353)+(CONTADORES!AX354-CONTADORES!AX353)+(CONTADORES!BC354-CONTADORES!BC353))-BS342</f>
        <v>0</v>
      </c>
      <c r="AO342" s="1440">
        <f ca="1">IF(B342&gt;=$J$5,0,(CONTADORES!AA354-CONTADORES!AA353))</f>
        <v>0</v>
      </c>
      <c r="AP342" s="1474">
        <f ca="1">IF(B342&gt;=$J$5,0,(CONTADORES!V354-CONTADORES!V353))</f>
        <v>0</v>
      </c>
      <c r="AQ342" s="1440">
        <f ca="1">IF(B342&gt;=$J$5,0,(CONTADORES!C354-CONTADORES!C353))</f>
        <v>0</v>
      </c>
      <c r="AR342" s="1440">
        <f ca="1">IF(B342&gt;=$J$5,0,(CONTADORES!BA354-CONTADORES!BA353))</f>
        <v>0</v>
      </c>
      <c r="AS342" s="1438">
        <f ca="1">IF(B342&gt;=$J$5,0,CONTADORES!Q354-CONTADORES!Q353)</f>
        <v>0</v>
      </c>
      <c r="AT342" s="1438">
        <f ca="1">IF(B342&gt;=$J$5,0,(CONTADORES!S354-CONTADORES!S353)+(CONTADORES!AE354-CONTADORES!AE353))</f>
        <v>0</v>
      </c>
      <c r="AU342" s="1474">
        <f ca="1">IF(B342&gt;=$J$5,0,(CONTADORES!I354-CONTADORES!I353))</f>
        <v>0</v>
      </c>
      <c r="AV342" s="1440">
        <f ca="1">IF(B342&gt;=$J$5,0,(CONTADORES!AT354-CONTADORES!AT353))</f>
        <v>0</v>
      </c>
      <c r="AW342" s="1474">
        <f ca="1">IF(B342&gt;=$J$5,0,(CONTADORES!L354-CONTADORES!L353)+(CONTADORES!AL354-CONTADORES!AL353))</f>
        <v>0</v>
      </c>
      <c r="AX342" s="1440">
        <f ca="1">IF(B342&gt;=$J$5,0,(CONTADORES!N354-CONTADORES!N353)+(CONTADORES!AJ354-CONTADORES!AJ353))</f>
        <v>0</v>
      </c>
      <c r="AY342" s="1440">
        <f ca="1">IF(B342&gt;=$J$5,0,(CONTADORES!AH354-CONTADORES!AH353))</f>
        <v>0</v>
      </c>
      <c r="AZ342" s="1440">
        <f ca="1">IF(B342&gt;=$J$5,0,(CONTADORES!P354-CONTADORES!P353))</f>
        <v>0</v>
      </c>
      <c r="BA342" s="1450">
        <f t="shared" ca="1" si="168"/>
        <v>0</v>
      </c>
      <c r="BB342" s="1440">
        <f ca="1">IF(B342&gt;=$J$5,0,(((CONTADORES!G354-CONTADORES!G353)+(CONTADORES!AP354-CONTADORES!AP353)+AR342)-(AV342+BC342)))</f>
        <v>0</v>
      </c>
      <c r="BC342" s="1438">
        <f ca="1">IF(B342&gt;=$J$5,0,(CONTADORES!AW354-CONTADORES!AW353)+(CONTADORES!AY354-CONTADORES!AY353)+(CONTADORES!BD354-CONTADORES!BD353))</f>
        <v>0</v>
      </c>
      <c r="BD342" s="1438">
        <f t="shared" ca="1" si="169"/>
        <v>0</v>
      </c>
      <c r="BE342" s="1439">
        <f ca="1">IF($B342&gt;=$J$5,0,CONTADORES!$BE354)</f>
        <v>0</v>
      </c>
      <c r="BF342" s="1438">
        <f ca="1">IF($B342&gt;=$J$5,0,CONTADORES!$BF354)</f>
        <v>0</v>
      </c>
      <c r="BG342" s="1438">
        <f ca="1">IF($B342&gt;=$J$5,0,CONTADORES!$BH354)</f>
        <v>0</v>
      </c>
      <c r="BH342" s="1438">
        <f ca="1">IF(B342&gt;=$J$5,0,(CONTADORES!AQ354-CONTADORES!AQ353))</f>
        <v>0</v>
      </c>
      <c r="BI342" s="1438">
        <f ca="1">IF(B342&gt;=$J$5,0,(CONTADORES!AR354-CONTADORES!AR353))</f>
        <v>0</v>
      </c>
      <c r="BJ342" s="1438">
        <f ca="1">IF(B342&gt;=$J$5,0,CONTADORES!BI354-CONTADORES!BI353)/1000</f>
        <v>0</v>
      </c>
      <c r="BK342" s="1439">
        <f ca="1">IF(B342&gt;=$J$5,0,CONTADORES!BJ354-CONTADORES!BJ353)</f>
        <v>0</v>
      </c>
      <c r="BL342" s="1438">
        <f ca="1">IF(B342&gt;=$J$5,0,CONTADORES!BK354-CONTADORES!BK353)</f>
        <v>0</v>
      </c>
      <c r="BM342" s="1438">
        <f ca="1">IF(B342&gt;=$J$5,0,CONTADORES!BL354-CONTADORES!BL353)/1000</f>
        <v>0</v>
      </c>
      <c r="BN342" s="1438">
        <f ca="1">IF(B342&gt;=$J$5,0,CONTADORES!BM354-CONTADORES!BM353)/1000</f>
        <v>0</v>
      </c>
      <c r="BO342" s="1438">
        <f ca="1">IF(B342&gt;=$J$5,0,CONTADORES!BN354-CONTADORES!BN353)</f>
        <v>0</v>
      </c>
      <c r="BP342" s="1438">
        <f ca="1">IF(B342&gt;=$J$5,0,CONTADORES!BO354-CONTADORES!BO353)/1000</f>
        <v>0</v>
      </c>
      <c r="BQ342" s="1438">
        <f ca="1">IF(B342&gt;=$J$5,0,CONTADORES!BP354-CONTADORES!BP353)/1000</f>
        <v>0</v>
      </c>
      <c r="BR342" s="1438">
        <f ca="1">IF(B342&gt;=$J$5,0,CONTADORES!BQ354-CONTADORES!BQ353)</f>
        <v>0</v>
      </c>
      <c r="BS342" s="1438">
        <f ca="1">IF(B342&gt;=$J$5,0,(CONTADORES!BT354-CONTADORES!BT353)+(CONTADORES!BV354-CONTADORES!BV353))/1000</f>
        <v>0</v>
      </c>
      <c r="BT342" s="1438">
        <f ca="1">IF(B342&gt;=$J$5,0,(CONTADORES!BU354-CONTADORES!BU353)+(CONTADORES!BW354-CONTADORES!BW353))/1000</f>
        <v>0</v>
      </c>
      <c r="BU342" s="1438">
        <f ca="1">IF(B342&gt;=$J$5,0,CONTADORES!BR354-CONTADORES!BR353)</f>
        <v>0</v>
      </c>
      <c r="BV342" s="1438">
        <f ca="1">IF(B342&gt;=$J$5,0,CONTADORES!BS354-CONTADORES!BS353)</f>
        <v>0</v>
      </c>
      <c r="BW342" s="1438">
        <f t="shared" ca="1" si="170"/>
        <v>0</v>
      </c>
      <c r="BX342" s="1438">
        <f t="shared" ca="1" si="171"/>
        <v>0</v>
      </c>
      <c r="BY342" s="1438">
        <f t="shared" ca="1" si="172"/>
        <v>0</v>
      </c>
      <c r="BZ342" s="1438">
        <f t="shared" ca="1" si="173"/>
        <v>0</v>
      </c>
      <c r="CA342" s="1438">
        <f t="shared" ca="1" si="174"/>
        <v>0</v>
      </c>
      <c r="CB342" s="1438">
        <f t="shared" ca="1" si="175"/>
        <v>0</v>
      </c>
      <c r="CC342" s="1438">
        <f t="shared" ca="1" si="176"/>
        <v>0</v>
      </c>
      <c r="CD342" s="1438">
        <f t="shared" ca="1" si="177"/>
        <v>0</v>
      </c>
      <c r="CE342" s="1438">
        <f ca="1">IF(B342&gt;=$J$5,0,CONTADORES!BS354-CONTADORES!BS353)</f>
        <v>0</v>
      </c>
      <c r="CF342" s="1438">
        <f t="shared" ca="1" si="178"/>
        <v>0</v>
      </c>
      <c r="CG342" s="1438">
        <f t="shared" ca="1" si="179"/>
        <v>0</v>
      </c>
      <c r="CH342" s="1438">
        <f t="shared" ca="1" si="180"/>
        <v>0</v>
      </c>
      <c r="CI342" s="1438">
        <f t="shared" ca="1" si="181"/>
        <v>0</v>
      </c>
      <c r="CJ342" s="1444">
        <f ca="1">IF($B342&gt;=$J$5,0,CONTADORES!$BG354)</f>
        <v>0</v>
      </c>
      <c r="CK342" s="1406">
        <f>CONTADORES!E354</f>
        <v>0</v>
      </c>
      <c r="CL342" s="1406">
        <f>CONTADORES!BX354</f>
        <v>0</v>
      </c>
    </row>
    <row r="343" spans="2:90">
      <c r="B343" s="410">
        <v>45259</v>
      </c>
      <c r="C343" s="204">
        <f t="shared" ca="1" si="156"/>
        <v>0</v>
      </c>
      <c r="D343" s="202">
        <f ca="1">'CALCULO DE GAS'!P168</f>
        <v>0</v>
      </c>
      <c r="E343" s="202">
        <f ca="1">IF(B343&gt;=$J$5,0,(CONTADORES!$AB355-CONTADORES!$AB354)-$H343)</f>
        <v>0</v>
      </c>
      <c r="F343" s="204">
        <f t="shared" ca="1" si="154"/>
        <v>0</v>
      </c>
      <c r="G343" s="202">
        <f ca="1">IF(B343&gt;=$J$5,0,CONTADORES!$AD355-CONTADORES!$AD354)</f>
        <v>0</v>
      </c>
      <c r="H343" s="202">
        <f ca="1">IF(G343&gt;0,CONTADORES!$AC355-CONTADORES!$AC354,0)</f>
        <v>0</v>
      </c>
      <c r="I343" s="205">
        <f ca="1">IF(B343&gt;=$J$5,0,CONTADORES!$Z355-CONTADORES!$Z354)</f>
        <v>0</v>
      </c>
      <c r="J343" s="204">
        <f t="shared" ca="1" si="157"/>
        <v>0</v>
      </c>
      <c r="K343" s="202">
        <f ca="1">'CALCULO DE GAS'!Q168</f>
        <v>0</v>
      </c>
      <c r="L343" s="1437">
        <f ca="1">IF(B343&gt;=$J$5,0,(CONTADORES!$W355-CONTADORES!$W354)-$O343)</f>
        <v>0</v>
      </c>
      <c r="M343" s="1437">
        <f t="shared" ca="1" si="158"/>
        <v>0</v>
      </c>
      <c r="N343" s="1437">
        <f ca="1">IF(B343&gt;=$J$5,0,CONTADORES!$Y355-CONTADORES!$Y354)</f>
        <v>0</v>
      </c>
      <c r="O343" s="1437">
        <f ca="1">IF(N343&gt;0,CONTADORES!$X355-CONTADORES!$X354,0)</f>
        <v>0</v>
      </c>
      <c r="P343" s="208">
        <f ca="1">IF(B343&gt;=$J$5,0,CONTADORES!$U355-CONTADORES!$U354)</f>
        <v>0</v>
      </c>
      <c r="Q343" s="208">
        <f ca="1">IF(B343&gt;=$J$5,0,CONTADORES!$B355-CONTADORES!$B354)</f>
        <v>0</v>
      </c>
      <c r="R343" s="202">
        <f t="shared" ca="1" si="159"/>
        <v>0</v>
      </c>
      <c r="S343" s="11">
        <f ca="1">IF(B343&gt;=$J$5,0,CONTADORES!$D355-CONTADORES!$D354)</f>
        <v>0</v>
      </c>
      <c r="T343" s="204">
        <f ca="1">IF(B343&gt;=$J$5,0,CONTADORES!$AZ355-CONTADORES!$AZ354)</f>
        <v>0</v>
      </c>
      <c r="U343" s="202">
        <f t="shared" ca="1" si="152"/>
        <v>0</v>
      </c>
      <c r="V343" s="11">
        <f ca="1">IF(B343&gt;=$J$5,0,CONTADORES!$BB355-CONTADORES!$BB354)</f>
        <v>0</v>
      </c>
      <c r="W343" s="1438">
        <f t="shared" ca="1" si="160"/>
        <v>0</v>
      </c>
      <c r="X343" s="1438">
        <f t="shared" ca="1" si="161"/>
        <v>0</v>
      </c>
      <c r="Y343" s="1439">
        <f t="shared" ca="1" si="162"/>
        <v>0</v>
      </c>
      <c r="Z343" s="1439">
        <f t="shared" ca="1" si="163"/>
        <v>0</v>
      </c>
      <c r="AA343" s="1439">
        <f t="shared" ca="1" si="164"/>
        <v>0</v>
      </c>
      <c r="AB343" s="1439">
        <f t="shared" ca="1" si="165"/>
        <v>0</v>
      </c>
      <c r="AC343" s="1438">
        <f t="shared" ca="1" si="166"/>
        <v>0</v>
      </c>
      <c r="AD343" s="1448">
        <f ca="1">IF(B343&gt;=$J$5,0,CONTADORES!H355-CONTADORES!H354)</f>
        <v>0</v>
      </c>
      <c r="AE343" s="1438">
        <f ca="1">IF(B343&gt;=$J$5,0,CONTADORES!J355-CONTADORES!J354)</f>
        <v>0</v>
      </c>
      <c r="AF343" s="1438">
        <f ca="1">IF(B343&gt;=$J$5,0,CONTADORES!AS355-CONTADORES!AS354)</f>
        <v>0</v>
      </c>
      <c r="AG343" s="1438">
        <f ca="1">IF(B343&gt;=$J$5,0,CONTADORES!AU355-CONTADORES!AU354)</f>
        <v>0</v>
      </c>
      <c r="AH343" s="1439">
        <f ca="1">IF(B343&gt;=$J$5,0,(CONTADORES!AK355-CONTADORES!AK354)+(CONTADORES!K355-CONTADORES!K354))</f>
        <v>0</v>
      </c>
      <c r="AI343" s="1438">
        <f ca="1">IF(B343&gt;=$J$5,0,(CONTADORES!AI355-CONTADORES!AI354)+(CONTADORES!M355-CONTADORES!M354))</f>
        <v>0</v>
      </c>
      <c r="AJ343" s="1438">
        <f ca="1">IF(B343&gt;=$J$5,0,(CONTADORES!AG355-CONTADORES!AG354))</f>
        <v>0</v>
      </c>
      <c r="AK343" s="1438">
        <f ca="1">IF(B343&gt;=$J$5,0,(CONTADORES!O355-CONTADORES!O354))</f>
        <v>0</v>
      </c>
      <c r="AL343" s="1500">
        <f t="shared" ca="1" si="167"/>
        <v>0</v>
      </c>
      <c r="AM343" s="1438">
        <f ca="1">IF(B343&gt;=$J$5,0,(((CONTADORES!F355-CONTADORES!F354)+(CONTADORES!AO355-CONTADORES!AO354))))-BJ343-AF343-AN343-BM343-BP343-BU343-BS343+T343</f>
        <v>0</v>
      </c>
      <c r="AN343" s="1438">
        <f ca="1">IF(B343&gt;=$J$5,0,(CONTADORES!AV355-CONTADORES!AV354)+(CONTADORES!AX355-CONTADORES!AX354)+(CONTADORES!BC355-CONTADORES!BC354))-BS343</f>
        <v>0</v>
      </c>
      <c r="AO343" s="1440">
        <f ca="1">IF(B343&gt;=$J$5,0,(CONTADORES!AA355-CONTADORES!AA354))</f>
        <v>0</v>
      </c>
      <c r="AP343" s="1474">
        <f ca="1">IF(B343&gt;=$J$5,0,(CONTADORES!V355-CONTADORES!V354))</f>
        <v>0</v>
      </c>
      <c r="AQ343" s="1440">
        <f ca="1">IF(B343&gt;=$J$5,0,(CONTADORES!C355-CONTADORES!C354))</f>
        <v>0</v>
      </c>
      <c r="AR343" s="1440">
        <f ca="1">IF(B343&gt;=$J$5,0,(CONTADORES!BA355-CONTADORES!BA354))</f>
        <v>0</v>
      </c>
      <c r="AS343" s="1438">
        <f ca="1">IF(B343&gt;=$J$5,0,CONTADORES!Q355-CONTADORES!Q354)</f>
        <v>0</v>
      </c>
      <c r="AT343" s="1438">
        <f ca="1">IF(B343&gt;=$J$5,0,(CONTADORES!S355-CONTADORES!S354)+(CONTADORES!AE355-CONTADORES!AE354))</f>
        <v>0</v>
      </c>
      <c r="AU343" s="1474">
        <f ca="1">IF(B343&gt;=$J$5,0,(CONTADORES!I355-CONTADORES!I354))</f>
        <v>0</v>
      </c>
      <c r="AV343" s="1440">
        <f ca="1">IF(B343&gt;=$J$5,0,(CONTADORES!AT355-CONTADORES!AT354))</f>
        <v>0</v>
      </c>
      <c r="AW343" s="1474">
        <f ca="1">IF(B343&gt;=$J$5,0,(CONTADORES!L355-CONTADORES!L354)+(CONTADORES!AL355-CONTADORES!AL354))</f>
        <v>0</v>
      </c>
      <c r="AX343" s="1440">
        <f ca="1">IF(B343&gt;=$J$5,0,(CONTADORES!N355-CONTADORES!N354)+(CONTADORES!AJ355-CONTADORES!AJ354))</f>
        <v>0</v>
      </c>
      <c r="AY343" s="1440">
        <f ca="1">IF(B343&gt;=$J$5,0,(CONTADORES!AH355-CONTADORES!AH354))</f>
        <v>0</v>
      </c>
      <c r="AZ343" s="1440">
        <f ca="1">IF(B343&gt;=$J$5,0,(CONTADORES!P355-CONTADORES!P354))</f>
        <v>0</v>
      </c>
      <c r="BA343" s="1450">
        <f t="shared" ca="1" si="168"/>
        <v>0</v>
      </c>
      <c r="BB343" s="1440">
        <f ca="1">IF(B343&gt;=$J$5,0,(((CONTADORES!G355-CONTADORES!G354)+(CONTADORES!AP355-CONTADORES!AP354)+AR343)-(AV343+BC343)))</f>
        <v>0</v>
      </c>
      <c r="BC343" s="1438">
        <f ca="1">IF(B343&gt;=$J$5,0,(CONTADORES!AW355-CONTADORES!AW354)+(CONTADORES!AY355-CONTADORES!AY354)+(CONTADORES!BD355-CONTADORES!BD354))</f>
        <v>0</v>
      </c>
      <c r="BD343" s="1438">
        <f t="shared" ca="1" si="169"/>
        <v>0</v>
      </c>
      <c r="BE343" s="1439">
        <f ca="1">IF($B343&gt;=$J$5,0,CONTADORES!$BE355)</f>
        <v>0</v>
      </c>
      <c r="BF343" s="1438">
        <f ca="1">IF($B343&gt;=$J$5,0,CONTADORES!$BF355)</f>
        <v>0</v>
      </c>
      <c r="BG343" s="1438">
        <f ca="1">IF($B343&gt;=$J$5,0,CONTADORES!$BH355)</f>
        <v>0</v>
      </c>
      <c r="BH343" s="1438">
        <f ca="1">IF(B343&gt;=$J$5,0,(CONTADORES!AQ355-CONTADORES!AQ354))</f>
        <v>0</v>
      </c>
      <c r="BI343" s="1438">
        <f ca="1">IF(B343&gt;=$J$5,0,(CONTADORES!AR355-CONTADORES!AR354))</f>
        <v>0</v>
      </c>
      <c r="BJ343" s="1438">
        <f ca="1">IF(B343&gt;=$J$5,0,CONTADORES!BI355-CONTADORES!BI354)/1000</f>
        <v>0</v>
      </c>
      <c r="BK343" s="1439">
        <f ca="1">IF(B343&gt;=$J$5,0,CONTADORES!BJ355-CONTADORES!BJ354)</f>
        <v>0</v>
      </c>
      <c r="BL343" s="1438">
        <f ca="1">IF(B343&gt;=$J$5,0,CONTADORES!BK355-CONTADORES!BK354)</f>
        <v>0</v>
      </c>
      <c r="BM343" s="1438">
        <f ca="1">IF(B343&gt;=$J$5,0,CONTADORES!BL355-CONTADORES!BL354)/1000</f>
        <v>0</v>
      </c>
      <c r="BN343" s="1438">
        <f ca="1">IF(B343&gt;=$J$5,0,CONTADORES!BM355-CONTADORES!BM354)/1000</f>
        <v>0</v>
      </c>
      <c r="BO343" s="1438">
        <f ca="1">IF(B343&gt;=$J$5,0,CONTADORES!BN355-CONTADORES!BN354)</f>
        <v>0</v>
      </c>
      <c r="BP343" s="1438">
        <f ca="1">IF(B343&gt;=$J$5,0,CONTADORES!BO355-CONTADORES!BO354)/1000</f>
        <v>0</v>
      </c>
      <c r="BQ343" s="1438">
        <f ca="1">IF(B343&gt;=$J$5,0,CONTADORES!BP355-CONTADORES!BP354)/1000</f>
        <v>0</v>
      </c>
      <c r="BR343" s="1438">
        <f ca="1">IF(B343&gt;=$J$5,0,CONTADORES!BQ355-CONTADORES!BQ354)</f>
        <v>0</v>
      </c>
      <c r="BS343" s="1438">
        <f ca="1">IF(B343&gt;=$J$5,0,(CONTADORES!BT355-CONTADORES!BT354)+(CONTADORES!BV355-CONTADORES!BV354))/1000</f>
        <v>0</v>
      </c>
      <c r="BT343" s="1438">
        <f ca="1">IF(B343&gt;=$J$5,0,(CONTADORES!BU355-CONTADORES!BU354)+(CONTADORES!BW355-CONTADORES!BW354))/1000</f>
        <v>0</v>
      </c>
      <c r="BU343" s="1438">
        <f ca="1">IF(B343&gt;=$J$5,0,CONTADORES!BR355-CONTADORES!BR354)</f>
        <v>0</v>
      </c>
      <c r="BV343" s="1438">
        <f ca="1">IF(B343&gt;=$J$5,0,CONTADORES!BS355-CONTADORES!BS354)</f>
        <v>0</v>
      </c>
      <c r="BW343" s="1438">
        <f t="shared" ca="1" si="170"/>
        <v>0</v>
      </c>
      <c r="BX343" s="1438">
        <f t="shared" ca="1" si="171"/>
        <v>0</v>
      </c>
      <c r="BY343" s="1438">
        <f t="shared" ca="1" si="172"/>
        <v>0</v>
      </c>
      <c r="BZ343" s="1438">
        <f t="shared" ca="1" si="173"/>
        <v>0</v>
      </c>
      <c r="CA343" s="1438">
        <f t="shared" ca="1" si="174"/>
        <v>0</v>
      </c>
      <c r="CB343" s="1438">
        <f t="shared" ca="1" si="175"/>
        <v>0</v>
      </c>
      <c r="CC343" s="1438">
        <f t="shared" ca="1" si="176"/>
        <v>0</v>
      </c>
      <c r="CD343" s="1438">
        <f t="shared" ca="1" si="177"/>
        <v>0</v>
      </c>
      <c r="CE343" s="1450">
        <f ca="1">IF(B343&gt;=$J$5,0,CONTADORES!BS355-CONTADORES!BS354)</f>
        <v>0</v>
      </c>
      <c r="CF343" s="1479">
        <f t="shared" ca="1" si="178"/>
        <v>0</v>
      </c>
      <c r="CG343" s="1479">
        <f t="shared" ca="1" si="179"/>
        <v>0</v>
      </c>
      <c r="CH343" s="1479">
        <f t="shared" ca="1" si="180"/>
        <v>0</v>
      </c>
      <c r="CI343" s="1479">
        <f t="shared" ca="1" si="181"/>
        <v>0</v>
      </c>
      <c r="CJ343" s="1480">
        <f ca="1">IF($B343&gt;=$J$5,0,CONTADORES!$BG355)</f>
        <v>0</v>
      </c>
      <c r="CK343" s="1384">
        <f>CONTADORES!E355</f>
        <v>0</v>
      </c>
      <c r="CL343" s="1384">
        <f>CONTADORES!BX355</f>
        <v>0</v>
      </c>
    </row>
    <row r="344" spans="2:90" ht="15" thickBot="1">
      <c r="B344" s="1069">
        <v>45260</v>
      </c>
      <c r="C344" s="206">
        <f t="shared" ca="1" si="156"/>
        <v>0</v>
      </c>
      <c r="D344" s="203">
        <f ca="1">'CALCULO DE GAS'!P169</f>
        <v>0</v>
      </c>
      <c r="E344" s="203">
        <f ca="1">IF(B344&gt;=$J$5,0,(CONTADORES!$AB356-CONTADORES!$AB355)-$H344)</f>
        <v>0</v>
      </c>
      <c r="F344" s="206">
        <f t="shared" ca="1" si="154"/>
        <v>0</v>
      </c>
      <c r="G344" s="203">
        <f ca="1">IF(B344&gt;=$J$5,0,CONTADORES!$AD356-CONTADORES!$AD355)</f>
        <v>0</v>
      </c>
      <c r="H344" s="203">
        <f ca="1">IF(G344&gt;0,CONTADORES!$AC356-CONTADORES!$AC355,0)</f>
        <v>0</v>
      </c>
      <c r="I344" s="207">
        <f ca="1">IF(B344&gt;=$J$5,0,CONTADORES!$Z356-CONTADORES!$Z355)</f>
        <v>0</v>
      </c>
      <c r="J344" s="206">
        <f t="shared" ca="1" si="157"/>
        <v>0</v>
      </c>
      <c r="K344" s="203">
        <f ca="1">'CALCULO DE GAS'!Q169</f>
        <v>0</v>
      </c>
      <c r="L344" s="1465">
        <f ca="1">IF(B344&gt;=$J$5,0,(CONTADORES!$W356-CONTADORES!$W355)-$O344)</f>
        <v>0</v>
      </c>
      <c r="M344" s="1465">
        <f t="shared" ca="1" si="158"/>
        <v>0</v>
      </c>
      <c r="N344" s="1465">
        <f ca="1">IF(B344&gt;=$J$5,0,CONTADORES!$Y356-CONTADORES!$Y355)</f>
        <v>0</v>
      </c>
      <c r="O344" s="1465">
        <f ca="1">IF(N344&gt;0,CONTADORES!$X356-CONTADORES!$X355,0)</f>
        <v>0</v>
      </c>
      <c r="P344" s="209">
        <f ca="1">IF(B344&gt;=$J$5,0,CONTADORES!$U356-CONTADORES!$U355)</f>
        <v>0</v>
      </c>
      <c r="Q344" s="209">
        <f ca="1">IF(B344&gt;=$J$5,0,CONTADORES!$B356-CONTADORES!$B355)</f>
        <v>0</v>
      </c>
      <c r="R344" s="203">
        <f t="shared" ca="1" si="159"/>
        <v>0</v>
      </c>
      <c r="S344" s="65">
        <f ca="1">IF(B344&gt;=$J$5,0,CONTADORES!$D356-CONTADORES!$D355)</f>
        <v>0</v>
      </c>
      <c r="T344" s="206">
        <f ca="1">IF(B344&gt;=$J$5,0,CONTADORES!$AZ356-CONTADORES!$AZ355)</f>
        <v>0</v>
      </c>
      <c r="U344" s="203">
        <f t="shared" ca="1" si="152"/>
        <v>0</v>
      </c>
      <c r="V344" s="65">
        <f ca="1">IF(B344&gt;=$J$5,0,CONTADORES!$BB356-CONTADORES!$BB355)</f>
        <v>0</v>
      </c>
      <c r="W344" s="1466">
        <f t="shared" ca="1" si="160"/>
        <v>0</v>
      </c>
      <c r="X344" s="1466">
        <f t="shared" ca="1" si="161"/>
        <v>0</v>
      </c>
      <c r="Y344" s="1467">
        <f t="shared" ca="1" si="162"/>
        <v>0</v>
      </c>
      <c r="Z344" s="1467">
        <f t="shared" ca="1" si="163"/>
        <v>0</v>
      </c>
      <c r="AA344" s="1467">
        <f t="shared" ca="1" si="164"/>
        <v>0</v>
      </c>
      <c r="AB344" s="1467">
        <f t="shared" ca="1" si="165"/>
        <v>0</v>
      </c>
      <c r="AC344" s="1467">
        <f t="shared" ca="1" si="166"/>
        <v>0</v>
      </c>
      <c r="AD344" s="1509">
        <f ca="1">IF(B344&gt;=$J$5,0,CONTADORES!H356-CONTADORES!H355)</f>
        <v>0</v>
      </c>
      <c r="AE344" s="1466">
        <f ca="1">IF(B344&gt;=$J$5,0,CONTADORES!J356-CONTADORES!J355)</f>
        <v>0</v>
      </c>
      <c r="AF344" s="1466">
        <f ca="1">IF(B344&gt;=$J$5,0,CONTADORES!AS356-CONTADORES!AS355)</f>
        <v>0</v>
      </c>
      <c r="AG344" s="1466">
        <f ca="1">IF(B344&gt;=$J$5,0,CONTADORES!AU356-CONTADORES!AU355)</f>
        <v>0</v>
      </c>
      <c r="AH344" s="1467">
        <f ca="1">IF(B344&gt;=$J$5,0,(CONTADORES!AK356-CONTADORES!AK355)+(CONTADORES!K356-CONTADORES!K355))</f>
        <v>0</v>
      </c>
      <c r="AI344" s="1466">
        <f ca="1">IF(B344&gt;=$J$5,0,(CONTADORES!AI356-CONTADORES!AI355)+(CONTADORES!M356-CONTADORES!M355))</f>
        <v>0</v>
      </c>
      <c r="AJ344" s="1466">
        <f ca="1">IF(B344&gt;=$J$5,0,(CONTADORES!AG356-CONTADORES!AG355))</f>
        <v>0</v>
      </c>
      <c r="AK344" s="1466">
        <f ca="1">IF(B344&gt;=$J$5,0,(CONTADORES!O356-CONTADORES!O355))</f>
        <v>0</v>
      </c>
      <c r="AL344" s="1467">
        <f t="shared" ca="1" si="167"/>
        <v>0</v>
      </c>
      <c r="AM344" s="1467">
        <f ca="1">IF(B344&gt;=$J$5,0,(((CONTADORES!F356-CONTADORES!F355)+(CONTADORES!AO356-CONTADORES!AO355))))-BJ344-AF344-AN344-BM344-BP344-BU344-BS344+T344</f>
        <v>0</v>
      </c>
      <c r="AN344" s="1466">
        <f ca="1">IF(B344&gt;=$J$5,0,(CONTADORES!AV356-CONTADORES!AV355)+(CONTADORES!AX356-CONTADORES!AX355)+(CONTADORES!BC356-CONTADORES!BC355))-BS344</f>
        <v>0</v>
      </c>
      <c r="AO344" s="62">
        <f ca="1">IF(B344&gt;=$J$5,0,(CONTADORES!AA356-CONTADORES!AA355))</f>
        <v>0</v>
      </c>
      <c r="AP344" s="62">
        <f ca="1">IF(B344&gt;=$J$5,0,(CONTADORES!V356-CONTADORES!V355))</f>
        <v>0</v>
      </c>
      <c r="AQ344" s="1468">
        <f ca="1">IF(B344&gt;=$J$5,0,(CONTADORES!C356-CONTADORES!C355))</f>
        <v>0</v>
      </c>
      <c r="AR344" s="1468">
        <f ca="1">IF(B344&gt;=$J$5,0,(CONTADORES!BA356-CONTADORES!BA355))</f>
        <v>0</v>
      </c>
      <c r="AS344" s="1466">
        <f ca="1">IF(B344&gt;=$J$5,0,CONTADORES!Q356-CONTADORES!Q355)</f>
        <v>0</v>
      </c>
      <c r="AT344" s="1466">
        <f ca="1">IF(B344&gt;=$J$5,0,(CONTADORES!S356-CONTADORES!S355)+(CONTADORES!AE356-CONTADORES!AE355))</f>
        <v>0</v>
      </c>
      <c r="AU344" s="62">
        <f ca="1">IF(B344&gt;=$J$5,0,(CONTADORES!I356-CONTADORES!I355))</f>
        <v>0</v>
      </c>
      <c r="AV344" s="1468">
        <f ca="1">IF(B344&gt;=$J$5,0,(CONTADORES!AT356-CONTADORES!AT355))</f>
        <v>0</v>
      </c>
      <c r="AW344" s="62">
        <f ca="1">IF(B344&gt;=$J$5,0,(CONTADORES!L356-CONTADORES!L355)+(CONTADORES!AL356-CONTADORES!AL355))</f>
        <v>0</v>
      </c>
      <c r="AX344" s="1468">
        <f ca="1">IF(B344&gt;=$J$5,0,(CONTADORES!N356-CONTADORES!N355)+(CONTADORES!AJ356-CONTADORES!AJ355))</f>
        <v>0</v>
      </c>
      <c r="AY344" s="1468">
        <f ca="1">IF(B344&gt;=$J$5,0,(CONTADORES!AH356-CONTADORES!AH355))</f>
        <v>0</v>
      </c>
      <c r="AZ344" s="1468">
        <f ca="1">IF(B344&gt;=$J$5,0,(CONTADORES!P356-CONTADORES!P355))</f>
        <v>0</v>
      </c>
      <c r="BA344" s="1467">
        <f t="shared" ca="1" si="168"/>
        <v>0</v>
      </c>
      <c r="BB344" s="1440">
        <f ca="1">IF(B344&gt;=$J$5,0,(((CONTADORES!G356-CONTADORES!G355)+(CONTADORES!AP356-CONTADORES!AP355)+AR344)-(AV344+BC344)))</f>
        <v>0</v>
      </c>
      <c r="BC344" s="1466">
        <f ca="1">IF(B344&gt;=$J$5,0,(CONTADORES!AW356-CONTADORES!AW355)+(CONTADORES!AY356-CONTADORES!AY355)+(CONTADORES!BD356-CONTADORES!BD355))</f>
        <v>0</v>
      </c>
      <c r="BD344" s="1466">
        <f t="shared" ca="1" si="169"/>
        <v>0</v>
      </c>
      <c r="BE344" s="1467">
        <f ca="1">IF($B344&gt;=$J$5,0,CONTADORES!$BE356)</f>
        <v>0</v>
      </c>
      <c r="BF344" s="1466">
        <f ca="1">IF($B344&gt;=$J$5,0,CONTADORES!$BF356)</f>
        <v>0</v>
      </c>
      <c r="BG344" s="1466">
        <f ca="1">IF($B344&gt;=$J$5,0,CONTADORES!$BH356)</f>
        <v>0</v>
      </c>
      <c r="BH344" s="1466">
        <f ca="1">IF(B344&gt;=$J$5,0,(CONTADORES!AQ356-CONTADORES!AQ355))</f>
        <v>0</v>
      </c>
      <c r="BI344" s="1466">
        <f ca="1">IF(B344&gt;=$J$5,0,(CONTADORES!AR356-CONTADORES!AR355))</f>
        <v>0</v>
      </c>
      <c r="BJ344" s="1466">
        <f ca="1">IF(B344&gt;=$J$5,0,CONTADORES!BI356-CONTADORES!BI355)/1000</f>
        <v>0</v>
      </c>
      <c r="BK344" s="1467">
        <f ca="1">IF(B344&gt;=$J$5,0,CONTADORES!BJ356-CONTADORES!BJ355)</f>
        <v>0</v>
      </c>
      <c r="BL344" s="1466">
        <f ca="1">IF(B344&gt;=$J$5,0,CONTADORES!BK356-CONTADORES!BK355)</f>
        <v>0</v>
      </c>
      <c r="BM344" s="1466">
        <f ca="1">IF(B344&gt;=$J$5,0,CONTADORES!BL356-CONTADORES!BL355)/1000</f>
        <v>0</v>
      </c>
      <c r="BN344" s="1466">
        <f ca="1">IF(B344&gt;=$J$5,0,CONTADORES!BM356-CONTADORES!BM355)/1000</f>
        <v>0</v>
      </c>
      <c r="BO344" s="1466">
        <f ca="1">IF(B344&gt;=$J$5,0,CONTADORES!BN356-CONTADORES!BN355)</f>
        <v>0</v>
      </c>
      <c r="BP344" s="1466">
        <f ca="1">IF(B344&gt;=$J$5,0,CONTADORES!BO356-CONTADORES!BO355)/1000</f>
        <v>0</v>
      </c>
      <c r="BQ344" s="1466">
        <f ca="1">IF(B344&gt;=$J$5,0,CONTADORES!BP356-CONTADORES!BP355)/1000</f>
        <v>0</v>
      </c>
      <c r="BR344" s="1466">
        <f ca="1">IF(B344&gt;=$J$5,0,CONTADORES!BQ356-CONTADORES!BQ355)</f>
        <v>0</v>
      </c>
      <c r="BS344" s="1467">
        <f ca="1">IF(B344&gt;=$J$5,0,(CONTADORES!BT356-CONTADORES!BT355)+(CONTADORES!BV356-CONTADORES!BV355))/1000</f>
        <v>0</v>
      </c>
      <c r="BT344" s="1466">
        <f ca="1">IF(B344&gt;=$J$5,0,(CONTADORES!BU356-CONTADORES!BU355)+(CONTADORES!BW356-CONTADORES!BW355))/1000</f>
        <v>0</v>
      </c>
      <c r="BU344" s="1466">
        <f ca="1">IF(B344&gt;=$J$5,0,CONTADORES!BR356-CONTADORES!BR355)</f>
        <v>0</v>
      </c>
      <c r="BV344" s="1466">
        <f ca="1">IF(B344&gt;=$J$5,0,CONTADORES!BS356-CONTADORES!BS355)</f>
        <v>0</v>
      </c>
      <c r="BW344" s="1466">
        <f t="shared" ca="1" si="170"/>
        <v>0</v>
      </c>
      <c r="BX344" s="1467">
        <f t="shared" ca="1" si="171"/>
        <v>0</v>
      </c>
      <c r="BY344" s="1466">
        <f t="shared" ca="1" si="172"/>
        <v>0</v>
      </c>
      <c r="BZ344" s="1466">
        <f t="shared" ca="1" si="173"/>
        <v>0</v>
      </c>
      <c r="CA344" s="1466">
        <f t="shared" ca="1" si="174"/>
        <v>0</v>
      </c>
      <c r="CB344" s="1466">
        <f t="shared" ca="1" si="175"/>
        <v>0</v>
      </c>
      <c r="CC344" s="1466">
        <f t="shared" ca="1" si="176"/>
        <v>0</v>
      </c>
      <c r="CD344" s="1466">
        <f t="shared" ca="1" si="177"/>
        <v>0</v>
      </c>
      <c r="CE344" s="1497">
        <f ca="1">IF(B344&gt;=$J$5,0,CONTADORES!BS356-CONTADORES!BS355)</f>
        <v>0</v>
      </c>
      <c r="CF344" s="1466">
        <f t="shared" ca="1" si="178"/>
        <v>0</v>
      </c>
      <c r="CG344" s="1466">
        <f t="shared" ca="1" si="179"/>
        <v>0</v>
      </c>
      <c r="CH344" s="1466">
        <f t="shared" ca="1" si="180"/>
        <v>0</v>
      </c>
      <c r="CI344" s="1466">
        <f t="shared" ca="1" si="181"/>
        <v>0</v>
      </c>
      <c r="CJ344" s="1549">
        <f ca="1">IF($B344&gt;=$J$5,0,CONTADORES!$BG356)</f>
        <v>0</v>
      </c>
      <c r="CK344" s="1472">
        <f>CONTADORES!E356</f>
        <v>0</v>
      </c>
      <c r="CL344" s="1472">
        <f>CONTADORES!BX356</f>
        <v>0</v>
      </c>
    </row>
    <row r="345" spans="2:90">
      <c r="B345" s="410">
        <v>45261</v>
      </c>
      <c r="C345" s="204">
        <f t="shared" ca="1" si="156"/>
        <v>0</v>
      </c>
      <c r="D345" s="202">
        <f ca="1">'CALCULO DE GAS'!P174</f>
        <v>0</v>
      </c>
      <c r="E345" s="202">
        <f ca="1">IF(B345&gt;=$J$5,0,(CONTADORES!$AB359-CONTADORES!$AB358)-$H345)</f>
        <v>0</v>
      </c>
      <c r="F345" s="204">
        <f t="shared" ref="F345:F375" ca="1" si="182">IF(H345=0,0,"DIGITAR MANUALMENTE")</f>
        <v>0</v>
      </c>
      <c r="G345" s="202">
        <f ca="1">IF(B345&gt;=$J$5,0,CONTADORES!$AD359-CONTADORES!$AD358)</f>
        <v>0</v>
      </c>
      <c r="H345" s="202">
        <f ca="1">IF(G345&gt;0,CONTADORES!$AC359-CONTADORES!$AC358,0)</f>
        <v>0</v>
      </c>
      <c r="I345" s="205">
        <f ca="1">IF(B345&gt;=$J$5,0,CONTADORES!$Z359-CONTADORES!$Z358)</f>
        <v>0</v>
      </c>
      <c r="J345" s="204">
        <f t="shared" ca="1" si="157"/>
        <v>0</v>
      </c>
      <c r="K345" s="202">
        <f ca="1">'CALCULO DE GAS'!Q174</f>
        <v>0</v>
      </c>
      <c r="L345" s="1454">
        <f ca="1">IF(B345&gt;=$J$5,0,(CONTADORES!$W359-CONTADORES!$W358)-$O345)</f>
        <v>0</v>
      </c>
      <c r="M345" s="1437">
        <f t="shared" ref="M345:M369" ca="1" si="183">IF(O345=0,0,"DIGITAR MANUALMENTE")</f>
        <v>0</v>
      </c>
      <c r="N345" s="1437">
        <f ca="1">IF(B345&gt;=$J$5,0,CONTADORES!$Y359-CONTADORES!$Y358)</f>
        <v>0</v>
      </c>
      <c r="O345" s="1437">
        <f ca="1">IF(N345&gt;0,CONTADORES!$X359-CONTADORES!$X358,0)</f>
        <v>0</v>
      </c>
      <c r="P345" s="208">
        <f ca="1">IF(B345&gt;=$J$5,0,CONTADORES!$U359-CONTADORES!$U358)</f>
        <v>0</v>
      </c>
      <c r="Q345" s="208">
        <f ca="1">IF(B345&gt;=$J$5,0,CONTADORES!$B359-CONTADORES!$B358)</f>
        <v>0</v>
      </c>
      <c r="R345" s="202">
        <f t="shared" ca="1" si="159"/>
        <v>0</v>
      </c>
      <c r="S345" s="11">
        <f ca="1">IF(B345&gt;=$J$5,0,CONTADORES!$D359-CONTADORES!$D358)</f>
        <v>0</v>
      </c>
      <c r="T345" s="204">
        <f ca="1">IF(B345&gt;=$J$5,0,CONTADORES!$AZ359-CONTADORES!$AZ358)</f>
        <v>0</v>
      </c>
      <c r="U345" s="202">
        <f t="shared" ca="1" si="152"/>
        <v>0</v>
      </c>
      <c r="V345" s="11">
        <f ca="1">IF(B345&gt;=$J$5,0,CONTADORES!$BB359-CONTADORES!$BB358)</f>
        <v>0</v>
      </c>
      <c r="W345" s="1438">
        <f t="shared" ca="1" si="160"/>
        <v>0</v>
      </c>
      <c r="X345" s="1438">
        <f t="shared" ca="1" si="161"/>
        <v>0</v>
      </c>
      <c r="Y345" s="1439">
        <f t="shared" ca="1" si="162"/>
        <v>0</v>
      </c>
      <c r="Z345" s="1439">
        <f t="shared" ca="1" si="163"/>
        <v>0</v>
      </c>
      <c r="AA345" s="1439">
        <f t="shared" ca="1" si="164"/>
        <v>0</v>
      </c>
      <c r="AB345" s="1439">
        <f t="shared" ca="1" si="165"/>
        <v>0</v>
      </c>
      <c r="AC345" s="1438">
        <f t="shared" ca="1" si="166"/>
        <v>0</v>
      </c>
      <c r="AD345" s="1438">
        <f ca="1">IF(B345&gt;=$J$5,0,CONTADORES!H359-CONTADORES!H358)</f>
        <v>0</v>
      </c>
      <c r="AE345" s="1438">
        <f ca="1">IF(B345&gt;=$J$5,0,CONTADORES!J359-CONTADORES!J358)</f>
        <v>0</v>
      </c>
      <c r="AF345" s="1438">
        <f ca="1">IF(B345&gt;=$J$5,0,CONTADORES!AS359-CONTADORES!AS358)</f>
        <v>0</v>
      </c>
      <c r="AG345" s="1438">
        <f ca="1">IF(B345&gt;=$J$5,0,CONTADORES!AU359-CONTADORES!AU358)</f>
        <v>0</v>
      </c>
      <c r="AH345" s="1439">
        <f ca="1">IF(B345&gt;=$J$5,0,(CONTADORES!AK359-CONTADORES!AK358)+(CONTADORES!K359-CONTADORES!K358))</f>
        <v>0</v>
      </c>
      <c r="AI345" s="1438">
        <f ca="1">IF(B345&gt;=$J$5,0,(CONTADORES!AI359-CONTADORES!AI358)+(CONTADORES!M359-CONTADORES!M358))</f>
        <v>0</v>
      </c>
      <c r="AJ345" s="1438">
        <f ca="1">IF(B345&gt;=$J$5,0,(CONTADORES!AG359-CONTADORES!AG358))</f>
        <v>0</v>
      </c>
      <c r="AK345" s="1438">
        <f ca="1">IF(B345&gt;=$J$5,0,(CONTADORES!O359-CONTADORES!O358))</f>
        <v>0</v>
      </c>
      <c r="AL345" s="1490">
        <f t="shared" ca="1" si="167"/>
        <v>0</v>
      </c>
      <c r="AM345" s="1438">
        <f ca="1">IF(B345&gt;=$J$5,0,(((CONTADORES!F359-CONTADORES!F358)+(CONTADORES!AO359-CONTADORES!AO358))))-BJ345-AF345-AN345-BM345-BP345-BU345-BS345+T345</f>
        <v>0</v>
      </c>
      <c r="AN345" s="1443">
        <f ca="1">IF(B345&gt;=$J$5,0,(CONTADORES!AV359-CONTADORES!AV358)+(CONTADORES!AX359-CONTADORES!AX358)+(CONTADORES!BC359-CONTADORES!BC358))-BS345</f>
        <v>0</v>
      </c>
      <c r="AO345" s="1440">
        <f ca="1">IF(B345&gt;=$J$5,0,(CONTADORES!AA359-CONTADORES!AA358))</f>
        <v>0</v>
      </c>
      <c r="AP345" s="1474">
        <f ca="1">IF(B345&gt;=$J$5,0,(CONTADORES!V359-CONTADORES!V358))</f>
        <v>0</v>
      </c>
      <c r="AQ345" s="1440">
        <f ca="1">IF(B345&gt;=$J$5,0,(CONTADORES!C359-CONTADORES!C358))</f>
        <v>0</v>
      </c>
      <c r="AR345" s="1440">
        <f ca="1">IF(B345&gt;=$J$5,0,(CONTADORES!BA359-CONTADORES!BA358))</f>
        <v>0</v>
      </c>
      <c r="AS345" s="1438">
        <f ca="1">IF(B345&gt;=$J$5,0,CONTADORES!Q359-CONTADORES!Q358)</f>
        <v>0</v>
      </c>
      <c r="AT345" s="1438">
        <f ca="1">IF(B345&gt;=$J$5,0,(CONTADORES!S359-CONTADORES!S358)+(CONTADORES!AE359-CONTADORES!AE358))</f>
        <v>0</v>
      </c>
      <c r="AU345" s="1474">
        <f ca="1">IF(B345&gt;=$J$5,0,(CONTADORES!I359-CONTADORES!I358))</f>
        <v>0</v>
      </c>
      <c r="AV345" s="1440">
        <f ca="1">IF(B345&gt;=$J$5,0,(CONTADORES!AT359-CONTADORES!AT358))</f>
        <v>0</v>
      </c>
      <c r="AW345" s="1440">
        <f ca="1">IF(B345&gt;=$J$5,0,(CONTADORES!L359-CONTADORES!L358)+(CONTADORES!AL359-CONTADORES!AL358))</f>
        <v>0</v>
      </c>
      <c r="AX345" s="1440">
        <f ca="1">IF(B345&gt;=$J$5,0,(CONTADORES!N359-CONTADORES!N358)+(CONTADORES!AJ359-CONTADORES!AJ358))</f>
        <v>0</v>
      </c>
      <c r="AY345" s="1440">
        <f ca="1">IF(B345&gt;=$J$5,0,(CONTADORES!AH359-CONTADORES!AH358))</f>
        <v>0</v>
      </c>
      <c r="AZ345" s="1440">
        <f ca="1">IF(B345&gt;=$J$5,0,(CONTADORES!P359-CONTADORES!P358))</f>
        <v>0</v>
      </c>
      <c r="BA345" s="1439">
        <f t="shared" ca="1" si="168"/>
        <v>0</v>
      </c>
      <c r="BB345" s="1440">
        <f ca="1">IF(B345&gt;=$J$5,0,(((CONTADORES!G359-CONTADORES!G358)+(CONTADORES!AP359-CONTADORES!AP358)+AR345)-(AV345+BC345)))</f>
        <v>0</v>
      </c>
      <c r="BC345" s="1438">
        <f ca="1">IF(B345&gt;=$J$5,0,(CONTADORES!AW359-CONTADORES!AW358)+(CONTADORES!AY359-CONTADORES!AY358)+(CONTADORES!BD359-CONTADORES!BD358))</f>
        <v>0</v>
      </c>
      <c r="BD345" s="1438">
        <f t="shared" ca="1" si="169"/>
        <v>0</v>
      </c>
      <c r="BE345" s="1439">
        <f ca="1">IF($B345&gt;=$J$5,0,CONTADORES!$BE359)</f>
        <v>0</v>
      </c>
      <c r="BF345" s="1438">
        <f ca="1">IF($B345&gt;=$J$5,0,CONTADORES!$BF359)</f>
        <v>0</v>
      </c>
      <c r="BG345" s="1438">
        <f ca="1">IF($B345&gt;=$J$5,0,CONTADORES!$BH359)</f>
        <v>0</v>
      </c>
      <c r="BH345" s="1438">
        <f ca="1">IF(B345&gt;=$J$5,0,(CONTADORES!AQ359-CONTADORES!AQ358))</f>
        <v>0</v>
      </c>
      <c r="BI345" s="1438">
        <f ca="1">IF(B345&gt;=$J$5,0,(CONTADORES!AR359-CONTADORES!AR358))</f>
        <v>0</v>
      </c>
      <c r="BJ345" s="1438">
        <f ca="1">IF(B345&gt;=$J$5,0,CONTADORES!BI359-CONTADORES!BI358)/1000</f>
        <v>0</v>
      </c>
      <c r="BK345" s="1438">
        <f ca="1">IF(B345&gt;=$J$5,0,CONTADORES!BJ359-CONTADORES!BJ358)</f>
        <v>0</v>
      </c>
      <c r="BL345" s="1438">
        <f ca="1">IF(B345&gt;=$J$5,0,CONTADORES!BK359-CONTADORES!BK358)</f>
        <v>0</v>
      </c>
      <c r="BM345" s="1438">
        <f ca="1">IF(B345&gt;=$J$5,0,CONTADORES!BL359-CONTADORES!BL358)/1000</f>
        <v>0</v>
      </c>
      <c r="BN345" s="1438">
        <f ca="1">IF(B345&gt;=$J$5,0,CONTADORES!BM359-CONTADORES!BM358)/1000</f>
        <v>0</v>
      </c>
      <c r="BO345" s="1438">
        <f ca="1">IF(B345&gt;=$J$5,0,CONTADORES!BN359-CONTADORES!BN358)</f>
        <v>0</v>
      </c>
      <c r="BP345" s="1438">
        <f ca="1">IF(B345&gt;=$J$5,0,CONTADORES!BO359-CONTADORES!BO358)/1000</f>
        <v>0</v>
      </c>
      <c r="BQ345" s="1438">
        <f ca="1">IF(B345&gt;=$J$5,0,CONTADORES!BP359-CONTADORES!BP358)/1000</f>
        <v>0</v>
      </c>
      <c r="BR345" s="1438">
        <f ca="1">IF(B345&gt;=$J$5,0,CONTADORES!BQ359-CONTADORES!BQ358)</f>
        <v>0</v>
      </c>
      <c r="BS345" s="1438">
        <f ca="1">IF(B345&gt;=$J$5,0,(CONTADORES!BT359-CONTADORES!BT358)+(CONTADORES!BV359-CONTADORES!BV358))/1000</f>
        <v>0</v>
      </c>
      <c r="BT345" s="1438">
        <f ca="1">IF(B345&gt;=$J$5,0,(CONTADORES!BU359-CONTADORES!BU358)+(CONTADORES!BW359-CONTADORES!BW358))/1000</f>
        <v>0</v>
      </c>
      <c r="BU345" s="1438">
        <f ca="1">IF(B345&gt;=$J$5,0,CONTADORES!BR359-CONTADORES!BR358)</f>
        <v>0</v>
      </c>
      <c r="BV345" s="1438">
        <f ca="1">IF(B345&gt;=$J$5,0,CONTADORES!BS359-CONTADORES!BS358)</f>
        <v>0</v>
      </c>
      <c r="BW345" s="1438">
        <f t="shared" ca="1" si="170"/>
        <v>0</v>
      </c>
      <c r="BX345" s="1438">
        <f t="shared" ca="1" si="171"/>
        <v>0</v>
      </c>
      <c r="BY345" s="1438">
        <f t="shared" ca="1" si="172"/>
        <v>0</v>
      </c>
      <c r="BZ345" s="1438">
        <f t="shared" ca="1" si="173"/>
        <v>0</v>
      </c>
      <c r="CA345" s="1438">
        <f t="shared" ca="1" si="174"/>
        <v>0</v>
      </c>
      <c r="CB345" s="1438">
        <f t="shared" ca="1" si="175"/>
        <v>0</v>
      </c>
      <c r="CC345" s="1438">
        <f t="shared" ca="1" si="176"/>
        <v>0</v>
      </c>
      <c r="CD345" s="1438">
        <f t="shared" ca="1" si="177"/>
        <v>0</v>
      </c>
      <c r="CE345" s="1438">
        <f ca="1">IF(B345&gt;=$J$5,0,CONTADORES!BS359-CONTADORES!BS358)</f>
        <v>0</v>
      </c>
      <c r="CF345" s="1438">
        <f t="shared" ca="1" si="178"/>
        <v>0</v>
      </c>
      <c r="CG345" s="1438">
        <f t="shared" ca="1" si="179"/>
        <v>0</v>
      </c>
      <c r="CH345" s="1438">
        <f t="shared" ca="1" si="180"/>
        <v>0</v>
      </c>
      <c r="CI345" s="1438">
        <f t="shared" ca="1" si="181"/>
        <v>0</v>
      </c>
      <c r="CJ345" s="1444">
        <f ca="1">IF($B345&gt;=$J$5,0,CONTADORES!$BG359)</f>
        <v>0</v>
      </c>
      <c r="CK345" s="1406">
        <f>CONTADORES!E359</f>
        <v>0</v>
      </c>
      <c r="CL345" s="1406">
        <f>CONTADORES!BX359</f>
        <v>0</v>
      </c>
    </row>
    <row r="346" spans="2:90">
      <c r="B346" s="410">
        <v>45262</v>
      </c>
      <c r="C346" s="204">
        <f t="shared" ca="1" si="156"/>
        <v>0</v>
      </c>
      <c r="D346" s="202">
        <f ca="1">'CALCULO DE GAS'!P175</f>
        <v>0</v>
      </c>
      <c r="E346" s="202">
        <f ca="1">IF(B346&gt;=$J$5,0,(CONTADORES!$AB360-CONTADORES!$AB359)-$H346)</f>
        <v>0</v>
      </c>
      <c r="F346" s="204">
        <f t="shared" ca="1" si="182"/>
        <v>0</v>
      </c>
      <c r="G346" s="202">
        <f ca="1">IF(B346&gt;=$J$5,0,CONTADORES!$AD360-CONTADORES!$AD359)</f>
        <v>0</v>
      </c>
      <c r="H346" s="202">
        <f ca="1">IF(G346&gt;0,CONTADORES!$AC360-CONTADORES!$AC359,0)</f>
        <v>0</v>
      </c>
      <c r="I346" s="205">
        <f ca="1">IF(B346&gt;=$J$5,0,CONTADORES!$Z360-CONTADORES!$Z359)</f>
        <v>0</v>
      </c>
      <c r="J346" s="204">
        <f t="shared" ca="1" si="157"/>
        <v>0</v>
      </c>
      <c r="K346" s="202">
        <f ca="1">'CALCULO DE GAS'!Q175</f>
        <v>0</v>
      </c>
      <c r="L346" s="1454">
        <f ca="1">IF(B346&gt;=$J$5,0,(CONTADORES!$W360-CONTADORES!$W359)-$O346)</f>
        <v>0</v>
      </c>
      <c r="M346" s="1437">
        <f t="shared" ca="1" si="183"/>
        <v>0</v>
      </c>
      <c r="N346" s="1437">
        <f ca="1">IF(B346&gt;=$J$5,0,CONTADORES!$Y360-CONTADORES!$Y359)</f>
        <v>0</v>
      </c>
      <c r="O346" s="1437">
        <f ca="1">IF(N346&gt;0,CONTADORES!$X360-CONTADORES!$X359,0)</f>
        <v>0</v>
      </c>
      <c r="P346" s="208">
        <f ca="1">IF(B346&gt;=$J$5,0,CONTADORES!$U360-CONTADORES!$U359)</f>
        <v>0</v>
      </c>
      <c r="Q346" s="208">
        <f ca="1">IF(B346&gt;=$J$5,0,CONTADORES!$B360-CONTADORES!$B359)</f>
        <v>0</v>
      </c>
      <c r="R346" s="202">
        <f t="shared" ca="1" si="159"/>
        <v>0</v>
      </c>
      <c r="S346" s="11">
        <f ca="1">IF(B346&gt;=$J$5,0,CONTADORES!$D360-CONTADORES!$D359)</f>
        <v>0</v>
      </c>
      <c r="T346" s="204">
        <f ca="1">IF(B346&gt;=$J$5,0,CONTADORES!$AZ360-CONTADORES!$AZ359)</f>
        <v>0</v>
      </c>
      <c r="U346" s="202">
        <f t="shared" ca="1" si="152"/>
        <v>0</v>
      </c>
      <c r="V346" s="11">
        <f ca="1">IF(B346&gt;=$J$5,0,CONTADORES!$BB360-CONTADORES!$BB359)</f>
        <v>0</v>
      </c>
      <c r="W346" s="1438">
        <f t="shared" ca="1" si="160"/>
        <v>0</v>
      </c>
      <c r="X346" s="1438">
        <f t="shared" ca="1" si="161"/>
        <v>0</v>
      </c>
      <c r="Y346" s="1439">
        <f t="shared" ca="1" si="162"/>
        <v>0</v>
      </c>
      <c r="Z346" s="1439">
        <f t="shared" ca="1" si="163"/>
        <v>0</v>
      </c>
      <c r="AA346" s="1439">
        <f t="shared" ca="1" si="164"/>
        <v>0</v>
      </c>
      <c r="AB346" s="1439">
        <f t="shared" ca="1" si="165"/>
        <v>0</v>
      </c>
      <c r="AC346" s="1438">
        <f t="shared" ca="1" si="166"/>
        <v>0</v>
      </c>
      <c r="AD346" s="1438">
        <f ca="1">IF(B346&gt;=$J$5,0,CONTADORES!H360-CONTADORES!H359)</f>
        <v>0</v>
      </c>
      <c r="AE346" s="1438">
        <f ca="1">IF(B346&gt;=$J$5,0,CONTADORES!J360-CONTADORES!J359)</f>
        <v>0</v>
      </c>
      <c r="AF346" s="1438">
        <f ca="1">IF(B346&gt;=$J$5,0,CONTADORES!AS360-CONTADORES!AS359)</f>
        <v>0</v>
      </c>
      <c r="AG346" s="1438">
        <f ca="1">IF(B346&gt;=$J$5,0,CONTADORES!AU360-CONTADORES!AU359)</f>
        <v>0</v>
      </c>
      <c r="AH346" s="1439">
        <f ca="1">IF(B346&gt;=$J$5,0,(CONTADORES!AK360-CONTADORES!AK359)+(CONTADORES!K360-CONTADORES!K359))</f>
        <v>0</v>
      </c>
      <c r="AI346" s="1438">
        <f ca="1">IF(B346&gt;=$J$5,0,(CONTADORES!AI360-CONTADORES!AI359)+(CONTADORES!M360-CONTADORES!M359))</f>
        <v>0</v>
      </c>
      <c r="AJ346" s="1438">
        <f ca="1">IF(B346&gt;=$J$5,0,(CONTADORES!AG360-CONTADORES!AG359))</f>
        <v>0</v>
      </c>
      <c r="AK346" s="1438">
        <f ca="1">IF(B346&gt;=$J$5,0,(CONTADORES!O360-CONTADORES!O359))</f>
        <v>0</v>
      </c>
      <c r="AL346" s="1500">
        <f t="shared" ca="1" si="167"/>
        <v>0</v>
      </c>
      <c r="AM346" s="1438">
        <f ca="1">IF(B346&gt;=$J$5,0,(((CONTADORES!F360-CONTADORES!F359)+(CONTADORES!AO360-CONTADORES!AO359))))-BJ346-AF346-AN346-BM346-BP346-BU346-BS346+T346</f>
        <v>0</v>
      </c>
      <c r="AN346" s="1443">
        <f ca="1">IF(B346&gt;=$J$5,0,(CONTADORES!AV360-CONTADORES!AV359)+(CONTADORES!AX360-CONTADORES!AX359)+(CONTADORES!BC360-CONTADORES!BC359))-BS346</f>
        <v>0</v>
      </c>
      <c r="AO346" s="1440">
        <f ca="1">IF(B346&gt;=$J$5,0,(CONTADORES!AA360-CONTADORES!AA359))</f>
        <v>0</v>
      </c>
      <c r="AP346" s="1474">
        <f ca="1">IF(B346&gt;=$J$5,0,(CONTADORES!V360-CONTADORES!V359))</f>
        <v>0</v>
      </c>
      <c r="AQ346" s="1445">
        <f ca="1">IF(B346&gt;=$J$5,0,(CONTADORES!C360-CONTADORES!C359))</f>
        <v>0</v>
      </c>
      <c r="AR346" s="1440">
        <f ca="1">IF(B346&gt;=$J$5,0,(CONTADORES!BA360-CONTADORES!BA359))</f>
        <v>0</v>
      </c>
      <c r="AS346" s="1438">
        <f ca="1">IF(B346&gt;=$J$5,0,CONTADORES!Q360-CONTADORES!Q359)</f>
        <v>0</v>
      </c>
      <c r="AT346" s="1438">
        <f ca="1">IF(B346&gt;=$J$5,0,(CONTADORES!S360-CONTADORES!S359)+(CONTADORES!AE360-CONTADORES!AE359))</f>
        <v>0</v>
      </c>
      <c r="AU346" s="1474">
        <f ca="1">IF(B346&gt;=$J$5,0,(CONTADORES!I360-CONTADORES!I359))</f>
        <v>0</v>
      </c>
      <c r="AV346" s="1440">
        <f ca="1">IF(B346&gt;=$J$5,0,(CONTADORES!AT360-CONTADORES!AT359))</f>
        <v>0</v>
      </c>
      <c r="AW346" s="1440">
        <f ca="1">IF(B346&gt;=$J$5,0,(CONTADORES!L360-CONTADORES!L359)+(CONTADORES!AL360-CONTADORES!AL359))</f>
        <v>0</v>
      </c>
      <c r="AX346" s="1440">
        <f ca="1">IF(B346&gt;=$J$5,0,(CONTADORES!N360-CONTADORES!N359)+(CONTADORES!AJ360-CONTADORES!AJ359))</f>
        <v>0</v>
      </c>
      <c r="AY346" s="1440">
        <f ca="1">IF(B346&gt;=$J$5,0,(CONTADORES!AH360-CONTADORES!AH359))</f>
        <v>0</v>
      </c>
      <c r="AZ346" s="1440">
        <f ca="1">IF(B346&gt;=$J$5,0,(CONTADORES!P360-CONTADORES!P359))</f>
        <v>0</v>
      </c>
      <c r="BA346" s="1450">
        <f t="shared" ca="1" si="168"/>
        <v>0</v>
      </c>
      <c r="BB346" s="1440">
        <f ca="1">IF(B346&gt;=$J$5,0,(((CONTADORES!G360-CONTADORES!G359)+(CONTADORES!AP360-CONTADORES!AP359)+AR346)-(AV346+BC346)))</f>
        <v>0</v>
      </c>
      <c r="BC346" s="1438">
        <f ca="1">IF(B346&gt;=$J$5,0,(CONTADORES!AW360-CONTADORES!AW359)+(CONTADORES!AY360-CONTADORES!AY359)+(CONTADORES!BD360-CONTADORES!BD359))</f>
        <v>0</v>
      </c>
      <c r="BD346" s="1438">
        <f t="shared" ca="1" si="169"/>
        <v>0</v>
      </c>
      <c r="BE346" s="1439">
        <f ca="1">IF($B346&gt;=$J$5,0,CONTADORES!$BE360)</f>
        <v>0</v>
      </c>
      <c r="BF346" s="1438">
        <f ca="1">IF($B346&gt;=$J$5,0,CONTADORES!$BF360)</f>
        <v>0</v>
      </c>
      <c r="BG346" s="1438">
        <f ca="1">IF($B346&gt;=$J$5,0,CONTADORES!$BH360)</f>
        <v>0</v>
      </c>
      <c r="BH346" s="1438">
        <f ca="1">IF(B346&gt;=$J$5,0,(CONTADORES!AQ360-CONTADORES!AQ359))</f>
        <v>0</v>
      </c>
      <c r="BI346" s="1438">
        <f ca="1">IF(B346&gt;=$J$5,0,(CONTADORES!AR360-CONTADORES!AR359))</f>
        <v>0</v>
      </c>
      <c r="BJ346" s="1438">
        <f ca="1">IF(B346&gt;=$J$5,0,CONTADORES!BI360-CONTADORES!BI359)/1000</f>
        <v>0</v>
      </c>
      <c r="BK346" s="1438">
        <f ca="1">IF(B346&gt;=$J$5,0,CONTADORES!BJ360-CONTADORES!BJ359)</f>
        <v>0</v>
      </c>
      <c r="BL346" s="1438">
        <f ca="1">IF(B346&gt;=$J$5,0,CONTADORES!BK360-CONTADORES!BK359)</f>
        <v>0</v>
      </c>
      <c r="BM346" s="1438">
        <f ca="1">IF(B346&gt;=$J$5,0,CONTADORES!BL360-CONTADORES!BL359)/1000</f>
        <v>0</v>
      </c>
      <c r="BN346" s="1438">
        <f ca="1">IF(B346&gt;=$J$5,0,CONTADORES!BM360-CONTADORES!BM359)/1000</f>
        <v>0</v>
      </c>
      <c r="BO346" s="1438">
        <f ca="1">IF(B346&gt;=$J$5,0,CONTADORES!BN360-CONTADORES!BN359)</f>
        <v>0</v>
      </c>
      <c r="BP346" s="1438">
        <f ca="1">IF(B346&gt;=$J$5,0,CONTADORES!BO360-CONTADORES!BO359)/1000</f>
        <v>0</v>
      </c>
      <c r="BQ346" s="1438">
        <f ca="1">IF(B346&gt;=$J$5,0,CONTADORES!BP360-CONTADORES!BP359)/1000</f>
        <v>0</v>
      </c>
      <c r="BR346" s="1438">
        <f ca="1">IF(B346&gt;=$J$5,0,CONTADORES!BQ360-CONTADORES!BQ359)</f>
        <v>0</v>
      </c>
      <c r="BS346" s="1438">
        <f ca="1">IF(B346&gt;=$J$5,0,(CONTADORES!BT360-CONTADORES!BT359)+(CONTADORES!BV360-CONTADORES!BV359))/1000</f>
        <v>0</v>
      </c>
      <c r="BT346" s="1438">
        <f ca="1">IF(B346&gt;=$J$5,0,(CONTADORES!BU360-CONTADORES!BU359)+(CONTADORES!BW360-CONTADORES!BW359))/1000</f>
        <v>0</v>
      </c>
      <c r="BU346" s="1438">
        <f ca="1">IF(B346&gt;=$J$5,0,CONTADORES!BR360-CONTADORES!BR359)</f>
        <v>0</v>
      </c>
      <c r="BV346" s="1438">
        <f ca="1">IF(B346&gt;=$J$5,0,CONTADORES!BS360-CONTADORES!BS359)</f>
        <v>0</v>
      </c>
      <c r="BW346" s="1438">
        <f t="shared" ca="1" si="170"/>
        <v>0</v>
      </c>
      <c r="BX346" s="1438">
        <f t="shared" ca="1" si="171"/>
        <v>0</v>
      </c>
      <c r="BY346" s="1438">
        <f t="shared" ca="1" si="172"/>
        <v>0</v>
      </c>
      <c r="BZ346" s="1438">
        <f t="shared" ca="1" si="173"/>
        <v>0</v>
      </c>
      <c r="CA346" s="1438">
        <f t="shared" ca="1" si="174"/>
        <v>0</v>
      </c>
      <c r="CB346" s="1438">
        <f t="shared" ca="1" si="175"/>
        <v>0</v>
      </c>
      <c r="CC346" s="1438">
        <f t="shared" ca="1" si="176"/>
        <v>0</v>
      </c>
      <c r="CD346" s="1438">
        <f t="shared" ca="1" si="177"/>
        <v>0</v>
      </c>
      <c r="CE346" s="1438">
        <f ca="1">IF(B346&gt;=$J$5,0,CONTADORES!BS360-CONTADORES!BS359)</f>
        <v>0</v>
      </c>
      <c r="CF346" s="1438">
        <f t="shared" ca="1" si="178"/>
        <v>0</v>
      </c>
      <c r="CG346" s="1438">
        <f t="shared" ca="1" si="179"/>
        <v>0</v>
      </c>
      <c r="CH346" s="1438">
        <f t="shared" ca="1" si="180"/>
        <v>0</v>
      </c>
      <c r="CI346" s="1438">
        <f t="shared" ca="1" si="181"/>
        <v>0</v>
      </c>
      <c r="CJ346" s="1444">
        <f ca="1">IF($B346&gt;=$J$5,0,CONTADORES!$BG360)</f>
        <v>0</v>
      </c>
      <c r="CK346" s="1406">
        <f>CONTADORES!E360</f>
        <v>0</v>
      </c>
      <c r="CL346" s="1406">
        <f>CONTADORES!BX360</f>
        <v>0</v>
      </c>
    </row>
    <row r="347" spans="2:90">
      <c r="B347" s="410">
        <v>45263</v>
      </c>
      <c r="C347" s="204">
        <f t="shared" ca="1" si="156"/>
        <v>0</v>
      </c>
      <c r="D347" s="202">
        <f ca="1">'CALCULO DE GAS'!P176</f>
        <v>0</v>
      </c>
      <c r="E347" s="202">
        <f ca="1">IF(B347&gt;=$J$5,0,(CONTADORES!$AB361-CONTADORES!$AB360)-$H347)</f>
        <v>0</v>
      </c>
      <c r="F347" s="204">
        <f t="shared" ca="1" si="182"/>
        <v>0</v>
      </c>
      <c r="G347" s="202">
        <f ca="1">IF(B347&gt;=$J$5,0,CONTADORES!$AD361-CONTADORES!$AD360)</f>
        <v>0</v>
      </c>
      <c r="H347" s="202">
        <f ca="1">IF(G347&gt;0,CONTADORES!$AC361-CONTADORES!$AC360,0)</f>
        <v>0</v>
      </c>
      <c r="I347" s="205">
        <f ca="1">IF(B347&gt;=$J$5,0,CONTADORES!$Z361-CONTADORES!$Z360)</f>
        <v>0</v>
      </c>
      <c r="J347" s="204">
        <f t="shared" ca="1" si="157"/>
        <v>0</v>
      </c>
      <c r="K347" s="202">
        <f ca="1">'CALCULO DE GAS'!Q176</f>
        <v>0</v>
      </c>
      <c r="L347" s="1454">
        <f ca="1">IF(B347&gt;=$J$5,0,(CONTADORES!$W361-CONTADORES!$W360)-$O347)</f>
        <v>0</v>
      </c>
      <c r="M347" s="1437">
        <f t="shared" ca="1" si="183"/>
        <v>0</v>
      </c>
      <c r="N347" s="1437">
        <f ca="1">IF(B347&gt;=$J$5,0,CONTADORES!$Y361-CONTADORES!$Y360)</f>
        <v>0</v>
      </c>
      <c r="O347" s="1437">
        <f ca="1">IF(N347&gt;0,CONTADORES!$X361-CONTADORES!$X360,0)</f>
        <v>0</v>
      </c>
      <c r="P347" s="208">
        <f ca="1">IF(B347&gt;=$J$5,0,CONTADORES!$U361-CONTADORES!$U360)</f>
        <v>0</v>
      </c>
      <c r="Q347" s="208">
        <f ca="1">IF(B347&gt;=$J$5,0,CONTADORES!$B361-CONTADORES!$B360)</f>
        <v>0</v>
      </c>
      <c r="R347" s="202">
        <f t="shared" ca="1" si="159"/>
        <v>0</v>
      </c>
      <c r="S347" s="11">
        <f ca="1">IF(B347&gt;=$J$5,0,CONTADORES!$D361-CONTADORES!$D360)</f>
        <v>0</v>
      </c>
      <c r="T347" s="204">
        <f ca="1">IF(B347&gt;=$J$5,0,CONTADORES!$AZ361-CONTADORES!$AZ360)</f>
        <v>0</v>
      </c>
      <c r="U347" s="202">
        <f t="shared" ca="1" si="152"/>
        <v>0</v>
      </c>
      <c r="V347" s="11">
        <f ca="1">IF(B347&gt;=$J$5,0,CONTADORES!$BB361-CONTADORES!$BB360)</f>
        <v>0</v>
      </c>
      <c r="W347" s="1438">
        <f t="shared" ca="1" si="160"/>
        <v>0</v>
      </c>
      <c r="X347" s="1438">
        <f t="shared" ca="1" si="161"/>
        <v>0</v>
      </c>
      <c r="Y347" s="1439">
        <f t="shared" ca="1" si="162"/>
        <v>0</v>
      </c>
      <c r="Z347" s="1439">
        <f t="shared" ca="1" si="163"/>
        <v>0</v>
      </c>
      <c r="AA347" s="1439">
        <f t="shared" ca="1" si="164"/>
        <v>0</v>
      </c>
      <c r="AB347" s="1439">
        <f t="shared" ca="1" si="165"/>
        <v>0</v>
      </c>
      <c r="AC347" s="1438">
        <f t="shared" ca="1" si="166"/>
        <v>0</v>
      </c>
      <c r="AD347" s="1438">
        <f ca="1">IF(B347&gt;=$J$5,0,CONTADORES!H361-CONTADORES!H360)</f>
        <v>0</v>
      </c>
      <c r="AE347" s="1438">
        <f ca="1">IF(B347&gt;=$J$5,0,CONTADORES!J361-CONTADORES!J360)</f>
        <v>0</v>
      </c>
      <c r="AF347" s="1438">
        <f ca="1">IF(B347&gt;=$J$5,0,CONTADORES!AS361-CONTADORES!AS360)</f>
        <v>0</v>
      </c>
      <c r="AG347" s="1438">
        <f ca="1">IF(B347&gt;=$J$5,0,CONTADORES!AU361-CONTADORES!AU360)</f>
        <v>0</v>
      </c>
      <c r="AH347" s="1439">
        <f ca="1">IF(B347&gt;=$J$5,0,(CONTADORES!AK361-CONTADORES!AK360)+(CONTADORES!K361-CONTADORES!K360))</f>
        <v>0</v>
      </c>
      <c r="AI347" s="1438">
        <f ca="1">IF(B347&gt;=$J$5,0,(CONTADORES!AI361-CONTADORES!AI360)+(CONTADORES!M361-CONTADORES!M360))</f>
        <v>0</v>
      </c>
      <c r="AJ347" s="1438">
        <f ca="1">IF(B347&gt;=$J$5,0,(CONTADORES!AG361-CONTADORES!AG360))</f>
        <v>0</v>
      </c>
      <c r="AK347" s="1438">
        <f ca="1">IF(B347&gt;=$J$5,0,(CONTADORES!O361-CONTADORES!O360))</f>
        <v>0</v>
      </c>
      <c r="AL347" s="1500">
        <f t="shared" ca="1" si="167"/>
        <v>0</v>
      </c>
      <c r="AM347" s="1438">
        <f ca="1">IF(B347&gt;=$J$5,0,(((CONTADORES!F361-CONTADORES!F360)+(CONTADORES!AO361-CONTADORES!AO360))))-BJ347-AF347-AN347-BM347-BP347-BU347-BS347+T347</f>
        <v>0</v>
      </c>
      <c r="AN347" s="1443">
        <f ca="1">IF(B347&gt;=$J$5,0,(CONTADORES!AV361-CONTADORES!AV360)+(CONTADORES!AX361-CONTADORES!AX360)+(CONTADORES!BC361-CONTADORES!BC360))-BS347</f>
        <v>0</v>
      </c>
      <c r="AO347" s="1440">
        <f ca="1">IF(B347&gt;=$J$5,0,(CONTADORES!AA361-CONTADORES!AA360))</f>
        <v>0</v>
      </c>
      <c r="AP347" s="1474">
        <f ca="1">IF(B347&gt;=$J$5,0,(CONTADORES!V361-CONTADORES!V360))</f>
        <v>0</v>
      </c>
      <c r="AQ347" s="1445">
        <f ca="1">IF(B347&gt;=$J$5,0,(CONTADORES!C361-CONTADORES!C360))</f>
        <v>0</v>
      </c>
      <c r="AR347" s="1440">
        <f ca="1">IF(B347&gt;=$J$5,0,(CONTADORES!BA361-CONTADORES!BA360))</f>
        <v>0</v>
      </c>
      <c r="AS347" s="1438">
        <f ca="1">IF(B347&gt;=$J$5,0,CONTADORES!Q361-CONTADORES!Q360)</f>
        <v>0</v>
      </c>
      <c r="AT347" s="1438">
        <f ca="1">IF(B347&gt;=$J$5,0,(CONTADORES!S361-CONTADORES!S360)+(CONTADORES!AE361-CONTADORES!AE360))</f>
        <v>0</v>
      </c>
      <c r="AU347" s="1474">
        <f ca="1">IF(B347&gt;=$J$5,0,(CONTADORES!I361-CONTADORES!I360))</f>
        <v>0</v>
      </c>
      <c r="AV347" s="1440">
        <f ca="1">IF(B347&gt;=$J$5,0,(CONTADORES!AT361-CONTADORES!AT360))</f>
        <v>0</v>
      </c>
      <c r="AW347" s="1440">
        <f ca="1">IF(B347&gt;=$J$5,0,(CONTADORES!L361-CONTADORES!L360)+(CONTADORES!AL361-CONTADORES!AL360))</f>
        <v>0</v>
      </c>
      <c r="AX347" s="1440">
        <f ca="1">IF(B347&gt;=$J$5,0,(CONTADORES!N361-CONTADORES!N360)+(CONTADORES!AJ361-CONTADORES!AJ360))</f>
        <v>0</v>
      </c>
      <c r="AY347" s="1440">
        <f ca="1">IF(B347&gt;=$J$5,0,(CONTADORES!AH361-CONTADORES!AH360))</f>
        <v>0</v>
      </c>
      <c r="AZ347" s="1440">
        <f ca="1">IF(B347&gt;=$J$5,0,(CONTADORES!P361-CONTADORES!P360))</f>
        <v>0</v>
      </c>
      <c r="BA347" s="1450">
        <f t="shared" ca="1" si="168"/>
        <v>0</v>
      </c>
      <c r="BB347" s="1440">
        <f ca="1">IF(B347&gt;=$J$5,0,(((CONTADORES!G361-CONTADORES!G360)+(CONTADORES!AP361-CONTADORES!AP360)+AR347)-(AV347+BC347)))</f>
        <v>0</v>
      </c>
      <c r="BC347" s="1438">
        <f ca="1">IF(B347&gt;=$J$5,0,(CONTADORES!AW361-CONTADORES!AW360)+(CONTADORES!AY361-CONTADORES!AY360)+(CONTADORES!BD361-CONTADORES!BD360))</f>
        <v>0</v>
      </c>
      <c r="BD347" s="1438">
        <f t="shared" ca="1" si="169"/>
        <v>0</v>
      </c>
      <c r="BE347" s="1439">
        <f ca="1">IF($B347&gt;=$J$5,0,CONTADORES!$BE361)</f>
        <v>0</v>
      </c>
      <c r="BF347" s="1438">
        <f ca="1">IF($B347&gt;=$J$5,0,CONTADORES!$BF361)</f>
        <v>0</v>
      </c>
      <c r="BG347" s="1438">
        <f ca="1">IF($B347&gt;=$J$5,0,CONTADORES!$BH361)</f>
        <v>0</v>
      </c>
      <c r="BH347" s="1438">
        <f ca="1">IF(B347&gt;=$J$5,0,(CONTADORES!AQ361-CONTADORES!AQ360))</f>
        <v>0</v>
      </c>
      <c r="BI347" s="1438">
        <f ca="1">IF(B347&gt;=$J$5,0,(CONTADORES!AR361-CONTADORES!AR360))</f>
        <v>0</v>
      </c>
      <c r="BJ347" s="1438">
        <f ca="1">IF(B347&gt;=$J$5,0,CONTADORES!BI361-CONTADORES!BI360)/1000</f>
        <v>0</v>
      </c>
      <c r="BK347" s="1438">
        <f ca="1">IF(B347&gt;=$J$5,0,CONTADORES!BJ361-CONTADORES!BJ360)</f>
        <v>0</v>
      </c>
      <c r="BL347" s="1438">
        <f ca="1">IF(B347&gt;=$J$5,0,CONTADORES!BK361-CONTADORES!BK360)</f>
        <v>0</v>
      </c>
      <c r="BM347" s="1438">
        <f ca="1">IF(B347&gt;=$J$5,0,CONTADORES!BL361-CONTADORES!BL360)/1000</f>
        <v>0</v>
      </c>
      <c r="BN347" s="1438">
        <f ca="1">IF(B347&gt;=$J$5,0,CONTADORES!BM361-CONTADORES!BM360)/1000</f>
        <v>0</v>
      </c>
      <c r="BO347" s="1438">
        <f ca="1">IF(B347&gt;=$J$5,0,CONTADORES!BN361-CONTADORES!BN360)</f>
        <v>0</v>
      </c>
      <c r="BP347" s="1438">
        <f ca="1">IF(B347&gt;=$J$5,0,CONTADORES!BO361-CONTADORES!BO360)/1000</f>
        <v>0</v>
      </c>
      <c r="BQ347" s="1438">
        <f ca="1">IF(B347&gt;=$J$5,0,CONTADORES!BP361-CONTADORES!BP360)/1000</f>
        <v>0</v>
      </c>
      <c r="BR347" s="1438">
        <f ca="1">IF(B347&gt;=$J$5,0,CONTADORES!BQ361-CONTADORES!BQ360)</f>
        <v>0</v>
      </c>
      <c r="BS347" s="1438">
        <f ca="1">IF(B347&gt;=$J$5,0,(CONTADORES!BT361-CONTADORES!BT360)+(CONTADORES!BV361-CONTADORES!BV360))/1000</f>
        <v>0</v>
      </c>
      <c r="BT347" s="1438">
        <f ca="1">IF(B347&gt;=$J$5,0,(CONTADORES!BU361-CONTADORES!BU360)+(CONTADORES!BW361-CONTADORES!BW360))/1000</f>
        <v>0</v>
      </c>
      <c r="BU347" s="1438">
        <f ca="1">IF(B347&gt;=$J$5,0,CONTADORES!BR361-CONTADORES!BR360)</f>
        <v>0</v>
      </c>
      <c r="BV347" s="1438">
        <f ca="1">IF(B347&gt;=$J$5,0,CONTADORES!BS361-CONTADORES!BS360)</f>
        <v>0</v>
      </c>
      <c r="BW347" s="1438">
        <f t="shared" ca="1" si="170"/>
        <v>0</v>
      </c>
      <c r="BX347" s="1438">
        <f t="shared" ca="1" si="171"/>
        <v>0</v>
      </c>
      <c r="BY347" s="1438">
        <f t="shared" ca="1" si="172"/>
        <v>0</v>
      </c>
      <c r="BZ347" s="1438">
        <f t="shared" ca="1" si="173"/>
        <v>0</v>
      </c>
      <c r="CA347" s="1438">
        <f t="shared" ca="1" si="174"/>
        <v>0</v>
      </c>
      <c r="CB347" s="1438">
        <f t="shared" ca="1" si="175"/>
        <v>0</v>
      </c>
      <c r="CC347" s="1438">
        <f t="shared" ca="1" si="176"/>
        <v>0</v>
      </c>
      <c r="CD347" s="1438">
        <f t="shared" ca="1" si="177"/>
        <v>0</v>
      </c>
      <c r="CE347" s="1438">
        <f ca="1">IF(B347&gt;=$J$5,0,CONTADORES!BS361-CONTADORES!BS360)</f>
        <v>0</v>
      </c>
      <c r="CF347" s="1438">
        <f t="shared" ca="1" si="178"/>
        <v>0</v>
      </c>
      <c r="CG347" s="1438">
        <f t="shared" ca="1" si="179"/>
        <v>0</v>
      </c>
      <c r="CH347" s="1438">
        <f t="shared" ca="1" si="180"/>
        <v>0</v>
      </c>
      <c r="CI347" s="1438">
        <f t="shared" ca="1" si="181"/>
        <v>0</v>
      </c>
      <c r="CJ347" s="1444">
        <f ca="1">IF($B347&gt;=$J$5,0,CONTADORES!$BG361)</f>
        <v>0</v>
      </c>
      <c r="CK347" s="1406">
        <f>CONTADORES!E361</f>
        <v>0</v>
      </c>
      <c r="CL347" s="1406">
        <f>CONTADORES!BX361</f>
        <v>0</v>
      </c>
    </row>
    <row r="348" spans="2:90">
      <c r="B348" s="410">
        <v>45264</v>
      </c>
      <c r="C348" s="204">
        <f t="shared" ca="1" si="156"/>
        <v>0</v>
      </c>
      <c r="D348" s="202">
        <f ca="1">'CALCULO DE GAS'!P177</f>
        <v>0</v>
      </c>
      <c r="E348" s="202">
        <f ca="1">IF(B348&gt;=$J$5,0,(CONTADORES!$AB362-CONTADORES!$AB361)-$H348)</f>
        <v>0</v>
      </c>
      <c r="F348" s="204">
        <f t="shared" ca="1" si="182"/>
        <v>0</v>
      </c>
      <c r="G348" s="202">
        <f ca="1">IF(B348&gt;=$J$5,0,CONTADORES!$AD362-CONTADORES!$AD361)</f>
        <v>0</v>
      </c>
      <c r="H348" s="202">
        <f ca="1">IF(G348&gt;0,CONTADORES!$AC362-CONTADORES!$AC361,0)</f>
        <v>0</v>
      </c>
      <c r="I348" s="205">
        <f ca="1">IF(B348&gt;=$J$5,0,CONTADORES!$Z362-CONTADORES!$Z361)</f>
        <v>0</v>
      </c>
      <c r="J348" s="204">
        <f t="shared" ca="1" si="157"/>
        <v>0</v>
      </c>
      <c r="K348" s="202">
        <f ca="1">'CALCULO DE GAS'!Q177</f>
        <v>0</v>
      </c>
      <c r="L348" s="1454">
        <f ca="1">IF(B348&gt;=$J$5,0,(CONTADORES!$W362-CONTADORES!$W361)-$O348)</f>
        <v>0</v>
      </c>
      <c r="M348" s="1437">
        <f t="shared" ca="1" si="183"/>
        <v>0</v>
      </c>
      <c r="N348" s="1437">
        <f ca="1">IF(B348&gt;=$J$5,0,CONTADORES!$Y362-CONTADORES!$Y361)</f>
        <v>0</v>
      </c>
      <c r="O348" s="1437">
        <f ca="1">IF(N348&gt;0,CONTADORES!$X362-CONTADORES!$X361,0)</f>
        <v>0</v>
      </c>
      <c r="P348" s="208">
        <f ca="1">IF(B348&gt;=$J$5,0,CONTADORES!$U362-CONTADORES!$U361)</f>
        <v>0</v>
      </c>
      <c r="Q348" s="208">
        <f ca="1">IF(B348&gt;=$J$5,0,CONTADORES!$B362-CONTADORES!$B361)</f>
        <v>0</v>
      </c>
      <c r="R348" s="202">
        <f t="shared" ca="1" si="159"/>
        <v>0</v>
      </c>
      <c r="S348" s="11">
        <f ca="1">IF(B348&gt;=$J$5,0,CONTADORES!$D362-CONTADORES!$D361)</f>
        <v>0</v>
      </c>
      <c r="T348" s="204">
        <f ca="1">IF(B348&gt;=$J$5,0,CONTADORES!$AZ362-CONTADORES!$AZ361)</f>
        <v>0</v>
      </c>
      <c r="U348" s="202">
        <f t="shared" ca="1" si="152"/>
        <v>0</v>
      </c>
      <c r="V348" s="11">
        <f ca="1">IF(B348&gt;=$J$5,0,CONTADORES!$BB362-CONTADORES!$BB361)</f>
        <v>0</v>
      </c>
      <c r="W348" s="1438">
        <f t="shared" ca="1" si="160"/>
        <v>0</v>
      </c>
      <c r="X348" s="1438">
        <f t="shared" ca="1" si="161"/>
        <v>0</v>
      </c>
      <c r="Y348" s="1439">
        <f t="shared" ca="1" si="162"/>
        <v>0</v>
      </c>
      <c r="Z348" s="1439">
        <f t="shared" ca="1" si="163"/>
        <v>0</v>
      </c>
      <c r="AA348" s="1439">
        <f t="shared" ca="1" si="164"/>
        <v>0</v>
      </c>
      <c r="AB348" s="1439">
        <f t="shared" ca="1" si="165"/>
        <v>0</v>
      </c>
      <c r="AC348" s="1438">
        <f t="shared" ca="1" si="166"/>
        <v>0</v>
      </c>
      <c r="AD348" s="1438">
        <f ca="1">IF(B348&gt;=$J$5,0,CONTADORES!H362-CONTADORES!H361)</f>
        <v>0</v>
      </c>
      <c r="AE348" s="1438">
        <f ca="1">IF(B348&gt;=$J$5,0,CONTADORES!J362-CONTADORES!J361)</f>
        <v>0</v>
      </c>
      <c r="AF348" s="1438">
        <f ca="1">IF(B348&gt;=$J$5,0,CONTADORES!AS362-CONTADORES!AS361)</f>
        <v>0</v>
      </c>
      <c r="AG348" s="1438">
        <f ca="1">IF(B348&gt;=$J$5,0,CONTADORES!AU362-CONTADORES!AU361)</f>
        <v>0</v>
      </c>
      <c r="AH348" s="1439">
        <f ca="1">IF(B348&gt;=$J$5,0,(CONTADORES!AK362-CONTADORES!AK361)+(CONTADORES!K362-CONTADORES!K361))</f>
        <v>0</v>
      </c>
      <c r="AI348" s="1438">
        <f ca="1">IF(B348&gt;=$J$5,0,(CONTADORES!AI362-CONTADORES!AI361)+(CONTADORES!M362-CONTADORES!M361))</f>
        <v>0</v>
      </c>
      <c r="AJ348" s="1438">
        <f ca="1">IF(B348&gt;=$J$5,0,(CONTADORES!AG362-CONTADORES!AG361))</f>
        <v>0</v>
      </c>
      <c r="AK348" s="1438">
        <f ca="1">IF(B348&gt;=$J$5,0,(CONTADORES!O362-CONTADORES!O361))</f>
        <v>0</v>
      </c>
      <c r="AL348" s="1500">
        <f t="shared" ca="1" si="167"/>
        <v>0</v>
      </c>
      <c r="AM348" s="1438">
        <f ca="1">IF(B348&gt;=$J$5,0,(((CONTADORES!F362-CONTADORES!F361)+(CONTADORES!AO362-CONTADORES!AO361))))-BJ348-AF348-AN348-BM348-BP348-BU348-BS348+T348</f>
        <v>0</v>
      </c>
      <c r="AN348" s="1443">
        <f ca="1">IF(B348&gt;=$J$5,0,(CONTADORES!AV362-CONTADORES!AV361)+(CONTADORES!AX362-CONTADORES!AX361)+(CONTADORES!BC362-CONTADORES!BC361))-BS348</f>
        <v>0</v>
      </c>
      <c r="AO348" s="1440">
        <f ca="1">IF(B348&gt;=$J$5,0,(CONTADORES!AA362-CONTADORES!AA361))</f>
        <v>0</v>
      </c>
      <c r="AP348" s="1474">
        <f ca="1">IF(B348&gt;=$J$5,0,(CONTADORES!V362-CONTADORES!V361))</f>
        <v>0</v>
      </c>
      <c r="AQ348" s="1445">
        <f ca="1">IF(B348&gt;=$J$5,0,(CONTADORES!C362-CONTADORES!C361))</f>
        <v>0</v>
      </c>
      <c r="AR348" s="1440">
        <f ca="1">IF(B348&gt;=$J$5,0,(CONTADORES!BA362-CONTADORES!BA361))</f>
        <v>0</v>
      </c>
      <c r="AS348" s="1438">
        <f ca="1">IF(B348&gt;=$J$5,0,CONTADORES!Q362-CONTADORES!Q361)</f>
        <v>0</v>
      </c>
      <c r="AT348" s="1438">
        <f ca="1">IF(B348&gt;=$J$5,0,(CONTADORES!S362-CONTADORES!S361)+(CONTADORES!AE362-CONTADORES!AE361))</f>
        <v>0</v>
      </c>
      <c r="AU348" s="1474">
        <f ca="1">IF(B348&gt;=$J$5,0,(CONTADORES!I362-CONTADORES!I361))</f>
        <v>0</v>
      </c>
      <c r="AV348" s="1440">
        <f ca="1">IF(B348&gt;=$J$5,0,(CONTADORES!AT362-CONTADORES!AT361))</f>
        <v>0</v>
      </c>
      <c r="AW348" s="1440">
        <f ca="1">IF(B348&gt;=$J$5,0,(CONTADORES!L362-CONTADORES!L361)+(CONTADORES!AL362-CONTADORES!AL361))</f>
        <v>0</v>
      </c>
      <c r="AX348" s="1440">
        <f ca="1">IF(B348&gt;=$J$5,0,(CONTADORES!N362-CONTADORES!N361)+(CONTADORES!AJ362-CONTADORES!AJ361))</f>
        <v>0</v>
      </c>
      <c r="AY348" s="1440">
        <f ca="1">IF(B348&gt;=$J$5,0,(CONTADORES!AH362-CONTADORES!AH361))</f>
        <v>0</v>
      </c>
      <c r="AZ348" s="1440">
        <f ca="1">IF(B348&gt;=$J$5,0,(CONTADORES!P362-CONTADORES!P361))</f>
        <v>0</v>
      </c>
      <c r="BA348" s="1450">
        <f t="shared" ca="1" si="168"/>
        <v>0</v>
      </c>
      <c r="BB348" s="1440">
        <f ca="1">IF(B348&gt;=$J$5,0,(((CONTADORES!G362-CONTADORES!G361)+(CONTADORES!AP362-CONTADORES!AP361)+AR348)-(AV348+BC348)))</f>
        <v>0</v>
      </c>
      <c r="BC348" s="1438">
        <f ca="1">IF(B348&gt;=$J$5,0,(CONTADORES!AW362-CONTADORES!AW361)+(CONTADORES!AY362-CONTADORES!AY361)+(CONTADORES!BD362-CONTADORES!BD361))</f>
        <v>0</v>
      </c>
      <c r="BD348" s="1438">
        <f t="shared" ca="1" si="169"/>
        <v>0</v>
      </c>
      <c r="BE348" s="1439">
        <f ca="1">IF($B348&gt;=$J$5,0,CONTADORES!$BE362)</f>
        <v>0</v>
      </c>
      <c r="BF348" s="1438">
        <f ca="1">IF($B348&gt;=$J$5,0,CONTADORES!$BF362)</f>
        <v>0</v>
      </c>
      <c r="BG348" s="1438">
        <f ca="1">IF($B348&gt;=$J$5,0,CONTADORES!$BH362)</f>
        <v>0</v>
      </c>
      <c r="BH348" s="1438">
        <f ca="1">IF(B348&gt;=$J$5,0,(CONTADORES!AQ362-CONTADORES!AQ361))</f>
        <v>0</v>
      </c>
      <c r="BI348" s="1438">
        <f ca="1">IF(B348&gt;=$J$5,0,(CONTADORES!AR362-CONTADORES!AR361))</f>
        <v>0</v>
      </c>
      <c r="BJ348" s="1438">
        <f ca="1">IF(B348&gt;=$J$5,0,CONTADORES!BI362-CONTADORES!BI361)/1000</f>
        <v>0</v>
      </c>
      <c r="BK348" s="1438">
        <f ca="1">IF(B348&gt;=$J$5,0,CONTADORES!BJ362-CONTADORES!BJ361)</f>
        <v>0</v>
      </c>
      <c r="BL348" s="1438">
        <f ca="1">IF(B348&gt;=$J$5,0,CONTADORES!BK362-CONTADORES!BK361)</f>
        <v>0</v>
      </c>
      <c r="BM348" s="1438">
        <f ca="1">IF(B348&gt;=$J$5,0,CONTADORES!BL362-CONTADORES!BL361)/1000</f>
        <v>0</v>
      </c>
      <c r="BN348" s="1438">
        <f ca="1">IF(B348&gt;=$J$5,0,CONTADORES!BM362-CONTADORES!BM361)/1000</f>
        <v>0</v>
      </c>
      <c r="BO348" s="1438">
        <f ca="1">IF(B348&gt;=$J$5,0,CONTADORES!BN362-CONTADORES!BN361)</f>
        <v>0</v>
      </c>
      <c r="BP348" s="1438">
        <f ca="1">IF(B348&gt;=$J$5,0,CONTADORES!BO362-CONTADORES!BO361)/1000</f>
        <v>0</v>
      </c>
      <c r="BQ348" s="1438">
        <f ca="1">IF(B348&gt;=$J$5,0,CONTADORES!BP362-CONTADORES!BP361)/1000</f>
        <v>0</v>
      </c>
      <c r="BR348" s="1438">
        <f ca="1">IF(B348&gt;=$J$5,0,CONTADORES!BQ362-CONTADORES!BQ361)</f>
        <v>0</v>
      </c>
      <c r="BS348" s="1438">
        <f ca="1">IF(B348&gt;=$J$5,0,(CONTADORES!BT362-CONTADORES!BT361)+(CONTADORES!BV362-CONTADORES!BV361))/1000</f>
        <v>0</v>
      </c>
      <c r="BT348" s="1438">
        <f ca="1">IF(B348&gt;=$J$5,0,(CONTADORES!BU362-CONTADORES!BU361)+(CONTADORES!BW362-CONTADORES!BW361))/1000</f>
        <v>0</v>
      </c>
      <c r="BU348" s="1438">
        <f ca="1">IF(B348&gt;=$J$5,0,CONTADORES!BR362-CONTADORES!BR361)</f>
        <v>0</v>
      </c>
      <c r="BV348" s="1438">
        <f ca="1">IF(B348&gt;=$J$5,0,CONTADORES!BS362-CONTADORES!BS361)</f>
        <v>0</v>
      </c>
      <c r="BW348" s="1438">
        <f t="shared" ca="1" si="170"/>
        <v>0</v>
      </c>
      <c r="BX348" s="1438">
        <f t="shared" ca="1" si="171"/>
        <v>0</v>
      </c>
      <c r="BY348" s="1438">
        <f t="shared" ca="1" si="172"/>
        <v>0</v>
      </c>
      <c r="BZ348" s="1438">
        <f t="shared" ca="1" si="173"/>
        <v>0</v>
      </c>
      <c r="CA348" s="1438">
        <f t="shared" ca="1" si="174"/>
        <v>0</v>
      </c>
      <c r="CB348" s="1438">
        <f t="shared" ca="1" si="175"/>
        <v>0</v>
      </c>
      <c r="CC348" s="1438">
        <f t="shared" ca="1" si="176"/>
        <v>0</v>
      </c>
      <c r="CD348" s="1438">
        <f t="shared" ca="1" si="177"/>
        <v>0</v>
      </c>
      <c r="CE348" s="1438">
        <f ca="1">IF(B348&gt;=$J$5,0,CONTADORES!BS362-CONTADORES!BS361)</f>
        <v>0</v>
      </c>
      <c r="CF348" s="1438">
        <f t="shared" ca="1" si="178"/>
        <v>0</v>
      </c>
      <c r="CG348" s="1438">
        <f t="shared" ca="1" si="179"/>
        <v>0</v>
      </c>
      <c r="CH348" s="1438">
        <f t="shared" ca="1" si="180"/>
        <v>0</v>
      </c>
      <c r="CI348" s="1438">
        <f t="shared" ca="1" si="181"/>
        <v>0</v>
      </c>
      <c r="CJ348" s="1444">
        <f ca="1">IF($B348&gt;=$J$5,0,CONTADORES!$BG362)</f>
        <v>0</v>
      </c>
      <c r="CK348" s="1406">
        <f>CONTADORES!E362</f>
        <v>0</v>
      </c>
      <c r="CL348" s="1406">
        <f>CONTADORES!BX362</f>
        <v>0</v>
      </c>
    </row>
    <row r="349" spans="2:90">
      <c r="B349" s="410">
        <v>45265</v>
      </c>
      <c r="C349" s="204">
        <f t="shared" ca="1" si="156"/>
        <v>0</v>
      </c>
      <c r="D349" s="202">
        <f ca="1">'CALCULO DE GAS'!P178</f>
        <v>0</v>
      </c>
      <c r="E349" s="202">
        <f ca="1">IF(B349&gt;=$J$5,0,(CONTADORES!$AB363-CONTADORES!$AB362)-$H349)</f>
        <v>0</v>
      </c>
      <c r="F349" s="204">
        <f t="shared" ca="1" si="182"/>
        <v>0</v>
      </c>
      <c r="G349" s="202">
        <f ca="1">IF(B349&gt;=$J$5,0,CONTADORES!$AD363-CONTADORES!$AD362)</f>
        <v>0</v>
      </c>
      <c r="H349" s="202">
        <f ca="1">IF(G349&gt;0,CONTADORES!$AC363-CONTADORES!$AC362,0)</f>
        <v>0</v>
      </c>
      <c r="I349" s="205">
        <f ca="1">IF(B349&gt;=$J$5,0,CONTADORES!$Z363-CONTADORES!$Z362)</f>
        <v>0</v>
      </c>
      <c r="J349" s="204">
        <f t="shared" ca="1" si="157"/>
        <v>0</v>
      </c>
      <c r="K349" s="202">
        <f ca="1">'CALCULO DE GAS'!Q178</f>
        <v>0</v>
      </c>
      <c r="L349" s="1454">
        <f ca="1">IF(B349&gt;=$J$5,0,(CONTADORES!$W363-CONTADORES!$W362)-$O349)</f>
        <v>0</v>
      </c>
      <c r="M349" s="1437">
        <f t="shared" ca="1" si="183"/>
        <v>0</v>
      </c>
      <c r="N349" s="1437">
        <f ca="1">IF(B349&gt;=$J$5,0,CONTADORES!$Y363-CONTADORES!$Y362)</f>
        <v>0</v>
      </c>
      <c r="O349" s="1437">
        <f ca="1">IF(N349&gt;0,CONTADORES!$X363-CONTADORES!$X362,0)</f>
        <v>0</v>
      </c>
      <c r="P349" s="208">
        <f ca="1">IF(B349&gt;=$J$5,0,CONTADORES!$U363-CONTADORES!$U362)</f>
        <v>0</v>
      </c>
      <c r="Q349" s="208">
        <f ca="1">IF(B349&gt;=$J$5,0,CONTADORES!$B363-CONTADORES!$B362)</f>
        <v>0</v>
      </c>
      <c r="R349" s="202">
        <f t="shared" ca="1" si="159"/>
        <v>0</v>
      </c>
      <c r="S349" s="11">
        <f ca="1">IF(B349&gt;=$J$5,0,CONTADORES!$D363-CONTADORES!$D362)</f>
        <v>0</v>
      </c>
      <c r="T349" s="204">
        <f ca="1">IF(B349&gt;=$J$5,0,CONTADORES!$AZ363-CONTADORES!$AZ362)</f>
        <v>0</v>
      </c>
      <c r="U349" s="202">
        <f t="shared" ca="1" si="152"/>
        <v>0</v>
      </c>
      <c r="V349" s="11">
        <f ca="1">IF(B349&gt;=$J$5,0,CONTADORES!$BB363-CONTADORES!$BB362)</f>
        <v>0</v>
      </c>
      <c r="W349" s="1438">
        <f t="shared" ca="1" si="160"/>
        <v>0</v>
      </c>
      <c r="X349" s="1438">
        <f t="shared" ca="1" si="161"/>
        <v>0</v>
      </c>
      <c r="Y349" s="1439">
        <f t="shared" ca="1" si="162"/>
        <v>0</v>
      </c>
      <c r="Z349" s="1439">
        <f t="shared" ca="1" si="163"/>
        <v>0</v>
      </c>
      <c r="AA349" s="1439">
        <f t="shared" ca="1" si="164"/>
        <v>0</v>
      </c>
      <c r="AB349" s="1439">
        <f t="shared" ca="1" si="165"/>
        <v>0</v>
      </c>
      <c r="AC349" s="1438">
        <f t="shared" ca="1" si="166"/>
        <v>0</v>
      </c>
      <c r="AD349" s="1438">
        <f ca="1">IF(B349&gt;=$J$5,0,CONTADORES!H363-CONTADORES!H362)</f>
        <v>0</v>
      </c>
      <c r="AE349" s="1438">
        <f ca="1">IF(B349&gt;=$J$5,0,CONTADORES!J363-CONTADORES!J362)</f>
        <v>0</v>
      </c>
      <c r="AF349" s="1438">
        <f ca="1">IF(B349&gt;=$J$5,0,CONTADORES!AS363-CONTADORES!AS362)</f>
        <v>0</v>
      </c>
      <c r="AG349" s="1438">
        <f ca="1">IF(B349&gt;=$J$5,0,CONTADORES!AU363-CONTADORES!AU362)</f>
        <v>0</v>
      </c>
      <c r="AH349" s="1439">
        <f ca="1">IF(B349&gt;=$J$5,0,(CONTADORES!AK363-CONTADORES!AK362)+(CONTADORES!K363-CONTADORES!K362))</f>
        <v>0</v>
      </c>
      <c r="AI349" s="1438">
        <f ca="1">IF(B349&gt;=$J$5,0,(CONTADORES!AI363-CONTADORES!AI362)+(CONTADORES!M363-CONTADORES!M362))</f>
        <v>0</v>
      </c>
      <c r="AJ349" s="1438">
        <f ca="1">IF(B349&gt;=$J$5,0,(CONTADORES!AG363-CONTADORES!AG362))</f>
        <v>0</v>
      </c>
      <c r="AK349" s="1438">
        <f ca="1">IF(B349&gt;=$J$5,0,(CONTADORES!O363-CONTADORES!O362))</f>
        <v>0</v>
      </c>
      <c r="AL349" s="1500">
        <f t="shared" ca="1" si="167"/>
        <v>0</v>
      </c>
      <c r="AM349" s="1438">
        <f ca="1">IF(B349&gt;=$J$5,0,(((CONTADORES!F363-CONTADORES!F362)+(CONTADORES!AO363-CONTADORES!AO362))))-BJ349-AF349-AN349-BM349-BP349-BU349-BS349+T349</f>
        <v>0</v>
      </c>
      <c r="AN349" s="1443">
        <f ca="1">IF(B349&gt;=$J$5,0,(CONTADORES!AV363-CONTADORES!AV362)+(CONTADORES!AX363-CONTADORES!AX362)+(CONTADORES!BC363-CONTADORES!BC362))-BS349</f>
        <v>0</v>
      </c>
      <c r="AO349" s="1440">
        <f ca="1">IF(B349&gt;=$J$5,0,(CONTADORES!AA363-CONTADORES!AA362))</f>
        <v>0</v>
      </c>
      <c r="AP349" s="1474">
        <f ca="1">IF(B349&gt;=$J$5,0,(CONTADORES!V363-CONTADORES!V362))</f>
        <v>0</v>
      </c>
      <c r="AQ349" s="1445">
        <f ca="1">IF(B349&gt;=$J$5,0,(CONTADORES!C363-CONTADORES!C362))</f>
        <v>0</v>
      </c>
      <c r="AR349" s="1440">
        <f ca="1">IF(B349&gt;=$J$5,0,(CONTADORES!BA363-CONTADORES!BA362))</f>
        <v>0</v>
      </c>
      <c r="AS349" s="1438">
        <f ca="1">IF(B349&gt;=$J$5,0,CONTADORES!Q363-CONTADORES!Q362)</f>
        <v>0</v>
      </c>
      <c r="AT349" s="1438">
        <f ca="1">IF(B349&gt;=$J$5,0,(CONTADORES!S363-CONTADORES!S362)+(CONTADORES!AE363-CONTADORES!AE362))</f>
        <v>0</v>
      </c>
      <c r="AU349" s="1474">
        <f ca="1">IF(B349&gt;=$J$5,0,(CONTADORES!I363-CONTADORES!I362))</f>
        <v>0</v>
      </c>
      <c r="AV349" s="1440">
        <f ca="1">IF(B349&gt;=$J$5,0,(CONTADORES!AT363-CONTADORES!AT362))</f>
        <v>0</v>
      </c>
      <c r="AW349" s="1440">
        <f ca="1">IF(B349&gt;=$J$5,0,(CONTADORES!L363-CONTADORES!L362)+(CONTADORES!AL363-CONTADORES!AL362))</f>
        <v>0</v>
      </c>
      <c r="AX349" s="1440">
        <f ca="1">IF(B349&gt;=$J$5,0,(CONTADORES!N363-CONTADORES!N362)+(CONTADORES!AJ363-CONTADORES!AJ362))</f>
        <v>0</v>
      </c>
      <c r="AY349" s="1440">
        <f ca="1">IF(B349&gt;=$J$5,0,(CONTADORES!AH363-CONTADORES!AH362))</f>
        <v>0</v>
      </c>
      <c r="AZ349" s="1440">
        <f ca="1">IF(B349&gt;=$J$5,0,(CONTADORES!P363-CONTADORES!P362))</f>
        <v>0</v>
      </c>
      <c r="BA349" s="1450">
        <f t="shared" ca="1" si="168"/>
        <v>0</v>
      </c>
      <c r="BB349" s="1440">
        <f ca="1">IF(B349&gt;=$J$5,0,(((CONTADORES!G363-CONTADORES!G362)+(CONTADORES!AP363-CONTADORES!AP362)+AR349)-(AV349+BC349)))</f>
        <v>0</v>
      </c>
      <c r="BC349" s="1438">
        <f ca="1">IF(B349&gt;=$J$5,0,(CONTADORES!AW363-CONTADORES!AW362)+(CONTADORES!AY363-CONTADORES!AY362)+(CONTADORES!BD363-CONTADORES!BD362))</f>
        <v>0</v>
      </c>
      <c r="BD349" s="1438">
        <f t="shared" ca="1" si="169"/>
        <v>0</v>
      </c>
      <c r="BE349" s="1439">
        <f ca="1">IF($B349&gt;=$J$5,0,CONTADORES!$BE363)</f>
        <v>0</v>
      </c>
      <c r="BF349" s="1438">
        <f ca="1">IF($B349&gt;=$J$5,0,CONTADORES!$BF363)</f>
        <v>0</v>
      </c>
      <c r="BG349" s="1438">
        <f ca="1">IF($B349&gt;=$J$5,0,CONTADORES!$BH363)</f>
        <v>0</v>
      </c>
      <c r="BH349" s="1438">
        <f ca="1">IF(B349&gt;=$J$5,0,(CONTADORES!AQ363-CONTADORES!AQ362))</f>
        <v>0</v>
      </c>
      <c r="BI349" s="1438">
        <f ca="1">IF(B349&gt;=$J$5,0,(CONTADORES!AR363-CONTADORES!AR362))</f>
        <v>0</v>
      </c>
      <c r="BJ349" s="1438">
        <f ca="1">IF(B349&gt;=$J$5,0,CONTADORES!BI363-CONTADORES!BI362)/1000</f>
        <v>0</v>
      </c>
      <c r="BK349" s="1438">
        <f ca="1">IF(B349&gt;=$J$5,0,CONTADORES!BJ363-CONTADORES!BJ362)</f>
        <v>0</v>
      </c>
      <c r="BL349" s="1438">
        <f ca="1">IF(B349&gt;=$J$5,0,CONTADORES!BK363-CONTADORES!BK362)</f>
        <v>0</v>
      </c>
      <c r="BM349" s="1438">
        <f ca="1">IF(B349&gt;=$J$5,0,CONTADORES!BL363-CONTADORES!BL362)/1000</f>
        <v>0</v>
      </c>
      <c r="BN349" s="1438">
        <f ca="1">IF(B349&gt;=$J$5,0,CONTADORES!BM363-CONTADORES!BM362)/1000</f>
        <v>0</v>
      </c>
      <c r="BO349" s="1438">
        <f ca="1">IF(B349&gt;=$J$5,0,CONTADORES!BN363-CONTADORES!BN362)</f>
        <v>0</v>
      </c>
      <c r="BP349" s="1438">
        <f ca="1">IF(B349&gt;=$J$5,0,CONTADORES!BO363-CONTADORES!BO362)/1000</f>
        <v>0</v>
      </c>
      <c r="BQ349" s="1438">
        <f ca="1">IF(B349&gt;=$J$5,0,CONTADORES!BP363-CONTADORES!BP362)/1000</f>
        <v>0</v>
      </c>
      <c r="BR349" s="1438">
        <f ca="1">IF(B349&gt;=$J$5,0,CONTADORES!BQ363-CONTADORES!BQ362)</f>
        <v>0</v>
      </c>
      <c r="BS349" s="1438">
        <f ca="1">IF(B349&gt;=$J$5,0,(CONTADORES!BT363-CONTADORES!BT362)+(CONTADORES!BV363-CONTADORES!BV362))/1000</f>
        <v>0</v>
      </c>
      <c r="BT349" s="1438">
        <f ca="1">IF(B349&gt;=$J$5,0,(CONTADORES!BU363-CONTADORES!BU362)+(CONTADORES!BW363-CONTADORES!BW362))/1000</f>
        <v>0</v>
      </c>
      <c r="BU349" s="1438">
        <f ca="1">IF(B349&gt;=$J$5,0,CONTADORES!BR363-CONTADORES!BR362)</f>
        <v>0</v>
      </c>
      <c r="BV349" s="1438">
        <f ca="1">IF(B349&gt;=$J$5,0,CONTADORES!BS363-CONTADORES!BS362)</f>
        <v>0</v>
      </c>
      <c r="BW349" s="1438">
        <f t="shared" ca="1" si="170"/>
        <v>0</v>
      </c>
      <c r="BX349" s="1438">
        <f t="shared" ca="1" si="171"/>
        <v>0</v>
      </c>
      <c r="BY349" s="1438">
        <f t="shared" ca="1" si="172"/>
        <v>0</v>
      </c>
      <c r="BZ349" s="1438">
        <f t="shared" ca="1" si="173"/>
        <v>0</v>
      </c>
      <c r="CA349" s="1438">
        <f t="shared" ca="1" si="174"/>
        <v>0</v>
      </c>
      <c r="CB349" s="1438">
        <f t="shared" ca="1" si="175"/>
        <v>0</v>
      </c>
      <c r="CC349" s="1438">
        <f t="shared" ca="1" si="176"/>
        <v>0</v>
      </c>
      <c r="CD349" s="1438">
        <f t="shared" ca="1" si="177"/>
        <v>0</v>
      </c>
      <c r="CE349" s="1438">
        <f ca="1">IF(B349&gt;=$J$5,0,CONTADORES!BS363-CONTADORES!BS362)</f>
        <v>0</v>
      </c>
      <c r="CF349" s="1438">
        <f t="shared" ca="1" si="178"/>
        <v>0</v>
      </c>
      <c r="CG349" s="1438">
        <f t="shared" ca="1" si="179"/>
        <v>0</v>
      </c>
      <c r="CH349" s="1438">
        <f t="shared" ca="1" si="180"/>
        <v>0</v>
      </c>
      <c r="CI349" s="1438">
        <f t="shared" ca="1" si="181"/>
        <v>0</v>
      </c>
      <c r="CJ349" s="1444">
        <f ca="1">IF($B349&gt;=$J$5,0,CONTADORES!$BG363)</f>
        <v>0</v>
      </c>
      <c r="CK349" s="1406">
        <f>CONTADORES!E363</f>
        <v>0</v>
      </c>
      <c r="CL349" s="1406">
        <f>CONTADORES!BX363</f>
        <v>0</v>
      </c>
    </row>
    <row r="350" spans="2:90">
      <c r="B350" s="410">
        <v>45266</v>
      </c>
      <c r="C350" s="204">
        <f t="shared" ca="1" si="156"/>
        <v>0</v>
      </c>
      <c r="D350" s="202">
        <f ca="1">'CALCULO DE GAS'!P179</f>
        <v>0</v>
      </c>
      <c r="E350" s="202">
        <f ca="1">IF(B350&gt;=$J$5,0,(CONTADORES!$AB364-CONTADORES!$AB363)-$H350)</f>
        <v>0</v>
      </c>
      <c r="F350" s="204">
        <f t="shared" ca="1" si="182"/>
        <v>0</v>
      </c>
      <c r="G350" s="202">
        <f ca="1">IF(B350&gt;=$J$5,0,CONTADORES!$AD364-CONTADORES!$AD363)</f>
        <v>0</v>
      </c>
      <c r="H350" s="202">
        <f ca="1">IF(G350&gt;0,CONTADORES!$AC364-CONTADORES!$AC363,0)</f>
        <v>0</v>
      </c>
      <c r="I350" s="205">
        <f ca="1">IF(B350&gt;=$J$5,0,CONTADORES!$Z364-CONTADORES!$Z363)</f>
        <v>0</v>
      </c>
      <c r="J350" s="204">
        <f t="shared" ca="1" si="157"/>
        <v>0</v>
      </c>
      <c r="K350" s="202">
        <f ca="1">'CALCULO DE GAS'!Q179</f>
        <v>0</v>
      </c>
      <c r="L350" s="1454">
        <f ca="1">IF(B350&gt;=$J$5,0,(CONTADORES!$W364-CONTADORES!$W363)-$O350)</f>
        <v>0</v>
      </c>
      <c r="M350" s="1437">
        <f t="shared" ca="1" si="183"/>
        <v>0</v>
      </c>
      <c r="N350" s="1437">
        <f ca="1">IF(B350&gt;=$J$5,0,CONTADORES!$Y364-CONTADORES!$Y363)</f>
        <v>0</v>
      </c>
      <c r="O350" s="1437">
        <f ca="1">IF(N350&gt;0,CONTADORES!$X364-CONTADORES!$X363,0)</f>
        <v>0</v>
      </c>
      <c r="P350" s="208">
        <f ca="1">IF(B350&gt;=$J$5,0,CONTADORES!$U364-CONTADORES!$U363)</f>
        <v>0</v>
      </c>
      <c r="Q350" s="208">
        <f ca="1">IF(B350&gt;=$J$5,0,CONTADORES!$B364-CONTADORES!$B363)</f>
        <v>0</v>
      </c>
      <c r="R350" s="202">
        <f t="shared" ca="1" si="159"/>
        <v>0</v>
      </c>
      <c r="S350" s="11">
        <f ca="1">IF(B350&gt;=$J$5,0,CONTADORES!$D364-CONTADORES!$D363)</f>
        <v>0</v>
      </c>
      <c r="T350" s="204">
        <f ca="1">IF(B350&gt;=$J$5,0,CONTADORES!$AZ364-CONTADORES!$AZ363)</f>
        <v>0</v>
      </c>
      <c r="U350" s="202">
        <f t="shared" ca="1" si="152"/>
        <v>0</v>
      </c>
      <c r="V350" s="11">
        <f ca="1">IF(B350&gt;=$J$5,0,CONTADORES!$BB364-CONTADORES!$BB363)</f>
        <v>0</v>
      </c>
      <c r="W350" s="1438">
        <f t="shared" ca="1" si="160"/>
        <v>0</v>
      </c>
      <c r="X350" s="1438">
        <f t="shared" ca="1" si="161"/>
        <v>0</v>
      </c>
      <c r="Y350" s="1439">
        <f t="shared" ca="1" si="162"/>
        <v>0</v>
      </c>
      <c r="Z350" s="1439">
        <f t="shared" ca="1" si="163"/>
        <v>0</v>
      </c>
      <c r="AA350" s="1439">
        <f t="shared" ca="1" si="164"/>
        <v>0</v>
      </c>
      <c r="AB350" s="1439">
        <f t="shared" ca="1" si="165"/>
        <v>0</v>
      </c>
      <c r="AC350" s="1438">
        <f t="shared" ca="1" si="166"/>
        <v>0</v>
      </c>
      <c r="AD350" s="1438">
        <f ca="1">IF(B350&gt;=$J$5,0,CONTADORES!H364-CONTADORES!H363)</f>
        <v>0</v>
      </c>
      <c r="AE350" s="1438">
        <f ca="1">IF(B350&gt;=$J$5,0,CONTADORES!J364-CONTADORES!J363)</f>
        <v>0</v>
      </c>
      <c r="AF350" s="1438">
        <f ca="1">IF(B350&gt;=$J$5,0,CONTADORES!AS364-CONTADORES!AS363)</f>
        <v>0</v>
      </c>
      <c r="AG350" s="1438">
        <f ca="1">IF(B350&gt;=$J$5,0,CONTADORES!AU364-CONTADORES!AU363)</f>
        <v>0</v>
      </c>
      <c r="AH350" s="1439">
        <f ca="1">IF(B350&gt;=$J$5,0,(CONTADORES!AK364-CONTADORES!AK363)+(CONTADORES!K364-CONTADORES!K363))</f>
        <v>0</v>
      </c>
      <c r="AI350" s="1438">
        <f ca="1">IF(B350&gt;=$J$5,0,(CONTADORES!AI364-CONTADORES!AI363)+(CONTADORES!M364-CONTADORES!M363))</f>
        <v>0</v>
      </c>
      <c r="AJ350" s="1438">
        <f ca="1">IF(B350&gt;=$J$5,0,(CONTADORES!AG364-CONTADORES!AG363))</f>
        <v>0</v>
      </c>
      <c r="AK350" s="1438">
        <f ca="1">IF(B350&gt;=$J$5,0,(CONTADORES!O364-CONTADORES!O363))</f>
        <v>0</v>
      </c>
      <c r="AL350" s="1500">
        <f t="shared" ca="1" si="167"/>
        <v>0</v>
      </c>
      <c r="AM350" s="1438">
        <f ca="1">IF(B350&gt;=$J$5,0,(((CONTADORES!F364-CONTADORES!F363)+(CONTADORES!AO364-CONTADORES!AO363))))-BJ350-AF350-AN350-BM350-BP350-BU350-BS350+T350</f>
        <v>0</v>
      </c>
      <c r="AN350" s="1443">
        <f ca="1">IF(B350&gt;=$J$5,0,(CONTADORES!AV364-CONTADORES!AV363)+(CONTADORES!AX364-CONTADORES!AX363)+(CONTADORES!BC364-CONTADORES!BC363))-BS350</f>
        <v>0</v>
      </c>
      <c r="AO350" s="1440">
        <f ca="1">IF(B350&gt;=$J$5,0,(CONTADORES!AA364-CONTADORES!AA363))</f>
        <v>0</v>
      </c>
      <c r="AP350" s="1474">
        <f ca="1">IF(B350&gt;=$J$5,0,(CONTADORES!V364-CONTADORES!V363))</f>
        <v>0</v>
      </c>
      <c r="AQ350" s="1445">
        <f ca="1">IF(B350&gt;=$J$5,0,(CONTADORES!C364-CONTADORES!C363))</f>
        <v>0</v>
      </c>
      <c r="AR350" s="1440">
        <f ca="1">IF(B350&gt;=$J$5,0,(CONTADORES!BA364-CONTADORES!BA363))</f>
        <v>0</v>
      </c>
      <c r="AS350" s="1438">
        <f ca="1">IF(B350&gt;=$J$5,0,CONTADORES!Q364-CONTADORES!Q363)</f>
        <v>0</v>
      </c>
      <c r="AT350" s="1438">
        <f ca="1">IF(B350&gt;=$J$5,0,(CONTADORES!S364-CONTADORES!S363)+(CONTADORES!AE364-CONTADORES!AE363))</f>
        <v>0</v>
      </c>
      <c r="AU350" s="1474">
        <f ca="1">IF(B350&gt;=$J$5,0,(CONTADORES!I364-CONTADORES!I363))</f>
        <v>0</v>
      </c>
      <c r="AV350" s="1440">
        <f ca="1">IF(B350&gt;=$J$5,0,(CONTADORES!AT364-CONTADORES!AT363))</f>
        <v>0</v>
      </c>
      <c r="AW350" s="1440">
        <f ca="1">IF(B350&gt;=$J$5,0,(CONTADORES!L364-CONTADORES!L363)+(CONTADORES!AL364-CONTADORES!AL363))</f>
        <v>0</v>
      </c>
      <c r="AX350" s="1440">
        <f ca="1">IF(B350&gt;=$J$5,0,(CONTADORES!N364-CONTADORES!N363)+(CONTADORES!AJ364-CONTADORES!AJ363))</f>
        <v>0</v>
      </c>
      <c r="AY350" s="1440">
        <f ca="1">IF(B350&gt;=$J$5,0,(CONTADORES!AH364-CONTADORES!AH363))</f>
        <v>0</v>
      </c>
      <c r="AZ350" s="1440">
        <f ca="1">IF(B350&gt;=$J$5,0,(CONTADORES!P364-CONTADORES!P363))</f>
        <v>0</v>
      </c>
      <c r="BA350" s="1450">
        <f t="shared" ca="1" si="168"/>
        <v>0</v>
      </c>
      <c r="BB350" s="1440">
        <f ca="1">IF(B350&gt;=$J$5,0,(((CONTADORES!G364-CONTADORES!G363)+(CONTADORES!AP364-CONTADORES!AP363)+AR350)-(AV350+BC350)))</f>
        <v>0</v>
      </c>
      <c r="BC350" s="1438">
        <f ca="1">IF(B350&gt;=$J$5,0,(CONTADORES!AW364-CONTADORES!AW363)+(CONTADORES!AY364-CONTADORES!AY363)+(CONTADORES!BD364-CONTADORES!BD363))</f>
        <v>0</v>
      </c>
      <c r="BD350" s="1438">
        <f t="shared" ca="1" si="169"/>
        <v>0</v>
      </c>
      <c r="BE350" s="1439">
        <f ca="1">IF($B350&gt;=$J$5,0,CONTADORES!$BE364)</f>
        <v>0</v>
      </c>
      <c r="BF350" s="1438">
        <f ca="1">IF($B350&gt;=$J$5,0,CONTADORES!$BF364)</f>
        <v>0</v>
      </c>
      <c r="BG350" s="1438">
        <f ca="1">IF($B350&gt;=$J$5,0,CONTADORES!$BH364)</f>
        <v>0</v>
      </c>
      <c r="BH350" s="1438">
        <f ca="1">IF(B350&gt;=$J$5,0,(CONTADORES!AQ364-CONTADORES!AQ363))</f>
        <v>0</v>
      </c>
      <c r="BI350" s="1438">
        <f ca="1">IF(B350&gt;=$J$5,0,(CONTADORES!AR364-CONTADORES!AR363))</f>
        <v>0</v>
      </c>
      <c r="BJ350" s="1438">
        <f ca="1">IF(B350&gt;=$J$5,0,CONTADORES!BI364-CONTADORES!BI363)/1000</f>
        <v>0</v>
      </c>
      <c r="BK350" s="1438">
        <f ca="1">IF(B350&gt;=$J$5,0,CONTADORES!BJ364-CONTADORES!BJ363)</f>
        <v>0</v>
      </c>
      <c r="BL350" s="1438">
        <f ca="1">IF(B350&gt;=$J$5,0,CONTADORES!BK364-CONTADORES!BK363)</f>
        <v>0</v>
      </c>
      <c r="BM350" s="1438">
        <f ca="1">IF(B350&gt;=$J$5,0,CONTADORES!BL364-CONTADORES!BL363)/1000</f>
        <v>0</v>
      </c>
      <c r="BN350" s="1438">
        <f ca="1">IF(B350&gt;=$J$5,0,CONTADORES!BM364-CONTADORES!BM363)/1000</f>
        <v>0</v>
      </c>
      <c r="BO350" s="1438">
        <f ca="1">IF(B350&gt;=$J$5,0,CONTADORES!BN364-CONTADORES!BN363)</f>
        <v>0</v>
      </c>
      <c r="BP350" s="1438">
        <f ca="1">IF(B350&gt;=$J$5,0,CONTADORES!BO364-CONTADORES!BO363)/1000</f>
        <v>0</v>
      </c>
      <c r="BQ350" s="1438">
        <f ca="1">IF(B350&gt;=$J$5,0,CONTADORES!BP364-CONTADORES!BP363)/1000</f>
        <v>0</v>
      </c>
      <c r="BR350" s="1438">
        <f ca="1">IF(B350&gt;=$J$5,0,CONTADORES!BQ364-CONTADORES!BQ363)</f>
        <v>0</v>
      </c>
      <c r="BS350" s="1438">
        <f ca="1">IF(B350&gt;=$J$5,0,(CONTADORES!BT364-CONTADORES!BT363)+(CONTADORES!BV364-CONTADORES!BV363))/1000</f>
        <v>0</v>
      </c>
      <c r="BT350" s="1438">
        <f ca="1">IF(B350&gt;=$J$5,0,(CONTADORES!BU364-CONTADORES!BU363)+(CONTADORES!BW364-CONTADORES!BW363))/1000</f>
        <v>0</v>
      </c>
      <c r="BU350" s="1438">
        <f ca="1">IF(B350&gt;=$J$5,0,CONTADORES!BR364-CONTADORES!BR363)</f>
        <v>0</v>
      </c>
      <c r="BV350" s="1438">
        <f ca="1">IF(B350&gt;=$J$5,0,CONTADORES!BS364-CONTADORES!BS363)</f>
        <v>0</v>
      </c>
      <c r="BW350" s="1438">
        <f t="shared" ca="1" si="170"/>
        <v>0</v>
      </c>
      <c r="BX350" s="1438">
        <f t="shared" ca="1" si="171"/>
        <v>0</v>
      </c>
      <c r="BY350" s="1438">
        <f t="shared" ca="1" si="172"/>
        <v>0</v>
      </c>
      <c r="BZ350" s="1438">
        <f t="shared" ca="1" si="173"/>
        <v>0</v>
      </c>
      <c r="CA350" s="1438">
        <f t="shared" ca="1" si="174"/>
        <v>0</v>
      </c>
      <c r="CB350" s="1438">
        <f t="shared" ca="1" si="175"/>
        <v>0</v>
      </c>
      <c r="CC350" s="1438">
        <f t="shared" ca="1" si="176"/>
        <v>0</v>
      </c>
      <c r="CD350" s="1438">
        <f t="shared" ca="1" si="177"/>
        <v>0</v>
      </c>
      <c r="CE350" s="1438">
        <f ca="1">IF(B350&gt;=$J$5,0,CONTADORES!BS364-CONTADORES!BS363)</f>
        <v>0</v>
      </c>
      <c r="CF350" s="1438">
        <f t="shared" ca="1" si="178"/>
        <v>0</v>
      </c>
      <c r="CG350" s="1438">
        <f t="shared" ca="1" si="179"/>
        <v>0</v>
      </c>
      <c r="CH350" s="1438">
        <f t="shared" ca="1" si="180"/>
        <v>0</v>
      </c>
      <c r="CI350" s="1438">
        <f t="shared" ca="1" si="181"/>
        <v>0</v>
      </c>
      <c r="CJ350" s="1444">
        <f ca="1">IF($B350&gt;=$J$5,0,CONTADORES!$BG364)</f>
        <v>0</v>
      </c>
      <c r="CK350" s="1406">
        <f>CONTADORES!E364</f>
        <v>0</v>
      </c>
      <c r="CL350" s="1406">
        <f>CONTADORES!BX364</f>
        <v>0</v>
      </c>
    </row>
    <row r="351" spans="2:90">
      <c r="B351" s="410">
        <v>45267</v>
      </c>
      <c r="C351" s="204">
        <f t="shared" ca="1" si="156"/>
        <v>0</v>
      </c>
      <c r="D351" s="202">
        <f ca="1">'CALCULO DE GAS'!P180</f>
        <v>0</v>
      </c>
      <c r="E351" s="202">
        <f ca="1">IF(B351&gt;=$J$5,0,(CONTADORES!$AB365-CONTADORES!$AB364)-$H351)</f>
        <v>0</v>
      </c>
      <c r="F351" s="204">
        <f t="shared" ca="1" si="182"/>
        <v>0</v>
      </c>
      <c r="G351" s="202">
        <f ca="1">IF(B351&gt;=$J$5,0,CONTADORES!$AD365-CONTADORES!$AD364)</f>
        <v>0</v>
      </c>
      <c r="H351" s="202">
        <f ca="1">IF(G351&gt;0,CONTADORES!$AC365-CONTADORES!$AC364,0)</f>
        <v>0</v>
      </c>
      <c r="I351" s="205">
        <f ca="1">IF(B351&gt;=$J$5,0,CONTADORES!$Z365-CONTADORES!$Z364)</f>
        <v>0</v>
      </c>
      <c r="J351" s="204">
        <f t="shared" ca="1" si="157"/>
        <v>0</v>
      </c>
      <c r="K351" s="202">
        <f ca="1">'CALCULO DE GAS'!Q180</f>
        <v>0</v>
      </c>
      <c r="L351" s="1454">
        <f ca="1">IF(B351&gt;=$J$5,0,(CONTADORES!$W365-CONTADORES!$W364)-$O351)</f>
        <v>0</v>
      </c>
      <c r="M351" s="1437">
        <f t="shared" ca="1" si="183"/>
        <v>0</v>
      </c>
      <c r="N351" s="1437">
        <f ca="1">IF(B351&gt;=$J$5,0,CONTADORES!$Y365-CONTADORES!$Y364)</f>
        <v>0</v>
      </c>
      <c r="O351" s="1437">
        <f ca="1">IF(N351&gt;0,CONTADORES!$X365-CONTADORES!$X364,0)</f>
        <v>0</v>
      </c>
      <c r="P351" s="208">
        <f ca="1">IF(B351&gt;=$J$5,0,CONTADORES!$U365-CONTADORES!$U364)</f>
        <v>0</v>
      </c>
      <c r="Q351" s="208">
        <f ca="1">IF(B351&gt;=$J$5,0,CONTADORES!$B365-CONTADORES!$B364)</f>
        <v>0</v>
      </c>
      <c r="R351" s="202">
        <f t="shared" ca="1" si="159"/>
        <v>0</v>
      </c>
      <c r="S351" s="11">
        <f ca="1">IF(B351&gt;=$J$5,0,CONTADORES!$D365-CONTADORES!$D364)</f>
        <v>0</v>
      </c>
      <c r="T351" s="204">
        <f ca="1">IF(B351&gt;=$J$5,0,CONTADORES!$AZ365-CONTADORES!$AZ364)</f>
        <v>0</v>
      </c>
      <c r="U351" s="202">
        <f t="shared" ca="1" si="152"/>
        <v>0</v>
      </c>
      <c r="V351" s="11">
        <f ca="1">IF(B351&gt;=$J$5,0,CONTADORES!$BB365-CONTADORES!$BB364)</f>
        <v>0</v>
      </c>
      <c r="W351" s="1438">
        <f t="shared" ca="1" si="160"/>
        <v>0</v>
      </c>
      <c r="X351" s="1438">
        <f t="shared" ca="1" si="161"/>
        <v>0</v>
      </c>
      <c r="Y351" s="1439">
        <f t="shared" ca="1" si="162"/>
        <v>0</v>
      </c>
      <c r="Z351" s="1439">
        <f t="shared" ca="1" si="163"/>
        <v>0</v>
      </c>
      <c r="AA351" s="1439">
        <f t="shared" ca="1" si="164"/>
        <v>0</v>
      </c>
      <c r="AB351" s="1439">
        <f t="shared" ca="1" si="165"/>
        <v>0</v>
      </c>
      <c r="AC351" s="1438">
        <f t="shared" ca="1" si="166"/>
        <v>0</v>
      </c>
      <c r="AD351" s="1438">
        <f ca="1">IF(B351&gt;=$J$5,0,CONTADORES!H365-CONTADORES!H364)</f>
        <v>0</v>
      </c>
      <c r="AE351" s="1438">
        <f ca="1">IF(B351&gt;=$J$5,0,CONTADORES!J365-CONTADORES!J364)</f>
        <v>0</v>
      </c>
      <c r="AF351" s="1438">
        <f ca="1">IF(B351&gt;=$J$5,0,CONTADORES!AS365-CONTADORES!AS364)</f>
        <v>0</v>
      </c>
      <c r="AG351" s="1438">
        <f ca="1">IF(B351&gt;=$J$5,0,CONTADORES!AU365-CONTADORES!AU364)</f>
        <v>0</v>
      </c>
      <c r="AH351" s="1439">
        <f ca="1">IF(B351&gt;=$J$5,0,(CONTADORES!AK365-CONTADORES!AK364)+(CONTADORES!K365-CONTADORES!K364))</f>
        <v>0</v>
      </c>
      <c r="AI351" s="1438">
        <f ca="1">IF(B351&gt;=$J$5,0,(CONTADORES!AI365-CONTADORES!AI364)+(CONTADORES!M365-CONTADORES!M364))</f>
        <v>0</v>
      </c>
      <c r="AJ351" s="1438">
        <f ca="1">IF(B351&gt;=$J$5,0,(CONTADORES!AG365-CONTADORES!AG364))</f>
        <v>0</v>
      </c>
      <c r="AK351" s="1438">
        <f ca="1">IF(B351&gt;=$J$5,0,(CONTADORES!O365-CONTADORES!O364))</f>
        <v>0</v>
      </c>
      <c r="AL351" s="1500">
        <f t="shared" ca="1" si="167"/>
        <v>0</v>
      </c>
      <c r="AM351" s="1438">
        <f ca="1">IF(B351&gt;=$J$5,0,(((CONTADORES!F365-CONTADORES!F364)+(CONTADORES!AO365-CONTADORES!AO364))))-BJ351-AF351-AN351-BM351-BP351-BU351-BS351+T351</f>
        <v>0</v>
      </c>
      <c r="AN351" s="1443">
        <f ca="1">IF(B351&gt;=$J$5,0,(CONTADORES!AV365-CONTADORES!AV364)+(CONTADORES!AX365-CONTADORES!AX364)+(CONTADORES!BC365-CONTADORES!BC364))-BS351</f>
        <v>0</v>
      </c>
      <c r="AO351" s="1440">
        <f ca="1">IF(B351&gt;=$J$5,0,(CONTADORES!AA365-CONTADORES!AA364))</f>
        <v>0</v>
      </c>
      <c r="AP351" s="1474">
        <f ca="1">IF(B351&gt;=$J$5,0,(CONTADORES!V365-CONTADORES!V364))</f>
        <v>0</v>
      </c>
      <c r="AQ351" s="1445">
        <f ca="1">IF(B351&gt;=$J$5,0,(CONTADORES!C365-CONTADORES!C364))</f>
        <v>0</v>
      </c>
      <c r="AR351" s="1440">
        <f ca="1">IF(B351&gt;=$J$5,0,(CONTADORES!BA365-CONTADORES!BA364))</f>
        <v>0</v>
      </c>
      <c r="AS351" s="1438">
        <f ca="1">IF(B351&gt;=$J$5,0,CONTADORES!Q365-CONTADORES!Q364)</f>
        <v>0</v>
      </c>
      <c r="AT351" s="1438">
        <f ca="1">IF(B351&gt;=$J$5,0,(CONTADORES!S365-CONTADORES!S364)+(CONTADORES!AE365-CONTADORES!AE364))</f>
        <v>0</v>
      </c>
      <c r="AU351" s="1474">
        <f ca="1">IF(B351&gt;=$J$5,0,(CONTADORES!I365-CONTADORES!I364))</f>
        <v>0</v>
      </c>
      <c r="AV351" s="1440">
        <f ca="1">IF(B351&gt;=$J$5,0,(CONTADORES!AT365-CONTADORES!AT364))</f>
        <v>0</v>
      </c>
      <c r="AW351" s="1440">
        <f ca="1">IF(B351&gt;=$J$5,0,(CONTADORES!L365-CONTADORES!L364)+(CONTADORES!AL365-CONTADORES!AL364))</f>
        <v>0</v>
      </c>
      <c r="AX351" s="1440">
        <f ca="1">IF(B351&gt;=$J$5,0,(CONTADORES!N365-CONTADORES!N364)+(CONTADORES!AJ365-CONTADORES!AJ364))</f>
        <v>0</v>
      </c>
      <c r="AY351" s="1440">
        <f ca="1">IF(B351&gt;=$J$5,0,(CONTADORES!AH365-CONTADORES!AH364))</f>
        <v>0</v>
      </c>
      <c r="AZ351" s="1440">
        <f ca="1">IF(B351&gt;=$J$5,0,(CONTADORES!P365-CONTADORES!P364))</f>
        <v>0</v>
      </c>
      <c r="BA351" s="1450">
        <f t="shared" ca="1" si="168"/>
        <v>0</v>
      </c>
      <c r="BB351" s="1440">
        <f ca="1">IF(B351&gt;=$J$5,0,(((CONTADORES!G365-CONTADORES!G364)+(CONTADORES!AP365-CONTADORES!AP364)+AR351)-(AV351+BC351)))</f>
        <v>0</v>
      </c>
      <c r="BC351" s="1438">
        <f ca="1">IF(B351&gt;=$J$5,0,(CONTADORES!AW365-CONTADORES!AW364)+(CONTADORES!AY365-CONTADORES!AY364)+(CONTADORES!BD365-CONTADORES!BD364))</f>
        <v>0</v>
      </c>
      <c r="BD351" s="1438">
        <f t="shared" ca="1" si="169"/>
        <v>0</v>
      </c>
      <c r="BE351" s="1439">
        <f ca="1">IF($B351&gt;=$J$5,0,CONTADORES!$BE365)</f>
        <v>0</v>
      </c>
      <c r="BF351" s="1438">
        <f ca="1">IF($B351&gt;=$J$5,0,CONTADORES!$BF365)</f>
        <v>0</v>
      </c>
      <c r="BG351" s="1438">
        <f ca="1">IF($B351&gt;=$J$5,0,CONTADORES!$BH365)</f>
        <v>0</v>
      </c>
      <c r="BH351" s="1438">
        <f ca="1">IF(B351&gt;=$J$5,0,(CONTADORES!AQ365-CONTADORES!AQ364))</f>
        <v>0</v>
      </c>
      <c r="BI351" s="1438">
        <f ca="1">IF(B351&gt;=$J$5,0,(CONTADORES!AR365-CONTADORES!AR364))</f>
        <v>0</v>
      </c>
      <c r="BJ351" s="1438">
        <f ca="1">IF(B351&gt;=$J$5,0,CONTADORES!BI365-CONTADORES!BI364)/1000</f>
        <v>0</v>
      </c>
      <c r="BK351" s="1438">
        <f ca="1">IF(B351&gt;=$J$5,0,CONTADORES!BJ365-CONTADORES!BJ364)</f>
        <v>0</v>
      </c>
      <c r="BL351" s="1438">
        <f ca="1">IF(B351&gt;=$J$5,0,CONTADORES!BK365-CONTADORES!BK364)</f>
        <v>0</v>
      </c>
      <c r="BM351" s="1438">
        <f ca="1">IF(B351&gt;=$J$5,0,CONTADORES!BL365-CONTADORES!BL364)/1000</f>
        <v>0</v>
      </c>
      <c r="BN351" s="1438">
        <f ca="1">IF(B351&gt;=$J$5,0,CONTADORES!BM365-CONTADORES!BM364)/1000</f>
        <v>0</v>
      </c>
      <c r="BO351" s="1438">
        <f ca="1">IF(B351&gt;=$J$5,0,CONTADORES!BN365-CONTADORES!BN364)</f>
        <v>0</v>
      </c>
      <c r="BP351" s="1438">
        <f ca="1">IF(B351&gt;=$J$5,0,CONTADORES!BO365-CONTADORES!BO364)/1000</f>
        <v>0</v>
      </c>
      <c r="BQ351" s="1438">
        <f ca="1">IF(B351&gt;=$J$5,0,CONTADORES!BP365-CONTADORES!BP364)/1000</f>
        <v>0</v>
      </c>
      <c r="BR351" s="1438">
        <f ca="1">IF(B351&gt;=$J$5,0,CONTADORES!BQ365-CONTADORES!BQ364)</f>
        <v>0</v>
      </c>
      <c r="BS351" s="1438">
        <f ca="1">IF(B351&gt;=$J$5,0,(CONTADORES!BT365-CONTADORES!BT364)+(CONTADORES!BV365-CONTADORES!BV364))/1000</f>
        <v>0</v>
      </c>
      <c r="BT351" s="1438">
        <f ca="1">IF(B351&gt;=$J$5,0,(CONTADORES!BU365-CONTADORES!BU364)+(CONTADORES!BW365-CONTADORES!BW364))/1000</f>
        <v>0</v>
      </c>
      <c r="BU351" s="1438">
        <f ca="1">IF(B351&gt;=$J$5,0,CONTADORES!BR365-CONTADORES!BR364)</f>
        <v>0</v>
      </c>
      <c r="BV351" s="1438">
        <f ca="1">IF(B351&gt;=$J$5,0,CONTADORES!BS365-CONTADORES!BS364)</f>
        <v>0</v>
      </c>
      <c r="BW351" s="1438">
        <f t="shared" ca="1" si="170"/>
        <v>0</v>
      </c>
      <c r="BX351" s="1438">
        <f t="shared" ca="1" si="171"/>
        <v>0</v>
      </c>
      <c r="BY351" s="1438">
        <f t="shared" ca="1" si="172"/>
        <v>0</v>
      </c>
      <c r="BZ351" s="1438">
        <f t="shared" ca="1" si="173"/>
        <v>0</v>
      </c>
      <c r="CA351" s="1438">
        <f t="shared" ca="1" si="174"/>
        <v>0</v>
      </c>
      <c r="CB351" s="1438">
        <f t="shared" ca="1" si="175"/>
        <v>0</v>
      </c>
      <c r="CC351" s="1438">
        <f t="shared" ca="1" si="176"/>
        <v>0</v>
      </c>
      <c r="CD351" s="1438">
        <f t="shared" ca="1" si="177"/>
        <v>0</v>
      </c>
      <c r="CE351" s="1438">
        <f ca="1">IF(B351&gt;=$J$5,0,CONTADORES!BS365-CONTADORES!BS364)</f>
        <v>0</v>
      </c>
      <c r="CF351" s="1438">
        <f t="shared" ca="1" si="178"/>
        <v>0</v>
      </c>
      <c r="CG351" s="1438">
        <f t="shared" ca="1" si="179"/>
        <v>0</v>
      </c>
      <c r="CH351" s="1438">
        <f t="shared" ca="1" si="180"/>
        <v>0</v>
      </c>
      <c r="CI351" s="1438">
        <f t="shared" ca="1" si="181"/>
        <v>0</v>
      </c>
      <c r="CJ351" s="1444">
        <f ca="1">IF($B351&gt;=$J$5,0,CONTADORES!$BG365)</f>
        <v>0</v>
      </c>
      <c r="CK351" s="1406">
        <f>CONTADORES!E365</f>
        <v>0</v>
      </c>
      <c r="CL351" s="1406">
        <f>CONTADORES!BX365</f>
        <v>0</v>
      </c>
    </row>
    <row r="352" spans="2:90">
      <c r="B352" s="410">
        <v>45268</v>
      </c>
      <c r="C352" s="204">
        <f t="shared" ca="1" si="156"/>
        <v>0</v>
      </c>
      <c r="D352" s="202">
        <f ca="1">'CALCULO DE GAS'!P181</f>
        <v>0</v>
      </c>
      <c r="E352" s="202">
        <f ca="1">IF(B352&gt;=$J$5,0,(CONTADORES!$AB366-CONTADORES!$AB365)-$H352)</f>
        <v>0</v>
      </c>
      <c r="F352" s="204">
        <f t="shared" ca="1" si="182"/>
        <v>0</v>
      </c>
      <c r="G352" s="202">
        <f ca="1">IF(B352&gt;=$J$5,0,CONTADORES!$AD366-CONTADORES!$AD365)</f>
        <v>0</v>
      </c>
      <c r="H352" s="202">
        <f ca="1">IF(G352&gt;0,CONTADORES!$AC366-CONTADORES!$AC365,0)</f>
        <v>0</v>
      </c>
      <c r="I352" s="205">
        <f ca="1">IF(B352&gt;=$J$5,0,CONTADORES!$Z366-CONTADORES!$Z365)</f>
        <v>0</v>
      </c>
      <c r="J352" s="204">
        <f t="shared" ca="1" si="157"/>
        <v>0</v>
      </c>
      <c r="K352" s="202">
        <f ca="1">'CALCULO DE GAS'!Q181</f>
        <v>0</v>
      </c>
      <c r="L352" s="1454">
        <f ca="1">IF(B352&gt;=$J$5,0,(CONTADORES!$W366-CONTADORES!$W365)-$O352)</f>
        <v>0</v>
      </c>
      <c r="M352" s="1437">
        <f t="shared" ca="1" si="183"/>
        <v>0</v>
      </c>
      <c r="N352" s="1437">
        <f ca="1">IF(B352&gt;=$J$5,0,CONTADORES!$Y366-CONTADORES!$Y365)</f>
        <v>0</v>
      </c>
      <c r="O352" s="1437">
        <f ca="1">IF(N352&gt;0,CONTADORES!$X366-CONTADORES!$X365,0)</f>
        <v>0</v>
      </c>
      <c r="P352" s="208">
        <f ca="1">IF(B352&gt;=$J$5,0,CONTADORES!$U366-CONTADORES!$U365)</f>
        <v>0</v>
      </c>
      <c r="Q352" s="208">
        <f ca="1">IF(B352&gt;=$J$5,0,CONTADORES!$B366-CONTADORES!$B365)</f>
        <v>0</v>
      </c>
      <c r="R352" s="202">
        <f t="shared" ca="1" si="159"/>
        <v>0</v>
      </c>
      <c r="S352" s="11">
        <f ca="1">IF(B352&gt;=$J$5,0,CONTADORES!$D366-CONTADORES!$D365)</f>
        <v>0</v>
      </c>
      <c r="T352" s="204">
        <f ca="1">IF(B352&gt;=$J$5,0,CONTADORES!$AZ366-CONTADORES!$AZ365)</f>
        <v>0</v>
      </c>
      <c r="U352" s="202">
        <f t="shared" ca="1" si="152"/>
        <v>0</v>
      </c>
      <c r="V352" s="11">
        <f ca="1">IF(B352&gt;=$J$5,0,CONTADORES!$BB366-CONTADORES!$BB365)</f>
        <v>0</v>
      </c>
      <c r="W352" s="1438">
        <f t="shared" ca="1" si="160"/>
        <v>0</v>
      </c>
      <c r="X352" s="1438">
        <f t="shared" ca="1" si="161"/>
        <v>0</v>
      </c>
      <c r="Y352" s="1439">
        <f t="shared" ca="1" si="162"/>
        <v>0</v>
      </c>
      <c r="Z352" s="1439">
        <f t="shared" ca="1" si="163"/>
        <v>0</v>
      </c>
      <c r="AA352" s="1439">
        <f t="shared" ca="1" si="164"/>
        <v>0</v>
      </c>
      <c r="AB352" s="1439">
        <f t="shared" ca="1" si="165"/>
        <v>0</v>
      </c>
      <c r="AC352" s="1438">
        <f t="shared" ca="1" si="166"/>
        <v>0</v>
      </c>
      <c r="AD352" s="1438">
        <f ca="1">IF(B352&gt;=$J$5,0,CONTADORES!H366-CONTADORES!H365)</f>
        <v>0</v>
      </c>
      <c r="AE352" s="1438">
        <f ca="1">IF(B352&gt;=$J$5,0,CONTADORES!J366-CONTADORES!J365)</f>
        <v>0</v>
      </c>
      <c r="AF352" s="1438">
        <f ca="1">IF(B352&gt;=$J$5,0,CONTADORES!AS366-CONTADORES!AS365)</f>
        <v>0</v>
      </c>
      <c r="AG352" s="1438">
        <f ca="1">IF(B352&gt;=$J$5,0,CONTADORES!AU366-CONTADORES!AU365)</f>
        <v>0</v>
      </c>
      <c r="AH352" s="1439">
        <f ca="1">IF(B352&gt;=$J$5,0,(CONTADORES!AK366-CONTADORES!AK365)+(CONTADORES!K366-CONTADORES!K365))</f>
        <v>0</v>
      </c>
      <c r="AI352" s="1438">
        <f ca="1">IF(B352&gt;=$J$5,0,(CONTADORES!AI366-CONTADORES!AI365)+(CONTADORES!M366-CONTADORES!M365))</f>
        <v>0</v>
      </c>
      <c r="AJ352" s="1438">
        <f ca="1">IF(B352&gt;=$J$5,0,(CONTADORES!AG366-CONTADORES!AG365))</f>
        <v>0</v>
      </c>
      <c r="AK352" s="1438">
        <f ca="1">IF(B352&gt;=$J$5,0,(CONTADORES!O366-CONTADORES!O365))</f>
        <v>0</v>
      </c>
      <c r="AL352" s="1500">
        <f t="shared" ca="1" si="167"/>
        <v>0</v>
      </c>
      <c r="AM352" s="1438">
        <f ca="1">IF(B352&gt;=$J$5,0,(((CONTADORES!F366-CONTADORES!F365)+(CONTADORES!AO366-CONTADORES!AO365))))-BJ352-AF352-AN352-BM352-BP352-BU352-BS352+T352</f>
        <v>0</v>
      </c>
      <c r="AN352" s="1443">
        <f ca="1">IF(B352&gt;=$J$5,0,(CONTADORES!AV366-CONTADORES!AV365)+(CONTADORES!AX366-CONTADORES!AX365)+(CONTADORES!BC366-CONTADORES!BC365))-BS352</f>
        <v>0</v>
      </c>
      <c r="AO352" s="1440">
        <f ca="1">IF(B352&gt;=$J$5,0,(CONTADORES!AA366-CONTADORES!AA365))</f>
        <v>0</v>
      </c>
      <c r="AP352" s="1474">
        <f ca="1">IF(B352&gt;=$J$5,0,(CONTADORES!V366-CONTADORES!V365))</f>
        <v>0</v>
      </c>
      <c r="AQ352" s="1445">
        <f ca="1">IF(B352&gt;=$J$5,0,(CONTADORES!C366-CONTADORES!C365))</f>
        <v>0</v>
      </c>
      <c r="AR352" s="1440">
        <f ca="1">IF(B352&gt;=$J$5,0,(CONTADORES!BA366-CONTADORES!BA365))</f>
        <v>0</v>
      </c>
      <c r="AS352" s="1438">
        <f ca="1">IF(B352&gt;=$J$5,0,CONTADORES!Q366-CONTADORES!Q365)</f>
        <v>0</v>
      </c>
      <c r="AT352" s="1438">
        <f ca="1">IF(B352&gt;=$J$5,0,(CONTADORES!S366-CONTADORES!S365)+(CONTADORES!AE366-CONTADORES!AE365))</f>
        <v>0</v>
      </c>
      <c r="AU352" s="1474">
        <f ca="1">IF(B352&gt;=$J$5,0,(CONTADORES!I366-CONTADORES!I365))</f>
        <v>0</v>
      </c>
      <c r="AV352" s="1440">
        <f ca="1">IF(B352&gt;=$J$5,0,(CONTADORES!AT366-CONTADORES!AT365))</f>
        <v>0</v>
      </c>
      <c r="AW352" s="1440">
        <f ca="1">IF(B352&gt;=$J$5,0,(CONTADORES!L366-CONTADORES!L365)+(CONTADORES!AL366-CONTADORES!AL365))</f>
        <v>0</v>
      </c>
      <c r="AX352" s="1440">
        <f ca="1">IF(B352&gt;=$J$5,0,(CONTADORES!N366-CONTADORES!N365)+(CONTADORES!AJ366-CONTADORES!AJ365))</f>
        <v>0</v>
      </c>
      <c r="AY352" s="1440">
        <f ca="1">IF(B352&gt;=$J$5,0,(CONTADORES!AH366-CONTADORES!AH365))</f>
        <v>0</v>
      </c>
      <c r="AZ352" s="1440">
        <f ca="1">IF(B352&gt;=$J$5,0,(CONTADORES!P366-CONTADORES!P365))</f>
        <v>0</v>
      </c>
      <c r="BA352" s="1450">
        <f t="shared" ca="1" si="168"/>
        <v>0</v>
      </c>
      <c r="BB352" s="1440">
        <f ca="1">IF(B352&gt;=$J$5,0,(((CONTADORES!G366-CONTADORES!G365)+(CONTADORES!AP366-CONTADORES!AP365)+AR352)-(AV352+BC352)))</f>
        <v>0</v>
      </c>
      <c r="BC352" s="1438">
        <f ca="1">IF(B352&gt;=$J$5,0,(CONTADORES!AW366-CONTADORES!AW365)+(CONTADORES!AY366-CONTADORES!AY365)+(CONTADORES!BD366-CONTADORES!BD365))</f>
        <v>0</v>
      </c>
      <c r="BD352" s="1438">
        <f t="shared" ca="1" si="169"/>
        <v>0</v>
      </c>
      <c r="BE352" s="1439">
        <f ca="1">IF($B352&gt;=$J$5,0,CONTADORES!$BE366)</f>
        <v>0</v>
      </c>
      <c r="BF352" s="1438">
        <f ca="1">IF($B352&gt;=$J$5,0,CONTADORES!$BF366)</f>
        <v>0</v>
      </c>
      <c r="BG352" s="1438">
        <f ca="1">IF($B352&gt;=$J$5,0,CONTADORES!$BH366)</f>
        <v>0</v>
      </c>
      <c r="BH352" s="1438">
        <f ca="1">IF(B352&gt;=$J$5,0,(CONTADORES!AQ366-CONTADORES!AQ365))</f>
        <v>0</v>
      </c>
      <c r="BI352" s="1438">
        <f ca="1">IF(B352&gt;=$J$5,0,(CONTADORES!AR366-CONTADORES!AR365))</f>
        <v>0</v>
      </c>
      <c r="BJ352" s="1438">
        <f ca="1">IF(B352&gt;=$J$5,0,CONTADORES!BI366-CONTADORES!BI365)/1000</f>
        <v>0</v>
      </c>
      <c r="BK352" s="1438">
        <f ca="1">IF(B352&gt;=$J$5,0,CONTADORES!BJ366-CONTADORES!BJ365)</f>
        <v>0</v>
      </c>
      <c r="BL352" s="1438">
        <f ca="1">IF(B352&gt;=$J$5,0,CONTADORES!BK366-CONTADORES!BK365)</f>
        <v>0</v>
      </c>
      <c r="BM352" s="1438">
        <f ca="1">IF(B352&gt;=$J$5,0,CONTADORES!BL366-CONTADORES!BL365)/1000</f>
        <v>0</v>
      </c>
      <c r="BN352" s="1438">
        <f ca="1">IF(B352&gt;=$J$5,0,CONTADORES!BM366-CONTADORES!BM365)/1000</f>
        <v>0</v>
      </c>
      <c r="BO352" s="1438">
        <f ca="1">IF(B352&gt;=$J$5,0,CONTADORES!BN366-CONTADORES!BN365)</f>
        <v>0</v>
      </c>
      <c r="BP352" s="1438">
        <f ca="1">IF(B352&gt;=$J$5,0,CONTADORES!BO366-CONTADORES!BO365)/1000</f>
        <v>0</v>
      </c>
      <c r="BQ352" s="1438">
        <f ca="1">IF(B352&gt;=$J$5,0,CONTADORES!BP366-CONTADORES!BP365)/1000</f>
        <v>0</v>
      </c>
      <c r="BR352" s="1438">
        <f ca="1">IF(B352&gt;=$J$5,0,CONTADORES!BQ366-CONTADORES!BQ365)</f>
        <v>0</v>
      </c>
      <c r="BS352" s="1438">
        <f ca="1">IF(B352&gt;=$J$5,0,(CONTADORES!BT366-CONTADORES!BT365)+(CONTADORES!BV366-CONTADORES!BV365))/1000</f>
        <v>0</v>
      </c>
      <c r="BT352" s="1438">
        <f ca="1">IF(B352&gt;=$J$5,0,(CONTADORES!BU366-CONTADORES!BU365)+(CONTADORES!BW366-CONTADORES!BW365))/1000</f>
        <v>0</v>
      </c>
      <c r="BU352" s="1438">
        <f ca="1">IF(B352&gt;=$J$5,0,CONTADORES!BR366-CONTADORES!BR365)</f>
        <v>0</v>
      </c>
      <c r="BV352" s="1438">
        <f ca="1">IF(B352&gt;=$J$5,0,CONTADORES!BS366-CONTADORES!BS365)</f>
        <v>0</v>
      </c>
      <c r="BW352" s="1438">
        <f t="shared" ca="1" si="170"/>
        <v>0</v>
      </c>
      <c r="BX352" s="1438">
        <f t="shared" ca="1" si="171"/>
        <v>0</v>
      </c>
      <c r="BY352" s="1438">
        <f t="shared" ca="1" si="172"/>
        <v>0</v>
      </c>
      <c r="BZ352" s="1438">
        <f t="shared" ca="1" si="173"/>
        <v>0</v>
      </c>
      <c r="CA352" s="1438">
        <f t="shared" ca="1" si="174"/>
        <v>0</v>
      </c>
      <c r="CB352" s="1438">
        <f t="shared" ca="1" si="175"/>
        <v>0</v>
      </c>
      <c r="CC352" s="1438">
        <f t="shared" ca="1" si="176"/>
        <v>0</v>
      </c>
      <c r="CD352" s="1438">
        <f t="shared" ca="1" si="177"/>
        <v>0</v>
      </c>
      <c r="CE352" s="1438">
        <f ca="1">IF(B352&gt;=$J$5,0,CONTADORES!BS366-CONTADORES!BS365)</f>
        <v>0</v>
      </c>
      <c r="CF352" s="1438">
        <f t="shared" ca="1" si="178"/>
        <v>0</v>
      </c>
      <c r="CG352" s="1438">
        <f t="shared" ca="1" si="179"/>
        <v>0</v>
      </c>
      <c r="CH352" s="1438">
        <f t="shared" ca="1" si="180"/>
        <v>0</v>
      </c>
      <c r="CI352" s="1438">
        <f t="shared" ca="1" si="181"/>
        <v>0</v>
      </c>
      <c r="CJ352" s="1444">
        <f ca="1">IF($B352&gt;=$J$5,0,CONTADORES!$BG366)</f>
        <v>0</v>
      </c>
      <c r="CK352" s="1406">
        <f>CONTADORES!E366</f>
        <v>0</v>
      </c>
      <c r="CL352" s="1406">
        <f>CONTADORES!BX366</f>
        <v>0</v>
      </c>
    </row>
    <row r="353" spans="2:90">
      <c r="B353" s="410">
        <v>45269</v>
      </c>
      <c r="C353" s="204">
        <f t="shared" ca="1" si="156"/>
        <v>0</v>
      </c>
      <c r="D353" s="202">
        <f ca="1">'CALCULO DE GAS'!P182</f>
        <v>0</v>
      </c>
      <c r="E353" s="202">
        <f ca="1">IF(B353&gt;=$J$5,0,(CONTADORES!$AB367-CONTADORES!$AB366)-$H353)</f>
        <v>0</v>
      </c>
      <c r="F353" s="204">
        <f t="shared" ca="1" si="182"/>
        <v>0</v>
      </c>
      <c r="G353" s="202">
        <f ca="1">IF(B353&gt;=$J$5,0,CONTADORES!$AD367-CONTADORES!$AD366)</f>
        <v>0</v>
      </c>
      <c r="H353" s="202">
        <f ca="1">IF(G353&gt;0,CONTADORES!$AC367-CONTADORES!$AC366,0)</f>
        <v>0</v>
      </c>
      <c r="I353" s="205">
        <f ca="1">IF(B353&gt;=$J$5,0,CONTADORES!$Z367-CONTADORES!$Z366)</f>
        <v>0</v>
      </c>
      <c r="J353" s="204">
        <f t="shared" ca="1" si="157"/>
        <v>0</v>
      </c>
      <c r="K353" s="202">
        <f ca="1">'CALCULO DE GAS'!Q182</f>
        <v>0</v>
      </c>
      <c r="L353" s="1454">
        <f ca="1">IF(B353&gt;=$J$5,0,(CONTADORES!$W367-CONTADORES!$W366)-$O353)</f>
        <v>0</v>
      </c>
      <c r="M353" s="1437">
        <f t="shared" ca="1" si="183"/>
        <v>0</v>
      </c>
      <c r="N353" s="1437">
        <f ca="1">IF(B353&gt;=$J$5,0,CONTADORES!$Y367-CONTADORES!$Y366)</f>
        <v>0</v>
      </c>
      <c r="O353" s="1437">
        <f ca="1">IF(N353&gt;0,CONTADORES!$X367-CONTADORES!$X366,0)</f>
        <v>0</v>
      </c>
      <c r="P353" s="208">
        <f ca="1">IF(B353&gt;=$J$5,0,CONTADORES!$U367-CONTADORES!$U366)</f>
        <v>0</v>
      </c>
      <c r="Q353" s="208">
        <f ca="1">IF(B353&gt;=$J$5,0,CONTADORES!$B367-CONTADORES!$B366)</f>
        <v>0</v>
      </c>
      <c r="R353" s="202">
        <f t="shared" ca="1" si="159"/>
        <v>0</v>
      </c>
      <c r="S353" s="11">
        <f ca="1">IF(B353&gt;=$J$5,0,CONTADORES!$D367-CONTADORES!$D366)</f>
        <v>0</v>
      </c>
      <c r="T353" s="204">
        <f ca="1">IF(B353&gt;=$J$5,0,CONTADORES!$AZ367-CONTADORES!$AZ366)</f>
        <v>0</v>
      </c>
      <c r="U353" s="202">
        <f t="shared" ca="1" si="152"/>
        <v>0</v>
      </c>
      <c r="V353" s="11">
        <f ca="1">IF(B353&gt;=$J$5,0,CONTADORES!$BB367-CONTADORES!$BB366)</f>
        <v>0</v>
      </c>
      <c r="W353" s="1438">
        <f t="shared" ca="1" si="160"/>
        <v>0</v>
      </c>
      <c r="X353" s="1438">
        <f t="shared" ca="1" si="161"/>
        <v>0</v>
      </c>
      <c r="Y353" s="1439">
        <f t="shared" ca="1" si="162"/>
        <v>0</v>
      </c>
      <c r="Z353" s="1439">
        <f t="shared" ca="1" si="163"/>
        <v>0</v>
      </c>
      <c r="AA353" s="1439">
        <f t="shared" ca="1" si="164"/>
        <v>0</v>
      </c>
      <c r="AB353" s="1439">
        <f t="shared" ca="1" si="165"/>
        <v>0</v>
      </c>
      <c r="AC353" s="1438">
        <f t="shared" ca="1" si="166"/>
        <v>0</v>
      </c>
      <c r="AD353" s="1438">
        <f ca="1">IF(B353&gt;=$J$5,0,CONTADORES!H367-CONTADORES!H366)</f>
        <v>0</v>
      </c>
      <c r="AE353" s="1438">
        <f ca="1">IF(B353&gt;=$J$5,0,CONTADORES!J367-CONTADORES!J366)</f>
        <v>0</v>
      </c>
      <c r="AF353" s="1438">
        <f ca="1">IF(B353&gt;=$J$5,0,CONTADORES!AS367-CONTADORES!AS366)</f>
        <v>0</v>
      </c>
      <c r="AG353" s="1438">
        <f ca="1">IF(B353&gt;=$J$5,0,CONTADORES!AU367-CONTADORES!AU366)</f>
        <v>0</v>
      </c>
      <c r="AH353" s="1439">
        <f ca="1">IF(B353&gt;=$J$5,0,(CONTADORES!AK367-CONTADORES!AK366)+(CONTADORES!K367-CONTADORES!K366))</f>
        <v>0</v>
      </c>
      <c r="AI353" s="1438">
        <f ca="1">IF(B353&gt;=$J$5,0,(CONTADORES!AI367-CONTADORES!AI366)+(CONTADORES!M367-CONTADORES!M366))</f>
        <v>0</v>
      </c>
      <c r="AJ353" s="1438">
        <f ca="1">IF(B353&gt;=$J$5,0,(CONTADORES!AG367-CONTADORES!AG366))</f>
        <v>0</v>
      </c>
      <c r="AK353" s="1438">
        <f ca="1">IF(B353&gt;=$J$5,0,(CONTADORES!O367-CONTADORES!O366))</f>
        <v>0</v>
      </c>
      <c r="AL353" s="1500">
        <f t="shared" ca="1" si="167"/>
        <v>0</v>
      </c>
      <c r="AM353" s="1438">
        <f ca="1">IF(B353&gt;=$J$5,0,(((CONTADORES!F367-CONTADORES!F366)+(CONTADORES!AO367-CONTADORES!AO366))))-BJ353-AF353-AN353-BM353-BP353-BU353-BS353+T353</f>
        <v>0</v>
      </c>
      <c r="AN353" s="1443">
        <f ca="1">IF(B353&gt;=$J$5,0,(CONTADORES!AV367-CONTADORES!AV366)+(CONTADORES!AX367-CONTADORES!AX366)+(CONTADORES!BC367-CONTADORES!BC366))-BS353</f>
        <v>0</v>
      </c>
      <c r="AO353" s="1440">
        <f ca="1">IF(B353&gt;=$J$5,0,(CONTADORES!AA367-CONTADORES!AA366))</f>
        <v>0</v>
      </c>
      <c r="AP353" s="1474">
        <f ca="1">IF(B353&gt;=$J$5,0,(CONTADORES!V367-CONTADORES!V366))</f>
        <v>0</v>
      </c>
      <c r="AQ353" s="1445">
        <f ca="1">IF(B353&gt;=$J$5,0,(CONTADORES!C367-CONTADORES!C366))</f>
        <v>0</v>
      </c>
      <c r="AR353" s="1440">
        <f ca="1">IF(B353&gt;=$J$5,0,(CONTADORES!BA367-CONTADORES!BA366))</f>
        <v>0</v>
      </c>
      <c r="AS353" s="1438">
        <f ca="1">IF(B353&gt;=$J$5,0,CONTADORES!Q367-CONTADORES!Q366)</f>
        <v>0</v>
      </c>
      <c r="AT353" s="1438">
        <f ca="1">IF(B353&gt;=$J$5,0,(CONTADORES!S367-CONTADORES!S366)+(CONTADORES!AE367-CONTADORES!AE366))</f>
        <v>0</v>
      </c>
      <c r="AU353" s="1474">
        <f ca="1">IF(B353&gt;=$J$5,0,(CONTADORES!I367-CONTADORES!I366))</f>
        <v>0</v>
      </c>
      <c r="AV353" s="1440">
        <f ca="1">IF(B353&gt;=$J$5,0,(CONTADORES!AT367-CONTADORES!AT366))</f>
        <v>0</v>
      </c>
      <c r="AW353" s="1440">
        <f ca="1">IF(B353&gt;=$J$5,0,(CONTADORES!L367-CONTADORES!L366)+(CONTADORES!AL367-CONTADORES!AL366))</f>
        <v>0</v>
      </c>
      <c r="AX353" s="1440">
        <f ca="1">IF(B353&gt;=$J$5,0,(CONTADORES!N367-CONTADORES!N366)+(CONTADORES!AJ367-CONTADORES!AJ366))</f>
        <v>0</v>
      </c>
      <c r="AY353" s="1440">
        <f ca="1">IF(B353&gt;=$J$5,0,(CONTADORES!AH367-CONTADORES!AH366))</f>
        <v>0</v>
      </c>
      <c r="AZ353" s="1440">
        <f ca="1">IF(B353&gt;=$J$5,0,(CONTADORES!P367-CONTADORES!P366))</f>
        <v>0</v>
      </c>
      <c r="BA353" s="1450">
        <f t="shared" ca="1" si="168"/>
        <v>0</v>
      </c>
      <c r="BB353" s="1440">
        <f ca="1">IF(B353&gt;=$J$5,0,(((CONTADORES!G367-CONTADORES!G366)+(CONTADORES!AP367-CONTADORES!AP366)+AR353)-(AV353+BC353)))</f>
        <v>0</v>
      </c>
      <c r="BC353" s="1438">
        <f ca="1">IF(B353&gt;=$J$5,0,(CONTADORES!AW367-CONTADORES!AW366)+(CONTADORES!AY367-CONTADORES!AY366)+(CONTADORES!BD367-CONTADORES!BD366))</f>
        <v>0</v>
      </c>
      <c r="BD353" s="1438">
        <f t="shared" ca="1" si="169"/>
        <v>0</v>
      </c>
      <c r="BE353" s="1439">
        <f ca="1">IF($B353&gt;=$J$5,0,CONTADORES!$BE367)</f>
        <v>0</v>
      </c>
      <c r="BF353" s="1438">
        <f ca="1">IF($B353&gt;=$J$5,0,CONTADORES!$BF367)</f>
        <v>0</v>
      </c>
      <c r="BG353" s="1438">
        <f ca="1">IF($B353&gt;=$J$5,0,CONTADORES!$BH367)</f>
        <v>0</v>
      </c>
      <c r="BH353" s="1438">
        <f ca="1">IF(B353&gt;=$J$5,0,(CONTADORES!AQ367-CONTADORES!AQ366))</f>
        <v>0</v>
      </c>
      <c r="BI353" s="1438">
        <f ca="1">IF(B353&gt;=$J$5,0,(CONTADORES!AR367-CONTADORES!AR366))</f>
        <v>0</v>
      </c>
      <c r="BJ353" s="1438">
        <f ca="1">IF(B353&gt;=$J$5,0,CONTADORES!BI367-CONTADORES!BI366)/1000</f>
        <v>0</v>
      </c>
      <c r="BK353" s="1438">
        <f ca="1">IF(B353&gt;=$J$5,0,CONTADORES!BJ367-CONTADORES!BJ366)</f>
        <v>0</v>
      </c>
      <c r="BL353" s="1438">
        <f ca="1">IF(B353&gt;=$J$5,0,CONTADORES!BK367-CONTADORES!BK366)</f>
        <v>0</v>
      </c>
      <c r="BM353" s="1438">
        <f ca="1">IF(B353&gt;=$J$5,0,CONTADORES!BL367-CONTADORES!BL366)/1000</f>
        <v>0</v>
      </c>
      <c r="BN353" s="1438">
        <f ca="1">IF(B353&gt;=$J$5,0,CONTADORES!BM367-CONTADORES!BM366)/1000</f>
        <v>0</v>
      </c>
      <c r="BO353" s="1438">
        <f ca="1">IF(B353&gt;=$J$5,0,CONTADORES!BN367-CONTADORES!BN366)</f>
        <v>0</v>
      </c>
      <c r="BP353" s="1438">
        <f ca="1">IF(B353&gt;=$J$5,0,CONTADORES!BO367-CONTADORES!BO366)/1000</f>
        <v>0</v>
      </c>
      <c r="BQ353" s="1438">
        <f ca="1">IF(B353&gt;=$J$5,0,CONTADORES!BP367-CONTADORES!BP366)/1000</f>
        <v>0</v>
      </c>
      <c r="BR353" s="1438">
        <f ca="1">IF(B353&gt;=$J$5,0,CONTADORES!BQ367-CONTADORES!BQ366)</f>
        <v>0</v>
      </c>
      <c r="BS353" s="1438">
        <f ca="1">IF(B353&gt;=$J$5,0,(CONTADORES!BT367-CONTADORES!BT366)+(CONTADORES!BV367-CONTADORES!BV366))/1000</f>
        <v>0</v>
      </c>
      <c r="BT353" s="1438">
        <f ca="1">IF(B353&gt;=$J$5,0,(CONTADORES!BU367-CONTADORES!BU366)+(CONTADORES!BW367-CONTADORES!BW366))/1000</f>
        <v>0</v>
      </c>
      <c r="BU353" s="1438">
        <f ca="1">IF(B353&gt;=$J$5,0,CONTADORES!BR367-CONTADORES!BR366)</f>
        <v>0</v>
      </c>
      <c r="BV353" s="1438">
        <f ca="1">IF(B353&gt;=$J$5,0,CONTADORES!BS367-CONTADORES!BS366)</f>
        <v>0</v>
      </c>
      <c r="BW353" s="1438">
        <f t="shared" ca="1" si="170"/>
        <v>0</v>
      </c>
      <c r="BX353" s="1438">
        <f t="shared" ca="1" si="171"/>
        <v>0</v>
      </c>
      <c r="BY353" s="1438">
        <f t="shared" ca="1" si="172"/>
        <v>0</v>
      </c>
      <c r="BZ353" s="1438">
        <f t="shared" ca="1" si="173"/>
        <v>0</v>
      </c>
      <c r="CA353" s="1438">
        <f t="shared" ca="1" si="174"/>
        <v>0</v>
      </c>
      <c r="CB353" s="1438">
        <f t="shared" ca="1" si="175"/>
        <v>0</v>
      </c>
      <c r="CC353" s="1438">
        <f t="shared" ca="1" si="176"/>
        <v>0</v>
      </c>
      <c r="CD353" s="1438">
        <f t="shared" ca="1" si="177"/>
        <v>0</v>
      </c>
      <c r="CE353" s="1438">
        <f ca="1">IF(B353&gt;=$J$5,0,CONTADORES!BS367-CONTADORES!BS366)</f>
        <v>0</v>
      </c>
      <c r="CF353" s="1438">
        <f t="shared" ca="1" si="178"/>
        <v>0</v>
      </c>
      <c r="CG353" s="1438">
        <f t="shared" ca="1" si="179"/>
        <v>0</v>
      </c>
      <c r="CH353" s="1438">
        <f t="shared" ca="1" si="180"/>
        <v>0</v>
      </c>
      <c r="CI353" s="1438">
        <f t="shared" ca="1" si="181"/>
        <v>0</v>
      </c>
      <c r="CJ353" s="1444">
        <f ca="1">IF($B353&gt;=$J$5,0,CONTADORES!$BG367)</f>
        <v>0</v>
      </c>
      <c r="CK353" s="1406">
        <f>CONTADORES!E367</f>
        <v>0</v>
      </c>
      <c r="CL353" s="1406">
        <f>CONTADORES!BX367</f>
        <v>0</v>
      </c>
    </row>
    <row r="354" spans="2:90">
      <c r="B354" s="410">
        <v>45270</v>
      </c>
      <c r="C354" s="204">
        <f t="shared" ca="1" si="156"/>
        <v>0</v>
      </c>
      <c r="D354" s="202">
        <f ca="1">'CALCULO DE GAS'!P183</f>
        <v>0</v>
      </c>
      <c r="E354" s="202">
        <f ca="1">IF(B354&gt;=$J$5,0,(CONTADORES!$AB368-CONTADORES!$AB367)-$H354)</f>
        <v>0</v>
      </c>
      <c r="F354" s="204">
        <f t="shared" ca="1" si="182"/>
        <v>0</v>
      </c>
      <c r="G354" s="202">
        <f ca="1">IF(B354&gt;=$J$5,0,CONTADORES!$AD368-CONTADORES!$AD367)</f>
        <v>0</v>
      </c>
      <c r="H354" s="202">
        <f ca="1">IF(G354&gt;0,CONTADORES!$AC368-CONTADORES!$AC367,0)</f>
        <v>0</v>
      </c>
      <c r="I354" s="205">
        <f ca="1">IF(B354&gt;=$J$5,0,CONTADORES!$Z368-CONTADORES!$Z367)</f>
        <v>0</v>
      </c>
      <c r="J354" s="204">
        <f t="shared" ca="1" si="157"/>
        <v>0</v>
      </c>
      <c r="K354" s="202">
        <f ca="1">'CALCULO DE GAS'!Q183</f>
        <v>0</v>
      </c>
      <c r="L354" s="1454">
        <f ca="1">IF(B354&gt;=$J$5,0,(CONTADORES!$W368-CONTADORES!$W367)-$O354)</f>
        <v>0</v>
      </c>
      <c r="M354" s="1437">
        <f t="shared" ca="1" si="183"/>
        <v>0</v>
      </c>
      <c r="N354" s="1437">
        <f ca="1">IF(B354&gt;=$J$5,0,CONTADORES!$Y368-CONTADORES!$Y367)</f>
        <v>0</v>
      </c>
      <c r="O354" s="1437">
        <f ca="1">IF(N354&gt;0,CONTADORES!$X368-CONTADORES!$X367,0)</f>
        <v>0</v>
      </c>
      <c r="P354" s="208">
        <f ca="1">IF(B354&gt;=$J$5,0,CONTADORES!$U368-CONTADORES!$U367)</f>
        <v>0</v>
      </c>
      <c r="Q354" s="208">
        <f ca="1">IF(B354&gt;=$J$5,0,CONTADORES!$B368-CONTADORES!$B367)</f>
        <v>0</v>
      </c>
      <c r="R354" s="202">
        <f t="shared" ca="1" si="159"/>
        <v>0</v>
      </c>
      <c r="S354" s="11">
        <f ca="1">IF(B354&gt;=$J$5,0,CONTADORES!$D368-CONTADORES!$D367)</f>
        <v>0</v>
      </c>
      <c r="T354" s="204">
        <f ca="1">IF(B354&gt;=$J$5,0,CONTADORES!$AZ368-CONTADORES!$AZ367)</f>
        <v>0</v>
      </c>
      <c r="U354" s="202">
        <f t="shared" ca="1" si="152"/>
        <v>0</v>
      </c>
      <c r="V354" s="11">
        <f ca="1">IF(B354&gt;=$J$5,0,CONTADORES!$BB368-CONTADORES!$BB367)</f>
        <v>0</v>
      </c>
      <c r="W354" s="1438">
        <f t="shared" ca="1" si="160"/>
        <v>0</v>
      </c>
      <c r="X354" s="1438">
        <f t="shared" ca="1" si="161"/>
        <v>0</v>
      </c>
      <c r="Y354" s="1439">
        <f t="shared" ca="1" si="162"/>
        <v>0</v>
      </c>
      <c r="Z354" s="1439">
        <f t="shared" ca="1" si="163"/>
        <v>0</v>
      </c>
      <c r="AA354" s="1439">
        <f t="shared" ca="1" si="164"/>
        <v>0</v>
      </c>
      <c r="AB354" s="1439">
        <f t="shared" ca="1" si="165"/>
        <v>0</v>
      </c>
      <c r="AC354" s="1438">
        <f t="shared" ca="1" si="166"/>
        <v>0</v>
      </c>
      <c r="AD354" s="1438">
        <f ca="1">IF(B354&gt;=$J$5,0,CONTADORES!H368-CONTADORES!H367)</f>
        <v>0</v>
      </c>
      <c r="AE354" s="1438">
        <f ca="1">IF(B354&gt;=$J$5,0,CONTADORES!J368-CONTADORES!J367)</f>
        <v>0</v>
      </c>
      <c r="AF354" s="1438">
        <f ca="1">IF(B354&gt;=$J$5,0,CONTADORES!AS368-CONTADORES!AS367)</f>
        <v>0</v>
      </c>
      <c r="AG354" s="1438">
        <f ca="1">IF(B354&gt;=$J$5,0,CONTADORES!AU368-CONTADORES!AU367)</f>
        <v>0</v>
      </c>
      <c r="AH354" s="1439">
        <f ca="1">IF(B354&gt;=$J$5,0,(CONTADORES!AK368-CONTADORES!AK367)+(CONTADORES!K368-CONTADORES!K367))</f>
        <v>0</v>
      </c>
      <c r="AI354" s="1438">
        <f ca="1">IF(B354&gt;=$J$5,0,(CONTADORES!AI368-CONTADORES!AI367)+(CONTADORES!M368-CONTADORES!M367))</f>
        <v>0</v>
      </c>
      <c r="AJ354" s="1438">
        <f ca="1">IF(B354&gt;=$J$5,0,(CONTADORES!AG368-CONTADORES!AG367))</f>
        <v>0</v>
      </c>
      <c r="AK354" s="1438">
        <f ca="1">IF(B354&gt;=$J$5,0,(CONTADORES!O368-CONTADORES!O367))</f>
        <v>0</v>
      </c>
      <c r="AL354" s="1500">
        <f t="shared" ca="1" si="167"/>
        <v>0</v>
      </c>
      <c r="AM354" s="1438">
        <f ca="1">IF(B354&gt;=$J$5,0,(((CONTADORES!F368-CONTADORES!F367)+(CONTADORES!AO368-CONTADORES!AO367))))-BJ354-AF354-AN354-BM354-BP354-BU354-BS354+T354</f>
        <v>0</v>
      </c>
      <c r="AN354" s="1443">
        <f ca="1">IF(B354&gt;=$J$5,0,(CONTADORES!AV368-CONTADORES!AV367)+(CONTADORES!AX368-CONTADORES!AX367)+(CONTADORES!BC368-CONTADORES!BC367))-BS354</f>
        <v>0</v>
      </c>
      <c r="AO354" s="1440">
        <f ca="1">IF(B354&gt;=$J$5,0,(CONTADORES!AA368-CONTADORES!AA367))</f>
        <v>0</v>
      </c>
      <c r="AP354" s="1474">
        <f ca="1">IF(B354&gt;=$J$5,0,(CONTADORES!V368-CONTADORES!V367))</f>
        <v>0</v>
      </c>
      <c r="AQ354" s="1445">
        <f ca="1">IF(B354&gt;=$J$5,0,(CONTADORES!C368-CONTADORES!C367))</f>
        <v>0</v>
      </c>
      <c r="AR354" s="1440">
        <f ca="1">IF(B354&gt;=$J$5,0,(CONTADORES!BA368-CONTADORES!BA367))</f>
        <v>0</v>
      </c>
      <c r="AS354" s="1438">
        <f ca="1">IF(B354&gt;=$J$5,0,CONTADORES!Q368-CONTADORES!Q367)</f>
        <v>0</v>
      </c>
      <c r="AT354" s="1438">
        <f ca="1">IF(B354&gt;=$J$5,0,(CONTADORES!S368-CONTADORES!S367)+(CONTADORES!AE368-CONTADORES!AE367))</f>
        <v>0</v>
      </c>
      <c r="AU354" s="1474">
        <f ca="1">IF(B354&gt;=$J$5,0,(CONTADORES!I368-CONTADORES!I367))</f>
        <v>0</v>
      </c>
      <c r="AV354" s="1440">
        <f ca="1">IF(B354&gt;=$J$5,0,(CONTADORES!AT368-CONTADORES!AT367))</f>
        <v>0</v>
      </c>
      <c r="AW354" s="1440">
        <f ca="1">IF(B354&gt;=$J$5,0,(CONTADORES!L368-CONTADORES!L367)+(CONTADORES!AL368-CONTADORES!AL367))</f>
        <v>0</v>
      </c>
      <c r="AX354" s="1440">
        <f ca="1">IF(B354&gt;=$J$5,0,(CONTADORES!N368-CONTADORES!N367)+(CONTADORES!AJ368-CONTADORES!AJ367))</f>
        <v>0</v>
      </c>
      <c r="AY354" s="1440">
        <f ca="1">IF(B354&gt;=$J$5,0,(CONTADORES!AH368-CONTADORES!AH367))</f>
        <v>0</v>
      </c>
      <c r="AZ354" s="1440">
        <f ca="1">IF(B354&gt;=$J$5,0,(CONTADORES!P368-CONTADORES!P367))</f>
        <v>0</v>
      </c>
      <c r="BA354" s="1450">
        <f t="shared" ca="1" si="168"/>
        <v>0</v>
      </c>
      <c r="BB354" s="1440">
        <f ca="1">IF(B354&gt;=$J$5,0,(((CONTADORES!G368-CONTADORES!G367)+(CONTADORES!AP368-CONTADORES!AP367)+AR354)-(AV354+BC354)))</f>
        <v>0</v>
      </c>
      <c r="BC354" s="1438">
        <f ca="1">IF(B354&gt;=$J$5,0,(CONTADORES!AW368-CONTADORES!AW367)+(CONTADORES!AY368-CONTADORES!AY367)+(CONTADORES!BD368-CONTADORES!BD367))</f>
        <v>0</v>
      </c>
      <c r="BD354" s="1438">
        <f t="shared" ca="1" si="169"/>
        <v>0</v>
      </c>
      <c r="BE354" s="1439">
        <f ca="1">IF($B354&gt;=$J$5,0,CONTADORES!$BE368)</f>
        <v>0</v>
      </c>
      <c r="BF354" s="1438">
        <f ca="1">IF($B354&gt;=$J$5,0,CONTADORES!$BF368)</f>
        <v>0</v>
      </c>
      <c r="BG354" s="1438">
        <f ca="1">IF($B354&gt;=$J$5,0,CONTADORES!$BH368)</f>
        <v>0</v>
      </c>
      <c r="BH354" s="1438">
        <f ca="1">IF(B354&gt;=$J$5,0,(CONTADORES!AQ368-CONTADORES!AQ367))</f>
        <v>0</v>
      </c>
      <c r="BI354" s="1438">
        <f ca="1">IF(B354&gt;=$J$5,0,(CONTADORES!AR368-CONTADORES!AR367))</f>
        <v>0</v>
      </c>
      <c r="BJ354" s="1438">
        <f ca="1">IF(B354&gt;=$J$5,0,CONTADORES!BI368-CONTADORES!BI367)/1000</f>
        <v>0</v>
      </c>
      <c r="BK354" s="1438">
        <f ca="1">IF(B354&gt;=$J$5,0,CONTADORES!BJ368-CONTADORES!BJ367)</f>
        <v>0</v>
      </c>
      <c r="BL354" s="1438">
        <f ca="1">IF(B354&gt;=$J$5,0,CONTADORES!BK368-CONTADORES!BK367)</f>
        <v>0</v>
      </c>
      <c r="BM354" s="1438">
        <f ca="1">IF(B354&gt;=$J$5,0,CONTADORES!BL368-CONTADORES!BL367)/1000</f>
        <v>0</v>
      </c>
      <c r="BN354" s="1438">
        <f ca="1">IF(B354&gt;=$J$5,0,CONTADORES!BM368-CONTADORES!BM367)/1000</f>
        <v>0</v>
      </c>
      <c r="BO354" s="1438">
        <f ca="1">IF(B354&gt;=$J$5,0,CONTADORES!BN368-CONTADORES!BN367)</f>
        <v>0</v>
      </c>
      <c r="BP354" s="1438">
        <f ca="1">IF(B354&gt;=$J$5,0,CONTADORES!BO368-CONTADORES!BO367)/1000</f>
        <v>0</v>
      </c>
      <c r="BQ354" s="1438">
        <f ca="1">IF(B354&gt;=$J$5,0,CONTADORES!BP368-CONTADORES!BP367)/1000</f>
        <v>0</v>
      </c>
      <c r="BR354" s="1438">
        <f ca="1">IF(B354&gt;=$J$5,0,CONTADORES!BQ368-CONTADORES!BQ367)</f>
        <v>0</v>
      </c>
      <c r="BS354" s="1438">
        <f ca="1">IF(B354&gt;=$J$5,0,(CONTADORES!BT368-CONTADORES!BT367)+(CONTADORES!BV368-CONTADORES!BV367))/1000</f>
        <v>0</v>
      </c>
      <c r="BT354" s="1438">
        <f ca="1">IF(B354&gt;=$J$5,0,(CONTADORES!BU368-CONTADORES!BU367)+(CONTADORES!BW368-CONTADORES!BW367))/1000</f>
        <v>0</v>
      </c>
      <c r="BU354" s="1438">
        <f ca="1">IF(B354&gt;=$J$5,0,CONTADORES!BR368-CONTADORES!BR367)</f>
        <v>0</v>
      </c>
      <c r="BV354" s="1438">
        <f ca="1">IF(B354&gt;=$J$5,0,CONTADORES!BS368-CONTADORES!BS367)</f>
        <v>0</v>
      </c>
      <c r="BW354" s="1438">
        <f t="shared" ca="1" si="170"/>
        <v>0</v>
      </c>
      <c r="BX354" s="1438">
        <f t="shared" ca="1" si="171"/>
        <v>0</v>
      </c>
      <c r="BY354" s="1438">
        <f t="shared" ca="1" si="172"/>
        <v>0</v>
      </c>
      <c r="BZ354" s="1438">
        <f t="shared" ca="1" si="173"/>
        <v>0</v>
      </c>
      <c r="CA354" s="1438">
        <f t="shared" ca="1" si="174"/>
        <v>0</v>
      </c>
      <c r="CB354" s="1438">
        <f t="shared" ca="1" si="175"/>
        <v>0</v>
      </c>
      <c r="CC354" s="1438">
        <f t="shared" ca="1" si="176"/>
        <v>0</v>
      </c>
      <c r="CD354" s="1438">
        <f t="shared" ca="1" si="177"/>
        <v>0</v>
      </c>
      <c r="CE354" s="1438">
        <f ca="1">IF(B354&gt;=$J$5,0,CONTADORES!BS368-CONTADORES!BS367)</f>
        <v>0</v>
      </c>
      <c r="CF354" s="1438">
        <f t="shared" ca="1" si="178"/>
        <v>0</v>
      </c>
      <c r="CG354" s="1438">
        <f t="shared" ca="1" si="179"/>
        <v>0</v>
      </c>
      <c r="CH354" s="1438">
        <f t="shared" ca="1" si="180"/>
        <v>0</v>
      </c>
      <c r="CI354" s="1438">
        <f t="shared" ca="1" si="181"/>
        <v>0</v>
      </c>
      <c r="CJ354" s="1444">
        <f ca="1">IF($B354&gt;=$J$5,0,CONTADORES!$BG368)</f>
        <v>0</v>
      </c>
      <c r="CK354" s="1406">
        <f>CONTADORES!E368</f>
        <v>0</v>
      </c>
      <c r="CL354" s="1406">
        <f>CONTADORES!BX368</f>
        <v>0</v>
      </c>
    </row>
    <row r="355" spans="2:90">
      <c r="B355" s="410">
        <v>45271</v>
      </c>
      <c r="C355" s="204">
        <f t="shared" ca="1" si="156"/>
        <v>0</v>
      </c>
      <c r="D355" s="202">
        <f ca="1">'CALCULO DE GAS'!P184</f>
        <v>0</v>
      </c>
      <c r="E355" s="202">
        <f ca="1">IF(B355&gt;=$J$5,0,(CONTADORES!$AB369-CONTADORES!$AB368)-$H355)</f>
        <v>0</v>
      </c>
      <c r="F355" s="204">
        <f t="shared" ca="1" si="182"/>
        <v>0</v>
      </c>
      <c r="G355" s="202">
        <f ca="1">IF(B355&gt;=$J$5,0,CONTADORES!$AD369-CONTADORES!$AD368)</f>
        <v>0</v>
      </c>
      <c r="H355" s="202">
        <f ca="1">IF(G355&gt;0,CONTADORES!$AC369-CONTADORES!$AC368,0)</f>
        <v>0</v>
      </c>
      <c r="I355" s="205">
        <f ca="1">IF(B355&gt;=$J$5,0,CONTADORES!$Z369-CONTADORES!$Z368)</f>
        <v>0</v>
      </c>
      <c r="J355" s="204">
        <f t="shared" ca="1" si="157"/>
        <v>0</v>
      </c>
      <c r="K355" s="202">
        <f ca="1">'CALCULO DE GAS'!Q184</f>
        <v>0</v>
      </c>
      <c r="L355" s="1454">
        <f ca="1">IF(B355&gt;=$J$5,0,(CONTADORES!$W369-CONTADORES!$W368)-$O355)</f>
        <v>0</v>
      </c>
      <c r="M355" s="1437">
        <f t="shared" ca="1" si="183"/>
        <v>0</v>
      </c>
      <c r="N355" s="1437">
        <f ca="1">IF(B355&gt;=$J$5,0,CONTADORES!$Y369-CONTADORES!$Y368)</f>
        <v>0</v>
      </c>
      <c r="O355" s="1437">
        <f ca="1">IF(N355&gt;0,CONTADORES!$X369-CONTADORES!$X368,0)</f>
        <v>0</v>
      </c>
      <c r="P355" s="208">
        <f ca="1">IF(B355&gt;=$J$5,0,CONTADORES!$U369-CONTADORES!$U368)</f>
        <v>0</v>
      </c>
      <c r="Q355" s="208">
        <f ca="1">IF(B355&gt;=$J$5,0,CONTADORES!$B369-CONTADORES!$B368)</f>
        <v>0</v>
      </c>
      <c r="R355" s="202">
        <f t="shared" ca="1" si="159"/>
        <v>0</v>
      </c>
      <c r="S355" s="11">
        <f ca="1">IF(B355&gt;=$J$5,0,CONTADORES!$D369-CONTADORES!$D368)</f>
        <v>0</v>
      </c>
      <c r="T355" s="204">
        <f ca="1">IF(B355&gt;=$J$5,0,CONTADORES!$AZ369-CONTADORES!$AZ368)</f>
        <v>0</v>
      </c>
      <c r="U355" s="202">
        <f t="shared" ca="1" si="152"/>
        <v>0</v>
      </c>
      <c r="V355" s="11">
        <f ca="1">IF(B355&gt;=$J$5,0,CONTADORES!$BB369-CONTADORES!$BB368)</f>
        <v>0</v>
      </c>
      <c r="W355" s="1438">
        <f t="shared" ca="1" si="160"/>
        <v>0</v>
      </c>
      <c r="X355" s="1438">
        <f t="shared" ca="1" si="161"/>
        <v>0</v>
      </c>
      <c r="Y355" s="1439">
        <f t="shared" ca="1" si="162"/>
        <v>0</v>
      </c>
      <c r="Z355" s="1439">
        <f t="shared" ca="1" si="163"/>
        <v>0</v>
      </c>
      <c r="AA355" s="1439">
        <f t="shared" ca="1" si="164"/>
        <v>0</v>
      </c>
      <c r="AB355" s="1439">
        <f t="shared" ca="1" si="165"/>
        <v>0</v>
      </c>
      <c r="AC355" s="1438">
        <f t="shared" ca="1" si="166"/>
        <v>0</v>
      </c>
      <c r="AD355" s="1438">
        <f ca="1">IF(B355&gt;=$J$5,0,CONTADORES!H369-CONTADORES!H368)</f>
        <v>0</v>
      </c>
      <c r="AE355" s="1438">
        <f ca="1">IF(B355&gt;=$J$5,0,CONTADORES!J369-CONTADORES!J368)</f>
        <v>0</v>
      </c>
      <c r="AF355" s="1438">
        <f ca="1">IF(B355&gt;=$J$5,0,CONTADORES!AS369-CONTADORES!AS368)</f>
        <v>0</v>
      </c>
      <c r="AG355" s="1438">
        <f ca="1">IF(B355&gt;=$J$5,0,CONTADORES!AU369-CONTADORES!AU368)</f>
        <v>0</v>
      </c>
      <c r="AH355" s="1439">
        <f ca="1">IF(B355&gt;=$J$5,0,(CONTADORES!AK369-CONTADORES!AK368)+(CONTADORES!K369-CONTADORES!K368))</f>
        <v>0</v>
      </c>
      <c r="AI355" s="1438">
        <f ca="1">IF(B355&gt;=$J$5,0,(CONTADORES!AI369-CONTADORES!AI368)+(CONTADORES!M369-CONTADORES!M368))</f>
        <v>0</v>
      </c>
      <c r="AJ355" s="1438">
        <f ca="1">IF(B355&gt;=$J$5,0,(CONTADORES!AG369-CONTADORES!AG368))</f>
        <v>0</v>
      </c>
      <c r="AK355" s="1438">
        <f ca="1">IF(B355&gt;=$J$5,0,(CONTADORES!O369-CONTADORES!O368))</f>
        <v>0</v>
      </c>
      <c r="AL355" s="1500">
        <f t="shared" ca="1" si="167"/>
        <v>0</v>
      </c>
      <c r="AM355" s="1438">
        <f ca="1">IF(B355&gt;=$J$5,0,(((CONTADORES!F369-CONTADORES!F368)+(CONTADORES!AO369-CONTADORES!AO368))))-BJ355-AF355-AN355-BM355-BP355-BU355-BS355+T355</f>
        <v>0</v>
      </c>
      <c r="AN355" s="1443">
        <f ca="1">IF(B355&gt;=$J$5,0,(CONTADORES!AV369-CONTADORES!AV368)+(CONTADORES!AX369-CONTADORES!AX368)+(CONTADORES!BC369-CONTADORES!BC368))-BS355</f>
        <v>0</v>
      </c>
      <c r="AO355" s="1440">
        <f ca="1">IF(B355&gt;=$J$5,0,(CONTADORES!AA369-CONTADORES!AA368))</f>
        <v>0</v>
      </c>
      <c r="AP355" s="1474">
        <f ca="1">IF(B355&gt;=$J$5,0,(CONTADORES!V369-CONTADORES!V368))</f>
        <v>0</v>
      </c>
      <c r="AQ355" s="1445">
        <f ca="1">IF(B355&gt;=$J$5,0,(CONTADORES!C369-CONTADORES!C368))</f>
        <v>0</v>
      </c>
      <c r="AR355" s="1440">
        <f ca="1">IF(B355&gt;=$J$5,0,(CONTADORES!BA369-CONTADORES!BA368))</f>
        <v>0</v>
      </c>
      <c r="AS355" s="1438">
        <f ca="1">IF(B355&gt;=$J$5,0,CONTADORES!Q369-CONTADORES!Q368)</f>
        <v>0</v>
      </c>
      <c r="AT355" s="1438">
        <f ca="1">IF(B355&gt;=$J$5,0,(CONTADORES!S369-CONTADORES!S368)+(CONTADORES!AE369-CONTADORES!AE368))</f>
        <v>0</v>
      </c>
      <c r="AU355" s="1474">
        <f ca="1">IF(B355&gt;=$J$5,0,(CONTADORES!I369-CONTADORES!I368))</f>
        <v>0</v>
      </c>
      <c r="AV355" s="1440">
        <f ca="1">IF(B355&gt;=$J$5,0,(CONTADORES!AT369-CONTADORES!AT368))</f>
        <v>0</v>
      </c>
      <c r="AW355" s="1440">
        <f ca="1">IF(B355&gt;=$J$5,0,(CONTADORES!L369-CONTADORES!L368)+(CONTADORES!AL369-CONTADORES!AL368))</f>
        <v>0</v>
      </c>
      <c r="AX355" s="1440">
        <f ca="1">IF(B355&gt;=$J$5,0,(CONTADORES!N369-CONTADORES!N368)+(CONTADORES!AJ369-CONTADORES!AJ368))</f>
        <v>0</v>
      </c>
      <c r="AY355" s="1440">
        <f ca="1">IF(B355&gt;=$J$5,0,(CONTADORES!AH369-CONTADORES!AH368))</f>
        <v>0</v>
      </c>
      <c r="AZ355" s="1440">
        <f ca="1">IF(B355&gt;=$J$5,0,(CONTADORES!P369-CONTADORES!P368))</f>
        <v>0</v>
      </c>
      <c r="BA355" s="1450">
        <f t="shared" ca="1" si="168"/>
        <v>0</v>
      </c>
      <c r="BB355" s="1440">
        <f ca="1">IF(B355&gt;=$J$5,0,(((CONTADORES!G369-CONTADORES!G368)+(CONTADORES!AP369-CONTADORES!AP368)+AR355)-(AV355+BC355)))</f>
        <v>0</v>
      </c>
      <c r="BC355" s="1438">
        <f ca="1">IF(B355&gt;=$J$5,0,(CONTADORES!AW369-CONTADORES!AW368)+(CONTADORES!AY369-CONTADORES!AY368)+(CONTADORES!BD369-CONTADORES!BD368))</f>
        <v>0</v>
      </c>
      <c r="BD355" s="1438">
        <f t="shared" ca="1" si="169"/>
        <v>0</v>
      </c>
      <c r="BE355" s="1439">
        <f ca="1">IF($B355&gt;=$J$5,0,CONTADORES!$BE369)</f>
        <v>0</v>
      </c>
      <c r="BF355" s="1438">
        <f ca="1">IF($B355&gt;=$J$5,0,CONTADORES!$BF369)</f>
        <v>0</v>
      </c>
      <c r="BG355" s="1438">
        <f ca="1">IF($B355&gt;=$J$5,0,CONTADORES!$BH369)</f>
        <v>0</v>
      </c>
      <c r="BH355" s="1438">
        <f ca="1">IF(B355&gt;=$J$5,0,(CONTADORES!AQ369-CONTADORES!AQ368))</f>
        <v>0</v>
      </c>
      <c r="BI355" s="1438">
        <f ca="1">IF(B355&gt;=$J$5,0,(CONTADORES!AR369-CONTADORES!AR368))</f>
        <v>0</v>
      </c>
      <c r="BJ355" s="1438">
        <f ca="1">IF(B355&gt;=$J$5,0,CONTADORES!BI369-CONTADORES!BI368)/1000</f>
        <v>0</v>
      </c>
      <c r="BK355" s="1438">
        <f ca="1">IF(B355&gt;=$J$5,0,CONTADORES!BJ369-CONTADORES!BJ368)</f>
        <v>0</v>
      </c>
      <c r="BL355" s="1438">
        <f ca="1">IF(B355&gt;=$J$5,0,CONTADORES!BK369-CONTADORES!BK368)</f>
        <v>0</v>
      </c>
      <c r="BM355" s="1438">
        <f ca="1">IF(B355&gt;=$J$5,0,CONTADORES!BL369-CONTADORES!BL368)/1000</f>
        <v>0</v>
      </c>
      <c r="BN355" s="1438">
        <f ca="1">IF(B355&gt;=$J$5,0,CONTADORES!BM369-CONTADORES!BM368)/1000</f>
        <v>0</v>
      </c>
      <c r="BO355" s="1438">
        <f ca="1">IF(B355&gt;=$J$5,0,CONTADORES!BN369-CONTADORES!BN368)</f>
        <v>0</v>
      </c>
      <c r="BP355" s="1438">
        <f ca="1">IF(B355&gt;=$J$5,0,CONTADORES!BO369-CONTADORES!BO368)/1000</f>
        <v>0</v>
      </c>
      <c r="BQ355" s="1438">
        <f ca="1">IF(B355&gt;=$J$5,0,CONTADORES!BP369-CONTADORES!BP368)/1000</f>
        <v>0</v>
      </c>
      <c r="BR355" s="1438">
        <f ca="1">IF(B355&gt;=$J$5,0,CONTADORES!BQ369-CONTADORES!BQ368)</f>
        <v>0</v>
      </c>
      <c r="BS355" s="1438">
        <f ca="1">IF(B355&gt;=$J$5,0,(CONTADORES!BT369-CONTADORES!BT368)+(CONTADORES!BV369-CONTADORES!BV368))/1000</f>
        <v>0</v>
      </c>
      <c r="BT355" s="1438">
        <f ca="1">IF(B355&gt;=$J$5,0,(CONTADORES!BU369-CONTADORES!BU368)+(CONTADORES!BW369-CONTADORES!BW368))/1000</f>
        <v>0</v>
      </c>
      <c r="BU355" s="1438">
        <f ca="1">IF(B355&gt;=$J$5,0,CONTADORES!BR369-CONTADORES!BR368)</f>
        <v>0</v>
      </c>
      <c r="BV355" s="1438">
        <f ca="1">IF(B355&gt;=$J$5,0,CONTADORES!BS369-CONTADORES!BS368)</f>
        <v>0</v>
      </c>
      <c r="BW355" s="1438">
        <f t="shared" ca="1" si="170"/>
        <v>0</v>
      </c>
      <c r="BX355" s="1438">
        <f t="shared" ca="1" si="171"/>
        <v>0</v>
      </c>
      <c r="BY355" s="1438">
        <f t="shared" ca="1" si="172"/>
        <v>0</v>
      </c>
      <c r="BZ355" s="1438">
        <f t="shared" ca="1" si="173"/>
        <v>0</v>
      </c>
      <c r="CA355" s="1438">
        <f t="shared" ca="1" si="174"/>
        <v>0</v>
      </c>
      <c r="CB355" s="1438">
        <f t="shared" ca="1" si="175"/>
        <v>0</v>
      </c>
      <c r="CC355" s="1438">
        <f t="shared" ca="1" si="176"/>
        <v>0</v>
      </c>
      <c r="CD355" s="1438">
        <f t="shared" ca="1" si="177"/>
        <v>0</v>
      </c>
      <c r="CE355" s="1438">
        <f ca="1">IF(B355&gt;=$J$5,0,CONTADORES!BS369-CONTADORES!BS368)</f>
        <v>0</v>
      </c>
      <c r="CF355" s="1438">
        <f t="shared" ca="1" si="178"/>
        <v>0</v>
      </c>
      <c r="CG355" s="1438">
        <f t="shared" ca="1" si="179"/>
        <v>0</v>
      </c>
      <c r="CH355" s="1438">
        <f t="shared" ca="1" si="180"/>
        <v>0</v>
      </c>
      <c r="CI355" s="1438">
        <f t="shared" ca="1" si="181"/>
        <v>0</v>
      </c>
      <c r="CJ355" s="1444">
        <f ca="1">IF($B355&gt;=$J$5,0,CONTADORES!$BG369)</f>
        <v>0</v>
      </c>
      <c r="CK355" s="1406">
        <f>CONTADORES!E369</f>
        <v>0</v>
      </c>
      <c r="CL355" s="1406">
        <f>CONTADORES!BX369</f>
        <v>0</v>
      </c>
    </row>
    <row r="356" spans="2:90">
      <c r="B356" s="410">
        <v>45272</v>
      </c>
      <c r="C356" s="204">
        <f t="shared" ca="1" si="156"/>
        <v>0</v>
      </c>
      <c r="D356" s="202">
        <f ca="1">'CALCULO DE GAS'!P185</f>
        <v>0</v>
      </c>
      <c r="E356" s="202">
        <f ca="1">IF(B356&gt;=$J$5,0,(CONTADORES!$AB370-CONTADORES!$AB369)-$H356)</f>
        <v>0</v>
      </c>
      <c r="F356" s="204">
        <f t="shared" ca="1" si="182"/>
        <v>0</v>
      </c>
      <c r="G356" s="202">
        <f ca="1">IF(B356&gt;=$J$5,0,CONTADORES!$AD370-CONTADORES!$AD369)</f>
        <v>0</v>
      </c>
      <c r="H356" s="202">
        <f ca="1">IF(G356&gt;0,CONTADORES!$AC370-CONTADORES!$AC369,0)</f>
        <v>0</v>
      </c>
      <c r="I356" s="205">
        <f ca="1">IF(B356&gt;=$J$5,0,CONTADORES!$Z370-CONTADORES!$Z369)</f>
        <v>0</v>
      </c>
      <c r="J356" s="204">
        <f t="shared" ca="1" si="157"/>
        <v>0</v>
      </c>
      <c r="K356" s="202">
        <f ca="1">'CALCULO DE GAS'!Q185</f>
        <v>0</v>
      </c>
      <c r="L356" s="1454">
        <f ca="1">IF(B356&gt;=$J$5,0,(CONTADORES!$W370-CONTADORES!$W369)-$O356)</f>
        <v>0</v>
      </c>
      <c r="M356" s="1437">
        <f t="shared" ca="1" si="183"/>
        <v>0</v>
      </c>
      <c r="N356" s="1437">
        <f ca="1">IF(B356&gt;=$J$5,0,CONTADORES!$Y370-CONTADORES!$Y369)</f>
        <v>0</v>
      </c>
      <c r="O356" s="1437">
        <f ca="1">IF(N356&gt;0,CONTADORES!$X370-CONTADORES!$X369,0)</f>
        <v>0</v>
      </c>
      <c r="P356" s="208">
        <f ca="1">IF(B356&gt;=$J$5,0,CONTADORES!$U370-CONTADORES!$U369)</f>
        <v>0</v>
      </c>
      <c r="Q356" s="208">
        <f ca="1">IF(B356&gt;=$J$5,0,CONTADORES!$B370-CONTADORES!$B369)</f>
        <v>0</v>
      </c>
      <c r="R356" s="202">
        <f t="shared" ca="1" si="159"/>
        <v>0</v>
      </c>
      <c r="S356" s="11">
        <f ca="1">IF(B356&gt;=$J$5,0,CONTADORES!$D370-CONTADORES!$D369)</f>
        <v>0</v>
      </c>
      <c r="T356" s="204">
        <f ca="1">IF(B356&gt;=$J$5,0,CONTADORES!$AZ370-CONTADORES!$AZ369)</f>
        <v>0</v>
      </c>
      <c r="U356" s="202">
        <f t="shared" ca="1" si="152"/>
        <v>0</v>
      </c>
      <c r="V356" s="11">
        <f ca="1">IF(B356&gt;=$J$5,0,CONTADORES!$BB370-CONTADORES!$BB369)</f>
        <v>0</v>
      </c>
      <c r="W356" s="1438">
        <f t="shared" ca="1" si="160"/>
        <v>0</v>
      </c>
      <c r="X356" s="1438">
        <f t="shared" ca="1" si="161"/>
        <v>0</v>
      </c>
      <c r="Y356" s="1439">
        <f t="shared" ca="1" si="162"/>
        <v>0</v>
      </c>
      <c r="Z356" s="1439">
        <f t="shared" ca="1" si="163"/>
        <v>0</v>
      </c>
      <c r="AA356" s="1439">
        <f t="shared" ca="1" si="164"/>
        <v>0</v>
      </c>
      <c r="AB356" s="1439">
        <f t="shared" ca="1" si="165"/>
        <v>0</v>
      </c>
      <c r="AC356" s="1438">
        <f t="shared" ca="1" si="166"/>
        <v>0</v>
      </c>
      <c r="AD356" s="1438">
        <f ca="1">IF(B356&gt;=$J$5,0,CONTADORES!H370-CONTADORES!H369)</f>
        <v>0</v>
      </c>
      <c r="AE356" s="1438">
        <f ca="1">IF(B356&gt;=$J$5,0,CONTADORES!J370-CONTADORES!J369)</f>
        <v>0</v>
      </c>
      <c r="AF356" s="1438">
        <f ca="1">IF(B356&gt;=$J$5,0,CONTADORES!AS370-CONTADORES!AS369)</f>
        <v>0</v>
      </c>
      <c r="AG356" s="1438">
        <f ca="1">IF(B356&gt;=$J$5,0,CONTADORES!AU370-CONTADORES!AU369)</f>
        <v>0</v>
      </c>
      <c r="AH356" s="1439">
        <f ca="1">IF(B356&gt;=$J$5,0,(CONTADORES!AK370-CONTADORES!AK369)+(CONTADORES!K370-CONTADORES!K369))</f>
        <v>0</v>
      </c>
      <c r="AI356" s="1438">
        <f ca="1">IF(B356&gt;=$J$5,0,(CONTADORES!AI370-CONTADORES!AI369)+(CONTADORES!M370-CONTADORES!M369))</f>
        <v>0</v>
      </c>
      <c r="AJ356" s="1438">
        <f ca="1">IF(B356&gt;=$J$5,0,(CONTADORES!AG370-CONTADORES!AG369))</f>
        <v>0</v>
      </c>
      <c r="AK356" s="1438">
        <f ca="1">IF(B356&gt;=$J$5,0,(CONTADORES!O370-CONTADORES!O369))</f>
        <v>0</v>
      </c>
      <c r="AL356" s="1500">
        <f t="shared" ca="1" si="167"/>
        <v>0</v>
      </c>
      <c r="AM356" s="1438">
        <f ca="1">IF(B356&gt;=$J$5,0,(((CONTADORES!F370-CONTADORES!F369)+(CONTADORES!AO370-CONTADORES!AO369))))-BJ356-AF356-AN356-BM356-BP356-BU356-BS356+T356</f>
        <v>0</v>
      </c>
      <c r="AN356" s="1443">
        <f ca="1">IF(B356&gt;=$J$5,0,(CONTADORES!AV370-CONTADORES!AV369)+(CONTADORES!AX370-CONTADORES!AX369)+(CONTADORES!BC370-CONTADORES!BC369))-BS356</f>
        <v>0</v>
      </c>
      <c r="AO356" s="1440">
        <f ca="1">IF(B356&gt;=$J$5,0,(CONTADORES!AA370-CONTADORES!AA369))</f>
        <v>0</v>
      </c>
      <c r="AP356" s="1474">
        <f ca="1">IF(B356&gt;=$J$5,0,(CONTADORES!V370-CONTADORES!V369))</f>
        <v>0</v>
      </c>
      <c r="AQ356" s="1445">
        <f ca="1">IF(B356&gt;=$J$5,0,(CONTADORES!C370-CONTADORES!C369))</f>
        <v>0</v>
      </c>
      <c r="AR356" s="1440">
        <f ca="1">IF(B356&gt;=$J$5,0,(CONTADORES!BA370-CONTADORES!BA369))</f>
        <v>0</v>
      </c>
      <c r="AS356" s="1438">
        <f ca="1">IF(B356&gt;=$J$5,0,CONTADORES!Q370-CONTADORES!Q369)</f>
        <v>0</v>
      </c>
      <c r="AT356" s="1438">
        <f ca="1">IF(B356&gt;=$J$5,0,(CONTADORES!S370-CONTADORES!S369)+(CONTADORES!AE370-CONTADORES!AE369))</f>
        <v>0</v>
      </c>
      <c r="AU356" s="1474">
        <f ca="1">IF(B356&gt;=$J$5,0,(CONTADORES!I370-CONTADORES!I369))</f>
        <v>0</v>
      </c>
      <c r="AV356" s="1440">
        <f ca="1">IF(B356&gt;=$J$5,0,(CONTADORES!AT370-CONTADORES!AT369))</f>
        <v>0</v>
      </c>
      <c r="AW356" s="1440">
        <f ca="1">IF(B356&gt;=$J$5,0,(CONTADORES!L370-CONTADORES!L369)+(CONTADORES!AL370-CONTADORES!AL369))</f>
        <v>0</v>
      </c>
      <c r="AX356" s="1440">
        <f ca="1">IF(B356&gt;=$J$5,0,(CONTADORES!N370-CONTADORES!N369)+(CONTADORES!AJ370-CONTADORES!AJ369))</f>
        <v>0</v>
      </c>
      <c r="AY356" s="1440">
        <f ca="1">IF(B356&gt;=$J$5,0,(CONTADORES!AH370-CONTADORES!AH369))</f>
        <v>0</v>
      </c>
      <c r="AZ356" s="1440">
        <f ca="1">IF(B356&gt;=$J$5,0,(CONTADORES!P370-CONTADORES!P369))</f>
        <v>0</v>
      </c>
      <c r="BA356" s="1450">
        <f t="shared" ca="1" si="168"/>
        <v>0</v>
      </c>
      <c r="BB356" s="1440">
        <f ca="1">IF(B356&gt;=$J$5,0,(((CONTADORES!G370-CONTADORES!G369)+(CONTADORES!AP370-CONTADORES!AP369)+AR356)-(AV356+BC356)))</f>
        <v>0</v>
      </c>
      <c r="BC356" s="1438">
        <f ca="1">IF(B356&gt;=$J$5,0,(CONTADORES!AW370-CONTADORES!AW369)+(CONTADORES!AY370-CONTADORES!AY369)+(CONTADORES!BD370-CONTADORES!BD369))</f>
        <v>0</v>
      </c>
      <c r="BD356" s="1438">
        <f t="shared" ca="1" si="169"/>
        <v>0</v>
      </c>
      <c r="BE356" s="1439">
        <f ca="1">IF($B356&gt;=$J$5,0,CONTADORES!$BE370)</f>
        <v>0</v>
      </c>
      <c r="BF356" s="1438">
        <f ca="1">IF($B356&gt;=$J$5,0,CONTADORES!$BF370)</f>
        <v>0</v>
      </c>
      <c r="BG356" s="1438">
        <f ca="1">IF($B356&gt;=$J$5,0,CONTADORES!$BH370)</f>
        <v>0</v>
      </c>
      <c r="BH356" s="1438">
        <f ca="1">IF(B356&gt;=$J$5,0,(CONTADORES!AQ370-CONTADORES!AQ369))</f>
        <v>0</v>
      </c>
      <c r="BI356" s="1438">
        <f ca="1">IF(B356&gt;=$J$5,0,(CONTADORES!AR370-CONTADORES!AR369))</f>
        <v>0</v>
      </c>
      <c r="BJ356" s="1438">
        <f ca="1">IF(B356&gt;=$J$5,0,CONTADORES!BI370-CONTADORES!BI369)/1000</f>
        <v>0</v>
      </c>
      <c r="BK356" s="1438">
        <f ca="1">IF(B356&gt;=$J$5,0,CONTADORES!BJ370-CONTADORES!BJ369)</f>
        <v>0</v>
      </c>
      <c r="BL356" s="1438">
        <f ca="1">IF(B356&gt;=$J$5,0,CONTADORES!BK370-CONTADORES!BK369)</f>
        <v>0</v>
      </c>
      <c r="BM356" s="1438">
        <f ca="1">IF(B356&gt;=$J$5,0,CONTADORES!BL370-CONTADORES!BL369)/1000</f>
        <v>0</v>
      </c>
      <c r="BN356" s="1438">
        <f ca="1">IF(B356&gt;=$J$5,0,CONTADORES!BM370-CONTADORES!BM369)/1000</f>
        <v>0</v>
      </c>
      <c r="BO356" s="1438">
        <f ca="1">IF(B356&gt;=$J$5,0,CONTADORES!BN370-CONTADORES!BN369)</f>
        <v>0</v>
      </c>
      <c r="BP356" s="1438">
        <f ca="1">IF(B356&gt;=$J$5,0,CONTADORES!BO370-CONTADORES!BO369)/1000</f>
        <v>0</v>
      </c>
      <c r="BQ356" s="1438">
        <f ca="1">IF(B356&gt;=$J$5,0,CONTADORES!BP370-CONTADORES!BP369)/1000</f>
        <v>0</v>
      </c>
      <c r="BR356" s="1438">
        <f ca="1">IF(B356&gt;=$J$5,0,CONTADORES!BQ370-CONTADORES!BQ369)</f>
        <v>0</v>
      </c>
      <c r="BS356" s="1438">
        <f ca="1">IF(B356&gt;=$J$5,0,(CONTADORES!BT370-CONTADORES!BT369)+(CONTADORES!BV370-CONTADORES!BV369))/1000</f>
        <v>0</v>
      </c>
      <c r="BT356" s="1438">
        <f ca="1">IF(B356&gt;=$J$5,0,(CONTADORES!BU370-CONTADORES!BU369)+(CONTADORES!BW370-CONTADORES!BW369))/1000</f>
        <v>0</v>
      </c>
      <c r="BU356" s="1438">
        <f ca="1">IF(B356&gt;=$J$5,0,CONTADORES!BR370-CONTADORES!BR369)</f>
        <v>0</v>
      </c>
      <c r="BV356" s="1438">
        <f ca="1">IF(B356&gt;=$J$5,0,CONTADORES!BS370-CONTADORES!BS369)</f>
        <v>0</v>
      </c>
      <c r="BW356" s="1438">
        <f t="shared" ca="1" si="170"/>
        <v>0</v>
      </c>
      <c r="BX356" s="1438">
        <f t="shared" ca="1" si="171"/>
        <v>0</v>
      </c>
      <c r="BY356" s="1438">
        <f t="shared" ca="1" si="172"/>
        <v>0</v>
      </c>
      <c r="BZ356" s="1438">
        <f t="shared" ca="1" si="173"/>
        <v>0</v>
      </c>
      <c r="CA356" s="1438">
        <f t="shared" ca="1" si="174"/>
        <v>0</v>
      </c>
      <c r="CB356" s="1438">
        <f t="shared" ca="1" si="175"/>
        <v>0</v>
      </c>
      <c r="CC356" s="1438">
        <f t="shared" ca="1" si="176"/>
        <v>0</v>
      </c>
      <c r="CD356" s="1438">
        <f t="shared" ca="1" si="177"/>
        <v>0</v>
      </c>
      <c r="CE356" s="1438">
        <f ca="1">IF(B356&gt;=$J$5,0,CONTADORES!BS370-CONTADORES!BS369)</f>
        <v>0</v>
      </c>
      <c r="CF356" s="1438">
        <f t="shared" ca="1" si="178"/>
        <v>0</v>
      </c>
      <c r="CG356" s="1438">
        <f t="shared" ca="1" si="179"/>
        <v>0</v>
      </c>
      <c r="CH356" s="1438">
        <f t="shared" ca="1" si="180"/>
        <v>0</v>
      </c>
      <c r="CI356" s="1438">
        <f t="shared" ca="1" si="181"/>
        <v>0</v>
      </c>
      <c r="CJ356" s="1444">
        <f ca="1">IF($B356&gt;=$J$5,0,CONTADORES!$BG370)</f>
        <v>0</v>
      </c>
      <c r="CK356" s="1406">
        <f>CONTADORES!E370</f>
        <v>0</v>
      </c>
      <c r="CL356" s="1406">
        <f>CONTADORES!BX370</f>
        <v>0</v>
      </c>
    </row>
    <row r="357" spans="2:90">
      <c r="B357" s="410">
        <v>45273</v>
      </c>
      <c r="C357" s="204">
        <f t="shared" ca="1" si="156"/>
        <v>0</v>
      </c>
      <c r="D357" s="202">
        <f ca="1">'CALCULO DE GAS'!P186</f>
        <v>0</v>
      </c>
      <c r="E357" s="202">
        <f ca="1">IF(B357&gt;=$J$5,0,(CONTADORES!$AB371-CONTADORES!$AB370)-$H357)</f>
        <v>0</v>
      </c>
      <c r="F357" s="204">
        <f t="shared" ca="1" si="182"/>
        <v>0</v>
      </c>
      <c r="G357" s="202">
        <f ca="1">IF(B357&gt;=$J$5,0,CONTADORES!$AD371-CONTADORES!$AD370)</f>
        <v>0</v>
      </c>
      <c r="H357" s="202">
        <f ca="1">IF(G357&gt;0,CONTADORES!$AC371-CONTADORES!$AC370,0)</f>
        <v>0</v>
      </c>
      <c r="I357" s="205">
        <f ca="1">IF(B357&gt;=$J$5,0,CONTADORES!$Z371-CONTADORES!$Z370)</f>
        <v>0</v>
      </c>
      <c r="J357" s="204">
        <f t="shared" ca="1" si="157"/>
        <v>0</v>
      </c>
      <c r="K357" s="202">
        <f ca="1">'CALCULO DE GAS'!Q186</f>
        <v>0</v>
      </c>
      <c r="L357" s="1454">
        <f ca="1">IF(B357&gt;=$J$5,0,(CONTADORES!$W371-CONTADORES!$W370)-$O357)</f>
        <v>0</v>
      </c>
      <c r="M357" s="1437">
        <f t="shared" ca="1" si="183"/>
        <v>0</v>
      </c>
      <c r="N357" s="1437">
        <f ca="1">IF(B357&gt;=$J$5,0,CONTADORES!$Y371-CONTADORES!$Y370)</f>
        <v>0</v>
      </c>
      <c r="O357" s="1437">
        <f ca="1">IF(N357&gt;0,CONTADORES!$X371-CONTADORES!$X370,0)</f>
        <v>0</v>
      </c>
      <c r="P357" s="208">
        <f ca="1">IF(B357&gt;=$J$5,0,CONTADORES!$U371-CONTADORES!$U370)</f>
        <v>0</v>
      </c>
      <c r="Q357" s="208">
        <f ca="1">IF(B357&gt;=$J$5,0,CONTADORES!$B371-CONTADORES!$B370)</f>
        <v>0</v>
      </c>
      <c r="R357" s="202">
        <f t="shared" ca="1" si="159"/>
        <v>0</v>
      </c>
      <c r="S357" s="11">
        <f ca="1">IF(B357&gt;=$J$5,0,CONTADORES!$D371-CONTADORES!$D370)</f>
        <v>0</v>
      </c>
      <c r="T357" s="204">
        <f ca="1">IF(B357&gt;=$J$5,0,CONTADORES!$AZ371-CONTADORES!$AZ370)</f>
        <v>0</v>
      </c>
      <c r="U357" s="202">
        <f t="shared" ref="U357:U375" ca="1" si="184">$T357*120</f>
        <v>0</v>
      </c>
      <c r="V357" s="11">
        <f ca="1">IF(B357&gt;=$J$5,0,CONTADORES!$BB371-CONTADORES!$BB370)</f>
        <v>0</v>
      </c>
      <c r="W357" s="1438">
        <f t="shared" ca="1" si="160"/>
        <v>0</v>
      </c>
      <c r="X357" s="1438">
        <f t="shared" ca="1" si="161"/>
        <v>0</v>
      </c>
      <c r="Y357" s="1439">
        <f t="shared" ca="1" si="162"/>
        <v>0</v>
      </c>
      <c r="Z357" s="1439">
        <f t="shared" ca="1" si="163"/>
        <v>0</v>
      </c>
      <c r="AA357" s="1439">
        <f t="shared" ca="1" si="164"/>
        <v>0</v>
      </c>
      <c r="AB357" s="1439">
        <f t="shared" ca="1" si="165"/>
        <v>0</v>
      </c>
      <c r="AC357" s="1438">
        <f t="shared" ca="1" si="166"/>
        <v>0</v>
      </c>
      <c r="AD357" s="1438">
        <f ca="1">IF(B357&gt;=$J$5,0,CONTADORES!H371-CONTADORES!H370)</f>
        <v>0</v>
      </c>
      <c r="AE357" s="1438">
        <f ca="1">IF(B357&gt;=$J$5,0,CONTADORES!J371-CONTADORES!J370)</f>
        <v>0</v>
      </c>
      <c r="AF357" s="1438">
        <f ca="1">IF(B357&gt;=$J$5,0,CONTADORES!AS371-CONTADORES!AS370)</f>
        <v>0</v>
      </c>
      <c r="AG357" s="1438">
        <f ca="1">IF(B357&gt;=$J$5,0,CONTADORES!AU371-CONTADORES!AU370)</f>
        <v>0</v>
      </c>
      <c r="AH357" s="1439">
        <f ca="1">IF(B357&gt;=$J$5,0,(CONTADORES!AK371-CONTADORES!AK370)+(CONTADORES!K371-CONTADORES!K370))</f>
        <v>0</v>
      </c>
      <c r="AI357" s="1438">
        <f ca="1">IF(B357&gt;=$J$5,0,(CONTADORES!AI371-CONTADORES!AI370)+(CONTADORES!M371-CONTADORES!M370))</f>
        <v>0</v>
      </c>
      <c r="AJ357" s="1438">
        <f ca="1">IF(B357&gt;=$J$5,0,(CONTADORES!AG371-CONTADORES!AG370))</f>
        <v>0</v>
      </c>
      <c r="AK357" s="1438">
        <f ca="1">IF(B357&gt;=$J$5,0,(CONTADORES!O371-CONTADORES!O370))</f>
        <v>0</v>
      </c>
      <c r="AL357" s="1500">
        <f t="shared" ca="1" si="167"/>
        <v>0</v>
      </c>
      <c r="AM357" s="1438">
        <f ca="1">IF(B357&gt;=$J$5,0,(((CONTADORES!F371-CONTADORES!F370)+(CONTADORES!AO371-CONTADORES!AO370))))-BJ357-AF357-AN357-BM357-BP357-BU357-BS357+T357</f>
        <v>0</v>
      </c>
      <c r="AN357" s="1443">
        <f ca="1">IF(B357&gt;=$J$5,0,(CONTADORES!AV371-CONTADORES!AV370)+(CONTADORES!AX371-CONTADORES!AX370)+(CONTADORES!BC371-CONTADORES!BC370))-BS357</f>
        <v>0</v>
      </c>
      <c r="AO357" s="1440">
        <f ca="1">IF(B357&gt;=$J$5,0,(CONTADORES!AA371-CONTADORES!AA370))</f>
        <v>0</v>
      </c>
      <c r="AP357" s="1474">
        <f ca="1">IF(B357&gt;=$J$5,0,(CONTADORES!V371-CONTADORES!V370))</f>
        <v>0</v>
      </c>
      <c r="AQ357" s="1445">
        <f ca="1">IF(B357&gt;=$J$5,0,(CONTADORES!C371-CONTADORES!C370))</f>
        <v>0</v>
      </c>
      <c r="AR357" s="1440">
        <f ca="1">IF(B357&gt;=$J$5,0,(CONTADORES!BA371-CONTADORES!BA370))</f>
        <v>0</v>
      </c>
      <c r="AS357" s="1438">
        <f ca="1">IF(B357&gt;=$J$5,0,CONTADORES!Q371-CONTADORES!Q370)</f>
        <v>0</v>
      </c>
      <c r="AT357" s="1438">
        <f ca="1">IF(B357&gt;=$J$5,0,(CONTADORES!S371-CONTADORES!S370)+(CONTADORES!AE371-CONTADORES!AE370))</f>
        <v>0</v>
      </c>
      <c r="AU357" s="1474">
        <f ca="1">IF(B357&gt;=$J$5,0,(CONTADORES!I371-CONTADORES!I370))</f>
        <v>0</v>
      </c>
      <c r="AV357" s="1440">
        <f ca="1">IF(B357&gt;=$J$5,0,(CONTADORES!AT371-CONTADORES!AT370))</f>
        <v>0</v>
      </c>
      <c r="AW357" s="1440">
        <f ca="1">IF(B357&gt;=$J$5,0,(CONTADORES!L371-CONTADORES!L370)+(CONTADORES!AL371-CONTADORES!AL370))</f>
        <v>0</v>
      </c>
      <c r="AX357" s="1440">
        <f ca="1">IF(B357&gt;=$J$5,0,(CONTADORES!N371-CONTADORES!N370)+(CONTADORES!AJ371-CONTADORES!AJ370))</f>
        <v>0</v>
      </c>
      <c r="AY357" s="1440">
        <f ca="1">IF(B357&gt;=$J$5,0,(CONTADORES!AH371-CONTADORES!AH370))</f>
        <v>0</v>
      </c>
      <c r="AZ357" s="1440">
        <f ca="1">IF(B357&gt;=$J$5,0,(CONTADORES!P371-CONTADORES!P370))</f>
        <v>0</v>
      </c>
      <c r="BA357" s="1450">
        <f t="shared" ca="1" si="168"/>
        <v>0</v>
      </c>
      <c r="BB357" s="1440">
        <f ca="1">IF(B357&gt;=$J$5,0,(((CONTADORES!G371-CONTADORES!G370)+(CONTADORES!AP371-CONTADORES!AP370)+AR357)-(AV357+BC357)))</f>
        <v>0</v>
      </c>
      <c r="BC357" s="1438">
        <f ca="1">IF(B357&gt;=$J$5,0,(CONTADORES!AW371-CONTADORES!AW370)+(CONTADORES!AY371-CONTADORES!AY370)+(CONTADORES!BD371-CONTADORES!BD370))</f>
        <v>0</v>
      </c>
      <c r="BD357" s="1438">
        <f t="shared" ca="1" si="169"/>
        <v>0</v>
      </c>
      <c r="BE357" s="1439">
        <f ca="1">IF($B357&gt;=$J$5,0,CONTADORES!$BE371)</f>
        <v>0</v>
      </c>
      <c r="BF357" s="1438">
        <f ca="1">IF($B357&gt;=$J$5,0,CONTADORES!$BF371)</f>
        <v>0</v>
      </c>
      <c r="BG357" s="1438">
        <f ca="1">IF($B357&gt;=$J$5,0,CONTADORES!$BH371)</f>
        <v>0</v>
      </c>
      <c r="BH357" s="1438">
        <f ca="1">IF(B357&gt;=$J$5,0,(CONTADORES!AQ371-CONTADORES!AQ370))</f>
        <v>0</v>
      </c>
      <c r="BI357" s="1438">
        <f ca="1">IF(B357&gt;=$J$5,0,(CONTADORES!AR371-CONTADORES!AR370))</f>
        <v>0</v>
      </c>
      <c r="BJ357" s="1438">
        <f ca="1">IF(B357&gt;=$J$5,0,CONTADORES!BI371-CONTADORES!BI370)/1000</f>
        <v>0</v>
      </c>
      <c r="BK357" s="1438">
        <f ca="1">IF(B357&gt;=$J$5,0,CONTADORES!BJ371-CONTADORES!BJ370)</f>
        <v>0</v>
      </c>
      <c r="BL357" s="1438">
        <f ca="1">IF(B357&gt;=$J$5,0,CONTADORES!BK371-CONTADORES!BK370)</f>
        <v>0</v>
      </c>
      <c r="BM357" s="1438">
        <f ca="1">IF(B357&gt;=$J$5,0,CONTADORES!BL371-CONTADORES!BL370)/1000</f>
        <v>0</v>
      </c>
      <c r="BN357" s="1438">
        <f ca="1">IF(B357&gt;=$J$5,0,CONTADORES!BM371-CONTADORES!BM370)/1000</f>
        <v>0</v>
      </c>
      <c r="BO357" s="1438">
        <f ca="1">IF(B357&gt;=$J$5,0,CONTADORES!BN371-CONTADORES!BN370)</f>
        <v>0</v>
      </c>
      <c r="BP357" s="1438">
        <f ca="1">IF(B357&gt;=$J$5,0,CONTADORES!BO371-CONTADORES!BO370)/1000</f>
        <v>0</v>
      </c>
      <c r="BQ357" s="1438">
        <f ca="1">IF(B357&gt;=$J$5,0,CONTADORES!BP371-CONTADORES!BP370)/1000</f>
        <v>0</v>
      </c>
      <c r="BR357" s="1438">
        <f ca="1">IF(B357&gt;=$J$5,0,CONTADORES!BQ371-CONTADORES!BQ370)</f>
        <v>0</v>
      </c>
      <c r="BS357" s="1438">
        <f ca="1">IF(B357&gt;=$J$5,0,(CONTADORES!BT371-CONTADORES!BT370)+(CONTADORES!BV371-CONTADORES!BV370))/1000</f>
        <v>0</v>
      </c>
      <c r="BT357" s="1438">
        <f ca="1">IF(B357&gt;=$J$5,0,(CONTADORES!BU371-CONTADORES!BU370)+(CONTADORES!BW371-CONTADORES!BW370))/1000</f>
        <v>0</v>
      </c>
      <c r="BU357" s="1438">
        <f ca="1">IF(B357&gt;=$J$5,0,CONTADORES!BR371-CONTADORES!BR370)</f>
        <v>0</v>
      </c>
      <c r="BV357" s="1438">
        <f ca="1">IF(B357&gt;=$J$5,0,CONTADORES!BS371-CONTADORES!BS370)</f>
        <v>0</v>
      </c>
      <c r="BW357" s="1438">
        <f t="shared" ca="1" si="170"/>
        <v>0</v>
      </c>
      <c r="BX357" s="1438">
        <f t="shared" ca="1" si="171"/>
        <v>0</v>
      </c>
      <c r="BY357" s="1438">
        <f t="shared" ca="1" si="172"/>
        <v>0</v>
      </c>
      <c r="BZ357" s="1438">
        <f t="shared" ca="1" si="173"/>
        <v>0</v>
      </c>
      <c r="CA357" s="1438">
        <f t="shared" ca="1" si="174"/>
        <v>0</v>
      </c>
      <c r="CB357" s="1438">
        <f t="shared" ca="1" si="175"/>
        <v>0</v>
      </c>
      <c r="CC357" s="1438">
        <f t="shared" ca="1" si="176"/>
        <v>0</v>
      </c>
      <c r="CD357" s="1438">
        <f t="shared" ca="1" si="177"/>
        <v>0</v>
      </c>
      <c r="CE357" s="1438">
        <f ca="1">IF(B357&gt;=$J$5,0,CONTADORES!BS371-CONTADORES!BS370)</f>
        <v>0</v>
      </c>
      <c r="CF357" s="1438">
        <f t="shared" ca="1" si="178"/>
        <v>0</v>
      </c>
      <c r="CG357" s="1438">
        <f t="shared" ca="1" si="179"/>
        <v>0</v>
      </c>
      <c r="CH357" s="1438">
        <f t="shared" ca="1" si="180"/>
        <v>0</v>
      </c>
      <c r="CI357" s="1438">
        <f t="shared" ca="1" si="181"/>
        <v>0</v>
      </c>
      <c r="CJ357" s="1444">
        <f ca="1">IF($B357&gt;=$J$5,0,CONTADORES!$BG371)</f>
        <v>0</v>
      </c>
      <c r="CK357" s="1406">
        <f>CONTADORES!E371</f>
        <v>0</v>
      </c>
      <c r="CL357" s="1406">
        <f>CONTADORES!BX371</f>
        <v>0</v>
      </c>
    </row>
    <row r="358" spans="2:90">
      <c r="B358" s="410">
        <v>45274</v>
      </c>
      <c r="C358" s="204">
        <f t="shared" ca="1" si="156"/>
        <v>0</v>
      </c>
      <c r="D358" s="202">
        <f ca="1">'CALCULO DE GAS'!P187</f>
        <v>0</v>
      </c>
      <c r="E358" s="202">
        <f ca="1">IF(B358&gt;=$J$5,0,(CONTADORES!$AB372-CONTADORES!$AB371)-$H358)</f>
        <v>0</v>
      </c>
      <c r="F358" s="204">
        <f t="shared" ca="1" si="182"/>
        <v>0</v>
      </c>
      <c r="G358" s="202">
        <f ca="1">IF(B358&gt;=$J$5,0,CONTADORES!$AD372-CONTADORES!$AD371)</f>
        <v>0</v>
      </c>
      <c r="H358" s="202">
        <f ca="1">IF(G358&gt;0,CONTADORES!$AC372-CONTADORES!$AC371,0)</f>
        <v>0</v>
      </c>
      <c r="I358" s="205">
        <f ca="1">IF(B358&gt;=$J$5,0,CONTADORES!$Z372-CONTADORES!$Z371)</f>
        <v>0</v>
      </c>
      <c r="J358" s="204">
        <f t="shared" ca="1" si="157"/>
        <v>0</v>
      </c>
      <c r="K358" s="202">
        <f ca="1">'CALCULO DE GAS'!Q187</f>
        <v>0</v>
      </c>
      <c r="L358" s="1454">
        <f ca="1">IF(B358&gt;=$J$5,0,(CONTADORES!$W372-CONTADORES!$W371)-$O358)</f>
        <v>0</v>
      </c>
      <c r="M358" s="1437">
        <f t="shared" ca="1" si="183"/>
        <v>0</v>
      </c>
      <c r="N358" s="1437">
        <f ca="1">IF(B358&gt;=$J$5,0,CONTADORES!$Y372-CONTADORES!$Y371)</f>
        <v>0</v>
      </c>
      <c r="O358" s="1437">
        <f ca="1">IF(N358&gt;0,CONTADORES!$X372-CONTADORES!$X371,0)</f>
        <v>0</v>
      </c>
      <c r="P358" s="208">
        <f ca="1">IF(B358&gt;=$J$5,0,CONTADORES!$U372-CONTADORES!$U371)</f>
        <v>0</v>
      </c>
      <c r="Q358" s="208">
        <f ca="1">IF(B358&gt;=$J$5,0,CONTADORES!$B372-CONTADORES!$B371)</f>
        <v>0</v>
      </c>
      <c r="R358" s="202">
        <f t="shared" ca="1" si="159"/>
        <v>0</v>
      </c>
      <c r="S358" s="11">
        <f ca="1">IF(B358&gt;=$J$5,0,CONTADORES!$D372-CONTADORES!$D371)</f>
        <v>0</v>
      </c>
      <c r="T358" s="204">
        <f ca="1">IF(B358&gt;=$J$5,0,CONTADORES!$AZ372-CONTADORES!$AZ371)</f>
        <v>0</v>
      </c>
      <c r="U358" s="202">
        <f t="shared" ca="1" si="184"/>
        <v>0</v>
      </c>
      <c r="V358" s="11">
        <f ca="1">IF(B358&gt;=$J$5,0,CONTADORES!$BB372-CONTADORES!$BB371)</f>
        <v>0</v>
      </c>
      <c r="W358" s="1438">
        <f t="shared" ca="1" si="160"/>
        <v>0</v>
      </c>
      <c r="X358" s="1438">
        <f t="shared" ca="1" si="161"/>
        <v>0</v>
      </c>
      <c r="Y358" s="1439">
        <f t="shared" ca="1" si="162"/>
        <v>0</v>
      </c>
      <c r="Z358" s="1439">
        <f t="shared" ca="1" si="163"/>
        <v>0</v>
      </c>
      <c r="AA358" s="1439">
        <f t="shared" ca="1" si="164"/>
        <v>0</v>
      </c>
      <c r="AB358" s="1439">
        <f t="shared" ca="1" si="165"/>
        <v>0</v>
      </c>
      <c r="AC358" s="1438">
        <f t="shared" ca="1" si="166"/>
        <v>0</v>
      </c>
      <c r="AD358" s="1438">
        <f ca="1">IF(B358&gt;=$J$5,0,CONTADORES!H372-CONTADORES!H371)</f>
        <v>0</v>
      </c>
      <c r="AE358" s="1438">
        <f ca="1">IF(B358&gt;=$J$5,0,CONTADORES!J372-CONTADORES!J371)</f>
        <v>0</v>
      </c>
      <c r="AF358" s="1438">
        <f ca="1">IF(B358&gt;=$J$5,0,CONTADORES!AS372-CONTADORES!AS371)</f>
        <v>0</v>
      </c>
      <c r="AG358" s="1438">
        <f ca="1">IF(B358&gt;=$J$5,0,CONTADORES!AU372-CONTADORES!AU371)</f>
        <v>0</v>
      </c>
      <c r="AH358" s="1439">
        <f ca="1">IF(B358&gt;=$J$5,0,(CONTADORES!AK372-CONTADORES!AK371)+(CONTADORES!K372-CONTADORES!K371))</f>
        <v>0</v>
      </c>
      <c r="AI358" s="1438">
        <f ca="1">IF(B358&gt;=$J$5,0,(CONTADORES!AI372-CONTADORES!AI371)+(CONTADORES!M372-CONTADORES!M371))</f>
        <v>0</v>
      </c>
      <c r="AJ358" s="1438">
        <f ca="1">IF(B358&gt;=$J$5,0,(CONTADORES!AG372-CONTADORES!AG371))</f>
        <v>0</v>
      </c>
      <c r="AK358" s="1438">
        <f ca="1">IF(B358&gt;=$J$5,0,(CONTADORES!O372-CONTADORES!O371))</f>
        <v>0</v>
      </c>
      <c r="AL358" s="1500">
        <f t="shared" ca="1" si="167"/>
        <v>0</v>
      </c>
      <c r="AM358" s="1438">
        <f ca="1">IF(B358&gt;=$J$5,0,(((CONTADORES!F372-CONTADORES!F371)+(CONTADORES!AO372-CONTADORES!AO371))))-BJ358-AF358-AN358-BM358-BP358-BU358-BS358+T358</f>
        <v>0</v>
      </c>
      <c r="AN358" s="1443">
        <f ca="1">IF(B358&gt;=$J$5,0,(CONTADORES!AV372-CONTADORES!AV371)+(CONTADORES!AX372-CONTADORES!AX371)+(CONTADORES!BC372-CONTADORES!BC371))-BS358</f>
        <v>0</v>
      </c>
      <c r="AO358" s="1440">
        <f ca="1">IF(B358&gt;=$J$5,0,(CONTADORES!AA372-CONTADORES!AA371))</f>
        <v>0</v>
      </c>
      <c r="AP358" s="1474">
        <f ca="1">IF(B358&gt;=$J$5,0,(CONTADORES!V372-CONTADORES!V371))</f>
        <v>0</v>
      </c>
      <c r="AQ358" s="1445">
        <f ca="1">IF(B358&gt;=$J$5,0,(CONTADORES!C372-CONTADORES!C371))</f>
        <v>0</v>
      </c>
      <c r="AR358" s="1440">
        <f ca="1">IF(B358&gt;=$J$5,0,(CONTADORES!BA372-CONTADORES!BA371))</f>
        <v>0</v>
      </c>
      <c r="AS358" s="1438">
        <f ca="1">IF(B358&gt;=$J$5,0,CONTADORES!Q372-CONTADORES!Q371)</f>
        <v>0</v>
      </c>
      <c r="AT358" s="1438">
        <f ca="1">IF(B358&gt;=$J$5,0,(CONTADORES!S372-CONTADORES!S371)+(CONTADORES!AE372-CONTADORES!AE371))</f>
        <v>0</v>
      </c>
      <c r="AU358" s="1474">
        <f ca="1">IF(B358&gt;=$J$5,0,(CONTADORES!I372-CONTADORES!I371))</f>
        <v>0</v>
      </c>
      <c r="AV358" s="1440">
        <f ca="1">IF(B358&gt;=$J$5,0,(CONTADORES!AT372-CONTADORES!AT371))</f>
        <v>0</v>
      </c>
      <c r="AW358" s="1440">
        <f ca="1">IF(B358&gt;=$J$5,0,(CONTADORES!L372-CONTADORES!L371)+(CONTADORES!AL372-CONTADORES!AL371))</f>
        <v>0</v>
      </c>
      <c r="AX358" s="1440">
        <f ca="1">IF(B358&gt;=$J$5,0,(CONTADORES!N372-CONTADORES!N371)+(CONTADORES!AJ372-CONTADORES!AJ371))</f>
        <v>0</v>
      </c>
      <c r="AY358" s="1440">
        <f ca="1">IF(B358&gt;=$J$5,0,(CONTADORES!AH372-CONTADORES!AH371))</f>
        <v>0</v>
      </c>
      <c r="AZ358" s="1440">
        <f ca="1">IF(B358&gt;=$J$5,0,(CONTADORES!P372-CONTADORES!P371))</f>
        <v>0</v>
      </c>
      <c r="BA358" s="1450">
        <f t="shared" ca="1" si="168"/>
        <v>0</v>
      </c>
      <c r="BB358" s="1440">
        <f ca="1">IF(B358&gt;=$J$5,0,(((CONTADORES!G372-CONTADORES!G371)+(CONTADORES!AP372-CONTADORES!AP371)+AR358)-(AV358+BC358)))</f>
        <v>0</v>
      </c>
      <c r="BC358" s="1438">
        <f ca="1">IF(B358&gt;=$J$5,0,(CONTADORES!AW372-CONTADORES!AW371)+(CONTADORES!AY372-CONTADORES!AY371)+(CONTADORES!BD372-CONTADORES!BD371))</f>
        <v>0</v>
      </c>
      <c r="BD358" s="1438">
        <f t="shared" ca="1" si="169"/>
        <v>0</v>
      </c>
      <c r="BE358" s="1439">
        <f ca="1">IF($B358&gt;=$J$5,0,CONTADORES!$BE372)</f>
        <v>0</v>
      </c>
      <c r="BF358" s="1438">
        <f ca="1">IF($B358&gt;=$J$5,0,CONTADORES!$BF372)</f>
        <v>0</v>
      </c>
      <c r="BG358" s="1438">
        <f ca="1">IF($B358&gt;=$J$5,0,CONTADORES!$BH372)</f>
        <v>0</v>
      </c>
      <c r="BH358" s="1438">
        <f ca="1">IF(B358&gt;=$J$5,0,(CONTADORES!AQ372-CONTADORES!AQ371))</f>
        <v>0</v>
      </c>
      <c r="BI358" s="1438">
        <f ca="1">IF(B358&gt;=$J$5,0,(CONTADORES!AR372-CONTADORES!AR371))</f>
        <v>0</v>
      </c>
      <c r="BJ358" s="1438">
        <f ca="1">IF(B358&gt;=$J$5,0,CONTADORES!BI372-CONTADORES!BI371)/1000</f>
        <v>0</v>
      </c>
      <c r="BK358" s="1438">
        <f ca="1">IF(B358&gt;=$J$5,0,CONTADORES!BJ372-CONTADORES!BJ371)</f>
        <v>0</v>
      </c>
      <c r="BL358" s="1438">
        <f ca="1">IF(B358&gt;=$J$5,0,CONTADORES!BK372-CONTADORES!BK371)</f>
        <v>0</v>
      </c>
      <c r="BM358" s="1438">
        <f ca="1">IF(B358&gt;=$J$5,0,CONTADORES!BL372-CONTADORES!BL371)/1000</f>
        <v>0</v>
      </c>
      <c r="BN358" s="1438">
        <f ca="1">IF(B358&gt;=$J$5,0,CONTADORES!BM372-CONTADORES!BM371)/1000</f>
        <v>0</v>
      </c>
      <c r="BO358" s="1438">
        <f ca="1">IF(B358&gt;=$J$5,0,CONTADORES!BN372-CONTADORES!BN371)</f>
        <v>0</v>
      </c>
      <c r="BP358" s="1438">
        <f ca="1">IF(B358&gt;=$J$5,0,CONTADORES!BO372-CONTADORES!BO371)/1000</f>
        <v>0</v>
      </c>
      <c r="BQ358" s="1438">
        <f ca="1">IF(B358&gt;=$J$5,0,CONTADORES!BP372-CONTADORES!BP371)/1000</f>
        <v>0</v>
      </c>
      <c r="BR358" s="1438">
        <f ca="1">IF(B358&gt;=$J$5,0,CONTADORES!BQ372-CONTADORES!BQ371)</f>
        <v>0</v>
      </c>
      <c r="BS358" s="1438">
        <f ca="1">IF(B358&gt;=$J$5,0,(CONTADORES!BT372-CONTADORES!BT371)+(CONTADORES!BV372-CONTADORES!BV371))/1000</f>
        <v>0</v>
      </c>
      <c r="BT358" s="1438">
        <f ca="1">IF(B358&gt;=$J$5,0,(CONTADORES!BU372-CONTADORES!BU371)+(CONTADORES!BW372-CONTADORES!BW371))/1000</f>
        <v>0</v>
      </c>
      <c r="BU358" s="1438">
        <f ca="1">IF(B358&gt;=$J$5,0,CONTADORES!BR372-CONTADORES!BR371)</f>
        <v>0</v>
      </c>
      <c r="BV358" s="1438">
        <f ca="1">IF(B358&gt;=$J$5,0,CONTADORES!BS372-CONTADORES!BS371)</f>
        <v>0</v>
      </c>
      <c r="BW358" s="1438">
        <f t="shared" ca="1" si="170"/>
        <v>0</v>
      </c>
      <c r="BX358" s="1438">
        <f t="shared" ca="1" si="171"/>
        <v>0</v>
      </c>
      <c r="BY358" s="1438">
        <f t="shared" ca="1" si="172"/>
        <v>0</v>
      </c>
      <c r="BZ358" s="1438">
        <f t="shared" ca="1" si="173"/>
        <v>0</v>
      </c>
      <c r="CA358" s="1438">
        <f t="shared" ca="1" si="174"/>
        <v>0</v>
      </c>
      <c r="CB358" s="1438">
        <f t="shared" ca="1" si="175"/>
        <v>0</v>
      </c>
      <c r="CC358" s="1438">
        <f t="shared" ca="1" si="176"/>
        <v>0</v>
      </c>
      <c r="CD358" s="1438">
        <f t="shared" ca="1" si="177"/>
        <v>0</v>
      </c>
      <c r="CE358" s="1438">
        <f ca="1">IF(B358&gt;=$J$5,0,CONTADORES!BS372-CONTADORES!BS371)</f>
        <v>0</v>
      </c>
      <c r="CF358" s="1438">
        <f t="shared" ca="1" si="178"/>
        <v>0</v>
      </c>
      <c r="CG358" s="1438">
        <f t="shared" ca="1" si="179"/>
        <v>0</v>
      </c>
      <c r="CH358" s="1438">
        <f t="shared" ca="1" si="180"/>
        <v>0</v>
      </c>
      <c r="CI358" s="1438">
        <f t="shared" ca="1" si="181"/>
        <v>0</v>
      </c>
      <c r="CJ358" s="1444">
        <f ca="1">IF($B358&gt;=$J$5,0,CONTADORES!$BG372)</f>
        <v>0</v>
      </c>
      <c r="CK358" s="1406">
        <f>CONTADORES!E372</f>
        <v>0</v>
      </c>
      <c r="CL358" s="1406">
        <f>CONTADORES!BX372</f>
        <v>0</v>
      </c>
    </row>
    <row r="359" spans="2:90">
      <c r="B359" s="410">
        <v>45275</v>
      </c>
      <c r="C359" s="204">
        <f t="shared" ca="1" si="156"/>
        <v>0</v>
      </c>
      <c r="D359" s="202">
        <f ca="1">'CALCULO DE GAS'!P188</f>
        <v>0</v>
      </c>
      <c r="E359" s="202">
        <f ca="1">IF(B359&gt;=$J$5,0,(CONTADORES!$AB373-CONTADORES!$AB372)-$H359)</f>
        <v>0</v>
      </c>
      <c r="F359" s="204">
        <f t="shared" ca="1" si="182"/>
        <v>0</v>
      </c>
      <c r="G359" s="202">
        <f ca="1">IF(B359&gt;=$J$5,0,CONTADORES!$AD373-CONTADORES!$AD372)</f>
        <v>0</v>
      </c>
      <c r="H359" s="202">
        <f ca="1">IF(G359&gt;0,CONTADORES!$AC373-CONTADORES!$AC372,0)</f>
        <v>0</v>
      </c>
      <c r="I359" s="205">
        <f ca="1">IF(B359&gt;=$J$5,0,CONTADORES!$Z373-CONTADORES!$Z372)</f>
        <v>0</v>
      </c>
      <c r="J359" s="204">
        <f t="shared" ca="1" si="157"/>
        <v>0</v>
      </c>
      <c r="K359" s="202">
        <f ca="1">'CALCULO DE GAS'!Q188</f>
        <v>0</v>
      </c>
      <c r="L359" s="1454">
        <f ca="1">IF(B359&gt;=$J$5,0,(CONTADORES!$W373-CONTADORES!$W372)-$O359)</f>
        <v>0</v>
      </c>
      <c r="M359" s="1437">
        <f t="shared" ca="1" si="183"/>
        <v>0</v>
      </c>
      <c r="N359" s="1437">
        <f ca="1">IF(B359&gt;=$J$5,0,CONTADORES!$Y373-CONTADORES!$Y372)</f>
        <v>0</v>
      </c>
      <c r="O359" s="1437">
        <f ca="1">IF(N359&gt;0,CONTADORES!$X373-CONTADORES!$X372,0)</f>
        <v>0</v>
      </c>
      <c r="P359" s="208">
        <f ca="1">IF(B359&gt;=$J$5,0,CONTADORES!$U373-CONTADORES!$U372)</f>
        <v>0</v>
      </c>
      <c r="Q359" s="208">
        <f ca="1">IF(B359&gt;=$J$5,0,CONTADORES!$B373-CONTADORES!$B372)</f>
        <v>0</v>
      </c>
      <c r="R359" s="202">
        <f t="shared" ca="1" si="159"/>
        <v>0</v>
      </c>
      <c r="S359" s="11">
        <f ca="1">IF(B359&gt;=$J$5,0,CONTADORES!$D373-CONTADORES!$D372)</f>
        <v>0</v>
      </c>
      <c r="T359" s="204">
        <f ca="1">IF(B359&gt;=$J$5,0,CONTADORES!$AZ373-CONTADORES!$AZ372)</f>
        <v>0</v>
      </c>
      <c r="U359" s="202">
        <f t="shared" ca="1" si="184"/>
        <v>0</v>
      </c>
      <c r="V359" s="11">
        <f ca="1">IF(B359&gt;=$J$5,0,CONTADORES!$BB373-CONTADORES!$BB372)</f>
        <v>0</v>
      </c>
      <c r="W359" s="1438">
        <f t="shared" ca="1" si="160"/>
        <v>0</v>
      </c>
      <c r="X359" s="1438">
        <f t="shared" ca="1" si="161"/>
        <v>0</v>
      </c>
      <c r="Y359" s="1439">
        <f t="shared" ca="1" si="162"/>
        <v>0</v>
      </c>
      <c r="Z359" s="1439">
        <f t="shared" ca="1" si="163"/>
        <v>0</v>
      </c>
      <c r="AA359" s="1439">
        <f t="shared" ca="1" si="164"/>
        <v>0</v>
      </c>
      <c r="AB359" s="1439">
        <f t="shared" ca="1" si="165"/>
        <v>0</v>
      </c>
      <c r="AC359" s="1438">
        <f t="shared" ca="1" si="166"/>
        <v>0</v>
      </c>
      <c r="AD359" s="1438">
        <f ca="1">IF(B359&gt;=$J$5,0,CONTADORES!H373-CONTADORES!H372)</f>
        <v>0</v>
      </c>
      <c r="AE359" s="1438">
        <f ca="1">IF(B359&gt;=$J$5,0,CONTADORES!J373-CONTADORES!J372)</f>
        <v>0</v>
      </c>
      <c r="AF359" s="1438">
        <f ca="1">IF(B359&gt;=$J$5,0,CONTADORES!AS373-CONTADORES!AS372)</f>
        <v>0</v>
      </c>
      <c r="AG359" s="1438">
        <f ca="1">IF(B359&gt;=$J$5,0,CONTADORES!AU373-CONTADORES!AU372)</f>
        <v>0</v>
      </c>
      <c r="AH359" s="1439">
        <f ca="1">IF(B359&gt;=$J$5,0,(CONTADORES!AK373-CONTADORES!AK372)+(CONTADORES!K373-CONTADORES!K372))</f>
        <v>0</v>
      </c>
      <c r="AI359" s="1438">
        <f ca="1">IF(B359&gt;=$J$5,0,(CONTADORES!AI373-CONTADORES!AI372)+(CONTADORES!M373-CONTADORES!M372))</f>
        <v>0</v>
      </c>
      <c r="AJ359" s="1438">
        <f ca="1">IF(B359&gt;=$J$5,0,(CONTADORES!AG373-CONTADORES!AG372))</f>
        <v>0</v>
      </c>
      <c r="AK359" s="1438">
        <f ca="1">IF(B359&gt;=$J$5,0,(CONTADORES!O373-CONTADORES!O372))</f>
        <v>0</v>
      </c>
      <c r="AL359" s="1500">
        <f t="shared" ca="1" si="167"/>
        <v>0</v>
      </c>
      <c r="AM359" s="1438">
        <f ca="1">IF(B359&gt;=$J$5,0,(((CONTADORES!F373-CONTADORES!F372)+(CONTADORES!AO373-CONTADORES!AO372))))-BJ359-AF359-AN359-BM359-BP359-BU359-BS359+T359</f>
        <v>0</v>
      </c>
      <c r="AN359" s="1443">
        <f ca="1">IF(B359&gt;=$J$5,0,(CONTADORES!AV373-CONTADORES!AV372)+(CONTADORES!AX373-CONTADORES!AX372)+(CONTADORES!BC373-CONTADORES!BC372))-BS359</f>
        <v>0</v>
      </c>
      <c r="AO359" s="1440">
        <f ca="1">IF(B359&gt;=$J$5,0,(CONTADORES!AA373-CONTADORES!AA372))</f>
        <v>0</v>
      </c>
      <c r="AP359" s="1474">
        <f ca="1">IF(B359&gt;=$J$5,0,(CONTADORES!V373-CONTADORES!V372))</f>
        <v>0</v>
      </c>
      <c r="AQ359" s="1445">
        <f ca="1">IF(B359&gt;=$J$5,0,(CONTADORES!C373-CONTADORES!C372))</f>
        <v>0</v>
      </c>
      <c r="AR359" s="1440">
        <f ca="1">IF(B359&gt;=$J$5,0,(CONTADORES!BA373-CONTADORES!BA372))</f>
        <v>0</v>
      </c>
      <c r="AS359" s="1438">
        <f ca="1">IF(B359&gt;=$J$5,0,CONTADORES!Q373-CONTADORES!Q372)</f>
        <v>0</v>
      </c>
      <c r="AT359" s="1438">
        <f ca="1">IF(B359&gt;=$J$5,0,(CONTADORES!S373-CONTADORES!S372)+(CONTADORES!AE373-CONTADORES!AE372))</f>
        <v>0</v>
      </c>
      <c r="AU359" s="1474">
        <f ca="1">IF(B359&gt;=$J$5,0,(CONTADORES!I373-CONTADORES!I372))</f>
        <v>0</v>
      </c>
      <c r="AV359" s="1440">
        <f ca="1">IF(B359&gt;=$J$5,0,(CONTADORES!AT373-CONTADORES!AT372))</f>
        <v>0</v>
      </c>
      <c r="AW359" s="1440">
        <f ca="1">IF(B359&gt;=$J$5,0,(CONTADORES!L373-CONTADORES!L372)+(CONTADORES!AL373-CONTADORES!AL372))</f>
        <v>0</v>
      </c>
      <c r="AX359" s="1440">
        <f ca="1">IF(B359&gt;=$J$5,0,(CONTADORES!N373-CONTADORES!N372)+(CONTADORES!AJ373-CONTADORES!AJ372))</f>
        <v>0</v>
      </c>
      <c r="AY359" s="1440">
        <f ca="1">IF(B359&gt;=$J$5,0,(CONTADORES!AH373-CONTADORES!AH372))</f>
        <v>0</v>
      </c>
      <c r="AZ359" s="1440">
        <f ca="1">IF(B359&gt;=$J$5,0,(CONTADORES!P373-CONTADORES!P372))</f>
        <v>0</v>
      </c>
      <c r="BA359" s="1450">
        <f t="shared" ca="1" si="168"/>
        <v>0</v>
      </c>
      <c r="BB359" s="1440">
        <f ca="1">IF(B359&gt;=$J$5,0,(((CONTADORES!G373-CONTADORES!G372)+(CONTADORES!AP373-CONTADORES!AP372)+AR359)-(AV359+BC359)))</f>
        <v>0</v>
      </c>
      <c r="BC359" s="1438">
        <f ca="1">IF(B359&gt;=$J$5,0,(CONTADORES!AW373-CONTADORES!AW372)+(CONTADORES!AY373-CONTADORES!AY372)+(CONTADORES!BD373-CONTADORES!BD372))</f>
        <v>0</v>
      </c>
      <c r="BD359" s="1438">
        <f t="shared" ca="1" si="169"/>
        <v>0</v>
      </c>
      <c r="BE359" s="1439">
        <f ca="1">IF($B359&gt;=$J$5,0,CONTADORES!$BE373)</f>
        <v>0</v>
      </c>
      <c r="BF359" s="1438">
        <f ca="1">IF($B359&gt;=$J$5,0,CONTADORES!$BF373)</f>
        <v>0</v>
      </c>
      <c r="BG359" s="1438">
        <f ca="1">IF($B359&gt;=$J$5,0,CONTADORES!$BH373)</f>
        <v>0</v>
      </c>
      <c r="BH359" s="1438">
        <f ca="1">IF(B359&gt;=$J$5,0,(CONTADORES!AQ373-CONTADORES!AQ372))</f>
        <v>0</v>
      </c>
      <c r="BI359" s="1438">
        <f ca="1">IF(B359&gt;=$J$5,0,(CONTADORES!AR373-CONTADORES!AR372))</f>
        <v>0</v>
      </c>
      <c r="BJ359" s="1438">
        <f ca="1">IF(B359&gt;=$J$5,0,CONTADORES!BI373-CONTADORES!BI372)/1000</f>
        <v>0</v>
      </c>
      <c r="BK359" s="1438">
        <f ca="1">IF(B359&gt;=$J$5,0,CONTADORES!BJ373-CONTADORES!BJ372)</f>
        <v>0</v>
      </c>
      <c r="BL359" s="1438">
        <f ca="1">IF(B359&gt;=$J$5,0,CONTADORES!BK373-CONTADORES!BK372)</f>
        <v>0</v>
      </c>
      <c r="BM359" s="1438">
        <f ca="1">IF(B359&gt;=$J$5,0,CONTADORES!BL373-CONTADORES!BL372)/1000</f>
        <v>0</v>
      </c>
      <c r="BN359" s="1438">
        <f ca="1">IF(B359&gt;=$J$5,0,CONTADORES!BM373-CONTADORES!BM372)/1000</f>
        <v>0</v>
      </c>
      <c r="BO359" s="1438">
        <f ca="1">IF(B359&gt;=$J$5,0,CONTADORES!BN373-CONTADORES!BN372)</f>
        <v>0</v>
      </c>
      <c r="BP359" s="1438">
        <f ca="1">IF(B359&gt;=$J$5,0,CONTADORES!BO373-CONTADORES!BO372)/1000</f>
        <v>0</v>
      </c>
      <c r="BQ359" s="1438">
        <f ca="1">IF(B359&gt;=$J$5,0,CONTADORES!BP373-CONTADORES!BP372)/1000</f>
        <v>0</v>
      </c>
      <c r="BR359" s="1438">
        <f ca="1">IF(B359&gt;=$J$5,0,CONTADORES!BQ373-CONTADORES!BQ372)</f>
        <v>0</v>
      </c>
      <c r="BS359" s="1438">
        <f ca="1">IF(B359&gt;=$J$5,0,(CONTADORES!BT373-CONTADORES!BT372)+(CONTADORES!BV373-CONTADORES!BV372))/1000</f>
        <v>0</v>
      </c>
      <c r="BT359" s="1438">
        <f ca="1">IF(B359&gt;=$J$5,0,(CONTADORES!BU373-CONTADORES!BU372)+(CONTADORES!BW373-CONTADORES!BW372))/1000</f>
        <v>0</v>
      </c>
      <c r="BU359" s="1438">
        <f ca="1">IF(B359&gt;=$J$5,0,CONTADORES!BR373-CONTADORES!BR372)</f>
        <v>0</v>
      </c>
      <c r="BV359" s="1438">
        <f ca="1">IF(B359&gt;=$J$5,0,CONTADORES!BS373-CONTADORES!BS372)</f>
        <v>0</v>
      </c>
      <c r="BW359" s="1438">
        <f t="shared" ca="1" si="170"/>
        <v>0</v>
      </c>
      <c r="BX359" s="1438">
        <f t="shared" ca="1" si="171"/>
        <v>0</v>
      </c>
      <c r="BY359" s="1438">
        <f t="shared" ca="1" si="172"/>
        <v>0</v>
      </c>
      <c r="BZ359" s="1438">
        <f t="shared" ca="1" si="173"/>
        <v>0</v>
      </c>
      <c r="CA359" s="1438">
        <f t="shared" ca="1" si="174"/>
        <v>0</v>
      </c>
      <c r="CB359" s="1438">
        <f t="shared" ca="1" si="175"/>
        <v>0</v>
      </c>
      <c r="CC359" s="1438">
        <f t="shared" ca="1" si="176"/>
        <v>0</v>
      </c>
      <c r="CD359" s="1438">
        <f t="shared" ca="1" si="177"/>
        <v>0</v>
      </c>
      <c r="CE359" s="1438">
        <f ca="1">IF(B359&gt;=$J$5,0,CONTADORES!BS373-CONTADORES!BS372)</f>
        <v>0</v>
      </c>
      <c r="CF359" s="1438">
        <f t="shared" ca="1" si="178"/>
        <v>0</v>
      </c>
      <c r="CG359" s="1438">
        <f t="shared" ca="1" si="179"/>
        <v>0</v>
      </c>
      <c r="CH359" s="1438">
        <f t="shared" ca="1" si="180"/>
        <v>0</v>
      </c>
      <c r="CI359" s="1438">
        <f t="shared" ca="1" si="181"/>
        <v>0</v>
      </c>
      <c r="CJ359" s="1444">
        <f ca="1">IF($B359&gt;=$J$5,0,CONTADORES!$BG373)</f>
        <v>0</v>
      </c>
      <c r="CK359" s="1406">
        <f>CONTADORES!E373</f>
        <v>0</v>
      </c>
      <c r="CL359" s="1406">
        <f>CONTADORES!BX373</f>
        <v>0</v>
      </c>
    </row>
    <row r="360" spans="2:90">
      <c r="B360" s="410">
        <v>45276</v>
      </c>
      <c r="C360" s="204">
        <f t="shared" ca="1" si="156"/>
        <v>0</v>
      </c>
      <c r="D360" s="202">
        <f ca="1">'CALCULO DE GAS'!P189</f>
        <v>0</v>
      </c>
      <c r="E360" s="202">
        <f ca="1">IF(B360&gt;=$J$5,0,(CONTADORES!$AB374-CONTADORES!$AB373)-$H360)</f>
        <v>0</v>
      </c>
      <c r="F360" s="204">
        <f t="shared" ca="1" si="182"/>
        <v>0</v>
      </c>
      <c r="G360" s="202">
        <f ca="1">IF(B360&gt;=$J$5,0,CONTADORES!$AD374-CONTADORES!$AD373)</f>
        <v>0</v>
      </c>
      <c r="H360" s="202">
        <f ca="1">IF(G360&gt;0,CONTADORES!$AC374-CONTADORES!$AC373,0)</f>
        <v>0</v>
      </c>
      <c r="I360" s="205">
        <f ca="1">IF(B360&gt;=$J$5,0,CONTADORES!$Z374-CONTADORES!$Z373)</f>
        <v>0</v>
      </c>
      <c r="J360" s="204">
        <f t="shared" ca="1" si="157"/>
        <v>0</v>
      </c>
      <c r="K360" s="202">
        <f ca="1">'CALCULO DE GAS'!Q189</f>
        <v>0</v>
      </c>
      <c r="L360" s="1454">
        <f ca="1">IF(B360&gt;=$J$5,0,(CONTADORES!$W374-CONTADORES!$W373)-$O360)</f>
        <v>0</v>
      </c>
      <c r="M360" s="1437">
        <f t="shared" ca="1" si="183"/>
        <v>0</v>
      </c>
      <c r="N360" s="1437">
        <f ca="1">IF(B360&gt;=$J$5,0,CONTADORES!$Y374-CONTADORES!$Y373)</f>
        <v>0</v>
      </c>
      <c r="O360" s="1437">
        <f ca="1">IF(N360&gt;0,CONTADORES!$X374-CONTADORES!$X373,0)</f>
        <v>0</v>
      </c>
      <c r="P360" s="208">
        <f ca="1">IF(B360&gt;=$J$5,0,CONTADORES!$U374-CONTADORES!$U373)</f>
        <v>0</v>
      </c>
      <c r="Q360" s="208">
        <f ca="1">IF(B360&gt;=$J$5,0,CONTADORES!$B374-CONTADORES!$B373)</f>
        <v>0</v>
      </c>
      <c r="R360" s="202">
        <f t="shared" ca="1" si="159"/>
        <v>0</v>
      </c>
      <c r="S360" s="11">
        <f ca="1">IF(B360&gt;=$J$5,0,CONTADORES!$D374-CONTADORES!$D373)</f>
        <v>0</v>
      </c>
      <c r="T360" s="204">
        <f ca="1">IF(B360&gt;=$J$5,0,CONTADORES!$AZ374-CONTADORES!$AZ373)</f>
        <v>0</v>
      </c>
      <c r="U360" s="202">
        <f t="shared" ca="1" si="184"/>
        <v>0</v>
      </c>
      <c r="V360" s="11">
        <f ca="1">IF(B360&gt;=$J$5,0,CONTADORES!$BB374-CONTADORES!$BB373)</f>
        <v>0</v>
      </c>
      <c r="W360" s="1438">
        <f t="shared" ca="1" si="160"/>
        <v>0</v>
      </c>
      <c r="X360" s="1438">
        <f t="shared" ca="1" si="161"/>
        <v>0</v>
      </c>
      <c r="Y360" s="1439">
        <f t="shared" ca="1" si="162"/>
        <v>0</v>
      </c>
      <c r="Z360" s="1439">
        <f t="shared" ca="1" si="163"/>
        <v>0</v>
      </c>
      <c r="AA360" s="1439">
        <f t="shared" ca="1" si="164"/>
        <v>0</v>
      </c>
      <c r="AB360" s="1439">
        <f t="shared" ca="1" si="165"/>
        <v>0</v>
      </c>
      <c r="AC360" s="1438">
        <f t="shared" ca="1" si="166"/>
        <v>0</v>
      </c>
      <c r="AD360" s="1438">
        <f ca="1">IF(B360&gt;=$J$5,0,CONTADORES!H374-CONTADORES!H373)</f>
        <v>0</v>
      </c>
      <c r="AE360" s="1438">
        <f ca="1">IF(B360&gt;=$J$5,0,CONTADORES!J374-CONTADORES!J373)</f>
        <v>0</v>
      </c>
      <c r="AF360" s="1438">
        <f ca="1">IF(B360&gt;=$J$5,0,CONTADORES!AS374-CONTADORES!AS373)</f>
        <v>0</v>
      </c>
      <c r="AG360" s="1438">
        <f ca="1">IF(B360&gt;=$J$5,0,CONTADORES!AU374-CONTADORES!AU373)</f>
        <v>0</v>
      </c>
      <c r="AH360" s="1439">
        <f ca="1">IF(B360&gt;=$J$5,0,(CONTADORES!AK374-CONTADORES!AK373)+(CONTADORES!K374-CONTADORES!K373))</f>
        <v>0</v>
      </c>
      <c r="AI360" s="1438">
        <f ca="1">IF(B360&gt;=$J$5,0,(CONTADORES!AI374-CONTADORES!AI373)+(CONTADORES!M374-CONTADORES!M373))</f>
        <v>0</v>
      </c>
      <c r="AJ360" s="1438">
        <f ca="1">IF(B360&gt;=$J$5,0,(CONTADORES!AG374-CONTADORES!AG373))</f>
        <v>0</v>
      </c>
      <c r="AK360" s="1438">
        <f ca="1">IF(B360&gt;=$J$5,0,(CONTADORES!O374-CONTADORES!O373))</f>
        <v>0</v>
      </c>
      <c r="AL360" s="1500">
        <f t="shared" ca="1" si="167"/>
        <v>0</v>
      </c>
      <c r="AM360" s="1438">
        <f ca="1">IF(B360&gt;=$J$5,0,(((CONTADORES!F374-CONTADORES!F373)+(CONTADORES!AO374-CONTADORES!AO373))))-BJ360-AF360-AN360-BM360-BP360-BU360-BS360+T360</f>
        <v>0</v>
      </c>
      <c r="AN360" s="1443">
        <f ca="1">IF(B360&gt;=$J$5,0,(CONTADORES!AV374-CONTADORES!AV373)+(CONTADORES!AX374-CONTADORES!AX373)+(CONTADORES!BC374-CONTADORES!BC373))-BS360</f>
        <v>0</v>
      </c>
      <c r="AO360" s="1440">
        <f ca="1">IF(B360&gt;=$J$5,0,(CONTADORES!AA374-CONTADORES!AA373))</f>
        <v>0</v>
      </c>
      <c r="AP360" s="1474">
        <f ca="1">IF(B360&gt;=$J$5,0,(CONTADORES!V374-CONTADORES!V373))</f>
        <v>0</v>
      </c>
      <c r="AQ360" s="1445">
        <f ca="1">IF(B360&gt;=$J$5,0,(CONTADORES!C374-CONTADORES!C373))</f>
        <v>0</v>
      </c>
      <c r="AR360" s="1440">
        <f ca="1">IF(B360&gt;=$J$5,0,(CONTADORES!BA374-CONTADORES!BA373))</f>
        <v>0</v>
      </c>
      <c r="AS360" s="1438">
        <f ca="1">IF(B360&gt;=$J$5,0,CONTADORES!Q374-CONTADORES!Q373)</f>
        <v>0</v>
      </c>
      <c r="AT360" s="1438">
        <f ca="1">IF(B360&gt;=$J$5,0,(CONTADORES!S374-CONTADORES!S373)+(CONTADORES!AE374-CONTADORES!AE373))</f>
        <v>0</v>
      </c>
      <c r="AU360" s="1474">
        <f ca="1">IF(B360&gt;=$J$5,0,(CONTADORES!I374-CONTADORES!I373))</f>
        <v>0</v>
      </c>
      <c r="AV360" s="1440">
        <f ca="1">IF(B360&gt;=$J$5,0,(CONTADORES!AT374-CONTADORES!AT373))</f>
        <v>0</v>
      </c>
      <c r="AW360" s="1440">
        <f ca="1">IF(B360&gt;=$J$5,0,(CONTADORES!L374-CONTADORES!L373)+(CONTADORES!AL374-CONTADORES!AL373))</f>
        <v>0</v>
      </c>
      <c r="AX360" s="1440">
        <f ca="1">IF(B360&gt;=$J$5,0,(CONTADORES!N374-CONTADORES!N373)+(CONTADORES!AJ374-CONTADORES!AJ373))</f>
        <v>0</v>
      </c>
      <c r="AY360" s="1440">
        <f ca="1">IF(B360&gt;=$J$5,0,(CONTADORES!AH374-CONTADORES!AH373))</f>
        <v>0</v>
      </c>
      <c r="AZ360" s="1440">
        <f ca="1">IF(B360&gt;=$J$5,0,(CONTADORES!P374-CONTADORES!P373))</f>
        <v>0</v>
      </c>
      <c r="BA360" s="1450">
        <f t="shared" ca="1" si="168"/>
        <v>0</v>
      </c>
      <c r="BB360" s="1440">
        <f ca="1">IF(B360&gt;=$J$5,0,(((CONTADORES!G374-CONTADORES!G373)+(CONTADORES!AP374-CONTADORES!AP373)+AR360)-(AV360+BC360)))</f>
        <v>0</v>
      </c>
      <c r="BC360" s="1438">
        <f ca="1">IF(B360&gt;=$J$5,0,(CONTADORES!AW374-CONTADORES!AW373)+(CONTADORES!AY374-CONTADORES!AY373)+(CONTADORES!BD374-CONTADORES!BD373))</f>
        <v>0</v>
      </c>
      <c r="BD360" s="1438">
        <f t="shared" ca="1" si="169"/>
        <v>0</v>
      </c>
      <c r="BE360" s="1439">
        <f ca="1">IF($B360&gt;=$J$5,0,CONTADORES!$BE374)</f>
        <v>0</v>
      </c>
      <c r="BF360" s="1438">
        <f ca="1">IF($B360&gt;=$J$5,0,CONTADORES!$BF374)</f>
        <v>0</v>
      </c>
      <c r="BG360" s="1438">
        <f ca="1">IF($B360&gt;=$J$5,0,CONTADORES!$BH374)</f>
        <v>0</v>
      </c>
      <c r="BH360" s="1438">
        <f ca="1">IF(B360&gt;=$J$5,0,(CONTADORES!AQ374-CONTADORES!AQ373))</f>
        <v>0</v>
      </c>
      <c r="BI360" s="1438">
        <f ca="1">IF(B360&gt;=$J$5,0,(CONTADORES!AR374-CONTADORES!AR373))</f>
        <v>0</v>
      </c>
      <c r="BJ360" s="1438">
        <f ca="1">IF(B360&gt;=$J$5,0,CONTADORES!BI374-CONTADORES!BI373)/1000</f>
        <v>0</v>
      </c>
      <c r="BK360" s="1438">
        <f ca="1">IF(B360&gt;=$J$5,0,CONTADORES!BJ374-CONTADORES!BJ373)</f>
        <v>0</v>
      </c>
      <c r="BL360" s="1438">
        <f ca="1">IF(B360&gt;=$J$5,0,CONTADORES!BK374-CONTADORES!BK373)</f>
        <v>0</v>
      </c>
      <c r="BM360" s="1438">
        <f ca="1">IF(B360&gt;=$J$5,0,CONTADORES!BL374-CONTADORES!BL373)/1000</f>
        <v>0</v>
      </c>
      <c r="BN360" s="1438">
        <f ca="1">IF(B360&gt;=$J$5,0,CONTADORES!BM374-CONTADORES!BM373)/1000</f>
        <v>0</v>
      </c>
      <c r="BO360" s="1438">
        <f ca="1">IF(B360&gt;=$J$5,0,CONTADORES!BN374-CONTADORES!BN373)</f>
        <v>0</v>
      </c>
      <c r="BP360" s="1438">
        <f ca="1">IF(B360&gt;=$J$5,0,CONTADORES!BO374-CONTADORES!BO373)/1000</f>
        <v>0</v>
      </c>
      <c r="BQ360" s="1438">
        <f ca="1">IF(B360&gt;=$J$5,0,CONTADORES!BP374-CONTADORES!BP373)/1000</f>
        <v>0</v>
      </c>
      <c r="BR360" s="1438">
        <f ca="1">IF(B360&gt;=$J$5,0,CONTADORES!BQ374-CONTADORES!BQ373)</f>
        <v>0</v>
      </c>
      <c r="BS360" s="1438">
        <f ca="1">IF(B360&gt;=$J$5,0,(CONTADORES!BT374-CONTADORES!BT373)+(CONTADORES!BV374-CONTADORES!BV373))/1000</f>
        <v>0</v>
      </c>
      <c r="BT360" s="1438">
        <f ca="1">IF(B360&gt;=$J$5,0,(CONTADORES!BU374-CONTADORES!BU373)+(CONTADORES!BW374-CONTADORES!BW373))/1000</f>
        <v>0</v>
      </c>
      <c r="BU360" s="1438">
        <f ca="1">IF(B360&gt;=$J$5,0,CONTADORES!BR374-CONTADORES!BR373)</f>
        <v>0</v>
      </c>
      <c r="BV360" s="1438">
        <f ca="1">IF(B360&gt;=$J$5,0,CONTADORES!BS374-CONTADORES!BS373)</f>
        <v>0</v>
      </c>
      <c r="BW360" s="1438">
        <f t="shared" ca="1" si="170"/>
        <v>0</v>
      </c>
      <c r="BX360" s="1438">
        <f t="shared" ca="1" si="171"/>
        <v>0</v>
      </c>
      <c r="BY360" s="1438">
        <f t="shared" ca="1" si="172"/>
        <v>0</v>
      </c>
      <c r="BZ360" s="1438">
        <f t="shared" ca="1" si="173"/>
        <v>0</v>
      </c>
      <c r="CA360" s="1438">
        <f t="shared" ca="1" si="174"/>
        <v>0</v>
      </c>
      <c r="CB360" s="1438">
        <f t="shared" ca="1" si="175"/>
        <v>0</v>
      </c>
      <c r="CC360" s="1438">
        <f t="shared" ca="1" si="176"/>
        <v>0</v>
      </c>
      <c r="CD360" s="1438">
        <f t="shared" ca="1" si="177"/>
        <v>0</v>
      </c>
      <c r="CE360" s="1438">
        <f ca="1">IF(B360&gt;=$J$5,0,CONTADORES!BS374-CONTADORES!BS373)</f>
        <v>0</v>
      </c>
      <c r="CF360" s="1438">
        <f t="shared" ca="1" si="178"/>
        <v>0</v>
      </c>
      <c r="CG360" s="1438">
        <f t="shared" ca="1" si="179"/>
        <v>0</v>
      </c>
      <c r="CH360" s="1438">
        <f t="shared" ca="1" si="180"/>
        <v>0</v>
      </c>
      <c r="CI360" s="1438">
        <f t="shared" ca="1" si="181"/>
        <v>0</v>
      </c>
      <c r="CJ360" s="1444">
        <f ca="1">IF($B360&gt;=$J$5,0,CONTADORES!$BG374)</f>
        <v>0</v>
      </c>
      <c r="CK360" s="1406">
        <f>CONTADORES!E374</f>
        <v>0</v>
      </c>
      <c r="CL360" s="1406">
        <f>CONTADORES!BX374</f>
        <v>0</v>
      </c>
    </row>
    <row r="361" spans="2:90">
      <c r="B361" s="410">
        <v>45277</v>
      </c>
      <c r="C361" s="204">
        <f t="shared" ca="1" si="156"/>
        <v>0</v>
      </c>
      <c r="D361" s="202">
        <f ca="1">'CALCULO DE GAS'!P190</f>
        <v>0</v>
      </c>
      <c r="E361" s="202">
        <f ca="1">IF(B361&gt;=$J$5,0,(CONTADORES!$AB375-CONTADORES!$AB374)-$H361)</f>
        <v>0</v>
      </c>
      <c r="F361" s="204">
        <f t="shared" ca="1" si="182"/>
        <v>0</v>
      </c>
      <c r="G361" s="202">
        <f ca="1">IF(B361&gt;=$J$5,0,CONTADORES!$AD375-CONTADORES!$AD374)</f>
        <v>0</v>
      </c>
      <c r="H361" s="202">
        <f ca="1">IF(G361&gt;0,CONTADORES!$AC375-CONTADORES!$AC374,0)</f>
        <v>0</v>
      </c>
      <c r="I361" s="205">
        <f ca="1">IF(B361&gt;=$J$5,0,CONTADORES!$Z375-CONTADORES!$Z374)</f>
        <v>0</v>
      </c>
      <c r="J361" s="204">
        <f t="shared" ca="1" si="157"/>
        <v>0</v>
      </c>
      <c r="K361" s="202">
        <f ca="1">'CALCULO DE GAS'!Q190</f>
        <v>0</v>
      </c>
      <c r="L361" s="1454">
        <f ca="1">IF(B361&gt;=$J$5,0,(CONTADORES!$W375-CONTADORES!$W374)-$O361)</f>
        <v>0</v>
      </c>
      <c r="M361" s="1437">
        <f t="shared" ca="1" si="183"/>
        <v>0</v>
      </c>
      <c r="N361" s="1437">
        <f ca="1">IF(B361&gt;=$J$5,0,CONTADORES!$Y375-CONTADORES!$Y374)</f>
        <v>0</v>
      </c>
      <c r="O361" s="1437">
        <f ca="1">IF(N361&gt;0,CONTADORES!$X375-CONTADORES!$X374,0)</f>
        <v>0</v>
      </c>
      <c r="P361" s="208">
        <f ca="1">IF(B361&gt;=$J$5,0,CONTADORES!$U375-CONTADORES!$U374)</f>
        <v>0</v>
      </c>
      <c r="Q361" s="208">
        <f ca="1">IF(B361&gt;=$J$5,0,CONTADORES!$B375-CONTADORES!$B374)</f>
        <v>0</v>
      </c>
      <c r="R361" s="202">
        <f t="shared" ca="1" si="159"/>
        <v>0</v>
      </c>
      <c r="S361" s="11">
        <f ca="1">IF(B361&gt;=$J$5,0,CONTADORES!$D375-CONTADORES!$D374)</f>
        <v>0</v>
      </c>
      <c r="T361" s="204">
        <f ca="1">IF(B361&gt;=$J$5,0,CONTADORES!$AZ375-CONTADORES!$AZ374)</f>
        <v>0</v>
      </c>
      <c r="U361" s="202">
        <f t="shared" ca="1" si="184"/>
        <v>0</v>
      </c>
      <c r="V361" s="11">
        <f ca="1">IF(B361&gt;=$J$5,0,CONTADORES!$BB375-CONTADORES!$BB374)</f>
        <v>0</v>
      </c>
      <c r="W361" s="1438">
        <f t="shared" ca="1" si="160"/>
        <v>0</v>
      </c>
      <c r="X361" s="1438">
        <f t="shared" ca="1" si="161"/>
        <v>0</v>
      </c>
      <c r="Y361" s="1439">
        <f t="shared" ca="1" si="162"/>
        <v>0</v>
      </c>
      <c r="Z361" s="1439">
        <f t="shared" ca="1" si="163"/>
        <v>0</v>
      </c>
      <c r="AA361" s="1439">
        <f t="shared" ca="1" si="164"/>
        <v>0</v>
      </c>
      <c r="AB361" s="1439">
        <f t="shared" ca="1" si="165"/>
        <v>0</v>
      </c>
      <c r="AC361" s="1438">
        <f t="shared" ca="1" si="166"/>
        <v>0</v>
      </c>
      <c r="AD361" s="1438">
        <f ca="1">IF(B361&gt;=$J$5,0,CONTADORES!H375-CONTADORES!H374)</f>
        <v>0</v>
      </c>
      <c r="AE361" s="1438">
        <f ca="1">IF(B361&gt;=$J$5,0,CONTADORES!J375-CONTADORES!J374)</f>
        <v>0</v>
      </c>
      <c r="AF361" s="1438">
        <f ca="1">IF(B361&gt;=$J$5,0,CONTADORES!AS375-CONTADORES!AS374)</f>
        <v>0</v>
      </c>
      <c r="AG361" s="1438">
        <f ca="1">IF(B361&gt;=$J$5,0,CONTADORES!AU375-CONTADORES!AU374)</f>
        <v>0</v>
      </c>
      <c r="AH361" s="1439">
        <f ca="1">IF(B361&gt;=$J$5,0,(CONTADORES!AK375-CONTADORES!AK374)+(CONTADORES!K375-CONTADORES!K374))</f>
        <v>0</v>
      </c>
      <c r="AI361" s="1438">
        <f ca="1">IF(B361&gt;=$J$5,0,(CONTADORES!AI375-CONTADORES!AI374)+(CONTADORES!M375-CONTADORES!M374))</f>
        <v>0</v>
      </c>
      <c r="AJ361" s="1438">
        <f ca="1">IF(B361&gt;=$J$5,0,(CONTADORES!AG375-CONTADORES!AG374))</f>
        <v>0</v>
      </c>
      <c r="AK361" s="1438">
        <f ca="1">IF(B361&gt;=$J$5,0,(CONTADORES!O375-CONTADORES!O374))</f>
        <v>0</v>
      </c>
      <c r="AL361" s="1500">
        <f t="shared" ca="1" si="167"/>
        <v>0</v>
      </c>
      <c r="AM361" s="1438">
        <f ca="1">IF(B361&gt;=$J$5,0,(((CONTADORES!F375-CONTADORES!F374)+(CONTADORES!AO375-CONTADORES!AO374))))-BJ361-AF361-AN361-BM361-BP361-BU361-BS361+T361</f>
        <v>0</v>
      </c>
      <c r="AN361" s="1443">
        <f ca="1">IF(B361&gt;=$J$5,0,(CONTADORES!AV375-CONTADORES!AV374)+(CONTADORES!AX375-CONTADORES!AX374)+(CONTADORES!BC375-CONTADORES!BC374))-BS361</f>
        <v>0</v>
      </c>
      <c r="AO361" s="1440">
        <f ca="1">IF(B361&gt;=$J$5,0,(CONTADORES!AA375-CONTADORES!AA374))</f>
        <v>0</v>
      </c>
      <c r="AP361" s="1474">
        <f ca="1">IF(B361&gt;=$J$5,0,(CONTADORES!V375-CONTADORES!V374))</f>
        <v>0</v>
      </c>
      <c r="AQ361" s="1445">
        <f ca="1">IF(B361&gt;=$J$5,0,(CONTADORES!C375-CONTADORES!C374))</f>
        <v>0</v>
      </c>
      <c r="AR361" s="1440">
        <f ca="1">IF(B361&gt;=$J$5,0,(CONTADORES!BA375-CONTADORES!BA374))</f>
        <v>0</v>
      </c>
      <c r="AS361" s="1438">
        <f ca="1">IF(B361&gt;=$J$5,0,CONTADORES!Q375-CONTADORES!Q374)</f>
        <v>0</v>
      </c>
      <c r="AT361" s="1438">
        <f ca="1">IF(B361&gt;=$J$5,0,(CONTADORES!S375-CONTADORES!S374)+(CONTADORES!AE375-CONTADORES!AE374))</f>
        <v>0</v>
      </c>
      <c r="AU361" s="1474">
        <f ca="1">IF(B361&gt;=$J$5,0,(CONTADORES!I375-CONTADORES!I374))</f>
        <v>0</v>
      </c>
      <c r="AV361" s="1440">
        <f ca="1">IF(B361&gt;=$J$5,0,(CONTADORES!AT375-CONTADORES!AT374))</f>
        <v>0</v>
      </c>
      <c r="AW361" s="1440">
        <f ca="1">IF(B361&gt;=$J$5,0,(CONTADORES!L375-CONTADORES!L374)+(CONTADORES!AL375-CONTADORES!AL374))</f>
        <v>0</v>
      </c>
      <c r="AX361" s="1440">
        <f ca="1">IF(B361&gt;=$J$5,0,(CONTADORES!N375-CONTADORES!N374)+(CONTADORES!AJ375-CONTADORES!AJ374))</f>
        <v>0</v>
      </c>
      <c r="AY361" s="1440">
        <f ca="1">IF(B361&gt;=$J$5,0,(CONTADORES!AH375-CONTADORES!AH374))</f>
        <v>0</v>
      </c>
      <c r="AZ361" s="1440">
        <f ca="1">IF(B361&gt;=$J$5,0,(CONTADORES!P375-CONTADORES!P374))</f>
        <v>0</v>
      </c>
      <c r="BA361" s="1450">
        <f t="shared" ca="1" si="168"/>
        <v>0</v>
      </c>
      <c r="BB361" s="1440">
        <f ca="1">IF(B361&gt;=$J$5,0,(((CONTADORES!G375-CONTADORES!G374)+(CONTADORES!AP375-CONTADORES!AP374)+AR361)-(AV361+BC361)))</f>
        <v>0</v>
      </c>
      <c r="BC361" s="1438">
        <f ca="1">IF(B361&gt;=$J$5,0,(CONTADORES!AW375-CONTADORES!AW374)+(CONTADORES!AY375-CONTADORES!AY374)+(CONTADORES!BD375-CONTADORES!BD374))</f>
        <v>0</v>
      </c>
      <c r="BD361" s="1438">
        <f t="shared" ca="1" si="169"/>
        <v>0</v>
      </c>
      <c r="BE361" s="1439">
        <f ca="1">IF($B361&gt;=$J$5,0,CONTADORES!$BE375)</f>
        <v>0</v>
      </c>
      <c r="BF361" s="1438">
        <f ca="1">IF($B361&gt;=$J$5,0,CONTADORES!$BF375)</f>
        <v>0</v>
      </c>
      <c r="BG361" s="1438">
        <f ca="1">IF($B361&gt;=$J$5,0,CONTADORES!$BH375)</f>
        <v>0</v>
      </c>
      <c r="BH361" s="1438">
        <f ca="1">IF(B361&gt;=$J$5,0,(CONTADORES!AQ375-CONTADORES!AQ374))</f>
        <v>0</v>
      </c>
      <c r="BI361" s="1438">
        <f ca="1">IF(B361&gt;=$J$5,0,(CONTADORES!AR375-CONTADORES!AR374))</f>
        <v>0</v>
      </c>
      <c r="BJ361" s="1438">
        <f ca="1">IF(B361&gt;=$J$5,0,CONTADORES!BI375-CONTADORES!BI374)/1000</f>
        <v>0</v>
      </c>
      <c r="BK361" s="1438">
        <f ca="1">IF(B361&gt;=$J$5,0,CONTADORES!BJ375-CONTADORES!BJ374)</f>
        <v>0</v>
      </c>
      <c r="BL361" s="1438">
        <f ca="1">IF(B361&gt;=$J$5,0,CONTADORES!BK375-CONTADORES!BK374)</f>
        <v>0</v>
      </c>
      <c r="BM361" s="1438">
        <f ca="1">IF(B361&gt;=$J$5,0,CONTADORES!BL375-CONTADORES!BL374)/1000</f>
        <v>0</v>
      </c>
      <c r="BN361" s="1438">
        <f ca="1">IF(B361&gt;=$J$5,0,CONTADORES!BM375-CONTADORES!BM374)/1000</f>
        <v>0</v>
      </c>
      <c r="BO361" s="1438">
        <f ca="1">IF(B361&gt;=$J$5,0,CONTADORES!BN375-CONTADORES!BN374)</f>
        <v>0</v>
      </c>
      <c r="BP361" s="1438">
        <f ca="1">IF(B361&gt;=$J$5,0,CONTADORES!BO375-CONTADORES!BO374)/1000</f>
        <v>0</v>
      </c>
      <c r="BQ361" s="1438">
        <f ca="1">IF(B361&gt;=$J$5,0,CONTADORES!BP375-CONTADORES!BP374)/1000</f>
        <v>0</v>
      </c>
      <c r="BR361" s="1438">
        <f ca="1">IF(B361&gt;=$J$5,0,CONTADORES!BQ375-CONTADORES!BQ374)</f>
        <v>0</v>
      </c>
      <c r="BS361" s="1438">
        <f ca="1">IF(B361&gt;=$J$5,0,(CONTADORES!BT375-CONTADORES!BT374)+(CONTADORES!BV375-CONTADORES!BV374))/1000</f>
        <v>0</v>
      </c>
      <c r="BT361" s="1438">
        <f ca="1">IF(B361&gt;=$J$5,0,(CONTADORES!BU375-CONTADORES!BU374)+(CONTADORES!BW375-CONTADORES!BW374))/1000</f>
        <v>0</v>
      </c>
      <c r="BU361" s="1438">
        <f ca="1">IF(B361&gt;=$J$5,0,CONTADORES!BR375-CONTADORES!BR374)</f>
        <v>0</v>
      </c>
      <c r="BV361" s="1438">
        <f ca="1">IF(B361&gt;=$J$5,0,CONTADORES!BS375-CONTADORES!BS374)</f>
        <v>0</v>
      </c>
      <c r="BW361" s="1438">
        <f t="shared" ca="1" si="170"/>
        <v>0</v>
      </c>
      <c r="BX361" s="1438">
        <f t="shared" ca="1" si="171"/>
        <v>0</v>
      </c>
      <c r="BY361" s="1438">
        <f t="shared" ca="1" si="172"/>
        <v>0</v>
      </c>
      <c r="BZ361" s="1438">
        <f t="shared" ca="1" si="173"/>
        <v>0</v>
      </c>
      <c r="CA361" s="1438">
        <f t="shared" ca="1" si="174"/>
        <v>0</v>
      </c>
      <c r="CB361" s="1438">
        <f t="shared" ca="1" si="175"/>
        <v>0</v>
      </c>
      <c r="CC361" s="1438">
        <f t="shared" ca="1" si="176"/>
        <v>0</v>
      </c>
      <c r="CD361" s="1438">
        <f t="shared" ca="1" si="177"/>
        <v>0</v>
      </c>
      <c r="CE361" s="1438">
        <f ca="1">IF(B361&gt;=$J$5,0,CONTADORES!BS375-CONTADORES!BS374)</f>
        <v>0</v>
      </c>
      <c r="CF361" s="1438">
        <f t="shared" ca="1" si="178"/>
        <v>0</v>
      </c>
      <c r="CG361" s="1438">
        <f t="shared" ca="1" si="179"/>
        <v>0</v>
      </c>
      <c r="CH361" s="1438">
        <f t="shared" ca="1" si="180"/>
        <v>0</v>
      </c>
      <c r="CI361" s="1438">
        <f t="shared" ca="1" si="181"/>
        <v>0</v>
      </c>
      <c r="CJ361" s="1444">
        <f ca="1">IF($B361&gt;=$J$5,0,CONTADORES!$BG375)</f>
        <v>0</v>
      </c>
      <c r="CK361" s="1406">
        <f>CONTADORES!E375</f>
        <v>0</v>
      </c>
      <c r="CL361" s="1406">
        <f>CONTADORES!BX375</f>
        <v>0</v>
      </c>
    </row>
    <row r="362" spans="2:90">
      <c r="B362" s="410">
        <v>45278</v>
      </c>
      <c r="C362" s="204">
        <f t="shared" ca="1" si="156"/>
        <v>0</v>
      </c>
      <c r="D362" s="202">
        <f ca="1">'CALCULO DE GAS'!P191</f>
        <v>0</v>
      </c>
      <c r="E362" s="202">
        <f ca="1">IF(B362&gt;=$J$5,0,(CONTADORES!$AB376-CONTADORES!$AB375)-$H362)</f>
        <v>0</v>
      </c>
      <c r="F362" s="204">
        <f t="shared" ca="1" si="182"/>
        <v>0</v>
      </c>
      <c r="G362" s="202">
        <f ca="1">IF(B362&gt;=$J$5,0,CONTADORES!$AD376-CONTADORES!$AD375)</f>
        <v>0</v>
      </c>
      <c r="H362" s="202">
        <f ca="1">IF(G362&gt;0,CONTADORES!$AC376-CONTADORES!$AC375,0)</f>
        <v>0</v>
      </c>
      <c r="I362" s="205">
        <f ca="1">IF(B362&gt;=$J$5,0,CONTADORES!$Z376-CONTADORES!$Z375)</f>
        <v>0</v>
      </c>
      <c r="J362" s="204">
        <f t="shared" ca="1" si="157"/>
        <v>0</v>
      </c>
      <c r="K362" s="202">
        <f ca="1">'CALCULO DE GAS'!Q191</f>
        <v>0</v>
      </c>
      <c r="L362" s="1454">
        <f ca="1">IF(B362&gt;=$J$5,0,(CONTADORES!$W376-CONTADORES!$W375)-$O362)</f>
        <v>0</v>
      </c>
      <c r="M362" s="1437">
        <f t="shared" ca="1" si="183"/>
        <v>0</v>
      </c>
      <c r="N362" s="1437">
        <f ca="1">IF(B362&gt;=$J$5,0,CONTADORES!$Y376-CONTADORES!$Y375)</f>
        <v>0</v>
      </c>
      <c r="O362" s="1437">
        <f ca="1">IF(N362&gt;0,CONTADORES!$X376-CONTADORES!$X375,0)</f>
        <v>0</v>
      </c>
      <c r="P362" s="208">
        <f ca="1">IF(B362&gt;=$J$5,0,CONTADORES!$U376-CONTADORES!$U375)</f>
        <v>0</v>
      </c>
      <c r="Q362" s="208">
        <f ca="1">IF(B362&gt;=$J$5,0,CONTADORES!$B376-CONTADORES!$B375)</f>
        <v>0</v>
      </c>
      <c r="R362" s="202">
        <f t="shared" ca="1" si="159"/>
        <v>0</v>
      </c>
      <c r="S362" s="11">
        <f ca="1">IF(B362&gt;=$J$5,0,CONTADORES!$D376-CONTADORES!$D375)</f>
        <v>0</v>
      </c>
      <c r="T362" s="204">
        <f ca="1">IF(B362&gt;=$J$5,0,CONTADORES!$AZ376-CONTADORES!$AZ375)</f>
        <v>0</v>
      </c>
      <c r="U362" s="202">
        <f t="shared" ca="1" si="184"/>
        <v>0</v>
      </c>
      <c r="V362" s="11">
        <f ca="1">IF(B362&gt;=$J$5,0,CONTADORES!$BB376-CONTADORES!$BB375)</f>
        <v>0</v>
      </c>
      <c r="W362" s="1438">
        <f t="shared" ca="1" si="160"/>
        <v>0</v>
      </c>
      <c r="X362" s="1438">
        <f t="shared" ca="1" si="161"/>
        <v>0</v>
      </c>
      <c r="Y362" s="1439">
        <f t="shared" ca="1" si="162"/>
        <v>0</v>
      </c>
      <c r="Z362" s="1439">
        <f t="shared" ca="1" si="163"/>
        <v>0</v>
      </c>
      <c r="AA362" s="1439">
        <f t="shared" ca="1" si="164"/>
        <v>0</v>
      </c>
      <c r="AB362" s="1439">
        <f t="shared" ca="1" si="165"/>
        <v>0</v>
      </c>
      <c r="AC362" s="1438">
        <f t="shared" ca="1" si="166"/>
        <v>0</v>
      </c>
      <c r="AD362" s="1438">
        <f ca="1">IF(B362&gt;=$J$5,0,CONTADORES!H376-CONTADORES!H375)</f>
        <v>0</v>
      </c>
      <c r="AE362" s="1438">
        <f ca="1">IF(B362&gt;=$J$5,0,CONTADORES!J376-CONTADORES!J375)</f>
        <v>0</v>
      </c>
      <c r="AF362" s="1438">
        <f ca="1">IF(B362&gt;=$J$5,0,CONTADORES!AS376-CONTADORES!AS375)</f>
        <v>0</v>
      </c>
      <c r="AG362" s="1438">
        <f ca="1">IF(B362&gt;=$J$5,0,CONTADORES!AU376-CONTADORES!AU375)</f>
        <v>0</v>
      </c>
      <c r="AH362" s="1439">
        <f ca="1">IF(B362&gt;=$J$5,0,(CONTADORES!AK376-CONTADORES!AK375)+(CONTADORES!K376-CONTADORES!K375))</f>
        <v>0</v>
      </c>
      <c r="AI362" s="1438">
        <f ca="1">IF(B362&gt;=$J$5,0,(CONTADORES!AI376-CONTADORES!AI375)+(CONTADORES!M376-CONTADORES!M375))</f>
        <v>0</v>
      </c>
      <c r="AJ362" s="1438">
        <f ca="1">IF(B362&gt;=$J$5,0,(CONTADORES!AG376-CONTADORES!AG375))</f>
        <v>0</v>
      </c>
      <c r="AK362" s="1438">
        <f ca="1">IF(B362&gt;=$J$5,0,(CONTADORES!O376-CONTADORES!O375))</f>
        <v>0</v>
      </c>
      <c r="AL362" s="1500">
        <f t="shared" ca="1" si="167"/>
        <v>0</v>
      </c>
      <c r="AM362" s="1438">
        <f ca="1">IF(B362&gt;=$J$5,0,(((CONTADORES!F376-CONTADORES!F375)+(CONTADORES!AO376-CONTADORES!AO375))))-BJ362-AF362-AN362-BM362-BP362-BU362-BS362+T362</f>
        <v>0</v>
      </c>
      <c r="AN362" s="1443">
        <f ca="1">IF(B362&gt;=$J$5,0,(CONTADORES!AV376-CONTADORES!AV375)+(CONTADORES!AX376-CONTADORES!AX375)+(CONTADORES!BC376-CONTADORES!BC375))-BS362</f>
        <v>0</v>
      </c>
      <c r="AO362" s="1440">
        <f ca="1">IF(B362&gt;=$J$5,0,(CONTADORES!AA376-CONTADORES!AA375))</f>
        <v>0</v>
      </c>
      <c r="AP362" s="1474">
        <f ca="1">IF(B362&gt;=$J$5,0,(CONTADORES!V376-CONTADORES!V375))</f>
        <v>0</v>
      </c>
      <c r="AQ362" s="1445">
        <f ca="1">IF(B362&gt;=$J$5,0,(CONTADORES!C376-CONTADORES!C375))</f>
        <v>0</v>
      </c>
      <c r="AR362" s="1440">
        <f ca="1">IF(B362&gt;=$J$5,0,(CONTADORES!BA376-CONTADORES!BA375))</f>
        <v>0</v>
      </c>
      <c r="AS362" s="1438">
        <f ca="1">IF(B362&gt;=$J$5,0,CONTADORES!Q376-CONTADORES!Q375)</f>
        <v>0</v>
      </c>
      <c r="AT362" s="1438">
        <f ca="1">IF(B362&gt;=$J$5,0,(CONTADORES!S376-CONTADORES!S375)+(CONTADORES!AE376-CONTADORES!AE375))</f>
        <v>0</v>
      </c>
      <c r="AU362" s="1474">
        <f ca="1">IF(B362&gt;=$J$5,0,(CONTADORES!I376-CONTADORES!I375))</f>
        <v>0</v>
      </c>
      <c r="AV362" s="1440">
        <f ca="1">IF(B362&gt;=$J$5,0,(CONTADORES!AT376-CONTADORES!AT375))</f>
        <v>0</v>
      </c>
      <c r="AW362" s="1440">
        <f ca="1">IF(B362&gt;=$J$5,0,(CONTADORES!L376-CONTADORES!L375)+(CONTADORES!AL376-CONTADORES!AL375))</f>
        <v>0</v>
      </c>
      <c r="AX362" s="1440">
        <f ca="1">IF(B362&gt;=$J$5,0,(CONTADORES!N376-CONTADORES!N375)+(CONTADORES!AJ376-CONTADORES!AJ375))</f>
        <v>0</v>
      </c>
      <c r="AY362" s="1440">
        <f ca="1">IF(B362&gt;=$J$5,0,(CONTADORES!AH376-CONTADORES!AH375))</f>
        <v>0</v>
      </c>
      <c r="AZ362" s="1440">
        <f ca="1">IF(B362&gt;=$J$5,0,(CONTADORES!P376-CONTADORES!P375))</f>
        <v>0</v>
      </c>
      <c r="BA362" s="1450">
        <f t="shared" ca="1" si="168"/>
        <v>0</v>
      </c>
      <c r="BB362" s="1440">
        <f ca="1">IF(B362&gt;=$J$5,0,(((CONTADORES!G376-CONTADORES!G375)+(CONTADORES!AP376-CONTADORES!AP375)+AR362)-(AV362+BC362)))</f>
        <v>0</v>
      </c>
      <c r="BC362" s="1438">
        <f ca="1">IF(B362&gt;=$J$5,0,(CONTADORES!AW376-CONTADORES!AW375)+(CONTADORES!AY376-CONTADORES!AY375)+(CONTADORES!BD376-CONTADORES!BD375))</f>
        <v>0</v>
      </c>
      <c r="BD362" s="1438">
        <f t="shared" ca="1" si="169"/>
        <v>0</v>
      </c>
      <c r="BE362" s="1439">
        <f ca="1">IF($B362&gt;=$J$5,0,CONTADORES!$BE376)</f>
        <v>0</v>
      </c>
      <c r="BF362" s="1438">
        <f ca="1">IF($B362&gt;=$J$5,0,CONTADORES!$BF376)</f>
        <v>0</v>
      </c>
      <c r="BG362" s="1438">
        <f ca="1">IF($B362&gt;=$J$5,0,CONTADORES!$BH376)</f>
        <v>0</v>
      </c>
      <c r="BH362" s="1438">
        <f ca="1">IF(B362&gt;=$J$5,0,(CONTADORES!AQ376-CONTADORES!AQ375))</f>
        <v>0</v>
      </c>
      <c r="BI362" s="1438">
        <f ca="1">IF(B362&gt;=$J$5,0,(CONTADORES!AR376-CONTADORES!AR375))</f>
        <v>0</v>
      </c>
      <c r="BJ362" s="1438">
        <f ca="1">IF(B362&gt;=$J$5,0,CONTADORES!BI376-CONTADORES!BI375)/1000</f>
        <v>0</v>
      </c>
      <c r="BK362" s="1438">
        <f ca="1">IF(B362&gt;=$J$5,0,CONTADORES!BJ376-CONTADORES!BJ375)</f>
        <v>0</v>
      </c>
      <c r="BL362" s="1438">
        <f ca="1">IF(B362&gt;=$J$5,0,CONTADORES!BK376-CONTADORES!BK375)</f>
        <v>0</v>
      </c>
      <c r="BM362" s="1438">
        <f ca="1">IF(B362&gt;=$J$5,0,CONTADORES!BL376-CONTADORES!BL375)/1000</f>
        <v>0</v>
      </c>
      <c r="BN362" s="1438">
        <f ca="1">IF(B362&gt;=$J$5,0,CONTADORES!BM376-CONTADORES!BM375)/1000</f>
        <v>0</v>
      </c>
      <c r="BO362" s="1438">
        <f ca="1">IF(B362&gt;=$J$5,0,CONTADORES!BN376-CONTADORES!BN375)</f>
        <v>0</v>
      </c>
      <c r="BP362" s="1438">
        <f ca="1">IF(B362&gt;=$J$5,0,CONTADORES!BO376-CONTADORES!BO375)/1000</f>
        <v>0</v>
      </c>
      <c r="BQ362" s="1438">
        <f ca="1">IF(B362&gt;=$J$5,0,CONTADORES!BP376-CONTADORES!BP375)/1000</f>
        <v>0</v>
      </c>
      <c r="BR362" s="1438">
        <f ca="1">IF(B362&gt;=$J$5,0,CONTADORES!BQ376-CONTADORES!BQ375)</f>
        <v>0</v>
      </c>
      <c r="BS362" s="1438">
        <f ca="1">IF(B362&gt;=$J$5,0,(CONTADORES!BT376-CONTADORES!BT375)+(CONTADORES!BV376-CONTADORES!BV375))/1000</f>
        <v>0</v>
      </c>
      <c r="BT362" s="1438">
        <f ca="1">IF(B362&gt;=$J$5,0,(CONTADORES!BU376-CONTADORES!BU375)+(CONTADORES!BW376-CONTADORES!BW375))/1000</f>
        <v>0</v>
      </c>
      <c r="BU362" s="1438">
        <f ca="1">IF(B362&gt;=$J$5,0,CONTADORES!BR376-CONTADORES!BR375)</f>
        <v>0</v>
      </c>
      <c r="BV362" s="1438">
        <f ca="1">IF(B362&gt;=$J$5,0,CONTADORES!BS376-CONTADORES!BS375)</f>
        <v>0</v>
      </c>
      <c r="BW362" s="1438">
        <f t="shared" ca="1" si="170"/>
        <v>0</v>
      </c>
      <c r="BX362" s="1438">
        <f t="shared" ca="1" si="171"/>
        <v>0</v>
      </c>
      <c r="BY362" s="1438">
        <f t="shared" ca="1" si="172"/>
        <v>0</v>
      </c>
      <c r="BZ362" s="1438">
        <f t="shared" ca="1" si="173"/>
        <v>0</v>
      </c>
      <c r="CA362" s="1438">
        <f t="shared" ca="1" si="174"/>
        <v>0</v>
      </c>
      <c r="CB362" s="1438">
        <f t="shared" ca="1" si="175"/>
        <v>0</v>
      </c>
      <c r="CC362" s="1438">
        <f t="shared" ca="1" si="176"/>
        <v>0</v>
      </c>
      <c r="CD362" s="1438">
        <f t="shared" ca="1" si="177"/>
        <v>0</v>
      </c>
      <c r="CE362" s="1438">
        <f ca="1">IF(B362&gt;=$J$5,0,CONTADORES!BS376-CONTADORES!BS375)</f>
        <v>0</v>
      </c>
      <c r="CF362" s="1438">
        <f t="shared" ca="1" si="178"/>
        <v>0</v>
      </c>
      <c r="CG362" s="1438">
        <f t="shared" ca="1" si="179"/>
        <v>0</v>
      </c>
      <c r="CH362" s="1438">
        <f t="shared" ca="1" si="180"/>
        <v>0</v>
      </c>
      <c r="CI362" s="1438">
        <f t="shared" ca="1" si="181"/>
        <v>0</v>
      </c>
      <c r="CJ362" s="1444">
        <f ca="1">IF($B362&gt;=$J$5,0,CONTADORES!$BG376)</f>
        <v>0</v>
      </c>
      <c r="CK362" s="1406">
        <f>CONTADORES!E376</f>
        <v>0</v>
      </c>
      <c r="CL362" s="1406">
        <f>CONTADORES!BX376</f>
        <v>0</v>
      </c>
    </row>
    <row r="363" spans="2:90">
      <c r="B363" s="410">
        <v>45279</v>
      </c>
      <c r="C363" s="204">
        <f t="shared" ca="1" si="156"/>
        <v>0</v>
      </c>
      <c r="D363" s="202">
        <f ca="1">'CALCULO DE GAS'!P192</f>
        <v>0</v>
      </c>
      <c r="E363" s="202">
        <f ca="1">IF(B363&gt;=$J$5,0,(CONTADORES!$AB377-CONTADORES!$AB376)-$H363)</f>
        <v>0</v>
      </c>
      <c r="F363" s="204">
        <f t="shared" ca="1" si="182"/>
        <v>0</v>
      </c>
      <c r="G363" s="202">
        <f ca="1">IF(B363&gt;=$J$5,0,CONTADORES!$AD377-CONTADORES!$AD376)</f>
        <v>0</v>
      </c>
      <c r="H363" s="202">
        <f ca="1">IF(G363&gt;0,CONTADORES!$AC377-CONTADORES!$AC376,0)</f>
        <v>0</v>
      </c>
      <c r="I363" s="205">
        <f ca="1">IF(B363&gt;=$J$5,0,CONTADORES!$Z377-CONTADORES!$Z376)</f>
        <v>0</v>
      </c>
      <c r="J363" s="204">
        <f t="shared" ca="1" si="157"/>
        <v>0</v>
      </c>
      <c r="K363" s="202">
        <f ca="1">'CALCULO DE GAS'!Q192</f>
        <v>0</v>
      </c>
      <c r="L363" s="1454">
        <f ca="1">IF(B363&gt;=$J$5,0,(CONTADORES!$W377-CONTADORES!$W376)-$O363)</f>
        <v>0</v>
      </c>
      <c r="M363" s="1437">
        <f t="shared" ca="1" si="183"/>
        <v>0</v>
      </c>
      <c r="N363" s="1437">
        <f ca="1">IF(B363&gt;=$J$5,0,CONTADORES!$Y377-CONTADORES!$Y376)</f>
        <v>0</v>
      </c>
      <c r="O363" s="1437">
        <f ca="1">IF(N363&gt;0,CONTADORES!$X377-CONTADORES!$X376,0)</f>
        <v>0</v>
      </c>
      <c r="P363" s="208">
        <f ca="1">IF(B363&gt;=$J$5,0,CONTADORES!$U377-CONTADORES!$U376)</f>
        <v>0</v>
      </c>
      <c r="Q363" s="208">
        <f ca="1">IF(B363&gt;=$J$5,0,CONTADORES!$B377-CONTADORES!$B376)</f>
        <v>0</v>
      </c>
      <c r="R363" s="202">
        <f t="shared" ca="1" si="159"/>
        <v>0</v>
      </c>
      <c r="S363" s="11">
        <f ca="1">IF(B363&gt;=$J$5,0,CONTADORES!$D377-CONTADORES!$D376)</f>
        <v>0</v>
      </c>
      <c r="T363" s="204">
        <f ca="1">IF(B363&gt;=$J$5,0,CONTADORES!$AZ377-CONTADORES!$AZ376)</f>
        <v>0</v>
      </c>
      <c r="U363" s="202">
        <f t="shared" ca="1" si="184"/>
        <v>0</v>
      </c>
      <c r="V363" s="11">
        <f ca="1">IF(B363&gt;=$J$5,0,CONTADORES!$BB377-CONTADORES!$BB376)</f>
        <v>0</v>
      </c>
      <c r="W363" s="1438">
        <f t="shared" ca="1" si="160"/>
        <v>0</v>
      </c>
      <c r="X363" s="1438">
        <f t="shared" ca="1" si="161"/>
        <v>0</v>
      </c>
      <c r="Y363" s="1439">
        <f t="shared" ca="1" si="162"/>
        <v>0</v>
      </c>
      <c r="Z363" s="1439">
        <f t="shared" ca="1" si="163"/>
        <v>0</v>
      </c>
      <c r="AA363" s="1439">
        <f t="shared" ca="1" si="164"/>
        <v>0</v>
      </c>
      <c r="AB363" s="1439">
        <f t="shared" ca="1" si="165"/>
        <v>0</v>
      </c>
      <c r="AC363" s="1438">
        <f t="shared" ca="1" si="166"/>
        <v>0</v>
      </c>
      <c r="AD363" s="1438">
        <f ca="1">IF(B363&gt;=$J$5,0,CONTADORES!H377-CONTADORES!H376)</f>
        <v>0</v>
      </c>
      <c r="AE363" s="1438">
        <f ca="1">IF(B363&gt;=$J$5,0,CONTADORES!J377-CONTADORES!J376)</f>
        <v>0</v>
      </c>
      <c r="AF363" s="1438">
        <f ca="1">IF(B363&gt;=$J$5,0,CONTADORES!AS377-CONTADORES!AS376)</f>
        <v>0</v>
      </c>
      <c r="AG363" s="1438">
        <f ca="1">IF(B363&gt;=$J$5,0,CONTADORES!AU377-CONTADORES!AU376)</f>
        <v>0</v>
      </c>
      <c r="AH363" s="1439">
        <f ca="1">IF(B363&gt;=$J$5,0,(CONTADORES!AK377-CONTADORES!AK376)+(CONTADORES!K377-CONTADORES!K376))</f>
        <v>0</v>
      </c>
      <c r="AI363" s="1438">
        <f ca="1">IF(B363&gt;=$J$5,0,(CONTADORES!AI377-CONTADORES!AI376)+(CONTADORES!M377-CONTADORES!M376))</f>
        <v>0</v>
      </c>
      <c r="AJ363" s="1438">
        <f ca="1">IF(B363&gt;=$J$5,0,(CONTADORES!AG377-CONTADORES!AG376))</f>
        <v>0</v>
      </c>
      <c r="AK363" s="1438">
        <f ca="1">IF(B363&gt;=$J$5,0,(CONTADORES!O377-CONTADORES!O376))</f>
        <v>0</v>
      </c>
      <c r="AL363" s="1500">
        <f t="shared" ca="1" si="167"/>
        <v>0</v>
      </c>
      <c r="AM363" s="1438">
        <f ca="1">IF(B363&gt;=$J$5,0,(((CONTADORES!F377-CONTADORES!F376)+(CONTADORES!AO377-CONTADORES!AO376))))-BJ363-AF363-AN363-BM363-BP363-BU363-BS363+T363</f>
        <v>0</v>
      </c>
      <c r="AN363" s="1443">
        <f ca="1">IF(B363&gt;=$J$5,0,(CONTADORES!AV377-CONTADORES!AV376)+(CONTADORES!AX377-CONTADORES!AX376)+(CONTADORES!BC377-CONTADORES!BC376))-BS363</f>
        <v>0</v>
      </c>
      <c r="AO363" s="1440">
        <f ca="1">IF(B363&gt;=$J$5,0,(CONTADORES!AA377-CONTADORES!AA376))</f>
        <v>0</v>
      </c>
      <c r="AP363" s="1474">
        <f ca="1">IF(B363&gt;=$J$5,0,(CONTADORES!V377-CONTADORES!V376))</f>
        <v>0</v>
      </c>
      <c r="AQ363" s="1445">
        <f ca="1">IF(B363&gt;=$J$5,0,(CONTADORES!C377-CONTADORES!C376))</f>
        <v>0</v>
      </c>
      <c r="AR363" s="1440">
        <f ca="1">IF(B363&gt;=$J$5,0,(CONTADORES!BA377-CONTADORES!BA376))</f>
        <v>0</v>
      </c>
      <c r="AS363" s="1438">
        <f ca="1">IF(B363&gt;=$J$5,0,CONTADORES!Q377-CONTADORES!Q376)</f>
        <v>0</v>
      </c>
      <c r="AT363" s="1438">
        <f ca="1">IF(B363&gt;=$J$5,0,(CONTADORES!S377-CONTADORES!S376)+(CONTADORES!AE377-CONTADORES!AE376))</f>
        <v>0</v>
      </c>
      <c r="AU363" s="1474">
        <f ca="1">IF(B363&gt;=$J$5,0,(CONTADORES!I377-CONTADORES!I376))</f>
        <v>0</v>
      </c>
      <c r="AV363" s="1440">
        <f ca="1">IF(B363&gt;=$J$5,0,(CONTADORES!AT377-CONTADORES!AT376))</f>
        <v>0</v>
      </c>
      <c r="AW363" s="1440">
        <f ca="1">IF(B363&gt;=$J$5,0,(CONTADORES!L377-CONTADORES!L376)+(CONTADORES!AL377-CONTADORES!AL376))</f>
        <v>0</v>
      </c>
      <c r="AX363" s="1440">
        <f ca="1">IF(B363&gt;=$J$5,0,(CONTADORES!N377-CONTADORES!N376)+(CONTADORES!AJ377-CONTADORES!AJ376))</f>
        <v>0</v>
      </c>
      <c r="AY363" s="1440">
        <f ca="1">IF(B363&gt;=$J$5,0,(CONTADORES!AH377-CONTADORES!AH376))</f>
        <v>0</v>
      </c>
      <c r="AZ363" s="1440">
        <f ca="1">IF(B363&gt;=$J$5,0,(CONTADORES!P377-CONTADORES!P376))</f>
        <v>0</v>
      </c>
      <c r="BA363" s="1450">
        <f t="shared" ca="1" si="168"/>
        <v>0</v>
      </c>
      <c r="BB363" s="1440">
        <f ca="1">IF(B363&gt;=$J$5,0,(((CONTADORES!G377-CONTADORES!G376)+(CONTADORES!AP377-CONTADORES!AP376)+AR363)-(AV363+BC363)))</f>
        <v>0</v>
      </c>
      <c r="BC363" s="1438">
        <f ca="1">IF(B363&gt;=$J$5,0,(CONTADORES!AW377-CONTADORES!AW376)+(CONTADORES!AY377-CONTADORES!AY376)+(CONTADORES!BD377-CONTADORES!BD376))</f>
        <v>0</v>
      </c>
      <c r="BD363" s="1438">
        <f t="shared" ca="1" si="169"/>
        <v>0</v>
      </c>
      <c r="BE363" s="1439">
        <f ca="1">IF($B363&gt;=$J$5,0,CONTADORES!$BE377)</f>
        <v>0</v>
      </c>
      <c r="BF363" s="1438">
        <f ca="1">IF($B363&gt;=$J$5,0,CONTADORES!$BF377)</f>
        <v>0</v>
      </c>
      <c r="BG363" s="1438">
        <f ca="1">IF($B363&gt;=$J$5,0,CONTADORES!$BH377)</f>
        <v>0</v>
      </c>
      <c r="BH363" s="1438">
        <f ca="1">IF(B363&gt;=$J$5,0,(CONTADORES!AQ377-CONTADORES!AQ376))</f>
        <v>0</v>
      </c>
      <c r="BI363" s="1438">
        <f ca="1">IF(B363&gt;=$J$5,0,(CONTADORES!AR377-CONTADORES!AR376))</f>
        <v>0</v>
      </c>
      <c r="BJ363" s="1438">
        <f ca="1">IF(B363&gt;=$J$5,0,CONTADORES!BI377-CONTADORES!BI376)/1000</f>
        <v>0</v>
      </c>
      <c r="BK363" s="1438">
        <f ca="1">IF(B363&gt;=$J$5,0,CONTADORES!BJ377-CONTADORES!BJ376)</f>
        <v>0</v>
      </c>
      <c r="BL363" s="1438">
        <f ca="1">IF(B363&gt;=$J$5,0,CONTADORES!BK377-CONTADORES!BK376)</f>
        <v>0</v>
      </c>
      <c r="BM363" s="1438">
        <f ca="1">IF(B363&gt;=$J$5,0,CONTADORES!BL377-CONTADORES!BL376)/1000</f>
        <v>0</v>
      </c>
      <c r="BN363" s="1438">
        <f ca="1">IF(B363&gt;=$J$5,0,CONTADORES!BM377-CONTADORES!BM376)/1000</f>
        <v>0</v>
      </c>
      <c r="BO363" s="1438">
        <f ca="1">IF(B363&gt;=$J$5,0,CONTADORES!BN377-CONTADORES!BN376)</f>
        <v>0</v>
      </c>
      <c r="BP363" s="1438">
        <f ca="1">IF(B363&gt;=$J$5,0,CONTADORES!BO377-CONTADORES!BO376)/1000</f>
        <v>0</v>
      </c>
      <c r="BQ363" s="1438">
        <f ca="1">IF(B363&gt;=$J$5,0,CONTADORES!BP377-CONTADORES!BP376)/1000</f>
        <v>0</v>
      </c>
      <c r="BR363" s="1438">
        <f ca="1">IF(B363&gt;=$J$5,0,CONTADORES!BQ377-CONTADORES!BQ376)</f>
        <v>0</v>
      </c>
      <c r="BS363" s="1438">
        <f ca="1">IF(B363&gt;=$J$5,0,(CONTADORES!BT377-CONTADORES!BT376)+(CONTADORES!BV377-CONTADORES!BV376))/1000</f>
        <v>0</v>
      </c>
      <c r="BT363" s="1438">
        <f ca="1">IF(B363&gt;=$J$5,0,(CONTADORES!BU377-CONTADORES!BU376)+(CONTADORES!BW377-CONTADORES!BW376))/1000</f>
        <v>0</v>
      </c>
      <c r="BU363" s="1438">
        <f ca="1">IF(B363&gt;=$J$5,0,CONTADORES!BR377-CONTADORES!BR376)</f>
        <v>0</v>
      </c>
      <c r="BV363" s="1438">
        <f ca="1">IF(B363&gt;=$J$5,0,CONTADORES!BS377-CONTADORES!BS376)</f>
        <v>0</v>
      </c>
      <c r="BW363" s="1438">
        <f t="shared" ca="1" si="170"/>
        <v>0</v>
      </c>
      <c r="BX363" s="1438">
        <f t="shared" ca="1" si="171"/>
        <v>0</v>
      </c>
      <c r="BY363" s="1438">
        <f t="shared" ca="1" si="172"/>
        <v>0</v>
      </c>
      <c r="BZ363" s="1438">
        <f t="shared" ca="1" si="173"/>
        <v>0</v>
      </c>
      <c r="CA363" s="1438">
        <f t="shared" ca="1" si="174"/>
        <v>0</v>
      </c>
      <c r="CB363" s="1438">
        <f t="shared" ca="1" si="175"/>
        <v>0</v>
      </c>
      <c r="CC363" s="1438">
        <f t="shared" ca="1" si="176"/>
        <v>0</v>
      </c>
      <c r="CD363" s="1438">
        <f t="shared" ca="1" si="177"/>
        <v>0</v>
      </c>
      <c r="CE363" s="1438">
        <f ca="1">IF(B363&gt;=$J$5,0,CONTADORES!BS377-CONTADORES!BS376)</f>
        <v>0</v>
      </c>
      <c r="CF363" s="1438">
        <f t="shared" ca="1" si="178"/>
        <v>0</v>
      </c>
      <c r="CG363" s="1438">
        <f t="shared" ca="1" si="179"/>
        <v>0</v>
      </c>
      <c r="CH363" s="1438">
        <f t="shared" ca="1" si="180"/>
        <v>0</v>
      </c>
      <c r="CI363" s="1438">
        <f t="shared" ca="1" si="181"/>
        <v>0</v>
      </c>
      <c r="CJ363" s="1444">
        <f ca="1">IF($B363&gt;=$J$5,0,CONTADORES!$BG377)</f>
        <v>0</v>
      </c>
      <c r="CK363" s="1406">
        <f>CONTADORES!E377</f>
        <v>0</v>
      </c>
      <c r="CL363" s="1406">
        <f>CONTADORES!BX377</f>
        <v>0</v>
      </c>
    </row>
    <row r="364" spans="2:90">
      <c r="B364" s="410">
        <v>45280</v>
      </c>
      <c r="C364" s="204">
        <f t="shared" ca="1" si="156"/>
        <v>0</v>
      </c>
      <c r="D364" s="202">
        <f ca="1">'CALCULO DE GAS'!P193</f>
        <v>0</v>
      </c>
      <c r="E364" s="202">
        <f ca="1">IF(B364&gt;=$J$5,0,(CONTADORES!$AB378-CONTADORES!$AB377)-$H364)</f>
        <v>0</v>
      </c>
      <c r="F364" s="204">
        <f t="shared" ca="1" si="182"/>
        <v>0</v>
      </c>
      <c r="G364" s="202">
        <f ca="1">IF(B364&gt;=$J$5,0,CONTADORES!$AD378-CONTADORES!$AD377)</f>
        <v>0</v>
      </c>
      <c r="H364" s="202">
        <f ca="1">IF(G364&gt;0,CONTADORES!$AC378-CONTADORES!$AC377,0)</f>
        <v>0</v>
      </c>
      <c r="I364" s="205">
        <f ca="1">IF(B364&gt;=$J$5,0,CONTADORES!$Z378-CONTADORES!$Z377)</f>
        <v>0</v>
      </c>
      <c r="J364" s="204">
        <f t="shared" ca="1" si="157"/>
        <v>0</v>
      </c>
      <c r="K364" s="202">
        <f ca="1">'CALCULO DE GAS'!Q193</f>
        <v>0</v>
      </c>
      <c r="L364" s="1454">
        <f ca="1">IF(B364&gt;=$J$5,0,(CONTADORES!$W378-CONTADORES!$W377)-$O364)</f>
        <v>0</v>
      </c>
      <c r="M364" s="1437">
        <f t="shared" ca="1" si="183"/>
        <v>0</v>
      </c>
      <c r="N364" s="1437">
        <f ca="1">IF(B364&gt;=$J$5,0,CONTADORES!$Y378-CONTADORES!$Y377)</f>
        <v>0</v>
      </c>
      <c r="O364" s="1437">
        <f ca="1">IF(N364&gt;0,CONTADORES!$X378-CONTADORES!$X377,0)</f>
        <v>0</v>
      </c>
      <c r="P364" s="208">
        <f ca="1">IF(B364&gt;=$J$5,0,CONTADORES!$U378-CONTADORES!$U377)</f>
        <v>0</v>
      </c>
      <c r="Q364" s="208">
        <f ca="1">IF(B364&gt;=$J$5,0,CONTADORES!$B378-CONTADORES!$B377)</f>
        <v>0</v>
      </c>
      <c r="R364" s="202">
        <f t="shared" ca="1" si="159"/>
        <v>0</v>
      </c>
      <c r="S364" s="11">
        <f ca="1">IF(B364&gt;=$J$5,0,CONTADORES!$D378-CONTADORES!$D377)</f>
        <v>0</v>
      </c>
      <c r="T364" s="204">
        <f ca="1">IF(B364&gt;=$J$5,0,CONTADORES!$AZ378-CONTADORES!$AZ377)</f>
        <v>0</v>
      </c>
      <c r="U364" s="202">
        <f t="shared" ca="1" si="184"/>
        <v>0</v>
      </c>
      <c r="V364" s="11">
        <f ca="1">IF(B364&gt;=$J$5,0,CONTADORES!$BB378-CONTADORES!$BB377)</f>
        <v>0</v>
      </c>
      <c r="W364" s="1438">
        <f t="shared" ca="1" si="160"/>
        <v>0</v>
      </c>
      <c r="X364" s="1438">
        <f t="shared" ca="1" si="161"/>
        <v>0</v>
      </c>
      <c r="Y364" s="1439">
        <f t="shared" ca="1" si="162"/>
        <v>0</v>
      </c>
      <c r="Z364" s="1439">
        <f t="shared" ca="1" si="163"/>
        <v>0</v>
      </c>
      <c r="AA364" s="1439">
        <f t="shared" ca="1" si="164"/>
        <v>0</v>
      </c>
      <c r="AB364" s="1439">
        <f t="shared" ca="1" si="165"/>
        <v>0</v>
      </c>
      <c r="AC364" s="1438">
        <f t="shared" ca="1" si="166"/>
        <v>0</v>
      </c>
      <c r="AD364" s="1438">
        <f ca="1">IF(B364&gt;=$J$5,0,CONTADORES!H378-CONTADORES!H377)</f>
        <v>0</v>
      </c>
      <c r="AE364" s="1438">
        <f ca="1">IF(B364&gt;=$J$5,0,CONTADORES!J378-CONTADORES!J377)</f>
        <v>0</v>
      </c>
      <c r="AF364" s="1438">
        <f ca="1">IF(B364&gt;=$J$5,0,CONTADORES!AS378-CONTADORES!AS377)</f>
        <v>0</v>
      </c>
      <c r="AG364" s="1438">
        <f ca="1">IF(B364&gt;=$J$5,0,CONTADORES!AU378-CONTADORES!AU377)</f>
        <v>0</v>
      </c>
      <c r="AH364" s="1439">
        <f ca="1">IF(B364&gt;=$J$5,0,(CONTADORES!AK378-CONTADORES!AK377)+(CONTADORES!K378-CONTADORES!K377))</f>
        <v>0</v>
      </c>
      <c r="AI364" s="1438">
        <f ca="1">IF(B364&gt;=$J$5,0,(CONTADORES!AI378-CONTADORES!AI377)+(CONTADORES!M378-CONTADORES!M377))</f>
        <v>0</v>
      </c>
      <c r="AJ364" s="1438">
        <f ca="1">IF(B364&gt;=$J$5,0,(CONTADORES!AG378-CONTADORES!AG377))</f>
        <v>0</v>
      </c>
      <c r="AK364" s="1438">
        <f ca="1">IF(B364&gt;=$J$5,0,(CONTADORES!O378-CONTADORES!O377))</f>
        <v>0</v>
      </c>
      <c r="AL364" s="1500">
        <f t="shared" ca="1" si="167"/>
        <v>0</v>
      </c>
      <c r="AM364" s="1438">
        <f ca="1">IF(B364&gt;=$J$5,0,(((CONTADORES!F378-CONTADORES!F377)+(CONTADORES!AO378-CONTADORES!AO377))))-BJ364-AF364-AN364-BM364-BP364-BU364-BS364+T364</f>
        <v>0</v>
      </c>
      <c r="AN364" s="1443">
        <f ca="1">IF(B364&gt;=$J$5,0,(CONTADORES!AV378-CONTADORES!AV377)+(CONTADORES!AX378-CONTADORES!AX377)+(CONTADORES!BC378-CONTADORES!BC377))-BS364</f>
        <v>0</v>
      </c>
      <c r="AO364" s="1440">
        <f ca="1">IF(B364&gt;=$J$5,0,(CONTADORES!AA378-CONTADORES!AA377))</f>
        <v>0</v>
      </c>
      <c r="AP364" s="1474">
        <f ca="1">IF(B364&gt;=$J$5,0,(CONTADORES!V378-CONTADORES!V377))</f>
        <v>0</v>
      </c>
      <c r="AQ364" s="1445">
        <f ca="1">IF(B364&gt;=$J$5,0,(CONTADORES!C378-CONTADORES!C377))</f>
        <v>0</v>
      </c>
      <c r="AR364" s="1440">
        <f ca="1">IF(B364&gt;=$J$5,0,(CONTADORES!BA378-CONTADORES!BA377))</f>
        <v>0</v>
      </c>
      <c r="AS364" s="1438">
        <f ca="1">IF(B364&gt;=$J$5,0,CONTADORES!Q378-CONTADORES!Q377)</f>
        <v>0</v>
      </c>
      <c r="AT364" s="1438">
        <f ca="1">IF(B364&gt;=$J$5,0,(CONTADORES!S378-CONTADORES!S377)+(CONTADORES!AE378-CONTADORES!AE377))</f>
        <v>0</v>
      </c>
      <c r="AU364" s="1474">
        <f ca="1">IF(B364&gt;=$J$5,0,(CONTADORES!I378-CONTADORES!I377))</f>
        <v>0</v>
      </c>
      <c r="AV364" s="1440">
        <f ca="1">IF(B364&gt;=$J$5,0,(CONTADORES!AT378-CONTADORES!AT377))</f>
        <v>0</v>
      </c>
      <c r="AW364" s="1440">
        <f ca="1">IF(B364&gt;=$J$5,0,(CONTADORES!L378-CONTADORES!L377)+(CONTADORES!AL378-CONTADORES!AL377))</f>
        <v>0</v>
      </c>
      <c r="AX364" s="1440">
        <f ca="1">IF(B364&gt;=$J$5,0,(CONTADORES!N378-CONTADORES!N377)+(CONTADORES!AJ378-CONTADORES!AJ377))</f>
        <v>0</v>
      </c>
      <c r="AY364" s="1440">
        <f ca="1">IF(B364&gt;=$J$5,0,(CONTADORES!AH378-CONTADORES!AH377))</f>
        <v>0</v>
      </c>
      <c r="AZ364" s="1440">
        <f ca="1">IF(B364&gt;=$J$5,0,(CONTADORES!P378-CONTADORES!P377))</f>
        <v>0</v>
      </c>
      <c r="BA364" s="1450">
        <f t="shared" ca="1" si="168"/>
        <v>0</v>
      </c>
      <c r="BB364" s="1440">
        <f ca="1">IF(B364&gt;=$J$5,0,(((CONTADORES!G378-CONTADORES!G377)+(CONTADORES!AP378-CONTADORES!AP377)+AR364)-(AV364+BC364)))</f>
        <v>0</v>
      </c>
      <c r="BC364" s="1438">
        <f ca="1">IF(B364&gt;=$J$5,0,(CONTADORES!AW378-CONTADORES!AW377)+(CONTADORES!AY378-CONTADORES!AY377)+(CONTADORES!BD378-CONTADORES!BD377))</f>
        <v>0</v>
      </c>
      <c r="BD364" s="1438">
        <f t="shared" ca="1" si="169"/>
        <v>0</v>
      </c>
      <c r="BE364" s="1439">
        <f ca="1">IF($B364&gt;=$J$5,0,CONTADORES!$BE378)</f>
        <v>0</v>
      </c>
      <c r="BF364" s="1438">
        <f ca="1">IF($B364&gt;=$J$5,0,CONTADORES!$BF378)</f>
        <v>0</v>
      </c>
      <c r="BG364" s="1438">
        <f ca="1">IF($B364&gt;=$J$5,0,CONTADORES!$BH378)</f>
        <v>0</v>
      </c>
      <c r="BH364" s="1438">
        <f ca="1">IF(B364&gt;=$J$5,0,(CONTADORES!AQ378-CONTADORES!AQ377))</f>
        <v>0</v>
      </c>
      <c r="BI364" s="1438">
        <f ca="1">IF(B364&gt;=$J$5,0,(CONTADORES!AR378-CONTADORES!AR377))</f>
        <v>0</v>
      </c>
      <c r="BJ364" s="1438">
        <f ca="1">IF(B364&gt;=$J$5,0,CONTADORES!BI378-CONTADORES!BI377)/1000</f>
        <v>0</v>
      </c>
      <c r="BK364" s="1438">
        <f ca="1">IF(B364&gt;=$J$5,0,CONTADORES!BJ378-CONTADORES!BJ377)</f>
        <v>0</v>
      </c>
      <c r="BL364" s="1438">
        <f ca="1">IF(B364&gt;=$J$5,0,CONTADORES!BK378-CONTADORES!BK377)</f>
        <v>0</v>
      </c>
      <c r="BM364" s="1438">
        <f ca="1">IF(B364&gt;=$J$5,0,CONTADORES!BL378-CONTADORES!BL377)/1000</f>
        <v>0</v>
      </c>
      <c r="BN364" s="1438">
        <f ca="1">IF(B364&gt;=$J$5,0,CONTADORES!BM378-CONTADORES!BM377)/1000</f>
        <v>0</v>
      </c>
      <c r="BO364" s="1438">
        <f ca="1">IF(B364&gt;=$J$5,0,CONTADORES!BN378-CONTADORES!BN377)</f>
        <v>0</v>
      </c>
      <c r="BP364" s="1438">
        <f ca="1">IF(B364&gt;=$J$5,0,CONTADORES!BO378-CONTADORES!BO377)/1000</f>
        <v>0</v>
      </c>
      <c r="BQ364" s="1438">
        <f ca="1">IF(B364&gt;=$J$5,0,CONTADORES!BP378-CONTADORES!BP377)/1000</f>
        <v>0</v>
      </c>
      <c r="BR364" s="1438">
        <f ca="1">IF(B364&gt;=$J$5,0,CONTADORES!BQ378-CONTADORES!BQ377)</f>
        <v>0</v>
      </c>
      <c r="BS364" s="1438">
        <f ca="1">IF(B364&gt;=$J$5,0,(CONTADORES!BT378-CONTADORES!BT377)+(CONTADORES!BV378-CONTADORES!BV377))/1000</f>
        <v>0</v>
      </c>
      <c r="BT364" s="1438">
        <f ca="1">IF(B364&gt;=$J$5,0,(CONTADORES!BU378-CONTADORES!BU377)+(CONTADORES!BW378-CONTADORES!BW377))/1000</f>
        <v>0</v>
      </c>
      <c r="BU364" s="1438">
        <f ca="1">IF(B364&gt;=$J$5,0,CONTADORES!BR378-CONTADORES!BR377)</f>
        <v>0</v>
      </c>
      <c r="BV364" s="1438">
        <f ca="1">IF(B364&gt;=$J$5,0,CONTADORES!BS378-CONTADORES!BS377)</f>
        <v>0</v>
      </c>
      <c r="BW364" s="1438">
        <f t="shared" ca="1" si="170"/>
        <v>0</v>
      </c>
      <c r="BX364" s="1438">
        <f t="shared" ca="1" si="171"/>
        <v>0</v>
      </c>
      <c r="BY364" s="1438">
        <f t="shared" ca="1" si="172"/>
        <v>0</v>
      </c>
      <c r="BZ364" s="1438">
        <f t="shared" ca="1" si="173"/>
        <v>0</v>
      </c>
      <c r="CA364" s="1438">
        <f t="shared" ca="1" si="174"/>
        <v>0</v>
      </c>
      <c r="CB364" s="1438">
        <f t="shared" ca="1" si="175"/>
        <v>0</v>
      </c>
      <c r="CC364" s="1438">
        <f t="shared" ca="1" si="176"/>
        <v>0</v>
      </c>
      <c r="CD364" s="1438">
        <f t="shared" ca="1" si="177"/>
        <v>0</v>
      </c>
      <c r="CE364" s="1438">
        <f ca="1">IF(B364&gt;=$J$5,0,CONTADORES!BS378-CONTADORES!BS377)</f>
        <v>0</v>
      </c>
      <c r="CF364" s="1438">
        <f t="shared" ca="1" si="178"/>
        <v>0</v>
      </c>
      <c r="CG364" s="1438">
        <f t="shared" ca="1" si="179"/>
        <v>0</v>
      </c>
      <c r="CH364" s="1438">
        <f t="shared" ca="1" si="180"/>
        <v>0</v>
      </c>
      <c r="CI364" s="1438">
        <f t="shared" ca="1" si="181"/>
        <v>0</v>
      </c>
      <c r="CJ364" s="1444">
        <f ca="1">IF($B364&gt;=$J$5,0,CONTADORES!$BG378)</f>
        <v>0</v>
      </c>
      <c r="CK364" s="1406">
        <f>CONTADORES!E378</f>
        <v>0</v>
      </c>
      <c r="CL364" s="1406">
        <f>CONTADORES!BX378</f>
        <v>0</v>
      </c>
    </row>
    <row r="365" spans="2:90">
      <c r="B365" s="410">
        <v>45281</v>
      </c>
      <c r="C365" s="204">
        <f t="shared" ca="1" si="156"/>
        <v>0</v>
      </c>
      <c r="D365" s="202">
        <f ca="1">'CALCULO DE GAS'!P194</f>
        <v>0</v>
      </c>
      <c r="E365" s="202">
        <f ca="1">IF(B365&gt;=$J$5,0,(CONTADORES!$AB379-CONTADORES!$AB378)-$H365)</f>
        <v>0</v>
      </c>
      <c r="F365" s="204">
        <f t="shared" ca="1" si="182"/>
        <v>0</v>
      </c>
      <c r="G365" s="202">
        <f ca="1">IF(B365&gt;=$J$5,0,CONTADORES!$AD379-CONTADORES!$AD378)</f>
        <v>0</v>
      </c>
      <c r="H365" s="202">
        <f ca="1">IF(G365&gt;0,CONTADORES!$AC379-CONTADORES!$AC378,0)</f>
        <v>0</v>
      </c>
      <c r="I365" s="205">
        <f ca="1">IF(B365&gt;=$J$5,0,CONTADORES!$Z379-CONTADORES!$Z378)</f>
        <v>0</v>
      </c>
      <c r="J365" s="204">
        <f t="shared" ca="1" si="157"/>
        <v>0</v>
      </c>
      <c r="K365" s="202">
        <f ca="1">'CALCULO DE GAS'!Q194</f>
        <v>0</v>
      </c>
      <c r="L365" s="1454">
        <f ca="1">IF(B365&gt;=$J$5,0,(CONTADORES!$W379-CONTADORES!$W378)-$O365)</f>
        <v>0</v>
      </c>
      <c r="M365" s="1437">
        <f t="shared" ca="1" si="183"/>
        <v>0</v>
      </c>
      <c r="N365" s="1437">
        <f ca="1">IF(B365&gt;=$J$5,0,CONTADORES!$Y379-CONTADORES!$Y378)</f>
        <v>0</v>
      </c>
      <c r="O365" s="1437">
        <f ca="1">IF(N365&gt;0,CONTADORES!$X379-CONTADORES!$X378,0)</f>
        <v>0</v>
      </c>
      <c r="P365" s="208">
        <f ca="1">IF(B365&gt;=$J$5,0,CONTADORES!$U379-CONTADORES!$U378)</f>
        <v>0</v>
      </c>
      <c r="Q365" s="208">
        <f ca="1">IF(B365&gt;=$J$5,0,CONTADORES!$B379-CONTADORES!$B378)</f>
        <v>0</v>
      </c>
      <c r="R365" s="202">
        <f t="shared" ca="1" si="159"/>
        <v>0</v>
      </c>
      <c r="S365" s="11">
        <f ca="1">IF(B365&gt;=$J$5,0,CONTADORES!$D379-CONTADORES!$D378)</f>
        <v>0</v>
      </c>
      <c r="T365" s="204">
        <f ca="1">IF(B365&gt;=$J$5,0,CONTADORES!$AZ379-CONTADORES!$AZ378)</f>
        <v>0</v>
      </c>
      <c r="U365" s="202">
        <f t="shared" ca="1" si="184"/>
        <v>0</v>
      </c>
      <c r="V365" s="11">
        <f ca="1">IF(B365&gt;=$J$5,0,CONTADORES!$BB379-CONTADORES!$BB378)</f>
        <v>0</v>
      </c>
      <c r="W365" s="1438">
        <f t="shared" ca="1" si="160"/>
        <v>0</v>
      </c>
      <c r="X365" s="1438">
        <f t="shared" ca="1" si="161"/>
        <v>0</v>
      </c>
      <c r="Y365" s="1439">
        <f t="shared" ca="1" si="162"/>
        <v>0</v>
      </c>
      <c r="Z365" s="1439">
        <f t="shared" ca="1" si="163"/>
        <v>0</v>
      </c>
      <c r="AA365" s="1439">
        <f t="shared" ca="1" si="164"/>
        <v>0</v>
      </c>
      <c r="AB365" s="1439">
        <f t="shared" ca="1" si="165"/>
        <v>0</v>
      </c>
      <c r="AC365" s="1438">
        <f t="shared" ca="1" si="166"/>
        <v>0</v>
      </c>
      <c r="AD365" s="1438">
        <f ca="1">IF(B365&gt;=$J$5,0,CONTADORES!H379-CONTADORES!H378)</f>
        <v>0</v>
      </c>
      <c r="AE365" s="1438">
        <f ca="1">IF(B365&gt;=$J$5,0,CONTADORES!J379-CONTADORES!J378)</f>
        <v>0</v>
      </c>
      <c r="AF365" s="1438">
        <f ca="1">IF(B365&gt;=$J$5,0,CONTADORES!AS379-CONTADORES!AS378)</f>
        <v>0</v>
      </c>
      <c r="AG365" s="1438">
        <f ca="1">IF(B365&gt;=$J$5,0,CONTADORES!AU379-CONTADORES!AU378)</f>
        <v>0</v>
      </c>
      <c r="AH365" s="1439">
        <f ca="1">IF(B365&gt;=$J$5,0,(CONTADORES!AK379-CONTADORES!AK378)+(CONTADORES!K379-CONTADORES!K378))</f>
        <v>0</v>
      </c>
      <c r="AI365" s="1438">
        <f ca="1">IF(B365&gt;=$J$5,0,(CONTADORES!AI379-CONTADORES!AI378)+(CONTADORES!M379-CONTADORES!M378))</f>
        <v>0</v>
      </c>
      <c r="AJ365" s="1438">
        <f ca="1">IF(B365&gt;=$J$5,0,(CONTADORES!AG379-CONTADORES!AG378))</f>
        <v>0</v>
      </c>
      <c r="AK365" s="1438">
        <f ca="1">IF(B365&gt;=$J$5,0,(CONTADORES!O379-CONTADORES!O378))</f>
        <v>0</v>
      </c>
      <c r="AL365" s="1500">
        <f t="shared" ca="1" si="167"/>
        <v>0</v>
      </c>
      <c r="AM365" s="1438">
        <f ca="1">IF(B365&gt;=$J$5,0,(((CONTADORES!F379-CONTADORES!F378)+(CONTADORES!AO379-CONTADORES!AO378))))-BJ365-AF365-AN365-BM365-BP365-BU365-BS365+T365</f>
        <v>0</v>
      </c>
      <c r="AN365" s="1443">
        <f ca="1">IF(B365&gt;=$J$5,0,(CONTADORES!AV379-CONTADORES!AV378)+(CONTADORES!AX379-CONTADORES!AX378)+(CONTADORES!BC379-CONTADORES!BC378))-BS365</f>
        <v>0</v>
      </c>
      <c r="AO365" s="1440">
        <f ca="1">IF(B365&gt;=$J$5,0,(CONTADORES!AA379-CONTADORES!AA378))</f>
        <v>0</v>
      </c>
      <c r="AP365" s="1474">
        <f ca="1">IF(B365&gt;=$J$5,0,(CONTADORES!V379-CONTADORES!V378))</f>
        <v>0</v>
      </c>
      <c r="AQ365" s="1445">
        <f ca="1">IF(B365&gt;=$J$5,0,(CONTADORES!C379-CONTADORES!C378))</f>
        <v>0</v>
      </c>
      <c r="AR365" s="1440">
        <f ca="1">IF(B365&gt;=$J$5,0,(CONTADORES!BA379-CONTADORES!BA378))</f>
        <v>0</v>
      </c>
      <c r="AS365" s="1438">
        <f ca="1">IF(B365&gt;=$J$5,0,CONTADORES!Q379-CONTADORES!Q378)</f>
        <v>0</v>
      </c>
      <c r="AT365" s="1438">
        <f ca="1">IF(B365&gt;=$J$5,0,(CONTADORES!S379-CONTADORES!S378)+(CONTADORES!AE379-CONTADORES!AE378))</f>
        <v>0</v>
      </c>
      <c r="AU365" s="1474">
        <f ca="1">IF(B365&gt;=$J$5,0,(CONTADORES!I379-CONTADORES!I378))</f>
        <v>0</v>
      </c>
      <c r="AV365" s="1440">
        <f ca="1">IF(B365&gt;=$J$5,0,(CONTADORES!AT379-CONTADORES!AT378))</f>
        <v>0</v>
      </c>
      <c r="AW365" s="1440">
        <f ca="1">IF(B365&gt;=$J$5,0,(CONTADORES!L379-CONTADORES!L378)+(CONTADORES!AL379-CONTADORES!AL378))</f>
        <v>0</v>
      </c>
      <c r="AX365" s="1440">
        <f ca="1">IF(B365&gt;=$J$5,0,(CONTADORES!N379-CONTADORES!N378)+(CONTADORES!AJ379-CONTADORES!AJ378))</f>
        <v>0</v>
      </c>
      <c r="AY365" s="1440">
        <f ca="1">IF(B365&gt;=$J$5,0,(CONTADORES!AH379-CONTADORES!AH378))</f>
        <v>0</v>
      </c>
      <c r="AZ365" s="1440">
        <f ca="1">IF(B365&gt;=$J$5,0,(CONTADORES!P379-CONTADORES!P378))</f>
        <v>0</v>
      </c>
      <c r="BA365" s="1450">
        <f t="shared" ca="1" si="168"/>
        <v>0</v>
      </c>
      <c r="BB365" s="1440">
        <f ca="1">IF(B365&gt;=$J$5,0,(((CONTADORES!G379-CONTADORES!G378)+(CONTADORES!AP379-CONTADORES!AP378)+AR365)-(AV365+BC365)))</f>
        <v>0</v>
      </c>
      <c r="BC365" s="1438">
        <f ca="1">IF(B365&gt;=$J$5,0,(CONTADORES!AW379-CONTADORES!AW378)+(CONTADORES!AY379-CONTADORES!AY378)+(CONTADORES!BD379-CONTADORES!BD378))</f>
        <v>0</v>
      </c>
      <c r="BD365" s="1438">
        <f t="shared" ca="1" si="169"/>
        <v>0</v>
      </c>
      <c r="BE365" s="1439">
        <f ca="1">IF($B365&gt;=$J$5,0,CONTADORES!$BE379)</f>
        <v>0</v>
      </c>
      <c r="BF365" s="1438">
        <f ca="1">IF($B365&gt;=$J$5,0,CONTADORES!$BF379)</f>
        <v>0</v>
      </c>
      <c r="BG365" s="1438">
        <f ca="1">IF($B365&gt;=$J$5,0,CONTADORES!$BH379)</f>
        <v>0</v>
      </c>
      <c r="BH365" s="1438">
        <f ca="1">IF(B365&gt;=$J$5,0,(CONTADORES!AQ379-CONTADORES!AQ378))</f>
        <v>0</v>
      </c>
      <c r="BI365" s="1438">
        <f ca="1">IF(B365&gt;=$J$5,0,(CONTADORES!AR379-CONTADORES!AR378))</f>
        <v>0</v>
      </c>
      <c r="BJ365" s="1438">
        <f ca="1">IF(B365&gt;=$J$5,0,CONTADORES!BI379-CONTADORES!BI378)/1000</f>
        <v>0</v>
      </c>
      <c r="BK365" s="1438">
        <f ca="1">IF(B365&gt;=$J$5,0,CONTADORES!BJ379-CONTADORES!BJ378)</f>
        <v>0</v>
      </c>
      <c r="BL365" s="1438">
        <f ca="1">IF(B365&gt;=$J$5,0,CONTADORES!BK379-CONTADORES!BK378)</f>
        <v>0</v>
      </c>
      <c r="BM365" s="1438">
        <f ca="1">IF(B365&gt;=$J$5,0,CONTADORES!BL379-CONTADORES!BL378)/1000</f>
        <v>0</v>
      </c>
      <c r="BN365" s="1438">
        <f ca="1">IF(B365&gt;=$J$5,0,CONTADORES!BM379-CONTADORES!BM378)/1000</f>
        <v>0</v>
      </c>
      <c r="BO365" s="1438">
        <f ca="1">IF(B365&gt;=$J$5,0,CONTADORES!BN379-CONTADORES!BN378)</f>
        <v>0</v>
      </c>
      <c r="BP365" s="1438">
        <f ca="1">IF(B365&gt;=$J$5,0,CONTADORES!BO379-CONTADORES!BO378)/1000</f>
        <v>0</v>
      </c>
      <c r="BQ365" s="1438">
        <f ca="1">IF(B365&gt;=$J$5,0,CONTADORES!BP379-CONTADORES!BP378)/1000</f>
        <v>0</v>
      </c>
      <c r="BR365" s="1438">
        <f ca="1">IF(B365&gt;=$J$5,0,CONTADORES!BQ379-CONTADORES!BQ378)</f>
        <v>0</v>
      </c>
      <c r="BS365" s="1438">
        <f ca="1">IF(B365&gt;=$J$5,0,(CONTADORES!BT379-CONTADORES!BT378)+(CONTADORES!BV379-CONTADORES!BV378))/1000</f>
        <v>0</v>
      </c>
      <c r="BT365" s="1438">
        <f ca="1">IF(B365&gt;=$J$5,0,(CONTADORES!BU379-CONTADORES!BU378)+(CONTADORES!BW379-CONTADORES!BW378))/1000</f>
        <v>0</v>
      </c>
      <c r="BU365" s="1438">
        <f ca="1">IF(B365&gt;=$J$5,0,CONTADORES!BR379-CONTADORES!BR378)</f>
        <v>0</v>
      </c>
      <c r="BV365" s="1438">
        <f ca="1">IF(B365&gt;=$J$5,0,CONTADORES!BS379-CONTADORES!BS378)</f>
        <v>0</v>
      </c>
      <c r="BW365" s="1438">
        <f t="shared" ca="1" si="170"/>
        <v>0</v>
      </c>
      <c r="BX365" s="1438">
        <f t="shared" ca="1" si="171"/>
        <v>0</v>
      </c>
      <c r="BY365" s="1438">
        <f t="shared" ca="1" si="172"/>
        <v>0</v>
      </c>
      <c r="BZ365" s="1438">
        <f t="shared" ca="1" si="173"/>
        <v>0</v>
      </c>
      <c r="CA365" s="1438">
        <f t="shared" ca="1" si="174"/>
        <v>0</v>
      </c>
      <c r="CB365" s="1438">
        <f t="shared" ca="1" si="175"/>
        <v>0</v>
      </c>
      <c r="CC365" s="1438">
        <f t="shared" ca="1" si="176"/>
        <v>0</v>
      </c>
      <c r="CD365" s="1438">
        <f t="shared" ca="1" si="177"/>
        <v>0</v>
      </c>
      <c r="CE365" s="1438">
        <f ca="1">IF(B365&gt;=$J$5,0,CONTADORES!BS379-CONTADORES!BS378)</f>
        <v>0</v>
      </c>
      <c r="CF365" s="1438">
        <f t="shared" ca="1" si="178"/>
        <v>0</v>
      </c>
      <c r="CG365" s="1438">
        <f t="shared" ca="1" si="179"/>
        <v>0</v>
      </c>
      <c r="CH365" s="1438">
        <f t="shared" ca="1" si="180"/>
        <v>0</v>
      </c>
      <c r="CI365" s="1438">
        <f t="shared" ca="1" si="181"/>
        <v>0</v>
      </c>
      <c r="CJ365" s="1444">
        <f ca="1">IF($B365&gt;=$J$5,0,CONTADORES!$BG379)</f>
        <v>0</v>
      </c>
      <c r="CK365" s="1406">
        <f>CONTADORES!E379</f>
        <v>0</v>
      </c>
      <c r="CL365" s="1406">
        <f>CONTADORES!BX379</f>
        <v>0</v>
      </c>
    </row>
    <row r="366" spans="2:90">
      <c r="B366" s="410">
        <v>45282</v>
      </c>
      <c r="C366" s="204">
        <f t="shared" ca="1" si="156"/>
        <v>0</v>
      </c>
      <c r="D366" s="202">
        <f ca="1">'CALCULO DE GAS'!P195</f>
        <v>0</v>
      </c>
      <c r="E366" s="202">
        <f ca="1">IF(B366&gt;=$J$5,0,(CONTADORES!$AB380-CONTADORES!$AB379)-$H366)</f>
        <v>0</v>
      </c>
      <c r="F366" s="204">
        <f t="shared" ca="1" si="182"/>
        <v>0</v>
      </c>
      <c r="G366" s="202">
        <f ca="1">IF(B366&gt;=$J$5,0,CONTADORES!$AD380-CONTADORES!$AD379)</f>
        <v>0</v>
      </c>
      <c r="H366" s="202">
        <f ca="1">IF(G366&gt;0,CONTADORES!$AC380-CONTADORES!$AC379,0)</f>
        <v>0</v>
      </c>
      <c r="I366" s="205">
        <f ca="1">IF(B366&gt;=$J$5,0,CONTADORES!$Z380-CONTADORES!$Z379)</f>
        <v>0</v>
      </c>
      <c r="J366" s="204">
        <f t="shared" ca="1" si="157"/>
        <v>0</v>
      </c>
      <c r="K366" s="202">
        <f ca="1">'CALCULO DE GAS'!Q195</f>
        <v>0</v>
      </c>
      <c r="L366" s="1454">
        <f ca="1">IF(B366&gt;=$J$5,0,(CONTADORES!$W380-CONTADORES!$W379)-$O366)</f>
        <v>0</v>
      </c>
      <c r="M366" s="1437">
        <f t="shared" ca="1" si="183"/>
        <v>0</v>
      </c>
      <c r="N366" s="1437">
        <f ca="1">IF(B366&gt;=$J$5,0,CONTADORES!$Y380-CONTADORES!$Y379)</f>
        <v>0</v>
      </c>
      <c r="O366" s="1437">
        <f ca="1">IF(N366&gt;0,CONTADORES!$X380-CONTADORES!$X379,0)</f>
        <v>0</v>
      </c>
      <c r="P366" s="208">
        <f ca="1">IF(B366&gt;=$J$5,0,CONTADORES!$U380-CONTADORES!$U379)</f>
        <v>0</v>
      </c>
      <c r="Q366" s="208">
        <f ca="1">IF(B366&gt;=$J$5,0,CONTADORES!$B380-CONTADORES!$B379)</f>
        <v>0</v>
      </c>
      <c r="R366" s="202">
        <f t="shared" ca="1" si="159"/>
        <v>0</v>
      </c>
      <c r="S366" s="11">
        <f ca="1">IF(B366&gt;=$J$5,0,CONTADORES!$D380-CONTADORES!$D379)</f>
        <v>0</v>
      </c>
      <c r="T366" s="204">
        <f ca="1">IF(B366&gt;=$J$5,0,CONTADORES!$AZ380-CONTADORES!$AZ379)</f>
        <v>0</v>
      </c>
      <c r="U366" s="202">
        <f t="shared" ca="1" si="184"/>
        <v>0</v>
      </c>
      <c r="V366" s="11">
        <f ca="1">IF(B366&gt;=$J$5,0,CONTADORES!$BB380-CONTADORES!$BB379)</f>
        <v>0</v>
      </c>
      <c r="W366" s="1438">
        <f t="shared" ca="1" si="160"/>
        <v>0</v>
      </c>
      <c r="X366" s="1438">
        <f t="shared" ca="1" si="161"/>
        <v>0</v>
      </c>
      <c r="Y366" s="1439">
        <f t="shared" ca="1" si="162"/>
        <v>0</v>
      </c>
      <c r="Z366" s="1439">
        <f t="shared" ca="1" si="163"/>
        <v>0</v>
      </c>
      <c r="AA366" s="1439">
        <f t="shared" ca="1" si="164"/>
        <v>0</v>
      </c>
      <c r="AB366" s="1439">
        <f t="shared" ca="1" si="165"/>
        <v>0</v>
      </c>
      <c r="AC366" s="1438">
        <f t="shared" ca="1" si="166"/>
        <v>0</v>
      </c>
      <c r="AD366" s="1438">
        <f ca="1">IF(B366&gt;=$J$5,0,CONTADORES!H380-CONTADORES!H379)</f>
        <v>0</v>
      </c>
      <c r="AE366" s="1438">
        <f ca="1">IF(B366&gt;=$J$5,0,CONTADORES!J380-CONTADORES!J379)</f>
        <v>0</v>
      </c>
      <c r="AF366" s="1438">
        <f ca="1">IF(B366&gt;=$J$5,0,CONTADORES!AS380-CONTADORES!AS379)</f>
        <v>0</v>
      </c>
      <c r="AG366" s="1438">
        <f ca="1">IF(B366&gt;=$J$5,0,CONTADORES!AU380-CONTADORES!AU379)</f>
        <v>0</v>
      </c>
      <c r="AH366" s="1439">
        <f ca="1">IF(B366&gt;=$J$5,0,(CONTADORES!AK380-CONTADORES!AK379)+(CONTADORES!K380-CONTADORES!K379))</f>
        <v>0</v>
      </c>
      <c r="AI366" s="1438">
        <f ca="1">IF(B366&gt;=$J$5,0,(CONTADORES!AI380-CONTADORES!AI379)+(CONTADORES!M380-CONTADORES!M379))</f>
        <v>0</v>
      </c>
      <c r="AJ366" s="1438">
        <f ca="1">IF(B366&gt;=$J$5,0,(CONTADORES!AG380-CONTADORES!AG379))</f>
        <v>0</v>
      </c>
      <c r="AK366" s="1438">
        <f ca="1">IF(B366&gt;=$J$5,0,(CONTADORES!O380-CONTADORES!O379))</f>
        <v>0</v>
      </c>
      <c r="AL366" s="1500">
        <f t="shared" ca="1" si="167"/>
        <v>0</v>
      </c>
      <c r="AM366" s="1438">
        <f ca="1">IF(B366&gt;=$J$5,0,(((CONTADORES!F380-CONTADORES!F379)+(CONTADORES!AO380-CONTADORES!AO379))))-BJ366-AF366-AN366-BM366-BP366-BU366-BS366+T366</f>
        <v>0</v>
      </c>
      <c r="AN366" s="1443">
        <f ca="1">IF(B366&gt;=$J$5,0,(CONTADORES!AV380-CONTADORES!AV379)+(CONTADORES!AX380-CONTADORES!AX379)+(CONTADORES!BC380-CONTADORES!BC379))-BS366</f>
        <v>0</v>
      </c>
      <c r="AO366" s="1440">
        <f ca="1">IF(B366&gt;=$J$5,0,(CONTADORES!AA380-CONTADORES!AA379))</f>
        <v>0</v>
      </c>
      <c r="AP366" s="1474">
        <f ca="1">IF(B366&gt;=$J$5,0,(CONTADORES!V380-CONTADORES!V379))</f>
        <v>0</v>
      </c>
      <c r="AQ366" s="1445">
        <f ca="1">IF(B366&gt;=$J$5,0,(CONTADORES!C380-CONTADORES!C379))</f>
        <v>0</v>
      </c>
      <c r="AR366" s="1440">
        <f ca="1">IF(B366&gt;=$J$5,0,(CONTADORES!BA380-CONTADORES!BA379))</f>
        <v>0</v>
      </c>
      <c r="AS366" s="1438">
        <f ca="1">IF(B366&gt;=$J$5,0,CONTADORES!Q380-CONTADORES!Q379)</f>
        <v>0</v>
      </c>
      <c r="AT366" s="1438">
        <f ca="1">IF(B366&gt;=$J$5,0,(CONTADORES!S380-CONTADORES!S379)+(CONTADORES!AE380-CONTADORES!AE379))</f>
        <v>0</v>
      </c>
      <c r="AU366" s="1474">
        <f ca="1">IF(B366&gt;=$J$5,0,(CONTADORES!I380-CONTADORES!I379))</f>
        <v>0</v>
      </c>
      <c r="AV366" s="1440">
        <f ca="1">IF(B366&gt;=$J$5,0,(CONTADORES!AT380-CONTADORES!AT379))</f>
        <v>0</v>
      </c>
      <c r="AW366" s="1440">
        <f ca="1">IF(B366&gt;=$J$5,0,(CONTADORES!L380-CONTADORES!L379)+(CONTADORES!AL380-CONTADORES!AL379))</f>
        <v>0</v>
      </c>
      <c r="AX366" s="1440">
        <f ca="1">IF(B366&gt;=$J$5,0,(CONTADORES!N380-CONTADORES!N379)+(CONTADORES!AJ380-CONTADORES!AJ379))</f>
        <v>0</v>
      </c>
      <c r="AY366" s="1440">
        <f ca="1">IF(B366&gt;=$J$5,0,(CONTADORES!AH380-CONTADORES!AH379))</f>
        <v>0</v>
      </c>
      <c r="AZ366" s="1440">
        <f ca="1">IF(B366&gt;=$J$5,0,(CONTADORES!P380-CONTADORES!P379))</f>
        <v>0</v>
      </c>
      <c r="BA366" s="1450">
        <f t="shared" ca="1" si="168"/>
        <v>0</v>
      </c>
      <c r="BB366" s="1440">
        <f ca="1">IF(B366&gt;=$J$5,0,(((CONTADORES!G380-CONTADORES!G379)+(CONTADORES!AP380-CONTADORES!AP379)+AR366)-(AV366+BC366)))</f>
        <v>0</v>
      </c>
      <c r="BC366" s="1438">
        <f ca="1">IF(B366&gt;=$J$5,0,(CONTADORES!AW380-CONTADORES!AW379)+(CONTADORES!AY380-CONTADORES!AY379)+(CONTADORES!BD380-CONTADORES!BD379))</f>
        <v>0</v>
      </c>
      <c r="BD366" s="1438">
        <f t="shared" ca="1" si="169"/>
        <v>0</v>
      </c>
      <c r="BE366" s="1439">
        <f ca="1">IF($B366&gt;=$J$5,0,CONTADORES!$BE380)</f>
        <v>0</v>
      </c>
      <c r="BF366" s="1438">
        <f ca="1">IF($B366&gt;=$J$5,0,CONTADORES!$BF380)</f>
        <v>0</v>
      </c>
      <c r="BG366" s="1438">
        <f ca="1">IF($B366&gt;=$J$5,0,CONTADORES!$BH380)</f>
        <v>0</v>
      </c>
      <c r="BH366" s="1438">
        <f ca="1">IF(B366&gt;=$J$5,0,(CONTADORES!AQ380-CONTADORES!AQ379))</f>
        <v>0</v>
      </c>
      <c r="BI366" s="1438">
        <f ca="1">IF(B366&gt;=$J$5,0,(CONTADORES!AR380-CONTADORES!AR379))</f>
        <v>0</v>
      </c>
      <c r="BJ366" s="1438">
        <f ca="1">IF(B366&gt;=$J$5,0,CONTADORES!BI380-CONTADORES!BI379)/1000</f>
        <v>0</v>
      </c>
      <c r="BK366" s="1438">
        <f ca="1">IF(B366&gt;=$J$5,0,CONTADORES!BJ380-CONTADORES!BJ379)</f>
        <v>0</v>
      </c>
      <c r="BL366" s="1438">
        <f ca="1">IF(B366&gt;=$J$5,0,CONTADORES!BK380-CONTADORES!BK379)</f>
        <v>0</v>
      </c>
      <c r="BM366" s="1438">
        <f ca="1">IF(B366&gt;=$J$5,0,CONTADORES!BL380-CONTADORES!BL379)/1000</f>
        <v>0</v>
      </c>
      <c r="BN366" s="1438">
        <f ca="1">IF(B366&gt;=$J$5,0,CONTADORES!BM380-CONTADORES!BM379)/1000</f>
        <v>0</v>
      </c>
      <c r="BO366" s="1438">
        <f ca="1">IF(B366&gt;=$J$5,0,CONTADORES!BN380-CONTADORES!BN379)</f>
        <v>0</v>
      </c>
      <c r="BP366" s="1438">
        <f ca="1">IF(B366&gt;=$J$5,0,CONTADORES!BO380-CONTADORES!BO379)/1000</f>
        <v>0</v>
      </c>
      <c r="BQ366" s="1438">
        <f ca="1">IF(B366&gt;=$J$5,0,CONTADORES!BP380-CONTADORES!BP379)/1000</f>
        <v>0</v>
      </c>
      <c r="BR366" s="1438">
        <f ca="1">IF(B366&gt;=$J$5,0,CONTADORES!BQ380-CONTADORES!BQ379)</f>
        <v>0</v>
      </c>
      <c r="BS366" s="1438">
        <f ca="1">IF(B366&gt;=$J$5,0,(CONTADORES!BT380-CONTADORES!BT379)+(CONTADORES!BV380-CONTADORES!BV379))/1000</f>
        <v>0</v>
      </c>
      <c r="BT366" s="1438">
        <f ca="1">IF(B366&gt;=$J$5,0,(CONTADORES!BU380-CONTADORES!BU379)+(CONTADORES!BW380-CONTADORES!BW379))/1000</f>
        <v>0</v>
      </c>
      <c r="BU366" s="1438">
        <f ca="1">IF(B366&gt;=$J$5,0,CONTADORES!BR380-CONTADORES!BR379)</f>
        <v>0</v>
      </c>
      <c r="BV366" s="1438">
        <f ca="1">IF(B366&gt;=$J$5,0,CONTADORES!BS380-CONTADORES!BS379)</f>
        <v>0</v>
      </c>
      <c r="BW366" s="1438">
        <f t="shared" ca="1" si="170"/>
        <v>0</v>
      </c>
      <c r="BX366" s="1438">
        <f t="shared" ca="1" si="171"/>
        <v>0</v>
      </c>
      <c r="BY366" s="1438">
        <f t="shared" ca="1" si="172"/>
        <v>0</v>
      </c>
      <c r="BZ366" s="1438">
        <f t="shared" ca="1" si="173"/>
        <v>0</v>
      </c>
      <c r="CA366" s="1438">
        <f t="shared" ca="1" si="174"/>
        <v>0</v>
      </c>
      <c r="CB366" s="1438">
        <f t="shared" ca="1" si="175"/>
        <v>0</v>
      </c>
      <c r="CC366" s="1438">
        <f t="shared" ca="1" si="176"/>
        <v>0</v>
      </c>
      <c r="CD366" s="1438">
        <f t="shared" ca="1" si="177"/>
        <v>0</v>
      </c>
      <c r="CE366" s="1438">
        <f ca="1">IF(B366&gt;=$J$5,0,CONTADORES!BS380-CONTADORES!BS379)</f>
        <v>0</v>
      </c>
      <c r="CF366" s="1438">
        <f t="shared" ca="1" si="178"/>
        <v>0</v>
      </c>
      <c r="CG366" s="1438">
        <f t="shared" ca="1" si="179"/>
        <v>0</v>
      </c>
      <c r="CH366" s="1438">
        <f t="shared" ca="1" si="180"/>
        <v>0</v>
      </c>
      <c r="CI366" s="1438">
        <f t="shared" ca="1" si="181"/>
        <v>0</v>
      </c>
      <c r="CJ366" s="1444">
        <f ca="1">IF($B366&gt;=$J$5,0,CONTADORES!$BG380)</f>
        <v>0</v>
      </c>
      <c r="CK366" s="1406">
        <f>CONTADORES!E380</f>
        <v>0</v>
      </c>
      <c r="CL366" s="1406">
        <f>CONTADORES!BX380</f>
        <v>0</v>
      </c>
    </row>
    <row r="367" spans="2:90">
      <c r="B367" s="410">
        <v>45283</v>
      </c>
      <c r="C367" s="204">
        <f t="shared" ca="1" si="156"/>
        <v>0</v>
      </c>
      <c r="D367" s="202">
        <f ca="1">'CALCULO DE GAS'!P196</f>
        <v>0</v>
      </c>
      <c r="E367" s="202">
        <f ca="1">IF(B367&gt;=$J$5,0,(CONTADORES!$AB381-CONTADORES!$AB380)-$H367)</f>
        <v>0</v>
      </c>
      <c r="F367" s="204">
        <f t="shared" ca="1" si="182"/>
        <v>0</v>
      </c>
      <c r="G367" s="202">
        <f ca="1">IF(B367&gt;=$J$5,0,CONTADORES!$AD381-CONTADORES!$AD380)</f>
        <v>0</v>
      </c>
      <c r="H367" s="202">
        <f ca="1">IF(G367&gt;0,CONTADORES!$AC381-CONTADORES!$AC380,0)</f>
        <v>0</v>
      </c>
      <c r="I367" s="205">
        <f ca="1">IF(B367&gt;=$J$5,0,CONTADORES!$Z381-CONTADORES!$Z380)</f>
        <v>0</v>
      </c>
      <c r="J367" s="204">
        <f t="shared" ca="1" si="157"/>
        <v>0</v>
      </c>
      <c r="K367" s="202">
        <f ca="1">'CALCULO DE GAS'!Q196</f>
        <v>0</v>
      </c>
      <c r="L367" s="1454">
        <f ca="1">IF(B367&gt;=$J$5,0,(CONTADORES!$W381-CONTADORES!$W380)-$O367)</f>
        <v>0</v>
      </c>
      <c r="M367" s="1437">
        <f t="shared" ca="1" si="183"/>
        <v>0</v>
      </c>
      <c r="N367" s="1437">
        <f ca="1">IF(B367&gt;=$J$5,0,CONTADORES!$Y381-CONTADORES!$Y380)</f>
        <v>0</v>
      </c>
      <c r="O367" s="1437">
        <f ca="1">IF(N367&gt;0,CONTADORES!$X381-CONTADORES!$X380,0)</f>
        <v>0</v>
      </c>
      <c r="P367" s="208">
        <f ca="1">IF(B367&gt;=$J$5,0,CONTADORES!$U381-CONTADORES!$U380)</f>
        <v>0</v>
      </c>
      <c r="Q367" s="208">
        <f ca="1">IF(B367&gt;=$J$5,0,CONTADORES!$B381-CONTADORES!$B380)</f>
        <v>0</v>
      </c>
      <c r="R367" s="202">
        <f t="shared" ca="1" si="159"/>
        <v>0</v>
      </c>
      <c r="S367" s="11">
        <f ca="1">IF(B367&gt;=$J$5,0,CONTADORES!$D381-CONTADORES!$D380)</f>
        <v>0</v>
      </c>
      <c r="T367" s="204">
        <f ca="1">IF(B367&gt;=$J$5,0,CONTADORES!$AZ381-CONTADORES!$AZ380)</f>
        <v>0</v>
      </c>
      <c r="U367" s="202">
        <f t="shared" ca="1" si="184"/>
        <v>0</v>
      </c>
      <c r="V367" s="11">
        <f ca="1">IF(B367&gt;=$J$5,0,CONTADORES!$BB381-CONTADORES!$BB380)</f>
        <v>0</v>
      </c>
      <c r="W367" s="1438">
        <f t="shared" ca="1" si="160"/>
        <v>0</v>
      </c>
      <c r="X367" s="1438">
        <f t="shared" ca="1" si="161"/>
        <v>0</v>
      </c>
      <c r="Y367" s="1439">
        <f t="shared" ca="1" si="162"/>
        <v>0</v>
      </c>
      <c r="Z367" s="1439">
        <f t="shared" ca="1" si="163"/>
        <v>0</v>
      </c>
      <c r="AA367" s="1439">
        <f t="shared" ca="1" si="164"/>
        <v>0</v>
      </c>
      <c r="AB367" s="1439">
        <f t="shared" ca="1" si="165"/>
        <v>0</v>
      </c>
      <c r="AC367" s="1438">
        <f t="shared" ca="1" si="166"/>
        <v>0</v>
      </c>
      <c r="AD367" s="1438">
        <f ca="1">IF(B367&gt;=$J$5,0,CONTADORES!H381-CONTADORES!H380)</f>
        <v>0</v>
      </c>
      <c r="AE367" s="1438">
        <f ca="1">IF(B367&gt;=$J$5,0,CONTADORES!J381-CONTADORES!J380)</f>
        <v>0</v>
      </c>
      <c r="AF367" s="1438">
        <f ca="1">IF(B367&gt;=$J$5,0,CONTADORES!AS381-CONTADORES!AS380)</f>
        <v>0</v>
      </c>
      <c r="AG367" s="1438">
        <f ca="1">IF(B367&gt;=$J$5,0,CONTADORES!AU381-CONTADORES!AU380)</f>
        <v>0</v>
      </c>
      <c r="AH367" s="1439">
        <f ca="1">IF(B367&gt;=$J$5,0,(CONTADORES!AK381-CONTADORES!AK380)+(CONTADORES!K381-CONTADORES!K380))</f>
        <v>0</v>
      </c>
      <c r="AI367" s="1438">
        <f ca="1">IF(B367&gt;=$J$5,0,(CONTADORES!AI381-CONTADORES!AI380)+(CONTADORES!M381-CONTADORES!M380))</f>
        <v>0</v>
      </c>
      <c r="AJ367" s="1438">
        <f ca="1">IF(B367&gt;=$J$5,0,(CONTADORES!AG381-CONTADORES!AG380))</f>
        <v>0</v>
      </c>
      <c r="AK367" s="1438">
        <f ca="1">IF(B367&gt;=$J$5,0,(CONTADORES!O381-CONTADORES!O380))</f>
        <v>0</v>
      </c>
      <c r="AL367" s="1500">
        <f t="shared" ca="1" si="167"/>
        <v>0</v>
      </c>
      <c r="AM367" s="1438">
        <f ca="1">IF(B367&gt;=$J$5,0,(((CONTADORES!F381-CONTADORES!F380)+(CONTADORES!AO381-CONTADORES!AO380))))-BJ367-AF367-AN367-BM367-BP367-BU367-BS367+T367</f>
        <v>0</v>
      </c>
      <c r="AN367" s="1443">
        <f ca="1">IF(B367&gt;=$J$5,0,(CONTADORES!AV381-CONTADORES!AV380)+(CONTADORES!AX381-CONTADORES!AX380)+(CONTADORES!BC381-CONTADORES!BC380))-BS367</f>
        <v>0</v>
      </c>
      <c r="AO367" s="1440">
        <f ca="1">IF(B367&gt;=$J$5,0,(CONTADORES!AA381-CONTADORES!AA380))</f>
        <v>0</v>
      </c>
      <c r="AP367" s="1474">
        <f ca="1">IF(B367&gt;=$J$5,0,(CONTADORES!V381-CONTADORES!V380))</f>
        <v>0</v>
      </c>
      <c r="AQ367" s="1445">
        <f ca="1">IF(B367&gt;=$J$5,0,(CONTADORES!C381-CONTADORES!C380))</f>
        <v>0</v>
      </c>
      <c r="AR367" s="1440">
        <f ca="1">IF(B367&gt;=$J$5,0,(CONTADORES!BA381-CONTADORES!BA380))</f>
        <v>0</v>
      </c>
      <c r="AS367" s="1438">
        <f ca="1">IF(B367&gt;=$J$5,0,CONTADORES!Q381-CONTADORES!Q380)</f>
        <v>0</v>
      </c>
      <c r="AT367" s="1438">
        <f ca="1">IF(B367&gt;=$J$5,0,(CONTADORES!S381-CONTADORES!S380)+(CONTADORES!AE381-CONTADORES!AE380))</f>
        <v>0</v>
      </c>
      <c r="AU367" s="1474">
        <f ca="1">IF(B367&gt;=$J$5,0,(CONTADORES!I381-CONTADORES!I380))</f>
        <v>0</v>
      </c>
      <c r="AV367" s="1440">
        <f ca="1">IF(B367&gt;=$J$5,0,(CONTADORES!AT381-CONTADORES!AT380))</f>
        <v>0</v>
      </c>
      <c r="AW367" s="1440">
        <f ca="1">IF(B367&gt;=$J$5,0,(CONTADORES!L381-CONTADORES!L380)+(CONTADORES!AL381-CONTADORES!AL380))</f>
        <v>0</v>
      </c>
      <c r="AX367" s="1440">
        <f ca="1">IF(B367&gt;=$J$5,0,(CONTADORES!N381-CONTADORES!N380)+(CONTADORES!AJ381-CONTADORES!AJ380))</f>
        <v>0</v>
      </c>
      <c r="AY367" s="1440">
        <f ca="1">IF(B367&gt;=$J$5,0,(CONTADORES!AH381-CONTADORES!AH380))</f>
        <v>0</v>
      </c>
      <c r="AZ367" s="1440">
        <f ca="1">IF(B367&gt;=$J$5,0,(CONTADORES!P381-CONTADORES!P380))</f>
        <v>0</v>
      </c>
      <c r="BA367" s="1450">
        <f t="shared" ca="1" si="168"/>
        <v>0</v>
      </c>
      <c r="BB367" s="1440">
        <f ca="1">IF(B367&gt;=$J$5,0,(((CONTADORES!G381-CONTADORES!G380)+(CONTADORES!AP381-CONTADORES!AP380)+AR367)-(AV367+BC367)))</f>
        <v>0</v>
      </c>
      <c r="BC367" s="1438">
        <f ca="1">IF(B367&gt;=$J$5,0,(CONTADORES!AW381-CONTADORES!AW380)+(CONTADORES!AY381-CONTADORES!AY380)+(CONTADORES!BD381-CONTADORES!BD380))</f>
        <v>0</v>
      </c>
      <c r="BD367" s="1438">
        <f t="shared" ca="1" si="169"/>
        <v>0</v>
      </c>
      <c r="BE367" s="1439">
        <f ca="1">IF($B367&gt;=$J$5,0,CONTADORES!$BE381)</f>
        <v>0</v>
      </c>
      <c r="BF367" s="1438">
        <f ca="1">IF($B367&gt;=$J$5,0,CONTADORES!$BF381)</f>
        <v>0</v>
      </c>
      <c r="BG367" s="1438">
        <f ca="1">IF($B367&gt;=$J$5,0,CONTADORES!$BH381)</f>
        <v>0</v>
      </c>
      <c r="BH367" s="1438">
        <f ca="1">IF(B367&gt;=$J$5,0,(CONTADORES!AQ381-CONTADORES!AQ380))</f>
        <v>0</v>
      </c>
      <c r="BI367" s="1438">
        <f ca="1">IF(B367&gt;=$J$5,0,(CONTADORES!AR381-CONTADORES!AR380))</f>
        <v>0</v>
      </c>
      <c r="BJ367" s="1438">
        <f ca="1">IF(B367&gt;=$J$5,0,CONTADORES!BI381-CONTADORES!BI380)/1000</f>
        <v>0</v>
      </c>
      <c r="BK367" s="1438">
        <f ca="1">IF(B367&gt;=$J$5,0,CONTADORES!BJ381-CONTADORES!BJ380)</f>
        <v>0</v>
      </c>
      <c r="BL367" s="1438">
        <f ca="1">IF(B367&gt;=$J$5,0,CONTADORES!BK381-CONTADORES!BK380)</f>
        <v>0</v>
      </c>
      <c r="BM367" s="1438">
        <f ca="1">IF(B367&gt;=$J$5,0,CONTADORES!BL381-CONTADORES!BL380)/1000</f>
        <v>0</v>
      </c>
      <c r="BN367" s="1438">
        <f ca="1">IF(B367&gt;=$J$5,0,CONTADORES!BM381-CONTADORES!BM380)/1000</f>
        <v>0</v>
      </c>
      <c r="BO367" s="1438">
        <f ca="1">IF(B367&gt;=$J$5,0,CONTADORES!BN381-CONTADORES!BN380)</f>
        <v>0</v>
      </c>
      <c r="BP367" s="1438">
        <f ca="1">IF(B367&gt;=$J$5,0,CONTADORES!BO381-CONTADORES!BO380)/1000</f>
        <v>0</v>
      </c>
      <c r="BQ367" s="1438">
        <f ca="1">IF(B367&gt;=$J$5,0,CONTADORES!BP381-CONTADORES!BP380)/1000</f>
        <v>0</v>
      </c>
      <c r="BR367" s="1438">
        <f ca="1">IF(B367&gt;=$J$5,0,CONTADORES!BQ381-CONTADORES!BQ380)</f>
        <v>0</v>
      </c>
      <c r="BS367" s="1438">
        <f ca="1">IF(B367&gt;=$J$5,0,(CONTADORES!BT381-CONTADORES!BT380)+(CONTADORES!BV381-CONTADORES!BV380))/1000</f>
        <v>0</v>
      </c>
      <c r="BT367" s="1438">
        <f ca="1">IF(B367&gt;=$J$5,0,(CONTADORES!BU381-CONTADORES!BU380)+(CONTADORES!BW381-CONTADORES!BW380))/1000</f>
        <v>0</v>
      </c>
      <c r="BU367" s="1438">
        <f ca="1">IF(B367&gt;=$J$5,0,CONTADORES!BR381-CONTADORES!BR380)</f>
        <v>0</v>
      </c>
      <c r="BV367" s="1438">
        <f ca="1">IF(B367&gt;=$J$5,0,CONTADORES!BS381-CONTADORES!BS380)</f>
        <v>0</v>
      </c>
      <c r="BW367" s="1438">
        <f t="shared" ca="1" si="170"/>
        <v>0</v>
      </c>
      <c r="BX367" s="1438">
        <f t="shared" ca="1" si="171"/>
        <v>0</v>
      </c>
      <c r="BY367" s="1438">
        <f t="shared" ca="1" si="172"/>
        <v>0</v>
      </c>
      <c r="BZ367" s="1438">
        <f t="shared" ca="1" si="173"/>
        <v>0</v>
      </c>
      <c r="CA367" s="1438">
        <f t="shared" ca="1" si="174"/>
        <v>0</v>
      </c>
      <c r="CB367" s="1438">
        <f t="shared" ca="1" si="175"/>
        <v>0</v>
      </c>
      <c r="CC367" s="1438">
        <f t="shared" ca="1" si="176"/>
        <v>0</v>
      </c>
      <c r="CD367" s="1438">
        <f t="shared" ca="1" si="177"/>
        <v>0</v>
      </c>
      <c r="CE367" s="1438">
        <f ca="1">IF(B367&gt;=$J$5,0,CONTADORES!BS381-CONTADORES!BS380)</f>
        <v>0</v>
      </c>
      <c r="CF367" s="1438">
        <f t="shared" ca="1" si="178"/>
        <v>0</v>
      </c>
      <c r="CG367" s="1438">
        <f t="shared" ca="1" si="179"/>
        <v>0</v>
      </c>
      <c r="CH367" s="1438">
        <f t="shared" ca="1" si="180"/>
        <v>0</v>
      </c>
      <c r="CI367" s="1438">
        <f t="shared" ca="1" si="181"/>
        <v>0</v>
      </c>
      <c r="CJ367" s="1444">
        <f ca="1">IF($B367&gt;=$J$5,0,CONTADORES!$BG381)</f>
        <v>0</v>
      </c>
      <c r="CK367" s="1406">
        <f>CONTADORES!E381</f>
        <v>0</v>
      </c>
      <c r="CL367" s="1406">
        <f>CONTADORES!BX381</f>
        <v>0</v>
      </c>
    </row>
    <row r="368" spans="2:90">
      <c r="B368" s="410">
        <v>45284</v>
      </c>
      <c r="C368" s="204">
        <f t="shared" ca="1" si="156"/>
        <v>0</v>
      </c>
      <c r="D368" s="202">
        <f ca="1">'CALCULO DE GAS'!P197</f>
        <v>0</v>
      </c>
      <c r="E368" s="202">
        <f ca="1">IF(B368&gt;=$J$5,0,(CONTADORES!$AB382-CONTADORES!$AB381)-$H368)</f>
        <v>0</v>
      </c>
      <c r="F368" s="204">
        <f t="shared" ca="1" si="182"/>
        <v>0</v>
      </c>
      <c r="G368" s="202">
        <f ca="1">IF(B368&gt;=$J$5,0,CONTADORES!$AD382-CONTADORES!$AD381)</f>
        <v>0</v>
      </c>
      <c r="H368" s="202">
        <f ca="1">IF(G368&gt;0,CONTADORES!$AC382-CONTADORES!$AC381,0)</f>
        <v>0</v>
      </c>
      <c r="I368" s="205">
        <f ca="1">IF(B368&gt;=$J$5,0,CONTADORES!$Z382-CONTADORES!$Z381)</f>
        <v>0</v>
      </c>
      <c r="J368" s="204">
        <f t="shared" ca="1" si="157"/>
        <v>0</v>
      </c>
      <c r="K368" s="202">
        <f ca="1">'CALCULO DE GAS'!Q197</f>
        <v>0</v>
      </c>
      <c r="L368" s="1454">
        <f ca="1">IF(B368&gt;=$J$5,0,(CONTADORES!$W382-CONTADORES!$W381)-$O368)</f>
        <v>0</v>
      </c>
      <c r="M368" s="1437">
        <f t="shared" ca="1" si="183"/>
        <v>0</v>
      </c>
      <c r="N368" s="1437">
        <f ca="1">IF(B368&gt;=$J$5,0,CONTADORES!$Y382-CONTADORES!$Y381)</f>
        <v>0</v>
      </c>
      <c r="O368" s="1437">
        <f ca="1">IF(N368&gt;0,CONTADORES!$X382-CONTADORES!$X381,0)</f>
        <v>0</v>
      </c>
      <c r="P368" s="208">
        <f ca="1">IF(B368&gt;=$J$5,0,CONTADORES!$U382-CONTADORES!$U381)</f>
        <v>0</v>
      </c>
      <c r="Q368" s="208">
        <f ca="1">IF(B368&gt;=$J$5,0,CONTADORES!$B382-CONTADORES!$B381)</f>
        <v>0</v>
      </c>
      <c r="R368" s="202">
        <f t="shared" ca="1" si="159"/>
        <v>0</v>
      </c>
      <c r="S368" s="11">
        <f ca="1">IF(B368&gt;=$J$5,0,CONTADORES!$D382-CONTADORES!$D381)</f>
        <v>0</v>
      </c>
      <c r="T368" s="204">
        <f ca="1">IF(B368&gt;=$J$5,0,CONTADORES!$AZ382-CONTADORES!$AZ381)</f>
        <v>0</v>
      </c>
      <c r="U368" s="202">
        <f t="shared" ca="1" si="184"/>
        <v>0</v>
      </c>
      <c r="V368" s="11">
        <f ca="1">IF(B368&gt;=$J$5,0,CONTADORES!$BB382-CONTADORES!$BB381)</f>
        <v>0</v>
      </c>
      <c r="W368" s="1438">
        <f t="shared" ca="1" si="160"/>
        <v>0</v>
      </c>
      <c r="X368" s="1438">
        <f t="shared" ca="1" si="161"/>
        <v>0</v>
      </c>
      <c r="Y368" s="1439">
        <f t="shared" ca="1" si="162"/>
        <v>0</v>
      </c>
      <c r="Z368" s="1439">
        <f t="shared" ca="1" si="163"/>
        <v>0</v>
      </c>
      <c r="AA368" s="1439">
        <f t="shared" ca="1" si="164"/>
        <v>0</v>
      </c>
      <c r="AB368" s="1439">
        <f t="shared" ca="1" si="165"/>
        <v>0</v>
      </c>
      <c r="AC368" s="1438">
        <f t="shared" ca="1" si="166"/>
        <v>0</v>
      </c>
      <c r="AD368" s="1438">
        <f ca="1">IF(B368&gt;=$J$5,0,CONTADORES!H382-CONTADORES!H381)</f>
        <v>0</v>
      </c>
      <c r="AE368" s="1438">
        <f ca="1">IF(B368&gt;=$J$5,0,CONTADORES!J382-CONTADORES!J381)</f>
        <v>0</v>
      </c>
      <c r="AF368" s="1438">
        <f ca="1">IF(B368&gt;=$J$5,0,CONTADORES!AS382-CONTADORES!AS381)</f>
        <v>0</v>
      </c>
      <c r="AG368" s="1438">
        <f ca="1">IF(B368&gt;=$J$5,0,CONTADORES!AU382-CONTADORES!AU381)</f>
        <v>0</v>
      </c>
      <c r="AH368" s="1439">
        <f ca="1">IF(B368&gt;=$J$5,0,(CONTADORES!AK382-CONTADORES!AK381)+(CONTADORES!K382-CONTADORES!K381))</f>
        <v>0</v>
      </c>
      <c r="AI368" s="1438">
        <f ca="1">IF(B368&gt;=$J$5,0,(CONTADORES!AI382-CONTADORES!AI381)+(CONTADORES!M382-CONTADORES!M381))</f>
        <v>0</v>
      </c>
      <c r="AJ368" s="1438">
        <f ca="1">IF(B368&gt;=$J$5,0,(CONTADORES!AG382-CONTADORES!AG381))</f>
        <v>0</v>
      </c>
      <c r="AK368" s="1438">
        <f ca="1">IF(B368&gt;=$J$5,0,(CONTADORES!O382-CONTADORES!O381))</f>
        <v>0</v>
      </c>
      <c r="AL368" s="1500">
        <f t="shared" ca="1" si="167"/>
        <v>0</v>
      </c>
      <c r="AM368" s="1438">
        <f ca="1">IF(B368&gt;=$J$5,0,(((CONTADORES!F382-CONTADORES!F381)+(CONTADORES!AO382-CONTADORES!AO381))))-BJ368-AF368-AN368-BM368-BP368-BU368-BS368+T368</f>
        <v>0</v>
      </c>
      <c r="AN368" s="1443">
        <f ca="1">IF(B368&gt;=$J$5,0,(CONTADORES!AV382-CONTADORES!AV381)+(CONTADORES!AX382-CONTADORES!AX381)+(CONTADORES!BC382-CONTADORES!BC381))-BS368</f>
        <v>0</v>
      </c>
      <c r="AO368" s="1440">
        <f ca="1">IF(B368&gt;=$J$5,0,(CONTADORES!AA382-CONTADORES!AA381))</f>
        <v>0</v>
      </c>
      <c r="AP368" s="1474">
        <f ca="1">IF(B368&gt;=$J$5,0,(CONTADORES!V382-CONTADORES!V381))</f>
        <v>0</v>
      </c>
      <c r="AQ368" s="1445">
        <f ca="1">IF(B368&gt;=$J$5,0,(CONTADORES!C382-CONTADORES!C381))</f>
        <v>0</v>
      </c>
      <c r="AR368" s="1440">
        <f ca="1">IF(B368&gt;=$J$5,0,(CONTADORES!BA382-CONTADORES!BA381))</f>
        <v>0</v>
      </c>
      <c r="AS368" s="1438">
        <f ca="1">IF(B368&gt;=$J$5,0,CONTADORES!Q382-CONTADORES!Q381)</f>
        <v>0</v>
      </c>
      <c r="AT368" s="1438">
        <f ca="1">IF(B368&gt;=$J$5,0,(CONTADORES!S382-CONTADORES!S381)+(CONTADORES!AE382-CONTADORES!AE381))</f>
        <v>0</v>
      </c>
      <c r="AU368" s="1474">
        <f ca="1">IF(B368&gt;=$J$5,0,(CONTADORES!I382-CONTADORES!I381))</f>
        <v>0</v>
      </c>
      <c r="AV368" s="1440">
        <f ca="1">IF(B368&gt;=$J$5,0,(CONTADORES!AT382-CONTADORES!AT381))</f>
        <v>0</v>
      </c>
      <c r="AW368" s="1440">
        <f ca="1">IF(B368&gt;=$J$5,0,(CONTADORES!L382-CONTADORES!L381)+(CONTADORES!AL382-CONTADORES!AL381))</f>
        <v>0</v>
      </c>
      <c r="AX368" s="1440">
        <f ca="1">IF(B368&gt;=$J$5,0,(CONTADORES!N382-CONTADORES!N381)+(CONTADORES!AJ382-CONTADORES!AJ381))</f>
        <v>0</v>
      </c>
      <c r="AY368" s="1440">
        <f ca="1">IF(B368&gt;=$J$5,0,(CONTADORES!AH382-CONTADORES!AH381))</f>
        <v>0</v>
      </c>
      <c r="AZ368" s="1440">
        <f ca="1">IF(B368&gt;=$J$5,0,(CONTADORES!P382-CONTADORES!P381))</f>
        <v>0</v>
      </c>
      <c r="BA368" s="1450">
        <f t="shared" ca="1" si="168"/>
        <v>0</v>
      </c>
      <c r="BB368" s="1440">
        <f ca="1">IF(B368&gt;=$J$5,0,(((CONTADORES!G382-CONTADORES!G381)+(CONTADORES!AP382-CONTADORES!AP381)+AR368)-(AV368+BC368)))</f>
        <v>0</v>
      </c>
      <c r="BC368" s="1438">
        <f ca="1">IF(B368&gt;=$J$5,0,(CONTADORES!AW382-CONTADORES!AW381)+(CONTADORES!AY382-CONTADORES!AY381)+(CONTADORES!BD382-CONTADORES!BD381))</f>
        <v>0</v>
      </c>
      <c r="BD368" s="1438">
        <f t="shared" ca="1" si="169"/>
        <v>0</v>
      </c>
      <c r="BE368" s="1439">
        <f ca="1">IF($B368&gt;=$J$5,0,CONTADORES!$BE382)</f>
        <v>0</v>
      </c>
      <c r="BF368" s="1438">
        <f ca="1">IF($B368&gt;=$J$5,0,CONTADORES!$BF382)</f>
        <v>0</v>
      </c>
      <c r="BG368" s="1438">
        <f ca="1">IF($B368&gt;=$J$5,0,CONTADORES!$BH382)</f>
        <v>0</v>
      </c>
      <c r="BH368" s="1438">
        <f ca="1">IF(B368&gt;=$J$5,0,(CONTADORES!AQ382-CONTADORES!AQ381))</f>
        <v>0</v>
      </c>
      <c r="BI368" s="1438">
        <f ca="1">IF(B368&gt;=$J$5,0,(CONTADORES!AR382-CONTADORES!AR381))</f>
        <v>0</v>
      </c>
      <c r="BJ368" s="1438">
        <f ca="1">IF(B368&gt;=$J$5,0,CONTADORES!BI382-CONTADORES!BI381)/1000</f>
        <v>0</v>
      </c>
      <c r="BK368" s="1438">
        <f ca="1">IF(B368&gt;=$J$5,0,CONTADORES!BJ382-CONTADORES!BJ381)</f>
        <v>0</v>
      </c>
      <c r="BL368" s="1438">
        <f ca="1">IF(B368&gt;=$J$5,0,CONTADORES!BK382-CONTADORES!BK381)</f>
        <v>0</v>
      </c>
      <c r="BM368" s="1438">
        <f ca="1">IF(B368&gt;=$J$5,0,CONTADORES!BL382-CONTADORES!BL381)/1000</f>
        <v>0</v>
      </c>
      <c r="BN368" s="1438">
        <f ca="1">IF(B368&gt;=$J$5,0,CONTADORES!BM382-CONTADORES!BM381)/1000</f>
        <v>0</v>
      </c>
      <c r="BO368" s="1438">
        <f ca="1">IF(B368&gt;=$J$5,0,CONTADORES!BN382-CONTADORES!BN381)</f>
        <v>0</v>
      </c>
      <c r="BP368" s="1438">
        <f ca="1">IF(B368&gt;=$J$5,0,CONTADORES!BO382-CONTADORES!BO381)/1000</f>
        <v>0</v>
      </c>
      <c r="BQ368" s="1438">
        <f ca="1">IF(B368&gt;=$J$5,0,CONTADORES!BP382-CONTADORES!BP381)/1000</f>
        <v>0</v>
      </c>
      <c r="BR368" s="1438">
        <f ca="1">IF(B368&gt;=$J$5,0,CONTADORES!BQ382-CONTADORES!BQ381)</f>
        <v>0</v>
      </c>
      <c r="BS368" s="1438">
        <f ca="1">IF(B368&gt;=$J$5,0,(CONTADORES!BT382-CONTADORES!BT381)+(CONTADORES!BV382-CONTADORES!BV381))/1000</f>
        <v>0</v>
      </c>
      <c r="BT368" s="1438">
        <f ca="1">IF(B368&gt;=$J$5,0,(CONTADORES!BU382-CONTADORES!BU381)+(CONTADORES!BW382-CONTADORES!BW381))/1000</f>
        <v>0</v>
      </c>
      <c r="BU368" s="1438">
        <f ca="1">IF(B368&gt;=$J$5,0,CONTADORES!BR382-CONTADORES!BR381)</f>
        <v>0</v>
      </c>
      <c r="BV368" s="1438">
        <f ca="1">IF(B368&gt;=$J$5,0,CONTADORES!BS382-CONTADORES!BS381)</f>
        <v>0</v>
      </c>
      <c r="BW368" s="1438">
        <f t="shared" ca="1" si="170"/>
        <v>0</v>
      </c>
      <c r="BX368" s="1438">
        <f t="shared" ca="1" si="171"/>
        <v>0</v>
      </c>
      <c r="BY368" s="1438">
        <f t="shared" ca="1" si="172"/>
        <v>0</v>
      </c>
      <c r="BZ368" s="1438">
        <f t="shared" ca="1" si="173"/>
        <v>0</v>
      </c>
      <c r="CA368" s="1438">
        <f t="shared" ca="1" si="174"/>
        <v>0</v>
      </c>
      <c r="CB368" s="1438">
        <f t="shared" ca="1" si="175"/>
        <v>0</v>
      </c>
      <c r="CC368" s="1438">
        <f t="shared" ca="1" si="176"/>
        <v>0</v>
      </c>
      <c r="CD368" s="1438">
        <f t="shared" ca="1" si="177"/>
        <v>0</v>
      </c>
      <c r="CE368" s="1438">
        <f ca="1">IF(B368&gt;=$J$5,0,CONTADORES!BS382-CONTADORES!BS381)</f>
        <v>0</v>
      </c>
      <c r="CF368" s="1438">
        <f t="shared" ca="1" si="178"/>
        <v>0</v>
      </c>
      <c r="CG368" s="1438">
        <f t="shared" ca="1" si="179"/>
        <v>0</v>
      </c>
      <c r="CH368" s="1438">
        <f t="shared" ca="1" si="180"/>
        <v>0</v>
      </c>
      <c r="CI368" s="1438">
        <f t="shared" ca="1" si="181"/>
        <v>0</v>
      </c>
      <c r="CJ368" s="1444">
        <f ca="1">IF($B368&gt;=$J$5,0,CONTADORES!$BG382)</f>
        <v>0</v>
      </c>
      <c r="CK368" s="1406">
        <f>CONTADORES!E382</f>
        <v>0</v>
      </c>
      <c r="CL368" s="1406">
        <f>CONTADORES!BX382</f>
        <v>0</v>
      </c>
    </row>
    <row r="369" spans="2:90">
      <c r="B369" s="410">
        <v>45285</v>
      </c>
      <c r="C369" s="204">
        <f t="shared" ca="1" si="156"/>
        <v>0</v>
      </c>
      <c r="D369" s="202">
        <f ca="1">'CALCULO DE GAS'!P198</f>
        <v>0</v>
      </c>
      <c r="E369" s="202">
        <f ca="1">IF(B369&gt;=$J$5,0,(CONTADORES!$AB383-CONTADORES!$AB382)-$H369)</f>
        <v>0</v>
      </c>
      <c r="F369" s="204">
        <f t="shared" ca="1" si="182"/>
        <v>0</v>
      </c>
      <c r="G369" s="202">
        <f ca="1">IF(B369&gt;=$J$5,0,CONTADORES!$AD383-CONTADORES!$AD382)</f>
        <v>0</v>
      </c>
      <c r="H369" s="202">
        <f ca="1">IF(G369&gt;0,CONTADORES!$AC383-CONTADORES!$AC382,0)</f>
        <v>0</v>
      </c>
      <c r="I369" s="205">
        <f ca="1">IF(B369&gt;=$J$5,0,CONTADORES!$Z383-CONTADORES!$Z382)</f>
        <v>0</v>
      </c>
      <c r="J369" s="204">
        <f t="shared" ca="1" si="157"/>
        <v>0</v>
      </c>
      <c r="K369" s="202">
        <f ca="1">'CALCULO DE GAS'!Q198</f>
        <v>0</v>
      </c>
      <c r="L369" s="1454">
        <f ca="1">IF(B369&gt;=$J$5,0,(CONTADORES!$W383-CONTADORES!$W382)-$O369)</f>
        <v>0</v>
      </c>
      <c r="M369" s="1437">
        <f t="shared" ca="1" si="183"/>
        <v>0</v>
      </c>
      <c r="N369" s="1437">
        <f ca="1">IF(B369&gt;=$J$5,0,CONTADORES!$Y383-CONTADORES!$Y382)</f>
        <v>0</v>
      </c>
      <c r="O369" s="1437">
        <f ca="1">IF(N369&gt;0,CONTADORES!$X383-CONTADORES!$X382,0)</f>
        <v>0</v>
      </c>
      <c r="P369" s="208">
        <f ca="1">IF(B369&gt;=$J$5,0,CONTADORES!$U383-CONTADORES!$U382)</f>
        <v>0</v>
      </c>
      <c r="Q369" s="208">
        <f ca="1">IF(B369&gt;=$J$5,0,CONTADORES!$B383-CONTADORES!$B382)</f>
        <v>0</v>
      </c>
      <c r="R369" s="202">
        <f t="shared" ca="1" si="159"/>
        <v>0</v>
      </c>
      <c r="S369" s="11">
        <f ca="1">IF(B369&gt;=$J$5,0,CONTADORES!$D383-CONTADORES!$D382)</f>
        <v>0</v>
      </c>
      <c r="T369" s="204">
        <f ca="1">IF(B369&gt;=$J$5,0,CONTADORES!$AZ383-CONTADORES!$AZ382)</f>
        <v>0</v>
      </c>
      <c r="U369" s="202">
        <f t="shared" ca="1" si="184"/>
        <v>0</v>
      </c>
      <c r="V369" s="11">
        <f ca="1">IF(B369&gt;=$J$5,0,CONTADORES!$BB383-CONTADORES!$BB382)</f>
        <v>0</v>
      </c>
      <c r="W369" s="1438">
        <f t="shared" ca="1" si="160"/>
        <v>0</v>
      </c>
      <c r="X369" s="1438">
        <f t="shared" ca="1" si="161"/>
        <v>0</v>
      </c>
      <c r="Y369" s="1439">
        <f t="shared" ca="1" si="162"/>
        <v>0</v>
      </c>
      <c r="Z369" s="1439">
        <f t="shared" ca="1" si="163"/>
        <v>0</v>
      </c>
      <c r="AA369" s="1439">
        <f t="shared" ca="1" si="164"/>
        <v>0</v>
      </c>
      <c r="AB369" s="1439">
        <f t="shared" ca="1" si="165"/>
        <v>0</v>
      </c>
      <c r="AC369" s="1438">
        <f t="shared" ca="1" si="166"/>
        <v>0</v>
      </c>
      <c r="AD369" s="1438">
        <f ca="1">IF(B369&gt;=$J$5,0,CONTADORES!H383-CONTADORES!H382)</f>
        <v>0</v>
      </c>
      <c r="AE369" s="1438">
        <f ca="1">IF(B369&gt;=$J$5,0,CONTADORES!J383-CONTADORES!J382)</f>
        <v>0</v>
      </c>
      <c r="AF369" s="1438">
        <f ca="1">IF(B369&gt;=$J$5,0,CONTADORES!AS383-CONTADORES!AS382)</f>
        <v>0</v>
      </c>
      <c r="AG369" s="1438">
        <f ca="1">IF(B369&gt;=$J$5,0,CONTADORES!AU383-CONTADORES!AU382)</f>
        <v>0</v>
      </c>
      <c r="AH369" s="1439">
        <f ca="1">IF(B369&gt;=$J$5,0,(CONTADORES!AK383-CONTADORES!AK382)+(CONTADORES!K383-CONTADORES!K382))</f>
        <v>0</v>
      </c>
      <c r="AI369" s="1438">
        <f ca="1">IF(B369&gt;=$J$5,0,(CONTADORES!AI383-CONTADORES!AI382)+(CONTADORES!M383-CONTADORES!M382))</f>
        <v>0</v>
      </c>
      <c r="AJ369" s="1438">
        <f ca="1">IF(B369&gt;=$J$5,0,(CONTADORES!AG383-CONTADORES!AG382))</f>
        <v>0</v>
      </c>
      <c r="AK369" s="1438">
        <f ca="1">IF(B369&gt;=$J$5,0,(CONTADORES!O383-CONTADORES!O382))</f>
        <v>0</v>
      </c>
      <c r="AL369" s="1500">
        <f t="shared" ca="1" si="167"/>
        <v>0</v>
      </c>
      <c r="AM369" s="1438">
        <f ca="1">IF(B369&gt;=$J$5,0,(((CONTADORES!F383-CONTADORES!F382)+(CONTADORES!AO383-CONTADORES!AO382))))-BJ369-AF369-AN369-BM369-BP369-BU369-BS369+T369</f>
        <v>0</v>
      </c>
      <c r="AN369" s="1443">
        <f ca="1">IF(B369&gt;=$J$5,0,(CONTADORES!AV383-CONTADORES!AV382)+(CONTADORES!AX383-CONTADORES!AX382)+(CONTADORES!BC383-CONTADORES!BC382))-BS369</f>
        <v>0</v>
      </c>
      <c r="AO369" s="1440">
        <f ca="1">IF(B369&gt;=$J$5,0,(CONTADORES!AA383-CONTADORES!AA382))</f>
        <v>0</v>
      </c>
      <c r="AP369" s="1474">
        <f ca="1">IF(B369&gt;=$J$5,0,(CONTADORES!V383-CONTADORES!V382))</f>
        <v>0</v>
      </c>
      <c r="AQ369" s="1445">
        <f ca="1">IF(B369&gt;=$J$5,0,(CONTADORES!C383-CONTADORES!C382))</f>
        <v>0</v>
      </c>
      <c r="AR369" s="1440">
        <f ca="1">IF(B369&gt;=$J$5,0,(CONTADORES!BA383-CONTADORES!BA382))</f>
        <v>0</v>
      </c>
      <c r="AS369" s="1438">
        <f ca="1">IF(B369&gt;=$J$5,0,CONTADORES!Q383-CONTADORES!Q382)</f>
        <v>0</v>
      </c>
      <c r="AT369" s="1438">
        <f ca="1">IF(B369&gt;=$J$5,0,(CONTADORES!S383-CONTADORES!S382)+(CONTADORES!AE383-CONTADORES!AE382))</f>
        <v>0</v>
      </c>
      <c r="AU369" s="1474">
        <f ca="1">IF(B369&gt;=$J$5,0,(CONTADORES!I383-CONTADORES!I382))</f>
        <v>0</v>
      </c>
      <c r="AV369" s="1440">
        <f ca="1">IF(B369&gt;=$J$5,0,(CONTADORES!AT383-CONTADORES!AT382))</f>
        <v>0</v>
      </c>
      <c r="AW369" s="1440">
        <f ca="1">IF(B369&gt;=$J$5,0,(CONTADORES!L383-CONTADORES!L382)+(CONTADORES!AL383-CONTADORES!AL382))</f>
        <v>0</v>
      </c>
      <c r="AX369" s="1440">
        <f ca="1">IF(B369&gt;=$J$5,0,(CONTADORES!N383-CONTADORES!N382)+(CONTADORES!AJ383-CONTADORES!AJ382))</f>
        <v>0</v>
      </c>
      <c r="AY369" s="1440">
        <f ca="1">IF(B369&gt;=$J$5,0,(CONTADORES!AH383-CONTADORES!AH382))</f>
        <v>0</v>
      </c>
      <c r="AZ369" s="1440">
        <f ca="1">IF(B369&gt;=$J$5,0,(CONTADORES!P383-CONTADORES!P382))</f>
        <v>0</v>
      </c>
      <c r="BA369" s="1450">
        <f t="shared" ca="1" si="168"/>
        <v>0</v>
      </c>
      <c r="BB369" s="1440">
        <f ca="1">IF(B369&gt;=$J$5,0,(((CONTADORES!G383-CONTADORES!G382)+(CONTADORES!AP383-CONTADORES!AP382)+AR369)-(AV369+BC369)))</f>
        <v>0</v>
      </c>
      <c r="BC369" s="1438">
        <f ca="1">IF(B369&gt;=$J$5,0,(CONTADORES!AW383-CONTADORES!AW382)+(CONTADORES!AY383-CONTADORES!AY382)+(CONTADORES!BD383-CONTADORES!BD382))</f>
        <v>0</v>
      </c>
      <c r="BD369" s="1438">
        <f t="shared" ca="1" si="169"/>
        <v>0</v>
      </c>
      <c r="BE369" s="1439">
        <f ca="1">IF($B369&gt;=$J$5,0,CONTADORES!$BE383)</f>
        <v>0</v>
      </c>
      <c r="BF369" s="1438">
        <f ca="1">IF($B369&gt;=$J$5,0,CONTADORES!$BF383)</f>
        <v>0</v>
      </c>
      <c r="BG369" s="1438">
        <f ca="1">IF($B369&gt;=$J$5,0,CONTADORES!$BH383)</f>
        <v>0</v>
      </c>
      <c r="BH369" s="1438">
        <f ca="1">IF(B369&gt;=$J$5,0,(CONTADORES!AQ383-CONTADORES!AQ382))</f>
        <v>0</v>
      </c>
      <c r="BI369" s="1438">
        <f ca="1">IF(B369&gt;=$J$5,0,(CONTADORES!AR383-CONTADORES!AR382))</f>
        <v>0</v>
      </c>
      <c r="BJ369" s="1438">
        <f ca="1">IF(B369&gt;=$J$5,0,CONTADORES!BI383-CONTADORES!BI382)/1000</f>
        <v>0</v>
      </c>
      <c r="BK369" s="1438">
        <f ca="1">IF(B369&gt;=$J$5,0,CONTADORES!BJ383-CONTADORES!BJ382)</f>
        <v>0</v>
      </c>
      <c r="BL369" s="1438">
        <f ca="1">IF(B369&gt;=$J$5,0,CONTADORES!BK383-CONTADORES!BK382)</f>
        <v>0</v>
      </c>
      <c r="BM369" s="1438">
        <f ca="1">IF(B369&gt;=$J$5,0,CONTADORES!BL383-CONTADORES!BL382)/1000</f>
        <v>0</v>
      </c>
      <c r="BN369" s="1438">
        <f ca="1">IF(B369&gt;=$J$5,0,CONTADORES!BM383-CONTADORES!BM382)/1000</f>
        <v>0</v>
      </c>
      <c r="BO369" s="1438">
        <f ca="1">IF(B369&gt;=$J$5,0,CONTADORES!BN383-CONTADORES!BN382)</f>
        <v>0</v>
      </c>
      <c r="BP369" s="1438">
        <f ca="1">IF(B369&gt;=$J$5,0,CONTADORES!BO383-CONTADORES!BO382)/1000</f>
        <v>0</v>
      </c>
      <c r="BQ369" s="1438">
        <f ca="1">IF(B369&gt;=$J$5,0,CONTADORES!BP383-CONTADORES!BP382)/1000</f>
        <v>0</v>
      </c>
      <c r="BR369" s="1438">
        <f ca="1">IF(B369&gt;=$J$5,0,CONTADORES!BQ383-CONTADORES!BQ382)</f>
        <v>0</v>
      </c>
      <c r="BS369" s="1438">
        <f ca="1">IF(B369&gt;=$J$5,0,(CONTADORES!BT383-CONTADORES!BT382)+(CONTADORES!BV383-CONTADORES!BV382))/1000</f>
        <v>0</v>
      </c>
      <c r="BT369" s="1438">
        <f ca="1">IF(B369&gt;=$J$5,0,(CONTADORES!BU383-CONTADORES!BU382)+(CONTADORES!BW383-CONTADORES!BW382))/1000</f>
        <v>0</v>
      </c>
      <c r="BU369" s="1438">
        <f ca="1">IF(B369&gt;=$J$5,0,CONTADORES!BR383-CONTADORES!BR382)</f>
        <v>0</v>
      </c>
      <c r="BV369" s="1438">
        <f ca="1">IF(B369&gt;=$J$5,0,CONTADORES!BS383-CONTADORES!BS382)</f>
        <v>0</v>
      </c>
      <c r="BW369" s="1438">
        <f t="shared" ca="1" si="170"/>
        <v>0</v>
      </c>
      <c r="BX369" s="1438">
        <f t="shared" ca="1" si="171"/>
        <v>0</v>
      </c>
      <c r="BY369" s="1438">
        <f t="shared" ca="1" si="172"/>
        <v>0</v>
      </c>
      <c r="BZ369" s="1438">
        <f t="shared" ca="1" si="173"/>
        <v>0</v>
      </c>
      <c r="CA369" s="1438">
        <f t="shared" ca="1" si="174"/>
        <v>0</v>
      </c>
      <c r="CB369" s="1438">
        <f t="shared" ca="1" si="175"/>
        <v>0</v>
      </c>
      <c r="CC369" s="1438">
        <f t="shared" ca="1" si="176"/>
        <v>0</v>
      </c>
      <c r="CD369" s="1438">
        <f t="shared" ca="1" si="177"/>
        <v>0</v>
      </c>
      <c r="CE369" s="1438">
        <f ca="1">IF(B369&gt;=$J$5,0,CONTADORES!BS383-CONTADORES!BS382)</f>
        <v>0</v>
      </c>
      <c r="CF369" s="1438">
        <f t="shared" ca="1" si="178"/>
        <v>0</v>
      </c>
      <c r="CG369" s="1438">
        <f t="shared" ca="1" si="179"/>
        <v>0</v>
      </c>
      <c r="CH369" s="1438">
        <f t="shared" ca="1" si="180"/>
        <v>0</v>
      </c>
      <c r="CI369" s="1438">
        <f t="shared" ca="1" si="181"/>
        <v>0</v>
      </c>
      <c r="CJ369" s="1444">
        <f ca="1">IF($B369&gt;=$J$5,0,CONTADORES!$BG383)</f>
        <v>0</v>
      </c>
      <c r="CK369" s="1406">
        <f>CONTADORES!E383</f>
        <v>0</v>
      </c>
      <c r="CL369" s="1406">
        <f>CONTADORES!BX383</f>
        <v>0</v>
      </c>
    </row>
    <row r="370" spans="2:90">
      <c r="B370" s="410">
        <v>45286</v>
      </c>
      <c r="C370" s="204">
        <f t="shared" ca="1" si="156"/>
        <v>0</v>
      </c>
      <c r="D370" s="202">
        <f ca="1">'CALCULO DE GAS'!P199</f>
        <v>0</v>
      </c>
      <c r="E370" s="202">
        <f ca="1">IF(B370&gt;=$J$5,0,(CONTADORES!$AB384-CONTADORES!$AB383)-$H370)</f>
        <v>0</v>
      </c>
      <c r="F370" s="204">
        <f t="shared" ca="1" si="182"/>
        <v>0</v>
      </c>
      <c r="G370" s="202">
        <f ca="1">IF(B370&gt;=$J$5,0,CONTADORES!$AD384-CONTADORES!$AD383)</f>
        <v>0</v>
      </c>
      <c r="H370" s="202">
        <f ca="1">IF(G370&gt;0,CONTADORES!$AC384-CONTADORES!$AC383,0)</f>
        <v>0</v>
      </c>
      <c r="I370" s="205">
        <f ca="1">IF(B370&gt;=$J$5,0,CONTADORES!$Z384-CONTADORES!$Z383)</f>
        <v>0</v>
      </c>
      <c r="J370" s="204">
        <f t="shared" ca="1" si="157"/>
        <v>0</v>
      </c>
      <c r="K370" s="202">
        <f ca="1">'CALCULO DE GAS'!Q199</f>
        <v>0</v>
      </c>
      <c r="L370" s="1454">
        <f ca="1">IF(B370&gt;=$J$5,0,(CONTADORES!$W384-CONTADORES!$W383)-$O370)</f>
        <v>0</v>
      </c>
      <c r="M370" s="1437">
        <v>0</v>
      </c>
      <c r="N370" s="1437">
        <f ca="1">IF(B370&gt;=$J$5,0,CONTADORES!$Y384-CONTADORES!$Y383)</f>
        <v>0</v>
      </c>
      <c r="O370" s="1437">
        <f ca="1">IF(N370&gt;0,CONTADORES!$X384-CONTADORES!$X383,0)</f>
        <v>0</v>
      </c>
      <c r="P370" s="208">
        <f ca="1">IF(B370&gt;=$J$5,0,CONTADORES!$U384-CONTADORES!$U383)</f>
        <v>0</v>
      </c>
      <c r="Q370" s="208">
        <f ca="1">IF(B370&gt;=$J$5,0,CONTADORES!$B384-CONTADORES!$B383)</f>
        <v>0</v>
      </c>
      <c r="R370" s="202">
        <f t="shared" ca="1" si="159"/>
        <v>0</v>
      </c>
      <c r="S370" s="11">
        <f ca="1">IF(B370&gt;=$J$5,0,CONTADORES!$D384-CONTADORES!$D383)</f>
        <v>0</v>
      </c>
      <c r="T370" s="204">
        <f ca="1">IF(B370&gt;=$J$5,0,CONTADORES!$AZ384-CONTADORES!$AZ383)</f>
        <v>0</v>
      </c>
      <c r="U370" s="202">
        <f t="shared" ca="1" si="184"/>
        <v>0</v>
      </c>
      <c r="V370" s="11">
        <f ca="1">IF(B370&gt;=$J$5,0,CONTADORES!$BB384-CONTADORES!$BB383)</f>
        <v>0</v>
      </c>
      <c r="W370" s="1438">
        <f t="shared" ca="1" si="160"/>
        <v>0</v>
      </c>
      <c r="X370" s="1438">
        <f t="shared" ca="1" si="161"/>
        <v>0</v>
      </c>
      <c r="Y370" s="1439">
        <f t="shared" ca="1" si="162"/>
        <v>0</v>
      </c>
      <c r="Z370" s="1439">
        <f t="shared" ca="1" si="163"/>
        <v>0</v>
      </c>
      <c r="AA370" s="1439">
        <f t="shared" ca="1" si="164"/>
        <v>0</v>
      </c>
      <c r="AB370" s="1439">
        <f t="shared" ca="1" si="165"/>
        <v>0</v>
      </c>
      <c r="AC370" s="1438">
        <f t="shared" ca="1" si="166"/>
        <v>0</v>
      </c>
      <c r="AD370" s="1438">
        <f ca="1">IF(B370&gt;=$J$5,0,CONTADORES!H384-CONTADORES!H383)</f>
        <v>0</v>
      </c>
      <c r="AE370" s="1438">
        <f ca="1">IF(B370&gt;=$J$5,0,CONTADORES!J384-CONTADORES!J383)</f>
        <v>0</v>
      </c>
      <c r="AF370" s="1438">
        <f ca="1">IF(B370&gt;=$J$5,0,CONTADORES!AS384-CONTADORES!AS383)</f>
        <v>0</v>
      </c>
      <c r="AG370" s="1438">
        <f ca="1">IF(B370&gt;=$J$5,0,CONTADORES!AU384-CONTADORES!AU383)</f>
        <v>0</v>
      </c>
      <c r="AH370" s="1439">
        <f ca="1">IF(B370&gt;=$J$5,0,(CONTADORES!AK384-CONTADORES!AK383)+(CONTADORES!K384-CONTADORES!K383))</f>
        <v>0</v>
      </c>
      <c r="AI370" s="1438">
        <f ca="1">IF(B370&gt;=$J$5,0,(CONTADORES!AI384-CONTADORES!AI383)+(CONTADORES!M384-CONTADORES!M383))</f>
        <v>0</v>
      </c>
      <c r="AJ370" s="1438">
        <f ca="1">IF(B370&gt;=$J$5,0,(CONTADORES!AG384-CONTADORES!AG383))</f>
        <v>0</v>
      </c>
      <c r="AK370" s="1438">
        <f ca="1">IF(B370&gt;=$J$5,0,(CONTADORES!O384-CONTADORES!O383))</f>
        <v>0</v>
      </c>
      <c r="AL370" s="1500">
        <f t="shared" ca="1" si="167"/>
        <v>0</v>
      </c>
      <c r="AM370" s="1438">
        <f ca="1">IF(B370&gt;=$J$5,0,(((CONTADORES!F384-CONTADORES!F383)+(CONTADORES!AO384-CONTADORES!AO383))))-BJ370-AF370-AN370-BM370-BP370-BU370-BS370+T370</f>
        <v>0</v>
      </c>
      <c r="AN370" s="1443">
        <f ca="1">IF(B370&gt;=$J$5,0,(CONTADORES!AV384-CONTADORES!AV383)+(CONTADORES!AX384-CONTADORES!AX383)+(CONTADORES!BC384-CONTADORES!BC383))-BS370</f>
        <v>0</v>
      </c>
      <c r="AO370" s="1440">
        <f ca="1">IF(B370&gt;=$J$5,0,(CONTADORES!AA384-CONTADORES!AA383))</f>
        <v>0</v>
      </c>
      <c r="AP370" s="1474">
        <f ca="1">IF(B370&gt;=$J$5,0,(CONTADORES!V384-CONTADORES!V383))</f>
        <v>0</v>
      </c>
      <c r="AQ370" s="1445">
        <f ca="1">IF(B370&gt;=$J$5,0,(CONTADORES!C384-CONTADORES!C383))</f>
        <v>0</v>
      </c>
      <c r="AR370" s="1440">
        <f ca="1">IF(B370&gt;=$J$5,0,(CONTADORES!BA384-CONTADORES!BA383))</f>
        <v>0</v>
      </c>
      <c r="AS370" s="1438">
        <f ca="1">IF(B370&gt;=$J$5,0,CONTADORES!Q384-CONTADORES!Q383)</f>
        <v>0</v>
      </c>
      <c r="AT370" s="1438">
        <f ca="1">IF(B370&gt;=$J$5,0,(CONTADORES!S384-CONTADORES!S383)+(CONTADORES!AE384-CONTADORES!AE383))</f>
        <v>0</v>
      </c>
      <c r="AU370" s="1474">
        <f ca="1">IF(B370&gt;=$J$5,0,(CONTADORES!I384-CONTADORES!I383))</f>
        <v>0</v>
      </c>
      <c r="AV370" s="1440">
        <f ca="1">IF(B370&gt;=$J$5,0,(CONTADORES!AT384-CONTADORES!AT383))</f>
        <v>0</v>
      </c>
      <c r="AW370" s="1440">
        <f ca="1">IF(B370&gt;=$J$5,0,(CONTADORES!L384-CONTADORES!L383)+(CONTADORES!AL384-CONTADORES!AL383))</f>
        <v>0</v>
      </c>
      <c r="AX370" s="1440">
        <f ca="1">IF(B370&gt;=$J$5,0,(CONTADORES!N384-CONTADORES!N383)+(CONTADORES!AJ384-CONTADORES!AJ383))</f>
        <v>0</v>
      </c>
      <c r="AY370" s="1440">
        <f ca="1">IF(B370&gt;=$J$5,0,(CONTADORES!AH384-CONTADORES!AH383))</f>
        <v>0</v>
      </c>
      <c r="AZ370" s="1440">
        <f ca="1">IF(B370&gt;=$J$5,0,(CONTADORES!P384-CONTADORES!P383))</f>
        <v>0</v>
      </c>
      <c r="BA370" s="1450">
        <f t="shared" ca="1" si="168"/>
        <v>0</v>
      </c>
      <c r="BB370" s="1440">
        <f ca="1">IF(B370&gt;=$J$5,0,(((CONTADORES!G384-CONTADORES!G383)+(CONTADORES!AP384-CONTADORES!AP383)+AR370)-(AV370+BC370)))</f>
        <v>0</v>
      </c>
      <c r="BC370" s="1438">
        <f ca="1">IF(B370&gt;=$J$5,0,(CONTADORES!AW384-CONTADORES!AW383)+(CONTADORES!AY384-CONTADORES!AY383)+(CONTADORES!BD384-CONTADORES!BD383))</f>
        <v>0</v>
      </c>
      <c r="BD370" s="1438">
        <f t="shared" ca="1" si="169"/>
        <v>0</v>
      </c>
      <c r="BE370" s="1439">
        <f ca="1">IF($B370&gt;=$J$5,0,CONTADORES!$BE384)</f>
        <v>0</v>
      </c>
      <c r="BF370" s="1438">
        <f ca="1">IF($B370&gt;=$J$5,0,CONTADORES!$BF384)</f>
        <v>0</v>
      </c>
      <c r="BG370" s="1438">
        <f ca="1">IF($B370&gt;=$J$5,0,CONTADORES!$BH384)</f>
        <v>0</v>
      </c>
      <c r="BH370" s="1438">
        <f ca="1">IF(B370&gt;=$J$5,0,(CONTADORES!AQ384-CONTADORES!AQ383))</f>
        <v>0</v>
      </c>
      <c r="BI370" s="1438">
        <f ca="1">IF(B370&gt;=$J$5,0,(CONTADORES!AR384-CONTADORES!AR383))</f>
        <v>0</v>
      </c>
      <c r="BJ370" s="1438">
        <f ca="1">IF(B370&gt;=$J$5,0,CONTADORES!BI384-CONTADORES!BI383)/1000</f>
        <v>0</v>
      </c>
      <c r="BK370" s="1438">
        <f ca="1">IF(B370&gt;=$J$5,0,CONTADORES!BJ384-CONTADORES!BJ383)</f>
        <v>0</v>
      </c>
      <c r="BL370" s="1438">
        <f ca="1">IF(B370&gt;=$J$5,0,CONTADORES!BK384-CONTADORES!BK383)</f>
        <v>0</v>
      </c>
      <c r="BM370" s="1438">
        <f ca="1">IF(B370&gt;=$J$5,0,CONTADORES!BL384-CONTADORES!BL383)/1000</f>
        <v>0</v>
      </c>
      <c r="BN370" s="1438">
        <f ca="1">IF(B370&gt;=$J$5,0,CONTADORES!BM384-CONTADORES!BM383)/1000</f>
        <v>0</v>
      </c>
      <c r="BO370" s="1438">
        <f ca="1">IF(B370&gt;=$J$5,0,CONTADORES!BN384-CONTADORES!BN383)</f>
        <v>0</v>
      </c>
      <c r="BP370" s="1438">
        <f ca="1">IF(B370&gt;=$J$5,0,CONTADORES!BO384-CONTADORES!BO383)/1000</f>
        <v>0</v>
      </c>
      <c r="BQ370" s="1438">
        <f ca="1">IF(B370&gt;=$J$5,0,CONTADORES!BP384-CONTADORES!BP383)/1000</f>
        <v>0</v>
      </c>
      <c r="BR370" s="1438">
        <f ca="1">IF(B370&gt;=$J$5,0,CONTADORES!BQ384-CONTADORES!BQ383)</f>
        <v>0</v>
      </c>
      <c r="BS370" s="1438">
        <f ca="1">IF(B370&gt;=$J$5,0,(CONTADORES!BT384-CONTADORES!BT383)+(CONTADORES!BV384-CONTADORES!BV383))/1000</f>
        <v>0</v>
      </c>
      <c r="BT370" s="1438">
        <f ca="1">IF(B370&gt;=$J$5,0,(CONTADORES!BU384-CONTADORES!BU383)+(CONTADORES!BW384-CONTADORES!BW383))/1000</f>
        <v>0</v>
      </c>
      <c r="BU370" s="1438">
        <f ca="1">IF(B370&gt;=$J$5,0,CONTADORES!BR384-CONTADORES!BR383)</f>
        <v>0</v>
      </c>
      <c r="BV370" s="1438">
        <f ca="1">IF(B370&gt;=$J$5,0,CONTADORES!BS384-CONTADORES!BS383)</f>
        <v>0</v>
      </c>
      <c r="BW370" s="1438">
        <f t="shared" ca="1" si="170"/>
        <v>0</v>
      </c>
      <c r="BX370" s="1438">
        <f t="shared" ca="1" si="171"/>
        <v>0</v>
      </c>
      <c r="BY370" s="1438">
        <f t="shared" ca="1" si="172"/>
        <v>0</v>
      </c>
      <c r="BZ370" s="1438">
        <f t="shared" ca="1" si="173"/>
        <v>0</v>
      </c>
      <c r="CA370" s="1438">
        <f t="shared" ca="1" si="174"/>
        <v>0</v>
      </c>
      <c r="CB370" s="1438">
        <f t="shared" ca="1" si="175"/>
        <v>0</v>
      </c>
      <c r="CC370" s="1438">
        <f t="shared" ca="1" si="176"/>
        <v>0</v>
      </c>
      <c r="CD370" s="1438">
        <f t="shared" ca="1" si="177"/>
        <v>0</v>
      </c>
      <c r="CE370" s="1438">
        <f ca="1">IF(B370&gt;=$J$5,0,CONTADORES!BS384-CONTADORES!BS383)</f>
        <v>0</v>
      </c>
      <c r="CF370" s="1438">
        <f t="shared" ca="1" si="178"/>
        <v>0</v>
      </c>
      <c r="CG370" s="1438">
        <f t="shared" ca="1" si="179"/>
        <v>0</v>
      </c>
      <c r="CH370" s="1438">
        <f t="shared" ca="1" si="180"/>
        <v>0</v>
      </c>
      <c r="CI370" s="1438">
        <f t="shared" ca="1" si="181"/>
        <v>0</v>
      </c>
      <c r="CJ370" s="1444">
        <f ca="1">IF($B370&gt;=$J$5,0,CONTADORES!$BG384)</f>
        <v>0</v>
      </c>
      <c r="CK370" s="1406">
        <f>CONTADORES!E384</f>
        <v>0</v>
      </c>
      <c r="CL370" s="1406">
        <f>CONTADORES!BX384</f>
        <v>0</v>
      </c>
    </row>
    <row r="371" spans="2:90">
      <c r="B371" s="410">
        <v>45287</v>
      </c>
      <c r="C371" s="204">
        <f t="shared" ca="1" si="156"/>
        <v>0</v>
      </c>
      <c r="D371" s="202">
        <f ca="1">'CALCULO DE GAS'!P200</f>
        <v>0</v>
      </c>
      <c r="E371" s="202">
        <f ca="1">IF(B371&gt;=$J$5,0,(CONTADORES!$AB385-CONTADORES!$AB384)-$H371)</f>
        <v>0</v>
      </c>
      <c r="F371" s="204">
        <f t="shared" ca="1" si="182"/>
        <v>0</v>
      </c>
      <c r="G371" s="202">
        <f ca="1">IF(B371&gt;=$J$5,0,CONTADORES!$AD385-CONTADORES!$AD384)</f>
        <v>0</v>
      </c>
      <c r="H371" s="202">
        <f ca="1">IF(G371&gt;0,CONTADORES!$AC385-CONTADORES!$AC384,0)</f>
        <v>0</v>
      </c>
      <c r="I371" s="205">
        <f ca="1">IF(B371&gt;=$J$5,0,CONTADORES!$Z385-CONTADORES!$Z384)</f>
        <v>0</v>
      </c>
      <c r="J371" s="204">
        <f t="shared" ca="1" si="157"/>
        <v>0</v>
      </c>
      <c r="K371" s="202">
        <f ca="1">'CALCULO DE GAS'!Q200</f>
        <v>0</v>
      </c>
      <c r="L371" s="1454">
        <f ca="1">IF(B371&gt;=$J$5,0,(CONTADORES!$W385-CONTADORES!$W384)-$O371)</f>
        <v>0</v>
      </c>
      <c r="M371" s="1437">
        <f ca="1">IF(O371=0,0,"DIGITAR MANUALMENTE")</f>
        <v>0</v>
      </c>
      <c r="N371" s="1437">
        <f ca="1">IF(B371&gt;=$J$5,0,CONTADORES!$Y385-CONTADORES!$Y384)</f>
        <v>0</v>
      </c>
      <c r="O371" s="1437">
        <f ca="1">IF(N371&gt;0,CONTADORES!$X385-CONTADORES!$X384,0)</f>
        <v>0</v>
      </c>
      <c r="P371" s="208">
        <f ca="1">IF(B371&gt;=$J$5,0,CONTADORES!$U385-CONTADORES!$U384)</f>
        <v>0</v>
      </c>
      <c r="Q371" s="208">
        <f ca="1">IF(B371&gt;=$J$5,0,CONTADORES!$B385-CONTADORES!$B384)</f>
        <v>0</v>
      </c>
      <c r="R371" s="202">
        <f t="shared" ca="1" si="159"/>
        <v>0</v>
      </c>
      <c r="S371" s="11">
        <f ca="1">IF(B371&gt;=$J$5,0,CONTADORES!$D385-CONTADORES!$D384)</f>
        <v>0</v>
      </c>
      <c r="T371" s="204">
        <f ca="1">IF(B371&gt;=$J$5,0,CONTADORES!$AZ385-CONTADORES!$AZ384)</f>
        <v>0</v>
      </c>
      <c r="U371" s="202">
        <f t="shared" ca="1" si="184"/>
        <v>0</v>
      </c>
      <c r="V371" s="11">
        <f ca="1">IF(B371&gt;=$J$5,0,CONTADORES!$BB385-CONTADORES!$BB384)</f>
        <v>0</v>
      </c>
      <c r="W371" s="1438">
        <f t="shared" ca="1" si="160"/>
        <v>0</v>
      </c>
      <c r="X371" s="1438">
        <f t="shared" ca="1" si="161"/>
        <v>0</v>
      </c>
      <c r="Y371" s="1439">
        <f t="shared" ca="1" si="162"/>
        <v>0</v>
      </c>
      <c r="Z371" s="1439">
        <f t="shared" ca="1" si="163"/>
        <v>0</v>
      </c>
      <c r="AA371" s="1439">
        <f t="shared" ca="1" si="164"/>
        <v>0</v>
      </c>
      <c r="AB371" s="1439">
        <f t="shared" ca="1" si="165"/>
        <v>0</v>
      </c>
      <c r="AC371" s="1438">
        <f t="shared" ca="1" si="166"/>
        <v>0</v>
      </c>
      <c r="AD371" s="1438">
        <f ca="1">IF(B371&gt;=$J$5,0,CONTADORES!H385-CONTADORES!H384)</f>
        <v>0</v>
      </c>
      <c r="AE371" s="1438">
        <f ca="1">IF(B371&gt;=$J$5,0,CONTADORES!J385-CONTADORES!J384)</f>
        <v>0</v>
      </c>
      <c r="AF371" s="1438">
        <f ca="1">IF(B371&gt;=$J$5,0,CONTADORES!AS385-CONTADORES!AS384)</f>
        <v>0</v>
      </c>
      <c r="AG371" s="1438">
        <f ca="1">IF(B371&gt;=$J$5,0,CONTADORES!AU385-CONTADORES!AU384)</f>
        <v>0</v>
      </c>
      <c r="AH371" s="1439">
        <f ca="1">IF(B371&gt;=$J$5,0,(CONTADORES!AK385-CONTADORES!AK384)+(CONTADORES!K385-CONTADORES!K384))</f>
        <v>0</v>
      </c>
      <c r="AI371" s="1438">
        <f ca="1">IF(B371&gt;=$J$5,0,(CONTADORES!AI385-CONTADORES!AI384)+(CONTADORES!M385-CONTADORES!M384))</f>
        <v>0</v>
      </c>
      <c r="AJ371" s="1438">
        <f ca="1">IF(B371&gt;=$J$5,0,(CONTADORES!AG385-CONTADORES!AG384))</f>
        <v>0</v>
      </c>
      <c r="AK371" s="1438">
        <f ca="1">IF(B371&gt;=$J$5,0,(CONTADORES!O385-CONTADORES!O384))</f>
        <v>0</v>
      </c>
      <c r="AL371" s="1500">
        <f t="shared" ca="1" si="167"/>
        <v>0</v>
      </c>
      <c r="AM371" s="1438">
        <f ca="1">IF(B371&gt;=$J$5,0,(((CONTADORES!F385-CONTADORES!F384)+(CONTADORES!AO385-CONTADORES!AO384))))-BJ371-AF371-AN371-BM371-BP371-BU371-BS371+T371</f>
        <v>0</v>
      </c>
      <c r="AN371" s="1443">
        <f ca="1">IF(B371&gt;=$J$5,0,(CONTADORES!AV385-CONTADORES!AV384)+(CONTADORES!AX385-CONTADORES!AX384)+(CONTADORES!BC385-CONTADORES!BC384))-BS371</f>
        <v>0</v>
      </c>
      <c r="AO371" s="1440">
        <f ca="1">IF(B371&gt;=$J$5,0,(CONTADORES!AA385-CONTADORES!AA384))</f>
        <v>0</v>
      </c>
      <c r="AP371" s="1474">
        <f ca="1">IF(B371&gt;=$J$5,0,(CONTADORES!V385-CONTADORES!V384))</f>
        <v>0</v>
      </c>
      <c r="AQ371" s="1445">
        <f ca="1">IF(B371&gt;=$J$5,0,(CONTADORES!C385-CONTADORES!C384))</f>
        <v>0</v>
      </c>
      <c r="AR371" s="1440">
        <f ca="1">IF(B371&gt;=$J$5,0,(CONTADORES!BA385-CONTADORES!BA384))</f>
        <v>0</v>
      </c>
      <c r="AS371" s="1438">
        <f ca="1">IF(B371&gt;=$J$5,0,CONTADORES!Q385-CONTADORES!Q384)</f>
        <v>0</v>
      </c>
      <c r="AT371" s="1438">
        <f ca="1">IF(B371&gt;=$J$5,0,(CONTADORES!S385-CONTADORES!S384)+(CONTADORES!AE385-CONTADORES!AE384))</f>
        <v>0</v>
      </c>
      <c r="AU371" s="1474">
        <f ca="1">IF(B371&gt;=$J$5,0,(CONTADORES!I385-CONTADORES!I384))</f>
        <v>0</v>
      </c>
      <c r="AV371" s="1440">
        <f ca="1">IF(B371&gt;=$J$5,0,(CONTADORES!AT385-CONTADORES!AT384))</f>
        <v>0</v>
      </c>
      <c r="AW371" s="1440">
        <f ca="1">IF(B371&gt;=$J$5,0,(CONTADORES!L385-CONTADORES!L384)+(CONTADORES!AL385-CONTADORES!AL384))</f>
        <v>0</v>
      </c>
      <c r="AX371" s="1440">
        <f ca="1">IF(B371&gt;=$J$5,0,(CONTADORES!N385-CONTADORES!N384)+(CONTADORES!AJ385-CONTADORES!AJ384))</f>
        <v>0</v>
      </c>
      <c r="AY371" s="1440">
        <f ca="1">IF(B371&gt;=$J$5,0,(CONTADORES!AH385-CONTADORES!AH384))</f>
        <v>0</v>
      </c>
      <c r="AZ371" s="1440">
        <f ca="1">IF(B371&gt;=$J$5,0,(CONTADORES!P385-CONTADORES!P384))</f>
        <v>0</v>
      </c>
      <c r="BA371" s="1450">
        <f t="shared" ca="1" si="168"/>
        <v>0</v>
      </c>
      <c r="BB371" s="1440">
        <f ca="1">IF(B371&gt;=$J$5,0,(((CONTADORES!G385-CONTADORES!G384)+(CONTADORES!AP385-CONTADORES!AP384)+AR371)-(AV371+BC371)))</f>
        <v>0</v>
      </c>
      <c r="BC371" s="1438">
        <f ca="1">IF(B371&gt;=$J$5,0,(CONTADORES!AW385-CONTADORES!AW384)+(CONTADORES!AY385-CONTADORES!AY384)+(CONTADORES!BD385-CONTADORES!BD384))</f>
        <v>0</v>
      </c>
      <c r="BD371" s="1438">
        <f t="shared" ca="1" si="169"/>
        <v>0</v>
      </c>
      <c r="BE371" s="1439">
        <f ca="1">IF($B371&gt;=$J$5,0,CONTADORES!$BE385)</f>
        <v>0</v>
      </c>
      <c r="BF371" s="1438">
        <f ca="1">IF($B371&gt;=$J$5,0,CONTADORES!$BF385)</f>
        <v>0</v>
      </c>
      <c r="BG371" s="1438">
        <f ca="1">IF($B371&gt;=$J$5,0,CONTADORES!$BH385)</f>
        <v>0</v>
      </c>
      <c r="BH371" s="1438">
        <f ca="1">IF(B371&gt;=$J$5,0,(CONTADORES!AQ385-CONTADORES!AQ384))</f>
        <v>0</v>
      </c>
      <c r="BI371" s="1438">
        <f ca="1">IF(B371&gt;=$J$5,0,(CONTADORES!AR385-CONTADORES!AR384))</f>
        <v>0</v>
      </c>
      <c r="BJ371" s="1438">
        <f ca="1">IF(B371&gt;=$J$5,0,CONTADORES!BI385-CONTADORES!BI384)/1000</f>
        <v>0</v>
      </c>
      <c r="BK371" s="1438">
        <f ca="1">IF(B371&gt;=$J$5,0,CONTADORES!BJ385-CONTADORES!BJ384)</f>
        <v>0</v>
      </c>
      <c r="BL371" s="1438">
        <f ca="1">IF(B371&gt;=$J$5,0,CONTADORES!BK385-CONTADORES!BK384)</f>
        <v>0</v>
      </c>
      <c r="BM371" s="1438">
        <f ca="1">IF(B371&gt;=$J$5,0,CONTADORES!BL385-CONTADORES!BL384)/1000</f>
        <v>0</v>
      </c>
      <c r="BN371" s="1438">
        <f ca="1">IF(B371&gt;=$J$5,0,CONTADORES!BM385-CONTADORES!BM384)/1000</f>
        <v>0</v>
      </c>
      <c r="BO371" s="1438">
        <f ca="1">IF(B371&gt;=$J$5,0,CONTADORES!BN385-CONTADORES!BN384)</f>
        <v>0</v>
      </c>
      <c r="BP371" s="1438">
        <f ca="1">IF(B371&gt;=$J$5,0,CONTADORES!BO385-CONTADORES!BO384)/1000</f>
        <v>0</v>
      </c>
      <c r="BQ371" s="1438">
        <f ca="1">IF(B371&gt;=$J$5,0,CONTADORES!BP385-CONTADORES!BP384)/1000</f>
        <v>0</v>
      </c>
      <c r="BR371" s="1438">
        <f ca="1">IF(B371&gt;=$J$5,0,CONTADORES!BQ385-CONTADORES!BQ384)</f>
        <v>0</v>
      </c>
      <c r="BS371" s="1438">
        <f ca="1">IF(B371&gt;=$J$5,0,(CONTADORES!BT385-CONTADORES!BT384)+(CONTADORES!BV385-CONTADORES!BV384))/1000</f>
        <v>0</v>
      </c>
      <c r="BT371" s="1438">
        <f ca="1">IF(B371&gt;=$J$5,0,(CONTADORES!BU385-CONTADORES!BU384)+(CONTADORES!BW385-CONTADORES!BW384))/1000</f>
        <v>0</v>
      </c>
      <c r="BU371" s="1438">
        <f ca="1">IF(B371&gt;=$J$5,0,CONTADORES!BR385-CONTADORES!BR384)</f>
        <v>0</v>
      </c>
      <c r="BV371" s="1438">
        <f ca="1">IF(B371&gt;=$J$5,0,CONTADORES!BS385-CONTADORES!BS384)</f>
        <v>0</v>
      </c>
      <c r="BW371" s="1438">
        <f t="shared" ca="1" si="170"/>
        <v>0</v>
      </c>
      <c r="BX371" s="1438">
        <f t="shared" ca="1" si="171"/>
        <v>0</v>
      </c>
      <c r="BY371" s="1438">
        <f t="shared" ca="1" si="172"/>
        <v>0</v>
      </c>
      <c r="BZ371" s="1438">
        <f t="shared" ca="1" si="173"/>
        <v>0</v>
      </c>
      <c r="CA371" s="1438">
        <f t="shared" ca="1" si="174"/>
        <v>0</v>
      </c>
      <c r="CB371" s="1438">
        <f t="shared" ca="1" si="175"/>
        <v>0</v>
      </c>
      <c r="CC371" s="1438">
        <f t="shared" ca="1" si="176"/>
        <v>0</v>
      </c>
      <c r="CD371" s="1438">
        <f t="shared" ca="1" si="177"/>
        <v>0</v>
      </c>
      <c r="CE371" s="1438">
        <f ca="1">IF(B371&gt;=$J$5,0,CONTADORES!BS385-CONTADORES!BS384)</f>
        <v>0</v>
      </c>
      <c r="CF371" s="1438">
        <f t="shared" ca="1" si="178"/>
        <v>0</v>
      </c>
      <c r="CG371" s="1438">
        <f t="shared" ca="1" si="179"/>
        <v>0</v>
      </c>
      <c r="CH371" s="1438">
        <f t="shared" ca="1" si="180"/>
        <v>0</v>
      </c>
      <c r="CI371" s="1438">
        <f t="shared" ca="1" si="181"/>
        <v>0</v>
      </c>
      <c r="CJ371" s="1444">
        <f ca="1">IF($B371&gt;=$J$5,0,CONTADORES!$BG385)</f>
        <v>0</v>
      </c>
      <c r="CK371" s="1406">
        <f>CONTADORES!E385</f>
        <v>0</v>
      </c>
      <c r="CL371" s="1406">
        <f>CONTADORES!BX385</f>
        <v>0</v>
      </c>
    </row>
    <row r="372" spans="2:90">
      <c r="B372" s="410">
        <v>45288</v>
      </c>
      <c r="C372" s="204">
        <f t="shared" ca="1" si="156"/>
        <v>0</v>
      </c>
      <c r="D372" s="202">
        <f ca="1">'CALCULO DE GAS'!P201</f>
        <v>0</v>
      </c>
      <c r="E372" s="202">
        <f ca="1">IF(B372&gt;=$J$5,0,(CONTADORES!$AB386-CONTADORES!$AB385)-$H372)</f>
        <v>0</v>
      </c>
      <c r="F372" s="204">
        <f t="shared" ca="1" si="182"/>
        <v>0</v>
      </c>
      <c r="G372" s="202">
        <f ca="1">IF(B372&gt;=$J$5,0,CONTADORES!$AD386-CONTADORES!$AD385)</f>
        <v>0</v>
      </c>
      <c r="H372" s="202">
        <f ca="1">IF(G372&gt;0,CONTADORES!$AC386-CONTADORES!$AC385,0)</f>
        <v>0</v>
      </c>
      <c r="I372" s="205">
        <f ca="1">IF(B372&gt;=$J$5,0,CONTADORES!$Z386-CONTADORES!$Z385)</f>
        <v>0</v>
      </c>
      <c r="J372" s="204">
        <f t="shared" ca="1" si="157"/>
        <v>0</v>
      </c>
      <c r="K372" s="202">
        <f ca="1">'CALCULO DE GAS'!Q201</f>
        <v>0</v>
      </c>
      <c r="L372" s="1454">
        <f ca="1">IF(B372&gt;=$J$5,0,(CONTADORES!$W386-CONTADORES!$W385)-$O372)</f>
        <v>0</v>
      </c>
      <c r="M372" s="1437">
        <f ca="1">IF(O372=0,0,"DIGITAR MANUALMENTE")</f>
        <v>0</v>
      </c>
      <c r="N372" s="1437">
        <f ca="1">IF(B372&gt;=$J$5,0,CONTADORES!$Y386-CONTADORES!$Y385)</f>
        <v>0</v>
      </c>
      <c r="O372" s="1437">
        <f ca="1">IF(N372&gt;0,CONTADORES!$X386-CONTADORES!$X385,0)</f>
        <v>0</v>
      </c>
      <c r="P372" s="208">
        <f ca="1">IF(B372&gt;=$J$5,0,CONTADORES!$U386-CONTADORES!$U385)</f>
        <v>0</v>
      </c>
      <c r="Q372" s="208">
        <f ca="1">IF(B372&gt;=$J$5,0,CONTADORES!$B386-CONTADORES!$B385)</f>
        <v>0</v>
      </c>
      <c r="R372" s="202">
        <f t="shared" ca="1" si="159"/>
        <v>0</v>
      </c>
      <c r="S372" s="11">
        <f ca="1">IF(B372&gt;=$J$5,0,CONTADORES!$D386-CONTADORES!$D385)</f>
        <v>0</v>
      </c>
      <c r="T372" s="204">
        <f ca="1">IF(B372&gt;=$J$5,0,CONTADORES!$AZ386-CONTADORES!$AZ385)</f>
        <v>0</v>
      </c>
      <c r="U372" s="202">
        <f t="shared" ca="1" si="184"/>
        <v>0</v>
      </c>
      <c r="V372" s="11">
        <f ca="1">IF(B372&gt;=$J$5,0,CONTADORES!$BB386-CONTADORES!$BB385)</f>
        <v>0</v>
      </c>
      <c r="W372" s="1438">
        <f t="shared" ca="1" si="160"/>
        <v>0</v>
      </c>
      <c r="X372" s="1438">
        <f t="shared" ca="1" si="161"/>
        <v>0</v>
      </c>
      <c r="Y372" s="1439">
        <f t="shared" ca="1" si="162"/>
        <v>0</v>
      </c>
      <c r="Z372" s="1439">
        <f t="shared" ca="1" si="163"/>
        <v>0</v>
      </c>
      <c r="AA372" s="1439">
        <f t="shared" ca="1" si="164"/>
        <v>0</v>
      </c>
      <c r="AB372" s="1439">
        <f t="shared" ca="1" si="165"/>
        <v>0</v>
      </c>
      <c r="AC372" s="1438">
        <f t="shared" ca="1" si="166"/>
        <v>0</v>
      </c>
      <c r="AD372" s="1438">
        <f ca="1">IF(B372&gt;=$J$5,0,CONTADORES!H386-CONTADORES!H385)</f>
        <v>0</v>
      </c>
      <c r="AE372" s="1438">
        <f ca="1">IF(B372&gt;=$J$5,0,CONTADORES!J386-CONTADORES!J385)</f>
        <v>0</v>
      </c>
      <c r="AF372" s="1438">
        <f ca="1">IF(B372&gt;=$J$5,0,CONTADORES!AS386-CONTADORES!AS385)</f>
        <v>0</v>
      </c>
      <c r="AG372" s="1438">
        <f ca="1">IF(B372&gt;=$J$5,0,CONTADORES!AU386-CONTADORES!AU385)</f>
        <v>0</v>
      </c>
      <c r="AH372" s="1439">
        <f ca="1">IF(B372&gt;=$J$5,0,(CONTADORES!AK386-CONTADORES!AK385)+(CONTADORES!K386-CONTADORES!K385))</f>
        <v>0</v>
      </c>
      <c r="AI372" s="1438">
        <f ca="1">IF(B372&gt;=$J$5,0,(CONTADORES!AI386-CONTADORES!AI385)+(CONTADORES!M386-CONTADORES!M385))</f>
        <v>0</v>
      </c>
      <c r="AJ372" s="1438">
        <f ca="1">IF(B372&gt;=$J$5,0,(CONTADORES!AG386-CONTADORES!AG385))</f>
        <v>0</v>
      </c>
      <c r="AK372" s="1438">
        <f ca="1">IF(B372&gt;=$J$5,0,(CONTADORES!O386-CONTADORES!O385))</f>
        <v>0</v>
      </c>
      <c r="AL372" s="1500">
        <f t="shared" ca="1" si="167"/>
        <v>0</v>
      </c>
      <c r="AM372" s="1438">
        <f ca="1">IF(B372&gt;=$J$5,0,(((CONTADORES!F386-CONTADORES!F385)+(CONTADORES!AO386-CONTADORES!AO385))))-BJ372-AF372-AN372-BM372-BP372-BU372-BS372+T372</f>
        <v>0</v>
      </c>
      <c r="AN372" s="1443">
        <f ca="1">IF(B372&gt;=$J$5,0,(CONTADORES!AV386-CONTADORES!AV385)+(CONTADORES!AX386-CONTADORES!AX385)+(CONTADORES!BC386-CONTADORES!BC385))-BS372</f>
        <v>0</v>
      </c>
      <c r="AO372" s="1440">
        <f ca="1">IF(B372&gt;=$J$5,0,(CONTADORES!AA386-CONTADORES!AA385))</f>
        <v>0</v>
      </c>
      <c r="AP372" s="1474">
        <f ca="1">IF(B372&gt;=$J$5,0,(CONTADORES!V386-CONTADORES!V385))</f>
        <v>0</v>
      </c>
      <c r="AQ372" s="1445">
        <f ca="1">IF(B372&gt;=$J$5,0,(CONTADORES!C386-CONTADORES!C385))</f>
        <v>0</v>
      </c>
      <c r="AR372" s="1440">
        <f ca="1">IF(B372&gt;=$J$5,0,(CONTADORES!BA386-CONTADORES!BA385))</f>
        <v>0</v>
      </c>
      <c r="AS372" s="1438">
        <f ca="1">IF(B372&gt;=$J$5,0,CONTADORES!Q386-CONTADORES!Q385)</f>
        <v>0</v>
      </c>
      <c r="AT372" s="1438">
        <f ca="1">IF(B372&gt;=$J$5,0,(CONTADORES!S386-CONTADORES!S385)+(CONTADORES!AE386-CONTADORES!AE385))</f>
        <v>0</v>
      </c>
      <c r="AU372" s="1474">
        <f ca="1">IF(B372&gt;=$J$5,0,(CONTADORES!I386-CONTADORES!I385))</f>
        <v>0</v>
      </c>
      <c r="AV372" s="1440">
        <f ca="1">IF(B372&gt;=$J$5,0,(CONTADORES!AT386-CONTADORES!AT385))</f>
        <v>0</v>
      </c>
      <c r="AW372" s="1440">
        <f ca="1">IF(B372&gt;=$J$5,0,(CONTADORES!L386-CONTADORES!L385)+(CONTADORES!AL386-CONTADORES!AL385))</f>
        <v>0</v>
      </c>
      <c r="AX372" s="1440">
        <f ca="1">IF(B372&gt;=$J$5,0,(CONTADORES!N386-CONTADORES!N385)+(CONTADORES!AJ386-CONTADORES!AJ385))</f>
        <v>0</v>
      </c>
      <c r="AY372" s="1440">
        <f ca="1">IF(B372&gt;=$J$5,0,(CONTADORES!AH386-CONTADORES!AH385))</f>
        <v>0</v>
      </c>
      <c r="AZ372" s="1440">
        <f ca="1">IF(B372&gt;=$J$5,0,(CONTADORES!P386-CONTADORES!P385))</f>
        <v>0</v>
      </c>
      <c r="BA372" s="1450">
        <f t="shared" ca="1" si="168"/>
        <v>0</v>
      </c>
      <c r="BB372" s="1440">
        <f ca="1">IF(B372&gt;=$J$5,0,(((CONTADORES!G386-CONTADORES!G385)+(CONTADORES!AP386-CONTADORES!AP385)+AR372)-(AV372+BC372)))</f>
        <v>0</v>
      </c>
      <c r="BC372" s="1438">
        <f ca="1">IF(B372&gt;=$J$5,0,(CONTADORES!AW386-CONTADORES!AW385)+(CONTADORES!AY386-CONTADORES!AY385)+(CONTADORES!BD386-CONTADORES!BD385))</f>
        <v>0</v>
      </c>
      <c r="BD372" s="1438">
        <f t="shared" ca="1" si="169"/>
        <v>0</v>
      </c>
      <c r="BE372" s="1439">
        <f ca="1">IF($B372&gt;=$J$5,0,CONTADORES!$BE386)</f>
        <v>0</v>
      </c>
      <c r="BF372" s="1438">
        <f ca="1">IF($B372&gt;=$J$5,0,CONTADORES!$BF386)</f>
        <v>0</v>
      </c>
      <c r="BG372" s="1438">
        <f ca="1">IF($B372&gt;=$J$5,0,CONTADORES!$BH386)</f>
        <v>0</v>
      </c>
      <c r="BH372" s="1438">
        <f ca="1">IF(B372&gt;=$J$5,0,(CONTADORES!AQ386-CONTADORES!AQ385))</f>
        <v>0</v>
      </c>
      <c r="BI372" s="1438">
        <f ca="1">IF(B372&gt;=$J$5,0,(CONTADORES!AR386-CONTADORES!AR385))</f>
        <v>0</v>
      </c>
      <c r="BJ372" s="1438">
        <f ca="1">IF(B372&gt;=$J$5,0,CONTADORES!BI386-CONTADORES!BI385)/1000</f>
        <v>0</v>
      </c>
      <c r="BK372" s="1438">
        <f ca="1">IF(B372&gt;=$J$5,0,CONTADORES!BJ386-CONTADORES!BJ385)</f>
        <v>0</v>
      </c>
      <c r="BL372" s="1438">
        <f ca="1">IF(B372&gt;=$J$5,0,CONTADORES!BK386-CONTADORES!BK385)</f>
        <v>0</v>
      </c>
      <c r="BM372" s="1438">
        <f ca="1">IF(B372&gt;=$J$5,0,CONTADORES!BL386-CONTADORES!BL385)/1000</f>
        <v>0</v>
      </c>
      <c r="BN372" s="1438">
        <f ca="1">IF(B372&gt;=$J$5,0,CONTADORES!BM386-CONTADORES!BM385)/1000</f>
        <v>0</v>
      </c>
      <c r="BO372" s="1438">
        <f ca="1">IF(B372&gt;=$J$5,0,CONTADORES!BN386-CONTADORES!BN385)</f>
        <v>0</v>
      </c>
      <c r="BP372" s="1438">
        <f ca="1">IF(B372&gt;=$J$5,0,CONTADORES!BO386-CONTADORES!BO385)/1000</f>
        <v>0</v>
      </c>
      <c r="BQ372" s="1438">
        <f ca="1">IF(B372&gt;=$J$5,0,CONTADORES!BP386-CONTADORES!BP385)/1000</f>
        <v>0</v>
      </c>
      <c r="BR372" s="1438">
        <f ca="1">IF(B372&gt;=$J$5,0,CONTADORES!BQ386-CONTADORES!BQ385)</f>
        <v>0</v>
      </c>
      <c r="BS372" s="1438">
        <f ca="1">IF(B372&gt;=$J$5,0,(CONTADORES!BT386-CONTADORES!BT385)+(CONTADORES!BV386-CONTADORES!BV385))/1000</f>
        <v>0</v>
      </c>
      <c r="BT372" s="1438">
        <f ca="1">IF(B372&gt;=$J$5,0,(CONTADORES!BU386-CONTADORES!BU385)+(CONTADORES!BW386-CONTADORES!BW385))/1000</f>
        <v>0</v>
      </c>
      <c r="BU372" s="1438">
        <f ca="1">IF(B372&gt;=$J$5,0,CONTADORES!BR386-CONTADORES!BR385)</f>
        <v>0</v>
      </c>
      <c r="BV372" s="1438">
        <f ca="1">IF(B372&gt;=$J$5,0,CONTADORES!BS386-CONTADORES!BS385)</f>
        <v>0</v>
      </c>
      <c r="BW372" s="1438">
        <f t="shared" ca="1" si="170"/>
        <v>0</v>
      </c>
      <c r="BX372" s="1438">
        <f t="shared" ca="1" si="171"/>
        <v>0</v>
      </c>
      <c r="BY372" s="1438">
        <f t="shared" ca="1" si="172"/>
        <v>0</v>
      </c>
      <c r="BZ372" s="1438">
        <f t="shared" ca="1" si="173"/>
        <v>0</v>
      </c>
      <c r="CA372" s="1438">
        <f t="shared" ca="1" si="174"/>
        <v>0</v>
      </c>
      <c r="CB372" s="1438">
        <f t="shared" ca="1" si="175"/>
        <v>0</v>
      </c>
      <c r="CC372" s="1438">
        <f t="shared" ca="1" si="176"/>
        <v>0</v>
      </c>
      <c r="CD372" s="1438">
        <f t="shared" ca="1" si="177"/>
        <v>0</v>
      </c>
      <c r="CE372" s="1438">
        <f ca="1">IF(B372&gt;=$J$5,0,CONTADORES!BS386-CONTADORES!BS385)</f>
        <v>0</v>
      </c>
      <c r="CF372" s="1438">
        <f t="shared" ca="1" si="178"/>
        <v>0</v>
      </c>
      <c r="CG372" s="1438">
        <f t="shared" ca="1" si="179"/>
        <v>0</v>
      </c>
      <c r="CH372" s="1438">
        <f t="shared" ca="1" si="180"/>
        <v>0</v>
      </c>
      <c r="CI372" s="1438">
        <f t="shared" ca="1" si="181"/>
        <v>0</v>
      </c>
      <c r="CJ372" s="1444">
        <f ca="1">IF($B372&gt;=$J$5,0,CONTADORES!$BG386)</f>
        <v>0</v>
      </c>
      <c r="CK372" s="1406">
        <f>CONTADORES!E386</f>
        <v>0</v>
      </c>
      <c r="CL372" s="1406">
        <f>CONTADORES!BX386</f>
        <v>0</v>
      </c>
    </row>
    <row r="373" spans="2:90">
      <c r="B373" s="410">
        <v>45289</v>
      </c>
      <c r="C373" s="204">
        <f t="shared" ca="1" si="156"/>
        <v>0</v>
      </c>
      <c r="D373" s="202">
        <f ca="1">'CALCULO DE GAS'!P202</f>
        <v>0</v>
      </c>
      <c r="E373" s="202">
        <f ca="1">IF(B373&gt;=$J$5,0,(CONTADORES!$AB387-CONTADORES!$AB386)-$H373)</f>
        <v>0</v>
      </c>
      <c r="F373" s="204">
        <f t="shared" ca="1" si="182"/>
        <v>0</v>
      </c>
      <c r="G373" s="202">
        <f ca="1">IF(B373&gt;=$J$5,0,CONTADORES!$AD387-CONTADORES!$AD386)</f>
        <v>0</v>
      </c>
      <c r="H373" s="202">
        <f ca="1">IF(G373&gt;0,CONTADORES!$AC387-CONTADORES!$AC386,0)</f>
        <v>0</v>
      </c>
      <c r="I373" s="205">
        <f ca="1">IF(B373&gt;=$J$5,0,CONTADORES!$Z387-CONTADORES!$Z386)</f>
        <v>0</v>
      </c>
      <c r="J373" s="204">
        <f t="shared" ca="1" si="157"/>
        <v>0</v>
      </c>
      <c r="K373" s="202">
        <f ca="1">'CALCULO DE GAS'!Q202</f>
        <v>0</v>
      </c>
      <c r="L373" s="1454">
        <f ca="1">IF(B373&gt;=$J$5,0,(CONTADORES!$W387-CONTADORES!$W386)-$O373)</f>
        <v>0</v>
      </c>
      <c r="M373" s="1437">
        <f ca="1">IF(O373=0,0,"DIGITAR MANUALMENTE")</f>
        <v>0</v>
      </c>
      <c r="N373" s="1437">
        <f ca="1">IF(B373&gt;=$J$5,0,CONTADORES!$Y387-CONTADORES!$Y386)</f>
        <v>0</v>
      </c>
      <c r="O373" s="1437">
        <f ca="1">IF(N373&gt;0,CONTADORES!$X387-CONTADORES!$X386,0)</f>
        <v>0</v>
      </c>
      <c r="P373" s="208">
        <f ca="1">IF(B373&gt;=$J$5,0,CONTADORES!$U387-CONTADORES!$U386)</f>
        <v>0</v>
      </c>
      <c r="Q373" s="208">
        <f ca="1">IF(B373&gt;=$J$5,0,CONTADORES!$B387-CONTADORES!$B386)</f>
        <v>0</v>
      </c>
      <c r="R373" s="202">
        <f t="shared" ca="1" si="159"/>
        <v>0</v>
      </c>
      <c r="S373" s="11">
        <f ca="1">IF(B373&gt;=$J$5,0,CONTADORES!$D387-CONTADORES!$D386)</f>
        <v>0</v>
      </c>
      <c r="T373" s="204">
        <f ca="1">IF(B373&gt;=$J$5,0,CONTADORES!$AZ387-CONTADORES!$AZ386)</f>
        <v>0</v>
      </c>
      <c r="U373" s="202">
        <f t="shared" ca="1" si="184"/>
        <v>0</v>
      </c>
      <c r="V373" s="11">
        <f ca="1">IF(B373&gt;=$J$5,0,CONTADORES!$BB387-CONTADORES!$BB386)</f>
        <v>0</v>
      </c>
      <c r="W373" s="1438">
        <f t="shared" ca="1" si="160"/>
        <v>0</v>
      </c>
      <c r="X373" s="1438">
        <f t="shared" ca="1" si="161"/>
        <v>0</v>
      </c>
      <c r="Y373" s="1439">
        <f t="shared" ca="1" si="162"/>
        <v>0</v>
      </c>
      <c r="Z373" s="1439">
        <f t="shared" ca="1" si="163"/>
        <v>0</v>
      </c>
      <c r="AA373" s="1439">
        <f t="shared" ca="1" si="164"/>
        <v>0</v>
      </c>
      <c r="AB373" s="1439">
        <f t="shared" ca="1" si="165"/>
        <v>0</v>
      </c>
      <c r="AC373" s="1438">
        <f t="shared" ca="1" si="166"/>
        <v>0</v>
      </c>
      <c r="AD373" s="1438">
        <f ca="1">IF(B373&gt;=$J$5,0,CONTADORES!H387-CONTADORES!H386)</f>
        <v>0</v>
      </c>
      <c r="AE373" s="1438">
        <f ca="1">IF(B373&gt;=$J$5,0,CONTADORES!J387-CONTADORES!J386)</f>
        <v>0</v>
      </c>
      <c r="AF373" s="1438">
        <f ca="1">IF(B373&gt;=$J$5,0,CONTADORES!AS387-CONTADORES!AS386)</f>
        <v>0</v>
      </c>
      <c r="AG373" s="1438">
        <f ca="1">IF(B373&gt;=$J$5,0,CONTADORES!AU387-CONTADORES!AU386)</f>
        <v>0</v>
      </c>
      <c r="AH373" s="1439">
        <f ca="1">IF(B373&gt;=$J$5,0,(CONTADORES!AK387-CONTADORES!AK386)+(CONTADORES!K387-CONTADORES!K386))</f>
        <v>0</v>
      </c>
      <c r="AI373" s="1438">
        <f ca="1">IF(B373&gt;=$J$5,0,(CONTADORES!AI387-CONTADORES!AI386)+(CONTADORES!M387-CONTADORES!M386))</f>
        <v>0</v>
      </c>
      <c r="AJ373" s="1438">
        <f ca="1">IF(B373&gt;=$J$5,0,(CONTADORES!AG387-CONTADORES!AG386))</f>
        <v>0</v>
      </c>
      <c r="AK373" s="1438">
        <f ca="1">IF(B373&gt;=$J$5,0,(CONTADORES!O387-CONTADORES!O386))</f>
        <v>0</v>
      </c>
      <c r="AL373" s="1500">
        <f t="shared" ca="1" si="167"/>
        <v>0</v>
      </c>
      <c r="AM373" s="1438">
        <f ca="1">IF(B373&gt;=$J$5,0,(((CONTADORES!F387-CONTADORES!F386)+(CONTADORES!AO387-CONTADORES!AO386))))-BJ373-AF373-AN373-BM373-BP373-BU373-BS373+T373</f>
        <v>0</v>
      </c>
      <c r="AN373" s="1443">
        <f ca="1">IF(B373&gt;=$J$5,0,(CONTADORES!AV387-CONTADORES!AV386)+(CONTADORES!AX387-CONTADORES!AX386)+(CONTADORES!BC387-CONTADORES!BC386))-BS373</f>
        <v>0</v>
      </c>
      <c r="AO373" s="1440">
        <f ca="1">IF(B373&gt;=$J$5,0,(CONTADORES!AA387-CONTADORES!AA386))</f>
        <v>0</v>
      </c>
      <c r="AP373" s="1474">
        <f ca="1">IF(B373&gt;=$J$5,0,(CONTADORES!V387-CONTADORES!V386))</f>
        <v>0</v>
      </c>
      <c r="AQ373" s="1445">
        <f ca="1">IF(B373&gt;=$J$5,0,(CONTADORES!C387-CONTADORES!C386))</f>
        <v>0</v>
      </c>
      <c r="AR373" s="1440">
        <f ca="1">IF(B373&gt;=$J$5,0,(CONTADORES!BA387-CONTADORES!BA386))</f>
        <v>0</v>
      </c>
      <c r="AS373" s="1438">
        <f ca="1">IF(B373&gt;=$J$5,0,CONTADORES!Q387-CONTADORES!Q386)</f>
        <v>0</v>
      </c>
      <c r="AT373" s="1438">
        <f ca="1">IF(B373&gt;=$J$5,0,(CONTADORES!S387-CONTADORES!S386)+(CONTADORES!AE387-CONTADORES!AE386))</f>
        <v>0</v>
      </c>
      <c r="AU373" s="1474">
        <f ca="1">IF(B373&gt;=$J$5,0,(CONTADORES!I387-CONTADORES!I386))</f>
        <v>0</v>
      </c>
      <c r="AV373" s="1440">
        <f ca="1">IF(B373&gt;=$J$5,0,(CONTADORES!AT387-CONTADORES!AT386))</f>
        <v>0</v>
      </c>
      <c r="AW373" s="1440">
        <f ca="1">IF(B373&gt;=$J$5,0,(CONTADORES!L387-CONTADORES!L386)+(CONTADORES!AL387-CONTADORES!AL386))</f>
        <v>0</v>
      </c>
      <c r="AX373" s="1440">
        <f ca="1">IF(B373&gt;=$J$5,0,(CONTADORES!N387-CONTADORES!N386)+(CONTADORES!AJ387-CONTADORES!AJ386))</f>
        <v>0</v>
      </c>
      <c r="AY373" s="1440">
        <f ca="1">IF(B373&gt;=$J$5,0,(CONTADORES!AH387-CONTADORES!AH386))</f>
        <v>0</v>
      </c>
      <c r="AZ373" s="1440">
        <f ca="1">IF(B373&gt;=$J$5,0,(CONTADORES!P387-CONTADORES!P386))</f>
        <v>0</v>
      </c>
      <c r="BA373" s="1450">
        <f t="shared" ca="1" si="168"/>
        <v>0</v>
      </c>
      <c r="BB373" s="1440">
        <f ca="1">IF(B373&gt;=$J$5,0,(((CONTADORES!G387-CONTADORES!G386)+(CONTADORES!AP387-CONTADORES!AP386)+AR373)-(AV373+BC373)))</f>
        <v>0</v>
      </c>
      <c r="BC373" s="1438">
        <f ca="1">IF(B373&gt;=$J$5,0,(CONTADORES!AW387-CONTADORES!AW386)+(CONTADORES!AY387-CONTADORES!AY386)+(CONTADORES!BD387-CONTADORES!BD386))</f>
        <v>0</v>
      </c>
      <c r="BD373" s="1438">
        <f t="shared" ca="1" si="169"/>
        <v>0</v>
      </c>
      <c r="BE373" s="1439">
        <f ca="1">IF($B373&gt;=$J$5,0,CONTADORES!$BE387)</f>
        <v>0</v>
      </c>
      <c r="BF373" s="1438">
        <f ca="1">IF($B373&gt;=$J$5,0,CONTADORES!$BF387)</f>
        <v>0</v>
      </c>
      <c r="BG373" s="1438">
        <f ca="1">IF($B373&gt;=$J$5,0,CONTADORES!$BH387)</f>
        <v>0</v>
      </c>
      <c r="BH373" s="1438">
        <f ca="1">IF(B373&gt;=$J$5,0,(CONTADORES!AQ387-CONTADORES!AQ386))</f>
        <v>0</v>
      </c>
      <c r="BI373" s="1438">
        <f ca="1">IF(B373&gt;=$J$5,0,(CONTADORES!AR387-CONTADORES!AR386))</f>
        <v>0</v>
      </c>
      <c r="BJ373" s="1438">
        <f ca="1">IF(B373&gt;=$J$5,0,CONTADORES!BI387-CONTADORES!BI386)/1000</f>
        <v>0</v>
      </c>
      <c r="BK373" s="1438">
        <f ca="1">IF(B373&gt;=$J$5,0,CONTADORES!BJ387-CONTADORES!BJ386)</f>
        <v>0</v>
      </c>
      <c r="BL373" s="1438">
        <f ca="1">IF(B373&gt;=$J$5,0,CONTADORES!BK387-CONTADORES!BK386)</f>
        <v>0</v>
      </c>
      <c r="BM373" s="1438">
        <f ca="1">IF(B373&gt;=$J$5,0,CONTADORES!BL387-CONTADORES!BL386)/1000</f>
        <v>0</v>
      </c>
      <c r="BN373" s="1438">
        <f ca="1">IF(B373&gt;=$J$5,0,CONTADORES!BM387-CONTADORES!BM386)/1000</f>
        <v>0</v>
      </c>
      <c r="BO373" s="1438">
        <f ca="1">IF(B373&gt;=$J$5,0,CONTADORES!BN387-CONTADORES!BN386)</f>
        <v>0</v>
      </c>
      <c r="BP373" s="1438">
        <f ca="1">IF(B373&gt;=$J$5,0,CONTADORES!BO387-CONTADORES!BO386)/1000</f>
        <v>0</v>
      </c>
      <c r="BQ373" s="1438">
        <f ca="1">IF(B373&gt;=$J$5,0,CONTADORES!BP387-CONTADORES!BP386)/1000</f>
        <v>0</v>
      </c>
      <c r="BR373" s="1438">
        <f ca="1">IF(B373&gt;=$J$5,0,CONTADORES!BQ387-CONTADORES!BQ386)</f>
        <v>0</v>
      </c>
      <c r="BS373" s="1438">
        <f ca="1">IF(B373&gt;=$J$5,0,(CONTADORES!BT387-CONTADORES!BT386)+(CONTADORES!BV387-CONTADORES!BV386))/1000</f>
        <v>0</v>
      </c>
      <c r="BT373" s="1438">
        <f ca="1">IF(B373&gt;=$J$5,0,(CONTADORES!BU387-CONTADORES!BU386)+(CONTADORES!BW387-CONTADORES!BW386))/1000</f>
        <v>0</v>
      </c>
      <c r="BU373" s="1438">
        <f ca="1">IF(B373&gt;=$J$5,0,CONTADORES!BR387-CONTADORES!BR386)</f>
        <v>0</v>
      </c>
      <c r="BV373" s="1438">
        <f ca="1">IF(B373&gt;=$J$5,0,CONTADORES!BS387-CONTADORES!BS386)</f>
        <v>0</v>
      </c>
      <c r="BW373" s="1438">
        <f t="shared" ca="1" si="170"/>
        <v>0</v>
      </c>
      <c r="BX373" s="1438">
        <f t="shared" ca="1" si="171"/>
        <v>0</v>
      </c>
      <c r="BY373" s="1438">
        <f t="shared" ca="1" si="172"/>
        <v>0</v>
      </c>
      <c r="BZ373" s="1438">
        <f t="shared" ca="1" si="173"/>
        <v>0</v>
      </c>
      <c r="CA373" s="1438">
        <f t="shared" ca="1" si="174"/>
        <v>0</v>
      </c>
      <c r="CB373" s="1438">
        <f t="shared" ca="1" si="175"/>
        <v>0</v>
      </c>
      <c r="CC373" s="1438">
        <f t="shared" ca="1" si="176"/>
        <v>0</v>
      </c>
      <c r="CD373" s="1438">
        <f t="shared" ca="1" si="177"/>
        <v>0</v>
      </c>
      <c r="CE373" s="1438">
        <f ca="1">IF(B373&gt;=$J$5,0,CONTADORES!BS387-CONTADORES!BS386)</f>
        <v>0</v>
      </c>
      <c r="CF373" s="1438">
        <f t="shared" ca="1" si="178"/>
        <v>0</v>
      </c>
      <c r="CG373" s="1438">
        <f t="shared" ca="1" si="179"/>
        <v>0</v>
      </c>
      <c r="CH373" s="1438">
        <f t="shared" ca="1" si="180"/>
        <v>0</v>
      </c>
      <c r="CI373" s="1438">
        <f t="shared" ca="1" si="181"/>
        <v>0</v>
      </c>
      <c r="CJ373" s="1444">
        <f ca="1">IF($B373&gt;=$J$5,0,CONTADORES!$BG387)</f>
        <v>0</v>
      </c>
      <c r="CK373" s="1406">
        <f>CONTADORES!E387</f>
        <v>0</v>
      </c>
      <c r="CL373" s="1406">
        <f>CONTADORES!BX387</f>
        <v>0</v>
      </c>
    </row>
    <row r="374" spans="2:90">
      <c r="B374" s="410">
        <v>45290</v>
      </c>
      <c r="C374" s="204">
        <f t="shared" ca="1" si="156"/>
        <v>0</v>
      </c>
      <c r="D374" s="202">
        <f ca="1">'CALCULO DE GAS'!P203</f>
        <v>0</v>
      </c>
      <c r="E374" s="202">
        <f ca="1">IF(B374&gt;=$J$5,0,(CONTADORES!$AB388-CONTADORES!$AB387)-$H374)</f>
        <v>0</v>
      </c>
      <c r="F374" s="204">
        <f t="shared" ca="1" si="182"/>
        <v>0</v>
      </c>
      <c r="G374" s="202">
        <f ca="1">IF(B374&gt;=$J$5,0,CONTADORES!$AD388-CONTADORES!$AD387)</f>
        <v>0</v>
      </c>
      <c r="H374" s="202">
        <f ca="1">IF(G374&gt;0,CONTADORES!$AC388-CONTADORES!$AC387,0)</f>
        <v>0</v>
      </c>
      <c r="I374" s="205">
        <f ca="1">IF(B374&gt;=$J$5,0,CONTADORES!$Z388-CONTADORES!$Z387)</f>
        <v>0</v>
      </c>
      <c r="J374" s="204">
        <f t="shared" ca="1" si="157"/>
        <v>0</v>
      </c>
      <c r="K374" s="202">
        <f ca="1">'CALCULO DE GAS'!Q203</f>
        <v>0</v>
      </c>
      <c r="L374" s="1454">
        <f ca="1">IF(B374&gt;=$J$5,0,(CONTADORES!$W388-CONTADORES!$W387)-$O374)</f>
        <v>0</v>
      </c>
      <c r="M374" s="1437">
        <f ca="1">IF(O374=0,0,"DIGITAR MANUALMENTE")</f>
        <v>0</v>
      </c>
      <c r="N374" s="1437">
        <f ca="1">IF(B374&gt;=$J$5,0,CONTADORES!$Y388-CONTADORES!$Y387)</f>
        <v>0</v>
      </c>
      <c r="O374" s="1437">
        <f ca="1">IF(N374&gt;0,CONTADORES!$X388-CONTADORES!$X387,0)</f>
        <v>0</v>
      </c>
      <c r="P374" s="208">
        <f ca="1">IF(B374&gt;=$J$5,0,CONTADORES!$U388-CONTADORES!$U387)</f>
        <v>0</v>
      </c>
      <c r="Q374" s="208">
        <f ca="1">IF(B374&gt;=$J$5,0,CONTADORES!$B388-CONTADORES!$B387)</f>
        <v>0</v>
      </c>
      <c r="R374" s="202">
        <f t="shared" ca="1" si="159"/>
        <v>0</v>
      </c>
      <c r="S374" s="11">
        <f ca="1">IF(B374&gt;=$J$5,0,CONTADORES!$D388-CONTADORES!$D387)</f>
        <v>0</v>
      </c>
      <c r="T374" s="204">
        <f ca="1">IF(B374&gt;=$J$5,0,CONTADORES!$AZ388-CONTADORES!$AZ387)</f>
        <v>0</v>
      </c>
      <c r="U374" s="202">
        <f t="shared" ca="1" si="184"/>
        <v>0</v>
      </c>
      <c r="V374" s="11">
        <f ca="1">IF(B374&gt;=$J$5,0,CONTADORES!$BB388-CONTADORES!$BB387)</f>
        <v>0</v>
      </c>
      <c r="W374" s="1438">
        <f t="shared" ca="1" si="160"/>
        <v>0</v>
      </c>
      <c r="X374" s="1438">
        <f t="shared" ca="1" si="161"/>
        <v>0</v>
      </c>
      <c r="Y374" s="1439">
        <f t="shared" ca="1" si="162"/>
        <v>0</v>
      </c>
      <c r="Z374" s="1439">
        <f t="shared" ca="1" si="163"/>
        <v>0</v>
      </c>
      <c r="AA374" s="1439">
        <f t="shared" ca="1" si="164"/>
        <v>0</v>
      </c>
      <c r="AB374" s="1439">
        <f t="shared" ca="1" si="165"/>
        <v>0</v>
      </c>
      <c r="AC374" s="1438">
        <f t="shared" ca="1" si="166"/>
        <v>0</v>
      </c>
      <c r="AD374" s="1438">
        <f ca="1">IF(B374&gt;=$J$5,0,CONTADORES!H388-CONTADORES!H387)</f>
        <v>0</v>
      </c>
      <c r="AE374" s="1438">
        <f ca="1">IF(B374&gt;=$J$5,0,CONTADORES!J388-CONTADORES!J387)</f>
        <v>0</v>
      </c>
      <c r="AF374" s="1438">
        <f ca="1">IF(B374&gt;=$J$5,0,CONTADORES!AS388-CONTADORES!AS387)</f>
        <v>0</v>
      </c>
      <c r="AG374" s="1438">
        <f ca="1">IF(B374&gt;=$J$5,0,CONTADORES!AU388-CONTADORES!AU387)</f>
        <v>0</v>
      </c>
      <c r="AH374" s="1439">
        <f ca="1">IF(B374&gt;=$J$5,0,(CONTADORES!AK388-CONTADORES!AK387)+(CONTADORES!K388-CONTADORES!K387))</f>
        <v>0</v>
      </c>
      <c r="AI374" s="1438">
        <f ca="1">IF(B374&gt;=$J$5,0,(CONTADORES!AI388-CONTADORES!AI387)+(CONTADORES!M388-CONTADORES!M387))</f>
        <v>0</v>
      </c>
      <c r="AJ374" s="1438">
        <f ca="1">IF(B374&gt;=$J$5,0,(CONTADORES!AG388-CONTADORES!AG387))</f>
        <v>0</v>
      </c>
      <c r="AK374" s="1438">
        <f ca="1">IF(B374&gt;=$J$5,0,(CONTADORES!O388-CONTADORES!O387))</f>
        <v>0</v>
      </c>
      <c r="AL374" s="1500">
        <f t="shared" ca="1" si="167"/>
        <v>0</v>
      </c>
      <c r="AM374" s="1438">
        <f ca="1">IF(B374&gt;=$J$5,0,(((CONTADORES!F388-CONTADORES!F387)+(CONTADORES!AO388-CONTADORES!AO387))))-BJ374-AF374-AN374-BM374-BP374-BU374-BS374+T374</f>
        <v>0</v>
      </c>
      <c r="AN374" s="1443">
        <f ca="1">IF(B374&gt;=$J$5,0,(CONTADORES!AV388-CONTADORES!AV387)+(CONTADORES!AX388-CONTADORES!AX387)+(CONTADORES!BC388-CONTADORES!BC387))-BS374</f>
        <v>0</v>
      </c>
      <c r="AO374" s="1440">
        <f ca="1">IF(B374&gt;=$J$5,0,(CONTADORES!AA388-CONTADORES!AA387))</f>
        <v>0</v>
      </c>
      <c r="AP374" s="1474">
        <f ca="1">IF(B374&gt;=$J$5,0,(CONTADORES!V388-CONTADORES!V387))</f>
        <v>0</v>
      </c>
      <c r="AQ374" s="1445">
        <f ca="1">IF(B374&gt;=$J$5,0,(CONTADORES!C388-CONTADORES!C387))</f>
        <v>0</v>
      </c>
      <c r="AR374" s="1440">
        <f ca="1">IF(B374&gt;=$J$5,0,(CONTADORES!BA388-CONTADORES!BA387))</f>
        <v>0</v>
      </c>
      <c r="AS374" s="1438">
        <f ca="1">IF(B374&gt;=$J$5,0,CONTADORES!Q388-CONTADORES!Q387)</f>
        <v>0</v>
      </c>
      <c r="AT374" s="1438">
        <f ca="1">IF(B374&gt;=$J$5,0,(CONTADORES!S388-CONTADORES!S387)+(CONTADORES!AE388-CONTADORES!AE387))</f>
        <v>0</v>
      </c>
      <c r="AU374" s="1474">
        <f ca="1">IF(B374&gt;=$J$5,0,(CONTADORES!I388-CONTADORES!I387))</f>
        <v>0</v>
      </c>
      <c r="AV374" s="1440">
        <f ca="1">IF(B374&gt;=$J$5,0,(CONTADORES!AT388-CONTADORES!AT387))</f>
        <v>0</v>
      </c>
      <c r="AW374" s="1440">
        <f ca="1">IF(B374&gt;=$J$5,0,(CONTADORES!L388-CONTADORES!L387)+(CONTADORES!AL388-CONTADORES!AL387))</f>
        <v>0</v>
      </c>
      <c r="AX374" s="1440">
        <f ca="1">IF(B374&gt;=$J$5,0,(CONTADORES!N388-CONTADORES!N387)+(CONTADORES!AJ388-CONTADORES!AJ387))</f>
        <v>0</v>
      </c>
      <c r="AY374" s="1440">
        <f ca="1">IF(B374&gt;=$J$5,0,(CONTADORES!AH388-CONTADORES!AH387))</f>
        <v>0</v>
      </c>
      <c r="AZ374" s="1440">
        <f ca="1">IF(B374&gt;=$J$5,0,(CONTADORES!P388-CONTADORES!P387))</f>
        <v>0</v>
      </c>
      <c r="BA374" s="1450">
        <f t="shared" ca="1" si="168"/>
        <v>0</v>
      </c>
      <c r="BB374" s="1440">
        <f ca="1">IF(B374&gt;=$J$5,0,(((CONTADORES!G388-CONTADORES!G387)+(CONTADORES!AP388-CONTADORES!AP387)+AR374)-(AV374+BC374)))</f>
        <v>0</v>
      </c>
      <c r="BC374" s="1438">
        <f ca="1">IF(B374&gt;=$J$5,0,(CONTADORES!AW388-CONTADORES!AW387)+(CONTADORES!AY388-CONTADORES!AY387)+(CONTADORES!BD388-CONTADORES!BD387))</f>
        <v>0</v>
      </c>
      <c r="BD374" s="1438">
        <f t="shared" ca="1" si="169"/>
        <v>0</v>
      </c>
      <c r="BE374" s="1439">
        <f ca="1">IF($B374&gt;=$J$5,0,CONTADORES!$BE388)</f>
        <v>0</v>
      </c>
      <c r="BF374" s="1438">
        <f ca="1">IF($B374&gt;=$J$5,0,CONTADORES!$BF388)</f>
        <v>0</v>
      </c>
      <c r="BG374" s="1438">
        <f ca="1">IF($B374&gt;=$J$5,0,CONTADORES!$BH388)</f>
        <v>0</v>
      </c>
      <c r="BH374" s="1438">
        <f ca="1">IF(B374&gt;=$J$5,0,(CONTADORES!AQ388-CONTADORES!AQ387))</f>
        <v>0</v>
      </c>
      <c r="BI374" s="1438">
        <f ca="1">IF(B374&gt;=$J$5,0,(CONTADORES!AR388-CONTADORES!AR387))</f>
        <v>0</v>
      </c>
      <c r="BJ374" s="1438">
        <f ca="1">IF(B374&gt;=$J$5,0,CONTADORES!BI388-CONTADORES!BI387)/1000</f>
        <v>0</v>
      </c>
      <c r="BK374" s="1438">
        <f ca="1">IF(B374&gt;=$J$5,0,CONTADORES!BJ388-CONTADORES!BJ387)</f>
        <v>0</v>
      </c>
      <c r="BL374" s="1438">
        <f ca="1">IF(B374&gt;=$J$5,0,CONTADORES!BK388-CONTADORES!BK387)</f>
        <v>0</v>
      </c>
      <c r="BM374" s="1438">
        <f ca="1">IF(B374&gt;=$J$5,0,CONTADORES!BL388-CONTADORES!BL387)/1000</f>
        <v>0</v>
      </c>
      <c r="BN374" s="1438">
        <f ca="1">IF(B374&gt;=$J$5,0,CONTADORES!BM388-CONTADORES!BM387)/1000</f>
        <v>0</v>
      </c>
      <c r="BO374" s="1438">
        <f ca="1">IF(B374&gt;=$J$5,0,CONTADORES!BN388-CONTADORES!BN387)</f>
        <v>0</v>
      </c>
      <c r="BP374" s="1438">
        <f ca="1">IF(B374&gt;=$J$5,0,CONTADORES!BO388-CONTADORES!BO387)/1000</f>
        <v>0</v>
      </c>
      <c r="BQ374" s="1438">
        <f ca="1">IF(B374&gt;=$J$5,0,CONTADORES!BP388-CONTADORES!BP387)/1000</f>
        <v>0</v>
      </c>
      <c r="BR374" s="1438">
        <f ca="1">IF(B374&gt;=$J$5,0,CONTADORES!BQ388-CONTADORES!BQ387)</f>
        <v>0</v>
      </c>
      <c r="BS374" s="1438">
        <f ca="1">IF(B374&gt;=$J$5,0,(CONTADORES!BT388-CONTADORES!BT387)+(CONTADORES!BV388-CONTADORES!BV387))/1000</f>
        <v>0</v>
      </c>
      <c r="BT374" s="1438">
        <f ca="1">IF(B374&gt;=$J$5,0,(CONTADORES!BU388-CONTADORES!BU387)+(CONTADORES!BW388-CONTADORES!BW387))/1000</f>
        <v>0</v>
      </c>
      <c r="BU374" s="1438">
        <f ca="1">IF(B374&gt;=$J$5,0,CONTADORES!BR388-CONTADORES!BR387)</f>
        <v>0</v>
      </c>
      <c r="BV374" s="1438">
        <f ca="1">IF(B374&gt;=$J$5,0,CONTADORES!BS388-CONTADORES!BS387)</f>
        <v>0</v>
      </c>
      <c r="BW374" s="1438">
        <f t="shared" ca="1" si="170"/>
        <v>0</v>
      </c>
      <c r="BX374" s="1438">
        <f t="shared" ca="1" si="171"/>
        <v>0</v>
      </c>
      <c r="BY374" s="1438">
        <f t="shared" ca="1" si="172"/>
        <v>0</v>
      </c>
      <c r="BZ374" s="1438">
        <f t="shared" ca="1" si="173"/>
        <v>0</v>
      </c>
      <c r="CA374" s="1438">
        <f t="shared" ca="1" si="174"/>
        <v>0</v>
      </c>
      <c r="CB374" s="1438">
        <f t="shared" ca="1" si="175"/>
        <v>0</v>
      </c>
      <c r="CC374" s="1438">
        <f t="shared" ca="1" si="176"/>
        <v>0</v>
      </c>
      <c r="CD374" s="1438">
        <f t="shared" ca="1" si="177"/>
        <v>0</v>
      </c>
      <c r="CE374" s="1438">
        <f ca="1">IF(B374&gt;=$J$5,0,CONTADORES!BS388-CONTADORES!BS387)</f>
        <v>0</v>
      </c>
      <c r="CF374" s="1438">
        <f t="shared" ca="1" si="178"/>
        <v>0</v>
      </c>
      <c r="CG374" s="1438">
        <f t="shared" ca="1" si="179"/>
        <v>0</v>
      </c>
      <c r="CH374" s="1438">
        <f t="shared" ca="1" si="180"/>
        <v>0</v>
      </c>
      <c r="CI374" s="1438">
        <f t="shared" ca="1" si="181"/>
        <v>0</v>
      </c>
      <c r="CJ374" s="1444">
        <f ca="1">IF($B374&gt;=$J$5,0,CONTADORES!$BG388)</f>
        <v>0</v>
      </c>
      <c r="CK374" s="1406">
        <f>CONTADORES!E388</f>
        <v>0</v>
      </c>
      <c r="CL374" s="1406">
        <f>CONTADORES!BX388</f>
        <v>0</v>
      </c>
    </row>
    <row r="375" spans="2:90" ht="15" thickBot="1">
      <c r="B375" s="1068">
        <v>45291</v>
      </c>
      <c r="C375" s="211">
        <f t="shared" ca="1" si="156"/>
        <v>0</v>
      </c>
      <c r="D375" s="337">
        <f ca="1">'CALCULO DE GAS'!P204</f>
        <v>0</v>
      </c>
      <c r="E375" s="337">
        <f ca="1">IF(B375&gt;=$J$5,0,(CONTADORES!$AB389-CONTADORES!$AB388)-$H375)</f>
        <v>0</v>
      </c>
      <c r="F375" s="719">
        <f t="shared" ca="1" si="182"/>
        <v>0</v>
      </c>
      <c r="G375" s="337">
        <f ca="1">IF(B375&gt;=$J$5,0,CONTADORES!$AD389-CONTADORES!$AD388)</f>
        <v>0</v>
      </c>
      <c r="H375" s="337">
        <f ca="1">IF(G375&gt;0,CONTADORES!$AC389-CONTADORES!$AC388,0)</f>
        <v>0</v>
      </c>
      <c r="I375" s="213">
        <f ca="1">IF(B375&gt;=$J$5,0,CONTADORES!$Z389-CONTADORES!$Z388)</f>
        <v>0</v>
      </c>
      <c r="J375" s="337">
        <f t="shared" ca="1" si="157"/>
        <v>0</v>
      </c>
      <c r="K375" s="337">
        <f ca="1">'CALCULO DE GAS'!Q204</f>
        <v>0</v>
      </c>
      <c r="L375" s="1778">
        <f ca="1">IF(B375&gt;=$J$5,0,(CONTADORES!$W389-CONTADORES!$W388)-$O375)</f>
        <v>0</v>
      </c>
      <c r="M375" s="1519">
        <f ca="1">IF(O375=0,0,"DIGITAR MANUALMENTE")</f>
        <v>0</v>
      </c>
      <c r="N375" s="1519">
        <f ca="1">IF(B375&gt;=$J$5,0,CONTADORES!$Y389-CONTADORES!$Y388)</f>
        <v>0</v>
      </c>
      <c r="O375" s="1519">
        <f ca="1">IF(N375&gt;0,CONTADORES!$X389-CONTADORES!$X388,0)</f>
        <v>0</v>
      </c>
      <c r="P375" s="211">
        <f ca="1">IF(B375&gt;=$J$5,0,CONTADORES!$U389-CONTADORES!$U388)</f>
        <v>0</v>
      </c>
      <c r="Q375" s="211">
        <f ca="1">IF(B375&gt;=$J$5,0,CONTADORES!$B389-CONTADORES!$B388)</f>
        <v>0</v>
      </c>
      <c r="R375" s="337">
        <f t="shared" ca="1" si="159"/>
        <v>0</v>
      </c>
      <c r="S375" s="172">
        <f ca="1">IF(B375&gt;=$J$5,0,CONTADORES!$D389-CONTADORES!$D388)</f>
        <v>0</v>
      </c>
      <c r="T375" s="719">
        <f ca="1">IF(B375&gt;=$J$5,0,CONTADORES!$AZ389-CONTADORES!$AZ388)</f>
        <v>0</v>
      </c>
      <c r="U375" s="337">
        <f t="shared" ca="1" si="184"/>
        <v>0</v>
      </c>
      <c r="V375" s="172">
        <f ca="1">IF(B375&gt;=$J$5,0,CONTADORES!$BB389-CONTADORES!$BB388)</f>
        <v>0</v>
      </c>
      <c r="W375" s="1520">
        <f t="shared" ca="1" si="160"/>
        <v>0</v>
      </c>
      <c r="X375" s="1520">
        <f t="shared" ca="1" si="161"/>
        <v>0</v>
      </c>
      <c r="Y375" s="1520">
        <f t="shared" ca="1" si="162"/>
        <v>0</v>
      </c>
      <c r="Z375" s="1520">
        <f t="shared" ca="1" si="163"/>
        <v>0</v>
      </c>
      <c r="AA375" s="1520">
        <f t="shared" ca="1" si="164"/>
        <v>0</v>
      </c>
      <c r="AB375" s="1520">
        <f t="shared" ca="1" si="165"/>
        <v>0</v>
      </c>
      <c r="AC375" s="1520">
        <f t="shared" ca="1" si="166"/>
        <v>0</v>
      </c>
      <c r="AD375" s="1521">
        <f ca="1">IF(B375&gt;=$J$5,0,CONTADORES!H389-CONTADORES!H388)</f>
        <v>0</v>
      </c>
      <c r="AE375" s="1521">
        <f ca="1">IF(B375&gt;=$J$5,0,CONTADORES!J389-CONTADORES!J388)</f>
        <v>0</v>
      </c>
      <c r="AF375" s="1521">
        <f ca="1">IF(B375&gt;=$J$5,0,CONTADORES!AS389-CONTADORES!AS388)</f>
        <v>0</v>
      </c>
      <c r="AG375" s="1521">
        <f ca="1">IF(B375&gt;=$J$5,0,CONTADORES!AU389-CONTADORES!AU388)</f>
        <v>0</v>
      </c>
      <c r="AH375" s="1520">
        <f ca="1">IF(B375&gt;=$J$5,0,(CONTADORES!AK389-CONTADORES!AK388)+(CONTADORES!K389-CONTADORES!K388))</f>
        <v>0</v>
      </c>
      <c r="AI375" s="1521">
        <f ca="1">IF(B375&gt;=$J$5,0,(CONTADORES!AI389-CONTADORES!AI388)+(CONTADORES!M389-CONTADORES!M388))</f>
        <v>0</v>
      </c>
      <c r="AJ375" s="1521">
        <f ca="1">IF(B375&gt;=$J$5,0,(CONTADORES!AG389-CONTADORES!AG388))</f>
        <v>0</v>
      </c>
      <c r="AK375" s="1521">
        <f ca="1">IF(B375&gt;=$J$5,0,(CONTADORES!O389-CONTADORES!O388))</f>
        <v>0</v>
      </c>
      <c r="AL375" s="1791">
        <f t="shared" ca="1" si="167"/>
        <v>0</v>
      </c>
      <c r="AM375" s="1791">
        <f ca="1">IF(B375&gt;=$J$5,0,(((CONTADORES!F389-CONTADORES!F388)+(CONTADORES!AO389-CONTADORES!AO388))))-BJ375-AF375-AN375-BM375-BP375-BU375-BS375+T375</f>
        <v>0</v>
      </c>
      <c r="AN375" s="1535">
        <f ca="1">IF(B375&gt;=$J$5,0,(CONTADORES!AV389-CONTADORES!AV388)+(CONTADORES!AX389-CONTADORES!AX388)+(CONTADORES!BC389-CONTADORES!BC388))-BS375</f>
        <v>0</v>
      </c>
      <c r="AO375" s="1523">
        <f ca="1">IF(B375&gt;=$J$5,0,(CONTADORES!AA389-CONTADORES!AA388))</f>
        <v>0</v>
      </c>
      <c r="AP375" s="171">
        <f ca="1">IF(B375&gt;=$J$5,0,(CONTADORES!V389-CONTADORES!V388))</f>
        <v>0</v>
      </c>
      <c r="AQ375" s="1522">
        <f ca="1">IF(B375&gt;=$J$5,0,(CONTADORES!C389-CONTADORES!C388))</f>
        <v>0</v>
      </c>
      <c r="AR375" s="1523">
        <f ca="1">IF(B375&gt;=$J$5,0,(CONTADORES!BA389-CONTADORES!BA388))</f>
        <v>0</v>
      </c>
      <c r="AS375" s="1521">
        <f ca="1">IF(B375&gt;=$J$5,0,CONTADORES!Q389-CONTADORES!Q388)</f>
        <v>0</v>
      </c>
      <c r="AT375" s="1521">
        <f ca="1">IF(B375&gt;=$J$5,0,(CONTADORES!S389-CONTADORES!S388)+(CONTADORES!AE389-CONTADORES!AE388))</f>
        <v>0</v>
      </c>
      <c r="AU375" s="171">
        <f ca="1">IF(B375&gt;=$J$5,0,(CONTADORES!I389-CONTADORES!I388))</f>
        <v>0</v>
      </c>
      <c r="AV375" s="1523">
        <f ca="1">IF(B375&gt;=$J$5,0,(CONTADORES!AT389-CONTADORES!AT388))</f>
        <v>0</v>
      </c>
      <c r="AW375" s="1523">
        <f ca="1">IF(B375&gt;=$J$5,0,(CONTADORES!L389-CONTADORES!L388)+(CONTADORES!AL389-CONTADORES!AL388))</f>
        <v>0</v>
      </c>
      <c r="AX375" s="1523">
        <f ca="1">IF(B375&gt;=$J$5,0,(CONTADORES!N389-CONTADORES!N388)+(CONTADORES!AJ389-CONTADORES!AJ388))</f>
        <v>0</v>
      </c>
      <c r="AY375" s="1523">
        <f ca="1">IF(B375&gt;=$J$5,0,(CONTADORES!AH389-CONTADORES!AH388))</f>
        <v>0</v>
      </c>
      <c r="AZ375" s="1523">
        <f ca="1">IF(B375&gt;=$J$5,0,(CONTADORES!P389-CONTADORES!P388))</f>
        <v>0</v>
      </c>
      <c r="BA375" s="1520">
        <f t="shared" ca="1" si="168"/>
        <v>0</v>
      </c>
      <c r="BB375" s="1440">
        <f ca="1">IF(B375&gt;=$J$5,0,(((CONTADORES!G389-CONTADORES!G388)+(CONTADORES!AP389-CONTADORES!AP388)+AR375)-(AV375+BC375)))</f>
        <v>0</v>
      </c>
      <c r="BC375" s="1521">
        <f ca="1">IF(B375&gt;=$J$5,0,(CONTADORES!AW389-CONTADORES!AW388)+(CONTADORES!AY389-CONTADORES!AY388)+(CONTADORES!BD389-CONTADORES!BD388))</f>
        <v>0</v>
      </c>
      <c r="BD375" s="1521">
        <f t="shared" ca="1" si="169"/>
        <v>0</v>
      </c>
      <c r="BE375" s="1520">
        <f ca="1">IF($B375&gt;=$J$5,0,CONTADORES!$BE389)</f>
        <v>0</v>
      </c>
      <c r="BF375" s="1521">
        <f ca="1">IF($B375&gt;=$J$5,0,CONTADORES!$BF389)</f>
        <v>0</v>
      </c>
      <c r="BG375" s="1521">
        <f ca="1">IF($B375&gt;=$J$5,0,CONTADORES!$BH389)</f>
        <v>0</v>
      </c>
      <c r="BH375" s="1521">
        <f ca="1">IF(B375&gt;=$J$5,0,(CONTADORES!AQ389-CONTADORES!AQ388))</f>
        <v>0</v>
      </c>
      <c r="BI375" s="1521">
        <f ca="1">IF(B375&gt;=$J$5,0,(CONTADORES!AR389-CONTADORES!AR388))</f>
        <v>0</v>
      </c>
      <c r="BJ375" s="1521">
        <f ca="1">IF(B375&gt;=$J$5,0,CONTADORES!BI389-CONTADORES!BI388)/1000</f>
        <v>0</v>
      </c>
      <c r="BK375" s="1521">
        <f ca="1">IF(B375&gt;=$J$5,0,CONTADORES!BJ389-CONTADORES!BJ388)</f>
        <v>0</v>
      </c>
      <c r="BL375" s="1521">
        <f ca="1">IF(B375&gt;=$J$5,0,CONTADORES!BK389-CONTADORES!BK388)</f>
        <v>0</v>
      </c>
      <c r="BM375" s="1521">
        <f ca="1">IF(B375&gt;=$J$5,0,CONTADORES!BL389-CONTADORES!BL388)/1000</f>
        <v>0</v>
      </c>
      <c r="BN375" s="1521">
        <f ca="1">IF(B375&gt;=$J$5,0,CONTADORES!BM389-CONTADORES!BM388)/1000</f>
        <v>0</v>
      </c>
      <c r="BO375" s="1521">
        <f ca="1">IF(B375&gt;=$J$5,0,CONTADORES!BN389-CONTADORES!BN388)</f>
        <v>0</v>
      </c>
      <c r="BP375" s="1521">
        <f ca="1">IF(B375&gt;=$J$5,0,CONTADORES!BO389-CONTADORES!BO388)/1000</f>
        <v>0</v>
      </c>
      <c r="BQ375" s="1520">
        <f ca="1">IF(B375&gt;=$J$5,0,CONTADORES!BP389-CONTADORES!BP388)/1000</f>
        <v>0</v>
      </c>
      <c r="BR375" s="1521">
        <f ca="1">IF(B375&gt;=$J$5,0,CONTADORES!BQ389-CONTADORES!BQ388)</f>
        <v>0</v>
      </c>
      <c r="BS375" s="1521">
        <f ca="1">IF(B375&gt;=$J$5,0,(CONTADORES!BT389-CONTADORES!BT388)+(CONTADORES!BV389-CONTADORES!BV388))/1000</f>
        <v>0</v>
      </c>
      <c r="BT375" s="1521">
        <f ca="1">IF(B375&gt;=$J$5,0,(CONTADORES!BU389-CONTADORES!BU388)+(CONTADORES!BW389-CONTADORES!BW388))/1000</f>
        <v>0</v>
      </c>
      <c r="BU375" s="1521">
        <f ca="1">IF(B375&gt;=$J$5,0,CONTADORES!BR389-CONTADORES!BR388)</f>
        <v>0</v>
      </c>
      <c r="BV375" s="1521">
        <f ca="1">IF(B375&gt;=$J$5,0,CONTADORES!BS389-CONTADORES!BS388)</f>
        <v>0</v>
      </c>
      <c r="BW375" s="1791">
        <f t="shared" ca="1" si="170"/>
        <v>0</v>
      </c>
      <c r="BX375" s="1535">
        <f t="shared" ca="1" si="171"/>
        <v>0</v>
      </c>
      <c r="BY375" s="1535">
        <f t="shared" ca="1" si="172"/>
        <v>0</v>
      </c>
      <c r="BZ375" s="1535">
        <f t="shared" ca="1" si="173"/>
        <v>0</v>
      </c>
      <c r="CA375" s="1535">
        <f t="shared" ca="1" si="174"/>
        <v>0</v>
      </c>
      <c r="CB375" s="1521">
        <f t="shared" ca="1" si="175"/>
        <v>0</v>
      </c>
      <c r="CC375" s="1521">
        <f t="shared" ca="1" si="176"/>
        <v>0</v>
      </c>
      <c r="CD375" s="1521">
        <f t="shared" ca="1" si="177"/>
        <v>0</v>
      </c>
      <c r="CE375" s="1521">
        <f ca="1">IF(B375&gt;=$J$5,0,CONTADORES!BS389-CONTADORES!BS388)</f>
        <v>0</v>
      </c>
      <c r="CF375" s="1521">
        <f t="shared" ca="1" si="178"/>
        <v>0</v>
      </c>
      <c r="CG375" s="1521">
        <f t="shared" ca="1" si="179"/>
        <v>0</v>
      </c>
      <c r="CH375" s="1521">
        <f t="shared" ca="1" si="180"/>
        <v>0</v>
      </c>
      <c r="CI375" s="1521">
        <f t="shared" ca="1" si="181"/>
        <v>0</v>
      </c>
      <c r="CJ375" s="1536">
        <f ca="1">IF($B375&gt;=$J$5,0,CONTADORES!$BG389)</f>
        <v>0</v>
      </c>
      <c r="CK375" s="1386">
        <f>CONTADORES!E389</f>
        <v>0</v>
      </c>
      <c r="CL375" s="1386">
        <f>CONTADORES!BX389</f>
        <v>0</v>
      </c>
    </row>
    <row r="376" spans="2:90" ht="15" thickTop="1">
      <c r="B376" s="1524" t="s">
        <v>175</v>
      </c>
      <c r="C376" s="1439">
        <f t="shared" ref="C376:Q376" ca="1" si="185">SUMIF(C11:C41,"&gt;0")</f>
        <v>5613.8399999999674</v>
      </c>
      <c r="D376" s="1439">
        <f t="shared" ca="1" si="185"/>
        <v>111.44138153932562</v>
      </c>
      <c r="E376" s="1439">
        <f ca="1">SUMIF(E11:E41,"&gt;0")</f>
        <v>744</v>
      </c>
      <c r="F376" s="1439">
        <f t="shared" ca="1" si="185"/>
        <v>0</v>
      </c>
      <c r="G376" s="1439">
        <f t="shared" ca="1" si="185"/>
        <v>0</v>
      </c>
      <c r="H376" s="1439">
        <f t="shared" ca="1" si="185"/>
        <v>0</v>
      </c>
      <c r="I376" s="205">
        <f t="shared" ca="1" si="185"/>
        <v>5613.8399999999674</v>
      </c>
      <c r="J376" s="1439">
        <f t="shared" ca="1" si="185"/>
        <v>7936.4000000000015</v>
      </c>
      <c r="K376" s="1439">
        <f t="shared" ca="1" si="185"/>
        <v>128.66486019101129</v>
      </c>
      <c r="L376" s="1439">
        <f t="shared" ca="1" si="185"/>
        <v>744</v>
      </c>
      <c r="M376" s="1439">
        <f t="shared" ca="1" si="185"/>
        <v>0</v>
      </c>
      <c r="N376" s="1439">
        <f t="shared" ca="1" si="185"/>
        <v>0</v>
      </c>
      <c r="O376" s="1439">
        <f t="shared" ca="1" si="185"/>
        <v>0</v>
      </c>
      <c r="P376" s="208">
        <f t="shared" ca="1" si="185"/>
        <v>7936.4000000000015</v>
      </c>
      <c r="Q376" s="1439">
        <f t="shared" ca="1" si="185"/>
        <v>1.8299999999999272</v>
      </c>
      <c r="R376" s="1439">
        <f t="shared" ref="R376:AC376" ca="1" si="186">SUMIF(R11:R41,"&gt;0")</f>
        <v>219.59999999999127</v>
      </c>
      <c r="S376" s="1474">
        <f t="shared" ca="1" si="186"/>
        <v>4.5</v>
      </c>
      <c r="T376" s="1439">
        <f t="shared" ca="1" si="186"/>
        <v>2.5570000000000164</v>
      </c>
      <c r="U376" s="1439">
        <f t="shared" ca="1" si="186"/>
        <v>306.84000000000196</v>
      </c>
      <c r="V376" s="1439">
        <f t="shared" ca="1" si="186"/>
        <v>8.2000000000000455</v>
      </c>
      <c r="W376" s="1439">
        <f t="shared" ca="1" si="186"/>
        <v>13550.239999999969</v>
      </c>
      <c r="X376" s="1439">
        <f t="shared" ca="1" si="186"/>
        <v>4.3869999999999436</v>
      </c>
      <c r="Y376" s="1439">
        <f t="shared" ca="1" si="186"/>
        <v>13554.626999999968</v>
      </c>
      <c r="Z376" s="1439">
        <f t="shared" ca="1" si="186"/>
        <v>240.10624173033685</v>
      </c>
      <c r="AA376" s="1439">
        <f t="shared" ca="1" si="186"/>
        <v>526.43999999999323</v>
      </c>
      <c r="AB376" s="1439">
        <f t="shared" ca="1" si="186"/>
        <v>1488</v>
      </c>
      <c r="AC376" s="1439">
        <f t="shared" ca="1" si="186"/>
        <v>12.700000000000045</v>
      </c>
      <c r="AD376" s="1439">
        <f t="shared" ref="AD376:AK376" ca="1" si="187">SUMIF(AD11:AD41,"&gt;0")</f>
        <v>5119.0999999999767</v>
      </c>
      <c r="AE376" s="1439">
        <f t="shared" ca="1" si="187"/>
        <v>738.29999999998836</v>
      </c>
      <c r="AF376" s="1439">
        <f t="shared" ca="1" si="187"/>
        <v>4240</v>
      </c>
      <c r="AG376" s="1439">
        <f t="shared" ca="1" si="187"/>
        <v>730.19999999999709</v>
      </c>
      <c r="AH376" s="1439">
        <f t="shared" ca="1" si="187"/>
        <v>320.69999999999709</v>
      </c>
      <c r="AI376" s="1439">
        <f t="shared" ca="1" si="187"/>
        <v>1265.5800000000017</v>
      </c>
      <c r="AJ376" s="1439">
        <f t="shared" ca="1" si="187"/>
        <v>257.33999999999651</v>
      </c>
      <c r="AK376" s="1439">
        <f t="shared" ca="1" si="187"/>
        <v>470.33999999999651</v>
      </c>
      <c r="AL376" s="1439">
        <f ca="1">SUMIF(AL11:AL41,"&lt;50")</f>
        <v>1030.8669999999649</v>
      </c>
      <c r="AM376" s="1439">
        <f t="shared" ref="AM376:AZ376" ca="1" si="188">SUMIF(AM11:AM41,"&gt;0")</f>
        <v>276.9375000000353</v>
      </c>
      <c r="AN376" s="1439">
        <f t="shared" ca="1" si="188"/>
        <v>87.141999999999967</v>
      </c>
      <c r="AO376" s="1439">
        <f t="shared" ca="1" si="188"/>
        <v>2797.0299999999697</v>
      </c>
      <c r="AP376" s="1439">
        <f t="shared" ca="1" si="188"/>
        <v>4111.8</v>
      </c>
      <c r="AQ376" s="1439">
        <f t="shared" ca="1" si="188"/>
        <v>0.74600000000009459</v>
      </c>
      <c r="AR376" s="1439">
        <f t="shared" ca="1" si="188"/>
        <v>1.0579999999999927</v>
      </c>
      <c r="AS376" s="1439">
        <f t="shared" ca="1" si="188"/>
        <v>537.52999999999884</v>
      </c>
      <c r="AT376" s="1439">
        <f t="shared" ca="1" si="188"/>
        <v>65.590000000003783</v>
      </c>
      <c r="AU376" s="1439">
        <f t="shared" si="188"/>
        <v>2592</v>
      </c>
      <c r="AV376" s="1439">
        <f t="shared" si="188"/>
        <v>1846.1000000000058</v>
      </c>
      <c r="AW376" s="1439">
        <f t="shared" ca="1" si="188"/>
        <v>124.79999999999927</v>
      </c>
      <c r="AX376" s="1439">
        <f t="shared" ca="1" si="188"/>
        <v>995.33000000000175</v>
      </c>
      <c r="AY376" s="1439">
        <f t="shared" ca="1" si="188"/>
        <v>203.33000000000175</v>
      </c>
      <c r="AZ376" s="1439">
        <f t="shared" ca="1" si="188"/>
        <v>389.67999999999302</v>
      </c>
      <c r="BA376" s="1439">
        <f ca="1">SUMIF(BA11:BA41,"&lt;900")</f>
        <v>388.17199999996774</v>
      </c>
      <c r="BB376" s="1439">
        <f t="shared" ref="BB376:BI376" ca="1" si="189">SUMIF(BB11:BB41,"&gt;0")</f>
        <v>149.67200000000054</v>
      </c>
      <c r="BC376" s="1439">
        <f t="shared" ca="1" si="189"/>
        <v>29.088000000000036</v>
      </c>
      <c r="BD376" s="1439">
        <f t="shared" ca="1" si="189"/>
        <v>6910.6339999999691</v>
      </c>
      <c r="BE376" s="1439">
        <f t="shared" ca="1" si="189"/>
        <v>210973.73000000004</v>
      </c>
      <c r="BF376" s="1439">
        <f t="shared" ca="1" si="189"/>
        <v>972070.6684210524</v>
      </c>
      <c r="BG376" s="1439">
        <f t="shared" ca="1" si="189"/>
        <v>239044.45066626102</v>
      </c>
      <c r="BH376" s="1439">
        <f t="shared" ca="1" si="189"/>
        <v>158.40000000000146</v>
      </c>
      <c r="BI376" s="1439">
        <f t="shared" ca="1" si="189"/>
        <v>0</v>
      </c>
      <c r="BJ376" s="1439">
        <f t="shared" ref="BJ376:CL376" ca="1" si="190">SUMIF(BJ11:BJ41,"&gt;0")</f>
        <v>27.678500000000003</v>
      </c>
      <c r="BK376" s="1439">
        <f t="shared" ca="1" si="190"/>
        <v>9</v>
      </c>
      <c r="BL376" s="1439">
        <f t="shared" ca="1" si="190"/>
        <v>192.80000000000291</v>
      </c>
      <c r="BM376" s="1439">
        <f t="shared" ca="1" si="190"/>
        <v>99.45</v>
      </c>
      <c r="BN376" s="1439">
        <f t="shared" ca="1" si="190"/>
        <v>13.477000000000002</v>
      </c>
      <c r="BO376" s="1439">
        <f t="shared" ca="1" si="190"/>
        <v>533.19999999999709</v>
      </c>
      <c r="BP376" s="1439">
        <f t="shared" ca="1" si="190"/>
        <v>104.214</v>
      </c>
      <c r="BQ376" s="1439">
        <f t="shared" ca="1" si="190"/>
        <v>1.5829999999999997</v>
      </c>
      <c r="BR376" s="1439">
        <f t="shared" ca="1" si="190"/>
        <v>723.39999999999964</v>
      </c>
      <c r="BS376" s="1439">
        <f t="shared" ca="1" si="190"/>
        <v>45.567999999999998</v>
      </c>
      <c r="BT376" s="1439">
        <f t="shared" ca="1" si="190"/>
        <v>28.121999999999993</v>
      </c>
      <c r="BU376" s="1439">
        <f t="shared" ca="1" si="190"/>
        <v>209.71000000000004</v>
      </c>
      <c r="BV376" s="1439">
        <f t="shared" ca="1" si="190"/>
        <v>140.27999999999975</v>
      </c>
      <c r="BW376" s="1439">
        <f t="shared" ca="1" si="190"/>
        <v>348.17875000001771</v>
      </c>
      <c r="BX376" s="1439">
        <f t="shared" ca="1" si="190"/>
        <v>215.11600000000007</v>
      </c>
      <c r="BY376" s="1439">
        <f t="shared" ca="1" si="190"/>
        <v>138.46875000001765</v>
      </c>
      <c r="BZ376" s="1439">
        <f t="shared" ca="1" si="190"/>
        <v>34.8568</v>
      </c>
      <c r="CA376" s="1439">
        <f t="shared" ca="1" si="190"/>
        <v>138.46875000001765</v>
      </c>
      <c r="CB376" s="1439">
        <f t="shared" ca="1" si="190"/>
        <v>52.285199999999989</v>
      </c>
      <c r="CC376" s="1439">
        <f t="shared" ca="1" si="190"/>
        <v>80.424799999999991</v>
      </c>
      <c r="CD376" s="1439">
        <f t="shared" ca="1" si="190"/>
        <v>74.836000000000269</v>
      </c>
      <c r="CE376" s="1439">
        <f t="shared" ca="1" si="190"/>
        <v>140.27999999999975</v>
      </c>
      <c r="CF376" s="1439">
        <f t="shared" ca="1" si="190"/>
        <v>74.836000000000269</v>
      </c>
      <c r="CG376" s="1439">
        <f t="shared" ca="1" si="190"/>
        <v>14.544000000000018</v>
      </c>
      <c r="CH376" s="1439">
        <f t="shared" ca="1" si="190"/>
        <v>14.544000000000018</v>
      </c>
      <c r="CI376" s="1439">
        <f t="shared" ca="1" si="190"/>
        <v>42.666000000000018</v>
      </c>
      <c r="CJ376" s="1439">
        <f t="shared" ca="1" si="190"/>
        <v>311604.19063616818</v>
      </c>
      <c r="CK376" s="1439">
        <f t="shared" si="190"/>
        <v>6.5</v>
      </c>
      <c r="CL376" s="1439">
        <f t="shared" si="190"/>
        <v>4.4000000000000004</v>
      </c>
    </row>
    <row r="377" spans="2:90">
      <c r="B377" s="1524" t="s">
        <v>176</v>
      </c>
      <c r="C377" s="1450">
        <f t="shared" ref="C377:Q377" ca="1" si="191">SUMIF(C42:C69,"&gt;0")</f>
        <v>8128.1600000000326</v>
      </c>
      <c r="D377" s="1450">
        <f t="shared" ca="1" si="191"/>
        <v>135.61939776059879</v>
      </c>
      <c r="E377" s="1450">
        <f t="shared" ca="1" si="191"/>
        <v>672</v>
      </c>
      <c r="F377" s="1450">
        <f t="shared" ca="1" si="191"/>
        <v>0</v>
      </c>
      <c r="G377" s="1450">
        <f t="shared" ca="1" si="191"/>
        <v>0</v>
      </c>
      <c r="H377" s="1450">
        <f t="shared" ca="1" si="191"/>
        <v>0</v>
      </c>
      <c r="I377" s="205">
        <f t="shared" ca="1" si="191"/>
        <v>8128.1600000000326</v>
      </c>
      <c r="J377" s="1450">
        <f t="shared" ca="1" si="191"/>
        <v>4107.4799999999996</v>
      </c>
      <c r="K377" s="1450">
        <f t="shared" ca="1" si="191"/>
        <v>102.83230648877804</v>
      </c>
      <c r="L377" s="1450">
        <f t="shared" ca="1" si="191"/>
        <v>668.79999999998836</v>
      </c>
      <c r="M377" s="1450">
        <f t="shared" ca="1" si="191"/>
        <v>0.5</v>
      </c>
      <c r="N377" s="1450">
        <f t="shared" ca="1" si="191"/>
        <v>0</v>
      </c>
      <c r="O377" s="1450">
        <f t="shared" ca="1" si="191"/>
        <v>0</v>
      </c>
      <c r="P377" s="205">
        <f t="shared" ca="1" si="191"/>
        <v>4107.9799999999996</v>
      </c>
      <c r="Q377" s="1450">
        <f t="shared" ca="1" si="191"/>
        <v>1.15300000000002</v>
      </c>
      <c r="R377" s="1450">
        <f t="shared" ref="R377:W377" ca="1" si="192">SUMIF(R42:R69,"&gt;0")</f>
        <v>138.3600000000024</v>
      </c>
      <c r="S377" s="1478">
        <f t="shared" ca="1" si="192"/>
        <v>3.1000000000003638</v>
      </c>
      <c r="T377" s="1450">
        <f t="shared" ca="1" si="192"/>
        <v>3.4409999999999172</v>
      </c>
      <c r="U377" s="1450">
        <f t="shared" ca="1" si="192"/>
        <v>412.91999999999007</v>
      </c>
      <c r="V377" s="1450">
        <f t="shared" ca="1" si="192"/>
        <v>4.2999999999999545</v>
      </c>
      <c r="W377" s="1450">
        <f t="shared" ca="1" si="192"/>
        <v>12235.640000000032</v>
      </c>
      <c r="X377" s="1450">
        <f t="shared" ref="X377:AC377" ca="1" si="193">SUMIF(X42:X69,"&gt;0")</f>
        <v>5.0939999999999372</v>
      </c>
      <c r="Y377" s="1482">
        <f t="shared" ca="1" si="193"/>
        <v>12240.734000000031</v>
      </c>
      <c r="Z377" s="1450">
        <f t="shared" ca="1" si="193"/>
        <v>238.4517042493768</v>
      </c>
      <c r="AA377" s="1450">
        <f t="shared" ca="1" si="193"/>
        <v>551.27999999999247</v>
      </c>
      <c r="AB377" s="1450">
        <f t="shared" ca="1" si="193"/>
        <v>1340.7999999999884</v>
      </c>
      <c r="AC377" s="1450">
        <f t="shared" ca="1" si="193"/>
        <v>7.4000000000003183</v>
      </c>
      <c r="AD377" s="1450">
        <f t="shared" ref="AD377:AK377" ca="1" si="194">SUMIF(AD42:AD69,"&gt;0")</f>
        <v>4449.0999999999767</v>
      </c>
      <c r="AE377" s="1450">
        <f t="shared" ca="1" si="194"/>
        <v>654.79999999998836</v>
      </c>
      <c r="AF377" s="1450">
        <f t="shared" ca="1" si="194"/>
        <v>4044</v>
      </c>
      <c r="AG377" s="1450">
        <f t="shared" ca="1" si="194"/>
        <v>666.80000000000291</v>
      </c>
      <c r="AH377" s="1450">
        <f t="shared" ca="1" si="194"/>
        <v>280.5</v>
      </c>
      <c r="AI377" s="1450">
        <f t="shared" ca="1" si="194"/>
        <v>1097.3600000000079</v>
      </c>
      <c r="AJ377" s="1450">
        <f t="shared" ca="1" si="194"/>
        <v>247.08999999999651</v>
      </c>
      <c r="AK377" s="1450">
        <f t="shared" ca="1" si="194"/>
        <v>413.5</v>
      </c>
      <c r="AL377" s="1450">
        <f ca="1">SUMIF(AL42:AL69,"&lt;50")</f>
        <v>928.88400000008437</v>
      </c>
      <c r="AM377" s="1450">
        <f t="shared" ref="AM377:AZ377" ca="1" si="195">SUMIF(AM42:AM69,"&gt;0")</f>
        <v>264.84499999996621</v>
      </c>
      <c r="AN377" s="1450">
        <f t="shared" ca="1" si="195"/>
        <v>86.488000000000483</v>
      </c>
      <c r="AO377" s="1450">
        <f t="shared" ca="1" si="195"/>
        <v>4099.9000000000233</v>
      </c>
      <c r="AP377" s="1450">
        <f t="shared" ca="1" si="195"/>
        <v>2143.3099999999995</v>
      </c>
      <c r="AQ377" s="1450">
        <f t="shared" ca="1" si="195"/>
        <v>0.39299999999991542</v>
      </c>
      <c r="AR377" s="1450">
        <f t="shared" ca="1" si="195"/>
        <v>1.3290000000000077</v>
      </c>
      <c r="AS377" s="1450">
        <f t="shared" ca="1" si="195"/>
        <v>477.5</v>
      </c>
      <c r="AT377" s="1450">
        <f t="shared" ca="1" si="195"/>
        <v>62.099999999998545</v>
      </c>
      <c r="AU377" s="1450">
        <f t="shared" si="195"/>
        <v>2279.7000000000116</v>
      </c>
      <c r="AV377" s="1450">
        <f t="shared" si="195"/>
        <v>1754.8999999999942</v>
      </c>
      <c r="AW377" s="1450">
        <f t="shared" ca="1" si="195"/>
        <v>109.10000000000127</v>
      </c>
      <c r="AX377" s="1450">
        <f t="shared" ca="1" si="195"/>
        <v>866.90999999999622</v>
      </c>
      <c r="AY377" s="1450">
        <f t="shared" ca="1" si="195"/>
        <v>192.86999999999534</v>
      </c>
      <c r="AZ377" s="1450">
        <f t="shared" ca="1" si="195"/>
        <v>344.97000000000116</v>
      </c>
      <c r="BA377" s="1450">
        <f ca="1">SUMIF(BA42:BA69,"&lt;900")</f>
        <v>334.91300000003446</v>
      </c>
      <c r="BB377" s="1450">
        <f t="shared" ref="BB377:BI377" ca="1" si="196">SUMIF(BB42:BB69,"&gt;0")</f>
        <v>169.82199999998835</v>
      </c>
      <c r="BC377" s="1450">
        <f t="shared" ca="1" si="196"/>
        <v>31.499999999999684</v>
      </c>
      <c r="BD377" s="1450">
        <f t="shared" ca="1" si="196"/>
        <v>6244.9320000000225</v>
      </c>
      <c r="BE377" s="1450">
        <f t="shared" ca="1" si="196"/>
        <v>190805.96044302545</v>
      </c>
      <c r="BF377" s="1450">
        <f t="shared" ca="1" si="196"/>
        <v>913592.11023598502</v>
      </c>
      <c r="BG377" s="1450">
        <f t="shared" ca="1" si="196"/>
        <v>159864.55000000002</v>
      </c>
      <c r="BH377" s="1439">
        <f t="shared" ca="1" si="196"/>
        <v>137.47699999999895</v>
      </c>
      <c r="BI377" s="1439">
        <f t="shared" ca="1" si="196"/>
        <v>0</v>
      </c>
      <c r="BJ377" s="1439">
        <f t="shared" ref="BJ377:CL377" ca="1" si="197">SUMIF(BJ42:BJ69,"&gt;0")</f>
        <v>8.5009999999999994</v>
      </c>
      <c r="BK377" s="1439">
        <f t="shared" ca="1" si="197"/>
        <v>3</v>
      </c>
      <c r="BL377" s="1439">
        <f t="shared" ca="1" si="197"/>
        <v>97.340000000000146</v>
      </c>
      <c r="BM377" s="1439">
        <f t="shared" ca="1" si="197"/>
        <v>132.35500000000002</v>
      </c>
      <c r="BN377" s="1439">
        <f t="shared" ca="1" si="197"/>
        <v>13.357999999999999</v>
      </c>
      <c r="BO377" s="1439">
        <f t="shared" ca="1" si="197"/>
        <v>663.20000000000073</v>
      </c>
      <c r="BP377" s="1439">
        <f t="shared" ca="1" si="197"/>
        <v>73.858999999999995</v>
      </c>
      <c r="BQ377" s="1439">
        <f t="shared" ca="1" si="197"/>
        <v>0.82900000000000007</v>
      </c>
      <c r="BR377" s="1439">
        <f t="shared" ca="1" si="197"/>
        <v>513.20000000000073</v>
      </c>
      <c r="BS377" s="1439">
        <f t="shared" ca="1" si="197"/>
        <v>35.091999999999999</v>
      </c>
      <c r="BT377" s="1439">
        <f t="shared" ca="1" si="197"/>
        <v>20.269000000000002</v>
      </c>
      <c r="BU377" s="1439">
        <f t="shared" ca="1" si="197"/>
        <v>179.15999999999985</v>
      </c>
      <c r="BV377" s="1439">
        <f t="shared" ca="1" si="197"/>
        <v>123.38000000000011</v>
      </c>
      <c r="BW377" s="1439">
        <f t="shared" ca="1" si="197"/>
        <v>311.58249999998293</v>
      </c>
      <c r="BX377" s="1439">
        <f t="shared" ca="1" si="197"/>
        <v>208.29099999999428</v>
      </c>
      <c r="BY377" s="1439">
        <f t="shared" ca="1" si="197"/>
        <v>132.4224999999831</v>
      </c>
      <c r="BZ377" s="1439">
        <f t="shared" ca="1" si="197"/>
        <v>34.595200000000197</v>
      </c>
      <c r="CA377" s="1439">
        <f t="shared" ca="1" si="197"/>
        <v>132.4224999999831</v>
      </c>
      <c r="CB377" s="1439">
        <f t="shared" ca="1" si="197"/>
        <v>51.892800000000285</v>
      </c>
      <c r="CC377" s="1439">
        <f t="shared" ca="1" si="197"/>
        <v>69.687200000000203</v>
      </c>
      <c r="CD377" s="1439">
        <f t="shared" ca="1" si="197"/>
        <v>84.910999999994175</v>
      </c>
      <c r="CE377" s="1439">
        <f t="shared" ca="1" si="197"/>
        <v>123.38000000000011</v>
      </c>
      <c r="CF377" s="1439">
        <f t="shared" ca="1" si="197"/>
        <v>84.910999999994175</v>
      </c>
      <c r="CG377" s="1439">
        <f t="shared" ca="1" si="197"/>
        <v>15.749999999999842</v>
      </c>
      <c r="CH377" s="1439">
        <f t="shared" ca="1" si="197"/>
        <v>15.749999999999842</v>
      </c>
      <c r="CI377" s="1439">
        <f t="shared" ca="1" si="197"/>
        <v>35.724499999999928</v>
      </c>
      <c r="CJ377" s="1439">
        <f t="shared" ca="1" si="197"/>
        <v>263712.17570082948</v>
      </c>
      <c r="CK377" s="1439">
        <f t="shared" si="197"/>
        <v>1.3</v>
      </c>
      <c r="CL377" s="1439">
        <f t="shared" si="197"/>
        <v>4.3</v>
      </c>
    </row>
    <row r="378" spans="2:90">
      <c r="B378" s="1525" t="s">
        <v>177</v>
      </c>
      <c r="C378" s="1450">
        <f t="shared" ref="C378:Q378" ca="1" si="198">SUMIF(C70:C100,"&gt;0")</f>
        <v>9022.8399999999674</v>
      </c>
      <c r="D378" s="1450">
        <f t="shared" ca="1" si="198"/>
        <v>150.34417391895238</v>
      </c>
      <c r="E378" s="1450">
        <f t="shared" ca="1" si="198"/>
        <v>744</v>
      </c>
      <c r="F378" s="1450">
        <f t="shared" ca="1" si="198"/>
        <v>0</v>
      </c>
      <c r="G378" s="1450">
        <f t="shared" ca="1" si="198"/>
        <v>0</v>
      </c>
      <c r="H378" s="1450">
        <f t="shared" ca="1" si="198"/>
        <v>0</v>
      </c>
      <c r="I378" s="205">
        <f t="shared" ca="1" si="198"/>
        <v>9022.8399999999674</v>
      </c>
      <c r="J378" s="1450">
        <f t="shared" ca="1" si="198"/>
        <v>4705.4199999999983</v>
      </c>
      <c r="K378" s="1450">
        <f t="shared" ca="1" si="198"/>
        <v>115.13728264713214</v>
      </c>
      <c r="L378" s="1450">
        <f t="shared" ca="1" si="198"/>
        <v>744</v>
      </c>
      <c r="M378" s="1450">
        <f t="shared" ca="1" si="198"/>
        <v>0</v>
      </c>
      <c r="N378" s="1450">
        <f t="shared" ca="1" si="198"/>
        <v>0</v>
      </c>
      <c r="O378" s="1450">
        <f t="shared" ca="1" si="198"/>
        <v>0</v>
      </c>
      <c r="P378" s="205">
        <f t="shared" ca="1" si="198"/>
        <v>4705.4199999999983</v>
      </c>
      <c r="Q378" s="1450">
        <f t="shared" ca="1" si="198"/>
        <v>0.64599999999995816</v>
      </c>
      <c r="R378" s="1450">
        <f t="shared" ref="R378:W378" ca="1" si="199">SUMIF(R70:R100,"&gt;0")</f>
        <v>77.51999999999498</v>
      </c>
      <c r="S378" s="1478">
        <f t="shared" ca="1" si="199"/>
        <v>3.3999999999996362</v>
      </c>
      <c r="T378" s="1450">
        <f t="shared" ca="1" si="199"/>
        <v>1.0579999999999927</v>
      </c>
      <c r="U378" s="1450">
        <f t="shared" ca="1" si="199"/>
        <v>126.95999999999913</v>
      </c>
      <c r="V378" s="1450">
        <f t="shared" ca="1" si="199"/>
        <v>1.7000000000000455</v>
      </c>
      <c r="W378" s="1450">
        <f t="shared" ca="1" si="199"/>
        <v>13728.259999999966</v>
      </c>
      <c r="X378" s="1450">
        <f t="shared" ref="X378:AC378" ca="1" si="200">SUMIF(X70:X100,"&gt;0")</f>
        <v>1.7039999999999509</v>
      </c>
      <c r="Y378" s="1450">
        <f t="shared" ca="1" si="200"/>
        <v>13729.963999999965</v>
      </c>
      <c r="Z378" s="1450">
        <f t="shared" ca="1" si="200"/>
        <v>265.48145656608455</v>
      </c>
      <c r="AA378" s="1450">
        <f t="shared" ca="1" si="200"/>
        <v>204.47999999999411</v>
      </c>
      <c r="AB378" s="1450">
        <f t="shared" ca="1" si="200"/>
        <v>1488</v>
      </c>
      <c r="AC378" s="1450">
        <f t="shared" ca="1" si="200"/>
        <v>5.0999999999996817</v>
      </c>
      <c r="AD378" s="1450">
        <f t="shared" ref="AD378:AK378" ca="1" si="201">SUMIF(AD70:AD100,"&gt;0")</f>
        <v>5082.4000000000233</v>
      </c>
      <c r="AE378" s="1450">
        <f t="shared" ca="1" si="201"/>
        <v>741.80000000001746</v>
      </c>
      <c r="AF378" s="1450">
        <f t="shared" ca="1" si="201"/>
        <v>4448</v>
      </c>
      <c r="AG378" s="1450">
        <f t="shared" ca="1" si="201"/>
        <v>743</v>
      </c>
      <c r="AH378" s="1450">
        <f t="shared" ca="1" si="201"/>
        <v>300.79999999999927</v>
      </c>
      <c r="AI378" s="1450">
        <f t="shared" ca="1" si="201"/>
        <v>1212.5399999999936</v>
      </c>
      <c r="AJ378" s="1450">
        <f t="shared" ca="1" si="201"/>
        <v>237.61000000000058</v>
      </c>
      <c r="AK378" s="1450">
        <f t="shared" ca="1" si="201"/>
        <v>455.60000000000582</v>
      </c>
      <c r="AL378" s="1450">
        <f ca="1">SUMIF(AL70:AL100,"&lt;50")</f>
        <v>1083.1139999999343</v>
      </c>
      <c r="AM378" s="1450">
        <f t="shared" ref="AM378:AZ378" ca="1" si="202">SUMIF(AM70:AM100,"&gt;0")</f>
        <v>311.30750000000984</v>
      </c>
      <c r="AN378" s="1450">
        <f t="shared" ca="1" si="202"/>
        <v>82.56799999999977</v>
      </c>
      <c r="AO378" s="1450">
        <f t="shared" ca="1" si="202"/>
        <v>4590.2999999999884</v>
      </c>
      <c r="AP378" s="1450">
        <f t="shared" ca="1" si="202"/>
        <v>2416.7900000000009</v>
      </c>
      <c r="AQ378" s="1450">
        <f t="shared" ca="1" si="202"/>
        <v>0.19500000000005002</v>
      </c>
      <c r="AR378" s="1450">
        <f t="shared" ca="1" si="202"/>
        <v>0.40100000000001046</v>
      </c>
      <c r="AS378" s="1450">
        <f t="shared" ca="1" si="202"/>
        <v>511</v>
      </c>
      <c r="AT378" s="1450">
        <f t="shared" ca="1" si="202"/>
        <v>71.000000000001478</v>
      </c>
      <c r="AU378" s="1450">
        <f t="shared" si="202"/>
        <v>2593</v>
      </c>
      <c r="AV378" s="1450">
        <f t="shared" si="202"/>
        <v>1940.1000000000058</v>
      </c>
      <c r="AW378" s="1450">
        <f t="shared" ca="1" si="202"/>
        <v>113.19999999999709</v>
      </c>
      <c r="AX378" s="1450">
        <f t="shared" ca="1" si="202"/>
        <v>978.58999999999651</v>
      </c>
      <c r="AY378" s="1450">
        <f t="shared" ca="1" si="202"/>
        <v>183.13000000000466</v>
      </c>
      <c r="AZ378" s="1450">
        <f t="shared" ca="1" si="202"/>
        <v>384.83000000000175</v>
      </c>
      <c r="BA378" s="1450">
        <f ca="1">SUMIF(BA70:BA100,"&lt;900")</f>
        <v>371.66299999998301</v>
      </c>
      <c r="BB378" s="1450">
        <f t="shared" ref="BB378:BI378" ca="1" si="203">SUMIF(BB70:BB100,"&gt;0")</f>
        <v>209.43900000000025</v>
      </c>
      <c r="BC378" s="1450">
        <f t="shared" ca="1" si="203"/>
        <v>40.057000000000251</v>
      </c>
      <c r="BD378" s="1450">
        <f t="shared" ca="1" si="203"/>
        <v>7007.6859999999897</v>
      </c>
      <c r="BE378" s="1450">
        <f t="shared" ca="1" si="203"/>
        <v>197530.02000000002</v>
      </c>
      <c r="BF378" s="1450">
        <f t="shared" ca="1" si="203"/>
        <v>1057734.7621958121</v>
      </c>
      <c r="BG378" s="1450">
        <f t="shared" ca="1" si="203"/>
        <v>170537.80000000002</v>
      </c>
      <c r="BH378" s="1439">
        <f t="shared" ca="1" si="203"/>
        <v>149.82300000000396</v>
      </c>
      <c r="BI378" s="1439">
        <f t="shared" ca="1" si="203"/>
        <v>0</v>
      </c>
      <c r="BJ378" s="1439">
        <f t="shared" ref="BJ378:CL378" ca="1" si="204">SUMIF(BJ70:BJ100,"&gt;0")</f>
        <v>44.788499999999999</v>
      </c>
      <c r="BK378" s="1439">
        <f t="shared" ca="1" si="204"/>
        <v>20</v>
      </c>
      <c r="BL378" s="1439">
        <f t="shared" ca="1" si="204"/>
        <v>466.7599999999984</v>
      </c>
      <c r="BM378" s="1439">
        <f t="shared" ca="1" si="204"/>
        <v>115.02900000000001</v>
      </c>
      <c r="BN378" s="1439">
        <f t="shared" ca="1" si="204"/>
        <v>2.0369999999999999</v>
      </c>
      <c r="BO378" s="1439">
        <f t="shared" ca="1" si="204"/>
        <v>621.10000000000218</v>
      </c>
      <c r="BP378" s="1439">
        <f t="shared" ca="1" si="204"/>
        <v>97.714999999999989</v>
      </c>
      <c r="BQ378" s="1439">
        <f t="shared" ca="1" si="204"/>
        <v>3.4469999999999996</v>
      </c>
      <c r="BR378" s="1439">
        <f t="shared" ca="1" si="204"/>
        <v>396.89999999999782</v>
      </c>
      <c r="BS378" s="1439">
        <f t="shared" ca="1" si="204"/>
        <v>44.951999999999998</v>
      </c>
      <c r="BT378" s="1439">
        <f t="shared" ca="1" si="204"/>
        <v>25.572999999999993</v>
      </c>
      <c r="BU378" s="1439">
        <f t="shared" ca="1" si="204"/>
        <v>213.53999999999905</v>
      </c>
      <c r="BV378" s="1439">
        <f t="shared" ca="1" si="204"/>
        <v>142.61999999999989</v>
      </c>
      <c r="BW378" s="1439">
        <f t="shared" ca="1" si="204"/>
        <v>369.19375000000406</v>
      </c>
      <c r="BX378" s="1439">
        <f t="shared" ca="1" si="204"/>
        <v>247.33950000000002</v>
      </c>
      <c r="BY378" s="1439">
        <f t="shared" ca="1" si="204"/>
        <v>155.65375000000492</v>
      </c>
      <c r="BZ378" s="1439">
        <f t="shared" ca="1" si="204"/>
        <v>33.027199999999908</v>
      </c>
      <c r="CA378" s="1439">
        <f t="shared" ca="1" si="204"/>
        <v>155.65375000000492</v>
      </c>
      <c r="CB378" s="1439">
        <f t="shared" ca="1" si="204"/>
        <v>49.540799999999869</v>
      </c>
      <c r="CC378" s="1439">
        <f t="shared" ca="1" si="204"/>
        <v>77.979199999999921</v>
      </c>
      <c r="CD378" s="1439">
        <f t="shared" ca="1" si="204"/>
        <v>104.71950000000012</v>
      </c>
      <c r="CE378" s="1439">
        <f t="shared" ca="1" si="204"/>
        <v>142.61999999999989</v>
      </c>
      <c r="CF378" s="1439">
        <f t="shared" ca="1" si="204"/>
        <v>104.71950000000012</v>
      </c>
      <c r="CG378" s="1439">
        <f t="shared" ca="1" si="204"/>
        <v>20.028500000000125</v>
      </c>
      <c r="CH378" s="1439">
        <f t="shared" ca="1" si="204"/>
        <v>20.028500000000125</v>
      </c>
      <c r="CI378" s="1439">
        <f t="shared" ca="1" si="204"/>
        <v>45.601500000000122</v>
      </c>
      <c r="CJ378" s="1439">
        <f t="shared" ca="1" si="204"/>
        <v>306019.0381201054</v>
      </c>
      <c r="CK378" s="1439">
        <f t="shared" si="204"/>
        <v>1.5</v>
      </c>
      <c r="CL378" s="1439">
        <f t="shared" si="204"/>
        <v>1.7000000000000002</v>
      </c>
    </row>
    <row r="379" spans="2:90">
      <c r="B379" s="1525" t="s">
        <v>178</v>
      </c>
      <c r="C379" s="1450">
        <f t="shared" ref="C379:Q379" ca="1" si="205">SUMIF(C101:C130,"&gt;0")</f>
        <v>9357.1500000000233</v>
      </c>
      <c r="D379" s="1450">
        <f t="shared" ca="1" si="205"/>
        <v>154.463473048483</v>
      </c>
      <c r="E379" s="1450">
        <f t="shared" ca="1" si="205"/>
        <v>718</v>
      </c>
      <c r="F379" s="1450">
        <f t="shared" ca="1" si="205"/>
        <v>0</v>
      </c>
      <c r="G379" s="1450">
        <f t="shared" ca="1" si="205"/>
        <v>0</v>
      </c>
      <c r="H379" s="1450">
        <f t="shared" ca="1" si="205"/>
        <v>0</v>
      </c>
      <c r="I379" s="205">
        <f t="shared" ca="1" si="205"/>
        <v>9357.1500000000233</v>
      </c>
      <c r="J379" s="1450">
        <f t="shared" ca="1" si="205"/>
        <v>3766.1000000000022</v>
      </c>
      <c r="K379" s="1450">
        <f t="shared" ca="1" si="205"/>
        <v>100.07923481234741</v>
      </c>
      <c r="L379" s="1450">
        <f t="shared" ca="1" si="205"/>
        <v>631.89999999999418</v>
      </c>
      <c r="M379" s="1450">
        <f t="shared" ca="1" si="205"/>
        <v>0</v>
      </c>
      <c r="N379" s="1450">
        <f t="shared" ca="1" si="205"/>
        <v>0</v>
      </c>
      <c r="O379" s="1450">
        <f t="shared" ca="1" si="205"/>
        <v>0</v>
      </c>
      <c r="P379" s="205">
        <f t="shared" ca="1" si="205"/>
        <v>3766.1000000000022</v>
      </c>
      <c r="Q379" s="1450">
        <f t="shared" ca="1" si="205"/>
        <v>5.1920000000000073</v>
      </c>
      <c r="R379" s="1450">
        <f t="shared" ref="R379:X379" ca="1" si="206">SUMIF(R101:R130,"&gt;0")</f>
        <v>623.04000000000087</v>
      </c>
      <c r="S379" s="1478">
        <f t="shared" ca="1" si="206"/>
        <v>7.6000000000003638</v>
      </c>
      <c r="T379" s="1450">
        <f t="shared" ca="1" si="206"/>
        <v>26.50100000000009</v>
      </c>
      <c r="U379" s="1450">
        <f t="shared" ca="1" si="206"/>
        <v>3180.1200000000108</v>
      </c>
      <c r="V379" s="1450">
        <f t="shared" ca="1" si="206"/>
        <v>30.200000000000045</v>
      </c>
      <c r="W379" s="1450">
        <f t="shared" ca="1" si="206"/>
        <v>13123.250000000025</v>
      </c>
      <c r="X379" s="1450">
        <f t="shared" ca="1" si="206"/>
        <v>31.693000000000097</v>
      </c>
      <c r="Y379" s="1482">
        <f ca="1">SUMIF(Y101:Y130,"&gt;0")</f>
        <v>13154.943000000025</v>
      </c>
      <c r="Z379" s="1450">
        <f ca="1">SUMIF(Z101:Z130,"&gt;0")</f>
        <v>254.54270786083043</v>
      </c>
      <c r="AA379" s="1450">
        <f ca="1">SUMIF(AA101:AA130,"&gt;0")</f>
        <v>3803.1600000000117</v>
      </c>
      <c r="AB379" s="1450">
        <f ca="1">SUMIF(AB101:AB130,"&gt;0")</f>
        <v>1349.8999999999942</v>
      </c>
      <c r="AC379" s="1450">
        <f ca="1">SUMIF(AC101:AC130,"&gt;0")</f>
        <v>37.800000000000409</v>
      </c>
      <c r="AD379" s="1450">
        <f t="shared" ref="AD379:AK379" ca="1" si="207">SUMIF(AD101:AD130,"&gt;0")</f>
        <v>4906.9500000000698</v>
      </c>
      <c r="AE379" s="1450">
        <f t="shared" ca="1" si="207"/>
        <v>713.89999999999418</v>
      </c>
      <c r="AF379" s="1450">
        <f t="shared" ca="1" si="207"/>
        <v>4297.2000000000116</v>
      </c>
      <c r="AG379" s="1450">
        <f t="shared" ca="1" si="207"/>
        <v>680.40000000000873</v>
      </c>
      <c r="AH379" s="1450">
        <f t="shared" ca="1" si="207"/>
        <v>314.19999999999891</v>
      </c>
      <c r="AI379" s="1450">
        <f t="shared" ca="1" si="207"/>
        <v>1161.3899999999994</v>
      </c>
      <c r="AJ379" s="1450">
        <f t="shared" ca="1" si="207"/>
        <v>211.93000000000757</v>
      </c>
      <c r="AK379" s="1450">
        <f t="shared" ca="1" si="207"/>
        <v>421.5</v>
      </c>
      <c r="AL379" s="1450">
        <f ca="1">SUMIF(AL101:AL130,"&lt;50")</f>
        <v>1024.5729999999701</v>
      </c>
      <c r="AM379" s="1450">
        <f t="shared" ref="AM379:AZ379" ca="1" si="208">SUMIF(AM101:AM130,"&gt;0")</f>
        <v>251.22449999996763</v>
      </c>
      <c r="AN379" s="1450">
        <f t="shared" ca="1" si="208"/>
        <v>98.091000000000065</v>
      </c>
      <c r="AO379" s="1450">
        <f t="shared" ca="1" si="208"/>
        <v>4815.3800000000047</v>
      </c>
      <c r="AP379" s="1450">
        <f t="shared" ca="1" si="208"/>
        <v>1913.9600000000009</v>
      </c>
      <c r="AQ379" s="1450">
        <f t="shared" ca="1" si="208"/>
        <v>2.8450000000000273</v>
      </c>
      <c r="AR379" s="1450">
        <f t="shared" ca="1" si="208"/>
        <v>10.230999999999995</v>
      </c>
      <c r="AS379" s="1450">
        <f t="shared" ca="1" si="208"/>
        <v>442.10999999998603</v>
      </c>
      <c r="AT379" s="1450">
        <f t="shared" ca="1" si="208"/>
        <v>71.069999999999709</v>
      </c>
      <c r="AU379" s="1450">
        <f t="shared" ca="1" si="208"/>
        <v>2481.6600000000326</v>
      </c>
      <c r="AV379" s="1450">
        <f t="shared" si="208"/>
        <v>1861.2900000000081</v>
      </c>
      <c r="AW379" s="1450">
        <f t="shared" ca="1" si="208"/>
        <v>121.5</v>
      </c>
      <c r="AX379" s="1450">
        <f t="shared" ca="1" si="208"/>
        <v>953.65000000000873</v>
      </c>
      <c r="AY379" s="1450">
        <f t="shared" ca="1" si="208"/>
        <v>161.02999999999884</v>
      </c>
      <c r="AZ379" s="1450">
        <f t="shared" ca="1" si="208"/>
        <v>331.5</v>
      </c>
      <c r="BA379" s="1450">
        <f ca="1">SUMIF(BA101:BA130,"&lt;900")</f>
        <v>354.19099999995416</v>
      </c>
      <c r="BB379" s="1450">
        <f t="shared" ref="BB379:BI379" ca="1" si="209">SUMIF(BB101:BB130,"&gt;0")</f>
        <v>240.16500000000337</v>
      </c>
      <c r="BC379" s="1450">
        <f t="shared" ca="1" si="209"/>
        <v>29.04499999999998</v>
      </c>
      <c r="BD379" s="1450">
        <f t="shared" ca="1" si="209"/>
        <v>6742.4160000000047</v>
      </c>
      <c r="BE379" s="1450">
        <f t="shared" ca="1" si="209"/>
        <v>178308.26</v>
      </c>
      <c r="BF379" s="1450">
        <f t="shared" ca="1" si="209"/>
        <v>953634.37719298247</v>
      </c>
      <c r="BG379" s="1450">
        <f t="shared" ca="1" si="209"/>
        <v>169017.87000000002</v>
      </c>
      <c r="BH379" s="1439">
        <f t="shared" ca="1" si="209"/>
        <v>140.40000000000146</v>
      </c>
      <c r="BI379" s="1439">
        <f t="shared" ca="1" si="209"/>
        <v>0</v>
      </c>
      <c r="BJ379" s="1439">
        <f t="shared" ref="BJ379:CL379" ca="1" si="210">SUMIF(BJ101:BJ130,"&gt;0")</f>
        <v>67.921499999999995</v>
      </c>
      <c r="BK379" s="1439">
        <f t="shared" ca="1" si="210"/>
        <v>30</v>
      </c>
      <c r="BL379" s="1439">
        <f t="shared" ca="1" si="210"/>
        <v>653.65000000000146</v>
      </c>
      <c r="BM379" s="1439">
        <f t="shared" ca="1" si="210"/>
        <v>15.508999999999999</v>
      </c>
      <c r="BN379" s="1439">
        <f t="shared" ca="1" si="210"/>
        <v>0.21100000000000002</v>
      </c>
      <c r="BO379" s="1439">
        <f t="shared" ca="1" si="210"/>
        <v>64.299999999999272</v>
      </c>
      <c r="BP379" s="1439">
        <f t="shared" ca="1" si="210"/>
        <v>136.77500000000003</v>
      </c>
      <c r="BQ379" s="1439">
        <f t="shared" ca="1" si="210"/>
        <v>20.439000000000007</v>
      </c>
      <c r="BR379" s="1439">
        <f t="shared" ca="1" si="210"/>
        <v>710.22000000000116</v>
      </c>
      <c r="BS379" s="1439">
        <f t="shared" ca="1" si="210"/>
        <v>42.579000000000001</v>
      </c>
      <c r="BT379" s="1439">
        <f t="shared" ca="1" si="210"/>
        <v>23.784999999999997</v>
      </c>
      <c r="BU379" s="1439">
        <f t="shared" ca="1" si="210"/>
        <v>205.10000000000036</v>
      </c>
      <c r="BV379" s="1439">
        <f t="shared" ca="1" si="210"/>
        <v>133.94999999999982</v>
      </c>
      <c r="BW379" s="1439">
        <f t="shared" ca="1" si="210"/>
        <v>330.71224999998418</v>
      </c>
      <c r="BX379" s="1439">
        <f t="shared" ca="1" si="210"/>
        <v>254.03250000000142</v>
      </c>
      <c r="BY379" s="1439">
        <f t="shared" ca="1" si="210"/>
        <v>125.61224999998382</v>
      </c>
      <c r="BZ379" s="1439">
        <f t="shared" ca="1" si="210"/>
        <v>39.236400000000032</v>
      </c>
      <c r="CA379" s="1439">
        <f t="shared" ca="1" si="210"/>
        <v>125.61224999998382</v>
      </c>
      <c r="CB379" s="1439">
        <f t="shared" ca="1" si="210"/>
        <v>58.854600000000026</v>
      </c>
      <c r="CC379" s="1439">
        <f t="shared" ca="1" si="210"/>
        <v>81.815400000000039</v>
      </c>
      <c r="CD379" s="1439">
        <f t="shared" ca="1" si="210"/>
        <v>120.08250000000169</v>
      </c>
      <c r="CE379" s="1439">
        <f t="shared" ca="1" si="210"/>
        <v>133.94999999999982</v>
      </c>
      <c r="CF379" s="1439">
        <f t="shared" ca="1" si="210"/>
        <v>120.08250000000169</v>
      </c>
      <c r="CG379" s="1439">
        <f t="shared" ca="1" si="210"/>
        <v>14.52249999999999</v>
      </c>
      <c r="CH379" s="1439">
        <f t="shared" ca="1" si="210"/>
        <v>14.52249999999999</v>
      </c>
      <c r="CI379" s="1439">
        <f t="shared" ca="1" si="210"/>
        <v>38.307499999999983</v>
      </c>
      <c r="CJ379" s="1439">
        <f t="shared" ca="1" si="210"/>
        <v>275158.24263386859</v>
      </c>
      <c r="CK379" s="1439">
        <f t="shared" si="210"/>
        <v>5.3000000000000007</v>
      </c>
      <c r="CL379" s="1439">
        <f t="shared" si="210"/>
        <v>4.8</v>
      </c>
    </row>
    <row r="380" spans="2:90" s="1451" customFormat="1">
      <c r="B380" s="1526" t="s">
        <v>179</v>
      </c>
      <c r="C380" s="1482">
        <f t="shared" ref="C380:Q380" ca="1" si="211">SUMIF(C131:C161,"&gt;0")</f>
        <v>6850.8499999999767</v>
      </c>
      <c r="D380" s="1482">
        <f t="shared" ca="1" si="211"/>
        <v>139.16309963284951</v>
      </c>
      <c r="E380" s="1482">
        <f t="shared" ca="1" si="211"/>
        <v>725.19999999998254</v>
      </c>
      <c r="F380" s="1482">
        <f t="shared" ca="1" si="211"/>
        <v>0</v>
      </c>
      <c r="G380" s="1482">
        <f t="shared" ca="1" si="211"/>
        <v>0</v>
      </c>
      <c r="H380" s="1482">
        <f t="shared" ca="1" si="211"/>
        <v>0</v>
      </c>
      <c r="I380" s="205">
        <f t="shared" ca="1" si="211"/>
        <v>6850.8499999999767</v>
      </c>
      <c r="J380" s="1482">
        <f t="shared" ca="1" si="211"/>
        <v>6271.0999999999985</v>
      </c>
      <c r="K380" s="1482">
        <f t="shared" ca="1" si="211"/>
        <v>134.2026791999287</v>
      </c>
      <c r="L380" s="1482">
        <f t="shared" ca="1" si="211"/>
        <v>744</v>
      </c>
      <c r="M380" s="1482">
        <f t="shared" ca="1" si="211"/>
        <v>0</v>
      </c>
      <c r="N380" s="1482">
        <f t="shared" ca="1" si="211"/>
        <v>0</v>
      </c>
      <c r="O380" s="1482">
        <f t="shared" ca="1" si="211"/>
        <v>0</v>
      </c>
      <c r="P380" s="205">
        <f t="shared" ca="1" si="211"/>
        <v>6271.0999999999985</v>
      </c>
      <c r="Q380" s="1482">
        <f t="shared" ca="1" si="211"/>
        <v>1.4770000000000891</v>
      </c>
      <c r="R380" s="1482">
        <f t="shared" ref="R380:AC380" ca="1" si="212">SUMIF(R131:R161,"&gt;0")</f>
        <v>177.2400000000107</v>
      </c>
      <c r="S380" s="1481">
        <f t="shared" ca="1" si="212"/>
        <v>2.8000000000001819</v>
      </c>
      <c r="T380" s="1482">
        <f t="shared" ca="1" si="212"/>
        <v>2.8199999999999363</v>
      </c>
      <c r="U380" s="1482">
        <f t="shared" ca="1" si="212"/>
        <v>338.39999999999236</v>
      </c>
      <c r="V380" s="1482">
        <f t="shared" ca="1" si="212"/>
        <v>3.5</v>
      </c>
      <c r="W380" s="1482">
        <f t="shared" ca="1" si="212"/>
        <v>13121.949999999975</v>
      </c>
      <c r="X380" s="1482">
        <f t="shared" ca="1" si="212"/>
        <v>4.2970000000000255</v>
      </c>
      <c r="Y380" s="1482">
        <f t="shared" ca="1" si="212"/>
        <v>13126.246999999976</v>
      </c>
      <c r="Z380" s="1482">
        <f t="shared" ca="1" si="212"/>
        <v>273.36577883277818</v>
      </c>
      <c r="AA380" s="1482">
        <f t="shared" ca="1" si="212"/>
        <v>515.64000000000306</v>
      </c>
      <c r="AB380" s="1482">
        <f t="shared" ca="1" si="212"/>
        <v>1469.1999999999825</v>
      </c>
      <c r="AC380" s="1482">
        <f t="shared" ca="1" si="212"/>
        <v>6.3000000000001819</v>
      </c>
      <c r="AD380" s="1482">
        <f t="shared" ref="AD380:AK380" ca="1" si="213">SUMIF(AD131:AD161,"&gt;0")</f>
        <v>4462.7</v>
      </c>
      <c r="AE380" s="1482">
        <f t="shared" ca="1" si="213"/>
        <v>639.5</v>
      </c>
      <c r="AF380" s="1450">
        <f t="shared" ca="1" si="213"/>
        <v>4650.7999999999884</v>
      </c>
      <c r="AG380" s="1482">
        <f t="shared" ca="1" si="213"/>
        <v>743.99999999998545</v>
      </c>
      <c r="AH380" s="1482">
        <f t="shared" ca="1" si="213"/>
        <v>340.70000000000437</v>
      </c>
      <c r="AI380" s="1482">
        <f t="shared" ca="1" si="213"/>
        <v>1128.5100000000093</v>
      </c>
      <c r="AJ380" s="1482">
        <f t="shared" ca="1" si="213"/>
        <v>206.06999999999243</v>
      </c>
      <c r="AK380" s="1482">
        <f t="shared" ca="1" si="213"/>
        <v>394.5</v>
      </c>
      <c r="AL380" s="1482">
        <f ca="1">SUMIF(AL131:AL161,"&lt;50")</f>
        <v>1060.5669999999473</v>
      </c>
      <c r="AM380" s="1450">
        <f t="shared" ref="AM380:AZ380" ca="1" si="214">SUMIF(AM131:AM161,"&gt;0")</f>
        <v>283.9545000000341</v>
      </c>
      <c r="AN380" s="1482">
        <f t="shared" ca="1" si="214"/>
        <v>99.264000000000195</v>
      </c>
      <c r="AO380" s="1482">
        <f t="shared" ca="1" si="214"/>
        <v>3382.6199999999953</v>
      </c>
      <c r="AP380" s="1482">
        <f t="shared" ca="1" si="214"/>
        <v>3176.9399999999987</v>
      </c>
      <c r="AQ380" s="1482">
        <f t="shared" ca="1" si="214"/>
        <v>0.7419999999999618</v>
      </c>
      <c r="AR380" s="1482">
        <f t="shared" ca="1" si="214"/>
        <v>1.0790000000000077</v>
      </c>
      <c r="AS380" s="1482">
        <f t="shared" ca="1" si="214"/>
        <v>450.39000000001397</v>
      </c>
      <c r="AT380" s="1482">
        <f t="shared" ca="1" si="214"/>
        <v>79.299999999997453</v>
      </c>
      <c r="AU380" s="1482">
        <f t="shared" ca="1" si="214"/>
        <v>2224.4</v>
      </c>
      <c r="AV380" s="1482">
        <f t="shared" ca="1" si="214"/>
        <v>2015.7099999999919</v>
      </c>
      <c r="AW380" s="1482">
        <f t="shared" ca="1" si="214"/>
        <v>131.20000000000255</v>
      </c>
      <c r="AX380" s="1482">
        <f t="shared" ca="1" si="214"/>
        <v>957.04999999999563</v>
      </c>
      <c r="AY380" s="1482">
        <f t="shared" ca="1" si="214"/>
        <v>155.7699999999968</v>
      </c>
      <c r="AZ380" s="1482">
        <f t="shared" ca="1" si="214"/>
        <v>310.69999999999709</v>
      </c>
      <c r="BA380" s="1482">
        <f ca="1">SUMIF(BA131:BA161,"&lt;900")</f>
        <v>180.0370000000126</v>
      </c>
      <c r="BB380" s="1482">
        <f t="shared" ref="BB380:BI380" ca="1" si="215">SUMIF(BB131:BB161,"&gt;0")</f>
        <v>305.69899999999711</v>
      </c>
      <c r="BC380" s="1482">
        <f t="shared" ca="1" si="215"/>
        <v>67.069999999999737</v>
      </c>
      <c r="BD380" s="1482">
        <f t="shared" ca="1" si="215"/>
        <v>6561.3809999999939</v>
      </c>
      <c r="BE380" s="1482">
        <f t="shared" ca="1" si="215"/>
        <v>182219.67999999996</v>
      </c>
      <c r="BF380" s="1482">
        <f t="shared" ca="1" si="215"/>
        <v>930329.45087719301</v>
      </c>
      <c r="BG380" s="1482">
        <f t="shared" ca="1" si="215"/>
        <v>183486.08000000002</v>
      </c>
      <c r="BH380" s="1448">
        <f t="shared" ca="1" si="215"/>
        <v>158.69999999999709</v>
      </c>
      <c r="BI380" s="1448">
        <f t="shared" ca="1" si="215"/>
        <v>0</v>
      </c>
      <c r="BJ380" s="1439">
        <f t="shared" ref="BJ380:CL380" ca="1" si="216">SUMIF(BJ131:BJ161,"&gt;0")</f>
        <v>53.210499999999996</v>
      </c>
      <c r="BK380" s="1448">
        <f t="shared" ca="1" si="216"/>
        <v>23</v>
      </c>
      <c r="BL380" s="1448">
        <f t="shared" ca="1" si="216"/>
        <v>510.14999999999782</v>
      </c>
      <c r="BM380" s="1439">
        <f t="shared" ca="1" si="216"/>
        <v>85.939999999999984</v>
      </c>
      <c r="BN380" s="1448">
        <f t="shared" ca="1" si="216"/>
        <v>8.1749999999999989</v>
      </c>
      <c r="BO380" s="1448">
        <f t="shared" ca="1" si="216"/>
        <v>472</v>
      </c>
      <c r="BP380" s="1439">
        <f t="shared" ca="1" si="216"/>
        <v>95.945000000000007</v>
      </c>
      <c r="BQ380" s="1448">
        <f t="shared" ca="1" si="216"/>
        <v>9.509999999999998</v>
      </c>
      <c r="BR380" s="1448">
        <f t="shared" ca="1" si="216"/>
        <v>506.58000000000175</v>
      </c>
      <c r="BS380" s="1439">
        <f t="shared" ca="1" si="216"/>
        <v>44.586000000000006</v>
      </c>
      <c r="BT380" s="1448">
        <f t="shared" ca="1" si="216"/>
        <v>26.409999999999997</v>
      </c>
      <c r="BU380" s="1439">
        <f t="shared" ca="1" si="216"/>
        <v>219.5</v>
      </c>
      <c r="BV380" s="1448">
        <f t="shared" ca="1" si="216"/>
        <v>146.65000000000055</v>
      </c>
      <c r="BW380" s="1448">
        <f t="shared" ca="1" si="216"/>
        <v>361.47725000001702</v>
      </c>
      <c r="BX380" s="1448">
        <f t="shared" ca="1" si="216"/>
        <v>299.4994999999991</v>
      </c>
      <c r="BY380" s="1448">
        <f t="shared" ca="1" si="216"/>
        <v>141.97725000001705</v>
      </c>
      <c r="BZ380" s="1448">
        <f t="shared" ca="1" si="216"/>
        <v>39.705600000000089</v>
      </c>
      <c r="CA380" s="1448">
        <f t="shared" ca="1" si="216"/>
        <v>141.97725000001705</v>
      </c>
      <c r="CB380" s="1448">
        <f t="shared" ca="1" si="216"/>
        <v>59.558400000000113</v>
      </c>
      <c r="CC380" s="1448">
        <f t="shared" ca="1" si="216"/>
        <v>84.291600000000074</v>
      </c>
      <c r="CD380" s="1448">
        <f t="shared" ca="1" si="216"/>
        <v>152.84949999999856</v>
      </c>
      <c r="CE380" s="1448">
        <f t="shared" ca="1" si="216"/>
        <v>146.65000000000055</v>
      </c>
      <c r="CF380" s="1448">
        <f t="shared" ca="1" si="216"/>
        <v>152.84949999999856</v>
      </c>
      <c r="CG380" s="1448">
        <f t="shared" ca="1" si="216"/>
        <v>33.534999999999869</v>
      </c>
      <c r="CH380" s="1448">
        <f t="shared" ca="1" si="216"/>
        <v>33.534999999999869</v>
      </c>
      <c r="CI380" s="1448">
        <f t="shared" ca="1" si="216"/>
        <v>59.944999999999879</v>
      </c>
      <c r="CJ380" s="1448">
        <f t="shared" ca="1" si="216"/>
        <v>251569.96379734785</v>
      </c>
      <c r="CK380" s="1448">
        <f t="shared" si="216"/>
        <v>2.9000000000000004</v>
      </c>
      <c r="CL380" s="1448">
        <f t="shared" si="216"/>
        <v>4.28</v>
      </c>
    </row>
    <row r="381" spans="2:90">
      <c r="B381" s="1525" t="s">
        <v>181</v>
      </c>
      <c r="C381" s="1450">
        <f t="shared" ref="C381:Q381" ca="1" si="217">SUMIF(C162:C191,"&gt;0")</f>
        <v>7944.3260000000009</v>
      </c>
      <c r="D381" s="1450">
        <f t="shared" ca="1" si="217"/>
        <v>144.31918901266104</v>
      </c>
      <c r="E381" s="1450">
        <f t="shared" ca="1" si="217"/>
        <v>720</v>
      </c>
      <c r="F381" s="1450">
        <f t="shared" ca="1" si="217"/>
        <v>0</v>
      </c>
      <c r="G381" s="1450">
        <f t="shared" ca="1" si="217"/>
        <v>0</v>
      </c>
      <c r="H381" s="1450">
        <f t="shared" ca="1" si="217"/>
        <v>0</v>
      </c>
      <c r="I381" s="205">
        <f t="shared" ca="1" si="217"/>
        <v>7944.3260000000009</v>
      </c>
      <c r="J381" s="1450">
        <f t="shared" ca="1" si="217"/>
        <v>5185.239999999998</v>
      </c>
      <c r="K381" s="1450">
        <f t="shared" ca="1" si="217"/>
        <v>119.53144598956018</v>
      </c>
      <c r="L381" s="1450">
        <f t="shared" ca="1" si="217"/>
        <v>720</v>
      </c>
      <c r="M381" s="1450">
        <f t="shared" ca="1" si="217"/>
        <v>0</v>
      </c>
      <c r="N381" s="1450">
        <f t="shared" ca="1" si="217"/>
        <v>0</v>
      </c>
      <c r="O381" s="1450">
        <f t="shared" ca="1" si="217"/>
        <v>0</v>
      </c>
      <c r="P381" s="205">
        <f t="shared" ca="1" si="217"/>
        <v>5185.239999999998</v>
      </c>
      <c r="Q381" s="1450">
        <f t="shared" ca="1" si="217"/>
        <v>0.78399999999987813</v>
      </c>
      <c r="R381" s="1450">
        <f t="shared" ref="R381:AC381" ca="1" si="218">SUMIF(R162:R191,"&gt;0")</f>
        <v>94.079999999985375</v>
      </c>
      <c r="S381" s="1478">
        <f t="shared" ca="1" si="218"/>
        <v>2.6999999999998181</v>
      </c>
      <c r="T381" s="1450">
        <f t="shared" ca="1" si="218"/>
        <v>1.3020000000000209</v>
      </c>
      <c r="U381" s="1450">
        <f t="shared" ca="1" si="218"/>
        <v>156.24000000000251</v>
      </c>
      <c r="V381" s="1450">
        <f t="shared" ca="1" si="218"/>
        <v>1.4499999999998181</v>
      </c>
      <c r="W381" s="1450">
        <f t="shared" ca="1" si="218"/>
        <v>13129.565999999999</v>
      </c>
      <c r="X381" s="1450">
        <f t="shared" ca="1" si="218"/>
        <v>2.085999999999899</v>
      </c>
      <c r="Y381" s="1482">
        <f t="shared" ca="1" si="218"/>
        <v>13131.651999999998</v>
      </c>
      <c r="Z381" s="1450">
        <f t="shared" ca="1" si="218"/>
        <v>263.85063500222122</v>
      </c>
      <c r="AA381" s="1450">
        <f t="shared" ca="1" si="218"/>
        <v>250.31999999998789</v>
      </c>
      <c r="AB381" s="1450">
        <f t="shared" ca="1" si="218"/>
        <v>1440</v>
      </c>
      <c r="AC381" s="1450">
        <f t="shared" ca="1" si="218"/>
        <v>4.1499999999996362</v>
      </c>
      <c r="AD381" s="1450">
        <f t="shared" ref="AD381:AK381" ca="1" si="219">SUMIF(AD162:AD191,"&gt;0")</f>
        <v>4888.1229999999996</v>
      </c>
      <c r="AE381" s="1450">
        <f t="shared" ca="1" si="219"/>
        <v>718.89999999999418</v>
      </c>
      <c r="AF381" s="1450">
        <f t="shared" ca="1" si="219"/>
        <v>4468.4099999999744</v>
      </c>
      <c r="AG381" s="1450">
        <f t="shared" ca="1" si="219"/>
        <v>720</v>
      </c>
      <c r="AH381" s="1450">
        <f t="shared" ca="1" si="219"/>
        <v>284.49999999999636</v>
      </c>
      <c r="AI381" s="1450">
        <f t="shared" ca="1" si="219"/>
        <v>1097.3799999999901</v>
      </c>
      <c r="AJ381" s="1450">
        <f t="shared" ca="1" si="219"/>
        <v>181.57000000000698</v>
      </c>
      <c r="AK381" s="1450">
        <f t="shared" ca="1" si="219"/>
        <v>342.88000000000466</v>
      </c>
      <c r="AL381" s="1450">
        <f ca="1">SUMIF(AL162:AL191,"&lt;50")</f>
        <v>1018.0990000000243</v>
      </c>
      <c r="AM381" s="1450">
        <f t="shared" ref="AM381:AZ381" ca="1" si="220">SUMIF(AM162:AM191,"&gt;0")</f>
        <v>309.80600000000226</v>
      </c>
      <c r="AN381" s="1450">
        <f t="shared" ca="1" si="220"/>
        <v>104.35900000000066</v>
      </c>
      <c r="AO381" s="1450">
        <f t="shared" ca="1" si="220"/>
        <v>3936.7999999999884</v>
      </c>
      <c r="AP381" s="1450">
        <f t="shared" ca="1" si="220"/>
        <v>2644.3430000000008</v>
      </c>
      <c r="AQ381" s="1450">
        <f t="shared" ca="1" si="220"/>
        <v>0.3930000000000291</v>
      </c>
      <c r="AR381" s="1450">
        <f t="shared" ca="1" si="220"/>
        <v>0.49699999999995725</v>
      </c>
      <c r="AS381" s="1450">
        <f t="shared" ca="1" si="220"/>
        <v>430.83999999999651</v>
      </c>
      <c r="AT381" s="1450">
        <f t="shared" ca="1" si="220"/>
        <v>97.069999999999652</v>
      </c>
      <c r="AU381" s="1450">
        <f t="shared" ca="1" si="220"/>
        <v>2453.6949999999997</v>
      </c>
      <c r="AV381" s="1450">
        <f t="shared" ca="1" si="220"/>
        <v>1934.7399999999907</v>
      </c>
      <c r="AW381" s="1450">
        <f t="shared" ca="1" si="220"/>
        <v>111</v>
      </c>
      <c r="AX381" s="1450">
        <f t="shared" ca="1" si="220"/>
        <v>939.61000000000058</v>
      </c>
      <c r="AY381" s="1450">
        <f t="shared" ca="1" si="220"/>
        <v>135.78000000000611</v>
      </c>
      <c r="AZ381" s="1450">
        <f t="shared" ca="1" si="220"/>
        <v>273.3700000000099</v>
      </c>
      <c r="BA381" s="1450">
        <f ca="1">SUMIF(BA162:BA191,"&lt;900")</f>
        <v>195.04799999996715</v>
      </c>
      <c r="BB381" s="1450">
        <f t="shared" ref="BB381:BI381" ca="1" si="221">SUMIF(BB162:BB191,"&gt;0")</f>
        <v>286.64700000001466</v>
      </c>
      <c r="BC381" s="1450">
        <f t="shared" ca="1" si="221"/>
        <v>72.710000000000377</v>
      </c>
      <c r="BD381" s="1450">
        <f t="shared" ca="1" si="221"/>
        <v>6582.0329999999894</v>
      </c>
      <c r="BE381" s="1450">
        <f t="shared" ca="1" si="221"/>
        <v>178650.36968033644</v>
      </c>
      <c r="BF381" s="1450">
        <f t="shared" ca="1" si="221"/>
        <v>857857.34210526315</v>
      </c>
      <c r="BG381" s="1450">
        <f t="shared" ca="1" si="221"/>
        <v>184119.67</v>
      </c>
      <c r="BH381" s="1439">
        <f t="shared" ca="1" si="221"/>
        <v>145.67599999999948</v>
      </c>
      <c r="BI381" s="1439">
        <f t="shared" ca="1" si="221"/>
        <v>0</v>
      </c>
      <c r="BJ381" s="1439">
        <f t="shared" ref="BJ381:CL381" ca="1" si="222">SUMIF(BJ162:BJ191,"&gt;0")</f>
        <v>35.78</v>
      </c>
      <c r="BK381" s="1439">
        <f t="shared" ca="1" si="222"/>
        <v>15</v>
      </c>
      <c r="BL381" s="1439">
        <f t="shared" ca="1" si="222"/>
        <v>340.44000000000233</v>
      </c>
      <c r="BM381" s="1439">
        <f t="shared" ca="1" si="222"/>
        <v>104.69200000000001</v>
      </c>
      <c r="BN381" s="1439">
        <f t="shared" ca="1" si="222"/>
        <v>8.6239999999999988</v>
      </c>
      <c r="BO381" s="1439">
        <f t="shared" ca="1" si="222"/>
        <v>694.89999999999782</v>
      </c>
      <c r="BP381" s="1439">
        <f t="shared" ca="1" si="222"/>
        <v>73.341999999999999</v>
      </c>
      <c r="BQ381" s="1439">
        <f t="shared" ca="1" si="222"/>
        <v>6.2419999999999991</v>
      </c>
      <c r="BR381" s="1439">
        <f t="shared" ca="1" si="222"/>
        <v>391.89999999999782</v>
      </c>
      <c r="BS381" s="1439">
        <f t="shared" ca="1" si="222"/>
        <v>41.90100000000001</v>
      </c>
      <c r="BT381" s="1439">
        <f t="shared" ca="1" si="222"/>
        <v>23.367000000000001</v>
      </c>
      <c r="BU381" s="1439">
        <f t="shared" ca="1" si="222"/>
        <v>180.80999999999949</v>
      </c>
      <c r="BV381" s="1439">
        <f t="shared" ca="1" si="222"/>
        <v>126.19999999999982</v>
      </c>
      <c r="BW381" s="1439">
        <f t="shared" ca="1" si="222"/>
        <v>335.71300000000059</v>
      </c>
      <c r="BX381" s="1439">
        <f t="shared" ca="1" si="222"/>
        <v>269.52350000000718</v>
      </c>
      <c r="BY381" s="1439">
        <f t="shared" ca="1" si="222"/>
        <v>154.90300000000113</v>
      </c>
      <c r="BZ381" s="1439">
        <f t="shared" ca="1" si="222"/>
        <v>41.743600000000257</v>
      </c>
      <c r="CA381" s="1439">
        <f t="shared" ca="1" si="222"/>
        <v>154.90300000000113</v>
      </c>
      <c r="CB381" s="1439">
        <f t="shared" ca="1" si="222"/>
        <v>62.615400000000385</v>
      </c>
      <c r="CC381" s="1439">
        <f t="shared" ca="1" si="222"/>
        <v>83.644600000000253</v>
      </c>
      <c r="CD381" s="1439">
        <f t="shared" ca="1" si="222"/>
        <v>143.32350000000733</v>
      </c>
      <c r="CE381" s="1439">
        <f t="shared" ca="1" si="222"/>
        <v>126.19999999999982</v>
      </c>
      <c r="CF381" s="1439">
        <f t="shared" ca="1" si="222"/>
        <v>143.32350000000733</v>
      </c>
      <c r="CG381" s="1439">
        <f t="shared" ca="1" si="222"/>
        <v>36.355000000000189</v>
      </c>
      <c r="CH381" s="1439">
        <f t="shared" ca="1" si="222"/>
        <v>36.355000000000189</v>
      </c>
      <c r="CI381" s="1439">
        <f t="shared" ca="1" si="222"/>
        <v>59.722000000000179</v>
      </c>
      <c r="CJ381" s="1439">
        <f t="shared" ca="1" si="222"/>
        <v>256686.48741963098</v>
      </c>
      <c r="CK381" s="1439">
        <f t="shared" si="222"/>
        <v>1.3</v>
      </c>
      <c r="CL381" s="1439">
        <f t="shared" si="222"/>
        <v>1.3</v>
      </c>
    </row>
    <row r="382" spans="2:90">
      <c r="B382" s="1525" t="s">
        <v>182</v>
      </c>
      <c r="C382" s="1450">
        <f t="shared" ref="C382:Q382" ca="1" si="223">SUMIF(C192:C222,"&gt;0")</f>
        <v>7105.6739999999991</v>
      </c>
      <c r="D382" s="1450">
        <f t="shared" ca="1" si="223"/>
        <v>141.48473307479171</v>
      </c>
      <c r="E382" s="1450">
        <f t="shared" ca="1" si="223"/>
        <v>744</v>
      </c>
      <c r="F382" s="1450">
        <f t="shared" ca="1" si="223"/>
        <v>0</v>
      </c>
      <c r="G382" s="1450">
        <f t="shared" ca="1" si="223"/>
        <v>0</v>
      </c>
      <c r="H382" s="1450">
        <f t="shared" ca="1" si="223"/>
        <v>0</v>
      </c>
      <c r="I382" s="205">
        <f t="shared" ca="1" si="223"/>
        <v>7105.6739999999991</v>
      </c>
      <c r="J382" s="1450">
        <f t="shared" ca="1" si="223"/>
        <v>6458.760000000002</v>
      </c>
      <c r="K382" s="1450">
        <f t="shared" ca="1" si="223"/>
        <v>135.8150147885404</v>
      </c>
      <c r="L382" s="1450">
        <f t="shared" ca="1" si="223"/>
        <v>744</v>
      </c>
      <c r="M382" s="1450">
        <f t="shared" ca="1" si="223"/>
        <v>0</v>
      </c>
      <c r="N382" s="1450">
        <f t="shared" ca="1" si="223"/>
        <v>0</v>
      </c>
      <c r="O382" s="1450">
        <f t="shared" ca="1" si="223"/>
        <v>0</v>
      </c>
      <c r="P382" s="205">
        <f t="shared" ca="1" si="223"/>
        <v>6458.760000000002</v>
      </c>
      <c r="Q382" s="1450">
        <f t="shared" ca="1" si="223"/>
        <v>1.8210000000001401</v>
      </c>
      <c r="R382" s="1450">
        <f t="shared" ref="R382:AC382" ca="1" si="224">SUMIF(R192:R222,"&gt;0")</f>
        <v>218.52000000001681</v>
      </c>
      <c r="S382" s="1478">
        <f t="shared" ca="1" si="224"/>
        <v>4.8999999999996362</v>
      </c>
      <c r="T382" s="1450">
        <f t="shared" ca="1" si="224"/>
        <v>1.7129999999999654</v>
      </c>
      <c r="U382" s="1450">
        <f t="shared" ca="1" si="224"/>
        <v>205.55999999999585</v>
      </c>
      <c r="V382" s="1450">
        <f t="shared" ca="1" si="224"/>
        <v>2.75</v>
      </c>
      <c r="W382" s="1450">
        <f t="shared" ca="1" si="224"/>
        <v>13564.434000000001</v>
      </c>
      <c r="X382" s="1450">
        <f t="shared" ca="1" si="224"/>
        <v>3.5340000000001055</v>
      </c>
      <c r="Y382" s="1450">
        <f ca="1">SUMIF(Y192:Y222,"&gt;0")</f>
        <v>13567.968000000001</v>
      </c>
      <c r="Z382" s="1450">
        <f t="shared" ca="1" si="224"/>
        <v>277.29974786333207</v>
      </c>
      <c r="AA382" s="1450">
        <f t="shared" ca="1" si="224"/>
        <v>424.08000000001266</v>
      </c>
      <c r="AB382" s="1450">
        <f t="shared" ca="1" si="224"/>
        <v>1488</v>
      </c>
      <c r="AC382" s="1450">
        <f t="shared" ca="1" si="224"/>
        <v>7.6499999999996362</v>
      </c>
      <c r="AD382" s="1450">
        <f t="shared" ref="AD382:AK382" ca="1" si="225">SUMIF(AD192:AD222,"&gt;0")</f>
        <v>5086.8770000000004</v>
      </c>
      <c r="AE382" s="1450">
        <f t="shared" ca="1" si="225"/>
        <v>742.39999999999418</v>
      </c>
      <c r="AF382" s="1450">
        <f t="shared" ca="1" si="225"/>
        <v>4584.5900000000256</v>
      </c>
      <c r="AG382" s="1450">
        <f t="shared" ca="1" si="225"/>
        <v>736.90000000000873</v>
      </c>
      <c r="AH382" s="1450">
        <f t="shared" ca="1" si="225"/>
        <v>315.69999999999891</v>
      </c>
      <c r="AI382" s="1450">
        <f t="shared" ca="1" si="225"/>
        <v>1146.4199999999983</v>
      </c>
      <c r="AJ382" s="1450">
        <f t="shared" ca="1" si="225"/>
        <v>229.52999999999884</v>
      </c>
      <c r="AK382" s="1450">
        <f t="shared" ca="1" si="225"/>
        <v>302.51999999998952</v>
      </c>
      <c r="AL382" s="1450">
        <f ca="1">SUMIF(AL192:AL222,"&lt;50")</f>
        <v>1033.9209999999935</v>
      </c>
      <c r="AM382" s="1450">
        <f t="shared" ref="AM382:AZ382" ca="1" si="226">SUMIF(AM192:AM222,"&gt;0")</f>
        <v>270.11099999999601</v>
      </c>
      <c r="AN382" s="1450">
        <f t="shared" ca="1" si="226"/>
        <v>91.279000000000124</v>
      </c>
      <c r="AO382" s="1450">
        <f t="shared" ca="1" si="226"/>
        <v>3508.2000000000116</v>
      </c>
      <c r="AP382" s="1450">
        <f t="shared" ca="1" si="226"/>
        <v>3317.6569999999992</v>
      </c>
      <c r="AQ382" s="1450">
        <f t="shared" ca="1" si="226"/>
        <v>0.90999999999996817</v>
      </c>
      <c r="AR382" s="1450">
        <f t="shared" ca="1" si="226"/>
        <v>0.65600000000000591</v>
      </c>
      <c r="AS382" s="1450">
        <f t="shared" ca="1" si="226"/>
        <v>446.66000000000349</v>
      </c>
      <c r="AT382" s="1450">
        <f t="shared" ca="1" si="226"/>
        <v>100.42999999999999</v>
      </c>
      <c r="AU382" s="1450">
        <f t="shared" ca="1" si="226"/>
        <v>2534.3050000000003</v>
      </c>
      <c r="AV382" s="1450">
        <f t="shared" ca="1" si="226"/>
        <v>1982.2600000000093</v>
      </c>
      <c r="AW382" s="1450">
        <f t="shared" ca="1" si="226"/>
        <v>123.09999999999945</v>
      </c>
      <c r="AX382" s="1450">
        <f t="shared" ca="1" si="226"/>
        <v>985.88999999999942</v>
      </c>
      <c r="AY382" s="1450">
        <f t="shared" ca="1" si="226"/>
        <v>172.91999999999825</v>
      </c>
      <c r="AZ382" s="1450">
        <f t="shared" ca="1" si="226"/>
        <v>242.22999999999593</v>
      </c>
      <c r="BA382" s="1450">
        <f ca="1">SUMIF(BA192:BA222,"&lt;900")</f>
        <v>186.64000000002383</v>
      </c>
      <c r="BB382" s="1450">
        <f t="shared" ref="BB382:BI382" ca="1" si="227">SUMIF(BB192:BB222,"&gt;0")</f>
        <v>333.1159999999843</v>
      </c>
      <c r="BC382" s="1450">
        <f t="shared" ca="1" si="227"/>
        <v>60.479999999999819</v>
      </c>
      <c r="BD382" s="1450">
        <f t="shared" ca="1" si="227"/>
        <v>6827.4230000000107</v>
      </c>
      <c r="BE382" s="1450">
        <f t="shared" ca="1" si="227"/>
        <v>168625.62999999998</v>
      </c>
      <c r="BF382" s="1450">
        <f t="shared" ca="1" si="227"/>
        <v>1024268.2701754291</v>
      </c>
      <c r="BG382" s="1450">
        <f t="shared" ca="1" si="227"/>
        <v>179481.40000000002</v>
      </c>
      <c r="BH382" s="1439">
        <f t="shared" ca="1" si="227"/>
        <v>144.32400000000052</v>
      </c>
      <c r="BI382" s="1439">
        <f t="shared" ca="1" si="227"/>
        <v>0</v>
      </c>
      <c r="BJ382" s="1439">
        <f t="shared" ref="BJ382:CL382" ca="1" si="228">SUMIF(BJ192:BJ222,"&gt;0")</f>
        <v>69.72</v>
      </c>
      <c r="BK382" s="1439">
        <f t="shared" ca="1" si="228"/>
        <v>21</v>
      </c>
      <c r="BL382" s="1439">
        <f t="shared" ca="1" si="228"/>
        <v>471.2599999999984</v>
      </c>
      <c r="BM382" s="1439">
        <f t="shared" ca="1" si="228"/>
        <v>93.444000000000003</v>
      </c>
      <c r="BN382" s="1439">
        <f t="shared" ca="1" si="228"/>
        <v>7.3129999999999988</v>
      </c>
      <c r="BO382" s="1439">
        <f t="shared" ca="1" si="228"/>
        <v>579.80000000000291</v>
      </c>
      <c r="BP382" s="1439">
        <f t="shared" ca="1" si="228"/>
        <v>58.884999999999998</v>
      </c>
      <c r="BQ382" s="1439">
        <f t="shared" ca="1" si="228"/>
        <v>0.98099999999999998</v>
      </c>
      <c r="BR382" s="1439">
        <f t="shared" ca="1" si="228"/>
        <v>443.20000000000073</v>
      </c>
      <c r="BS382" s="1439">
        <f t="shared" ca="1" si="228"/>
        <v>47.381</v>
      </c>
      <c r="BT382" s="1439">
        <f t="shared" ca="1" si="228"/>
        <v>27.387999999999998</v>
      </c>
      <c r="BU382" s="1439">
        <f t="shared" ca="1" si="228"/>
        <v>237.59000000000015</v>
      </c>
      <c r="BV382" s="1439">
        <f t="shared" ca="1" si="228"/>
        <v>149.80000000000018</v>
      </c>
      <c r="BW382" s="1439">
        <f t="shared" ca="1" si="228"/>
        <v>372.64549999999804</v>
      </c>
      <c r="BX382" s="1439">
        <f t="shared" ca="1" si="228"/>
        <v>316.35799999999244</v>
      </c>
      <c r="BY382" s="1439">
        <f t="shared" ca="1" si="228"/>
        <v>135.05549999999801</v>
      </c>
      <c r="BZ382" s="1439">
        <f t="shared" ca="1" si="228"/>
        <v>36.511600000000044</v>
      </c>
      <c r="CA382" s="1439">
        <f t="shared" ca="1" si="228"/>
        <v>135.05549999999801</v>
      </c>
      <c r="CB382" s="1439">
        <f t="shared" ca="1" si="228"/>
        <v>54.767400000000038</v>
      </c>
      <c r="CC382" s="1439">
        <f t="shared" ca="1" si="228"/>
        <v>83.89260000000003</v>
      </c>
      <c r="CD382" s="1439">
        <f t="shared" ca="1" si="228"/>
        <v>166.55799999999215</v>
      </c>
      <c r="CE382" s="1439">
        <f t="shared" ca="1" si="228"/>
        <v>149.80000000000018</v>
      </c>
      <c r="CF382" s="1439">
        <f t="shared" ca="1" si="228"/>
        <v>166.55799999999215</v>
      </c>
      <c r="CG382" s="1439">
        <f t="shared" ca="1" si="228"/>
        <v>30.23999999999991</v>
      </c>
      <c r="CH382" s="1439">
        <f t="shared" ca="1" si="228"/>
        <v>30.23999999999991</v>
      </c>
      <c r="CI382" s="1439">
        <f t="shared" ca="1" si="228"/>
        <v>57.627999999999915</v>
      </c>
      <c r="CJ382" s="1439">
        <f t="shared" ca="1" si="228"/>
        <v>283411.61262636993</v>
      </c>
      <c r="CK382" s="1439">
        <f t="shared" si="228"/>
        <v>3.7</v>
      </c>
      <c r="CL382" s="1439">
        <f t="shared" si="228"/>
        <v>3.6</v>
      </c>
    </row>
    <row r="383" spans="2:90">
      <c r="B383" s="1525" t="s">
        <v>183</v>
      </c>
      <c r="C383" s="1450">
        <f t="shared" ref="C383:Q383" ca="1" si="229">SUMIF(C223:C253,"&gt;0")</f>
        <v>6453.3000000000466</v>
      </c>
      <c r="D383" s="1450">
        <f t="shared" ca="1" si="229"/>
        <v>139.81258349859698</v>
      </c>
      <c r="E383" s="1450">
        <f t="shared" ca="1" si="229"/>
        <v>744</v>
      </c>
      <c r="F383" s="1450">
        <f t="shared" ca="1" si="229"/>
        <v>0</v>
      </c>
      <c r="G383" s="1450">
        <f t="shared" ca="1" si="229"/>
        <v>0</v>
      </c>
      <c r="H383" s="1450">
        <f t="shared" ca="1" si="229"/>
        <v>0</v>
      </c>
      <c r="I383" s="205">
        <f t="shared" ca="1" si="229"/>
        <v>6453.3000000000466</v>
      </c>
      <c r="J383" s="1450">
        <f t="shared" ca="1" si="229"/>
        <v>7362.4000000000015</v>
      </c>
      <c r="K383" s="1450">
        <f t="shared" ca="1" si="229"/>
        <v>151.15495521789481</v>
      </c>
      <c r="L383" s="1450">
        <f t="shared" ca="1" si="229"/>
        <v>731</v>
      </c>
      <c r="M383" s="1450">
        <f t="shared" ca="1" si="229"/>
        <v>0</v>
      </c>
      <c r="N383" s="1450">
        <f t="shared" ca="1" si="229"/>
        <v>0</v>
      </c>
      <c r="O383" s="1450">
        <f t="shared" ca="1" si="229"/>
        <v>0</v>
      </c>
      <c r="P383" s="205">
        <f t="shared" ca="1" si="229"/>
        <v>7362.4000000000015</v>
      </c>
      <c r="Q383" s="1450">
        <f t="shared" ca="1" si="229"/>
        <v>4</v>
      </c>
      <c r="R383" s="1450">
        <f t="shared" ref="R383:AC383" ca="1" si="230">SUMIF(R223:R253,"&gt;0")</f>
        <v>480</v>
      </c>
      <c r="S383" s="1478">
        <f t="shared" ca="1" si="230"/>
        <v>5.5</v>
      </c>
      <c r="T383" s="1450">
        <f t="shared" ca="1" si="230"/>
        <v>9.9680000000000746</v>
      </c>
      <c r="U383" s="1450">
        <f t="shared" ca="1" si="230"/>
        <v>1196.1600000000089</v>
      </c>
      <c r="V383" s="1450">
        <f t="shared" ca="1" si="230"/>
        <v>13.700000000000045</v>
      </c>
      <c r="W383" s="1450">
        <f t="shared" ca="1" si="230"/>
        <v>13815.700000000048</v>
      </c>
      <c r="X383" s="1450">
        <f t="shared" ca="1" si="230"/>
        <v>13.968000000000075</v>
      </c>
      <c r="Y383" s="1450">
        <f t="shared" ca="1" si="230"/>
        <v>13829.668000000049</v>
      </c>
      <c r="Z383" s="1450">
        <f t="shared" ca="1" si="230"/>
        <v>290.96753871649173</v>
      </c>
      <c r="AA383" s="1450">
        <f t="shared" ca="1" si="230"/>
        <v>1676.1600000000089</v>
      </c>
      <c r="AB383" s="1450">
        <f t="shared" ca="1" si="230"/>
        <v>1475</v>
      </c>
      <c r="AC383" s="1450">
        <f t="shared" ca="1" si="230"/>
        <v>19.200000000000045</v>
      </c>
      <c r="AD383" s="1450">
        <f t="shared" ref="AD383:AK383" ca="1" si="231">SUMIF(AD223:AD253,"&gt;0")</f>
        <v>5130.7000000000007</v>
      </c>
      <c r="AE383" s="1450">
        <f t="shared" ca="1" si="231"/>
        <v>742</v>
      </c>
      <c r="AF383" s="1450">
        <f t="shared" ca="1" si="231"/>
        <v>4646.7000000000116</v>
      </c>
      <c r="AG383" s="1450">
        <f t="shared" ca="1" si="231"/>
        <v>744</v>
      </c>
      <c r="AH383" s="1450">
        <f t="shared" ca="1" si="231"/>
        <v>327.00000000000546</v>
      </c>
      <c r="AI383" s="1450">
        <f t="shared" ca="1" si="231"/>
        <v>1125.2000000000116</v>
      </c>
      <c r="AJ383" s="1450">
        <f t="shared" ca="1" si="231"/>
        <v>261.10000000000582</v>
      </c>
      <c r="AK383" s="1450">
        <f t="shared" ca="1" si="231"/>
        <v>356.29999999998836</v>
      </c>
      <c r="AL383" s="1450">
        <f ca="1">SUMIF(AL223:AL253,"&lt;50")</f>
        <v>1087.8680000000106</v>
      </c>
      <c r="AM383" s="1450">
        <f t="shared" ref="AM383:AZ383" ca="1" si="232">SUMIF(AM223:AM253,"&gt;0")</f>
        <v>331.29600000001392</v>
      </c>
      <c r="AN383" s="1450">
        <f t="shared" ca="1" si="232"/>
        <v>96.954999999999487</v>
      </c>
      <c r="AO383" s="1450">
        <f t="shared" ca="1" si="232"/>
        <v>3249.4000000000233</v>
      </c>
      <c r="AP383" s="1450">
        <f t="shared" ca="1" si="232"/>
        <v>3722.4000000000015</v>
      </c>
      <c r="AQ383" s="1450">
        <f t="shared" ca="1" si="232"/>
        <v>2.0019999999999527</v>
      </c>
      <c r="AR383" s="1450">
        <f t="shared" ca="1" si="232"/>
        <v>3.785000000000025</v>
      </c>
      <c r="AS383" s="1450">
        <f t="shared" ca="1" si="232"/>
        <v>408.79999999998836</v>
      </c>
      <c r="AT383" s="1450">
        <f t="shared" ca="1" si="232"/>
        <v>122.1</v>
      </c>
      <c r="AU383" s="1450">
        <f t="shared" ca="1" si="232"/>
        <v>2535.5</v>
      </c>
      <c r="AV383" s="1450">
        <f t="shared" ca="1" si="232"/>
        <v>2010.2999999999884</v>
      </c>
      <c r="AW383" s="1450">
        <f t="shared" ca="1" si="232"/>
        <v>124.69999999999982</v>
      </c>
      <c r="AX383" s="1450">
        <f t="shared" ca="1" si="232"/>
        <v>973</v>
      </c>
      <c r="AY383" s="1450">
        <f t="shared" ca="1" si="232"/>
        <v>200.19999999999709</v>
      </c>
      <c r="AZ383" s="1450">
        <f t="shared" ca="1" si="232"/>
        <v>282.89999999999418</v>
      </c>
      <c r="BA383" s="1450">
        <f ca="1">SUMIF(BA223:BA253,"&lt;900")</f>
        <v>288.48600000004001</v>
      </c>
      <c r="BB383" s="1450">
        <f t="shared" ref="BB383:BI383" ca="1" si="233">SUMIF(BB223:BB253,"&gt;0")</f>
        <v>347.51500000000624</v>
      </c>
      <c r="BC383" s="1450">
        <f t="shared" ca="1" si="233"/>
        <v>49.669999999999817</v>
      </c>
      <c r="BD383" s="1450">
        <f t="shared" ca="1" si="233"/>
        <v>6977.587000000025</v>
      </c>
      <c r="BE383" s="1450">
        <f t="shared" ca="1" si="233"/>
        <v>179724.43000000002</v>
      </c>
      <c r="BF383" s="1450">
        <f t="shared" ca="1" si="233"/>
        <v>1031777.7832456138</v>
      </c>
      <c r="BG383" s="1450">
        <f t="shared" ca="1" si="233"/>
        <v>186898.27000000005</v>
      </c>
      <c r="BH383" s="1439">
        <f t="shared" ca="1" si="233"/>
        <v>150.5</v>
      </c>
      <c r="BI383" s="1439">
        <f t="shared" ca="1" si="233"/>
        <v>0</v>
      </c>
      <c r="BJ383" s="1439">
        <f t="shared" ref="BJ383:CL383" ca="1" si="234">SUMIF(BJ223:BJ253,"&gt;0")</f>
        <v>36.400000000000006</v>
      </c>
      <c r="BK383" s="1439">
        <f t="shared" ca="1" si="234"/>
        <v>12</v>
      </c>
      <c r="BL383" s="1439">
        <f t="shared" ca="1" si="234"/>
        <v>261.29999999999927</v>
      </c>
      <c r="BM383" s="1439">
        <f t="shared" ca="1" si="234"/>
        <v>111.45200000000003</v>
      </c>
      <c r="BN383" s="1439">
        <f t="shared" ca="1" si="234"/>
        <v>9.2470000000000017</v>
      </c>
      <c r="BO383" s="1439">
        <f t="shared" ca="1" si="234"/>
        <v>659.89999999999782</v>
      </c>
      <c r="BP383" s="1439">
        <f t="shared" ca="1" si="234"/>
        <v>109.22199999999999</v>
      </c>
      <c r="BQ383" s="1439">
        <f t="shared" ca="1" si="234"/>
        <v>6.8450000000000006</v>
      </c>
      <c r="BR383" s="1439">
        <f t="shared" ca="1" si="234"/>
        <v>653</v>
      </c>
      <c r="BS383" s="1439">
        <f t="shared" ca="1" si="234"/>
        <v>45.875000000000007</v>
      </c>
      <c r="BT383" s="1439">
        <f t="shared" ca="1" si="234"/>
        <v>25.924000000000003</v>
      </c>
      <c r="BU383" s="1439">
        <f t="shared" ca="1" si="234"/>
        <v>163.60000000000036</v>
      </c>
      <c r="BV383" s="1439">
        <f t="shared" ca="1" si="234"/>
        <v>111.29999999999927</v>
      </c>
      <c r="BW383" s="1439">
        <f t="shared" ca="1" si="234"/>
        <v>329.24800000000732</v>
      </c>
      <c r="BX383" s="1439">
        <f t="shared" ca="1" si="234"/>
        <v>285.05750000000239</v>
      </c>
      <c r="BY383" s="1439">
        <f t="shared" ca="1" si="234"/>
        <v>165.64800000000696</v>
      </c>
      <c r="BZ383" s="1439">
        <f t="shared" ca="1" si="234"/>
        <v>38.78199999999979</v>
      </c>
      <c r="CA383" s="1439">
        <f t="shared" ca="1" si="234"/>
        <v>165.64800000000696</v>
      </c>
      <c r="CB383" s="1439">
        <f t="shared" ca="1" si="234"/>
        <v>58.172999999999668</v>
      </c>
      <c r="CC383" s="1439">
        <f t="shared" ca="1" si="234"/>
        <v>84.656999999999783</v>
      </c>
      <c r="CD383" s="1439">
        <f t="shared" ca="1" si="234"/>
        <v>173.75750000000312</v>
      </c>
      <c r="CE383" s="1439">
        <f t="shared" ca="1" si="234"/>
        <v>111.29999999999927</v>
      </c>
      <c r="CF383" s="1439">
        <f t="shared" ca="1" si="234"/>
        <v>173.75750000000312</v>
      </c>
      <c r="CG383" s="1439">
        <f t="shared" ca="1" si="234"/>
        <v>24.834999999999908</v>
      </c>
      <c r="CH383" s="1439">
        <f t="shared" ca="1" si="234"/>
        <v>24.834999999999908</v>
      </c>
      <c r="CI383" s="1439">
        <f t="shared" ca="1" si="234"/>
        <v>50.758999999999915</v>
      </c>
      <c r="CJ383" s="1439">
        <f t="shared" ca="1" si="234"/>
        <v>242049.85291438014</v>
      </c>
      <c r="CK383" s="1439">
        <f t="shared" si="234"/>
        <v>4.8</v>
      </c>
      <c r="CL383" s="1439">
        <f t="shared" si="234"/>
        <v>10.9</v>
      </c>
    </row>
    <row r="384" spans="2:90">
      <c r="B384" s="1525" t="s">
        <v>184</v>
      </c>
      <c r="C384" s="1450">
        <f t="shared" ref="C384:Q384" ca="1" si="235">SUMIF(C254:C283,"&gt;0")</f>
        <v>3745.1999999999534</v>
      </c>
      <c r="D384" s="1450">
        <f t="shared" ca="1" si="235"/>
        <v>96.159453888666192</v>
      </c>
      <c r="E384" s="1450">
        <f t="shared" ca="1" si="235"/>
        <v>611.70000000001164</v>
      </c>
      <c r="F384" s="1450">
        <f t="shared" ca="1" si="235"/>
        <v>0</v>
      </c>
      <c r="G384" s="1450">
        <f t="shared" ca="1" si="235"/>
        <v>0</v>
      </c>
      <c r="H384" s="1450">
        <f t="shared" ca="1" si="235"/>
        <v>0</v>
      </c>
      <c r="I384" s="205">
        <f t="shared" ca="1" si="235"/>
        <v>3745.1999999999534</v>
      </c>
      <c r="J384" s="1450">
        <f t="shared" ca="1" si="235"/>
        <v>9563.5989999999983</v>
      </c>
      <c r="K384" s="1450">
        <f t="shared" ca="1" si="235"/>
        <v>159.48395119555551</v>
      </c>
      <c r="L384" s="1450">
        <f t="shared" ca="1" si="235"/>
        <v>720</v>
      </c>
      <c r="M384" s="1450">
        <f t="shared" ca="1" si="235"/>
        <v>1E-3</v>
      </c>
      <c r="N384" s="1450">
        <f t="shared" ca="1" si="235"/>
        <v>0</v>
      </c>
      <c r="O384" s="1450">
        <f t="shared" ca="1" si="235"/>
        <v>0</v>
      </c>
      <c r="P384" s="205">
        <f t="shared" ca="1" si="235"/>
        <v>9563.5999999999985</v>
      </c>
      <c r="Q384" s="1450">
        <f t="shared" ca="1" si="235"/>
        <v>1.8540000000000418</v>
      </c>
      <c r="R384" s="1450">
        <f t="shared" ref="R384:AC384" ca="1" si="236">SUMIF(R254:R283,"&gt;0")</f>
        <v>222.48000000000502</v>
      </c>
      <c r="S384" s="1478">
        <f t="shared" ca="1" si="236"/>
        <v>6.9000000000005457</v>
      </c>
      <c r="T384" s="1450">
        <f t="shared" ca="1" si="236"/>
        <v>47.394999999999982</v>
      </c>
      <c r="U384" s="1450">
        <f t="shared" ca="1" si="236"/>
        <v>5687.3999999999978</v>
      </c>
      <c r="V384" s="1450">
        <f t="shared" ca="1" si="236"/>
        <v>50.5</v>
      </c>
      <c r="W384" s="1450">
        <f t="shared" ca="1" si="236"/>
        <v>13308.798999999952</v>
      </c>
      <c r="X384" s="1450">
        <f t="shared" ca="1" si="236"/>
        <v>49.250000000000021</v>
      </c>
      <c r="Y384" s="1482">
        <f t="shared" ca="1" si="236"/>
        <v>13358.04899999995</v>
      </c>
      <c r="Z384" s="1450">
        <f t="shared" ca="1" si="236"/>
        <v>255.64340508422168</v>
      </c>
      <c r="AA384" s="1450">
        <f t="shared" ca="1" si="236"/>
        <v>5909.8800000000028</v>
      </c>
      <c r="AB384" s="1450">
        <f t="shared" ca="1" si="236"/>
        <v>1331.7000000000116</v>
      </c>
      <c r="AC384" s="1450">
        <f t="shared" ca="1" si="236"/>
        <v>57.400000000000546</v>
      </c>
      <c r="AD384" s="1450">
        <f t="shared" ref="AD384:AK384" ca="1" si="237">SUMIF(AD254:AD283,"&gt;0")</f>
        <v>4906.2999999999993</v>
      </c>
      <c r="AE384" s="1450">
        <f t="shared" ca="1" si="237"/>
        <v>720</v>
      </c>
      <c r="AF384" s="1450">
        <f t="shared" ca="1" si="237"/>
        <v>4467.2999999999884</v>
      </c>
      <c r="AG384" s="1450">
        <f t="shared" ca="1" si="237"/>
        <v>716</v>
      </c>
      <c r="AH384" s="1450">
        <f t="shared" ca="1" si="237"/>
        <v>290.19999999999709</v>
      </c>
      <c r="AI384" s="1450">
        <f t="shared" ca="1" si="237"/>
        <v>1151.1999999999971</v>
      </c>
      <c r="AJ384" s="1450">
        <f t="shared" ca="1" si="237"/>
        <v>261.29999999998836</v>
      </c>
      <c r="AK384" s="1450">
        <f t="shared" ca="1" si="237"/>
        <v>346.70000000001164</v>
      </c>
      <c r="AL384" s="1450">
        <f ca="1">SUMIF(AL254:AL283,"&lt;50")</f>
        <v>1104.0489999999845</v>
      </c>
      <c r="AM384" s="1450">
        <f t="shared" ref="AM384:AZ384" ca="1" si="238">SUMIF(AM254:AM283,"&gt;0")</f>
        <v>260.52199999998561</v>
      </c>
      <c r="AN384" s="1450">
        <f t="shared" ca="1" si="238"/>
        <v>122.11000000000018</v>
      </c>
      <c r="AO384" s="1450">
        <f t="shared" si="238"/>
        <v>1835.2599999999511</v>
      </c>
      <c r="AP384" s="1450">
        <f t="shared" si="238"/>
        <v>4926.5999999999985</v>
      </c>
      <c r="AQ384" s="1450">
        <f t="shared" si="238"/>
        <v>0.90700000000003911</v>
      </c>
      <c r="AR384" s="1450">
        <f t="shared" si="238"/>
        <v>18.269000000000005</v>
      </c>
      <c r="AS384" s="1450">
        <f t="shared" ca="1" si="238"/>
        <v>453.20000000001164</v>
      </c>
      <c r="AT384" s="1450">
        <f t="shared" ca="1" si="238"/>
        <v>95.400000000000034</v>
      </c>
      <c r="AU384" s="1450">
        <f t="shared" si="238"/>
        <v>2444.5</v>
      </c>
      <c r="AV384" s="1450">
        <f t="shared" si="238"/>
        <v>1929.7000000000116</v>
      </c>
      <c r="AW384" s="1450">
        <f t="shared" ca="1" si="238"/>
        <v>112.79999999999927</v>
      </c>
      <c r="AX384" s="1450">
        <f t="shared" ca="1" si="238"/>
        <v>990.20000000000437</v>
      </c>
      <c r="AY384" s="1450">
        <f t="shared" ca="1" si="238"/>
        <v>200.40000000000146</v>
      </c>
      <c r="AZ384" s="1450">
        <f t="shared" ca="1" si="238"/>
        <v>276.10000000000582</v>
      </c>
      <c r="BA384" s="1450">
        <f ca="1">SUMIF(BA254:BA283,"&lt;900")</f>
        <v>307.47299999993174</v>
      </c>
      <c r="BB384" s="1450">
        <f t="shared" ref="BB384:BI384" ca="1" si="239">SUMIF(BB254:BB283,"&gt;0")</f>
        <v>292.48899999999452</v>
      </c>
      <c r="BC384" s="1450">
        <f t="shared" ca="1" si="239"/>
        <v>51.78</v>
      </c>
      <c r="BD384" s="1450">
        <f t="shared" si="239"/>
        <v>6781.03599999995</v>
      </c>
      <c r="BE384" s="1450">
        <f t="shared" ca="1" si="239"/>
        <v>163930.01999999999</v>
      </c>
      <c r="BF384" s="1450">
        <f t="shared" ca="1" si="239"/>
        <v>1025648.8385964911</v>
      </c>
      <c r="BG384" s="1450">
        <f t="shared" ca="1" si="239"/>
        <v>168023.33000000005</v>
      </c>
      <c r="BH384" s="1439">
        <f t="shared" ca="1" si="239"/>
        <v>153.5</v>
      </c>
      <c r="BI384" s="1439">
        <f t="shared" ca="1" si="239"/>
        <v>0</v>
      </c>
      <c r="BJ384" s="1439">
        <f t="shared" ref="BJ384:CL384" ca="1" si="240">SUMIF(BJ254:BJ283,"&gt;0")</f>
        <v>40.9</v>
      </c>
      <c r="BK384" s="1439">
        <f t="shared" ca="1" si="240"/>
        <v>16</v>
      </c>
      <c r="BL384" s="1439">
        <f t="shared" ca="1" si="240"/>
        <v>343.20000000000073</v>
      </c>
      <c r="BM384" s="1439">
        <f t="shared" ca="1" si="240"/>
        <v>111.267</v>
      </c>
      <c r="BN384" s="1439">
        <f t="shared" ca="1" si="240"/>
        <v>15.943000000000001</v>
      </c>
      <c r="BO384" s="1439">
        <f t="shared" ca="1" si="240"/>
        <v>574.20000000000073</v>
      </c>
      <c r="BP384" s="1439">
        <f t="shared" ca="1" si="240"/>
        <v>90.694999999999993</v>
      </c>
      <c r="BQ384" s="1439">
        <f t="shared" ca="1" si="240"/>
        <v>5.3580000000000014</v>
      </c>
      <c r="BR384" s="1439">
        <f t="shared" ca="1" si="240"/>
        <v>515.72999999999956</v>
      </c>
      <c r="BS384" s="1439">
        <f t="shared" ca="1" si="240"/>
        <v>44.106000000000002</v>
      </c>
      <c r="BT384" s="1439">
        <f t="shared" ca="1" si="240"/>
        <v>27.093</v>
      </c>
      <c r="BU384" s="1439">
        <f t="shared" ca="1" si="240"/>
        <v>161.39999999999964</v>
      </c>
      <c r="BV384" s="1439">
        <f t="shared" ca="1" si="240"/>
        <v>111.20000000000073</v>
      </c>
      <c r="BW384" s="1439">
        <f t="shared" ca="1" si="240"/>
        <v>291.66099999999244</v>
      </c>
      <c r="BX384" s="1439">
        <f t="shared" ca="1" si="240"/>
        <v>257.44449999999802</v>
      </c>
      <c r="BY384" s="1439">
        <f t="shared" ca="1" si="240"/>
        <v>130.2609999999928</v>
      </c>
      <c r="BZ384" s="1439">
        <f t="shared" ca="1" si="240"/>
        <v>48.844000000000072</v>
      </c>
      <c r="CA384" s="1439">
        <f t="shared" ca="1" si="240"/>
        <v>130.2609999999928</v>
      </c>
      <c r="CB384" s="1439">
        <f t="shared" ca="1" si="240"/>
        <v>73.266000000000105</v>
      </c>
      <c r="CC384" s="1439">
        <f t="shared" ca="1" si="240"/>
        <v>92.95000000000006</v>
      </c>
      <c r="CD384" s="1439">
        <f t="shared" ca="1" si="240"/>
        <v>146.24449999999726</v>
      </c>
      <c r="CE384" s="1439">
        <f t="shared" ca="1" si="240"/>
        <v>111.20000000000073</v>
      </c>
      <c r="CF384" s="1439">
        <f t="shared" ca="1" si="240"/>
        <v>146.24449999999726</v>
      </c>
      <c r="CG384" s="1439">
        <f t="shared" ca="1" si="240"/>
        <v>25.89</v>
      </c>
      <c r="CH384" s="1439">
        <f t="shared" ca="1" si="240"/>
        <v>25.89</v>
      </c>
      <c r="CI384" s="1439">
        <f t="shared" ca="1" si="240"/>
        <v>52.982999999999997</v>
      </c>
      <c r="CJ384" s="1439">
        <f t="shared" ca="1" si="240"/>
        <v>257911.0276008115</v>
      </c>
      <c r="CK384" s="1439">
        <f t="shared" si="240"/>
        <v>3.3</v>
      </c>
      <c r="CL384" s="1439">
        <f t="shared" si="240"/>
        <v>46.7</v>
      </c>
    </row>
    <row r="385" spans="2:90">
      <c r="B385" s="1525" t="s">
        <v>185</v>
      </c>
      <c r="C385" s="1450">
        <f t="shared" ref="C385:Q385" ca="1" si="241">SUMIF(C284:C314,"&gt;0")</f>
        <v>3667.5</v>
      </c>
      <c r="D385" s="1450">
        <f t="shared" ca="1" si="241"/>
        <v>82.881678351271461</v>
      </c>
      <c r="E385" s="1450">
        <f t="shared" ca="1" si="241"/>
        <v>496.20000000000005</v>
      </c>
      <c r="F385" s="1450">
        <f t="shared" ca="1" si="241"/>
        <v>0</v>
      </c>
      <c r="G385" s="1450">
        <f t="shared" ca="1" si="241"/>
        <v>734</v>
      </c>
      <c r="H385" s="1450">
        <f t="shared" ca="1" si="241"/>
        <v>0.79999999999995453</v>
      </c>
      <c r="I385" s="205">
        <f t="shared" ca="1" si="241"/>
        <v>3667.5</v>
      </c>
      <c r="J385" s="1450">
        <f t="shared" ca="1" si="241"/>
        <v>9807</v>
      </c>
      <c r="K385" s="1450">
        <f t="shared" ca="1" si="241"/>
        <v>171.94954537114137</v>
      </c>
      <c r="L385" s="1450">
        <f t="shared" ca="1" si="241"/>
        <v>744</v>
      </c>
      <c r="M385" s="1450">
        <f t="shared" ca="1" si="241"/>
        <v>0</v>
      </c>
      <c r="N385" s="1450">
        <f t="shared" ca="1" si="241"/>
        <v>0</v>
      </c>
      <c r="O385" s="1450">
        <f t="shared" ca="1" si="241"/>
        <v>0</v>
      </c>
      <c r="P385" s="205">
        <f t="shared" ca="1" si="241"/>
        <v>9807</v>
      </c>
      <c r="Q385" s="1450">
        <f t="shared" ca="1" si="241"/>
        <v>1.5299999999999727</v>
      </c>
      <c r="R385" s="1450">
        <f t="shared" ref="R385:AC385" ca="1" si="242">SUMIF(R284:R314,"&gt;0")</f>
        <v>183.59999999999673</v>
      </c>
      <c r="S385" s="1478">
        <f t="shared" ca="1" si="242"/>
        <v>5.8999999999996362</v>
      </c>
      <c r="T385" s="1450">
        <f t="shared" ca="1" si="242"/>
        <v>108.40300000000002</v>
      </c>
      <c r="U385" s="1450">
        <f t="shared" ca="1" si="242"/>
        <v>13008.36</v>
      </c>
      <c r="V385" s="1450">
        <f t="shared" ca="1" si="242"/>
        <v>113.79999999999995</v>
      </c>
      <c r="W385" s="1450">
        <f t="shared" ca="1" si="242"/>
        <v>13474.5</v>
      </c>
      <c r="X385" s="1450">
        <f t="shared" ca="1" si="242"/>
        <v>109.93299999999999</v>
      </c>
      <c r="Y385" s="1478">
        <f t="shared" ca="1" si="242"/>
        <v>13584.433000000001</v>
      </c>
      <c r="Z385" s="1450">
        <f t="shared" ca="1" si="242"/>
        <v>254.8312237224128</v>
      </c>
      <c r="AA385" s="1450">
        <f t="shared" ca="1" si="242"/>
        <v>13925.96</v>
      </c>
      <c r="AB385" s="1450">
        <f t="shared" ca="1" si="242"/>
        <v>1240.2</v>
      </c>
      <c r="AC385" s="1450">
        <f t="shared" ca="1" si="242"/>
        <v>120.49999999999955</v>
      </c>
      <c r="AD385" s="1450">
        <f t="shared" ref="AD385:AK385" ca="1" si="243">SUMIF(AD284:AD314,"&gt;0")</f>
        <v>5119</v>
      </c>
      <c r="AE385" s="1450">
        <f t="shared" ca="1" si="243"/>
        <v>744</v>
      </c>
      <c r="AF385" s="1450">
        <f t="shared" ca="1" si="243"/>
        <v>4547</v>
      </c>
      <c r="AG385" s="1450">
        <f t="shared" ca="1" si="243"/>
        <v>729.69999999999709</v>
      </c>
      <c r="AH385" s="1450">
        <f t="shared" ca="1" si="243"/>
        <v>289.20000000000255</v>
      </c>
      <c r="AI385" s="1450">
        <f t="shared" ca="1" si="243"/>
        <v>1187</v>
      </c>
      <c r="AJ385" s="1450">
        <f t="shared" ca="1" si="243"/>
        <v>218.40000000000873</v>
      </c>
      <c r="AK385" s="1450">
        <f t="shared" ca="1" si="243"/>
        <v>282</v>
      </c>
      <c r="AL385" s="1450">
        <f ca="1">SUMIF(AL284:AL314,"&lt;50")</f>
        <v>1023.5299999999875</v>
      </c>
      <c r="AM385" s="1450">
        <f t="shared" ref="AM385:AZ385" ca="1" si="244">SUMIF(AM284:AM314,"&gt;0")</f>
        <v>336.62900000000093</v>
      </c>
      <c r="AN385" s="1450">
        <f t="shared" ca="1" si="244"/>
        <v>108.21899999999947</v>
      </c>
      <c r="AO385" s="1450">
        <f t="shared" ca="1" si="244"/>
        <v>1826.3400000000256</v>
      </c>
      <c r="AP385" s="1450">
        <f t="shared" ca="1" si="244"/>
        <v>5043</v>
      </c>
      <c r="AQ385" s="1450">
        <f t="shared" ca="1" si="244"/>
        <v>0.72900000000004184</v>
      </c>
      <c r="AR385" s="1450">
        <f t="shared" ca="1" si="244"/>
        <v>41.991999999999962</v>
      </c>
      <c r="AS385" s="1450">
        <f t="shared" ca="1" si="244"/>
        <v>462</v>
      </c>
      <c r="AT385" s="1450">
        <f t="shared" ca="1" si="244"/>
        <v>98.5</v>
      </c>
      <c r="AU385" s="1450">
        <f t="shared" ca="1" si="244"/>
        <v>2532</v>
      </c>
      <c r="AV385" s="1450">
        <f t="shared" ca="1" si="244"/>
        <v>1965</v>
      </c>
      <c r="AW385" s="1450">
        <f t="shared" ca="1" si="244"/>
        <v>111.29999999999927</v>
      </c>
      <c r="AX385" s="1450">
        <f t="shared" ca="1" si="244"/>
        <v>1004.6999999999971</v>
      </c>
      <c r="AY385" s="1450">
        <f t="shared" ca="1" si="244"/>
        <v>167.30000000000291</v>
      </c>
      <c r="AZ385" s="1450">
        <f t="shared" ca="1" si="244"/>
        <v>226</v>
      </c>
      <c r="BA385" s="1450">
        <f ca="1">SUMIF(BA284:BA314,"&lt;900")</f>
        <v>320.54000000002725</v>
      </c>
      <c r="BB385" s="1450">
        <f t="shared" ref="BB385:BI385" ca="1" si="245">SUMIF(BB284:BB314,"&gt;0")</f>
        <v>315.40199999999936</v>
      </c>
      <c r="BC385" s="1450">
        <f t="shared" ca="1" si="245"/>
        <v>70.29000000000039</v>
      </c>
      <c r="BD385" s="1450">
        <f t="shared" ca="1" si="245"/>
        <v>6912.0610000000261</v>
      </c>
      <c r="BE385" s="1450">
        <f t="shared" ca="1" si="245"/>
        <v>153202.01999999999</v>
      </c>
      <c r="BF385" s="1450">
        <f t="shared" ca="1" si="245"/>
        <v>1049646.5140350875</v>
      </c>
      <c r="BG385" s="1450">
        <f t="shared" ca="1" si="245"/>
        <v>152659.08000000002</v>
      </c>
      <c r="BH385" s="1439">
        <f t="shared" ca="1" si="245"/>
        <v>159</v>
      </c>
      <c r="BI385" s="1439">
        <f t="shared" ca="1" si="245"/>
        <v>0</v>
      </c>
      <c r="BJ385" s="1439">
        <f t="shared" ref="BJ385:CL385" ca="1" si="246">SUMIF(BJ284:BJ314,"&gt;0")</f>
        <v>55.9</v>
      </c>
      <c r="BK385" s="1439">
        <f t="shared" ca="1" si="246"/>
        <v>23</v>
      </c>
      <c r="BL385" s="1439">
        <f t="shared" ca="1" si="246"/>
        <v>544</v>
      </c>
      <c r="BM385" s="1439">
        <f t="shared" ca="1" si="246"/>
        <v>154.631</v>
      </c>
      <c r="BN385" s="1439">
        <f t="shared" ca="1" si="246"/>
        <v>25.520999999999994</v>
      </c>
      <c r="BO385" s="1439">
        <f t="shared" ca="1" si="246"/>
        <v>742</v>
      </c>
      <c r="BP385" s="1439">
        <f t="shared" ca="1" si="246"/>
        <v>30.593</v>
      </c>
      <c r="BQ385" s="1439">
        <f t="shared" ca="1" si="246"/>
        <v>1.6570000000000003</v>
      </c>
      <c r="BR385" s="1439">
        <f t="shared" ca="1" si="246"/>
        <v>197.27000000000044</v>
      </c>
      <c r="BS385" s="1439">
        <f t="shared" ca="1" si="246"/>
        <v>42.030999999999999</v>
      </c>
      <c r="BT385" s="1439">
        <f t="shared" ca="1" si="246"/>
        <v>25.051000000000002</v>
      </c>
      <c r="BU385" s="1439">
        <f t="shared" ca="1" si="246"/>
        <v>190.30000000000109</v>
      </c>
      <c r="BV385" s="1439">
        <f t="shared" ca="1" si="246"/>
        <v>124.29999999999927</v>
      </c>
      <c r="BW385" s="1439">
        <f t="shared" ca="1" si="246"/>
        <v>358.61450000000144</v>
      </c>
      <c r="BX385" s="1439">
        <f t="shared" ca="1" si="246"/>
        <v>282.00099999999895</v>
      </c>
      <c r="BY385" s="1439">
        <f t="shared" ca="1" si="246"/>
        <v>168.31450000000046</v>
      </c>
      <c r="BZ385" s="1439">
        <f t="shared" ca="1" si="246"/>
        <v>43.287599999999792</v>
      </c>
      <c r="CA385" s="1439">
        <f t="shared" ca="1" si="246"/>
        <v>168.31450000000046</v>
      </c>
      <c r="CB385" s="1439">
        <f t="shared" ca="1" si="246"/>
        <v>64.931399999999684</v>
      </c>
      <c r="CC385" s="1439">
        <f t="shared" ca="1" si="246"/>
        <v>85.31859999999979</v>
      </c>
      <c r="CD385" s="1439">
        <f t="shared" ca="1" si="246"/>
        <v>157.70099999999968</v>
      </c>
      <c r="CE385" s="1439">
        <f t="shared" ca="1" si="246"/>
        <v>124.29999999999927</v>
      </c>
      <c r="CF385" s="1439">
        <f t="shared" ca="1" si="246"/>
        <v>157.70099999999968</v>
      </c>
      <c r="CG385" s="1439">
        <f t="shared" ca="1" si="246"/>
        <v>35.145000000000195</v>
      </c>
      <c r="CH385" s="1439">
        <f t="shared" ca="1" si="246"/>
        <v>35.145000000000195</v>
      </c>
      <c r="CI385" s="1439">
        <f t="shared" ca="1" si="246"/>
        <v>60.196000000000204</v>
      </c>
      <c r="CJ385" s="1439">
        <f t="shared" ca="1" si="246"/>
        <v>268018.04221906909</v>
      </c>
      <c r="CK385" s="1439">
        <f t="shared" si="246"/>
        <v>1.8</v>
      </c>
      <c r="CL385" s="1439">
        <f t="shared" si="246"/>
        <v>108.22999999999999</v>
      </c>
    </row>
    <row r="386" spans="2:90">
      <c r="B386" s="1525" t="s">
        <v>186</v>
      </c>
      <c r="C386" s="1450">
        <f t="shared" ref="C386:Q386" ca="1" si="247">SUMIF(C315:C344,"&gt;0")</f>
        <v>147</v>
      </c>
      <c r="D386" s="1450">
        <f t="shared" ca="1" si="247"/>
        <v>4.0365242327959576</v>
      </c>
      <c r="E386" s="1450">
        <f t="shared" ca="1" si="247"/>
        <v>24</v>
      </c>
      <c r="F386" s="1450">
        <f t="shared" ca="1" si="247"/>
        <v>0</v>
      </c>
      <c r="G386" s="1450">
        <f t="shared" ca="1" si="247"/>
        <v>0</v>
      </c>
      <c r="H386" s="1450">
        <f t="shared" ca="1" si="247"/>
        <v>0</v>
      </c>
      <c r="I386" s="205">
        <f t="shared" ca="1" si="247"/>
        <v>147</v>
      </c>
      <c r="J386" s="1450">
        <f t="shared" ca="1" si="247"/>
        <v>293</v>
      </c>
      <c r="K386" s="1450">
        <f t="shared" ca="1" si="247"/>
        <v>5.4957787804379201</v>
      </c>
      <c r="L386" s="1450">
        <f t="shared" ca="1" si="247"/>
        <v>24</v>
      </c>
      <c r="M386" s="1450">
        <f t="shared" ca="1" si="247"/>
        <v>0</v>
      </c>
      <c r="N386" s="1450">
        <f t="shared" ca="1" si="247"/>
        <v>0</v>
      </c>
      <c r="O386" s="1450">
        <f t="shared" ca="1" si="247"/>
        <v>0</v>
      </c>
      <c r="P386" s="205">
        <f t="shared" ca="1" si="247"/>
        <v>293</v>
      </c>
      <c r="Q386" s="1450">
        <f t="shared" ca="1" si="247"/>
        <v>0</v>
      </c>
      <c r="R386" s="1450">
        <f t="shared" ref="R386:AC386" ca="1" si="248">SUMIF(R315:R344,"&gt;0")</f>
        <v>0</v>
      </c>
      <c r="S386" s="1478">
        <f t="shared" ca="1" si="248"/>
        <v>0</v>
      </c>
      <c r="T386" s="1450">
        <f t="shared" ca="1" si="248"/>
        <v>0</v>
      </c>
      <c r="U386" s="1450">
        <f t="shared" ca="1" si="248"/>
        <v>0</v>
      </c>
      <c r="V386" s="1450">
        <f t="shared" ca="1" si="248"/>
        <v>0</v>
      </c>
      <c r="W386" s="1450">
        <f t="shared" ca="1" si="248"/>
        <v>440</v>
      </c>
      <c r="X386" s="1450">
        <f t="shared" ca="1" si="248"/>
        <v>0</v>
      </c>
      <c r="Y386" s="1482">
        <f ca="1">SUMIF(Y315:Y344,"&gt;0")</f>
        <v>440</v>
      </c>
      <c r="Z386" s="1450">
        <f t="shared" ca="1" si="248"/>
        <v>9.5323030132338786</v>
      </c>
      <c r="AA386" s="1450">
        <f t="shared" ca="1" si="248"/>
        <v>0</v>
      </c>
      <c r="AB386" s="1450">
        <f t="shared" ca="1" si="248"/>
        <v>48</v>
      </c>
      <c r="AC386" s="1450">
        <f t="shared" ca="1" si="248"/>
        <v>0</v>
      </c>
      <c r="AD386" s="1450">
        <f t="shared" ref="AD386:AK386" ca="1" si="249">SUMIF(AD315:AD344,"&gt;0")</f>
        <v>163.20000000000073</v>
      </c>
      <c r="AE386" s="1450">
        <f t="shared" ca="1" si="249"/>
        <v>24</v>
      </c>
      <c r="AF386" s="1450">
        <f t="shared" ca="1" si="249"/>
        <v>151</v>
      </c>
      <c r="AG386" s="1450">
        <f t="shared" ca="1" si="249"/>
        <v>24</v>
      </c>
      <c r="AH386" s="1450">
        <f t="shared" ca="1" si="249"/>
        <v>9.6999999999989086</v>
      </c>
      <c r="AI386" s="1450">
        <f t="shared" ca="1" si="249"/>
        <v>38.69999999999709</v>
      </c>
      <c r="AJ386" s="1450">
        <f t="shared" ca="1" si="249"/>
        <v>5</v>
      </c>
      <c r="AK386" s="1450">
        <f t="shared" ca="1" si="249"/>
        <v>9</v>
      </c>
      <c r="AL386" s="1450">
        <f ca="1">SUMIF(AL315:AL344,"&lt;50")</f>
        <v>33.300000000004673</v>
      </c>
      <c r="AM386" s="1450">
        <f t="shared" ref="AM386:AZ386" ca="1" si="250">SUMIF(AM315:AM344,"&gt;0")</f>
        <v>11.722999999997556</v>
      </c>
      <c r="AN386" s="1450">
        <f ca="1">SUMIF(AN315:AN344,"&gt;0")</f>
        <v>3.3780000000006276</v>
      </c>
      <c r="AO386" s="1450">
        <f t="shared" ca="1" si="250"/>
        <v>70</v>
      </c>
      <c r="AP386" s="1450">
        <f t="shared" ca="1" si="250"/>
        <v>152</v>
      </c>
      <c r="AQ386" s="1450">
        <f t="shared" ca="1" si="250"/>
        <v>0</v>
      </c>
      <c r="AR386" s="1450">
        <f t="shared" ca="1" si="250"/>
        <v>0</v>
      </c>
      <c r="AS386" s="1450">
        <f t="shared" ca="1" si="250"/>
        <v>15</v>
      </c>
      <c r="AT386" s="1450">
        <f t="shared" ca="1" si="250"/>
        <v>3.5</v>
      </c>
      <c r="AU386" s="1450">
        <f t="shared" ca="1" si="250"/>
        <v>80.700000000000728</v>
      </c>
      <c r="AV386" s="1450">
        <f t="shared" ca="1" si="250"/>
        <v>65</v>
      </c>
      <c r="AW386" s="1450">
        <f t="shared" ca="1" si="250"/>
        <v>3.8999999999996362</v>
      </c>
      <c r="AX386" s="1450">
        <f t="shared" ca="1" si="250"/>
        <v>32.599999999998545</v>
      </c>
      <c r="AY386" s="1450">
        <f t="shared" ca="1" si="250"/>
        <v>3.8999999999941792</v>
      </c>
      <c r="AZ386" s="1450">
        <f t="shared" ca="1" si="250"/>
        <v>7</v>
      </c>
      <c r="BA386" s="1450">
        <f ca="1">SUMIF(BA315:BA344,"&lt;900")</f>
        <v>8.7130000000063887</v>
      </c>
      <c r="BB386" s="1450">
        <f t="shared" ref="BB386:BI386" ca="1" si="251">SUMIF(BB315:BB344,"&gt;0")</f>
        <v>12.290000000000163</v>
      </c>
      <c r="BC386" s="1450">
        <f t="shared" ca="1" si="251"/>
        <v>1.9099999999996555</v>
      </c>
      <c r="BD386" s="1450">
        <f t="shared" ca="1" si="251"/>
        <v>222</v>
      </c>
      <c r="BE386" s="1450">
        <f t="shared" ca="1" si="251"/>
        <v>0</v>
      </c>
      <c r="BF386" s="1450">
        <f t="shared" ca="1" si="251"/>
        <v>0</v>
      </c>
      <c r="BG386" s="1450">
        <f t="shared" ca="1" si="251"/>
        <v>0</v>
      </c>
      <c r="BH386" s="1439">
        <f t="shared" ca="1" si="251"/>
        <v>6</v>
      </c>
      <c r="BI386" s="1439">
        <f t="shared" ca="1" si="251"/>
        <v>0</v>
      </c>
      <c r="BJ386" s="1439">
        <f t="shared" ref="BJ386:CL386" ca="1" si="252">SUMIF(BJ315:BJ344,"&gt;0")</f>
        <v>2.6</v>
      </c>
      <c r="BK386" s="1439">
        <f t="shared" ca="1" si="252"/>
        <v>1</v>
      </c>
      <c r="BL386" s="1439">
        <f t="shared" ca="1" si="252"/>
        <v>15.5</v>
      </c>
      <c r="BM386" s="1439">
        <f t="shared" ca="1" si="252"/>
        <v>1.5720000000000001</v>
      </c>
      <c r="BN386" s="1439">
        <f t="shared" ca="1" si="252"/>
        <v>0.26</v>
      </c>
      <c r="BO386" s="1439">
        <f t="shared" ca="1" si="252"/>
        <v>8</v>
      </c>
      <c r="BP386" s="1439">
        <f t="shared" ca="1" si="252"/>
        <v>3.7949999999999999</v>
      </c>
      <c r="BQ386" s="1439">
        <f t="shared" ca="1" si="252"/>
        <v>0.14099999999999999</v>
      </c>
      <c r="BR386" s="1439">
        <f t="shared" ca="1" si="252"/>
        <v>24</v>
      </c>
      <c r="BS386" s="1439">
        <f t="shared" ca="1" si="252"/>
        <v>1.4319999999999999</v>
      </c>
      <c r="BT386" s="1439">
        <f t="shared" ca="1" si="252"/>
        <v>0.88600000000000001</v>
      </c>
      <c r="BU386" s="1439">
        <f t="shared" ca="1" si="252"/>
        <v>5.6000000000003638</v>
      </c>
      <c r="BV386" s="1439">
        <f t="shared" ca="1" si="252"/>
        <v>3.7000000000007276</v>
      </c>
      <c r="BW386" s="1439">
        <f t="shared" ca="1" si="252"/>
        <v>11.461499999999141</v>
      </c>
      <c r="BX386" s="1439">
        <f t="shared" ca="1" si="252"/>
        <v>9.8450000000008089</v>
      </c>
      <c r="BY386" s="1439">
        <f t="shared" ca="1" si="252"/>
        <v>5.8614999999987782</v>
      </c>
      <c r="BZ386" s="1439">
        <f t="shared" ca="1" si="252"/>
        <v>1.3512000000002511</v>
      </c>
      <c r="CA386" s="1439">
        <f t="shared" ca="1" si="252"/>
        <v>5.8614999999987782</v>
      </c>
      <c r="CB386" s="1439">
        <f t="shared" ca="1" si="252"/>
        <v>2.0268000000003763</v>
      </c>
      <c r="CC386" s="1439">
        <f t="shared" ca="1" si="252"/>
        <v>2.7832000000002513</v>
      </c>
      <c r="CD386" s="1439">
        <f t="shared" ca="1" si="252"/>
        <v>6.1450000000000813</v>
      </c>
      <c r="CE386" s="1439">
        <f t="shared" ca="1" si="252"/>
        <v>3.7000000000007276</v>
      </c>
      <c r="CF386" s="1439">
        <f t="shared" ca="1" si="252"/>
        <v>6.1450000000000813</v>
      </c>
      <c r="CG386" s="1439">
        <f t="shared" ca="1" si="252"/>
        <v>0.95499999999982776</v>
      </c>
      <c r="CH386" s="1439">
        <f t="shared" ca="1" si="252"/>
        <v>0.95499999999982776</v>
      </c>
      <c r="CI386" s="1439">
        <f t="shared" ca="1" si="252"/>
        <v>1.8409999999998279</v>
      </c>
      <c r="CJ386" s="1439">
        <f t="shared" ca="1" si="252"/>
        <v>0</v>
      </c>
      <c r="CK386" s="1439">
        <f t="shared" si="252"/>
        <v>0</v>
      </c>
      <c r="CL386" s="1439">
        <f t="shared" si="252"/>
        <v>0</v>
      </c>
    </row>
    <row r="387" spans="2:90" ht="15" thickBot="1">
      <c r="B387" s="1527" t="s">
        <v>187</v>
      </c>
      <c r="C387" s="1450">
        <f t="shared" ref="C387:Q387" ca="1" si="253">SUMIF(C345:C375,"&gt;0")</f>
        <v>0</v>
      </c>
      <c r="D387" s="1450">
        <f t="shared" ca="1" si="253"/>
        <v>0</v>
      </c>
      <c r="E387" s="1450">
        <f t="shared" ca="1" si="253"/>
        <v>0</v>
      </c>
      <c r="F387" s="1450">
        <f t="shared" ca="1" si="253"/>
        <v>0</v>
      </c>
      <c r="G387" s="1450">
        <f t="shared" ca="1" si="253"/>
        <v>0</v>
      </c>
      <c r="H387" s="1450">
        <f t="shared" ca="1" si="253"/>
        <v>0</v>
      </c>
      <c r="I387" s="205">
        <f t="shared" ca="1" si="253"/>
        <v>0</v>
      </c>
      <c r="J387" s="1450">
        <f t="shared" ca="1" si="253"/>
        <v>0</v>
      </c>
      <c r="K387" s="1450">
        <f t="shared" ca="1" si="253"/>
        <v>0</v>
      </c>
      <c r="L387" s="1450">
        <f t="shared" ca="1" si="253"/>
        <v>0</v>
      </c>
      <c r="M387" s="1450">
        <f t="shared" ca="1" si="253"/>
        <v>0</v>
      </c>
      <c r="N387" s="1450">
        <f t="shared" ca="1" si="253"/>
        <v>0</v>
      </c>
      <c r="O387" s="1450">
        <f t="shared" ca="1" si="253"/>
        <v>0</v>
      </c>
      <c r="P387" s="205">
        <f t="shared" ca="1" si="253"/>
        <v>0</v>
      </c>
      <c r="Q387" s="1450">
        <f t="shared" ca="1" si="253"/>
        <v>0</v>
      </c>
      <c r="R387" s="1450">
        <f t="shared" ref="R387:AC387" ca="1" si="254">SUMIF(R345:R375,"&gt;0")</f>
        <v>0</v>
      </c>
      <c r="S387" s="1478">
        <f t="shared" ca="1" si="254"/>
        <v>0</v>
      </c>
      <c r="T387" s="1450">
        <f t="shared" ca="1" si="254"/>
        <v>0</v>
      </c>
      <c r="U387" s="1450">
        <f t="shared" ca="1" si="254"/>
        <v>0</v>
      </c>
      <c r="V387" s="1450">
        <f t="shared" ca="1" si="254"/>
        <v>0</v>
      </c>
      <c r="W387" s="1482">
        <f t="shared" ca="1" si="254"/>
        <v>0</v>
      </c>
      <c r="X387" s="1450">
        <f t="shared" ca="1" si="254"/>
        <v>0</v>
      </c>
      <c r="Y387" s="1450">
        <f t="shared" ca="1" si="254"/>
        <v>0</v>
      </c>
      <c r="Z387" s="1450">
        <f t="shared" ca="1" si="254"/>
        <v>0</v>
      </c>
      <c r="AA387" s="1450">
        <f t="shared" ca="1" si="254"/>
        <v>0</v>
      </c>
      <c r="AB387" s="1450">
        <f t="shared" ca="1" si="254"/>
        <v>0</v>
      </c>
      <c r="AC387" s="1450">
        <f t="shared" ca="1" si="254"/>
        <v>0</v>
      </c>
      <c r="AD387" s="1450">
        <f t="shared" ref="AD387:AK387" ca="1" si="255">SUMIF(AD345:AD375,"&gt;0")</f>
        <v>0</v>
      </c>
      <c r="AE387" s="1450">
        <f t="shared" ca="1" si="255"/>
        <v>0</v>
      </c>
      <c r="AF387" s="1450">
        <f t="shared" ca="1" si="255"/>
        <v>0</v>
      </c>
      <c r="AG387" s="1450">
        <f t="shared" ca="1" si="255"/>
        <v>0</v>
      </c>
      <c r="AH387" s="1450">
        <f t="shared" ca="1" si="255"/>
        <v>0</v>
      </c>
      <c r="AI387" s="1450">
        <f t="shared" ca="1" si="255"/>
        <v>0</v>
      </c>
      <c r="AJ387" s="1450">
        <f t="shared" ca="1" si="255"/>
        <v>0</v>
      </c>
      <c r="AK387" s="1450">
        <f t="shared" ca="1" si="255"/>
        <v>0</v>
      </c>
      <c r="AL387" s="1450">
        <f ca="1">SUMIF(AL345:AL375,"&lt;50")</f>
        <v>0</v>
      </c>
      <c r="AM387" s="1467">
        <f ca="1">SUMIF(AM345:AM375,"&gt;0")</f>
        <v>0</v>
      </c>
      <c r="AN387" s="1450">
        <f ca="1">SUMIF(AN345:AN375,"&gt;0")</f>
        <v>0</v>
      </c>
      <c r="AO387" s="1450">
        <f t="shared" ref="AO387:AZ387" ca="1" si="256">SUMIF(AO344:AO375,"&gt;0")</f>
        <v>0</v>
      </c>
      <c r="AP387" s="1450">
        <f t="shared" ca="1" si="256"/>
        <v>0</v>
      </c>
      <c r="AQ387" s="1450">
        <f t="shared" ca="1" si="256"/>
        <v>0</v>
      </c>
      <c r="AR387" s="1450">
        <f t="shared" ca="1" si="256"/>
        <v>0</v>
      </c>
      <c r="AS387" s="1450">
        <f t="shared" ca="1" si="256"/>
        <v>0</v>
      </c>
      <c r="AT387" s="1450">
        <f t="shared" ca="1" si="256"/>
        <v>0</v>
      </c>
      <c r="AU387" s="1450">
        <f t="shared" ca="1" si="256"/>
        <v>0</v>
      </c>
      <c r="AV387" s="1450">
        <f t="shared" ca="1" si="256"/>
        <v>0</v>
      </c>
      <c r="AW387" s="1450">
        <f t="shared" ca="1" si="256"/>
        <v>0</v>
      </c>
      <c r="AX387" s="1450">
        <f t="shared" ca="1" si="256"/>
        <v>0</v>
      </c>
      <c r="AY387" s="1450">
        <f t="shared" ca="1" si="256"/>
        <v>0</v>
      </c>
      <c r="AZ387" s="1450">
        <f t="shared" ca="1" si="256"/>
        <v>0</v>
      </c>
      <c r="BA387" s="1450">
        <f ca="1">SUMIF(BA345:BA375,"&lt;900")</f>
        <v>0</v>
      </c>
      <c r="BB387" s="1450">
        <f ca="1">SUMIF(BB345:BB375,"&gt;0")</f>
        <v>0</v>
      </c>
      <c r="BC387" s="1450">
        <f ca="1">SUMIF(BC345:BC375,"&gt;0")</f>
        <v>0</v>
      </c>
      <c r="BD387" s="1450">
        <f ca="1">SUMIF(BD344:BD375,"&gt;0")</f>
        <v>0</v>
      </c>
      <c r="BE387" s="1450">
        <f ca="1">SUMIF(BE344:BE375,"&gt;0")</f>
        <v>0</v>
      </c>
      <c r="BF387" s="1450">
        <f ca="1">SUMIF(BF344:BF375,"&gt;0")</f>
        <v>0</v>
      </c>
      <c r="BG387" s="1450">
        <f ca="1">SUMIF(BG344:BG375,"&gt;0")</f>
        <v>0</v>
      </c>
      <c r="BH387" s="1439">
        <f t="shared" ref="BH387:CL387" ca="1" si="257">SUMIF(BH345:BH375,"&gt;0")</f>
        <v>0</v>
      </c>
      <c r="BI387" s="1439">
        <f t="shared" ca="1" si="257"/>
        <v>0</v>
      </c>
      <c r="BJ387" s="1439">
        <f t="shared" ca="1" si="257"/>
        <v>0</v>
      </c>
      <c r="BK387" s="1439">
        <f t="shared" ca="1" si="257"/>
        <v>0</v>
      </c>
      <c r="BL387" s="1439">
        <f t="shared" ca="1" si="257"/>
        <v>0</v>
      </c>
      <c r="BM387" s="1439">
        <f t="shared" ca="1" si="257"/>
        <v>0</v>
      </c>
      <c r="BN387" s="1439">
        <f t="shared" ca="1" si="257"/>
        <v>0</v>
      </c>
      <c r="BO387" s="1439">
        <f t="shared" ca="1" si="257"/>
        <v>0</v>
      </c>
      <c r="BP387" s="1439">
        <f t="shared" ca="1" si="257"/>
        <v>0</v>
      </c>
      <c r="BQ387" s="1439">
        <f t="shared" ca="1" si="257"/>
        <v>0</v>
      </c>
      <c r="BR387" s="1439">
        <f t="shared" ca="1" si="257"/>
        <v>0</v>
      </c>
      <c r="BS387" s="1439">
        <f t="shared" ca="1" si="257"/>
        <v>0</v>
      </c>
      <c r="BT387" s="1439">
        <f t="shared" ca="1" si="257"/>
        <v>0</v>
      </c>
      <c r="BU387" s="1439">
        <f t="shared" ca="1" si="257"/>
        <v>0</v>
      </c>
      <c r="BV387" s="1439">
        <f t="shared" ca="1" si="257"/>
        <v>0</v>
      </c>
      <c r="BW387" s="1439">
        <f t="shared" ca="1" si="257"/>
        <v>0</v>
      </c>
      <c r="BX387" s="1439">
        <f t="shared" ca="1" si="257"/>
        <v>0</v>
      </c>
      <c r="BY387" s="1439">
        <f t="shared" ca="1" si="257"/>
        <v>0</v>
      </c>
      <c r="BZ387" s="1439">
        <f t="shared" ca="1" si="257"/>
        <v>0</v>
      </c>
      <c r="CA387" s="1439">
        <f t="shared" ca="1" si="257"/>
        <v>0</v>
      </c>
      <c r="CB387" s="1439">
        <f t="shared" ca="1" si="257"/>
        <v>0</v>
      </c>
      <c r="CC387" s="1439">
        <f t="shared" ca="1" si="257"/>
        <v>0</v>
      </c>
      <c r="CD387" s="1439">
        <f t="shared" ca="1" si="257"/>
        <v>0</v>
      </c>
      <c r="CE387" s="1439">
        <f t="shared" ca="1" si="257"/>
        <v>0</v>
      </c>
      <c r="CF387" s="1439">
        <f t="shared" ca="1" si="257"/>
        <v>0</v>
      </c>
      <c r="CG387" s="1439">
        <f t="shared" ca="1" si="257"/>
        <v>0</v>
      </c>
      <c r="CH387" s="1439">
        <f t="shared" ca="1" si="257"/>
        <v>0</v>
      </c>
      <c r="CI387" s="1439">
        <f t="shared" ca="1" si="257"/>
        <v>0</v>
      </c>
      <c r="CJ387" s="1439">
        <f t="shared" ca="1" si="257"/>
        <v>0</v>
      </c>
      <c r="CK387" s="1439">
        <f t="shared" si="257"/>
        <v>0</v>
      </c>
      <c r="CL387" s="1439">
        <f t="shared" si="257"/>
        <v>0</v>
      </c>
    </row>
    <row r="388" spans="2:90" ht="15" thickBot="1">
      <c r="B388" s="12" t="s">
        <v>229</v>
      </c>
      <c r="C388" s="216">
        <f ca="1">SUM(C376:C387)</f>
        <v>68035.839999999967</v>
      </c>
      <c r="D388" s="216">
        <f t="shared" ref="D388:AC388" ca="1" si="258">SUM(D376:D387)</f>
        <v>1299.7256879589925</v>
      </c>
      <c r="E388" s="216">
        <f t="shared" ca="1" si="258"/>
        <v>6943.099999999994</v>
      </c>
      <c r="F388" s="216">
        <f t="shared" ca="1" si="258"/>
        <v>0</v>
      </c>
      <c r="G388" s="216">
        <f t="shared" ca="1" si="258"/>
        <v>734</v>
      </c>
      <c r="H388" s="216">
        <f t="shared" ca="1" si="258"/>
        <v>0.79999999999995453</v>
      </c>
      <c r="I388" s="216">
        <f ca="1">SUM(I376:I387)</f>
        <v>68035.839999999967</v>
      </c>
      <c r="J388" s="216">
        <f t="shared" ca="1" si="258"/>
        <v>65456.498999999996</v>
      </c>
      <c r="K388" s="216">
        <f t="shared" ca="1" si="258"/>
        <v>1324.3470546823276</v>
      </c>
      <c r="L388" s="216">
        <f t="shared" ca="1" si="258"/>
        <v>7215.6999999999825</v>
      </c>
      <c r="M388" s="216">
        <f t="shared" ca="1" si="258"/>
        <v>0.501</v>
      </c>
      <c r="N388" s="216">
        <f t="shared" ca="1" si="258"/>
        <v>0</v>
      </c>
      <c r="O388" s="216">
        <f t="shared" ca="1" si="258"/>
        <v>0</v>
      </c>
      <c r="P388" s="216">
        <f t="shared" ca="1" si="258"/>
        <v>65457</v>
      </c>
      <c r="Q388" s="216">
        <f t="shared" ca="1" si="258"/>
        <v>20.287000000000035</v>
      </c>
      <c r="R388" s="216">
        <f t="shared" ca="1" si="258"/>
        <v>2434.4400000000041</v>
      </c>
      <c r="S388" s="216">
        <f t="shared" ca="1" si="258"/>
        <v>47.300000000000182</v>
      </c>
      <c r="T388" s="216">
        <f t="shared" ca="1" si="258"/>
        <v>205.15800000000002</v>
      </c>
      <c r="U388" s="216">
        <f t="shared" ca="1" si="258"/>
        <v>24618.959999999999</v>
      </c>
      <c r="V388" s="216">
        <f t="shared" ca="1" si="258"/>
        <v>230.09999999999991</v>
      </c>
      <c r="W388" s="1537">
        <f t="shared" ca="1" si="258"/>
        <v>133492.33899999998</v>
      </c>
      <c r="X388" s="216">
        <f t="shared" ca="1" si="258"/>
        <v>225.94600000000005</v>
      </c>
      <c r="Y388" s="216">
        <f t="shared" ca="1" si="258"/>
        <v>133718.28499999995</v>
      </c>
      <c r="Z388" s="216">
        <f t="shared" ca="1" si="258"/>
        <v>2624.07274264132</v>
      </c>
      <c r="AA388" s="216">
        <f t="shared" ca="1" si="258"/>
        <v>27787.400000000005</v>
      </c>
      <c r="AB388" s="216">
        <f t="shared" ca="1" si="258"/>
        <v>14158.799999999977</v>
      </c>
      <c r="AC388" s="216">
        <f t="shared" ca="1" si="258"/>
        <v>278.20000000000005</v>
      </c>
      <c r="AD388" s="216">
        <f t="shared" ref="AD388:BG388" ca="1" si="259">SUM(AD376:AD387)</f>
        <v>49314.450000000041</v>
      </c>
      <c r="AE388" s="216">
        <f t="shared" ca="1" si="259"/>
        <v>7179.5999999999767</v>
      </c>
      <c r="AF388" s="1256">
        <f t="shared" ca="1" si="259"/>
        <v>44545</v>
      </c>
      <c r="AG388" s="216">
        <f t="shared" ca="1" si="259"/>
        <v>7235</v>
      </c>
      <c r="AH388" s="216">
        <f t="shared" ca="1" si="259"/>
        <v>3073.1999999999989</v>
      </c>
      <c r="AI388" s="216">
        <f t="shared" ca="1" si="259"/>
        <v>11611.280000000006</v>
      </c>
      <c r="AJ388" s="216">
        <f t="shared" ca="1" si="259"/>
        <v>2316.9400000000023</v>
      </c>
      <c r="AK388" s="216">
        <f t="shared" ca="1" si="259"/>
        <v>3794.8399999999965</v>
      </c>
      <c r="AL388" s="216">
        <f t="shared" ca="1" si="259"/>
        <v>10428.771999999906</v>
      </c>
      <c r="AM388" s="216">
        <f t="shared" ca="1" si="259"/>
        <v>2908.3560000000093</v>
      </c>
      <c r="AN388" s="216">
        <f t="shared" ca="1" si="259"/>
        <v>979.85300000000109</v>
      </c>
      <c r="AO388" s="216">
        <f t="shared" ca="1" si="259"/>
        <v>34111.229999999981</v>
      </c>
      <c r="AP388" s="216">
        <f t="shared" ca="1" si="259"/>
        <v>33568.800000000003</v>
      </c>
      <c r="AQ388" s="216">
        <f t="shared" ca="1" si="259"/>
        <v>9.86200000000008</v>
      </c>
      <c r="AR388" s="216">
        <f t="shared" ca="1" si="259"/>
        <v>79.296999999999969</v>
      </c>
      <c r="AS388" s="1528">
        <f t="shared" ca="1" si="259"/>
        <v>4635.0299999999988</v>
      </c>
      <c r="AT388" s="1529">
        <f t="shared" ca="1" si="259"/>
        <v>866.06000000000063</v>
      </c>
      <c r="AU388" s="1529">
        <f t="shared" ca="1" si="259"/>
        <v>24751.460000000046</v>
      </c>
      <c r="AV388" s="1529">
        <f t="shared" ca="1" si="259"/>
        <v>19305.100000000006</v>
      </c>
      <c r="AW388" s="1529">
        <f t="shared" ca="1" si="259"/>
        <v>1186.5999999999976</v>
      </c>
      <c r="AX388" s="1529">
        <f t="shared" ca="1" si="259"/>
        <v>9677.5299999999988</v>
      </c>
      <c r="AY388" s="1529">
        <f t="shared" ca="1" si="259"/>
        <v>1776.6299999999974</v>
      </c>
      <c r="AZ388" s="1529">
        <f t="shared" ca="1" si="259"/>
        <v>3069.2799999999988</v>
      </c>
      <c r="BA388" s="1529">
        <f t="shared" ca="1" si="259"/>
        <v>2935.8759999999484</v>
      </c>
      <c r="BB388" s="1529">
        <f t="shared" ca="1" si="259"/>
        <v>2662.2559999999885</v>
      </c>
      <c r="BC388" s="1529">
        <f t="shared" ca="1" si="259"/>
        <v>503.5999999999998</v>
      </c>
      <c r="BD388" s="1529">
        <f t="shared" ca="1" si="259"/>
        <v>67769.188999999984</v>
      </c>
      <c r="BE388" s="1529">
        <f t="shared" ca="1" si="259"/>
        <v>1803970.1201233617</v>
      </c>
      <c r="BF388" s="1529">
        <f t="shared" ca="1" si="259"/>
        <v>9816560.1170809083</v>
      </c>
      <c r="BG388" s="1529">
        <f t="shared" ca="1" si="259"/>
        <v>1793132.5006662612</v>
      </c>
      <c r="BH388" s="1529">
        <f t="shared" ref="BH388:BQ388" ca="1" si="260">SUM(BH376:BH387)</f>
        <v>1503.8000000000029</v>
      </c>
      <c r="BI388" s="1529">
        <f t="shared" ca="1" si="260"/>
        <v>0</v>
      </c>
      <c r="BJ388" s="1530">
        <f t="shared" ca="1" si="260"/>
        <v>443.4</v>
      </c>
      <c r="BK388" s="1529">
        <f t="shared" ca="1" si="260"/>
        <v>173</v>
      </c>
      <c r="BL388" s="1529">
        <f t="shared" ca="1" si="260"/>
        <v>3896.4000000000015</v>
      </c>
      <c r="BM388" s="1530">
        <f t="shared" ca="1" si="260"/>
        <v>1025.3409999999999</v>
      </c>
      <c r="BN388" s="1529">
        <f t="shared" ca="1" si="260"/>
        <v>104.16599999999998</v>
      </c>
      <c r="BO388" s="1529">
        <f t="shared" ca="1" si="260"/>
        <v>5612.5999999999985</v>
      </c>
      <c r="BP388" s="1530">
        <f t="shared" ca="1" si="260"/>
        <v>875.04</v>
      </c>
      <c r="BQ388" s="1529">
        <f t="shared" ca="1" si="260"/>
        <v>57.032000000000011</v>
      </c>
      <c r="BR388" s="1529">
        <f t="shared" ref="BR388:CL388" ca="1" si="261">SUM(BR376:BR387)</f>
        <v>5075.3999999999996</v>
      </c>
      <c r="BS388" s="1530">
        <f t="shared" ca="1" si="261"/>
        <v>435.50300000000004</v>
      </c>
      <c r="BT388" s="1529">
        <f t="shared" ca="1" si="261"/>
        <v>253.86799999999997</v>
      </c>
      <c r="BU388" s="1530">
        <f t="shared" ca="1" si="261"/>
        <v>1966.3100000000004</v>
      </c>
      <c r="BV388" s="1529">
        <f t="shared" ca="1" si="261"/>
        <v>1313.38</v>
      </c>
      <c r="BW388" s="1529">
        <f t="shared" ca="1" si="261"/>
        <v>3420.4880000000044</v>
      </c>
      <c r="BX388" s="1529">
        <f t="shared" ca="1" si="261"/>
        <v>2644.5079999999944</v>
      </c>
      <c r="BY388" s="1529">
        <f t="shared" ca="1" si="261"/>
        <v>1454.1780000000047</v>
      </c>
      <c r="BZ388" s="1529">
        <f t="shared" ca="1" si="261"/>
        <v>391.94120000000038</v>
      </c>
      <c r="CA388" s="1529">
        <f t="shared" ca="1" si="261"/>
        <v>1454.1780000000047</v>
      </c>
      <c r="CB388" s="1529">
        <f t="shared" ca="1" si="261"/>
        <v>587.91180000000043</v>
      </c>
      <c r="CC388" s="1529">
        <f t="shared" ca="1" si="261"/>
        <v>827.44420000000048</v>
      </c>
      <c r="CD388" s="1529">
        <f t="shared" ca="1" si="261"/>
        <v>1331.1279999999942</v>
      </c>
      <c r="CE388" s="1529">
        <f t="shared" ca="1" si="261"/>
        <v>1313.38</v>
      </c>
      <c r="CF388" s="1529">
        <f t="shared" ca="1" si="261"/>
        <v>1331.1279999999942</v>
      </c>
      <c r="CG388" s="1529">
        <f t="shared" ca="1" si="261"/>
        <v>251.7999999999999</v>
      </c>
      <c r="CH388" s="1529">
        <f t="shared" ca="1" si="261"/>
        <v>251.7999999999999</v>
      </c>
      <c r="CI388" s="1529">
        <f t="shared" ca="1" si="261"/>
        <v>505.37349999999998</v>
      </c>
      <c r="CJ388" s="1529">
        <f t="shared" ca="1" si="261"/>
        <v>2716140.633668581</v>
      </c>
      <c r="CK388" s="1529">
        <f t="shared" si="261"/>
        <v>32.4</v>
      </c>
      <c r="CL388" s="1529">
        <f t="shared" si="261"/>
        <v>190.20999999999998</v>
      </c>
    </row>
    <row r="389" spans="2:90">
      <c r="C389" s="1531"/>
      <c r="D389" s="1531"/>
      <c r="E389" s="1531"/>
      <c r="F389" s="1531"/>
      <c r="G389" s="1531"/>
      <c r="H389" s="1531"/>
      <c r="I389" s="1531"/>
      <c r="J389" s="1531"/>
      <c r="K389" s="1531"/>
      <c r="L389" s="1531"/>
      <c r="M389" s="1531"/>
      <c r="N389" s="1531"/>
      <c r="O389" s="1531"/>
      <c r="P389" s="1531"/>
      <c r="Q389" s="1531"/>
      <c r="R389" s="1531"/>
      <c r="S389" s="1531"/>
      <c r="T389" s="1531"/>
      <c r="U389" s="1531"/>
      <c r="V389" s="1531"/>
      <c r="W389" s="1531"/>
      <c r="X389" s="1531"/>
      <c r="Y389" s="1531"/>
      <c r="Z389" s="1531"/>
      <c r="AA389" s="1531"/>
      <c r="AB389" s="1531"/>
      <c r="AC389" s="1531"/>
      <c r="AD389" s="1531"/>
      <c r="AE389" s="1531"/>
      <c r="AF389" s="1532"/>
      <c r="AG389" s="1531"/>
      <c r="AH389" s="1531"/>
      <c r="AI389" s="1531"/>
      <c r="AJ389" s="1531"/>
      <c r="AK389" s="1531"/>
      <c r="AL389" s="1531"/>
      <c r="AM389" s="1531"/>
      <c r="AN389" s="1531"/>
      <c r="AO389" s="1531"/>
      <c r="AP389" s="1531"/>
      <c r="AQ389" s="1531"/>
      <c r="AR389" s="1531"/>
      <c r="BE389" s="1422"/>
    </row>
    <row r="391" spans="2:90" hidden="1">
      <c r="I391" s="1422">
        <f ca="1">SUM(I376:I387)</f>
        <v>68035.839999999967</v>
      </c>
    </row>
    <row r="392" spans="2:90" hidden="1">
      <c r="C392" s="1">
        <v>6388.8000000000466</v>
      </c>
      <c r="E392" s="215">
        <f>SUMIF(B192:B222,"k6",E192:E222)</f>
        <v>0</v>
      </c>
      <c r="F392" s="1">
        <f ca="1">SUM(F$11:F43)</f>
        <v>0</v>
      </c>
      <c r="G392" s="1">
        <v>7</v>
      </c>
      <c r="J392" s="1422">
        <f ca="1">SUM(J$11:J41)</f>
        <v>7936.4000000000015</v>
      </c>
      <c r="K392" s="1422">
        <f t="shared" ref="K392:K403" ca="1" si="262">SUM(K388)</f>
        <v>1324.3470546823276</v>
      </c>
      <c r="AM392" s="1422"/>
    </row>
    <row r="393" spans="2:90" hidden="1">
      <c r="C393" s="1">
        <v>6495.2999999999884</v>
      </c>
      <c r="E393" s="1">
        <f>SUMIF(B192:B222,"="&amp;DATE(28,7,2016),E192:E222)</f>
        <v>0</v>
      </c>
      <c r="F393" s="1">
        <f ca="1">SUM(F$42:F71)</f>
        <v>0</v>
      </c>
      <c r="J393" s="1422">
        <f ca="1">SUM(J$42:J69)</f>
        <v>4107.4799999999996</v>
      </c>
      <c r="K393" s="1422">
        <f t="shared" si="262"/>
        <v>0</v>
      </c>
    </row>
    <row r="394" spans="2:90" hidden="1">
      <c r="C394" s="1">
        <v>6690.2</v>
      </c>
      <c r="E394" s="1533">
        <f ca="1">SUMIF(B192:B222,"&gt;="&amp;DATE(2016,7,27),E192:E222)-SUMIF(B192:B222,"&gt;"&amp;DATE(2016,7,1),E192:E222)</f>
        <v>0</v>
      </c>
      <c r="F394" s="1">
        <f ca="1">SUM(F$70:F102)</f>
        <v>0</v>
      </c>
      <c r="J394" s="1422">
        <f ca="1">SUM(J$70:J100)</f>
        <v>4705.4199999999983</v>
      </c>
      <c r="K394" s="1422">
        <f t="shared" si="262"/>
        <v>0</v>
      </c>
    </row>
    <row r="395" spans="2:90" hidden="1">
      <c r="C395" s="1">
        <v>5635.4</v>
      </c>
      <c r="E395" s="1533">
        <f ca="1">SUMIF(B192:B222,"&gt;="&amp;DATE(2016,7,27),E192:E222)-SUMIF(B192:B222,"&gt;"&amp;DATE(2016,7,1),E192:E222)</f>
        <v>0</v>
      </c>
      <c r="F395" s="1">
        <f ca="1">SUM(F$101:F132)</f>
        <v>0</v>
      </c>
      <c r="J395" s="1422">
        <f ca="1">SUM(J$101:J130)</f>
        <v>3766.1000000000022</v>
      </c>
      <c r="K395" s="1422">
        <f t="shared" si="262"/>
        <v>0</v>
      </c>
    </row>
    <row r="396" spans="2:90" hidden="1">
      <c r="C396" s="1">
        <v>5198.1000000000004</v>
      </c>
      <c r="E396" s="1">
        <f>SUMIF(B192:B222,"&lt;K6",B192:E222)</f>
        <v>0</v>
      </c>
      <c r="F396" s="1">
        <f ca="1">SUM(F$131:F163)</f>
        <v>0</v>
      </c>
      <c r="J396" s="1422">
        <f ca="1">SUM(J$131:J161)</f>
        <v>6271.0999999999985</v>
      </c>
      <c r="K396" s="1422">
        <f t="shared" ca="1" si="262"/>
        <v>1324.3470546823276</v>
      </c>
    </row>
    <row r="397" spans="2:90" hidden="1">
      <c r="C397" s="1">
        <v>5099.2999999999993</v>
      </c>
      <c r="E397" s="1" t="e">
        <f ca="1">SUMA.SI($E$192:$E$222&gt;"0",$E$192:$E$222)</f>
        <v>#NAME?</v>
      </c>
      <c r="F397" s="1">
        <f ca="1">SUM(F$162:F193)</f>
        <v>0</v>
      </c>
      <c r="J397" s="1422">
        <f ca="1">SUM(J$162:J191)</f>
        <v>5185.239999999998</v>
      </c>
      <c r="K397" s="1422">
        <f t="shared" si="262"/>
        <v>0</v>
      </c>
    </row>
    <row r="398" spans="2:90" hidden="1">
      <c r="E398" s="1" t="e">
        <f>SUM((MONTH(B192:B222)=7)*(E192:E218))</f>
        <v>#VALUE!</v>
      </c>
      <c r="F398" s="1">
        <f ca="1">SUM(F$192:F224)</f>
        <v>0</v>
      </c>
      <c r="J398" s="1422">
        <f ca="1">SUM(J$192:J222)</f>
        <v>6458.760000000002</v>
      </c>
      <c r="K398" s="1422">
        <f t="shared" si="262"/>
        <v>0</v>
      </c>
    </row>
    <row r="399" spans="2:90" hidden="1">
      <c r="E399" s="1">
        <f ca="1">SUMIF(E192:E222,"&gt;0")</f>
        <v>744</v>
      </c>
      <c r="F399" s="1">
        <f ca="1">SUM(F$223:F255)</f>
        <v>0</v>
      </c>
      <c r="J399" s="1">
        <f ca="1">SUM(J$223:J255)</f>
        <v>7961.3300000000017</v>
      </c>
      <c r="K399" s="1422">
        <f t="shared" si="262"/>
        <v>0</v>
      </c>
    </row>
    <row r="400" spans="2:90" hidden="1">
      <c r="F400" s="1">
        <f ca="1">SUM(F$254:F285)</f>
        <v>0</v>
      </c>
      <c r="J400" s="1">
        <f ca="1">SUM(J$254:J285)</f>
        <v>10440.598999999998</v>
      </c>
      <c r="K400" s="1422">
        <f t="shared" ca="1" si="262"/>
        <v>1324.3470546823276</v>
      </c>
    </row>
    <row r="401" spans="6:11" hidden="1">
      <c r="F401" s="1">
        <f ca="1">SUM(F$284:F316)</f>
        <v>0</v>
      </c>
      <c r="J401" s="1">
        <f ca="1">SUM(J$284:J316)</f>
        <v>10100</v>
      </c>
      <c r="K401" s="1422">
        <f t="shared" si="262"/>
        <v>0</v>
      </c>
    </row>
    <row r="402" spans="6:11" hidden="1">
      <c r="F402" s="1">
        <f ca="1">SUM(F$315:F346)</f>
        <v>0</v>
      </c>
      <c r="J402" s="1">
        <f ca="1">SUM(J$315:J346)</f>
        <v>293</v>
      </c>
      <c r="K402" s="1422">
        <f t="shared" si="262"/>
        <v>0</v>
      </c>
    </row>
    <row r="403" spans="6:11" hidden="1">
      <c r="F403" s="1">
        <f ca="1">SUM(F$345:F377)</f>
        <v>0</v>
      </c>
      <c r="J403" s="1">
        <f ca="1">SUM(J$345:J377)</f>
        <v>12043.880000000001</v>
      </c>
      <c r="K403" s="1422">
        <f t="shared" si="262"/>
        <v>0</v>
      </c>
    </row>
  </sheetData>
  <mergeCells count="23">
    <mergeCell ref="W9:Y9"/>
    <mergeCell ref="B7:AN7"/>
    <mergeCell ref="B8:B10"/>
    <mergeCell ref="C8:I8"/>
    <mergeCell ref="J8:P8"/>
    <mergeCell ref="Q8:S8"/>
    <mergeCell ref="T8:V8"/>
    <mergeCell ref="W8:AC8"/>
    <mergeCell ref="AD8:AN8"/>
    <mergeCell ref="C9:E9"/>
    <mergeCell ref="F9:H9"/>
    <mergeCell ref="J9:L9"/>
    <mergeCell ref="M9:O9"/>
    <mergeCell ref="Q9:S9"/>
    <mergeCell ref="T9:V9"/>
    <mergeCell ref="BU9:BV9"/>
    <mergeCell ref="BW9:BX9"/>
    <mergeCell ref="AD9:AE9"/>
    <mergeCell ref="AF9:AG9"/>
    <mergeCell ref="BJ9:BL9"/>
    <mergeCell ref="BM9:BO9"/>
    <mergeCell ref="BP9:BR9"/>
    <mergeCell ref="BS9:BT9"/>
  </mergeCells>
  <pageMargins left="0.70866141732283472" right="0.70866141732283472" top="0.74803149606299213" bottom="0.74803149606299213" header="0.31496062992125984" footer="0.31496062992125984"/>
  <pageSetup scale="80" fitToWidth="0" fitToHeight="0" orientation="portrait" r:id="rId1"/>
  <ignoredErrors>
    <ignoredError sqref="H314:Q314 AL376:AL387 BA376:BA387 G344" 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pageSetUpPr fitToPage="1"/>
  </sheetPr>
  <dimension ref="A1:S35"/>
  <sheetViews>
    <sheetView zoomScale="80" zoomScaleNormal="80" workbookViewId="0">
      <selection activeCell="U11" sqref="U11"/>
    </sheetView>
  </sheetViews>
  <sheetFormatPr baseColWidth="10" defaultColWidth="9.1796875" defaultRowHeight="12.5"/>
  <cols>
    <col min="1" max="1" width="0.36328125" style="60" customWidth="1"/>
    <col min="2" max="2" width="25" style="60" bestFit="1" customWidth="1"/>
    <col min="3" max="3" width="10.453125" style="60" customWidth="1"/>
    <col min="4" max="4" width="11.453125" style="60" customWidth="1"/>
    <col min="5" max="5" width="10.54296875" style="60" customWidth="1"/>
    <col min="6" max="6" width="9" style="60" customWidth="1"/>
    <col min="7" max="7" width="9.54296875" style="60" customWidth="1"/>
    <col min="8" max="8" width="12" style="60" customWidth="1"/>
    <col min="9" max="9" width="14.1796875" style="60" customWidth="1"/>
    <col min="10" max="12" width="12.54296875" style="60" customWidth="1"/>
    <col min="13" max="13" width="8.81640625" style="60" customWidth="1"/>
    <col min="14" max="14" width="5.26953125" style="60" hidden="1" customWidth="1"/>
    <col min="15" max="15" width="16.26953125" style="60" hidden="1" customWidth="1"/>
    <col min="16" max="17" width="14.90625" style="60" hidden="1" customWidth="1"/>
    <col min="18" max="18" width="19.26953125" style="60" hidden="1" customWidth="1"/>
    <col min="19" max="19" width="9.1796875" style="60" hidden="1" customWidth="1"/>
    <col min="20" max="20" width="9.1796875" style="60" customWidth="1"/>
    <col min="21" max="21" width="20.7265625" style="60" bestFit="1" customWidth="1"/>
    <col min="22" max="23" width="0" style="60" hidden="1" customWidth="1"/>
    <col min="24" max="24" width="11.7265625" style="60" customWidth="1"/>
    <col min="25" max="25" width="17.81640625" style="60" customWidth="1"/>
    <col min="26" max="243" width="9.1796875" style="60"/>
    <col min="244" max="244" width="0.54296875" style="60" customWidth="1"/>
    <col min="245" max="245" width="20.1796875" style="60" customWidth="1"/>
    <col min="246" max="248" width="10.54296875" style="60" customWidth="1"/>
    <col min="249" max="249" width="9" style="60" customWidth="1"/>
    <col min="250" max="250" width="9.54296875" style="60" customWidth="1"/>
    <col min="251" max="251" width="12.453125" style="60" customWidth="1"/>
    <col min="252" max="252" width="12" style="60" customWidth="1"/>
    <col min="253" max="257" width="12.54296875" style="60" customWidth="1"/>
    <col min="258" max="258" width="22.453125" style="60" bestFit="1" customWidth="1"/>
    <col min="259" max="259" width="7.453125" style="60" customWidth="1"/>
    <col min="260" max="499" width="9.1796875" style="60"/>
    <col min="500" max="500" width="0.54296875" style="60" customWidth="1"/>
    <col min="501" max="501" width="20.1796875" style="60" customWidth="1"/>
    <col min="502" max="504" width="10.54296875" style="60" customWidth="1"/>
    <col min="505" max="505" width="9" style="60" customWidth="1"/>
    <col min="506" max="506" width="9.54296875" style="60" customWidth="1"/>
    <col min="507" max="507" width="12.453125" style="60" customWidth="1"/>
    <col min="508" max="508" width="12" style="60" customWidth="1"/>
    <col min="509" max="513" width="12.54296875" style="60" customWidth="1"/>
    <col min="514" max="514" width="22.453125" style="60" bestFit="1" customWidth="1"/>
    <col min="515" max="515" width="7.453125" style="60" customWidth="1"/>
    <col min="516" max="755" width="9.1796875" style="60"/>
    <col min="756" max="756" width="0.54296875" style="60" customWidth="1"/>
    <col min="757" max="757" width="20.1796875" style="60" customWidth="1"/>
    <col min="758" max="760" width="10.54296875" style="60" customWidth="1"/>
    <col min="761" max="761" width="9" style="60" customWidth="1"/>
    <col min="762" max="762" width="9.54296875" style="60" customWidth="1"/>
    <col min="763" max="763" width="12.453125" style="60" customWidth="1"/>
    <col min="764" max="764" width="12" style="60" customWidth="1"/>
    <col min="765" max="769" width="12.54296875" style="60" customWidth="1"/>
    <col min="770" max="770" width="22.453125" style="60" bestFit="1" customWidth="1"/>
    <col min="771" max="771" width="7.453125" style="60" customWidth="1"/>
    <col min="772" max="1011" width="9.1796875" style="60"/>
    <col min="1012" max="1012" width="0.54296875" style="60" customWidth="1"/>
    <col min="1013" max="1013" width="20.1796875" style="60" customWidth="1"/>
    <col min="1014" max="1016" width="10.54296875" style="60" customWidth="1"/>
    <col min="1017" max="1017" width="9" style="60" customWidth="1"/>
    <col min="1018" max="1018" width="9.54296875" style="60" customWidth="1"/>
    <col min="1019" max="1019" width="12.453125" style="60" customWidth="1"/>
    <col min="1020" max="1020" width="12" style="60" customWidth="1"/>
    <col min="1021" max="1025" width="12.54296875" style="60" customWidth="1"/>
    <col min="1026" max="1026" width="22.453125" style="60" bestFit="1" customWidth="1"/>
    <col min="1027" max="1027" width="7.453125" style="60" customWidth="1"/>
    <col min="1028" max="1267" width="9.1796875" style="60"/>
    <col min="1268" max="1268" width="0.54296875" style="60" customWidth="1"/>
    <col min="1269" max="1269" width="20.1796875" style="60" customWidth="1"/>
    <col min="1270" max="1272" width="10.54296875" style="60" customWidth="1"/>
    <col min="1273" max="1273" width="9" style="60" customWidth="1"/>
    <col min="1274" max="1274" width="9.54296875" style="60" customWidth="1"/>
    <col min="1275" max="1275" width="12.453125" style="60" customWidth="1"/>
    <col min="1276" max="1276" width="12" style="60" customWidth="1"/>
    <col min="1277" max="1281" width="12.54296875" style="60" customWidth="1"/>
    <col min="1282" max="1282" width="22.453125" style="60" bestFit="1" customWidth="1"/>
    <col min="1283" max="1283" width="7.453125" style="60" customWidth="1"/>
    <col min="1284" max="1523" width="9.1796875" style="60"/>
    <col min="1524" max="1524" width="0.54296875" style="60" customWidth="1"/>
    <col min="1525" max="1525" width="20.1796875" style="60" customWidth="1"/>
    <col min="1526" max="1528" width="10.54296875" style="60" customWidth="1"/>
    <col min="1529" max="1529" width="9" style="60" customWidth="1"/>
    <col min="1530" max="1530" width="9.54296875" style="60" customWidth="1"/>
    <col min="1531" max="1531" width="12.453125" style="60" customWidth="1"/>
    <col min="1532" max="1532" width="12" style="60" customWidth="1"/>
    <col min="1533" max="1537" width="12.54296875" style="60" customWidth="1"/>
    <col min="1538" max="1538" width="22.453125" style="60" bestFit="1" customWidth="1"/>
    <col min="1539" max="1539" width="7.453125" style="60" customWidth="1"/>
    <col min="1540" max="1779" width="9.1796875" style="60"/>
    <col min="1780" max="1780" width="0.54296875" style="60" customWidth="1"/>
    <col min="1781" max="1781" width="20.1796875" style="60" customWidth="1"/>
    <col min="1782" max="1784" width="10.54296875" style="60" customWidth="1"/>
    <col min="1785" max="1785" width="9" style="60" customWidth="1"/>
    <col min="1786" max="1786" width="9.54296875" style="60" customWidth="1"/>
    <col min="1787" max="1787" width="12.453125" style="60" customWidth="1"/>
    <col min="1788" max="1788" width="12" style="60" customWidth="1"/>
    <col min="1789" max="1793" width="12.54296875" style="60" customWidth="1"/>
    <col min="1794" max="1794" width="22.453125" style="60" bestFit="1" customWidth="1"/>
    <col min="1795" max="1795" width="7.453125" style="60" customWidth="1"/>
    <col min="1796" max="2035" width="9.1796875" style="60"/>
    <col min="2036" max="2036" width="0.54296875" style="60" customWidth="1"/>
    <col min="2037" max="2037" width="20.1796875" style="60" customWidth="1"/>
    <col min="2038" max="2040" width="10.54296875" style="60" customWidth="1"/>
    <col min="2041" max="2041" width="9" style="60" customWidth="1"/>
    <col min="2042" max="2042" width="9.54296875" style="60" customWidth="1"/>
    <col min="2043" max="2043" width="12.453125" style="60" customWidth="1"/>
    <col min="2044" max="2044" width="12" style="60" customWidth="1"/>
    <col min="2045" max="2049" width="12.54296875" style="60" customWidth="1"/>
    <col min="2050" max="2050" width="22.453125" style="60" bestFit="1" customWidth="1"/>
    <col min="2051" max="2051" width="7.453125" style="60" customWidth="1"/>
    <col min="2052" max="2291" width="9.1796875" style="60"/>
    <col min="2292" max="2292" width="0.54296875" style="60" customWidth="1"/>
    <col min="2293" max="2293" width="20.1796875" style="60" customWidth="1"/>
    <col min="2294" max="2296" width="10.54296875" style="60" customWidth="1"/>
    <col min="2297" max="2297" width="9" style="60" customWidth="1"/>
    <col min="2298" max="2298" width="9.54296875" style="60" customWidth="1"/>
    <col min="2299" max="2299" width="12.453125" style="60" customWidth="1"/>
    <col min="2300" max="2300" width="12" style="60" customWidth="1"/>
    <col min="2301" max="2305" width="12.54296875" style="60" customWidth="1"/>
    <col min="2306" max="2306" width="22.453125" style="60" bestFit="1" customWidth="1"/>
    <col min="2307" max="2307" width="7.453125" style="60" customWidth="1"/>
    <col min="2308" max="2547" width="9.1796875" style="60"/>
    <col min="2548" max="2548" width="0.54296875" style="60" customWidth="1"/>
    <col min="2549" max="2549" width="20.1796875" style="60" customWidth="1"/>
    <col min="2550" max="2552" width="10.54296875" style="60" customWidth="1"/>
    <col min="2553" max="2553" width="9" style="60" customWidth="1"/>
    <col min="2554" max="2554" width="9.54296875" style="60" customWidth="1"/>
    <col min="2555" max="2555" width="12.453125" style="60" customWidth="1"/>
    <col min="2556" max="2556" width="12" style="60" customWidth="1"/>
    <col min="2557" max="2561" width="12.54296875" style="60" customWidth="1"/>
    <col min="2562" max="2562" width="22.453125" style="60" bestFit="1" customWidth="1"/>
    <col min="2563" max="2563" width="7.453125" style="60" customWidth="1"/>
    <col min="2564" max="2803" width="9.1796875" style="60"/>
    <col min="2804" max="2804" width="0.54296875" style="60" customWidth="1"/>
    <col min="2805" max="2805" width="20.1796875" style="60" customWidth="1"/>
    <col min="2806" max="2808" width="10.54296875" style="60" customWidth="1"/>
    <col min="2809" max="2809" width="9" style="60" customWidth="1"/>
    <col min="2810" max="2810" width="9.54296875" style="60" customWidth="1"/>
    <col min="2811" max="2811" width="12.453125" style="60" customWidth="1"/>
    <col min="2812" max="2812" width="12" style="60" customWidth="1"/>
    <col min="2813" max="2817" width="12.54296875" style="60" customWidth="1"/>
    <col min="2818" max="2818" width="22.453125" style="60" bestFit="1" customWidth="1"/>
    <col min="2819" max="2819" width="7.453125" style="60" customWidth="1"/>
    <col min="2820" max="3059" width="9.1796875" style="60"/>
    <col min="3060" max="3060" width="0.54296875" style="60" customWidth="1"/>
    <col min="3061" max="3061" width="20.1796875" style="60" customWidth="1"/>
    <col min="3062" max="3064" width="10.54296875" style="60" customWidth="1"/>
    <col min="3065" max="3065" width="9" style="60" customWidth="1"/>
    <col min="3066" max="3066" width="9.54296875" style="60" customWidth="1"/>
    <col min="3067" max="3067" width="12.453125" style="60" customWidth="1"/>
    <col min="3068" max="3068" width="12" style="60" customWidth="1"/>
    <col min="3069" max="3073" width="12.54296875" style="60" customWidth="1"/>
    <col min="3074" max="3074" width="22.453125" style="60" bestFit="1" customWidth="1"/>
    <col min="3075" max="3075" width="7.453125" style="60" customWidth="1"/>
    <col min="3076" max="3315" width="9.1796875" style="60"/>
    <col min="3316" max="3316" width="0.54296875" style="60" customWidth="1"/>
    <col min="3317" max="3317" width="20.1796875" style="60" customWidth="1"/>
    <col min="3318" max="3320" width="10.54296875" style="60" customWidth="1"/>
    <col min="3321" max="3321" width="9" style="60" customWidth="1"/>
    <col min="3322" max="3322" width="9.54296875" style="60" customWidth="1"/>
    <col min="3323" max="3323" width="12.453125" style="60" customWidth="1"/>
    <col min="3324" max="3324" width="12" style="60" customWidth="1"/>
    <col min="3325" max="3329" width="12.54296875" style="60" customWidth="1"/>
    <col min="3330" max="3330" width="22.453125" style="60" bestFit="1" customWidth="1"/>
    <col min="3331" max="3331" width="7.453125" style="60" customWidth="1"/>
    <col min="3332" max="3571" width="9.1796875" style="60"/>
    <col min="3572" max="3572" width="0.54296875" style="60" customWidth="1"/>
    <col min="3573" max="3573" width="20.1796875" style="60" customWidth="1"/>
    <col min="3574" max="3576" width="10.54296875" style="60" customWidth="1"/>
    <col min="3577" max="3577" width="9" style="60" customWidth="1"/>
    <col min="3578" max="3578" width="9.54296875" style="60" customWidth="1"/>
    <col min="3579" max="3579" width="12.453125" style="60" customWidth="1"/>
    <col min="3580" max="3580" width="12" style="60" customWidth="1"/>
    <col min="3581" max="3585" width="12.54296875" style="60" customWidth="1"/>
    <col min="3586" max="3586" width="22.453125" style="60" bestFit="1" customWidth="1"/>
    <col min="3587" max="3587" width="7.453125" style="60" customWidth="1"/>
    <col min="3588" max="3827" width="9.1796875" style="60"/>
    <col min="3828" max="3828" width="0.54296875" style="60" customWidth="1"/>
    <col min="3829" max="3829" width="20.1796875" style="60" customWidth="1"/>
    <col min="3830" max="3832" width="10.54296875" style="60" customWidth="1"/>
    <col min="3833" max="3833" width="9" style="60" customWidth="1"/>
    <col min="3834" max="3834" width="9.54296875" style="60" customWidth="1"/>
    <col min="3835" max="3835" width="12.453125" style="60" customWidth="1"/>
    <col min="3836" max="3836" width="12" style="60" customWidth="1"/>
    <col min="3837" max="3841" width="12.54296875" style="60" customWidth="1"/>
    <col min="3842" max="3842" width="22.453125" style="60" bestFit="1" customWidth="1"/>
    <col min="3843" max="3843" width="7.453125" style="60" customWidth="1"/>
    <col min="3844" max="4083" width="9.1796875" style="60"/>
    <col min="4084" max="4084" width="0.54296875" style="60" customWidth="1"/>
    <col min="4085" max="4085" width="20.1796875" style="60" customWidth="1"/>
    <col min="4086" max="4088" width="10.54296875" style="60" customWidth="1"/>
    <col min="4089" max="4089" width="9" style="60" customWidth="1"/>
    <col min="4090" max="4090" width="9.54296875" style="60" customWidth="1"/>
    <col min="4091" max="4091" width="12.453125" style="60" customWidth="1"/>
    <col min="4092" max="4092" width="12" style="60" customWidth="1"/>
    <col min="4093" max="4097" width="12.54296875" style="60" customWidth="1"/>
    <col min="4098" max="4098" width="22.453125" style="60" bestFit="1" customWidth="1"/>
    <col min="4099" max="4099" width="7.453125" style="60" customWidth="1"/>
    <col min="4100" max="4339" width="9.1796875" style="60"/>
    <col min="4340" max="4340" width="0.54296875" style="60" customWidth="1"/>
    <col min="4341" max="4341" width="20.1796875" style="60" customWidth="1"/>
    <col min="4342" max="4344" width="10.54296875" style="60" customWidth="1"/>
    <col min="4345" max="4345" width="9" style="60" customWidth="1"/>
    <col min="4346" max="4346" width="9.54296875" style="60" customWidth="1"/>
    <col min="4347" max="4347" width="12.453125" style="60" customWidth="1"/>
    <col min="4348" max="4348" width="12" style="60" customWidth="1"/>
    <col min="4349" max="4353" width="12.54296875" style="60" customWidth="1"/>
    <col min="4354" max="4354" width="22.453125" style="60" bestFit="1" customWidth="1"/>
    <col min="4355" max="4355" width="7.453125" style="60" customWidth="1"/>
    <col min="4356" max="4595" width="9.1796875" style="60"/>
    <col min="4596" max="4596" width="0.54296875" style="60" customWidth="1"/>
    <col min="4597" max="4597" width="20.1796875" style="60" customWidth="1"/>
    <col min="4598" max="4600" width="10.54296875" style="60" customWidth="1"/>
    <col min="4601" max="4601" width="9" style="60" customWidth="1"/>
    <col min="4602" max="4602" width="9.54296875" style="60" customWidth="1"/>
    <col min="4603" max="4603" width="12.453125" style="60" customWidth="1"/>
    <col min="4604" max="4604" width="12" style="60" customWidth="1"/>
    <col min="4605" max="4609" width="12.54296875" style="60" customWidth="1"/>
    <col min="4610" max="4610" width="22.453125" style="60" bestFit="1" customWidth="1"/>
    <col min="4611" max="4611" width="7.453125" style="60" customWidth="1"/>
    <col min="4612" max="4851" width="9.1796875" style="60"/>
    <col min="4852" max="4852" width="0.54296875" style="60" customWidth="1"/>
    <col min="4853" max="4853" width="20.1796875" style="60" customWidth="1"/>
    <col min="4854" max="4856" width="10.54296875" style="60" customWidth="1"/>
    <col min="4857" max="4857" width="9" style="60" customWidth="1"/>
    <col min="4858" max="4858" width="9.54296875" style="60" customWidth="1"/>
    <col min="4859" max="4859" width="12.453125" style="60" customWidth="1"/>
    <col min="4860" max="4860" width="12" style="60" customWidth="1"/>
    <col min="4861" max="4865" width="12.54296875" style="60" customWidth="1"/>
    <col min="4866" max="4866" width="22.453125" style="60" bestFit="1" customWidth="1"/>
    <col min="4867" max="4867" width="7.453125" style="60" customWidth="1"/>
    <col min="4868" max="5107" width="9.1796875" style="60"/>
    <col min="5108" max="5108" width="0.54296875" style="60" customWidth="1"/>
    <col min="5109" max="5109" width="20.1796875" style="60" customWidth="1"/>
    <col min="5110" max="5112" width="10.54296875" style="60" customWidth="1"/>
    <col min="5113" max="5113" width="9" style="60" customWidth="1"/>
    <col min="5114" max="5114" width="9.54296875" style="60" customWidth="1"/>
    <col min="5115" max="5115" width="12.453125" style="60" customWidth="1"/>
    <col min="5116" max="5116" width="12" style="60" customWidth="1"/>
    <col min="5117" max="5121" width="12.54296875" style="60" customWidth="1"/>
    <col min="5122" max="5122" width="22.453125" style="60" bestFit="1" customWidth="1"/>
    <col min="5123" max="5123" width="7.453125" style="60" customWidth="1"/>
    <col min="5124" max="5363" width="9.1796875" style="60"/>
    <col min="5364" max="5364" width="0.54296875" style="60" customWidth="1"/>
    <col min="5365" max="5365" width="20.1796875" style="60" customWidth="1"/>
    <col min="5366" max="5368" width="10.54296875" style="60" customWidth="1"/>
    <col min="5369" max="5369" width="9" style="60" customWidth="1"/>
    <col min="5370" max="5370" width="9.54296875" style="60" customWidth="1"/>
    <col min="5371" max="5371" width="12.453125" style="60" customWidth="1"/>
    <col min="5372" max="5372" width="12" style="60" customWidth="1"/>
    <col min="5373" max="5377" width="12.54296875" style="60" customWidth="1"/>
    <col min="5378" max="5378" width="22.453125" style="60" bestFit="1" customWidth="1"/>
    <col min="5379" max="5379" width="7.453125" style="60" customWidth="1"/>
    <col min="5380" max="5619" width="9.1796875" style="60"/>
    <col min="5620" max="5620" width="0.54296875" style="60" customWidth="1"/>
    <col min="5621" max="5621" width="20.1796875" style="60" customWidth="1"/>
    <col min="5622" max="5624" width="10.54296875" style="60" customWidth="1"/>
    <col min="5625" max="5625" width="9" style="60" customWidth="1"/>
    <col min="5626" max="5626" width="9.54296875" style="60" customWidth="1"/>
    <col min="5627" max="5627" width="12.453125" style="60" customWidth="1"/>
    <col min="5628" max="5628" width="12" style="60" customWidth="1"/>
    <col min="5629" max="5633" width="12.54296875" style="60" customWidth="1"/>
    <col min="5634" max="5634" width="22.453125" style="60" bestFit="1" customWidth="1"/>
    <col min="5635" max="5635" width="7.453125" style="60" customWidth="1"/>
    <col min="5636" max="5875" width="9.1796875" style="60"/>
    <col min="5876" max="5876" width="0.54296875" style="60" customWidth="1"/>
    <col min="5877" max="5877" width="20.1796875" style="60" customWidth="1"/>
    <col min="5878" max="5880" width="10.54296875" style="60" customWidth="1"/>
    <col min="5881" max="5881" width="9" style="60" customWidth="1"/>
    <col min="5882" max="5882" width="9.54296875" style="60" customWidth="1"/>
    <col min="5883" max="5883" width="12.453125" style="60" customWidth="1"/>
    <col min="5884" max="5884" width="12" style="60" customWidth="1"/>
    <col min="5885" max="5889" width="12.54296875" style="60" customWidth="1"/>
    <col min="5890" max="5890" width="22.453125" style="60" bestFit="1" customWidth="1"/>
    <col min="5891" max="5891" width="7.453125" style="60" customWidth="1"/>
    <col min="5892" max="6131" width="9.1796875" style="60"/>
    <col min="6132" max="6132" width="0.54296875" style="60" customWidth="1"/>
    <col min="6133" max="6133" width="20.1796875" style="60" customWidth="1"/>
    <col min="6134" max="6136" width="10.54296875" style="60" customWidth="1"/>
    <col min="6137" max="6137" width="9" style="60" customWidth="1"/>
    <col min="6138" max="6138" width="9.54296875" style="60" customWidth="1"/>
    <col min="6139" max="6139" width="12.453125" style="60" customWidth="1"/>
    <col min="6140" max="6140" width="12" style="60" customWidth="1"/>
    <col min="6141" max="6145" width="12.54296875" style="60" customWidth="1"/>
    <col min="6146" max="6146" width="22.453125" style="60" bestFit="1" customWidth="1"/>
    <col min="6147" max="6147" width="7.453125" style="60" customWidth="1"/>
    <col min="6148" max="6387" width="9.1796875" style="60"/>
    <col min="6388" max="6388" width="0.54296875" style="60" customWidth="1"/>
    <col min="6389" max="6389" width="20.1796875" style="60" customWidth="1"/>
    <col min="6390" max="6392" width="10.54296875" style="60" customWidth="1"/>
    <col min="6393" max="6393" width="9" style="60" customWidth="1"/>
    <col min="6394" max="6394" width="9.54296875" style="60" customWidth="1"/>
    <col min="6395" max="6395" width="12.453125" style="60" customWidth="1"/>
    <col min="6396" max="6396" width="12" style="60" customWidth="1"/>
    <col min="6397" max="6401" width="12.54296875" style="60" customWidth="1"/>
    <col min="6402" max="6402" width="22.453125" style="60" bestFit="1" customWidth="1"/>
    <col min="6403" max="6403" width="7.453125" style="60" customWidth="1"/>
    <col min="6404" max="6643" width="9.1796875" style="60"/>
    <col min="6644" max="6644" width="0.54296875" style="60" customWidth="1"/>
    <col min="6645" max="6645" width="20.1796875" style="60" customWidth="1"/>
    <col min="6646" max="6648" width="10.54296875" style="60" customWidth="1"/>
    <col min="6649" max="6649" width="9" style="60" customWidth="1"/>
    <col min="6650" max="6650" width="9.54296875" style="60" customWidth="1"/>
    <col min="6651" max="6651" width="12.453125" style="60" customWidth="1"/>
    <col min="6652" max="6652" width="12" style="60" customWidth="1"/>
    <col min="6653" max="6657" width="12.54296875" style="60" customWidth="1"/>
    <col min="6658" max="6658" width="22.453125" style="60" bestFit="1" customWidth="1"/>
    <col min="6659" max="6659" width="7.453125" style="60" customWidth="1"/>
    <col min="6660" max="6899" width="9.1796875" style="60"/>
    <col min="6900" max="6900" width="0.54296875" style="60" customWidth="1"/>
    <col min="6901" max="6901" width="20.1796875" style="60" customWidth="1"/>
    <col min="6902" max="6904" width="10.54296875" style="60" customWidth="1"/>
    <col min="6905" max="6905" width="9" style="60" customWidth="1"/>
    <col min="6906" max="6906" width="9.54296875" style="60" customWidth="1"/>
    <col min="6907" max="6907" width="12.453125" style="60" customWidth="1"/>
    <col min="6908" max="6908" width="12" style="60" customWidth="1"/>
    <col min="6909" max="6913" width="12.54296875" style="60" customWidth="1"/>
    <col min="6914" max="6914" width="22.453125" style="60" bestFit="1" customWidth="1"/>
    <col min="6915" max="6915" width="7.453125" style="60" customWidth="1"/>
    <col min="6916" max="7155" width="9.1796875" style="60"/>
    <col min="7156" max="7156" width="0.54296875" style="60" customWidth="1"/>
    <col min="7157" max="7157" width="20.1796875" style="60" customWidth="1"/>
    <col min="7158" max="7160" width="10.54296875" style="60" customWidth="1"/>
    <col min="7161" max="7161" width="9" style="60" customWidth="1"/>
    <col min="7162" max="7162" width="9.54296875" style="60" customWidth="1"/>
    <col min="7163" max="7163" width="12.453125" style="60" customWidth="1"/>
    <col min="7164" max="7164" width="12" style="60" customWidth="1"/>
    <col min="7165" max="7169" width="12.54296875" style="60" customWidth="1"/>
    <col min="7170" max="7170" width="22.453125" style="60" bestFit="1" customWidth="1"/>
    <col min="7171" max="7171" width="7.453125" style="60" customWidth="1"/>
    <col min="7172" max="7411" width="9.1796875" style="60"/>
    <col min="7412" max="7412" width="0.54296875" style="60" customWidth="1"/>
    <col min="7413" max="7413" width="20.1796875" style="60" customWidth="1"/>
    <col min="7414" max="7416" width="10.54296875" style="60" customWidth="1"/>
    <col min="7417" max="7417" width="9" style="60" customWidth="1"/>
    <col min="7418" max="7418" width="9.54296875" style="60" customWidth="1"/>
    <col min="7419" max="7419" width="12.453125" style="60" customWidth="1"/>
    <col min="7420" max="7420" width="12" style="60" customWidth="1"/>
    <col min="7421" max="7425" width="12.54296875" style="60" customWidth="1"/>
    <col min="7426" max="7426" width="22.453125" style="60" bestFit="1" customWidth="1"/>
    <col min="7427" max="7427" width="7.453125" style="60" customWidth="1"/>
    <col min="7428" max="7667" width="9.1796875" style="60"/>
    <col min="7668" max="7668" width="0.54296875" style="60" customWidth="1"/>
    <col min="7669" max="7669" width="20.1796875" style="60" customWidth="1"/>
    <col min="7670" max="7672" width="10.54296875" style="60" customWidth="1"/>
    <col min="7673" max="7673" width="9" style="60" customWidth="1"/>
    <col min="7674" max="7674" width="9.54296875" style="60" customWidth="1"/>
    <col min="7675" max="7675" width="12.453125" style="60" customWidth="1"/>
    <col min="7676" max="7676" width="12" style="60" customWidth="1"/>
    <col min="7677" max="7681" width="12.54296875" style="60" customWidth="1"/>
    <col min="7682" max="7682" width="22.453125" style="60" bestFit="1" customWidth="1"/>
    <col min="7683" max="7683" width="7.453125" style="60" customWidth="1"/>
    <col min="7684" max="7923" width="9.1796875" style="60"/>
    <col min="7924" max="7924" width="0.54296875" style="60" customWidth="1"/>
    <col min="7925" max="7925" width="20.1796875" style="60" customWidth="1"/>
    <col min="7926" max="7928" width="10.54296875" style="60" customWidth="1"/>
    <col min="7929" max="7929" width="9" style="60" customWidth="1"/>
    <col min="7930" max="7930" width="9.54296875" style="60" customWidth="1"/>
    <col min="7931" max="7931" width="12.453125" style="60" customWidth="1"/>
    <col min="7932" max="7932" width="12" style="60" customWidth="1"/>
    <col min="7933" max="7937" width="12.54296875" style="60" customWidth="1"/>
    <col min="7938" max="7938" width="22.453125" style="60" bestFit="1" customWidth="1"/>
    <col min="7939" max="7939" width="7.453125" style="60" customWidth="1"/>
    <col min="7940" max="8179" width="9.1796875" style="60"/>
    <col min="8180" max="8180" width="0.54296875" style="60" customWidth="1"/>
    <col min="8181" max="8181" width="20.1796875" style="60" customWidth="1"/>
    <col min="8182" max="8184" width="10.54296875" style="60" customWidth="1"/>
    <col min="8185" max="8185" width="9" style="60" customWidth="1"/>
    <col min="8186" max="8186" width="9.54296875" style="60" customWidth="1"/>
    <col min="8187" max="8187" width="12.453125" style="60" customWidth="1"/>
    <col min="8188" max="8188" width="12" style="60" customWidth="1"/>
    <col min="8189" max="8193" width="12.54296875" style="60" customWidth="1"/>
    <col min="8194" max="8194" width="22.453125" style="60" bestFit="1" customWidth="1"/>
    <col min="8195" max="8195" width="7.453125" style="60" customWidth="1"/>
    <col min="8196" max="8435" width="9.1796875" style="60"/>
    <col min="8436" max="8436" width="0.54296875" style="60" customWidth="1"/>
    <col min="8437" max="8437" width="20.1796875" style="60" customWidth="1"/>
    <col min="8438" max="8440" width="10.54296875" style="60" customWidth="1"/>
    <col min="8441" max="8441" width="9" style="60" customWidth="1"/>
    <col min="8442" max="8442" width="9.54296875" style="60" customWidth="1"/>
    <col min="8443" max="8443" width="12.453125" style="60" customWidth="1"/>
    <col min="8444" max="8444" width="12" style="60" customWidth="1"/>
    <col min="8445" max="8449" width="12.54296875" style="60" customWidth="1"/>
    <col min="8450" max="8450" width="22.453125" style="60" bestFit="1" customWidth="1"/>
    <col min="8451" max="8451" width="7.453125" style="60" customWidth="1"/>
    <col min="8452" max="8691" width="9.1796875" style="60"/>
    <col min="8692" max="8692" width="0.54296875" style="60" customWidth="1"/>
    <col min="8693" max="8693" width="20.1796875" style="60" customWidth="1"/>
    <col min="8694" max="8696" width="10.54296875" style="60" customWidth="1"/>
    <col min="8697" max="8697" width="9" style="60" customWidth="1"/>
    <col min="8698" max="8698" width="9.54296875" style="60" customWidth="1"/>
    <col min="8699" max="8699" width="12.453125" style="60" customWidth="1"/>
    <col min="8700" max="8700" width="12" style="60" customWidth="1"/>
    <col min="8701" max="8705" width="12.54296875" style="60" customWidth="1"/>
    <col min="8706" max="8706" width="22.453125" style="60" bestFit="1" customWidth="1"/>
    <col min="8707" max="8707" width="7.453125" style="60" customWidth="1"/>
    <col min="8708" max="8947" width="9.1796875" style="60"/>
    <col min="8948" max="8948" width="0.54296875" style="60" customWidth="1"/>
    <col min="8949" max="8949" width="20.1796875" style="60" customWidth="1"/>
    <col min="8950" max="8952" width="10.54296875" style="60" customWidth="1"/>
    <col min="8953" max="8953" width="9" style="60" customWidth="1"/>
    <col min="8954" max="8954" width="9.54296875" style="60" customWidth="1"/>
    <col min="8955" max="8955" width="12.453125" style="60" customWidth="1"/>
    <col min="8956" max="8956" width="12" style="60" customWidth="1"/>
    <col min="8957" max="8961" width="12.54296875" style="60" customWidth="1"/>
    <col min="8962" max="8962" width="22.453125" style="60" bestFit="1" customWidth="1"/>
    <col min="8963" max="8963" width="7.453125" style="60" customWidth="1"/>
    <col min="8964" max="9203" width="9.1796875" style="60"/>
    <col min="9204" max="9204" width="0.54296875" style="60" customWidth="1"/>
    <col min="9205" max="9205" width="20.1796875" style="60" customWidth="1"/>
    <col min="9206" max="9208" width="10.54296875" style="60" customWidth="1"/>
    <col min="9209" max="9209" width="9" style="60" customWidth="1"/>
    <col min="9210" max="9210" width="9.54296875" style="60" customWidth="1"/>
    <col min="9211" max="9211" width="12.453125" style="60" customWidth="1"/>
    <col min="9212" max="9212" width="12" style="60" customWidth="1"/>
    <col min="9213" max="9217" width="12.54296875" style="60" customWidth="1"/>
    <col min="9218" max="9218" width="22.453125" style="60" bestFit="1" customWidth="1"/>
    <col min="9219" max="9219" width="7.453125" style="60" customWidth="1"/>
    <col min="9220" max="9459" width="9.1796875" style="60"/>
    <col min="9460" max="9460" width="0.54296875" style="60" customWidth="1"/>
    <col min="9461" max="9461" width="20.1796875" style="60" customWidth="1"/>
    <col min="9462" max="9464" width="10.54296875" style="60" customWidth="1"/>
    <col min="9465" max="9465" width="9" style="60" customWidth="1"/>
    <col min="9466" max="9466" width="9.54296875" style="60" customWidth="1"/>
    <col min="9467" max="9467" width="12.453125" style="60" customWidth="1"/>
    <col min="9468" max="9468" width="12" style="60" customWidth="1"/>
    <col min="9469" max="9473" width="12.54296875" style="60" customWidth="1"/>
    <col min="9474" max="9474" width="22.453125" style="60" bestFit="1" customWidth="1"/>
    <col min="9475" max="9475" width="7.453125" style="60" customWidth="1"/>
    <col min="9476" max="9715" width="9.1796875" style="60"/>
    <col min="9716" max="9716" width="0.54296875" style="60" customWidth="1"/>
    <col min="9717" max="9717" width="20.1796875" style="60" customWidth="1"/>
    <col min="9718" max="9720" width="10.54296875" style="60" customWidth="1"/>
    <col min="9721" max="9721" width="9" style="60" customWidth="1"/>
    <col min="9722" max="9722" width="9.54296875" style="60" customWidth="1"/>
    <col min="9723" max="9723" width="12.453125" style="60" customWidth="1"/>
    <col min="9724" max="9724" width="12" style="60" customWidth="1"/>
    <col min="9725" max="9729" width="12.54296875" style="60" customWidth="1"/>
    <col min="9730" max="9730" width="22.453125" style="60" bestFit="1" customWidth="1"/>
    <col min="9731" max="9731" width="7.453125" style="60" customWidth="1"/>
    <col min="9732" max="9971" width="9.1796875" style="60"/>
    <col min="9972" max="9972" width="0.54296875" style="60" customWidth="1"/>
    <col min="9973" max="9973" width="20.1796875" style="60" customWidth="1"/>
    <col min="9974" max="9976" width="10.54296875" style="60" customWidth="1"/>
    <col min="9977" max="9977" width="9" style="60" customWidth="1"/>
    <col min="9978" max="9978" width="9.54296875" style="60" customWidth="1"/>
    <col min="9979" max="9979" width="12.453125" style="60" customWidth="1"/>
    <col min="9980" max="9980" width="12" style="60" customWidth="1"/>
    <col min="9981" max="9985" width="12.54296875" style="60" customWidth="1"/>
    <col min="9986" max="9986" width="22.453125" style="60" bestFit="1" customWidth="1"/>
    <col min="9987" max="9987" width="7.453125" style="60" customWidth="1"/>
    <col min="9988" max="10227" width="9.1796875" style="60"/>
    <col min="10228" max="10228" width="0.54296875" style="60" customWidth="1"/>
    <col min="10229" max="10229" width="20.1796875" style="60" customWidth="1"/>
    <col min="10230" max="10232" width="10.54296875" style="60" customWidth="1"/>
    <col min="10233" max="10233" width="9" style="60" customWidth="1"/>
    <col min="10234" max="10234" width="9.54296875" style="60" customWidth="1"/>
    <col min="10235" max="10235" width="12.453125" style="60" customWidth="1"/>
    <col min="10236" max="10236" width="12" style="60" customWidth="1"/>
    <col min="10237" max="10241" width="12.54296875" style="60" customWidth="1"/>
    <col min="10242" max="10242" width="22.453125" style="60" bestFit="1" customWidth="1"/>
    <col min="10243" max="10243" width="7.453125" style="60" customWidth="1"/>
    <col min="10244" max="10483" width="9.1796875" style="60"/>
    <col min="10484" max="10484" width="0.54296875" style="60" customWidth="1"/>
    <col min="10485" max="10485" width="20.1796875" style="60" customWidth="1"/>
    <col min="10486" max="10488" width="10.54296875" style="60" customWidth="1"/>
    <col min="10489" max="10489" width="9" style="60" customWidth="1"/>
    <col min="10490" max="10490" width="9.54296875" style="60" customWidth="1"/>
    <col min="10491" max="10491" width="12.453125" style="60" customWidth="1"/>
    <col min="10492" max="10492" width="12" style="60" customWidth="1"/>
    <col min="10493" max="10497" width="12.54296875" style="60" customWidth="1"/>
    <col min="10498" max="10498" width="22.453125" style="60" bestFit="1" customWidth="1"/>
    <col min="10499" max="10499" width="7.453125" style="60" customWidth="1"/>
    <col min="10500" max="10739" width="9.1796875" style="60"/>
    <col min="10740" max="10740" width="0.54296875" style="60" customWidth="1"/>
    <col min="10741" max="10741" width="20.1796875" style="60" customWidth="1"/>
    <col min="10742" max="10744" width="10.54296875" style="60" customWidth="1"/>
    <col min="10745" max="10745" width="9" style="60" customWidth="1"/>
    <col min="10746" max="10746" width="9.54296875" style="60" customWidth="1"/>
    <col min="10747" max="10747" width="12.453125" style="60" customWidth="1"/>
    <col min="10748" max="10748" width="12" style="60" customWidth="1"/>
    <col min="10749" max="10753" width="12.54296875" style="60" customWidth="1"/>
    <col min="10754" max="10754" width="22.453125" style="60" bestFit="1" customWidth="1"/>
    <col min="10755" max="10755" width="7.453125" style="60" customWidth="1"/>
    <col min="10756" max="10995" width="9.1796875" style="60"/>
    <col min="10996" max="10996" width="0.54296875" style="60" customWidth="1"/>
    <col min="10997" max="10997" width="20.1796875" style="60" customWidth="1"/>
    <col min="10998" max="11000" width="10.54296875" style="60" customWidth="1"/>
    <col min="11001" max="11001" width="9" style="60" customWidth="1"/>
    <col min="11002" max="11002" width="9.54296875" style="60" customWidth="1"/>
    <col min="11003" max="11003" width="12.453125" style="60" customWidth="1"/>
    <col min="11004" max="11004" width="12" style="60" customWidth="1"/>
    <col min="11005" max="11009" width="12.54296875" style="60" customWidth="1"/>
    <col min="11010" max="11010" width="22.453125" style="60" bestFit="1" customWidth="1"/>
    <col min="11011" max="11011" width="7.453125" style="60" customWidth="1"/>
    <col min="11012" max="11251" width="9.1796875" style="60"/>
    <col min="11252" max="11252" width="0.54296875" style="60" customWidth="1"/>
    <col min="11253" max="11253" width="20.1796875" style="60" customWidth="1"/>
    <col min="11254" max="11256" width="10.54296875" style="60" customWidth="1"/>
    <col min="11257" max="11257" width="9" style="60" customWidth="1"/>
    <col min="11258" max="11258" width="9.54296875" style="60" customWidth="1"/>
    <col min="11259" max="11259" width="12.453125" style="60" customWidth="1"/>
    <col min="11260" max="11260" width="12" style="60" customWidth="1"/>
    <col min="11261" max="11265" width="12.54296875" style="60" customWidth="1"/>
    <col min="11266" max="11266" width="22.453125" style="60" bestFit="1" customWidth="1"/>
    <col min="11267" max="11267" width="7.453125" style="60" customWidth="1"/>
    <col min="11268" max="11507" width="9.1796875" style="60"/>
    <col min="11508" max="11508" width="0.54296875" style="60" customWidth="1"/>
    <col min="11509" max="11509" width="20.1796875" style="60" customWidth="1"/>
    <col min="11510" max="11512" width="10.54296875" style="60" customWidth="1"/>
    <col min="11513" max="11513" width="9" style="60" customWidth="1"/>
    <col min="11514" max="11514" width="9.54296875" style="60" customWidth="1"/>
    <col min="11515" max="11515" width="12.453125" style="60" customWidth="1"/>
    <col min="11516" max="11516" width="12" style="60" customWidth="1"/>
    <col min="11517" max="11521" width="12.54296875" style="60" customWidth="1"/>
    <col min="11522" max="11522" width="22.453125" style="60" bestFit="1" customWidth="1"/>
    <col min="11523" max="11523" width="7.453125" style="60" customWidth="1"/>
    <col min="11524" max="11763" width="9.1796875" style="60"/>
    <col min="11764" max="11764" width="0.54296875" style="60" customWidth="1"/>
    <col min="11765" max="11765" width="20.1796875" style="60" customWidth="1"/>
    <col min="11766" max="11768" width="10.54296875" style="60" customWidth="1"/>
    <col min="11769" max="11769" width="9" style="60" customWidth="1"/>
    <col min="11770" max="11770" width="9.54296875" style="60" customWidth="1"/>
    <col min="11771" max="11771" width="12.453125" style="60" customWidth="1"/>
    <col min="11772" max="11772" width="12" style="60" customWidth="1"/>
    <col min="11773" max="11777" width="12.54296875" style="60" customWidth="1"/>
    <col min="11778" max="11778" width="22.453125" style="60" bestFit="1" customWidth="1"/>
    <col min="11779" max="11779" width="7.453125" style="60" customWidth="1"/>
    <col min="11780" max="12019" width="9.1796875" style="60"/>
    <col min="12020" max="12020" width="0.54296875" style="60" customWidth="1"/>
    <col min="12021" max="12021" width="20.1796875" style="60" customWidth="1"/>
    <col min="12022" max="12024" width="10.54296875" style="60" customWidth="1"/>
    <col min="12025" max="12025" width="9" style="60" customWidth="1"/>
    <col min="12026" max="12026" width="9.54296875" style="60" customWidth="1"/>
    <col min="12027" max="12027" width="12.453125" style="60" customWidth="1"/>
    <col min="12028" max="12028" width="12" style="60" customWidth="1"/>
    <col min="12029" max="12033" width="12.54296875" style="60" customWidth="1"/>
    <col min="12034" max="12034" width="22.453125" style="60" bestFit="1" customWidth="1"/>
    <col min="12035" max="12035" width="7.453125" style="60" customWidth="1"/>
    <col min="12036" max="12275" width="9.1796875" style="60"/>
    <col min="12276" max="12276" width="0.54296875" style="60" customWidth="1"/>
    <col min="12277" max="12277" width="20.1796875" style="60" customWidth="1"/>
    <col min="12278" max="12280" width="10.54296875" style="60" customWidth="1"/>
    <col min="12281" max="12281" width="9" style="60" customWidth="1"/>
    <col min="12282" max="12282" width="9.54296875" style="60" customWidth="1"/>
    <col min="12283" max="12283" width="12.453125" style="60" customWidth="1"/>
    <col min="12284" max="12284" width="12" style="60" customWidth="1"/>
    <col min="12285" max="12289" width="12.54296875" style="60" customWidth="1"/>
    <col min="12290" max="12290" width="22.453125" style="60" bestFit="1" customWidth="1"/>
    <col min="12291" max="12291" width="7.453125" style="60" customWidth="1"/>
    <col min="12292" max="12531" width="9.1796875" style="60"/>
    <col min="12532" max="12532" width="0.54296875" style="60" customWidth="1"/>
    <col min="12533" max="12533" width="20.1796875" style="60" customWidth="1"/>
    <col min="12534" max="12536" width="10.54296875" style="60" customWidth="1"/>
    <col min="12537" max="12537" width="9" style="60" customWidth="1"/>
    <col min="12538" max="12538" width="9.54296875" style="60" customWidth="1"/>
    <col min="12539" max="12539" width="12.453125" style="60" customWidth="1"/>
    <col min="12540" max="12540" width="12" style="60" customWidth="1"/>
    <col min="12541" max="12545" width="12.54296875" style="60" customWidth="1"/>
    <col min="12546" max="12546" width="22.453125" style="60" bestFit="1" customWidth="1"/>
    <col min="12547" max="12547" width="7.453125" style="60" customWidth="1"/>
    <col min="12548" max="12787" width="9.1796875" style="60"/>
    <col min="12788" max="12788" width="0.54296875" style="60" customWidth="1"/>
    <col min="12789" max="12789" width="20.1796875" style="60" customWidth="1"/>
    <col min="12790" max="12792" width="10.54296875" style="60" customWidth="1"/>
    <col min="12793" max="12793" width="9" style="60" customWidth="1"/>
    <col min="12794" max="12794" width="9.54296875" style="60" customWidth="1"/>
    <col min="12795" max="12795" width="12.453125" style="60" customWidth="1"/>
    <col min="12796" max="12796" width="12" style="60" customWidth="1"/>
    <col min="12797" max="12801" width="12.54296875" style="60" customWidth="1"/>
    <col min="12802" max="12802" width="22.453125" style="60" bestFit="1" customWidth="1"/>
    <col min="12803" max="12803" width="7.453125" style="60" customWidth="1"/>
    <col min="12804" max="13043" width="9.1796875" style="60"/>
    <col min="13044" max="13044" width="0.54296875" style="60" customWidth="1"/>
    <col min="13045" max="13045" width="20.1796875" style="60" customWidth="1"/>
    <col min="13046" max="13048" width="10.54296875" style="60" customWidth="1"/>
    <col min="13049" max="13049" width="9" style="60" customWidth="1"/>
    <col min="13050" max="13050" width="9.54296875" style="60" customWidth="1"/>
    <col min="13051" max="13051" width="12.453125" style="60" customWidth="1"/>
    <col min="13052" max="13052" width="12" style="60" customWidth="1"/>
    <col min="13053" max="13057" width="12.54296875" style="60" customWidth="1"/>
    <col min="13058" max="13058" width="22.453125" style="60" bestFit="1" customWidth="1"/>
    <col min="13059" max="13059" width="7.453125" style="60" customWidth="1"/>
    <col min="13060" max="13299" width="9.1796875" style="60"/>
    <col min="13300" max="13300" width="0.54296875" style="60" customWidth="1"/>
    <col min="13301" max="13301" width="20.1796875" style="60" customWidth="1"/>
    <col min="13302" max="13304" width="10.54296875" style="60" customWidth="1"/>
    <col min="13305" max="13305" width="9" style="60" customWidth="1"/>
    <col min="13306" max="13306" width="9.54296875" style="60" customWidth="1"/>
    <col min="13307" max="13307" width="12.453125" style="60" customWidth="1"/>
    <col min="13308" max="13308" width="12" style="60" customWidth="1"/>
    <col min="13309" max="13313" width="12.54296875" style="60" customWidth="1"/>
    <col min="13314" max="13314" width="22.453125" style="60" bestFit="1" customWidth="1"/>
    <col min="13315" max="13315" width="7.453125" style="60" customWidth="1"/>
    <col min="13316" max="13555" width="9.1796875" style="60"/>
    <col min="13556" max="13556" width="0.54296875" style="60" customWidth="1"/>
    <col min="13557" max="13557" width="20.1796875" style="60" customWidth="1"/>
    <col min="13558" max="13560" width="10.54296875" style="60" customWidth="1"/>
    <col min="13561" max="13561" width="9" style="60" customWidth="1"/>
    <col min="13562" max="13562" width="9.54296875" style="60" customWidth="1"/>
    <col min="13563" max="13563" width="12.453125" style="60" customWidth="1"/>
    <col min="13564" max="13564" width="12" style="60" customWidth="1"/>
    <col min="13565" max="13569" width="12.54296875" style="60" customWidth="1"/>
    <col min="13570" max="13570" width="22.453125" style="60" bestFit="1" customWidth="1"/>
    <col min="13571" max="13571" width="7.453125" style="60" customWidth="1"/>
    <col min="13572" max="13811" width="9.1796875" style="60"/>
    <col min="13812" max="13812" width="0.54296875" style="60" customWidth="1"/>
    <col min="13813" max="13813" width="20.1796875" style="60" customWidth="1"/>
    <col min="13814" max="13816" width="10.54296875" style="60" customWidth="1"/>
    <col min="13817" max="13817" width="9" style="60" customWidth="1"/>
    <col min="13818" max="13818" width="9.54296875" style="60" customWidth="1"/>
    <col min="13819" max="13819" width="12.453125" style="60" customWidth="1"/>
    <col min="13820" max="13820" width="12" style="60" customWidth="1"/>
    <col min="13821" max="13825" width="12.54296875" style="60" customWidth="1"/>
    <col min="13826" max="13826" width="22.453125" style="60" bestFit="1" customWidth="1"/>
    <col min="13827" max="13827" width="7.453125" style="60" customWidth="1"/>
    <col min="13828" max="14067" width="9.1796875" style="60"/>
    <col min="14068" max="14068" width="0.54296875" style="60" customWidth="1"/>
    <col min="14069" max="14069" width="20.1796875" style="60" customWidth="1"/>
    <col min="14070" max="14072" width="10.54296875" style="60" customWidth="1"/>
    <col min="14073" max="14073" width="9" style="60" customWidth="1"/>
    <col min="14074" max="14074" width="9.54296875" style="60" customWidth="1"/>
    <col min="14075" max="14075" width="12.453125" style="60" customWidth="1"/>
    <col min="14076" max="14076" width="12" style="60" customWidth="1"/>
    <col min="14077" max="14081" width="12.54296875" style="60" customWidth="1"/>
    <col min="14082" max="14082" width="22.453125" style="60" bestFit="1" customWidth="1"/>
    <col min="14083" max="14083" width="7.453125" style="60" customWidth="1"/>
    <col min="14084" max="14323" width="9.1796875" style="60"/>
    <col min="14324" max="14324" width="0.54296875" style="60" customWidth="1"/>
    <col min="14325" max="14325" width="20.1796875" style="60" customWidth="1"/>
    <col min="14326" max="14328" width="10.54296875" style="60" customWidth="1"/>
    <col min="14329" max="14329" width="9" style="60" customWidth="1"/>
    <col min="14330" max="14330" width="9.54296875" style="60" customWidth="1"/>
    <col min="14331" max="14331" width="12.453125" style="60" customWidth="1"/>
    <col min="14332" max="14332" width="12" style="60" customWidth="1"/>
    <col min="14333" max="14337" width="12.54296875" style="60" customWidth="1"/>
    <col min="14338" max="14338" width="22.453125" style="60" bestFit="1" customWidth="1"/>
    <col min="14339" max="14339" width="7.453125" style="60" customWidth="1"/>
    <col min="14340" max="14579" width="9.1796875" style="60"/>
    <col min="14580" max="14580" width="0.54296875" style="60" customWidth="1"/>
    <col min="14581" max="14581" width="20.1796875" style="60" customWidth="1"/>
    <col min="14582" max="14584" width="10.54296875" style="60" customWidth="1"/>
    <col min="14585" max="14585" width="9" style="60" customWidth="1"/>
    <col min="14586" max="14586" width="9.54296875" style="60" customWidth="1"/>
    <col min="14587" max="14587" width="12.453125" style="60" customWidth="1"/>
    <col min="14588" max="14588" width="12" style="60" customWidth="1"/>
    <col min="14589" max="14593" width="12.54296875" style="60" customWidth="1"/>
    <col min="14594" max="14594" width="22.453125" style="60" bestFit="1" customWidth="1"/>
    <col min="14595" max="14595" width="7.453125" style="60" customWidth="1"/>
    <col min="14596" max="14835" width="9.1796875" style="60"/>
    <col min="14836" max="14836" width="0.54296875" style="60" customWidth="1"/>
    <col min="14837" max="14837" width="20.1796875" style="60" customWidth="1"/>
    <col min="14838" max="14840" width="10.54296875" style="60" customWidth="1"/>
    <col min="14841" max="14841" width="9" style="60" customWidth="1"/>
    <col min="14842" max="14842" width="9.54296875" style="60" customWidth="1"/>
    <col min="14843" max="14843" width="12.453125" style="60" customWidth="1"/>
    <col min="14844" max="14844" width="12" style="60" customWidth="1"/>
    <col min="14845" max="14849" width="12.54296875" style="60" customWidth="1"/>
    <col min="14850" max="14850" width="22.453125" style="60" bestFit="1" customWidth="1"/>
    <col min="14851" max="14851" width="7.453125" style="60" customWidth="1"/>
    <col min="14852" max="15091" width="9.1796875" style="60"/>
    <col min="15092" max="15092" width="0.54296875" style="60" customWidth="1"/>
    <col min="15093" max="15093" width="20.1796875" style="60" customWidth="1"/>
    <col min="15094" max="15096" width="10.54296875" style="60" customWidth="1"/>
    <col min="15097" max="15097" width="9" style="60" customWidth="1"/>
    <col min="15098" max="15098" width="9.54296875" style="60" customWidth="1"/>
    <col min="15099" max="15099" width="12.453125" style="60" customWidth="1"/>
    <col min="15100" max="15100" width="12" style="60" customWidth="1"/>
    <col min="15101" max="15105" width="12.54296875" style="60" customWidth="1"/>
    <col min="15106" max="15106" width="22.453125" style="60" bestFit="1" customWidth="1"/>
    <col min="15107" max="15107" width="7.453125" style="60" customWidth="1"/>
    <col min="15108" max="15347" width="9.1796875" style="60"/>
    <col min="15348" max="15348" width="0.54296875" style="60" customWidth="1"/>
    <col min="15349" max="15349" width="20.1796875" style="60" customWidth="1"/>
    <col min="15350" max="15352" width="10.54296875" style="60" customWidth="1"/>
    <col min="15353" max="15353" width="9" style="60" customWidth="1"/>
    <col min="15354" max="15354" width="9.54296875" style="60" customWidth="1"/>
    <col min="15355" max="15355" width="12.453125" style="60" customWidth="1"/>
    <col min="15356" max="15356" width="12" style="60" customWidth="1"/>
    <col min="15357" max="15361" width="12.54296875" style="60" customWidth="1"/>
    <col min="15362" max="15362" width="22.453125" style="60" bestFit="1" customWidth="1"/>
    <col min="15363" max="15363" width="7.453125" style="60" customWidth="1"/>
    <col min="15364" max="15603" width="9.1796875" style="60"/>
    <col min="15604" max="15604" width="0.54296875" style="60" customWidth="1"/>
    <col min="15605" max="15605" width="20.1796875" style="60" customWidth="1"/>
    <col min="15606" max="15608" width="10.54296875" style="60" customWidth="1"/>
    <col min="15609" max="15609" width="9" style="60" customWidth="1"/>
    <col min="15610" max="15610" width="9.54296875" style="60" customWidth="1"/>
    <col min="15611" max="15611" width="12.453125" style="60" customWidth="1"/>
    <col min="15612" max="15612" width="12" style="60" customWidth="1"/>
    <col min="15613" max="15617" width="12.54296875" style="60" customWidth="1"/>
    <col min="15618" max="15618" width="22.453125" style="60" bestFit="1" customWidth="1"/>
    <col min="15619" max="15619" width="7.453125" style="60" customWidth="1"/>
    <col min="15620" max="15859" width="9.1796875" style="60"/>
    <col min="15860" max="15860" width="0.54296875" style="60" customWidth="1"/>
    <col min="15861" max="15861" width="20.1796875" style="60" customWidth="1"/>
    <col min="15862" max="15864" width="10.54296875" style="60" customWidth="1"/>
    <col min="15865" max="15865" width="9" style="60" customWidth="1"/>
    <col min="15866" max="15866" width="9.54296875" style="60" customWidth="1"/>
    <col min="15867" max="15867" width="12.453125" style="60" customWidth="1"/>
    <col min="15868" max="15868" width="12" style="60" customWidth="1"/>
    <col min="15869" max="15873" width="12.54296875" style="60" customWidth="1"/>
    <col min="15874" max="15874" width="22.453125" style="60" bestFit="1" customWidth="1"/>
    <col min="15875" max="15875" width="7.453125" style="60" customWidth="1"/>
    <col min="15876" max="16115" width="9.1796875" style="60"/>
    <col min="16116" max="16116" width="0.54296875" style="60" customWidth="1"/>
    <col min="16117" max="16117" width="20.1796875" style="60" customWidth="1"/>
    <col min="16118" max="16120" width="10.54296875" style="60" customWidth="1"/>
    <col min="16121" max="16121" width="9" style="60" customWidth="1"/>
    <col min="16122" max="16122" width="9.54296875" style="60" customWidth="1"/>
    <col min="16123" max="16123" width="12.453125" style="60" customWidth="1"/>
    <col min="16124" max="16124" width="12" style="60" customWidth="1"/>
    <col min="16125" max="16129" width="12.54296875" style="60" customWidth="1"/>
    <col min="16130" max="16130" width="22.453125" style="60" bestFit="1" customWidth="1"/>
    <col min="16131" max="16131" width="7.453125" style="60" customWidth="1"/>
    <col min="16132" max="16384" width="9.1796875" style="60"/>
  </cols>
  <sheetData>
    <row r="1" spans="1:14" ht="15" customHeight="1">
      <c r="A1" s="59"/>
      <c r="B1" s="1958"/>
      <c r="C1" s="1959"/>
      <c r="D1" s="1959"/>
      <c r="E1" s="1959"/>
      <c r="F1" s="1959"/>
      <c r="G1" s="1959"/>
      <c r="H1" s="1959"/>
      <c r="I1" s="1959"/>
      <c r="J1" s="1959"/>
      <c r="K1" s="1959"/>
      <c r="L1" s="1960"/>
    </row>
    <row r="2" spans="1:14" ht="15" customHeight="1">
      <c r="A2" s="59"/>
      <c r="B2" s="1958" t="s">
        <v>70</v>
      </c>
      <c r="C2" s="1959"/>
      <c r="D2" s="1959"/>
      <c r="E2" s="1959"/>
      <c r="F2" s="1959"/>
      <c r="G2" s="1959"/>
      <c r="H2" s="1959"/>
      <c r="I2" s="1959"/>
      <c r="J2" s="1959"/>
      <c r="K2" s="1959"/>
      <c r="L2" s="1960"/>
      <c r="M2"/>
    </row>
    <row r="3" spans="1:14" ht="15" customHeight="1">
      <c r="A3" s="59"/>
      <c r="B3" s="1958" t="s">
        <v>71</v>
      </c>
      <c r="C3" s="1959"/>
      <c r="D3" s="1959"/>
      <c r="E3" s="1959"/>
      <c r="F3" s="1959"/>
      <c r="G3" s="1959"/>
      <c r="H3" s="1959"/>
      <c r="I3" s="1959"/>
      <c r="J3" s="1959"/>
      <c r="K3" s="1959"/>
      <c r="L3" s="1960"/>
    </row>
    <row r="4" spans="1:14" ht="15" customHeight="1" thickBot="1">
      <c r="A4" s="59"/>
      <c r="B4" s="1636"/>
      <c r="C4" s="1637"/>
      <c r="D4" s="1638"/>
      <c r="E4" s="1638"/>
      <c r="F4" s="1639"/>
      <c r="G4" s="1789" t="str">
        <f>TEXT($I$4,"MMM")</f>
        <v>nov</v>
      </c>
      <c r="H4" s="1640" t="s">
        <v>1432</v>
      </c>
      <c r="I4" s="1961">
        <f>INICIO!C8</f>
        <v>45231</v>
      </c>
      <c r="J4" s="1961"/>
      <c r="K4" s="1962"/>
      <c r="L4" s="1963"/>
    </row>
    <row r="5" spans="1:14" ht="33" customHeight="1" thickBot="1">
      <c r="A5" s="59"/>
      <c r="B5" s="1621" t="s">
        <v>189</v>
      </c>
      <c r="C5" s="1779" t="s">
        <v>171</v>
      </c>
      <c r="D5" s="1779" t="s">
        <v>172</v>
      </c>
      <c r="E5" s="1779" t="s">
        <v>173</v>
      </c>
      <c r="F5" s="1780" t="s">
        <v>1431</v>
      </c>
      <c r="G5" s="1781" t="s">
        <v>72</v>
      </c>
      <c r="H5" s="1609"/>
      <c r="I5" s="1581"/>
      <c r="J5" s="1582"/>
      <c r="K5" s="1582"/>
      <c r="L5" s="1605"/>
    </row>
    <row r="6" spans="1:14" ht="13.5" customHeight="1">
      <c r="A6" s="59"/>
      <c r="B6" s="1617" t="s">
        <v>1227</v>
      </c>
      <c r="C6" s="1618">
        <f ca="1">VLOOKUP($I$4,DATOSAÑO!$B$11:$AR$375,8)</f>
        <v>147</v>
      </c>
      <c r="D6" s="1618">
        <f ca="1">VLOOKUP($G$4,DATOSAÑO!B376:BG387,8,)</f>
        <v>147</v>
      </c>
      <c r="E6" s="1618">
        <f ca="1">DATOSAÑO!I388</f>
        <v>68035.839999999967</v>
      </c>
      <c r="F6" s="1619">
        <f ca="1">VLOOKUP($G$4,MESAÑO,4,)+VLOOKUP($G$4,MESAÑO,7,)</f>
        <v>24</v>
      </c>
      <c r="G6" s="1620">
        <f ca="1">(24*DAY($I$4)-F6)</f>
        <v>0</v>
      </c>
      <c r="H6" s="1610"/>
      <c r="I6" s="1587"/>
      <c r="J6" s="1582"/>
      <c r="K6" s="1582"/>
      <c r="L6" s="1605"/>
      <c r="N6" s="721" t="s">
        <v>175</v>
      </c>
    </row>
    <row r="7" spans="1:14" ht="13.5" customHeight="1">
      <c r="A7" s="59"/>
      <c r="B7" s="1583" t="s">
        <v>1228</v>
      </c>
      <c r="C7" s="1584">
        <f ca="1">VLOOKUP($I$4,DATOSAÑO!$B$11:$AR$375,15)</f>
        <v>293</v>
      </c>
      <c r="D7" s="1584">
        <f ca="1">VLOOKUP($G$4,DATOSAÑO!B376:BG387,15,)</f>
        <v>293</v>
      </c>
      <c r="E7" s="1584">
        <f ca="1">DATOSAÑO!P388</f>
        <v>65457</v>
      </c>
      <c r="F7" s="1585">
        <f ca="1">VLOOKUP($G$4,MESAÑO,11,)+VLOOKUP($G$4,MESAÑO,14,)</f>
        <v>24</v>
      </c>
      <c r="G7" s="1615">
        <f ca="1">(24*DAY($I$4)-F7)</f>
        <v>0</v>
      </c>
      <c r="H7" s="1610"/>
      <c r="I7" s="1587"/>
      <c r="J7" s="1582"/>
      <c r="K7" s="1582"/>
      <c r="L7" s="1605"/>
      <c r="N7" s="721" t="s">
        <v>176</v>
      </c>
    </row>
    <row r="8" spans="1:14" ht="13.5" customHeight="1">
      <c r="A8" s="59"/>
      <c r="B8" s="1583" t="s">
        <v>1229</v>
      </c>
      <c r="C8" s="1584">
        <f ca="1">VLOOKUP($I$4,DATOSAÑO!$B$11:$AR$375,16)</f>
        <v>0</v>
      </c>
      <c r="D8" s="1584">
        <f ca="1">VLOOKUP($G$4,DATOSAÑO!B376:BG387,16,)</f>
        <v>0</v>
      </c>
      <c r="E8" s="1584">
        <f ca="1">DATOSAÑO!Q388</f>
        <v>20.287000000000035</v>
      </c>
      <c r="F8" s="1585">
        <f ca="1">VLOOKUP($G$4,MESAÑO,18,)</f>
        <v>0</v>
      </c>
      <c r="G8" s="1615">
        <f ca="1">(24*DAY($I$4)-F8)</f>
        <v>24</v>
      </c>
      <c r="H8" s="1610"/>
      <c r="I8" s="1587"/>
      <c r="J8" s="1582"/>
      <c r="K8" s="1582"/>
      <c r="L8" s="1605"/>
      <c r="N8" s="721" t="s">
        <v>177</v>
      </c>
    </row>
    <row r="9" spans="1:14" ht="14.5" thickBot="1">
      <c r="A9" s="59"/>
      <c r="B9" s="1583" t="s">
        <v>1230</v>
      </c>
      <c r="C9" s="1584">
        <f ca="1">VLOOKUP($I$4,DATOSAÑO!$B$11:$AR$375,19)</f>
        <v>0</v>
      </c>
      <c r="D9" s="1584">
        <f ca="1">VLOOKUP($G$4,DATOSAÑO!B376:BG387,19,)</f>
        <v>0</v>
      </c>
      <c r="E9" s="1584">
        <f ca="1">DATOSAÑO!T388</f>
        <v>205.15800000000002</v>
      </c>
      <c r="F9" s="1585">
        <f ca="1">VLOOKUP($G$4,MESAÑO,21,)</f>
        <v>0</v>
      </c>
      <c r="G9" s="1615">
        <f ca="1">(24*DAY($I$4)-F9)</f>
        <v>24</v>
      </c>
      <c r="H9" s="1610"/>
      <c r="I9" s="1587"/>
      <c r="J9" s="1582"/>
      <c r="K9" s="1582"/>
      <c r="L9" s="1605"/>
      <c r="N9" s="721" t="s">
        <v>178</v>
      </c>
    </row>
    <row r="10" spans="1:14" ht="14" hidden="1">
      <c r="A10" s="59"/>
      <c r="B10" s="1622" t="s">
        <v>1428</v>
      </c>
      <c r="C10" s="1623">
        <f ca="1">VLOOKUP($I$4,DATOSAÑO!$B$11:$AR$375,22)</f>
        <v>440</v>
      </c>
      <c r="D10" s="1623" t="e">
        <f>VLOOKUP($I$4,DATOSAÑO!$B$11:$AR$375,62)</f>
        <v>#REF!</v>
      </c>
      <c r="E10" s="1623" t="e">
        <f>VLOOKUP($I$4,DATOSAÑO!$B$11:$AR$375,65)</f>
        <v>#REF!</v>
      </c>
      <c r="F10" s="1624" t="e">
        <f>VLOOKUP($I$4,DATOSAÑO!$B$11:$AR$375,64)</f>
        <v>#REF!</v>
      </c>
      <c r="G10" s="1625" t="e">
        <f>(24*DAY($I$4)-F10)</f>
        <v>#REF!</v>
      </c>
      <c r="H10" s="1611"/>
      <c r="I10" s="1588"/>
      <c r="J10" s="1582"/>
      <c r="K10" s="1582"/>
      <c r="L10" s="1605"/>
      <c r="N10" s="721" t="s">
        <v>179</v>
      </c>
    </row>
    <row r="11" spans="1:14" ht="14.5" thickBot="1">
      <c r="A11" s="59"/>
      <c r="B11" s="1626" t="s">
        <v>207</v>
      </c>
      <c r="C11" s="1627"/>
      <c r="D11" s="1627"/>
      <c r="E11" s="1627"/>
      <c r="F11" s="1628"/>
      <c r="G11" s="1629"/>
      <c r="H11" s="1589"/>
      <c r="I11" s="1590"/>
      <c r="J11" s="1582"/>
      <c r="K11" s="1582"/>
      <c r="L11" s="1605"/>
      <c r="N11" s="721" t="s">
        <v>181</v>
      </c>
    </row>
    <row r="12" spans="1:14" ht="13.5" customHeight="1">
      <c r="A12" s="59"/>
      <c r="B12" s="1617" t="s">
        <v>1213</v>
      </c>
      <c r="C12" s="1618">
        <f ca="1">VLOOKUP($I$4,DATOSAÑO!$B$11:$AN$375,29)</f>
        <v>163.20000000000073</v>
      </c>
      <c r="D12" s="1618">
        <f ca="1">VLOOKUP($G$4,MESAÑO,29,)</f>
        <v>163.20000000000073</v>
      </c>
      <c r="E12" s="1618">
        <f ca="1">DATOSAÑO!$AD$388</f>
        <v>49314.450000000041</v>
      </c>
      <c r="F12" s="1619">
        <f ca="1">VLOOKUP($G$4,MESAÑO,30,)</f>
        <v>24</v>
      </c>
      <c r="G12" s="1620">
        <f ca="1">(24*DAY($I$4)-F12)</f>
        <v>0</v>
      </c>
      <c r="H12" s="1610"/>
      <c r="I12" s="1586"/>
      <c r="J12" s="1582"/>
      <c r="K12" s="1582"/>
      <c r="L12" s="1605"/>
      <c r="N12" s="721" t="s">
        <v>182</v>
      </c>
    </row>
    <row r="13" spans="1:14" ht="13.5" customHeight="1">
      <c r="A13" s="59"/>
      <c r="B13" s="1583" t="s">
        <v>205</v>
      </c>
      <c r="C13" s="1584">
        <f ca="1">VLOOKUP($I$4,DATOSAÑO!$B$11:$AR$375,31)</f>
        <v>151</v>
      </c>
      <c r="D13" s="1584">
        <f ca="1">VLOOKUP($G$4,MESAÑO,31,)</f>
        <v>151</v>
      </c>
      <c r="E13" s="1584">
        <f ca="1">DATOSAÑO!$AF$388</f>
        <v>44545</v>
      </c>
      <c r="F13" s="1585">
        <f ca="1">VLOOKUP($G$4,MESAÑO,32,)</f>
        <v>24</v>
      </c>
      <c r="G13" s="1615">
        <f ca="1">(24*DAY($I$4)-F13)</f>
        <v>0</v>
      </c>
      <c r="H13" s="1610"/>
      <c r="I13" s="1587"/>
      <c r="J13" s="1582"/>
      <c r="K13" s="1582"/>
      <c r="L13" s="1605"/>
      <c r="N13" s="721" t="s">
        <v>183</v>
      </c>
    </row>
    <row r="14" spans="1:14" ht="13.5" customHeight="1">
      <c r="A14" s="59"/>
      <c r="B14" s="1583" t="s">
        <v>1207</v>
      </c>
      <c r="C14" s="1584">
        <f ca="1">VLOOKUP($I$4,DATOSAÑO!$B$11:$BW$375,61)</f>
        <v>2.6</v>
      </c>
      <c r="D14" s="1584">
        <f ca="1">VLOOKUP($G$4,MESAÑO,61,)</f>
        <v>2.6</v>
      </c>
      <c r="E14" s="1584">
        <f ca="1">DATOSAÑO!$BJ$388</f>
        <v>443.4</v>
      </c>
      <c r="F14" s="1585">
        <f ca="1">VLOOKUP($G$4,MESAÑO,63,)</f>
        <v>15.5</v>
      </c>
      <c r="G14" s="1615">
        <f ca="1">(24*DAY($I$4)-F14)</f>
        <v>8.5</v>
      </c>
      <c r="H14" s="1610"/>
      <c r="I14" s="1591"/>
      <c r="J14" s="1582"/>
      <c r="K14" s="1582"/>
      <c r="L14" s="1605"/>
      <c r="N14" s="721"/>
    </row>
    <row r="15" spans="1:14" ht="13.5" customHeight="1">
      <c r="A15" s="59"/>
      <c r="B15" s="1583" t="s">
        <v>1208</v>
      </c>
      <c r="C15" s="1584">
        <f ca="1">VLOOKUP($I$4,DATOSAÑO!$B$11:$BW$375,64)</f>
        <v>1.5720000000000001</v>
      </c>
      <c r="D15" s="1584">
        <f ca="1">VLOOKUP($G$4,MESAÑO,64,)</f>
        <v>1.5720000000000001</v>
      </c>
      <c r="E15" s="1584">
        <f ca="1">DATOSAÑO!$BM$388</f>
        <v>1025.3409999999999</v>
      </c>
      <c r="F15" s="1585">
        <f ca="1">VLOOKUP($G$4,MESAÑO,66,)</f>
        <v>8</v>
      </c>
      <c r="G15" s="1615">
        <f ca="1">(24*DAY($I$4)-F15)</f>
        <v>16</v>
      </c>
      <c r="H15" s="1610"/>
      <c r="I15" s="1591"/>
      <c r="J15" s="1582"/>
      <c r="K15" s="1582"/>
      <c r="L15" s="1605"/>
      <c r="N15" s="721"/>
    </row>
    <row r="16" spans="1:14" ht="13.5" customHeight="1">
      <c r="A16" s="59"/>
      <c r="B16" s="1583" t="s">
        <v>1209</v>
      </c>
      <c r="C16" s="1584">
        <f ca="1">VLOOKUP($I$4,DATOSAÑO!$B$11:$BW$375,67)</f>
        <v>3.7949999999999999</v>
      </c>
      <c r="D16" s="1584">
        <f ca="1">VLOOKUP($G$4,MESAÑO,67,)</f>
        <v>3.7949999999999999</v>
      </c>
      <c r="E16" s="1584">
        <f ca="1">DATOSAÑO!$BP$388</f>
        <v>875.04</v>
      </c>
      <c r="F16" s="1585">
        <f ca="1">VLOOKUP($G$4,MESAÑO,69,)</f>
        <v>24</v>
      </c>
      <c r="G16" s="1615">
        <f ca="1">(24*DAY($I$4)-F16)</f>
        <v>0</v>
      </c>
      <c r="H16" s="1610"/>
      <c r="I16" s="1587"/>
      <c r="J16" s="1582"/>
      <c r="K16" s="1582"/>
      <c r="L16" s="1605"/>
      <c r="N16" s="721"/>
    </row>
    <row r="17" spans="1:18" ht="13.5" customHeight="1">
      <c r="A17" s="59"/>
      <c r="B17" s="1583" t="s">
        <v>1219</v>
      </c>
      <c r="C17" s="1584">
        <f ca="1">VLOOKUP($I$4,DATOSAÑO!$B$11:$CF$375,80)</f>
        <v>2.7832000000002513</v>
      </c>
      <c r="D17" s="1584">
        <f ca="1">VLOOKUP($G$4,MESAÑO,80,)</f>
        <v>2.7832000000002513</v>
      </c>
      <c r="E17" s="1584">
        <f ca="1">DATOSAÑO!$CC$388</f>
        <v>827.44420000000048</v>
      </c>
      <c r="F17" s="1641"/>
      <c r="G17" s="1642"/>
      <c r="H17" s="1612"/>
      <c r="I17" s="1592"/>
      <c r="J17" s="1582"/>
      <c r="K17" s="1582"/>
      <c r="L17" s="1605"/>
      <c r="N17" s="721"/>
    </row>
    <row r="18" spans="1:18" ht="13.5" customHeight="1">
      <c r="A18" s="59"/>
      <c r="B18" s="1583" t="s">
        <v>1216</v>
      </c>
      <c r="C18" s="1584">
        <f ca="1">VLOOKUP($I$4,DATOSAÑO!$B$11:$CC$375,74)</f>
        <v>11.461499999999141</v>
      </c>
      <c r="D18" s="1584">
        <f ca="1">VLOOKUP($G$4,MESAÑO,74,)</f>
        <v>11.461499999999141</v>
      </c>
      <c r="E18" s="1584">
        <f ca="1">DATOSAÑO!$BW$388</f>
        <v>3420.4880000000044</v>
      </c>
      <c r="F18" s="1641"/>
      <c r="G18" s="1642"/>
      <c r="H18" s="1612"/>
      <c r="I18" s="1592"/>
      <c r="J18" s="1582"/>
      <c r="K18" s="1582"/>
      <c r="L18" s="1605"/>
      <c r="N18" s="721"/>
    </row>
    <row r="19" spans="1:18" ht="13.5" customHeight="1">
      <c r="A19" s="59"/>
      <c r="B19" s="1593" t="s">
        <v>1444</v>
      </c>
      <c r="C19" s="1584">
        <f ca="1">VLOOKUP($I$4,DATOSAÑO!$B$11:$AR$375,33)</f>
        <v>9.6999999999989086</v>
      </c>
      <c r="D19" s="1584">
        <f ca="1">VLOOKUP($G$4,MESAÑO,33,)</f>
        <v>9.6999999999989086</v>
      </c>
      <c r="E19" s="1584">
        <f ca="1">DATOSAÑO!$AH$388</f>
        <v>3073.1999999999989</v>
      </c>
      <c r="F19" s="1641"/>
      <c r="G19" s="1642"/>
      <c r="H19" s="1613"/>
      <c r="I19" s="1594"/>
      <c r="J19" s="1582"/>
      <c r="K19" s="1582"/>
      <c r="L19" s="1605"/>
      <c r="N19" s="721" t="s">
        <v>184</v>
      </c>
    </row>
    <row r="20" spans="1:18" ht="13.5" customHeight="1">
      <c r="A20" s="59"/>
      <c r="B20" s="1593" t="s">
        <v>1445</v>
      </c>
      <c r="C20" s="1584">
        <f ca="1">VLOOKUP($I$4,DATOSAÑO!$B$11:$AR$375,34)</f>
        <v>38.69999999999709</v>
      </c>
      <c r="D20" s="1584">
        <f ca="1">VLOOKUP($G$4,MESAÑO,34,)</f>
        <v>38.69999999999709</v>
      </c>
      <c r="E20" s="1584">
        <f ca="1">DATOSAÑO!$AI388</f>
        <v>11611.280000000006</v>
      </c>
      <c r="F20" s="1641"/>
      <c r="G20" s="1642"/>
      <c r="H20" s="1614"/>
      <c r="I20" s="1595"/>
      <c r="J20" s="1582"/>
      <c r="K20" s="1582"/>
      <c r="L20" s="1605"/>
      <c r="N20" s="721" t="s">
        <v>185</v>
      </c>
    </row>
    <row r="21" spans="1:18" ht="13.5" customHeight="1">
      <c r="A21" s="59"/>
      <c r="B21" s="1593" t="s">
        <v>1450</v>
      </c>
      <c r="C21" s="1584">
        <f ca="1">VLOOKUP($I$4,DATOSAÑO!$B$11:$AR$375,35)</f>
        <v>5</v>
      </c>
      <c r="D21" s="1584">
        <f ca="1">VLOOKUP($G$4,MESAÑO,35,)</f>
        <v>5</v>
      </c>
      <c r="E21" s="1584">
        <f ca="1">DATOSAÑO!$AJ$388</f>
        <v>2316.9400000000023</v>
      </c>
      <c r="F21" s="1641"/>
      <c r="G21" s="1642"/>
      <c r="H21" s="1614"/>
      <c r="I21" s="1595"/>
      <c r="J21" s="1582"/>
      <c r="K21" s="1582"/>
      <c r="L21" s="1605"/>
      <c r="N21" s="721" t="s">
        <v>186</v>
      </c>
    </row>
    <row r="22" spans="1:18" ht="13.5" customHeight="1">
      <c r="A22" s="59"/>
      <c r="B22" s="1593" t="s">
        <v>1446</v>
      </c>
      <c r="C22" s="1584">
        <f ca="1">VLOOKUP($I$4,DATOSAÑO!$B$11:$AR$375,36)</f>
        <v>9</v>
      </c>
      <c r="D22" s="1584">
        <f ca="1">VLOOKUP($G$4,MESAÑO,36,)</f>
        <v>9</v>
      </c>
      <c r="E22" s="1584">
        <f ca="1">DATOSAÑO!$AK$388</f>
        <v>3794.8399999999965</v>
      </c>
      <c r="F22" s="1641"/>
      <c r="G22" s="1642"/>
      <c r="H22" s="1614"/>
      <c r="I22" s="1595" t="s">
        <v>1195</v>
      </c>
      <c r="J22" s="1582"/>
      <c r="K22" s="1582"/>
      <c r="L22" s="1605"/>
      <c r="N22" s="721" t="s">
        <v>187</v>
      </c>
    </row>
    <row r="23" spans="1:18" ht="13.5" customHeight="1">
      <c r="A23" s="59"/>
      <c r="B23" s="1593" t="s">
        <v>1447</v>
      </c>
      <c r="C23" s="1584">
        <f ca="1">VLOOKUP($I$4,DATOSAÑO!$B$11:$AR$375,37)</f>
        <v>33.300000000004673</v>
      </c>
      <c r="D23" s="1584">
        <f ca="1">VLOOKUP($G$4,MESAÑO,37,)</f>
        <v>33.300000000004673</v>
      </c>
      <c r="E23" s="1584">
        <f ca="1">DATOSAÑO!$AL$388</f>
        <v>10428.771999999906</v>
      </c>
      <c r="F23" s="1641"/>
      <c r="G23" s="1642"/>
      <c r="H23" s="1614"/>
      <c r="I23" s="1595"/>
      <c r="J23" s="1582"/>
      <c r="K23" s="1582"/>
      <c r="L23" s="1605"/>
      <c r="P23" s="61" t="s">
        <v>1337</v>
      </c>
      <c r="Q23" s="61" t="s">
        <v>1338</v>
      </c>
      <c r="R23" s="61" t="s">
        <v>1341</v>
      </c>
    </row>
    <row r="24" spans="1:18" ht="13.5" customHeight="1">
      <c r="A24" s="59"/>
      <c r="B24" s="1593" t="s">
        <v>1448</v>
      </c>
      <c r="C24" s="1584">
        <f ca="1">VLOOKUP($I$4,DATOSAÑO!$B$11:$CE$375,76)</f>
        <v>5.8614999999987782</v>
      </c>
      <c r="D24" s="1584">
        <f ca="1">VLOOKUP($G$4,MESAÑO,76,)</f>
        <v>5.8614999999987782</v>
      </c>
      <c r="E24" s="1584">
        <f ca="1">DATOSAÑO!$AM$388</f>
        <v>2908.3560000000093</v>
      </c>
      <c r="F24" s="1641"/>
      <c r="G24" s="1642"/>
      <c r="H24" s="1614"/>
      <c r="I24" s="1592"/>
      <c r="J24" s="1582"/>
      <c r="K24" s="1582"/>
      <c r="L24" s="1605"/>
      <c r="P24" s="61" t="s">
        <v>1306</v>
      </c>
      <c r="Q24" s="61" t="s">
        <v>1306</v>
      </c>
      <c r="R24" s="61" t="s">
        <v>1342</v>
      </c>
    </row>
    <row r="25" spans="1:18" ht="13.5" customHeight="1" thickBot="1">
      <c r="A25" s="59"/>
      <c r="B25" s="1630" t="s">
        <v>1449</v>
      </c>
      <c r="C25" s="1623">
        <f ca="1">VLOOKUP($I$4,DATOSAÑO!$B$11:$CB$375,79)</f>
        <v>2.0268000000003763</v>
      </c>
      <c r="D25" s="1623">
        <f ca="1">VLOOKUP($G$4,MESAÑO,79,)</f>
        <v>2.0268000000003763</v>
      </c>
      <c r="E25" s="1623">
        <f ca="1">DATOSAÑO!$AN$388</f>
        <v>979.85300000000109</v>
      </c>
      <c r="F25" s="1643"/>
      <c r="G25" s="1644"/>
      <c r="H25" s="1612"/>
      <c r="I25" s="1596"/>
      <c r="J25" s="1582"/>
      <c r="K25" s="1582"/>
      <c r="L25" s="1605"/>
      <c r="P25" s="61" t="s">
        <v>1339</v>
      </c>
      <c r="Q25" s="61" t="s">
        <v>1339</v>
      </c>
      <c r="R25" s="61" t="s">
        <v>1344</v>
      </c>
    </row>
    <row r="26" spans="1:18" ht="14.5" customHeight="1" thickBot="1">
      <c r="A26" s="59"/>
      <c r="B26" s="1626" t="s">
        <v>7</v>
      </c>
      <c r="C26" s="1964"/>
      <c r="D26" s="1965"/>
      <c r="E26" s="1965"/>
      <c r="F26" s="1965"/>
      <c r="G26" s="1966"/>
      <c r="H26" s="1597"/>
      <c r="I26" s="1598"/>
      <c r="J26" s="1582"/>
      <c r="K26" s="1582"/>
      <c r="L26" s="1605"/>
      <c r="P26" s="61" t="s">
        <v>1169</v>
      </c>
      <c r="Q26" s="61" t="s">
        <v>1169</v>
      </c>
      <c r="R26" s="61" t="s">
        <v>1343</v>
      </c>
    </row>
    <row r="27" spans="1:18" ht="13">
      <c r="A27" s="59"/>
      <c r="B27" s="1617" t="s">
        <v>74</v>
      </c>
      <c r="C27" s="1618">
        <f ca="1">VLOOKUP($I$4,DATOSAÑO!$B$11:$AR$375,24)</f>
        <v>440</v>
      </c>
      <c r="D27" s="1631">
        <f ca="1">VLOOKUP($G$4,MESAÑO,24,)</f>
        <v>440</v>
      </c>
      <c r="E27" s="1618">
        <f ca="1">DATOSAÑO!$Y$388</f>
        <v>133718.28499999995</v>
      </c>
      <c r="F27" s="1645"/>
      <c r="G27" s="1646"/>
      <c r="H27" s="1614"/>
      <c r="I27" s="1595"/>
      <c r="J27" s="1582"/>
      <c r="K27" s="1582"/>
      <c r="L27" s="1605"/>
      <c r="P27" s="61" t="s">
        <v>860</v>
      </c>
      <c r="Q27" s="61" t="s">
        <v>860</v>
      </c>
      <c r="R27" s="61" t="s">
        <v>1369</v>
      </c>
    </row>
    <row r="28" spans="1:18" ht="13">
      <c r="A28" s="59"/>
      <c r="B28" s="1599" t="s">
        <v>174</v>
      </c>
      <c r="C28" s="1584">
        <f ca="1">VLOOKUP($I$4,DATOSAÑO!$B$11:$AR$375,25)</f>
        <v>9.5323030132338786</v>
      </c>
      <c r="D28" s="1584">
        <f ca="1">VLOOKUP($G$4,MESAÑO,25,)</f>
        <v>9.5323030132338786</v>
      </c>
      <c r="E28" s="1584">
        <f ca="1">DATOSAÑO!$Z$388</f>
        <v>2624.07274264132</v>
      </c>
      <c r="F28" s="1641"/>
      <c r="G28" s="1642"/>
      <c r="H28" s="1614"/>
      <c r="I28" s="1595"/>
      <c r="J28" s="1582"/>
      <c r="K28" s="1582"/>
      <c r="L28" s="1605"/>
      <c r="P28" s="61" t="s">
        <v>1340</v>
      </c>
      <c r="Q28" s="61" t="s">
        <v>1340</v>
      </c>
    </row>
    <row r="29" spans="1:18" ht="13.5" thickBot="1">
      <c r="A29" s="59"/>
      <c r="B29" s="1600" t="s">
        <v>204</v>
      </c>
      <c r="C29" s="1616">
        <f ca="1">VLOOKUP($I$4,DATOSAÑO!$B$11:$AR$375,26)</f>
        <v>0</v>
      </c>
      <c r="D29" s="1616">
        <f ca="1">VLOOKUP($G$4,MESAÑO,26,)</f>
        <v>0</v>
      </c>
      <c r="E29" s="1616">
        <f ca="1">DATOSAÑO!AA388</f>
        <v>27787.400000000005</v>
      </c>
      <c r="F29" s="1647"/>
      <c r="G29" s="1648"/>
      <c r="H29" s="1614"/>
      <c r="I29" s="1602"/>
      <c r="J29" s="1582"/>
      <c r="K29" s="1582"/>
      <c r="L29" s="1605"/>
      <c r="P29" s="1413" t="s">
        <v>1373</v>
      </c>
      <c r="Q29" s="61" t="s">
        <v>1373</v>
      </c>
    </row>
    <row r="30" spans="1:18" ht="11.5" customHeight="1" thickBot="1">
      <c r="A30" s="59"/>
      <c r="B30" s="1955"/>
      <c r="C30" s="1956"/>
      <c r="D30" s="1956"/>
      <c r="E30" s="1956"/>
      <c r="F30" s="1956"/>
      <c r="G30" s="1957"/>
      <c r="H30" s="1635"/>
      <c r="I30" s="1601"/>
      <c r="J30" s="1582"/>
      <c r="K30" s="1582"/>
      <c r="L30" s="1605"/>
    </row>
    <row r="31" spans="1:18" ht="13" customHeight="1" thickBot="1">
      <c r="A31" s="59"/>
      <c r="B31" s="1632" t="s">
        <v>1341</v>
      </c>
      <c r="C31" s="1969" t="s">
        <v>1342</v>
      </c>
      <c r="D31" s="1970"/>
      <c r="E31" s="1971"/>
      <c r="F31" s="1971"/>
      <c r="G31" s="1972"/>
      <c r="H31" s="1604"/>
      <c r="I31" s="1604"/>
      <c r="J31" s="1582"/>
      <c r="K31" s="1582"/>
      <c r="L31" s="1605"/>
    </row>
    <row r="32" spans="1:18" ht="13" customHeight="1" thickBot="1">
      <c r="A32" s="59"/>
      <c r="B32" s="1633" t="s">
        <v>1429</v>
      </c>
      <c r="C32" s="1975" t="s">
        <v>860</v>
      </c>
      <c r="D32" s="1976"/>
      <c r="E32" s="1977"/>
      <c r="F32" s="1977"/>
      <c r="G32" s="1978"/>
      <c r="H32" s="1952"/>
      <c r="I32" s="1952"/>
      <c r="J32" s="1953"/>
      <c r="K32" s="1953"/>
      <c r="L32" s="1954"/>
    </row>
    <row r="33" spans="2:15" ht="12" customHeight="1" thickBot="1">
      <c r="B33" s="1634" t="s">
        <v>1430</v>
      </c>
      <c r="C33" s="1967" t="s">
        <v>1339</v>
      </c>
      <c r="D33" s="1968"/>
      <c r="E33" s="1973"/>
      <c r="F33" s="1973"/>
      <c r="G33" s="1974"/>
      <c r="H33" s="1606"/>
      <c r="I33" s="1607"/>
      <c r="J33" s="1607"/>
      <c r="K33" s="1606"/>
      <c r="L33" s="1608"/>
      <c r="O33" s="61"/>
    </row>
    <row r="34" spans="2:15" ht="14.5">
      <c r="C34" s="1271"/>
      <c r="D34" s="1271"/>
      <c r="E34" s="1271"/>
      <c r="F34" s="1271"/>
      <c r="G34" s="1271"/>
      <c r="H34" s="1271"/>
      <c r="I34" s="1271"/>
      <c r="J34" s="1271"/>
      <c r="K34" s="1271"/>
      <c r="L34" s="1271"/>
    </row>
    <row r="35" spans="2:15">
      <c r="H35" s="1603"/>
    </row>
  </sheetData>
  <mergeCells count="15">
    <mergeCell ref="C33:D33"/>
    <mergeCell ref="C31:D31"/>
    <mergeCell ref="E31:G31"/>
    <mergeCell ref="E33:G33"/>
    <mergeCell ref="C32:D32"/>
    <mergeCell ref="E32:G32"/>
    <mergeCell ref="H32:I32"/>
    <mergeCell ref="J32:L32"/>
    <mergeCell ref="B30:G30"/>
    <mergeCell ref="B1:L1"/>
    <mergeCell ref="B2:L2"/>
    <mergeCell ref="B3:L3"/>
    <mergeCell ref="I4:J4"/>
    <mergeCell ref="K4:L4"/>
    <mergeCell ref="C26:G26"/>
  </mergeCells>
  <dataValidations count="4">
    <dataValidation type="list" allowBlank="1" showInputMessage="1" showErrorMessage="1" sqref="H32:I32">
      <formula1>$Q$23:$Q$28</formula1>
    </dataValidation>
    <dataValidation type="list" allowBlank="1" showInputMessage="1" showErrorMessage="1" sqref="C32:D32">
      <formula1>$P$24:$P$28</formula1>
    </dataValidation>
    <dataValidation type="list" allowBlank="1" showInputMessage="1" showErrorMessage="1" sqref="C31:D31">
      <formula1>$R$24:$R$27</formula1>
    </dataValidation>
    <dataValidation type="list" allowBlank="1" showInputMessage="1" showErrorMessage="1" sqref="C33:D33">
      <formula1>$P$24:$P$29</formula1>
    </dataValidation>
  </dataValidations>
  <printOptions horizontalCentered="1" verticalCentered="1"/>
  <pageMargins left="0.74803149606299202" right="0.74803149606299202" top="0.98425196850393704" bottom="0.70866141732283505" header="0.511811023622047" footer="0.511811023622047"/>
  <pageSetup scale="67" orientation="landscape" r:id="rId1"/>
  <headerFooter alignWithMargins="0">
    <oddFooter>&amp;R&amp;6&amp;Z&amp;F</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70C0"/>
  </sheetPr>
  <dimension ref="B1:AH20"/>
  <sheetViews>
    <sheetView showGridLines="0" zoomScale="70" zoomScaleNormal="70" workbookViewId="0">
      <selection activeCell="D9" sqref="D9:F9"/>
    </sheetView>
  </sheetViews>
  <sheetFormatPr baseColWidth="10" defaultColWidth="9.1796875" defaultRowHeight="14.5"/>
  <cols>
    <col min="1" max="1" width="2.54296875" customWidth="1"/>
    <col min="2" max="2" width="6.54296875" customWidth="1"/>
    <col min="3" max="3" width="7" customWidth="1"/>
    <col min="4" max="4" width="6.453125" customWidth="1"/>
    <col min="5" max="31" width="6.54296875" customWidth="1"/>
    <col min="32" max="32" width="6.453125" customWidth="1"/>
    <col min="33" max="33" width="6.54296875" style="1271" customWidth="1"/>
    <col min="34" max="34" width="6.36328125" customWidth="1"/>
    <col min="232" max="232" width="2.54296875" customWidth="1"/>
    <col min="233" max="233" width="6.54296875" customWidth="1"/>
    <col min="234" max="234" width="7" customWidth="1"/>
    <col min="235" max="265" width="6.54296875" customWidth="1"/>
    <col min="488" max="488" width="2.54296875" customWidth="1"/>
    <col min="489" max="489" width="6.54296875" customWidth="1"/>
    <col min="490" max="490" width="7" customWidth="1"/>
    <col min="491" max="521" width="6.54296875" customWidth="1"/>
    <col min="744" max="744" width="2.54296875" customWidth="1"/>
    <col min="745" max="745" width="6.54296875" customWidth="1"/>
    <col min="746" max="746" width="7" customWidth="1"/>
    <col min="747" max="777" width="6.54296875" customWidth="1"/>
    <col min="1000" max="1000" width="2.54296875" customWidth="1"/>
    <col min="1001" max="1001" width="6.54296875" customWidth="1"/>
    <col min="1002" max="1002" width="7" customWidth="1"/>
    <col min="1003" max="1033" width="6.54296875" customWidth="1"/>
    <col min="1256" max="1256" width="2.54296875" customWidth="1"/>
    <col min="1257" max="1257" width="6.54296875" customWidth="1"/>
    <col min="1258" max="1258" width="7" customWidth="1"/>
    <col min="1259" max="1289" width="6.54296875" customWidth="1"/>
    <col min="1512" max="1512" width="2.54296875" customWidth="1"/>
    <col min="1513" max="1513" width="6.54296875" customWidth="1"/>
    <col min="1514" max="1514" width="7" customWidth="1"/>
    <col min="1515" max="1545" width="6.54296875" customWidth="1"/>
    <col min="1768" max="1768" width="2.54296875" customWidth="1"/>
    <col min="1769" max="1769" width="6.54296875" customWidth="1"/>
    <col min="1770" max="1770" width="7" customWidth="1"/>
    <col min="1771" max="1801" width="6.54296875" customWidth="1"/>
    <col min="2024" max="2024" width="2.54296875" customWidth="1"/>
    <col min="2025" max="2025" width="6.54296875" customWidth="1"/>
    <col min="2026" max="2026" width="7" customWidth="1"/>
    <col min="2027" max="2057" width="6.54296875" customWidth="1"/>
    <col min="2280" max="2280" width="2.54296875" customWidth="1"/>
    <col min="2281" max="2281" width="6.54296875" customWidth="1"/>
    <col min="2282" max="2282" width="7" customWidth="1"/>
    <col min="2283" max="2313" width="6.54296875" customWidth="1"/>
    <col min="2536" max="2536" width="2.54296875" customWidth="1"/>
    <col min="2537" max="2537" width="6.54296875" customWidth="1"/>
    <col min="2538" max="2538" width="7" customWidth="1"/>
    <col min="2539" max="2569" width="6.54296875" customWidth="1"/>
    <col min="2792" max="2792" width="2.54296875" customWidth="1"/>
    <col min="2793" max="2793" width="6.54296875" customWidth="1"/>
    <col min="2794" max="2794" width="7" customWidth="1"/>
    <col min="2795" max="2825" width="6.54296875" customWidth="1"/>
    <col min="3048" max="3048" width="2.54296875" customWidth="1"/>
    <col min="3049" max="3049" width="6.54296875" customWidth="1"/>
    <col min="3050" max="3050" width="7" customWidth="1"/>
    <col min="3051" max="3081" width="6.54296875" customWidth="1"/>
    <col min="3304" max="3304" width="2.54296875" customWidth="1"/>
    <col min="3305" max="3305" width="6.54296875" customWidth="1"/>
    <col min="3306" max="3306" width="7" customWidth="1"/>
    <col min="3307" max="3337" width="6.54296875" customWidth="1"/>
    <col min="3560" max="3560" width="2.54296875" customWidth="1"/>
    <col min="3561" max="3561" width="6.54296875" customWidth="1"/>
    <col min="3562" max="3562" width="7" customWidth="1"/>
    <col min="3563" max="3593" width="6.54296875" customWidth="1"/>
    <col min="3816" max="3816" width="2.54296875" customWidth="1"/>
    <col min="3817" max="3817" width="6.54296875" customWidth="1"/>
    <col min="3818" max="3818" width="7" customWidth="1"/>
    <col min="3819" max="3849" width="6.54296875" customWidth="1"/>
    <col min="4072" max="4072" width="2.54296875" customWidth="1"/>
    <col min="4073" max="4073" width="6.54296875" customWidth="1"/>
    <col min="4074" max="4074" width="7" customWidth="1"/>
    <col min="4075" max="4105" width="6.54296875" customWidth="1"/>
    <col min="4328" max="4328" width="2.54296875" customWidth="1"/>
    <col min="4329" max="4329" width="6.54296875" customWidth="1"/>
    <col min="4330" max="4330" width="7" customWidth="1"/>
    <col min="4331" max="4361" width="6.54296875" customWidth="1"/>
    <col min="4584" max="4584" width="2.54296875" customWidth="1"/>
    <col min="4585" max="4585" width="6.54296875" customWidth="1"/>
    <col min="4586" max="4586" width="7" customWidth="1"/>
    <col min="4587" max="4617" width="6.54296875" customWidth="1"/>
    <col min="4840" max="4840" width="2.54296875" customWidth="1"/>
    <col min="4841" max="4841" width="6.54296875" customWidth="1"/>
    <col min="4842" max="4842" width="7" customWidth="1"/>
    <col min="4843" max="4873" width="6.54296875" customWidth="1"/>
    <col min="5096" max="5096" width="2.54296875" customWidth="1"/>
    <col min="5097" max="5097" width="6.54296875" customWidth="1"/>
    <col min="5098" max="5098" width="7" customWidth="1"/>
    <col min="5099" max="5129" width="6.54296875" customWidth="1"/>
    <col min="5352" max="5352" width="2.54296875" customWidth="1"/>
    <col min="5353" max="5353" width="6.54296875" customWidth="1"/>
    <col min="5354" max="5354" width="7" customWidth="1"/>
    <col min="5355" max="5385" width="6.54296875" customWidth="1"/>
    <col min="5608" max="5608" width="2.54296875" customWidth="1"/>
    <col min="5609" max="5609" width="6.54296875" customWidth="1"/>
    <col min="5610" max="5610" width="7" customWidth="1"/>
    <col min="5611" max="5641" width="6.54296875" customWidth="1"/>
    <col min="5864" max="5864" width="2.54296875" customWidth="1"/>
    <col min="5865" max="5865" width="6.54296875" customWidth="1"/>
    <col min="5866" max="5866" width="7" customWidth="1"/>
    <col min="5867" max="5897" width="6.54296875" customWidth="1"/>
    <col min="6120" max="6120" width="2.54296875" customWidth="1"/>
    <col min="6121" max="6121" width="6.54296875" customWidth="1"/>
    <col min="6122" max="6122" width="7" customWidth="1"/>
    <col min="6123" max="6153" width="6.54296875" customWidth="1"/>
    <col min="6376" max="6376" width="2.54296875" customWidth="1"/>
    <col min="6377" max="6377" width="6.54296875" customWidth="1"/>
    <col min="6378" max="6378" width="7" customWidth="1"/>
    <col min="6379" max="6409" width="6.54296875" customWidth="1"/>
    <col min="6632" max="6632" width="2.54296875" customWidth="1"/>
    <col min="6633" max="6633" width="6.54296875" customWidth="1"/>
    <col min="6634" max="6634" width="7" customWidth="1"/>
    <col min="6635" max="6665" width="6.54296875" customWidth="1"/>
    <col min="6888" max="6888" width="2.54296875" customWidth="1"/>
    <col min="6889" max="6889" width="6.54296875" customWidth="1"/>
    <col min="6890" max="6890" width="7" customWidth="1"/>
    <col min="6891" max="6921" width="6.54296875" customWidth="1"/>
    <col min="7144" max="7144" width="2.54296875" customWidth="1"/>
    <col min="7145" max="7145" width="6.54296875" customWidth="1"/>
    <col min="7146" max="7146" width="7" customWidth="1"/>
    <col min="7147" max="7177" width="6.54296875" customWidth="1"/>
    <col min="7400" max="7400" width="2.54296875" customWidth="1"/>
    <col min="7401" max="7401" width="6.54296875" customWidth="1"/>
    <col min="7402" max="7402" width="7" customWidth="1"/>
    <col min="7403" max="7433" width="6.54296875" customWidth="1"/>
    <col min="7656" max="7656" width="2.54296875" customWidth="1"/>
    <col min="7657" max="7657" width="6.54296875" customWidth="1"/>
    <col min="7658" max="7658" width="7" customWidth="1"/>
    <col min="7659" max="7689" width="6.54296875" customWidth="1"/>
    <col min="7912" max="7912" width="2.54296875" customWidth="1"/>
    <col min="7913" max="7913" width="6.54296875" customWidth="1"/>
    <col min="7914" max="7914" width="7" customWidth="1"/>
    <col min="7915" max="7945" width="6.54296875" customWidth="1"/>
    <col min="8168" max="8168" width="2.54296875" customWidth="1"/>
    <col min="8169" max="8169" width="6.54296875" customWidth="1"/>
    <col min="8170" max="8170" width="7" customWidth="1"/>
    <col min="8171" max="8201" width="6.54296875" customWidth="1"/>
    <col min="8424" max="8424" width="2.54296875" customWidth="1"/>
    <col min="8425" max="8425" width="6.54296875" customWidth="1"/>
    <col min="8426" max="8426" width="7" customWidth="1"/>
    <col min="8427" max="8457" width="6.54296875" customWidth="1"/>
    <col min="8680" max="8680" width="2.54296875" customWidth="1"/>
    <col min="8681" max="8681" width="6.54296875" customWidth="1"/>
    <col min="8682" max="8682" width="7" customWidth="1"/>
    <col min="8683" max="8713" width="6.54296875" customWidth="1"/>
    <col min="8936" max="8936" width="2.54296875" customWidth="1"/>
    <col min="8937" max="8937" width="6.54296875" customWidth="1"/>
    <col min="8938" max="8938" width="7" customWidth="1"/>
    <col min="8939" max="8969" width="6.54296875" customWidth="1"/>
    <col min="9192" max="9192" width="2.54296875" customWidth="1"/>
    <col min="9193" max="9193" width="6.54296875" customWidth="1"/>
    <col min="9194" max="9194" width="7" customWidth="1"/>
    <col min="9195" max="9225" width="6.54296875" customWidth="1"/>
    <col min="9448" max="9448" width="2.54296875" customWidth="1"/>
    <col min="9449" max="9449" width="6.54296875" customWidth="1"/>
    <col min="9450" max="9450" width="7" customWidth="1"/>
    <col min="9451" max="9481" width="6.54296875" customWidth="1"/>
    <col min="9704" max="9704" width="2.54296875" customWidth="1"/>
    <col min="9705" max="9705" width="6.54296875" customWidth="1"/>
    <col min="9706" max="9706" width="7" customWidth="1"/>
    <col min="9707" max="9737" width="6.54296875" customWidth="1"/>
    <col min="9960" max="9960" width="2.54296875" customWidth="1"/>
    <col min="9961" max="9961" width="6.54296875" customWidth="1"/>
    <col min="9962" max="9962" width="7" customWidth="1"/>
    <col min="9963" max="9993" width="6.54296875" customWidth="1"/>
    <col min="10216" max="10216" width="2.54296875" customWidth="1"/>
    <col min="10217" max="10217" width="6.54296875" customWidth="1"/>
    <col min="10218" max="10218" width="7" customWidth="1"/>
    <col min="10219" max="10249" width="6.54296875" customWidth="1"/>
    <col min="10472" max="10472" width="2.54296875" customWidth="1"/>
    <col min="10473" max="10473" width="6.54296875" customWidth="1"/>
    <col min="10474" max="10474" width="7" customWidth="1"/>
    <col min="10475" max="10505" width="6.54296875" customWidth="1"/>
    <col min="10728" max="10728" width="2.54296875" customWidth="1"/>
    <col min="10729" max="10729" width="6.54296875" customWidth="1"/>
    <col min="10730" max="10730" width="7" customWidth="1"/>
    <col min="10731" max="10761" width="6.54296875" customWidth="1"/>
    <col min="10984" max="10984" width="2.54296875" customWidth="1"/>
    <col min="10985" max="10985" width="6.54296875" customWidth="1"/>
    <col min="10986" max="10986" width="7" customWidth="1"/>
    <col min="10987" max="11017" width="6.54296875" customWidth="1"/>
    <col min="11240" max="11240" width="2.54296875" customWidth="1"/>
    <col min="11241" max="11241" width="6.54296875" customWidth="1"/>
    <col min="11242" max="11242" width="7" customWidth="1"/>
    <col min="11243" max="11273" width="6.54296875" customWidth="1"/>
    <col min="11496" max="11496" width="2.54296875" customWidth="1"/>
    <col min="11497" max="11497" width="6.54296875" customWidth="1"/>
    <col min="11498" max="11498" width="7" customWidth="1"/>
    <col min="11499" max="11529" width="6.54296875" customWidth="1"/>
    <col min="11752" max="11752" width="2.54296875" customWidth="1"/>
    <col min="11753" max="11753" width="6.54296875" customWidth="1"/>
    <col min="11754" max="11754" width="7" customWidth="1"/>
    <col min="11755" max="11785" width="6.54296875" customWidth="1"/>
    <col min="12008" max="12008" width="2.54296875" customWidth="1"/>
    <col min="12009" max="12009" width="6.54296875" customWidth="1"/>
    <col min="12010" max="12010" width="7" customWidth="1"/>
    <col min="12011" max="12041" width="6.54296875" customWidth="1"/>
    <col min="12264" max="12264" width="2.54296875" customWidth="1"/>
    <col min="12265" max="12265" width="6.54296875" customWidth="1"/>
    <col min="12266" max="12266" width="7" customWidth="1"/>
    <col min="12267" max="12297" width="6.54296875" customWidth="1"/>
    <col min="12520" max="12520" width="2.54296875" customWidth="1"/>
    <col min="12521" max="12521" width="6.54296875" customWidth="1"/>
    <col min="12522" max="12522" width="7" customWidth="1"/>
    <col min="12523" max="12553" width="6.54296875" customWidth="1"/>
    <col min="12776" max="12776" width="2.54296875" customWidth="1"/>
    <col min="12777" max="12777" width="6.54296875" customWidth="1"/>
    <col min="12778" max="12778" width="7" customWidth="1"/>
    <col min="12779" max="12809" width="6.54296875" customWidth="1"/>
    <col min="13032" max="13032" width="2.54296875" customWidth="1"/>
    <col min="13033" max="13033" width="6.54296875" customWidth="1"/>
    <col min="13034" max="13034" width="7" customWidth="1"/>
    <col min="13035" max="13065" width="6.54296875" customWidth="1"/>
    <col min="13288" max="13288" width="2.54296875" customWidth="1"/>
    <col min="13289" max="13289" width="6.54296875" customWidth="1"/>
    <col min="13290" max="13290" width="7" customWidth="1"/>
    <col min="13291" max="13321" width="6.54296875" customWidth="1"/>
    <col min="13544" max="13544" width="2.54296875" customWidth="1"/>
    <col min="13545" max="13545" width="6.54296875" customWidth="1"/>
    <col min="13546" max="13546" width="7" customWidth="1"/>
    <col min="13547" max="13577" width="6.54296875" customWidth="1"/>
    <col min="13800" max="13800" width="2.54296875" customWidth="1"/>
    <col min="13801" max="13801" width="6.54296875" customWidth="1"/>
    <col min="13802" max="13802" width="7" customWidth="1"/>
    <col min="13803" max="13833" width="6.54296875" customWidth="1"/>
    <col min="14056" max="14056" width="2.54296875" customWidth="1"/>
    <col min="14057" max="14057" width="6.54296875" customWidth="1"/>
    <col min="14058" max="14058" width="7" customWidth="1"/>
    <col min="14059" max="14089" width="6.54296875" customWidth="1"/>
    <col min="14312" max="14312" width="2.54296875" customWidth="1"/>
    <col min="14313" max="14313" width="6.54296875" customWidth="1"/>
    <col min="14314" max="14314" width="7" customWidth="1"/>
    <col min="14315" max="14345" width="6.54296875" customWidth="1"/>
    <col min="14568" max="14568" width="2.54296875" customWidth="1"/>
    <col min="14569" max="14569" width="6.54296875" customWidth="1"/>
    <col min="14570" max="14570" width="7" customWidth="1"/>
    <col min="14571" max="14601" width="6.54296875" customWidth="1"/>
    <col min="14824" max="14824" width="2.54296875" customWidth="1"/>
    <col min="14825" max="14825" width="6.54296875" customWidth="1"/>
    <col min="14826" max="14826" width="7" customWidth="1"/>
    <col min="14827" max="14857" width="6.54296875" customWidth="1"/>
    <col min="15080" max="15080" width="2.54296875" customWidth="1"/>
    <col min="15081" max="15081" width="6.54296875" customWidth="1"/>
    <col min="15082" max="15082" width="7" customWidth="1"/>
    <col min="15083" max="15113" width="6.54296875" customWidth="1"/>
    <col min="15336" max="15336" width="2.54296875" customWidth="1"/>
    <col min="15337" max="15337" width="6.54296875" customWidth="1"/>
    <col min="15338" max="15338" width="7" customWidth="1"/>
    <col min="15339" max="15369" width="6.54296875" customWidth="1"/>
    <col min="15592" max="15592" width="2.54296875" customWidth="1"/>
    <col min="15593" max="15593" width="6.54296875" customWidth="1"/>
    <col min="15594" max="15594" width="7" customWidth="1"/>
    <col min="15595" max="15625" width="6.54296875" customWidth="1"/>
    <col min="15848" max="15848" width="2.54296875" customWidth="1"/>
    <col min="15849" max="15849" width="6.54296875" customWidth="1"/>
    <col min="15850" max="15850" width="7" customWidth="1"/>
    <col min="15851" max="15881" width="6.54296875" customWidth="1"/>
    <col min="16104" max="16104" width="2.54296875" customWidth="1"/>
    <col min="16105" max="16105" width="6.54296875" customWidth="1"/>
    <col min="16106" max="16106" width="7" customWidth="1"/>
    <col min="16107" max="16137" width="6.54296875" customWidth="1"/>
  </cols>
  <sheetData>
    <row r="1" spans="2:34" ht="20">
      <c r="H1" s="2015" t="s">
        <v>1434</v>
      </c>
      <c r="I1" s="2015"/>
      <c r="J1" s="2015"/>
      <c r="K1" s="2015"/>
      <c r="L1" s="2015"/>
      <c r="M1" s="2015"/>
      <c r="N1" s="2015"/>
      <c r="O1" s="2015"/>
      <c r="P1" s="2015"/>
      <c r="Q1" s="2015"/>
      <c r="R1" s="2015"/>
      <c r="S1" s="2015"/>
      <c r="T1" s="2015"/>
      <c r="U1" s="2015"/>
      <c r="V1" s="2015"/>
      <c r="W1" s="2015"/>
      <c r="X1" s="2015"/>
      <c r="Y1" s="2015"/>
      <c r="Z1" s="2015"/>
    </row>
    <row r="2" spans="2:34" ht="20">
      <c r="H2" s="2015" t="s">
        <v>1477</v>
      </c>
      <c r="I2" s="2015"/>
      <c r="J2" s="2015"/>
      <c r="K2" s="2015"/>
      <c r="L2" s="2015"/>
      <c r="M2" s="2015"/>
      <c r="N2" s="2015"/>
      <c r="O2" s="2015"/>
      <c r="P2" s="2015"/>
      <c r="Q2" s="2015"/>
      <c r="R2" s="2015"/>
      <c r="S2" s="2015"/>
      <c r="T2" s="2015"/>
      <c r="U2" s="2015"/>
      <c r="V2" s="2015"/>
      <c r="W2" s="2015"/>
      <c r="X2" s="2015"/>
      <c r="Y2" s="2015"/>
      <c r="Z2" s="2015"/>
      <c r="AA2" s="2015"/>
    </row>
    <row r="3" spans="2:34">
      <c r="H3" s="27" t="s">
        <v>1</v>
      </c>
      <c r="K3" s="2016">
        <f>INICIO!D12</f>
        <v>45231</v>
      </c>
      <c r="L3" s="2016"/>
      <c r="M3" s="29"/>
      <c r="N3" s="26"/>
      <c r="O3" s="26"/>
      <c r="P3" s="26"/>
    </row>
    <row r="4" spans="2:34">
      <c r="H4" s="27" t="s">
        <v>2</v>
      </c>
      <c r="J4" s="28"/>
      <c r="K4" s="2016">
        <f>INICIO!D13</f>
        <v>45260</v>
      </c>
      <c r="L4" s="2016"/>
      <c r="M4" s="29"/>
      <c r="N4" s="28"/>
      <c r="O4" s="2016"/>
      <c r="P4" s="2016"/>
      <c r="Q4" s="28"/>
    </row>
    <row r="5" spans="2:34" ht="15" thickBot="1">
      <c r="H5" s="27" t="s">
        <v>18</v>
      </c>
      <c r="K5" s="2016">
        <f ca="1">TODAY()-1</f>
        <v>45231</v>
      </c>
      <c r="L5" s="2016"/>
      <c r="M5" s="30"/>
      <c r="N5" s="1390"/>
      <c r="O5" s="2016"/>
      <c r="P5" s="2016"/>
      <c r="Q5" s="28"/>
      <c r="U5" s="2016">
        <f ca="1">TODAY()</f>
        <v>45232</v>
      </c>
      <c r="V5" s="2016"/>
    </row>
    <row r="6" spans="2:34" ht="24.75" customHeight="1" thickBot="1">
      <c r="B6" s="1985" t="s">
        <v>156</v>
      </c>
      <c r="C6" s="2017"/>
      <c r="D6" s="2017"/>
      <c r="E6" s="2017"/>
      <c r="F6" s="2017"/>
      <c r="G6" s="2017"/>
      <c r="H6" s="2017"/>
      <c r="I6" s="2017"/>
      <c r="J6" s="2017"/>
      <c r="K6" s="2017"/>
      <c r="L6" s="2017"/>
      <c r="M6" s="2017"/>
      <c r="N6" s="2017"/>
      <c r="O6" s="2017"/>
      <c r="P6" s="2017"/>
      <c r="Q6" s="2017"/>
      <c r="R6" s="2017"/>
      <c r="S6" s="2017"/>
      <c r="T6" s="2017"/>
      <c r="U6" s="2017"/>
      <c r="V6" s="2017"/>
      <c r="W6" s="2017"/>
      <c r="X6" s="2017"/>
      <c r="Y6" s="2017"/>
      <c r="Z6" s="2017"/>
      <c r="AA6" s="2017"/>
      <c r="AB6" s="2017"/>
      <c r="AC6" s="2017"/>
      <c r="AD6" s="2017"/>
      <c r="AE6" s="2017"/>
      <c r="AF6" s="2017"/>
      <c r="AG6" s="2017"/>
      <c r="AH6" s="1993"/>
    </row>
    <row r="7" spans="2:34" ht="22.5" customHeight="1" thickBot="1">
      <c r="B7" s="1984" t="s">
        <v>19</v>
      </c>
      <c r="C7" s="1984"/>
      <c r="D7" s="1816">
        <f>K3</f>
        <v>45231</v>
      </c>
      <c r="E7" s="1816">
        <f>D7+1</f>
        <v>45232</v>
      </c>
      <c r="F7" s="1816">
        <f t="shared" ref="F7:AD7" si="0">E7+1</f>
        <v>45233</v>
      </c>
      <c r="G7" s="1816">
        <f t="shared" si="0"/>
        <v>45234</v>
      </c>
      <c r="H7" s="1816">
        <f t="shared" si="0"/>
        <v>45235</v>
      </c>
      <c r="I7" s="1816">
        <f t="shared" si="0"/>
        <v>45236</v>
      </c>
      <c r="J7" s="1816">
        <f t="shared" si="0"/>
        <v>45237</v>
      </c>
      <c r="K7" s="1816">
        <f t="shared" si="0"/>
        <v>45238</v>
      </c>
      <c r="L7" s="1816">
        <f t="shared" si="0"/>
        <v>45239</v>
      </c>
      <c r="M7" s="1816">
        <f t="shared" si="0"/>
        <v>45240</v>
      </c>
      <c r="N7" s="1816">
        <f t="shared" si="0"/>
        <v>45241</v>
      </c>
      <c r="O7" s="1816">
        <f t="shared" si="0"/>
        <v>45242</v>
      </c>
      <c r="P7" s="1816">
        <f t="shared" si="0"/>
        <v>45243</v>
      </c>
      <c r="Q7" s="1816">
        <f t="shared" si="0"/>
        <v>45244</v>
      </c>
      <c r="R7" s="1816">
        <f t="shared" si="0"/>
        <v>45245</v>
      </c>
      <c r="S7" s="1816">
        <f t="shared" si="0"/>
        <v>45246</v>
      </c>
      <c r="T7" s="1816">
        <f t="shared" si="0"/>
        <v>45247</v>
      </c>
      <c r="U7" s="1816">
        <f t="shared" si="0"/>
        <v>45248</v>
      </c>
      <c r="V7" s="1816">
        <f t="shared" si="0"/>
        <v>45249</v>
      </c>
      <c r="W7" s="1816">
        <f t="shared" si="0"/>
        <v>45250</v>
      </c>
      <c r="X7" s="1816">
        <f t="shared" si="0"/>
        <v>45251</v>
      </c>
      <c r="Y7" s="1816">
        <f t="shared" si="0"/>
        <v>45252</v>
      </c>
      <c r="Z7" s="1816">
        <f t="shared" si="0"/>
        <v>45253</v>
      </c>
      <c r="AA7" s="1816">
        <f t="shared" si="0"/>
        <v>45254</v>
      </c>
      <c r="AB7" s="1816">
        <f t="shared" si="0"/>
        <v>45255</v>
      </c>
      <c r="AC7" s="1816">
        <f t="shared" si="0"/>
        <v>45256</v>
      </c>
      <c r="AD7" s="1816">
        <f t="shared" si="0"/>
        <v>45257</v>
      </c>
      <c r="AE7" s="1816">
        <f>AD7+1</f>
        <v>45258</v>
      </c>
      <c r="AF7" s="1816">
        <f>AE7+1</f>
        <v>45259</v>
      </c>
      <c r="AG7" s="1816">
        <f>AF7+1</f>
        <v>45260</v>
      </c>
      <c r="AH7" s="1816">
        <f>AG7+1</f>
        <v>45261</v>
      </c>
    </row>
    <row r="8" spans="2:34" ht="25.5" customHeight="1" thickBot="1">
      <c r="B8" s="1984" t="s">
        <v>20</v>
      </c>
      <c r="C8" s="1984"/>
      <c r="D8" s="1817">
        <f ca="1">IF(INICIO!$C$7&gt;DAY(D7)-1,(VLOOKUP(D7,DATOSAÑO!$B$11:$AR$375,33))," ")</f>
        <v>9.6999999999989086</v>
      </c>
      <c r="E8" s="1817" t="str">
        <f>IF(INICIO!$C$7&gt;DAY(E7)-1,(VLOOKUP(E7,DATOSAÑO!$B$11:$AR$375,33))," ")</f>
        <v xml:space="preserve"> </v>
      </c>
      <c r="F8" s="1817" t="str">
        <f>IF(INICIO!$C$7&gt;DAY(F7)-1,(VLOOKUP(F7,DATOSAÑO!$B$11:$AR$375,33))," ")</f>
        <v xml:space="preserve"> </v>
      </c>
      <c r="G8" s="1817" t="str">
        <f>IF(INICIO!$C$7&gt;DAY(G7)-1,(VLOOKUP(G7,DATOSAÑO!$B$11:$AR$375,33))," ")</f>
        <v xml:space="preserve"> </v>
      </c>
      <c r="H8" s="1817" t="str">
        <f>IF(INICIO!$C$7&gt;DAY(H7)-1,(VLOOKUP(H7,DATOSAÑO!$B$11:$AR$375,33))," ")</f>
        <v xml:space="preserve"> </v>
      </c>
      <c r="I8" s="1817" t="str">
        <f>IF(INICIO!$C$7&gt;DAY(I7)-1,(VLOOKUP(I7,DATOSAÑO!$B$11:$AR$375,33))," ")</f>
        <v xml:space="preserve"> </v>
      </c>
      <c r="J8" s="1817" t="str">
        <f>IF(INICIO!$C$7&gt;DAY(J7)-1,(VLOOKUP(J7,DATOSAÑO!$B$11:$AR$375,33))," ")</f>
        <v xml:space="preserve"> </v>
      </c>
      <c r="K8" s="1817" t="str">
        <f>IF(INICIO!$C$7&gt;DAY(K7)-1,(VLOOKUP(K7,DATOSAÑO!$B$11:$AR$375,33))," ")</f>
        <v xml:space="preserve"> </v>
      </c>
      <c r="L8" s="1817" t="str">
        <f>IF(INICIO!$C$7&gt;DAY(L7)-1,(VLOOKUP(L7,DATOSAÑO!$B$11:$AR$375,33))," ")</f>
        <v xml:space="preserve"> </v>
      </c>
      <c r="M8" s="1817" t="str">
        <f>IF(INICIO!$C$7&gt;DAY(M7)-1,(VLOOKUP(M7,DATOSAÑO!$B$11:$AR$375,33))," ")</f>
        <v xml:space="preserve"> </v>
      </c>
      <c r="N8" s="1817" t="str">
        <f>IF(INICIO!$C$7&gt;DAY(N7)-1,(VLOOKUP(N7,DATOSAÑO!$B$11:$AR$375,33))," ")</f>
        <v xml:space="preserve"> </v>
      </c>
      <c r="O8" s="1817" t="str">
        <f>IF(INICIO!$C$7&gt;DAY(O7)-1,(VLOOKUP(O7,DATOSAÑO!$B$11:$AR$375,33))," ")</f>
        <v xml:space="preserve"> </v>
      </c>
      <c r="P8" s="1817" t="str">
        <f>IF(INICIO!$C$7&gt;DAY(P7)-1,(VLOOKUP(P7,DATOSAÑO!$B$11:$AR$375,33))," ")</f>
        <v xml:space="preserve"> </v>
      </c>
      <c r="Q8" s="1817" t="str">
        <f>IF(INICIO!$C$7&gt;DAY(Q7)-1,(VLOOKUP(Q7,DATOSAÑO!$B$11:$AR$375,33))," ")</f>
        <v xml:space="preserve"> </v>
      </c>
      <c r="R8" s="1817" t="str">
        <f>IF(INICIO!$C$7&gt;DAY(R7)-1,(VLOOKUP(R7,DATOSAÑO!$B$11:$AR$375,33))," ")</f>
        <v xml:space="preserve"> </v>
      </c>
      <c r="S8" s="1817" t="str">
        <f>IF(INICIO!$C$7&gt;DAY(S7)-1,(VLOOKUP(S7,DATOSAÑO!$B$11:$AR$375,33))," ")</f>
        <v xml:space="preserve"> </v>
      </c>
      <c r="T8" s="1817" t="str">
        <f>IF(INICIO!$C$7&gt;DAY(T7)-1,(VLOOKUP(T7,DATOSAÑO!$B$11:$AR$375,33))," ")</f>
        <v xml:space="preserve"> </v>
      </c>
      <c r="U8" s="1817" t="str">
        <f>IF(INICIO!$C$7&gt;DAY(U7)-1,(VLOOKUP(U7,DATOSAÑO!$B$11:$AR$375,33))," ")</f>
        <v xml:space="preserve"> </v>
      </c>
      <c r="V8" s="1817" t="str">
        <f>IF(INICIO!$C$7&gt;DAY(V7)-1,(VLOOKUP(V7,DATOSAÑO!$B$11:$AR$375,33))," ")</f>
        <v xml:space="preserve"> </v>
      </c>
      <c r="W8" s="1817" t="str">
        <f>IF(INICIO!$C$7&gt;DAY(W7)-1,(VLOOKUP(W7,DATOSAÑO!$B$11:$AR$375,33))," ")</f>
        <v xml:space="preserve"> </v>
      </c>
      <c r="X8" s="1817" t="str">
        <f>IF(INICIO!$C$7&gt;DAY(X7)-1,(VLOOKUP(X7,DATOSAÑO!$B$11:$AR$375,33))," ")</f>
        <v xml:space="preserve"> </v>
      </c>
      <c r="Y8" s="1817" t="str">
        <f>IF(INICIO!$C$7&gt;DAY(Y7)-1,(VLOOKUP(Y7,DATOSAÑO!$B$11:$AR$375,33))," ")</f>
        <v xml:space="preserve"> </v>
      </c>
      <c r="Z8" s="1817" t="str">
        <f>IF(INICIO!$C$7&gt;DAY(Z7)-1,(VLOOKUP(Z7,DATOSAÑO!$B$11:$AR$375,33))," ")</f>
        <v xml:space="preserve"> </v>
      </c>
      <c r="AA8" s="1817" t="str">
        <f>IF(INICIO!$C$7&gt;DAY(AA7)-1,(VLOOKUP(AA7,DATOSAÑO!$B$11:$AR$375,33))," ")</f>
        <v xml:space="preserve"> </v>
      </c>
      <c r="AB8" s="1817" t="str">
        <f>IF(INICIO!$C$7&gt;DAY(AB7)-1,(VLOOKUP(AB7,DATOSAÑO!$B$11:$AR$375,33))," ")</f>
        <v xml:space="preserve"> </v>
      </c>
      <c r="AC8" s="1817" t="str">
        <f>IF(INICIO!$C$7&gt;DAY(AC7)-1,(VLOOKUP(AC7,DATOSAÑO!$B$11:$AR$375,33))," ")</f>
        <v xml:space="preserve"> </v>
      </c>
      <c r="AD8" s="1817" t="str">
        <f>IF(INICIO!$C$7&gt;DAY(AD7)-1,(VLOOKUP(AD7,DATOSAÑO!$B$11:$AR$375,33))," ")</f>
        <v xml:space="preserve"> </v>
      </c>
      <c r="AE8" s="1817" t="str">
        <f>IF(INICIO!$C$7&gt;DAY(AE7)-1,(VLOOKUP(AE7,DATOSAÑO!$B$11:$AR$375,33))," ")</f>
        <v xml:space="preserve"> </v>
      </c>
      <c r="AF8" s="1817" t="str">
        <f>IF(INICIO!$C$7&gt;DAY(AF7)-1,(VLOOKUP(AF7,DATOSAÑO!$B$11:$AR$375,33))," ")</f>
        <v xml:space="preserve"> </v>
      </c>
      <c r="AG8" s="1817" t="str">
        <f>IF(INICIO!$C$7&gt;DAY(AG7)-1,(VLOOKUP(AG7,DATOSAÑO!$B$11:$AR$375,33))," ")</f>
        <v xml:space="preserve"> </v>
      </c>
      <c r="AH8" s="1817">
        <f ca="1">IF(INICIO!$C$7&gt;DAY(AH7)-1,(VLOOKUP(AH7,DATOSAÑO!$B$11:$AR$375,33))," ")</f>
        <v>0</v>
      </c>
    </row>
    <row r="9" spans="2:34" ht="25.5" customHeight="1" thickBot="1">
      <c r="B9" s="1985" t="s">
        <v>21</v>
      </c>
      <c r="C9" s="1986"/>
      <c r="D9" s="2012">
        <f ca="1">SUM(D8:AH8)</f>
        <v>9.6999999999989086</v>
      </c>
      <c r="E9" s="2013"/>
      <c r="F9" s="2014"/>
    </row>
    <row r="10" spans="2:34" ht="15" thickBot="1">
      <c r="F10" s="2018"/>
      <c r="G10" s="2018"/>
    </row>
    <row r="11" spans="2:34" ht="24" customHeight="1" thickBot="1">
      <c r="B11" s="1985" t="s">
        <v>22</v>
      </c>
      <c r="C11" s="1986"/>
      <c r="D11" s="1986"/>
      <c r="E11" s="1986"/>
      <c r="F11" s="1986"/>
      <c r="G11" s="1986"/>
      <c r="H11" s="1986"/>
      <c r="I11" s="1986"/>
      <c r="J11" s="1986"/>
      <c r="K11" s="1986"/>
      <c r="L11" s="1986"/>
      <c r="M11" s="1986"/>
      <c r="N11" s="1986"/>
      <c r="O11" s="1986"/>
      <c r="P11" s="1986"/>
      <c r="Q11" s="1986"/>
      <c r="R11" s="1986"/>
      <c r="S11" s="1986"/>
      <c r="T11" s="1986"/>
      <c r="U11" s="1986"/>
      <c r="V11" s="1986"/>
      <c r="W11" s="1986"/>
      <c r="X11" s="1986"/>
      <c r="Y11" s="1986"/>
      <c r="Z11" s="1986"/>
      <c r="AA11" s="1986"/>
      <c r="AB11" s="1986"/>
      <c r="AC11" s="1993"/>
    </row>
    <row r="12" spans="2:34" ht="22.5" customHeight="1" thickBot="1">
      <c r="B12" s="2009" t="s">
        <v>23</v>
      </c>
      <c r="C12" s="2010"/>
      <c r="D12" s="2011">
        <v>44926</v>
      </c>
      <c r="E12" s="1983"/>
      <c r="F12" s="1983">
        <v>44957</v>
      </c>
      <c r="G12" s="1983"/>
      <c r="H12" s="2001">
        <v>44985</v>
      </c>
      <c r="I12" s="2004"/>
      <c r="J12" s="1983">
        <v>45016</v>
      </c>
      <c r="K12" s="1983"/>
      <c r="L12" s="2001">
        <v>45046</v>
      </c>
      <c r="M12" s="2004"/>
      <c r="N12" s="1983">
        <v>45077</v>
      </c>
      <c r="O12" s="1983"/>
      <c r="P12" s="2001">
        <v>45107</v>
      </c>
      <c r="Q12" s="2004"/>
      <c r="R12" s="1983">
        <v>45138</v>
      </c>
      <c r="S12" s="1983"/>
      <c r="T12" s="2001">
        <v>45169</v>
      </c>
      <c r="U12" s="2004"/>
      <c r="V12" s="1983">
        <v>45199</v>
      </c>
      <c r="W12" s="1983"/>
      <c r="X12" s="2001">
        <v>45230</v>
      </c>
      <c r="Y12" s="2004"/>
      <c r="Z12" s="1983">
        <v>45260</v>
      </c>
      <c r="AA12" s="1983"/>
      <c r="AB12" s="2001">
        <v>45291</v>
      </c>
      <c r="AC12" s="2002"/>
      <c r="AD12" s="1998"/>
      <c r="AE12" s="1998"/>
    </row>
    <row r="13" spans="2:34" ht="16" thickBot="1">
      <c r="B13" s="1985" t="s">
        <v>24</v>
      </c>
      <c r="C13" s="1986"/>
      <c r="D13" s="1987">
        <f>CONTADORES!AK2</f>
        <v>58261.8</v>
      </c>
      <c r="E13" s="1988"/>
      <c r="F13" s="1989">
        <f ca="1">IF($K$5&gt;F12,(VLOOKUP($F$12,CONTADORES!$A$2:$AK$33,37)),(IF($K$5&gt;$D$12,(VLOOKUP($K$5,CONTADORES!$A$2:$AK$33,37))," ")))</f>
        <v>58582.5</v>
      </c>
      <c r="G13" s="1990"/>
      <c r="H13" s="1979">
        <f ca="1">IF($K$5&gt;H12,(VLOOKUP($H$12,CONTADORES!$A$35:$AK$63,37)),(IF($K$5&gt;$F$12,(VLOOKUP($K$5,CONTADORES!$A$35:$AK$63,37))," ")))</f>
        <v>58860.5</v>
      </c>
      <c r="I13" s="1980"/>
      <c r="J13" s="1979">
        <f ca="1">IF($K$5&gt;J12,(VLOOKUP($J$12,CONTADORES!$A$65:$AK$96,37)),(IF($K$5&gt;$H$12,(VLOOKUP($K$5,CONTADORES!$A$65:$AK$96,37))," ")))</f>
        <v>59153</v>
      </c>
      <c r="K13" s="1980"/>
      <c r="L13" s="1991">
        <f ca="1">IF($K$5&gt;L12,(VLOOKUP($L$12,CONTADORES!$A$98:$AK$128,37)),(IF($K$5&gt;$J$12,(VLOOKUP($K$5,CONTADORES!$A$98:$AK$128,37))," ")))</f>
        <v>59467.1</v>
      </c>
      <c r="M13" s="1992"/>
      <c r="N13" s="1979">
        <f ca="1">IF($K$5&gt;N12,(VLOOKUP($N$12,CONTADORES!$A$130:$AK$161,37)),(IF($K$5&gt;$L$12,(VLOOKUP($K$5,CONTADORES!$A$130:$AK$161,37))," ")))</f>
        <v>59803.8</v>
      </c>
      <c r="O13" s="1980"/>
      <c r="P13" s="1979">
        <f ca="1">IF($K$5&gt;P12,(VLOOKUP($P$12,CONTADORES!$A$163:$AK$193,37)),(IF($K$5&gt;$N$12,(VLOOKUP($K$5,CONTADORES!$A$163:$AK$193,37))," ")))</f>
        <v>60088</v>
      </c>
      <c r="Q13" s="1980"/>
      <c r="R13" s="1979">
        <f ca="1">IF($K$5&gt;R12,(VLOOKUP($R$12,CONTADORES!$A$195:$AK$226,37)),(IF($K$5&gt;$N$12,(VLOOKUP($K$5,CONTADORES!$A$195:$AK$226,37))," ")))</f>
        <v>60402.1</v>
      </c>
      <c r="S13" s="1980"/>
      <c r="T13" s="1979">
        <f ca="1">IF($K$5&gt;T12,(VLOOKUP($T$12,CONTADORES!$A$228:$AK$259,37)),(IF($K$5&gt;$R$12,(VLOOKUP($K$5,CONTADORES!$A$228:$AK$259,37))," ")))</f>
        <v>60726.3</v>
      </c>
      <c r="U13" s="1980"/>
      <c r="V13" s="1979">
        <f ca="1">IF($K$5&gt;V12,(VLOOKUP($V$12,CONTADORES!$A$261:$AK$291,37)),(IF($K$5&gt;$T$12,(VLOOKUP($K$5,CONTADORES!$A$261:$AK$291,37))," ")))</f>
        <v>61015.5</v>
      </c>
      <c r="W13" s="1980"/>
      <c r="X13" s="1979">
        <f ca="1">IF($K$5&gt;X12,(VLOOKUP($X$12,CONTADORES!$A$293:$AK$324,37)),(IF($K$5&gt;$V$12,(VLOOKUP($K$5,CONTADORES!$A$293:$AK$324,37))," ")))</f>
        <v>61303.3</v>
      </c>
      <c r="Y13" s="1980"/>
      <c r="Z13" s="1979">
        <f ca="1">IF($K$5&gt;Z12,(VLOOKUP(Z12,CONTADORES!$A$326:$AK$356,37)),(IF($K$5&gt;X12,(VLOOKUP($K$5,CONTADORES!$A$326:$AK$356,37))," ")))</f>
        <v>61312.9</v>
      </c>
      <c r="AA13" s="1980"/>
      <c r="AB13" s="1989" t="str">
        <f ca="1">IF($K$5&gt;AB12,(VLOOKUP(AB12,CONTADORES!$A$358:$AK$389,37)),(IF($K$5&gt;Z12,(VLOOKUP($K$5,CONTADORES!$A$358:$AK$389,37))," ")))</f>
        <v xml:space="preserve"> </v>
      </c>
      <c r="AC13" s="2000"/>
    </row>
    <row r="14" spans="2:34" ht="16" thickBot="1">
      <c r="B14" s="1985" t="s">
        <v>25</v>
      </c>
      <c r="C14" s="1986"/>
      <c r="D14" s="2007">
        <f>CONTADORES!K2</f>
        <v>14948.1</v>
      </c>
      <c r="E14" s="2008"/>
      <c r="F14" s="1989">
        <f ca="1">IF($K$5&gt;F13,(VLOOKUP($F$12,CONTADORES!$A$2:$AK$33,11)),(IF($K$5&gt;$D$12,(VLOOKUP($K$5,CONTADORES!$A$2:$AK$33,11))," ")))</f>
        <v>14948.1</v>
      </c>
      <c r="G14" s="1990"/>
      <c r="H14" s="1991">
        <f ca="1">IF($K$5&gt;H12,(VLOOKUP($H$12,CONTADORES!$A$35:$AK$63,11)),(IF($K$5&gt;$F$12,(VLOOKUP($K$5,CONTADORES!$A$35:$AK$63,11))," ")))</f>
        <v>14950.6</v>
      </c>
      <c r="I14" s="1992"/>
      <c r="J14" s="1981">
        <f ca="1">IF($K$5&gt;J12,(VLOOKUP($J$12,CONTADORES!$A$65:$AK$96,11)),(IF($K$5&gt;$H$12,(VLOOKUP($K$5,CONTADORES!$A$65:$AK$96,11))," ")))</f>
        <v>14958.9</v>
      </c>
      <c r="K14" s="1982"/>
      <c r="L14" s="1991">
        <f ca="1">IF($K$5&gt;L12,(VLOOKUP($L$12,CONTADORES!$A$98:$AK$128,11)),(IF($K$5&gt;$J$12,(VLOOKUP($K$5,CONTADORES!$A$98:$AK$128,11))," ")))</f>
        <v>14959</v>
      </c>
      <c r="M14" s="1992"/>
      <c r="N14" s="1981">
        <f ca="1">IF($K$5&gt;N12,(VLOOKUP($N$12,CONTADORES!$A$130:$AK$161,11)),(IF($K$5&gt;$L$12,(VLOOKUP($K$5,CONTADORES!$A$130:$AK$161,11))," ")))</f>
        <v>14963</v>
      </c>
      <c r="O14" s="1982"/>
      <c r="P14" s="1981">
        <f ca="1">IF($K$5&gt;P12,(VLOOKUP($P$12,CONTADORES!$A$163:$AK$193,11)),(IF($K$5&gt;$N$12,(VLOOKUP($K$5,CONTADORES!$A$163:$AK$193,11))," ")))</f>
        <v>14963.3</v>
      </c>
      <c r="Q14" s="1982"/>
      <c r="R14" s="1981">
        <f ca="1">IF($K$5&gt;R12,(VLOOKUP($R$12,CONTADORES!$A$195:$AK$226,11)),(IF($K$5&gt;$P$12,(VLOOKUP($K$5,CONTADORES!$A$195:$AK$226,11))," ")))</f>
        <v>14964.9</v>
      </c>
      <c r="S14" s="1982"/>
      <c r="T14" s="1981">
        <f ca="1">IF($K$5&gt;T12,(VLOOKUP($T$12,CONTADORES!$A$228:$AK$259,11)),(IF($K$5&gt;$R$12,(VLOOKUP($K$5,CONTADORES!$A$228:$AK$259,11))," ")))</f>
        <v>14967.7</v>
      </c>
      <c r="U14" s="1982"/>
      <c r="V14" s="1981">
        <f ca="1">IF($K$5&gt;V12,(VLOOKUP($V$12,CONTADORES!$A$261:$AK$291,11)),(IF($K$5&gt;$T$12,(VLOOKUP($K$5,CONTADORES!$A$261:$AK$291,11))," ")))</f>
        <v>14968.7</v>
      </c>
      <c r="W14" s="1982"/>
      <c r="X14" s="1991">
        <f ca="1">IF($K$5&gt;X12,(VLOOKUP($X$12,CONTADORES!$A$293:$AK$324,11)),(IF($K$5&gt;$V$12,(VLOOKUP($K$5,CONTADORES!$A$293:$AK$324,11))," ")))</f>
        <v>14970.1</v>
      </c>
      <c r="Y14" s="1992"/>
      <c r="Z14" s="1981">
        <f ca="1">IF($K$5&gt;Z12,(VLOOKUP(Z12,CONTADORES!$A$326:$AK$356,11)),(IF($K$5&gt;X12,(VLOOKUP($K$5,CONTADORES!$A$326:$AK$356,11))," ")))</f>
        <v>14970.2</v>
      </c>
      <c r="AA14" s="1982"/>
      <c r="AB14" s="1981" t="str">
        <f ca="1">IF($K$5&gt;AB12,(VLOOKUP(AB12,CONTADORES!$A$358:$AK$389,11)),(IF($K$5&gt;Z12,(VLOOKUP($K$5,CONTADORES!$A$358:$AK$389,11))," ")))</f>
        <v xml:space="preserve"> </v>
      </c>
      <c r="AC14" s="1999"/>
      <c r="AD14" s="1996" t="s">
        <v>26</v>
      </c>
      <c r="AE14" s="1997"/>
    </row>
    <row r="15" spans="2:34" ht="24.75" customHeight="1" thickBot="1">
      <c r="B15" s="1985" t="s">
        <v>27</v>
      </c>
      <c r="C15" s="1986"/>
      <c r="D15" s="2005" t="s">
        <v>28</v>
      </c>
      <c r="E15" s="2006"/>
      <c r="F15" s="1979">
        <f ca="1">IF(F13=" "," ",(F13-D13)+(F14-D14))</f>
        <v>320.69999999999709</v>
      </c>
      <c r="G15" s="1980"/>
      <c r="H15" s="1979">
        <f ca="1">IF(H13=" "," ",(H13-F13)+(H14-F14))</f>
        <v>280.5</v>
      </c>
      <c r="I15" s="1980"/>
      <c r="J15" s="1979">
        <f ca="1">IF(J13=" "," ",(J13-H13)+(J14-H14))</f>
        <v>300.79999999999927</v>
      </c>
      <c r="K15" s="1980"/>
      <c r="L15" s="1979">
        <f ca="1">IF(L13=" "," ",(L13-J13)+(L14-J14))</f>
        <v>314.19999999999891</v>
      </c>
      <c r="M15" s="1980"/>
      <c r="N15" s="1979">
        <f ca="1">IF(N13=" "," ",(N13-L13)+(N14-L14))</f>
        <v>340.70000000000437</v>
      </c>
      <c r="O15" s="1980"/>
      <c r="P15" s="1979">
        <f ca="1">IF(P13=" "," ",(P13-N13)+(P14-N14))</f>
        <v>284.49999999999636</v>
      </c>
      <c r="Q15" s="1980"/>
      <c r="R15" s="1979">
        <f ca="1">IF(R13=" "," ",(R13-P13)+(R14-P14))</f>
        <v>315.69999999999891</v>
      </c>
      <c r="S15" s="1980"/>
      <c r="T15" s="1979">
        <f ca="1">IF(T13=" "," ",(T13-R13)+(T14-R14))</f>
        <v>327.00000000000546</v>
      </c>
      <c r="U15" s="1980"/>
      <c r="V15" s="1979">
        <f ca="1">IF(V13=" "," ",(V13-T13)+(V14-T14))</f>
        <v>290.19999999999709</v>
      </c>
      <c r="W15" s="1980"/>
      <c r="X15" s="1979">
        <f ca="1">IF(X13=" "," ",(X13-V13)+(X14-V14))</f>
        <v>289.20000000000255</v>
      </c>
      <c r="Y15" s="1980"/>
      <c r="Z15" s="1979">
        <f ca="1">IF(Z13=" "," ",(Z13-X13)+(Z14-X14))</f>
        <v>9.6999999999989086</v>
      </c>
      <c r="AA15" s="1980"/>
      <c r="AB15" s="1979" t="str">
        <f ca="1">IF(AB13=" "," ",(AB13-Z13)+(AB14-Z14))</f>
        <v xml:space="preserve"> </v>
      </c>
      <c r="AC15" s="2003"/>
      <c r="AD15" s="1994">
        <f ca="1">SUM(F15:AB15)</f>
        <v>3073.1999999999989</v>
      </c>
      <c r="AE15" s="1995"/>
    </row>
    <row r="17" spans="4:22">
      <c r="D17" s="632"/>
    </row>
    <row r="20" spans="4:22">
      <c r="V20" s="632"/>
    </row>
  </sheetData>
  <mergeCells count="74">
    <mergeCell ref="B6:AH6"/>
    <mergeCell ref="J13:K13"/>
    <mergeCell ref="T13:U13"/>
    <mergeCell ref="R12:S12"/>
    <mergeCell ref="B8:C8"/>
    <mergeCell ref="P12:Q12"/>
    <mergeCell ref="T12:U12"/>
    <mergeCell ref="L13:M13"/>
    <mergeCell ref="N13:O13"/>
    <mergeCell ref="P13:Q13"/>
    <mergeCell ref="R13:S13"/>
    <mergeCell ref="N12:O12"/>
    <mergeCell ref="F10:G10"/>
    <mergeCell ref="J12:K12"/>
    <mergeCell ref="L12:M12"/>
    <mergeCell ref="B9:C9"/>
    <mergeCell ref="H1:Z1"/>
    <mergeCell ref="H2:AA2"/>
    <mergeCell ref="U5:V5"/>
    <mergeCell ref="O4:P4"/>
    <mergeCell ref="O5:P5"/>
    <mergeCell ref="K3:L3"/>
    <mergeCell ref="K4:L4"/>
    <mergeCell ref="K5:L5"/>
    <mergeCell ref="B12:C12"/>
    <mergeCell ref="D12:E12"/>
    <mergeCell ref="F12:G12"/>
    <mergeCell ref="H12:I12"/>
    <mergeCell ref="D9:F9"/>
    <mergeCell ref="Z15:AA15"/>
    <mergeCell ref="X12:Y12"/>
    <mergeCell ref="B15:C15"/>
    <mergeCell ref="D15:E15"/>
    <mergeCell ref="F15:G15"/>
    <mergeCell ref="B14:C14"/>
    <mergeCell ref="D14:E14"/>
    <mergeCell ref="F14:G14"/>
    <mergeCell ref="H15:I15"/>
    <mergeCell ref="J15:K15"/>
    <mergeCell ref="T15:U15"/>
    <mergeCell ref="L15:M15"/>
    <mergeCell ref="N15:O15"/>
    <mergeCell ref="P15:Q15"/>
    <mergeCell ref="R15:S15"/>
    <mergeCell ref="H14:I14"/>
    <mergeCell ref="V15:W15"/>
    <mergeCell ref="X15:Y15"/>
    <mergeCell ref="X13:Y13"/>
    <mergeCell ref="V14:W14"/>
    <mergeCell ref="V13:W13"/>
    <mergeCell ref="X14:Y14"/>
    <mergeCell ref="AD15:AE15"/>
    <mergeCell ref="AD14:AE14"/>
    <mergeCell ref="AD12:AE12"/>
    <mergeCell ref="AB14:AC14"/>
    <mergeCell ref="AB13:AC13"/>
    <mergeCell ref="AB12:AC12"/>
    <mergeCell ref="AB15:AC15"/>
    <mergeCell ref="Z13:AA13"/>
    <mergeCell ref="Z14:AA14"/>
    <mergeCell ref="Z12:AA12"/>
    <mergeCell ref="J14:K14"/>
    <mergeCell ref="B7:C7"/>
    <mergeCell ref="V12:W12"/>
    <mergeCell ref="B13:C13"/>
    <mergeCell ref="D13:E13"/>
    <mergeCell ref="F13:G13"/>
    <mergeCell ref="H13:I13"/>
    <mergeCell ref="L14:M14"/>
    <mergeCell ref="N14:O14"/>
    <mergeCell ref="P14:Q14"/>
    <mergeCell ref="T14:U14"/>
    <mergeCell ref="R14:S14"/>
    <mergeCell ref="B11:AC11"/>
  </mergeCells>
  <pageMargins left="0.70866141732283472" right="0.70866141732283472" top="0.74803149606299213" bottom="0.74803149606299213" header="0.31496062992125984" footer="0.31496062992125984"/>
  <pageSetup scale="80" fitToWidth="0" fitToHeight="0"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tabColor rgb="FF92D050"/>
  </sheetPr>
  <dimension ref="A1:AD50"/>
  <sheetViews>
    <sheetView showGridLines="0" topLeftCell="A10" zoomScale="70" zoomScaleNormal="70" workbookViewId="0">
      <selection activeCell="G40" sqref="G40"/>
    </sheetView>
  </sheetViews>
  <sheetFormatPr baseColWidth="10" defaultColWidth="11.54296875" defaultRowHeight="14.5"/>
  <cols>
    <col min="1" max="1" width="2.1796875" customWidth="1"/>
    <col min="2" max="2" width="10" customWidth="1"/>
    <col min="3" max="3" width="14.453125" bestFit="1" customWidth="1"/>
    <col min="4" max="4" width="14" bestFit="1" customWidth="1"/>
    <col min="5" max="5" width="11.1796875" bestFit="1" customWidth="1"/>
    <col min="6" max="6" width="10" customWidth="1"/>
    <col min="7" max="10" width="10.90625" customWidth="1"/>
    <col min="11" max="12" width="10" customWidth="1"/>
    <col min="13" max="13" width="10" style="1043" customWidth="1"/>
    <col min="14" max="19" width="10" customWidth="1"/>
    <col min="20" max="20" width="1.81640625" customWidth="1"/>
    <col min="21" max="21" width="11.54296875" style="1808"/>
    <col min="22" max="22" width="11.54296875" style="1806"/>
    <col min="23" max="23" width="23.54296875" style="407" bestFit="1" customWidth="1"/>
    <col min="24" max="24" width="23.54296875" style="407" customWidth="1"/>
    <col min="25" max="25" width="24.54296875" style="407" bestFit="1" customWidth="1"/>
    <col min="26" max="26" width="13.54296875" customWidth="1"/>
    <col min="27" max="27" width="22.26953125" bestFit="1" customWidth="1"/>
    <col min="30" max="30" width="11.54296875" style="407"/>
  </cols>
  <sheetData>
    <row r="1" spans="1:30" ht="9.75" customHeight="1" thickTop="1">
      <c r="A1" s="643"/>
      <c r="B1" s="712"/>
      <c r="C1" s="712"/>
      <c r="D1" s="712"/>
      <c r="E1" s="712"/>
      <c r="F1" s="712"/>
      <c r="G1" s="712"/>
      <c r="H1" s="712"/>
      <c r="I1" s="712"/>
      <c r="J1" s="712"/>
      <c r="K1" s="712"/>
      <c r="L1" s="712"/>
      <c r="M1" s="712"/>
      <c r="N1" s="712"/>
      <c r="O1" s="712"/>
      <c r="P1" s="712"/>
      <c r="Q1" s="712"/>
      <c r="R1" s="712"/>
      <c r="S1" s="712"/>
      <c r="T1" s="660"/>
      <c r="AA1" s="1042"/>
    </row>
    <row r="2" spans="1:30" ht="67.5" customHeight="1">
      <c r="A2" s="635"/>
      <c r="B2" s="2049"/>
      <c r="C2" s="2050"/>
      <c r="D2" s="2050"/>
      <c r="E2" s="2050"/>
      <c r="F2" s="2050"/>
      <c r="G2" s="2051" t="s">
        <v>1473</v>
      </c>
      <c r="H2" s="2052"/>
      <c r="I2" s="2052"/>
      <c r="J2" s="2052"/>
      <c r="K2" s="2052"/>
      <c r="L2" s="2052"/>
      <c r="M2" s="2052"/>
      <c r="N2" s="2053"/>
      <c r="O2" s="2047"/>
      <c r="P2" s="2047"/>
      <c r="Q2" s="2047"/>
      <c r="R2" s="2047"/>
      <c r="S2" s="2048"/>
      <c r="T2" s="636"/>
      <c r="Z2" s="407"/>
      <c r="AA2" s="407"/>
    </row>
    <row r="3" spans="1:30" ht="18.5">
      <c r="A3" s="635"/>
      <c r="B3" s="1033"/>
      <c r="C3" s="1034" t="str">
        <f>TEXT(D5,"MMM")</f>
        <v>nov</v>
      </c>
      <c r="D3" s="1035"/>
      <c r="E3" s="1033"/>
      <c r="F3" s="1033"/>
      <c r="G3" s="1033"/>
      <c r="H3" s="1033"/>
      <c r="I3" s="1033"/>
      <c r="J3" s="1033"/>
      <c r="K3" s="1033"/>
      <c r="L3" s="1033"/>
      <c r="M3" s="1033"/>
      <c r="N3" s="1033"/>
      <c r="O3" s="1033"/>
      <c r="P3" s="1033"/>
      <c r="Q3" s="1033"/>
      <c r="R3" s="1036"/>
      <c r="S3" s="1037">
        <f ca="1">TODAY( )-1</f>
        <v>45231</v>
      </c>
      <c r="T3" s="636"/>
      <c r="W3" s="407" t="s">
        <v>832</v>
      </c>
      <c r="X3" s="1866" t="s">
        <v>1170</v>
      </c>
      <c r="Z3" s="407"/>
      <c r="AA3" s="1389"/>
    </row>
    <row r="4" spans="1:30" ht="16.5" customHeight="1">
      <c r="A4" s="635"/>
      <c r="B4" s="1818" t="s">
        <v>805</v>
      </c>
      <c r="C4" s="1818" t="s">
        <v>131</v>
      </c>
      <c r="D4" s="1818" t="s">
        <v>229</v>
      </c>
      <c r="E4" s="2046" t="s">
        <v>833</v>
      </c>
      <c r="F4" s="2046"/>
      <c r="G4" s="2046"/>
      <c r="H4" s="2046"/>
      <c r="I4" s="2046"/>
      <c r="J4" s="2046"/>
      <c r="K4" s="2046" t="s">
        <v>834</v>
      </c>
      <c r="L4" s="2046"/>
      <c r="M4" s="2046"/>
      <c r="N4" s="2046"/>
      <c r="O4" s="2046"/>
      <c r="P4" s="2046"/>
      <c r="Q4" s="2046"/>
      <c r="R4" s="2046"/>
      <c r="S4" s="2046"/>
      <c r="T4" s="636"/>
      <c r="W4" s="407" t="s">
        <v>806</v>
      </c>
      <c r="X4" s="1866" t="s">
        <v>1306</v>
      </c>
      <c r="Y4" s="407" t="s">
        <v>1336</v>
      </c>
      <c r="Z4" s="407"/>
      <c r="AA4" s="407"/>
    </row>
    <row r="5" spans="1:30" ht="16.5" customHeight="1">
      <c r="A5" s="635"/>
      <c r="B5" s="2062">
        <f>INICIO!C7</f>
        <v>1</v>
      </c>
      <c r="C5" s="2062">
        <f>INICIO!C6</f>
        <v>11</v>
      </c>
      <c r="D5" s="2063">
        <f>INICIO!C8</f>
        <v>45231</v>
      </c>
      <c r="E5" s="1818" t="s">
        <v>1358</v>
      </c>
      <c r="F5" s="2061" t="s">
        <v>832</v>
      </c>
      <c r="G5" s="2061"/>
      <c r="H5" s="2061"/>
      <c r="I5" s="2061"/>
      <c r="J5" s="1818" t="s">
        <v>1357</v>
      </c>
      <c r="K5" s="1818" t="s">
        <v>1358</v>
      </c>
      <c r="L5" s="2061" t="s">
        <v>1171</v>
      </c>
      <c r="M5" s="2061"/>
      <c r="N5" s="2061"/>
      <c r="O5" s="2061"/>
      <c r="P5" s="2061"/>
      <c r="Q5" s="2061"/>
      <c r="R5" s="2061"/>
      <c r="S5" s="1818" t="s">
        <v>1357</v>
      </c>
      <c r="T5" s="636"/>
      <c r="W5" s="407" t="s">
        <v>835</v>
      </c>
      <c r="X5" s="1866" t="s">
        <v>1171</v>
      </c>
      <c r="Y5" s="407" t="s">
        <v>1345</v>
      </c>
      <c r="Z5" s="407"/>
      <c r="AA5" s="407"/>
      <c r="AD5" s="407" t="s">
        <v>1172</v>
      </c>
    </row>
    <row r="6" spans="1:30" ht="16.5" customHeight="1">
      <c r="A6" s="635"/>
      <c r="B6" s="2062"/>
      <c r="C6" s="2062"/>
      <c r="D6" s="2063"/>
      <c r="E6" s="1819">
        <v>31049</v>
      </c>
      <c r="F6" s="1818" t="s">
        <v>807</v>
      </c>
      <c r="G6" s="2065" t="s">
        <v>1124</v>
      </c>
      <c r="H6" s="2065"/>
      <c r="I6" s="2065"/>
      <c r="J6" s="1819">
        <v>212018</v>
      </c>
      <c r="K6" s="1819">
        <v>51853</v>
      </c>
      <c r="L6" s="1818" t="s">
        <v>807</v>
      </c>
      <c r="M6" s="2064" t="s">
        <v>1044</v>
      </c>
      <c r="N6" s="2064"/>
      <c r="O6" s="2064"/>
      <c r="P6" s="2064"/>
      <c r="Q6" s="2064"/>
      <c r="R6" s="2064"/>
      <c r="S6" s="1819">
        <v>212024</v>
      </c>
      <c r="T6" s="636"/>
      <c r="W6" s="407" t="s">
        <v>1168</v>
      </c>
      <c r="X6" s="1866" t="s">
        <v>1169</v>
      </c>
      <c r="Y6" s="407" t="s">
        <v>942</v>
      </c>
      <c r="Z6" s="407"/>
      <c r="AA6" s="407"/>
      <c r="AD6" s="407" t="s">
        <v>1306</v>
      </c>
    </row>
    <row r="7" spans="1:30" ht="30" customHeight="1" thickBot="1">
      <c r="A7" s="635"/>
      <c r="B7" s="2060" t="s">
        <v>813</v>
      </c>
      <c r="C7" s="2060"/>
      <c r="D7" s="2060"/>
      <c r="E7" s="2060"/>
      <c r="F7" s="2060"/>
      <c r="G7" s="2060"/>
      <c r="H7" s="2060"/>
      <c r="I7" s="2060"/>
      <c r="J7" s="2060"/>
      <c r="K7" s="2060"/>
      <c r="L7" s="2060"/>
      <c r="M7" s="2060"/>
      <c r="N7" s="2060"/>
      <c r="O7" s="2060"/>
      <c r="P7" s="2060"/>
      <c r="Q7" s="2060"/>
      <c r="R7" s="2060"/>
      <c r="S7" s="2060"/>
      <c r="T7" s="636"/>
      <c r="W7" s="407" t="s">
        <v>1305</v>
      </c>
      <c r="X7" s="1866" t="s">
        <v>1306</v>
      </c>
      <c r="Y7" s="407" t="s">
        <v>1468</v>
      </c>
      <c r="Z7" s="407"/>
      <c r="AA7" s="407"/>
      <c r="AD7" s="407" t="s">
        <v>1169</v>
      </c>
    </row>
    <row r="8" spans="1:30" ht="30" customHeight="1">
      <c r="A8" s="635"/>
      <c r="B8" s="2066" t="s">
        <v>399</v>
      </c>
      <c r="C8" s="2054" t="s">
        <v>836</v>
      </c>
      <c r="D8" s="2055"/>
      <c r="E8" s="2055"/>
      <c r="F8" s="2055"/>
      <c r="G8" s="2055"/>
      <c r="H8" s="2055"/>
      <c r="I8" s="2055"/>
      <c r="J8" s="2056"/>
      <c r="K8" s="2057" t="s">
        <v>837</v>
      </c>
      <c r="L8" s="2058"/>
      <c r="M8" s="2058"/>
      <c r="N8" s="2058"/>
      <c r="O8" s="2058"/>
      <c r="P8" s="2058"/>
      <c r="Q8" s="2058"/>
      <c r="R8" s="2058"/>
      <c r="S8" s="2059"/>
      <c r="T8" s="636"/>
      <c r="X8" s="1866"/>
      <c r="Y8" s="1270" t="s">
        <v>1420</v>
      </c>
      <c r="Z8" s="407"/>
      <c r="AA8" s="407"/>
      <c r="AD8" s="407" t="s">
        <v>1171</v>
      </c>
    </row>
    <row r="9" spans="1:30" ht="31.5" customHeight="1" thickBot="1">
      <c r="A9" s="635"/>
      <c r="B9" s="2067"/>
      <c r="C9" s="2026" t="s">
        <v>814</v>
      </c>
      <c r="D9" s="2027"/>
      <c r="E9" s="2027"/>
      <c r="F9" s="2028"/>
      <c r="G9" s="2029" t="s">
        <v>815</v>
      </c>
      <c r="H9" s="2027"/>
      <c r="I9" s="2027"/>
      <c r="J9" s="2030"/>
      <c r="K9" s="2031" t="s">
        <v>814</v>
      </c>
      <c r="L9" s="2019"/>
      <c r="M9" s="2019"/>
      <c r="N9" s="2019"/>
      <c r="O9" s="2019"/>
      <c r="P9" s="2019" t="s">
        <v>815</v>
      </c>
      <c r="Q9" s="2019"/>
      <c r="R9" s="2019"/>
      <c r="S9" s="2020"/>
      <c r="T9" s="636"/>
      <c r="X9" s="1866"/>
      <c r="Y9" s="407" t="s">
        <v>1464</v>
      </c>
      <c r="Z9" s="407"/>
      <c r="AA9" s="407"/>
    </row>
    <row r="10" spans="1:30" ht="45" customHeight="1">
      <c r="A10" s="635"/>
      <c r="B10" s="2067"/>
      <c r="C10" s="2021" t="s">
        <v>816</v>
      </c>
      <c r="D10" s="2022"/>
      <c r="E10" s="2023"/>
      <c r="F10" s="1843" t="s">
        <v>820</v>
      </c>
      <c r="G10" s="1844" t="s">
        <v>861</v>
      </c>
      <c r="H10" s="1844" t="s">
        <v>823</v>
      </c>
      <c r="I10" s="1844" t="s">
        <v>817</v>
      </c>
      <c r="J10" s="1845" t="s">
        <v>824</v>
      </c>
      <c r="K10" s="2024" t="s">
        <v>816</v>
      </c>
      <c r="L10" s="2025"/>
      <c r="M10" s="2025"/>
      <c r="N10" s="2025"/>
      <c r="O10" s="1846" t="s">
        <v>820</v>
      </c>
      <c r="P10" s="1844" t="s">
        <v>861</v>
      </c>
      <c r="Q10" s="1844" t="s">
        <v>823</v>
      </c>
      <c r="R10" s="1844" t="s">
        <v>817</v>
      </c>
      <c r="S10" s="1845" t="s">
        <v>824</v>
      </c>
      <c r="T10" s="636"/>
      <c r="X10" s="1866"/>
      <c r="Z10" s="1042"/>
      <c r="AA10" s="1042"/>
    </row>
    <row r="11" spans="1:30" ht="32.25" customHeight="1">
      <c r="A11" s="635"/>
      <c r="B11" s="2068"/>
      <c r="C11" s="1849" t="s">
        <v>948</v>
      </c>
      <c r="D11" s="1824" t="s">
        <v>949</v>
      </c>
      <c r="E11" s="1851" t="s">
        <v>862</v>
      </c>
      <c r="F11" s="1820" t="s">
        <v>825</v>
      </c>
      <c r="G11" s="1821" t="s">
        <v>373</v>
      </c>
      <c r="H11" s="1821" t="s">
        <v>580</v>
      </c>
      <c r="I11" s="1821" t="s">
        <v>863</v>
      </c>
      <c r="J11" s="1822" t="s">
        <v>582</v>
      </c>
      <c r="K11" s="1823" t="s">
        <v>818</v>
      </c>
      <c r="L11" s="1824" t="s">
        <v>8</v>
      </c>
      <c r="M11" s="1824" t="s">
        <v>1221</v>
      </c>
      <c r="N11" s="1824" t="s">
        <v>819</v>
      </c>
      <c r="O11" s="1828" t="s">
        <v>825</v>
      </c>
      <c r="P11" s="1821" t="s">
        <v>373</v>
      </c>
      <c r="Q11" s="1821" t="s">
        <v>580</v>
      </c>
      <c r="R11" s="1821" t="s">
        <v>863</v>
      </c>
      <c r="S11" s="1822" t="s">
        <v>582</v>
      </c>
      <c r="T11" s="636"/>
      <c r="X11" s="1866"/>
      <c r="Z11" s="1042"/>
      <c r="AA11" s="1042"/>
    </row>
    <row r="12" spans="1:30" ht="17.149999999999999" customHeight="1">
      <c r="A12" s="635"/>
      <c r="B12" s="1831">
        <f>INICIO!D12</f>
        <v>45231</v>
      </c>
      <c r="C12" s="1850">
        <f>IF(INICIO!$C$7&gt;DAY($B12)-1,(VLOOKUP($B12,'[4]PRODUCCION VS ENERGIA'!$B$12:$I$41,2))," ")</f>
        <v>0</v>
      </c>
      <c r="D12" s="1825">
        <f>IF(INICIO!$C$7&gt;DAY($B12)-1,(VLOOKUP($B12,'[4]PRODUCCION VS ENERGIA'!$B$12:$I$41,3))," ")</f>
        <v>0</v>
      </c>
      <c r="E12" s="1852">
        <f>IF(INICIO!$C$7&gt;DAY($B12)-1,(VLOOKUP($B12,'[4]PRODUCCION VS ENERGIA'!$B$12:$I$41,3))," ")</f>
        <v>0</v>
      </c>
      <c r="F12" s="1825">
        <f>IF(INICIO!$C$7&gt;DAY($B12)-1,(VLOOKUP($B12,'[4]PRODUCCION VS ENERGIA'!$B$12:$I$41,5))," ")</f>
        <v>0</v>
      </c>
      <c r="G12" s="1826">
        <f>IF(INICIO!$C$7&gt;DAY($B12)-1,(VLOOKUP($B12,'[4]PRODUCCION VS ENERGIA'!$B$12:$I$41,6))," ")</f>
        <v>377</v>
      </c>
      <c r="H12" s="1826">
        <f>IF(G12=" "," ",G12/24)</f>
        <v>15.708333333333334</v>
      </c>
      <c r="I12" s="1826">
        <f>IF(INICIO!$C$7&gt;DAY($B12)-1,(VLOOKUP($B12,'[4]PRODUCCION VS ENERGIA'!$B$12:$I$41,8))," ")</f>
        <v>149</v>
      </c>
      <c r="J12" s="1827">
        <f>IF(I12=" "," ",I12/24)</f>
        <v>6.208333333333333</v>
      </c>
      <c r="K12" s="1829">
        <f ca="1">IF(INICIO!$C$7&gt;DAY($B12)-1,(VLOOKUP($B12,DATOSAÑO!$B$11:$BG$375,56))," ")</f>
        <v>0</v>
      </c>
      <c r="L12" s="1826">
        <f ca="1">IF(INICIO!$C$7&gt;DAY($B12)-1,(VLOOKUP($B12,DATOSAÑO!$B$11:$BG$375,57))," ")</f>
        <v>0</v>
      </c>
      <c r="M12" s="1826">
        <f ca="1">IF(INICIO!$C$7&gt;DAY($B12)-1,(VLOOKUP($B12,DATOSAÑO!$B$11:$CL$375,87))," ")</f>
        <v>0</v>
      </c>
      <c r="N12" s="1826">
        <f ca="1">IF(AND($K12=" ",$L12=" ")," ",(L12+K12+M12))</f>
        <v>0</v>
      </c>
      <c r="O12" s="1826">
        <f ca="1">IF(INICIO!$C$7&gt;DAY($B12)-1,(VLOOKUP($B12,DATOSAÑO!$B$11:$BG$375,58))," ")</f>
        <v>0</v>
      </c>
      <c r="P12" s="1826">
        <f ca="1">IF(INICIO!$C$7&gt;DAY($B12)-1,(VLOOKUP($B12,DATOSAÑO!$B$11:$BG$375,24))," ")</f>
        <v>440</v>
      </c>
      <c r="Q12" s="1826">
        <f ca="1">IF(INICIO!$C$7&gt;DAY($B12)-1,(P12/24)," ")</f>
        <v>18.333333333333332</v>
      </c>
      <c r="R12" s="1826">
        <f ca="1">IF(INICIO!$C$7&gt;DAY($B12)-1,(VLOOKUP($B12,DATOSAÑO!$B$11:$BG$375,55))," ")</f>
        <v>222</v>
      </c>
      <c r="S12" s="1827">
        <f ca="1">IF(INICIO!$C$7&gt;DAY($B12)-1,(R12/24)," ")</f>
        <v>9.25</v>
      </c>
      <c r="T12" s="636"/>
      <c r="Z12" s="1042"/>
      <c r="AA12" s="1042"/>
    </row>
    <row r="13" spans="1:30" ht="17.149999999999999" customHeight="1">
      <c r="A13" s="635"/>
      <c r="B13" s="1831">
        <f>B12+1</f>
        <v>45232</v>
      </c>
      <c r="C13" s="1850" t="str">
        <f>IF(INICIO!$C$7&gt;DAY($B13)-1,(VLOOKUP($B13,'[4]PRODUCCION VS ENERGIA'!$B$12:$I$41,2))," ")</f>
        <v xml:space="preserve"> </v>
      </c>
      <c r="D13" s="1825" t="str">
        <f>IF(INICIO!$C$7&gt;DAY($B13)-1,(VLOOKUP($B13,'[4]PRODUCCION VS ENERGIA'!$B$12:$I$41,3))," ")</f>
        <v xml:space="preserve"> </v>
      </c>
      <c r="E13" s="1852" t="str">
        <f>IF(INICIO!$C$7&gt;DAY($B13)-1,(VLOOKUP($B13,'[4]PRODUCCION VS ENERGIA'!$B$12:$I$41,3))," ")</f>
        <v xml:space="preserve"> </v>
      </c>
      <c r="F13" s="1825" t="str">
        <f>IF(INICIO!$C$7&gt;DAY($B13)-1,(VLOOKUP($B13,'[4]PRODUCCION VS ENERGIA'!$B$12:$I$41,5))," ")</f>
        <v xml:space="preserve"> </v>
      </c>
      <c r="G13" s="1826" t="str">
        <f>IF(INICIO!$C$7&gt;DAY($B13)-1,(VLOOKUP($B13,'[4]PRODUCCION VS ENERGIA'!$B$12:$I$41,6))," ")</f>
        <v xml:space="preserve"> </v>
      </c>
      <c r="H13" s="1826" t="str">
        <f t="shared" ref="H13:H41" si="0">IF(G13=" "," ",G13/24)</f>
        <v xml:space="preserve"> </v>
      </c>
      <c r="I13" s="1826" t="str">
        <f>IF(INICIO!$C$7&gt;DAY($B13)-1,(VLOOKUP($B13,'[4]PRODUCCION VS ENERGIA'!$B$12:$I$41,8))," ")</f>
        <v xml:space="preserve"> </v>
      </c>
      <c r="J13" s="1827" t="str">
        <f t="shared" ref="J13:J41" si="1">IF(I13=" "," ",I13/24)</f>
        <v xml:space="preserve"> </v>
      </c>
      <c r="K13" s="1829" t="str">
        <f>IF(INICIO!$C$7&gt;DAY($B13)-1,(VLOOKUP($B13,DATOSAÑO!$B$11:$BG$375,56))," ")</f>
        <v xml:space="preserve"> </v>
      </c>
      <c r="L13" s="1826" t="str">
        <f>IF(INICIO!$C$7&gt;DAY($B13)-1,(VLOOKUP($B13,DATOSAÑO!$B$11:$BG$375,57))," ")</f>
        <v xml:space="preserve"> </v>
      </c>
      <c r="M13" s="1826" t="str">
        <f>IF(INICIO!$C$7&gt;DAY($B13)-1,(VLOOKUP($B13,DATOSAÑO!$B$11:$CL$375,87))," ")</f>
        <v xml:space="preserve"> </v>
      </c>
      <c r="N13" s="1826" t="str">
        <f t="shared" ref="N13:N41" si="2">IF(AND($K13=" ",$L13=" ")," ",(L13+K13+M13))</f>
        <v xml:space="preserve"> </v>
      </c>
      <c r="O13" s="1826" t="str">
        <f>IF(INICIO!$C$7&gt;DAY($B13)-1,(VLOOKUP($B13,DATOSAÑO!$B$11:$BG$375,58))," ")</f>
        <v xml:space="preserve"> </v>
      </c>
      <c r="P13" s="1826" t="str">
        <f>IF(INICIO!$C$7&gt;DAY($B13)-1,(VLOOKUP($B13,DATOSAÑO!$B$11:$BG$375,24))," ")</f>
        <v xml:space="preserve"> </v>
      </c>
      <c r="Q13" s="1826" t="str">
        <f>IF(INICIO!$C$7&gt;DAY($B13)-1,(P13/24)," ")</f>
        <v xml:space="preserve"> </v>
      </c>
      <c r="R13" s="1826" t="str">
        <f>IF(INICIO!$C$7&gt;DAY($B13)-1,(VLOOKUP($B13,DATOSAÑO!$B$11:$BG$375,55))," ")</f>
        <v xml:space="preserve"> </v>
      </c>
      <c r="S13" s="1827" t="str">
        <f>IF(INICIO!$C$7&gt;DAY($B13)-1,(R13/24)," ")</f>
        <v xml:space="preserve"> </v>
      </c>
      <c r="T13" s="636"/>
      <c r="Z13" s="1042"/>
      <c r="AA13" s="1042"/>
    </row>
    <row r="14" spans="1:30" ht="17.149999999999999" customHeight="1">
      <c r="A14" s="635"/>
      <c r="B14" s="1831">
        <f t="shared" ref="B14:B38" si="3">B13+1</f>
        <v>45233</v>
      </c>
      <c r="C14" s="1850" t="str">
        <f>IF(INICIO!$C$7&gt;DAY($B14)-1,(VLOOKUP($B14,'[4]PRODUCCION VS ENERGIA'!$B$12:$I$41,2))," ")</f>
        <v xml:space="preserve"> </v>
      </c>
      <c r="D14" s="1825" t="str">
        <f>IF(INICIO!$C$7&gt;DAY($B14)-1,(VLOOKUP($B14,'[4]PRODUCCION VS ENERGIA'!$B$12:$I$41,3))," ")</f>
        <v xml:space="preserve"> </v>
      </c>
      <c r="E14" s="1852" t="str">
        <f>IF(INICIO!$C$7&gt;DAY($B14)-1,(VLOOKUP($B14,'[4]PRODUCCION VS ENERGIA'!$B$12:$I$41,3))," ")</f>
        <v xml:space="preserve"> </v>
      </c>
      <c r="F14" s="1825" t="str">
        <f>IF(INICIO!$C$7&gt;DAY($B14)-1,(VLOOKUP($B14,'[4]PRODUCCION VS ENERGIA'!$B$12:$I$41,5))," ")</f>
        <v xml:space="preserve"> </v>
      </c>
      <c r="G14" s="1826" t="str">
        <f>IF(INICIO!$C$7&gt;DAY($B14)-1,(VLOOKUP($B14,'[4]PRODUCCION VS ENERGIA'!$B$12:$I$41,6))," ")</f>
        <v xml:space="preserve"> </v>
      </c>
      <c r="H14" s="1826" t="str">
        <f t="shared" si="0"/>
        <v xml:space="preserve"> </v>
      </c>
      <c r="I14" s="1826" t="str">
        <f>IF(INICIO!$C$7&gt;DAY($B14)-1,(VLOOKUP($B14,'[4]PRODUCCION VS ENERGIA'!$B$12:$I$41,8))," ")</f>
        <v xml:space="preserve"> </v>
      </c>
      <c r="J14" s="1827" t="str">
        <f t="shared" si="1"/>
        <v xml:space="preserve"> </v>
      </c>
      <c r="K14" s="1829" t="str">
        <f>IF(INICIO!$C$7&gt;DAY($B14)-1,(VLOOKUP($B14,DATOSAÑO!$B$11:$BG$375,56))," ")</f>
        <v xml:space="preserve"> </v>
      </c>
      <c r="L14" s="1826" t="str">
        <f>IF(INICIO!$C$7&gt;DAY($B14)-1,(VLOOKUP($B14,DATOSAÑO!$B$11:$BG$375,57))," ")</f>
        <v xml:space="preserve"> </v>
      </c>
      <c r="M14" s="1826" t="str">
        <f>IF(INICIO!$C$7&gt;DAY($B14)-1,(VLOOKUP($B14,DATOSAÑO!$B$11:$CL$375,87))," ")</f>
        <v xml:space="preserve"> </v>
      </c>
      <c r="N14" s="1826" t="str">
        <f t="shared" si="2"/>
        <v xml:space="preserve"> </v>
      </c>
      <c r="O14" s="1826" t="str">
        <f>IF(INICIO!$C$7&gt;DAY($B14)-1,(VLOOKUP($B14,DATOSAÑO!$B$11:$BG$375,58))," ")</f>
        <v xml:space="preserve"> </v>
      </c>
      <c r="P14" s="1826" t="str">
        <f>IF(INICIO!$C$7&gt;DAY($B14)-1,(VLOOKUP($B14,DATOSAÑO!$B$11:$BG$375,24))," ")</f>
        <v xml:space="preserve"> </v>
      </c>
      <c r="Q14" s="1826" t="str">
        <f>IF(INICIO!$C$7&gt;DAY($B14)-1,(P14/24)," ")</f>
        <v xml:space="preserve"> </v>
      </c>
      <c r="R14" s="1826" t="str">
        <f>IF(INICIO!$C$7&gt;DAY($B14)-1,(VLOOKUP($B14,DATOSAÑO!$B$11:$BG$375,55))," ")</f>
        <v xml:space="preserve"> </v>
      </c>
      <c r="S14" s="1827" t="str">
        <f>IF(INICIO!$C$7&gt;DAY($B14)-1,(R14/24)," ")</f>
        <v xml:space="preserve"> </v>
      </c>
      <c r="T14" s="636"/>
      <c r="Z14" s="1042"/>
      <c r="AA14" s="1042"/>
    </row>
    <row r="15" spans="1:30" ht="17.149999999999999" customHeight="1">
      <c r="A15" s="635"/>
      <c r="B15" s="1831">
        <f t="shared" si="3"/>
        <v>45234</v>
      </c>
      <c r="C15" s="1850" t="str">
        <f>IF(INICIO!$C$7&gt;DAY($B15)-1,(VLOOKUP($B15,'[4]PRODUCCION VS ENERGIA'!$B$12:$I$41,2))," ")</f>
        <v xml:space="preserve"> </v>
      </c>
      <c r="D15" s="1825" t="str">
        <f>IF(INICIO!$C$7&gt;DAY($B15)-1,(VLOOKUP($B15,'[4]PRODUCCION VS ENERGIA'!$B$12:$I$41,3))," ")</f>
        <v xml:space="preserve"> </v>
      </c>
      <c r="E15" s="1852" t="str">
        <f>IF(INICIO!$C$7&gt;DAY($B15)-1,(VLOOKUP($B15,'[4]PRODUCCION VS ENERGIA'!$B$12:$I$41,3))," ")</f>
        <v xml:space="preserve"> </v>
      </c>
      <c r="F15" s="1825" t="str">
        <f>IF(INICIO!$C$7&gt;DAY($B15)-1,(VLOOKUP($B15,'[4]PRODUCCION VS ENERGIA'!$B$12:$I$41,5))," ")</f>
        <v xml:space="preserve"> </v>
      </c>
      <c r="G15" s="1826" t="str">
        <f>IF(INICIO!$C$7&gt;DAY($B15)-1,(VLOOKUP($B15,'[4]PRODUCCION VS ENERGIA'!$B$12:$I$41,6))," ")</f>
        <v xml:space="preserve"> </v>
      </c>
      <c r="H15" s="1826" t="str">
        <f t="shared" si="0"/>
        <v xml:space="preserve"> </v>
      </c>
      <c r="I15" s="1826" t="str">
        <f>IF(INICIO!$C$7&gt;DAY($B15)-1,(VLOOKUP($B15,'[4]PRODUCCION VS ENERGIA'!$B$12:$I$41,8))," ")</f>
        <v xml:space="preserve"> </v>
      </c>
      <c r="J15" s="1827" t="str">
        <f t="shared" si="1"/>
        <v xml:space="preserve"> </v>
      </c>
      <c r="K15" s="1829" t="str">
        <f>IF(INICIO!$C$7&gt;DAY($B15)-1,(VLOOKUP($B15,DATOSAÑO!$B$11:$BG$375,56))," ")</f>
        <v xml:space="preserve"> </v>
      </c>
      <c r="L15" s="1826" t="str">
        <f>IF(INICIO!$C$7&gt;DAY($B15)-1,(VLOOKUP($B15,DATOSAÑO!$B$11:$BG$375,57))," ")</f>
        <v xml:space="preserve"> </v>
      </c>
      <c r="M15" s="1826" t="str">
        <f>IF(INICIO!$C$7&gt;DAY($B15)-1,(VLOOKUP($B15,DATOSAÑO!$B$11:$CL$375,87))," ")</f>
        <v xml:space="preserve"> </v>
      </c>
      <c r="N15" s="1826" t="str">
        <f t="shared" si="2"/>
        <v xml:space="preserve"> </v>
      </c>
      <c r="O15" s="1826" t="str">
        <f>IF(INICIO!$C$7&gt;DAY($B15)-1,(VLOOKUP($B15,DATOSAÑO!$B$11:$BG$375,58))," ")</f>
        <v xml:space="preserve"> </v>
      </c>
      <c r="P15" s="1826" t="str">
        <f>IF(INICIO!$C$7&gt;DAY($B15)-1,(VLOOKUP($B15,DATOSAÑO!$B$11:$BG$375,24))," ")</f>
        <v xml:space="preserve"> </v>
      </c>
      <c r="Q15" s="1826" t="str">
        <f>IF(INICIO!$C$7&gt;DAY($B15)-1,(P15/24)," ")</f>
        <v xml:space="preserve"> </v>
      </c>
      <c r="R15" s="1826" t="str">
        <f>IF(INICIO!$C$7&gt;DAY($B15)-1,(VLOOKUP($B15,DATOSAÑO!$B$11:$BG$375,55))," ")</f>
        <v xml:space="preserve"> </v>
      </c>
      <c r="S15" s="1827" t="str">
        <f>IF(INICIO!$C$7&gt;DAY($B15)-1,(R15/24)," ")</f>
        <v xml:space="preserve"> </v>
      </c>
      <c r="T15" s="636"/>
      <c r="Z15" s="1042"/>
      <c r="AA15" s="1042"/>
    </row>
    <row r="16" spans="1:30" ht="17.149999999999999" customHeight="1">
      <c r="A16" s="635"/>
      <c r="B16" s="1831">
        <f t="shared" si="3"/>
        <v>45235</v>
      </c>
      <c r="C16" s="1850" t="str">
        <f>IF(INICIO!$C$7&gt;DAY($B16)-1,(VLOOKUP($B16,'[4]PRODUCCION VS ENERGIA'!$B$12:$I$41,2))," ")</f>
        <v xml:space="preserve"> </v>
      </c>
      <c r="D16" s="1825" t="str">
        <f>IF(INICIO!$C$7&gt;DAY($B16)-1,(VLOOKUP($B16,'[4]PRODUCCION VS ENERGIA'!$B$12:$I$41,3))," ")</f>
        <v xml:space="preserve"> </v>
      </c>
      <c r="E16" s="1852" t="str">
        <f>IF(INICIO!$C$7&gt;DAY($B16)-1,(VLOOKUP($B16,'[4]PRODUCCION VS ENERGIA'!$B$12:$I$41,3))," ")</f>
        <v xml:space="preserve"> </v>
      </c>
      <c r="F16" s="1825" t="str">
        <f>IF(INICIO!$C$7&gt;DAY($B16)-1,(VLOOKUP($B16,'[4]PRODUCCION VS ENERGIA'!$B$12:$I$41,5))," ")</f>
        <v xml:space="preserve"> </v>
      </c>
      <c r="G16" s="1826" t="str">
        <f>IF(INICIO!$C$7&gt;DAY($B16)-1,(VLOOKUP($B16,'[4]PRODUCCION VS ENERGIA'!$B$12:$I$41,6))," ")</f>
        <v xml:space="preserve"> </v>
      </c>
      <c r="H16" s="1826" t="str">
        <f t="shared" si="0"/>
        <v xml:space="preserve"> </v>
      </c>
      <c r="I16" s="1826" t="str">
        <f>IF(INICIO!$C$7&gt;DAY($B16)-1,(VLOOKUP($B16,'[4]PRODUCCION VS ENERGIA'!$B$12:$I$41,8))," ")</f>
        <v xml:space="preserve"> </v>
      </c>
      <c r="J16" s="1827" t="str">
        <f t="shared" si="1"/>
        <v xml:space="preserve"> </v>
      </c>
      <c r="K16" s="1829" t="str">
        <f>IF(INICIO!$C$7&gt;DAY($B16)-1,(VLOOKUP($B16,DATOSAÑO!$B$11:$BG$375,56))," ")</f>
        <v xml:space="preserve"> </v>
      </c>
      <c r="L16" s="1826" t="str">
        <f>IF(INICIO!$C$7&gt;DAY($B16)-1,(VLOOKUP($B16,DATOSAÑO!$B$11:$BG$375,57))," ")</f>
        <v xml:space="preserve"> </v>
      </c>
      <c r="M16" s="1826" t="str">
        <f>IF(INICIO!$C$7&gt;DAY($B16)-1,(VLOOKUP($B16,DATOSAÑO!$B$11:$CL$375,87))," ")</f>
        <v xml:space="preserve"> </v>
      </c>
      <c r="N16" s="1826" t="str">
        <f t="shared" si="2"/>
        <v xml:space="preserve"> </v>
      </c>
      <c r="O16" s="1826" t="str">
        <f>IF(INICIO!$C$7&gt;DAY($B16)-1,(VLOOKUP($B16,DATOSAÑO!$B$11:$BG$375,58))," ")</f>
        <v xml:space="preserve"> </v>
      </c>
      <c r="P16" s="1826" t="str">
        <f>IF(INICIO!$C$7&gt;DAY($B16)-1,(VLOOKUP($B16,DATOSAÑO!$B$11:$BG$375,24))," ")</f>
        <v xml:space="preserve"> </v>
      </c>
      <c r="Q16" s="1826" t="str">
        <f>IF(INICIO!$C$7&gt;DAY($B16)-1,(P16/24)," ")</f>
        <v xml:space="preserve"> </v>
      </c>
      <c r="R16" s="1826" t="str">
        <f>IF(INICIO!$C$7&gt;DAY($B16)-1,(VLOOKUP($B16,DATOSAÑO!$B$11:$BG$375,55))," ")</f>
        <v xml:space="preserve"> </v>
      </c>
      <c r="S16" s="1827" t="str">
        <f>IF(INICIO!$C$7&gt;DAY($B16)-1,(R16/24)," ")</f>
        <v xml:space="preserve"> </v>
      </c>
      <c r="T16" s="636"/>
      <c r="Z16" s="1042"/>
      <c r="AA16" s="1042"/>
    </row>
    <row r="17" spans="1:30" ht="17.149999999999999" customHeight="1">
      <c r="A17" s="635"/>
      <c r="B17" s="1831">
        <f t="shared" si="3"/>
        <v>45236</v>
      </c>
      <c r="C17" s="1850" t="str">
        <f>IF(INICIO!$C$7&gt;DAY($B17)-1,(VLOOKUP($B17,'[4]PRODUCCION VS ENERGIA'!$B$12:$I$41,2))," ")</f>
        <v xml:space="preserve"> </v>
      </c>
      <c r="D17" s="1825" t="str">
        <f>IF(INICIO!$C$7&gt;DAY($B17)-1,(VLOOKUP($B17,'[4]PRODUCCION VS ENERGIA'!$B$12:$I$41,3))," ")</f>
        <v xml:space="preserve"> </v>
      </c>
      <c r="E17" s="1852" t="str">
        <f>IF(INICIO!$C$7&gt;DAY($B17)-1,(VLOOKUP($B17,'[4]PRODUCCION VS ENERGIA'!$B$12:$I$41,3))," ")</f>
        <v xml:space="preserve"> </v>
      </c>
      <c r="F17" s="1825" t="str">
        <f>IF(INICIO!$C$7&gt;DAY($B17)-1,(VLOOKUP($B17,'[4]PRODUCCION VS ENERGIA'!$B$12:$I$41,5))," ")</f>
        <v xml:space="preserve"> </v>
      </c>
      <c r="G17" s="1826" t="str">
        <f>IF(INICIO!$C$7&gt;DAY($B17)-1,(VLOOKUP($B17,'[4]PRODUCCION VS ENERGIA'!$B$12:$I$41,6))," ")</f>
        <v xml:space="preserve"> </v>
      </c>
      <c r="H17" s="1826" t="str">
        <f t="shared" si="0"/>
        <v xml:space="preserve"> </v>
      </c>
      <c r="I17" s="1826" t="str">
        <f>IF(INICIO!$C$7&gt;DAY($B17)-1,(VLOOKUP($B17,'[4]PRODUCCION VS ENERGIA'!$B$12:$I$41,8))," ")</f>
        <v xml:space="preserve"> </v>
      </c>
      <c r="J17" s="1827" t="str">
        <f t="shared" si="1"/>
        <v xml:space="preserve"> </v>
      </c>
      <c r="K17" s="1829" t="str">
        <f>IF(INICIO!$C$7&gt;DAY($B17)-1,(VLOOKUP($B17,DATOSAÑO!$B$11:$BG$375,56))," ")</f>
        <v xml:space="preserve"> </v>
      </c>
      <c r="L17" s="1826" t="str">
        <f>IF(INICIO!$C$7&gt;DAY($B17)-1,(VLOOKUP($B17,DATOSAÑO!$B$11:$BG$375,57))," ")</f>
        <v xml:space="preserve"> </v>
      </c>
      <c r="M17" s="1826" t="str">
        <f>IF(INICIO!$C$7&gt;DAY($B17)-1,(VLOOKUP($B17,DATOSAÑO!$B$11:$CL$375,87))," ")</f>
        <v xml:space="preserve"> </v>
      </c>
      <c r="N17" s="1826" t="str">
        <f t="shared" si="2"/>
        <v xml:space="preserve"> </v>
      </c>
      <c r="O17" s="1826" t="str">
        <f>IF(INICIO!$C$7&gt;DAY($B17)-1,(VLOOKUP($B17,DATOSAÑO!$B$11:$BG$375,58))," ")</f>
        <v xml:space="preserve"> </v>
      </c>
      <c r="P17" s="1826" t="str">
        <f>IF(INICIO!$C$7&gt;DAY($B17)-1,(VLOOKUP($B17,DATOSAÑO!$B$11:$BG$375,24))," ")</f>
        <v xml:space="preserve"> </v>
      </c>
      <c r="Q17" s="1826" t="str">
        <f>IF(INICIO!$C$7&gt;DAY($B17)-1,(P17/24)," ")</f>
        <v xml:space="preserve"> </v>
      </c>
      <c r="R17" s="1826" t="str">
        <f>IF(INICIO!$C$7&gt;DAY($B17)-1,(VLOOKUP($B17,DATOSAÑO!$B$11:$BG$375,55))," ")</f>
        <v xml:space="preserve"> </v>
      </c>
      <c r="S17" s="1827" t="str">
        <f>IF(INICIO!$C$7&gt;DAY($B17)-1,(R17/24)," ")</f>
        <v xml:space="preserve"> </v>
      </c>
      <c r="T17" s="636"/>
      <c r="Z17" s="1042"/>
      <c r="AA17" s="1042"/>
    </row>
    <row r="18" spans="1:30" ht="17.149999999999999" customHeight="1">
      <c r="A18" s="635"/>
      <c r="B18" s="1831">
        <f t="shared" si="3"/>
        <v>45237</v>
      </c>
      <c r="C18" s="1850" t="str">
        <f>IF(INICIO!$C$7&gt;DAY($B18)-1,(VLOOKUP($B18,'[4]PRODUCCION VS ENERGIA'!$B$12:$I$41,2))," ")</f>
        <v xml:space="preserve"> </v>
      </c>
      <c r="D18" s="1825" t="str">
        <f>IF(INICIO!$C$7&gt;DAY($B18)-1,(VLOOKUP($B18,'[4]PRODUCCION VS ENERGIA'!$B$12:$I$41,3))," ")</f>
        <v xml:space="preserve"> </v>
      </c>
      <c r="E18" s="1852" t="str">
        <f>IF(INICIO!$C$7&gt;DAY($B18)-1,(VLOOKUP($B18,'[4]PRODUCCION VS ENERGIA'!$B$12:$I$41,3))," ")</f>
        <v xml:space="preserve"> </v>
      </c>
      <c r="F18" s="1825" t="str">
        <f>IF(INICIO!$C$7&gt;DAY($B18)-1,(VLOOKUP($B18,'[4]PRODUCCION VS ENERGIA'!$B$12:$I$41,5))," ")</f>
        <v xml:space="preserve"> </v>
      </c>
      <c r="G18" s="1826" t="str">
        <f>IF(INICIO!$C$7&gt;DAY($B18)-1,(VLOOKUP($B18,'[4]PRODUCCION VS ENERGIA'!$B$12:$I$41,6))," ")</f>
        <v xml:space="preserve"> </v>
      </c>
      <c r="H18" s="1826" t="str">
        <f t="shared" si="0"/>
        <v xml:space="preserve"> </v>
      </c>
      <c r="I18" s="1826" t="str">
        <f>IF(INICIO!$C$7&gt;DAY($B18)-1,(VLOOKUP($B18,'[4]PRODUCCION VS ENERGIA'!$B$12:$I$41,8))," ")</f>
        <v xml:space="preserve"> </v>
      </c>
      <c r="J18" s="1827" t="str">
        <f t="shared" si="1"/>
        <v xml:space="preserve"> </v>
      </c>
      <c r="K18" s="1829" t="str">
        <f>IF(INICIO!$C$7&gt;DAY($B18)-1,(VLOOKUP($B18,DATOSAÑO!$B$11:$BG$375,56))," ")</f>
        <v xml:space="preserve"> </v>
      </c>
      <c r="L18" s="1826" t="str">
        <f>IF(INICIO!$C$7&gt;DAY($B18)-1,(VLOOKUP($B18,DATOSAÑO!$B$11:$BG$375,57))," ")</f>
        <v xml:space="preserve"> </v>
      </c>
      <c r="M18" s="1826" t="str">
        <f>IF(INICIO!$C$7&gt;DAY($B18)-1,(VLOOKUP($B18,DATOSAÑO!$B$11:$CL$375,87))," ")</f>
        <v xml:space="preserve"> </v>
      </c>
      <c r="N18" s="1826" t="str">
        <f t="shared" si="2"/>
        <v xml:space="preserve"> </v>
      </c>
      <c r="O18" s="1826" t="str">
        <f>IF(INICIO!$C$7&gt;DAY($B18)-1,(VLOOKUP($B18,DATOSAÑO!$B$11:$BG$375,58))," ")</f>
        <v xml:space="preserve"> </v>
      </c>
      <c r="P18" s="1826" t="str">
        <f>IF(INICIO!$C$7&gt;DAY($B18)-1,(VLOOKUP($B18,DATOSAÑO!$B$11:$BG$375,24))," ")</f>
        <v xml:space="preserve"> </v>
      </c>
      <c r="Q18" s="1826" t="str">
        <f>IF(INICIO!$C$7&gt;DAY($B18)-1,(P18/24)," ")</f>
        <v xml:space="preserve"> </v>
      </c>
      <c r="R18" s="1826" t="str">
        <f>IF(INICIO!$C$7&gt;DAY($B18)-1,(VLOOKUP($B18,DATOSAÑO!$B$11:$BG$375,55))," ")</f>
        <v xml:space="preserve"> </v>
      </c>
      <c r="S18" s="1827" t="str">
        <f>IF(INICIO!$C$7&gt;DAY($B18)-1,(R18/24)," ")</f>
        <v xml:space="preserve"> </v>
      </c>
      <c r="T18" s="636"/>
      <c r="Z18" s="1042"/>
      <c r="AA18" s="1042"/>
    </row>
    <row r="19" spans="1:30" ht="17.149999999999999" customHeight="1">
      <c r="A19" s="635"/>
      <c r="B19" s="1831">
        <f t="shared" si="3"/>
        <v>45238</v>
      </c>
      <c r="C19" s="1850" t="str">
        <f>IF(INICIO!$C$7&gt;DAY($B19)-1,(VLOOKUP($B19,'[4]PRODUCCION VS ENERGIA'!$B$12:$I$41,2))," ")</f>
        <v xml:space="preserve"> </v>
      </c>
      <c r="D19" s="1825" t="str">
        <f>IF(INICIO!$C$7&gt;DAY($B19)-1,(VLOOKUP($B19,'[4]PRODUCCION VS ENERGIA'!$B$12:$I$41,3))," ")</f>
        <v xml:space="preserve"> </v>
      </c>
      <c r="E19" s="1852" t="str">
        <f>IF(INICIO!$C$7&gt;DAY($B19)-1,(VLOOKUP($B19,'[4]PRODUCCION VS ENERGIA'!$B$12:$I$41,3))," ")</f>
        <v xml:space="preserve"> </v>
      </c>
      <c r="F19" s="1825" t="str">
        <f>IF(INICIO!$C$7&gt;DAY($B19)-1,(VLOOKUP($B19,'[4]PRODUCCION VS ENERGIA'!$B$12:$I$41,5))," ")</f>
        <v xml:space="preserve"> </v>
      </c>
      <c r="G19" s="1826" t="str">
        <f>IF(INICIO!$C$7&gt;DAY($B19)-1,(VLOOKUP($B19,'[4]PRODUCCION VS ENERGIA'!$B$12:$I$41,6))," ")</f>
        <v xml:space="preserve"> </v>
      </c>
      <c r="H19" s="1826" t="str">
        <f t="shared" si="0"/>
        <v xml:space="preserve"> </v>
      </c>
      <c r="I19" s="1826" t="str">
        <f>IF(INICIO!$C$7&gt;DAY($B19)-1,(VLOOKUP($B19,'[4]PRODUCCION VS ENERGIA'!$B$12:$I$41,8))," ")</f>
        <v xml:space="preserve"> </v>
      </c>
      <c r="J19" s="1827" t="str">
        <f t="shared" si="1"/>
        <v xml:space="preserve"> </v>
      </c>
      <c r="K19" s="1829" t="str">
        <f>IF(INICIO!$C$7&gt;DAY($B19)-1,(VLOOKUP($B19,DATOSAÑO!$B$11:$BG$375,56))," ")</f>
        <v xml:space="preserve"> </v>
      </c>
      <c r="L19" s="1826" t="str">
        <f>IF(INICIO!$C$7&gt;DAY($B19)-1,(VLOOKUP($B19,DATOSAÑO!$B$11:$BG$375,57))," ")</f>
        <v xml:space="preserve"> </v>
      </c>
      <c r="M19" s="1826" t="str">
        <f>IF(INICIO!$C$7&gt;DAY($B19)-1,(VLOOKUP($B19,DATOSAÑO!$B$11:$CL$375,87))," ")</f>
        <v xml:space="preserve"> </v>
      </c>
      <c r="N19" s="1826" t="str">
        <f t="shared" si="2"/>
        <v xml:space="preserve"> </v>
      </c>
      <c r="O19" s="1826" t="str">
        <f>IF(INICIO!$C$7&gt;DAY($B19)-1,(VLOOKUP($B19,DATOSAÑO!$B$11:$BG$375,58))," ")</f>
        <v xml:space="preserve"> </v>
      </c>
      <c r="P19" s="1826" t="str">
        <f>IF(INICIO!$C$7&gt;DAY($B19)-1,(VLOOKUP($B19,DATOSAÑO!$B$11:$BG$375,24))," ")</f>
        <v xml:space="preserve"> </v>
      </c>
      <c r="Q19" s="1826" t="str">
        <f>IF(INICIO!$C$7&gt;DAY($B19)-1,(P19/24)," ")</f>
        <v xml:space="preserve"> </v>
      </c>
      <c r="R19" s="1826" t="str">
        <f>IF(INICIO!$C$7&gt;DAY($B19)-1,(VLOOKUP($B19,DATOSAÑO!$B$11:$BG$375,55))," ")</f>
        <v xml:space="preserve"> </v>
      </c>
      <c r="S19" s="1827" t="str">
        <f>IF(INICIO!$C$7&gt;DAY($B19)-1,(R19/24)," ")</f>
        <v xml:space="preserve"> </v>
      </c>
      <c r="T19" s="636"/>
      <c r="Z19" s="1042"/>
      <c r="AA19" s="1042"/>
    </row>
    <row r="20" spans="1:30" ht="17.149999999999999" customHeight="1">
      <c r="A20" s="635"/>
      <c r="B20" s="1831">
        <f t="shared" si="3"/>
        <v>45239</v>
      </c>
      <c r="C20" s="1850" t="str">
        <f>IF(INICIO!$C$7&gt;DAY($B20)-1,(VLOOKUP($B20,'[4]PRODUCCION VS ENERGIA'!$B$12:$I$41,2))," ")</f>
        <v xml:space="preserve"> </v>
      </c>
      <c r="D20" s="1825" t="str">
        <f>IF(INICIO!$C$7&gt;DAY($B20)-1,(VLOOKUP($B20,'[4]PRODUCCION VS ENERGIA'!$B$12:$I$41,3))," ")</f>
        <v xml:space="preserve"> </v>
      </c>
      <c r="E20" s="1852" t="str">
        <f>IF(INICIO!$C$7&gt;DAY($B20)-1,(VLOOKUP($B20,'[4]PRODUCCION VS ENERGIA'!$B$12:$I$41,3))," ")</f>
        <v xml:space="preserve"> </v>
      </c>
      <c r="F20" s="1825" t="str">
        <f>IF(INICIO!$C$7&gt;DAY($B20)-1,(VLOOKUP($B20,'[4]PRODUCCION VS ENERGIA'!$B$12:$I$41,5))," ")</f>
        <v xml:space="preserve"> </v>
      </c>
      <c r="G20" s="1826" t="str">
        <f>IF(INICIO!$C$7&gt;DAY($B20)-1,(VLOOKUP($B20,'[4]PRODUCCION VS ENERGIA'!$B$12:$I$41,6))," ")</f>
        <v xml:space="preserve"> </v>
      </c>
      <c r="H20" s="1826" t="str">
        <f t="shared" si="0"/>
        <v xml:space="preserve"> </v>
      </c>
      <c r="I20" s="1826" t="str">
        <f>IF(INICIO!$C$7&gt;DAY($B20)-1,(VLOOKUP($B20,'[4]PRODUCCION VS ENERGIA'!$B$12:$I$41,8))," ")</f>
        <v xml:space="preserve"> </v>
      </c>
      <c r="J20" s="1827" t="str">
        <f t="shared" si="1"/>
        <v xml:space="preserve"> </v>
      </c>
      <c r="K20" s="1829" t="str">
        <f>IF(INICIO!$C$7&gt;DAY($B20)-1,(VLOOKUP($B20,DATOSAÑO!$B$11:$BG$375,56))," ")</f>
        <v xml:space="preserve"> </v>
      </c>
      <c r="L20" s="1826" t="str">
        <f>IF(INICIO!$C$7&gt;DAY($B20)-1,(VLOOKUP($B20,DATOSAÑO!$B$11:$BG$375,57))," ")</f>
        <v xml:space="preserve"> </v>
      </c>
      <c r="M20" s="1826" t="str">
        <f>IF(INICIO!$C$7&gt;DAY($B20)-1,(VLOOKUP($B20,DATOSAÑO!$B$11:$CL$375,87))," ")</f>
        <v xml:space="preserve"> </v>
      </c>
      <c r="N20" s="1826" t="str">
        <f t="shared" si="2"/>
        <v xml:space="preserve"> </v>
      </c>
      <c r="O20" s="1826" t="str">
        <f>IF(INICIO!$C$7&gt;DAY($B20)-1,(VLOOKUP($B20,DATOSAÑO!$B$11:$BG$375,58))," ")</f>
        <v xml:space="preserve"> </v>
      </c>
      <c r="P20" s="1826" t="str">
        <f>IF(INICIO!$C$7&gt;DAY($B20)-1,(VLOOKUP($B20,DATOSAÑO!$B$11:$BG$375,24))," ")</f>
        <v xml:space="preserve"> </v>
      </c>
      <c r="Q20" s="1826" t="str">
        <f>IF(INICIO!$C$7&gt;DAY($B20)-1,(P20/24)," ")</f>
        <v xml:space="preserve"> </v>
      </c>
      <c r="R20" s="1826" t="str">
        <f>IF(INICIO!$C$7&gt;DAY($B20)-1,(VLOOKUP($B20,DATOSAÑO!$B$11:$BG$375,55))," ")</f>
        <v xml:space="preserve"> </v>
      </c>
      <c r="S20" s="1827" t="str">
        <f>IF(INICIO!$C$7&gt;DAY($B20)-1,(R20/24)," ")</f>
        <v xml:space="preserve"> </v>
      </c>
      <c r="T20" s="636"/>
      <c r="Z20" s="1042"/>
      <c r="AA20" s="1042"/>
    </row>
    <row r="21" spans="1:30" ht="17.149999999999999" customHeight="1">
      <c r="A21" s="635"/>
      <c r="B21" s="1831">
        <f t="shared" si="3"/>
        <v>45240</v>
      </c>
      <c r="C21" s="1850" t="str">
        <f>IF(INICIO!$C$7&gt;DAY($B21)-1,(VLOOKUP($B21,'[4]PRODUCCION VS ENERGIA'!$B$12:$I$41,2))," ")</f>
        <v xml:space="preserve"> </v>
      </c>
      <c r="D21" s="1825" t="str">
        <f>IF(INICIO!$C$7&gt;DAY($B21)-1,(VLOOKUP($B21,'[4]PRODUCCION VS ENERGIA'!$B$12:$I$41,3))," ")</f>
        <v xml:space="preserve"> </v>
      </c>
      <c r="E21" s="1852" t="str">
        <f>IF(INICIO!$C$7&gt;DAY($B21)-1,(VLOOKUP($B21,'[4]PRODUCCION VS ENERGIA'!$B$12:$I$41,3))," ")</f>
        <v xml:space="preserve"> </v>
      </c>
      <c r="F21" s="1825" t="str">
        <f>IF(INICIO!$C$7&gt;DAY($B21)-1,(VLOOKUP($B21,'[4]PRODUCCION VS ENERGIA'!$B$12:$I$41,5))," ")</f>
        <v xml:space="preserve"> </v>
      </c>
      <c r="G21" s="1826" t="str">
        <f>IF(INICIO!$C$7&gt;DAY($B21)-1,(VLOOKUP($B21,'[4]PRODUCCION VS ENERGIA'!$B$12:$I$41,6))," ")</f>
        <v xml:space="preserve"> </v>
      </c>
      <c r="H21" s="1826" t="str">
        <f t="shared" si="0"/>
        <v xml:space="preserve"> </v>
      </c>
      <c r="I21" s="1826" t="str">
        <f>IF(INICIO!$C$7&gt;DAY($B21)-1,(VLOOKUP($B21,'[4]PRODUCCION VS ENERGIA'!$B$12:$I$41,8))," ")</f>
        <v xml:space="preserve"> </v>
      </c>
      <c r="J21" s="1827" t="str">
        <f t="shared" si="1"/>
        <v xml:space="preserve"> </v>
      </c>
      <c r="K21" s="1829" t="str">
        <f>IF(INICIO!$C$7&gt;DAY($B21)-1,(VLOOKUP($B21,DATOSAÑO!$B$11:$BG$375,56))," ")</f>
        <v xml:space="preserve"> </v>
      </c>
      <c r="L21" s="1826" t="str">
        <f>IF(INICIO!$C$7&gt;DAY($B21)-1,(VLOOKUP($B21,DATOSAÑO!$B$11:$BG$375,57))," ")</f>
        <v xml:space="preserve"> </v>
      </c>
      <c r="M21" s="1826" t="str">
        <f>IF(INICIO!$C$7&gt;DAY($B21)-1,(VLOOKUP($B21,DATOSAÑO!$B$11:$CL$375,87))," ")</f>
        <v xml:space="preserve"> </v>
      </c>
      <c r="N21" s="1826" t="str">
        <f t="shared" si="2"/>
        <v xml:space="preserve"> </v>
      </c>
      <c r="O21" s="1826" t="str">
        <f>IF(INICIO!$C$7&gt;DAY($B21)-1,(VLOOKUP($B21,DATOSAÑO!$B$11:$BG$375,58))," ")</f>
        <v xml:space="preserve"> </v>
      </c>
      <c r="P21" s="1826" t="str">
        <f>IF(INICIO!$C$7&gt;DAY($B21)-1,(VLOOKUP($B21,DATOSAÑO!$B$11:$BG$375,24))," ")</f>
        <v xml:space="preserve"> </v>
      </c>
      <c r="Q21" s="1826" t="str">
        <f>IF(INICIO!$C$7&gt;DAY($B21)-1,(P21/24)," ")</f>
        <v xml:space="preserve"> </v>
      </c>
      <c r="R21" s="1826" t="str">
        <f>IF(INICIO!$C$7&gt;DAY($B21)-1,(VLOOKUP($B21,DATOSAÑO!$B$11:$BG$375,55))," ")</f>
        <v xml:space="preserve"> </v>
      </c>
      <c r="S21" s="1827" t="str">
        <f>IF(INICIO!$C$7&gt;DAY($B21)-1,(R21/24)," ")</f>
        <v xml:space="preserve"> </v>
      </c>
      <c r="T21" s="636"/>
      <c r="Z21" s="1042"/>
      <c r="AA21" s="1042"/>
    </row>
    <row r="22" spans="1:30" ht="17.149999999999999" customHeight="1">
      <c r="A22" s="635"/>
      <c r="B22" s="1831">
        <f t="shared" si="3"/>
        <v>45241</v>
      </c>
      <c r="C22" s="1850" t="str">
        <f>IF(INICIO!$C$7&gt;DAY($B22)-1,(VLOOKUP($B22,'[4]PRODUCCION VS ENERGIA'!$B$12:$I$41,2))," ")</f>
        <v xml:space="preserve"> </v>
      </c>
      <c r="D22" s="1825" t="str">
        <f>IF(INICIO!$C$7&gt;DAY($B22)-1,(VLOOKUP($B22,'[4]PRODUCCION VS ENERGIA'!$B$12:$I$41,3))," ")</f>
        <v xml:space="preserve"> </v>
      </c>
      <c r="E22" s="1852" t="str">
        <f>IF(INICIO!$C$7&gt;DAY($B22)-1,(VLOOKUP($B22,'[4]PRODUCCION VS ENERGIA'!$B$12:$I$41,3))," ")</f>
        <v xml:space="preserve"> </v>
      </c>
      <c r="F22" s="1825" t="str">
        <f>IF(INICIO!$C$7&gt;DAY($B22)-1,(VLOOKUP($B22,'[4]PRODUCCION VS ENERGIA'!$B$12:$I$41,5))," ")</f>
        <v xml:space="preserve"> </v>
      </c>
      <c r="G22" s="1826" t="str">
        <f>IF(INICIO!$C$7&gt;DAY($B22)-1,(VLOOKUP($B22,'[4]PRODUCCION VS ENERGIA'!$B$12:$I$41,6))," ")</f>
        <v xml:space="preserve"> </v>
      </c>
      <c r="H22" s="1826" t="str">
        <f t="shared" si="0"/>
        <v xml:space="preserve"> </v>
      </c>
      <c r="I22" s="1826" t="str">
        <f>IF(INICIO!$C$7&gt;DAY($B22)-1,(VLOOKUP($B22,'[4]PRODUCCION VS ENERGIA'!$B$12:$I$41,8))," ")</f>
        <v xml:space="preserve"> </v>
      </c>
      <c r="J22" s="1827" t="str">
        <f t="shared" si="1"/>
        <v xml:space="preserve"> </v>
      </c>
      <c r="K22" s="1829" t="str">
        <f>IF(INICIO!$C$7&gt;DAY($B22)-1,(VLOOKUP($B22,DATOSAÑO!$B$11:$BG$375,56))," ")</f>
        <v xml:space="preserve"> </v>
      </c>
      <c r="L22" s="1826" t="str">
        <f>IF(INICIO!$C$7&gt;DAY($B22)-1,(VLOOKUP($B22,DATOSAÑO!$B$11:$BG$375,57))," ")</f>
        <v xml:space="preserve"> </v>
      </c>
      <c r="M22" s="1826" t="str">
        <f>IF(INICIO!$C$7&gt;DAY($B22)-1,(VLOOKUP($B22,DATOSAÑO!$B$11:$CL$375,87))," ")</f>
        <v xml:space="preserve"> </v>
      </c>
      <c r="N22" s="1826" t="str">
        <f t="shared" si="2"/>
        <v xml:space="preserve"> </v>
      </c>
      <c r="O22" s="1826" t="str">
        <f>IF(INICIO!$C$7&gt;DAY($B22)-1,(VLOOKUP($B22,DATOSAÑO!$B$11:$BG$375,58))," ")</f>
        <v xml:space="preserve"> </v>
      </c>
      <c r="P22" s="1826" t="str">
        <f>IF(INICIO!$C$7&gt;DAY($B22)-1,(VLOOKUP($B22,DATOSAÑO!$B$11:$BG$375,24))," ")</f>
        <v xml:space="preserve"> </v>
      </c>
      <c r="Q22" s="1826" t="str">
        <f>IF(INICIO!$C$7&gt;DAY($B22)-1,(P22/24)," ")</f>
        <v xml:space="preserve"> </v>
      </c>
      <c r="R22" s="1826" t="str">
        <f>IF(INICIO!$C$7&gt;DAY($B22)-1,(VLOOKUP($B22,DATOSAÑO!$B$11:$BG$375,55))," ")</f>
        <v xml:space="preserve"> </v>
      </c>
      <c r="S22" s="1827" t="str">
        <f>IF(INICIO!$C$7&gt;DAY($B22)-1,(R22/24)," ")</f>
        <v xml:space="preserve"> </v>
      </c>
      <c r="T22" s="636"/>
      <c r="Z22" s="1042"/>
      <c r="AA22" s="1042"/>
    </row>
    <row r="23" spans="1:30" ht="17.149999999999999" customHeight="1">
      <c r="A23" s="635"/>
      <c r="B23" s="1831">
        <f t="shared" si="3"/>
        <v>45242</v>
      </c>
      <c r="C23" s="1850" t="str">
        <f>IF(INICIO!$C$7&gt;DAY($B23)-1,(VLOOKUP($B23,'[4]PRODUCCION VS ENERGIA'!$B$12:$I$41,2))," ")</f>
        <v xml:space="preserve"> </v>
      </c>
      <c r="D23" s="1825" t="str">
        <f>IF(INICIO!$C$7&gt;DAY($B23)-1,(VLOOKUP($B23,'[4]PRODUCCION VS ENERGIA'!$B$12:$I$41,3))," ")</f>
        <v xml:space="preserve"> </v>
      </c>
      <c r="E23" s="1852" t="str">
        <f>IF(INICIO!$C$7&gt;DAY($B23)-1,(VLOOKUP($B23,'[4]PRODUCCION VS ENERGIA'!$B$12:$I$41,3))," ")</f>
        <v xml:space="preserve"> </v>
      </c>
      <c r="F23" s="1825" t="str">
        <f>IF(INICIO!$C$7&gt;DAY($B23)-1,(VLOOKUP($B23,'[4]PRODUCCION VS ENERGIA'!$B$12:$I$41,5))," ")</f>
        <v xml:space="preserve"> </v>
      </c>
      <c r="G23" s="1826" t="str">
        <f>IF(INICIO!$C$7&gt;DAY($B23)-1,(VLOOKUP($B23,'[4]PRODUCCION VS ENERGIA'!$B$12:$I$41,6))," ")</f>
        <v xml:space="preserve"> </v>
      </c>
      <c r="H23" s="1826" t="str">
        <f t="shared" si="0"/>
        <v xml:space="preserve"> </v>
      </c>
      <c r="I23" s="1826" t="str">
        <f>IF(INICIO!$C$7&gt;DAY($B23)-1,(VLOOKUP($B23,'[4]PRODUCCION VS ENERGIA'!$B$12:$I$41,8))," ")</f>
        <v xml:space="preserve"> </v>
      </c>
      <c r="J23" s="1827" t="str">
        <f t="shared" si="1"/>
        <v xml:space="preserve"> </v>
      </c>
      <c r="K23" s="1829" t="str">
        <f>IF(INICIO!$C$7&gt;DAY($B23)-1,(VLOOKUP($B23,DATOSAÑO!$B$11:$BG$375,56))," ")</f>
        <v xml:space="preserve"> </v>
      </c>
      <c r="L23" s="1826" t="str">
        <f>IF(INICIO!$C$7&gt;DAY($B23)-1,(VLOOKUP($B23,DATOSAÑO!$B$11:$BG$375,57))," ")</f>
        <v xml:space="preserve"> </v>
      </c>
      <c r="M23" s="1826" t="str">
        <f>IF(INICIO!$C$7&gt;DAY($B23)-1,(VLOOKUP($B23,DATOSAÑO!$B$11:$CL$375,87))," ")</f>
        <v xml:space="preserve"> </v>
      </c>
      <c r="N23" s="1826" t="str">
        <f t="shared" si="2"/>
        <v xml:space="preserve"> </v>
      </c>
      <c r="O23" s="1826" t="str">
        <f>IF(INICIO!$C$7&gt;DAY($B23)-1,(VLOOKUP($B23,DATOSAÑO!$B$11:$BG$375,58))," ")</f>
        <v xml:space="preserve"> </v>
      </c>
      <c r="P23" s="1826" t="str">
        <f>IF(INICIO!$C$7&gt;DAY($B23)-1,(VLOOKUP($B23,DATOSAÑO!$B$11:$BG$375,24))," ")</f>
        <v xml:space="preserve"> </v>
      </c>
      <c r="Q23" s="1826" t="str">
        <f>IF(INICIO!$C$7&gt;DAY($B23)-1,(P23/24)," ")</f>
        <v xml:space="preserve"> </v>
      </c>
      <c r="R23" s="1826" t="str">
        <f>IF(INICIO!$C$7&gt;DAY($B23)-1,(VLOOKUP($B23,DATOSAÑO!$B$11:$BG$375,55))," ")</f>
        <v xml:space="preserve"> </v>
      </c>
      <c r="S23" s="1827" t="str">
        <f>IF(INICIO!$C$7&gt;DAY($B23)-1,(R23/24)," ")</f>
        <v xml:space="preserve"> </v>
      </c>
      <c r="T23" s="636"/>
      <c r="Z23" s="1042"/>
      <c r="AA23" s="1042"/>
    </row>
    <row r="24" spans="1:30" ht="17.149999999999999" customHeight="1">
      <c r="A24" s="635"/>
      <c r="B24" s="1831">
        <f t="shared" si="3"/>
        <v>45243</v>
      </c>
      <c r="C24" s="1850" t="str">
        <f>IF(INICIO!$C$7&gt;DAY($B24)-1,(VLOOKUP($B24,'[4]PRODUCCION VS ENERGIA'!$B$12:$I$41,2))," ")</f>
        <v xml:space="preserve"> </v>
      </c>
      <c r="D24" s="1825" t="str">
        <f>IF(INICIO!$C$7&gt;DAY($B24)-1,(VLOOKUP($B24,'[4]PRODUCCION VS ENERGIA'!$B$12:$I$41,3))," ")</f>
        <v xml:space="preserve"> </v>
      </c>
      <c r="E24" s="1852" t="str">
        <f>IF(INICIO!$C$7&gt;DAY($B24)-1,(VLOOKUP($B24,'[4]PRODUCCION VS ENERGIA'!$B$12:$I$41,3))," ")</f>
        <v xml:space="preserve"> </v>
      </c>
      <c r="F24" s="1825" t="str">
        <f>IF(INICIO!$C$7&gt;DAY($B24)-1,(VLOOKUP($B24,'[4]PRODUCCION VS ENERGIA'!$B$12:$I$41,5))," ")</f>
        <v xml:space="preserve"> </v>
      </c>
      <c r="G24" s="1826" t="str">
        <f>IF(INICIO!$C$7&gt;DAY($B24)-1,(VLOOKUP($B24,'[4]PRODUCCION VS ENERGIA'!$B$12:$I$41,6))," ")</f>
        <v xml:space="preserve"> </v>
      </c>
      <c r="H24" s="1826" t="str">
        <f t="shared" si="0"/>
        <v xml:space="preserve"> </v>
      </c>
      <c r="I24" s="1826" t="str">
        <f>IF(INICIO!$C$7&gt;DAY($B24)-1,(VLOOKUP($B24,'[4]PRODUCCION VS ENERGIA'!$B$12:$I$41,8))," ")</f>
        <v xml:space="preserve"> </v>
      </c>
      <c r="J24" s="1827" t="str">
        <f t="shared" si="1"/>
        <v xml:space="preserve"> </v>
      </c>
      <c r="K24" s="1829" t="str">
        <f>IF(INICIO!$C$7&gt;DAY($B24)-1,(VLOOKUP($B24,DATOSAÑO!$B$11:$BG$375,56))," ")</f>
        <v xml:space="preserve"> </v>
      </c>
      <c r="L24" s="1826" t="str">
        <f>IF(INICIO!$C$7&gt;DAY($B24)-1,(VLOOKUP($B24,DATOSAÑO!$B$11:$BG$375,57))," ")</f>
        <v xml:space="preserve"> </v>
      </c>
      <c r="M24" s="1826" t="str">
        <f>IF(INICIO!$C$7&gt;DAY($B24)-1,(VLOOKUP($B24,DATOSAÑO!$B$11:$CL$375,87))," ")</f>
        <v xml:space="preserve"> </v>
      </c>
      <c r="N24" s="1826" t="str">
        <f t="shared" si="2"/>
        <v xml:space="preserve"> </v>
      </c>
      <c r="O24" s="1826" t="str">
        <f>IF(INICIO!$C$7&gt;DAY($B24)-1,(VLOOKUP($B24,DATOSAÑO!$B$11:$BG$375,58))," ")</f>
        <v xml:space="preserve"> </v>
      </c>
      <c r="P24" s="1826" t="str">
        <f>IF(INICIO!$C$7&gt;DAY($B24)-1,(VLOOKUP($B24,DATOSAÑO!$B$11:$BG$375,24))," ")</f>
        <v xml:space="preserve"> </v>
      </c>
      <c r="Q24" s="1826" t="str">
        <f>IF(INICIO!$C$7&gt;DAY($B24)-1,(P24/24)," ")</f>
        <v xml:space="preserve"> </v>
      </c>
      <c r="R24" s="1826" t="str">
        <f>IF(INICIO!$C$7&gt;DAY($B24)-1,(VLOOKUP($B24,DATOSAÑO!$B$11:$BG$375,55))," ")</f>
        <v xml:space="preserve"> </v>
      </c>
      <c r="S24" s="1827" t="str">
        <f>IF(INICIO!$C$7&gt;DAY($B24)-1,(R24/24)," ")</f>
        <v xml:space="preserve"> </v>
      </c>
      <c r="T24" s="636"/>
      <c r="Z24" s="1042"/>
      <c r="AA24" s="1042"/>
    </row>
    <row r="25" spans="1:30" ht="17.149999999999999" customHeight="1">
      <c r="A25" s="635"/>
      <c r="B25" s="1831">
        <f t="shared" si="3"/>
        <v>45244</v>
      </c>
      <c r="C25" s="1850" t="str">
        <f>IF(INICIO!$C$7&gt;DAY($B25)-1,(VLOOKUP($B25,'[4]PRODUCCION VS ENERGIA'!$B$12:$I$41,2))," ")</f>
        <v xml:space="preserve"> </v>
      </c>
      <c r="D25" s="1825" t="str">
        <f>IF(INICIO!$C$7&gt;DAY($B25)-1,(VLOOKUP($B25,'[4]PRODUCCION VS ENERGIA'!$B$12:$I$41,3))," ")</f>
        <v xml:space="preserve"> </v>
      </c>
      <c r="E25" s="1852" t="str">
        <f>IF(INICIO!$C$7&gt;DAY($B25)-1,(VLOOKUP($B25,'[4]PRODUCCION VS ENERGIA'!$B$12:$I$41,3))," ")</f>
        <v xml:space="preserve"> </v>
      </c>
      <c r="F25" s="1825" t="str">
        <f>IF(INICIO!$C$7&gt;DAY($B25)-1,(VLOOKUP($B25,'[4]PRODUCCION VS ENERGIA'!$B$12:$I$41,5))," ")</f>
        <v xml:space="preserve"> </v>
      </c>
      <c r="G25" s="1826" t="str">
        <f>IF(INICIO!$C$7&gt;DAY($B25)-1,(VLOOKUP($B25,'[4]PRODUCCION VS ENERGIA'!$B$12:$I$41,6))," ")</f>
        <v xml:space="preserve"> </v>
      </c>
      <c r="H25" s="1826" t="str">
        <f t="shared" si="0"/>
        <v xml:space="preserve"> </v>
      </c>
      <c r="I25" s="1826" t="str">
        <f>IF(INICIO!$C$7&gt;DAY($B25)-1,(VLOOKUP($B25,'[4]PRODUCCION VS ENERGIA'!$B$12:$I$41,8))," ")</f>
        <v xml:space="preserve"> </v>
      </c>
      <c r="J25" s="1827" t="str">
        <f t="shared" si="1"/>
        <v xml:space="preserve"> </v>
      </c>
      <c r="K25" s="1829" t="str">
        <f>IF(INICIO!$C$7&gt;DAY($B25)-1,(VLOOKUP($B25,DATOSAÑO!$B$11:$BG$375,56))," ")</f>
        <v xml:space="preserve"> </v>
      </c>
      <c r="L25" s="1826" t="str">
        <f>IF(INICIO!$C$7&gt;DAY($B25)-1,(VLOOKUP($B25,DATOSAÑO!$B$11:$BG$375,57))," ")</f>
        <v xml:space="preserve"> </v>
      </c>
      <c r="M25" s="1826" t="str">
        <f>IF(INICIO!$C$7&gt;DAY($B25)-1,(VLOOKUP($B25,DATOSAÑO!$B$11:$CL$375,87))," ")</f>
        <v xml:space="preserve"> </v>
      </c>
      <c r="N25" s="1826" t="str">
        <f t="shared" si="2"/>
        <v xml:space="preserve"> </v>
      </c>
      <c r="O25" s="1826" t="str">
        <f>IF(INICIO!$C$7&gt;DAY($B25)-1,(VLOOKUP($B25,DATOSAÑO!$B$11:$BG$375,58))," ")</f>
        <v xml:space="preserve"> </v>
      </c>
      <c r="P25" s="1826" t="str">
        <f>IF(INICIO!$C$7&gt;DAY($B25)-1,(VLOOKUP($B25,DATOSAÑO!$B$11:$BG$375,24))," ")</f>
        <v xml:space="preserve"> </v>
      </c>
      <c r="Q25" s="1826" t="str">
        <f>IF(INICIO!$C$7&gt;DAY($B25)-1,(P25/24)," ")</f>
        <v xml:space="preserve"> </v>
      </c>
      <c r="R25" s="1826" t="str">
        <f>IF(INICIO!$C$7&gt;DAY($B25)-1,(VLOOKUP($B25,DATOSAÑO!$B$11:$BG$375,55))," ")</f>
        <v xml:space="preserve"> </v>
      </c>
      <c r="S25" s="1827" t="str">
        <f>IF(INICIO!$C$7&gt;DAY($B25)-1,(R25/24)," ")</f>
        <v xml:space="preserve"> </v>
      </c>
      <c r="T25" s="636"/>
      <c r="Z25" s="1042"/>
      <c r="AA25" s="1042"/>
    </row>
    <row r="26" spans="1:30" s="89" customFormat="1" ht="17" customHeight="1">
      <c r="A26" s="1774"/>
      <c r="B26" s="1831">
        <f t="shared" si="3"/>
        <v>45245</v>
      </c>
      <c r="C26" s="1850" t="str">
        <f>IF(INICIO!$C$7&gt;DAY($B26)-1,(VLOOKUP($B26,'[4]PRODUCCION VS ENERGIA'!$B$12:$I$41,2))," ")</f>
        <v xml:space="preserve"> </v>
      </c>
      <c r="D26" s="1825" t="str">
        <f>IF(INICIO!$C$7&gt;DAY($B26)-1,(VLOOKUP($B26,'[4]PRODUCCION VS ENERGIA'!$B$12:$I$41,3))," ")</f>
        <v xml:space="preserve"> </v>
      </c>
      <c r="E26" s="1852" t="str">
        <f>IF(INICIO!$C$7&gt;DAY($B26)-1,(VLOOKUP($B26,'[4]PRODUCCION VS ENERGIA'!$B$12:$I$41,3))," ")</f>
        <v xml:space="preserve"> </v>
      </c>
      <c r="F26" s="1825" t="str">
        <f>IF(INICIO!$C$7&gt;DAY($B26)-1,(VLOOKUP($B26,'[4]PRODUCCION VS ENERGIA'!$B$12:$I$41,5))," ")</f>
        <v xml:space="preserve"> </v>
      </c>
      <c r="G26" s="1826" t="str">
        <f>IF(INICIO!$C$7&gt;DAY($B26)-1,(VLOOKUP($B26,'[4]PRODUCCION VS ENERGIA'!$B$12:$I$41,6))," ")</f>
        <v xml:space="preserve"> </v>
      </c>
      <c r="H26" s="1826" t="str">
        <f t="shared" si="0"/>
        <v xml:space="preserve"> </v>
      </c>
      <c r="I26" s="1826" t="str">
        <f>IF(INICIO!$C$7&gt;DAY($B26)-1,(VLOOKUP($B26,'[4]PRODUCCION VS ENERGIA'!$B$12:$I$41,8))," ")</f>
        <v xml:space="preserve"> </v>
      </c>
      <c r="J26" s="1827" t="str">
        <f t="shared" si="1"/>
        <v xml:space="preserve"> </v>
      </c>
      <c r="K26" s="1829" t="str">
        <f>IF(INICIO!$C$7&gt;DAY($B26)-1,(VLOOKUP($B26,DATOSAÑO!$B$11:$BG$375,56))," ")</f>
        <v xml:space="preserve"> </v>
      </c>
      <c r="L26" s="1826" t="str">
        <f>IF(INICIO!$C$7&gt;DAY($B26)-1,(VLOOKUP($B26,DATOSAÑO!$B$11:$BG$375,57))," ")</f>
        <v xml:space="preserve"> </v>
      </c>
      <c r="M26" s="1826" t="str">
        <f>IF(INICIO!$C$7&gt;DAY($B26)-1,(VLOOKUP($B26,DATOSAÑO!$B$11:$CL$375,87))," ")</f>
        <v xml:space="preserve"> </v>
      </c>
      <c r="N26" s="1826" t="str">
        <f t="shared" si="2"/>
        <v xml:space="preserve"> </v>
      </c>
      <c r="O26" s="1826" t="str">
        <f>IF(INICIO!$C$7&gt;DAY($B26)-1,(VLOOKUP($B26,DATOSAÑO!$B$11:$BG$375,58))," ")</f>
        <v xml:space="preserve"> </v>
      </c>
      <c r="P26" s="1826" t="str">
        <f>IF(INICIO!$C$7&gt;DAY($B26)-1,(VLOOKUP($B26,DATOSAÑO!$B$11:$BG$375,24))," ")</f>
        <v xml:space="preserve"> </v>
      </c>
      <c r="Q26" s="1826" t="str">
        <f>IF(INICIO!$C$7&gt;DAY($B26)-1,(P26/24)," ")</f>
        <v xml:space="preserve"> </v>
      </c>
      <c r="R26" s="1826" t="str">
        <f>IF(INICIO!$C$7&gt;DAY($B26)-1,(VLOOKUP($B26,DATOSAÑO!$B$11:$BG$375,55))," ")</f>
        <v xml:space="preserve"> </v>
      </c>
      <c r="S26" s="1827" t="str">
        <f>IF(INICIO!$C$7&gt;DAY($B26)-1,(R26/24)," ")</f>
        <v xml:space="preserve"> </v>
      </c>
      <c r="T26" s="1775"/>
      <c r="U26" s="1809"/>
      <c r="V26" s="1807"/>
      <c r="W26" s="1810"/>
      <c r="X26" s="1810"/>
      <c r="Y26" s="1810"/>
      <c r="Z26" s="1776"/>
      <c r="AA26" s="1776"/>
      <c r="AD26" s="1810"/>
    </row>
    <row r="27" spans="1:30" s="89" customFormat="1" ht="17" customHeight="1">
      <c r="A27" s="1774"/>
      <c r="B27" s="1831">
        <f t="shared" si="3"/>
        <v>45246</v>
      </c>
      <c r="C27" s="1850" t="str">
        <f>IF(INICIO!$C$7&gt;DAY($B27)-1,(VLOOKUP($B27,'[4]PRODUCCION VS ENERGIA'!$B$12:$I$41,2))," ")</f>
        <v xml:space="preserve"> </v>
      </c>
      <c r="D27" s="1825" t="str">
        <f>IF(INICIO!$C$7&gt;DAY($B27)-1,(VLOOKUP($B27,'[4]PRODUCCION VS ENERGIA'!$B$12:$I$41,3))," ")</f>
        <v xml:space="preserve"> </v>
      </c>
      <c r="E27" s="1852" t="str">
        <f>IF(INICIO!$C$7&gt;DAY($B27)-1,(VLOOKUP($B27,'[4]PRODUCCION VS ENERGIA'!$B$12:$I$41,3))," ")</f>
        <v xml:space="preserve"> </v>
      </c>
      <c r="F27" s="1825" t="str">
        <f>IF(INICIO!$C$7&gt;DAY($B27)-1,(VLOOKUP($B27,'[4]PRODUCCION VS ENERGIA'!$B$12:$I$41,5))," ")</f>
        <v xml:space="preserve"> </v>
      </c>
      <c r="G27" s="1826" t="str">
        <f>IF(INICIO!$C$7&gt;DAY($B27)-1,(VLOOKUP($B27,'[4]PRODUCCION VS ENERGIA'!$B$12:$I$41,6))," ")</f>
        <v xml:space="preserve"> </v>
      </c>
      <c r="H27" s="1826" t="str">
        <f t="shared" si="0"/>
        <v xml:space="preserve"> </v>
      </c>
      <c r="I27" s="1826" t="str">
        <f>IF(INICIO!$C$7&gt;DAY($B27)-1,(VLOOKUP($B27,'[4]PRODUCCION VS ENERGIA'!$B$12:$I$41,8))," ")</f>
        <v xml:space="preserve"> </v>
      </c>
      <c r="J27" s="1827" t="str">
        <f t="shared" si="1"/>
        <v xml:space="preserve"> </v>
      </c>
      <c r="K27" s="1829" t="str">
        <f>IF(INICIO!$C$7&gt;DAY($B27)-1,(VLOOKUP($B27,DATOSAÑO!$B$11:$BG$375,56))," ")</f>
        <v xml:space="preserve"> </v>
      </c>
      <c r="L27" s="1826" t="str">
        <f>IF(INICIO!$C$7&gt;DAY($B27)-1,(VLOOKUP($B27,DATOSAÑO!$B$11:$BG$375,57))," ")</f>
        <v xml:space="preserve"> </v>
      </c>
      <c r="M27" s="1826" t="str">
        <f>IF(INICIO!$C$7&gt;DAY($B27)-1,(VLOOKUP($B27,DATOSAÑO!$B$11:$CL$375,87))," ")</f>
        <v xml:space="preserve"> </v>
      </c>
      <c r="N27" s="1826" t="str">
        <f t="shared" si="2"/>
        <v xml:space="preserve"> </v>
      </c>
      <c r="O27" s="1826" t="str">
        <f>IF(INICIO!$C$7&gt;DAY($B27)-1,(VLOOKUP($B27,DATOSAÑO!$B$11:$BG$375,58))," ")</f>
        <v xml:space="preserve"> </v>
      </c>
      <c r="P27" s="1826" t="str">
        <f>IF(INICIO!$C$7&gt;DAY($B27)-1,(VLOOKUP($B27,DATOSAÑO!$B$11:$BG$375,24))," ")</f>
        <v xml:space="preserve"> </v>
      </c>
      <c r="Q27" s="1826" t="str">
        <f>IF(INICIO!$C$7&gt;DAY($B27)-1,(P27/24)," ")</f>
        <v xml:space="preserve"> </v>
      </c>
      <c r="R27" s="1826" t="str">
        <f>IF(INICIO!$C$7&gt;DAY($B27)-1,(VLOOKUP($B27,DATOSAÑO!$B$11:$BG$375,55))," ")</f>
        <v xml:space="preserve"> </v>
      </c>
      <c r="S27" s="1827" t="str">
        <f>IF(INICIO!$C$7&gt;DAY($B27)-1,(R27/24)," ")</f>
        <v xml:space="preserve"> </v>
      </c>
      <c r="T27" s="1775"/>
      <c r="U27" s="1809"/>
      <c r="V27" s="1807"/>
      <c r="W27" s="1810"/>
      <c r="X27" s="1810"/>
      <c r="Y27" s="1810"/>
      <c r="Z27" s="1776"/>
      <c r="AA27" s="1776"/>
      <c r="AD27" s="1810"/>
    </row>
    <row r="28" spans="1:30" ht="17.149999999999999" customHeight="1">
      <c r="A28" s="635"/>
      <c r="B28" s="1831">
        <f t="shared" si="3"/>
        <v>45247</v>
      </c>
      <c r="C28" s="1850" t="str">
        <f>IF(INICIO!$C$7&gt;DAY($B28)-1,(VLOOKUP($B28,'[4]PRODUCCION VS ENERGIA'!$B$12:$I$41,2))," ")</f>
        <v xml:space="preserve"> </v>
      </c>
      <c r="D28" s="1825" t="str">
        <f>IF(INICIO!$C$7&gt;DAY($B28)-1,(VLOOKUP($B28,'[4]PRODUCCION VS ENERGIA'!$B$12:$I$41,3))," ")</f>
        <v xml:space="preserve"> </v>
      </c>
      <c r="E28" s="1852" t="str">
        <f>IF(INICIO!$C$7&gt;DAY($B28)-1,(VLOOKUP($B28,'[4]PRODUCCION VS ENERGIA'!$B$12:$I$41,3))," ")</f>
        <v xml:space="preserve"> </v>
      </c>
      <c r="F28" s="1825" t="str">
        <f>IF(INICIO!$C$7&gt;DAY($B28)-1,(VLOOKUP($B28,'[4]PRODUCCION VS ENERGIA'!$B$12:$I$41,5))," ")</f>
        <v xml:space="preserve"> </v>
      </c>
      <c r="G28" s="1826" t="str">
        <f>IF(INICIO!$C$7&gt;DAY($B28)-1,(VLOOKUP($B28,'[4]PRODUCCION VS ENERGIA'!$B$12:$I$41,6))," ")</f>
        <v xml:space="preserve"> </v>
      </c>
      <c r="H28" s="1826" t="str">
        <f t="shared" si="0"/>
        <v xml:space="preserve"> </v>
      </c>
      <c r="I28" s="1826" t="str">
        <f>IF(INICIO!$C$7&gt;DAY($B28)-1,(VLOOKUP($B28,'[4]PRODUCCION VS ENERGIA'!$B$12:$I$41,8))," ")</f>
        <v xml:space="preserve"> </v>
      </c>
      <c r="J28" s="1827" t="str">
        <f t="shared" si="1"/>
        <v xml:space="preserve"> </v>
      </c>
      <c r="K28" s="1829" t="str">
        <f>IF(INICIO!$C$7&gt;DAY($B28)-1,(VLOOKUP($B28,DATOSAÑO!$B$11:$BG$375,56))," ")</f>
        <v xml:space="preserve"> </v>
      </c>
      <c r="L28" s="1826" t="str">
        <f>IF(INICIO!$C$7&gt;DAY($B28)-1,(VLOOKUP($B28,DATOSAÑO!$B$11:$BG$375,57))," ")</f>
        <v xml:space="preserve"> </v>
      </c>
      <c r="M28" s="1826" t="str">
        <f>IF(INICIO!$C$7&gt;DAY($B28)-1,(VLOOKUP($B28,DATOSAÑO!$B$11:$CL$375,87))," ")</f>
        <v xml:space="preserve"> </v>
      </c>
      <c r="N28" s="1826" t="str">
        <f t="shared" si="2"/>
        <v xml:space="preserve"> </v>
      </c>
      <c r="O28" s="1826" t="str">
        <f>IF(INICIO!$C$7&gt;DAY($B28)-1,(VLOOKUP($B28,DATOSAÑO!$B$11:$BG$375,58))," ")</f>
        <v xml:space="preserve"> </v>
      </c>
      <c r="P28" s="1826" t="str">
        <f>IF(INICIO!$C$7&gt;DAY($B28)-1,(VLOOKUP($B28,DATOSAÑO!$B$11:$BG$375,24))," ")</f>
        <v xml:space="preserve"> </v>
      </c>
      <c r="Q28" s="1826" t="str">
        <f>IF(INICIO!$C$7&gt;DAY($B28)-1,(P28/24)," ")</f>
        <v xml:space="preserve"> </v>
      </c>
      <c r="R28" s="1826" t="str">
        <f>IF(INICIO!$C$7&gt;DAY($B28)-1,(VLOOKUP($B28,DATOSAÑO!$B$11:$BG$375,55))," ")</f>
        <v xml:space="preserve"> </v>
      </c>
      <c r="S28" s="1827" t="str">
        <f>IF(INICIO!$C$7&gt;DAY($B28)-1,(R28/24)," ")</f>
        <v xml:space="preserve"> </v>
      </c>
      <c r="T28" s="636"/>
      <c r="Z28" s="1042"/>
      <c r="AA28" s="1042"/>
    </row>
    <row r="29" spans="1:30" ht="17.149999999999999" customHeight="1">
      <c r="A29" s="635"/>
      <c r="B29" s="1831">
        <f t="shared" si="3"/>
        <v>45248</v>
      </c>
      <c r="C29" s="1850" t="str">
        <f>IF(INICIO!$C$7&gt;DAY($B29)-1,(VLOOKUP($B29,'[4]PRODUCCION VS ENERGIA'!$B$12:$I$41,2))," ")</f>
        <v xml:space="preserve"> </v>
      </c>
      <c r="D29" s="1825" t="str">
        <f>IF(INICIO!$C$7&gt;DAY($B29)-1,(VLOOKUP($B29,'[4]PRODUCCION VS ENERGIA'!$B$12:$I$41,3))," ")</f>
        <v xml:space="preserve"> </v>
      </c>
      <c r="E29" s="1852" t="str">
        <f>IF(INICIO!$C$7&gt;DAY($B29)-1,(VLOOKUP($B29,'[4]PRODUCCION VS ENERGIA'!$B$12:$I$41,3))," ")</f>
        <v xml:space="preserve"> </v>
      </c>
      <c r="F29" s="1825" t="str">
        <f>IF(INICIO!$C$7&gt;DAY($B29)-1,(VLOOKUP($B29,'[4]PRODUCCION VS ENERGIA'!$B$12:$I$41,5))," ")</f>
        <v xml:space="preserve"> </v>
      </c>
      <c r="G29" s="1826" t="str">
        <f>IF(INICIO!$C$7&gt;DAY($B29)-1,(VLOOKUP($B29,'[4]PRODUCCION VS ENERGIA'!$B$12:$I$41,6))," ")</f>
        <v xml:space="preserve"> </v>
      </c>
      <c r="H29" s="1826" t="str">
        <f t="shared" si="0"/>
        <v xml:space="preserve"> </v>
      </c>
      <c r="I29" s="1826" t="str">
        <f>IF(INICIO!$C$7&gt;DAY($B29)-1,(VLOOKUP($B29,'[4]PRODUCCION VS ENERGIA'!$B$12:$I$41,8))," ")</f>
        <v xml:space="preserve"> </v>
      </c>
      <c r="J29" s="1827" t="str">
        <f t="shared" si="1"/>
        <v xml:space="preserve"> </v>
      </c>
      <c r="K29" s="1829" t="str">
        <f>IF(INICIO!$C$7&gt;DAY($B29)-1,(VLOOKUP($B29,DATOSAÑO!$B$11:$BG$375,56))," ")</f>
        <v xml:space="preserve"> </v>
      </c>
      <c r="L29" s="1826" t="str">
        <f>IF(INICIO!$C$7&gt;DAY($B29)-1,(VLOOKUP($B29,DATOSAÑO!$B$11:$BG$375,57))," ")</f>
        <v xml:space="preserve"> </v>
      </c>
      <c r="M29" s="1826" t="str">
        <f>IF(INICIO!$C$7&gt;DAY($B29)-1,(VLOOKUP($B29,DATOSAÑO!$B$11:$CL$375,87))," ")</f>
        <v xml:space="preserve"> </v>
      </c>
      <c r="N29" s="1826" t="str">
        <f t="shared" si="2"/>
        <v xml:space="preserve"> </v>
      </c>
      <c r="O29" s="1826" t="str">
        <f>IF(INICIO!$C$7&gt;DAY($B29)-1,(VLOOKUP($B29,DATOSAÑO!$B$11:$BG$375,58))," ")</f>
        <v xml:space="preserve"> </v>
      </c>
      <c r="P29" s="1826" t="str">
        <f>IF(INICIO!$C$7&gt;DAY($B29)-1,(VLOOKUP($B29,DATOSAÑO!$B$11:$BG$375,24))," ")</f>
        <v xml:space="preserve"> </v>
      </c>
      <c r="Q29" s="1826" t="str">
        <f>IF(INICIO!$C$7&gt;DAY($B29)-1,(P29/24)," ")</f>
        <v xml:space="preserve"> </v>
      </c>
      <c r="R29" s="1826" t="str">
        <f>IF(INICIO!$C$7&gt;DAY($B29)-1,(VLOOKUP($B29,DATOSAÑO!$B$11:$BG$375,55))," ")</f>
        <v xml:space="preserve"> </v>
      </c>
      <c r="S29" s="1827" t="str">
        <f>IF(INICIO!$C$7&gt;DAY($B29)-1,(R29/24)," ")</f>
        <v xml:space="preserve"> </v>
      </c>
      <c r="T29" s="636"/>
      <c r="Z29" s="1042"/>
      <c r="AA29" s="1042"/>
    </row>
    <row r="30" spans="1:30" ht="17.149999999999999" customHeight="1">
      <c r="A30" s="635"/>
      <c r="B30" s="1831">
        <f t="shared" si="3"/>
        <v>45249</v>
      </c>
      <c r="C30" s="1850" t="str">
        <f>IF(INICIO!$C$7&gt;DAY($B30)-1,(VLOOKUP($B30,'[4]PRODUCCION VS ENERGIA'!$B$12:$I$41,2))," ")</f>
        <v xml:space="preserve"> </v>
      </c>
      <c r="D30" s="1825" t="str">
        <f>IF(INICIO!$C$7&gt;DAY($B30)-1,(VLOOKUP($B30,'[4]PRODUCCION VS ENERGIA'!$B$12:$I$41,3))," ")</f>
        <v xml:space="preserve"> </v>
      </c>
      <c r="E30" s="1852" t="str">
        <f>IF(INICIO!$C$7&gt;DAY($B30)-1,(VLOOKUP($B30,'[4]PRODUCCION VS ENERGIA'!$B$12:$I$41,3))," ")</f>
        <v xml:space="preserve"> </v>
      </c>
      <c r="F30" s="1825" t="str">
        <f>IF(INICIO!$C$7&gt;DAY($B30)-1,(VLOOKUP($B30,'[4]PRODUCCION VS ENERGIA'!$B$12:$I$41,5))," ")</f>
        <v xml:space="preserve"> </v>
      </c>
      <c r="G30" s="1826" t="str">
        <f>IF(INICIO!$C$7&gt;DAY($B30)-1,(VLOOKUP($B30,'[4]PRODUCCION VS ENERGIA'!$B$12:$I$41,6))," ")</f>
        <v xml:space="preserve"> </v>
      </c>
      <c r="H30" s="1826" t="str">
        <f t="shared" si="0"/>
        <v xml:space="preserve"> </v>
      </c>
      <c r="I30" s="1826" t="str">
        <f>IF(INICIO!$C$7&gt;DAY($B30)-1,(VLOOKUP($B30,'[4]PRODUCCION VS ENERGIA'!$B$12:$I$41,8))," ")</f>
        <v xml:space="preserve"> </v>
      </c>
      <c r="J30" s="1827" t="str">
        <f t="shared" si="1"/>
        <v xml:space="preserve"> </v>
      </c>
      <c r="K30" s="1829" t="str">
        <f>IF(INICIO!$C$7&gt;DAY($B30)-1,(VLOOKUP($B30,DATOSAÑO!$B$11:$BG$375,56))," ")</f>
        <v xml:space="preserve"> </v>
      </c>
      <c r="L30" s="1826" t="str">
        <f>IF(INICIO!$C$7&gt;DAY($B30)-1,(VLOOKUP($B30,DATOSAÑO!$B$11:$BG$375,57))," ")</f>
        <v xml:space="preserve"> </v>
      </c>
      <c r="M30" s="1826" t="str">
        <f>IF(INICIO!$C$7&gt;DAY($B30)-1,(VLOOKUP($B30,DATOSAÑO!$B$11:$CL$375,87))," ")</f>
        <v xml:space="preserve"> </v>
      </c>
      <c r="N30" s="1826" t="str">
        <f t="shared" si="2"/>
        <v xml:space="preserve"> </v>
      </c>
      <c r="O30" s="1826" t="str">
        <f>IF(INICIO!$C$7&gt;DAY($B30)-1,(VLOOKUP($B30,DATOSAÑO!$B$11:$BG$375,58))," ")</f>
        <v xml:space="preserve"> </v>
      </c>
      <c r="P30" s="1826" t="str">
        <f>IF(INICIO!$C$7&gt;DAY($B30)-1,(VLOOKUP($B30,DATOSAÑO!$B$11:$BG$375,24))," ")</f>
        <v xml:space="preserve"> </v>
      </c>
      <c r="Q30" s="1826" t="str">
        <f>IF(INICIO!$C$7&gt;DAY($B30)-1,(P30/24)," ")</f>
        <v xml:space="preserve"> </v>
      </c>
      <c r="R30" s="1826" t="str">
        <f>IF(INICIO!$C$7&gt;DAY($B30)-1,(VLOOKUP($B30,DATOSAÑO!$B$11:$BG$375,55))," ")</f>
        <v xml:space="preserve"> </v>
      </c>
      <c r="S30" s="1827" t="str">
        <f>IF(INICIO!$C$7&gt;DAY($B30)-1,(R30/24)," ")</f>
        <v xml:space="preserve"> </v>
      </c>
      <c r="T30" s="636"/>
      <c r="Z30" s="1042"/>
      <c r="AA30" s="1042"/>
    </row>
    <row r="31" spans="1:30" ht="17.149999999999999" customHeight="1">
      <c r="A31" s="635"/>
      <c r="B31" s="1831">
        <f t="shared" si="3"/>
        <v>45250</v>
      </c>
      <c r="C31" s="1850" t="str">
        <f>IF(INICIO!$C$7&gt;DAY($B31)-1,(VLOOKUP($B31,'[4]PRODUCCION VS ENERGIA'!$B$12:$I$41,2))," ")</f>
        <v xml:space="preserve"> </v>
      </c>
      <c r="D31" s="1825" t="str">
        <f>IF(INICIO!$C$7&gt;DAY($B31)-1,(VLOOKUP($B31,'[4]PRODUCCION VS ENERGIA'!$B$12:$I$41,3))," ")</f>
        <v xml:space="preserve"> </v>
      </c>
      <c r="E31" s="1852" t="str">
        <f>IF(INICIO!$C$7&gt;DAY($B31)-1,(VLOOKUP($B31,'[4]PRODUCCION VS ENERGIA'!$B$12:$I$41,3))," ")</f>
        <v xml:space="preserve"> </v>
      </c>
      <c r="F31" s="1825" t="str">
        <f>IF(INICIO!$C$7&gt;DAY($B31)-1,(VLOOKUP($B31,'[4]PRODUCCION VS ENERGIA'!$B$12:$I$41,5))," ")</f>
        <v xml:space="preserve"> </v>
      </c>
      <c r="G31" s="1826" t="str">
        <f>IF(INICIO!$C$7&gt;DAY($B31)-1,(VLOOKUP($B31,'[4]PRODUCCION VS ENERGIA'!$B$12:$I$41,6))," ")</f>
        <v xml:space="preserve"> </v>
      </c>
      <c r="H31" s="1826" t="str">
        <f t="shared" si="0"/>
        <v xml:space="preserve"> </v>
      </c>
      <c r="I31" s="1826" t="str">
        <f>IF(INICIO!$C$7&gt;DAY($B31)-1,(VLOOKUP($B31,'[4]PRODUCCION VS ENERGIA'!$B$12:$I$41,8))," ")</f>
        <v xml:space="preserve"> </v>
      </c>
      <c r="J31" s="1827" t="str">
        <f t="shared" si="1"/>
        <v xml:space="preserve"> </v>
      </c>
      <c r="K31" s="1829" t="str">
        <f>IF(INICIO!$C$7&gt;DAY($B31)-1,(VLOOKUP($B31,DATOSAÑO!$B$11:$BG$375,56))," ")</f>
        <v xml:space="preserve"> </v>
      </c>
      <c r="L31" s="1826" t="str">
        <f>IF(INICIO!$C$7&gt;DAY($B31)-1,(VLOOKUP($B31,DATOSAÑO!$B$11:$BG$375,57))," ")</f>
        <v xml:space="preserve"> </v>
      </c>
      <c r="M31" s="1826" t="str">
        <f>IF(INICIO!$C$7&gt;DAY($B31)-1,(VLOOKUP($B31,DATOSAÑO!$B$11:$CL$375,87))," ")</f>
        <v xml:space="preserve"> </v>
      </c>
      <c r="N31" s="1826" t="str">
        <f t="shared" si="2"/>
        <v xml:space="preserve"> </v>
      </c>
      <c r="O31" s="1826" t="str">
        <f>IF(INICIO!$C$7&gt;DAY($B31)-1,(VLOOKUP($B31,DATOSAÑO!$B$11:$BG$375,58))," ")</f>
        <v xml:space="preserve"> </v>
      </c>
      <c r="P31" s="1826" t="str">
        <f>IF(INICIO!$C$7&gt;DAY($B31)-1,(VLOOKUP($B31,DATOSAÑO!$B$11:$BG$375,24))," ")</f>
        <v xml:space="preserve"> </v>
      </c>
      <c r="Q31" s="1826" t="str">
        <f>IF(INICIO!$C$7&gt;DAY($B31)-1,(P31/24)," ")</f>
        <v xml:space="preserve"> </v>
      </c>
      <c r="R31" s="1826" t="str">
        <f>IF(INICIO!$C$7&gt;DAY($B31)-1,(VLOOKUP($B31,DATOSAÑO!$B$11:$BG$375,55))," ")</f>
        <v xml:space="preserve"> </v>
      </c>
      <c r="S31" s="1827" t="str">
        <f>IF(INICIO!$C$7&gt;DAY($B31)-1,(R31/24)," ")</f>
        <v xml:space="preserve"> </v>
      </c>
      <c r="T31" s="636"/>
      <c r="Z31" s="1042"/>
      <c r="AA31" s="1042"/>
    </row>
    <row r="32" spans="1:30" ht="17.149999999999999" customHeight="1">
      <c r="A32" s="635"/>
      <c r="B32" s="1831">
        <f t="shared" si="3"/>
        <v>45251</v>
      </c>
      <c r="C32" s="1850" t="str">
        <f>IF(INICIO!$C$7&gt;DAY($B32)-1,(VLOOKUP($B32,'[4]PRODUCCION VS ENERGIA'!$B$12:$I$41,2))," ")</f>
        <v xml:space="preserve"> </v>
      </c>
      <c r="D32" s="1825" t="str">
        <f>IF(INICIO!$C$7&gt;DAY($B32)-1,(VLOOKUP($B32,'[4]PRODUCCION VS ENERGIA'!$B$12:$I$41,3))," ")</f>
        <v xml:space="preserve"> </v>
      </c>
      <c r="E32" s="1852" t="str">
        <f>IF(INICIO!$C$7&gt;DAY($B32)-1,(VLOOKUP($B32,'[4]PRODUCCION VS ENERGIA'!$B$12:$I$41,3))," ")</f>
        <v xml:space="preserve"> </v>
      </c>
      <c r="F32" s="1825" t="str">
        <f>IF(INICIO!$C$7&gt;DAY($B32)-1,(VLOOKUP($B32,'[4]PRODUCCION VS ENERGIA'!$B$12:$I$41,5))," ")</f>
        <v xml:space="preserve"> </v>
      </c>
      <c r="G32" s="1826" t="str">
        <f>IF(INICIO!$C$7&gt;DAY($B32)-1,(VLOOKUP($B32,'[4]PRODUCCION VS ENERGIA'!$B$12:$I$41,6))," ")</f>
        <v xml:space="preserve"> </v>
      </c>
      <c r="H32" s="1826" t="str">
        <f t="shared" si="0"/>
        <v xml:space="preserve"> </v>
      </c>
      <c r="I32" s="1826" t="str">
        <f>IF(INICIO!$C$7&gt;DAY($B32)-1,(VLOOKUP($B32,'[4]PRODUCCION VS ENERGIA'!$B$12:$I$41,8))," ")</f>
        <v xml:space="preserve"> </v>
      </c>
      <c r="J32" s="1827" t="str">
        <f t="shared" si="1"/>
        <v xml:space="preserve"> </v>
      </c>
      <c r="K32" s="1829" t="str">
        <f>IF(INICIO!$C$7&gt;DAY($B32)-1,(VLOOKUP($B32,DATOSAÑO!$B$11:$BG$375,56))," ")</f>
        <v xml:space="preserve"> </v>
      </c>
      <c r="L32" s="1826" t="str">
        <f>IF(INICIO!$C$7&gt;DAY($B32)-1,(VLOOKUP($B32,DATOSAÑO!$B$11:$BG$375,57))," ")</f>
        <v xml:space="preserve"> </v>
      </c>
      <c r="M32" s="1826" t="str">
        <f>IF(INICIO!$C$7&gt;DAY($B32)-1,(VLOOKUP($B32,DATOSAÑO!$B$11:$CL$375,87))," ")</f>
        <v xml:space="preserve"> </v>
      </c>
      <c r="N32" s="1826" t="str">
        <f t="shared" si="2"/>
        <v xml:space="preserve"> </v>
      </c>
      <c r="O32" s="1826" t="str">
        <f>IF(INICIO!$C$7&gt;DAY($B32)-1,(VLOOKUP($B32,DATOSAÑO!$B$11:$BG$375,58))," ")</f>
        <v xml:space="preserve"> </v>
      </c>
      <c r="P32" s="1826" t="str">
        <f>IF(INICIO!$C$7&gt;DAY($B32)-1,(VLOOKUP($B32,DATOSAÑO!$B$11:$BG$375,24))," ")</f>
        <v xml:space="preserve"> </v>
      </c>
      <c r="Q32" s="1826" t="str">
        <f>IF(INICIO!$C$7&gt;DAY($B32)-1,(P32/24)," ")</f>
        <v xml:space="preserve"> </v>
      </c>
      <c r="R32" s="1826" t="str">
        <f>IF(INICIO!$C$7&gt;DAY($B32)-1,(VLOOKUP($B32,DATOSAÑO!$B$11:$BG$375,55))," ")</f>
        <v xml:space="preserve"> </v>
      </c>
      <c r="S32" s="1827" t="str">
        <f>IF(INICIO!$C$7&gt;DAY($B32)-1,(R32/24)," ")</f>
        <v xml:space="preserve"> </v>
      </c>
      <c r="T32" s="636"/>
      <c r="Z32" s="1042"/>
      <c r="AA32" s="1042"/>
    </row>
    <row r="33" spans="1:30" ht="17.149999999999999" customHeight="1">
      <c r="A33" s="635"/>
      <c r="B33" s="1831">
        <f t="shared" si="3"/>
        <v>45252</v>
      </c>
      <c r="C33" s="1850" t="str">
        <f>IF(INICIO!$C$7&gt;DAY($B33)-1,(VLOOKUP($B33,'[4]PRODUCCION VS ENERGIA'!$B$12:$I$41,2))," ")</f>
        <v xml:space="preserve"> </v>
      </c>
      <c r="D33" s="1825" t="str">
        <f>IF(INICIO!$C$7&gt;DAY($B33)-1,(VLOOKUP($B33,'[4]PRODUCCION VS ENERGIA'!$B$12:$I$41,3))," ")</f>
        <v xml:space="preserve"> </v>
      </c>
      <c r="E33" s="1852" t="str">
        <f>IF(INICIO!$C$7&gt;DAY($B33)-1,(VLOOKUP($B33,'[4]PRODUCCION VS ENERGIA'!$B$12:$I$41,3))," ")</f>
        <v xml:space="preserve"> </v>
      </c>
      <c r="F33" s="1825" t="str">
        <f>IF(INICIO!$C$7&gt;DAY($B33)-1,(VLOOKUP($B33,'[4]PRODUCCION VS ENERGIA'!$B$12:$I$41,5))," ")</f>
        <v xml:space="preserve"> </v>
      </c>
      <c r="G33" s="1826" t="str">
        <f>IF(INICIO!$C$7&gt;DAY($B33)-1,(VLOOKUP($B33,'[4]PRODUCCION VS ENERGIA'!$B$12:$I$41,6))," ")</f>
        <v xml:space="preserve"> </v>
      </c>
      <c r="H33" s="1826" t="str">
        <f t="shared" si="0"/>
        <v xml:space="preserve"> </v>
      </c>
      <c r="I33" s="1826" t="str">
        <f>IF(INICIO!$C$7&gt;DAY($B33)-1,(VLOOKUP($B33,'[4]PRODUCCION VS ENERGIA'!$B$12:$I$41,8))," ")</f>
        <v xml:space="preserve"> </v>
      </c>
      <c r="J33" s="1827" t="str">
        <f t="shared" si="1"/>
        <v xml:space="preserve"> </v>
      </c>
      <c r="K33" s="1829" t="str">
        <f>IF(INICIO!$C$7&gt;DAY($B33)-1,(VLOOKUP($B33,DATOSAÑO!$B$11:$BG$375,56))," ")</f>
        <v xml:space="preserve"> </v>
      </c>
      <c r="L33" s="1826" t="str">
        <f>IF(INICIO!$C$7&gt;DAY($B33)-1,(VLOOKUP($B33,DATOSAÑO!$B$11:$BG$375,57))," ")</f>
        <v xml:space="preserve"> </v>
      </c>
      <c r="M33" s="1826" t="str">
        <f>IF(INICIO!$C$7&gt;DAY($B33)-1,(VLOOKUP($B33,DATOSAÑO!$B$11:$CL$375,87))," ")</f>
        <v xml:space="preserve"> </v>
      </c>
      <c r="N33" s="1826" t="str">
        <f t="shared" si="2"/>
        <v xml:space="preserve"> </v>
      </c>
      <c r="O33" s="1826" t="str">
        <f>IF(INICIO!$C$7&gt;DAY($B33)-1,(VLOOKUP($B33,DATOSAÑO!$B$11:$BG$375,58))," ")</f>
        <v xml:space="preserve"> </v>
      </c>
      <c r="P33" s="1826" t="str">
        <f>IF(INICIO!$C$7&gt;DAY($B33)-1,(VLOOKUP($B33,DATOSAÑO!$B$11:$BG$375,24))," ")</f>
        <v xml:space="preserve"> </v>
      </c>
      <c r="Q33" s="1826" t="str">
        <f>IF(INICIO!$C$7&gt;DAY($B33)-1,(P33/24)," ")</f>
        <v xml:space="preserve"> </v>
      </c>
      <c r="R33" s="1826" t="str">
        <f>IF(INICIO!$C$7&gt;DAY($B33)-1,(VLOOKUP($B33,DATOSAÑO!$B$11:$BG$375,55))," ")</f>
        <v xml:space="preserve"> </v>
      </c>
      <c r="S33" s="1827" t="str">
        <f>IF(INICIO!$C$7&gt;DAY($B33)-1,(R33/24)," ")</f>
        <v xml:space="preserve"> </v>
      </c>
      <c r="T33" s="636"/>
      <c r="Z33" s="1042"/>
      <c r="AA33" s="1042"/>
    </row>
    <row r="34" spans="1:30" ht="17.149999999999999" customHeight="1">
      <c r="A34" s="635"/>
      <c r="B34" s="1831">
        <f t="shared" si="3"/>
        <v>45253</v>
      </c>
      <c r="C34" s="1850" t="str">
        <f>IF(INICIO!$C$7&gt;DAY($B34)-1,(VLOOKUP($B34,'[4]PRODUCCION VS ENERGIA'!$B$12:$I$41,2))," ")</f>
        <v xml:space="preserve"> </v>
      </c>
      <c r="D34" s="1825" t="str">
        <f>IF(INICIO!$C$7&gt;DAY($B34)-1,(VLOOKUP($B34,'[4]PRODUCCION VS ENERGIA'!$B$12:$I$41,3))," ")</f>
        <v xml:space="preserve"> </v>
      </c>
      <c r="E34" s="1852" t="str">
        <f>IF(INICIO!$C$7&gt;DAY($B34)-1,(VLOOKUP($B34,'[4]PRODUCCION VS ENERGIA'!$B$12:$I$41,3))," ")</f>
        <v xml:space="preserve"> </v>
      </c>
      <c r="F34" s="1825" t="str">
        <f>IF(INICIO!$C$7&gt;DAY($B34)-1,(VLOOKUP($B34,'[4]PRODUCCION VS ENERGIA'!$B$12:$I$41,5))," ")</f>
        <v xml:space="preserve"> </v>
      </c>
      <c r="G34" s="1826" t="str">
        <f>IF(INICIO!$C$7&gt;DAY($B34)-1,(VLOOKUP($B34,'[4]PRODUCCION VS ENERGIA'!$B$12:$I$41,6))," ")</f>
        <v xml:space="preserve"> </v>
      </c>
      <c r="H34" s="1826" t="str">
        <f t="shared" si="0"/>
        <v xml:space="preserve"> </v>
      </c>
      <c r="I34" s="1826" t="str">
        <f>IF(INICIO!$C$7&gt;DAY($B34)-1,(VLOOKUP($B34,'[4]PRODUCCION VS ENERGIA'!$B$12:$I$41,8))," ")</f>
        <v xml:space="preserve"> </v>
      </c>
      <c r="J34" s="1827" t="str">
        <f t="shared" si="1"/>
        <v xml:space="preserve"> </v>
      </c>
      <c r="K34" s="1829" t="str">
        <f>IF(INICIO!$C$7&gt;DAY($B34)-1,(VLOOKUP($B34,DATOSAÑO!$B$11:$BG$375,56))," ")</f>
        <v xml:space="preserve"> </v>
      </c>
      <c r="L34" s="1826" t="str">
        <f>IF(INICIO!$C$7&gt;DAY($B34)-1,(VLOOKUP($B34,DATOSAÑO!$B$11:$BG$375,57))," ")</f>
        <v xml:space="preserve"> </v>
      </c>
      <c r="M34" s="1826" t="str">
        <f>IF(INICIO!$C$7&gt;DAY($B34)-1,(VLOOKUP($B34,DATOSAÑO!$B$11:$CL$375,87))," ")</f>
        <v xml:space="preserve"> </v>
      </c>
      <c r="N34" s="1826" t="str">
        <f t="shared" si="2"/>
        <v xml:space="preserve"> </v>
      </c>
      <c r="O34" s="1826" t="str">
        <f>IF(INICIO!$C$7&gt;DAY($B34)-1,(VLOOKUP($B34,DATOSAÑO!$B$11:$BG$375,58))," ")</f>
        <v xml:space="preserve"> </v>
      </c>
      <c r="P34" s="1826" t="str">
        <f>IF(INICIO!$C$7&gt;DAY($B34)-1,(VLOOKUP($B34,DATOSAÑO!$B$11:$BG$375,24))," ")</f>
        <v xml:space="preserve"> </v>
      </c>
      <c r="Q34" s="1826" t="str">
        <f>IF(INICIO!$C$7&gt;DAY($B34)-1,(P34/24)," ")</f>
        <v xml:space="preserve"> </v>
      </c>
      <c r="R34" s="1826" t="str">
        <f>IF(INICIO!$C$7&gt;DAY($B34)-1,(VLOOKUP($B34,DATOSAÑO!$B$11:$BG$375,55))," ")</f>
        <v xml:space="preserve"> </v>
      </c>
      <c r="S34" s="1827" t="str">
        <f>IF(INICIO!$C$7&gt;DAY($B34)-1,(R34/24)," ")</f>
        <v xml:space="preserve"> </v>
      </c>
      <c r="T34" s="636"/>
      <c r="Z34" s="1042"/>
      <c r="AA34" s="1042"/>
    </row>
    <row r="35" spans="1:30" ht="13.5" customHeight="1">
      <c r="A35" s="635"/>
      <c r="B35" s="1831">
        <f t="shared" si="3"/>
        <v>45254</v>
      </c>
      <c r="C35" s="1850" t="str">
        <f>IF(INICIO!$C$7&gt;DAY($B35)-1,(VLOOKUP($B35,'[4]PRODUCCION VS ENERGIA'!$B$12:$I$41,2))," ")</f>
        <v xml:space="preserve"> </v>
      </c>
      <c r="D35" s="1825" t="str">
        <f>IF(INICIO!$C$7&gt;DAY($B35)-1,(VLOOKUP($B35,'[4]PRODUCCION VS ENERGIA'!$B$12:$I$41,3))," ")</f>
        <v xml:space="preserve"> </v>
      </c>
      <c r="E35" s="1852" t="str">
        <f>IF(INICIO!$C$7&gt;DAY($B35)-1,(VLOOKUP($B35,'[4]PRODUCCION VS ENERGIA'!$B$12:$I$41,3))," ")</f>
        <v xml:space="preserve"> </v>
      </c>
      <c r="F35" s="1825" t="str">
        <f>IF(INICIO!$C$7&gt;DAY($B35)-1,(VLOOKUP($B35,'[4]PRODUCCION VS ENERGIA'!$B$12:$I$41,5))," ")</f>
        <v xml:space="preserve"> </v>
      </c>
      <c r="G35" s="1826" t="str">
        <f>IF(INICIO!$C$7&gt;DAY($B35)-1,(VLOOKUP($B35,'[4]PRODUCCION VS ENERGIA'!$B$12:$I$41,6))," ")</f>
        <v xml:space="preserve"> </v>
      </c>
      <c r="H35" s="1826" t="str">
        <f t="shared" si="0"/>
        <v xml:space="preserve"> </v>
      </c>
      <c r="I35" s="1826" t="str">
        <f>IF(INICIO!$C$7&gt;DAY($B35)-1,(VLOOKUP($B35,'[4]PRODUCCION VS ENERGIA'!$B$12:$I$41,8))," ")</f>
        <v xml:space="preserve"> </v>
      </c>
      <c r="J35" s="1827" t="str">
        <f t="shared" si="1"/>
        <v xml:space="preserve"> </v>
      </c>
      <c r="K35" s="1829" t="str">
        <f>IF(INICIO!$C$7&gt;DAY($B35)-1,(VLOOKUP($B35,DATOSAÑO!$B$11:$BG$375,56))," ")</f>
        <v xml:space="preserve"> </v>
      </c>
      <c r="L35" s="1826" t="str">
        <f>IF(INICIO!$C$7&gt;DAY($B35)-1,(VLOOKUP($B35,DATOSAÑO!$B$11:$BG$375,57))," ")</f>
        <v xml:space="preserve"> </v>
      </c>
      <c r="M35" s="1826" t="str">
        <f>IF(INICIO!$C$7&gt;DAY($B35)-1,(VLOOKUP($B35,DATOSAÑO!$B$11:$CL$375,87))," ")</f>
        <v xml:space="preserve"> </v>
      </c>
      <c r="N35" s="1826" t="str">
        <f t="shared" si="2"/>
        <v xml:space="preserve"> </v>
      </c>
      <c r="O35" s="1826" t="str">
        <f>IF(INICIO!$C$7&gt;DAY($B35)-1,(VLOOKUP($B35,DATOSAÑO!$B$11:$BG$375,58))," ")</f>
        <v xml:space="preserve"> </v>
      </c>
      <c r="P35" s="1826" t="str">
        <f>IF(INICIO!$C$7&gt;DAY($B35)-1,(VLOOKUP($B35,DATOSAÑO!$B$11:$BG$375,24))," ")</f>
        <v xml:space="preserve"> </v>
      </c>
      <c r="Q35" s="1826" t="str">
        <f>IF(INICIO!$C$7&gt;DAY($B35)-1,(P35/24)," ")</f>
        <v xml:space="preserve"> </v>
      </c>
      <c r="R35" s="1826" t="str">
        <f>IF(INICIO!$C$7&gt;DAY($B35)-1,(VLOOKUP($B35,DATOSAÑO!$B$11:$BG$375,55))," ")</f>
        <v xml:space="preserve"> </v>
      </c>
      <c r="S35" s="1827" t="str">
        <f>IF(INICIO!$C$7&gt;DAY($B35)-1,(R35/24)," ")</f>
        <v xml:space="preserve"> </v>
      </c>
      <c r="T35" s="636"/>
      <c r="Z35" s="1042"/>
      <c r="AA35" s="1042"/>
    </row>
    <row r="36" spans="1:30" ht="17.149999999999999" customHeight="1">
      <c r="A36" s="635"/>
      <c r="B36" s="1831">
        <f t="shared" si="3"/>
        <v>45255</v>
      </c>
      <c r="C36" s="1850" t="str">
        <f>IF(INICIO!$C$7&gt;DAY($B36)-1,(VLOOKUP($B36,'[4]PRODUCCION VS ENERGIA'!$B$12:$I$41,2))," ")</f>
        <v xml:space="preserve"> </v>
      </c>
      <c r="D36" s="1825" t="str">
        <f>IF(INICIO!$C$7&gt;DAY($B36)-1,(VLOOKUP($B36,'[4]PRODUCCION VS ENERGIA'!$B$12:$I$41,3))," ")</f>
        <v xml:space="preserve"> </v>
      </c>
      <c r="E36" s="1852" t="str">
        <f>IF(INICIO!$C$7&gt;DAY($B36)-1,(VLOOKUP($B36,'[4]PRODUCCION VS ENERGIA'!$B$12:$I$41,3))," ")</f>
        <v xml:space="preserve"> </v>
      </c>
      <c r="F36" s="1825" t="str">
        <f>IF(INICIO!$C$7&gt;DAY($B36)-1,(VLOOKUP($B36,'[4]PRODUCCION VS ENERGIA'!$B$12:$I$41,5))," ")</f>
        <v xml:space="preserve"> </v>
      </c>
      <c r="G36" s="1826" t="str">
        <f>IF(INICIO!$C$7&gt;DAY($B36)-1,(VLOOKUP($B36,'[4]PRODUCCION VS ENERGIA'!$B$12:$I$41,6))," ")</f>
        <v xml:space="preserve"> </v>
      </c>
      <c r="H36" s="1826" t="str">
        <f t="shared" si="0"/>
        <v xml:space="preserve"> </v>
      </c>
      <c r="I36" s="1826" t="str">
        <f>IF(INICIO!$C$7&gt;DAY($B36)-1,(VLOOKUP($B36,'[4]PRODUCCION VS ENERGIA'!$B$12:$I$41,8))," ")</f>
        <v xml:space="preserve"> </v>
      </c>
      <c r="J36" s="1827" t="str">
        <f t="shared" si="1"/>
        <v xml:space="preserve"> </v>
      </c>
      <c r="K36" s="1829" t="str">
        <f>IF(INICIO!$C$7&gt;DAY($B36)-1,(VLOOKUP($B36,DATOSAÑO!$B$11:$BG$375,56))," ")</f>
        <v xml:space="preserve"> </v>
      </c>
      <c r="L36" s="1826" t="str">
        <f>IF(INICIO!$C$7&gt;DAY($B36)-1,(VLOOKUP($B36,DATOSAÑO!$B$11:$BG$375,57))," ")</f>
        <v xml:space="preserve"> </v>
      </c>
      <c r="M36" s="1826" t="str">
        <f>IF(INICIO!$C$7&gt;DAY($B36)-1,(VLOOKUP($B36,DATOSAÑO!$B$11:$CL$375,87))," ")</f>
        <v xml:space="preserve"> </v>
      </c>
      <c r="N36" s="1826" t="str">
        <f t="shared" si="2"/>
        <v xml:space="preserve"> </v>
      </c>
      <c r="O36" s="1826" t="str">
        <f>IF(INICIO!$C$7&gt;DAY($B36)-1,(VLOOKUP($B36,DATOSAÑO!$B$11:$BG$375,58))," ")</f>
        <v xml:space="preserve"> </v>
      </c>
      <c r="P36" s="1826" t="str">
        <f>IF(INICIO!$C$7&gt;DAY($B36)-1,(VLOOKUP($B36,DATOSAÑO!$B$11:$BG$375,24))," ")</f>
        <v xml:space="preserve"> </v>
      </c>
      <c r="Q36" s="1826" t="str">
        <f>IF(INICIO!$C$7&gt;DAY($B36)-1,(P36/24)," ")</f>
        <v xml:space="preserve"> </v>
      </c>
      <c r="R36" s="1826" t="str">
        <f>IF(INICIO!$C$7&gt;DAY($B36)-1,(VLOOKUP($B36,DATOSAÑO!$B$11:$BG$375,55))," ")</f>
        <v xml:space="preserve"> </v>
      </c>
      <c r="S36" s="1827" t="str">
        <f>IF(INICIO!$C$7&gt;DAY($B36)-1,(R36/24)," ")</f>
        <v xml:space="preserve"> </v>
      </c>
      <c r="T36" s="636"/>
      <c r="Z36" s="1042"/>
      <c r="AA36" s="1042"/>
    </row>
    <row r="37" spans="1:30" ht="17.149999999999999" customHeight="1">
      <c r="A37" s="635"/>
      <c r="B37" s="1831">
        <f t="shared" si="3"/>
        <v>45256</v>
      </c>
      <c r="C37" s="1850" t="str">
        <f>IF(INICIO!$C$7&gt;DAY($B37)-1,(VLOOKUP($B37,'[4]PRODUCCION VS ENERGIA'!$B$12:$I$41,2))," ")</f>
        <v xml:space="preserve"> </v>
      </c>
      <c r="D37" s="1825" t="str">
        <f>IF(INICIO!$C$7&gt;DAY($B37)-1,(VLOOKUP($B37,'[4]PRODUCCION VS ENERGIA'!$B$12:$I$41,3))," ")</f>
        <v xml:space="preserve"> </v>
      </c>
      <c r="E37" s="1852" t="str">
        <f>IF(INICIO!$C$7&gt;DAY($B37)-1,(VLOOKUP($B37,'[4]PRODUCCION VS ENERGIA'!$B$12:$I$41,3))," ")</f>
        <v xml:space="preserve"> </v>
      </c>
      <c r="F37" s="1825" t="str">
        <f>IF(INICIO!$C$7&gt;DAY($B37)-1,(VLOOKUP($B37,'[4]PRODUCCION VS ENERGIA'!$B$12:$I$41,5))," ")</f>
        <v xml:space="preserve"> </v>
      </c>
      <c r="G37" s="1826" t="str">
        <f>IF(INICIO!$C$7&gt;DAY($B37)-1,(VLOOKUP($B37,'[4]PRODUCCION VS ENERGIA'!$B$12:$I$41,6))," ")</f>
        <v xml:space="preserve"> </v>
      </c>
      <c r="H37" s="1826" t="str">
        <f t="shared" si="0"/>
        <v xml:space="preserve"> </v>
      </c>
      <c r="I37" s="1826" t="str">
        <f>IF(INICIO!$C$7&gt;DAY($B37)-1,(VLOOKUP($B37,'[4]PRODUCCION VS ENERGIA'!$B$12:$I$41,8))," ")</f>
        <v xml:space="preserve"> </v>
      </c>
      <c r="J37" s="1827" t="str">
        <f t="shared" si="1"/>
        <v xml:space="preserve"> </v>
      </c>
      <c r="K37" s="1829" t="str">
        <f>IF(INICIO!$C$7&gt;DAY($B37)-1,(VLOOKUP($B37,DATOSAÑO!$B$11:$BG$375,56))," ")</f>
        <v xml:space="preserve"> </v>
      </c>
      <c r="L37" s="1826" t="str">
        <f>IF(INICIO!$C$7&gt;DAY($B37)-1,(VLOOKUP($B37,DATOSAÑO!$B$11:$BG$375,57))," ")</f>
        <v xml:space="preserve"> </v>
      </c>
      <c r="M37" s="1826" t="str">
        <f>IF(INICIO!$C$7&gt;DAY($B37)-1,(VLOOKUP($B37,DATOSAÑO!$B$11:$CL$375,87))," ")</f>
        <v xml:space="preserve"> </v>
      </c>
      <c r="N37" s="1826" t="str">
        <f t="shared" si="2"/>
        <v xml:space="preserve"> </v>
      </c>
      <c r="O37" s="1826" t="str">
        <f>IF(INICIO!$C$7&gt;DAY($B37)-1,(VLOOKUP($B37,DATOSAÑO!$B$11:$BG$375,58))," ")</f>
        <v xml:space="preserve"> </v>
      </c>
      <c r="P37" s="1826" t="str">
        <f>IF(INICIO!$C$7&gt;DAY($B37)-1,(VLOOKUP($B37,DATOSAÑO!$B$11:$BG$375,24))," ")</f>
        <v xml:space="preserve"> </v>
      </c>
      <c r="Q37" s="1826" t="str">
        <f>IF(INICIO!$C$7&gt;DAY($B37)-1,(P37/24)," ")</f>
        <v xml:space="preserve"> </v>
      </c>
      <c r="R37" s="1826" t="str">
        <f>IF(INICIO!$C$7&gt;DAY($B37)-1,(VLOOKUP($B37,DATOSAÑO!$B$11:$BG$375,55))," ")</f>
        <v xml:space="preserve"> </v>
      </c>
      <c r="S37" s="1830" t="str">
        <f>IF(INICIO!$C$7&gt;DAY($B37)-1,(R37/24)," ")</f>
        <v xml:space="preserve"> </v>
      </c>
      <c r="T37" s="636"/>
      <c r="Z37" s="1042"/>
      <c r="AA37" s="1042"/>
    </row>
    <row r="38" spans="1:30" ht="17.149999999999999" customHeight="1">
      <c r="A38" s="635"/>
      <c r="B38" s="1831">
        <f t="shared" si="3"/>
        <v>45257</v>
      </c>
      <c r="C38" s="1850" t="str">
        <f>IF(INICIO!$C$7&gt;DAY($B38)-1,(VLOOKUP($B38,'[4]PRODUCCION VS ENERGIA'!$B$12:$I$41,2))," ")</f>
        <v xml:space="preserve"> </v>
      </c>
      <c r="D38" s="1825" t="str">
        <f>IF(INICIO!$C$7&gt;DAY($B38)-1,(VLOOKUP($B38,'[4]PRODUCCION VS ENERGIA'!$B$12:$I$41,3))," ")</f>
        <v xml:space="preserve"> </v>
      </c>
      <c r="E38" s="1852" t="str">
        <f>IF(INICIO!$C$7&gt;DAY($B38)-1,(VLOOKUP($B38,'[4]PRODUCCION VS ENERGIA'!$B$12:$I$41,3))," ")</f>
        <v xml:space="preserve"> </v>
      </c>
      <c r="F38" s="1825" t="str">
        <f>IF(INICIO!$C$7&gt;DAY($B38)-1,(VLOOKUP($B38,'[4]PRODUCCION VS ENERGIA'!$B$12:$I$41,5))," ")</f>
        <v xml:space="preserve"> </v>
      </c>
      <c r="G38" s="1826" t="str">
        <f>IF(INICIO!$C$7&gt;DAY($B38)-1,(VLOOKUP($B38,'[4]PRODUCCION VS ENERGIA'!$B$12:$I$41,6))," ")</f>
        <v xml:space="preserve"> </v>
      </c>
      <c r="H38" s="1826" t="str">
        <f t="shared" si="0"/>
        <v xml:space="preserve"> </v>
      </c>
      <c r="I38" s="1826" t="str">
        <f>IF(INICIO!$C$7&gt;DAY($B38)-1,(VLOOKUP($B38,'[4]PRODUCCION VS ENERGIA'!$B$12:$I$41,8))," ")</f>
        <v xml:space="preserve"> </v>
      </c>
      <c r="J38" s="1827" t="str">
        <f t="shared" si="1"/>
        <v xml:space="preserve"> </v>
      </c>
      <c r="K38" s="1829" t="str">
        <f>IF(INICIO!$C$7&gt;DAY($B38)-1,(VLOOKUP($B38,DATOSAÑO!$B$11:$BG$375,56))," ")</f>
        <v xml:space="preserve"> </v>
      </c>
      <c r="L38" s="1826" t="str">
        <f>IF(INICIO!$C$7&gt;DAY($B38)-1,(VLOOKUP($B38,DATOSAÑO!$B$11:$BG$375,57))," ")</f>
        <v xml:space="preserve"> </v>
      </c>
      <c r="M38" s="1826" t="str">
        <f>IF(INICIO!$C$7&gt;DAY($B38)-1,(VLOOKUP($B38,DATOSAÑO!$B$11:$CL$375,87))," ")</f>
        <v xml:space="preserve"> </v>
      </c>
      <c r="N38" s="1826" t="str">
        <f t="shared" si="2"/>
        <v xml:space="preserve"> </v>
      </c>
      <c r="O38" s="1826" t="str">
        <f>IF(INICIO!$C$7&gt;DAY($B38)-1,(VLOOKUP($B38,DATOSAÑO!$B$11:$BG$375,58))," ")</f>
        <v xml:space="preserve"> </v>
      </c>
      <c r="P38" s="1826" t="str">
        <f>IF(INICIO!$C$7&gt;DAY($B38)-1,(VLOOKUP($B38,DATOSAÑO!$B$11:$BG$375,24))," ")</f>
        <v xml:space="preserve"> </v>
      </c>
      <c r="Q38" s="1826" t="str">
        <f>IF(INICIO!$C$7&gt;DAY($B38)-1,(P38/24)," ")</f>
        <v xml:space="preserve"> </v>
      </c>
      <c r="R38" s="1826" t="str">
        <f>IF(INICIO!$C$7&gt;DAY($B38)-1,(VLOOKUP($B38,DATOSAÑO!$B$11:$BG$375,55))," ")</f>
        <v xml:space="preserve"> </v>
      </c>
      <c r="S38" s="1830" t="str">
        <f>IF(INICIO!$C$7&gt;DAY($B38)-1,(R38/24)," ")</f>
        <v xml:space="preserve"> </v>
      </c>
      <c r="T38" s="636"/>
      <c r="Z38" s="1042"/>
      <c r="AA38" s="1042"/>
    </row>
    <row r="39" spans="1:30" ht="17.149999999999999" customHeight="1">
      <c r="A39" s="635"/>
      <c r="B39" s="1831">
        <f>B38+1</f>
        <v>45258</v>
      </c>
      <c r="C39" s="1850" t="str">
        <f>IF(INICIO!$C$7&gt;DAY($B39)-1,(VLOOKUP($B39,'[4]PRODUCCION VS ENERGIA'!$B$12:$I$41,2))," ")</f>
        <v xml:space="preserve"> </v>
      </c>
      <c r="D39" s="1825" t="str">
        <f>IF(INICIO!$C$7&gt;DAY($B39)-1,(VLOOKUP($B39,'[4]PRODUCCION VS ENERGIA'!$B$12:$I$41,3))," ")</f>
        <v xml:space="preserve"> </v>
      </c>
      <c r="E39" s="1852" t="str">
        <f>IF(INICIO!$C$7&gt;DAY($B39)-1,(VLOOKUP($B39,'[4]PRODUCCION VS ENERGIA'!$B$12:$I$41,3))," ")</f>
        <v xml:space="preserve"> </v>
      </c>
      <c r="F39" s="1825" t="str">
        <f>IF(INICIO!$C$7&gt;DAY($B39)-1,(VLOOKUP($B39,'[4]PRODUCCION VS ENERGIA'!$B$12:$I$41,5))," ")</f>
        <v xml:space="preserve"> </v>
      </c>
      <c r="G39" s="1826" t="str">
        <f>IF(INICIO!$C$7&gt;DAY($B39)-1,(VLOOKUP($B39,'[4]PRODUCCION VS ENERGIA'!$B$12:$I$41,6))," ")</f>
        <v xml:space="preserve"> </v>
      </c>
      <c r="H39" s="1826" t="str">
        <f t="shared" si="0"/>
        <v xml:space="preserve"> </v>
      </c>
      <c r="I39" s="1826" t="str">
        <f>IF(INICIO!$C$7&gt;DAY($B39)-1,(VLOOKUP($B39,'[4]PRODUCCION VS ENERGIA'!$B$12:$I$41,8))," ")</f>
        <v xml:space="preserve"> </v>
      </c>
      <c r="J39" s="1827" t="str">
        <f t="shared" si="1"/>
        <v xml:space="preserve"> </v>
      </c>
      <c r="K39" s="1829" t="str">
        <f>IF(INICIO!$C$7&gt;DAY($B39)-1,(VLOOKUP($B39,DATOSAÑO!$B$11:$BG$375,56))," ")</f>
        <v xml:space="preserve"> </v>
      </c>
      <c r="L39" s="1826" t="str">
        <f>IF(INICIO!$C$7&gt;DAY($B39)-1,(VLOOKUP($B39,DATOSAÑO!$B$11:$BG$375,57))," ")</f>
        <v xml:space="preserve"> </v>
      </c>
      <c r="M39" s="1826" t="str">
        <f>IF(INICIO!$C$7&gt;DAY($B39)-1,(VLOOKUP($B39,DATOSAÑO!$B$11:$CL$375,87))," ")</f>
        <v xml:space="preserve"> </v>
      </c>
      <c r="N39" s="1826" t="str">
        <f t="shared" si="2"/>
        <v xml:space="preserve"> </v>
      </c>
      <c r="O39" s="1826" t="str">
        <f>IF(INICIO!$C$7&gt;DAY($B39)-1,(VLOOKUP($B39,DATOSAÑO!$B$11:$BG$375,58))," ")</f>
        <v xml:space="preserve"> </v>
      </c>
      <c r="P39" s="1826" t="str">
        <f>IF(INICIO!$C$7&gt;DAY($B39)-1,(VLOOKUP($B39,DATOSAÑO!$B$11:$BG$375,24))," ")</f>
        <v xml:space="preserve"> </v>
      </c>
      <c r="Q39" s="1826" t="str">
        <f>IF(INICIO!$C$7&gt;DAY($B39)-1,(P39/24)," ")</f>
        <v xml:space="preserve"> </v>
      </c>
      <c r="R39" s="1826" t="str">
        <f>IF(INICIO!$C$7&gt;DAY($B39)-1,(VLOOKUP($B39,DATOSAÑO!$B$11:$BG$375,55))," ")</f>
        <v xml:space="preserve"> </v>
      </c>
      <c r="S39" s="1830" t="str">
        <f>IF(INICIO!$C$7&gt;DAY($B39)-1,(R39/24)," ")</f>
        <v xml:space="preserve"> </v>
      </c>
      <c r="T39" s="636"/>
      <c r="Z39" s="1042"/>
      <c r="AA39" s="1042"/>
    </row>
    <row r="40" spans="1:30" s="1271" customFormat="1" ht="17.149999999999999" customHeight="1">
      <c r="A40" s="635"/>
      <c r="B40" s="1831">
        <f>B39+1</f>
        <v>45259</v>
      </c>
      <c r="C40" s="1850" t="str">
        <f>IF(INICIO!$C$7&gt;DAY($B40)-1,(VLOOKUP($B40,'[4]PRODUCCION VS ENERGIA'!$B$12:$I$41,2))," ")</f>
        <v xml:space="preserve"> </v>
      </c>
      <c r="D40" s="1825" t="str">
        <f>IF(INICIO!$C$7&gt;DAY($B40)-1,(VLOOKUP($B40,'[4]PRODUCCION VS ENERGIA'!$B$12:$I$41,3))," ")</f>
        <v xml:space="preserve"> </v>
      </c>
      <c r="E40" s="1852" t="str">
        <f>IF(INICIO!$C$7&gt;DAY($B40)-1,(VLOOKUP($B40,'[4]PRODUCCION VS ENERGIA'!$B$12:$I$41,3))," ")</f>
        <v xml:space="preserve"> </v>
      </c>
      <c r="F40" s="1825" t="str">
        <f>IF(INICIO!$C$7&gt;DAY($B40)-1,(VLOOKUP($B40,'[4]PRODUCCION VS ENERGIA'!$B$12:$I$41,5))," ")</f>
        <v xml:space="preserve"> </v>
      </c>
      <c r="G40" s="1826" t="str">
        <f>IF(INICIO!$C$7&gt;DAY($B40)-1,(VLOOKUP($B40,'[4]PRODUCCION VS ENERGIA'!$B$12:$I$41,6))," ")</f>
        <v xml:space="preserve"> </v>
      </c>
      <c r="H40" s="1826" t="str">
        <f t="shared" si="0"/>
        <v xml:space="preserve"> </v>
      </c>
      <c r="I40" s="1826" t="str">
        <f>IF(INICIO!$C$7&gt;DAY($B40)-1,(VLOOKUP($B40,'[4]PRODUCCION VS ENERGIA'!$B$12:$I$41,8))," ")</f>
        <v xml:space="preserve"> </v>
      </c>
      <c r="J40" s="1827" t="str">
        <f t="shared" si="1"/>
        <v xml:space="preserve"> </v>
      </c>
      <c r="K40" s="1829" t="str">
        <f>IF(INICIO!$C$7&gt;DAY($B40)-1,(VLOOKUP($B40,DATOSAÑO!$B$11:$BG$375,56))," ")</f>
        <v xml:space="preserve"> </v>
      </c>
      <c r="L40" s="1826" t="str">
        <f>IF(INICIO!$C$7&gt;DAY($B40)-1,(VLOOKUP($B40,DATOSAÑO!$B$11:$BG$375,57))," ")</f>
        <v xml:space="preserve"> </v>
      </c>
      <c r="M40" s="1826" t="str">
        <f>IF(INICIO!$C$7&gt;DAY($B40)-1,(VLOOKUP($B40,DATOSAÑO!$B$11:$CL$375,87))," ")</f>
        <v xml:space="preserve"> </v>
      </c>
      <c r="N40" s="1826" t="str">
        <f t="shared" si="2"/>
        <v xml:space="preserve"> </v>
      </c>
      <c r="O40" s="1826" t="str">
        <f>IF(INICIO!$C$7&gt;DAY($B40)-1,(VLOOKUP($B40,DATOSAÑO!$B$11:$BG$375,58))," ")</f>
        <v xml:space="preserve"> </v>
      </c>
      <c r="P40" s="1826" t="str">
        <f>IF(INICIO!$C$7&gt;DAY($B40)-1,(VLOOKUP($B40,DATOSAÑO!$B$11:$BG$375,24))," ")</f>
        <v xml:space="preserve"> </v>
      </c>
      <c r="Q40" s="1826" t="str">
        <f>IF(INICIO!$C$7&gt;DAY($B40)-1,(P40/24)," ")</f>
        <v xml:space="preserve"> </v>
      </c>
      <c r="R40" s="1826" t="str">
        <f>IF(INICIO!$C$7&gt;DAY($B40)-1,(VLOOKUP($B40,DATOSAÑO!$B$11:$BG$375,55))," ")</f>
        <v xml:space="preserve"> </v>
      </c>
      <c r="S40" s="1830" t="str">
        <f>IF(INICIO!$C$7&gt;DAY($B40)-1,(R40/24)," ")</f>
        <v xml:space="preserve"> </v>
      </c>
      <c r="T40" s="636"/>
      <c r="U40" s="1808"/>
      <c r="V40" s="1806"/>
      <c r="W40" s="407"/>
      <c r="X40" s="407"/>
      <c r="Y40" s="407"/>
      <c r="Z40" s="1042"/>
      <c r="AA40" s="1042"/>
      <c r="AD40" s="407"/>
    </row>
    <row r="41" spans="1:30" s="1271" customFormat="1">
      <c r="A41" s="635"/>
      <c r="B41" s="1831">
        <f>B40+1</f>
        <v>45260</v>
      </c>
      <c r="C41" s="1850" t="str">
        <f>IF(INICIO!$C$7&gt;DAY($B41)-1,(VLOOKUP($B41,'[4]PRODUCCION VS ENERGIA'!$B$12:$I$41,2))," ")</f>
        <v xml:space="preserve"> </v>
      </c>
      <c r="D41" s="1825" t="str">
        <f>IF(INICIO!$C$7&gt;DAY($B41)-1,(VLOOKUP($B41,'[4]PRODUCCION VS ENERGIA'!$B$12:$I$41,3))," ")</f>
        <v xml:space="preserve"> </v>
      </c>
      <c r="E41" s="1852" t="str">
        <f>IF(INICIO!$C$7&gt;DAY($B41)-1,(VLOOKUP($B41,'[4]PRODUCCION VS ENERGIA'!$B$12:$I$41,3))," ")</f>
        <v xml:space="preserve"> </v>
      </c>
      <c r="F41" s="1825" t="str">
        <f>IF(INICIO!$C$7&gt;DAY($B41)-1,(VLOOKUP($B41,'[4]PRODUCCION VS ENERGIA'!$B$12:$I$41,5))," ")</f>
        <v xml:space="preserve"> </v>
      </c>
      <c r="G41" s="1826" t="str">
        <f>IF(INICIO!$C$7&gt;DAY($B41)-1,(VLOOKUP($B41,'[4]PRODUCCION VS ENERGIA'!$B$12:$I$41,6))," ")</f>
        <v xml:space="preserve"> </v>
      </c>
      <c r="H41" s="1826" t="str">
        <f t="shared" si="0"/>
        <v xml:space="preserve"> </v>
      </c>
      <c r="I41" s="1826" t="str">
        <f>IF(INICIO!$C$7&gt;DAY($B41)-1,(VLOOKUP($B41,'[4]PRODUCCION VS ENERGIA'!$B$12:$I$41,8))," ")</f>
        <v xml:space="preserve"> </v>
      </c>
      <c r="J41" s="1827" t="str">
        <f t="shared" si="1"/>
        <v xml:space="preserve"> </v>
      </c>
      <c r="K41" s="1829" t="str">
        <f>IF(INICIO!$C$7&gt;DAY($B41)-1,(VLOOKUP($B41,DATOSAÑO!$B$11:$BG$375,56))," ")</f>
        <v xml:space="preserve"> </v>
      </c>
      <c r="L41" s="1826" t="str">
        <f>IF(INICIO!$C$7&gt;DAY($B41)-1,(VLOOKUP($B41,DATOSAÑO!$B$11:$BG$375,57))," ")</f>
        <v xml:space="preserve"> </v>
      </c>
      <c r="M41" s="1826" t="str">
        <f>IF(INICIO!$C$7&gt;DAY($B41)-1,(VLOOKUP($B41,DATOSAÑO!$B$11:$CL$375,87))," ")</f>
        <v xml:space="preserve"> </v>
      </c>
      <c r="N41" s="1826" t="str">
        <f t="shared" si="2"/>
        <v xml:space="preserve"> </v>
      </c>
      <c r="O41" s="1826" t="str">
        <f>IF(INICIO!$C$7&gt;DAY($B41)-1,(VLOOKUP($B41,DATOSAÑO!$B$11:$BG$375,58))," ")</f>
        <v xml:space="preserve"> </v>
      </c>
      <c r="P41" s="1826" t="str">
        <f>IF(INICIO!$C$7&gt;DAY($B41)-1,(VLOOKUP($B41,DATOSAÑO!$B$11:$BG$375,24))," ")</f>
        <v xml:space="preserve"> </v>
      </c>
      <c r="Q41" s="1826" t="str">
        <f>IF(INICIO!$C$7&gt;DAY($B41)-1,(P41/24)," ")</f>
        <v xml:space="preserve"> </v>
      </c>
      <c r="R41" s="1826" t="str">
        <f>IF(INICIO!$C$7&gt;DAY($B41)-1,(VLOOKUP($B41,DATOSAÑO!$B$11:$BG$375,55))," ")</f>
        <v xml:space="preserve"> </v>
      </c>
      <c r="S41" s="1830" t="str">
        <f>IF(INICIO!$C$7&gt;DAY($B41)-1,(R41/24)," ")</f>
        <v xml:space="preserve"> </v>
      </c>
      <c r="T41" s="636"/>
      <c r="U41" s="1808"/>
      <c r="V41" s="1806"/>
      <c r="W41" s="407"/>
      <c r="X41" s="407"/>
      <c r="Y41" s="407"/>
      <c r="Z41" s="1042"/>
      <c r="AA41" s="1042"/>
      <c r="AD41" s="407"/>
    </row>
    <row r="42" spans="1:30" s="1271" customFormat="1" ht="15" thickBot="1">
      <c r="A42" s="635"/>
      <c r="B42" s="1881">
        <f>B41+1</f>
        <v>45261</v>
      </c>
      <c r="C42" s="1882" t="str">
        <f>IF(INICIO!$C$7&gt;DAY($B42)-1,(VLOOKUP($B42,'[4]PRODUCCION VS ENERGIA'!$B$12:$I$41,2))," ")</f>
        <v xml:space="preserve"> </v>
      </c>
      <c r="D42" s="1883" t="str">
        <f>IF(INICIO!$C$7&gt;DAY($B42)-1,(VLOOKUP($B42,'[4]PRODUCCION VS ENERGIA'!$B$12:$I$41,3))," ")</f>
        <v xml:space="preserve"> </v>
      </c>
      <c r="E42" s="1884" t="str">
        <f>IF(INICIO!$C$7&gt;DAY($B42)-1,(VLOOKUP($B42,'[4]PRODUCCION VS ENERGIA'!$B$12:$I$41,3))," ")</f>
        <v xml:space="preserve"> </v>
      </c>
      <c r="F42" s="1883" t="str">
        <f>IF(INICIO!$C$7&gt;DAY($B42)-1,(VLOOKUP($B42,'[4]PRODUCCION VS ENERGIA'!$B$12:$I$41,5))," ")</f>
        <v xml:space="preserve"> </v>
      </c>
      <c r="G42" s="1885" t="str">
        <f>IF(INICIO!$C$7&gt;DAY($B42)-1,(VLOOKUP($B42,'[4]PRODUCCION VS ENERGIA'!$B$12:$I$41,6))," ")</f>
        <v xml:space="preserve"> </v>
      </c>
      <c r="H42" s="1885" t="str">
        <f t="shared" ref="H42" si="4">IF(G42=" "," ",G42/24)</f>
        <v xml:space="preserve"> </v>
      </c>
      <c r="I42" s="1885" t="str">
        <f>IF(INICIO!$C$7&gt;DAY($B42)-1,(VLOOKUP($B42,'[4]PRODUCCION VS ENERGIA'!$B$12:$I$41,8))," ")</f>
        <v xml:space="preserve"> </v>
      </c>
      <c r="J42" s="1886" t="str">
        <f t="shared" ref="J42" si="5">IF(I42=" "," ",I42/24)</f>
        <v xml:space="preserve"> </v>
      </c>
      <c r="K42" s="1887">
        <f ca="1">IF(INICIO!$C$7&gt;DAY($B42)-1,(VLOOKUP($B42,DATOSAÑO!$B$11:$BG$375,56))," ")</f>
        <v>0</v>
      </c>
      <c r="L42" s="1885">
        <f ca="1">IF(INICIO!$C$7&gt;DAY($B42)-1,(VLOOKUP($B42,DATOSAÑO!$B$11:$BG$375,57))," ")</f>
        <v>0</v>
      </c>
      <c r="M42" s="1885">
        <f ca="1">IF(INICIO!$C$7&gt;DAY($B42)-1,(VLOOKUP($B42,DATOSAÑO!$B$11:$CL$375,87))," ")</f>
        <v>0</v>
      </c>
      <c r="N42" s="1885">
        <f t="shared" ref="N42" ca="1" si="6">IF(AND($K42=" ",$L42=" ")," ",(L42+K42+M42))</f>
        <v>0</v>
      </c>
      <c r="O42" s="1885">
        <f ca="1">IF(INICIO!$C$7&gt;DAY($B42)-1,(VLOOKUP($B42,DATOSAÑO!$B$11:$BG$375,58))," ")</f>
        <v>0</v>
      </c>
      <c r="P42" s="1885">
        <f ca="1">IF(INICIO!$C$7&gt;DAY($B42)-1,(VLOOKUP($B42,DATOSAÑO!$B$11:$BG$375,24))," ")</f>
        <v>0</v>
      </c>
      <c r="Q42" s="1885">
        <f ca="1">IF(INICIO!$C$7&gt;DAY($B42)-1,(P42/24)," ")</f>
        <v>0</v>
      </c>
      <c r="R42" s="1885">
        <f ca="1">IF(INICIO!$C$7&gt;DAY($B42)-1,(VLOOKUP($B42,DATOSAÑO!$B$11:$BG$375,55))," ")</f>
        <v>0</v>
      </c>
      <c r="S42" s="1888">
        <f ca="1">IF(INICIO!$C$7&gt;DAY($B42)-1,(R42/24)," ")</f>
        <v>0</v>
      </c>
      <c r="T42" s="636"/>
      <c r="U42" s="1808"/>
      <c r="V42" s="1806"/>
      <c r="W42" s="407"/>
      <c r="X42" s="407"/>
      <c r="Y42" s="407"/>
      <c r="Z42" s="1042"/>
      <c r="AA42" s="1042"/>
      <c r="AD42" s="407"/>
    </row>
    <row r="43" spans="1:30" ht="15" thickBot="1">
      <c r="A43" s="635"/>
      <c r="B43" s="1853"/>
      <c r="C43" s="1854"/>
      <c r="D43" s="1854"/>
      <c r="E43" s="1854"/>
      <c r="F43" s="1854"/>
      <c r="G43" s="1854"/>
      <c r="H43" s="1854"/>
      <c r="I43" s="1854"/>
      <c r="J43" s="1854"/>
      <c r="K43" s="1853"/>
      <c r="L43" s="1854"/>
      <c r="M43" s="1854"/>
      <c r="N43" s="1854"/>
      <c r="O43" s="1854"/>
      <c r="P43" s="1854"/>
      <c r="Q43" s="1854"/>
      <c r="R43" s="1854"/>
      <c r="S43" s="1854"/>
      <c r="T43" s="636"/>
      <c r="Z43" s="1042"/>
      <c r="AA43" s="1042"/>
    </row>
    <row r="44" spans="1:30" ht="34" customHeight="1">
      <c r="A44" s="635"/>
      <c r="B44" s="2032" t="s">
        <v>940</v>
      </c>
      <c r="C44" s="2033"/>
      <c r="D44" s="2034"/>
      <c r="E44" s="1855">
        <f>MAX(C12:C42)</f>
        <v>0</v>
      </c>
      <c r="F44" s="2038" t="s">
        <v>864</v>
      </c>
      <c r="G44" s="2038"/>
      <c r="H44" s="1855">
        <f>MAX(F12:F42)</f>
        <v>0</v>
      </c>
      <c r="I44" s="1856" t="s">
        <v>821</v>
      </c>
      <c r="J44" s="1857">
        <f>MAX(G12:G42)</f>
        <v>377</v>
      </c>
      <c r="K44" s="2032" t="s">
        <v>940</v>
      </c>
      <c r="L44" s="2033"/>
      <c r="M44" s="2034"/>
      <c r="N44" s="1855">
        <f ca="1">MAX(K12:K42)</f>
        <v>0</v>
      </c>
      <c r="O44" s="2038" t="s">
        <v>865</v>
      </c>
      <c r="P44" s="2038"/>
      <c r="Q44" s="1855">
        <f ca="1">MAX(O12:O42)</f>
        <v>0</v>
      </c>
      <c r="R44" s="1856" t="s">
        <v>821</v>
      </c>
      <c r="S44" s="1858">
        <f ca="1">MAX(P12:P42)</f>
        <v>440</v>
      </c>
      <c r="T44" s="636"/>
      <c r="Z44" s="1042"/>
      <c r="AA44" s="1042"/>
    </row>
    <row r="45" spans="1:30" ht="34" customHeight="1" thickBot="1">
      <c r="A45" s="635"/>
      <c r="B45" s="2035" t="s">
        <v>941</v>
      </c>
      <c r="C45" s="2036"/>
      <c r="D45" s="2037"/>
      <c r="E45" s="1859">
        <f>MIN(C12:C42)</f>
        <v>0</v>
      </c>
      <c r="F45" s="2045" t="s">
        <v>866</v>
      </c>
      <c r="G45" s="2045"/>
      <c r="H45" s="1859">
        <f>MIN(F12:F42)</f>
        <v>0</v>
      </c>
      <c r="I45" s="1860" t="s">
        <v>822</v>
      </c>
      <c r="J45" s="1861">
        <f>MIN(G12:G42)</f>
        <v>377</v>
      </c>
      <c r="K45" s="2035" t="s">
        <v>941</v>
      </c>
      <c r="L45" s="2036"/>
      <c r="M45" s="2037"/>
      <c r="N45" s="1859">
        <f ca="1">MIN(K12:K42)</f>
        <v>0</v>
      </c>
      <c r="O45" s="2045" t="s">
        <v>866</v>
      </c>
      <c r="P45" s="2045"/>
      <c r="Q45" s="1859">
        <f ca="1">MIN(O12:O42)</f>
        <v>0</v>
      </c>
      <c r="R45" s="1860" t="s">
        <v>822</v>
      </c>
      <c r="S45" s="1862">
        <f ca="1">MIN(P12:P42)</f>
        <v>0</v>
      </c>
      <c r="T45" s="636"/>
    </row>
    <row r="46" spans="1:30" ht="15" thickBot="1">
      <c r="A46" s="635"/>
      <c r="B46" s="112"/>
      <c r="C46" s="112"/>
      <c r="D46" s="112"/>
      <c r="E46" s="112"/>
      <c r="F46" s="112"/>
      <c r="G46" s="112"/>
      <c r="H46" s="112"/>
      <c r="I46" s="112"/>
      <c r="J46" s="112"/>
      <c r="K46" s="112"/>
      <c r="L46" s="112"/>
      <c r="M46" s="112"/>
      <c r="N46" s="112"/>
      <c r="O46" s="112"/>
      <c r="P46" s="112"/>
      <c r="Q46" s="112"/>
      <c r="R46" s="112"/>
      <c r="S46" s="112"/>
      <c r="T46" s="636"/>
    </row>
    <row r="47" spans="1:30" ht="17.149999999999999" customHeight="1">
      <c r="A47" s="635"/>
      <c r="B47" s="2042" t="s">
        <v>867</v>
      </c>
      <c r="C47" s="2043"/>
      <c r="D47" s="2043"/>
      <c r="E47" s="2043"/>
      <c r="F47" s="2043"/>
      <c r="G47" s="2043"/>
      <c r="H47" s="2043"/>
      <c r="I47" s="2043"/>
      <c r="J47" s="2044"/>
      <c r="K47" s="2042" t="s">
        <v>868</v>
      </c>
      <c r="L47" s="2043"/>
      <c r="M47" s="2043"/>
      <c r="N47" s="2043"/>
      <c r="O47" s="2043"/>
      <c r="P47" s="2043"/>
      <c r="Q47" s="2043"/>
      <c r="R47" s="2043"/>
      <c r="S47" s="2044"/>
      <c r="T47" s="636"/>
    </row>
    <row r="48" spans="1:30" ht="15" thickBot="1">
      <c r="A48" s="635"/>
      <c r="B48" s="2039"/>
      <c r="C48" s="2040"/>
      <c r="D48" s="2040"/>
      <c r="E48" s="2040"/>
      <c r="F48" s="2040"/>
      <c r="G48" s="2040"/>
      <c r="H48" s="2040"/>
      <c r="I48" s="2040"/>
      <c r="J48" s="2041"/>
      <c r="K48" s="1863"/>
      <c r="L48" s="1864"/>
      <c r="M48" s="1864"/>
      <c r="N48" s="1864"/>
      <c r="O48" s="1864"/>
      <c r="P48" s="1864"/>
      <c r="Q48" s="1864"/>
      <c r="R48" s="1864"/>
      <c r="S48" s="1865"/>
      <c r="T48" s="636"/>
    </row>
    <row r="49" spans="1:20" ht="12.5" customHeight="1" thickBot="1">
      <c r="A49" s="713"/>
      <c r="B49" s="714"/>
      <c r="C49" s="714"/>
      <c r="D49" s="714"/>
      <c r="E49" s="714"/>
      <c r="F49" s="714"/>
      <c r="G49" s="714"/>
      <c r="H49" s="714"/>
      <c r="I49" s="714"/>
      <c r="J49" s="714"/>
      <c r="K49" s="714"/>
      <c r="L49" s="714"/>
      <c r="M49" s="1107"/>
      <c r="N49" s="714"/>
      <c r="O49" s="714"/>
      <c r="P49" s="714"/>
      <c r="Q49" s="714"/>
      <c r="R49" s="714"/>
      <c r="S49" s="714"/>
      <c r="T49" s="715"/>
    </row>
    <row r="50" spans="1:20" ht="15" thickTop="1"/>
  </sheetData>
  <mergeCells count="33">
    <mergeCell ref="E4:J4"/>
    <mergeCell ref="O2:S2"/>
    <mergeCell ref="B2:F2"/>
    <mergeCell ref="G2:N2"/>
    <mergeCell ref="C8:J8"/>
    <mergeCell ref="K8:S8"/>
    <mergeCell ref="B7:S7"/>
    <mergeCell ref="K4:S4"/>
    <mergeCell ref="F5:I5"/>
    <mergeCell ref="B5:B6"/>
    <mergeCell ref="C5:C6"/>
    <mergeCell ref="D5:D6"/>
    <mergeCell ref="L5:R5"/>
    <mergeCell ref="M6:R6"/>
    <mergeCell ref="G6:I6"/>
    <mergeCell ref="B8:B11"/>
    <mergeCell ref="B48:J48"/>
    <mergeCell ref="B47:J47"/>
    <mergeCell ref="K47:S47"/>
    <mergeCell ref="O45:P45"/>
    <mergeCell ref="F45:G45"/>
    <mergeCell ref="K44:M44"/>
    <mergeCell ref="K45:M45"/>
    <mergeCell ref="O44:P44"/>
    <mergeCell ref="F44:G44"/>
    <mergeCell ref="B44:D44"/>
    <mergeCell ref="B45:D45"/>
    <mergeCell ref="P9:S9"/>
    <mergeCell ref="C10:E10"/>
    <mergeCell ref="K10:N10"/>
    <mergeCell ref="C9:F9"/>
    <mergeCell ref="G9:J9"/>
    <mergeCell ref="K9:O9"/>
  </mergeCells>
  <dataValidations count="2">
    <dataValidation type="list" allowBlank="1" showInputMessage="1" showErrorMessage="1" sqref="F5">
      <formula1>$W$3:$W$7</formula1>
    </dataValidation>
    <dataValidation type="list" allowBlank="1" showInputMessage="1" showErrorMessage="1" sqref="L5:R5">
      <formula1>$AD$5:$AD$8</formula1>
    </dataValidation>
  </dataValidations>
  <hyperlinks>
    <hyperlink ref="M6" r:id="rId1"/>
    <hyperlink ref="G6" r:id="rId2"/>
  </hyperlinks>
  <printOptions horizontalCentered="1" verticalCentered="1"/>
  <pageMargins left="0.7" right="0.45" top="0.5" bottom="0.5" header="0.3" footer="0.3"/>
  <pageSetup scale="45" orientation="landscape" r:id="rId3"/>
  <ignoredErrors>
    <ignoredError sqref="R12:R42 I12:I42" formula="1"/>
  </ignoredErrors>
  <drawing r:id="rId4"/>
  <legacy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theme="3"/>
    <pageSetUpPr fitToPage="1"/>
  </sheetPr>
  <dimension ref="A1:AB73"/>
  <sheetViews>
    <sheetView showGridLines="0" showRuler="0" topLeftCell="A37" zoomScale="68" zoomScaleNormal="68" zoomScalePageLayoutView="104" workbookViewId="0">
      <selection activeCell="B18" sqref="B18:S18"/>
    </sheetView>
  </sheetViews>
  <sheetFormatPr baseColWidth="10" defaultColWidth="11.54296875" defaultRowHeight="14.5"/>
  <cols>
    <col min="1" max="1" width="2.6328125" style="1330" customWidth="1"/>
    <col min="2" max="15" width="13.6328125" style="1330" customWidth="1"/>
    <col min="16" max="17" width="12.6328125" style="1330" customWidth="1"/>
    <col min="18" max="19" width="13.1796875" style="1330" bestFit="1" customWidth="1"/>
    <col min="20" max="20" width="2.81640625" style="1330" customWidth="1"/>
    <col min="21" max="22" width="11.54296875" style="1330"/>
    <col min="23" max="23" width="23.54296875" style="1330" bestFit="1" customWidth="1"/>
    <col min="24" max="24" width="48.81640625" style="1332" customWidth="1"/>
    <col min="25" max="25" width="28.81640625" style="1330" bestFit="1" customWidth="1"/>
    <col min="26" max="26" width="11.54296875" style="1330"/>
    <col min="27" max="27" width="11.54296875" style="1330" customWidth="1"/>
    <col min="28" max="16384" width="11.54296875" style="1330"/>
  </cols>
  <sheetData>
    <row r="1" spans="1:28" ht="18" customHeight="1" thickTop="1">
      <c r="A1" s="1327"/>
      <c r="B1" s="1328"/>
      <c r="C1" s="1328"/>
      <c r="D1" s="1328"/>
      <c r="E1" s="1328"/>
      <c r="F1" s="1328"/>
      <c r="G1" s="1328"/>
      <c r="H1" s="1328"/>
      <c r="I1" s="1328"/>
      <c r="J1" s="1328"/>
      <c r="K1" s="1328"/>
      <c r="L1" s="1328"/>
      <c r="M1" s="1328"/>
      <c r="N1" s="1328"/>
      <c r="O1" s="1328"/>
      <c r="P1" s="1328"/>
      <c r="Q1" s="1328"/>
      <c r="R1" s="1328"/>
      <c r="S1" s="1328"/>
      <c r="T1" s="1544"/>
      <c r="U1" s="1332"/>
      <c r="V1" s="1332"/>
      <c r="W1" s="1332"/>
      <c r="Y1" s="1332"/>
      <c r="Z1" s="1332"/>
      <c r="AA1" s="1332"/>
    </row>
    <row r="2" spans="1:28" ht="58.5" customHeight="1">
      <c r="A2" s="1331"/>
      <c r="B2" s="2142"/>
      <c r="C2" s="2143"/>
      <c r="D2" s="2143"/>
      <c r="E2" s="2144" t="s">
        <v>1480</v>
      </c>
      <c r="F2" s="2145"/>
      <c r="G2" s="2145"/>
      <c r="H2" s="2145"/>
      <c r="I2" s="2145"/>
      <c r="J2" s="2145"/>
      <c r="K2" s="2145"/>
      <c r="L2" s="2146"/>
      <c r="M2" s="2144"/>
      <c r="N2" s="2145"/>
      <c r="O2" s="2147"/>
      <c r="P2" s="2133"/>
      <c r="Q2" s="2134"/>
      <c r="R2" s="2134"/>
      <c r="S2" s="2135"/>
      <c r="T2" s="1539"/>
      <c r="U2" s="1332"/>
      <c r="V2" s="1332"/>
      <c r="W2" s="1332"/>
      <c r="Y2" s="1332"/>
      <c r="Z2" s="1332" t="s">
        <v>1355</v>
      </c>
      <c r="AA2" s="1332"/>
      <c r="AB2" s="1332"/>
    </row>
    <row r="3" spans="1:28" ht="16" customHeight="1">
      <c r="A3" s="1331"/>
      <c r="B3" s="1333"/>
      <c r="C3" s="1333"/>
      <c r="D3" s="1333"/>
      <c r="E3" s="1333"/>
      <c r="F3" s="1333"/>
      <c r="G3" s="1333"/>
      <c r="H3" s="1333"/>
      <c r="I3" s="1333"/>
      <c r="J3" s="1333"/>
      <c r="K3" s="1333"/>
      <c r="L3" s="1333"/>
      <c r="M3" s="1333"/>
      <c r="N3" s="1333"/>
      <c r="O3" s="1333"/>
      <c r="P3" s="2136"/>
      <c r="Q3" s="2137"/>
      <c r="R3" s="2137"/>
      <c r="S3" s="2138"/>
      <c r="T3" s="1540"/>
      <c r="U3" s="1332"/>
      <c r="V3" s="1332"/>
      <c r="W3" s="1332" t="s">
        <v>832</v>
      </c>
      <c r="Y3" s="1332"/>
      <c r="Z3" s="1332" t="s">
        <v>1148</v>
      </c>
      <c r="AA3" s="1332"/>
      <c r="AB3" s="1332"/>
    </row>
    <row r="4" spans="1:28" ht="16" customHeight="1">
      <c r="A4" s="1331"/>
      <c r="B4" s="1538" t="s">
        <v>805</v>
      </c>
      <c r="C4" s="1538" t="s">
        <v>131</v>
      </c>
      <c r="D4" s="1538" t="s">
        <v>229</v>
      </c>
      <c r="E4" s="2150" t="s">
        <v>833</v>
      </c>
      <c r="F4" s="2151"/>
      <c r="G4" s="2151"/>
      <c r="H4" s="2151"/>
      <c r="I4" s="1538" t="s">
        <v>1476</v>
      </c>
      <c r="J4" s="2150" t="s">
        <v>834</v>
      </c>
      <c r="K4" s="2151"/>
      <c r="L4" s="2151"/>
      <c r="M4" s="2151"/>
      <c r="N4" s="2151"/>
      <c r="O4" s="1874" t="s">
        <v>1476</v>
      </c>
      <c r="P4" s="2136"/>
      <c r="Q4" s="2137"/>
      <c r="R4" s="2137"/>
      <c r="S4" s="2138"/>
      <c r="T4" s="1539"/>
      <c r="U4" s="1332"/>
      <c r="V4" s="1332"/>
      <c r="W4" s="1332" t="s">
        <v>1123</v>
      </c>
      <c r="Y4" s="1332" t="s">
        <v>1164</v>
      </c>
      <c r="Z4" s="1332"/>
      <c r="AA4" s="1332"/>
      <c r="AB4" s="1332"/>
    </row>
    <row r="5" spans="1:28" ht="16" customHeight="1">
      <c r="A5" s="1331"/>
      <c r="B5" s="2157">
        <f>INICIO!C7</f>
        <v>1</v>
      </c>
      <c r="C5" s="2157">
        <f>INICIO!C6</f>
        <v>11</v>
      </c>
      <c r="D5" s="2148">
        <f>INICIO!C8</f>
        <v>45231</v>
      </c>
      <c r="E5" s="2179" t="s">
        <v>832</v>
      </c>
      <c r="F5" s="2180"/>
      <c r="G5" s="2180"/>
      <c r="H5" s="2180"/>
      <c r="I5" s="2178">
        <v>31049</v>
      </c>
      <c r="J5" s="2178" t="s">
        <v>1197</v>
      </c>
      <c r="K5" s="2178"/>
      <c r="L5" s="2178"/>
      <c r="M5" s="2178"/>
      <c r="N5" s="2178"/>
      <c r="O5" s="2179">
        <v>51853</v>
      </c>
      <c r="P5" s="2136"/>
      <c r="Q5" s="2137"/>
      <c r="R5" s="2137"/>
      <c r="S5" s="2138"/>
      <c r="T5" s="1541"/>
      <c r="U5" s="1334"/>
      <c r="V5" s="1332" t="s">
        <v>1147</v>
      </c>
      <c r="W5" s="1332" t="s">
        <v>1451</v>
      </c>
      <c r="Y5" s="1332" t="s">
        <v>1306</v>
      </c>
      <c r="Z5" s="1332"/>
      <c r="AA5" s="1332"/>
    </row>
    <row r="6" spans="1:28" ht="16" customHeight="1">
      <c r="A6" s="1331"/>
      <c r="B6" s="2158"/>
      <c r="C6" s="2158"/>
      <c r="D6" s="2149"/>
      <c r="E6" s="1565" t="s">
        <v>807</v>
      </c>
      <c r="F6" s="2176" t="s">
        <v>1124</v>
      </c>
      <c r="G6" s="2177"/>
      <c r="H6" s="2177"/>
      <c r="I6" s="2178"/>
      <c r="J6" s="1565" t="s">
        <v>807</v>
      </c>
      <c r="K6" s="2181" t="s">
        <v>1043</v>
      </c>
      <c r="L6" s="2181"/>
      <c r="M6" s="2181"/>
      <c r="N6" s="2181"/>
      <c r="O6" s="2179"/>
      <c r="P6" s="2136"/>
      <c r="Q6" s="2137"/>
      <c r="R6" s="2137"/>
      <c r="S6" s="2138"/>
      <c r="T6" s="1539"/>
      <c r="U6" s="1332"/>
      <c r="V6" s="1332"/>
      <c r="W6" s="1332"/>
      <c r="Y6" s="1332" t="s">
        <v>860</v>
      </c>
      <c r="Z6" s="1332"/>
      <c r="AA6" s="1332"/>
      <c r="AB6" s="1332"/>
    </row>
    <row r="7" spans="1:28" ht="30" customHeight="1">
      <c r="A7" s="1331"/>
      <c r="B7" s="2079" t="s">
        <v>1256</v>
      </c>
      <c r="C7" s="2079"/>
      <c r="D7" s="2079"/>
      <c r="E7" s="2079"/>
      <c r="F7" s="2079"/>
      <c r="G7" s="2079"/>
      <c r="H7" s="2079"/>
      <c r="I7" s="2079"/>
      <c r="J7" s="2079"/>
      <c r="K7" s="2079"/>
      <c r="L7" s="2079"/>
      <c r="M7" s="2079"/>
      <c r="N7" s="1841">
        <f ca="1">TODAY( )-1</f>
        <v>45231</v>
      </c>
      <c r="O7" s="1840" t="str">
        <f>TEXT(D5,"MMM")</f>
        <v>nov</v>
      </c>
      <c r="P7" s="2136"/>
      <c r="Q7" s="2137"/>
      <c r="R7" s="2137"/>
      <c r="S7" s="2138"/>
      <c r="T7" s="1539"/>
      <c r="U7" s="1332"/>
      <c r="V7" s="1332"/>
      <c r="W7" s="1332" t="s">
        <v>1149</v>
      </c>
      <c r="Y7" s="1332" t="s">
        <v>1197</v>
      </c>
      <c r="Z7" s="1332"/>
      <c r="AA7" s="1332"/>
      <c r="AB7" s="1332"/>
    </row>
    <row r="8" spans="1:28" ht="16" customHeight="1">
      <c r="A8" s="1331"/>
      <c r="B8" s="2184" t="s">
        <v>836</v>
      </c>
      <c r="C8" s="2185"/>
      <c r="D8" s="2185"/>
      <c r="E8" s="2185"/>
      <c r="F8" s="2186"/>
      <c r="G8" s="2186"/>
      <c r="H8" s="2187"/>
      <c r="I8" s="2108" t="s">
        <v>837</v>
      </c>
      <c r="J8" s="2075"/>
      <c r="K8" s="2075"/>
      <c r="L8" s="2075"/>
      <c r="M8" s="2075"/>
      <c r="N8" s="2075"/>
      <c r="O8" s="2075"/>
      <c r="P8" s="2136"/>
      <c r="Q8" s="2137"/>
      <c r="R8" s="2137"/>
      <c r="S8" s="2138"/>
      <c r="T8" s="1539"/>
      <c r="U8" s="1332"/>
      <c r="V8" s="1332"/>
      <c r="W8" s="1332" t="s">
        <v>1335</v>
      </c>
      <c r="Y8" s="1332" t="s">
        <v>1306</v>
      </c>
      <c r="Z8" s="1332"/>
      <c r="AA8" s="1332"/>
      <c r="AB8" s="1332"/>
    </row>
    <row r="9" spans="1:28" ht="16" customHeight="1">
      <c r="A9" s="1331"/>
      <c r="B9" s="2077" t="s">
        <v>943</v>
      </c>
      <c r="C9" s="2077" t="s">
        <v>897</v>
      </c>
      <c r="D9" s="2077" t="s">
        <v>898</v>
      </c>
      <c r="E9" s="2152" t="s">
        <v>899</v>
      </c>
      <c r="F9" s="2074" t="s">
        <v>1334</v>
      </c>
      <c r="G9" s="2097"/>
      <c r="H9" s="2182" t="s">
        <v>838</v>
      </c>
      <c r="I9" s="2165" t="s">
        <v>943</v>
      </c>
      <c r="J9" s="2077" t="s">
        <v>897</v>
      </c>
      <c r="K9" s="2077" t="s">
        <v>898</v>
      </c>
      <c r="L9" s="2077" t="s">
        <v>899</v>
      </c>
      <c r="M9" s="2073" t="s">
        <v>1334</v>
      </c>
      <c r="N9" s="2073"/>
      <c r="O9" s="2152" t="s">
        <v>1483</v>
      </c>
      <c r="P9" s="2136"/>
      <c r="Q9" s="2137"/>
      <c r="R9" s="2137"/>
      <c r="S9" s="2138"/>
      <c r="T9" s="1539"/>
      <c r="U9" s="1332"/>
      <c r="V9" s="1332"/>
      <c r="W9" s="1332"/>
      <c r="Y9" s="1332"/>
      <c r="Z9" s="1332"/>
      <c r="AA9" s="1332"/>
      <c r="AB9" s="1332"/>
    </row>
    <row r="10" spans="1:28" ht="30" customHeight="1">
      <c r="A10" s="1331"/>
      <c r="B10" s="2078"/>
      <c r="C10" s="2078"/>
      <c r="D10" s="2078"/>
      <c r="E10" s="2078"/>
      <c r="F10" s="1873" t="s">
        <v>1315</v>
      </c>
      <c r="G10" s="1873" t="s">
        <v>1426</v>
      </c>
      <c r="H10" s="2183"/>
      <c r="I10" s="2166"/>
      <c r="J10" s="2078"/>
      <c r="K10" s="2078"/>
      <c r="L10" s="2078"/>
      <c r="M10" s="1872" t="s">
        <v>1315</v>
      </c>
      <c r="N10" s="1872" t="s">
        <v>1314</v>
      </c>
      <c r="O10" s="2153"/>
      <c r="P10" s="2139"/>
      <c r="Q10" s="2140"/>
      <c r="R10" s="2140"/>
      <c r="S10" s="2141"/>
      <c r="T10" s="1539"/>
      <c r="U10" s="1332"/>
      <c r="V10" s="1332"/>
      <c r="W10" s="1332" t="s">
        <v>838</v>
      </c>
      <c r="Y10" s="1332"/>
      <c r="Z10" s="1332"/>
      <c r="AA10" s="1332"/>
      <c r="AB10" s="1332"/>
    </row>
    <row r="11" spans="1:28" ht="20" customHeight="1">
      <c r="A11" s="1331"/>
      <c r="B11" s="1550" t="s">
        <v>950</v>
      </c>
      <c r="C11" s="1571">
        <f>IF(INICIO!$C$6&gt;$D$5,0,'[5]INFORME DIARIO'!$B$11:$D$15)</f>
        <v>0</v>
      </c>
      <c r="D11" s="1889">
        <f>IF(INICIO!$C$6&gt;$D$5,0,'[5]INFORME DIARIO'!$B$11:$D$15)</f>
        <v>0</v>
      </c>
      <c r="E11" s="1552">
        <v>13.8</v>
      </c>
      <c r="F11" s="1553">
        <f>'[6]INFORME DIARIO CUS-CUP'!$H$16</f>
        <v>2.2399073599176953</v>
      </c>
      <c r="G11" s="1553">
        <f>'[6]INFORME DIARIO CUS-CUP'!$I$16</f>
        <v>0</v>
      </c>
      <c r="H11" s="1546" t="s">
        <v>829</v>
      </c>
      <c r="I11" s="1556" t="s">
        <v>5</v>
      </c>
      <c r="J11" s="1557">
        <f>VLOOKUP('DATA DE LAS 12'!A3,'DATA DE LAS 12'!A6:CG36,5,FALSE)</f>
        <v>6.1</v>
      </c>
      <c r="K11" s="1558">
        <f>VLOOKUP('DATA DE LAS 12'!A3,'DATA DE LAS 12'!A6:CC36,43,FALSE)</f>
        <v>286</v>
      </c>
      <c r="L11" s="1559">
        <v>13.8</v>
      </c>
      <c r="M11" s="1553">
        <f ca="1">VLOOKUP('CONSUMO DE GAS POR AREAS'!G6,'CONSUMO DE GAS POR AREAS'!A12:H376,4,FALSE)</f>
        <v>4.0365242327959576</v>
      </c>
      <c r="N11" s="1553">
        <f ca="1">VLOOKUP('CONSUMO DE GAS POR AREAS'!G6,'CONSUMO DE GAS POR AREAS'!A12:K376,5,FALSE)</f>
        <v>0</v>
      </c>
      <c r="O11" s="1548" t="s">
        <v>840</v>
      </c>
      <c r="P11" s="2155" t="s">
        <v>1478</v>
      </c>
      <c r="Q11" s="2155" t="s">
        <v>1479</v>
      </c>
      <c r="R11" s="2191" t="s">
        <v>1427</v>
      </c>
      <c r="S11" s="2192"/>
      <c r="T11" s="1539"/>
      <c r="U11" s="1332"/>
      <c r="V11" s="1332"/>
      <c r="W11" s="1332" t="s">
        <v>840</v>
      </c>
      <c r="Y11" s="1332"/>
      <c r="Z11" s="1332"/>
      <c r="AA11" s="1332"/>
      <c r="AB11" s="1332"/>
    </row>
    <row r="12" spans="1:28" ht="20" customHeight="1">
      <c r="A12" s="1545"/>
      <c r="B12" s="1550" t="s">
        <v>951</v>
      </c>
      <c r="C12" s="1551">
        <f>IF(INICIO!$C$6&gt;$D$5,0,'[5]INFORME DIARIO'!$B$11:$D$15)</f>
        <v>4</v>
      </c>
      <c r="D12" s="1551">
        <f>IF(INICIO!$C$6&gt;$D$5,0,'[5]INFORME DIARIO'!$B$11:$D$15)</f>
        <v>198</v>
      </c>
      <c r="E12" s="1552">
        <v>13.8</v>
      </c>
      <c r="F12" s="1553">
        <f>'[6]INFORME DIARIO CUS-CUP'!$H$17</f>
        <v>2.2260917220576131</v>
      </c>
      <c r="G12" s="1553">
        <f>'[6]INFORME DIARIO CUS-CUP'!$I$16</f>
        <v>0</v>
      </c>
      <c r="H12" s="1546" t="s">
        <v>840</v>
      </c>
      <c r="I12" s="1556" t="s">
        <v>6</v>
      </c>
      <c r="J12" s="1557">
        <f>VLOOKUP('DATA DE LAS 12'!A3,'DATA DE LAS 12'!A41:CG71,5,FALSE)</f>
        <v>11.6</v>
      </c>
      <c r="K12" s="1558">
        <f>VLOOKUP('DATA DE LAS 12'!A3,'DATA DE LAS 12'!A41:CC71,43,FALSE)</f>
        <v>553</v>
      </c>
      <c r="L12" s="1559">
        <v>13.8</v>
      </c>
      <c r="M12" s="1553">
        <f ca="1">VLOOKUP('CONSUMO DE GAS POR AREAS'!G6,'CONSUMO DE GAS POR AREAS'!A12:H376,7,FALSE)</f>
        <v>5.4957787804379201</v>
      </c>
      <c r="N12" s="1553">
        <f ca="1">VLOOKUP('CONSUMO DE GAS POR AREAS'!G6,'CONSUMO DE GAS POR AREAS'!A12:K376,8,FALSE)</f>
        <v>0</v>
      </c>
      <c r="O12" s="1548" t="s">
        <v>839</v>
      </c>
      <c r="P12" s="2156"/>
      <c r="Q12" s="2156"/>
      <c r="R12" s="2193"/>
      <c r="S12" s="2194"/>
      <c r="T12" s="1539"/>
      <c r="U12" s="1332"/>
      <c r="V12" s="1332"/>
      <c r="W12" s="1332" t="s">
        <v>839</v>
      </c>
      <c r="Y12" s="1332"/>
      <c r="Z12" s="1332"/>
      <c r="AA12" s="1332"/>
      <c r="AB12" s="1332"/>
    </row>
    <row r="13" spans="1:28" ht="20" customHeight="1">
      <c r="A13" s="1545"/>
      <c r="B13" s="1550" t="s">
        <v>952</v>
      </c>
      <c r="C13" s="1551">
        <f>IF(INICIO!$C$6&gt;$D$5,0,'[5]INFORME DIARIO'!$B$11:$D$15)</f>
        <v>3.7</v>
      </c>
      <c r="D13" s="1551">
        <f>IF(INICIO!$C$6&gt;$D$5,0,'[5]INFORME DIARIO'!$B$11:$D$15)</f>
        <v>148</v>
      </c>
      <c r="E13" s="1554">
        <v>13.8</v>
      </c>
      <c r="F13" s="1553">
        <f>'[6]INFORME DIARIO CUS-CUP'!$H$18</f>
        <v>3.1586472776131695</v>
      </c>
      <c r="G13" s="1553">
        <f>'[6]INFORME DIARIO CUS-CUP'!$I$16</f>
        <v>0</v>
      </c>
      <c r="H13" s="1546" t="s">
        <v>839</v>
      </c>
      <c r="I13" s="1556" t="s">
        <v>73</v>
      </c>
      <c r="J13" s="1560">
        <f ca="1">VLOOKUP('CONSUMO DE GAS POR AREAS'!G6,'CONSUMO DE GAS POR AREAS'!A12:P376,15,FALSE)</f>
        <v>0</v>
      </c>
      <c r="K13" s="1559">
        <v>0</v>
      </c>
      <c r="L13" s="1561">
        <v>4.16</v>
      </c>
      <c r="M13" s="1555" t="s">
        <v>756</v>
      </c>
      <c r="N13" s="1553">
        <f ca="1">VLOOKUP('CONSUMO DE GAS POR AREAS'!G6,'CONSUMO DE GAS POR AREAS'!A12:L376,10,FALSE)</f>
        <v>0</v>
      </c>
      <c r="O13" s="1548" t="s">
        <v>829</v>
      </c>
      <c r="P13" s="1566">
        <f>IF(INICIO!$C$6&gt;$D$5,0,'[5]INFORME DIARIO'!$M$13)</f>
        <v>377</v>
      </c>
      <c r="Q13" s="1566">
        <f ca="1">IF(INICIO!$C$8&gt;$D5," ",(VLOOKUP($N7,DATOSAÑO!$B$11:$BG$375,24)))</f>
        <v>440</v>
      </c>
      <c r="R13" s="1842" t="s">
        <v>810</v>
      </c>
      <c r="S13" s="1567">
        <f ca="1">SUM(P13:Q13)</f>
        <v>817</v>
      </c>
      <c r="T13" s="1539"/>
      <c r="U13" s="1332"/>
      <c r="V13" s="1332"/>
      <c r="W13" s="1332" t="s">
        <v>829</v>
      </c>
      <c r="Y13" s="1332"/>
      <c r="Z13" s="1332"/>
      <c r="AA13" s="1332"/>
      <c r="AB13" s="1332"/>
    </row>
    <row r="14" spans="1:28" ht="20" customHeight="1">
      <c r="A14" s="1331"/>
      <c r="B14" s="1550" t="s">
        <v>953</v>
      </c>
      <c r="C14" s="1551">
        <f>IF(INICIO!$C$6&gt;$D$5,0,'[5]INFORME DIARIO'!$B$11:$D$15)</f>
        <v>0</v>
      </c>
      <c r="D14" s="1551">
        <f>IF(INICIO!$C$6&gt;$D$5,0,'[5]INFORME DIARIO'!$B$11:$D$15)</f>
        <v>0</v>
      </c>
      <c r="E14" s="1554">
        <v>4.16</v>
      </c>
      <c r="F14" s="1553">
        <f>'[6]INFORME DIARIO CUS-CUP'!$H$19</f>
        <v>0</v>
      </c>
      <c r="G14" s="1553">
        <f>'[6]INFORME DIARIO CUS-CUP'!$I$16</f>
        <v>0</v>
      </c>
      <c r="H14" s="1546" t="s">
        <v>829</v>
      </c>
      <c r="I14" s="1556" t="s">
        <v>165</v>
      </c>
      <c r="J14" s="1558">
        <f ca="1">VLOOKUP('CONSUMO DE GAS POR AREAS'!G6,'CONSUMO DE GAS POR AREAS'!A12:P376,16,FALSE)</f>
        <v>0</v>
      </c>
      <c r="K14" s="1559">
        <v>0</v>
      </c>
      <c r="L14" s="1562">
        <v>4.16</v>
      </c>
      <c r="M14" s="1555" t="s">
        <v>756</v>
      </c>
      <c r="N14" s="1563">
        <f ca="1">VLOOKUP('CONSUMO DE GAS POR AREAS'!G6,'CONSUMO DE GAS POR AREAS'!A12:L376,12,FALSE)</f>
        <v>0</v>
      </c>
      <c r="O14" s="1548" t="s">
        <v>829</v>
      </c>
      <c r="P14" s="1566">
        <f>IF(INICIO!$C$6&gt;$D$5,0,'[5]INFORME DIARIO'!$M$14)</f>
        <v>377</v>
      </c>
      <c r="Q14" s="1566">
        <f ca="1">VLOOKUP($O$7,DATOSAÑO!B376:BP387,24,)</f>
        <v>440</v>
      </c>
      <c r="R14" s="1842" t="s">
        <v>811</v>
      </c>
      <c r="S14" s="1567">
        <f ca="1">SUM(P14:Q14)</f>
        <v>817</v>
      </c>
      <c r="T14" s="1539"/>
      <c r="U14" s="1332"/>
      <c r="V14" s="1332"/>
      <c r="W14" s="1332" t="s">
        <v>1152</v>
      </c>
      <c r="Y14" s="1332"/>
      <c r="Z14" s="1332"/>
      <c r="AA14" s="1332"/>
      <c r="AB14" s="1332"/>
    </row>
    <row r="15" spans="1:28" ht="20" customHeight="1">
      <c r="A15" s="1331"/>
      <c r="B15" s="1550" t="s">
        <v>841</v>
      </c>
      <c r="C15" s="1551">
        <f>IF(INICIO!$C$6&gt;$D$5,0,'[5]INFORME DIARIO'!$B$11:$D$15)</f>
        <v>0</v>
      </c>
      <c r="D15" s="1551">
        <f>IF(INICIO!$C$6&gt;$D$5,0,'[5]INFORME DIARIO'!$B$11:$D$15)</f>
        <v>0</v>
      </c>
      <c r="E15" s="1554">
        <v>4.16</v>
      </c>
      <c r="F15" s="1553">
        <f>'[6]INFORME DIARIO CUS-CUP'!$H$20</f>
        <v>0</v>
      </c>
      <c r="G15" s="1553">
        <f>'[6]INFORME DIARIO CUS-CUP'!$I$16</f>
        <v>0</v>
      </c>
      <c r="H15" s="1546" t="s">
        <v>829</v>
      </c>
      <c r="I15" s="1547" t="s">
        <v>1423</v>
      </c>
      <c r="J15" s="1559">
        <v>0</v>
      </c>
      <c r="K15" s="1559">
        <v>0</v>
      </c>
      <c r="L15" s="1561">
        <v>0.48</v>
      </c>
      <c r="M15" s="1555" t="s">
        <v>756</v>
      </c>
      <c r="N15" s="1564">
        <v>0</v>
      </c>
      <c r="O15" s="1548" t="s">
        <v>1152</v>
      </c>
      <c r="P15" s="1566">
        <f>IF(INICIO!$C$6&gt;$D$5,0,'[5]INFORME DIARIO'!$M$15)</f>
        <v>133820.88849999997</v>
      </c>
      <c r="Q15" s="1566">
        <f ca="1">DATOSAÑO!Y388</f>
        <v>133718.28499999995</v>
      </c>
      <c r="R15" s="1842" t="s">
        <v>812</v>
      </c>
      <c r="S15" s="1567">
        <f ca="1">SUM(P15:Q15)</f>
        <v>267539.17349999992</v>
      </c>
      <c r="T15" s="1542"/>
      <c r="U15" s="1332"/>
      <c r="V15" s="1332"/>
      <c r="W15" s="1332"/>
      <c r="Y15" s="1332"/>
      <c r="Z15" s="1332"/>
      <c r="AA15" s="1332"/>
      <c r="AB15" s="1332"/>
    </row>
    <row r="16" spans="1:28" ht="20" customHeight="1">
      <c r="A16" s="1331"/>
      <c r="B16" s="1550" t="s">
        <v>1475</v>
      </c>
      <c r="C16" s="1551">
        <f>IF(INICIO!$C$6&gt;$D$5,0,'[5]INFORME DIARIO'!$B$11:$D$16)</f>
        <v>0</v>
      </c>
      <c r="D16" s="1551">
        <f>IF(INICIO!$C$6&gt;$D$5,0,'[5]INFORME DIARIO'!$B$11:$D$16)</f>
        <v>0</v>
      </c>
      <c r="E16" s="1554">
        <v>0.48</v>
      </c>
      <c r="F16" s="1553">
        <f>'[6]INFORME DIARIO CUS-CUP'!$H$21</f>
        <v>0</v>
      </c>
      <c r="G16" s="1553">
        <f>'[6]INFORME DIARIO CUS-CUP'!$I$16</f>
        <v>0</v>
      </c>
      <c r="H16" s="1546" t="s">
        <v>829</v>
      </c>
      <c r="I16" s="1835"/>
      <c r="J16" s="1836"/>
      <c r="K16" s="1836"/>
      <c r="L16" s="1833"/>
      <c r="M16" s="1833"/>
      <c r="N16" s="1837"/>
      <c r="O16" s="1834"/>
      <c r="P16" s="1834"/>
      <c r="Q16" s="1834"/>
      <c r="R16" s="1834"/>
      <c r="S16" s="1838"/>
      <c r="T16" s="1542"/>
      <c r="U16" s="1332"/>
      <c r="V16" s="1332"/>
      <c r="W16" s="1332"/>
      <c r="Y16" s="1332"/>
      <c r="Z16" s="1332"/>
      <c r="AA16" s="1332"/>
      <c r="AB16" s="1332"/>
    </row>
    <row r="17" spans="1:28" ht="15.5">
      <c r="A17" s="1331"/>
      <c r="B17" s="2095" t="s">
        <v>842</v>
      </c>
      <c r="C17" s="2096"/>
      <c r="D17" s="2100" t="s">
        <v>900</v>
      </c>
      <c r="E17" s="2100"/>
      <c r="F17" s="2100"/>
      <c r="G17" s="2100"/>
      <c r="H17" s="2100"/>
      <c r="I17" s="2100"/>
      <c r="J17" s="2100"/>
      <c r="K17" s="2100"/>
      <c r="L17" s="2100"/>
      <c r="M17" s="2100"/>
      <c r="N17" s="2100"/>
      <c r="O17" s="2100"/>
      <c r="P17" s="2100"/>
      <c r="Q17" s="2100"/>
      <c r="R17" s="2100"/>
      <c r="S17" s="2098"/>
      <c r="T17" s="1539"/>
      <c r="U17" s="1332"/>
      <c r="V17" s="1332"/>
      <c r="W17" s="1332"/>
      <c r="Y17" s="1332"/>
      <c r="Z17" s="1332"/>
      <c r="AA17" s="1332"/>
      <c r="AB17" s="1332"/>
    </row>
    <row r="18" spans="1:28" ht="33" customHeight="1">
      <c r="A18" s="1331"/>
      <c r="B18" s="2069" t="s">
        <v>1501</v>
      </c>
      <c r="C18" s="2069"/>
      <c r="D18" s="2069"/>
      <c r="E18" s="2069"/>
      <c r="F18" s="2069"/>
      <c r="G18" s="2069"/>
      <c r="H18" s="2069"/>
      <c r="I18" s="2069"/>
      <c r="J18" s="2069"/>
      <c r="K18" s="2069"/>
      <c r="L18" s="2069"/>
      <c r="M18" s="2069"/>
      <c r="N18" s="2069"/>
      <c r="O18" s="2069"/>
      <c r="P18" s="2069"/>
      <c r="Q18" s="2069"/>
      <c r="R18" s="2069"/>
      <c r="S18" s="2069"/>
      <c r="T18" s="1539"/>
      <c r="U18" s="1332"/>
      <c r="V18" s="1332"/>
      <c r="W18" s="1332"/>
      <c r="Y18" s="1332"/>
      <c r="Z18" s="1332"/>
      <c r="AA18" s="1332"/>
    </row>
    <row r="19" spans="1:28" ht="17" customHeight="1">
      <c r="A19" s="1331"/>
      <c r="B19" s="2160" t="s">
        <v>1502</v>
      </c>
      <c r="C19" s="2160"/>
      <c r="D19" s="2160"/>
      <c r="E19" s="2160"/>
      <c r="F19" s="2160"/>
      <c r="G19" s="2160"/>
      <c r="H19" s="2160"/>
      <c r="I19" s="2160"/>
      <c r="J19" s="2160"/>
      <c r="K19" s="2160"/>
      <c r="L19" s="2160"/>
      <c r="M19" s="2160"/>
      <c r="N19" s="2160"/>
      <c r="O19" s="2160"/>
      <c r="P19" s="2160"/>
      <c r="Q19" s="2160"/>
      <c r="R19" s="2160"/>
      <c r="S19" s="2160"/>
      <c r="T19" s="1539"/>
      <c r="U19" s="1332"/>
      <c r="V19" s="1332"/>
      <c r="W19" s="1332"/>
      <c r="Y19" s="1332"/>
      <c r="Z19" s="1332"/>
      <c r="AA19" s="1332"/>
      <c r="AB19" s="1332"/>
    </row>
    <row r="20" spans="1:28" ht="15.5">
      <c r="A20" s="1331"/>
      <c r="B20" s="2171" t="s">
        <v>843</v>
      </c>
      <c r="C20" s="2095"/>
      <c r="D20" s="2098" t="s">
        <v>900</v>
      </c>
      <c r="E20" s="2099"/>
      <c r="F20" s="2099"/>
      <c r="G20" s="2099"/>
      <c r="H20" s="2099"/>
      <c r="I20" s="2099"/>
      <c r="J20" s="2099"/>
      <c r="K20" s="2099"/>
      <c r="L20" s="2099"/>
      <c r="M20" s="2099"/>
      <c r="N20" s="2099"/>
      <c r="O20" s="2099"/>
      <c r="P20" s="2099"/>
      <c r="Q20" s="2099"/>
      <c r="R20" s="2099"/>
      <c r="S20" s="2099"/>
      <c r="T20" s="1539"/>
      <c r="U20" s="1332"/>
      <c r="V20" s="1332"/>
      <c r="W20" s="1332"/>
      <c r="Y20" s="1332"/>
      <c r="Z20" s="1332"/>
      <c r="AA20" s="1332"/>
    </row>
    <row r="21" spans="1:28" ht="17" customHeight="1">
      <c r="A21" s="1331"/>
      <c r="B21" s="2070" t="s">
        <v>1496</v>
      </c>
      <c r="C21" s="2070"/>
      <c r="D21" s="2070"/>
      <c r="E21" s="2070"/>
      <c r="F21" s="2070"/>
      <c r="G21" s="2070"/>
      <c r="H21" s="2070"/>
      <c r="I21" s="2070"/>
      <c r="J21" s="2070"/>
      <c r="K21" s="2070"/>
      <c r="L21" s="2070"/>
      <c r="M21" s="2070"/>
      <c r="N21" s="2070"/>
      <c r="O21" s="2070"/>
      <c r="P21" s="2070"/>
      <c r="Q21" s="2070"/>
      <c r="R21" s="2070"/>
      <c r="S21" s="2070"/>
      <c r="T21" s="1539"/>
      <c r="U21" s="1332"/>
      <c r="V21" s="1332"/>
      <c r="W21" s="1332"/>
      <c r="Y21" s="1332"/>
      <c r="Z21" s="1332"/>
      <c r="AA21" s="1332"/>
    </row>
    <row r="22" spans="1:28" ht="33" customHeight="1">
      <c r="A22" s="1331"/>
      <c r="B22" s="2070" t="s">
        <v>1494</v>
      </c>
      <c r="C22" s="2070"/>
      <c r="D22" s="2070"/>
      <c r="E22" s="2070"/>
      <c r="F22" s="2070"/>
      <c r="G22" s="2070"/>
      <c r="H22" s="2070"/>
      <c r="I22" s="2070"/>
      <c r="J22" s="2070"/>
      <c r="K22" s="2070"/>
      <c r="L22" s="2070"/>
      <c r="M22" s="2070"/>
      <c r="N22" s="2070"/>
      <c r="O22" s="2070"/>
      <c r="P22" s="2070"/>
      <c r="Q22" s="2070"/>
      <c r="R22" s="2070"/>
      <c r="S22" s="2070"/>
      <c r="T22" s="1539"/>
      <c r="U22" s="1332"/>
      <c r="V22" s="1332"/>
      <c r="W22" s="1332"/>
      <c r="Y22" s="1332"/>
      <c r="Z22" s="1332"/>
      <c r="AA22" s="1332"/>
    </row>
    <row r="23" spans="1:28" ht="30.5" customHeight="1">
      <c r="A23" s="1331"/>
      <c r="B23" s="2079" t="s">
        <v>1257</v>
      </c>
      <c r="C23" s="2079"/>
      <c r="D23" s="2079"/>
      <c r="E23" s="2079"/>
      <c r="F23" s="2079"/>
      <c r="G23" s="2079"/>
      <c r="H23" s="2079"/>
      <c r="I23" s="2079"/>
      <c r="J23" s="2079"/>
      <c r="K23" s="2079"/>
      <c r="L23" s="2079"/>
      <c r="M23" s="2079"/>
      <c r="N23" s="2079"/>
      <c r="O23" s="2079"/>
      <c r="P23" s="2079"/>
      <c r="Q23" s="2079"/>
      <c r="R23" s="2079"/>
      <c r="S23" s="2079"/>
      <c r="T23" s="1539"/>
      <c r="U23" s="1329"/>
      <c r="V23" s="1329"/>
      <c r="W23" s="1329"/>
      <c r="Y23" s="1329"/>
      <c r="Z23" s="1329"/>
      <c r="AA23" s="1329"/>
    </row>
    <row r="24" spans="1:28" ht="16" customHeight="1">
      <c r="A24" s="1331"/>
      <c r="B24" s="2074" t="s">
        <v>836</v>
      </c>
      <c r="C24" s="2075"/>
      <c r="D24" s="2075"/>
      <c r="E24" s="2075"/>
      <c r="F24" s="2075"/>
      <c r="G24" s="1574"/>
      <c r="H24" s="1575"/>
      <c r="I24" s="1578"/>
      <c r="J24" s="1579" t="s">
        <v>844</v>
      </c>
      <c r="K24" s="1580">
        <v>13.8</v>
      </c>
      <c r="L24" s="2108" t="s">
        <v>837</v>
      </c>
      <c r="M24" s="2075"/>
      <c r="N24" s="2075"/>
      <c r="O24" s="2075"/>
      <c r="P24" s="2075"/>
      <c r="Q24" s="2159" t="s">
        <v>844</v>
      </c>
      <c r="R24" s="2159"/>
      <c r="S24" s="1577">
        <v>13.8</v>
      </c>
      <c r="T24" s="1539"/>
      <c r="U24" s="1329"/>
      <c r="V24" s="1329"/>
      <c r="W24" s="1329"/>
      <c r="Y24" s="1329"/>
      <c r="Z24" s="1329"/>
      <c r="AA24" s="1329"/>
    </row>
    <row r="25" spans="1:28" ht="16" customHeight="1">
      <c r="A25" s="1331"/>
      <c r="B25" s="2188" t="s">
        <v>809</v>
      </c>
      <c r="C25" s="2189"/>
      <c r="D25" s="2190"/>
      <c r="E25" s="2126" t="s">
        <v>897</v>
      </c>
      <c r="F25" s="2126" t="s">
        <v>1128</v>
      </c>
      <c r="G25" s="2082" t="s">
        <v>808</v>
      </c>
      <c r="H25" s="2161"/>
      <c r="I25" s="2161"/>
      <c r="J25" s="2161"/>
      <c r="K25" s="2162"/>
      <c r="L25" s="2127" t="s">
        <v>809</v>
      </c>
      <c r="M25" s="2128"/>
      <c r="N25" s="2129"/>
      <c r="O25" s="2154" t="s">
        <v>897</v>
      </c>
      <c r="P25" s="2154" t="s">
        <v>1128</v>
      </c>
      <c r="Q25" s="2128"/>
      <c r="R25" s="2128"/>
      <c r="S25" s="2129"/>
      <c r="T25" s="1539"/>
      <c r="U25" s="1329"/>
      <c r="V25" s="1329"/>
      <c r="W25" s="1329"/>
      <c r="Y25" s="1329"/>
      <c r="Z25" s="1329"/>
      <c r="AA25" s="1329"/>
    </row>
    <row r="26" spans="1:28" ht="16" customHeight="1">
      <c r="A26" s="1331"/>
      <c r="B26" s="2153"/>
      <c r="C26" s="2131"/>
      <c r="D26" s="2132"/>
      <c r="E26" s="2078"/>
      <c r="F26" s="2078"/>
      <c r="G26" s="2084"/>
      <c r="H26" s="2163"/>
      <c r="I26" s="2163"/>
      <c r="J26" s="2163"/>
      <c r="K26" s="2164"/>
      <c r="L26" s="2130"/>
      <c r="M26" s="2131"/>
      <c r="N26" s="2132"/>
      <c r="O26" s="2078"/>
      <c r="P26" s="2078"/>
      <c r="Q26" s="2131"/>
      <c r="R26" s="2131"/>
      <c r="S26" s="2132"/>
      <c r="T26" s="1539"/>
      <c r="U26" s="1329"/>
      <c r="V26" s="1329"/>
      <c r="W26" s="1329"/>
      <c r="Y26" s="1329"/>
      <c r="Z26" s="1329"/>
      <c r="AA26" s="1329"/>
    </row>
    <row r="27" spans="1:28" ht="16" customHeight="1">
      <c r="A27" s="1331"/>
      <c r="B27" s="2109" t="s">
        <v>845</v>
      </c>
      <c r="C27" s="2110"/>
      <c r="D27" s="2111"/>
      <c r="E27" s="1570">
        <f>IF(INICIO!$C$6&gt;$D$5,0,'[5]INFORME DIARIO'!$E32)</f>
        <v>52</v>
      </c>
      <c r="F27" s="1571">
        <f>IF(INICIO!$C$6&gt;$D$5,0,'[5]INFORME DIARIO'!$F32)</f>
        <v>106.64640056913082</v>
      </c>
      <c r="G27" s="2105"/>
      <c r="H27" s="2106"/>
      <c r="I27" s="2106"/>
      <c r="J27" s="2106"/>
      <c r="K27" s="2107"/>
      <c r="L27" s="2123" t="s">
        <v>846</v>
      </c>
      <c r="M27" s="2124"/>
      <c r="N27" s="2125"/>
      <c r="O27" s="1568">
        <f ca="1">VLOOKUP($D$5,DATOSAÑO!$B$11:$AN$375,29)</f>
        <v>163.20000000000073</v>
      </c>
      <c r="P27" s="1569">
        <f t="shared" ref="P27:P40" ca="1" si="0">((O27*1000)/($S$24*0.8*1.732))/24</f>
        <v>355.62472805168005</v>
      </c>
      <c r="Q27" s="2104"/>
      <c r="R27" s="2104"/>
      <c r="S27" s="2104"/>
      <c r="T27" s="1539"/>
      <c r="U27" s="1329"/>
      <c r="V27" s="1329"/>
      <c r="W27" s="1329"/>
      <c r="Y27" s="1329"/>
      <c r="Z27" s="1329"/>
      <c r="AA27" s="1329"/>
    </row>
    <row r="28" spans="1:28" ht="16" customHeight="1">
      <c r="A28" s="1331"/>
      <c r="B28" s="2109" t="s">
        <v>847</v>
      </c>
      <c r="C28" s="2110"/>
      <c r="D28" s="2111"/>
      <c r="E28" s="1570">
        <f>IF(INICIO!$C$6&gt;$D$5,0,'[5]INFORME DIARIO'!$E33)</f>
        <v>0</v>
      </c>
      <c r="F28" s="1571">
        <f>IF(INICIO!$C$6&gt;$D$5,0,'[5]INFORME DIARIO'!$F33)</f>
        <v>0</v>
      </c>
      <c r="G28" s="2105"/>
      <c r="H28" s="2106"/>
      <c r="I28" s="2106"/>
      <c r="J28" s="2106"/>
      <c r="K28" s="2107"/>
      <c r="L28" s="2123" t="s">
        <v>205</v>
      </c>
      <c r="M28" s="2124"/>
      <c r="N28" s="2125"/>
      <c r="O28" s="1568">
        <f ca="1">VLOOKUP($D$5,DATOSAÑO!$B$11:$AN$375,31)</f>
        <v>151</v>
      </c>
      <c r="P28" s="1569">
        <f t="shared" ca="1" si="0"/>
        <v>329.04003637134468</v>
      </c>
      <c r="Q28" s="2104"/>
      <c r="R28" s="2104"/>
      <c r="S28" s="2104"/>
      <c r="T28" s="1539"/>
      <c r="U28" s="1329"/>
      <c r="V28" s="1329"/>
      <c r="W28" s="1329"/>
      <c r="Y28" s="1329"/>
      <c r="Z28" s="1329"/>
      <c r="AA28" s="1329"/>
    </row>
    <row r="29" spans="1:28" ht="16" customHeight="1">
      <c r="A29" s="1331"/>
      <c r="B29" s="2109" t="s">
        <v>848</v>
      </c>
      <c r="C29" s="2110"/>
      <c r="D29" s="2111"/>
      <c r="E29" s="1570">
        <f>IF(INICIO!$C$6&gt;$D$5,0,'[5]INFORME DIARIO'!$E34)</f>
        <v>102</v>
      </c>
      <c r="F29" s="1571">
        <f>IF(INICIO!$C$6&gt;$D$5,0,'[5]INFORME DIARIO'!$F34)</f>
        <v>209.19101650098739</v>
      </c>
      <c r="G29" s="2105"/>
      <c r="H29" s="2106"/>
      <c r="I29" s="2106"/>
      <c r="J29" s="2106"/>
      <c r="K29" s="2107"/>
      <c r="L29" s="2123" t="s">
        <v>166</v>
      </c>
      <c r="M29" s="2124"/>
      <c r="N29" s="2125"/>
      <c r="O29" s="1568">
        <f ca="1">VLOOKUP($D$5,DATOSAÑO!$B$11:$AN$375,33)</f>
        <v>9.6999999999989086</v>
      </c>
      <c r="P29" s="1569">
        <f t="shared" ca="1" si="0"/>
        <v>21.137008958951551</v>
      </c>
      <c r="Q29" s="2104"/>
      <c r="R29" s="2104"/>
      <c r="S29" s="2104"/>
      <c r="T29" s="1539"/>
      <c r="U29" s="1329"/>
      <c r="V29" s="1329"/>
      <c r="W29" s="1329"/>
      <c r="Y29" s="1329"/>
      <c r="Z29" s="1329"/>
      <c r="AA29" s="1329"/>
    </row>
    <row r="30" spans="1:28" ht="16" customHeight="1">
      <c r="A30" s="1331"/>
      <c r="B30" s="2109" t="s">
        <v>849</v>
      </c>
      <c r="C30" s="2110"/>
      <c r="D30" s="2111"/>
      <c r="E30" s="1570">
        <f>IF(INICIO!$C$6&gt;$D$5,0,'[5]INFORME DIARIO'!$E35)</f>
        <v>92</v>
      </c>
      <c r="F30" s="1571">
        <f>IF(INICIO!$C$6&gt;$D$5,0,'[5]INFORME DIARIO'!$F35)</f>
        <v>188.68209331461608</v>
      </c>
      <c r="G30" s="2105"/>
      <c r="H30" s="2106"/>
      <c r="I30" s="2106"/>
      <c r="J30" s="2106"/>
      <c r="K30" s="2107"/>
      <c r="L30" s="2123" t="s">
        <v>167</v>
      </c>
      <c r="M30" s="2124"/>
      <c r="N30" s="2125"/>
      <c r="O30" s="1568">
        <f ca="1">VLOOKUP($D$5,DATOSAÑO!$B$11:$AN$375,34)</f>
        <v>38.69999999999709</v>
      </c>
      <c r="P30" s="1569">
        <f t="shared" ca="1" si="0"/>
        <v>84.330128526954184</v>
      </c>
      <c r="Q30" s="2104"/>
      <c r="R30" s="2104"/>
      <c r="S30" s="2104"/>
      <c r="T30" s="1539"/>
      <c r="U30" s="1329"/>
      <c r="V30" s="1329"/>
      <c r="W30" s="1329"/>
      <c r="Y30" s="1329"/>
      <c r="Z30" s="1329"/>
      <c r="AA30" s="1329"/>
    </row>
    <row r="31" spans="1:28" ht="16" customHeight="1">
      <c r="A31" s="1331"/>
      <c r="B31" s="2109" t="s">
        <v>850</v>
      </c>
      <c r="C31" s="2110"/>
      <c r="D31" s="2111"/>
      <c r="E31" s="1570">
        <f>IF(INICIO!$C$6&gt;$D$5,0,'[5]INFORME DIARIO'!$E36)</f>
        <v>0</v>
      </c>
      <c r="F31" s="1571">
        <f>IF(INICIO!$C$6&gt;$D$5,0,'[5]INFORME DIARIO'!$F36)</f>
        <v>0</v>
      </c>
      <c r="G31" s="2105"/>
      <c r="H31" s="2106"/>
      <c r="I31" s="2106"/>
      <c r="J31" s="2106"/>
      <c r="K31" s="2107"/>
      <c r="L31" s="2123" t="s">
        <v>168</v>
      </c>
      <c r="M31" s="2124"/>
      <c r="N31" s="2125"/>
      <c r="O31" s="1568">
        <f ca="1">VLOOKUP($D$5,DATOSAÑO!$B$11:$AN$375,35)</f>
        <v>5</v>
      </c>
      <c r="P31" s="1569">
        <f t="shared" ca="1" si="0"/>
        <v>10.895365442759759</v>
      </c>
      <c r="Q31" s="2104"/>
      <c r="R31" s="2104"/>
      <c r="S31" s="2104"/>
      <c r="T31" s="1539"/>
      <c r="U31" s="1329"/>
      <c r="V31" s="1329"/>
      <c r="W31" s="1329"/>
      <c r="Y31" s="1329"/>
      <c r="Z31" s="1329"/>
      <c r="AA31" s="1329"/>
    </row>
    <row r="32" spans="1:28" ht="16" customHeight="1">
      <c r="A32" s="1331"/>
      <c r="B32" s="2109" t="s">
        <v>851</v>
      </c>
      <c r="C32" s="2110"/>
      <c r="D32" s="2111"/>
      <c r="E32" s="1570">
        <f>IF(INICIO!$C$6&gt;$D$5,0,'[5]INFORME DIARIO'!$E37)</f>
        <v>0</v>
      </c>
      <c r="F32" s="1571">
        <f>IF(INICIO!$C$6&gt;$D$5,0,'[5]INFORME DIARIO'!$F37)</f>
        <v>0</v>
      </c>
      <c r="G32" s="2105"/>
      <c r="H32" s="2106"/>
      <c r="I32" s="2106"/>
      <c r="J32" s="2106"/>
      <c r="K32" s="2107"/>
      <c r="L32" s="2123" t="s">
        <v>169</v>
      </c>
      <c r="M32" s="2124"/>
      <c r="N32" s="2125"/>
      <c r="O32" s="1568">
        <f ca="1">VLOOKUP($D$5,DATOSAÑO!$B$11:$AN$375,36)</f>
        <v>9</v>
      </c>
      <c r="P32" s="1569">
        <f t="shared" ca="1" si="0"/>
        <v>19.611657796967567</v>
      </c>
      <c r="Q32" s="2104"/>
      <c r="R32" s="2104"/>
      <c r="S32" s="2104"/>
      <c r="T32" s="1539"/>
      <c r="U32" s="1329"/>
      <c r="V32" s="1329"/>
      <c r="W32" s="1329"/>
      <c r="Y32" s="1329"/>
      <c r="Z32" s="1329"/>
      <c r="AA32" s="1329"/>
    </row>
    <row r="33" spans="1:27" ht="16" customHeight="1">
      <c r="A33" s="1331"/>
      <c r="B33" s="2109" t="s">
        <v>852</v>
      </c>
      <c r="C33" s="2110"/>
      <c r="D33" s="2111"/>
      <c r="E33" s="1570">
        <f>IF(INICIO!$C$6&gt;$D$5,0,'[5]INFORME DIARIO'!$E38)</f>
        <v>0</v>
      </c>
      <c r="F33" s="1571">
        <f>IF(INICIO!$C$6&gt;$D$5,0,'[5]INFORME DIARIO'!$F38)</f>
        <v>0</v>
      </c>
      <c r="G33" s="2105"/>
      <c r="H33" s="2106"/>
      <c r="I33" s="2106"/>
      <c r="J33" s="2106"/>
      <c r="K33" s="2107"/>
      <c r="L33" s="2123" t="s">
        <v>170</v>
      </c>
      <c r="M33" s="2124"/>
      <c r="N33" s="2125"/>
      <c r="O33" s="1568">
        <f ca="1">VLOOKUP($D$5,DATOSAÑO!$B$11:$AN$375,37)</f>
        <v>33.300000000004673</v>
      </c>
      <c r="P33" s="1569">
        <f t="shared" ca="1" si="0"/>
        <v>72.563133848790173</v>
      </c>
      <c r="Q33" s="2104"/>
      <c r="R33" s="2104"/>
      <c r="S33" s="2104"/>
      <c r="T33" s="1539"/>
      <c r="U33" s="1329"/>
      <c r="V33" s="1329"/>
      <c r="W33" s="1329"/>
      <c r="Y33" s="1329"/>
      <c r="Z33" s="1329"/>
      <c r="AA33" s="1329"/>
    </row>
    <row r="34" spans="1:27" ht="16" customHeight="1">
      <c r="A34" s="1331"/>
      <c r="B34" s="2109" t="s">
        <v>853</v>
      </c>
      <c r="C34" s="2110"/>
      <c r="D34" s="2111"/>
      <c r="E34" s="1570">
        <f>IF(INICIO!$C$6&gt;$D$5,0,'[5]INFORME DIARIO'!$E39)</f>
        <v>2.3000000000010914</v>
      </c>
      <c r="F34" s="1571">
        <f>IF(INICIO!$C$6&gt;$D$5,0,'[5]INFORME DIARIO'!$F39)</f>
        <v>4.7170523328676399</v>
      </c>
      <c r="G34" s="2105"/>
      <c r="H34" s="2106"/>
      <c r="I34" s="2106"/>
      <c r="J34" s="2106"/>
      <c r="K34" s="2107"/>
      <c r="L34" s="2123" t="s">
        <v>854</v>
      </c>
      <c r="M34" s="2124"/>
      <c r="N34" s="2125"/>
      <c r="O34" s="1568">
        <f ca="1">VLOOKUP($D$5,DATOSAÑO!$B$11:$CE$375,76)</f>
        <v>5.8614999999987782</v>
      </c>
      <c r="P34" s="1569">
        <f t="shared" ca="1" si="0"/>
        <v>12.772636908544603</v>
      </c>
      <c r="Q34" s="2104"/>
      <c r="R34" s="2104"/>
      <c r="S34" s="2104"/>
      <c r="T34" s="1539"/>
      <c r="U34" s="1329"/>
      <c r="V34" s="1329"/>
      <c r="W34" s="1329"/>
      <c r="Y34" s="1329"/>
      <c r="Z34" s="1329"/>
      <c r="AA34" s="1329"/>
    </row>
    <row r="35" spans="1:27" ht="16" customHeight="1">
      <c r="A35" s="1331"/>
      <c r="B35" s="2109" t="s">
        <v>1424</v>
      </c>
      <c r="C35" s="2110"/>
      <c r="D35" s="2111"/>
      <c r="E35" s="1570">
        <f>IF(INICIO!$C$6&gt;$D$5,0,'[5]INFORME DIARIO'!$E40)</f>
        <v>0</v>
      </c>
      <c r="F35" s="1571">
        <f>IF(INICIO!$C$6&gt;$D$5,0,'[5]INFORME DIARIO'!$F40)</f>
        <v>0</v>
      </c>
      <c r="G35" s="2105"/>
      <c r="H35" s="2106"/>
      <c r="I35" s="2106"/>
      <c r="J35" s="2106"/>
      <c r="K35" s="2107"/>
      <c r="L35" s="2123" t="s">
        <v>202</v>
      </c>
      <c r="M35" s="2124"/>
      <c r="N35" s="2125"/>
      <c r="O35" s="1568">
        <f ca="1">VLOOKUP($D$5,DATOSAÑO!$B$11:$CE$375,79)</f>
        <v>2.0268000000003763</v>
      </c>
      <c r="P35" s="1569">
        <f t="shared" ca="1" si="0"/>
        <v>4.4165453358779159</v>
      </c>
      <c r="Q35" s="2104"/>
      <c r="R35" s="2104"/>
      <c r="S35" s="2104"/>
      <c r="T35" s="1539"/>
      <c r="U35" s="1329"/>
      <c r="V35" s="1329"/>
      <c r="W35" s="1329"/>
      <c r="Y35" s="1329"/>
      <c r="Z35" s="1329"/>
      <c r="AA35" s="1329"/>
    </row>
    <row r="36" spans="1:27" ht="16" customHeight="1">
      <c r="A36" s="1331"/>
      <c r="B36" s="2109" t="s">
        <v>1425</v>
      </c>
      <c r="C36" s="2110"/>
      <c r="D36" s="2111"/>
      <c r="E36" s="1570">
        <f>IF(INICIO!$C$6&gt;$D$5,0,'[5]INFORME DIARIO'!$E41)</f>
        <v>54</v>
      </c>
      <c r="F36" s="1571">
        <f>IF(INICIO!$C$6&gt;$D$5,0,'[5]INFORME DIARIO'!$F41)</f>
        <v>110.74818520640508</v>
      </c>
      <c r="G36" s="2105"/>
      <c r="H36" s="2106"/>
      <c r="I36" s="2106"/>
      <c r="J36" s="2106"/>
      <c r="K36" s="2107"/>
      <c r="L36" s="2101" t="s">
        <v>1210</v>
      </c>
      <c r="M36" s="2102"/>
      <c r="N36" s="2103"/>
      <c r="O36" s="1568">
        <f ca="1">VLOOKUP($D$5,DATOSAÑO!$B$11:$BW$375,61)</f>
        <v>2.6</v>
      </c>
      <c r="P36" s="1569">
        <f t="shared" ca="1" si="0"/>
        <v>5.6655900302350739</v>
      </c>
      <c r="Q36" s="2104"/>
      <c r="R36" s="2104"/>
      <c r="S36" s="2104"/>
      <c r="T36" s="1539"/>
      <c r="U36" s="1329"/>
      <c r="V36" s="1329"/>
      <c r="W36" s="1329"/>
      <c r="Y36" s="1329"/>
      <c r="Z36" s="1329"/>
      <c r="AA36" s="1329"/>
    </row>
    <row r="37" spans="1:27" ht="16" customHeight="1">
      <c r="A37" s="1331"/>
      <c r="B37" s="2109" t="s">
        <v>855</v>
      </c>
      <c r="C37" s="2110"/>
      <c r="D37" s="2111"/>
      <c r="E37" s="1570">
        <f>IF(INICIO!$C$6&gt;$D$5,0,'[5]INFORME DIARIO'!$E42)</f>
        <v>74.699999999998909</v>
      </c>
      <c r="F37" s="1571">
        <f>IF(INICIO!$C$6&gt;$D$5,0,'[5]INFORME DIARIO'!$F42)</f>
        <v>153.20165620219146</v>
      </c>
      <c r="G37" s="2105"/>
      <c r="H37" s="2106"/>
      <c r="I37" s="2106"/>
      <c r="J37" s="2106"/>
      <c r="K37" s="2107"/>
      <c r="L37" s="2101" t="s">
        <v>1211</v>
      </c>
      <c r="M37" s="2102"/>
      <c r="N37" s="2103"/>
      <c r="O37" s="1568">
        <f ca="1">VLOOKUP($D$5,DATOSAÑO!$B$11:$BW$375,64)</f>
        <v>1.5720000000000001</v>
      </c>
      <c r="P37" s="1569">
        <f t="shared" ca="1" si="0"/>
        <v>3.4255028952036679</v>
      </c>
      <c r="Q37" s="2104"/>
      <c r="R37" s="2104"/>
      <c r="S37" s="2104"/>
      <c r="T37" s="1539"/>
      <c r="U37" s="1329"/>
      <c r="V37" s="1329"/>
      <c r="W37" s="1329"/>
      <c r="Y37" s="1329"/>
      <c r="Z37" s="1329"/>
      <c r="AA37" s="1329"/>
    </row>
    <row r="38" spans="1:27" ht="16" customHeight="1">
      <c r="A38" s="1331"/>
      <c r="B38" s="2112"/>
      <c r="C38" s="2113"/>
      <c r="D38" s="2114"/>
      <c r="E38" s="1570"/>
      <c r="F38" s="1571"/>
      <c r="G38" s="2115"/>
      <c r="H38" s="2116"/>
      <c r="I38" s="2116"/>
      <c r="J38" s="2116"/>
      <c r="K38" s="2117"/>
      <c r="L38" s="2101" t="s">
        <v>1212</v>
      </c>
      <c r="M38" s="2102"/>
      <c r="N38" s="2103"/>
      <c r="O38" s="1568">
        <f ca="1">VLOOKUP($D$5,DATOSAÑO!$B$11:$BW$375,67)</f>
        <v>3.7949999999999999</v>
      </c>
      <c r="P38" s="1569">
        <f t="shared" ca="1" si="0"/>
        <v>8.269582371054657</v>
      </c>
      <c r="Q38" s="2104"/>
      <c r="R38" s="2104"/>
      <c r="S38" s="2104"/>
      <c r="T38" s="1539"/>
      <c r="U38" s="1329"/>
      <c r="V38" s="1329"/>
      <c r="W38" s="1329"/>
      <c r="Y38" s="1329"/>
      <c r="Z38" s="1329"/>
      <c r="AA38" s="1329"/>
    </row>
    <row r="39" spans="1:27" ht="16" customHeight="1">
      <c r="A39" s="1331"/>
      <c r="B39" s="2112"/>
      <c r="C39" s="2113"/>
      <c r="D39" s="2114"/>
      <c r="E39" s="1570"/>
      <c r="F39" s="1571"/>
      <c r="G39" s="2115"/>
      <c r="H39" s="2116"/>
      <c r="I39" s="2116"/>
      <c r="J39" s="2116"/>
      <c r="K39" s="2117"/>
      <c r="L39" s="2101" t="s">
        <v>1216</v>
      </c>
      <c r="M39" s="2102"/>
      <c r="N39" s="2103"/>
      <c r="O39" s="1568">
        <f ca="1">VLOOKUP($D$5,DATOSAÑO!$B$11:$CC$375,74)</f>
        <v>11.461499999999141</v>
      </c>
      <c r="P39" s="1569">
        <f t="shared" ca="1" si="0"/>
        <v>24.975446204436324</v>
      </c>
      <c r="Q39" s="2104"/>
      <c r="R39" s="2104"/>
      <c r="S39" s="2104"/>
      <c r="T39" s="1539"/>
      <c r="U39" s="1329"/>
      <c r="V39" s="1329"/>
      <c r="W39" s="1329"/>
      <c r="Y39" s="1329"/>
      <c r="Z39" s="1329"/>
      <c r="AA39" s="1329"/>
    </row>
    <row r="40" spans="1:27" ht="16" customHeight="1">
      <c r="A40" s="1331"/>
      <c r="B40" s="2112"/>
      <c r="C40" s="2113"/>
      <c r="D40" s="2114"/>
      <c r="E40" s="1570"/>
      <c r="F40" s="1571"/>
      <c r="G40" s="2115"/>
      <c r="H40" s="2116"/>
      <c r="I40" s="2116"/>
      <c r="J40" s="2116"/>
      <c r="K40" s="2117"/>
      <c r="L40" s="2101" t="s">
        <v>1220</v>
      </c>
      <c r="M40" s="2102"/>
      <c r="N40" s="2103"/>
      <c r="O40" s="1568">
        <f ca="1">VLOOKUP($D$5,DATOSAÑO!$B$11:$CF$375,80)</f>
        <v>2.7832000000002513</v>
      </c>
      <c r="P40" s="1569">
        <f t="shared" ca="1" si="0"/>
        <v>6.0647962200583398</v>
      </c>
      <c r="Q40" s="2104"/>
      <c r="R40" s="2104"/>
      <c r="S40" s="2104"/>
      <c r="T40" s="1539"/>
      <c r="U40" s="1329"/>
      <c r="V40" s="1329"/>
      <c r="W40" s="1329"/>
      <c r="Y40" s="1329"/>
      <c r="Z40" s="1329"/>
      <c r="AA40" s="1329"/>
    </row>
    <row r="41" spans="1:27" ht="16" customHeight="1">
      <c r="A41" s="1331"/>
      <c r="B41" s="2074" t="s">
        <v>939</v>
      </c>
      <c r="C41" s="2075"/>
      <c r="D41" s="2097"/>
      <c r="E41" s="1576">
        <f>SUM(E27:E40)</f>
        <v>377</v>
      </c>
      <c r="F41" s="1576">
        <f>SUM(F27:F40)</f>
        <v>773.18640412619845</v>
      </c>
      <c r="G41" s="2118"/>
      <c r="H41" s="2119"/>
      <c r="I41" s="2119"/>
      <c r="J41" s="2119"/>
      <c r="K41" s="2120"/>
      <c r="L41" s="2108" t="s">
        <v>966</v>
      </c>
      <c r="M41" s="2075"/>
      <c r="N41" s="2097"/>
      <c r="O41" s="1576">
        <f ca="1">SUM(O27:O40)</f>
        <v>440</v>
      </c>
      <c r="P41" s="1576">
        <f ca="1">SUM(P27:P40)</f>
        <v>958.79215896285871</v>
      </c>
      <c r="Q41" s="2121"/>
      <c r="R41" s="2121"/>
      <c r="S41" s="2122"/>
      <c r="T41" s="1539"/>
      <c r="U41" s="1329"/>
      <c r="V41" s="1329"/>
      <c r="W41" s="1329"/>
      <c r="Y41" s="1329"/>
      <c r="Z41" s="1329"/>
      <c r="AA41" s="1329"/>
    </row>
    <row r="42" spans="1:27" ht="16" customHeight="1">
      <c r="A42" s="1331"/>
      <c r="B42" s="2095" t="s">
        <v>856</v>
      </c>
      <c r="C42" s="2096"/>
      <c r="D42" s="2100" t="s">
        <v>896</v>
      </c>
      <c r="E42" s="2100"/>
      <c r="F42" s="2100"/>
      <c r="G42" s="2100"/>
      <c r="H42" s="2100"/>
      <c r="I42" s="2100"/>
      <c r="J42" s="2100"/>
      <c r="K42" s="2100"/>
      <c r="L42" s="2100"/>
      <c r="M42" s="2100"/>
      <c r="N42" s="2100"/>
      <c r="O42" s="2100"/>
      <c r="P42" s="2100"/>
      <c r="Q42" s="2100"/>
      <c r="R42" s="2100"/>
      <c r="S42" s="2098"/>
      <c r="T42" s="1539"/>
      <c r="U42" s="1329"/>
      <c r="V42" s="1329"/>
      <c r="W42" s="1329"/>
      <c r="Y42" s="1329"/>
      <c r="Z42" s="1329"/>
      <c r="AA42" s="1329"/>
    </row>
    <row r="43" spans="1:27" ht="33" customHeight="1">
      <c r="A43" s="1331"/>
      <c r="B43" s="2092" t="s">
        <v>1503</v>
      </c>
      <c r="C43" s="2090"/>
      <c r="D43" s="2090"/>
      <c r="E43" s="2090"/>
      <c r="F43" s="2090"/>
      <c r="G43" s="2090"/>
      <c r="H43" s="2090"/>
      <c r="I43" s="2090"/>
      <c r="J43" s="2090"/>
      <c r="K43" s="2090"/>
      <c r="L43" s="2090"/>
      <c r="M43" s="2090"/>
      <c r="N43" s="2090"/>
      <c r="O43" s="2090"/>
      <c r="P43" s="2090"/>
      <c r="Q43" s="2090"/>
      <c r="R43" s="2090"/>
      <c r="S43" s="2091"/>
      <c r="T43" s="1539"/>
      <c r="U43" s="1329"/>
      <c r="V43" s="1329"/>
      <c r="W43" s="1329"/>
      <c r="Y43" s="1329"/>
      <c r="Z43" s="1329"/>
      <c r="AA43" s="1329"/>
    </row>
    <row r="44" spans="1:27" ht="17" customHeight="1">
      <c r="A44" s="1331"/>
      <c r="B44" s="2092" t="s">
        <v>1487</v>
      </c>
      <c r="C44" s="2093"/>
      <c r="D44" s="2093"/>
      <c r="E44" s="2093"/>
      <c r="F44" s="2093"/>
      <c r="G44" s="2093"/>
      <c r="H44" s="2093"/>
      <c r="I44" s="2093"/>
      <c r="J44" s="2093"/>
      <c r="K44" s="2093"/>
      <c r="L44" s="2093"/>
      <c r="M44" s="2093"/>
      <c r="N44" s="2093"/>
      <c r="O44" s="2093"/>
      <c r="P44" s="2093"/>
      <c r="Q44" s="2093"/>
      <c r="R44" s="2093"/>
      <c r="S44" s="2094"/>
      <c r="T44" s="1539"/>
      <c r="U44" s="1329"/>
      <c r="V44" s="1329"/>
      <c r="W44" s="1329"/>
      <c r="Y44" s="1329"/>
      <c r="Z44" s="1329"/>
      <c r="AA44" s="1329"/>
    </row>
    <row r="45" spans="1:27" ht="17" customHeight="1">
      <c r="A45" s="1331"/>
      <c r="B45" s="2092" t="s">
        <v>1485</v>
      </c>
      <c r="C45" s="2093"/>
      <c r="D45" s="2093"/>
      <c r="E45" s="2093"/>
      <c r="F45" s="2093"/>
      <c r="G45" s="2093"/>
      <c r="H45" s="2093"/>
      <c r="I45" s="2093"/>
      <c r="J45" s="2093"/>
      <c r="K45" s="2093"/>
      <c r="L45" s="2093"/>
      <c r="M45" s="2093"/>
      <c r="N45" s="2093"/>
      <c r="O45" s="2093"/>
      <c r="P45" s="2093"/>
      <c r="Q45" s="2093"/>
      <c r="R45" s="2093"/>
      <c r="S45" s="2094"/>
      <c r="T45" s="1539"/>
      <c r="U45" s="1329"/>
      <c r="V45" s="1329"/>
      <c r="W45" s="1329"/>
      <c r="Y45" s="1329"/>
      <c r="Z45" s="1329"/>
      <c r="AA45" s="1329"/>
    </row>
    <row r="46" spans="1:27" ht="17" customHeight="1">
      <c r="A46" s="1331"/>
      <c r="B46" s="2092" t="s">
        <v>1486</v>
      </c>
      <c r="C46" s="2093"/>
      <c r="D46" s="2093"/>
      <c r="E46" s="2093"/>
      <c r="F46" s="2093"/>
      <c r="G46" s="2093"/>
      <c r="H46" s="2093"/>
      <c r="I46" s="2093"/>
      <c r="J46" s="2093"/>
      <c r="K46" s="2093"/>
      <c r="L46" s="2093"/>
      <c r="M46" s="2093"/>
      <c r="N46" s="2093"/>
      <c r="O46" s="2093"/>
      <c r="P46" s="2093"/>
      <c r="Q46" s="2093"/>
      <c r="R46" s="2093"/>
      <c r="S46" s="2094"/>
      <c r="T46" s="1539"/>
      <c r="U46" s="1329"/>
      <c r="V46" s="1329"/>
      <c r="W46" s="1329"/>
      <c r="Y46" s="1329"/>
      <c r="Z46" s="1329"/>
      <c r="AA46" s="1329"/>
    </row>
    <row r="47" spans="1:27" ht="17" customHeight="1">
      <c r="A47" s="1331"/>
      <c r="B47" s="2089" t="s">
        <v>1488</v>
      </c>
      <c r="C47" s="2090"/>
      <c r="D47" s="2090"/>
      <c r="E47" s="2090"/>
      <c r="F47" s="2090"/>
      <c r="G47" s="2090"/>
      <c r="H47" s="2090"/>
      <c r="I47" s="2090"/>
      <c r="J47" s="2090"/>
      <c r="K47" s="2090"/>
      <c r="L47" s="2090"/>
      <c r="M47" s="2090"/>
      <c r="N47" s="2090"/>
      <c r="O47" s="2090"/>
      <c r="P47" s="2090"/>
      <c r="Q47" s="2090"/>
      <c r="R47" s="2090"/>
      <c r="S47" s="2091"/>
      <c r="T47" s="1539"/>
      <c r="U47" s="1329"/>
      <c r="V47" s="1329"/>
      <c r="W47" s="1329"/>
      <c r="Y47" s="1329"/>
      <c r="Z47" s="1329"/>
      <c r="AA47" s="1329"/>
    </row>
    <row r="48" spans="1:27" ht="15.5">
      <c r="A48" s="1331"/>
      <c r="B48" s="2095" t="s">
        <v>71</v>
      </c>
      <c r="C48" s="2096"/>
      <c r="D48" s="2098" t="s">
        <v>896</v>
      </c>
      <c r="E48" s="2099"/>
      <c r="F48" s="2099"/>
      <c r="G48" s="2099"/>
      <c r="H48" s="2099"/>
      <c r="I48" s="2099"/>
      <c r="J48" s="2099"/>
      <c r="K48" s="2099"/>
      <c r="L48" s="2099"/>
      <c r="M48" s="2099"/>
      <c r="N48" s="2099"/>
      <c r="O48" s="2099"/>
      <c r="P48" s="2099"/>
      <c r="Q48" s="2099"/>
      <c r="R48" s="2099"/>
      <c r="S48" s="2099"/>
      <c r="T48" s="1539"/>
      <c r="U48" s="1329"/>
      <c r="V48" s="1329"/>
      <c r="W48" s="1329"/>
      <c r="Y48" s="1329"/>
      <c r="Z48" s="1329"/>
      <c r="AA48" s="1329"/>
    </row>
    <row r="49" spans="1:27" ht="17" customHeight="1">
      <c r="A49" s="1331"/>
      <c r="B49" s="2070" t="s">
        <v>1493</v>
      </c>
      <c r="C49" s="2071"/>
      <c r="D49" s="2071"/>
      <c r="E49" s="2071"/>
      <c r="F49" s="2071"/>
      <c r="G49" s="2071"/>
      <c r="H49" s="2071"/>
      <c r="I49" s="2071"/>
      <c r="J49" s="2071"/>
      <c r="K49" s="2071"/>
      <c r="L49" s="2071"/>
      <c r="M49" s="2071"/>
      <c r="N49" s="2071"/>
      <c r="O49" s="2071"/>
      <c r="P49" s="2071"/>
      <c r="Q49" s="2071"/>
      <c r="R49" s="2071"/>
      <c r="S49" s="2071"/>
      <c r="T49" s="1539"/>
      <c r="U49" s="1329"/>
      <c r="V49" s="1329"/>
      <c r="W49" s="1329"/>
      <c r="Y49" s="1329"/>
      <c r="Z49" s="1329"/>
      <c r="AA49" s="1329"/>
    </row>
    <row r="50" spans="1:27" ht="2" customHeight="1">
      <c r="A50" s="1331"/>
      <c r="B50" s="2070"/>
      <c r="C50" s="2071"/>
      <c r="D50" s="2071"/>
      <c r="E50" s="2071"/>
      <c r="F50" s="2071"/>
      <c r="G50" s="2071"/>
      <c r="H50" s="2071"/>
      <c r="I50" s="2071"/>
      <c r="J50" s="2071"/>
      <c r="K50" s="2071"/>
      <c r="L50" s="2071"/>
      <c r="M50" s="2071"/>
      <c r="N50" s="2071"/>
      <c r="O50" s="2071"/>
      <c r="P50" s="2071"/>
      <c r="Q50" s="2071"/>
      <c r="R50" s="2071"/>
      <c r="S50" s="2071"/>
      <c r="T50" s="1539"/>
      <c r="U50" s="1329"/>
      <c r="V50" s="1329"/>
      <c r="W50" s="1329"/>
      <c r="Y50" s="1329"/>
      <c r="Z50" s="1329"/>
      <c r="AA50" s="1329"/>
    </row>
    <row r="51" spans="1:27" ht="30" customHeight="1">
      <c r="A51" s="1335"/>
      <c r="B51" s="2079" t="s">
        <v>1258</v>
      </c>
      <c r="C51" s="2079"/>
      <c r="D51" s="2079"/>
      <c r="E51" s="2079"/>
      <c r="F51" s="2079"/>
      <c r="G51" s="2079"/>
      <c r="H51" s="2079"/>
      <c r="I51" s="2079"/>
      <c r="J51" s="2079"/>
      <c r="K51" s="2079"/>
      <c r="L51" s="2079"/>
      <c r="M51" s="2079"/>
      <c r="N51" s="2079"/>
      <c r="O51" s="2079"/>
      <c r="P51" s="2079"/>
      <c r="Q51" s="2079"/>
      <c r="R51" s="2079"/>
      <c r="S51" s="2079"/>
      <c r="T51" s="1539"/>
      <c r="U51" s="1329"/>
      <c r="V51" s="1329"/>
      <c r="W51" s="1329"/>
      <c r="Y51" s="1329"/>
      <c r="Z51" s="1329"/>
      <c r="AA51" s="1329"/>
    </row>
    <row r="52" spans="1:27" ht="15.5">
      <c r="A52" s="1331"/>
      <c r="B52" s="2073" t="s">
        <v>1166</v>
      </c>
      <c r="C52" s="2073"/>
      <c r="D52" s="2073"/>
      <c r="E52" s="2073"/>
      <c r="F52" s="2073"/>
      <c r="G52" s="2073"/>
      <c r="H52" s="2073"/>
      <c r="I52" s="2073"/>
      <c r="J52" s="2073"/>
      <c r="K52" s="2073"/>
      <c r="L52" s="2073"/>
      <c r="M52" s="2073"/>
      <c r="N52" s="2073"/>
      <c r="O52" s="2073"/>
      <c r="P52" s="2073"/>
      <c r="Q52" s="2073"/>
      <c r="R52" s="2073"/>
      <c r="S52" s="2073"/>
      <c r="T52" s="1539"/>
      <c r="U52" s="1329"/>
      <c r="V52" s="1329"/>
      <c r="W52" s="1329"/>
      <c r="Y52" s="1329"/>
      <c r="Z52" s="1329"/>
      <c r="AA52" s="1329"/>
    </row>
    <row r="53" spans="1:27" ht="16" customHeight="1">
      <c r="A53" s="1331"/>
      <c r="B53" s="2082" t="s">
        <v>287</v>
      </c>
      <c r="C53" s="2083"/>
      <c r="D53" s="2074" t="s">
        <v>857</v>
      </c>
      <c r="E53" s="2075"/>
      <c r="F53" s="2075"/>
      <c r="G53" s="2075"/>
      <c r="H53" s="2075"/>
      <c r="I53" s="2076"/>
      <c r="J53" s="2074" t="s">
        <v>858</v>
      </c>
      <c r="K53" s="2075"/>
      <c r="L53" s="2075"/>
      <c r="M53" s="2075"/>
      <c r="N53" s="2075"/>
      <c r="O53" s="2076"/>
      <c r="P53" s="2077" t="s">
        <v>859</v>
      </c>
      <c r="Q53" s="2073"/>
      <c r="R53" s="2073"/>
      <c r="S53" s="2073"/>
      <c r="T53" s="1539"/>
      <c r="U53" s="1329"/>
      <c r="V53" s="1329"/>
      <c r="W53" s="1329"/>
      <c r="Y53" s="1329"/>
      <c r="Z53" s="1329"/>
      <c r="AA53" s="1329"/>
    </row>
    <row r="54" spans="1:27" ht="16" customHeight="1">
      <c r="A54" s="1331"/>
      <c r="B54" s="2084"/>
      <c r="C54" s="2085"/>
      <c r="D54" s="2073" t="s">
        <v>399</v>
      </c>
      <c r="E54" s="2073"/>
      <c r="F54" s="2073"/>
      <c r="G54" s="2073" t="s">
        <v>400</v>
      </c>
      <c r="H54" s="2073"/>
      <c r="I54" s="2073"/>
      <c r="J54" s="2074" t="s">
        <v>399</v>
      </c>
      <c r="K54" s="2075"/>
      <c r="L54" s="2097"/>
      <c r="M54" s="2074" t="s">
        <v>400</v>
      </c>
      <c r="N54" s="2075"/>
      <c r="O54" s="2097"/>
      <c r="P54" s="2078"/>
      <c r="Q54" s="2073"/>
      <c r="R54" s="2073"/>
      <c r="S54" s="2073"/>
      <c r="T54" s="1539"/>
      <c r="U54" s="1329"/>
      <c r="V54" s="1329"/>
      <c r="W54" s="1329"/>
      <c r="Y54" s="1329"/>
      <c r="Z54" s="1329"/>
      <c r="AA54" s="1329"/>
    </row>
    <row r="55" spans="1:27" ht="16" customHeight="1">
      <c r="A55" s="1331"/>
      <c r="B55" s="2086"/>
      <c r="C55" s="2087"/>
      <c r="D55" s="2080"/>
      <c r="E55" s="2080"/>
      <c r="F55" s="2080"/>
      <c r="G55" s="2080"/>
      <c r="H55" s="2080"/>
      <c r="I55" s="2080"/>
      <c r="J55" s="2080"/>
      <c r="K55" s="2080"/>
      <c r="L55" s="2080"/>
      <c r="M55" s="2088"/>
      <c r="N55" s="2088"/>
      <c r="O55" s="2088"/>
      <c r="P55" s="1572"/>
      <c r="Q55" s="2081"/>
      <c r="R55" s="2081"/>
      <c r="S55" s="2081"/>
      <c r="T55" s="1539"/>
      <c r="U55" s="1329"/>
      <c r="V55" s="1329"/>
      <c r="W55" s="1329"/>
      <c r="Y55" s="1329"/>
      <c r="Z55" s="1329"/>
      <c r="AA55" s="1329"/>
    </row>
    <row r="56" spans="1:27" ht="16" customHeight="1">
      <c r="A56" s="1331"/>
      <c r="B56" s="2072" t="s">
        <v>842</v>
      </c>
      <c r="C56" s="2072"/>
      <c r="D56" s="2073" t="s">
        <v>901</v>
      </c>
      <c r="E56" s="2073"/>
      <c r="F56" s="2073"/>
      <c r="G56" s="2073"/>
      <c r="H56" s="2073"/>
      <c r="I56" s="2073"/>
      <c r="J56" s="2073"/>
      <c r="K56" s="2073"/>
      <c r="L56" s="2073"/>
      <c r="M56" s="2073"/>
      <c r="N56" s="2073"/>
      <c r="O56" s="2073"/>
      <c r="P56" s="2073"/>
      <c r="Q56" s="2073"/>
      <c r="R56" s="2073"/>
      <c r="S56" s="2073"/>
      <c r="T56" s="1539"/>
      <c r="U56" s="1329"/>
      <c r="V56" s="1329"/>
      <c r="W56" s="1329"/>
      <c r="Y56" s="1329"/>
      <c r="Z56" s="1329"/>
      <c r="AA56" s="1329"/>
    </row>
    <row r="57" spans="1:27" s="1329" customFormat="1" ht="17" customHeight="1">
      <c r="A57" s="1880"/>
      <c r="B57" s="2070" t="s">
        <v>1504</v>
      </c>
      <c r="C57" s="2071"/>
      <c r="D57" s="2071"/>
      <c r="E57" s="2071"/>
      <c r="F57" s="2071"/>
      <c r="G57" s="2071"/>
      <c r="H57" s="2071"/>
      <c r="I57" s="2071"/>
      <c r="J57" s="2071"/>
      <c r="K57" s="2071"/>
      <c r="L57" s="2071"/>
      <c r="M57" s="2071"/>
      <c r="N57" s="2071"/>
      <c r="O57" s="2071"/>
      <c r="P57" s="2071"/>
      <c r="Q57" s="2071"/>
      <c r="R57" s="2071"/>
      <c r="S57" s="2071"/>
      <c r="T57" s="1539"/>
      <c r="X57" s="1332"/>
    </row>
    <row r="58" spans="1:27" ht="17" customHeight="1">
      <c r="A58" s="1331"/>
      <c r="B58" s="2070"/>
      <c r="C58" s="2071"/>
      <c r="D58" s="2071"/>
      <c r="E58" s="2071"/>
      <c r="F58" s="2071"/>
      <c r="G58" s="2071"/>
      <c r="H58" s="2071"/>
      <c r="I58" s="2071"/>
      <c r="J58" s="2071"/>
      <c r="K58" s="2071"/>
      <c r="L58" s="2071"/>
      <c r="M58" s="2071"/>
      <c r="N58" s="2071"/>
      <c r="O58" s="2071"/>
      <c r="P58" s="2071"/>
      <c r="Q58" s="2071"/>
      <c r="R58" s="2071"/>
      <c r="S58" s="2071"/>
      <c r="T58" s="1539"/>
      <c r="U58" s="1329"/>
      <c r="V58" s="1329"/>
      <c r="W58" s="1329"/>
      <c r="Y58" s="1329"/>
      <c r="Z58" s="1329"/>
      <c r="AA58" s="1329"/>
    </row>
    <row r="59" spans="1:27" ht="15.5">
      <c r="A59" s="1331"/>
      <c r="B59" s="2082" t="s">
        <v>287</v>
      </c>
      <c r="C59" s="2083"/>
      <c r="D59" s="2074" t="s">
        <v>857</v>
      </c>
      <c r="E59" s="2075"/>
      <c r="F59" s="2075"/>
      <c r="G59" s="2075"/>
      <c r="H59" s="2075"/>
      <c r="I59" s="2097"/>
      <c r="J59" s="2074" t="s">
        <v>858</v>
      </c>
      <c r="K59" s="2075"/>
      <c r="L59" s="2075"/>
      <c r="M59" s="2075"/>
      <c r="N59" s="2075"/>
      <c r="O59" s="2097"/>
      <c r="P59" s="2077" t="s">
        <v>859</v>
      </c>
      <c r="Q59" s="2073"/>
      <c r="R59" s="2073"/>
      <c r="S59" s="2073"/>
      <c r="T59" s="1543"/>
    </row>
    <row r="60" spans="1:27" ht="16" customHeight="1">
      <c r="A60" s="1331"/>
      <c r="B60" s="2084"/>
      <c r="C60" s="2085"/>
      <c r="D60" s="2073" t="s">
        <v>399</v>
      </c>
      <c r="E60" s="2073"/>
      <c r="F60" s="2073"/>
      <c r="G60" s="2073" t="s">
        <v>400</v>
      </c>
      <c r="H60" s="2073"/>
      <c r="I60" s="2073"/>
      <c r="J60" s="2074" t="s">
        <v>399</v>
      </c>
      <c r="K60" s="2075"/>
      <c r="L60" s="2097"/>
      <c r="M60" s="2074" t="s">
        <v>400</v>
      </c>
      <c r="N60" s="2075"/>
      <c r="O60" s="2097"/>
      <c r="P60" s="2078"/>
      <c r="Q60" s="2073"/>
      <c r="R60" s="2073"/>
      <c r="S60" s="2073"/>
      <c r="T60" s="1543"/>
    </row>
    <row r="61" spans="1:27" ht="16" customHeight="1">
      <c r="A61" s="1331"/>
      <c r="B61" s="2089"/>
      <c r="C61" s="2090"/>
      <c r="D61" s="2168"/>
      <c r="E61" s="2168"/>
      <c r="F61" s="2168"/>
      <c r="G61" s="2169"/>
      <c r="H61" s="2169"/>
      <c r="I61" s="2170"/>
      <c r="J61" s="2168"/>
      <c r="K61" s="2168"/>
      <c r="L61" s="2168"/>
      <c r="M61" s="2172"/>
      <c r="N61" s="2172"/>
      <c r="O61" s="2172"/>
      <c r="P61" s="1573"/>
      <c r="Q61" s="2081"/>
      <c r="R61" s="2081"/>
      <c r="S61" s="2081"/>
      <c r="T61" s="1543"/>
    </row>
    <row r="62" spans="1:27" ht="15.5">
      <c r="A62" s="1331"/>
      <c r="B62" s="2171" t="s">
        <v>71</v>
      </c>
      <c r="C62" s="2171"/>
      <c r="D62" s="2099" t="s">
        <v>901</v>
      </c>
      <c r="E62" s="2099"/>
      <c r="F62" s="2099"/>
      <c r="G62" s="2099"/>
      <c r="H62" s="2099"/>
      <c r="I62" s="2099"/>
      <c r="J62" s="2099"/>
      <c r="K62" s="2099"/>
      <c r="L62" s="2099"/>
      <c r="M62" s="2099"/>
      <c r="N62" s="2099"/>
      <c r="O62" s="2099"/>
      <c r="P62" s="2099"/>
      <c r="Q62" s="2099"/>
      <c r="R62" s="2099"/>
      <c r="S62" s="2099"/>
      <c r="T62" s="1543"/>
    </row>
    <row r="63" spans="1:27" ht="17" customHeight="1">
      <c r="A63" s="1331"/>
      <c r="B63" s="2173" t="s">
        <v>1495</v>
      </c>
      <c r="C63" s="2174"/>
      <c r="D63" s="2174"/>
      <c r="E63" s="2174"/>
      <c r="F63" s="2174"/>
      <c r="G63" s="2174"/>
      <c r="H63" s="2174"/>
      <c r="I63" s="2174"/>
      <c r="J63" s="2174"/>
      <c r="K63" s="2174"/>
      <c r="L63" s="2174"/>
      <c r="M63" s="2174"/>
      <c r="N63" s="2174"/>
      <c r="O63" s="2174"/>
      <c r="P63" s="2174"/>
      <c r="Q63" s="2174"/>
      <c r="R63" s="2174"/>
      <c r="S63" s="2175"/>
      <c r="T63" s="1543"/>
    </row>
    <row r="64" spans="1:27" ht="17" customHeight="1">
      <c r="A64" s="1331"/>
      <c r="B64" s="2173" t="s">
        <v>1497</v>
      </c>
      <c r="C64" s="2174"/>
      <c r="D64" s="2174"/>
      <c r="E64" s="2174"/>
      <c r="F64" s="2174"/>
      <c r="G64" s="2174"/>
      <c r="H64" s="2174"/>
      <c r="I64" s="2174"/>
      <c r="J64" s="2174"/>
      <c r="K64" s="2174"/>
      <c r="L64" s="2174"/>
      <c r="M64" s="2174"/>
      <c r="N64" s="2174"/>
      <c r="O64" s="2174"/>
      <c r="P64" s="2174"/>
      <c r="Q64" s="2174"/>
      <c r="R64" s="2174"/>
      <c r="S64" s="2175"/>
      <c r="T64" s="1543"/>
    </row>
    <row r="65" spans="1:20" ht="17" customHeight="1">
      <c r="A65" s="1331"/>
      <c r="B65" s="2069" t="s">
        <v>1490</v>
      </c>
      <c r="C65" s="2069"/>
      <c r="D65" s="2069"/>
      <c r="E65" s="2069"/>
      <c r="F65" s="2069"/>
      <c r="G65" s="2069"/>
      <c r="H65" s="2069"/>
      <c r="I65" s="2069"/>
      <c r="J65" s="2069"/>
      <c r="K65" s="2069"/>
      <c r="L65" s="2069"/>
      <c r="M65" s="2069"/>
      <c r="N65" s="2069"/>
      <c r="O65" s="2069"/>
      <c r="P65" s="2069"/>
      <c r="Q65" s="2069"/>
      <c r="R65" s="2069"/>
      <c r="S65" s="2069"/>
      <c r="T65" s="1543"/>
    </row>
    <row r="66" spans="1:20" ht="17" customHeight="1">
      <c r="A66" s="1331"/>
      <c r="B66" s="2069" t="s">
        <v>1491</v>
      </c>
      <c r="C66" s="2069"/>
      <c r="D66" s="2069"/>
      <c r="E66" s="2069"/>
      <c r="F66" s="2069"/>
      <c r="G66" s="2069"/>
      <c r="H66" s="2069"/>
      <c r="I66" s="2069"/>
      <c r="J66" s="2069"/>
      <c r="K66" s="2069"/>
      <c r="L66" s="2069"/>
      <c r="M66" s="2069"/>
      <c r="N66" s="2069"/>
      <c r="O66" s="2069"/>
      <c r="P66" s="2069"/>
      <c r="Q66" s="2069"/>
      <c r="R66" s="2069"/>
      <c r="S66" s="2069"/>
      <c r="T66" s="1543"/>
    </row>
    <row r="67" spans="1:20" ht="17" customHeight="1">
      <c r="A67" s="1331"/>
      <c r="B67" s="2069" t="s">
        <v>1498</v>
      </c>
      <c r="C67" s="2069"/>
      <c r="D67" s="2069"/>
      <c r="E67" s="2069"/>
      <c r="F67" s="2069"/>
      <c r="G67" s="2069"/>
      <c r="H67" s="2069"/>
      <c r="I67" s="2069"/>
      <c r="J67" s="2069"/>
      <c r="K67" s="2069"/>
      <c r="L67" s="2069"/>
      <c r="M67" s="2069"/>
      <c r="N67" s="2069"/>
      <c r="O67" s="2069"/>
      <c r="P67" s="2069"/>
      <c r="Q67" s="2069"/>
      <c r="R67" s="2069"/>
      <c r="S67" s="2069"/>
      <c r="T67" s="1543"/>
    </row>
    <row r="68" spans="1:20" ht="17" customHeight="1">
      <c r="A68" s="1331"/>
      <c r="B68" s="2069" t="s">
        <v>1499</v>
      </c>
      <c r="C68" s="2069"/>
      <c r="D68" s="2069"/>
      <c r="E68" s="2069"/>
      <c r="F68" s="2069"/>
      <c r="G68" s="2069"/>
      <c r="H68" s="2069"/>
      <c r="I68" s="2069"/>
      <c r="J68" s="2069"/>
      <c r="K68" s="2069"/>
      <c r="L68" s="2069"/>
      <c r="M68" s="2069"/>
      <c r="N68" s="2069"/>
      <c r="O68" s="2069"/>
      <c r="P68" s="2069"/>
      <c r="Q68" s="2069"/>
      <c r="R68" s="2069"/>
      <c r="S68" s="2069"/>
      <c r="T68" s="1543"/>
    </row>
    <row r="69" spans="1:20" ht="17" customHeight="1">
      <c r="A69" s="1331"/>
      <c r="B69" s="2069" t="s">
        <v>1500</v>
      </c>
      <c r="C69" s="2069"/>
      <c r="D69" s="2069"/>
      <c r="E69" s="2069"/>
      <c r="F69" s="2069"/>
      <c r="G69" s="2069"/>
      <c r="H69" s="2069"/>
      <c r="I69" s="2069"/>
      <c r="J69" s="2069"/>
      <c r="K69" s="2069"/>
      <c r="L69" s="2069"/>
      <c r="M69" s="2069"/>
      <c r="N69" s="2069"/>
      <c r="O69" s="2069"/>
      <c r="P69" s="2069"/>
      <c r="Q69" s="2069"/>
      <c r="R69" s="2069"/>
      <c r="S69" s="2069"/>
      <c r="T69" s="1543"/>
    </row>
    <row r="70" spans="1:20" ht="17" customHeight="1">
      <c r="A70" s="1331"/>
      <c r="B70" s="2069" t="s">
        <v>1492</v>
      </c>
      <c r="C70" s="2069"/>
      <c r="D70" s="2069"/>
      <c r="E70" s="2069"/>
      <c r="F70" s="2069"/>
      <c r="G70" s="2069"/>
      <c r="H70" s="2069"/>
      <c r="I70" s="2069"/>
      <c r="J70" s="2069"/>
      <c r="K70" s="2069"/>
      <c r="L70" s="2069"/>
      <c r="M70" s="2069"/>
      <c r="N70" s="2069"/>
      <c r="O70" s="2069"/>
      <c r="P70" s="2069"/>
      <c r="Q70" s="2069"/>
      <c r="R70" s="2069"/>
      <c r="S70" s="2069"/>
      <c r="T70" s="1543"/>
    </row>
    <row r="71" spans="1:20" ht="2" customHeight="1">
      <c r="A71" s="1331"/>
      <c r="B71" s="2069"/>
      <c r="C71" s="2069"/>
      <c r="D71" s="2069"/>
      <c r="E71" s="2069"/>
      <c r="F71" s="2069"/>
      <c r="G71" s="2069"/>
      <c r="H71" s="2069"/>
      <c r="I71" s="2069"/>
      <c r="J71" s="2069"/>
      <c r="K71" s="2069"/>
      <c r="L71" s="2069"/>
      <c r="M71" s="2069"/>
      <c r="N71" s="2069"/>
      <c r="O71" s="2069"/>
      <c r="P71" s="2069"/>
      <c r="Q71" s="2069"/>
      <c r="R71" s="2069"/>
      <c r="S71" s="2069"/>
      <c r="T71" s="1543"/>
    </row>
    <row r="72" spans="1:20" ht="16" thickBot="1">
      <c r="A72" s="1847"/>
      <c r="B72" s="2167"/>
      <c r="C72" s="2167"/>
      <c r="D72" s="2167"/>
      <c r="E72" s="2167"/>
      <c r="F72" s="2167"/>
      <c r="G72" s="2167"/>
      <c r="H72" s="2167"/>
      <c r="I72" s="2167"/>
      <c r="J72" s="2167"/>
      <c r="K72" s="2167"/>
      <c r="L72" s="2167"/>
      <c r="M72" s="2167"/>
      <c r="N72" s="2167"/>
      <c r="O72" s="2167"/>
      <c r="P72" s="2167"/>
      <c r="Q72" s="2167"/>
      <c r="R72" s="2167"/>
      <c r="S72" s="2167"/>
      <c r="T72" s="1848"/>
    </row>
    <row r="73" spans="1:20" ht="15" thickTop="1"/>
  </sheetData>
  <sheetProtection formatCells="0" formatColumns="0" formatRows="0" insertColumns="0" insertRows="0" insertHyperlinks="0" deleteColumns="0" deleteRows="0" sort="0" autoFilter="0" pivotTables="0"/>
  <mergeCells count="172">
    <mergeCell ref="J4:N4"/>
    <mergeCell ref="F6:H6"/>
    <mergeCell ref="I5:I6"/>
    <mergeCell ref="E5:H5"/>
    <mergeCell ref="B21:S21"/>
    <mergeCell ref="E9:E10"/>
    <mergeCell ref="G34:K34"/>
    <mergeCell ref="L34:N34"/>
    <mergeCell ref="O5:O6"/>
    <mergeCell ref="J5:N5"/>
    <mergeCell ref="K6:N6"/>
    <mergeCell ref="D17:S17"/>
    <mergeCell ref="H9:H10"/>
    <mergeCell ref="B7:M7"/>
    <mergeCell ref="B8:H8"/>
    <mergeCell ref="D9:D10"/>
    <mergeCell ref="Q11:Q12"/>
    <mergeCell ref="L9:L10"/>
    <mergeCell ref="D20:S20"/>
    <mergeCell ref="B25:D26"/>
    <mergeCell ref="J9:J10"/>
    <mergeCell ref="B17:C17"/>
    <mergeCell ref="B20:C20"/>
    <mergeCell ref="R11:S12"/>
    <mergeCell ref="G36:K36"/>
    <mergeCell ref="B28:D28"/>
    <mergeCell ref="G28:K28"/>
    <mergeCell ref="L35:N35"/>
    <mergeCell ref="L33:N33"/>
    <mergeCell ref="B33:D33"/>
    <mergeCell ref="B30:D30"/>
    <mergeCell ref="L29:N29"/>
    <mergeCell ref="G29:K29"/>
    <mergeCell ref="B36:D36"/>
    <mergeCell ref="G30:K30"/>
    <mergeCell ref="L36:N36"/>
    <mergeCell ref="B35:D35"/>
    <mergeCell ref="B34:D34"/>
    <mergeCell ref="B72:S72"/>
    <mergeCell ref="B61:C61"/>
    <mergeCell ref="M60:O60"/>
    <mergeCell ref="D61:F61"/>
    <mergeCell ref="J59:O59"/>
    <mergeCell ref="B59:C60"/>
    <mergeCell ref="G61:I61"/>
    <mergeCell ref="P59:P60"/>
    <mergeCell ref="J60:L60"/>
    <mergeCell ref="B62:C62"/>
    <mergeCell ref="Q61:S61"/>
    <mergeCell ref="J61:L61"/>
    <mergeCell ref="M61:O61"/>
    <mergeCell ref="D59:I59"/>
    <mergeCell ref="D62:S62"/>
    <mergeCell ref="Q59:S60"/>
    <mergeCell ref="D60:F60"/>
    <mergeCell ref="B71:S71"/>
    <mergeCell ref="B63:S63"/>
    <mergeCell ref="B70:S70"/>
    <mergeCell ref="B64:S64"/>
    <mergeCell ref="G60:I60"/>
    <mergeCell ref="B65:S65"/>
    <mergeCell ref="B68:S68"/>
    <mergeCell ref="Q24:R24"/>
    <mergeCell ref="E25:E26"/>
    <mergeCell ref="B19:S19"/>
    <mergeCell ref="P25:P26"/>
    <mergeCell ref="G25:K26"/>
    <mergeCell ref="I8:O8"/>
    <mergeCell ref="I9:I10"/>
    <mergeCell ref="L24:P24"/>
    <mergeCell ref="Q25:S26"/>
    <mergeCell ref="B23:S23"/>
    <mergeCell ref="B24:F24"/>
    <mergeCell ref="Q27:S27"/>
    <mergeCell ref="F25:F26"/>
    <mergeCell ref="B27:D27"/>
    <mergeCell ref="L27:N27"/>
    <mergeCell ref="L25:N26"/>
    <mergeCell ref="G27:K27"/>
    <mergeCell ref="P2:S10"/>
    <mergeCell ref="K9:K10"/>
    <mergeCell ref="B2:D2"/>
    <mergeCell ref="E2:L2"/>
    <mergeCell ref="M2:O2"/>
    <mergeCell ref="D5:D6"/>
    <mergeCell ref="E4:H4"/>
    <mergeCell ref="F9:G9"/>
    <mergeCell ref="B18:S18"/>
    <mergeCell ref="C9:C10"/>
    <mergeCell ref="M9:N9"/>
    <mergeCell ref="O9:O10"/>
    <mergeCell ref="O25:O26"/>
    <mergeCell ref="P11:P12"/>
    <mergeCell ref="B5:B6"/>
    <mergeCell ref="C5:C6"/>
    <mergeCell ref="B9:B10"/>
    <mergeCell ref="B22:S22"/>
    <mergeCell ref="Q35:S35"/>
    <mergeCell ref="Q33:S33"/>
    <mergeCell ref="Q31:S31"/>
    <mergeCell ref="L31:N31"/>
    <mergeCell ref="B31:D31"/>
    <mergeCell ref="G31:K31"/>
    <mergeCell ref="L28:N28"/>
    <mergeCell ref="Q29:S29"/>
    <mergeCell ref="L30:N30"/>
    <mergeCell ref="B29:D29"/>
    <mergeCell ref="L32:N32"/>
    <mergeCell ref="Q30:S30"/>
    <mergeCell ref="Q32:S32"/>
    <mergeCell ref="B32:D32"/>
    <mergeCell ref="G32:K32"/>
    <mergeCell ref="Q28:S28"/>
    <mergeCell ref="L39:N39"/>
    <mergeCell ref="Q39:S39"/>
    <mergeCell ref="G33:K33"/>
    <mergeCell ref="Q34:S34"/>
    <mergeCell ref="L41:N41"/>
    <mergeCell ref="B37:D37"/>
    <mergeCell ref="L37:N37"/>
    <mergeCell ref="Q36:S36"/>
    <mergeCell ref="L38:N38"/>
    <mergeCell ref="B38:D38"/>
    <mergeCell ref="Q38:S38"/>
    <mergeCell ref="G38:K38"/>
    <mergeCell ref="Q40:S40"/>
    <mergeCell ref="G39:K39"/>
    <mergeCell ref="B41:D41"/>
    <mergeCell ref="G41:K41"/>
    <mergeCell ref="B39:D39"/>
    <mergeCell ref="G35:K35"/>
    <mergeCell ref="Q37:S37"/>
    <mergeCell ref="G40:K40"/>
    <mergeCell ref="Q41:S41"/>
    <mergeCell ref="L40:N40"/>
    <mergeCell ref="B40:D40"/>
    <mergeCell ref="G37:K37"/>
    <mergeCell ref="B47:S47"/>
    <mergeCell ref="B46:S46"/>
    <mergeCell ref="B42:C42"/>
    <mergeCell ref="D54:F54"/>
    <mergeCell ref="J54:L54"/>
    <mergeCell ref="M54:O54"/>
    <mergeCell ref="B49:S49"/>
    <mergeCell ref="B43:S43"/>
    <mergeCell ref="B45:S45"/>
    <mergeCell ref="B48:C48"/>
    <mergeCell ref="D48:S48"/>
    <mergeCell ref="B50:S50"/>
    <mergeCell ref="B44:S44"/>
    <mergeCell ref="D42:S42"/>
    <mergeCell ref="B69:S69"/>
    <mergeCell ref="B58:S58"/>
    <mergeCell ref="B56:C56"/>
    <mergeCell ref="Q53:S54"/>
    <mergeCell ref="D53:I53"/>
    <mergeCell ref="P53:P54"/>
    <mergeCell ref="D56:S56"/>
    <mergeCell ref="G54:I54"/>
    <mergeCell ref="B51:S51"/>
    <mergeCell ref="D55:F55"/>
    <mergeCell ref="J55:L55"/>
    <mergeCell ref="Q55:S55"/>
    <mergeCell ref="B53:C54"/>
    <mergeCell ref="B52:S52"/>
    <mergeCell ref="J53:O53"/>
    <mergeCell ref="G55:I55"/>
    <mergeCell ref="B57:S57"/>
    <mergeCell ref="B55:C55"/>
    <mergeCell ref="M55:O55"/>
    <mergeCell ref="B66:S66"/>
    <mergeCell ref="B67:S67"/>
  </mergeCells>
  <dataValidations count="4">
    <dataValidation type="list" allowBlank="1" showInputMessage="1" showErrorMessage="1" sqref="O11:O12 H11:H16">
      <formula1>$W$11:$W$14</formula1>
    </dataValidation>
    <dataValidation type="list" allowBlank="1" showInputMessage="1" showErrorMessage="1" sqref="O13:O16 P16:S16">
      <formula1>$W$13:$W$15</formula1>
    </dataValidation>
    <dataValidation type="list" allowBlank="1" showInputMessage="1" showErrorMessage="1" sqref="E5">
      <formula1>$W$3:$W$8</formula1>
    </dataValidation>
    <dataValidation type="list" allowBlank="1" showInputMessage="1" showErrorMessage="1" sqref="J5">
      <formula1>$Y$4:$Y$7</formula1>
    </dataValidation>
  </dataValidations>
  <hyperlinks>
    <hyperlink ref="K6" r:id="rId1"/>
    <hyperlink ref="F6" r:id="rId2"/>
  </hyperlinks>
  <pageMargins left="0.7" right="0.45" top="0.5" bottom="0.5" header="0.3" footer="0.3"/>
  <pageSetup scale="18" orientation="portrait" r:id="rId3"/>
  <ignoredErrors>
    <ignoredError sqref="N7:O7 S13:S15" unlockedFormula="1"/>
  </ignoredErrors>
  <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FFC000"/>
  </sheetPr>
  <dimension ref="A1:CL93"/>
  <sheetViews>
    <sheetView zoomScale="70" zoomScaleNormal="70" workbookViewId="0">
      <pane ySplit="5" topLeftCell="A33" activePane="bottomLeft" state="frozen"/>
      <selection activeCell="F375" sqref="F375"/>
      <selection pane="bottomLeft" activeCell="K54" sqref="K54"/>
    </sheetView>
  </sheetViews>
  <sheetFormatPr baseColWidth="10" defaultColWidth="11.453125" defaultRowHeight="14.5"/>
  <cols>
    <col min="1" max="1" width="0.36328125" style="1336" customWidth="1"/>
    <col min="2" max="2" width="7" style="1330" bestFit="1" customWidth="1"/>
    <col min="3" max="3" width="7.90625" style="1330" customWidth="1"/>
    <col min="4" max="4" width="8.984375E-2" style="1330" customWidth="1"/>
    <col min="5" max="5" width="11.54296875" style="1330" bestFit="1" customWidth="1"/>
    <col min="6" max="6" width="11.81640625" style="1330" bestFit="1" customWidth="1"/>
    <col min="7" max="7" width="15" style="1330" bestFit="1" customWidth="1"/>
    <col min="8" max="8" width="12.54296875" style="1330" bestFit="1" customWidth="1"/>
    <col min="9" max="9" width="13.08984375" style="1330" bestFit="1" customWidth="1"/>
    <col min="10" max="10" width="13.81640625" style="1330" bestFit="1" customWidth="1"/>
    <col min="11" max="11" width="12.1796875" style="1330" bestFit="1" customWidth="1"/>
    <col min="12" max="12" width="13.08984375" style="1330" bestFit="1" customWidth="1"/>
    <col min="13" max="13" width="12.54296875" style="1330" bestFit="1" customWidth="1"/>
    <col min="14" max="14" width="11.81640625" style="1330" bestFit="1" customWidth="1"/>
    <col min="15" max="16" width="15.453125" style="1330" bestFit="1" customWidth="1"/>
    <col min="17" max="17" width="15.90625" style="1330" bestFit="1" customWidth="1"/>
    <col min="18" max="18" width="13.1796875" style="1330" bestFit="1" customWidth="1"/>
    <col min="19" max="20" width="14.26953125" style="1330" bestFit="1" customWidth="1"/>
    <col min="21" max="21" width="17.6328125" style="1330" bestFit="1" customWidth="1"/>
    <col min="22" max="22" width="12.90625" style="1330" bestFit="1" customWidth="1"/>
    <col min="23" max="24" width="12.81640625" style="1330" bestFit="1" customWidth="1"/>
    <col min="25" max="25" width="7.36328125" style="1338" bestFit="1" customWidth="1"/>
    <col min="26" max="26" width="17" style="1330" bestFit="1" customWidth="1"/>
    <col min="27" max="27" width="13.6328125" style="1330" bestFit="1" customWidth="1"/>
    <col min="28" max="28" width="12.81640625" style="1330" bestFit="1" customWidth="1"/>
    <col min="29" max="29" width="12.81640625" style="1338" bestFit="1" customWidth="1"/>
    <col min="30" max="30" width="11.81640625" style="1330" bestFit="1" customWidth="1"/>
    <col min="31" max="31" width="12.54296875" style="1330" bestFit="1" customWidth="1"/>
    <col min="32" max="32" width="14.6328125" style="1330" bestFit="1" customWidth="1"/>
    <col min="33" max="34" width="14.26953125" style="1330" bestFit="1" customWidth="1"/>
    <col min="35" max="35" width="14.6328125" style="1339" bestFit="1" customWidth="1"/>
    <col min="36" max="36" width="14" style="1330" bestFit="1" customWidth="1"/>
    <col min="37" max="37" width="14.26953125" style="1330" bestFit="1" customWidth="1"/>
    <col min="38" max="38" width="7.7265625" style="1330" bestFit="1" customWidth="1"/>
    <col min="39" max="39" width="10.453125" style="1330" bestFit="1" customWidth="1"/>
    <col min="40" max="40" width="11.81640625" style="1330" bestFit="1" customWidth="1"/>
    <col min="41" max="42" width="6.08984375" style="1330" bestFit="1" customWidth="1"/>
    <col min="43" max="43" width="6.453125" style="1330" bestFit="1" customWidth="1"/>
    <col min="44" max="44" width="12" style="1338" bestFit="1" customWidth="1"/>
    <col min="45" max="45" width="11.36328125" style="1338" bestFit="1" customWidth="1"/>
    <col min="46" max="46" width="11.90625" style="1338" bestFit="1" customWidth="1"/>
    <col min="47" max="47" width="15.6328125" style="1338" bestFit="1" customWidth="1"/>
    <col min="48" max="48" width="12.90625" style="1330" bestFit="1" customWidth="1"/>
    <col min="49" max="50" width="13.1796875" style="1330" bestFit="1" customWidth="1"/>
    <col min="51" max="51" width="12" style="1330" bestFit="1" customWidth="1"/>
    <col min="52" max="52" width="12.26953125" style="1330" bestFit="1" customWidth="1"/>
    <col min="53" max="53" width="15.90625" style="1330" bestFit="1" customWidth="1"/>
    <col min="54" max="54" width="13.08984375" style="1330" bestFit="1" customWidth="1"/>
    <col min="55" max="55" width="8.54296875" style="1330" bestFit="1" customWidth="1"/>
    <col min="56" max="59" width="13.08984375" style="1330" bestFit="1" customWidth="1"/>
    <col min="60" max="61" width="13.36328125" style="1338" bestFit="1" customWidth="1"/>
    <col min="62" max="63" width="13.36328125" style="1330" bestFit="1" customWidth="1"/>
    <col min="64" max="64" width="11.6328125" style="1330" bestFit="1" customWidth="1"/>
    <col min="65" max="72" width="11.90625" style="1330" bestFit="1" customWidth="1"/>
    <col min="73" max="73" width="12.54296875" style="1330" bestFit="1" customWidth="1"/>
    <col min="74" max="74" width="12.26953125" style="1330" bestFit="1" customWidth="1"/>
    <col min="75" max="76" width="12.54296875" style="1330" bestFit="1" customWidth="1"/>
    <col min="77" max="77" width="13.08984375" style="1330" bestFit="1" customWidth="1"/>
    <col min="78" max="78" width="12.7265625" style="1330" bestFit="1" customWidth="1"/>
    <col min="79" max="79" width="13.36328125" style="1330" bestFit="1" customWidth="1"/>
    <col min="80" max="80" width="11.54296875" style="1330" bestFit="1" customWidth="1"/>
    <col min="81" max="81" width="6.26953125" style="1330" bestFit="1" customWidth="1"/>
    <col min="82" max="82" width="9.81640625" style="1330" bestFit="1" customWidth="1"/>
    <col min="83" max="83" width="8.453125" style="1330" bestFit="1" customWidth="1"/>
    <col min="84" max="16384" width="11.453125" style="1330"/>
  </cols>
  <sheetData>
    <row r="1" spans="1:90" ht="15" thickBot="1">
      <c r="A1" s="2200"/>
      <c r="B1" s="1330">
        <v>1</v>
      </c>
      <c r="C1" s="1330">
        <v>2</v>
      </c>
      <c r="E1" s="1330">
        <v>4</v>
      </c>
      <c r="F1" s="1330">
        <v>5</v>
      </c>
      <c r="G1" s="1330">
        <v>6</v>
      </c>
      <c r="H1" s="1330">
        <v>7</v>
      </c>
      <c r="I1" s="1330">
        <v>8</v>
      </c>
      <c r="J1" s="1330">
        <v>9</v>
      </c>
      <c r="K1" s="1330">
        <v>10</v>
      </c>
      <c r="L1" s="1330">
        <v>11</v>
      </c>
      <c r="M1" s="1330">
        <v>12</v>
      </c>
      <c r="N1" s="1330">
        <v>13</v>
      </c>
      <c r="O1" s="1330">
        <v>14</v>
      </c>
      <c r="P1" s="1330">
        <v>15</v>
      </c>
      <c r="Q1" s="1330">
        <v>16</v>
      </c>
      <c r="R1" s="1330">
        <v>17</v>
      </c>
      <c r="S1" s="1330">
        <v>18</v>
      </c>
      <c r="T1" s="1330">
        <v>19</v>
      </c>
      <c r="U1" s="1330">
        <v>20</v>
      </c>
      <c r="V1" s="1330">
        <v>21</v>
      </c>
      <c r="W1" s="1330">
        <v>22</v>
      </c>
      <c r="X1" s="1330">
        <v>23</v>
      </c>
      <c r="Y1" s="1330">
        <v>24</v>
      </c>
      <c r="Z1" s="1330">
        <v>25</v>
      </c>
      <c r="AA1" s="1330">
        <v>26</v>
      </c>
      <c r="AB1" s="1330">
        <v>27</v>
      </c>
      <c r="AC1" s="1330">
        <v>28</v>
      </c>
      <c r="AD1" s="1330">
        <v>29</v>
      </c>
      <c r="AE1" s="1330">
        <v>30</v>
      </c>
      <c r="AF1" s="1330">
        <v>31</v>
      </c>
      <c r="AG1" s="1330">
        <v>32</v>
      </c>
      <c r="AH1" s="1330">
        <v>33</v>
      </c>
      <c r="AI1" s="1330">
        <v>34</v>
      </c>
      <c r="AJ1" s="1330">
        <v>35</v>
      </c>
      <c r="AK1" s="1330">
        <v>36</v>
      </c>
      <c r="AL1" s="1330">
        <v>37</v>
      </c>
      <c r="AM1" s="1330">
        <v>38</v>
      </c>
      <c r="AN1" s="1330">
        <v>39</v>
      </c>
      <c r="AO1" s="1330">
        <v>40</v>
      </c>
      <c r="AP1" s="1330">
        <v>41</v>
      </c>
      <c r="AQ1" s="1330">
        <v>42</v>
      </c>
      <c r="AR1" s="1330">
        <v>43</v>
      </c>
      <c r="AS1" s="1330">
        <v>44</v>
      </c>
      <c r="AT1" s="1330">
        <v>45</v>
      </c>
      <c r="AU1" s="1330">
        <v>46</v>
      </c>
      <c r="AV1" s="1330">
        <v>47</v>
      </c>
      <c r="AW1" s="1330">
        <v>48</v>
      </c>
      <c r="AX1" s="1330">
        <v>49</v>
      </c>
      <c r="AY1" s="1330">
        <v>50</v>
      </c>
      <c r="AZ1" s="1330">
        <v>51</v>
      </c>
      <c r="BA1" s="1330">
        <v>52</v>
      </c>
      <c r="BB1" s="1330">
        <v>53</v>
      </c>
      <c r="BC1" s="1330">
        <v>54</v>
      </c>
      <c r="BD1" s="1330">
        <v>55</v>
      </c>
      <c r="BE1" s="1330">
        <v>56</v>
      </c>
      <c r="BF1" s="1330">
        <v>57</v>
      </c>
      <c r="BG1" s="1330">
        <v>58</v>
      </c>
      <c r="BH1" s="1330">
        <v>59</v>
      </c>
      <c r="BI1" s="1330">
        <v>60</v>
      </c>
      <c r="BJ1" s="1330">
        <v>61</v>
      </c>
      <c r="BK1" s="1330">
        <v>62</v>
      </c>
      <c r="BL1" s="1330">
        <v>63</v>
      </c>
      <c r="BM1" s="1330">
        <v>64</v>
      </c>
      <c r="BN1" s="1330">
        <v>65</v>
      </c>
      <c r="BO1" s="1330">
        <v>66</v>
      </c>
      <c r="BP1" s="1330">
        <v>67</v>
      </c>
      <c r="BQ1" s="1330">
        <v>68</v>
      </c>
      <c r="BR1" s="1330">
        <v>69</v>
      </c>
      <c r="BS1" s="1330">
        <v>70</v>
      </c>
      <c r="BT1" s="1330">
        <v>71</v>
      </c>
      <c r="BU1" s="1330">
        <v>72</v>
      </c>
      <c r="BV1" s="1330">
        <v>73</v>
      </c>
      <c r="BW1" s="1330">
        <v>74</v>
      </c>
      <c r="BX1" s="1330">
        <v>75</v>
      </c>
      <c r="BY1" s="1330">
        <v>76</v>
      </c>
      <c r="BZ1" s="1330">
        <v>77</v>
      </c>
      <c r="CA1" s="1330">
        <v>78</v>
      </c>
      <c r="CB1" s="1330">
        <v>79</v>
      </c>
      <c r="CC1" s="1330">
        <v>80</v>
      </c>
      <c r="CD1" s="1330">
        <v>81</v>
      </c>
    </row>
    <row r="2" spans="1:90" ht="34" customHeight="1" thickBot="1">
      <c r="A2" s="2201"/>
      <c r="B2" s="2202" t="s">
        <v>379</v>
      </c>
      <c r="C2" s="2203"/>
      <c r="D2" s="1702"/>
      <c r="E2" s="1340" t="s">
        <v>425</v>
      </c>
      <c r="F2" s="1340" t="s">
        <v>384</v>
      </c>
      <c r="G2" s="1340" t="s">
        <v>385</v>
      </c>
      <c r="H2" s="1340" t="s">
        <v>386</v>
      </c>
      <c r="I2" s="1340" t="s">
        <v>426</v>
      </c>
      <c r="J2" s="1340" t="s">
        <v>427</v>
      </c>
      <c r="K2" s="1340" t="s">
        <v>428</v>
      </c>
      <c r="L2" s="1340" t="s">
        <v>429</v>
      </c>
      <c r="M2" s="1703" t="s">
        <v>430</v>
      </c>
      <c r="N2" s="1703" t="s">
        <v>431</v>
      </c>
      <c r="O2" s="1703" t="s">
        <v>432</v>
      </c>
      <c r="P2" s="1703" t="s">
        <v>433</v>
      </c>
      <c r="Q2" s="1703" t="s">
        <v>434</v>
      </c>
      <c r="R2" s="1340" t="s">
        <v>434</v>
      </c>
      <c r="S2" s="1340" t="s">
        <v>435</v>
      </c>
      <c r="T2" s="1340" t="s">
        <v>435</v>
      </c>
      <c r="U2" s="1340" t="s">
        <v>436</v>
      </c>
      <c r="V2" s="1340" t="s">
        <v>437</v>
      </c>
      <c r="W2" s="1340" t="s">
        <v>438</v>
      </c>
      <c r="X2" s="1340" t="s">
        <v>439</v>
      </c>
      <c r="Y2" s="1340" t="s">
        <v>440</v>
      </c>
      <c r="Z2" s="1340" t="s">
        <v>441</v>
      </c>
      <c r="AA2" s="1340" t="s">
        <v>442</v>
      </c>
      <c r="AB2" s="1340" t="s">
        <v>443</v>
      </c>
      <c r="AC2" s="1340" t="s">
        <v>443</v>
      </c>
      <c r="AD2" s="1340" t="s">
        <v>444</v>
      </c>
      <c r="AE2" s="1340" t="s">
        <v>445</v>
      </c>
      <c r="AF2" s="1815" t="s">
        <v>446</v>
      </c>
      <c r="AG2" s="1815" t="s">
        <v>446</v>
      </c>
      <c r="AH2" s="1815" t="s">
        <v>446</v>
      </c>
      <c r="AI2" s="1815" t="s">
        <v>446</v>
      </c>
      <c r="AJ2" s="1815" t="s">
        <v>446</v>
      </c>
      <c r="AK2" s="1815" t="s">
        <v>446</v>
      </c>
      <c r="AL2" s="1340" t="s">
        <v>447</v>
      </c>
      <c r="AM2" s="1340" t="s">
        <v>448</v>
      </c>
      <c r="AN2" s="1340" t="s">
        <v>449</v>
      </c>
      <c r="AO2" s="1340" t="s">
        <v>450</v>
      </c>
      <c r="AP2" s="1340" t="s">
        <v>451</v>
      </c>
      <c r="AQ2" s="1340" t="s">
        <v>452</v>
      </c>
      <c r="AR2" s="1340" t="s">
        <v>453</v>
      </c>
      <c r="AS2" s="1703" t="s">
        <v>1471</v>
      </c>
      <c r="AT2" s="1703" t="s">
        <v>1472</v>
      </c>
      <c r="AU2" s="1340" t="s">
        <v>454</v>
      </c>
      <c r="AV2" s="1340" t="s">
        <v>455</v>
      </c>
      <c r="AW2" s="1340" t="s">
        <v>456</v>
      </c>
      <c r="AX2" s="1340" t="s">
        <v>457</v>
      </c>
      <c r="AY2" s="1340" t="s">
        <v>458</v>
      </c>
      <c r="AZ2" s="1340" t="s">
        <v>459</v>
      </c>
      <c r="BA2" s="1703" t="s">
        <v>460</v>
      </c>
      <c r="BB2" s="1340" t="s">
        <v>461</v>
      </c>
      <c r="BC2" s="1340" t="s">
        <v>462</v>
      </c>
      <c r="BD2" s="1340" t="s">
        <v>397</v>
      </c>
      <c r="BE2" s="1340" t="s">
        <v>397</v>
      </c>
      <c r="BF2" s="1340" t="s">
        <v>397</v>
      </c>
      <c r="BG2" s="1340" t="s">
        <v>397</v>
      </c>
      <c r="BH2" s="1340" t="s">
        <v>463</v>
      </c>
      <c r="BI2" s="1340" t="s">
        <v>463</v>
      </c>
      <c r="BJ2" s="1340" t="s">
        <v>463</v>
      </c>
      <c r="BK2" s="1340" t="s">
        <v>463</v>
      </c>
      <c r="BL2" s="1340" t="s">
        <v>464</v>
      </c>
      <c r="BM2" s="1340" t="s">
        <v>465</v>
      </c>
      <c r="BN2" s="1340" t="s">
        <v>466</v>
      </c>
      <c r="BO2" s="1340" t="s">
        <v>467</v>
      </c>
      <c r="BP2" s="1340" t="s">
        <v>468</v>
      </c>
      <c r="BQ2" s="1340" t="s">
        <v>469</v>
      </c>
      <c r="BR2" s="1340" t="s">
        <v>470</v>
      </c>
      <c r="BS2" s="1340" t="s">
        <v>471</v>
      </c>
      <c r="BT2" s="1340" t="s">
        <v>472</v>
      </c>
      <c r="BU2" s="1340" t="s">
        <v>473</v>
      </c>
      <c r="BV2" s="1340" t="s">
        <v>474</v>
      </c>
      <c r="BW2" s="1340" t="s">
        <v>475</v>
      </c>
      <c r="BX2" s="1340" t="s">
        <v>476</v>
      </c>
      <c r="BY2" s="1340" t="s">
        <v>398</v>
      </c>
      <c r="BZ2" s="1340" t="s">
        <v>477</v>
      </c>
      <c r="CA2" s="1340" t="s">
        <v>478</v>
      </c>
      <c r="CB2" s="1340" t="s">
        <v>479</v>
      </c>
      <c r="CC2" s="1340" t="s">
        <v>480</v>
      </c>
      <c r="CD2" s="1340" t="s">
        <v>1365</v>
      </c>
      <c r="CE2" s="1341">
        <f>INICIO!D12</f>
        <v>45231</v>
      </c>
    </row>
    <row r="3" spans="1:90" ht="18" customHeight="1" thickBot="1">
      <c r="A3" s="1803">
        <f>INICIO!C8</f>
        <v>45231</v>
      </c>
      <c r="B3" s="2204"/>
      <c r="C3" s="2205"/>
      <c r="D3" s="1704" t="s">
        <v>405</v>
      </c>
      <c r="E3" s="1707" t="s">
        <v>401</v>
      </c>
      <c r="F3" s="1708" t="s">
        <v>404</v>
      </c>
      <c r="G3" s="1707" t="s">
        <v>405</v>
      </c>
      <c r="H3" s="1707" t="s">
        <v>405</v>
      </c>
      <c r="I3" s="1708" t="s">
        <v>481</v>
      </c>
      <c r="J3" s="1707" t="s">
        <v>482</v>
      </c>
      <c r="K3" s="1708" t="s">
        <v>483</v>
      </c>
      <c r="L3" s="1707" t="s">
        <v>483</v>
      </c>
      <c r="M3" s="1707" t="s">
        <v>484</v>
      </c>
      <c r="N3" s="1707" t="s">
        <v>485</v>
      </c>
      <c r="O3" s="1707" t="s">
        <v>486</v>
      </c>
      <c r="P3" s="1707" t="s">
        <v>487</v>
      </c>
      <c r="Q3" s="1707" t="s">
        <v>488</v>
      </c>
      <c r="R3" s="1707" t="s">
        <v>489</v>
      </c>
      <c r="S3" s="1707" t="s">
        <v>490</v>
      </c>
      <c r="T3" s="1707" t="s">
        <v>491</v>
      </c>
      <c r="U3" s="1707" t="s">
        <v>492</v>
      </c>
      <c r="V3" s="1709" t="s">
        <v>406</v>
      </c>
      <c r="W3" s="1707" t="s">
        <v>493</v>
      </c>
      <c r="X3" s="1707" t="s">
        <v>407</v>
      </c>
      <c r="Y3" s="1709" t="s">
        <v>494</v>
      </c>
      <c r="Z3" s="1707" t="s">
        <v>402</v>
      </c>
      <c r="AA3" s="1707" t="s">
        <v>403</v>
      </c>
      <c r="AB3" s="1707" t="s">
        <v>495</v>
      </c>
      <c r="AC3" s="1707" t="s">
        <v>496</v>
      </c>
      <c r="AD3" s="1707" t="s">
        <v>497</v>
      </c>
      <c r="AE3" s="1707" t="s">
        <v>498</v>
      </c>
      <c r="AF3" s="1707" t="s">
        <v>499</v>
      </c>
      <c r="AG3" s="1707" t="s">
        <v>500</v>
      </c>
      <c r="AH3" s="1707" t="s">
        <v>501</v>
      </c>
      <c r="AI3" s="1710" t="s">
        <v>502</v>
      </c>
      <c r="AJ3" s="1707" t="s">
        <v>503</v>
      </c>
      <c r="AK3" s="1707" t="s">
        <v>504</v>
      </c>
      <c r="AL3" s="1707" t="s">
        <v>505</v>
      </c>
      <c r="AM3" s="1707" t="s">
        <v>505</v>
      </c>
      <c r="AN3" s="1707" t="s">
        <v>404</v>
      </c>
      <c r="AO3" s="1707" t="s">
        <v>506</v>
      </c>
      <c r="AP3" s="1707" t="s">
        <v>506</v>
      </c>
      <c r="AQ3" s="1707" t="s">
        <v>505</v>
      </c>
      <c r="AR3" s="1711" t="s">
        <v>507</v>
      </c>
      <c r="AS3" s="1709" t="s">
        <v>1469</v>
      </c>
      <c r="AT3" s="1709" t="s">
        <v>1470</v>
      </c>
      <c r="AU3" s="1709" t="s">
        <v>1364</v>
      </c>
      <c r="AV3" s="1707" t="s">
        <v>508</v>
      </c>
      <c r="AW3" s="1707" t="s">
        <v>509</v>
      </c>
      <c r="AX3" s="1707" t="s">
        <v>510</v>
      </c>
      <c r="AY3" s="1707" t="s">
        <v>511</v>
      </c>
      <c r="AZ3" s="1707" t="s">
        <v>512</v>
      </c>
      <c r="BA3" s="1707" t="s">
        <v>513</v>
      </c>
      <c r="BB3" s="1707" t="s">
        <v>408</v>
      </c>
      <c r="BC3" s="1707" t="s">
        <v>405</v>
      </c>
      <c r="BD3" s="1707" t="s">
        <v>410</v>
      </c>
      <c r="BE3" s="1707" t="s">
        <v>411</v>
      </c>
      <c r="BF3" s="1707" t="s">
        <v>412</v>
      </c>
      <c r="BG3" s="1707" t="s">
        <v>413</v>
      </c>
      <c r="BH3" s="1709" t="s">
        <v>514</v>
      </c>
      <c r="BI3" s="1709" t="s">
        <v>515</v>
      </c>
      <c r="BJ3" s="1707" t="s">
        <v>516</v>
      </c>
      <c r="BK3" s="1707" t="s">
        <v>517</v>
      </c>
      <c r="BL3" s="1707" t="s">
        <v>518</v>
      </c>
      <c r="BM3" s="1707" t="s">
        <v>519</v>
      </c>
      <c r="BN3" s="1707" t="s">
        <v>520</v>
      </c>
      <c r="BO3" s="1707" t="s">
        <v>521</v>
      </c>
      <c r="BP3" s="1707" t="s">
        <v>522</v>
      </c>
      <c r="BQ3" s="1707" t="s">
        <v>523</v>
      </c>
      <c r="BR3" s="1707" t="s">
        <v>524</v>
      </c>
      <c r="BS3" s="1707" t="s">
        <v>525</v>
      </c>
      <c r="BT3" s="1707" t="s">
        <v>526</v>
      </c>
      <c r="BU3" s="1707" t="s">
        <v>527</v>
      </c>
      <c r="BV3" s="1707" t="s">
        <v>528</v>
      </c>
      <c r="BW3" s="1707" t="s">
        <v>529</v>
      </c>
      <c r="BX3" s="1707" t="s">
        <v>530</v>
      </c>
      <c r="BY3" s="1707" t="s">
        <v>414</v>
      </c>
      <c r="BZ3" s="1707" t="s">
        <v>531</v>
      </c>
      <c r="CA3" s="1707" t="s">
        <v>532</v>
      </c>
      <c r="CB3" s="1707" t="s">
        <v>533</v>
      </c>
      <c r="CC3" s="1707" t="s">
        <v>534</v>
      </c>
      <c r="CD3" s="1707" t="s">
        <v>1366</v>
      </c>
      <c r="CE3" s="1341">
        <v>43739</v>
      </c>
    </row>
    <row r="4" spans="1:90" ht="15" thickBot="1">
      <c r="A4" s="2198"/>
      <c r="B4" s="2206" t="s">
        <v>399</v>
      </c>
      <c r="C4" s="2208" t="s">
        <v>400</v>
      </c>
      <c r="D4" s="1705" t="s">
        <v>535</v>
      </c>
      <c r="E4" s="1707" t="s">
        <v>415</v>
      </c>
      <c r="F4" s="1707" t="s">
        <v>420</v>
      </c>
      <c r="G4" s="1707" t="s">
        <v>420</v>
      </c>
      <c r="H4" s="1707" t="s">
        <v>420</v>
      </c>
      <c r="I4" s="1707" t="s">
        <v>420</v>
      </c>
      <c r="J4" s="1707" t="s">
        <v>420</v>
      </c>
      <c r="K4" s="1707" t="s">
        <v>420</v>
      </c>
      <c r="L4" s="1707" t="s">
        <v>420</v>
      </c>
      <c r="M4" s="1707" t="s">
        <v>420</v>
      </c>
      <c r="N4" s="1707" t="s">
        <v>420</v>
      </c>
      <c r="O4" s="1707" t="s">
        <v>422</v>
      </c>
      <c r="P4" s="1707" t="s">
        <v>422</v>
      </c>
      <c r="Q4" s="1707" t="s">
        <v>422</v>
      </c>
      <c r="R4" s="1707" t="s">
        <v>422</v>
      </c>
      <c r="S4" s="1707" t="s">
        <v>422</v>
      </c>
      <c r="T4" s="1707" t="s">
        <v>422</v>
      </c>
      <c r="U4" s="1707" t="s">
        <v>422</v>
      </c>
      <c r="V4" s="1707" t="s">
        <v>421</v>
      </c>
      <c r="W4" s="1707" t="s">
        <v>536</v>
      </c>
      <c r="X4" s="1707" t="s">
        <v>422</v>
      </c>
      <c r="Y4" s="1709" t="s">
        <v>422</v>
      </c>
      <c r="Z4" s="1707" t="s">
        <v>418</v>
      </c>
      <c r="AA4" s="1707" t="s">
        <v>419</v>
      </c>
      <c r="AB4" s="1707" t="s">
        <v>422</v>
      </c>
      <c r="AC4" s="1707" t="s">
        <v>422</v>
      </c>
      <c r="AD4" s="1707" t="s">
        <v>422</v>
      </c>
      <c r="AE4" s="1707" t="s">
        <v>422</v>
      </c>
      <c r="AF4" s="1707" t="s">
        <v>422</v>
      </c>
      <c r="AG4" s="1707" t="s">
        <v>422</v>
      </c>
      <c r="AH4" s="1707" t="s">
        <v>422</v>
      </c>
      <c r="AI4" s="1710" t="s">
        <v>422</v>
      </c>
      <c r="AJ4" s="1707" t="s">
        <v>422</v>
      </c>
      <c r="AK4" s="1707" t="s">
        <v>422</v>
      </c>
      <c r="AL4" s="1707" t="s">
        <v>417</v>
      </c>
      <c r="AM4" s="1707" t="s">
        <v>416</v>
      </c>
      <c r="AN4" s="1707" t="s">
        <v>420</v>
      </c>
      <c r="AO4" s="1707" t="s">
        <v>537</v>
      </c>
      <c r="AP4" s="1707" t="s">
        <v>538</v>
      </c>
      <c r="AQ4" s="1707" t="s">
        <v>538</v>
      </c>
      <c r="AR4" s="1709" t="s">
        <v>1454</v>
      </c>
      <c r="AS4" s="1709" t="s">
        <v>130</v>
      </c>
      <c r="AT4" s="1709" t="s">
        <v>130</v>
      </c>
      <c r="AU4" s="1709"/>
      <c r="AV4" s="1707" t="s">
        <v>422</v>
      </c>
      <c r="AW4" s="1707" t="s">
        <v>422</v>
      </c>
      <c r="AX4" s="1707" t="s">
        <v>422</v>
      </c>
      <c r="AY4" s="1707" t="s">
        <v>422</v>
      </c>
      <c r="AZ4" s="1707" t="s">
        <v>422</v>
      </c>
      <c r="BA4" s="1707" t="s">
        <v>422</v>
      </c>
      <c r="BB4" s="1707" t="s">
        <v>422</v>
      </c>
      <c r="BC4" s="1707" t="s">
        <v>539</v>
      </c>
      <c r="BD4" s="1707" t="s">
        <v>422</v>
      </c>
      <c r="BE4" s="1707" t="s">
        <v>422</v>
      </c>
      <c r="BF4" s="1707" t="s">
        <v>422</v>
      </c>
      <c r="BG4" s="1707" t="s">
        <v>422</v>
      </c>
      <c r="BH4" s="1709" t="s">
        <v>422</v>
      </c>
      <c r="BI4" s="1709" t="s">
        <v>422</v>
      </c>
      <c r="BJ4" s="1707" t="s">
        <v>422</v>
      </c>
      <c r="BK4" s="1707" t="s">
        <v>422</v>
      </c>
      <c r="BL4" s="1707" t="s">
        <v>422</v>
      </c>
      <c r="BM4" s="1707" t="s">
        <v>422</v>
      </c>
      <c r="BN4" s="1707" t="s">
        <v>422</v>
      </c>
      <c r="BO4" s="1707" t="s">
        <v>422</v>
      </c>
      <c r="BP4" s="1707" t="s">
        <v>422</v>
      </c>
      <c r="BQ4" s="1707" t="s">
        <v>422</v>
      </c>
      <c r="BR4" s="1707" t="s">
        <v>422</v>
      </c>
      <c r="BS4" s="1707" t="s">
        <v>422</v>
      </c>
      <c r="BT4" s="1707" t="s">
        <v>422</v>
      </c>
      <c r="BU4" s="1707" t="s">
        <v>422</v>
      </c>
      <c r="BV4" s="1707" t="s">
        <v>422</v>
      </c>
      <c r="BW4" s="1707" t="s">
        <v>422</v>
      </c>
      <c r="BX4" s="1707" t="s">
        <v>422</v>
      </c>
      <c r="BY4" s="1707" t="s">
        <v>422</v>
      </c>
      <c r="BZ4" s="1707" t="s">
        <v>422</v>
      </c>
      <c r="CA4" s="1707" t="s">
        <v>422</v>
      </c>
      <c r="CB4" s="1707" t="s">
        <v>422</v>
      </c>
      <c r="CC4" s="1707" t="s">
        <v>540</v>
      </c>
      <c r="CD4" s="1707" t="s">
        <v>130</v>
      </c>
    </row>
    <row r="5" spans="1:90" ht="38.25" customHeight="1" thickBot="1">
      <c r="A5" s="2199"/>
      <c r="B5" s="2207"/>
      <c r="C5" s="2209"/>
      <c r="D5" s="1706" t="s">
        <v>541</v>
      </c>
      <c r="E5" s="1712" t="s">
        <v>562</v>
      </c>
      <c r="F5" s="1713" t="s">
        <v>563</v>
      </c>
      <c r="G5" s="1713" t="s">
        <v>564</v>
      </c>
      <c r="H5" s="1713" t="s">
        <v>565</v>
      </c>
      <c r="I5" s="1713" t="s">
        <v>566</v>
      </c>
      <c r="J5" s="1713" t="s">
        <v>567</v>
      </c>
      <c r="K5" s="1713" t="s">
        <v>568</v>
      </c>
      <c r="L5" s="1713" t="s">
        <v>569</v>
      </c>
      <c r="M5" s="1713" t="s">
        <v>570</v>
      </c>
      <c r="N5" s="1713" t="s">
        <v>1150</v>
      </c>
      <c r="O5" s="1713" t="s">
        <v>542</v>
      </c>
      <c r="P5" s="1713" t="s">
        <v>543</v>
      </c>
      <c r="Q5" s="1713" t="s">
        <v>544</v>
      </c>
      <c r="R5" s="1713" t="s">
        <v>545</v>
      </c>
      <c r="S5" s="1713" t="s">
        <v>546</v>
      </c>
      <c r="T5" s="1713" t="s">
        <v>547</v>
      </c>
      <c r="U5" s="1713" t="s">
        <v>548</v>
      </c>
      <c r="V5" s="1713" t="s">
        <v>571</v>
      </c>
      <c r="W5" s="1714" t="s">
        <v>549</v>
      </c>
      <c r="X5" s="1713"/>
      <c r="Y5" s="1715">
        <v>35</v>
      </c>
      <c r="Z5" s="1713" t="s">
        <v>572</v>
      </c>
      <c r="AA5" s="1713" t="s">
        <v>573</v>
      </c>
      <c r="AB5" s="1713"/>
      <c r="AC5" s="1716"/>
      <c r="AD5" s="1713"/>
      <c r="AE5" s="1713"/>
      <c r="AF5" s="1713" t="s">
        <v>550</v>
      </c>
      <c r="AG5" s="1713" t="s">
        <v>551</v>
      </c>
      <c r="AH5" s="1713" t="s">
        <v>552</v>
      </c>
      <c r="AI5" s="1717" t="s">
        <v>553</v>
      </c>
      <c r="AJ5" s="1713" t="s">
        <v>554</v>
      </c>
      <c r="AK5" s="1713" t="s">
        <v>555</v>
      </c>
      <c r="AL5" s="1713" t="s">
        <v>574</v>
      </c>
      <c r="AM5" s="1718"/>
      <c r="AN5" s="1713" t="s">
        <v>563</v>
      </c>
      <c r="AO5" s="1718"/>
      <c r="AP5" s="1718"/>
      <c r="AQ5" s="1718"/>
      <c r="AR5" s="1719"/>
      <c r="AS5" s="1719"/>
      <c r="AT5" s="1719"/>
      <c r="AU5" s="1716" t="s">
        <v>556</v>
      </c>
      <c r="AV5" s="1713" t="s">
        <v>557</v>
      </c>
      <c r="AW5" s="1713" t="s">
        <v>558</v>
      </c>
      <c r="AX5" s="1713" t="s">
        <v>557</v>
      </c>
      <c r="AY5" s="1713" t="s">
        <v>557</v>
      </c>
      <c r="AZ5" s="1713" t="s">
        <v>557</v>
      </c>
      <c r="BA5" s="1713" t="s">
        <v>559</v>
      </c>
      <c r="BB5" s="1713" t="s">
        <v>560</v>
      </c>
      <c r="BC5" s="1713" t="s">
        <v>556</v>
      </c>
      <c r="BD5" s="1718"/>
      <c r="BE5" s="1718"/>
      <c r="BF5" s="1718"/>
      <c r="BG5" s="1718"/>
      <c r="BH5" s="1719"/>
      <c r="BI5" s="1719"/>
      <c r="BJ5" s="1718"/>
      <c r="BK5" s="1718"/>
      <c r="BL5" s="1718"/>
      <c r="BM5" s="1718"/>
      <c r="BN5" s="1718"/>
      <c r="BO5" s="1718"/>
      <c r="BP5" s="1718"/>
      <c r="BQ5" s="1718"/>
      <c r="BR5" s="1718"/>
      <c r="BS5" s="1718"/>
      <c r="BT5" s="1718"/>
      <c r="BU5" s="1718"/>
      <c r="BV5" s="1718"/>
      <c r="BW5" s="1718"/>
      <c r="BX5" s="1718"/>
      <c r="BY5" s="1718"/>
      <c r="BZ5" s="1718"/>
      <c r="CA5" s="1718"/>
      <c r="CB5" s="1707"/>
      <c r="CC5" s="1707"/>
      <c r="CD5" s="1707"/>
    </row>
    <row r="6" spans="1:90" ht="14.25" customHeight="1">
      <c r="A6" s="1337">
        <f>B6</f>
        <v>45231</v>
      </c>
      <c r="B6" s="1342">
        <f>CE2</f>
        <v>45231</v>
      </c>
      <c r="C6" s="1343">
        <v>0.89722222222222225</v>
      </c>
      <c r="D6" s="1343"/>
      <c r="E6" s="1344">
        <v>6.1</v>
      </c>
      <c r="F6" s="1344">
        <v>3.3</v>
      </c>
      <c r="G6" s="1344">
        <v>2</v>
      </c>
      <c r="H6" s="1344">
        <v>1.9</v>
      </c>
      <c r="I6" s="1344">
        <v>0.2</v>
      </c>
      <c r="J6" s="1344">
        <v>0.5</v>
      </c>
      <c r="K6" s="1344">
        <v>0.2</v>
      </c>
      <c r="L6" s="1344">
        <v>0.6</v>
      </c>
      <c r="M6" s="1344">
        <v>0.7</v>
      </c>
      <c r="N6" s="1344">
        <v>3.3</v>
      </c>
      <c r="O6" s="1344">
        <v>58</v>
      </c>
      <c r="P6" s="1344">
        <v>64</v>
      </c>
      <c r="Q6" s="1344">
        <v>81</v>
      </c>
      <c r="R6" s="1344">
        <v>76</v>
      </c>
      <c r="S6" s="1344">
        <v>69</v>
      </c>
      <c r="T6" s="1344">
        <v>70</v>
      </c>
      <c r="U6" s="1344">
        <v>59</v>
      </c>
      <c r="V6" s="1394">
        <v>6.17</v>
      </c>
      <c r="W6" s="1344">
        <v>537</v>
      </c>
      <c r="X6" s="1344">
        <v>290</v>
      </c>
      <c r="Y6" s="1394">
        <v>27</v>
      </c>
      <c r="Z6" s="421">
        <v>60</v>
      </c>
      <c r="AA6" s="1344">
        <v>0.88</v>
      </c>
      <c r="AB6" s="1344">
        <v>38</v>
      </c>
      <c r="AC6" s="1394">
        <v>36</v>
      </c>
      <c r="AD6" s="1344">
        <v>57</v>
      </c>
      <c r="AE6" s="1344">
        <v>24</v>
      </c>
      <c r="AF6" s="1344">
        <v>61</v>
      </c>
      <c r="AG6" s="1344">
        <v>61</v>
      </c>
      <c r="AH6" s="1344">
        <v>61</v>
      </c>
      <c r="AI6" s="1344">
        <v>64</v>
      </c>
      <c r="AJ6" s="1344">
        <v>61</v>
      </c>
      <c r="AK6" s="1344">
        <v>60</v>
      </c>
      <c r="AL6" s="1344">
        <v>13.83</v>
      </c>
      <c r="AM6" s="1344">
        <v>3.2</v>
      </c>
      <c r="AN6" s="1344">
        <v>2.8</v>
      </c>
      <c r="AO6" s="1394">
        <v>18.77</v>
      </c>
      <c r="AP6" s="1394">
        <v>1.7</v>
      </c>
      <c r="AQ6" s="1394">
        <v>286</v>
      </c>
      <c r="AR6" s="1394">
        <v>13.35</v>
      </c>
      <c r="AS6" s="1394">
        <v>42</v>
      </c>
      <c r="AT6" s="1394">
        <v>41</v>
      </c>
      <c r="AU6" s="1394">
        <v>41</v>
      </c>
      <c r="AV6" s="1344">
        <v>62</v>
      </c>
      <c r="AW6" s="1344">
        <v>65</v>
      </c>
      <c r="AX6" s="1344">
        <v>67</v>
      </c>
      <c r="AY6" s="1344">
        <v>57</v>
      </c>
      <c r="AZ6" s="1344">
        <v>59</v>
      </c>
      <c r="BA6" s="1344">
        <v>59</v>
      </c>
      <c r="BB6" s="1344">
        <v>55</v>
      </c>
      <c r="BC6" s="1344">
        <v>5132</v>
      </c>
      <c r="BD6" s="1344">
        <v>303</v>
      </c>
      <c r="BE6" s="1344">
        <v>282</v>
      </c>
      <c r="BF6" s="1344">
        <v>329</v>
      </c>
      <c r="BG6" s="1344">
        <v>337</v>
      </c>
      <c r="BH6" s="1393">
        <v>282</v>
      </c>
      <c r="BI6" s="1394">
        <v>310</v>
      </c>
      <c r="BJ6" s="1344">
        <v>304</v>
      </c>
      <c r="BK6" s="1344">
        <v>303</v>
      </c>
      <c r="BL6" s="1344">
        <v>353</v>
      </c>
      <c r="BM6" s="1344">
        <v>346</v>
      </c>
      <c r="BN6" s="1344">
        <v>350</v>
      </c>
      <c r="BO6" s="1344">
        <v>356</v>
      </c>
      <c r="BP6" s="1344">
        <v>356</v>
      </c>
      <c r="BQ6" s="1344">
        <v>354</v>
      </c>
      <c r="BR6" s="1344">
        <v>355</v>
      </c>
      <c r="BS6" s="1344">
        <v>357</v>
      </c>
      <c r="BT6" s="1344">
        <v>354</v>
      </c>
      <c r="BU6" s="1344">
        <v>352</v>
      </c>
      <c r="BV6" s="1344">
        <v>354</v>
      </c>
      <c r="BW6" s="1344">
        <v>351</v>
      </c>
      <c r="BX6" s="1344">
        <v>354</v>
      </c>
      <c r="BY6" s="1344">
        <v>353</v>
      </c>
      <c r="BZ6" s="1344">
        <v>11</v>
      </c>
      <c r="CA6" s="1344">
        <v>46</v>
      </c>
      <c r="CB6" s="1344">
        <v>33</v>
      </c>
      <c r="CC6" s="1804">
        <v>57</v>
      </c>
      <c r="CD6" s="1058">
        <v>30</v>
      </c>
      <c r="CE6" s="1343"/>
    </row>
    <row r="7" spans="1:90">
      <c r="A7" s="1337">
        <f t="shared" ref="A7:A32" si="0">B7</f>
        <v>45232</v>
      </c>
      <c r="B7" s="1342">
        <f>B6+1</f>
        <v>45232</v>
      </c>
      <c r="C7" s="1343">
        <v>0.85555555555555562</v>
      </c>
      <c r="D7" s="1343"/>
      <c r="E7" s="1344"/>
      <c r="F7" s="1344"/>
      <c r="G7" s="1344"/>
      <c r="H7" s="1344"/>
      <c r="I7" s="1344"/>
      <c r="J7" s="1344"/>
      <c r="K7" s="1344"/>
      <c r="L7" s="1344"/>
      <c r="M7" s="1344"/>
      <c r="N7" s="1344"/>
      <c r="O7" s="1344"/>
      <c r="P7" s="1344"/>
      <c r="Q7" s="1344"/>
      <c r="R7" s="1344"/>
      <c r="S7" s="1344"/>
      <c r="T7" s="1344"/>
      <c r="U7" s="1344"/>
      <c r="V7" s="1344"/>
      <c r="W7" s="1344"/>
      <c r="X7" s="1344"/>
      <c r="Y7" s="1344"/>
      <c r="Z7" s="1344"/>
      <c r="AA7" s="1344"/>
      <c r="AB7" s="1344"/>
      <c r="AC7" s="1344"/>
      <c r="AD7" s="1344"/>
      <c r="AE7" s="1344"/>
      <c r="AF7" s="1344"/>
      <c r="AG7" s="1344"/>
      <c r="AH7" s="1344"/>
      <c r="AI7" s="1344"/>
      <c r="AJ7" s="1344"/>
      <c r="AK7" s="1344"/>
      <c r="AL7" s="1344"/>
      <c r="AM7" s="1344"/>
      <c r="AN7" s="1344"/>
      <c r="AO7" s="1344"/>
      <c r="AP7" s="1344"/>
      <c r="AQ7" s="1344"/>
      <c r="AR7" s="1344"/>
      <c r="AS7" s="1344"/>
      <c r="AT7" s="1344"/>
      <c r="AU7" s="1344"/>
      <c r="AV7" s="1344"/>
      <c r="AW7" s="1344"/>
      <c r="AX7" s="1344"/>
      <c r="AY7" s="1344"/>
      <c r="AZ7" s="1344"/>
      <c r="BA7" s="1344"/>
      <c r="BB7" s="1344"/>
      <c r="BC7" s="1344"/>
      <c r="BD7" s="1344"/>
      <c r="BE7" s="1344"/>
      <c r="BF7" s="1344"/>
      <c r="BG7" s="1344"/>
      <c r="BH7" s="1344"/>
      <c r="BI7" s="1344"/>
      <c r="BJ7" s="1344"/>
      <c r="BK7" s="1344"/>
      <c r="BL7" s="1344"/>
      <c r="BM7" s="1344"/>
      <c r="BN7" s="1344"/>
      <c r="BO7" s="1344"/>
      <c r="BP7" s="1344"/>
      <c r="BQ7" s="1344"/>
      <c r="BR7" s="1344"/>
      <c r="BS7" s="1344"/>
      <c r="BT7" s="1344"/>
      <c r="BU7" s="1344"/>
      <c r="BV7" s="1344"/>
      <c r="BW7" s="1344"/>
      <c r="BX7" s="1344"/>
      <c r="BY7" s="1344"/>
      <c r="BZ7" s="1344"/>
      <c r="CA7" s="1344"/>
      <c r="CB7" s="1344"/>
      <c r="CC7" s="1344"/>
      <c r="CD7" s="1344"/>
    </row>
    <row r="8" spans="1:90" ht="15.75" customHeight="1">
      <c r="A8" s="1337">
        <f t="shared" si="0"/>
        <v>45233</v>
      </c>
      <c r="B8" s="1342">
        <f t="shared" ref="B8:B35" si="1">B7+1</f>
        <v>45233</v>
      </c>
      <c r="C8" s="1343">
        <v>0.94791666666666663</v>
      </c>
      <c r="D8" s="1343"/>
      <c r="E8" s="1344"/>
      <c r="F8" s="1344"/>
      <c r="G8" s="1344"/>
      <c r="H8" s="1344"/>
      <c r="I8" s="1344"/>
      <c r="J8" s="1344"/>
      <c r="K8" s="1344"/>
      <c r="L8" s="1344"/>
      <c r="M8" s="1344"/>
      <c r="N8" s="1344"/>
      <c r="O8" s="1344"/>
      <c r="P8" s="1344"/>
      <c r="Q8" s="1344"/>
      <c r="R8" s="1344"/>
      <c r="S8" s="1344"/>
      <c r="T8" s="1344"/>
      <c r="U8" s="1344"/>
      <c r="V8" s="1344"/>
      <c r="W8" s="1344"/>
      <c r="X8" s="1344"/>
      <c r="Y8" s="1344"/>
      <c r="Z8" s="1344"/>
      <c r="AA8" s="1344"/>
      <c r="AB8" s="1344"/>
      <c r="AC8" s="1344"/>
      <c r="AD8" s="1344"/>
      <c r="AE8" s="1344"/>
      <c r="AF8" s="1344"/>
      <c r="AG8" s="1344"/>
      <c r="AH8" s="1344"/>
      <c r="AI8" s="1344"/>
      <c r="AJ8" s="1344"/>
      <c r="AK8" s="1344"/>
      <c r="AL8" s="1344"/>
      <c r="AM8" s="1344"/>
      <c r="AN8" s="1344"/>
      <c r="AO8" s="1344"/>
      <c r="AP8" s="1344"/>
      <c r="AQ8" s="1394"/>
      <c r="AR8" s="1344"/>
      <c r="AS8" s="1344"/>
      <c r="AT8" s="1344"/>
      <c r="AU8" s="1344"/>
      <c r="AV8" s="1344"/>
      <c r="AW8" s="1344"/>
      <c r="AX8" s="1344"/>
      <c r="AY8" s="1344"/>
      <c r="AZ8" s="1344"/>
      <c r="BA8" s="1344"/>
      <c r="BB8" s="1344"/>
      <c r="BC8" s="1344"/>
      <c r="BD8" s="1344"/>
      <c r="BE8" s="1344"/>
      <c r="BF8" s="1344"/>
      <c r="BG8" s="1344"/>
      <c r="BH8" s="1344"/>
      <c r="BI8" s="1344"/>
      <c r="BJ8" s="1344"/>
      <c r="BK8" s="1344"/>
      <c r="BL8" s="1344"/>
      <c r="BM8" s="1344"/>
      <c r="BN8" s="1344"/>
      <c r="BO8" s="1344"/>
      <c r="BP8" s="1344"/>
      <c r="BQ8" s="1344"/>
      <c r="BR8" s="1344"/>
      <c r="BS8" s="1344"/>
      <c r="BT8" s="1344"/>
      <c r="BU8" s="1344"/>
      <c r="BV8" s="1344"/>
      <c r="BW8" s="1344"/>
      <c r="BX8" s="1344"/>
      <c r="BY8" s="1344"/>
      <c r="BZ8" s="1344"/>
      <c r="CA8" s="1344"/>
      <c r="CB8" s="1344"/>
      <c r="CC8" s="1344"/>
      <c r="CD8" s="1344"/>
    </row>
    <row r="9" spans="1:90">
      <c r="A9" s="1337">
        <f t="shared" si="0"/>
        <v>45234</v>
      </c>
      <c r="B9" s="1342">
        <f t="shared" si="1"/>
        <v>45234</v>
      </c>
      <c r="C9" s="1343">
        <v>0.75624999999999998</v>
      </c>
      <c r="D9" s="1343"/>
      <c r="E9" s="1344"/>
      <c r="F9" s="1344"/>
      <c r="G9" s="1344"/>
      <c r="H9" s="1344"/>
      <c r="I9" s="1344"/>
      <c r="J9" s="1344"/>
      <c r="K9" s="1344"/>
      <c r="L9" s="1344"/>
      <c r="M9" s="1344"/>
      <c r="N9" s="1344"/>
      <c r="O9" s="1344"/>
      <c r="P9" s="1344"/>
      <c r="Q9" s="1344"/>
      <c r="R9" s="1344"/>
      <c r="S9" s="1344"/>
      <c r="T9" s="1344"/>
      <c r="U9" s="1344"/>
      <c r="V9" s="1344"/>
      <c r="W9" s="1344"/>
      <c r="X9" s="1344"/>
      <c r="Y9" s="1344"/>
      <c r="Z9" s="1344"/>
      <c r="AA9" s="1344"/>
      <c r="AB9" s="1344"/>
      <c r="AC9" s="1344"/>
      <c r="AD9" s="1344"/>
      <c r="AE9" s="1344"/>
      <c r="AF9" s="1344"/>
      <c r="AG9" s="1344"/>
      <c r="AH9" s="1344"/>
      <c r="AI9" s="1344"/>
      <c r="AJ9" s="1344"/>
      <c r="AK9" s="1344"/>
      <c r="AL9" s="1344"/>
      <c r="AM9" s="1344"/>
      <c r="AN9" s="1344"/>
      <c r="AO9" s="1344"/>
      <c r="AP9" s="1344"/>
      <c r="AQ9" s="1394"/>
      <c r="AR9" s="1344"/>
      <c r="AS9" s="1344"/>
      <c r="AT9" s="1344"/>
      <c r="AU9" s="1344"/>
      <c r="AV9" s="1344"/>
      <c r="AW9" s="1344"/>
      <c r="AX9" s="1344"/>
      <c r="AY9" s="1344"/>
      <c r="AZ9" s="1344"/>
      <c r="BA9" s="1344"/>
      <c r="BB9" s="1344"/>
      <c r="BC9" s="1344"/>
      <c r="BD9" s="1344"/>
      <c r="BE9" s="1344"/>
      <c r="BF9" s="1344"/>
      <c r="BG9" s="1344"/>
      <c r="BH9" s="1344"/>
      <c r="BI9" s="1344"/>
      <c r="BJ9" s="1344"/>
      <c r="BK9" s="1344"/>
      <c r="BL9" s="1344"/>
      <c r="BM9" s="1344"/>
      <c r="BN9" s="1344"/>
      <c r="BO9" s="1344"/>
      <c r="BP9" s="1344"/>
      <c r="BQ9" s="1344"/>
      <c r="BR9" s="1344"/>
      <c r="BS9" s="1344"/>
      <c r="BT9" s="1344"/>
      <c r="BU9" s="1344"/>
      <c r="BV9" s="1344"/>
      <c r="BW9" s="1344"/>
      <c r="BX9" s="1344"/>
      <c r="BY9" s="1344"/>
      <c r="BZ9" s="1344"/>
      <c r="CA9" s="1344"/>
      <c r="CB9" s="1344"/>
      <c r="CC9" s="1344"/>
      <c r="CD9" s="1344"/>
    </row>
    <row r="10" spans="1:90" s="1338" customFormat="1">
      <c r="A10" s="1337">
        <f t="shared" si="0"/>
        <v>45235</v>
      </c>
      <c r="B10" s="1342">
        <f t="shared" si="1"/>
        <v>45235</v>
      </c>
      <c r="C10" s="1343">
        <v>0.81805555555555554</v>
      </c>
      <c r="D10" s="1345"/>
      <c r="E10" s="1344"/>
      <c r="F10" s="1344"/>
      <c r="G10" s="1344"/>
      <c r="H10" s="1344"/>
      <c r="I10" s="1344"/>
      <c r="J10" s="1344"/>
      <c r="K10" s="1344"/>
      <c r="L10" s="1344"/>
      <c r="M10" s="1344"/>
      <c r="N10" s="1344"/>
      <c r="O10" s="1344"/>
      <c r="P10" s="1344"/>
      <c r="Q10" s="1344"/>
      <c r="R10" s="1344"/>
      <c r="S10" s="1344"/>
      <c r="T10" s="1344"/>
      <c r="U10" s="1344"/>
      <c r="V10" s="1344"/>
      <c r="W10" s="1344"/>
      <c r="X10" s="1344"/>
      <c r="Y10" s="1344"/>
      <c r="Z10" s="1344"/>
      <c r="AA10" s="1344"/>
      <c r="AB10" s="1344"/>
      <c r="AC10" s="1344"/>
      <c r="AD10" s="1344"/>
      <c r="AE10" s="1344"/>
      <c r="AF10" s="1344"/>
      <c r="AG10" s="1344"/>
      <c r="AH10" s="1344"/>
      <c r="AI10" s="1344"/>
      <c r="AJ10" s="1344"/>
      <c r="AK10" s="1344"/>
      <c r="AL10" s="1344"/>
      <c r="AM10" s="1344"/>
      <c r="AN10" s="1344"/>
      <c r="AO10" s="1344"/>
      <c r="AP10" s="1344"/>
      <c r="AQ10" s="1394"/>
      <c r="AR10" s="1344"/>
      <c r="AS10" s="1344"/>
      <c r="AT10" s="1344"/>
      <c r="AU10" s="1344"/>
      <c r="AV10" s="1344"/>
      <c r="AW10" s="1344"/>
      <c r="AX10" s="1344"/>
      <c r="AY10" s="1344"/>
      <c r="AZ10" s="1344"/>
      <c r="BA10" s="1344"/>
      <c r="BB10" s="1344"/>
      <c r="BC10" s="1344"/>
      <c r="BD10" s="1344"/>
      <c r="BE10" s="1344"/>
      <c r="BF10" s="1344"/>
      <c r="BG10" s="1344"/>
      <c r="BH10" s="1344"/>
      <c r="BI10" s="1344"/>
      <c r="BJ10" s="1344"/>
      <c r="BK10" s="1344"/>
      <c r="BL10" s="1344"/>
      <c r="BM10" s="1344"/>
      <c r="BN10" s="1344"/>
      <c r="BO10" s="1344"/>
      <c r="BP10" s="1344"/>
      <c r="BQ10" s="1344"/>
      <c r="BR10" s="1344"/>
      <c r="BS10" s="1344"/>
      <c r="BT10" s="1344"/>
      <c r="BU10" s="1344"/>
      <c r="BV10" s="1344"/>
      <c r="BW10" s="1344"/>
      <c r="BX10" s="1344"/>
      <c r="BY10" s="1344"/>
      <c r="BZ10" s="1344"/>
      <c r="CA10" s="1344"/>
      <c r="CB10" s="1344"/>
      <c r="CC10" s="1344"/>
      <c r="CD10" s="1344"/>
    </row>
    <row r="11" spans="1:90" s="1346" customFormat="1">
      <c r="A11" s="1337">
        <f t="shared" si="0"/>
        <v>45236</v>
      </c>
      <c r="B11" s="1342">
        <f t="shared" si="1"/>
        <v>45236</v>
      </c>
      <c r="C11" s="1343">
        <v>0.9243055555555556</v>
      </c>
      <c r="D11" s="1058"/>
      <c r="E11" s="1344"/>
      <c r="F11" s="1344"/>
      <c r="G11" s="1344"/>
      <c r="H11" s="1344"/>
      <c r="I11" s="1344"/>
      <c r="J11" s="1344"/>
      <c r="K11" s="1344"/>
      <c r="L11" s="1344"/>
      <c r="M11" s="1344"/>
      <c r="N11" s="1344"/>
      <c r="O11" s="1344"/>
      <c r="P11" s="1344"/>
      <c r="Q11" s="1344"/>
      <c r="R11" s="1344"/>
      <c r="S11" s="1344"/>
      <c r="T11" s="1344"/>
      <c r="U11" s="1344"/>
      <c r="V11" s="1344"/>
      <c r="W11" s="1344"/>
      <c r="X11" s="1344"/>
      <c r="Y11" s="1344"/>
      <c r="Z11" s="1344"/>
      <c r="AA11" s="1344"/>
      <c r="AB11" s="1344"/>
      <c r="AC11" s="1344"/>
      <c r="AD11" s="1344"/>
      <c r="AE11" s="1344"/>
      <c r="AF11" s="1344"/>
      <c r="AG11" s="1344"/>
      <c r="AH11" s="1344"/>
      <c r="AI11" s="1344"/>
      <c r="AJ11" s="1344"/>
      <c r="AK11" s="1344"/>
      <c r="AL11" s="1344"/>
      <c r="AM11" s="1344"/>
      <c r="AN11" s="1344"/>
      <c r="AO11" s="1344"/>
      <c r="AP11" s="1344"/>
      <c r="AQ11" s="1394"/>
      <c r="AR11" s="1344"/>
      <c r="AS11" s="1344"/>
      <c r="AT11" s="1344"/>
      <c r="AU11" s="1344"/>
      <c r="AV11" s="1344"/>
      <c r="AW11" s="1344"/>
      <c r="AX11" s="1344"/>
      <c r="AY11" s="1344"/>
      <c r="AZ11" s="1344"/>
      <c r="BA11" s="1344"/>
      <c r="BB11" s="1344"/>
      <c r="BC11" s="1344"/>
      <c r="BD11" s="1344"/>
      <c r="BE11" s="1344"/>
      <c r="BF11" s="1344"/>
      <c r="BG11" s="1344"/>
      <c r="BH11" s="1344"/>
      <c r="BI11" s="1344"/>
      <c r="BJ11" s="1344"/>
      <c r="BK11" s="1344"/>
      <c r="BL11" s="1344"/>
      <c r="BM11" s="1344"/>
      <c r="BN11" s="1344"/>
      <c r="BO11" s="1344"/>
      <c r="BP11" s="1344"/>
      <c r="BQ11" s="1344"/>
      <c r="BR11" s="1344"/>
      <c r="BS11" s="1344"/>
      <c r="BT11" s="1344"/>
      <c r="BU11" s="1344"/>
      <c r="BV11" s="1344"/>
      <c r="BW11" s="1344"/>
      <c r="BX11" s="1344"/>
      <c r="BY11" s="1344"/>
      <c r="BZ11" s="1344"/>
      <c r="CA11" s="1344"/>
      <c r="CB11" s="1344"/>
      <c r="CC11" s="1344"/>
      <c r="CD11" s="1344"/>
      <c r="CE11" s="1330"/>
      <c r="CF11" s="1330"/>
      <c r="CG11" s="1330"/>
      <c r="CH11" s="1330"/>
      <c r="CI11" s="1330"/>
      <c r="CJ11" s="1330"/>
      <c r="CK11" s="1330"/>
      <c r="CL11" s="1330"/>
    </row>
    <row r="12" spans="1:90" s="1346" customFormat="1">
      <c r="A12" s="1337">
        <f t="shared" si="0"/>
        <v>45237</v>
      </c>
      <c r="B12" s="1342">
        <f t="shared" si="1"/>
        <v>45237</v>
      </c>
      <c r="C12" s="1343">
        <v>0.88888888888888884</v>
      </c>
      <c r="D12" s="1058"/>
      <c r="E12" s="1344"/>
      <c r="F12" s="1344"/>
      <c r="G12" s="1344"/>
      <c r="H12" s="1344"/>
      <c r="I12" s="1344"/>
      <c r="J12" s="1344"/>
      <c r="K12" s="1344"/>
      <c r="L12" s="1344"/>
      <c r="M12" s="1344"/>
      <c r="N12" s="1344"/>
      <c r="O12" s="1344"/>
      <c r="P12" s="1344"/>
      <c r="Q12" s="1344"/>
      <c r="R12" s="1344"/>
      <c r="S12" s="1344"/>
      <c r="T12" s="1344"/>
      <c r="U12" s="1344"/>
      <c r="V12" s="1344"/>
      <c r="W12" s="1344"/>
      <c r="X12" s="1344"/>
      <c r="Y12" s="1344"/>
      <c r="Z12" s="1344"/>
      <c r="AA12" s="1344"/>
      <c r="AB12" s="1344"/>
      <c r="AC12" s="1344"/>
      <c r="AD12" s="1344"/>
      <c r="AE12" s="1344"/>
      <c r="AF12" s="1344"/>
      <c r="AG12" s="1344"/>
      <c r="AH12" s="1344"/>
      <c r="AI12" s="1344"/>
      <c r="AJ12" s="1344"/>
      <c r="AK12" s="1344"/>
      <c r="AL12" s="1344"/>
      <c r="AM12" s="1344"/>
      <c r="AN12" s="1344"/>
      <c r="AO12" s="1344"/>
      <c r="AP12" s="1344"/>
      <c r="AQ12" s="1394"/>
      <c r="AR12" s="1344"/>
      <c r="AS12" s="1344"/>
      <c r="AT12" s="1344"/>
      <c r="AU12" s="1344"/>
      <c r="AV12" s="1344"/>
      <c r="AW12" s="1344"/>
      <c r="AX12" s="1344"/>
      <c r="AY12" s="1344"/>
      <c r="AZ12" s="1344"/>
      <c r="BA12" s="1344"/>
      <c r="BB12" s="1344"/>
      <c r="BC12" s="1344"/>
      <c r="BD12" s="1344"/>
      <c r="BE12" s="1344"/>
      <c r="BF12" s="1344"/>
      <c r="BG12" s="1344"/>
      <c r="BH12" s="1344"/>
      <c r="BI12" s="1344"/>
      <c r="BJ12" s="1344"/>
      <c r="BK12" s="1344"/>
      <c r="BL12" s="1344"/>
      <c r="BM12" s="1344"/>
      <c r="BN12" s="1344"/>
      <c r="BO12" s="1344"/>
      <c r="BP12" s="1344"/>
      <c r="BQ12" s="1344"/>
      <c r="BR12" s="1344"/>
      <c r="BS12" s="1344"/>
      <c r="BT12" s="1344"/>
      <c r="BU12" s="1344"/>
      <c r="BV12" s="1344"/>
      <c r="BW12" s="1344"/>
      <c r="BX12" s="1344"/>
      <c r="BY12" s="1344"/>
      <c r="BZ12" s="1344"/>
      <c r="CA12" s="1344"/>
      <c r="CB12" s="1344"/>
      <c r="CC12" s="1344"/>
      <c r="CD12" s="1344"/>
      <c r="CE12" s="1330"/>
      <c r="CF12" s="1330"/>
      <c r="CG12" s="1330"/>
      <c r="CH12" s="1330"/>
      <c r="CI12" s="1330"/>
      <c r="CJ12" s="1330"/>
      <c r="CK12" s="1330"/>
      <c r="CL12" s="1330"/>
    </row>
    <row r="13" spans="1:90" s="1346" customFormat="1">
      <c r="A13" s="1337">
        <f t="shared" si="0"/>
        <v>45238</v>
      </c>
      <c r="B13" s="1342">
        <f t="shared" si="1"/>
        <v>45238</v>
      </c>
      <c r="C13" s="1343">
        <v>0.89583333333333337</v>
      </c>
      <c r="D13" s="1058"/>
      <c r="E13" s="1344"/>
      <c r="F13" s="1344"/>
      <c r="G13" s="1344"/>
      <c r="H13" s="1344"/>
      <c r="I13" s="1344"/>
      <c r="J13" s="1344"/>
      <c r="K13" s="1344"/>
      <c r="L13" s="1344"/>
      <c r="M13" s="1344"/>
      <c r="N13" s="1344"/>
      <c r="O13" s="1344"/>
      <c r="P13" s="1344"/>
      <c r="Q13" s="1344"/>
      <c r="R13" s="1344"/>
      <c r="S13" s="1344"/>
      <c r="T13" s="1344"/>
      <c r="U13" s="1344"/>
      <c r="V13" s="1344"/>
      <c r="W13" s="1344"/>
      <c r="X13" s="1344"/>
      <c r="Y13" s="1344"/>
      <c r="Z13" s="1344"/>
      <c r="AA13" s="1344"/>
      <c r="AB13" s="1344"/>
      <c r="AC13" s="1344"/>
      <c r="AD13" s="1344"/>
      <c r="AE13" s="1344"/>
      <c r="AF13" s="1344"/>
      <c r="AG13" s="1344"/>
      <c r="AH13" s="1344"/>
      <c r="AI13" s="1344"/>
      <c r="AJ13" s="1344"/>
      <c r="AK13" s="1344"/>
      <c r="AL13" s="1344"/>
      <c r="AM13" s="1344"/>
      <c r="AN13" s="1344"/>
      <c r="AO13" s="1344"/>
      <c r="AP13" s="1344"/>
      <c r="AQ13" s="1394"/>
      <c r="AR13" s="1344"/>
      <c r="AS13" s="1344"/>
      <c r="AT13" s="1344"/>
      <c r="AU13" s="1344"/>
      <c r="AV13" s="1344"/>
      <c r="AW13" s="1344"/>
      <c r="AX13" s="1344"/>
      <c r="AY13" s="1344"/>
      <c r="AZ13" s="1344"/>
      <c r="BA13" s="1344"/>
      <c r="BB13" s="1344"/>
      <c r="BC13" s="1344"/>
      <c r="BD13" s="1344"/>
      <c r="BE13" s="1344"/>
      <c r="BF13" s="1344"/>
      <c r="BG13" s="1344"/>
      <c r="BH13" s="1344"/>
      <c r="BI13" s="1344"/>
      <c r="BJ13" s="1344"/>
      <c r="BK13" s="1344"/>
      <c r="BL13" s="1344"/>
      <c r="BM13" s="1344"/>
      <c r="BN13" s="1344"/>
      <c r="BO13" s="1344"/>
      <c r="BP13" s="1344"/>
      <c r="BQ13" s="1344"/>
      <c r="BR13" s="1344"/>
      <c r="BS13" s="1344"/>
      <c r="BT13" s="1344"/>
      <c r="BU13" s="1344"/>
      <c r="BV13" s="1344"/>
      <c r="BW13" s="1344"/>
      <c r="BX13" s="1344"/>
      <c r="BY13" s="1344"/>
      <c r="BZ13" s="1344"/>
      <c r="CA13" s="1344"/>
      <c r="CB13" s="1344"/>
      <c r="CC13" s="1344"/>
      <c r="CD13" s="1344"/>
      <c r="CE13" s="1330"/>
      <c r="CF13" s="1330"/>
      <c r="CG13" s="1330"/>
      <c r="CH13" s="1330"/>
      <c r="CI13" s="1330"/>
      <c r="CJ13" s="1330"/>
      <c r="CK13" s="1330"/>
      <c r="CL13" s="1330"/>
    </row>
    <row r="14" spans="1:90" s="1346" customFormat="1">
      <c r="A14" s="1337">
        <f t="shared" si="0"/>
        <v>45239</v>
      </c>
      <c r="B14" s="1342">
        <f t="shared" si="1"/>
        <v>45239</v>
      </c>
      <c r="C14" s="1343">
        <v>0.88541666666666663</v>
      </c>
      <c r="D14" s="1058"/>
      <c r="E14" s="1344"/>
      <c r="F14" s="1344"/>
      <c r="G14" s="1344"/>
      <c r="H14" s="1344"/>
      <c r="I14" s="1344"/>
      <c r="J14" s="1344"/>
      <c r="K14" s="1344"/>
      <c r="L14" s="1344"/>
      <c r="M14" s="1344"/>
      <c r="N14" s="1344"/>
      <c r="O14" s="1344"/>
      <c r="P14" s="1344"/>
      <c r="Q14" s="1344"/>
      <c r="R14" s="1344"/>
      <c r="S14" s="1344"/>
      <c r="T14" s="1344"/>
      <c r="U14" s="1344"/>
      <c r="V14" s="1344"/>
      <c r="W14" s="1344"/>
      <c r="X14" s="1344"/>
      <c r="Y14" s="1344"/>
      <c r="Z14" s="1344"/>
      <c r="AA14" s="1344"/>
      <c r="AB14" s="1344"/>
      <c r="AC14" s="1344"/>
      <c r="AD14" s="1344"/>
      <c r="AE14" s="1344"/>
      <c r="AF14" s="1344"/>
      <c r="AG14" s="1344"/>
      <c r="AH14" s="1344"/>
      <c r="AI14" s="1344"/>
      <c r="AJ14" s="1344"/>
      <c r="AK14" s="1344"/>
      <c r="AL14" s="1344"/>
      <c r="AM14" s="1344"/>
      <c r="AN14" s="1344"/>
      <c r="AO14" s="1344"/>
      <c r="AP14" s="1344"/>
      <c r="AQ14" s="1394"/>
      <c r="AR14" s="1344"/>
      <c r="AS14" s="1344"/>
      <c r="AT14" s="1344"/>
      <c r="AU14" s="1344"/>
      <c r="AV14" s="1344"/>
      <c r="AW14" s="1344"/>
      <c r="AX14" s="1344"/>
      <c r="AY14" s="1344"/>
      <c r="AZ14" s="1344"/>
      <c r="BA14" s="1344"/>
      <c r="BB14" s="1344"/>
      <c r="BC14" s="1344"/>
      <c r="BD14" s="1344"/>
      <c r="BE14" s="1344"/>
      <c r="BF14" s="1344"/>
      <c r="BG14" s="1344"/>
      <c r="BH14" s="1344"/>
      <c r="BI14" s="1344"/>
      <c r="BJ14" s="1344"/>
      <c r="BK14" s="1344"/>
      <c r="BL14" s="1344"/>
      <c r="BM14" s="1344"/>
      <c r="BN14" s="1344"/>
      <c r="BO14" s="1344"/>
      <c r="BP14" s="1344"/>
      <c r="BQ14" s="1344"/>
      <c r="BR14" s="1344"/>
      <c r="BS14" s="1344"/>
      <c r="BT14" s="1344"/>
      <c r="BU14" s="1344"/>
      <c r="BV14" s="1344"/>
      <c r="BW14" s="1344"/>
      <c r="BX14" s="1344"/>
      <c r="BY14" s="1344"/>
      <c r="BZ14" s="1344"/>
      <c r="CA14" s="1344"/>
      <c r="CB14" s="1344"/>
      <c r="CC14" s="1344"/>
      <c r="CD14" s="1344"/>
      <c r="CE14" s="1330"/>
      <c r="CF14" s="1330"/>
      <c r="CG14" s="1330"/>
      <c r="CH14" s="1330"/>
      <c r="CI14" s="1330"/>
      <c r="CJ14" s="1330"/>
      <c r="CK14" s="1330"/>
      <c r="CL14" s="1330"/>
    </row>
    <row r="15" spans="1:90" s="1058" customFormat="1">
      <c r="A15" s="1337">
        <f t="shared" si="0"/>
        <v>45240</v>
      </c>
      <c r="B15" s="1342">
        <f t="shared" si="1"/>
        <v>45240</v>
      </c>
      <c r="C15" s="1343">
        <v>0.90555555555555556</v>
      </c>
      <c r="E15" s="1344"/>
      <c r="F15" s="1344"/>
      <c r="G15" s="1344"/>
      <c r="H15" s="1344"/>
      <c r="I15" s="1344"/>
      <c r="J15" s="1344"/>
      <c r="K15" s="1344"/>
      <c r="L15" s="1344"/>
      <c r="M15" s="1344"/>
      <c r="N15" s="1344"/>
      <c r="O15" s="1344"/>
      <c r="P15" s="1344"/>
      <c r="Q15" s="1344"/>
      <c r="R15" s="1344"/>
      <c r="S15" s="1344"/>
      <c r="T15" s="1344"/>
      <c r="U15" s="1344"/>
      <c r="V15" s="1344"/>
      <c r="W15" s="1344"/>
      <c r="X15" s="1344"/>
      <c r="Y15" s="1344"/>
      <c r="Z15" s="1344"/>
      <c r="AA15" s="1344"/>
      <c r="AB15" s="1344"/>
      <c r="AC15" s="1344"/>
      <c r="AD15" s="1344"/>
      <c r="AE15" s="1344"/>
      <c r="AF15" s="1344"/>
      <c r="AG15" s="1344"/>
      <c r="AH15" s="1344"/>
      <c r="AI15" s="1344"/>
      <c r="AJ15" s="1344"/>
      <c r="AK15" s="1344"/>
      <c r="AL15" s="1344"/>
      <c r="AM15" s="1344"/>
      <c r="AN15" s="1344"/>
      <c r="AO15" s="1344"/>
      <c r="AP15" s="1344"/>
      <c r="AQ15" s="1394"/>
      <c r="AR15" s="1344"/>
      <c r="AS15" s="1344"/>
      <c r="AT15" s="1344"/>
      <c r="AU15" s="1344"/>
      <c r="AV15" s="1344"/>
      <c r="AW15" s="1344"/>
      <c r="AX15" s="1344"/>
      <c r="AY15" s="1344"/>
      <c r="AZ15" s="1344"/>
      <c r="BA15" s="1344"/>
      <c r="BB15" s="1344"/>
      <c r="BC15" s="1344"/>
      <c r="BD15" s="1344"/>
      <c r="BE15" s="1344"/>
      <c r="BF15" s="1344"/>
      <c r="BG15" s="1344"/>
      <c r="BH15" s="1344"/>
      <c r="BI15" s="1344"/>
      <c r="BJ15" s="1344"/>
      <c r="BK15" s="1344"/>
      <c r="BL15" s="1344"/>
      <c r="BM15" s="1344"/>
      <c r="BN15" s="1344"/>
      <c r="BO15" s="1344"/>
      <c r="BP15" s="1344"/>
      <c r="BQ15" s="1344"/>
      <c r="BR15" s="1344"/>
      <c r="BS15" s="1344"/>
      <c r="BT15" s="1344"/>
      <c r="BU15" s="1344"/>
      <c r="BV15" s="1344"/>
      <c r="BW15" s="1344"/>
      <c r="BX15" s="1344"/>
      <c r="BY15" s="1344"/>
      <c r="BZ15" s="1344"/>
      <c r="CA15" s="1344"/>
      <c r="CB15" s="1344"/>
      <c r="CC15" s="1344"/>
      <c r="CD15" s="1344"/>
      <c r="CE15" s="1330"/>
    </row>
    <row r="16" spans="1:90">
      <c r="A16" s="1337">
        <f t="shared" si="0"/>
        <v>45241</v>
      </c>
      <c r="B16" s="1342">
        <f t="shared" si="1"/>
        <v>45241</v>
      </c>
      <c r="C16" s="1343">
        <v>0.91666666666666663</v>
      </c>
      <c r="D16" s="1058"/>
      <c r="E16" s="1344"/>
      <c r="F16" s="1344"/>
      <c r="G16" s="1344"/>
      <c r="H16" s="1344"/>
      <c r="I16" s="1344"/>
      <c r="J16" s="1344"/>
      <c r="K16" s="1344"/>
      <c r="L16" s="1344"/>
      <c r="M16" s="1344"/>
      <c r="N16" s="1344"/>
      <c r="O16" s="1344"/>
      <c r="P16" s="1344"/>
      <c r="Q16" s="1344"/>
      <c r="R16" s="1344"/>
      <c r="S16" s="1344"/>
      <c r="T16" s="1344"/>
      <c r="U16" s="1344"/>
      <c r="V16" s="1394"/>
      <c r="W16" s="1344"/>
      <c r="X16" s="1344"/>
      <c r="Y16" s="1394"/>
      <c r="Z16" s="421"/>
      <c r="AA16" s="1344"/>
      <c r="AB16" s="1344"/>
      <c r="AC16" s="1394"/>
      <c r="AD16" s="1344"/>
      <c r="AE16" s="1344"/>
      <c r="AF16" s="1344"/>
      <c r="AG16" s="1344"/>
      <c r="AH16" s="1344"/>
      <c r="AI16" s="1344"/>
      <c r="AJ16" s="1344"/>
      <c r="AK16" s="1344"/>
      <c r="AL16" s="1344"/>
      <c r="AM16" s="1344"/>
      <c r="AN16" s="1344"/>
      <c r="AO16" s="1394"/>
      <c r="AP16" s="1394"/>
      <c r="AQ16" s="1394"/>
      <c r="AR16" s="1394"/>
      <c r="AS16" s="1394"/>
      <c r="AT16" s="1394"/>
      <c r="AU16" s="1394"/>
      <c r="AV16" s="1344"/>
      <c r="AW16" s="1344"/>
      <c r="AX16" s="1344"/>
      <c r="AY16" s="1344"/>
      <c r="AZ16" s="1344"/>
      <c r="BA16" s="1344"/>
      <c r="BB16" s="1344"/>
      <c r="BC16" s="1344"/>
      <c r="BD16" s="1344"/>
      <c r="BE16" s="1344"/>
      <c r="BF16" s="1344"/>
      <c r="BG16" s="1344"/>
      <c r="BH16" s="1393"/>
      <c r="BI16" s="1394"/>
      <c r="BJ16" s="1344"/>
      <c r="BK16" s="1344"/>
      <c r="BL16" s="1344"/>
      <c r="BM16" s="1344"/>
      <c r="BN16" s="1344"/>
      <c r="BO16" s="1344"/>
      <c r="BP16" s="1344"/>
      <c r="BQ16" s="1344"/>
      <c r="BR16" s="1344"/>
      <c r="BS16" s="1344"/>
      <c r="BT16" s="1344"/>
      <c r="BU16" s="1344"/>
      <c r="BV16" s="1344"/>
      <c r="BW16" s="1344"/>
      <c r="BX16" s="1344"/>
      <c r="BY16" s="1344"/>
      <c r="BZ16" s="1344"/>
      <c r="CA16" s="1344"/>
      <c r="CB16" s="1344"/>
      <c r="CC16" s="1804"/>
      <c r="CD16" s="1058"/>
    </row>
    <row r="17" spans="1:82">
      <c r="A17" s="1337">
        <f t="shared" si="0"/>
        <v>45242</v>
      </c>
      <c r="B17" s="1342">
        <f t="shared" si="1"/>
        <v>45242</v>
      </c>
      <c r="C17" s="1343">
        <v>0.93402777777777779</v>
      </c>
      <c r="D17" s="1058"/>
      <c r="E17" s="1344"/>
      <c r="F17" s="1344"/>
      <c r="G17" s="1344"/>
      <c r="H17" s="1344"/>
      <c r="I17" s="1344"/>
      <c r="J17" s="1344"/>
      <c r="K17" s="1344"/>
      <c r="L17" s="1344"/>
      <c r="M17" s="1344"/>
      <c r="N17" s="1344"/>
      <c r="O17" s="1344"/>
      <c r="P17" s="1344"/>
      <c r="Q17" s="1344"/>
      <c r="R17" s="1344"/>
      <c r="S17" s="1344"/>
      <c r="T17" s="1344"/>
      <c r="U17" s="1344"/>
      <c r="V17" s="1344"/>
      <c r="W17" s="1344"/>
      <c r="X17" s="1344"/>
      <c r="Y17" s="1344"/>
      <c r="Z17" s="1344"/>
      <c r="AA17" s="1344"/>
      <c r="AB17" s="1344"/>
      <c r="AC17" s="1344"/>
      <c r="AD17" s="1344"/>
      <c r="AE17" s="1344"/>
      <c r="AF17" s="1344"/>
      <c r="AG17" s="1344"/>
      <c r="AH17" s="1344"/>
      <c r="AI17" s="1344"/>
      <c r="AJ17" s="1344"/>
      <c r="AK17" s="1344"/>
      <c r="AL17" s="1344"/>
      <c r="AM17" s="1344"/>
      <c r="AN17" s="1344"/>
      <c r="AO17" s="1344"/>
      <c r="AP17" s="1344"/>
      <c r="AQ17" s="1394"/>
      <c r="AR17" s="1344"/>
      <c r="AS17" s="1344"/>
      <c r="AT17" s="1344"/>
      <c r="AU17" s="1344"/>
      <c r="AV17" s="1344"/>
      <c r="AW17" s="1344"/>
      <c r="AX17" s="1344"/>
      <c r="AY17" s="1344"/>
      <c r="AZ17" s="1344"/>
      <c r="BA17" s="1344"/>
      <c r="BB17" s="1344"/>
      <c r="BC17" s="1344"/>
      <c r="BD17" s="1344"/>
      <c r="BE17" s="1344"/>
      <c r="BF17" s="1344"/>
      <c r="BG17" s="1344"/>
      <c r="BH17" s="1344"/>
      <c r="BI17" s="1344"/>
      <c r="BJ17" s="1344"/>
      <c r="BK17" s="1344"/>
      <c r="BL17" s="1344"/>
      <c r="BM17" s="1344"/>
      <c r="BN17" s="1344"/>
      <c r="BO17" s="1344"/>
      <c r="BP17" s="1344"/>
      <c r="BQ17" s="1344"/>
      <c r="BR17" s="1344"/>
      <c r="BS17" s="1344"/>
      <c r="BT17" s="1344"/>
      <c r="BU17" s="1344"/>
      <c r="BV17" s="1344"/>
      <c r="BW17" s="1344"/>
      <c r="BX17" s="1344"/>
      <c r="BY17" s="1344"/>
      <c r="BZ17" s="1344"/>
      <c r="CA17" s="1344"/>
      <c r="CB17" s="1344"/>
      <c r="CC17" s="1344"/>
      <c r="CD17" s="1344"/>
    </row>
    <row r="18" spans="1:82">
      <c r="A18" s="1337">
        <f t="shared" si="0"/>
        <v>45243</v>
      </c>
      <c r="B18" s="1342">
        <f t="shared" si="1"/>
        <v>45243</v>
      </c>
      <c r="C18" s="1343">
        <v>0.99930555555555556</v>
      </c>
      <c r="D18" s="1058"/>
      <c r="E18" s="1344"/>
      <c r="F18" s="1344"/>
      <c r="G18" s="1344"/>
      <c r="H18" s="1344"/>
      <c r="I18" s="1344"/>
      <c r="J18" s="1344"/>
      <c r="K18" s="1344"/>
      <c r="L18" s="1344"/>
      <c r="M18" s="1344"/>
      <c r="N18" s="1344"/>
      <c r="O18" s="1344"/>
      <c r="P18" s="1344"/>
      <c r="Q18" s="1344"/>
      <c r="R18" s="1344"/>
      <c r="S18" s="1344"/>
      <c r="T18" s="1344"/>
      <c r="U18" s="1344"/>
      <c r="V18" s="1394"/>
      <c r="W18" s="1344"/>
      <c r="X18" s="1344"/>
      <c r="Y18" s="1394"/>
      <c r="Z18" s="421"/>
      <c r="AA18" s="1344"/>
      <c r="AB18" s="1344"/>
      <c r="AC18" s="1394"/>
      <c r="AD18" s="1344"/>
      <c r="AE18" s="1344"/>
      <c r="AF18" s="1344"/>
      <c r="AG18" s="1344"/>
      <c r="AH18" s="1344"/>
      <c r="AI18" s="1344"/>
      <c r="AJ18" s="1344"/>
      <c r="AK18" s="1344"/>
      <c r="AL18" s="1344"/>
      <c r="AM18" s="1344"/>
      <c r="AN18" s="1344"/>
      <c r="AO18" s="1394"/>
      <c r="AP18" s="1394"/>
      <c r="AQ18" s="1394"/>
      <c r="AR18" s="1394"/>
      <c r="AS18" s="1394"/>
      <c r="AT18" s="1394"/>
      <c r="AU18" s="1394"/>
      <c r="AV18" s="1344"/>
      <c r="AW18" s="1344"/>
      <c r="AX18" s="1344"/>
      <c r="AY18" s="1344"/>
      <c r="AZ18" s="1344"/>
      <c r="BA18" s="1344"/>
      <c r="BB18" s="1344"/>
      <c r="BC18" s="1344"/>
      <c r="BD18" s="1344"/>
      <c r="BE18" s="1344"/>
      <c r="BF18" s="1344"/>
      <c r="BG18" s="1344"/>
      <c r="BH18" s="1393"/>
      <c r="BI18" s="1394"/>
      <c r="BJ18" s="1344"/>
      <c r="BK18" s="1344"/>
      <c r="BL18" s="1344"/>
      <c r="BM18" s="1344"/>
      <c r="BN18" s="1344"/>
      <c r="BO18" s="1344"/>
      <c r="BP18" s="1344"/>
      <c r="BQ18" s="1344"/>
      <c r="BR18" s="1344"/>
      <c r="BS18" s="1344"/>
      <c r="BT18" s="1344"/>
      <c r="BU18" s="1344"/>
      <c r="BV18" s="1344"/>
      <c r="BW18" s="1344"/>
      <c r="BX18" s="1344"/>
      <c r="BY18" s="1344"/>
      <c r="BZ18" s="1344"/>
      <c r="CA18" s="1344"/>
      <c r="CB18" s="1344"/>
      <c r="CC18" s="1804"/>
      <c r="CD18" s="1058"/>
    </row>
    <row r="19" spans="1:82">
      <c r="A19" s="1337">
        <f t="shared" si="0"/>
        <v>45244</v>
      </c>
      <c r="B19" s="1342">
        <f t="shared" si="1"/>
        <v>45244</v>
      </c>
      <c r="C19" s="1343">
        <v>0.83680555555555547</v>
      </c>
      <c r="D19" s="1058"/>
      <c r="E19" s="1344"/>
      <c r="F19" s="1344"/>
      <c r="G19" s="1344"/>
      <c r="H19" s="1344"/>
      <c r="I19" s="1344"/>
      <c r="J19" s="1344"/>
      <c r="K19" s="1344"/>
      <c r="L19" s="1344"/>
      <c r="M19" s="1344"/>
      <c r="N19" s="1344"/>
      <c r="O19" s="1344"/>
      <c r="P19" s="1344"/>
      <c r="Q19" s="1344"/>
      <c r="R19" s="1344"/>
      <c r="S19" s="1344"/>
      <c r="T19" s="1344"/>
      <c r="U19" s="1344"/>
      <c r="V19" s="1394"/>
      <c r="W19" s="1344"/>
      <c r="X19" s="1344"/>
      <c r="Y19" s="1394"/>
      <c r="Z19" s="421"/>
      <c r="AA19" s="1344"/>
      <c r="AB19" s="1344"/>
      <c r="AC19" s="1394"/>
      <c r="AD19" s="1344"/>
      <c r="AE19" s="1344"/>
      <c r="AF19" s="1344"/>
      <c r="AG19" s="1344"/>
      <c r="AH19" s="1344"/>
      <c r="AI19" s="1344"/>
      <c r="AJ19" s="1344"/>
      <c r="AK19" s="1344"/>
      <c r="AL19" s="1344"/>
      <c r="AM19" s="1344"/>
      <c r="AN19" s="1344"/>
      <c r="AO19" s="1394"/>
      <c r="AP19" s="1394"/>
      <c r="AQ19" s="1394"/>
      <c r="AR19" s="1394"/>
      <c r="AS19" s="1394"/>
      <c r="AT19" s="1394"/>
      <c r="AU19" s="1394"/>
      <c r="AV19" s="1344"/>
      <c r="AW19" s="1344"/>
      <c r="AX19" s="1344"/>
      <c r="AY19" s="1344"/>
      <c r="AZ19" s="1344"/>
      <c r="BA19" s="1344"/>
      <c r="BB19" s="1344"/>
      <c r="BC19" s="1344"/>
      <c r="BD19" s="1344"/>
      <c r="BE19" s="1344"/>
      <c r="BF19" s="1344"/>
      <c r="BG19" s="1344"/>
      <c r="BH19" s="1393"/>
      <c r="BI19" s="1394"/>
      <c r="BJ19" s="1344"/>
      <c r="BK19" s="1344"/>
      <c r="BL19" s="1344"/>
      <c r="BM19" s="1344"/>
      <c r="BN19" s="1344"/>
      <c r="BO19" s="1344"/>
      <c r="BP19" s="1344"/>
      <c r="BQ19" s="1344"/>
      <c r="BR19" s="1344"/>
      <c r="BS19" s="1344"/>
      <c r="BT19" s="1344"/>
      <c r="BU19" s="1344"/>
      <c r="BV19" s="1344"/>
      <c r="BW19" s="1344"/>
      <c r="BX19" s="1344"/>
      <c r="BY19" s="1344"/>
      <c r="BZ19" s="1344"/>
      <c r="CA19" s="1344"/>
      <c r="CB19" s="1344"/>
      <c r="CC19" s="1804"/>
      <c r="CD19" s="1058"/>
    </row>
    <row r="20" spans="1:82">
      <c r="A20" s="1337">
        <f t="shared" si="0"/>
        <v>45245</v>
      </c>
      <c r="B20" s="1342">
        <f t="shared" si="1"/>
        <v>45245</v>
      </c>
      <c r="C20" s="1343">
        <v>0.90277777777777779</v>
      </c>
      <c r="D20" s="1058"/>
      <c r="E20" s="1344"/>
      <c r="F20" s="1344"/>
      <c r="G20" s="1344"/>
      <c r="H20" s="1344"/>
      <c r="I20" s="1344"/>
      <c r="J20" s="1344"/>
      <c r="K20" s="1344"/>
      <c r="L20" s="1344"/>
      <c r="M20" s="1344"/>
      <c r="N20" s="1344"/>
      <c r="O20" s="1344"/>
      <c r="P20" s="1344"/>
      <c r="Q20" s="1344"/>
      <c r="R20" s="1344"/>
      <c r="S20" s="1344"/>
      <c r="T20" s="1344"/>
      <c r="U20" s="1344"/>
      <c r="V20" s="1394"/>
      <c r="W20" s="1344"/>
      <c r="X20" s="1344"/>
      <c r="Y20" s="1394"/>
      <c r="Z20" s="421"/>
      <c r="AA20" s="1344"/>
      <c r="AB20" s="1344"/>
      <c r="AC20" s="1394"/>
      <c r="AD20" s="1344"/>
      <c r="AE20" s="1344"/>
      <c r="AF20" s="1344"/>
      <c r="AG20" s="1344"/>
      <c r="AH20" s="1344"/>
      <c r="AI20" s="1344"/>
      <c r="AJ20" s="1344"/>
      <c r="AK20" s="1344"/>
      <c r="AL20" s="1344"/>
      <c r="AM20" s="1344"/>
      <c r="AN20" s="1344"/>
      <c r="AO20" s="1394"/>
      <c r="AP20" s="1394"/>
      <c r="AQ20" s="1394"/>
      <c r="AR20" s="1394"/>
      <c r="AS20" s="1394"/>
      <c r="AT20" s="1394"/>
      <c r="AU20" s="1394"/>
      <c r="AV20" s="1344"/>
      <c r="AW20" s="1344"/>
      <c r="AX20" s="1344"/>
      <c r="AY20" s="1344"/>
      <c r="AZ20" s="1344"/>
      <c r="BA20" s="1344"/>
      <c r="BB20" s="1344"/>
      <c r="BC20" s="1344"/>
      <c r="BD20" s="1344"/>
      <c r="BE20" s="1344"/>
      <c r="BF20" s="1344"/>
      <c r="BG20" s="1344"/>
      <c r="BH20" s="1393"/>
      <c r="BI20" s="1394"/>
      <c r="BJ20" s="1344"/>
      <c r="BK20" s="1344"/>
      <c r="BL20" s="1344"/>
      <c r="BM20" s="1344"/>
      <c r="BN20" s="1344"/>
      <c r="BO20" s="1344"/>
      <c r="BP20" s="1344"/>
      <c r="BQ20" s="1344"/>
      <c r="BR20" s="1344"/>
      <c r="BS20" s="1344"/>
      <c r="BT20" s="1344"/>
      <c r="BU20" s="1344"/>
      <c r="BV20" s="1344"/>
      <c r="BW20" s="1344"/>
      <c r="BX20" s="1344"/>
      <c r="BY20" s="1344"/>
      <c r="BZ20" s="1344"/>
      <c r="CA20" s="1344"/>
      <c r="CB20" s="1344"/>
      <c r="CC20" s="1804"/>
      <c r="CD20" s="1058"/>
    </row>
    <row r="21" spans="1:82">
      <c r="A21" s="1337">
        <f t="shared" si="0"/>
        <v>45246</v>
      </c>
      <c r="B21" s="1342">
        <f t="shared" si="1"/>
        <v>45246</v>
      </c>
      <c r="C21" s="1343">
        <v>0.9243055555555556</v>
      </c>
      <c r="D21" s="1058"/>
      <c r="E21" s="1344"/>
      <c r="F21" s="1344"/>
      <c r="G21" s="1344"/>
      <c r="H21" s="1344"/>
      <c r="I21" s="1344"/>
      <c r="J21" s="1344"/>
      <c r="K21" s="1344"/>
      <c r="L21" s="1344"/>
      <c r="M21" s="1344"/>
      <c r="N21" s="1344"/>
      <c r="O21" s="1344"/>
      <c r="P21" s="1344"/>
      <c r="Q21" s="1344"/>
      <c r="R21" s="1344"/>
      <c r="S21" s="1344"/>
      <c r="T21" s="1344"/>
      <c r="U21" s="1344"/>
      <c r="V21" s="1394"/>
      <c r="W21" s="1344"/>
      <c r="X21" s="1344"/>
      <c r="Y21" s="1394"/>
      <c r="Z21" s="421"/>
      <c r="AA21" s="1344"/>
      <c r="AB21" s="1344"/>
      <c r="AC21" s="1394"/>
      <c r="AD21" s="1344"/>
      <c r="AE21" s="1344"/>
      <c r="AF21" s="1344"/>
      <c r="AG21" s="1344"/>
      <c r="AH21" s="1344"/>
      <c r="AI21" s="1344"/>
      <c r="AJ21" s="1344"/>
      <c r="AK21" s="1344"/>
      <c r="AL21" s="1344"/>
      <c r="AM21" s="1344"/>
      <c r="AN21" s="1344"/>
      <c r="AO21" s="1394"/>
      <c r="AP21" s="1394"/>
      <c r="AQ21" s="1394"/>
      <c r="AR21" s="1394"/>
      <c r="AS21" s="1394"/>
      <c r="AT21" s="1394"/>
      <c r="AU21" s="1394"/>
      <c r="AV21" s="1344"/>
      <c r="AW21" s="1344"/>
      <c r="AX21" s="1344"/>
      <c r="AY21" s="1344"/>
      <c r="AZ21" s="1344"/>
      <c r="BA21" s="1344"/>
      <c r="BB21" s="1344"/>
      <c r="BC21" s="1344"/>
      <c r="BD21" s="1344"/>
      <c r="BE21" s="1344"/>
      <c r="BF21" s="1344"/>
      <c r="BG21" s="1344"/>
      <c r="BH21" s="1393"/>
      <c r="BI21" s="1394"/>
      <c r="BJ21" s="1344"/>
      <c r="BK21" s="1344"/>
      <c r="BL21" s="1344"/>
      <c r="BM21" s="1344"/>
      <c r="BN21" s="1344"/>
      <c r="BO21" s="1344"/>
      <c r="BP21" s="1344"/>
      <c r="BQ21" s="1344"/>
      <c r="BR21" s="1344"/>
      <c r="BS21" s="1344"/>
      <c r="BT21" s="1344"/>
      <c r="BU21" s="1344"/>
      <c r="BV21" s="1344"/>
      <c r="BW21" s="1344"/>
      <c r="BX21" s="1344"/>
      <c r="BY21" s="1344"/>
      <c r="BZ21" s="1344"/>
      <c r="CA21" s="1344"/>
      <c r="CB21" s="1344"/>
      <c r="CC21" s="1804"/>
      <c r="CD21" s="1058"/>
    </row>
    <row r="22" spans="1:82">
      <c r="A22" s="1337">
        <f t="shared" si="0"/>
        <v>45247</v>
      </c>
      <c r="B22" s="1342">
        <f t="shared" si="1"/>
        <v>45247</v>
      </c>
      <c r="C22" s="1343">
        <v>0.86111111111111116</v>
      </c>
      <c r="D22" s="1058"/>
      <c r="E22" s="1344"/>
      <c r="F22" s="1344"/>
      <c r="G22" s="1344"/>
      <c r="H22" s="1344"/>
      <c r="I22" s="1344"/>
      <c r="J22" s="1344"/>
      <c r="K22" s="1344"/>
      <c r="L22" s="1344"/>
      <c r="M22" s="1344"/>
      <c r="N22" s="1344"/>
      <c r="O22" s="1344"/>
      <c r="P22" s="1344"/>
      <c r="Q22" s="1344"/>
      <c r="R22" s="1344"/>
      <c r="S22" s="1344"/>
      <c r="T22" s="1344"/>
      <c r="U22" s="1344"/>
      <c r="V22" s="1344"/>
      <c r="W22" s="1344"/>
      <c r="X22" s="1344"/>
      <c r="Y22" s="1344"/>
      <c r="Z22" s="1344"/>
      <c r="AA22" s="1344"/>
      <c r="AB22" s="1344"/>
      <c r="AC22" s="1344"/>
      <c r="AD22" s="1344"/>
      <c r="AE22" s="1344"/>
      <c r="AF22" s="1344"/>
      <c r="AG22" s="1344"/>
      <c r="AH22" s="1344"/>
      <c r="AI22" s="1344"/>
      <c r="AJ22" s="1344"/>
      <c r="AK22" s="1344"/>
      <c r="AL22" s="1344"/>
      <c r="AM22" s="1344"/>
      <c r="AN22" s="1344"/>
      <c r="AO22" s="1344"/>
      <c r="AP22" s="1344"/>
      <c r="AQ22" s="1394"/>
      <c r="AR22" s="1344"/>
      <c r="AS22" s="1344"/>
      <c r="AT22" s="1344"/>
      <c r="AU22" s="1344"/>
      <c r="AV22" s="1344"/>
      <c r="AW22" s="1344"/>
      <c r="AX22" s="1344"/>
      <c r="AY22" s="1344"/>
      <c r="AZ22" s="1344"/>
      <c r="BA22" s="1344"/>
      <c r="BB22" s="1344"/>
      <c r="BC22" s="1344"/>
      <c r="BD22" s="1344"/>
      <c r="BE22" s="1344"/>
      <c r="BF22" s="1344"/>
      <c r="BG22" s="1344"/>
      <c r="BH22" s="1344"/>
      <c r="BI22" s="1344"/>
      <c r="BJ22" s="1344"/>
      <c r="BK22" s="1344"/>
      <c r="BL22" s="1344"/>
      <c r="BM22" s="1344"/>
      <c r="BN22" s="1344"/>
      <c r="BO22" s="1344"/>
      <c r="BP22" s="1344"/>
      <c r="BQ22" s="1344"/>
      <c r="BR22" s="1344"/>
      <c r="BS22" s="1344"/>
      <c r="BT22" s="1344"/>
      <c r="BU22" s="1344"/>
      <c r="BV22" s="1344"/>
      <c r="BW22" s="1344"/>
      <c r="BX22" s="1344"/>
      <c r="BY22" s="1344"/>
      <c r="BZ22" s="1344"/>
      <c r="CA22" s="1344"/>
      <c r="CB22" s="1344"/>
      <c r="CC22" s="1344"/>
      <c r="CD22" s="1344"/>
    </row>
    <row r="23" spans="1:82">
      <c r="A23" s="1337">
        <f t="shared" si="0"/>
        <v>45248</v>
      </c>
      <c r="B23" s="1342">
        <f t="shared" si="1"/>
        <v>45248</v>
      </c>
      <c r="C23" s="1343">
        <v>0.88888888888888884</v>
      </c>
      <c r="D23" s="1058"/>
      <c r="E23" s="1344"/>
      <c r="F23" s="1344"/>
      <c r="G23" s="1344"/>
      <c r="H23" s="1344"/>
      <c r="I23" s="1344"/>
      <c r="J23" s="1344"/>
      <c r="K23" s="1344"/>
      <c r="L23" s="1344"/>
      <c r="M23" s="1344"/>
      <c r="N23" s="1344"/>
      <c r="O23" s="1344"/>
      <c r="P23" s="1344"/>
      <c r="Q23" s="1344"/>
      <c r="R23" s="1344"/>
      <c r="S23" s="1344"/>
      <c r="T23" s="1344"/>
      <c r="U23" s="1344"/>
      <c r="V23" s="1344"/>
      <c r="W23" s="1344"/>
      <c r="X23" s="1344"/>
      <c r="Y23" s="1344"/>
      <c r="Z23" s="1344"/>
      <c r="AA23" s="1344"/>
      <c r="AB23" s="1344"/>
      <c r="AC23" s="1344"/>
      <c r="AD23" s="1344"/>
      <c r="AE23" s="1344"/>
      <c r="AF23" s="1344"/>
      <c r="AG23" s="1344"/>
      <c r="AH23" s="1344"/>
      <c r="AI23" s="1344"/>
      <c r="AJ23" s="1344"/>
      <c r="AK23" s="1344"/>
      <c r="AL23" s="1344"/>
      <c r="AM23" s="1344"/>
      <c r="AN23" s="1344"/>
      <c r="AO23" s="1344"/>
      <c r="AP23" s="1344"/>
      <c r="AQ23" s="1394"/>
      <c r="AR23" s="1344"/>
      <c r="AS23" s="1344"/>
      <c r="AT23" s="1344"/>
      <c r="AU23" s="1344"/>
      <c r="AV23" s="1344"/>
      <c r="AW23" s="1344"/>
      <c r="AX23" s="1344"/>
      <c r="AY23" s="1344"/>
      <c r="AZ23" s="1344"/>
      <c r="BA23" s="1344"/>
      <c r="BB23" s="1344"/>
      <c r="BC23" s="1344"/>
      <c r="BD23" s="1344"/>
      <c r="BE23" s="1344"/>
      <c r="BF23" s="1344"/>
      <c r="BG23" s="1344"/>
      <c r="BH23" s="1344"/>
      <c r="BI23" s="1344"/>
      <c r="BJ23" s="1344"/>
      <c r="BK23" s="1344"/>
      <c r="BL23" s="1344"/>
      <c r="BM23" s="1344"/>
      <c r="BN23" s="1344"/>
      <c r="BO23" s="1344"/>
      <c r="BP23" s="1344"/>
      <c r="BQ23" s="1344"/>
      <c r="BR23" s="1344"/>
      <c r="BS23" s="1344"/>
      <c r="BT23" s="1344"/>
      <c r="BU23" s="1344"/>
      <c r="BV23" s="1344"/>
      <c r="BW23" s="1344"/>
      <c r="BX23" s="1344"/>
      <c r="BY23" s="1344"/>
      <c r="BZ23" s="1344"/>
      <c r="CA23" s="1344"/>
      <c r="CB23" s="1344"/>
      <c r="CC23" s="1344"/>
      <c r="CD23" s="1344"/>
    </row>
    <row r="24" spans="1:82">
      <c r="A24" s="1337">
        <f t="shared" si="0"/>
        <v>45249</v>
      </c>
      <c r="B24" s="1342">
        <f t="shared" si="1"/>
        <v>45249</v>
      </c>
      <c r="C24" s="1343">
        <v>0.93055555555555503</v>
      </c>
      <c r="D24" s="1058"/>
      <c r="E24" s="1344"/>
      <c r="F24" s="1344"/>
      <c r="G24" s="1344"/>
      <c r="H24" s="1344"/>
      <c r="I24" s="1344"/>
      <c r="J24" s="1344"/>
      <c r="K24" s="1344"/>
      <c r="L24" s="1344"/>
      <c r="M24" s="1344"/>
      <c r="N24" s="1344"/>
      <c r="O24" s="1344"/>
      <c r="P24" s="1344"/>
      <c r="Q24" s="1344"/>
      <c r="R24" s="1344"/>
      <c r="S24" s="1344"/>
      <c r="T24" s="1344"/>
      <c r="U24" s="1344"/>
      <c r="V24" s="1394"/>
      <c r="W24" s="1344"/>
      <c r="X24" s="1344"/>
      <c r="Y24" s="1394"/>
      <c r="Z24" s="421"/>
      <c r="AA24" s="1344"/>
      <c r="AB24" s="1344"/>
      <c r="AC24" s="1394"/>
      <c r="AD24" s="1344"/>
      <c r="AE24" s="1344"/>
      <c r="AF24" s="1344"/>
      <c r="AG24" s="1344"/>
      <c r="AH24" s="1344"/>
      <c r="AI24" s="1344"/>
      <c r="AJ24" s="1344"/>
      <c r="AK24" s="1344"/>
      <c r="AL24" s="1344"/>
      <c r="AM24" s="1344"/>
      <c r="AN24" s="1344"/>
      <c r="AO24" s="1394"/>
      <c r="AP24" s="1394"/>
      <c r="AQ24" s="1394"/>
      <c r="AR24" s="1394"/>
      <c r="AS24" s="1394"/>
      <c r="AT24" s="1394"/>
      <c r="AU24" s="1394"/>
      <c r="AV24" s="1344"/>
      <c r="AW24" s="1344"/>
      <c r="AX24" s="1344"/>
      <c r="AY24" s="1344"/>
      <c r="AZ24" s="1344"/>
      <c r="BA24" s="1344"/>
      <c r="BB24" s="1344"/>
      <c r="BC24" s="1344"/>
      <c r="BD24" s="1344"/>
      <c r="BE24" s="1344"/>
      <c r="BF24" s="1344"/>
      <c r="BG24" s="1344"/>
      <c r="BH24" s="1393"/>
      <c r="BI24" s="1394"/>
      <c r="BJ24" s="1344"/>
      <c r="BK24" s="1344"/>
      <c r="BL24" s="1344"/>
      <c r="BM24" s="1344"/>
      <c r="BN24" s="1344"/>
      <c r="BO24" s="1344"/>
      <c r="BP24" s="1344"/>
      <c r="BQ24" s="1344"/>
      <c r="BR24" s="1344"/>
      <c r="BS24" s="1344"/>
      <c r="BT24" s="1344"/>
      <c r="BU24" s="1344"/>
      <c r="BV24" s="1344"/>
      <c r="BW24" s="1344"/>
      <c r="BX24" s="1344"/>
      <c r="BY24" s="1344"/>
      <c r="BZ24" s="1344"/>
      <c r="CA24" s="1344"/>
      <c r="CB24" s="1344"/>
      <c r="CC24" s="1804"/>
      <c r="CD24" s="1058"/>
    </row>
    <row r="25" spans="1:82">
      <c r="A25" s="1337">
        <f t="shared" si="0"/>
        <v>45250</v>
      </c>
      <c r="B25" s="1342">
        <f t="shared" si="1"/>
        <v>45250</v>
      </c>
      <c r="C25" s="1343">
        <v>0.86111111111111116</v>
      </c>
      <c r="D25" s="1058"/>
      <c r="E25" s="1344"/>
      <c r="F25" s="1344"/>
      <c r="G25" s="1344"/>
      <c r="H25" s="1344"/>
      <c r="I25" s="1344"/>
      <c r="J25" s="1344"/>
      <c r="K25" s="1344"/>
      <c r="L25" s="1344"/>
      <c r="M25" s="1344"/>
      <c r="N25" s="1344"/>
      <c r="O25" s="1344"/>
      <c r="P25" s="1344"/>
      <c r="Q25" s="1344"/>
      <c r="R25" s="1344"/>
      <c r="S25" s="1344"/>
      <c r="T25" s="1344"/>
      <c r="U25" s="1344"/>
      <c r="V25" s="1394"/>
      <c r="W25" s="1344"/>
      <c r="X25" s="1344"/>
      <c r="Y25" s="1394"/>
      <c r="Z25" s="421"/>
      <c r="AA25" s="1344"/>
      <c r="AB25" s="1344"/>
      <c r="AC25" s="1394"/>
      <c r="AD25" s="1344"/>
      <c r="AE25" s="1344"/>
      <c r="AF25" s="1344"/>
      <c r="AG25" s="1344"/>
      <c r="AH25" s="1344"/>
      <c r="AI25" s="1344"/>
      <c r="AJ25" s="1344"/>
      <c r="AK25" s="1344"/>
      <c r="AL25" s="1344"/>
      <c r="AM25" s="1344"/>
      <c r="AN25" s="1344"/>
      <c r="AO25" s="1394"/>
      <c r="AP25" s="1394"/>
      <c r="AQ25" s="1394"/>
      <c r="AR25" s="1394"/>
      <c r="AS25" s="1394"/>
      <c r="AT25" s="1394"/>
      <c r="AU25" s="1394"/>
      <c r="AV25" s="1344"/>
      <c r="AW25" s="1344"/>
      <c r="AX25" s="1344"/>
      <c r="AY25" s="1344"/>
      <c r="AZ25" s="1344"/>
      <c r="BA25" s="1344"/>
      <c r="BB25" s="1344"/>
      <c r="BC25" s="1344"/>
      <c r="BD25" s="1344"/>
      <c r="BE25" s="1344"/>
      <c r="BF25" s="1344"/>
      <c r="BG25" s="1344"/>
      <c r="BH25" s="1393"/>
      <c r="BI25" s="1394"/>
      <c r="BJ25" s="1344"/>
      <c r="BK25" s="1344"/>
      <c r="BL25" s="1344"/>
      <c r="BM25" s="1344"/>
      <c r="BN25" s="1344"/>
      <c r="BO25" s="1344"/>
      <c r="BP25" s="1344"/>
      <c r="BQ25" s="1344"/>
      <c r="BR25" s="1344"/>
      <c r="BS25" s="1344"/>
      <c r="BT25" s="1344"/>
      <c r="BU25" s="1344"/>
      <c r="BV25" s="1344"/>
      <c r="BW25" s="1344"/>
      <c r="BX25" s="1344"/>
      <c r="BY25" s="1344"/>
      <c r="BZ25" s="1344"/>
      <c r="CA25" s="1344"/>
      <c r="CB25" s="1344"/>
      <c r="CC25" s="1804"/>
      <c r="CD25" s="1058"/>
    </row>
    <row r="26" spans="1:82">
      <c r="A26" s="1337">
        <f t="shared" si="0"/>
        <v>45251</v>
      </c>
      <c r="B26" s="1342">
        <f t="shared" si="1"/>
        <v>45251</v>
      </c>
      <c r="C26" s="1343">
        <v>0.94027777777777777</v>
      </c>
      <c r="D26" s="1058"/>
      <c r="E26" s="1344"/>
      <c r="F26" s="1344"/>
      <c r="G26" s="1344"/>
      <c r="H26" s="1344"/>
      <c r="I26" s="1344"/>
      <c r="J26" s="1344"/>
      <c r="K26" s="1344"/>
      <c r="L26" s="1344"/>
      <c r="M26" s="1344"/>
      <c r="N26" s="1344"/>
      <c r="O26" s="1344"/>
      <c r="P26" s="1344"/>
      <c r="Q26" s="1344"/>
      <c r="R26" s="1344"/>
      <c r="S26" s="1344"/>
      <c r="T26" s="1344"/>
      <c r="U26" s="1344"/>
      <c r="V26" s="1394"/>
      <c r="W26" s="1344"/>
      <c r="X26" s="1344"/>
      <c r="Y26" s="1394"/>
      <c r="Z26" s="421"/>
      <c r="AA26" s="1344"/>
      <c r="AB26" s="1344"/>
      <c r="AC26" s="1394"/>
      <c r="AD26" s="1344"/>
      <c r="AE26" s="1344"/>
      <c r="AF26" s="1344"/>
      <c r="AG26" s="1344"/>
      <c r="AH26" s="1344"/>
      <c r="AI26" s="1344"/>
      <c r="AJ26" s="1344"/>
      <c r="AK26" s="1344"/>
      <c r="AL26" s="1344"/>
      <c r="AM26" s="1344"/>
      <c r="AN26" s="1344"/>
      <c r="AO26" s="1394"/>
      <c r="AP26" s="1394"/>
      <c r="AQ26" s="1394"/>
      <c r="AR26" s="1394"/>
      <c r="AS26" s="1394"/>
      <c r="AT26" s="1394"/>
      <c r="AU26" s="1394"/>
      <c r="AV26" s="1344"/>
      <c r="AW26" s="1344"/>
      <c r="AX26" s="1344"/>
      <c r="AY26" s="1344"/>
      <c r="AZ26" s="1344"/>
      <c r="BA26" s="1344"/>
      <c r="BB26" s="1344"/>
      <c r="BC26" s="1344"/>
      <c r="BD26" s="1344"/>
      <c r="BE26" s="1344"/>
      <c r="BF26" s="1344"/>
      <c r="BG26" s="1344"/>
      <c r="BH26" s="1393"/>
      <c r="BI26" s="1394"/>
      <c r="BJ26" s="1344"/>
      <c r="BK26" s="1344"/>
      <c r="BL26" s="1344"/>
      <c r="BM26" s="1344"/>
      <c r="BN26" s="1344"/>
      <c r="BO26" s="1344"/>
      <c r="BP26" s="1344"/>
      <c r="BQ26" s="1344"/>
      <c r="BR26" s="1344"/>
      <c r="BS26" s="1344"/>
      <c r="BT26" s="1344"/>
      <c r="BU26" s="1344"/>
      <c r="BV26" s="1344"/>
      <c r="BW26" s="1344"/>
      <c r="BX26" s="1344"/>
      <c r="BY26" s="1344"/>
      <c r="BZ26" s="1344"/>
      <c r="CA26" s="1344"/>
      <c r="CB26" s="1344"/>
      <c r="CC26" s="1804"/>
      <c r="CD26" s="1058"/>
    </row>
    <row r="27" spans="1:82">
      <c r="A27" s="1337">
        <f t="shared" si="0"/>
        <v>45252</v>
      </c>
      <c r="B27" s="1342">
        <f t="shared" si="1"/>
        <v>45252</v>
      </c>
      <c r="C27" s="1343">
        <v>0.8666666666666667</v>
      </c>
      <c r="D27" s="1058"/>
      <c r="E27" s="1344"/>
      <c r="F27" s="1344"/>
      <c r="G27" s="1344"/>
      <c r="H27" s="1344"/>
      <c r="I27" s="1344"/>
      <c r="J27" s="1344"/>
      <c r="K27" s="1344"/>
      <c r="L27" s="1344"/>
      <c r="M27" s="1344"/>
      <c r="N27" s="1344"/>
      <c r="O27" s="1344"/>
      <c r="P27" s="1344"/>
      <c r="Q27" s="1344"/>
      <c r="R27" s="1344"/>
      <c r="S27" s="1344"/>
      <c r="T27" s="1344"/>
      <c r="U27" s="1344"/>
      <c r="V27" s="1394"/>
      <c r="W27" s="1344"/>
      <c r="X27" s="1344"/>
      <c r="Y27" s="1394"/>
      <c r="Z27" s="421"/>
      <c r="AA27" s="1344"/>
      <c r="AB27" s="1344"/>
      <c r="AC27" s="1394"/>
      <c r="AD27" s="1344"/>
      <c r="AE27" s="1344"/>
      <c r="AF27" s="1344"/>
      <c r="AG27" s="1344"/>
      <c r="AH27" s="1344"/>
      <c r="AI27" s="1344"/>
      <c r="AJ27" s="1344"/>
      <c r="AK27" s="1344"/>
      <c r="AL27" s="1344"/>
      <c r="AM27" s="1344"/>
      <c r="AN27" s="1344"/>
      <c r="AO27" s="1394"/>
      <c r="AP27" s="1394"/>
      <c r="AQ27" s="1394"/>
      <c r="AR27" s="1394"/>
      <c r="AS27" s="1394"/>
      <c r="AT27" s="1394"/>
      <c r="AU27" s="1394"/>
      <c r="AV27" s="1344"/>
      <c r="AW27" s="1344"/>
      <c r="AX27" s="1344"/>
      <c r="AY27" s="1344"/>
      <c r="AZ27" s="1344"/>
      <c r="BA27" s="1344"/>
      <c r="BB27" s="1344"/>
      <c r="BC27" s="1344"/>
      <c r="BD27" s="1344"/>
      <c r="BE27" s="1344"/>
      <c r="BF27" s="1344"/>
      <c r="BG27" s="1344"/>
      <c r="BH27" s="1393"/>
      <c r="BI27" s="1394"/>
      <c r="BJ27" s="1344"/>
      <c r="BK27" s="1344"/>
      <c r="BL27" s="1344"/>
      <c r="BM27" s="1344"/>
      <c r="BN27" s="1344"/>
      <c r="BO27" s="1344"/>
      <c r="BP27" s="1344"/>
      <c r="BQ27" s="1344"/>
      <c r="BR27" s="1344"/>
      <c r="BS27" s="1344"/>
      <c r="BT27" s="1344"/>
      <c r="BU27" s="1344"/>
      <c r="BV27" s="1344"/>
      <c r="BW27" s="1344"/>
      <c r="BX27" s="1344"/>
      <c r="BY27" s="1344"/>
      <c r="BZ27" s="1344"/>
      <c r="CA27" s="1344"/>
      <c r="CB27" s="1344"/>
      <c r="CC27" s="1804"/>
      <c r="CD27" s="1058"/>
    </row>
    <row r="28" spans="1:82">
      <c r="A28" s="1337">
        <f t="shared" si="0"/>
        <v>45253</v>
      </c>
      <c r="B28" s="1342">
        <f t="shared" si="1"/>
        <v>45253</v>
      </c>
      <c r="C28" s="1343">
        <v>0.99861111111111101</v>
      </c>
      <c r="D28" s="1058"/>
      <c r="E28" s="1344"/>
      <c r="F28" s="1344"/>
      <c r="G28" s="1344"/>
      <c r="H28" s="1344"/>
      <c r="I28" s="1344"/>
      <c r="J28" s="1344"/>
      <c r="K28" s="1344"/>
      <c r="L28" s="1344"/>
      <c r="M28" s="1344"/>
      <c r="N28" s="1344"/>
      <c r="O28" s="1344"/>
      <c r="P28" s="1344"/>
      <c r="Q28" s="1344"/>
      <c r="R28" s="1344"/>
      <c r="S28" s="1344"/>
      <c r="T28" s="1344"/>
      <c r="U28" s="1344"/>
      <c r="V28" s="1344"/>
      <c r="W28" s="1344"/>
      <c r="X28" s="1344"/>
      <c r="Y28" s="1344"/>
      <c r="Z28" s="1344"/>
      <c r="AA28" s="1344"/>
      <c r="AB28" s="1344"/>
      <c r="AC28" s="1344"/>
      <c r="AD28" s="1344"/>
      <c r="AE28" s="1344"/>
      <c r="AF28" s="1344"/>
      <c r="AG28" s="1344"/>
      <c r="AH28" s="1344"/>
      <c r="AI28" s="1344"/>
      <c r="AJ28" s="1344"/>
      <c r="AK28" s="1344"/>
      <c r="AL28" s="1344"/>
      <c r="AM28" s="1344"/>
      <c r="AN28" s="1344"/>
      <c r="AO28" s="1344"/>
      <c r="AP28" s="1344"/>
      <c r="AQ28" s="1344"/>
      <c r="AR28" s="1344"/>
      <c r="AS28" s="1344"/>
      <c r="AT28" s="1344"/>
      <c r="AU28" s="1344"/>
      <c r="AV28" s="1344"/>
      <c r="AW28" s="1344"/>
      <c r="AX28" s="1344"/>
      <c r="AY28" s="1344"/>
      <c r="AZ28" s="1344"/>
      <c r="BA28" s="1344"/>
      <c r="BB28" s="1344"/>
      <c r="BC28" s="1344"/>
      <c r="BD28" s="1344"/>
      <c r="BE28" s="1344"/>
      <c r="BF28" s="1344"/>
      <c r="BG28" s="1344"/>
      <c r="BH28" s="1344"/>
      <c r="BI28" s="1344"/>
      <c r="BJ28" s="1344"/>
      <c r="BK28" s="1344"/>
      <c r="BL28" s="1344"/>
      <c r="BM28" s="1344"/>
      <c r="BN28" s="1344"/>
      <c r="BO28" s="1344"/>
      <c r="BP28" s="1344"/>
      <c r="BQ28" s="1344"/>
      <c r="BR28" s="1344"/>
      <c r="BS28" s="1344"/>
      <c r="BT28" s="1344"/>
      <c r="BU28" s="1344"/>
      <c r="BV28" s="1344"/>
      <c r="BW28" s="1344"/>
      <c r="BX28" s="1344"/>
      <c r="BY28" s="1344"/>
      <c r="BZ28" s="1344"/>
      <c r="CA28" s="1344"/>
      <c r="CB28" s="1344"/>
      <c r="CC28" s="1344"/>
      <c r="CD28" s="1344"/>
    </row>
    <row r="29" spans="1:82">
      <c r="A29" s="1337">
        <f t="shared" si="0"/>
        <v>45254</v>
      </c>
      <c r="B29" s="1342">
        <f t="shared" si="1"/>
        <v>45254</v>
      </c>
      <c r="C29" s="1343">
        <v>0.95208333333333339</v>
      </c>
      <c r="D29" s="1058"/>
      <c r="E29" s="1344"/>
      <c r="F29" s="1344"/>
      <c r="G29" s="1344"/>
      <c r="H29" s="1344"/>
      <c r="I29" s="1344"/>
      <c r="J29" s="1344"/>
      <c r="K29" s="1344"/>
      <c r="L29" s="1344"/>
      <c r="M29" s="1344"/>
      <c r="N29" s="1344"/>
      <c r="O29" s="1344"/>
      <c r="P29" s="1344"/>
      <c r="Q29" s="1344"/>
      <c r="R29" s="1344"/>
      <c r="S29" s="1344"/>
      <c r="T29" s="1344"/>
      <c r="U29" s="1344"/>
      <c r="V29" s="1394"/>
      <c r="W29" s="1344"/>
      <c r="X29" s="1344"/>
      <c r="Y29" s="1394"/>
      <c r="Z29" s="421"/>
      <c r="AA29" s="1344"/>
      <c r="AB29" s="1344"/>
      <c r="AC29" s="1394"/>
      <c r="AD29" s="1344"/>
      <c r="AE29" s="1344"/>
      <c r="AF29" s="1344"/>
      <c r="AG29" s="1344"/>
      <c r="AH29" s="1344"/>
      <c r="AI29" s="1344"/>
      <c r="AJ29" s="1344"/>
      <c r="AK29" s="1344"/>
      <c r="AL29" s="1344"/>
      <c r="AM29" s="1344"/>
      <c r="AN29" s="1344"/>
      <c r="AO29" s="1394"/>
      <c r="AP29" s="1394"/>
      <c r="AQ29" s="1394"/>
      <c r="AR29" s="1394"/>
      <c r="AS29" s="1394"/>
      <c r="AT29" s="1394"/>
      <c r="AU29" s="1394"/>
      <c r="AV29" s="1344"/>
      <c r="AW29" s="1344"/>
      <c r="AX29" s="1344"/>
      <c r="AY29" s="1344"/>
      <c r="AZ29" s="1344"/>
      <c r="BA29" s="1344"/>
      <c r="BB29" s="1344"/>
      <c r="BC29" s="1344"/>
      <c r="BD29" s="1344"/>
      <c r="BE29" s="1344"/>
      <c r="BF29" s="1344"/>
      <c r="BG29" s="1344"/>
      <c r="BH29" s="1393"/>
      <c r="BI29" s="1394"/>
      <c r="BJ29" s="1344"/>
      <c r="BK29" s="1344"/>
      <c r="BL29" s="1344"/>
      <c r="BM29" s="1344"/>
      <c r="BN29" s="1344"/>
      <c r="BO29" s="1344"/>
      <c r="BP29" s="1344"/>
      <c r="BQ29" s="1344"/>
      <c r="BR29" s="1344"/>
      <c r="BS29" s="1344"/>
      <c r="BT29" s="1344"/>
      <c r="BU29" s="1344"/>
      <c r="BV29" s="1344"/>
      <c r="BW29" s="1344"/>
      <c r="BX29" s="1344"/>
      <c r="BY29" s="1344"/>
      <c r="BZ29" s="1344"/>
      <c r="CA29" s="1344"/>
      <c r="CB29" s="1344"/>
      <c r="CC29" s="1804"/>
      <c r="CD29" s="1058"/>
    </row>
    <row r="30" spans="1:82">
      <c r="A30" s="1337">
        <f t="shared" si="0"/>
        <v>45255</v>
      </c>
      <c r="B30" s="1342">
        <f t="shared" si="1"/>
        <v>45255</v>
      </c>
      <c r="C30" s="1343">
        <v>0.89236111111111116</v>
      </c>
      <c r="D30" s="1058"/>
      <c r="E30" s="1344"/>
      <c r="F30" s="1344"/>
      <c r="G30" s="1344"/>
      <c r="H30" s="1344"/>
      <c r="I30" s="1344"/>
      <c r="J30" s="1344"/>
      <c r="K30" s="1344"/>
      <c r="L30" s="1344"/>
      <c r="M30" s="1344"/>
      <c r="N30" s="1344"/>
      <c r="O30" s="1344"/>
      <c r="P30" s="1344"/>
      <c r="Q30" s="1344"/>
      <c r="R30" s="1344"/>
      <c r="S30" s="1344"/>
      <c r="T30" s="1344"/>
      <c r="U30" s="1344"/>
      <c r="V30" s="1394"/>
      <c r="W30" s="1344"/>
      <c r="X30" s="1344"/>
      <c r="Y30" s="1394"/>
      <c r="Z30" s="421"/>
      <c r="AA30" s="1344"/>
      <c r="AB30" s="1344"/>
      <c r="AC30" s="1394"/>
      <c r="AD30" s="1344"/>
      <c r="AE30" s="1344"/>
      <c r="AF30" s="1344"/>
      <c r="AG30" s="1344"/>
      <c r="AH30" s="1344"/>
      <c r="AI30" s="1344"/>
      <c r="AJ30" s="1344"/>
      <c r="AK30" s="1344"/>
      <c r="AL30" s="1344"/>
      <c r="AM30" s="1344"/>
      <c r="AN30" s="1344"/>
      <c r="AO30" s="1394"/>
      <c r="AP30" s="1394"/>
      <c r="AQ30" s="1394"/>
      <c r="AR30" s="1394"/>
      <c r="AS30" s="1394"/>
      <c r="AT30" s="1394"/>
      <c r="AU30" s="1394"/>
      <c r="AV30" s="1344"/>
      <c r="AW30" s="1344"/>
      <c r="AX30" s="1344"/>
      <c r="AY30" s="1344"/>
      <c r="AZ30" s="1344"/>
      <c r="BA30" s="1344"/>
      <c r="BB30" s="1344"/>
      <c r="BC30" s="1344"/>
      <c r="BD30" s="1344"/>
      <c r="BE30" s="1344"/>
      <c r="BF30" s="1344"/>
      <c r="BG30" s="1344"/>
      <c r="BH30" s="1393"/>
      <c r="BI30" s="1394"/>
      <c r="BJ30" s="1344"/>
      <c r="BK30" s="1344"/>
      <c r="BL30" s="1344"/>
      <c r="BM30" s="1344"/>
      <c r="BN30" s="1344"/>
      <c r="BO30" s="1344"/>
      <c r="BP30" s="1344"/>
      <c r="BQ30" s="1344"/>
      <c r="BR30" s="1344"/>
      <c r="BS30" s="1344"/>
      <c r="BT30" s="1344"/>
      <c r="BU30" s="1344"/>
      <c r="BV30" s="1344"/>
      <c r="BW30" s="1344"/>
      <c r="BX30" s="1344"/>
      <c r="BY30" s="1344"/>
      <c r="BZ30" s="1344"/>
      <c r="CA30" s="1344"/>
      <c r="CB30" s="1344"/>
      <c r="CC30" s="1804"/>
      <c r="CD30" s="1058"/>
    </row>
    <row r="31" spans="1:82" ht="15" customHeight="1">
      <c r="A31" s="1337">
        <f t="shared" si="0"/>
        <v>45256</v>
      </c>
      <c r="B31" s="1342">
        <f t="shared" si="1"/>
        <v>45256</v>
      </c>
      <c r="C31" s="1343">
        <v>0.90069444444444446</v>
      </c>
      <c r="D31" s="1344"/>
      <c r="E31" s="1344"/>
      <c r="F31" s="1344"/>
      <c r="G31" s="1344"/>
      <c r="H31" s="1344"/>
      <c r="I31" s="1344"/>
      <c r="J31" s="1344"/>
      <c r="K31" s="1344"/>
      <c r="L31" s="1344"/>
      <c r="M31" s="1344"/>
      <c r="N31" s="1344"/>
      <c r="O31" s="1344"/>
      <c r="P31" s="1344"/>
      <c r="Q31" s="1344"/>
      <c r="R31" s="1344"/>
      <c r="S31" s="1344"/>
      <c r="T31" s="1344"/>
      <c r="U31" s="1344"/>
      <c r="V31" s="1394"/>
      <c r="W31" s="1344"/>
      <c r="X31" s="1344"/>
      <c r="Y31" s="1394"/>
      <c r="Z31" s="421"/>
      <c r="AA31" s="1344"/>
      <c r="AB31" s="1344"/>
      <c r="AC31" s="1394"/>
      <c r="AD31" s="1344"/>
      <c r="AE31" s="1344"/>
      <c r="AF31" s="1344"/>
      <c r="AG31" s="1344"/>
      <c r="AH31" s="1344"/>
      <c r="AI31" s="1344"/>
      <c r="AJ31" s="1344"/>
      <c r="AK31" s="1344"/>
      <c r="AL31" s="1344"/>
      <c r="AM31" s="1344"/>
      <c r="AN31" s="1344"/>
      <c r="AO31" s="1394"/>
      <c r="AP31" s="1394"/>
      <c r="AQ31" s="1394"/>
      <c r="AR31" s="1394"/>
      <c r="AS31" s="1394"/>
      <c r="AT31" s="1394"/>
      <c r="AU31" s="1394"/>
      <c r="AV31" s="1344"/>
      <c r="AW31" s="1344"/>
      <c r="AX31" s="1344"/>
      <c r="AY31" s="1344"/>
      <c r="AZ31" s="1344"/>
      <c r="BA31" s="1344"/>
      <c r="BB31" s="1344"/>
      <c r="BC31" s="1344"/>
      <c r="BD31" s="1344"/>
      <c r="BE31" s="1344"/>
      <c r="BF31" s="1344"/>
      <c r="BG31" s="1344"/>
      <c r="BH31" s="1393"/>
      <c r="BI31" s="1394"/>
      <c r="BJ31" s="1344"/>
      <c r="BK31" s="1344"/>
      <c r="BL31" s="1344"/>
      <c r="BM31" s="1344"/>
      <c r="BN31" s="1344"/>
      <c r="BO31" s="1344"/>
      <c r="BP31" s="1344"/>
      <c r="BQ31" s="1344"/>
      <c r="BR31" s="1344"/>
      <c r="BS31" s="1344"/>
      <c r="BT31" s="1344"/>
      <c r="BU31" s="1344"/>
      <c r="BV31" s="1344"/>
      <c r="BW31" s="1344"/>
      <c r="BX31" s="1344"/>
      <c r="BY31" s="1344"/>
      <c r="BZ31" s="1344"/>
      <c r="CA31" s="1344"/>
      <c r="CB31" s="1344"/>
      <c r="CC31" s="1804"/>
      <c r="CD31" s="1058"/>
    </row>
    <row r="32" spans="1:82" ht="15" customHeight="1">
      <c r="A32" s="1337">
        <f t="shared" si="0"/>
        <v>45257</v>
      </c>
      <c r="B32" s="1342">
        <f t="shared" si="1"/>
        <v>45257</v>
      </c>
      <c r="C32" s="1343">
        <v>0.95833333333333337</v>
      </c>
      <c r="D32" s="1344"/>
      <c r="E32" s="1344"/>
      <c r="F32" s="1344"/>
      <c r="G32" s="1344"/>
      <c r="H32" s="1344"/>
      <c r="I32" s="1344"/>
      <c r="J32" s="1344"/>
      <c r="K32" s="1344"/>
      <c r="L32" s="1344"/>
      <c r="M32" s="1344"/>
      <c r="N32" s="1344"/>
      <c r="O32" s="1344"/>
      <c r="P32" s="1344"/>
      <c r="Q32" s="1344"/>
      <c r="R32" s="1344"/>
      <c r="S32" s="1344"/>
      <c r="T32" s="1344"/>
      <c r="U32" s="1344"/>
      <c r="V32" s="1344"/>
      <c r="W32" s="1344"/>
      <c r="X32" s="1344"/>
      <c r="Y32" s="1344"/>
      <c r="Z32" s="1344"/>
      <c r="AA32" s="1344"/>
      <c r="AB32" s="1344"/>
      <c r="AC32" s="1344"/>
      <c r="AD32" s="1344"/>
      <c r="AE32" s="1344"/>
      <c r="AF32" s="1344"/>
      <c r="AG32" s="1344"/>
      <c r="AH32" s="1344"/>
      <c r="AI32" s="1344"/>
      <c r="AJ32" s="1344"/>
      <c r="AK32" s="1344"/>
      <c r="AL32" s="1344"/>
      <c r="AM32" s="1344"/>
      <c r="AN32" s="1344"/>
      <c r="AO32" s="1344"/>
      <c r="AP32" s="1344"/>
      <c r="AQ32" s="1394"/>
      <c r="AR32" s="1344"/>
      <c r="AS32" s="1344"/>
      <c r="AT32" s="1344"/>
      <c r="AU32" s="1344"/>
      <c r="AV32" s="1344"/>
      <c r="AW32" s="1344"/>
      <c r="AX32" s="1344"/>
      <c r="AY32" s="1344"/>
      <c r="AZ32" s="1344"/>
      <c r="BA32" s="1344"/>
      <c r="BB32" s="1344"/>
      <c r="BC32" s="1344"/>
      <c r="BD32" s="1344"/>
      <c r="BE32" s="1344"/>
      <c r="BF32" s="1344"/>
      <c r="BG32" s="1344"/>
      <c r="BH32" s="1344"/>
      <c r="BI32" s="1344"/>
      <c r="BJ32" s="1344"/>
      <c r="BK32" s="1344"/>
      <c r="BL32" s="1344"/>
      <c r="BM32" s="1344"/>
      <c r="BN32" s="1344"/>
      <c r="BO32" s="1344"/>
      <c r="BP32" s="1344"/>
      <c r="BQ32" s="1344"/>
      <c r="BR32" s="1344"/>
      <c r="BS32" s="1344"/>
      <c r="BT32" s="1344"/>
      <c r="BU32" s="1344"/>
      <c r="BV32" s="1344"/>
      <c r="BW32" s="1344"/>
      <c r="BX32" s="1344"/>
      <c r="BY32" s="1344"/>
      <c r="BZ32" s="1344"/>
      <c r="CA32" s="1344"/>
      <c r="CB32" s="1344"/>
      <c r="CC32" s="1344"/>
      <c r="CD32" s="1344"/>
    </row>
    <row r="33" spans="1:82">
      <c r="A33" s="1337">
        <f>B33</f>
        <v>45258</v>
      </c>
      <c r="B33" s="1342">
        <f t="shared" si="1"/>
        <v>45258</v>
      </c>
      <c r="C33" s="1343">
        <v>0.88888888888888884</v>
      </c>
      <c r="D33" s="1343"/>
      <c r="E33" s="1344"/>
      <c r="F33" s="1344"/>
      <c r="G33" s="1344"/>
      <c r="H33" s="1344"/>
      <c r="I33" s="1344"/>
      <c r="J33" s="1344"/>
      <c r="K33" s="1344"/>
      <c r="L33" s="1344"/>
      <c r="M33" s="1344"/>
      <c r="N33" s="1344"/>
      <c r="O33" s="1344"/>
      <c r="P33" s="1344"/>
      <c r="Q33" s="1344"/>
      <c r="R33" s="1344"/>
      <c r="S33" s="1344"/>
      <c r="T33" s="1344"/>
      <c r="U33" s="1344"/>
      <c r="V33" s="1344"/>
      <c r="W33" s="1344"/>
      <c r="X33" s="1344"/>
      <c r="Y33" s="1344"/>
      <c r="Z33" s="1344"/>
      <c r="AA33" s="1344"/>
      <c r="AB33" s="1344"/>
      <c r="AC33" s="1344"/>
      <c r="AD33" s="1344"/>
      <c r="AE33" s="1344"/>
      <c r="AF33" s="1344"/>
      <c r="AG33" s="1344"/>
      <c r="AH33" s="1344"/>
      <c r="AI33" s="1344"/>
      <c r="AJ33" s="1344"/>
      <c r="AK33" s="1344"/>
      <c r="AL33" s="1344"/>
      <c r="AM33" s="1344"/>
      <c r="AN33" s="1344"/>
      <c r="AO33" s="1344"/>
      <c r="AP33" s="1344"/>
      <c r="AQ33" s="1394"/>
      <c r="AR33" s="1344"/>
      <c r="AS33" s="1344"/>
      <c r="AT33" s="1344"/>
      <c r="AU33" s="1344"/>
      <c r="AV33" s="1344"/>
      <c r="AW33" s="1344"/>
      <c r="AX33" s="1344"/>
      <c r="AY33" s="1344"/>
      <c r="AZ33" s="1344"/>
      <c r="BA33" s="1344"/>
      <c r="BB33" s="1344"/>
      <c r="BC33" s="1344"/>
      <c r="BD33" s="1344"/>
      <c r="BE33" s="1344"/>
      <c r="BF33" s="1344"/>
      <c r="BG33" s="1344"/>
      <c r="BH33" s="1344"/>
      <c r="BI33" s="1344"/>
      <c r="BJ33" s="1344"/>
      <c r="BK33" s="1344"/>
      <c r="BL33" s="1344"/>
      <c r="BM33" s="1344"/>
      <c r="BN33" s="1344"/>
      <c r="BO33" s="1344"/>
      <c r="BP33" s="1344"/>
      <c r="BQ33" s="1344"/>
      <c r="BR33" s="1344"/>
      <c r="BS33" s="1344"/>
      <c r="BT33" s="1344"/>
      <c r="BU33" s="1344"/>
      <c r="BV33" s="1344"/>
      <c r="BW33" s="1344"/>
      <c r="BX33" s="1344"/>
      <c r="BY33" s="1344"/>
      <c r="BZ33" s="1344"/>
      <c r="CA33" s="1344"/>
      <c r="CB33" s="1344"/>
      <c r="CC33" s="1344"/>
      <c r="CD33" s="1344"/>
    </row>
    <row r="34" spans="1:82">
      <c r="A34" s="1337">
        <f>B34</f>
        <v>45259</v>
      </c>
      <c r="B34" s="1342">
        <f t="shared" si="1"/>
        <v>45259</v>
      </c>
      <c r="C34" s="1343">
        <v>0.93055555555555503</v>
      </c>
      <c r="D34" s="1343"/>
      <c r="E34" s="1344"/>
      <c r="F34" s="1344"/>
      <c r="G34" s="1344"/>
      <c r="H34" s="1344"/>
      <c r="I34" s="1344"/>
      <c r="J34" s="1344"/>
      <c r="K34" s="1344"/>
      <c r="L34" s="1344"/>
      <c r="M34" s="1344"/>
      <c r="N34" s="1344"/>
      <c r="O34" s="1344"/>
      <c r="P34" s="1344"/>
      <c r="Q34" s="1344"/>
      <c r="R34" s="1344"/>
      <c r="S34" s="1344"/>
      <c r="T34" s="1344"/>
      <c r="U34" s="1344"/>
      <c r="V34" s="1344"/>
      <c r="W34" s="1344"/>
      <c r="X34" s="1344"/>
      <c r="Y34" s="1344"/>
      <c r="Z34" s="1344"/>
      <c r="AA34" s="1344"/>
      <c r="AB34" s="1344"/>
      <c r="AC34" s="1344"/>
      <c r="AD34" s="1344"/>
      <c r="AE34" s="1344"/>
      <c r="AF34" s="1344"/>
      <c r="AG34" s="1344"/>
      <c r="AH34" s="1344"/>
      <c r="AI34" s="1344"/>
      <c r="AJ34" s="1344"/>
      <c r="AK34" s="1344"/>
      <c r="AL34" s="1344"/>
      <c r="AM34" s="1344"/>
      <c r="AN34" s="1344"/>
      <c r="AO34" s="1344"/>
      <c r="AP34" s="1344"/>
      <c r="AQ34" s="1394"/>
      <c r="AR34" s="1344"/>
      <c r="AS34" s="1344"/>
      <c r="AT34" s="1344"/>
      <c r="AU34" s="1344"/>
      <c r="AV34" s="1344"/>
      <c r="AW34" s="1344"/>
      <c r="AX34" s="1344"/>
      <c r="AY34" s="1344"/>
      <c r="AZ34" s="1344"/>
      <c r="BA34" s="1344"/>
      <c r="BB34" s="1344"/>
      <c r="BC34" s="1344"/>
      <c r="BD34" s="1344"/>
      <c r="BE34" s="1344"/>
      <c r="BF34" s="1344"/>
      <c r="BG34" s="1344"/>
      <c r="BH34" s="1344"/>
      <c r="BI34" s="1344"/>
      <c r="BJ34" s="1344"/>
      <c r="BK34" s="1344"/>
      <c r="BL34" s="1344"/>
      <c r="BM34" s="1344"/>
      <c r="BN34" s="1344"/>
      <c r="BO34" s="1344"/>
      <c r="BP34" s="1344"/>
      <c r="BQ34" s="1344"/>
      <c r="BR34" s="1344"/>
      <c r="BS34" s="1344"/>
      <c r="BT34" s="1344"/>
      <c r="BU34" s="1344"/>
      <c r="BV34" s="1344"/>
      <c r="BW34" s="1344"/>
      <c r="BX34" s="1344"/>
      <c r="BY34" s="1344"/>
      <c r="BZ34" s="1344"/>
      <c r="CA34" s="1344"/>
      <c r="CB34" s="1344"/>
      <c r="CC34" s="1344"/>
      <c r="CD34" s="1344"/>
    </row>
    <row r="35" spans="1:82">
      <c r="A35" s="1337">
        <f>B35</f>
        <v>45260</v>
      </c>
      <c r="B35" s="1342">
        <f t="shared" si="1"/>
        <v>45260</v>
      </c>
      <c r="C35" s="1343">
        <v>0.93055555555555547</v>
      </c>
      <c r="D35" s="1343"/>
      <c r="E35" s="1344"/>
      <c r="F35" s="1344"/>
      <c r="G35" s="1344"/>
      <c r="H35" s="1344"/>
      <c r="I35" s="1344"/>
      <c r="J35" s="1344"/>
      <c r="K35" s="1344"/>
      <c r="L35" s="1344"/>
      <c r="M35" s="1344"/>
      <c r="N35" s="1344"/>
      <c r="O35" s="1344"/>
      <c r="P35" s="1344"/>
      <c r="Q35" s="1344"/>
      <c r="R35" s="1344"/>
      <c r="S35" s="1344"/>
      <c r="T35" s="1344"/>
      <c r="U35" s="1344"/>
      <c r="V35" s="1344"/>
      <c r="W35" s="1344"/>
      <c r="X35" s="1344"/>
      <c r="Y35" s="1344"/>
      <c r="Z35" s="1344"/>
      <c r="AA35" s="1344"/>
      <c r="AB35" s="1344"/>
      <c r="AC35" s="1344"/>
      <c r="AD35" s="1344"/>
      <c r="AE35" s="1344"/>
      <c r="AF35" s="1344"/>
      <c r="AG35" s="1344"/>
      <c r="AH35" s="1344"/>
      <c r="AI35" s="1344"/>
      <c r="AJ35" s="1344"/>
      <c r="AK35" s="1344"/>
      <c r="AL35" s="1344"/>
      <c r="AM35" s="1344"/>
      <c r="AN35" s="1344"/>
      <c r="AO35" s="1344"/>
      <c r="AP35" s="1344"/>
      <c r="AQ35" s="1394"/>
      <c r="AR35" s="1344"/>
      <c r="AS35" s="1344"/>
      <c r="AT35" s="1344"/>
      <c r="AU35" s="1344"/>
      <c r="AV35" s="1344"/>
      <c r="AW35" s="1344"/>
      <c r="AX35" s="1344"/>
      <c r="AY35" s="1344"/>
      <c r="AZ35" s="1344"/>
      <c r="BA35" s="1344"/>
      <c r="BB35" s="1344"/>
      <c r="BC35" s="1344"/>
      <c r="BD35" s="1344"/>
      <c r="BE35" s="1344"/>
      <c r="BF35" s="1344"/>
      <c r="BG35" s="1344"/>
      <c r="BH35" s="1344"/>
      <c r="BI35" s="1344"/>
      <c r="BJ35" s="1344"/>
      <c r="BK35" s="1344"/>
      <c r="BL35" s="1344"/>
      <c r="BM35" s="1344"/>
      <c r="BN35" s="1344"/>
      <c r="BO35" s="1344"/>
      <c r="BP35" s="1344"/>
      <c r="BQ35" s="1344"/>
      <c r="BR35" s="1344"/>
      <c r="BS35" s="1344"/>
      <c r="BT35" s="1344"/>
      <c r="BU35" s="1344"/>
      <c r="BV35" s="1344"/>
      <c r="BW35" s="1344"/>
      <c r="BX35" s="1344"/>
      <c r="BY35" s="1344"/>
      <c r="BZ35" s="1344"/>
      <c r="CA35" s="1344"/>
      <c r="CB35" s="1344"/>
      <c r="CC35" s="1344"/>
      <c r="CD35" s="1344"/>
    </row>
    <row r="36" spans="1:82" ht="15" thickBot="1">
      <c r="A36" s="1337">
        <f>B36</f>
        <v>45261</v>
      </c>
      <c r="B36" s="1342">
        <f>B35+1</f>
        <v>45261</v>
      </c>
      <c r="C36" s="1343">
        <v>0.97222222222222199</v>
      </c>
      <c r="D36" s="1343"/>
      <c r="E36" s="1344"/>
      <c r="F36" s="1344"/>
      <c r="G36" s="1344"/>
      <c r="H36" s="1344"/>
      <c r="I36" s="1344"/>
      <c r="J36" s="1344"/>
      <c r="K36" s="1344"/>
      <c r="L36" s="1344"/>
      <c r="M36" s="1344"/>
      <c r="N36" s="1344"/>
      <c r="O36" s="1344"/>
      <c r="P36" s="1344"/>
      <c r="Q36" s="1344"/>
      <c r="R36" s="1344"/>
      <c r="S36" s="1344"/>
      <c r="T36" s="1344"/>
      <c r="U36" s="1344"/>
      <c r="V36" s="1394"/>
      <c r="W36" s="1344"/>
      <c r="X36" s="1344"/>
      <c r="Y36" s="1394"/>
      <c r="Z36" s="421"/>
      <c r="AA36" s="1344"/>
      <c r="AB36" s="1344"/>
      <c r="AC36" s="1394"/>
      <c r="AD36" s="1344"/>
      <c r="AE36" s="1344"/>
      <c r="AF36" s="1344"/>
      <c r="AG36" s="1344"/>
      <c r="AH36" s="1344"/>
      <c r="AI36" s="1344"/>
      <c r="AJ36" s="1344"/>
      <c r="AK36" s="1344"/>
      <c r="AL36" s="1344"/>
      <c r="AM36" s="1344"/>
      <c r="AN36" s="1344"/>
      <c r="AO36" s="1394"/>
      <c r="AP36" s="1394"/>
      <c r="AQ36" s="1394"/>
      <c r="AR36" s="1394"/>
      <c r="AS36" s="1394"/>
      <c r="AT36" s="1394"/>
      <c r="AU36" s="1394"/>
      <c r="AV36" s="1344"/>
      <c r="AW36" s="1344"/>
      <c r="AX36" s="1344"/>
      <c r="AY36" s="1344"/>
      <c r="AZ36" s="1344"/>
      <c r="BA36" s="1344"/>
      <c r="BB36" s="1344"/>
      <c r="BC36" s="1344"/>
      <c r="BD36" s="1344"/>
      <c r="BE36" s="1344"/>
      <c r="BF36" s="1344"/>
      <c r="BG36" s="1344"/>
      <c r="BH36" s="1393"/>
      <c r="BI36" s="1394"/>
      <c r="BJ36" s="1344"/>
      <c r="BK36" s="1344"/>
      <c r="BL36" s="1344"/>
      <c r="BM36" s="1344"/>
      <c r="BN36" s="1344"/>
      <c r="BO36" s="1344"/>
      <c r="BP36" s="1344"/>
      <c r="BQ36" s="1344"/>
      <c r="BR36" s="1344"/>
      <c r="BS36" s="1344"/>
      <c r="BT36" s="1344"/>
      <c r="BU36" s="1344"/>
      <c r="BV36" s="1344"/>
      <c r="BW36" s="1344"/>
      <c r="BX36" s="1344"/>
      <c r="BY36" s="1344"/>
      <c r="BZ36" s="1344"/>
      <c r="CA36" s="1344"/>
      <c r="CB36" s="1344"/>
      <c r="CC36" s="1804"/>
      <c r="CD36" s="1058"/>
    </row>
    <row r="37" spans="1:82" ht="18.5" thickBot="1">
      <c r="A37" s="2195"/>
      <c r="B37" s="2202" t="s">
        <v>424</v>
      </c>
      <c r="C37" s="2203"/>
      <c r="D37" s="1702"/>
      <c r="E37" s="1340" t="s">
        <v>425</v>
      </c>
      <c r="F37" s="1340" t="s">
        <v>384</v>
      </c>
      <c r="G37" s="1340" t="s">
        <v>385</v>
      </c>
      <c r="H37" s="1340" t="s">
        <v>386</v>
      </c>
      <c r="I37" s="1340" t="s">
        <v>426</v>
      </c>
      <c r="J37" s="1340" t="s">
        <v>427</v>
      </c>
      <c r="K37" s="1340" t="s">
        <v>428</v>
      </c>
      <c r="L37" s="1340" t="s">
        <v>429</v>
      </c>
      <c r="M37" s="1703" t="s">
        <v>430</v>
      </c>
      <c r="N37" s="1703" t="s">
        <v>431</v>
      </c>
      <c r="O37" s="1703" t="s">
        <v>432</v>
      </c>
      <c r="P37" s="1703" t="s">
        <v>433</v>
      </c>
      <c r="Q37" s="1703" t="s">
        <v>434</v>
      </c>
      <c r="R37" s="1340" t="s">
        <v>434</v>
      </c>
      <c r="S37" s="1340" t="s">
        <v>435</v>
      </c>
      <c r="T37" s="1340" t="s">
        <v>435</v>
      </c>
      <c r="U37" s="1340" t="s">
        <v>436</v>
      </c>
      <c r="V37" s="1340" t="s">
        <v>437</v>
      </c>
      <c r="W37" s="1340" t="s">
        <v>438</v>
      </c>
      <c r="X37" s="1340" t="s">
        <v>439</v>
      </c>
      <c r="Y37" s="1340" t="s">
        <v>440</v>
      </c>
      <c r="Z37" s="1340" t="s">
        <v>441</v>
      </c>
      <c r="AA37" s="1340" t="s">
        <v>442</v>
      </c>
      <c r="AB37" s="1340" t="s">
        <v>443</v>
      </c>
      <c r="AC37" s="1340" t="s">
        <v>443</v>
      </c>
      <c r="AD37" s="1340" t="s">
        <v>444</v>
      </c>
      <c r="AE37" s="1340" t="s">
        <v>445</v>
      </c>
      <c r="AF37" s="1815" t="s">
        <v>446</v>
      </c>
      <c r="AG37" s="1815" t="s">
        <v>446</v>
      </c>
      <c r="AH37" s="1815" t="s">
        <v>446</v>
      </c>
      <c r="AI37" s="1815" t="s">
        <v>446</v>
      </c>
      <c r="AJ37" s="1815" t="s">
        <v>446</v>
      </c>
      <c r="AK37" s="1815" t="s">
        <v>446</v>
      </c>
      <c r="AL37" s="1340" t="s">
        <v>447</v>
      </c>
      <c r="AM37" s="1340" t="s">
        <v>448</v>
      </c>
      <c r="AN37" s="1340" t="s">
        <v>449</v>
      </c>
      <c r="AO37" s="1340" t="s">
        <v>450</v>
      </c>
      <c r="AP37" s="1340" t="s">
        <v>451</v>
      </c>
      <c r="AQ37" s="1340" t="s">
        <v>452</v>
      </c>
      <c r="AR37" s="1340" t="s">
        <v>453</v>
      </c>
      <c r="AS37" s="1703" t="s">
        <v>1471</v>
      </c>
      <c r="AT37" s="1703" t="s">
        <v>1472</v>
      </c>
      <c r="AU37" s="1340" t="s">
        <v>454</v>
      </c>
      <c r="AV37" s="1340" t="s">
        <v>455</v>
      </c>
      <c r="AW37" s="1340" t="s">
        <v>456</v>
      </c>
      <c r="AX37" s="1340" t="s">
        <v>457</v>
      </c>
      <c r="AY37" s="1340" t="s">
        <v>458</v>
      </c>
      <c r="AZ37" s="1340" t="s">
        <v>459</v>
      </c>
      <c r="BA37" s="1703" t="s">
        <v>460</v>
      </c>
      <c r="BB37" s="1340" t="s">
        <v>461</v>
      </c>
      <c r="BC37" s="1340" t="s">
        <v>462</v>
      </c>
      <c r="BD37" s="1340" t="s">
        <v>397</v>
      </c>
      <c r="BE37" s="1340" t="s">
        <v>397</v>
      </c>
      <c r="BF37" s="1340" t="s">
        <v>397</v>
      </c>
      <c r="BG37" s="1340" t="s">
        <v>397</v>
      </c>
      <c r="BH37" s="1340" t="s">
        <v>463</v>
      </c>
      <c r="BI37" s="1340" t="s">
        <v>463</v>
      </c>
      <c r="BJ37" s="1340" t="s">
        <v>463</v>
      </c>
      <c r="BK37" s="1340" t="s">
        <v>463</v>
      </c>
      <c r="BL37" s="1340" t="s">
        <v>464</v>
      </c>
      <c r="BM37" s="1340" t="s">
        <v>465</v>
      </c>
      <c r="BN37" s="1340" t="s">
        <v>466</v>
      </c>
      <c r="BO37" s="1340" t="s">
        <v>467</v>
      </c>
      <c r="BP37" s="1340" t="s">
        <v>468</v>
      </c>
      <c r="BQ37" s="1340" t="s">
        <v>469</v>
      </c>
      <c r="BR37" s="1340" t="s">
        <v>470</v>
      </c>
      <c r="BS37" s="1340" t="s">
        <v>471</v>
      </c>
      <c r="BT37" s="1340" t="s">
        <v>472</v>
      </c>
      <c r="BU37" s="1340" t="s">
        <v>473</v>
      </c>
      <c r="BV37" s="1340" t="s">
        <v>474</v>
      </c>
      <c r="BW37" s="1340" t="s">
        <v>475</v>
      </c>
      <c r="BX37" s="1340" t="s">
        <v>476</v>
      </c>
      <c r="BY37" s="1340" t="s">
        <v>398</v>
      </c>
      <c r="BZ37" s="1340" t="s">
        <v>477</v>
      </c>
      <c r="CA37" s="1340" t="s">
        <v>478</v>
      </c>
      <c r="CB37" s="1340" t="s">
        <v>479</v>
      </c>
      <c r="CC37" s="1340" t="s">
        <v>480</v>
      </c>
      <c r="CD37" s="1340" t="s">
        <v>1365</v>
      </c>
    </row>
    <row r="38" spans="1:82" ht="19" customHeight="1" thickBot="1">
      <c r="A38" s="2196"/>
      <c r="B38" s="2204"/>
      <c r="C38" s="2205"/>
      <c r="D38" s="1704" t="s">
        <v>405</v>
      </c>
      <c r="E38" s="1707" t="s">
        <v>401</v>
      </c>
      <c r="F38" s="1708" t="s">
        <v>404</v>
      </c>
      <c r="G38" s="1707" t="s">
        <v>405</v>
      </c>
      <c r="H38" s="1707" t="s">
        <v>405</v>
      </c>
      <c r="I38" s="1708" t="s">
        <v>481</v>
      </c>
      <c r="J38" s="1707" t="s">
        <v>482</v>
      </c>
      <c r="K38" s="1708" t="s">
        <v>483</v>
      </c>
      <c r="L38" s="1707" t="s">
        <v>483</v>
      </c>
      <c r="M38" s="1707" t="s">
        <v>484</v>
      </c>
      <c r="N38" s="1707" t="s">
        <v>485</v>
      </c>
      <c r="O38" s="1707" t="s">
        <v>486</v>
      </c>
      <c r="P38" s="1707" t="s">
        <v>487</v>
      </c>
      <c r="Q38" s="1707" t="s">
        <v>488</v>
      </c>
      <c r="R38" s="1707" t="s">
        <v>489</v>
      </c>
      <c r="S38" s="1707" t="s">
        <v>490</v>
      </c>
      <c r="T38" s="1707" t="s">
        <v>491</v>
      </c>
      <c r="U38" s="1707" t="s">
        <v>492</v>
      </c>
      <c r="V38" s="1709" t="s">
        <v>406</v>
      </c>
      <c r="W38" s="1707" t="s">
        <v>493</v>
      </c>
      <c r="X38" s="1707" t="s">
        <v>407</v>
      </c>
      <c r="Y38" s="1709" t="s">
        <v>494</v>
      </c>
      <c r="Z38" s="1707" t="s">
        <v>402</v>
      </c>
      <c r="AA38" s="1707" t="s">
        <v>403</v>
      </c>
      <c r="AB38" s="1707" t="s">
        <v>495</v>
      </c>
      <c r="AC38" s="1707" t="s">
        <v>496</v>
      </c>
      <c r="AD38" s="1707" t="s">
        <v>497</v>
      </c>
      <c r="AE38" s="1707" t="s">
        <v>498</v>
      </c>
      <c r="AF38" s="1707" t="s">
        <v>499</v>
      </c>
      <c r="AG38" s="1707" t="s">
        <v>500</v>
      </c>
      <c r="AH38" s="1707" t="s">
        <v>501</v>
      </c>
      <c r="AI38" s="1710" t="s">
        <v>502</v>
      </c>
      <c r="AJ38" s="1707" t="s">
        <v>503</v>
      </c>
      <c r="AK38" s="1707" t="s">
        <v>504</v>
      </c>
      <c r="AL38" s="1707" t="s">
        <v>505</v>
      </c>
      <c r="AM38" s="1707" t="s">
        <v>505</v>
      </c>
      <c r="AN38" s="1707" t="s">
        <v>404</v>
      </c>
      <c r="AO38" s="1707" t="s">
        <v>506</v>
      </c>
      <c r="AP38" s="1707" t="s">
        <v>506</v>
      </c>
      <c r="AQ38" s="1707" t="s">
        <v>505</v>
      </c>
      <c r="AR38" s="1711" t="s">
        <v>507</v>
      </c>
      <c r="AS38" s="1709" t="s">
        <v>1469</v>
      </c>
      <c r="AT38" s="1709" t="s">
        <v>1470</v>
      </c>
      <c r="AU38" s="1709" t="s">
        <v>1364</v>
      </c>
      <c r="AV38" s="1707" t="s">
        <v>508</v>
      </c>
      <c r="AW38" s="1707" t="s">
        <v>509</v>
      </c>
      <c r="AX38" s="1707" t="s">
        <v>510</v>
      </c>
      <c r="AY38" s="1707" t="s">
        <v>511</v>
      </c>
      <c r="AZ38" s="1707" t="s">
        <v>512</v>
      </c>
      <c r="BA38" s="1707" t="s">
        <v>513</v>
      </c>
      <c r="BB38" s="1707" t="s">
        <v>408</v>
      </c>
      <c r="BC38" s="1707" t="s">
        <v>405</v>
      </c>
      <c r="BD38" s="1707" t="s">
        <v>410</v>
      </c>
      <c r="BE38" s="1707" t="s">
        <v>411</v>
      </c>
      <c r="BF38" s="1707" t="s">
        <v>412</v>
      </c>
      <c r="BG38" s="1707" t="s">
        <v>413</v>
      </c>
      <c r="BH38" s="1709" t="s">
        <v>514</v>
      </c>
      <c r="BI38" s="1709" t="s">
        <v>515</v>
      </c>
      <c r="BJ38" s="1707" t="s">
        <v>516</v>
      </c>
      <c r="BK38" s="1707" t="s">
        <v>517</v>
      </c>
      <c r="BL38" s="1707" t="s">
        <v>518</v>
      </c>
      <c r="BM38" s="1707" t="s">
        <v>519</v>
      </c>
      <c r="BN38" s="1707" t="s">
        <v>520</v>
      </c>
      <c r="BO38" s="1707" t="s">
        <v>521</v>
      </c>
      <c r="BP38" s="1707" t="s">
        <v>522</v>
      </c>
      <c r="BQ38" s="1707" t="s">
        <v>523</v>
      </c>
      <c r="BR38" s="1707" t="s">
        <v>524</v>
      </c>
      <c r="BS38" s="1707" t="s">
        <v>525</v>
      </c>
      <c r="BT38" s="1707" t="s">
        <v>526</v>
      </c>
      <c r="BU38" s="1707" t="s">
        <v>527</v>
      </c>
      <c r="BV38" s="1707" t="s">
        <v>528</v>
      </c>
      <c r="BW38" s="1707" t="s">
        <v>529</v>
      </c>
      <c r="BX38" s="1707" t="s">
        <v>530</v>
      </c>
      <c r="BY38" s="1707" t="s">
        <v>414</v>
      </c>
      <c r="BZ38" s="1707" t="s">
        <v>531</v>
      </c>
      <c r="CA38" s="1707" t="s">
        <v>532</v>
      </c>
      <c r="CB38" s="1707" t="s">
        <v>533</v>
      </c>
      <c r="CC38" s="1707" t="s">
        <v>534</v>
      </c>
      <c r="CD38" s="1707" t="s">
        <v>1366</v>
      </c>
    </row>
    <row r="39" spans="1:82" ht="15" thickBot="1">
      <c r="A39" s="2196"/>
      <c r="B39" s="2206" t="s">
        <v>399</v>
      </c>
      <c r="C39" s="2208" t="s">
        <v>400</v>
      </c>
      <c r="D39" s="1705" t="s">
        <v>535</v>
      </c>
      <c r="E39" s="1707" t="s">
        <v>415</v>
      </c>
      <c r="F39" s="1707" t="s">
        <v>420</v>
      </c>
      <c r="G39" s="1707" t="s">
        <v>420</v>
      </c>
      <c r="H39" s="1707" t="s">
        <v>420</v>
      </c>
      <c r="I39" s="1707" t="s">
        <v>420</v>
      </c>
      <c r="J39" s="1707" t="s">
        <v>420</v>
      </c>
      <c r="K39" s="1707" t="s">
        <v>420</v>
      </c>
      <c r="L39" s="1707" t="s">
        <v>420</v>
      </c>
      <c r="M39" s="1707" t="s">
        <v>420</v>
      </c>
      <c r="N39" s="1707" t="s">
        <v>420</v>
      </c>
      <c r="O39" s="1707" t="s">
        <v>422</v>
      </c>
      <c r="P39" s="1707">
        <v>69</v>
      </c>
      <c r="Q39" s="1707">
        <v>69</v>
      </c>
      <c r="R39" s="1707">
        <v>69</v>
      </c>
      <c r="S39" s="1707">
        <v>69</v>
      </c>
      <c r="T39" s="1707">
        <v>69</v>
      </c>
      <c r="U39" s="1707" t="s">
        <v>422</v>
      </c>
      <c r="V39" s="1707" t="s">
        <v>421</v>
      </c>
      <c r="W39" s="1707" t="s">
        <v>536</v>
      </c>
      <c r="X39" s="1707" t="s">
        <v>422</v>
      </c>
      <c r="Y39" s="1709" t="s">
        <v>422</v>
      </c>
      <c r="Z39" s="1707" t="s">
        <v>418</v>
      </c>
      <c r="AA39" s="1707" t="s">
        <v>419</v>
      </c>
      <c r="AB39" s="1707" t="s">
        <v>422</v>
      </c>
      <c r="AC39" s="1707" t="s">
        <v>422</v>
      </c>
      <c r="AD39" s="1707" t="s">
        <v>422</v>
      </c>
      <c r="AE39" s="1707" t="s">
        <v>422</v>
      </c>
      <c r="AF39" s="1707" t="s">
        <v>422</v>
      </c>
      <c r="AG39" s="1707" t="s">
        <v>422</v>
      </c>
      <c r="AH39" s="1707" t="s">
        <v>422</v>
      </c>
      <c r="AI39" s="1710" t="s">
        <v>422</v>
      </c>
      <c r="AJ39" s="1707" t="s">
        <v>422</v>
      </c>
      <c r="AK39" s="1707" t="s">
        <v>422</v>
      </c>
      <c r="AL39" s="1707" t="s">
        <v>417</v>
      </c>
      <c r="AM39" s="1707" t="s">
        <v>416</v>
      </c>
      <c r="AN39" s="1707" t="s">
        <v>420</v>
      </c>
      <c r="AO39" s="1707" t="s">
        <v>537</v>
      </c>
      <c r="AP39" s="1707" t="s">
        <v>538</v>
      </c>
      <c r="AQ39" s="1707" t="s">
        <v>538</v>
      </c>
      <c r="AR39" s="1709" t="s">
        <v>421</v>
      </c>
      <c r="AS39" s="1709" t="s">
        <v>130</v>
      </c>
      <c r="AT39" s="1709" t="s">
        <v>130</v>
      </c>
      <c r="AU39" s="1709"/>
      <c r="AV39" s="1707" t="s">
        <v>422</v>
      </c>
      <c r="AW39" s="1707" t="s">
        <v>422</v>
      </c>
      <c r="AX39" s="1707" t="s">
        <v>422</v>
      </c>
      <c r="AY39" s="1707" t="s">
        <v>422</v>
      </c>
      <c r="AZ39" s="1707" t="s">
        <v>422</v>
      </c>
      <c r="BA39" s="1707" t="s">
        <v>422</v>
      </c>
      <c r="BB39" s="1707" t="s">
        <v>422</v>
      </c>
      <c r="BC39" s="1707" t="s">
        <v>539</v>
      </c>
      <c r="BD39" s="1707" t="s">
        <v>422</v>
      </c>
      <c r="BE39" s="1707" t="s">
        <v>422</v>
      </c>
      <c r="BF39" s="1707" t="s">
        <v>422</v>
      </c>
      <c r="BG39" s="1707" t="s">
        <v>422</v>
      </c>
      <c r="BH39" s="1709" t="s">
        <v>422</v>
      </c>
      <c r="BI39" s="1709" t="s">
        <v>422</v>
      </c>
      <c r="BJ39" s="1707" t="s">
        <v>422</v>
      </c>
      <c r="BK39" s="1707" t="s">
        <v>422</v>
      </c>
      <c r="BL39" s="1707" t="s">
        <v>422</v>
      </c>
      <c r="BM39" s="1707" t="s">
        <v>422</v>
      </c>
      <c r="BN39" s="1707" t="s">
        <v>422</v>
      </c>
      <c r="BO39" s="1707" t="s">
        <v>422</v>
      </c>
      <c r="BP39" s="1707" t="s">
        <v>422</v>
      </c>
      <c r="BQ39" s="1707" t="s">
        <v>422</v>
      </c>
      <c r="BR39" s="1707" t="s">
        <v>422</v>
      </c>
      <c r="BS39" s="1707" t="s">
        <v>422</v>
      </c>
      <c r="BT39" s="1707" t="s">
        <v>422</v>
      </c>
      <c r="BU39" s="1707" t="s">
        <v>422</v>
      </c>
      <c r="BV39" s="1707" t="s">
        <v>422</v>
      </c>
      <c r="BW39" s="1707" t="s">
        <v>422</v>
      </c>
      <c r="BX39" s="1707" t="s">
        <v>422</v>
      </c>
      <c r="BY39" s="1707" t="s">
        <v>422</v>
      </c>
      <c r="BZ39" s="1707" t="s">
        <v>422</v>
      </c>
      <c r="CA39" s="1707" t="s">
        <v>422</v>
      </c>
      <c r="CB39" s="1707" t="s">
        <v>422</v>
      </c>
      <c r="CC39" s="1707" t="s">
        <v>540</v>
      </c>
      <c r="CD39" s="1707" t="s">
        <v>130</v>
      </c>
    </row>
    <row r="40" spans="1:82" ht="38.25" customHeight="1" thickBot="1">
      <c r="A40" s="2197"/>
      <c r="B40" s="2207"/>
      <c r="C40" s="2209"/>
      <c r="D40" s="1706" t="s">
        <v>541</v>
      </c>
      <c r="E40" s="1712" t="s">
        <v>562</v>
      </c>
      <c r="F40" s="1713" t="s">
        <v>563</v>
      </c>
      <c r="G40" s="1713" t="s">
        <v>564</v>
      </c>
      <c r="H40" s="1713" t="s">
        <v>565</v>
      </c>
      <c r="I40" s="1713" t="s">
        <v>566</v>
      </c>
      <c r="J40" s="1713" t="s">
        <v>567</v>
      </c>
      <c r="K40" s="1713" t="s">
        <v>568</v>
      </c>
      <c r="L40" s="1713" t="s">
        <v>569</v>
      </c>
      <c r="M40" s="1713" t="s">
        <v>570</v>
      </c>
      <c r="N40" s="1713" t="s">
        <v>1150</v>
      </c>
      <c r="O40" s="1713" t="s">
        <v>542</v>
      </c>
      <c r="P40" s="1713">
        <v>69</v>
      </c>
      <c r="Q40" s="1713">
        <v>69</v>
      </c>
      <c r="R40" s="1713">
        <v>69</v>
      </c>
      <c r="S40" s="1713">
        <v>69</v>
      </c>
      <c r="T40" s="1713">
        <v>69</v>
      </c>
      <c r="U40" s="1713" t="s">
        <v>548</v>
      </c>
      <c r="V40" s="1713" t="s">
        <v>571</v>
      </c>
      <c r="W40" s="1714" t="s">
        <v>549</v>
      </c>
      <c r="X40" s="1713"/>
      <c r="Y40" s="1715">
        <v>35</v>
      </c>
      <c r="Z40" s="1713" t="s">
        <v>572</v>
      </c>
      <c r="AA40" s="1713" t="s">
        <v>573</v>
      </c>
      <c r="AB40" s="1713"/>
      <c r="AC40" s="1716"/>
      <c r="AD40" s="1713"/>
      <c r="AE40" s="1713"/>
      <c r="AF40" s="1713" t="s">
        <v>550</v>
      </c>
      <c r="AG40" s="1713" t="s">
        <v>551</v>
      </c>
      <c r="AH40" s="1713" t="s">
        <v>552</v>
      </c>
      <c r="AI40" s="1717" t="s">
        <v>553</v>
      </c>
      <c r="AJ40" s="1713" t="s">
        <v>554</v>
      </c>
      <c r="AK40" s="1713" t="s">
        <v>555</v>
      </c>
      <c r="AL40" s="1713" t="s">
        <v>574</v>
      </c>
      <c r="AM40" s="1718"/>
      <c r="AN40" s="1713" t="s">
        <v>563</v>
      </c>
      <c r="AO40" s="1718"/>
      <c r="AP40" s="1718"/>
      <c r="AQ40" s="1718"/>
      <c r="AR40" s="1719"/>
      <c r="AS40" s="1719"/>
      <c r="AT40" s="1719"/>
      <c r="AU40" s="1716" t="s">
        <v>556</v>
      </c>
      <c r="AV40" s="1713" t="s">
        <v>557</v>
      </c>
      <c r="AW40" s="1713" t="s">
        <v>558</v>
      </c>
      <c r="AX40" s="1713" t="s">
        <v>557</v>
      </c>
      <c r="AY40" s="1713" t="s">
        <v>557</v>
      </c>
      <c r="AZ40" s="1713" t="s">
        <v>557</v>
      </c>
      <c r="BA40" s="1713" t="s">
        <v>559</v>
      </c>
      <c r="BB40" s="1713" t="s">
        <v>560</v>
      </c>
      <c r="BC40" s="1713" t="s">
        <v>556</v>
      </c>
      <c r="BD40" s="1718"/>
      <c r="BE40" s="1718"/>
      <c r="BF40" s="1718"/>
      <c r="BG40" s="1718"/>
      <c r="BH40" s="1719"/>
      <c r="BI40" s="1719"/>
      <c r="BJ40" s="1718"/>
      <c r="BK40" s="1718"/>
      <c r="BL40" s="1718"/>
      <c r="BM40" s="1718"/>
      <c r="BN40" s="1718"/>
      <c r="BO40" s="1718"/>
      <c r="BP40" s="1718"/>
      <c r="BQ40" s="1718"/>
      <c r="BR40" s="1718"/>
      <c r="BS40" s="1718"/>
      <c r="BT40" s="1718"/>
      <c r="BU40" s="1718"/>
      <c r="BV40" s="1718"/>
      <c r="BW40" s="1718"/>
      <c r="BX40" s="1718"/>
      <c r="BY40" s="1718"/>
      <c r="BZ40" s="1718"/>
      <c r="CA40" s="1718"/>
      <c r="CB40" s="1718"/>
      <c r="CC40" s="1718"/>
      <c r="CD40" s="1707"/>
    </row>
    <row r="41" spans="1:82">
      <c r="A41" s="1337">
        <f>B41</f>
        <v>45231</v>
      </c>
      <c r="B41" s="1342">
        <f t="shared" ref="B41:B71" si="2">B6</f>
        <v>45231</v>
      </c>
      <c r="C41" s="1343">
        <v>0.91805555555555562</v>
      </c>
      <c r="D41" s="1023"/>
      <c r="E41" s="1344">
        <v>11.6</v>
      </c>
      <c r="F41" s="1344">
        <v>3.6</v>
      </c>
      <c r="G41" s="1344">
        <v>1</v>
      </c>
      <c r="H41" s="1344">
        <v>0.8</v>
      </c>
      <c r="I41" s="1344">
        <v>0.8</v>
      </c>
      <c r="J41" s="1344">
        <v>0.2</v>
      </c>
      <c r="K41" s="1344">
        <v>0.5</v>
      </c>
      <c r="L41" s="1344">
        <v>0.9</v>
      </c>
      <c r="M41" s="1344">
        <v>1.1000000000000001</v>
      </c>
      <c r="N41" s="1344">
        <v>3.6</v>
      </c>
      <c r="O41" s="1344">
        <v>75</v>
      </c>
      <c r="P41" s="1344">
        <v>72</v>
      </c>
      <c r="Q41" s="1344">
        <v>85</v>
      </c>
      <c r="R41" s="1344">
        <v>83</v>
      </c>
      <c r="S41" s="1344">
        <v>76</v>
      </c>
      <c r="T41" s="1344">
        <v>72</v>
      </c>
      <c r="U41" s="1344">
        <v>59</v>
      </c>
      <c r="V41" s="1344">
        <v>7.03</v>
      </c>
      <c r="W41" s="1344">
        <v>525</v>
      </c>
      <c r="X41" s="1344">
        <v>310</v>
      </c>
      <c r="Y41" s="1344">
        <v>26</v>
      </c>
      <c r="Z41" s="1344">
        <v>60</v>
      </c>
      <c r="AA41" s="1344">
        <v>0.88</v>
      </c>
      <c r="AB41" s="1344">
        <v>44</v>
      </c>
      <c r="AC41" s="1344">
        <v>43</v>
      </c>
      <c r="AD41" s="1344">
        <v>60</v>
      </c>
      <c r="AE41" s="1344">
        <v>29</v>
      </c>
      <c r="AF41" s="1344">
        <v>71</v>
      </c>
      <c r="AG41" s="1344">
        <v>71</v>
      </c>
      <c r="AH41" s="1344">
        <v>71</v>
      </c>
      <c r="AI41" s="1344">
        <v>70</v>
      </c>
      <c r="AJ41" s="1344">
        <v>70</v>
      </c>
      <c r="AK41" s="1344">
        <v>71</v>
      </c>
      <c r="AL41" s="1344">
        <v>13.82</v>
      </c>
      <c r="AM41" s="1344">
        <v>6.4</v>
      </c>
      <c r="AN41" s="1344">
        <v>3.3</v>
      </c>
      <c r="AO41" s="1344">
        <v>26.19</v>
      </c>
      <c r="AP41" s="1344">
        <v>2.4</v>
      </c>
      <c r="AQ41" s="1344">
        <v>553</v>
      </c>
      <c r="AR41" s="1344">
        <v>13.24</v>
      </c>
      <c r="AS41" s="1344">
        <v>53</v>
      </c>
      <c r="AT41" s="1344">
        <v>52</v>
      </c>
      <c r="AU41" s="1344">
        <v>51</v>
      </c>
      <c r="AV41" s="1344">
        <v>67</v>
      </c>
      <c r="AW41" s="1344">
        <v>71</v>
      </c>
      <c r="AX41" s="1344">
        <v>70</v>
      </c>
      <c r="AY41" s="1344">
        <v>59</v>
      </c>
      <c r="AZ41" s="1344">
        <v>62</v>
      </c>
      <c r="BA41" s="1344">
        <v>60</v>
      </c>
      <c r="BB41" s="1344">
        <v>60</v>
      </c>
      <c r="BC41" s="1344">
        <v>5131</v>
      </c>
      <c r="BD41" s="1344">
        <v>324</v>
      </c>
      <c r="BE41" s="1344">
        <v>305</v>
      </c>
      <c r="BF41" s="1344">
        <v>355</v>
      </c>
      <c r="BG41" s="1344">
        <v>358</v>
      </c>
      <c r="BH41" s="1344">
        <v>-2444</v>
      </c>
      <c r="BI41" s="1344">
        <v>305</v>
      </c>
      <c r="BJ41" s="1344">
        <v>325</v>
      </c>
      <c r="BK41" s="1344">
        <v>322</v>
      </c>
      <c r="BL41" s="1344">
        <v>368</v>
      </c>
      <c r="BM41" s="1344">
        <v>369</v>
      </c>
      <c r="BN41" s="1344">
        <v>379</v>
      </c>
      <c r="BO41" s="1344">
        <v>362</v>
      </c>
      <c r="BP41" s="1344">
        <v>381</v>
      </c>
      <c r="BQ41" s="1344">
        <v>369</v>
      </c>
      <c r="BR41" s="1344">
        <v>374</v>
      </c>
      <c r="BS41" s="1344">
        <v>372</v>
      </c>
      <c r="BT41" s="1344">
        <v>372</v>
      </c>
      <c r="BU41" s="1344">
        <v>372</v>
      </c>
      <c r="BV41" s="1344">
        <v>368</v>
      </c>
      <c r="BW41" s="1344">
        <v>365</v>
      </c>
      <c r="BX41" s="1344">
        <v>365</v>
      </c>
      <c r="BY41" s="1344">
        <v>371</v>
      </c>
      <c r="BZ41" s="1344">
        <v>20</v>
      </c>
      <c r="CA41" s="1344">
        <v>47</v>
      </c>
      <c r="CB41" s="1344">
        <v>40</v>
      </c>
      <c r="CC41" s="1804">
        <v>78</v>
      </c>
      <c r="CD41" s="1058">
        <v>39</v>
      </c>
    </row>
    <row r="42" spans="1:82">
      <c r="A42" s="1337">
        <f t="shared" ref="A42:A68" si="3">B42</f>
        <v>45232</v>
      </c>
      <c r="B42" s="1342">
        <f t="shared" si="2"/>
        <v>45232</v>
      </c>
      <c r="C42" s="1343">
        <v>0.85625000000000007</v>
      </c>
      <c r="E42" s="1344"/>
      <c r="F42" s="1344"/>
      <c r="G42" s="1344"/>
      <c r="H42" s="1344"/>
      <c r="I42" s="1344"/>
      <c r="J42" s="1344"/>
      <c r="K42" s="1344"/>
      <c r="L42" s="1344"/>
      <c r="M42" s="1344"/>
      <c r="N42" s="1344"/>
      <c r="O42" s="1344"/>
      <c r="P42" s="1344"/>
      <c r="Q42" s="1344"/>
      <c r="R42" s="1344"/>
      <c r="S42" s="1344"/>
      <c r="T42" s="1344"/>
      <c r="U42" s="1344"/>
      <c r="V42" s="1344"/>
      <c r="W42" s="1344"/>
      <c r="X42" s="1344"/>
      <c r="Y42" s="1344"/>
      <c r="Z42" s="1344"/>
      <c r="AA42" s="1344"/>
      <c r="AB42" s="1344"/>
      <c r="AC42" s="1344"/>
      <c r="AD42" s="1344"/>
      <c r="AE42" s="1344"/>
      <c r="AF42" s="1344"/>
      <c r="AG42" s="1344"/>
      <c r="AH42" s="1344"/>
      <c r="AI42" s="1344"/>
      <c r="AJ42" s="1344"/>
      <c r="AK42" s="1344"/>
      <c r="AL42" s="1344"/>
      <c r="AM42" s="1344"/>
      <c r="AN42" s="1344"/>
      <c r="AO42" s="1344"/>
      <c r="AP42" s="1344"/>
      <c r="AQ42" s="1344"/>
      <c r="AR42" s="1344"/>
      <c r="AS42" s="1344"/>
      <c r="AT42" s="1344"/>
      <c r="AU42" s="1344"/>
      <c r="AV42" s="1344"/>
      <c r="AW42" s="1344"/>
      <c r="AX42" s="1344"/>
      <c r="AY42" s="1344"/>
      <c r="AZ42" s="1344"/>
      <c r="BA42" s="1344"/>
      <c r="BB42" s="1344"/>
      <c r="BC42" s="1344"/>
      <c r="BD42" s="1344"/>
      <c r="BE42" s="1344"/>
      <c r="BF42" s="1344"/>
      <c r="BG42" s="1344"/>
      <c r="BH42" s="1344"/>
      <c r="BI42" s="1344"/>
      <c r="BJ42" s="1344"/>
      <c r="BK42" s="1344"/>
      <c r="BL42" s="1344"/>
      <c r="BM42" s="1344"/>
      <c r="BN42" s="1344"/>
      <c r="BO42" s="1344"/>
      <c r="BP42" s="1344"/>
      <c r="BQ42" s="1344"/>
      <c r="BR42" s="1344"/>
      <c r="BS42" s="1344"/>
      <c r="BT42" s="1344"/>
      <c r="BU42" s="1344"/>
      <c r="BV42" s="1344"/>
      <c r="BW42" s="1344"/>
      <c r="BX42" s="1344"/>
      <c r="BY42" s="1344"/>
      <c r="BZ42" s="1344"/>
      <c r="CA42" s="1344"/>
      <c r="CB42" s="1344"/>
      <c r="CC42" s="1804"/>
      <c r="CD42" s="1058"/>
    </row>
    <row r="43" spans="1:82">
      <c r="A43" s="1337">
        <f t="shared" si="3"/>
        <v>45233</v>
      </c>
      <c r="B43" s="1342">
        <f t="shared" si="2"/>
        <v>45233</v>
      </c>
      <c r="C43" s="1343">
        <v>0.94791666666666663</v>
      </c>
      <c r="D43" s="1058"/>
      <c r="E43" s="1344"/>
      <c r="F43" s="1344"/>
      <c r="G43" s="1344"/>
      <c r="H43" s="1344"/>
      <c r="I43" s="1344"/>
      <c r="J43" s="1344"/>
      <c r="K43" s="1344"/>
      <c r="L43" s="1344"/>
      <c r="M43" s="1344"/>
      <c r="N43" s="1344"/>
      <c r="O43" s="1344"/>
      <c r="P43" s="1344"/>
      <c r="Q43" s="1344"/>
      <c r="R43" s="1344"/>
      <c r="S43" s="1344"/>
      <c r="T43" s="1344"/>
      <c r="U43" s="1344"/>
      <c r="V43" s="1344"/>
      <c r="W43" s="1344"/>
      <c r="X43" s="1344"/>
      <c r="Y43" s="1344"/>
      <c r="Z43" s="1344"/>
      <c r="AA43" s="1344"/>
      <c r="AB43" s="1344"/>
      <c r="AC43" s="1344"/>
      <c r="AD43" s="1344"/>
      <c r="AE43" s="1344"/>
      <c r="AF43" s="1344"/>
      <c r="AG43" s="1344"/>
      <c r="AH43" s="1344"/>
      <c r="AI43" s="1344"/>
      <c r="AJ43" s="1344"/>
      <c r="AK43" s="1344"/>
      <c r="AL43" s="1344"/>
      <c r="AM43" s="1344"/>
      <c r="AN43" s="1344"/>
      <c r="AO43" s="1344"/>
      <c r="AP43" s="1344"/>
      <c r="AQ43" s="1344"/>
      <c r="AR43" s="1344"/>
      <c r="AS43" s="1344"/>
      <c r="AT43" s="1344"/>
      <c r="AU43" s="1344"/>
      <c r="AV43" s="1344"/>
      <c r="AW43" s="1344"/>
      <c r="AX43" s="1344"/>
      <c r="AY43" s="1344"/>
      <c r="AZ43" s="1344"/>
      <c r="BA43" s="1344"/>
      <c r="BB43" s="1344"/>
      <c r="BC43" s="1344"/>
      <c r="BD43" s="1344"/>
      <c r="BE43" s="1344"/>
      <c r="BF43" s="1344"/>
      <c r="BG43" s="1344"/>
      <c r="BH43" s="1344"/>
      <c r="BI43" s="1344"/>
      <c r="BJ43" s="1344"/>
      <c r="BK43" s="1344"/>
      <c r="BL43" s="1344"/>
      <c r="BM43" s="1344"/>
      <c r="BN43" s="1344"/>
      <c r="BO43" s="1344"/>
      <c r="BP43" s="1344"/>
      <c r="BQ43" s="1344"/>
      <c r="BR43" s="1344"/>
      <c r="BS43" s="1344"/>
      <c r="BT43" s="1344"/>
      <c r="BU43" s="1344"/>
      <c r="BV43" s="1344"/>
      <c r="BW43" s="1344"/>
      <c r="BX43" s="1344"/>
      <c r="BY43" s="1344"/>
      <c r="BZ43" s="1344"/>
      <c r="CA43" s="1344"/>
      <c r="CB43" s="1344"/>
      <c r="CC43" s="1804"/>
      <c r="CD43" s="1058"/>
    </row>
    <row r="44" spans="1:82">
      <c r="A44" s="1337">
        <f t="shared" si="3"/>
        <v>45234</v>
      </c>
      <c r="B44" s="1342">
        <f t="shared" si="2"/>
        <v>45234</v>
      </c>
      <c r="C44" s="1343">
        <v>0.75694444444444453</v>
      </c>
      <c r="D44" s="1058"/>
      <c r="E44" s="1344"/>
      <c r="F44" s="1344"/>
      <c r="G44" s="1344"/>
      <c r="H44" s="1344"/>
      <c r="I44" s="1344"/>
      <c r="J44" s="1344"/>
      <c r="K44" s="1344"/>
      <c r="L44" s="1344"/>
      <c r="M44" s="1344"/>
      <c r="N44" s="1344"/>
      <c r="O44" s="1344"/>
      <c r="P44" s="1344"/>
      <c r="Q44" s="1344"/>
      <c r="R44" s="1344"/>
      <c r="S44" s="1344"/>
      <c r="T44" s="1344"/>
      <c r="U44" s="1344"/>
      <c r="V44" s="1344"/>
      <c r="W44" s="1344"/>
      <c r="X44" s="1344"/>
      <c r="Y44" s="1344"/>
      <c r="Z44" s="1344"/>
      <c r="AA44" s="1344"/>
      <c r="AB44" s="1344"/>
      <c r="AC44" s="1344"/>
      <c r="AD44" s="1344"/>
      <c r="AE44" s="1344"/>
      <c r="AF44" s="1344"/>
      <c r="AG44" s="1344"/>
      <c r="AH44" s="1344"/>
      <c r="AI44" s="1344"/>
      <c r="AJ44" s="1344"/>
      <c r="AK44" s="1344"/>
      <c r="AL44" s="1344"/>
      <c r="AM44" s="1344"/>
      <c r="AN44" s="1344"/>
      <c r="AO44" s="1344"/>
      <c r="AP44" s="1344"/>
      <c r="AQ44" s="1344"/>
      <c r="AR44" s="1344"/>
      <c r="AS44" s="1344"/>
      <c r="AT44" s="1344"/>
      <c r="AU44" s="1344"/>
      <c r="AV44" s="1344"/>
      <c r="AW44" s="1344"/>
      <c r="AX44" s="1344"/>
      <c r="AY44" s="1344"/>
      <c r="AZ44" s="1344"/>
      <c r="BA44" s="1344"/>
      <c r="BB44" s="1344"/>
      <c r="BC44" s="1344"/>
      <c r="BD44" s="1344"/>
      <c r="BE44" s="1344"/>
      <c r="BF44" s="1344"/>
      <c r="BG44" s="1344"/>
      <c r="BH44" s="1344"/>
      <c r="BI44" s="1344"/>
      <c r="BJ44" s="1344"/>
      <c r="BK44" s="1344"/>
      <c r="BL44" s="1344"/>
      <c r="BM44" s="1344"/>
      <c r="BN44" s="1344"/>
      <c r="BO44" s="1344"/>
      <c r="BP44" s="1344"/>
      <c r="BQ44" s="1344"/>
      <c r="BR44" s="1344"/>
      <c r="BS44" s="1344"/>
      <c r="BT44" s="1344"/>
      <c r="BU44" s="1344"/>
      <c r="BV44" s="1344"/>
      <c r="BW44" s="1344"/>
      <c r="BX44" s="1344"/>
      <c r="BY44" s="1344"/>
      <c r="BZ44" s="1344"/>
      <c r="CA44" s="1344"/>
      <c r="CB44" s="1344"/>
      <c r="CC44" s="1804"/>
      <c r="CD44" s="1058"/>
    </row>
    <row r="45" spans="1:82">
      <c r="A45" s="1337">
        <f t="shared" si="3"/>
        <v>45235</v>
      </c>
      <c r="B45" s="1342">
        <f t="shared" si="2"/>
        <v>45235</v>
      </c>
      <c r="C45" s="1343">
        <v>0.96597222222222223</v>
      </c>
      <c r="D45" s="1345"/>
      <c r="E45" s="1344"/>
      <c r="F45" s="1344"/>
      <c r="G45" s="1344"/>
      <c r="H45" s="1344"/>
      <c r="I45" s="1344"/>
      <c r="J45" s="1344"/>
      <c r="K45" s="1344"/>
      <c r="L45" s="1344"/>
      <c r="M45" s="1344"/>
      <c r="N45" s="1344"/>
      <c r="O45" s="1344"/>
      <c r="P45" s="1344"/>
      <c r="Q45" s="1344"/>
      <c r="R45" s="1344"/>
      <c r="S45" s="1344"/>
      <c r="T45" s="1344"/>
      <c r="U45" s="1344"/>
      <c r="V45" s="1344"/>
      <c r="W45" s="1344"/>
      <c r="X45" s="1344"/>
      <c r="Y45" s="1344"/>
      <c r="Z45" s="1344"/>
      <c r="AA45" s="1344"/>
      <c r="AB45" s="1344"/>
      <c r="AC45" s="1344"/>
      <c r="AD45" s="1344"/>
      <c r="AE45" s="1344"/>
      <c r="AF45" s="1344"/>
      <c r="AG45" s="1344"/>
      <c r="AH45" s="1344"/>
      <c r="AI45" s="1344"/>
      <c r="AJ45" s="1344"/>
      <c r="AK45" s="1344"/>
      <c r="AL45" s="1344"/>
      <c r="AM45" s="1344"/>
      <c r="AN45" s="1344"/>
      <c r="AO45" s="1344"/>
      <c r="AP45" s="1344"/>
      <c r="AQ45" s="1344"/>
      <c r="AR45" s="1344"/>
      <c r="AS45" s="1344"/>
      <c r="AT45" s="1344"/>
      <c r="AU45" s="1344"/>
      <c r="AV45" s="1344"/>
      <c r="AW45" s="1344"/>
      <c r="AX45" s="1344"/>
      <c r="AY45" s="1344"/>
      <c r="AZ45" s="1344"/>
      <c r="BA45" s="1344"/>
      <c r="BB45" s="1344"/>
      <c r="BC45" s="1344"/>
      <c r="BD45" s="1344"/>
      <c r="BE45" s="1344"/>
      <c r="BF45" s="1344"/>
      <c r="BG45" s="1344"/>
      <c r="BH45" s="1344"/>
      <c r="BI45" s="1344"/>
      <c r="BJ45" s="1344"/>
      <c r="BK45" s="1344"/>
      <c r="BL45" s="1344"/>
      <c r="BM45" s="1344"/>
      <c r="BN45" s="1344"/>
      <c r="BO45" s="1344"/>
      <c r="BP45" s="1344"/>
      <c r="BQ45" s="1344"/>
      <c r="BR45" s="1344"/>
      <c r="BS45" s="1344"/>
      <c r="BT45" s="1344"/>
      <c r="BU45" s="1344"/>
      <c r="BV45" s="1344"/>
      <c r="BW45" s="1344"/>
      <c r="BX45" s="1344"/>
      <c r="BY45" s="1344"/>
      <c r="BZ45" s="1344"/>
      <c r="CA45" s="1344"/>
      <c r="CB45" s="1344"/>
      <c r="CC45" s="1804"/>
      <c r="CD45" s="1058"/>
    </row>
    <row r="46" spans="1:82">
      <c r="A46" s="1337">
        <f t="shared" si="3"/>
        <v>45236</v>
      </c>
      <c r="B46" s="1342">
        <f t="shared" si="2"/>
        <v>45236</v>
      </c>
      <c r="C46" s="1343">
        <v>0.9243055555555556</v>
      </c>
      <c r="D46" s="1058"/>
      <c r="E46" s="1344"/>
      <c r="F46" s="1344"/>
      <c r="G46" s="1344"/>
      <c r="H46" s="1344"/>
      <c r="I46" s="1344"/>
      <c r="J46" s="1344"/>
      <c r="K46" s="1344"/>
      <c r="L46" s="1344"/>
      <c r="M46" s="1344"/>
      <c r="N46" s="1344"/>
      <c r="O46" s="1344"/>
      <c r="P46" s="1344"/>
      <c r="Q46" s="1344"/>
      <c r="R46" s="1344"/>
      <c r="S46" s="1344"/>
      <c r="T46" s="1344"/>
      <c r="U46" s="1344"/>
      <c r="V46" s="1344"/>
      <c r="W46" s="1344"/>
      <c r="X46" s="1344"/>
      <c r="Y46" s="1344"/>
      <c r="Z46" s="1344"/>
      <c r="AA46" s="1344"/>
      <c r="AB46" s="1344"/>
      <c r="AC46" s="1344"/>
      <c r="AD46" s="1344"/>
      <c r="AE46" s="1344"/>
      <c r="AF46" s="1344"/>
      <c r="AG46" s="1344"/>
      <c r="AH46" s="1344"/>
      <c r="AI46" s="1344"/>
      <c r="AJ46" s="1344"/>
      <c r="AK46" s="1344"/>
      <c r="AL46" s="1344"/>
      <c r="AM46" s="1344"/>
      <c r="AN46" s="1344"/>
      <c r="AO46" s="1344"/>
      <c r="AP46" s="1344"/>
      <c r="AQ46" s="1344"/>
      <c r="AR46" s="1344"/>
      <c r="AS46" s="1344"/>
      <c r="AT46" s="1344"/>
      <c r="AU46" s="1344"/>
      <c r="AV46" s="1344"/>
      <c r="AW46" s="1344"/>
      <c r="AX46" s="1344"/>
      <c r="AY46" s="1344"/>
      <c r="AZ46" s="1344"/>
      <c r="BA46" s="1344"/>
      <c r="BB46" s="1344"/>
      <c r="BC46" s="1344"/>
      <c r="BD46" s="1344"/>
      <c r="BE46" s="1344"/>
      <c r="BF46" s="1344"/>
      <c r="BG46" s="1344"/>
      <c r="BH46" s="1344"/>
      <c r="BI46" s="1344"/>
      <c r="BJ46" s="1344"/>
      <c r="BK46" s="1344"/>
      <c r="BL46" s="1344"/>
      <c r="BM46" s="1344"/>
      <c r="BN46" s="1344"/>
      <c r="BO46" s="1344"/>
      <c r="BP46" s="1344"/>
      <c r="BQ46" s="1344"/>
      <c r="BR46" s="1344"/>
      <c r="BS46" s="1344"/>
      <c r="BT46" s="1344"/>
      <c r="BU46" s="1344"/>
      <c r="BV46" s="1344"/>
      <c r="BW46" s="1344"/>
      <c r="BX46" s="1344"/>
      <c r="BY46" s="1344"/>
      <c r="BZ46" s="1344"/>
      <c r="CA46" s="1344"/>
      <c r="CB46" s="1344"/>
      <c r="CC46" s="1804"/>
      <c r="CD46" s="1058"/>
    </row>
    <row r="47" spans="1:82">
      <c r="A47" s="1337">
        <f t="shared" si="3"/>
        <v>45237</v>
      </c>
      <c r="B47" s="1342">
        <f t="shared" si="2"/>
        <v>45237</v>
      </c>
      <c r="C47" s="1343">
        <v>0.89583333333333337</v>
      </c>
      <c r="D47" s="1058"/>
      <c r="E47" s="1344"/>
      <c r="F47" s="1344"/>
      <c r="G47" s="1344"/>
      <c r="H47" s="1344"/>
      <c r="I47" s="1344"/>
      <c r="J47" s="1344"/>
      <c r="K47" s="1344"/>
      <c r="L47" s="1344"/>
      <c r="M47" s="1344"/>
      <c r="N47" s="1344"/>
      <c r="O47" s="1344"/>
      <c r="P47" s="1344"/>
      <c r="Q47" s="1344"/>
      <c r="R47" s="1344"/>
      <c r="S47" s="1344"/>
      <c r="T47" s="1344"/>
      <c r="U47" s="1344"/>
      <c r="V47" s="1344"/>
      <c r="W47" s="1344"/>
      <c r="X47" s="1344"/>
      <c r="Y47" s="1344"/>
      <c r="Z47" s="1344"/>
      <c r="AA47" s="1344"/>
      <c r="AB47" s="1344"/>
      <c r="AC47" s="1344"/>
      <c r="AD47" s="1344"/>
      <c r="AE47" s="1344"/>
      <c r="AF47" s="1344"/>
      <c r="AG47" s="1344"/>
      <c r="AH47" s="1344"/>
      <c r="AI47" s="1344"/>
      <c r="AJ47" s="1344"/>
      <c r="AK47" s="1344"/>
      <c r="AL47" s="1344"/>
      <c r="AM47" s="1344"/>
      <c r="AN47" s="1344"/>
      <c r="AO47" s="1344"/>
      <c r="AP47" s="1344"/>
      <c r="AQ47" s="1344"/>
      <c r="AR47" s="1344"/>
      <c r="AS47" s="1344"/>
      <c r="AT47" s="1344"/>
      <c r="AU47" s="1344"/>
      <c r="AV47" s="1344"/>
      <c r="AW47" s="1344"/>
      <c r="AX47" s="1344"/>
      <c r="AY47" s="1344"/>
      <c r="AZ47" s="1344"/>
      <c r="BA47" s="1344"/>
      <c r="BB47" s="1344"/>
      <c r="BC47" s="1344"/>
      <c r="BD47" s="1344"/>
      <c r="BE47" s="1344"/>
      <c r="BF47" s="1344"/>
      <c r="BG47" s="1344"/>
      <c r="BH47" s="1344"/>
      <c r="BI47" s="1344"/>
      <c r="BJ47" s="1344"/>
      <c r="BK47" s="1344"/>
      <c r="BL47" s="1344"/>
      <c r="BM47" s="1344"/>
      <c r="BN47" s="1344"/>
      <c r="BO47" s="1344"/>
      <c r="BP47" s="1344"/>
      <c r="BQ47" s="1344"/>
      <c r="BR47" s="1344"/>
      <c r="BS47" s="1344"/>
      <c r="BT47" s="1344"/>
      <c r="BU47" s="1344"/>
      <c r="BV47" s="1344"/>
      <c r="BW47" s="1344"/>
      <c r="BX47" s="1344"/>
      <c r="BY47" s="1344"/>
      <c r="BZ47" s="1344"/>
      <c r="CA47" s="1344"/>
      <c r="CB47" s="1344"/>
      <c r="CC47" s="1804"/>
      <c r="CD47" s="1058"/>
    </row>
    <row r="48" spans="1:82">
      <c r="A48" s="1337">
        <f t="shared" si="3"/>
        <v>45238</v>
      </c>
      <c r="B48" s="1342">
        <f t="shared" si="2"/>
        <v>45238</v>
      </c>
      <c r="C48" s="1343">
        <v>0.91666666666666663</v>
      </c>
      <c r="D48" s="1058"/>
      <c r="E48" s="1344"/>
      <c r="F48" s="1344"/>
      <c r="G48" s="1344"/>
      <c r="H48" s="1344"/>
      <c r="I48" s="1344"/>
      <c r="J48" s="1344"/>
      <c r="K48" s="1344"/>
      <c r="L48" s="1344"/>
      <c r="M48" s="1344"/>
      <c r="N48" s="1344"/>
      <c r="O48" s="1344"/>
      <c r="P48" s="1344"/>
      <c r="Q48" s="1344"/>
      <c r="R48" s="1344"/>
      <c r="S48" s="1344"/>
      <c r="T48" s="1344"/>
      <c r="U48" s="1344"/>
      <c r="V48" s="1344"/>
      <c r="W48" s="1344"/>
      <c r="X48" s="1344"/>
      <c r="Y48" s="1344"/>
      <c r="Z48" s="1344"/>
      <c r="AA48" s="1344"/>
      <c r="AB48" s="1344"/>
      <c r="AC48" s="1344"/>
      <c r="AD48" s="1344"/>
      <c r="AE48" s="1344"/>
      <c r="AF48" s="1344"/>
      <c r="AG48" s="1344"/>
      <c r="AH48" s="1344"/>
      <c r="AI48" s="1344"/>
      <c r="AJ48" s="1344"/>
      <c r="AK48" s="1344"/>
      <c r="AL48" s="1344"/>
      <c r="AM48" s="1344"/>
      <c r="AN48" s="1344"/>
      <c r="AO48" s="1344"/>
      <c r="AP48" s="1344"/>
      <c r="AQ48" s="1344"/>
      <c r="AR48" s="1344"/>
      <c r="AS48" s="1344"/>
      <c r="AT48" s="1344"/>
      <c r="AU48" s="1344"/>
      <c r="AV48" s="1344"/>
      <c r="AW48" s="1344"/>
      <c r="AX48" s="1344"/>
      <c r="AY48" s="1344"/>
      <c r="AZ48" s="1344"/>
      <c r="BA48" s="1344"/>
      <c r="BB48" s="1344"/>
      <c r="BC48" s="1344"/>
      <c r="BD48" s="1344"/>
      <c r="BE48" s="1344"/>
      <c r="BF48" s="1344"/>
      <c r="BG48" s="1344"/>
      <c r="BH48" s="1344"/>
      <c r="BI48" s="1344"/>
      <c r="BJ48" s="1344"/>
      <c r="BK48" s="1344"/>
      <c r="BL48" s="1344"/>
      <c r="BM48" s="1344"/>
      <c r="BN48" s="1344"/>
      <c r="BO48" s="1344"/>
      <c r="BP48" s="1344"/>
      <c r="BQ48" s="1344"/>
      <c r="BR48" s="1344"/>
      <c r="BS48" s="1344"/>
      <c r="BT48" s="1344"/>
      <c r="BU48" s="1344"/>
      <c r="BV48" s="1344"/>
      <c r="BW48" s="1344"/>
      <c r="BX48" s="1344"/>
      <c r="BY48" s="1344"/>
      <c r="BZ48" s="1344"/>
      <c r="CA48" s="1344"/>
      <c r="CB48" s="1344"/>
      <c r="CC48" s="1804"/>
      <c r="CD48" s="1058"/>
    </row>
    <row r="49" spans="1:90">
      <c r="A49" s="1337">
        <f t="shared" si="3"/>
        <v>45239</v>
      </c>
      <c r="B49" s="1342">
        <f t="shared" si="2"/>
        <v>45239</v>
      </c>
      <c r="C49" s="1343">
        <v>0.88888888888888884</v>
      </c>
      <c r="D49" s="1058"/>
      <c r="E49" s="1344"/>
      <c r="F49" s="1344"/>
      <c r="G49" s="1344"/>
      <c r="H49" s="1344"/>
      <c r="I49" s="1344"/>
      <c r="J49" s="1344"/>
      <c r="K49" s="1344"/>
      <c r="L49" s="1344"/>
      <c r="M49" s="1344"/>
      <c r="N49" s="1344"/>
      <c r="O49" s="1344"/>
      <c r="P49" s="1344"/>
      <c r="Q49" s="1344"/>
      <c r="R49" s="1344"/>
      <c r="S49" s="1344"/>
      <c r="T49" s="1344"/>
      <c r="U49" s="1344"/>
      <c r="V49" s="1344"/>
      <c r="W49" s="1344"/>
      <c r="X49" s="1344"/>
      <c r="Y49" s="1344"/>
      <c r="Z49" s="1344"/>
      <c r="AA49" s="1344"/>
      <c r="AB49" s="1344"/>
      <c r="AC49" s="1344"/>
      <c r="AD49" s="1344"/>
      <c r="AE49" s="1344"/>
      <c r="AF49" s="1344"/>
      <c r="AG49" s="1344"/>
      <c r="AH49" s="1344"/>
      <c r="AI49" s="1344"/>
      <c r="AJ49" s="1344"/>
      <c r="AK49" s="1344"/>
      <c r="AL49" s="1344"/>
      <c r="AM49" s="1344"/>
      <c r="AN49" s="1344"/>
      <c r="AO49" s="1344"/>
      <c r="AP49" s="1344"/>
      <c r="AQ49" s="1344"/>
      <c r="AR49" s="1344"/>
      <c r="AS49" s="1344"/>
      <c r="AT49" s="1344"/>
      <c r="AU49" s="1344"/>
      <c r="AV49" s="1344"/>
      <c r="AW49" s="1344"/>
      <c r="AX49" s="1344"/>
      <c r="AY49" s="1344"/>
      <c r="AZ49" s="1344"/>
      <c r="BA49" s="1344"/>
      <c r="BB49" s="1344"/>
      <c r="BC49" s="1344"/>
      <c r="BD49" s="1344"/>
      <c r="BE49" s="1344"/>
      <c r="BF49" s="1344"/>
      <c r="BG49" s="1344"/>
      <c r="BH49" s="1344"/>
      <c r="BI49" s="1344"/>
      <c r="BJ49" s="1344"/>
      <c r="BK49" s="1344"/>
      <c r="BL49" s="1344"/>
      <c r="BM49" s="1344"/>
      <c r="BN49" s="1344"/>
      <c r="BO49" s="1344"/>
      <c r="BP49" s="1344"/>
      <c r="BQ49" s="1344"/>
      <c r="BR49" s="1344"/>
      <c r="BS49" s="1344"/>
      <c r="BT49" s="1344"/>
      <c r="BU49" s="1344"/>
      <c r="BV49" s="1344"/>
      <c r="BW49" s="1344"/>
      <c r="BX49" s="1344"/>
      <c r="BY49" s="1344"/>
      <c r="BZ49" s="1344"/>
      <c r="CA49" s="1344"/>
      <c r="CB49" s="1344"/>
      <c r="CC49" s="1804"/>
      <c r="CD49" s="1058"/>
    </row>
    <row r="50" spans="1:90">
      <c r="A50" s="1337">
        <f t="shared" si="3"/>
        <v>45240</v>
      </c>
      <c r="B50" s="1342">
        <f t="shared" si="2"/>
        <v>45240</v>
      </c>
      <c r="C50" s="1343">
        <v>0.97222222222222221</v>
      </c>
      <c r="D50" s="1058"/>
      <c r="E50" s="1344"/>
      <c r="F50" s="1344"/>
      <c r="G50" s="1344"/>
      <c r="H50" s="1344"/>
      <c r="I50" s="1344"/>
      <c r="J50" s="1344"/>
      <c r="K50" s="1344"/>
      <c r="L50" s="1344"/>
      <c r="M50" s="1344"/>
      <c r="N50" s="1344"/>
      <c r="O50" s="1344"/>
      <c r="P50" s="1344"/>
      <c r="Q50" s="1344"/>
      <c r="R50" s="1344"/>
      <c r="S50" s="1344"/>
      <c r="T50" s="1344"/>
      <c r="U50" s="1344"/>
      <c r="V50" s="1344"/>
      <c r="W50" s="1344"/>
      <c r="X50" s="1344"/>
      <c r="Y50" s="1344"/>
      <c r="Z50" s="1344"/>
      <c r="AA50" s="1344"/>
      <c r="AB50" s="1344"/>
      <c r="AC50" s="1344"/>
      <c r="AD50" s="1344"/>
      <c r="AE50" s="1344"/>
      <c r="AF50" s="1344"/>
      <c r="AG50" s="1344"/>
      <c r="AH50" s="1344"/>
      <c r="AI50" s="1344"/>
      <c r="AJ50" s="1344"/>
      <c r="AK50" s="1344"/>
      <c r="AL50" s="1344"/>
      <c r="AM50" s="1344"/>
      <c r="AN50" s="1344"/>
      <c r="AO50" s="1344"/>
      <c r="AP50" s="1344"/>
      <c r="AQ50" s="1344"/>
      <c r="AR50" s="1344"/>
      <c r="AS50" s="1344"/>
      <c r="AT50" s="1344"/>
      <c r="AU50" s="1344"/>
      <c r="AV50" s="1344"/>
      <c r="AW50" s="1344"/>
      <c r="AX50" s="1344"/>
      <c r="AY50" s="1344"/>
      <c r="AZ50" s="1344"/>
      <c r="BA50" s="1344"/>
      <c r="BB50" s="1344"/>
      <c r="BC50" s="1344"/>
      <c r="BD50" s="1344"/>
      <c r="BE50" s="1344"/>
      <c r="BF50" s="1344"/>
      <c r="BG50" s="1344"/>
      <c r="BH50" s="1344"/>
      <c r="BI50" s="1344"/>
      <c r="BJ50" s="1344"/>
      <c r="BK50" s="1344"/>
      <c r="BL50" s="1344"/>
      <c r="BM50" s="1344"/>
      <c r="BN50" s="1344"/>
      <c r="BO50" s="1344"/>
      <c r="BP50" s="1344"/>
      <c r="BQ50" s="1344"/>
      <c r="BR50" s="1344"/>
      <c r="BS50" s="1344"/>
      <c r="BT50" s="1344"/>
      <c r="BU50" s="1344"/>
      <c r="BV50" s="1344"/>
      <c r="BW50" s="1344"/>
      <c r="BX50" s="1344"/>
      <c r="BY50" s="1344"/>
      <c r="BZ50" s="1344"/>
      <c r="CA50" s="1344"/>
      <c r="CB50" s="1344"/>
      <c r="CC50" s="1804"/>
      <c r="CD50" s="1058"/>
    </row>
    <row r="51" spans="1:90">
      <c r="A51" s="1337">
        <f t="shared" si="3"/>
        <v>45241</v>
      </c>
      <c r="B51" s="1342">
        <f t="shared" si="2"/>
        <v>45241</v>
      </c>
      <c r="C51" s="1343">
        <v>0.92361111111111116</v>
      </c>
      <c r="D51" s="1058"/>
      <c r="E51" s="1344"/>
      <c r="F51" s="1344"/>
      <c r="G51" s="1344"/>
      <c r="H51" s="1344"/>
      <c r="I51" s="1344"/>
      <c r="J51" s="1344"/>
      <c r="K51" s="1344"/>
      <c r="L51" s="1344"/>
      <c r="M51" s="1344"/>
      <c r="N51" s="1344"/>
      <c r="O51" s="1344"/>
      <c r="P51" s="1344"/>
      <c r="Q51" s="1344"/>
      <c r="R51" s="1344"/>
      <c r="S51" s="1344"/>
      <c r="T51" s="1344"/>
      <c r="U51" s="1344"/>
      <c r="V51" s="1344"/>
      <c r="W51" s="1344"/>
      <c r="X51" s="1344"/>
      <c r="Y51" s="1344"/>
      <c r="Z51" s="1344"/>
      <c r="AA51" s="1344"/>
      <c r="AB51" s="1344"/>
      <c r="AC51" s="1344"/>
      <c r="AD51" s="1344"/>
      <c r="AE51" s="1344"/>
      <c r="AF51" s="1344"/>
      <c r="AG51" s="1344"/>
      <c r="AH51" s="1344"/>
      <c r="AI51" s="1344"/>
      <c r="AJ51" s="1344"/>
      <c r="AK51" s="1344"/>
      <c r="AL51" s="1344"/>
      <c r="AM51" s="1344"/>
      <c r="AN51" s="1344"/>
      <c r="AO51" s="1344"/>
      <c r="AP51" s="1344"/>
      <c r="AQ51" s="1344"/>
      <c r="AR51" s="1344"/>
      <c r="AS51" s="1344"/>
      <c r="AT51" s="1344"/>
      <c r="AU51" s="1344"/>
      <c r="AV51" s="1344"/>
      <c r="AW51" s="1344"/>
      <c r="AX51" s="1344"/>
      <c r="AY51" s="1344"/>
      <c r="AZ51" s="1344"/>
      <c r="BA51" s="1344"/>
      <c r="BB51" s="1344"/>
      <c r="BC51" s="1344"/>
      <c r="BD51" s="1344"/>
      <c r="BE51" s="1344"/>
      <c r="BF51" s="1344"/>
      <c r="BG51" s="1344"/>
      <c r="BH51" s="1344"/>
      <c r="BI51" s="1344"/>
      <c r="BJ51" s="1344"/>
      <c r="BK51" s="1344"/>
      <c r="BL51" s="1344"/>
      <c r="BM51" s="1344"/>
      <c r="BN51" s="1344"/>
      <c r="BO51" s="1344"/>
      <c r="BP51" s="1344"/>
      <c r="BQ51" s="1344"/>
      <c r="BR51" s="1344"/>
      <c r="BS51" s="1344"/>
      <c r="BT51" s="1344"/>
      <c r="BU51" s="1344"/>
      <c r="BV51" s="1344"/>
      <c r="BW51" s="1344"/>
      <c r="BX51" s="1344"/>
      <c r="BY51" s="1344"/>
      <c r="BZ51" s="1344"/>
      <c r="CA51" s="1344"/>
      <c r="CB51" s="1344"/>
      <c r="CC51" s="1804"/>
      <c r="CD51" s="1058"/>
    </row>
    <row r="52" spans="1:90">
      <c r="A52" s="1337">
        <f t="shared" si="3"/>
        <v>45242</v>
      </c>
      <c r="B52" s="1342">
        <f t="shared" si="2"/>
        <v>45242</v>
      </c>
      <c r="C52" s="1343">
        <v>0.93402777777777779</v>
      </c>
      <c r="D52" s="1058"/>
      <c r="E52" s="1344"/>
      <c r="F52" s="1344"/>
      <c r="G52" s="1344"/>
      <c r="H52" s="1344"/>
      <c r="I52" s="1344"/>
      <c r="J52" s="1344"/>
      <c r="K52" s="1344"/>
      <c r="L52" s="1344"/>
      <c r="M52" s="1344"/>
      <c r="N52" s="1344"/>
      <c r="O52" s="1344"/>
      <c r="P52" s="1344"/>
      <c r="Q52" s="1344"/>
      <c r="R52" s="1344"/>
      <c r="S52" s="1344"/>
      <c r="T52" s="1344"/>
      <c r="U52" s="1344"/>
      <c r="V52" s="1344"/>
      <c r="W52" s="1344"/>
      <c r="X52" s="1344"/>
      <c r="Y52" s="1344"/>
      <c r="Z52" s="1344"/>
      <c r="AA52" s="1344"/>
      <c r="AB52" s="1344"/>
      <c r="AC52" s="1344"/>
      <c r="AD52" s="1344"/>
      <c r="AE52" s="1344"/>
      <c r="AF52" s="1344"/>
      <c r="AG52" s="1344"/>
      <c r="AH52" s="1344"/>
      <c r="AI52" s="1344"/>
      <c r="AJ52" s="1344"/>
      <c r="AK52" s="1344"/>
      <c r="AL52" s="1344"/>
      <c r="AM52" s="1344"/>
      <c r="AN52" s="1344"/>
      <c r="AO52" s="1344"/>
      <c r="AP52" s="1344"/>
      <c r="AQ52" s="1344"/>
      <c r="AR52" s="1344"/>
      <c r="AS52" s="1344"/>
      <c r="AT52" s="1344"/>
      <c r="AU52" s="1344"/>
      <c r="AV52" s="1344"/>
      <c r="AW52" s="1344"/>
      <c r="AX52" s="1344"/>
      <c r="AY52" s="1344"/>
      <c r="AZ52" s="1344"/>
      <c r="BA52" s="1344"/>
      <c r="BB52" s="1344"/>
      <c r="BC52" s="1344"/>
      <c r="BD52" s="1344"/>
      <c r="BE52" s="1344"/>
      <c r="BF52" s="1344"/>
      <c r="BG52" s="1344"/>
      <c r="BH52" s="1344"/>
      <c r="BI52" s="1344"/>
      <c r="BJ52" s="1344"/>
      <c r="BK52" s="1344"/>
      <c r="BL52" s="1344"/>
      <c r="BM52" s="1344"/>
      <c r="BN52" s="1344"/>
      <c r="BO52" s="1344"/>
      <c r="BP52" s="1344"/>
      <c r="BQ52" s="1344"/>
      <c r="BR52" s="1344"/>
      <c r="BS52" s="1344"/>
      <c r="BT52" s="1344"/>
      <c r="BU52" s="1344"/>
      <c r="BV52" s="1344"/>
      <c r="BW52" s="1344"/>
      <c r="BX52" s="1344"/>
      <c r="BY52" s="1344"/>
      <c r="BZ52" s="1344"/>
      <c r="CA52" s="1344"/>
      <c r="CB52" s="1344"/>
      <c r="CC52" s="1804"/>
      <c r="CD52" s="1058"/>
    </row>
    <row r="53" spans="1:90">
      <c r="A53" s="1337">
        <f t="shared" si="3"/>
        <v>45243</v>
      </c>
      <c r="B53" s="1342">
        <f t="shared" si="2"/>
        <v>45243</v>
      </c>
      <c r="C53" s="1343">
        <v>0.99930555555555556</v>
      </c>
      <c r="D53" s="1058"/>
      <c r="E53" s="1344"/>
      <c r="F53" s="1344"/>
      <c r="G53" s="1344"/>
      <c r="H53" s="1344"/>
      <c r="I53" s="1344"/>
      <c r="J53" s="1344"/>
      <c r="K53" s="1344"/>
      <c r="L53" s="1344"/>
      <c r="M53" s="1344"/>
      <c r="N53" s="1344"/>
      <c r="O53" s="1344"/>
      <c r="P53" s="1344"/>
      <c r="Q53" s="1344"/>
      <c r="R53" s="1344"/>
      <c r="S53" s="1344"/>
      <c r="T53" s="1344"/>
      <c r="U53" s="1344"/>
      <c r="V53" s="1344"/>
      <c r="W53" s="1344"/>
      <c r="X53" s="1344"/>
      <c r="Y53" s="1344"/>
      <c r="Z53" s="1344"/>
      <c r="AA53" s="1344"/>
      <c r="AB53" s="1344"/>
      <c r="AC53" s="1344"/>
      <c r="AD53" s="1344"/>
      <c r="AE53" s="1344"/>
      <c r="AF53" s="1344"/>
      <c r="AG53" s="1344"/>
      <c r="AH53" s="1344"/>
      <c r="AI53" s="1344"/>
      <c r="AJ53" s="1344"/>
      <c r="AK53" s="1344"/>
      <c r="AL53" s="1344"/>
      <c r="AM53" s="1344"/>
      <c r="AN53" s="1344"/>
      <c r="AO53" s="1344"/>
      <c r="AP53" s="1344"/>
      <c r="AQ53" s="1344"/>
      <c r="AR53" s="1344"/>
      <c r="AS53" s="1344"/>
      <c r="AT53" s="1344"/>
      <c r="AU53" s="1344"/>
      <c r="AV53" s="1344"/>
      <c r="AW53" s="1344"/>
      <c r="AX53" s="1344"/>
      <c r="AY53" s="1344"/>
      <c r="AZ53" s="1344"/>
      <c r="BA53" s="1344"/>
      <c r="BB53" s="1344"/>
      <c r="BC53" s="1344"/>
      <c r="BD53" s="1344"/>
      <c r="BE53" s="1344"/>
      <c r="BF53" s="1344"/>
      <c r="BG53" s="1344"/>
      <c r="BH53" s="1344"/>
      <c r="BI53" s="1344"/>
      <c r="BJ53" s="1344"/>
      <c r="BK53" s="1344"/>
      <c r="BL53" s="1344"/>
      <c r="BM53" s="1344"/>
      <c r="BN53" s="1344"/>
      <c r="BO53" s="1344"/>
      <c r="BP53" s="1344"/>
      <c r="BQ53" s="1344"/>
      <c r="BR53" s="1344"/>
      <c r="BS53" s="1344"/>
      <c r="BT53" s="1344"/>
      <c r="BU53" s="1344"/>
      <c r="BV53" s="1344"/>
      <c r="BW53" s="1344"/>
      <c r="BX53" s="1344"/>
      <c r="BY53" s="1344"/>
      <c r="BZ53" s="1344"/>
      <c r="CA53" s="1344"/>
      <c r="CB53" s="1344"/>
      <c r="CC53" s="1804"/>
      <c r="CD53" s="1058"/>
    </row>
    <row r="54" spans="1:90">
      <c r="A54" s="1337">
        <f t="shared" si="3"/>
        <v>45244</v>
      </c>
      <c r="B54" s="1342">
        <f t="shared" si="2"/>
        <v>45244</v>
      </c>
      <c r="C54" s="1343">
        <v>0.83680555555555547</v>
      </c>
      <c r="D54" s="1058"/>
      <c r="E54" s="1344"/>
      <c r="F54" s="1344"/>
      <c r="G54" s="1344"/>
      <c r="H54" s="1344"/>
      <c r="I54" s="1344"/>
      <c r="J54" s="1344"/>
      <c r="K54" s="1344"/>
      <c r="L54" s="1344"/>
      <c r="M54" s="1344"/>
      <c r="N54" s="1344"/>
      <c r="O54" s="1344"/>
      <c r="P54" s="1344"/>
      <c r="Q54" s="1344"/>
      <c r="R54" s="1344"/>
      <c r="S54" s="1344"/>
      <c r="T54" s="1344"/>
      <c r="U54" s="1344"/>
      <c r="V54" s="1344"/>
      <c r="W54" s="1344"/>
      <c r="X54" s="1344"/>
      <c r="Y54" s="1344"/>
      <c r="Z54" s="1344"/>
      <c r="AA54" s="1344"/>
      <c r="AB54" s="1344"/>
      <c r="AC54" s="1344"/>
      <c r="AD54" s="1344"/>
      <c r="AE54" s="1344"/>
      <c r="AF54" s="1344"/>
      <c r="AG54" s="1344"/>
      <c r="AH54" s="1344"/>
      <c r="AI54" s="1344"/>
      <c r="AJ54" s="1344"/>
      <c r="AK54" s="1344"/>
      <c r="AL54" s="1344"/>
      <c r="AM54" s="1344"/>
      <c r="AN54" s="1344"/>
      <c r="AO54" s="1344"/>
      <c r="AP54" s="1344"/>
      <c r="AQ54" s="1344"/>
      <c r="AR54" s="1344"/>
      <c r="AS54" s="1344"/>
      <c r="AT54" s="1344"/>
      <c r="AU54" s="1344"/>
      <c r="AV54" s="1344"/>
      <c r="AW54" s="1344"/>
      <c r="AX54" s="1344"/>
      <c r="AY54" s="1344"/>
      <c r="AZ54" s="1344"/>
      <c r="BA54" s="1344"/>
      <c r="BB54" s="1344"/>
      <c r="BC54" s="1344"/>
      <c r="BD54" s="1344"/>
      <c r="BE54" s="1344"/>
      <c r="BF54" s="1344"/>
      <c r="BG54" s="1344"/>
      <c r="BH54" s="1344"/>
      <c r="BI54" s="1344"/>
      <c r="BJ54" s="1344"/>
      <c r="BK54" s="1344"/>
      <c r="BL54" s="1344"/>
      <c r="BM54" s="1344"/>
      <c r="BN54" s="1344"/>
      <c r="BO54" s="1344"/>
      <c r="BP54" s="1344"/>
      <c r="BQ54" s="1344"/>
      <c r="BR54" s="1344"/>
      <c r="BS54" s="1344"/>
      <c r="BT54" s="1344"/>
      <c r="BU54" s="1344"/>
      <c r="BV54" s="1344"/>
      <c r="BW54" s="1344"/>
      <c r="BX54" s="1344"/>
      <c r="BY54" s="1344"/>
      <c r="BZ54" s="1344"/>
      <c r="CA54" s="1344"/>
      <c r="CB54" s="1344"/>
      <c r="CC54" s="1804"/>
      <c r="CD54" s="1058"/>
    </row>
    <row r="55" spans="1:90">
      <c r="A55" s="1337">
        <f t="shared" si="3"/>
        <v>45245</v>
      </c>
      <c r="B55" s="1342">
        <f t="shared" si="2"/>
        <v>45245</v>
      </c>
      <c r="C55" s="1343">
        <v>0.85</v>
      </c>
      <c r="D55" s="1058"/>
      <c r="E55" s="1344"/>
      <c r="F55" s="1344"/>
      <c r="G55" s="1344"/>
      <c r="H55" s="1344"/>
      <c r="I55" s="1344"/>
      <c r="J55" s="1344"/>
      <c r="K55" s="1344"/>
      <c r="L55" s="1344"/>
      <c r="M55" s="1344"/>
      <c r="N55" s="1344"/>
      <c r="O55" s="1344"/>
      <c r="P55" s="1344"/>
      <c r="Q55" s="1344"/>
      <c r="R55" s="1344"/>
      <c r="S55" s="1344"/>
      <c r="T55" s="1344"/>
      <c r="U55" s="1344"/>
      <c r="V55" s="1344"/>
      <c r="W55" s="1344"/>
      <c r="X55" s="1344"/>
      <c r="Y55" s="1344"/>
      <c r="Z55" s="1344"/>
      <c r="AA55" s="1344"/>
      <c r="AB55" s="1344"/>
      <c r="AC55" s="1344"/>
      <c r="AD55" s="1344"/>
      <c r="AE55" s="1344"/>
      <c r="AF55" s="1344"/>
      <c r="AG55" s="1344"/>
      <c r="AH55" s="1344"/>
      <c r="AI55" s="1344"/>
      <c r="AJ55" s="1344"/>
      <c r="AK55" s="1344"/>
      <c r="AL55" s="1344"/>
      <c r="AM55" s="1344"/>
      <c r="AN55" s="1344"/>
      <c r="AO55" s="1344"/>
      <c r="AP55" s="1344"/>
      <c r="AQ55" s="1344"/>
      <c r="AR55" s="1344"/>
      <c r="AS55" s="1344"/>
      <c r="AT55" s="1344"/>
      <c r="AU55" s="1344"/>
      <c r="AV55" s="1344"/>
      <c r="AW55" s="1344"/>
      <c r="AX55" s="1344"/>
      <c r="AY55" s="1344"/>
      <c r="AZ55" s="1344"/>
      <c r="BA55" s="1344"/>
      <c r="BB55" s="1344"/>
      <c r="BC55" s="1344"/>
      <c r="BD55" s="1344"/>
      <c r="BE55" s="1344"/>
      <c r="BF55" s="1344"/>
      <c r="BG55" s="1344"/>
      <c r="BH55" s="1344"/>
      <c r="BI55" s="1344"/>
      <c r="BJ55" s="1344"/>
      <c r="BK55" s="1344"/>
      <c r="BL55" s="1344"/>
      <c r="BM55" s="1344"/>
      <c r="BN55" s="1344"/>
      <c r="BO55" s="1344"/>
      <c r="BP55" s="1344"/>
      <c r="BQ55" s="1344"/>
      <c r="BR55" s="1344"/>
      <c r="BS55" s="1344"/>
      <c r="BT55" s="1344"/>
      <c r="BU55" s="1344"/>
      <c r="BV55" s="1344"/>
      <c r="BW55" s="1344"/>
      <c r="BX55" s="1344"/>
      <c r="BY55" s="1344"/>
      <c r="BZ55" s="1344"/>
      <c r="CA55" s="1344"/>
      <c r="CB55" s="1344"/>
      <c r="CC55" s="1804"/>
      <c r="CD55" s="1058"/>
      <c r="CH55" s="1058"/>
      <c r="CI55" s="1058"/>
      <c r="CJ55" s="1058"/>
      <c r="CK55" s="1058"/>
      <c r="CL55" s="1058"/>
    </row>
    <row r="56" spans="1:90" s="1346" customFormat="1">
      <c r="A56" s="1337">
        <f t="shared" si="3"/>
        <v>45246</v>
      </c>
      <c r="B56" s="1342">
        <f t="shared" si="2"/>
        <v>45246</v>
      </c>
      <c r="C56" s="1343">
        <v>0.95138888888888895</v>
      </c>
      <c r="D56" s="1058"/>
      <c r="E56" s="1344"/>
      <c r="F56" s="1344"/>
      <c r="G56" s="1344"/>
      <c r="H56" s="1344"/>
      <c r="I56" s="1344"/>
      <c r="J56" s="1344"/>
      <c r="K56" s="1344"/>
      <c r="L56" s="1344"/>
      <c r="M56" s="1344"/>
      <c r="N56" s="1344"/>
      <c r="O56" s="1344"/>
      <c r="P56" s="1344"/>
      <c r="Q56" s="1344"/>
      <c r="R56" s="1344"/>
      <c r="S56" s="1344"/>
      <c r="T56" s="1344"/>
      <c r="U56" s="1344"/>
      <c r="V56" s="1344"/>
      <c r="W56" s="1344"/>
      <c r="X56" s="1344"/>
      <c r="Y56" s="1344"/>
      <c r="Z56" s="1344"/>
      <c r="AA56" s="1344"/>
      <c r="AB56" s="1344"/>
      <c r="AC56" s="1344"/>
      <c r="AD56" s="1344"/>
      <c r="AE56" s="1344"/>
      <c r="AF56" s="1344"/>
      <c r="AG56" s="1344"/>
      <c r="AH56" s="1344"/>
      <c r="AI56" s="1344"/>
      <c r="AJ56" s="1344"/>
      <c r="AK56" s="1344"/>
      <c r="AL56" s="1344"/>
      <c r="AM56" s="1344"/>
      <c r="AN56" s="1344"/>
      <c r="AO56" s="1344"/>
      <c r="AP56" s="1344"/>
      <c r="AQ56" s="1344"/>
      <c r="AR56" s="1344"/>
      <c r="AS56" s="1344"/>
      <c r="AT56" s="1344"/>
      <c r="AU56" s="1344"/>
      <c r="AV56" s="1344"/>
      <c r="AW56" s="1344"/>
      <c r="AX56" s="1344"/>
      <c r="AY56" s="1344"/>
      <c r="AZ56" s="1344"/>
      <c r="BA56" s="1344"/>
      <c r="BB56" s="1344"/>
      <c r="BC56" s="1344"/>
      <c r="BD56" s="1344"/>
      <c r="BE56" s="1344"/>
      <c r="BF56" s="1344"/>
      <c r="BG56" s="1344"/>
      <c r="BH56" s="1344"/>
      <c r="BI56" s="1344"/>
      <c r="BJ56" s="1344"/>
      <c r="BK56" s="1344"/>
      <c r="BL56" s="1344"/>
      <c r="BM56" s="1344"/>
      <c r="BN56" s="1344"/>
      <c r="BO56" s="1344"/>
      <c r="BP56" s="1344"/>
      <c r="BQ56" s="1344"/>
      <c r="BR56" s="1344"/>
      <c r="BS56" s="1344"/>
      <c r="BT56" s="1344"/>
      <c r="BU56" s="1344"/>
      <c r="BV56" s="1344"/>
      <c r="BW56" s="1344"/>
      <c r="BX56" s="1344"/>
      <c r="BY56" s="1344"/>
      <c r="BZ56" s="1344"/>
      <c r="CA56" s="1344"/>
      <c r="CB56" s="1344"/>
      <c r="CC56" s="1804"/>
      <c r="CD56" s="1058"/>
      <c r="CE56" s="1330"/>
      <c r="CF56" s="1330"/>
      <c r="CG56" s="1330"/>
      <c r="CH56" s="1058"/>
      <c r="CI56" s="1058"/>
      <c r="CJ56" s="1058"/>
      <c r="CK56" s="1058"/>
      <c r="CL56" s="1058"/>
    </row>
    <row r="57" spans="1:90" s="1346" customFormat="1">
      <c r="A57" s="1337">
        <f t="shared" si="3"/>
        <v>45247</v>
      </c>
      <c r="B57" s="1342">
        <f t="shared" si="2"/>
        <v>45247</v>
      </c>
      <c r="C57" s="1343">
        <v>0.86805555555555547</v>
      </c>
      <c r="D57" s="1058"/>
      <c r="E57" s="1344"/>
      <c r="F57" s="1344"/>
      <c r="G57" s="1344"/>
      <c r="H57" s="1344"/>
      <c r="I57" s="1344"/>
      <c r="J57" s="1344"/>
      <c r="K57" s="1344"/>
      <c r="L57" s="1344"/>
      <c r="M57" s="1344"/>
      <c r="N57" s="1344"/>
      <c r="O57" s="1344"/>
      <c r="P57" s="1344"/>
      <c r="Q57" s="1344"/>
      <c r="R57" s="1344"/>
      <c r="S57" s="1344"/>
      <c r="T57" s="1344"/>
      <c r="U57" s="1344"/>
      <c r="V57" s="1344"/>
      <c r="W57" s="1344"/>
      <c r="X57" s="1344"/>
      <c r="Y57" s="1344"/>
      <c r="Z57" s="1344"/>
      <c r="AA57" s="1344"/>
      <c r="AB57" s="1344"/>
      <c r="AC57" s="1344"/>
      <c r="AD57" s="1344"/>
      <c r="AE57" s="1344"/>
      <c r="AF57" s="1344"/>
      <c r="AG57" s="1344"/>
      <c r="AH57" s="1344"/>
      <c r="AI57" s="1344"/>
      <c r="AJ57" s="1344"/>
      <c r="AK57" s="1344"/>
      <c r="AL57" s="1344"/>
      <c r="AM57" s="1344"/>
      <c r="AN57" s="1344"/>
      <c r="AO57" s="1344"/>
      <c r="AP57" s="1344"/>
      <c r="AQ57" s="1344"/>
      <c r="AR57" s="1344"/>
      <c r="AS57" s="1344"/>
      <c r="AT57" s="1344"/>
      <c r="AU57" s="1344"/>
      <c r="AV57" s="1344"/>
      <c r="AW57" s="1344"/>
      <c r="AX57" s="1344"/>
      <c r="AY57" s="1344"/>
      <c r="AZ57" s="1344"/>
      <c r="BA57" s="1344"/>
      <c r="BB57" s="1344"/>
      <c r="BC57" s="1344"/>
      <c r="BD57" s="1344"/>
      <c r="BE57" s="1344"/>
      <c r="BF57" s="1344"/>
      <c r="BG57" s="1344"/>
      <c r="BH57" s="1344"/>
      <c r="BI57" s="1344"/>
      <c r="BJ57" s="1344"/>
      <c r="BK57" s="1344"/>
      <c r="BL57" s="1344"/>
      <c r="BM57" s="1344"/>
      <c r="BN57" s="1344"/>
      <c r="BO57" s="1344"/>
      <c r="BP57" s="1344"/>
      <c r="BQ57" s="1344"/>
      <c r="BR57" s="1344"/>
      <c r="BS57" s="1344"/>
      <c r="BT57" s="1344"/>
      <c r="BU57" s="1344"/>
      <c r="BV57" s="1344"/>
      <c r="BW57" s="1344"/>
      <c r="BX57" s="1344"/>
      <c r="BY57" s="1344"/>
      <c r="BZ57" s="1344"/>
      <c r="CA57" s="1344"/>
      <c r="CB57" s="1344"/>
      <c r="CC57" s="1804"/>
      <c r="CD57" s="1058"/>
      <c r="CE57" s="1330"/>
      <c r="CF57" s="1330"/>
      <c r="CG57" s="1330"/>
      <c r="CH57" s="1058"/>
      <c r="CI57" s="1058"/>
      <c r="CJ57" s="1058"/>
      <c r="CK57" s="1058"/>
      <c r="CL57" s="1058"/>
    </row>
    <row r="58" spans="1:90" s="1346" customFormat="1">
      <c r="A58" s="1337">
        <f t="shared" si="3"/>
        <v>45248</v>
      </c>
      <c r="B58" s="1342">
        <f t="shared" si="2"/>
        <v>45248</v>
      </c>
      <c r="C58" s="1343">
        <v>0.90972222222222199</v>
      </c>
      <c r="D58" s="1058"/>
      <c r="E58" s="1344"/>
      <c r="F58" s="1344"/>
      <c r="G58" s="1344"/>
      <c r="H58" s="1344"/>
      <c r="I58" s="1344"/>
      <c r="J58" s="1344"/>
      <c r="K58" s="1344"/>
      <c r="L58" s="1344"/>
      <c r="M58" s="1344"/>
      <c r="N58" s="1344"/>
      <c r="O58" s="1344"/>
      <c r="P58" s="1344"/>
      <c r="Q58" s="1344"/>
      <c r="R58" s="1344"/>
      <c r="S58" s="1344"/>
      <c r="T58" s="1344"/>
      <c r="U58" s="1344"/>
      <c r="V58" s="1344"/>
      <c r="W58" s="1344"/>
      <c r="X58" s="1344"/>
      <c r="Y58" s="1344"/>
      <c r="Z58" s="1344"/>
      <c r="AA58" s="1344"/>
      <c r="AB58" s="1344"/>
      <c r="AC58" s="1344"/>
      <c r="AD58" s="1344"/>
      <c r="AE58" s="1344"/>
      <c r="AF58" s="1344"/>
      <c r="AG58" s="1344"/>
      <c r="AH58" s="1344"/>
      <c r="AI58" s="1344"/>
      <c r="AJ58" s="1344"/>
      <c r="AK58" s="1344"/>
      <c r="AL58" s="1344"/>
      <c r="AM58" s="1344"/>
      <c r="AN58" s="1344"/>
      <c r="AO58" s="1344"/>
      <c r="AP58" s="1344"/>
      <c r="AQ58" s="1344"/>
      <c r="AR58" s="1344"/>
      <c r="AS58" s="1344"/>
      <c r="AT58" s="1344"/>
      <c r="AU58" s="1344"/>
      <c r="AV58" s="1344"/>
      <c r="AW58" s="1344"/>
      <c r="AX58" s="1344"/>
      <c r="AY58" s="1344"/>
      <c r="AZ58" s="1344"/>
      <c r="BA58" s="1344"/>
      <c r="BB58" s="1344"/>
      <c r="BC58" s="1344"/>
      <c r="BD58" s="1344"/>
      <c r="BE58" s="1344"/>
      <c r="BF58" s="1344"/>
      <c r="BG58" s="1344"/>
      <c r="BH58" s="1344"/>
      <c r="BI58" s="1344"/>
      <c r="BJ58" s="1344"/>
      <c r="BK58" s="1344"/>
      <c r="BL58" s="1344"/>
      <c r="BM58" s="1344"/>
      <c r="BN58" s="1344"/>
      <c r="BO58" s="1344"/>
      <c r="BP58" s="1344"/>
      <c r="BQ58" s="1344"/>
      <c r="BR58" s="1344"/>
      <c r="BS58" s="1344"/>
      <c r="BT58" s="1344"/>
      <c r="BU58" s="1344"/>
      <c r="BV58" s="1344"/>
      <c r="BW58" s="1344"/>
      <c r="BX58" s="1344"/>
      <c r="BY58" s="1344"/>
      <c r="BZ58" s="1344"/>
      <c r="CA58" s="1344"/>
      <c r="CB58" s="1344"/>
      <c r="CC58" s="1804"/>
      <c r="CD58" s="1058"/>
      <c r="CE58" s="1330"/>
      <c r="CF58" s="1330"/>
      <c r="CG58" s="1330"/>
      <c r="CH58" s="1058"/>
      <c r="CI58" s="1058"/>
      <c r="CJ58" s="1058"/>
      <c r="CK58" s="1058"/>
      <c r="CL58" s="1058"/>
    </row>
    <row r="59" spans="1:90" s="1346" customFormat="1" ht="15.75" customHeight="1">
      <c r="A59" s="1337">
        <f t="shared" si="3"/>
        <v>45249</v>
      </c>
      <c r="B59" s="1342">
        <f t="shared" si="2"/>
        <v>45249</v>
      </c>
      <c r="C59" s="1343">
        <v>0.95138888888888895</v>
      </c>
      <c r="D59" s="1058"/>
      <c r="E59" s="1344"/>
      <c r="F59" s="1344"/>
      <c r="G59" s="1344"/>
      <c r="H59" s="1344"/>
      <c r="I59" s="1344"/>
      <c r="J59" s="1344"/>
      <c r="K59" s="1344"/>
      <c r="L59" s="1344"/>
      <c r="M59" s="1344"/>
      <c r="N59" s="1344"/>
      <c r="O59" s="1344"/>
      <c r="P59" s="1344"/>
      <c r="Q59" s="1344"/>
      <c r="R59" s="1344"/>
      <c r="S59" s="1344"/>
      <c r="T59" s="1344"/>
      <c r="U59" s="1344"/>
      <c r="V59" s="1344"/>
      <c r="W59" s="1344"/>
      <c r="X59" s="1344"/>
      <c r="Y59" s="1344"/>
      <c r="Z59" s="1344"/>
      <c r="AA59" s="1344"/>
      <c r="AB59" s="1344"/>
      <c r="AC59" s="1344"/>
      <c r="AD59" s="1344"/>
      <c r="AE59" s="1344"/>
      <c r="AF59" s="1344"/>
      <c r="AG59" s="1344"/>
      <c r="AH59" s="1344"/>
      <c r="AI59" s="1344"/>
      <c r="AJ59" s="1344"/>
      <c r="AK59" s="1344"/>
      <c r="AL59" s="1344"/>
      <c r="AM59" s="1344"/>
      <c r="AN59" s="1344"/>
      <c r="AO59" s="1344"/>
      <c r="AP59" s="1344"/>
      <c r="AQ59" s="1344"/>
      <c r="AR59" s="1344"/>
      <c r="AS59" s="1344"/>
      <c r="AT59" s="1344"/>
      <c r="AU59" s="1344"/>
      <c r="AV59" s="1344"/>
      <c r="AW59" s="1344"/>
      <c r="AX59" s="1344"/>
      <c r="AY59" s="1344"/>
      <c r="AZ59" s="1344"/>
      <c r="BA59" s="1344"/>
      <c r="BB59" s="1344"/>
      <c r="BC59" s="1344"/>
      <c r="BD59" s="1344"/>
      <c r="BE59" s="1344"/>
      <c r="BF59" s="1344"/>
      <c r="BG59" s="1344"/>
      <c r="BH59" s="1344"/>
      <c r="BI59" s="1344"/>
      <c r="BJ59" s="1344"/>
      <c r="BK59" s="1344"/>
      <c r="BL59" s="1344"/>
      <c r="BM59" s="1344"/>
      <c r="BN59" s="1344"/>
      <c r="BO59" s="1344"/>
      <c r="BP59" s="1344"/>
      <c r="BQ59" s="1344"/>
      <c r="BR59" s="1344"/>
      <c r="BS59" s="1344"/>
      <c r="BT59" s="1344"/>
      <c r="BU59" s="1344"/>
      <c r="BV59" s="1344"/>
      <c r="BW59" s="1344"/>
      <c r="BX59" s="1344"/>
      <c r="BY59" s="1344"/>
      <c r="BZ59" s="1344"/>
      <c r="CA59" s="1344"/>
      <c r="CB59" s="1344"/>
      <c r="CC59" s="1804"/>
      <c r="CD59" s="1058"/>
      <c r="CE59" s="1330"/>
      <c r="CF59" s="1330"/>
      <c r="CG59" s="1330"/>
      <c r="CH59" s="1058"/>
      <c r="CI59" s="1058"/>
      <c r="CJ59" s="1058"/>
      <c r="CK59" s="1058"/>
      <c r="CL59" s="1058"/>
    </row>
    <row r="60" spans="1:90" s="1346" customFormat="1" ht="16.5" customHeight="1">
      <c r="A60" s="1337">
        <f t="shared" si="3"/>
        <v>45250</v>
      </c>
      <c r="B60" s="1342">
        <f t="shared" si="2"/>
        <v>45250</v>
      </c>
      <c r="C60" s="1343">
        <v>0.86805555555555547</v>
      </c>
      <c r="D60" s="1058"/>
      <c r="E60" s="1344"/>
      <c r="F60" s="1344"/>
      <c r="G60" s="1344"/>
      <c r="H60" s="1344"/>
      <c r="I60" s="1344"/>
      <c r="J60" s="1344"/>
      <c r="K60" s="1344"/>
      <c r="L60" s="1344"/>
      <c r="M60" s="1344"/>
      <c r="N60" s="1344"/>
      <c r="O60" s="1344"/>
      <c r="P60" s="1344"/>
      <c r="Q60" s="1344"/>
      <c r="R60" s="1344"/>
      <c r="S60" s="1344"/>
      <c r="T60" s="1344"/>
      <c r="U60" s="1344"/>
      <c r="V60" s="1344"/>
      <c r="W60" s="1344"/>
      <c r="X60" s="1344"/>
      <c r="Y60" s="1344"/>
      <c r="Z60" s="1344"/>
      <c r="AA60" s="1344"/>
      <c r="AB60" s="1344"/>
      <c r="AC60" s="1344"/>
      <c r="AD60" s="1344"/>
      <c r="AE60" s="1344"/>
      <c r="AF60" s="1344"/>
      <c r="AG60" s="1344"/>
      <c r="AH60" s="1344"/>
      <c r="AI60" s="1344"/>
      <c r="AJ60" s="1344"/>
      <c r="AK60" s="1344"/>
      <c r="AL60" s="1344"/>
      <c r="AM60" s="1344"/>
      <c r="AN60" s="1344"/>
      <c r="AO60" s="1344"/>
      <c r="AP60" s="1344"/>
      <c r="AQ60" s="1344"/>
      <c r="AR60" s="1344"/>
      <c r="AS60" s="1344"/>
      <c r="AT60" s="1344"/>
      <c r="AU60" s="1344"/>
      <c r="AV60" s="1344"/>
      <c r="AW60" s="1344"/>
      <c r="AX60" s="1344"/>
      <c r="AY60" s="1344"/>
      <c r="AZ60" s="1344"/>
      <c r="BA60" s="1344"/>
      <c r="BB60" s="1344"/>
      <c r="BC60" s="1344"/>
      <c r="BD60" s="1344"/>
      <c r="BE60" s="1344"/>
      <c r="BF60" s="1344"/>
      <c r="BG60" s="1344"/>
      <c r="BH60" s="1344"/>
      <c r="BI60" s="1344"/>
      <c r="BJ60" s="1344"/>
      <c r="BK60" s="1344"/>
      <c r="BL60" s="1344"/>
      <c r="BM60" s="1344"/>
      <c r="BN60" s="1344"/>
      <c r="BO60" s="1344"/>
      <c r="BP60" s="1344"/>
      <c r="BQ60" s="1344"/>
      <c r="BR60" s="1344"/>
      <c r="BS60" s="1344"/>
      <c r="BT60" s="1344"/>
      <c r="BU60" s="1344"/>
      <c r="BV60" s="1344"/>
      <c r="BW60" s="1344"/>
      <c r="BX60" s="1344"/>
      <c r="BY60" s="1344"/>
      <c r="BZ60" s="1344"/>
      <c r="CA60" s="1344"/>
      <c r="CB60" s="1344"/>
      <c r="CC60" s="1804"/>
      <c r="CD60" s="1058"/>
      <c r="CE60" s="1330"/>
      <c r="CF60" s="1330"/>
      <c r="CG60" s="1330"/>
      <c r="CH60" s="1058"/>
      <c r="CI60" s="1058"/>
      <c r="CJ60" s="1058"/>
      <c r="CK60" s="1058"/>
      <c r="CL60" s="1058"/>
    </row>
    <row r="61" spans="1:90" s="1346" customFormat="1" ht="15.75" customHeight="1">
      <c r="A61" s="1337">
        <f t="shared" si="3"/>
        <v>45251</v>
      </c>
      <c r="B61" s="1342">
        <f t="shared" si="2"/>
        <v>45251</v>
      </c>
      <c r="C61" s="1343">
        <v>0.94027777777777777</v>
      </c>
      <c r="D61" s="1058"/>
      <c r="E61" s="1344"/>
      <c r="F61" s="1344"/>
      <c r="G61" s="1344"/>
      <c r="H61" s="1344"/>
      <c r="I61" s="1344"/>
      <c r="J61" s="1344"/>
      <c r="K61" s="1344"/>
      <c r="L61" s="1344"/>
      <c r="M61" s="1344"/>
      <c r="N61" s="1344"/>
      <c r="O61" s="1344"/>
      <c r="P61" s="1344"/>
      <c r="Q61" s="1344"/>
      <c r="R61" s="1344"/>
      <c r="S61" s="1344"/>
      <c r="T61" s="1344"/>
      <c r="U61" s="1344"/>
      <c r="V61" s="1344"/>
      <c r="W61" s="1344"/>
      <c r="X61" s="1344"/>
      <c r="Y61" s="1344"/>
      <c r="Z61" s="1344"/>
      <c r="AA61" s="1344"/>
      <c r="AB61" s="1344"/>
      <c r="AC61" s="1344"/>
      <c r="AD61" s="1344"/>
      <c r="AE61" s="1344"/>
      <c r="AF61" s="1344"/>
      <c r="AG61" s="1344"/>
      <c r="AH61" s="1344"/>
      <c r="AI61" s="1344"/>
      <c r="AJ61" s="1344"/>
      <c r="AK61" s="1344"/>
      <c r="AL61" s="1344"/>
      <c r="AM61" s="1344"/>
      <c r="AN61" s="1344"/>
      <c r="AO61" s="1344"/>
      <c r="AP61" s="1344"/>
      <c r="AQ61" s="1344"/>
      <c r="AR61" s="1344"/>
      <c r="AS61" s="1344"/>
      <c r="AT61" s="1344"/>
      <c r="AU61" s="1344"/>
      <c r="AV61" s="1344"/>
      <c r="AW61" s="1344"/>
      <c r="AX61" s="1344"/>
      <c r="AY61" s="1344"/>
      <c r="AZ61" s="1344"/>
      <c r="BA61" s="1344"/>
      <c r="BB61" s="1344"/>
      <c r="BC61" s="1344"/>
      <c r="BD61" s="1344"/>
      <c r="BE61" s="1344"/>
      <c r="BF61" s="1344"/>
      <c r="BG61" s="1344"/>
      <c r="BH61" s="1344"/>
      <c r="BI61" s="1344"/>
      <c r="BJ61" s="1344"/>
      <c r="BK61" s="1344"/>
      <c r="BL61" s="1344"/>
      <c r="BM61" s="1344"/>
      <c r="BN61" s="1344"/>
      <c r="BO61" s="1344"/>
      <c r="BP61" s="1344"/>
      <c r="BQ61" s="1344"/>
      <c r="BR61" s="1344"/>
      <c r="BS61" s="1344"/>
      <c r="BT61" s="1344"/>
      <c r="BU61" s="1344"/>
      <c r="BV61" s="1344"/>
      <c r="BW61" s="1344"/>
      <c r="BX61" s="1344"/>
      <c r="BY61" s="1344"/>
      <c r="BZ61" s="1344"/>
      <c r="CA61" s="1344"/>
      <c r="CB61" s="1344"/>
      <c r="CC61" s="1804"/>
      <c r="CD61" s="1058"/>
      <c r="CE61" s="1330"/>
      <c r="CF61" s="1330"/>
      <c r="CG61" s="1330"/>
      <c r="CH61" s="1058"/>
      <c r="CI61" s="1058"/>
      <c r="CJ61" s="1058"/>
      <c r="CK61" s="1058"/>
      <c r="CL61" s="1058"/>
    </row>
    <row r="62" spans="1:90" s="1346" customFormat="1">
      <c r="A62" s="1337">
        <f t="shared" si="3"/>
        <v>45252</v>
      </c>
      <c r="B62" s="1342">
        <f t="shared" si="2"/>
        <v>45252</v>
      </c>
      <c r="C62" s="1343">
        <v>0.8666666666666667</v>
      </c>
      <c r="D62" s="1058"/>
      <c r="E62" s="1344"/>
      <c r="F62" s="1344"/>
      <c r="G62" s="1344"/>
      <c r="H62" s="1344"/>
      <c r="I62" s="1344"/>
      <c r="J62" s="1344"/>
      <c r="K62" s="1344"/>
      <c r="L62" s="1344"/>
      <c r="M62" s="1344"/>
      <c r="N62" s="1344"/>
      <c r="O62" s="1344"/>
      <c r="P62" s="1344"/>
      <c r="Q62" s="1344"/>
      <c r="R62" s="1344"/>
      <c r="S62" s="1344"/>
      <c r="T62" s="1344"/>
      <c r="U62" s="1344"/>
      <c r="V62" s="1344"/>
      <c r="W62" s="1344"/>
      <c r="X62" s="1344"/>
      <c r="Y62" s="1344"/>
      <c r="Z62" s="1344"/>
      <c r="AA62" s="1344"/>
      <c r="AB62" s="1344"/>
      <c r="AC62" s="1344"/>
      <c r="AD62" s="1344"/>
      <c r="AE62" s="1344"/>
      <c r="AF62" s="1344"/>
      <c r="AG62" s="1344"/>
      <c r="AH62" s="1344"/>
      <c r="AI62" s="1344"/>
      <c r="AJ62" s="1344"/>
      <c r="AK62" s="1344"/>
      <c r="AL62" s="1344"/>
      <c r="AM62" s="1344"/>
      <c r="AN62" s="1344"/>
      <c r="AO62" s="1344"/>
      <c r="AP62" s="1344"/>
      <c r="AQ62" s="1344"/>
      <c r="AR62" s="1344"/>
      <c r="AS62" s="1344"/>
      <c r="AT62" s="1344"/>
      <c r="AU62" s="1344"/>
      <c r="AV62" s="1344"/>
      <c r="AW62" s="1344"/>
      <c r="AX62" s="1344"/>
      <c r="AY62" s="1344"/>
      <c r="AZ62" s="1344"/>
      <c r="BA62" s="1344"/>
      <c r="BB62" s="1344"/>
      <c r="BC62" s="1344"/>
      <c r="BD62" s="1344"/>
      <c r="BE62" s="1344"/>
      <c r="BF62" s="1344"/>
      <c r="BG62" s="1344"/>
      <c r="BH62" s="1344"/>
      <c r="BI62" s="1344"/>
      <c r="BJ62" s="1344"/>
      <c r="BK62" s="1344"/>
      <c r="BL62" s="1344"/>
      <c r="BM62" s="1344"/>
      <c r="BN62" s="1344"/>
      <c r="BO62" s="1344"/>
      <c r="BP62" s="1344"/>
      <c r="BQ62" s="1344"/>
      <c r="BR62" s="1344"/>
      <c r="BS62" s="1344"/>
      <c r="BT62" s="1344"/>
      <c r="BU62" s="1344"/>
      <c r="BV62" s="1344"/>
      <c r="BW62" s="1344"/>
      <c r="BX62" s="1344"/>
      <c r="BY62" s="1344"/>
      <c r="BZ62" s="1344"/>
      <c r="CA62" s="1344"/>
      <c r="CB62" s="1344"/>
      <c r="CC62" s="1804"/>
      <c r="CD62" s="1058"/>
      <c r="CE62" s="1330"/>
      <c r="CF62" s="1330"/>
      <c r="CG62" s="1330"/>
      <c r="CH62" s="1058"/>
      <c r="CI62" s="1058"/>
      <c r="CJ62" s="1058"/>
      <c r="CK62" s="1058"/>
      <c r="CL62" s="1058"/>
    </row>
    <row r="63" spans="1:90" s="1346" customFormat="1">
      <c r="A63" s="1337">
        <f t="shared" si="3"/>
        <v>45253</v>
      </c>
      <c r="B63" s="1342">
        <f t="shared" si="2"/>
        <v>45253</v>
      </c>
      <c r="C63" s="1343">
        <v>0.99861111111111101</v>
      </c>
      <c r="D63" s="1058"/>
      <c r="E63" s="1344"/>
      <c r="F63" s="1344"/>
      <c r="G63" s="1344"/>
      <c r="H63" s="1344"/>
      <c r="I63" s="1344"/>
      <c r="J63" s="1344"/>
      <c r="K63" s="1344"/>
      <c r="L63" s="1344"/>
      <c r="M63" s="1344"/>
      <c r="N63" s="1344"/>
      <c r="O63" s="1344"/>
      <c r="P63" s="1344"/>
      <c r="Q63" s="1344"/>
      <c r="R63" s="1344"/>
      <c r="S63" s="1344"/>
      <c r="T63" s="1344"/>
      <c r="U63" s="1344"/>
      <c r="V63" s="1344"/>
      <c r="W63" s="1344"/>
      <c r="X63" s="1344"/>
      <c r="Y63" s="1344"/>
      <c r="Z63" s="1344"/>
      <c r="AA63" s="1344"/>
      <c r="AB63" s="1344"/>
      <c r="AC63" s="1344"/>
      <c r="AD63" s="1344"/>
      <c r="AE63" s="1344"/>
      <c r="AF63" s="1344"/>
      <c r="AG63" s="1344"/>
      <c r="AH63" s="1344"/>
      <c r="AI63" s="1344"/>
      <c r="AJ63" s="1344"/>
      <c r="AK63" s="1344"/>
      <c r="AL63" s="1344"/>
      <c r="AM63" s="1344"/>
      <c r="AN63" s="1344"/>
      <c r="AO63" s="1344"/>
      <c r="AP63" s="1344"/>
      <c r="AQ63" s="1344"/>
      <c r="AR63" s="1344"/>
      <c r="AS63" s="1344"/>
      <c r="AT63" s="1344"/>
      <c r="AU63" s="1344"/>
      <c r="AV63" s="1344"/>
      <c r="AW63" s="1344"/>
      <c r="AX63" s="1344"/>
      <c r="AY63" s="1344"/>
      <c r="AZ63" s="1344"/>
      <c r="BA63" s="1344"/>
      <c r="BB63" s="1344"/>
      <c r="BC63" s="1344"/>
      <c r="BD63" s="1344"/>
      <c r="BE63" s="1344"/>
      <c r="BF63" s="1344"/>
      <c r="BG63" s="1344"/>
      <c r="BH63" s="1344"/>
      <c r="BI63" s="1344"/>
      <c r="BJ63" s="1344"/>
      <c r="BK63" s="1344"/>
      <c r="BL63" s="1344"/>
      <c r="BM63" s="1344"/>
      <c r="BN63" s="1344"/>
      <c r="BO63" s="1344"/>
      <c r="BP63" s="1344"/>
      <c r="BQ63" s="1344"/>
      <c r="BR63" s="1344"/>
      <c r="BS63" s="1344"/>
      <c r="BT63" s="1344"/>
      <c r="BU63" s="1344"/>
      <c r="BV63" s="1344"/>
      <c r="BW63" s="1344"/>
      <c r="BX63" s="1344"/>
      <c r="BY63" s="1344"/>
      <c r="BZ63" s="1344"/>
      <c r="CA63" s="1344"/>
      <c r="CB63" s="1344"/>
      <c r="CC63" s="1804"/>
      <c r="CD63" s="1058"/>
      <c r="CE63" s="1330"/>
      <c r="CF63" s="1330"/>
      <c r="CG63" s="1330"/>
      <c r="CH63" s="1058"/>
      <c r="CI63" s="1058"/>
      <c r="CJ63" s="1058"/>
      <c r="CK63" s="1058"/>
      <c r="CL63" s="1058"/>
    </row>
    <row r="64" spans="1:90" s="1346" customFormat="1">
      <c r="A64" s="1337">
        <f t="shared" si="3"/>
        <v>45254</v>
      </c>
      <c r="B64" s="1342">
        <f t="shared" si="2"/>
        <v>45254</v>
      </c>
      <c r="C64" s="1343">
        <v>0.95208333333333339</v>
      </c>
      <c r="D64" s="1343"/>
      <c r="E64" s="1344"/>
      <c r="F64" s="1344"/>
      <c r="G64" s="1344"/>
      <c r="H64" s="1344"/>
      <c r="I64" s="1344"/>
      <c r="J64" s="1344"/>
      <c r="K64" s="1344"/>
      <c r="L64" s="1344"/>
      <c r="M64" s="1344"/>
      <c r="N64" s="1344"/>
      <c r="O64" s="1344"/>
      <c r="P64" s="1344"/>
      <c r="Q64" s="1344"/>
      <c r="R64" s="1344"/>
      <c r="S64" s="1344"/>
      <c r="T64" s="1344"/>
      <c r="U64" s="1344"/>
      <c r="V64" s="1344"/>
      <c r="W64" s="1344"/>
      <c r="X64" s="1344"/>
      <c r="Y64" s="1344"/>
      <c r="Z64" s="1344"/>
      <c r="AA64" s="1344"/>
      <c r="AB64" s="1344"/>
      <c r="AC64" s="1344"/>
      <c r="AD64" s="1344"/>
      <c r="AE64" s="1344"/>
      <c r="AF64" s="1344"/>
      <c r="AG64" s="1344"/>
      <c r="AH64" s="1344"/>
      <c r="AI64" s="1344"/>
      <c r="AJ64" s="1344"/>
      <c r="AK64" s="1344"/>
      <c r="AL64" s="1344"/>
      <c r="AM64" s="1344"/>
      <c r="AN64" s="1344"/>
      <c r="AO64" s="1344"/>
      <c r="AP64" s="1344"/>
      <c r="AQ64" s="1344"/>
      <c r="AR64" s="1344"/>
      <c r="AS64" s="1344"/>
      <c r="AT64" s="1344"/>
      <c r="AU64" s="1344"/>
      <c r="AV64" s="1344"/>
      <c r="AW64" s="1344"/>
      <c r="AX64" s="1344"/>
      <c r="AY64" s="1344"/>
      <c r="AZ64" s="1344"/>
      <c r="BA64" s="1344"/>
      <c r="BB64" s="1344"/>
      <c r="BC64" s="1344"/>
      <c r="BD64" s="1344"/>
      <c r="BE64" s="1344"/>
      <c r="BF64" s="1344"/>
      <c r="BG64" s="1344"/>
      <c r="BH64" s="1344"/>
      <c r="BI64" s="1344"/>
      <c r="BJ64" s="1344"/>
      <c r="BK64" s="1344"/>
      <c r="BL64" s="1344"/>
      <c r="BM64" s="1344"/>
      <c r="BN64" s="1344"/>
      <c r="BO64" s="1344"/>
      <c r="BP64" s="1344"/>
      <c r="BQ64" s="1344"/>
      <c r="BR64" s="1344"/>
      <c r="BS64" s="1344"/>
      <c r="BT64" s="1344"/>
      <c r="BU64" s="1344"/>
      <c r="BV64" s="1344"/>
      <c r="BW64" s="1344"/>
      <c r="BX64" s="1344"/>
      <c r="BY64" s="1344"/>
      <c r="BZ64" s="1344"/>
      <c r="CA64" s="1344"/>
      <c r="CB64" s="1344"/>
      <c r="CC64" s="1804"/>
      <c r="CD64" s="1058"/>
      <c r="CE64" s="1330"/>
      <c r="CF64" s="1330"/>
      <c r="CG64" s="1330"/>
      <c r="CH64" s="1058"/>
      <c r="CI64" s="1058"/>
      <c r="CJ64" s="1058"/>
      <c r="CK64" s="1058"/>
      <c r="CL64" s="1058"/>
    </row>
    <row r="65" spans="1:90" s="1346" customFormat="1">
      <c r="A65" s="1337">
        <f t="shared" si="3"/>
        <v>45255</v>
      </c>
      <c r="B65" s="1342">
        <f t="shared" si="2"/>
        <v>45255</v>
      </c>
      <c r="C65" s="1343">
        <v>0.89236111111111116</v>
      </c>
      <c r="D65" s="1058"/>
      <c r="E65" s="1344"/>
      <c r="F65" s="1344"/>
      <c r="G65" s="1344"/>
      <c r="H65" s="1344"/>
      <c r="I65" s="1344"/>
      <c r="J65" s="1344"/>
      <c r="K65" s="1344"/>
      <c r="L65" s="1344"/>
      <c r="M65" s="1344"/>
      <c r="N65" s="1344"/>
      <c r="O65" s="1344"/>
      <c r="P65" s="1344"/>
      <c r="Q65" s="1344"/>
      <c r="R65" s="1344"/>
      <c r="S65" s="1344"/>
      <c r="T65" s="1344"/>
      <c r="U65" s="1344"/>
      <c r="V65" s="1344"/>
      <c r="W65" s="1344"/>
      <c r="X65" s="1344"/>
      <c r="Y65" s="1344"/>
      <c r="Z65" s="1344"/>
      <c r="AA65" s="1344"/>
      <c r="AB65" s="1344"/>
      <c r="AC65" s="1344"/>
      <c r="AD65" s="1344"/>
      <c r="AE65" s="1344"/>
      <c r="AF65" s="1344"/>
      <c r="AG65" s="1344"/>
      <c r="AH65" s="1344"/>
      <c r="AI65" s="1344"/>
      <c r="AJ65" s="1344"/>
      <c r="AK65" s="1344"/>
      <c r="AL65" s="1344"/>
      <c r="AM65" s="1344"/>
      <c r="AN65" s="1344"/>
      <c r="AO65" s="1344"/>
      <c r="AP65" s="1344"/>
      <c r="AQ65" s="1344"/>
      <c r="AR65" s="1344"/>
      <c r="AS65" s="1344"/>
      <c r="AT65" s="1344"/>
      <c r="AU65" s="1344"/>
      <c r="AV65" s="1344"/>
      <c r="AW65" s="1344"/>
      <c r="AX65" s="1344"/>
      <c r="AY65" s="1344"/>
      <c r="AZ65" s="1344"/>
      <c r="BA65" s="1344"/>
      <c r="BB65" s="1344"/>
      <c r="BC65" s="1344"/>
      <c r="BD65" s="1344"/>
      <c r="BE65" s="1344"/>
      <c r="BF65" s="1344"/>
      <c r="BG65" s="1344"/>
      <c r="BH65" s="1344"/>
      <c r="BI65" s="1344"/>
      <c r="BJ65" s="1344"/>
      <c r="BK65" s="1344"/>
      <c r="BL65" s="1344"/>
      <c r="BM65" s="1344"/>
      <c r="BN65" s="1344"/>
      <c r="BO65" s="1344"/>
      <c r="BP65" s="1344"/>
      <c r="BQ65" s="1344"/>
      <c r="BR65" s="1344"/>
      <c r="BS65" s="1344"/>
      <c r="BT65" s="1344"/>
      <c r="BU65" s="1344"/>
      <c r="BV65" s="1344"/>
      <c r="BW65" s="1344"/>
      <c r="BX65" s="1344"/>
      <c r="BY65" s="1344"/>
      <c r="BZ65" s="1344"/>
      <c r="CA65" s="1344"/>
      <c r="CB65" s="1344"/>
      <c r="CC65" s="1804"/>
      <c r="CD65" s="1058"/>
      <c r="CE65" s="1330"/>
      <c r="CF65" s="1330"/>
      <c r="CG65" s="1330"/>
      <c r="CH65" s="1058"/>
      <c r="CI65" s="1058"/>
      <c r="CJ65" s="1058"/>
      <c r="CK65" s="1058"/>
      <c r="CL65" s="1058"/>
    </row>
    <row r="66" spans="1:90" s="1346" customFormat="1">
      <c r="A66" s="1337">
        <f t="shared" si="3"/>
        <v>45256</v>
      </c>
      <c r="B66" s="1342">
        <f t="shared" si="2"/>
        <v>45256</v>
      </c>
      <c r="C66" s="1343">
        <v>0.90069444444444446</v>
      </c>
      <c r="D66" s="1058"/>
      <c r="E66" s="1344"/>
      <c r="F66" s="1344"/>
      <c r="G66" s="1344"/>
      <c r="H66" s="1344"/>
      <c r="I66" s="1344"/>
      <c r="J66" s="1344"/>
      <c r="K66" s="1344"/>
      <c r="L66" s="1344"/>
      <c r="M66" s="1344"/>
      <c r="N66" s="1344"/>
      <c r="O66" s="1344"/>
      <c r="P66" s="1344"/>
      <c r="Q66" s="1344"/>
      <c r="R66" s="1344"/>
      <c r="S66" s="1344"/>
      <c r="T66" s="1344"/>
      <c r="U66" s="1344"/>
      <c r="V66" s="1344"/>
      <c r="W66" s="1344"/>
      <c r="X66" s="1344"/>
      <c r="Y66" s="1344"/>
      <c r="Z66" s="1344"/>
      <c r="AA66" s="1344"/>
      <c r="AB66" s="1344"/>
      <c r="AC66" s="1344"/>
      <c r="AD66" s="1344"/>
      <c r="AE66" s="1344"/>
      <c r="AF66" s="1344"/>
      <c r="AG66" s="1344"/>
      <c r="AH66" s="1344"/>
      <c r="AI66" s="1344"/>
      <c r="AJ66" s="1344"/>
      <c r="AK66" s="1344"/>
      <c r="AL66" s="1344"/>
      <c r="AM66" s="1344"/>
      <c r="AN66" s="1344"/>
      <c r="AO66" s="1344"/>
      <c r="AP66" s="1344"/>
      <c r="AQ66" s="1344"/>
      <c r="AR66" s="1344"/>
      <c r="AS66" s="1344"/>
      <c r="AT66" s="1344"/>
      <c r="AU66" s="1344"/>
      <c r="AV66" s="1344"/>
      <c r="AW66" s="1344"/>
      <c r="AX66" s="1344"/>
      <c r="AY66" s="1344"/>
      <c r="AZ66" s="1344"/>
      <c r="BA66" s="1344"/>
      <c r="BB66" s="1344"/>
      <c r="BC66" s="1344"/>
      <c r="BD66" s="1344"/>
      <c r="BE66" s="1344"/>
      <c r="BF66" s="1344"/>
      <c r="BG66" s="1344"/>
      <c r="BH66" s="1344"/>
      <c r="BI66" s="1344"/>
      <c r="BJ66" s="1344"/>
      <c r="BK66" s="1344"/>
      <c r="BL66" s="1344"/>
      <c r="BM66" s="1344"/>
      <c r="BN66" s="1344"/>
      <c r="BO66" s="1344"/>
      <c r="BP66" s="1344"/>
      <c r="BQ66" s="1344"/>
      <c r="BR66" s="1344"/>
      <c r="BS66" s="1344"/>
      <c r="BT66" s="1344"/>
      <c r="BU66" s="1344"/>
      <c r="BV66" s="1344"/>
      <c r="BW66" s="1344"/>
      <c r="BX66" s="1344"/>
      <c r="BY66" s="1344"/>
      <c r="BZ66" s="1344"/>
      <c r="CA66" s="1344"/>
      <c r="CB66" s="1344"/>
      <c r="CC66" s="1804"/>
      <c r="CD66" s="1058"/>
      <c r="CE66" s="1330"/>
      <c r="CF66" s="1330"/>
      <c r="CG66" s="1330"/>
      <c r="CH66" s="1058"/>
      <c r="CI66" s="1058"/>
      <c r="CJ66" s="1058"/>
      <c r="CK66" s="1058"/>
      <c r="CL66" s="1058"/>
    </row>
    <row r="67" spans="1:90" s="1346" customFormat="1">
      <c r="A67" s="1337">
        <f t="shared" si="3"/>
        <v>45257</v>
      </c>
      <c r="B67" s="1342">
        <f t="shared" si="2"/>
        <v>45257</v>
      </c>
      <c r="C67" s="1343">
        <v>0.99444444444444446</v>
      </c>
      <c r="D67" s="1058"/>
      <c r="E67" s="1344"/>
      <c r="F67" s="1344"/>
      <c r="G67" s="1344"/>
      <c r="H67" s="1344"/>
      <c r="I67" s="1344"/>
      <c r="J67" s="1344"/>
      <c r="K67" s="1344"/>
      <c r="L67" s="1344"/>
      <c r="M67" s="1344"/>
      <c r="N67" s="1344"/>
      <c r="O67" s="1344"/>
      <c r="P67" s="1344"/>
      <c r="Q67" s="1344"/>
      <c r="R67" s="1344"/>
      <c r="S67" s="1344"/>
      <c r="T67" s="1344"/>
      <c r="U67" s="1344"/>
      <c r="V67" s="1344"/>
      <c r="W67" s="1344"/>
      <c r="X67" s="1344"/>
      <c r="Y67" s="1344"/>
      <c r="Z67" s="1344"/>
      <c r="AA67" s="1344"/>
      <c r="AB67" s="1344"/>
      <c r="AC67" s="1344"/>
      <c r="AD67" s="1344"/>
      <c r="AE67" s="1344"/>
      <c r="AF67" s="1344"/>
      <c r="AG67" s="1344"/>
      <c r="AH67" s="1344"/>
      <c r="AI67" s="1344"/>
      <c r="AJ67" s="1344"/>
      <c r="AK67" s="1344"/>
      <c r="AL67" s="1344"/>
      <c r="AM67" s="1344"/>
      <c r="AN67" s="1344"/>
      <c r="AO67" s="1344"/>
      <c r="AP67" s="1344"/>
      <c r="AQ67" s="1344"/>
      <c r="AR67" s="1344"/>
      <c r="AS67" s="1344"/>
      <c r="AT67" s="1344"/>
      <c r="AU67" s="1344"/>
      <c r="AV67" s="1344"/>
      <c r="AW67" s="1344"/>
      <c r="AX67" s="1344"/>
      <c r="AY67" s="1344"/>
      <c r="AZ67" s="1344"/>
      <c r="BA67" s="1344"/>
      <c r="BB67" s="1344"/>
      <c r="BC67" s="1344"/>
      <c r="BD67" s="1344"/>
      <c r="BE67" s="1344"/>
      <c r="BF67" s="1344"/>
      <c r="BG67" s="1344"/>
      <c r="BH67" s="1344"/>
      <c r="BI67" s="1344"/>
      <c r="BJ67" s="1344"/>
      <c r="BK67" s="1344"/>
      <c r="BL67" s="1344"/>
      <c r="BM67" s="1344"/>
      <c r="BN67" s="1344"/>
      <c r="BO67" s="1344"/>
      <c r="BP67" s="1344"/>
      <c r="BQ67" s="1344"/>
      <c r="BR67" s="1344"/>
      <c r="BS67" s="1344"/>
      <c r="BT67" s="1344"/>
      <c r="BU67" s="1344"/>
      <c r="BV67" s="1344"/>
      <c r="BW67" s="1344"/>
      <c r="BX67" s="1344"/>
      <c r="BY67" s="1344"/>
      <c r="BZ67" s="1344"/>
      <c r="CA67" s="1344"/>
      <c r="CB67" s="1344"/>
      <c r="CC67" s="1804"/>
      <c r="CD67" s="1058"/>
      <c r="CE67" s="1330"/>
      <c r="CF67" s="1330"/>
      <c r="CG67" s="1330"/>
      <c r="CH67" s="1058"/>
      <c r="CI67" s="1058"/>
      <c r="CJ67" s="1058"/>
      <c r="CK67" s="1058"/>
      <c r="CL67" s="1058"/>
    </row>
    <row r="68" spans="1:90" s="1346" customFormat="1">
      <c r="A68" s="1337">
        <f t="shared" si="3"/>
        <v>45258</v>
      </c>
      <c r="B68" s="1342">
        <f t="shared" si="2"/>
        <v>45258</v>
      </c>
      <c r="C68" s="1343">
        <v>0.89236111111111116</v>
      </c>
      <c r="D68" s="1343"/>
      <c r="E68" s="1344"/>
      <c r="F68" s="1344"/>
      <c r="G68" s="1344"/>
      <c r="H68" s="1344"/>
      <c r="I68" s="1344"/>
      <c r="J68" s="1344"/>
      <c r="K68" s="1344"/>
      <c r="L68" s="1344"/>
      <c r="M68" s="1344"/>
      <c r="N68" s="1344"/>
      <c r="O68" s="1344"/>
      <c r="P68" s="1344"/>
      <c r="Q68" s="1344"/>
      <c r="R68" s="1344"/>
      <c r="S68" s="1344"/>
      <c r="T68" s="1344"/>
      <c r="U68" s="1344"/>
      <c r="V68" s="1344"/>
      <c r="W68" s="1344"/>
      <c r="X68" s="1344"/>
      <c r="Y68" s="1344"/>
      <c r="Z68" s="1344"/>
      <c r="AA68" s="1344"/>
      <c r="AB68" s="1344"/>
      <c r="AC68" s="1344"/>
      <c r="AD68" s="1344"/>
      <c r="AE68" s="1344"/>
      <c r="AF68" s="1344"/>
      <c r="AG68" s="1344"/>
      <c r="AH68" s="1344"/>
      <c r="AI68" s="1344"/>
      <c r="AJ68" s="1344"/>
      <c r="AK68" s="1344"/>
      <c r="AL68" s="1344"/>
      <c r="AM68" s="1344"/>
      <c r="AN68" s="1344"/>
      <c r="AO68" s="1344"/>
      <c r="AP68" s="1344"/>
      <c r="AQ68" s="1344"/>
      <c r="AR68" s="1344"/>
      <c r="AS68" s="1344"/>
      <c r="AT68" s="1344"/>
      <c r="AU68" s="1344"/>
      <c r="AV68" s="1344"/>
      <c r="AW68" s="1344"/>
      <c r="AX68" s="1344"/>
      <c r="AY68" s="1344"/>
      <c r="AZ68" s="1344"/>
      <c r="BA68" s="1344"/>
      <c r="BB68" s="1344"/>
      <c r="BC68" s="1344"/>
      <c r="BD68" s="1344"/>
      <c r="BE68" s="1344"/>
      <c r="BF68" s="1344"/>
      <c r="BG68" s="1344"/>
      <c r="BH68" s="1344"/>
      <c r="BI68" s="1344"/>
      <c r="BJ68" s="1344"/>
      <c r="BK68" s="1344"/>
      <c r="BL68" s="1344"/>
      <c r="BM68" s="1344"/>
      <c r="BN68" s="1344"/>
      <c r="BO68" s="1344"/>
      <c r="BP68" s="1344"/>
      <c r="BQ68" s="1344"/>
      <c r="BR68" s="1344"/>
      <c r="BS68" s="1344"/>
      <c r="BT68" s="1344"/>
      <c r="BU68" s="1344"/>
      <c r="BV68" s="1344"/>
      <c r="BW68" s="1344"/>
      <c r="BX68" s="1344"/>
      <c r="BY68" s="1344"/>
      <c r="BZ68" s="1344"/>
      <c r="CA68" s="1344"/>
      <c r="CB68" s="1344"/>
      <c r="CC68" s="1804"/>
      <c r="CD68" s="1058"/>
      <c r="CE68" s="1330"/>
      <c r="CF68" s="1330"/>
      <c r="CG68" s="1330"/>
      <c r="CH68" s="1058"/>
      <c r="CI68" s="1058"/>
      <c r="CJ68" s="1058"/>
      <c r="CK68" s="1058"/>
      <c r="CL68" s="1058"/>
    </row>
    <row r="69" spans="1:90">
      <c r="A69" s="1337">
        <f>B69</f>
        <v>45259</v>
      </c>
      <c r="B69" s="1342">
        <f t="shared" si="2"/>
        <v>45259</v>
      </c>
      <c r="C69" s="1343">
        <v>0.91666666666666663</v>
      </c>
      <c r="E69" s="1344"/>
      <c r="F69" s="1344"/>
      <c r="G69" s="1344"/>
      <c r="H69" s="1344"/>
      <c r="I69" s="1344"/>
      <c r="J69" s="1344"/>
      <c r="K69" s="1344"/>
      <c r="L69" s="1344"/>
      <c r="M69" s="1344"/>
      <c r="N69" s="1344"/>
      <c r="O69" s="1344"/>
      <c r="P69" s="1344"/>
      <c r="Q69" s="1344"/>
      <c r="R69" s="1344"/>
      <c r="S69" s="1344"/>
      <c r="T69" s="1344"/>
      <c r="U69" s="1344"/>
      <c r="V69" s="1344"/>
      <c r="W69" s="1344"/>
      <c r="X69" s="1344"/>
      <c r="Y69" s="1344"/>
      <c r="Z69" s="1344"/>
      <c r="AA69" s="1344"/>
      <c r="AB69" s="1344"/>
      <c r="AC69" s="1344"/>
      <c r="AD69" s="1344"/>
      <c r="AE69" s="1344"/>
      <c r="AF69" s="1344"/>
      <c r="AG69" s="1344"/>
      <c r="AH69" s="1344"/>
      <c r="AI69" s="1344"/>
      <c r="AJ69" s="1344"/>
      <c r="AK69" s="1344"/>
      <c r="AL69" s="1344"/>
      <c r="AM69" s="1344"/>
      <c r="AN69" s="1344"/>
      <c r="AO69" s="1344"/>
      <c r="AP69" s="1344"/>
      <c r="AQ69" s="1344"/>
      <c r="AR69" s="1344"/>
      <c r="AS69" s="1344"/>
      <c r="AT69" s="1344"/>
      <c r="AU69" s="1344"/>
      <c r="AV69" s="1344"/>
      <c r="AW69" s="1344"/>
      <c r="AX69" s="1344"/>
      <c r="AY69" s="1344"/>
      <c r="AZ69" s="1344"/>
      <c r="BA69" s="1344"/>
      <c r="BB69" s="1344"/>
      <c r="BC69" s="1344"/>
      <c r="BD69" s="1344"/>
      <c r="BE69" s="1344"/>
      <c r="BF69" s="1344"/>
      <c r="BG69" s="1344"/>
      <c r="BH69" s="1344"/>
      <c r="BI69" s="1344"/>
      <c r="BJ69" s="1344"/>
      <c r="BK69" s="1344"/>
      <c r="BL69" s="1344"/>
      <c r="BM69" s="1344"/>
      <c r="BN69" s="1344"/>
      <c r="BO69" s="1344"/>
      <c r="BP69" s="1344"/>
      <c r="BQ69" s="1344"/>
      <c r="BR69" s="1344"/>
      <c r="BS69" s="1344"/>
      <c r="BT69" s="1344"/>
      <c r="BU69" s="1344"/>
      <c r="BV69" s="1344"/>
      <c r="BW69" s="1344"/>
      <c r="BX69" s="1344"/>
      <c r="BY69" s="1344"/>
      <c r="BZ69" s="1344"/>
      <c r="CA69" s="1344"/>
      <c r="CB69" s="1344"/>
      <c r="CC69" s="1804"/>
      <c r="CD69" s="1058"/>
    </row>
    <row r="70" spans="1:90" s="1058" customFormat="1">
      <c r="A70" s="1337">
        <f>B70</f>
        <v>45260</v>
      </c>
      <c r="B70" s="1342">
        <f t="shared" si="2"/>
        <v>45260</v>
      </c>
      <c r="C70" s="1343">
        <v>0.93402777777777779</v>
      </c>
      <c r="D70" s="1343"/>
      <c r="E70" s="1344"/>
      <c r="F70" s="1344"/>
      <c r="G70" s="1344"/>
      <c r="H70" s="1344"/>
      <c r="I70" s="1344"/>
      <c r="J70" s="1344"/>
      <c r="K70" s="1344"/>
      <c r="L70" s="1344"/>
      <c r="M70" s="1344"/>
      <c r="N70" s="1344"/>
      <c r="O70" s="1344"/>
      <c r="P70" s="1344"/>
      <c r="Q70" s="1344"/>
      <c r="R70" s="1344"/>
      <c r="S70" s="1344"/>
      <c r="T70" s="1344"/>
      <c r="U70" s="1344"/>
      <c r="V70" s="1344"/>
      <c r="W70" s="1344"/>
      <c r="X70" s="1344"/>
      <c r="Y70" s="1344"/>
      <c r="Z70" s="1344"/>
      <c r="AA70" s="1344"/>
      <c r="AB70" s="1344"/>
      <c r="AC70" s="1344"/>
      <c r="AD70" s="1344"/>
      <c r="AE70" s="1344"/>
      <c r="AF70" s="1344"/>
      <c r="AG70" s="1344"/>
      <c r="AH70" s="1344"/>
      <c r="AI70" s="1344"/>
      <c r="AJ70" s="1344"/>
      <c r="AK70" s="1344"/>
      <c r="AL70" s="1344"/>
      <c r="AM70" s="1344"/>
      <c r="AN70" s="1344"/>
      <c r="AO70" s="1344"/>
      <c r="AP70" s="1344"/>
      <c r="AQ70" s="1344"/>
      <c r="AR70" s="1344"/>
      <c r="AS70" s="1344"/>
      <c r="AT70" s="1344"/>
      <c r="AU70" s="1344"/>
      <c r="AV70" s="1344"/>
      <c r="AW70" s="1344"/>
      <c r="AX70" s="1344"/>
      <c r="AY70" s="1344"/>
      <c r="AZ70" s="1344"/>
      <c r="BA70" s="1344"/>
      <c r="BB70" s="1344"/>
      <c r="BC70" s="1344"/>
      <c r="BD70" s="1344"/>
      <c r="BE70" s="1344"/>
      <c r="BF70" s="1344"/>
      <c r="BG70" s="1344"/>
      <c r="BH70" s="1344"/>
      <c r="BI70" s="1344"/>
      <c r="BJ70" s="1344"/>
      <c r="BK70" s="1344"/>
      <c r="BL70" s="1344"/>
      <c r="BM70" s="1344"/>
      <c r="BN70" s="1344"/>
      <c r="BO70" s="1344"/>
      <c r="BP70" s="1344"/>
      <c r="BQ70" s="1344"/>
      <c r="BR70" s="1344"/>
      <c r="BS70" s="1344"/>
      <c r="BT70" s="1344"/>
      <c r="BU70" s="1344"/>
      <c r="BV70" s="1344"/>
      <c r="BW70" s="1344"/>
      <c r="BX70" s="1344"/>
      <c r="BY70" s="1344"/>
      <c r="BZ70" s="1344"/>
      <c r="CA70" s="1344"/>
      <c r="CB70" s="1344"/>
      <c r="CC70" s="1804"/>
      <c r="CE70" s="1330"/>
      <c r="CF70" s="1330"/>
      <c r="CG70" s="1330"/>
    </row>
    <row r="71" spans="1:90" s="1023" customFormat="1">
      <c r="A71" s="1337">
        <f>B71</f>
        <v>45261</v>
      </c>
      <c r="B71" s="1342">
        <f t="shared" si="2"/>
        <v>45261</v>
      </c>
      <c r="C71" s="1343">
        <v>0.97569444444444398</v>
      </c>
      <c r="E71" s="1344"/>
      <c r="F71" s="1344"/>
      <c r="G71" s="1344"/>
      <c r="H71" s="1344"/>
      <c r="I71" s="1344"/>
      <c r="J71" s="1344"/>
      <c r="K71" s="1344"/>
      <c r="L71" s="1344"/>
      <c r="M71" s="1344"/>
      <c r="N71" s="1344"/>
      <c r="O71" s="1344"/>
      <c r="P71" s="1344"/>
      <c r="Q71" s="1344"/>
      <c r="R71" s="1344"/>
      <c r="S71" s="1344"/>
      <c r="T71" s="1344"/>
      <c r="U71" s="1344"/>
      <c r="V71" s="1344"/>
      <c r="W71" s="1344"/>
      <c r="X71" s="1344"/>
      <c r="Y71" s="1344"/>
      <c r="Z71" s="1344"/>
      <c r="AA71" s="1344"/>
      <c r="AB71" s="1344"/>
      <c r="AC71" s="1344"/>
      <c r="AD71" s="1344"/>
      <c r="AE71" s="1344"/>
      <c r="AF71" s="1344"/>
      <c r="AG71" s="1344"/>
      <c r="AH71" s="1344"/>
      <c r="AI71" s="1344"/>
      <c r="AJ71" s="1344"/>
      <c r="AK71" s="1344"/>
      <c r="AL71" s="1344"/>
      <c r="AM71" s="1344"/>
      <c r="AN71" s="1344"/>
      <c r="AO71" s="1344"/>
      <c r="AP71" s="1344"/>
      <c r="AQ71" s="1344"/>
      <c r="AR71" s="1344"/>
      <c r="AS71" s="1344"/>
      <c r="AT71" s="1344"/>
      <c r="AU71" s="1344"/>
      <c r="AV71" s="1344"/>
      <c r="AW71" s="1344"/>
      <c r="AX71" s="1344"/>
      <c r="AY71" s="1344"/>
      <c r="AZ71" s="1344"/>
      <c r="BA71" s="1344"/>
      <c r="BB71" s="1344"/>
      <c r="BC71" s="1344"/>
      <c r="BD71" s="1344"/>
      <c r="BE71" s="1344"/>
      <c r="BF71" s="1344"/>
      <c r="BG71" s="1344"/>
      <c r="BH71" s="1344"/>
      <c r="BI71" s="1344"/>
      <c r="BJ71" s="1344"/>
      <c r="BK71" s="1344"/>
      <c r="BL71" s="1344"/>
      <c r="BM71" s="1344"/>
      <c r="BN71" s="1344"/>
      <c r="BO71" s="1344"/>
      <c r="BP71" s="1344"/>
      <c r="BQ71" s="1344"/>
      <c r="BR71" s="1344"/>
      <c r="BS71" s="1344"/>
      <c r="BT71" s="1344"/>
      <c r="BU71" s="1344"/>
      <c r="BV71" s="1344"/>
      <c r="BW71" s="1344"/>
      <c r="BX71" s="1344"/>
      <c r="BY71" s="1344"/>
      <c r="BZ71" s="1344"/>
      <c r="CA71" s="1344"/>
      <c r="CB71" s="1344"/>
      <c r="CC71" s="1804"/>
      <c r="CD71" s="1058"/>
      <c r="CE71" s="1330"/>
      <c r="CF71" s="1330"/>
      <c r="CG71" s="1330"/>
    </row>
    <row r="72" spans="1:90" s="1023" customFormat="1">
      <c r="A72" s="1336"/>
      <c r="E72" s="1344"/>
      <c r="F72" s="1344"/>
      <c r="G72" s="1344"/>
      <c r="H72" s="1344"/>
      <c r="I72" s="1344"/>
      <c r="J72" s="1344"/>
      <c r="K72" s="1344"/>
      <c r="L72" s="1344"/>
      <c r="M72" s="1344"/>
      <c r="N72" s="1344"/>
      <c r="O72" s="1344"/>
      <c r="P72" s="1344"/>
      <c r="Q72" s="1344"/>
      <c r="R72" s="1344"/>
      <c r="S72" s="1344"/>
      <c r="T72" s="1344"/>
      <c r="U72" s="1344"/>
      <c r="V72" s="1344"/>
      <c r="W72" s="1344"/>
      <c r="X72" s="1344"/>
      <c r="Y72" s="1344"/>
      <c r="Z72" s="1344"/>
      <c r="AA72" s="1344"/>
      <c r="AB72" s="1344"/>
      <c r="AC72" s="1344"/>
      <c r="AD72" s="1344"/>
      <c r="AE72" s="1344"/>
      <c r="AF72" s="1344"/>
      <c r="AG72" s="1344"/>
      <c r="AH72" s="1344"/>
      <c r="AI72" s="1344"/>
      <c r="AJ72" s="1344"/>
      <c r="AK72" s="1344"/>
      <c r="AL72" s="1344"/>
      <c r="AM72" s="1344"/>
      <c r="AN72" s="1344"/>
      <c r="AO72" s="1344"/>
      <c r="AP72" s="1344"/>
      <c r="AQ72" s="1344"/>
      <c r="AR72" s="1344"/>
      <c r="AS72" s="1344"/>
      <c r="AT72" s="1344"/>
      <c r="AU72" s="1344"/>
      <c r="AV72" s="1344"/>
      <c r="AW72" s="1344"/>
      <c r="AX72" s="1344"/>
      <c r="AY72" s="1344"/>
      <c r="AZ72" s="1344"/>
      <c r="BA72" s="1344"/>
      <c r="BB72" s="1344"/>
      <c r="BC72" s="1344"/>
      <c r="BD72" s="1344"/>
      <c r="BE72" s="1344"/>
      <c r="BF72" s="1344"/>
      <c r="BG72" s="1344"/>
      <c r="BH72" s="1344"/>
      <c r="BI72" s="1344"/>
      <c r="BJ72" s="1344"/>
      <c r="BK72" s="1344"/>
      <c r="BL72" s="1344"/>
      <c r="BM72" s="1344"/>
      <c r="BN72" s="1344"/>
      <c r="BO72" s="1344"/>
      <c r="BP72" s="1344"/>
      <c r="BQ72" s="1344"/>
      <c r="BR72" s="1344"/>
      <c r="BS72" s="1344"/>
      <c r="BT72" s="1344"/>
      <c r="BU72" s="1344"/>
      <c r="BV72" s="1344"/>
      <c r="BW72" s="1344"/>
      <c r="BX72" s="1344"/>
      <c r="BY72" s="1344"/>
      <c r="BZ72" s="1344"/>
      <c r="CA72" s="1344"/>
      <c r="CB72" s="1344"/>
      <c r="CC72" s="1804"/>
      <c r="CD72" s="1058"/>
      <c r="CE72" s="1330"/>
      <c r="CF72" s="1330"/>
      <c r="CG72" s="1330"/>
    </row>
    <row r="73" spans="1:90" s="1023" customFormat="1">
      <c r="A73" s="1336"/>
      <c r="E73" s="1344"/>
      <c r="F73" s="1344"/>
      <c r="G73" s="1344"/>
      <c r="H73" s="1344"/>
      <c r="I73" s="1344"/>
      <c r="J73" s="1344"/>
      <c r="K73" s="1344"/>
      <c r="L73" s="1344"/>
      <c r="M73" s="1344"/>
      <c r="N73" s="1344"/>
      <c r="O73" s="1344"/>
      <c r="P73" s="1344"/>
      <c r="Q73" s="1344"/>
      <c r="R73" s="1344"/>
      <c r="S73" s="1344"/>
      <c r="T73" s="1344"/>
      <c r="U73" s="1344"/>
      <c r="V73" s="1344"/>
      <c r="W73" s="1344"/>
      <c r="X73" s="1344"/>
      <c r="Y73" s="1344"/>
      <c r="Z73" s="1344"/>
      <c r="AA73" s="1344"/>
      <c r="AB73" s="1344"/>
      <c r="AC73" s="1344"/>
      <c r="AD73" s="1344"/>
      <c r="AE73" s="1344"/>
      <c r="AF73" s="1344"/>
      <c r="AG73" s="1344"/>
      <c r="AH73" s="1344"/>
      <c r="AI73" s="1344"/>
      <c r="AJ73" s="1344"/>
      <c r="AK73" s="1344"/>
      <c r="AL73" s="1344"/>
      <c r="AM73" s="1344"/>
      <c r="AN73" s="1344"/>
      <c r="AO73" s="1344"/>
      <c r="AP73" s="1344"/>
      <c r="AQ73" s="1344"/>
      <c r="AR73" s="1344"/>
      <c r="AS73" s="1344"/>
      <c r="AT73" s="1344"/>
      <c r="AU73" s="1344"/>
      <c r="AV73" s="1344"/>
      <c r="AW73" s="1344"/>
      <c r="AX73" s="1344"/>
      <c r="AY73" s="1344"/>
      <c r="AZ73" s="1344"/>
      <c r="BA73" s="1344"/>
      <c r="BB73" s="1344"/>
      <c r="BC73" s="1344"/>
      <c r="BD73" s="1344"/>
      <c r="BE73" s="1344"/>
      <c r="BF73" s="1344"/>
      <c r="BG73" s="1344"/>
      <c r="BH73" s="1344"/>
      <c r="BI73" s="1344"/>
      <c r="BJ73" s="1344"/>
      <c r="BK73" s="1344"/>
      <c r="BL73" s="1344"/>
      <c r="BM73" s="1344"/>
      <c r="BN73" s="1344"/>
      <c r="BO73" s="1344"/>
      <c r="BP73" s="1344"/>
      <c r="BQ73" s="1344"/>
      <c r="BR73" s="1344"/>
      <c r="BS73" s="1344"/>
      <c r="BT73" s="1344"/>
      <c r="BU73" s="1344"/>
      <c r="BV73" s="1344"/>
      <c r="BW73" s="1344"/>
      <c r="BX73" s="1344"/>
      <c r="BY73" s="1344"/>
      <c r="BZ73" s="1344"/>
      <c r="CA73" s="1344"/>
      <c r="CB73" s="1344"/>
      <c r="CC73" s="1804"/>
      <c r="CD73" s="1058"/>
      <c r="CE73" s="1330"/>
      <c r="CF73" s="1330"/>
      <c r="CG73" s="1330"/>
    </row>
    <row r="74" spans="1:90" s="1023" customFormat="1">
      <c r="A74" s="1336"/>
      <c r="E74" s="1344"/>
      <c r="F74" s="1344"/>
      <c r="G74" s="1344"/>
      <c r="H74" s="1344"/>
      <c r="I74" s="1344"/>
      <c r="J74" s="1344"/>
      <c r="K74" s="1344"/>
      <c r="L74" s="1344"/>
      <c r="M74" s="1344"/>
      <c r="N74" s="1344"/>
      <c r="O74" s="1344"/>
      <c r="P74" s="1344"/>
      <c r="Q74" s="1344"/>
      <c r="R74" s="1344"/>
      <c r="S74" s="1344"/>
      <c r="T74" s="1344"/>
      <c r="U74" s="1344"/>
      <c r="V74" s="1344"/>
      <c r="W74" s="1344"/>
      <c r="X74" s="1344"/>
      <c r="Y74" s="1344"/>
      <c r="Z74" s="1344"/>
      <c r="AA74" s="1344"/>
      <c r="AB74" s="1344"/>
      <c r="AC74" s="1344"/>
      <c r="AD74" s="1344"/>
      <c r="AE74" s="1344"/>
      <c r="AF74" s="1344"/>
      <c r="AG74" s="1344"/>
      <c r="AH74" s="1344"/>
      <c r="AI74" s="1344"/>
      <c r="AJ74" s="1344"/>
      <c r="AK74" s="1344"/>
      <c r="AL74" s="1344"/>
      <c r="AM74" s="1344"/>
      <c r="AN74" s="1344"/>
      <c r="AO74" s="1344"/>
      <c r="AP74" s="1344"/>
      <c r="AQ74" s="1344"/>
      <c r="AR74" s="1344"/>
      <c r="AS74" s="1344"/>
      <c r="AT74" s="1344"/>
      <c r="AU74" s="1344"/>
      <c r="AV74" s="1344"/>
      <c r="AW74" s="1344"/>
      <c r="AX74" s="1344"/>
      <c r="AY74" s="1344"/>
      <c r="AZ74" s="1344"/>
      <c r="BA74" s="1344"/>
      <c r="BB74" s="1344"/>
      <c r="BC74" s="1344"/>
      <c r="BD74" s="1344"/>
      <c r="BE74" s="1344"/>
      <c r="BF74" s="1344"/>
      <c r="BG74" s="1344"/>
      <c r="BH74" s="1344"/>
      <c r="BI74" s="1344"/>
      <c r="BJ74" s="1344"/>
      <c r="BK74" s="1344"/>
      <c r="BL74" s="1344"/>
      <c r="BM74" s="1344"/>
      <c r="BN74" s="1344"/>
      <c r="BO74" s="1344"/>
      <c r="BP74" s="1344"/>
      <c r="BQ74" s="1344"/>
      <c r="BR74" s="1344"/>
      <c r="BS74" s="1344"/>
      <c r="BT74" s="1344"/>
      <c r="BU74" s="1344"/>
      <c r="BV74" s="1344"/>
      <c r="BW74" s="1344"/>
      <c r="BX74" s="1344"/>
      <c r="BY74" s="1344"/>
      <c r="BZ74" s="1344"/>
      <c r="CA74" s="1344"/>
      <c r="CB74" s="1344"/>
      <c r="CC74" s="1804"/>
      <c r="CD74" s="1058"/>
      <c r="CE74" s="1330"/>
      <c r="CF74" s="1330"/>
      <c r="CG74" s="1330"/>
    </row>
    <row r="75" spans="1:90" s="1023" customFormat="1">
      <c r="A75" s="1336"/>
      <c r="E75" s="1344"/>
      <c r="F75" s="1344"/>
      <c r="G75" s="1344"/>
      <c r="H75" s="1344"/>
      <c r="I75" s="1344"/>
      <c r="J75" s="1344"/>
      <c r="K75" s="1344"/>
      <c r="L75" s="1344"/>
      <c r="M75" s="1344"/>
      <c r="N75" s="1344"/>
      <c r="O75" s="1344"/>
      <c r="P75" s="1344"/>
      <c r="Q75" s="1344"/>
      <c r="R75" s="1344"/>
      <c r="S75" s="1344"/>
      <c r="T75" s="1344"/>
      <c r="U75" s="1344"/>
      <c r="V75" s="1344"/>
      <c r="W75" s="1344"/>
      <c r="X75" s="1344"/>
      <c r="Y75" s="1344"/>
      <c r="Z75" s="1344"/>
      <c r="AA75" s="1344"/>
      <c r="AB75" s="1344"/>
      <c r="AC75" s="1344"/>
      <c r="AD75" s="1344"/>
      <c r="AE75" s="1344"/>
      <c r="AF75" s="1344"/>
      <c r="AG75" s="1344"/>
      <c r="AH75" s="1344"/>
      <c r="AI75" s="1344"/>
      <c r="AJ75" s="1344"/>
      <c r="AK75" s="1344"/>
      <c r="AL75" s="1344"/>
      <c r="AM75" s="1344"/>
      <c r="AN75" s="1344"/>
      <c r="AO75" s="1344"/>
      <c r="AP75" s="1344"/>
      <c r="AQ75" s="1344"/>
      <c r="AR75" s="1344"/>
      <c r="AS75" s="1344"/>
      <c r="AT75" s="1344"/>
      <c r="AU75" s="1344"/>
      <c r="AV75" s="1344"/>
      <c r="AW75" s="1344"/>
      <c r="AX75" s="1344"/>
      <c r="AY75" s="1344"/>
      <c r="AZ75" s="1344"/>
      <c r="BA75" s="1344"/>
      <c r="BB75" s="1344"/>
      <c r="BC75" s="1344"/>
      <c r="BD75" s="1344"/>
      <c r="BE75" s="1344"/>
      <c r="BF75" s="1344"/>
      <c r="BG75" s="1344"/>
      <c r="BH75" s="1344"/>
      <c r="BI75" s="1344"/>
      <c r="BJ75" s="1344"/>
      <c r="BK75" s="1344"/>
      <c r="BL75" s="1344"/>
      <c r="BM75" s="1344"/>
      <c r="BN75" s="1344"/>
      <c r="BO75" s="1344"/>
      <c r="BP75" s="1344"/>
      <c r="BQ75" s="1344"/>
      <c r="BR75" s="1344"/>
      <c r="BS75" s="1344"/>
      <c r="BT75" s="1344"/>
      <c r="BU75" s="1344"/>
      <c r="BV75" s="1344"/>
      <c r="BW75" s="1344"/>
      <c r="BX75" s="1344"/>
      <c r="BY75" s="1344"/>
      <c r="BZ75" s="1344"/>
      <c r="CA75" s="1344"/>
      <c r="CB75" s="1344"/>
      <c r="CC75" s="1804"/>
      <c r="CD75" s="1058"/>
      <c r="CE75" s="1330"/>
      <c r="CF75" s="1330"/>
      <c r="CG75" s="1330"/>
    </row>
    <row r="76" spans="1:90" s="1023" customFormat="1">
      <c r="A76" s="1336"/>
      <c r="E76" s="1344"/>
      <c r="F76" s="1344"/>
      <c r="G76" s="1344"/>
      <c r="H76" s="1344"/>
      <c r="I76" s="1344"/>
      <c r="J76" s="1344"/>
      <c r="K76" s="1344"/>
      <c r="L76" s="1344"/>
      <c r="M76" s="1344"/>
      <c r="N76" s="1344"/>
      <c r="O76" s="1344"/>
      <c r="P76" s="1344"/>
      <c r="Q76" s="1344"/>
      <c r="R76" s="1344"/>
      <c r="S76" s="1344"/>
      <c r="T76" s="1344"/>
      <c r="U76" s="1344"/>
      <c r="V76" s="1344"/>
      <c r="W76" s="1344"/>
      <c r="X76" s="1344"/>
      <c r="Y76" s="1344"/>
      <c r="Z76" s="1344"/>
      <c r="AA76" s="1344"/>
      <c r="AB76" s="1344"/>
      <c r="AC76" s="1344"/>
      <c r="AD76" s="1344"/>
      <c r="AE76" s="1344"/>
      <c r="AF76" s="1344"/>
      <c r="AG76" s="1344"/>
      <c r="AH76" s="1344"/>
      <c r="AI76" s="1344"/>
      <c r="AJ76" s="1344"/>
      <c r="AK76" s="1344"/>
      <c r="AL76" s="1344"/>
      <c r="AM76" s="1344"/>
      <c r="AN76" s="1344"/>
      <c r="AO76" s="1344"/>
      <c r="AP76" s="1344"/>
      <c r="AQ76" s="1344"/>
      <c r="AR76" s="1344"/>
      <c r="AS76" s="1344"/>
      <c r="AT76" s="1344"/>
      <c r="AU76" s="1344"/>
      <c r="AV76" s="1344"/>
      <c r="AW76" s="1344"/>
      <c r="AX76" s="1344"/>
      <c r="AY76" s="1344"/>
      <c r="AZ76" s="1344"/>
      <c r="BA76" s="1344"/>
      <c r="BB76" s="1344"/>
      <c r="BC76" s="1344"/>
      <c r="BD76" s="1344"/>
      <c r="BE76" s="1344"/>
      <c r="BF76" s="1344"/>
      <c r="BG76" s="1344"/>
      <c r="BH76" s="1344"/>
      <c r="BI76" s="1344"/>
      <c r="BJ76" s="1344"/>
      <c r="BK76" s="1344"/>
      <c r="BL76" s="1344"/>
      <c r="BM76" s="1344"/>
      <c r="BN76" s="1344"/>
      <c r="BO76" s="1344"/>
      <c r="BP76" s="1344"/>
      <c r="BQ76" s="1344"/>
      <c r="BR76" s="1344"/>
      <c r="BS76" s="1344"/>
      <c r="BT76" s="1344"/>
      <c r="BU76" s="1344"/>
      <c r="BV76" s="1344"/>
      <c r="BW76" s="1344"/>
      <c r="BX76" s="1344"/>
      <c r="BY76" s="1344"/>
      <c r="BZ76" s="1344"/>
      <c r="CA76" s="1344"/>
      <c r="CB76" s="1344"/>
      <c r="CC76" s="1804"/>
      <c r="CD76" s="1058"/>
      <c r="CE76" s="1330"/>
      <c r="CF76" s="1330"/>
      <c r="CG76" s="1330"/>
    </row>
    <row r="77" spans="1:90" s="1023" customFormat="1">
      <c r="A77" s="1336"/>
      <c r="Y77" s="1805"/>
      <c r="AC77" s="1805"/>
      <c r="AR77" s="1805"/>
      <c r="AS77" s="1805"/>
      <c r="AT77" s="1805"/>
      <c r="AU77" s="1805"/>
      <c r="BH77" s="1805"/>
      <c r="BI77" s="1805"/>
    </row>
    <row r="78" spans="1:90">
      <c r="AI78" s="1058"/>
    </row>
    <row r="79" spans="1:90">
      <c r="AI79" s="1058"/>
    </row>
    <row r="80" spans="1:90">
      <c r="AI80" s="1058"/>
    </row>
    <row r="81" spans="35:35">
      <c r="AI81" s="1058"/>
    </row>
    <row r="82" spans="35:35">
      <c r="AI82" s="1058"/>
    </row>
    <row r="83" spans="35:35">
      <c r="AI83" s="1058"/>
    </row>
    <row r="84" spans="35:35">
      <c r="AI84" s="1058"/>
    </row>
    <row r="85" spans="35:35">
      <c r="AI85" s="1058"/>
    </row>
    <row r="86" spans="35:35">
      <c r="AI86" s="1058"/>
    </row>
    <row r="87" spans="35:35">
      <c r="AI87" s="1058"/>
    </row>
    <row r="88" spans="35:35">
      <c r="AI88" s="1058"/>
    </row>
    <row r="89" spans="35:35">
      <c r="AI89" s="1058"/>
    </row>
    <row r="90" spans="35:35">
      <c r="AI90" s="1058"/>
    </row>
    <row r="91" spans="35:35">
      <c r="AI91" s="1058"/>
    </row>
    <row r="92" spans="35:35">
      <c r="AI92" s="1058"/>
    </row>
    <row r="93" spans="35:35">
      <c r="AI93" s="1058"/>
    </row>
  </sheetData>
  <sheetProtection formatCells="0" formatColumns="0" formatRows="0" insertColumns="0" insertRows="0" insertHyperlinks="0" deleteColumns="0" deleteRows="0" sort="0" autoFilter="0" pivotTables="0"/>
  <mergeCells count="9">
    <mergeCell ref="A37:A40"/>
    <mergeCell ref="A4:A5"/>
    <mergeCell ref="A1:A2"/>
    <mergeCell ref="B2:C3"/>
    <mergeCell ref="B4:B5"/>
    <mergeCell ref="C4:C5"/>
    <mergeCell ref="B37:C38"/>
    <mergeCell ref="B39:B40"/>
    <mergeCell ref="C39:C40"/>
  </mergeCells>
  <pageMargins left="0.7" right="0.7" top="0.75" bottom="0.75" header="0.3" footer="0.3"/>
  <pageSetup scale="75" orientation="landscape" r:id="rId1"/>
  <ignoredErrors>
    <ignoredError sqref="B37:C40 CE2 A41:B67 A3 A6:B33 A68:B68 A34:A36 B34:B36 A69:B69 A70:B71" unlockedFormula="1"/>
  </ignoredError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0033"/>
  </sheetPr>
  <dimension ref="A1:AS243"/>
  <sheetViews>
    <sheetView topLeftCell="O145" zoomScale="70" zoomScaleNormal="70" workbookViewId="0">
      <selection activeCell="AH169" sqref="AH169"/>
    </sheetView>
  </sheetViews>
  <sheetFormatPr baseColWidth="10" defaultColWidth="9.1796875" defaultRowHeight="14.5"/>
  <cols>
    <col min="2" max="2" width="14.453125" bestFit="1" customWidth="1"/>
    <col min="3" max="3" width="16.1796875" bestFit="1" customWidth="1"/>
    <col min="4" max="4" width="17.453125" bestFit="1" customWidth="1"/>
    <col min="5" max="5" width="15.54296875" bestFit="1" customWidth="1"/>
    <col min="6" max="6" width="16.81640625" bestFit="1" customWidth="1"/>
    <col min="7" max="7" width="17.54296875" bestFit="1" customWidth="1"/>
    <col min="8" max="10" width="16.54296875" bestFit="1" customWidth="1"/>
    <col min="11" max="12" width="13.54296875" bestFit="1" customWidth="1"/>
    <col min="13" max="13" width="15.54296875" bestFit="1" customWidth="1"/>
    <col min="14" max="14" width="13.54296875" bestFit="1" customWidth="1"/>
    <col min="15" max="15" width="16.81640625" bestFit="1" customWidth="1"/>
    <col min="17" max="17" width="22.453125" bestFit="1" customWidth="1"/>
    <col min="18" max="19" width="10.453125" customWidth="1"/>
    <col min="21" max="23" width="9.1796875" customWidth="1"/>
    <col min="25" max="25" width="14.26953125" bestFit="1" customWidth="1"/>
    <col min="26" max="27" width="9.453125" customWidth="1"/>
    <col min="28" max="28" width="11.7265625" customWidth="1"/>
    <col min="29" max="29" width="9.54296875" customWidth="1"/>
    <col min="30" max="31" width="9.54296875" bestFit="1" customWidth="1"/>
    <col min="32" max="32" width="9.453125" bestFit="1" customWidth="1"/>
    <col min="33" max="33" width="9.54296875" bestFit="1" customWidth="1"/>
    <col min="35" max="38" width="9.1796875" style="1043"/>
  </cols>
  <sheetData>
    <row r="1" spans="1:15">
      <c r="B1" s="1271"/>
      <c r="C1" s="1271"/>
      <c r="D1" s="1271"/>
      <c r="E1" s="1271"/>
      <c r="F1" s="1271"/>
      <c r="G1" s="1271"/>
    </row>
    <row r="2" spans="1:15">
      <c r="A2" s="1382"/>
      <c r="B2" s="1376" t="s">
        <v>1</v>
      </c>
      <c r="C2" s="1381"/>
      <c r="D2" s="1374"/>
      <c r="E2" s="1380">
        <f>INICIO!D12</f>
        <v>45231</v>
      </c>
      <c r="F2" s="1375"/>
      <c r="G2" s="1040">
        <f>DAY(E2)</f>
        <v>1</v>
      </c>
      <c r="H2" s="438"/>
      <c r="I2" s="437"/>
      <c r="K2" s="437"/>
      <c r="L2" s="431"/>
      <c r="M2" s="431"/>
      <c r="N2" s="226"/>
      <c r="O2" s="226"/>
    </row>
    <row r="3" spans="1:15">
      <c r="B3" s="1376" t="s">
        <v>2</v>
      </c>
      <c r="C3" s="1374"/>
      <c r="D3" s="1374"/>
      <c r="E3" s="1375">
        <f>INICIO!D13</f>
        <v>45260</v>
      </c>
      <c r="F3" s="1375"/>
      <c r="G3" s="1040">
        <f>DAY(E3)</f>
        <v>30</v>
      </c>
      <c r="I3" s="437"/>
      <c r="L3" s="431"/>
      <c r="M3" s="431"/>
      <c r="N3" s="227"/>
      <c r="O3" s="227"/>
    </row>
    <row r="4" spans="1:15">
      <c r="B4" s="1376" t="s">
        <v>18</v>
      </c>
      <c r="C4" s="1374"/>
      <c r="D4" s="1374"/>
      <c r="E4" s="1375">
        <f>INICIO!C8</f>
        <v>45231</v>
      </c>
      <c r="F4" s="1375"/>
      <c r="G4" s="1040">
        <f>DAY(E4)</f>
        <v>1</v>
      </c>
      <c r="H4" s="438"/>
      <c r="I4" s="225"/>
      <c r="J4" s="426"/>
      <c r="K4" s="30"/>
      <c r="L4" s="30"/>
      <c r="M4" s="30"/>
      <c r="N4" s="2242">
        <f>E4+1</f>
        <v>45232</v>
      </c>
      <c r="O4" s="2242"/>
    </row>
    <row r="82" spans="31:45" ht="15" thickBot="1"/>
    <row r="83" spans="31:45" ht="15.75" customHeight="1" thickTop="1">
      <c r="AE83" s="2217" t="s">
        <v>1457</v>
      </c>
      <c r="AF83" s="2218"/>
      <c r="AG83" s="2218"/>
      <c r="AH83" s="2218"/>
      <c r="AI83" s="2218"/>
      <c r="AJ83" s="2218"/>
      <c r="AK83" s="2218"/>
      <c r="AL83" s="2218"/>
      <c r="AM83" s="2218"/>
      <c r="AN83" s="2219"/>
    </row>
    <row r="84" spans="31:45" ht="15.75" customHeight="1" thickBot="1">
      <c r="AE84" s="2220"/>
      <c r="AF84" s="2221"/>
      <c r="AG84" s="2221"/>
      <c r="AH84" s="2221"/>
      <c r="AI84" s="2221"/>
      <c r="AJ84" s="2221"/>
      <c r="AK84" s="2221"/>
      <c r="AL84" s="2221"/>
      <c r="AM84" s="2221"/>
      <c r="AN84" s="2222"/>
      <c r="AS84" s="407">
        <v>100</v>
      </c>
    </row>
    <row r="85" spans="31:45" ht="15" customHeight="1" thickTop="1">
      <c r="AE85" s="2233" t="s">
        <v>131</v>
      </c>
      <c r="AF85" s="2229" t="s">
        <v>374</v>
      </c>
      <c r="AG85" s="2229" t="s">
        <v>375</v>
      </c>
      <c r="AH85" s="2223" t="s">
        <v>376</v>
      </c>
      <c r="AI85" s="2223" t="s">
        <v>377</v>
      </c>
      <c r="AJ85" s="2225" t="s">
        <v>378</v>
      </c>
      <c r="AK85" s="2227" t="s">
        <v>1362</v>
      </c>
      <c r="AL85" s="2223" t="s">
        <v>1228</v>
      </c>
      <c r="AM85" s="2223" t="s">
        <v>1229</v>
      </c>
      <c r="AN85" s="2231" t="s">
        <v>1230</v>
      </c>
    </row>
    <row r="86" spans="31:45">
      <c r="AE86" s="2233"/>
      <c r="AF86" s="2229"/>
      <c r="AG86" s="2229"/>
      <c r="AH86" s="2223"/>
      <c r="AI86" s="2223"/>
      <c r="AJ86" s="2225"/>
      <c r="AK86" s="2227"/>
      <c r="AL86" s="2223"/>
      <c r="AM86" s="2223"/>
      <c r="AN86" s="2231"/>
    </row>
    <row r="87" spans="31:45" ht="15" customHeight="1">
      <c r="AE87" s="2234"/>
      <c r="AF87" s="2230"/>
      <c r="AG87" s="2230"/>
      <c r="AH87" s="2224"/>
      <c r="AI87" s="2224"/>
      <c r="AJ87" s="2226"/>
      <c r="AK87" s="2228"/>
      <c r="AL87" s="2224"/>
      <c r="AM87" s="2224"/>
      <c r="AN87" s="2232"/>
    </row>
    <row r="88" spans="31:45">
      <c r="AE88" s="408">
        <v>41640</v>
      </c>
      <c r="AF88" s="1127">
        <f ca="1">$AG159</f>
        <v>526.43999999999323</v>
      </c>
      <c r="AG88" s="1128">
        <f ca="1">$AC159</f>
        <v>0</v>
      </c>
      <c r="AH88" s="1087">
        <f ca="1">$AD159</f>
        <v>0</v>
      </c>
      <c r="AI88" s="1087">
        <f ca="1">$AE159</f>
        <v>219.59999999999127</v>
      </c>
      <c r="AJ88" s="1129">
        <f ca="1">$AF159</f>
        <v>306.84000000000196</v>
      </c>
      <c r="AK88" s="1130">
        <f ca="1">IF($AF88=0,0,(AG88*$AS$84)/AF88)</f>
        <v>0</v>
      </c>
      <c r="AL88" s="1131">
        <f ca="1">IF($AF88=0,0,(AH88*$AS$84)/AF88)</f>
        <v>0</v>
      </c>
      <c r="AM88" s="1131">
        <f ca="1">IF($AF88=0,0,(AI88*$AS$84)/AF88)</f>
        <v>41.714155459310483</v>
      </c>
      <c r="AN88" s="1132">
        <f ca="1">IF($AF88=0,0,(AJ88*$AS$84)/AF88)</f>
        <v>58.285844540689517</v>
      </c>
    </row>
    <row r="89" spans="31:45">
      <c r="AE89" s="408">
        <v>41671</v>
      </c>
      <c r="AF89" s="1127">
        <f ca="1">$AG160</f>
        <v>551.27999999999247</v>
      </c>
      <c r="AG89" s="1128">
        <f ca="1">$AC160</f>
        <v>0</v>
      </c>
      <c r="AH89" s="1087">
        <f ca="1">$AD160</f>
        <v>0</v>
      </c>
      <c r="AI89" s="1087">
        <f ca="1">$AE160</f>
        <v>138.3600000000024</v>
      </c>
      <c r="AJ89" s="1129">
        <f ca="1">$AF160</f>
        <v>412.91999999999007</v>
      </c>
      <c r="AK89" s="1130">
        <f t="shared" ref="AK89:AK99" ca="1" si="0">IF($AF89=0,0,(AG89*$AS$84)/AF89)</f>
        <v>0</v>
      </c>
      <c r="AL89" s="1131">
        <f t="shared" ref="AL89:AL99" ca="1" si="1">IF($AF89=0,0,(AH89*$AS$84)/AF89)</f>
        <v>0</v>
      </c>
      <c r="AM89" s="1131">
        <f t="shared" ref="AM89:AM99" ca="1" si="2">IF($AF89=0,0,(AI89*$AS$84)/AF89)</f>
        <v>25.097953852852324</v>
      </c>
      <c r="AN89" s="1132">
        <f t="shared" ref="AN89:AN99" ca="1" si="3">IF($AF89=0,0,(AJ89*$AS$84)/AF89)</f>
        <v>74.902046147147686</v>
      </c>
    </row>
    <row r="90" spans="31:45">
      <c r="AE90" s="408">
        <v>41699</v>
      </c>
      <c r="AF90" s="1127">
        <f t="shared" ref="AF90:AF99" ca="1" si="4">$AG161</f>
        <v>204.47999999999411</v>
      </c>
      <c r="AG90" s="1128">
        <f t="shared" ref="AG90:AG99" ca="1" si="5">$AC161</f>
        <v>0</v>
      </c>
      <c r="AH90" s="1087">
        <f t="shared" ref="AH90:AH99" ca="1" si="6">$AD161</f>
        <v>0</v>
      </c>
      <c r="AI90" s="1087">
        <f t="shared" ref="AI90:AI99" ca="1" si="7">$AE161</f>
        <v>77.51999999999498</v>
      </c>
      <c r="AJ90" s="1129">
        <f t="shared" ref="AJ90:AJ99" ca="1" si="8">$AF161</f>
        <v>126.95999999999913</v>
      </c>
      <c r="AK90" s="1130">
        <f t="shared" ca="1" si="0"/>
        <v>0</v>
      </c>
      <c r="AL90" s="1131">
        <f t="shared" ca="1" si="1"/>
        <v>0</v>
      </c>
      <c r="AM90" s="1131">
        <f t="shared" ca="1" si="2"/>
        <v>37.910798122064364</v>
      </c>
      <c r="AN90" s="1132">
        <f t="shared" ca="1" si="3"/>
        <v>62.089201877935636</v>
      </c>
    </row>
    <row r="91" spans="31:45">
      <c r="AE91" s="408">
        <v>41730</v>
      </c>
      <c r="AF91" s="1127">
        <f t="shared" ca="1" si="4"/>
        <v>3803.1600000000117</v>
      </c>
      <c r="AG91" s="1128">
        <f ca="1">$AC162</f>
        <v>0</v>
      </c>
      <c r="AH91" s="1087">
        <f t="shared" ca="1" si="6"/>
        <v>0</v>
      </c>
      <c r="AI91" s="1087">
        <f t="shared" ca="1" si="7"/>
        <v>623.04000000000087</v>
      </c>
      <c r="AJ91" s="1129">
        <f t="shared" ca="1" si="8"/>
        <v>3180.1200000000108</v>
      </c>
      <c r="AK91" s="1130">
        <f t="shared" ca="1" si="0"/>
        <v>0</v>
      </c>
      <c r="AL91" s="1131">
        <f t="shared" ca="1" si="1"/>
        <v>0</v>
      </c>
      <c r="AM91" s="1131">
        <f t="shared" ca="1" si="2"/>
        <v>16.382166408986183</v>
      </c>
      <c r="AN91" s="1132">
        <f t="shared" ca="1" si="3"/>
        <v>83.61783359101382</v>
      </c>
    </row>
    <row r="92" spans="31:45">
      <c r="AE92" s="408">
        <v>41760</v>
      </c>
      <c r="AF92" s="1127">
        <f t="shared" ca="1" si="4"/>
        <v>515.64000000000306</v>
      </c>
      <c r="AG92" s="1128">
        <f t="shared" ca="1" si="5"/>
        <v>0</v>
      </c>
      <c r="AH92" s="1087">
        <f t="shared" ca="1" si="6"/>
        <v>0</v>
      </c>
      <c r="AI92" s="1087">
        <f t="shared" ca="1" si="7"/>
        <v>177.2400000000107</v>
      </c>
      <c r="AJ92" s="1129">
        <f t="shared" ca="1" si="8"/>
        <v>338.39999999999236</v>
      </c>
      <c r="AK92" s="1130">
        <f t="shared" ca="1" si="0"/>
        <v>0</v>
      </c>
      <c r="AL92" s="1131">
        <f t="shared" ca="1" si="1"/>
        <v>0</v>
      </c>
      <c r="AM92" s="1131">
        <f t="shared" ca="1" si="2"/>
        <v>34.372818245289281</v>
      </c>
      <c r="AN92" s="1132">
        <f t="shared" ca="1" si="3"/>
        <v>65.627181754710719</v>
      </c>
    </row>
    <row r="93" spans="31:45">
      <c r="AE93" s="408">
        <v>41791</v>
      </c>
      <c r="AF93" s="1127">
        <f t="shared" ca="1" si="4"/>
        <v>250.31999999998789</v>
      </c>
      <c r="AG93" s="1128">
        <f t="shared" ca="1" si="5"/>
        <v>0</v>
      </c>
      <c r="AH93" s="1087">
        <f t="shared" ca="1" si="6"/>
        <v>0</v>
      </c>
      <c r="AI93" s="1087">
        <f t="shared" ca="1" si="7"/>
        <v>94.079999999985375</v>
      </c>
      <c r="AJ93" s="1129">
        <f t="shared" ca="1" si="8"/>
        <v>156.24000000000251</v>
      </c>
      <c r="AK93" s="1130">
        <f t="shared" ca="1" si="0"/>
        <v>0</v>
      </c>
      <c r="AL93" s="1131">
        <f t="shared" ca="1" si="1"/>
        <v>0</v>
      </c>
      <c r="AM93" s="1131">
        <f t="shared" ca="1" si="2"/>
        <v>37.583892617445642</v>
      </c>
      <c r="AN93" s="1132">
        <f t="shared" ca="1" si="3"/>
        <v>62.416107382554358</v>
      </c>
    </row>
    <row r="94" spans="31:45">
      <c r="AE94" s="408">
        <v>41821</v>
      </c>
      <c r="AF94" s="1127">
        <f ca="1">$AG165</f>
        <v>424.08000000001266</v>
      </c>
      <c r="AG94" s="1128">
        <f t="shared" ca="1" si="5"/>
        <v>0</v>
      </c>
      <c r="AH94" s="1087">
        <f t="shared" ca="1" si="6"/>
        <v>0</v>
      </c>
      <c r="AI94" s="1087">
        <f t="shared" ca="1" si="7"/>
        <v>218.52000000001681</v>
      </c>
      <c r="AJ94" s="1129">
        <f t="shared" ca="1" si="8"/>
        <v>205.55999999999585</v>
      </c>
      <c r="AK94" s="1130">
        <f t="shared" ca="1" si="0"/>
        <v>0</v>
      </c>
      <c r="AL94" s="1131">
        <f t="shared" ca="1" si="1"/>
        <v>0</v>
      </c>
      <c r="AM94" s="1131">
        <f t="shared" ca="1" si="2"/>
        <v>51.52801358234538</v>
      </c>
      <c r="AN94" s="1132">
        <f t="shared" ca="1" si="3"/>
        <v>48.47198641765462</v>
      </c>
    </row>
    <row r="95" spans="31:45">
      <c r="AE95" s="408">
        <v>41852</v>
      </c>
      <c r="AF95" s="1127">
        <f t="shared" ca="1" si="4"/>
        <v>1676.1600000000089</v>
      </c>
      <c r="AG95" s="1128">
        <f t="shared" ca="1" si="5"/>
        <v>0</v>
      </c>
      <c r="AH95" s="1087">
        <f t="shared" ca="1" si="6"/>
        <v>0</v>
      </c>
      <c r="AI95" s="1087">
        <f t="shared" ca="1" si="7"/>
        <v>480</v>
      </c>
      <c r="AJ95" s="1129">
        <f t="shared" ca="1" si="8"/>
        <v>1196.1600000000089</v>
      </c>
      <c r="AK95" s="1130">
        <f ca="1">IF($AF95=0,0,(AG95*$AS$84)/AF95)</f>
        <v>0</v>
      </c>
      <c r="AL95" s="1131">
        <f ca="1">IF($AF95=0,0,(AH95*$AS$84)/AF95)</f>
        <v>0</v>
      </c>
      <c r="AM95" s="1131">
        <f ca="1">IF($AF95=0,0,(AI95*$AS$84)/AF95)</f>
        <v>28.636884306987248</v>
      </c>
      <c r="AN95" s="1132">
        <f ca="1">IF($AF95=0,0,(AJ95*$AS$84)/AF95)</f>
        <v>71.363115693012759</v>
      </c>
    </row>
    <row r="96" spans="31:45">
      <c r="AE96" s="408">
        <v>41883</v>
      </c>
      <c r="AF96" s="1127">
        <f t="shared" ca="1" si="4"/>
        <v>5909.8800000000028</v>
      </c>
      <c r="AG96" s="1128">
        <f t="shared" ca="1" si="5"/>
        <v>0</v>
      </c>
      <c r="AH96" s="1087">
        <f t="shared" ca="1" si="6"/>
        <v>0</v>
      </c>
      <c r="AI96" s="1087">
        <f t="shared" ca="1" si="7"/>
        <v>222.48000000000502</v>
      </c>
      <c r="AJ96" s="1129">
        <f t="shared" ca="1" si="8"/>
        <v>5687.3999999999978</v>
      </c>
      <c r="AK96" s="1130">
        <f t="shared" ca="1" si="0"/>
        <v>0</v>
      </c>
      <c r="AL96" s="1131">
        <f t="shared" ca="1" si="1"/>
        <v>0</v>
      </c>
      <c r="AM96" s="1131">
        <f t="shared" ca="1" si="2"/>
        <v>3.7645434425065298</v>
      </c>
      <c r="AN96" s="1132">
        <f t="shared" ca="1" si="3"/>
        <v>96.235456557493464</v>
      </c>
    </row>
    <row r="97" spans="31:44">
      <c r="AE97" s="408">
        <v>41913</v>
      </c>
      <c r="AF97" s="1127">
        <f t="shared" ca="1" si="4"/>
        <v>13925.959999999997</v>
      </c>
      <c r="AG97" s="1128">
        <f t="shared" ca="1" si="5"/>
        <v>734</v>
      </c>
      <c r="AH97" s="1087">
        <f t="shared" ca="1" si="6"/>
        <v>0</v>
      </c>
      <c r="AI97" s="1087">
        <f t="shared" ca="1" si="7"/>
        <v>183.59999999999673</v>
      </c>
      <c r="AJ97" s="1129">
        <f t="shared" ca="1" si="8"/>
        <v>13008.36</v>
      </c>
      <c r="AK97" s="1130">
        <f t="shared" ca="1" si="0"/>
        <v>5.2707317843796773</v>
      </c>
      <c r="AL97" s="1131">
        <f t="shared" ca="1" si="1"/>
        <v>0</v>
      </c>
      <c r="AM97" s="1131">
        <f t="shared" ca="1" si="2"/>
        <v>1.3184010294442663</v>
      </c>
      <c r="AN97" s="1132">
        <f t="shared" ca="1" si="3"/>
        <v>93.410867186176048</v>
      </c>
    </row>
    <row r="98" spans="31:44">
      <c r="AE98" s="408">
        <v>41944</v>
      </c>
      <c r="AF98" s="1127">
        <f t="shared" ca="1" si="4"/>
        <v>0</v>
      </c>
      <c r="AG98" s="1128">
        <f t="shared" ca="1" si="5"/>
        <v>0</v>
      </c>
      <c r="AH98" s="1087">
        <f t="shared" ca="1" si="6"/>
        <v>0</v>
      </c>
      <c r="AI98" s="1087">
        <f t="shared" ca="1" si="7"/>
        <v>0</v>
      </c>
      <c r="AJ98" s="1129">
        <f t="shared" ca="1" si="8"/>
        <v>0</v>
      </c>
      <c r="AK98" s="1130">
        <f t="shared" ca="1" si="0"/>
        <v>0</v>
      </c>
      <c r="AL98" s="1131">
        <f t="shared" ca="1" si="1"/>
        <v>0</v>
      </c>
      <c r="AM98" s="1131">
        <f t="shared" ca="1" si="2"/>
        <v>0</v>
      </c>
      <c r="AN98" s="1132">
        <f t="shared" ca="1" si="3"/>
        <v>0</v>
      </c>
    </row>
    <row r="99" spans="31:44" ht="15" thickBot="1">
      <c r="AE99" s="409">
        <v>41974</v>
      </c>
      <c r="AF99" s="1127">
        <f t="shared" ca="1" si="4"/>
        <v>0</v>
      </c>
      <c r="AG99" s="1128">
        <f t="shared" ca="1" si="5"/>
        <v>0</v>
      </c>
      <c r="AH99" s="1087">
        <f t="shared" ca="1" si="6"/>
        <v>0</v>
      </c>
      <c r="AI99" s="1087">
        <f t="shared" ca="1" si="7"/>
        <v>0</v>
      </c>
      <c r="AJ99" s="1129">
        <f t="shared" ca="1" si="8"/>
        <v>0</v>
      </c>
      <c r="AK99" s="1133">
        <f t="shared" ca="1" si="0"/>
        <v>0</v>
      </c>
      <c r="AL99" s="1134">
        <f t="shared" ca="1" si="1"/>
        <v>0</v>
      </c>
      <c r="AM99" s="1134">
        <f t="shared" ca="1" si="2"/>
        <v>0</v>
      </c>
      <c r="AN99" s="1135">
        <f t="shared" ca="1" si="3"/>
        <v>0</v>
      </c>
    </row>
    <row r="100" spans="31:44" ht="15.5" thickTop="1" thickBot="1">
      <c r="AE100" s="1265" t="s">
        <v>1146</v>
      </c>
      <c r="AF100" s="1266">
        <f ca="1">SUM(AF88:AF99)</f>
        <v>27787.4</v>
      </c>
      <c r="AG100" s="1267">
        <f ca="1">SUM(AG88:AG99)</f>
        <v>734</v>
      </c>
      <c r="AH100" s="1268">
        <f ca="1">SUM(AH88:AH99)</f>
        <v>0</v>
      </c>
      <c r="AI100" s="1268">
        <f ca="1">SUM(AI88:AI99)</f>
        <v>2434.4400000000041</v>
      </c>
      <c r="AJ100" s="1269">
        <f ca="1">SUM(AJ88:AJ99)</f>
        <v>24618.959999999999</v>
      </c>
    </row>
    <row r="101" spans="31:44" ht="15" thickTop="1"/>
    <row r="102" spans="31:44">
      <c r="AE102" s="1271"/>
      <c r="AF102" s="1271"/>
      <c r="AG102" s="1271"/>
      <c r="AH102" s="1271"/>
      <c r="AI102" s="1271"/>
      <c r="AJ102" s="1271"/>
      <c r="AK102" s="1271"/>
      <c r="AL102" s="1271"/>
      <c r="AM102" s="1271"/>
      <c r="AN102" s="1271"/>
      <c r="AO102" s="1271"/>
      <c r="AP102" s="1271"/>
      <c r="AQ102" s="1271"/>
      <c r="AR102" s="1271"/>
    </row>
    <row r="103" spans="31:44">
      <c r="AE103" s="1271"/>
      <c r="AF103" s="1271"/>
      <c r="AG103" s="1271"/>
      <c r="AH103" s="1271"/>
      <c r="AI103" s="1271"/>
      <c r="AJ103" s="1271"/>
      <c r="AK103" s="1271"/>
      <c r="AL103" s="1271"/>
      <c r="AM103" s="1271"/>
      <c r="AN103" s="1271"/>
      <c r="AO103" s="1271"/>
      <c r="AP103" s="1271"/>
      <c r="AQ103" s="1271"/>
      <c r="AR103" s="1271"/>
    </row>
    <row r="104" spans="31:44">
      <c r="AE104" s="1271"/>
      <c r="AF104" s="1271"/>
      <c r="AG104" s="1271"/>
      <c r="AH104" s="1271"/>
      <c r="AI104" s="1271"/>
      <c r="AJ104" s="1271"/>
      <c r="AK104" s="1271"/>
      <c r="AL104" s="1271"/>
      <c r="AM104" s="1271"/>
      <c r="AN104" s="1271"/>
      <c r="AO104" s="1271"/>
      <c r="AP104" s="1271"/>
      <c r="AQ104" s="1271"/>
      <c r="AR104" s="1271"/>
    </row>
    <row r="105" spans="31:44">
      <c r="AE105" s="1271"/>
      <c r="AF105" s="1271"/>
      <c r="AG105" s="1271"/>
      <c r="AH105" s="1271"/>
      <c r="AI105" s="1271"/>
      <c r="AJ105" s="1271"/>
      <c r="AK105" s="1271"/>
      <c r="AL105" s="1271"/>
      <c r="AM105" s="1271"/>
      <c r="AN105" s="1271"/>
      <c r="AO105" s="1271"/>
      <c r="AP105" s="1271"/>
      <c r="AQ105" s="1271"/>
      <c r="AR105" s="1271"/>
    </row>
    <row r="106" spans="31:44">
      <c r="AE106" s="1271"/>
      <c r="AF106" s="1271"/>
      <c r="AG106" s="1271"/>
      <c r="AH106" s="1271"/>
      <c r="AI106" s="1271"/>
      <c r="AJ106" s="1271"/>
      <c r="AK106" s="1271"/>
      <c r="AL106" s="1271"/>
      <c r="AM106" s="1271"/>
      <c r="AN106" s="1271"/>
      <c r="AO106" s="1271"/>
      <c r="AP106" s="1271"/>
      <c r="AQ106" s="1271"/>
      <c r="AR106" s="1271"/>
    </row>
    <row r="107" spans="31:44">
      <c r="AE107" s="1271"/>
      <c r="AF107" s="1271"/>
      <c r="AG107" s="1271"/>
      <c r="AH107" s="1271"/>
      <c r="AI107" s="1271"/>
      <c r="AJ107" s="1271"/>
      <c r="AK107" s="1271"/>
      <c r="AL107" s="1271"/>
      <c r="AM107" s="1271"/>
      <c r="AN107" s="1271"/>
      <c r="AO107" s="1271"/>
      <c r="AP107" s="1271"/>
      <c r="AQ107" s="1271"/>
      <c r="AR107" s="1271"/>
    </row>
    <row r="115" spans="1:40" ht="15.75" customHeight="1"/>
    <row r="121" spans="1:40">
      <c r="B121" s="435"/>
      <c r="C121" s="435"/>
      <c r="D121" s="427"/>
    </row>
    <row r="123" spans="1:40" ht="15" thickBot="1"/>
    <row r="124" spans="1:40" ht="63" customHeight="1" thickBot="1">
      <c r="A124" s="97"/>
      <c r="B124" s="2247" t="s">
        <v>4</v>
      </c>
      <c r="C124" s="2243" t="s">
        <v>1231</v>
      </c>
      <c r="D124" s="2244"/>
      <c r="E124" s="2246"/>
      <c r="F124" s="2244"/>
      <c r="G124" s="2244"/>
      <c r="H124" s="2245"/>
      <c r="I124" s="2243" t="s">
        <v>1232</v>
      </c>
      <c r="J124" s="2244"/>
      <c r="K124" s="2246"/>
      <c r="L124" s="2244"/>
      <c r="M124" s="2244"/>
      <c r="N124" s="2245"/>
      <c r="O124" s="170" t="s">
        <v>221</v>
      </c>
      <c r="P124" s="170" t="s">
        <v>220</v>
      </c>
      <c r="Q124" s="170" t="s">
        <v>220</v>
      </c>
      <c r="R124" s="2243" t="s">
        <v>1233</v>
      </c>
      <c r="S124" s="2244"/>
      <c r="T124" s="2245"/>
      <c r="U124" s="2243" t="s">
        <v>1230</v>
      </c>
      <c r="V124" s="2244"/>
      <c r="W124" s="2245"/>
      <c r="X124" s="170" t="s">
        <v>1443</v>
      </c>
      <c r="Y124" s="170" t="s">
        <v>583</v>
      </c>
      <c r="Z124" s="436" t="s">
        <v>1226</v>
      </c>
      <c r="AA124" s="436" t="s">
        <v>195</v>
      </c>
      <c r="AB124" s="170" t="s">
        <v>1444</v>
      </c>
      <c r="AC124" s="174" t="s">
        <v>1445</v>
      </c>
      <c r="AD124" s="174" t="s">
        <v>160</v>
      </c>
      <c r="AE124" s="174" t="s">
        <v>1446</v>
      </c>
      <c r="AF124" s="174" t="s">
        <v>1447</v>
      </c>
      <c r="AG124" s="174" t="s">
        <v>1448</v>
      </c>
      <c r="AH124" s="174" t="s">
        <v>1449</v>
      </c>
      <c r="AI124" s="174" t="s">
        <v>1210</v>
      </c>
      <c r="AJ124" s="174" t="s">
        <v>1211</v>
      </c>
      <c r="AK124" s="174" t="s">
        <v>1212</v>
      </c>
      <c r="AL124" s="174" t="s">
        <v>1219</v>
      </c>
      <c r="AM124" s="1928" t="s">
        <v>611</v>
      </c>
      <c r="AN124" s="1930"/>
    </row>
    <row r="125" spans="1:40" ht="49.5" customHeight="1" thickBot="1">
      <c r="A125" s="97"/>
      <c r="B125" s="2248"/>
      <c r="C125" s="13" t="s">
        <v>586</v>
      </c>
      <c r="D125" s="13" t="s">
        <v>584</v>
      </c>
      <c r="E125" s="14" t="s">
        <v>9</v>
      </c>
      <c r="F125" s="432" t="s">
        <v>588</v>
      </c>
      <c r="G125" s="432" t="s">
        <v>589</v>
      </c>
      <c r="H125" s="13" t="s">
        <v>599</v>
      </c>
      <c r="I125" s="13" t="s">
        <v>587</v>
      </c>
      <c r="J125" s="13" t="s">
        <v>585</v>
      </c>
      <c r="K125" s="14" t="s">
        <v>600</v>
      </c>
      <c r="L125" s="432" t="s">
        <v>588</v>
      </c>
      <c r="M125" s="432" t="s">
        <v>589</v>
      </c>
      <c r="N125" s="17" t="s">
        <v>599</v>
      </c>
      <c r="O125" s="14" t="s">
        <v>600</v>
      </c>
      <c r="P125" s="221" t="s">
        <v>11</v>
      </c>
      <c r="Q125" s="221" t="s">
        <v>164</v>
      </c>
      <c r="R125" s="13" t="s">
        <v>590</v>
      </c>
      <c r="S125" s="13" t="s">
        <v>592</v>
      </c>
      <c r="T125" s="440" t="s">
        <v>10</v>
      </c>
      <c r="U125" s="13" t="s">
        <v>591</v>
      </c>
      <c r="V125" s="13" t="s">
        <v>593</v>
      </c>
      <c r="W125" s="17" t="s">
        <v>10</v>
      </c>
      <c r="X125" s="221" t="s">
        <v>11</v>
      </c>
      <c r="Y125" s="13" t="s">
        <v>164</v>
      </c>
      <c r="Z125" s="13" t="s">
        <v>11</v>
      </c>
      <c r="AA125" s="13" t="s">
        <v>11</v>
      </c>
      <c r="AB125" s="18" t="s">
        <v>11</v>
      </c>
      <c r="AC125" s="18" t="s">
        <v>11</v>
      </c>
      <c r="AD125" s="18" t="s">
        <v>11</v>
      </c>
      <c r="AE125" s="19" t="s">
        <v>11</v>
      </c>
      <c r="AF125" s="19" t="s">
        <v>11</v>
      </c>
      <c r="AG125" s="19" t="s">
        <v>11</v>
      </c>
      <c r="AH125" s="19" t="s">
        <v>11</v>
      </c>
      <c r="AI125" s="18" t="s">
        <v>11</v>
      </c>
      <c r="AJ125" s="19" t="s">
        <v>11</v>
      </c>
      <c r="AK125" s="19" t="s">
        <v>11</v>
      </c>
      <c r="AL125" s="19" t="s">
        <v>11</v>
      </c>
      <c r="AM125" s="2235" t="s">
        <v>612</v>
      </c>
      <c r="AN125" s="2236"/>
    </row>
    <row r="126" spans="1:40" ht="15.75" customHeight="1" thickBot="1">
      <c r="A126" s="97"/>
      <c r="B126" s="439">
        <f>E2</f>
        <v>45231</v>
      </c>
      <c r="C126" s="223">
        <f ca="1">VLOOKUP($B126,DATOSAÑO!$B$11:$AR$375,8)</f>
        <v>147</v>
      </c>
      <c r="D126" s="223">
        <f ca="1">VLOOKUP($B126,DATOSAÑO!$B$11:$AR$375,40)</f>
        <v>70</v>
      </c>
      <c r="E126" s="223">
        <f ca="1">VLOOKUP($B126,DATOSAÑO!$B$11:$AR$375,3)</f>
        <v>4.0365242327959576</v>
      </c>
      <c r="F126" s="223">
        <f t="shared" ref="F126:F156" ca="1" si="9">IF($C126=0,0,$E126*$AM$126*1000/$C126)</f>
        <v>22824.210491836737</v>
      </c>
      <c r="G126" s="434">
        <f t="shared" ref="G126:G156" ca="1" si="10">IF($F126=0,0,3415.79*100/$F126)</f>
        <v>14.965643614361534</v>
      </c>
      <c r="H126" s="223">
        <f ca="1">VLOOKUP($B126,DATOSAÑO!$B$11:$AR$375,6)</f>
        <v>0</v>
      </c>
      <c r="I126" s="223">
        <f ca="1">VLOOKUP($B126,DATOSAÑO!$B$11:$AR$375,15)</f>
        <v>293</v>
      </c>
      <c r="J126" s="223">
        <f ca="1">VLOOKUP($B126,DATOSAÑO!$B$11:$AR$375,41)</f>
        <v>152</v>
      </c>
      <c r="K126" s="223">
        <f ca="1">VLOOKUP($B126,DATOSAÑO!$B$11:$AR$375,10)</f>
        <v>5.4957787804379201</v>
      </c>
      <c r="L126" s="223">
        <f ca="1">IF($I126=0,0,$K126*$AM$126*1000/$I126)</f>
        <v>15590.755366211604</v>
      </c>
      <c r="M126" s="434">
        <f ca="1">IF($L126=0,0,3415.79*100/$L126)</f>
        <v>21.909073163977187</v>
      </c>
      <c r="N126" s="223">
        <f ca="1">VLOOKUP($B126,DATOSAÑO!$B$11:$AR$375,13)</f>
        <v>0</v>
      </c>
      <c r="O126" s="223">
        <f ca="1">(E126+K126)</f>
        <v>9.5323030132338786</v>
      </c>
      <c r="P126" s="223">
        <f ca="1">AVERAGE(C126,I126)</f>
        <v>220</v>
      </c>
      <c r="Q126" s="223">
        <f ca="1">AVERAGE(D126,J126)</f>
        <v>111</v>
      </c>
      <c r="R126" s="223">
        <f ca="1">VLOOKUP($B126,DATOSAÑO!$B$11:$AR$375,16)</f>
        <v>0</v>
      </c>
      <c r="S126" s="223">
        <f ca="1">VLOOKUP($B126,DATOSAÑO!$B$11:$AR$375,43)</f>
        <v>0</v>
      </c>
      <c r="T126" s="223">
        <f ca="1">VLOOKUP($B126,DATOSAÑO!$B$11:$AR$375,17)</f>
        <v>0</v>
      </c>
      <c r="U126" s="223">
        <f ca="1">VLOOKUP($B126,DATOSAÑO!$B$11:$AR$375,19)</f>
        <v>0</v>
      </c>
      <c r="V126" s="223">
        <f ca="1">VLOOKUP($B126,DATOSAÑO!$B$11:$AR$375,43)</f>
        <v>0</v>
      </c>
      <c r="W126" s="223">
        <f ca="1">VLOOKUP($B126,DATOSAÑO!$B$11:$AR$375,20)</f>
        <v>0</v>
      </c>
      <c r="X126" s="223">
        <f ca="1">VLOOKUP($B126,DATOSAÑO!$B$11:$AR$375,24)</f>
        <v>440</v>
      </c>
      <c r="Y126" s="223">
        <f ca="1">VLOOKUP($B126,DATOSAÑO!$B$11:$BG$375,55)</f>
        <v>222</v>
      </c>
      <c r="Z126" s="223">
        <f ca="1">VLOOKUP($B126,DATOSAÑO!$B$11:$AM$375,29)</f>
        <v>163.20000000000073</v>
      </c>
      <c r="AA126" s="223">
        <f ca="1">VLOOKUP($B126,DATOSAÑO!$B$11:$AM$375,31)</f>
        <v>151</v>
      </c>
      <c r="AB126" s="223">
        <f ca="1">VLOOKUP($B126,DATOSAÑO!$B$11:$AM$375,33)</f>
        <v>9.6999999999989086</v>
      </c>
      <c r="AC126" s="223">
        <f ca="1">VLOOKUP($B126,DATOSAÑO!$B$11:$AM$375,34)</f>
        <v>38.69999999999709</v>
      </c>
      <c r="AD126" s="223">
        <f ca="1">VLOOKUP($B126,DATOSAÑO!$B$11:$AM$375,35)</f>
        <v>5</v>
      </c>
      <c r="AE126" s="223">
        <f ca="1">VLOOKUP($B126,DATOSAÑO!$B$11:$AM$375,36)</f>
        <v>9</v>
      </c>
      <c r="AF126" s="223">
        <f ca="1">VLOOKUP($B126,DATOSAÑO!$B$11:$AM$375,37)</f>
        <v>33.300000000004673</v>
      </c>
      <c r="AG126" s="223">
        <f ca="1">VLOOKUP($B126,DATOSAÑO!$B$11:$AM$375,38)</f>
        <v>11.722999999997556</v>
      </c>
      <c r="AH126" s="223">
        <f ca="1">VLOOKUP($B126,DATOSAÑO!$B$11:$AN$375,39)</f>
        <v>3.3780000000006276</v>
      </c>
      <c r="AI126" s="223">
        <f ca="1">VLOOKUP($B126,DATOSAÑO!$B$11:$BJ$375,61)</f>
        <v>2.6</v>
      </c>
      <c r="AJ126" s="223">
        <f ca="1">VLOOKUP($B126,DATOSAÑO!$B$11:$BM$375,64)</f>
        <v>1.5720000000000001</v>
      </c>
      <c r="AK126" s="223">
        <f ca="1">VLOOKUP($B126,DATOSAÑO!$B$11:$BP$375,67)</f>
        <v>3.7949999999999999</v>
      </c>
      <c r="AL126" s="223">
        <f ca="1">VLOOKUP($B126,DATOSAÑO!$B$11:$CC$375,80)</f>
        <v>2.7832000000002513</v>
      </c>
      <c r="AM126" s="2237">
        <f>VLOOKUP($B126,AH159:AH170,1)</f>
        <v>831.2</v>
      </c>
      <c r="AN126" s="2238"/>
    </row>
    <row r="127" spans="1:40">
      <c r="A127" s="97"/>
      <c r="B127" s="439">
        <f>B126+1</f>
        <v>45232</v>
      </c>
      <c r="C127" s="223">
        <f ca="1">VLOOKUP($B127,DATOSAÑO!$B$11:$AR$375,8)</f>
        <v>0</v>
      </c>
      <c r="D127" s="223">
        <f ca="1">VLOOKUP($B127,DATOSAÑO!$B$11:$AR$375,40)</f>
        <v>0</v>
      </c>
      <c r="E127" s="223">
        <f ca="1">VLOOKUP($B127,DATOSAÑO!$B$11:$AR$375,3)</f>
        <v>0</v>
      </c>
      <c r="F127" s="223">
        <f t="shared" ca="1" si="9"/>
        <v>0</v>
      </c>
      <c r="G127" s="434">
        <f t="shared" ca="1" si="10"/>
        <v>0</v>
      </c>
      <c r="H127" s="223">
        <f ca="1">VLOOKUP($B127,DATOSAÑO!$B$11:$AR$375,6)</f>
        <v>0</v>
      </c>
      <c r="I127" s="223">
        <f ca="1">VLOOKUP($B127,DATOSAÑO!$B$11:$AR$375,15)</f>
        <v>0</v>
      </c>
      <c r="J127" s="223">
        <f ca="1">VLOOKUP($B127,DATOSAÑO!$B$11:$AR$375,41)</f>
        <v>0</v>
      </c>
      <c r="K127" s="223">
        <f ca="1">VLOOKUP($B127,DATOSAÑO!$B$11:$AR$375,10)</f>
        <v>0</v>
      </c>
      <c r="L127" s="223">
        <f t="shared" ref="L127:L156" ca="1" si="11">IF($I127=0,0,$K127*$AM$126*1000/$I127)</f>
        <v>0</v>
      </c>
      <c r="M127" s="434">
        <f t="shared" ref="M127:M156" ca="1" si="12">IF($L127=0,0,3415.79*100/$L127)</f>
        <v>0</v>
      </c>
      <c r="N127" s="223">
        <f ca="1">VLOOKUP($B127,DATOSAÑO!$B$11:$AR$375,13)</f>
        <v>0</v>
      </c>
      <c r="O127" s="223">
        <f t="shared" ref="O127:O155" ca="1" si="13">(E127+K127)</f>
        <v>0</v>
      </c>
      <c r="P127" s="223">
        <f t="shared" ref="P127:P155" ca="1" si="14">AVERAGE(C127,I127)</f>
        <v>0</v>
      </c>
      <c r="Q127" s="223">
        <f t="shared" ref="Q127:Q155" ca="1" si="15">AVERAGE(D127,J127)</f>
        <v>0</v>
      </c>
      <c r="R127" s="223">
        <f ca="1">VLOOKUP($B127,DATOSAÑO!$B$11:$AR$375,16)</f>
        <v>0</v>
      </c>
      <c r="S127" s="223">
        <f ca="1">VLOOKUP($B127,DATOSAÑO!$B$11:$AR$375,43)</f>
        <v>0</v>
      </c>
      <c r="T127" s="223">
        <f ca="1">VLOOKUP($B127,DATOSAÑO!$B$11:$AR$375,17)</f>
        <v>0</v>
      </c>
      <c r="U127" s="223">
        <f ca="1">VLOOKUP($B127,DATOSAÑO!$B$11:$AR$375,19)</f>
        <v>0</v>
      </c>
      <c r="V127" s="223">
        <f ca="1">VLOOKUP($B127,DATOSAÑO!$B$11:$AR$375,43)</f>
        <v>0</v>
      </c>
      <c r="W127" s="223">
        <f ca="1">VLOOKUP($B127,DATOSAÑO!$B$11:$AR$375,20)</f>
        <v>0</v>
      </c>
      <c r="X127" s="223">
        <f ca="1">VLOOKUP($B127,DATOSAÑO!$B$11:$AR$375,24)</f>
        <v>0</v>
      </c>
      <c r="Y127" s="223">
        <f ca="1">VLOOKUP($B127,DATOSAÑO!$B$11:$BG$375,55)</f>
        <v>0</v>
      </c>
      <c r="Z127" s="223">
        <f ca="1">VLOOKUP($B127,DATOSAÑO!$B$11:$AM$375,29)</f>
        <v>0</v>
      </c>
      <c r="AA127" s="223">
        <f ca="1">VLOOKUP($B127,DATOSAÑO!$B$11:$AM$375,31)</f>
        <v>0</v>
      </c>
      <c r="AB127" s="223">
        <f ca="1">VLOOKUP($B127,DATOSAÑO!$B$11:$AM$375,33)</f>
        <v>0</v>
      </c>
      <c r="AC127" s="223">
        <f ca="1">VLOOKUP($B127,DATOSAÑO!$B$11:$AM$375,34)</f>
        <v>0</v>
      </c>
      <c r="AD127" s="223">
        <f ca="1">VLOOKUP($B127,DATOSAÑO!$B$11:$AM$375,35)</f>
        <v>0</v>
      </c>
      <c r="AE127" s="223">
        <f ca="1">VLOOKUP($B127,DATOSAÑO!$B$11:$AM$375,36)</f>
        <v>0</v>
      </c>
      <c r="AF127" s="223">
        <f ca="1">VLOOKUP($B127,DATOSAÑO!$B$11:$AM$375,37)</f>
        <v>0</v>
      </c>
      <c r="AG127" s="223">
        <f ca="1">VLOOKUP($B127,DATOSAÑO!$B$11:$AM$375,38)</f>
        <v>0</v>
      </c>
      <c r="AH127" s="223">
        <f ca="1">VLOOKUP($B127,DATOSAÑO!$B$11:$AN$375,39)</f>
        <v>0</v>
      </c>
      <c r="AI127" s="223">
        <f ca="1">VLOOKUP($B127,DATOSAÑO!$B$11:$BJ$375,61)</f>
        <v>0</v>
      </c>
      <c r="AJ127" s="223">
        <f ca="1">VLOOKUP($B127,DATOSAÑO!$B$11:$BM$375,64)</f>
        <v>0</v>
      </c>
      <c r="AK127" s="223">
        <f ca="1">VLOOKUP($B127,DATOSAÑO!$B$11:$BP$375,67)</f>
        <v>0</v>
      </c>
      <c r="AL127" s="223">
        <f ca="1">VLOOKUP($B127,DATOSAÑO!$B$11:$CC$375,80)</f>
        <v>0</v>
      </c>
      <c r="AM127" s="2237"/>
      <c r="AN127" s="2239"/>
    </row>
    <row r="128" spans="1:40">
      <c r="A128" s="97"/>
      <c r="B128" s="439">
        <f t="shared" ref="B128:B156" si="16">B127+1</f>
        <v>45233</v>
      </c>
      <c r="C128" s="223">
        <f ca="1">VLOOKUP($B128,DATOSAÑO!$B$11:$AR$375,8)</f>
        <v>0</v>
      </c>
      <c r="D128" s="223">
        <f ca="1">VLOOKUP($B128,DATOSAÑO!$B$11:$AR$375,40)</f>
        <v>0</v>
      </c>
      <c r="E128" s="223">
        <f ca="1">VLOOKUP($B128,DATOSAÑO!$B$11:$AR$375,3)</f>
        <v>0</v>
      </c>
      <c r="F128" s="223">
        <f t="shared" ca="1" si="9"/>
        <v>0</v>
      </c>
      <c r="G128" s="434">
        <f t="shared" ca="1" si="10"/>
        <v>0</v>
      </c>
      <c r="H128" s="223">
        <f ca="1">VLOOKUP($B128,DATOSAÑO!$B$11:$AR$375,6)</f>
        <v>0</v>
      </c>
      <c r="I128" s="223">
        <f ca="1">VLOOKUP($B128,DATOSAÑO!$B$11:$AR$375,15)</f>
        <v>0</v>
      </c>
      <c r="J128" s="223">
        <f ca="1">VLOOKUP($B128,DATOSAÑO!$B$11:$AR$375,41)</f>
        <v>0</v>
      </c>
      <c r="K128" s="223">
        <f ca="1">VLOOKUP($B128,DATOSAÑO!$B$11:$AR$375,10)</f>
        <v>0</v>
      </c>
      <c r="L128" s="223">
        <f t="shared" ca="1" si="11"/>
        <v>0</v>
      </c>
      <c r="M128" s="434">
        <f t="shared" ca="1" si="12"/>
        <v>0</v>
      </c>
      <c r="N128" s="223">
        <f ca="1">VLOOKUP($B128,DATOSAÑO!$B$11:$AR$375,13)</f>
        <v>0</v>
      </c>
      <c r="O128" s="223">
        <f t="shared" ca="1" si="13"/>
        <v>0</v>
      </c>
      <c r="P128" s="223">
        <f t="shared" ca="1" si="14"/>
        <v>0</v>
      </c>
      <c r="Q128" s="223">
        <f t="shared" ca="1" si="15"/>
        <v>0</v>
      </c>
      <c r="R128" s="223">
        <f ca="1">VLOOKUP($B128,DATOSAÑO!$B$11:$AR$375,16)</f>
        <v>0</v>
      </c>
      <c r="S128" s="223">
        <f ca="1">VLOOKUP($B128,DATOSAÑO!$B$11:$AR$375,43)</f>
        <v>0</v>
      </c>
      <c r="T128" s="223">
        <f ca="1">VLOOKUP($B128,DATOSAÑO!$B$11:$AR$375,17)</f>
        <v>0</v>
      </c>
      <c r="U128" s="223">
        <f ca="1">VLOOKUP($B128,DATOSAÑO!$B$11:$AR$375,19)</f>
        <v>0</v>
      </c>
      <c r="V128" s="223">
        <f ca="1">VLOOKUP($B128,DATOSAÑO!$B$11:$AR$375,43)</f>
        <v>0</v>
      </c>
      <c r="W128" s="223">
        <f ca="1">VLOOKUP($B128,DATOSAÑO!$B$11:$AR$375,20)</f>
        <v>0</v>
      </c>
      <c r="X128" s="223">
        <f ca="1">VLOOKUP($B128,DATOSAÑO!$B$11:$AR$375,24)</f>
        <v>0</v>
      </c>
      <c r="Y128" s="223">
        <f ca="1">VLOOKUP($B128,DATOSAÑO!$B$11:$BG$375,55)</f>
        <v>0</v>
      </c>
      <c r="Z128" s="223">
        <f ca="1">VLOOKUP($B128,DATOSAÑO!$B$11:$AM$375,29)</f>
        <v>0</v>
      </c>
      <c r="AA128" s="223">
        <f ca="1">VLOOKUP($B128,DATOSAÑO!$B$11:$AM$375,31)</f>
        <v>0</v>
      </c>
      <c r="AB128" s="223">
        <f ca="1">VLOOKUP($B128,DATOSAÑO!$B$11:$AM$375,33)</f>
        <v>0</v>
      </c>
      <c r="AC128" s="223">
        <f ca="1">VLOOKUP($B128,DATOSAÑO!$B$11:$AM$375,34)</f>
        <v>0</v>
      </c>
      <c r="AD128" s="223">
        <f ca="1">VLOOKUP($B128,DATOSAÑO!$B$11:$AM$375,35)</f>
        <v>0</v>
      </c>
      <c r="AE128" s="223">
        <f ca="1">VLOOKUP($B128,DATOSAÑO!$B$11:$AM$375,36)</f>
        <v>0</v>
      </c>
      <c r="AF128" s="223">
        <f ca="1">VLOOKUP($B128,DATOSAÑO!$B$11:$AM$375,37)</f>
        <v>0</v>
      </c>
      <c r="AG128" s="223">
        <f ca="1">VLOOKUP($B128,DATOSAÑO!$B$11:$AM$375,38)</f>
        <v>0</v>
      </c>
      <c r="AH128" s="223">
        <f ca="1">VLOOKUP($B128,DATOSAÑO!$B$11:$AN$375,39)</f>
        <v>0</v>
      </c>
      <c r="AI128" s="223">
        <f ca="1">VLOOKUP($B128,DATOSAÑO!$B$11:$BJ$375,61)</f>
        <v>0</v>
      </c>
      <c r="AJ128" s="223">
        <f ca="1">VLOOKUP($B128,DATOSAÑO!$B$11:$BM$375,64)</f>
        <v>0</v>
      </c>
      <c r="AK128" s="223">
        <f ca="1">VLOOKUP($B128,DATOSAÑO!$B$11:$BP$375,67)</f>
        <v>0</v>
      </c>
      <c r="AL128" s="223">
        <f ca="1">VLOOKUP($B128,DATOSAÑO!$B$11:$CC$375,80)</f>
        <v>0</v>
      </c>
    </row>
    <row r="129" spans="1:38">
      <c r="A129" s="97"/>
      <c r="B129" s="439">
        <f t="shared" si="16"/>
        <v>45234</v>
      </c>
      <c r="C129" s="223">
        <f ca="1">VLOOKUP($B129,DATOSAÑO!$B$11:$AR$375,8)</f>
        <v>0</v>
      </c>
      <c r="D129" s="223">
        <f ca="1">VLOOKUP($B129,DATOSAÑO!$B$11:$AR$375,40)</f>
        <v>0</v>
      </c>
      <c r="E129" s="223">
        <f ca="1">VLOOKUP($B129,DATOSAÑO!$B$11:$AR$375,3)</f>
        <v>0</v>
      </c>
      <c r="F129" s="223">
        <f t="shared" ca="1" si="9"/>
        <v>0</v>
      </c>
      <c r="G129" s="434">
        <f t="shared" ca="1" si="10"/>
        <v>0</v>
      </c>
      <c r="H129" s="223">
        <f ca="1">VLOOKUP($B129,DATOSAÑO!$B$11:$AR$375,6)</f>
        <v>0</v>
      </c>
      <c r="I129" s="223">
        <f ca="1">VLOOKUP($B129,DATOSAÑO!$B$11:$AR$375,15)</f>
        <v>0</v>
      </c>
      <c r="J129" s="223">
        <f ca="1">VLOOKUP($B129,DATOSAÑO!$B$11:$AR$375,41)</f>
        <v>0</v>
      </c>
      <c r="K129" s="223">
        <f ca="1">VLOOKUP($B129,DATOSAÑO!$B$11:$AR$375,10)</f>
        <v>0</v>
      </c>
      <c r="L129" s="223">
        <f t="shared" ca="1" si="11"/>
        <v>0</v>
      </c>
      <c r="M129" s="434">
        <f t="shared" ca="1" si="12"/>
        <v>0</v>
      </c>
      <c r="N129" s="223">
        <f ca="1">VLOOKUP($B129,DATOSAÑO!$B$11:$AR$375,13)</f>
        <v>0</v>
      </c>
      <c r="O129" s="223">
        <f t="shared" ca="1" si="13"/>
        <v>0</v>
      </c>
      <c r="P129" s="223">
        <f t="shared" ca="1" si="14"/>
        <v>0</v>
      </c>
      <c r="Q129" s="223">
        <f t="shared" ca="1" si="15"/>
        <v>0</v>
      </c>
      <c r="R129" s="223">
        <f ca="1">VLOOKUP($B129,DATOSAÑO!$B$11:$AR$375,16)</f>
        <v>0</v>
      </c>
      <c r="S129" s="223">
        <f ca="1">VLOOKUP($B129,DATOSAÑO!$B$11:$AR$375,43)</f>
        <v>0</v>
      </c>
      <c r="T129" s="223">
        <f ca="1">VLOOKUP($B129,DATOSAÑO!$B$11:$AR$375,17)</f>
        <v>0</v>
      </c>
      <c r="U129" s="223">
        <f ca="1">VLOOKUP($B129,DATOSAÑO!$B$11:$AR$375,19)</f>
        <v>0</v>
      </c>
      <c r="V129" s="223">
        <f ca="1">VLOOKUP($B129,DATOSAÑO!$B$11:$AR$375,43)</f>
        <v>0</v>
      </c>
      <c r="W129" s="223">
        <f ca="1">VLOOKUP($B129,DATOSAÑO!$B$11:$AR$375,20)</f>
        <v>0</v>
      </c>
      <c r="X129" s="223">
        <f ca="1">VLOOKUP($B129,DATOSAÑO!$B$11:$AR$375,24)</f>
        <v>0</v>
      </c>
      <c r="Y129" s="223">
        <f ca="1">VLOOKUP($B129,DATOSAÑO!$B$11:$BG$375,55)</f>
        <v>0</v>
      </c>
      <c r="Z129" s="223">
        <f ca="1">VLOOKUP($B129,DATOSAÑO!$B$11:$AM$375,29)</f>
        <v>0</v>
      </c>
      <c r="AA129" s="223">
        <f ca="1">VLOOKUP($B129,DATOSAÑO!$B$11:$AM$375,31)</f>
        <v>0</v>
      </c>
      <c r="AB129" s="223">
        <f ca="1">VLOOKUP($B129,DATOSAÑO!$B$11:$AM$375,33)</f>
        <v>0</v>
      </c>
      <c r="AC129" s="223">
        <f ca="1">VLOOKUP($B129,DATOSAÑO!$B$11:$AM$375,34)</f>
        <v>0</v>
      </c>
      <c r="AD129" s="223">
        <f ca="1">VLOOKUP($B129,DATOSAÑO!$B$11:$AM$375,35)</f>
        <v>0</v>
      </c>
      <c r="AE129" s="223">
        <f ca="1">VLOOKUP($B129,DATOSAÑO!$B$11:$AM$375,36)</f>
        <v>0</v>
      </c>
      <c r="AF129" s="223">
        <f ca="1">VLOOKUP($B129,DATOSAÑO!$B$11:$AM$375,37)</f>
        <v>0</v>
      </c>
      <c r="AG129" s="223">
        <f ca="1">VLOOKUP($B129,DATOSAÑO!$B$11:$AM$375,38)</f>
        <v>0</v>
      </c>
      <c r="AH129" s="223">
        <f ca="1">VLOOKUP($B129,DATOSAÑO!$B$11:$AN$375,39)</f>
        <v>0</v>
      </c>
      <c r="AI129" s="223">
        <f ca="1">VLOOKUP($B129,DATOSAÑO!$B$11:$BJ$375,61)</f>
        <v>0</v>
      </c>
      <c r="AJ129" s="223">
        <f ca="1">VLOOKUP($B129,DATOSAÑO!$B$11:$BM$375,64)</f>
        <v>0</v>
      </c>
      <c r="AK129" s="223">
        <f ca="1">VLOOKUP($B129,DATOSAÑO!$B$11:$BP$375,67)</f>
        <v>0</v>
      </c>
      <c r="AL129" s="223">
        <f ca="1">VLOOKUP($B129,DATOSAÑO!$B$11:$CC$375,80)</f>
        <v>0</v>
      </c>
    </row>
    <row r="130" spans="1:38">
      <c r="A130" s="97"/>
      <c r="B130" s="439">
        <f t="shared" si="16"/>
        <v>45235</v>
      </c>
      <c r="C130" s="223">
        <f ca="1">VLOOKUP($B130,DATOSAÑO!$B$11:$AR$375,8)</f>
        <v>0</v>
      </c>
      <c r="D130" s="223">
        <f ca="1">VLOOKUP($B130,DATOSAÑO!$B$11:$AR$375,40)</f>
        <v>0</v>
      </c>
      <c r="E130" s="223">
        <f ca="1">VLOOKUP($B130,DATOSAÑO!$B$11:$AR$375,3)</f>
        <v>0</v>
      </c>
      <c r="F130" s="223">
        <f t="shared" ca="1" si="9"/>
        <v>0</v>
      </c>
      <c r="G130" s="434">
        <f t="shared" ca="1" si="10"/>
        <v>0</v>
      </c>
      <c r="H130" s="223">
        <f ca="1">VLOOKUP($B130,DATOSAÑO!$B$11:$AR$375,6)</f>
        <v>0</v>
      </c>
      <c r="I130" s="223">
        <f ca="1">VLOOKUP($B130,DATOSAÑO!$B$11:$AR$375,15)</f>
        <v>0</v>
      </c>
      <c r="J130" s="223">
        <f ca="1">VLOOKUP($B130,DATOSAÑO!$B$11:$AR$375,41)</f>
        <v>0</v>
      </c>
      <c r="K130" s="223">
        <f ca="1">VLOOKUP($B130,DATOSAÑO!$B$11:$AR$375,10)</f>
        <v>0</v>
      </c>
      <c r="L130" s="223">
        <f t="shared" ca="1" si="11"/>
        <v>0</v>
      </c>
      <c r="M130" s="434">
        <f t="shared" ca="1" si="12"/>
        <v>0</v>
      </c>
      <c r="N130" s="223">
        <f ca="1">VLOOKUP($B130,DATOSAÑO!$B$11:$AR$375,13)</f>
        <v>0</v>
      </c>
      <c r="O130" s="223">
        <f t="shared" ca="1" si="13"/>
        <v>0</v>
      </c>
      <c r="P130" s="223">
        <f t="shared" ca="1" si="14"/>
        <v>0</v>
      </c>
      <c r="Q130" s="223">
        <f t="shared" ca="1" si="15"/>
        <v>0</v>
      </c>
      <c r="R130" s="223">
        <f ca="1">VLOOKUP($B130,DATOSAÑO!$B$11:$AR$375,16)</f>
        <v>0</v>
      </c>
      <c r="S130" s="223">
        <f ca="1">VLOOKUP($B130,DATOSAÑO!$B$11:$AR$375,43)</f>
        <v>0</v>
      </c>
      <c r="T130" s="223">
        <f ca="1">VLOOKUP($B130,DATOSAÑO!$B$11:$AR$375,17)</f>
        <v>0</v>
      </c>
      <c r="U130" s="223">
        <f ca="1">VLOOKUP($B130,DATOSAÑO!$B$11:$AR$375,19)</f>
        <v>0</v>
      </c>
      <c r="V130" s="223">
        <f ca="1">VLOOKUP($B130,DATOSAÑO!$B$11:$AR$375,43)</f>
        <v>0</v>
      </c>
      <c r="W130" s="223">
        <f ca="1">VLOOKUP($B130,DATOSAÑO!$B$11:$AR$375,20)</f>
        <v>0</v>
      </c>
      <c r="X130" s="223">
        <f ca="1">VLOOKUP($B130,DATOSAÑO!$B$11:$AR$375,24)</f>
        <v>0</v>
      </c>
      <c r="Y130" s="223">
        <f ca="1">VLOOKUP($B130,DATOSAÑO!$B$11:$BG$375,55)</f>
        <v>0</v>
      </c>
      <c r="Z130" s="223">
        <f ca="1">VLOOKUP($B130,DATOSAÑO!$B$11:$AM$375,29)</f>
        <v>0</v>
      </c>
      <c r="AA130" s="223">
        <f ca="1">VLOOKUP($B130,DATOSAÑO!$B$11:$AM$375,31)</f>
        <v>0</v>
      </c>
      <c r="AB130" s="223">
        <f ca="1">VLOOKUP($B130,DATOSAÑO!$B$11:$AM$375,33)</f>
        <v>0</v>
      </c>
      <c r="AC130" s="223">
        <f ca="1">VLOOKUP($B130,DATOSAÑO!$B$11:$AM$375,34)</f>
        <v>0</v>
      </c>
      <c r="AD130" s="223">
        <f ca="1">VLOOKUP($B130,DATOSAÑO!$B$11:$AM$375,35)</f>
        <v>0</v>
      </c>
      <c r="AE130" s="223">
        <f ca="1">VLOOKUP($B130,DATOSAÑO!$B$11:$AM$375,36)</f>
        <v>0</v>
      </c>
      <c r="AF130" s="223">
        <f ca="1">VLOOKUP($B130,DATOSAÑO!$B$11:$AM$375,37)</f>
        <v>0</v>
      </c>
      <c r="AG130" s="223">
        <f ca="1">VLOOKUP($B130,DATOSAÑO!$B$11:$AM$375,38)</f>
        <v>0</v>
      </c>
      <c r="AH130" s="223">
        <f ca="1">VLOOKUP($B130,DATOSAÑO!$B$11:$AN$375,39)</f>
        <v>0</v>
      </c>
      <c r="AI130" s="223">
        <f ca="1">VLOOKUP($B130,DATOSAÑO!$B$11:$BJ$375,61)</f>
        <v>0</v>
      </c>
      <c r="AJ130" s="223">
        <f ca="1">VLOOKUP($B130,DATOSAÑO!$B$11:$BM$375,64)</f>
        <v>0</v>
      </c>
      <c r="AK130" s="223">
        <f ca="1">VLOOKUP($B130,DATOSAÑO!$B$11:$BP$375,67)</f>
        <v>0</v>
      </c>
      <c r="AL130" s="223">
        <f ca="1">VLOOKUP($B130,DATOSAÑO!$B$11:$CC$375,80)</f>
        <v>0</v>
      </c>
    </row>
    <row r="131" spans="1:38">
      <c r="A131" s="97"/>
      <c r="B131" s="439">
        <f t="shared" si="16"/>
        <v>45236</v>
      </c>
      <c r="C131" s="223">
        <f ca="1">VLOOKUP($B131,DATOSAÑO!$B$11:$AR$375,8)</f>
        <v>0</v>
      </c>
      <c r="D131" s="223">
        <f ca="1">VLOOKUP($B131,DATOSAÑO!$B$11:$AR$375,40)</f>
        <v>0</v>
      </c>
      <c r="E131" s="223">
        <f ca="1">VLOOKUP($B131,DATOSAÑO!$B$11:$AR$375,3)</f>
        <v>0</v>
      </c>
      <c r="F131" s="223">
        <f t="shared" ca="1" si="9"/>
        <v>0</v>
      </c>
      <c r="G131" s="434">
        <f t="shared" ca="1" si="10"/>
        <v>0</v>
      </c>
      <c r="H131" s="223">
        <f ca="1">VLOOKUP($B131,DATOSAÑO!$B$11:$AR$375,6)</f>
        <v>0</v>
      </c>
      <c r="I131" s="223">
        <f ca="1">VLOOKUP($B131,DATOSAÑO!$B$11:$AR$375,15)</f>
        <v>0</v>
      </c>
      <c r="J131" s="223">
        <f ca="1">VLOOKUP($B131,DATOSAÑO!$B$11:$AR$375,41)</f>
        <v>0</v>
      </c>
      <c r="K131" s="223">
        <f ca="1">VLOOKUP($B131,DATOSAÑO!$B$11:$AR$375,10)</f>
        <v>0</v>
      </c>
      <c r="L131" s="223">
        <f t="shared" ca="1" si="11"/>
        <v>0</v>
      </c>
      <c r="M131" s="434">
        <f t="shared" ca="1" si="12"/>
        <v>0</v>
      </c>
      <c r="N131" s="223">
        <f ca="1">VLOOKUP($B131,DATOSAÑO!$B$11:$AR$375,13)</f>
        <v>0</v>
      </c>
      <c r="O131" s="223">
        <f t="shared" ca="1" si="13"/>
        <v>0</v>
      </c>
      <c r="P131" s="223">
        <f t="shared" ca="1" si="14"/>
        <v>0</v>
      </c>
      <c r="Q131" s="223">
        <f t="shared" ca="1" si="15"/>
        <v>0</v>
      </c>
      <c r="R131" s="223">
        <f ca="1">VLOOKUP($B131,DATOSAÑO!$B$11:$AR$375,16)</f>
        <v>0</v>
      </c>
      <c r="S131" s="223">
        <f ca="1">VLOOKUP($B131,DATOSAÑO!$B$11:$AR$375,43)</f>
        <v>0</v>
      </c>
      <c r="T131" s="223">
        <f ca="1">VLOOKUP($B131,DATOSAÑO!$B$11:$AR$375,17)</f>
        <v>0</v>
      </c>
      <c r="U131" s="223">
        <f ca="1">VLOOKUP($B131,DATOSAÑO!$B$11:$AR$375,19)</f>
        <v>0</v>
      </c>
      <c r="V131" s="223">
        <f ca="1">VLOOKUP($B131,DATOSAÑO!$B$11:$AR$375,43)</f>
        <v>0</v>
      </c>
      <c r="W131" s="223">
        <f ca="1">VLOOKUP($B131,DATOSAÑO!$B$11:$AR$375,20)</f>
        <v>0</v>
      </c>
      <c r="X131" s="223">
        <f ca="1">VLOOKUP($B131,DATOSAÑO!$B$11:$AR$375,24)</f>
        <v>0</v>
      </c>
      <c r="Y131" s="223">
        <f ca="1">VLOOKUP($B131,DATOSAÑO!$B$11:$BG$375,55)</f>
        <v>0</v>
      </c>
      <c r="Z131" s="223">
        <f ca="1">VLOOKUP($B131,DATOSAÑO!$B$11:$AM$375,29)</f>
        <v>0</v>
      </c>
      <c r="AA131" s="223">
        <f ca="1">VLOOKUP($B131,DATOSAÑO!$B$11:$AM$375,31)</f>
        <v>0</v>
      </c>
      <c r="AB131" s="223">
        <f ca="1">VLOOKUP($B131,DATOSAÑO!$B$11:$AM$375,33)</f>
        <v>0</v>
      </c>
      <c r="AC131" s="223">
        <f ca="1">VLOOKUP($B131,DATOSAÑO!$B$11:$AM$375,34)</f>
        <v>0</v>
      </c>
      <c r="AD131" s="223">
        <f ca="1">VLOOKUP($B131,DATOSAÑO!$B$11:$AM$375,35)</f>
        <v>0</v>
      </c>
      <c r="AE131" s="223">
        <f ca="1">VLOOKUP($B131,DATOSAÑO!$B$11:$AM$375,36)</f>
        <v>0</v>
      </c>
      <c r="AF131" s="223">
        <f ca="1">VLOOKUP($B131,DATOSAÑO!$B$11:$AM$375,37)</f>
        <v>0</v>
      </c>
      <c r="AG131" s="223">
        <f ca="1">VLOOKUP($B131,DATOSAÑO!$B$11:$AM$375,38)</f>
        <v>0</v>
      </c>
      <c r="AH131" s="223">
        <f ca="1">VLOOKUP($B131,DATOSAÑO!$B$11:$AN$375,39)</f>
        <v>0</v>
      </c>
      <c r="AI131" s="223">
        <f ca="1">VLOOKUP($B131,DATOSAÑO!$B$11:$BJ$375,61)</f>
        <v>0</v>
      </c>
      <c r="AJ131" s="223">
        <f ca="1">VLOOKUP($B131,DATOSAÑO!$B$11:$BM$375,64)</f>
        <v>0</v>
      </c>
      <c r="AK131" s="223">
        <f ca="1">VLOOKUP($B131,DATOSAÑO!$B$11:$BP$375,67)</f>
        <v>0</v>
      </c>
      <c r="AL131" s="223">
        <f ca="1">VLOOKUP($B131,DATOSAÑO!$B$11:$CC$375,80)</f>
        <v>0</v>
      </c>
    </row>
    <row r="132" spans="1:38">
      <c r="A132" s="97"/>
      <c r="B132" s="439">
        <f t="shared" si="16"/>
        <v>45237</v>
      </c>
      <c r="C132" s="223">
        <f ca="1">VLOOKUP($B132,DATOSAÑO!$B$11:$AR$375,8)</f>
        <v>0</v>
      </c>
      <c r="D132" s="223">
        <f ca="1">VLOOKUP($B132,DATOSAÑO!$B$11:$AR$375,40)</f>
        <v>0</v>
      </c>
      <c r="E132" s="223">
        <f ca="1">VLOOKUP($B132,DATOSAÑO!$B$11:$AR$375,3)</f>
        <v>0</v>
      </c>
      <c r="F132" s="223">
        <f t="shared" ca="1" si="9"/>
        <v>0</v>
      </c>
      <c r="G132" s="434">
        <f t="shared" ca="1" si="10"/>
        <v>0</v>
      </c>
      <c r="H132" s="223">
        <f ca="1">VLOOKUP($B132,DATOSAÑO!$B$11:$AR$375,6)</f>
        <v>0</v>
      </c>
      <c r="I132" s="223">
        <f ca="1">VLOOKUP($B132,DATOSAÑO!$B$11:$AR$375,15)</f>
        <v>0</v>
      </c>
      <c r="J132" s="223">
        <f ca="1">VLOOKUP($B132,DATOSAÑO!$B$11:$AR$375,41)</f>
        <v>0</v>
      </c>
      <c r="K132" s="223">
        <f ca="1">VLOOKUP($B132,DATOSAÑO!$B$11:$AR$375,10)</f>
        <v>0</v>
      </c>
      <c r="L132" s="223">
        <f t="shared" ca="1" si="11"/>
        <v>0</v>
      </c>
      <c r="M132" s="434">
        <f t="shared" ca="1" si="12"/>
        <v>0</v>
      </c>
      <c r="N132" s="223">
        <f ca="1">VLOOKUP($B132,DATOSAÑO!$B$11:$AR$375,13)</f>
        <v>0</v>
      </c>
      <c r="O132" s="223">
        <f t="shared" ca="1" si="13"/>
        <v>0</v>
      </c>
      <c r="P132" s="223">
        <f t="shared" ca="1" si="14"/>
        <v>0</v>
      </c>
      <c r="Q132" s="223">
        <f t="shared" ca="1" si="15"/>
        <v>0</v>
      </c>
      <c r="R132" s="223">
        <f ca="1">VLOOKUP($B132,DATOSAÑO!$B$11:$AR$375,16)</f>
        <v>0</v>
      </c>
      <c r="S132" s="223">
        <f ca="1">VLOOKUP($B132,DATOSAÑO!$B$11:$AR$375,43)</f>
        <v>0</v>
      </c>
      <c r="T132" s="223">
        <f ca="1">VLOOKUP($B132,DATOSAÑO!$B$11:$AR$375,17)</f>
        <v>0</v>
      </c>
      <c r="U132" s="223">
        <f ca="1">VLOOKUP($B132,DATOSAÑO!$B$11:$AR$375,19)</f>
        <v>0</v>
      </c>
      <c r="V132" s="223">
        <f ca="1">VLOOKUP($B132,DATOSAÑO!$B$11:$AR$375,43)</f>
        <v>0</v>
      </c>
      <c r="W132" s="223">
        <f ca="1">VLOOKUP($B132,DATOSAÑO!$B$11:$AR$375,20)</f>
        <v>0</v>
      </c>
      <c r="X132" s="223">
        <f ca="1">VLOOKUP($B132,DATOSAÑO!$B$11:$AR$375,24)</f>
        <v>0</v>
      </c>
      <c r="Y132" s="223">
        <f ca="1">VLOOKUP($B132,DATOSAÑO!$B$11:$BG$375,55)</f>
        <v>0</v>
      </c>
      <c r="Z132" s="223">
        <f ca="1">VLOOKUP($B132,DATOSAÑO!$B$11:$AM$375,29)</f>
        <v>0</v>
      </c>
      <c r="AA132" s="223">
        <f ca="1">VLOOKUP($B132,DATOSAÑO!$B$11:$AM$375,31)</f>
        <v>0</v>
      </c>
      <c r="AB132" s="223">
        <f ca="1">VLOOKUP($B132,DATOSAÑO!$B$11:$AM$375,33)</f>
        <v>0</v>
      </c>
      <c r="AC132" s="223">
        <f ca="1">VLOOKUP($B132,DATOSAÑO!$B$11:$AM$375,34)</f>
        <v>0</v>
      </c>
      <c r="AD132" s="223">
        <f ca="1">VLOOKUP($B132,DATOSAÑO!$B$11:$AM$375,35)</f>
        <v>0</v>
      </c>
      <c r="AE132" s="223">
        <f ca="1">VLOOKUP($B132,DATOSAÑO!$B$11:$AM$375,36)</f>
        <v>0</v>
      </c>
      <c r="AF132" s="223">
        <f ca="1">VLOOKUP($B132,DATOSAÑO!$B$11:$AM$375,37)</f>
        <v>0</v>
      </c>
      <c r="AG132" s="223">
        <f ca="1">VLOOKUP($B132,DATOSAÑO!$B$11:$AM$375,38)</f>
        <v>0</v>
      </c>
      <c r="AH132" s="223">
        <f ca="1">VLOOKUP($B132,DATOSAÑO!$B$11:$AN$375,39)</f>
        <v>0</v>
      </c>
      <c r="AI132" s="223">
        <f ca="1">VLOOKUP($B132,DATOSAÑO!$B$11:$BJ$375,61)</f>
        <v>0</v>
      </c>
      <c r="AJ132" s="223">
        <f ca="1">VLOOKUP($B132,DATOSAÑO!$B$11:$BM$375,64)</f>
        <v>0</v>
      </c>
      <c r="AK132" s="223">
        <f ca="1">VLOOKUP($B132,DATOSAÑO!$B$11:$BP$375,67)</f>
        <v>0</v>
      </c>
      <c r="AL132" s="223">
        <f ca="1">VLOOKUP($B132,DATOSAÑO!$B$11:$CC$375,80)</f>
        <v>0</v>
      </c>
    </row>
    <row r="133" spans="1:38">
      <c r="A133" s="97"/>
      <c r="B133" s="439">
        <f t="shared" si="16"/>
        <v>45238</v>
      </c>
      <c r="C133" s="223">
        <f ca="1">VLOOKUP($B133,DATOSAÑO!$B$11:$AR$375,8)</f>
        <v>0</v>
      </c>
      <c r="D133" s="223">
        <f ca="1">VLOOKUP($B133,DATOSAÑO!$B$11:$AR$375,40)</f>
        <v>0</v>
      </c>
      <c r="E133" s="223">
        <f ca="1">VLOOKUP($B133,DATOSAÑO!$B$11:$AR$375,3)</f>
        <v>0</v>
      </c>
      <c r="F133" s="223">
        <f t="shared" ca="1" si="9"/>
        <v>0</v>
      </c>
      <c r="G133" s="434">
        <f t="shared" ca="1" si="10"/>
        <v>0</v>
      </c>
      <c r="H133" s="223">
        <f ca="1">VLOOKUP($B133,DATOSAÑO!$B$11:$AR$375,6)</f>
        <v>0</v>
      </c>
      <c r="I133" s="223">
        <f ca="1">VLOOKUP($B133,DATOSAÑO!$B$11:$AR$375,15)</f>
        <v>0</v>
      </c>
      <c r="J133" s="223">
        <f ca="1">VLOOKUP($B133,DATOSAÑO!$B$11:$AR$375,41)</f>
        <v>0</v>
      </c>
      <c r="K133" s="223">
        <f ca="1">VLOOKUP($B133,DATOSAÑO!$B$11:$AR$375,10)</f>
        <v>0</v>
      </c>
      <c r="L133" s="223">
        <f t="shared" ca="1" si="11"/>
        <v>0</v>
      </c>
      <c r="M133" s="434">
        <f t="shared" ca="1" si="12"/>
        <v>0</v>
      </c>
      <c r="N133" s="223">
        <f ca="1">VLOOKUP($B133,DATOSAÑO!$B$11:$AR$375,13)</f>
        <v>0</v>
      </c>
      <c r="O133" s="223">
        <f t="shared" ca="1" si="13"/>
        <v>0</v>
      </c>
      <c r="P133" s="223">
        <f t="shared" ca="1" si="14"/>
        <v>0</v>
      </c>
      <c r="Q133" s="223">
        <f t="shared" ca="1" si="15"/>
        <v>0</v>
      </c>
      <c r="R133" s="223">
        <f ca="1">VLOOKUP($B133,DATOSAÑO!$B$11:$AR$375,16)</f>
        <v>0</v>
      </c>
      <c r="S133" s="223">
        <f ca="1">VLOOKUP($B133,DATOSAÑO!$B$11:$AR$375,43)</f>
        <v>0</v>
      </c>
      <c r="T133" s="223">
        <f ca="1">VLOOKUP($B133,DATOSAÑO!$B$11:$AR$375,17)</f>
        <v>0</v>
      </c>
      <c r="U133" s="223">
        <f ca="1">VLOOKUP($B133,DATOSAÑO!$B$11:$AR$375,19)</f>
        <v>0</v>
      </c>
      <c r="V133" s="223">
        <f ca="1">VLOOKUP($B133,DATOSAÑO!$B$11:$AR$375,43)</f>
        <v>0</v>
      </c>
      <c r="W133" s="223">
        <f ca="1">VLOOKUP($B133,DATOSAÑO!$B$11:$AR$375,20)</f>
        <v>0</v>
      </c>
      <c r="X133" s="223">
        <f ca="1">VLOOKUP($B133,DATOSAÑO!$B$11:$AR$375,24)</f>
        <v>0</v>
      </c>
      <c r="Y133" s="223">
        <f ca="1">VLOOKUP($B133,DATOSAÑO!$B$11:$BG$375,55)</f>
        <v>0</v>
      </c>
      <c r="Z133" s="223">
        <f ca="1">VLOOKUP($B133,DATOSAÑO!$B$11:$AM$375,29)</f>
        <v>0</v>
      </c>
      <c r="AA133" s="223">
        <f ca="1">VLOOKUP($B133,DATOSAÑO!$B$11:$AM$375,31)</f>
        <v>0</v>
      </c>
      <c r="AB133" s="223">
        <f ca="1">VLOOKUP($B133,DATOSAÑO!$B$11:$AM$375,33)</f>
        <v>0</v>
      </c>
      <c r="AC133" s="223">
        <f ca="1">VLOOKUP($B133,DATOSAÑO!$B$11:$AM$375,34)</f>
        <v>0</v>
      </c>
      <c r="AD133" s="223">
        <f ca="1">VLOOKUP($B133,DATOSAÑO!$B$11:$AM$375,35)</f>
        <v>0</v>
      </c>
      <c r="AE133" s="223">
        <f ca="1">VLOOKUP($B133,DATOSAÑO!$B$11:$AM$375,36)</f>
        <v>0</v>
      </c>
      <c r="AF133" s="223">
        <f ca="1">VLOOKUP($B133,DATOSAÑO!$B$11:$AM$375,37)</f>
        <v>0</v>
      </c>
      <c r="AG133" s="223">
        <f ca="1">VLOOKUP($B133,DATOSAÑO!$B$11:$AM$375,38)</f>
        <v>0</v>
      </c>
      <c r="AH133" s="223">
        <f ca="1">VLOOKUP($B133,DATOSAÑO!$B$11:$AN$375,39)</f>
        <v>0</v>
      </c>
      <c r="AI133" s="223">
        <f ca="1">VLOOKUP($B133,DATOSAÑO!$B$11:$BJ$375,61)</f>
        <v>0</v>
      </c>
      <c r="AJ133" s="223">
        <f ca="1">VLOOKUP($B133,DATOSAÑO!$B$11:$BM$375,64)</f>
        <v>0</v>
      </c>
      <c r="AK133" s="223">
        <f ca="1">VLOOKUP($B133,DATOSAÑO!$B$11:$BP$375,67)</f>
        <v>0</v>
      </c>
      <c r="AL133" s="223">
        <f ca="1">VLOOKUP($B133,DATOSAÑO!$B$11:$CC$375,80)</f>
        <v>0</v>
      </c>
    </row>
    <row r="134" spans="1:38">
      <c r="A134" s="97"/>
      <c r="B134" s="439">
        <f t="shared" si="16"/>
        <v>45239</v>
      </c>
      <c r="C134" s="223">
        <f ca="1">VLOOKUP($B134,DATOSAÑO!$B$11:$AR$375,8)</f>
        <v>0</v>
      </c>
      <c r="D134" s="223">
        <f ca="1">VLOOKUP($B134,DATOSAÑO!$B$11:$AR$375,40)</f>
        <v>0</v>
      </c>
      <c r="E134" s="223">
        <f ca="1">VLOOKUP($B134,DATOSAÑO!$B$11:$AR$375,3)</f>
        <v>0</v>
      </c>
      <c r="F134" s="223">
        <f t="shared" ca="1" si="9"/>
        <v>0</v>
      </c>
      <c r="G134" s="434">
        <f t="shared" ca="1" si="10"/>
        <v>0</v>
      </c>
      <c r="H134" s="223">
        <f ca="1">VLOOKUP($B134,DATOSAÑO!$B$11:$AR$375,6)</f>
        <v>0</v>
      </c>
      <c r="I134" s="223">
        <f ca="1">VLOOKUP($B134,DATOSAÑO!$B$11:$AR$375,15)</f>
        <v>0</v>
      </c>
      <c r="J134" s="223">
        <f ca="1">VLOOKUP($B134,DATOSAÑO!$B$11:$AR$375,41)</f>
        <v>0</v>
      </c>
      <c r="K134" s="223">
        <f ca="1">VLOOKUP($B134,DATOSAÑO!$B$11:$AR$375,10)</f>
        <v>0</v>
      </c>
      <c r="L134" s="223">
        <f t="shared" ca="1" si="11"/>
        <v>0</v>
      </c>
      <c r="M134" s="434">
        <f t="shared" ca="1" si="12"/>
        <v>0</v>
      </c>
      <c r="N134" s="223">
        <f ca="1">VLOOKUP($B134,DATOSAÑO!$B$11:$AR$375,13)</f>
        <v>0</v>
      </c>
      <c r="O134" s="223">
        <f t="shared" ca="1" si="13"/>
        <v>0</v>
      </c>
      <c r="P134" s="223">
        <f t="shared" ca="1" si="14"/>
        <v>0</v>
      </c>
      <c r="Q134" s="223">
        <f t="shared" ca="1" si="15"/>
        <v>0</v>
      </c>
      <c r="R134" s="223">
        <f ca="1">VLOOKUP($B134,DATOSAÑO!$B$11:$AR$375,16)</f>
        <v>0</v>
      </c>
      <c r="S134" s="223">
        <f ca="1">VLOOKUP($B134,DATOSAÑO!$B$11:$AR$375,43)</f>
        <v>0</v>
      </c>
      <c r="T134" s="223">
        <f ca="1">VLOOKUP($B134,DATOSAÑO!$B$11:$AR$375,17)</f>
        <v>0</v>
      </c>
      <c r="U134" s="223">
        <f ca="1">VLOOKUP($B134,DATOSAÑO!$B$11:$AR$375,19)</f>
        <v>0</v>
      </c>
      <c r="V134" s="223">
        <f ca="1">VLOOKUP($B134,DATOSAÑO!$B$11:$AR$375,43)</f>
        <v>0</v>
      </c>
      <c r="W134" s="223">
        <f ca="1">VLOOKUP($B134,DATOSAÑO!$B$11:$AR$375,20)</f>
        <v>0</v>
      </c>
      <c r="X134" s="223">
        <f ca="1">VLOOKUP($B134,DATOSAÑO!$B$11:$AR$375,24)</f>
        <v>0</v>
      </c>
      <c r="Y134" s="223">
        <f ca="1">VLOOKUP($B134,DATOSAÑO!$B$11:$BG$375,55)</f>
        <v>0</v>
      </c>
      <c r="Z134" s="223">
        <f ca="1">VLOOKUP($B134,DATOSAÑO!$B$11:$AM$375,29)</f>
        <v>0</v>
      </c>
      <c r="AA134" s="223">
        <f ca="1">VLOOKUP($B134,DATOSAÑO!$B$11:$AM$375,31)</f>
        <v>0</v>
      </c>
      <c r="AB134" s="223">
        <f ca="1">VLOOKUP($B134,DATOSAÑO!$B$11:$AM$375,33)</f>
        <v>0</v>
      </c>
      <c r="AC134" s="223">
        <f ca="1">VLOOKUP($B134,DATOSAÑO!$B$11:$AM$375,34)</f>
        <v>0</v>
      </c>
      <c r="AD134" s="223">
        <f ca="1">VLOOKUP($B134,DATOSAÑO!$B$11:$AM$375,35)</f>
        <v>0</v>
      </c>
      <c r="AE134" s="223">
        <f ca="1">VLOOKUP($B134,DATOSAÑO!$B$11:$AM$375,36)</f>
        <v>0</v>
      </c>
      <c r="AF134" s="223">
        <f ca="1">VLOOKUP($B134,DATOSAÑO!$B$11:$AM$375,37)</f>
        <v>0</v>
      </c>
      <c r="AG134" s="223">
        <f ca="1">VLOOKUP($B134,DATOSAÑO!$B$11:$AM$375,38)</f>
        <v>0</v>
      </c>
      <c r="AH134" s="223">
        <f ca="1">VLOOKUP($B134,DATOSAÑO!$B$11:$AN$375,39)</f>
        <v>0</v>
      </c>
      <c r="AI134" s="223">
        <f ca="1">VLOOKUP($B134,DATOSAÑO!$B$11:$BJ$375,61)</f>
        <v>0</v>
      </c>
      <c r="AJ134" s="223">
        <f ca="1">VLOOKUP($B134,DATOSAÑO!$B$11:$BM$375,64)</f>
        <v>0</v>
      </c>
      <c r="AK134" s="223">
        <f ca="1">VLOOKUP($B134,DATOSAÑO!$B$11:$BP$375,67)</f>
        <v>0</v>
      </c>
      <c r="AL134" s="223">
        <f ca="1">VLOOKUP($B134,DATOSAÑO!$B$11:$CC$375,80)</f>
        <v>0</v>
      </c>
    </row>
    <row r="135" spans="1:38">
      <c r="B135" s="439">
        <f t="shared" si="16"/>
        <v>45240</v>
      </c>
      <c r="C135" s="223">
        <f ca="1">VLOOKUP($B135,DATOSAÑO!$B$11:$AR$375,8)</f>
        <v>0</v>
      </c>
      <c r="D135" s="223">
        <f ca="1">VLOOKUP($B135,DATOSAÑO!$B$11:$AR$375,40)</f>
        <v>0</v>
      </c>
      <c r="E135" s="223">
        <f ca="1">VLOOKUP($B135,DATOSAÑO!$B$11:$AR$375,3)</f>
        <v>0</v>
      </c>
      <c r="F135" s="223">
        <f t="shared" ca="1" si="9"/>
        <v>0</v>
      </c>
      <c r="G135" s="434">
        <f t="shared" ca="1" si="10"/>
        <v>0</v>
      </c>
      <c r="H135" s="223">
        <f ca="1">VLOOKUP($B135,DATOSAÑO!$B$11:$AR$375,6)</f>
        <v>0</v>
      </c>
      <c r="I135" s="223">
        <f ca="1">VLOOKUP($B135,DATOSAÑO!$B$11:$AR$375,15)</f>
        <v>0</v>
      </c>
      <c r="J135" s="223">
        <f ca="1">VLOOKUP($B135,DATOSAÑO!$B$11:$AR$375,41)</f>
        <v>0</v>
      </c>
      <c r="K135" s="223">
        <f ca="1">VLOOKUP($B135,DATOSAÑO!$B$11:$AR$375,10)</f>
        <v>0</v>
      </c>
      <c r="L135" s="223">
        <f t="shared" ca="1" si="11"/>
        <v>0</v>
      </c>
      <c r="M135" s="434">
        <f t="shared" ca="1" si="12"/>
        <v>0</v>
      </c>
      <c r="N135" s="223">
        <f ca="1">VLOOKUP($B135,DATOSAÑO!$B$11:$AR$375,13)</f>
        <v>0</v>
      </c>
      <c r="O135" s="223">
        <f t="shared" ca="1" si="13"/>
        <v>0</v>
      </c>
      <c r="P135" s="223">
        <f t="shared" ca="1" si="14"/>
        <v>0</v>
      </c>
      <c r="Q135" s="223">
        <f t="shared" ca="1" si="15"/>
        <v>0</v>
      </c>
      <c r="R135" s="223">
        <f ca="1">VLOOKUP($B135,DATOSAÑO!$B$11:$AR$375,16)</f>
        <v>0</v>
      </c>
      <c r="S135" s="223">
        <f ca="1">VLOOKUP($B135,DATOSAÑO!$B$11:$AR$375,43)</f>
        <v>0</v>
      </c>
      <c r="T135" s="223">
        <f ca="1">VLOOKUP($B135,DATOSAÑO!$B$11:$AR$375,17)</f>
        <v>0</v>
      </c>
      <c r="U135" s="223">
        <f ca="1">VLOOKUP($B135,DATOSAÑO!$B$11:$AR$375,19)</f>
        <v>0</v>
      </c>
      <c r="V135" s="223">
        <f ca="1">VLOOKUP($B135,DATOSAÑO!$B$11:$AR$375,43)</f>
        <v>0</v>
      </c>
      <c r="W135" s="223">
        <f ca="1">VLOOKUP($B135,DATOSAÑO!$B$11:$AR$375,20)</f>
        <v>0</v>
      </c>
      <c r="X135" s="223">
        <f ca="1">VLOOKUP($B135,DATOSAÑO!$B$11:$AR$375,24)</f>
        <v>0</v>
      </c>
      <c r="Y135" s="223">
        <f ca="1">VLOOKUP($B135,DATOSAÑO!$B$11:$BG$375,55)</f>
        <v>0</v>
      </c>
      <c r="Z135" s="223">
        <f ca="1">VLOOKUP($B135,DATOSAÑO!$B$11:$AM$375,29)</f>
        <v>0</v>
      </c>
      <c r="AA135" s="223">
        <f ca="1">VLOOKUP($B135,DATOSAÑO!$B$11:$AM$375,31)</f>
        <v>0</v>
      </c>
      <c r="AB135" s="223">
        <f ca="1">VLOOKUP($B135,DATOSAÑO!$B$11:$AM$375,33)</f>
        <v>0</v>
      </c>
      <c r="AC135" s="223">
        <f ca="1">VLOOKUP($B135,DATOSAÑO!$B$11:$AM$375,34)</f>
        <v>0</v>
      </c>
      <c r="AD135" s="223">
        <f ca="1">VLOOKUP($B135,DATOSAÑO!$B$11:$AM$375,35)</f>
        <v>0</v>
      </c>
      <c r="AE135" s="223">
        <f ca="1">VLOOKUP($B135,DATOSAÑO!$B$11:$AM$375,36)</f>
        <v>0</v>
      </c>
      <c r="AF135" s="223">
        <f ca="1">VLOOKUP($B135,DATOSAÑO!$B$11:$AM$375,37)</f>
        <v>0</v>
      </c>
      <c r="AG135" s="223">
        <f ca="1">VLOOKUP($B135,DATOSAÑO!$B$11:$AM$375,38)</f>
        <v>0</v>
      </c>
      <c r="AH135" s="223">
        <f ca="1">VLOOKUP($B135,DATOSAÑO!$B$11:$AN$375,39)</f>
        <v>0</v>
      </c>
      <c r="AI135" s="223">
        <f ca="1">VLOOKUP($B135,DATOSAÑO!$B$11:$BJ$375,61)</f>
        <v>0</v>
      </c>
      <c r="AJ135" s="223">
        <f ca="1">VLOOKUP($B135,DATOSAÑO!$B$11:$BM$375,64)</f>
        <v>0</v>
      </c>
      <c r="AK135" s="223">
        <f ca="1">VLOOKUP($B135,DATOSAÑO!$B$11:$BP$375,67)</f>
        <v>0</v>
      </c>
      <c r="AL135" s="223">
        <f ca="1">VLOOKUP($B135,DATOSAÑO!$B$11:$CC$375,80)</f>
        <v>0</v>
      </c>
    </row>
    <row r="136" spans="1:38">
      <c r="B136" s="439">
        <f t="shared" si="16"/>
        <v>45241</v>
      </c>
      <c r="C136" s="223">
        <f ca="1">VLOOKUP($B136,DATOSAÑO!$B$11:$AR$375,8)</f>
        <v>0</v>
      </c>
      <c r="D136" s="223">
        <f ca="1">VLOOKUP($B136,DATOSAÑO!$B$11:$AR$375,40)</f>
        <v>0</v>
      </c>
      <c r="E136" s="223">
        <f ca="1">VLOOKUP($B136,DATOSAÑO!$B$11:$AR$375,3)</f>
        <v>0</v>
      </c>
      <c r="F136" s="223">
        <f t="shared" ca="1" si="9"/>
        <v>0</v>
      </c>
      <c r="G136" s="434">
        <f t="shared" ca="1" si="10"/>
        <v>0</v>
      </c>
      <c r="H136" s="223">
        <f ca="1">VLOOKUP($B136,DATOSAÑO!$B$11:$AR$375,6)</f>
        <v>0</v>
      </c>
      <c r="I136" s="223">
        <f ca="1">VLOOKUP($B136,DATOSAÑO!$B$11:$AR$375,15)</f>
        <v>0</v>
      </c>
      <c r="J136" s="223">
        <f ca="1">VLOOKUP($B136,DATOSAÑO!$B$11:$AR$375,41)</f>
        <v>0</v>
      </c>
      <c r="K136" s="223">
        <f ca="1">VLOOKUP($B136,DATOSAÑO!$B$11:$AR$375,10)</f>
        <v>0</v>
      </c>
      <c r="L136" s="223">
        <f t="shared" ca="1" si="11"/>
        <v>0</v>
      </c>
      <c r="M136" s="434">
        <f t="shared" ca="1" si="12"/>
        <v>0</v>
      </c>
      <c r="N136" s="223">
        <f ca="1">VLOOKUP($B136,DATOSAÑO!$B$11:$AR$375,13)</f>
        <v>0</v>
      </c>
      <c r="O136" s="223">
        <f t="shared" ca="1" si="13"/>
        <v>0</v>
      </c>
      <c r="P136" s="223">
        <f t="shared" ca="1" si="14"/>
        <v>0</v>
      </c>
      <c r="Q136" s="223">
        <f t="shared" ca="1" si="15"/>
        <v>0</v>
      </c>
      <c r="R136" s="223">
        <f ca="1">VLOOKUP($B136,DATOSAÑO!$B$11:$AR$375,16)</f>
        <v>0</v>
      </c>
      <c r="S136" s="223">
        <f ca="1">VLOOKUP($B136,DATOSAÑO!$B$11:$AR$375,43)</f>
        <v>0</v>
      </c>
      <c r="T136" s="223">
        <f ca="1">VLOOKUP($B136,DATOSAÑO!$B$11:$AR$375,17)</f>
        <v>0</v>
      </c>
      <c r="U136" s="223">
        <f ca="1">VLOOKUP($B136,DATOSAÑO!$B$11:$AR$375,19)</f>
        <v>0</v>
      </c>
      <c r="V136" s="223">
        <f ca="1">VLOOKUP($B136,DATOSAÑO!$B$11:$AR$375,43)</f>
        <v>0</v>
      </c>
      <c r="W136" s="223">
        <f ca="1">VLOOKUP($B136,DATOSAÑO!$B$11:$AR$375,20)</f>
        <v>0</v>
      </c>
      <c r="X136" s="223">
        <f ca="1">VLOOKUP($B136,DATOSAÑO!$B$11:$AR$375,24)</f>
        <v>0</v>
      </c>
      <c r="Y136" s="223">
        <f ca="1">VLOOKUP($B136,DATOSAÑO!$B$11:$BG$375,55)</f>
        <v>0</v>
      </c>
      <c r="Z136" s="223">
        <f ca="1">VLOOKUP($B136,DATOSAÑO!$B$11:$AM$375,29)</f>
        <v>0</v>
      </c>
      <c r="AA136" s="223">
        <f ca="1">VLOOKUP($B136,DATOSAÑO!$B$11:$AM$375,31)</f>
        <v>0</v>
      </c>
      <c r="AB136" s="223">
        <f ca="1">VLOOKUP($B136,DATOSAÑO!$B$11:$AM$375,33)</f>
        <v>0</v>
      </c>
      <c r="AC136" s="223">
        <f ca="1">VLOOKUP($B136,DATOSAÑO!$B$11:$AM$375,34)</f>
        <v>0</v>
      </c>
      <c r="AD136" s="223">
        <f ca="1">VLOOKUP($B136,DATOSAÑO!$B$11:$AM$375,35)</f>
        <v>0</v>
      </c>
      <c r="AE136" s="223">
        <f ca="1">VLOOKUP($B136,DATOSAÑO!$B$11:$AM$375,36)</f>
        <v>0</v>
      </c>
      <c r="AF136" s="223">
        <f ca="1">VLOOKUP($B136,DATOSAÑO!$B$11:$AM$375,37)</f>
        <v>0</v>
      </c>
      <c r="AG136" s="223">
        <f ca="1">VLOOKUP($B136,DATOSAÑO!$B$11:$AM$375,38)</f>
        <v>0</v>
      </c>
      <c r="AH136" s="223">
        <f ca="1">VLOOKUP($B136,DATOSAÑO!$B$11:$AN$375,39)</f>
        <v>0</v>
      </c>
      <c r="AI136" s="223">
        <f ca="1">VLOOKUP($B136,DATOSAÑO!$B$11:$BJ$375,61)</f>
        <v>0</v>
      </c>
      <c r="AJ136" s="223">
        <f ca="1">VLOOKUP($B136,DATOSAÑO!$B$11:$BM$375,64)</f>
        <v>0</v>
      </c>
      <c r="AK136" s="223">
        <f ca="1">VLOOKUP($B136,DATOSAÑO!$B$11:$BP$375,67)</f>
        <v>0</v>
      </c>
      <c r="AL136" s="223">
        <f ca="1">VLOOKUP($B136,DATOSAÑO!$B$11:$CC$375,80)</f>
        <v>0</v>
      </c>
    </row>
    <row r="137" spans="1:38">
      <c r="B137" s="439">
        <f t="shared" si="16"/>
        <v>45242</v>
      </c>
      <c r="C137" s="223">
        <f ca="1">VLOOKUP($B137,DATOSAÑO!$B$11:$AR$375,8)</f>
        <v>0</v>
      </c>
      <c r="D137" s="223">
        <f ca="1">VLOOKUP($B137,DATOSAÑO!$B$11:$AR$375,40)</f>
        <v>0</v>
      </c>
      <c r="E137" s="223">
        <f ca="1">VLOOKUP($B137,DATOSAÑO!$B$11:$AR$375,3)</f>
        <v>0</v>
      </c>
      <c r="F137" s="223">
        <f t="shared" ca="1" si="9"/>
        <v>0</v>
      </c>
      <c r="G137" s="434">
        <f t="shared" ca="1" si="10"/>
        <v>0</v>
      </c>
      <c r="H137" s="223">
        <f ca="1">VLOOKUP($B137,DATOSAÑO!$B$11:$AR$375,6)</f>
        <v>0</v>
      </c>
      <c r="I137" s="223">
        <f ca="1">VLOOKUP($B137,DATOSAÑO!$B$11:$AR$375,15)</f>
        <v>0</v>
      </c>
      <c r="J137" s="223">
        <f ca="1">VLOOKUP($B137,DATOSAÑO!$B$11:$AR$375,41)</f>
        <v>0</v>
      </c>
      <c r="K137" s="223">
        <f ca="1">VLOOKUP($B137,DATOSAÑO!$B$11:$AR$375,10)</f>
        <v>0</v>
      </c>
      <c r="L137" s="223">
        <f t="shared" ca="1" si="11"/>
        <v>0</v>
      </c>
      <c r="M137" s="434">
        <f t="shared" ca="1" si="12"/>
        <v>0</v>
      </c>
      <c r="N137" s="223">
        <f ca="1">VLOOKUP($B137,DATOSAÑO!$B$11:$AR$375,13)</f>
        <v>0</v>
      </c>
      <c r="O137" s="223">
        <f t="shared" ca="1" si="13"/>
        <v>0</v>
      </c>
      <c r="P137" s="223">
        <f t="shared" ca="1" si="14"/>
        <v>0</v>
      </c>
      <c r="Q137" s="223">
        <f t="shared" ca="1" si="15"/>
        <v>0</v>
      </c>
      <c r="R137" s="223">
        <f ca="1">VLOOKUP($B137,DATOSAÑO!$B$11:$AR$375,16)</f>
        <v>0</v>
      </c>
      <c r="S137" s="223">
        <f ca="1">VLOOKUP($B137,DATOSAÑO!$B$11:$AR$375,43)</f>
        <v>0</v>
      </c>
      <c r="T137" s="223">
        <f ca="1">VLOOKUP($B137,DATOSAÑO!$B$11:$AR$375,17)</f>
        <v>0</v>
      </c>
      <c r="U137" s="223">
        <f ca="1">VLOOKUP($B137,DATOSAÑO!$B$11:$AR$375,19)</f>
        <v>0</v>
      </c>
      <c r="V137" s="223">
        <f ca="1">VLOOKUP($B137,DATOSAÑO!$B$11:$AR$375,43)</f>
        <v>0</v>
      </c>
      <c r="W137" s="223">
        <f ca="1">VLOOKUP($B137,DATOSAÑO!$B$11:$AR$375,20)</f>
        <v>0</v>
      </c>
      <c r="X137" s="223">
        <f ca="1">VLOOKUP($B137,DATOSAÑO!$B$11:$AR$375,24)</f>
        <v>0</v>
      </c>
      <c r="Y137" s="223">
        <f ca="1">VLOOKUP($B137,DATOSAÑO!$B$11:$BG$375,55)</f>
        <v>0</v>
      </c>
      <c r="Z137" s="223">
        <f ca="1">VLOOKUP($B137,DATOSAÑO!$B$11:$AM$375,29)</f>
        <v>0</v>
      </c>
      <c r="AA137" s="223">
        <f ca="1">VLOOKUP($B137,DATOSAÑO!$B$11:$AM$375,31)</f>
        <v>0</v>
      </c>
      <c r="AB137" s="223">
        <f ca="1">VLOOKUP($B137,DATOSAÑO!$B$11:$AM$375,33)</f>
        <v>0</v>
      </c>
      <c r="AC137" s="223">
        <f ca="1">VLOOKUP($B137,DATOSAÑO!$B$11:$AM$375,34)</f>
        <v>0</v>
      </c>
      <c r="AD137" s="223">
        <f ca="1">VLOOKUP($B137,DATOSAÑO!$B$11:$AM$375,35)</f>
        <v>0</v>
      </c>
      <c r="AE137" s="223">
        <f ca="1">VLOOKUP($B137,DATOSAÑO!$B$11:$AM$375,36)</f>
        <v>0</v>
      </c>
      <c r="AF137" s="223">
        <f ca="1">VLOOKUP($B137,DATOSAÑO!$B$11:$AM$375,37)</f>
        <v>0</v>
      </c>
      <c r="AG137" s="223">
        <f ca="1">VLOOKUP($B137,DATOSAÑO!$B$11:$AM$375,38)</f>
        <v>0</v>
      </c>
      <c r="AH137" s="223">
        <f ca="1">VLOOKUP($B137,DATOSAÑO!$B$11:$AN$375,39)</f>
        <v>0</v>
      </c>
      <c r="AI137" s="223">
        <f ca="1">VLOOKUP($B137,DATOSAÑO!$B$11:$BJ$375,61)</f>
        <v>0</v>
      </c>
      <c r="AJ137" s="223">
        <f ca="1">VLOOKUP($B137,DATOSAÑO!$B$11:$BM$375,64)</f>
        <v>0</v>
      </c>
      <c r="AK137" s="223">
        <f ca="1">VLOOKUP($B137,DATOSAÑO!$B$11:$BP$375,67)</f>
        <v>0</v>
      </c>
      <c r="AL137" s="223">
        <f ca="1">VLOOKUP($B137,DATOSAÑO!$B$11:$CC$375,80)</f>
        <v>0</v>
      </c>
    </row>
    <row r="138" spans="1:38">
      <c r="B138" s="439">
        <f t="shared" si="16"/>
        <v>45243</v>
      </c>
      <c r="C138" s="223">
        <f ca="1">VLOOKUP($B138,DATOSAÑO!$B$11:$AR$375,8)</f>
        <v>0</v>
      </c>
      <c r="D138" s="223">
        <f ca="1">VLOOKUP($B138,DATOSAÑO!$B$11:$AR$375,40)</f>
        <v>0</v>
      </c>
      <c r="E138" s="223">
        <f ca="1">VLOOKUP($B138,DATOSAÑO!$B$11:$AR$375,3)</f>
        <v>0</v>
      </c>
      <c r="F138" s="223">
        <f t="shared" ca="1" si="9"/>
        <v>0</v>
      </c>
      <c r="G138" s="434">
        <f t="shared" ca="1" si="10"/>
        <v>0</v>
      </c>
      <c r="H138" s="223">
        <f ca="1">VLOOKUP($B138,DATOSAÑO!$B$11:$AR$375,6)</f>
        <v>0</v>
      </c>
      <c r="I138" s="223">
        <f ca="1">VLOOKUP($B138,DATOSAÑO!$B$11:$AR$375,15)</f>
        <v>0</v>
      </c>
      <c r="J138" s="223">
        <f ca="1">VLOOKUP($B138,DATOSAÑO!$B$11:$AR$375,41)</f>
        <v>0</v>
      </c>
      <c r="K138" s="223">
        <f ca="1">VLOOKUP($B138,DATOSAÑO!$B$11:$AR$375,10)</f>
        <v>0</v>
      </c>
      <c r="L138" s="223">
        <f t="shared" ca="1" si="11"/>
        <v>0</v>
      </c>
      <c r="M138" s="434">
        <f t="shared" ca="1" si="12"/>
        <v>0</v>
      </c>
      <c r="N138" s="223">
        <f ca="1">VLOOKUP($B138,DATOSAÑO!$B$11:$AR$375,13)</f>
        <v>0</v>
      </c>
      <c r="O138" s="223">
        <f t="shared" ca="1" si="13"/>
        <v>0</v>
      </c>
      <c r="P138" s="223">
        <f t="shared" ca="1" si="14"/>
        <v>0</v>
      </c>
      <c r="Q138" s="223">
        <f t="shared" ca="1" si="15"/>
        <v>0</v>
      </c>
      <c r="R138" s="223">
        <f ca="1">VLOOKUP($B138,DATOSAÑO!$B$11:$AR$375,16)</f>
        <v>0</v>
      </c>
      <c r="S138" s="223">
        <f ca="1">VLOOKUP($B138,DATOSAÑO!$B$11:$AR$375,43)</f>
        <v>0</v>
      </c>
      <c r="T138" s="223">
        <f ca="1">VLOOKUP($B138,DATOSAÑO!$B$11:$AR$375,17)</f>
        <v>0</v>
      </c>
      <c r="U138" s="223">
        <f ca="1">VLOOKUP($B138,DATOSAÑO!$B$11:$AR$375,19)</f>
        <v>0</v>
      </c>
      <c r="V138" s="223">
        <f ca="1">VLOOKUP($B138,DATOSAÑO!$B$11:$AR$375,43)</f>
        <v>0</v>
      </c>
      <c r="W138" s="223">
        <f ca="1">VLOOKUP($B138,DATOSAÑO!$B$11:$AR$375,20)</f>
        <v>0</v>
      </c>
      <c r="X138" s="223">
        <f ca="1">VLOOKUP($B138,DATOSAÑO!$B$11:$AR$375,24)</f>
        <v>0</v>
      </c>
      <c r="Y138" s="223">
        <f ca="1">VLOOKUP($B138,DATOSAÑO!$B$11:$BG$375,55)</f>
        <v>0</v>
      </c>
      <c r="Z138" s="223">
        <f ca="1">VLOOKUP($B138,DATOSAÑO!$B$11:$AM$375,29)</f>
        <v>0</v>
      </c>
      <c r="AA138" s="223">
        <f ca="1">VLOOKUP($B138,DATOSAÑO!$B$11:$AM$375,31)</f>
        <v>0</v>
      </c>
      <c r="AB138" s="223">
        <f ca="1">VLOOKUP($B138,DATOSAÑO!$B$11:$AM$375,33)</f>
        <v>0</v>
      </c>
      <c r="AC138" s="223">
        <f ca="1">VLOOKUP($B138,DATOSAÑO!$B$11:$AM$375,34)</f>
        <v>0</v>
      </c>
      <c r="AD138" s="223">
        <f ca="1">VLOOKUP($B138,DATOSAÑO!$B$11:$AM$375,35)</f>
        <v>0</v>
      </c>
      <c r="AE138" s="223">
        <f ca="1">VLOOKUP($B138,DATOSAÑO!$B$11:$AM$375,36)</f>
        <v>0</v>
      </c>
      <c r="AF138" s="223">
        <f ca="1">VLOOKUP($B138,DATOSAÑO!$B$11:$AM$375,37)</f>
        <v>0</v>
      </c>
      <c r="AG138" s="223">
        <f ca="1">VLOOKUP($B138,DATOSAÑO!$B$11:$AM$375,38)</f>
        <v>0</v>
      </c>
      <c r="AH138" s="223">
        <f ca="1">VLOOKUP($B138,DATOSAÑO!$B$11:$AN$375,39)</f>
        <v>0</v>
      </c>
      <c r="AI138" s="223">
        <f ca="1">VLOOKUP($B138,DATOSAÑO!$B$11:$BJ$375,61)</f>
        <v>0</v>
      </c>
      <c r="AJ138" s="223">
        <f ca="1">VLOOKUP($B138,DATOSAÑO!$B$11:$BM$375,64)</f>
        <v>0</v>
      </c>
      <c r="AK138" s="223">
        <f ca="1">VLOOKUP($B138,DATOSAÑO!$B$11:$BP$375,67)</f>
        <v>0</v>
      </c>
      <c r="AL138" s="223">
        <f ca="1">VLOOKUP($B138,DATOSAÑO!$B$11:$CC$375,80)</f>
        <v>0</v>
      </c>
    </row>
    <row r="139" spans="1:38">
      <c r="B139" s="439">
        <f t="shared" si="16"/>
        <v>45244</v>
      </c>
      <c r="C139" s="223">
        <f ca="1">VLOOKUP($B139,DATOSAÑO!$B$11:$AR$375,8)</f>
        <v>0</v>
      </c>
      <c r="D139" s="223">
        <f ca="1">VLOOKUP($B139,DATOSAÑO!$B$11:$AR$375,40)</f>
        <v>0</v>
      </c>
      <c r="E139" s="223">
        <f ca="1">VLOOKUP($B139,DATOSAÑO!$B$11:$AR$375,3)</f>
        <v>0</v>
      </c>
      <c r="F139" s="223">
        <f t="shared" ca="1" si="9"/>
        <v>0</v>
      </c>
      <c r="G139" s="434">
        <f t="shared" ca="1" si="10"/>
        <v>0</v>
      </c>
      <c r="H139" s="223">
        <f ca="1">VLOOKUP($B139,DATOSAÑO!$B$11:$AR$375,6)</f>
        <v>0</v>
      </c>
      <c r="I139" s="223">
        <f ca="1">VLOOKUP($B139,DATOSAÑO!$B$11:$AR$375,15)</f>
        <v>0</v>
      </c>
      <c r="J139" s="223">
        <f ca="1">VLOOKUP($B139,DATOSAÑO!$B$11:$AR$375,41)</f>
        <v>0</v>
      </c>
      <c r="K139" s="223">
        <f ca="1">VLOOKUP($B139,DATOSAÑO!$B$11:$AR$375,10)</f>
        <v>0</v>
      </c>
      <c r="L139" s="223">
        <f t="shared" ca="1" si="11"/>
        <v>0</v>
      </c>
      <c r="M139" s="434">
        <f t="shared" ca="1" si="12"/>
        <v>0</v>
      </c>
      <c r="N139" s="223">
        <f ca="1">VLOOKUP($B139,DATOSAÑO!$B$11:$AR$375,13)</f>
        <v>0</v>
      </c>
      <c r="O139" s="223">
        <f t="shared" ca="1" si="13"/>
        <v>0</v>
      </c>
      <c r="P139" s="223">
        <f t="shared" ca="1" si="14"/>
        <v>0</v>
      </c>
      <c r="Q139" s="223">
        <f t="shared" ca="1" si="15"/>
        <v>0</v>
      </c>
      <c r="R139" s="223">
        <f ca="1">VLOOKUP($B139,DATOSAÑO!$B$11:$AR$375,16)</f>
        <v>0</v>
      </c>
      <c r="S139" s="223">
        <f ca="1">VLOOKUP($B139,DATOSAÑO!$B$11:$AR$375,43)</f>
        <v>0</v>
      </c>
      <c r="T139" s="223">
        <f ca="1">VLOOKUP($B139,DATOSAÑO!$B$11:$AR$375,17)</f>
        <v>0</v>
      </c>
      <c r="U139" s="223">
        <f ca="1">VLOOKUP($B139,DATOSAÑO!$B$11:$AR$375,19)</f>
        <v>0</v>
      </c>
      <c r="V139" s="223">
        <f ca="1">VLOOKUP($B139,DATOSAÑO!$B$11:$AR$375,43)</f>
        <v>0</v>
      </c>
      <c r="W139" s="223">
        <f ca="1">VLOOKUP($B139,DATOSAÑO!$B$11:$AR$375,20)</f>
        <v>0</v>
      </c>
      <c r="X139" s="223">
        <f ca="1">VLOOKUP($B139,DATOSAÑO!$B$11:$AR$375,24)</f>
        <v>0</v>
      </c>
      <c r="Y139" s="223">
        <f ca="1">VLOOKUP($B139,DATOSAÑO!$B$11:$BG$375,55)</f>
        <v>0</v>
      </c>
      <c r="Z139" s="223">
        <f ca="1">VLOOKUP($B139,DATOSAÑO!$B$11:$AM$375,29)</f>
        <v>0</v>
      </c>
      <c r="AA139" s="223">
        <f ca="1">VLOOKUP($B139,DATOSAÑO!$B$11:$AM$375,31)</f>
        <v>0</v>
      </c>
      <c r="AB139" s="223">
        <f ca="1">VLOOKUP($B139,DATOSAÑO!$B$11:$AM$375,33)</f>
        <v>0</v>
      </c>
      <c r="AC139" s="223">
        <f ca="1">VLOOKUP($B139,DATOSAÑO!$B$11:$AM$375,34)</f>
        <v>0</v>
      </c>
      <c r="AD139" s="223">
        <f ca="1">VLOOKUP($B139,DATOSAÑO!$B$11:$AM$375,35)</f>
        <v>0</v>
      </c>
      <c r="AE139" s="223">
        <f ca="1">VLOOKUP($B139,DATOSAÑO!$B$11:$AM$375,36)</f>
        <v>0</v>
      </c>
      <c r="AF139" s="223">
        <f ca="1">VLOOKUP($B139,DATOSAÑO!$B$11:$AM$375,37)</f>
        <v>0</v>
      </c>
      <c r="AG139" s="223">
        <f ca="1">VLOOKUP($B139,DATOSAÑO!$B$11:$AM$375,38)</f>
        <v>0</v>
      </c>
      <c r="AH139" s="223">
        <f ca="1">VLOOKUP($B139,DATOSAÑO!$B$11:$AN$375,39)</f>
        <v>0</v>
      </c>
      <c r="AI139" s="223">
        <f ca="1">VLOOKUP($B139,DATOSAÑO!$B$11:$BJ$375,61)</f>
        <v>0</v>
      </c>
      <c r="AJ139" s="223">
        <f ca="1">VLOOKUP($B139,DATOSAÑO!$B$11:$BM$375,64)</f>
        <v>0</v>
      </c>
      <c r="AK139" s="223">
        <f ca="1">VLOOKUP($B139,DATOSAÑO!$B$11:$BP$375,67)</f>
        <v>0</v>
      </c>
      <c r="AL139" s="223">
        <f ca="1">VLOOKUP($B139,DATOSAÑO!$B$11:$CC$375,80)</f>
        <v>0</v>
      </c>
    </row>
    <row r="140" spans="1:38">
      <c r="B140" s="439">
        <f t="shared" si="16"/>
        <v>45245</v>
      </c>
      <c r="C140" s="223">
        <f ca="1">VLOOKUP($B140,DATOSAÑO!$B$11:$AR$375,8)</f>
        <v>0</v>
      </c>
      <c r="D140" s="223">
        <f ca="1">VLOOKUP($B140,DATOSAÑO!$B$11:$AR$375,40)</f>
        <v>0</v>
      </c>
      <c r="E140" s="223">
        <f ca="1">VLOOKUP($B140,DATOSAÑO!$B$11:$AR$375,3)</f>
        <v>0</v>
      </c>
      <c r="F140" s="223">
        <f t="shared" ca="1" si="9"/>
        <v>0</v>
      </c>
      <c r="G140" s="434">
        <f t="shared" ca="1" si="10"/>
        <v>0</v>
      </c>
      <c r="H140" s="223">
        <f ca="1">VLOOKUP($B140,DATOSAÑO!$B$11:$AR$375,6)</f>
        <v>0</v>
      </c>
      <c r="I140" s="223">
        <f ca="1">VLOOKUP($B140,DATOSAÑO!$B$11:$AR$375,15)</f>
        <v>0</v>
      </c>
      <c r="J140" s="223">
        <f ca="1">VLOOKUP($B140,DATOSAÑO!$B$11:$AR$375,41)</f>
        <v>0</v>
      </c>
      <c r="K140" s="223">
        <f ca="1">VLOOKUP($B140,DATOSAÑO!$B$11:$AR$375,10)</f>
        <v>0</v>
      </c>
      <c r="L140" s="223">
        <f t="shared" ca="1" si="11"/>
        <v>0</v>
      </c>
      <c r="M140" s="434">
        <f t="shared" ca="1" si="12"/>
        <v>0</v>
      </c>
      <c r="N140" s="223">
        <f ca="1">VLOOKUP($B140,DATOSAÑO!$B$11:$AR$375,13)</f>
        <v>0</v>
      </c>
      <c r="O140" s="223">
        <f t="shared" ca="1" si="13"/>
        <v>0</v>
      </c>
      <c r="P140" s="223">
        <f t="shared" ca="1" si="14"/>
        <v>0</v>
      </c>
      <c r="Q140" s="223">
        <f t="shared" ca="1" si="15"/>
        <v>0</v>
      </c>
      <c r="R140" s="223">
        <f ca="1">VLOOKUP($B140,DATOSAÑO!$B$11:$AR$375,16)</f>
        <v>0</v>
      </c>
      <c r="S140" s="223">
        <f ca="1">VLOOKUP($B140,DATOSAÑO!$B$11:$AR$375,43)</f>
        <v>0</v>
      </c>
      <c r="T140" s="223">
        <f ca="1">VLOOKUP($B140,DATOSAÑO!$B$11:$AR$375,17)</f>
        <v>0</v>
      </c>
      <c r="U140" s="223">
        <f ca="1">VLOOKUP($B140,DATOSAÑO!$B$11:$AR$375,19)</f>
        <v>0</v>
      </c>
      <c r="V140" s="223">
        <f ca="1">VLOOKUP($B140,DATOSAÑO!$B$11:$AR$375,43)</f>
        <v>0</v>
      </c>
      <c r="W140" s="223">
        <f ca="1">VLOOKUP($B140,DATOSAÑO!$B$11:$AR$375,20)</f>
        <v>0</v>
      </c>
      <c r="X140" s="223">
        <f ca="1">VLOOKUP($B140,DATOSAÑO!$B$11:$AR$375,24)</f>
        <v>0</v>
      </c>
      <c r="Y140" s="223">
        <f ca="1">VLOOKUP($B140,DATOSAÑO!$B$11:$BG$375,55)</f>
        <v>0</v>
      </c>
      <c r="Z140" s="223">
        <f ca="1">VLOOKUP($B140,DATOSAÑO!$B$11:$AM$375,29)</f>
        <v>0</v>
      </c>
      <c r="AA140" s="223">
        <f ca="1">VLOOKUP($B140,DATOSAÑO!$B$11:$AM$375,31)</f>
        <v>0</v>
      </c>
      <c r="AB140" s="223">
        <f ca="1">VLOOKUP($B140,DATOSAÑO!$B$11:$AM$375,33)</f>
        <v>0</v>
      </c>
      <c r="AC140" s="223">
        <f ca="1">VLOOKUP($B140,DATOSAÑO!$B$11:$AM$375,34)</f>
        <v>0</v>
      </c>
      <c r="AD140" s="223">
        <f ca="1">VLOOKUP($B140,DATOSAÑO!$B$11:$AM$375,35)</f>
        <v>0</v>
      </c>
      <c r="AE140" s="223">
        <f ca="1">VLOOKUP($B140,DATOSAÑO!$B$11:$AM$375,36)</f>
        <v>0</v>
      </c>
      <c r="AF140" s="223">
        <f ca="1">VLOOKUP($B140,DATOSAÑO!$B$11:$AM$375,37)</f>
        <v>0</v>
      </c>
      <c r="AG140" s="223">
        <f ca="1">VLOOKUP($B140,DATOSAÑO!$B$11:$AM$375,38)</f>
        <v>0</v>
      </c>
      <c r="AH140" s="223">
        <f ca="1">VLOOKUP($B140,DATOSAÑO!$B$11:$AN$375,39)</f>
        <v>0</v>
      </c>
      <c r="AI140" s="223">
        <f ca="1">VLOOKUP($B140,DATOSAÑO!$B$11:$BJ$375,61)</f>
        <v>0</v>
      </c>
      <c r="AJ140" s="223">
        <f ca="1">VLOOKUP($B140,DATOSAÑO!$B$11:$BM$375,64)</f>
        <v>0</v>
      </c>
      <c r="AK140" s="223">
        <f ca="1">VLOOKUP($B140,DATOSAÑO!$B$11:$BP$375,67)</f>
        <v>0</v>
      </c>
      <c r="AL140" s="223">
        <f ca="1">VLOOKUP($B140,DATOSAÑO!$B$11:$CC$375,80)</f>
        <v>0</v>
      </c>
    </row>
    <row r="141" spans="1:38">
      <c r="B141" s="439">
        <f t="shared" si="16"/>
        <v>45246</v>
      </c>
      <c r="C141" s="223">
        <f ca="1">VLOOKUP($B141,DATOSAÑO!$B$11:$AR$375,8)</f>
        <v>0</v>
      </c>
      <c r="D141" s="223">
        <f ca="1">VLOOKUP($B141,DATOSAÑO!$B$11:$AR$375,40)</f>
        <v>0</v>
      </c>
      <c r="E141" s="223">
        <f ca="1">VLOOKUP($B141,DATOSAÑO!$B$11:$AR$375,3)</f>
        <v>0</v>
      </c>
      <c r="F141" s="223">
        <f t="shared" ca="1" si="9"/>
        <v>0</v>
      </c>
      <c r="G141" s="434">
        <f t="shared" ca="1" si="10"/>
        <v>0</v>
      </c>
      <c r="H141" s="223">
        <f ca="1">VLOOKUP($B141,DATOSAÑO!$B$11:$AR$375,6)</f>
        <v>0</v>
      </c>
      <c r="I141" s="223">
        <f ca="1">VLOOKUP($B141,DATOSAÑO!$B$11:$AR$375,15)</f>
        <v>0</v>
      </c>
      <c r="J141" s="223">
        <f ca="1">VLOOKUP($B141,DATOSAÑO!$B$11:$AR$375,41)</f>
        <v>0</v>
      </c>
      <c r="K141" s="223">
        <f ca="1">VLOOKUP($B141,DATOSAÑO!$B$11:$AR$375,10)</f>
        <v>0</v>
      </c>
      <c r="L141" s="223">
        <f t="shared" ca="1" si="11"/>
        <v>0</v>
      </c>
      <c r="M141" s="434">
        <f t="shared" ca="1" si="12"/>
        <v>0</v>
      </c>
      <c r="N141" s="223">
        <f ca="1">VLOOKUP($B141,DATOSAÑO!$B$11:$AR$375,13)</f>
        <v>0</v>
      </c>
      <c r="O141" s="223">
        <f t="shared" ca="1" si="13"/>
        <v>0</v>
      </c>
      <c r="P141" s="223">
        <f t="shared" ca="1" si="14"/>
        <v>0</v>
      </c>
      <c r="Q141" s="223">
        <f t="shared" ca="1" si="15"/>
        <v>0</v>
      </c>
      <c r="R141" s="223">
        <f ca="1">VLOOKUP($B141,DATOSAÑO!$B$11:$AR$375,16)</f>
        <v>0</v>
      </c>
      <c r="S141" s="223">
        <f ca="1">VLOOKUP($B141,DATOSAÑO!$B$11:$AR$375,43)</f>
        <v>0</v>
      </c>
      <c r="T141" s="223">
        <f ca="1">VLOOKUP($B141,DATOSAÑO!$B$11:$AR$375,17)</f>
        <v>0</v>
      </c>
      <c r="U141" s="223">
        <f ca="1">VLOOKUP($B141,DATOSAÑO!$B$11:$AR$375,19)</f>
        <v>0</v>
      </c>
      <c r="V141" s="223">
        <f ca="1">VLOOKUP($B141,DATOSAÑO!$B$11:$AR$375,43)</f>
        <v>0</v>
      </c>
      <c r="W141" s="223">
        <f ca="1">VLOOKUP($B141,DATOSAÑO!$B$11:$AR$375,20)</f>
        <v>0</v>
      </c>
      <c r="X141" s="223">
        <f ca="1">VLOOKUP($B141,DATOSAÑO!$B$11:$AR$375,24)</f>
        <v>0</v>
      </c>
      <c r="Y141" s="223">
        <f ca="1">VLOOKUP($B141,DATOSAÑO!$B$11:$BG$375,55)</f>
        <v>0</v>
      </c>
      <c r="Z141" s="223">
        <f ca="1">VLOOKUP($B141,DATOSAÑO!$B$11:$AM$375,29)</f>
        <v>0</v>
      </c>
      <c r="AA141" s="223">
        <f ca="1">VLOOKUP($B141,DATOSAÑO!$B$11:$AM$375,31)</f>
        <v>0</v>
      </c>
      <c r="AB141" s="223">
        <f ca="1">VLOOKUP($B141,DATOSAÑO!$B$11:$AM$375,33)</f>
        <v>0</v>
      </c>
      <c r="AC141" s="223">
        <f ca="1">VLOOKUP($B141,DATOSAÑO!$B$11:$AM$375,34)</f>
        <v>0</v>
      </c>
      <c r="AD141" s="223">
        <f ca="1">VLOOKUP($B141,DATOSAÑO!$B$11:$AM$375,35)</f>
        <v>0</v>
      </c>
      <c r="AE141" s="223">
        <f ca="1">VLOOKUP($B141,DATOSAÑO!$B$11:$AM$375,36)</f>
        <v>0</v>
      </c>
      <c r="AF141" s="223">
        <f ca="1">VLOOKUP($B141,DATOSAÑO!$B$11:$AM$375,37)</f>
        <v>0</v>
      </c>
      <c r="AG141" s="223">
        <f ca="1">VLOOKUP($B141,DATOSAÑO!$B$11:$AM$375,38)</f>
        <v>0</v>
      </c>
      <c r="AH141" s="223">
        <f ca="1">VLOOKUP($B141,DATOSAÑO!$B$11:$AN$375,39)</f>
        <v>0</v>
      </c>
      <c r="AI141" s="223">
        <f ca="1">VLOOKUP($B141,DATOSAÑO!$B$11:$BJ$375,61)</f>
        <v>0</v>
      </c>
      <c r="AJ141" s="223">
        <f ca="1">VLOOKUP($B141,DATOSAÑO!$B$11:$BM$375,64)</f>
        <v>0</v>
      </c>
      <c r="AK141" s="223">
        <f ca="1">VLOOKUP($B141,DATOSAÑO!$B$11:$BP$375,67)</f>
        <v>0</v>
      </c>
      <c r="AL141" s="223">
        <f ca="1">VLOOKUP($B141,DATOSAÑO!$B$11:$CC$375,80)</f>
        <v>0</v>
      </c>
    </row>
    <row r="142" spans="1:38">
      <c r="B142" s="439">
        <f t="shared" si="16"/>
        <v>45247</v>
      </c>
      <c r="C142" s="223">
        <f ca="1">VLOOKUP($B142,DATOSAÑO!$B$11:$AR$375,8)</f>
        <v>0</v>
      </c>
      <c r="D142" s="223">
        <f ca="1">VLOOKUP($B142,DATOSAÑO!$B$11:$AR$375,40)</f>
        <v>0</v>
      </c>
      <c r="E142" s="223">
        <f ca="1">VLOOKUP($B142,DATOSAÑO!$B$11:$AR$375,3)</f>
        <v>0</v>
      </c>
      <c r="F142" s="223">
        <f t="shared" ca="1" si="9"/>
        <v>0</v>
      </c>
      <c r="G142" s="434">
        <f t="shared" ca="1" si="10"/>
        <v>0</v>
      </c>
      <c r="H142" s="223">
        <f ca="1">VLOOKUP($B142,DATOSAÑO!$B$11:$AR$375,6)</f>
        <v>0</v>
      </c>
      <c r="I142" s="223">
        <f ca="1">VLOOKUP($B142,DATOSAÑO!$B$11:$AR$375,15)</f>
        <v>0</v>
      </c>
      <c r="J142" s="223">
        <f ca="1">VLOOKUP($B142,DATOSAÑO!$B$11:$AR$375,41)</f>
        <v>0</v>
      </c>
      <c r="K142" s="223">
        <f ca="1">VLOOKUP($B142,DATOSAÑO!$B$11:$AR$375,10)</f>
        <v>0</v>
      </c>
      <c r="L142" s="223">
        <f t="shared" ca="1" si="11"/>
        <v>0</v>
      </c>
      <c r="M142" s="434">
        <f t="shared" ca="1" si="12"/>
        <v>0</v>
      </c>
      <c r="N142" s="223">
        <f ca="1">VLOOKUP($B142,DATOSAÑO!$B$11:$AR$375,13)</f>
        <v>0</v>
      </c>
      <c r="O142" s="223">
        <f t="shared" ca="1" si="13"/>
        <v>0</v>
      </c>
      <c r="P142" s="223">
        <f t="shared" ca="1" si="14"/>
        <v>0</v>
      </c>
      <c r="Q142" s="223">
        <f t="shared" ca="1" si="15"/>
        <v>0</v>
      </c>
      <c r="R142" s="223">
        <f ca="1">VLOOKUP($B142,DATOSAÑO!$B$11:$AR$375,16)</f>
        <v>0</v>
      </c>
      <c r="S142" s="223">
        <f ca="1">VLOOKUP($B142,DATOSAÑO!$B$11:$AR$375,43)</f>
        <v>0</v>
      </c>
      <c r="T142" s="223">
        <f ca="1">VLOOKUP($B142,DATOSAÑO!$B$11:$AR$375,17)</f>
        <v>0</v>
      </c>
      <c r="U142" s="223">
        <f ca="1">VLOOKUP($B142,DATOSAÑO!$B$11:$AR$375,19)</f>
        <v>0</v>
      </c>
      <c r="V142" s="223">
        <f ca="1">VLOOKUP($B142,DATOSAÑO!$B$11:$AR$375,43)</f>
        <v>0</v>
      </c>
      <c r="W142" s="223">
        <f ca="1">VLOOKUP($B142,DATOSAÑO!$B$11:$AR$375,20)</f>
        <v>0</v>
      </c>
      <c r="X142" s="223">
        <f ca="1">VLOOKUP($B142,DATOSAÑO!$B$11:$AR$375,24)</f>
        <v>0</v>
      </c>
      <c r="Y142" s="223">
        <f ca="1">VLOOKUP($B142,DATOSAÑO!$B$11:$BG$375,55)</f>
        <v>0</v>
      </c>
      <c r="Z142" s="223">
        <f ca="1">VLOOKUP($B142,DATOSAÑO!$B$11:$AM$375,29)</f>
        <v>0</v>
      </c>
      <c r="AA142" s="223">
        <f ca="1">VLOOKUP($B142,DATOSAÑO!$B$11:$AM$375,31)</f>
        <v>0</v>
      </c>
      <c r="AB142" s="223">
        <f ca="1">VLOOKUP($B142,DATOSAÑO!$B$11:$AM$375,33)</f>
        <v>0</v>
      </c>
      <c r="AC142" s="223">
        <f ca="1">VLOOKUP($B142,DATOSAÑO!$B$11:$AM$375,34)</f>
        <v>0</v>
      </c>
      <c r="AD142" s="223">
        <f ca="1">VLOOKUP($B142,DATOSAÑO!$B$11:$AM$375,35)</f>
        <v>0</v>
      </c>
      <c r="AE142" s="223">
        <f ca="1">VLOOKUP($B142,DATOSAÑO!$B$11:$AM$375,36)</f>
        <v>0</v>
      </c>
      <c r="AF142" s="223">
        <f ca="1">VLOOKUP($B142,DATOSAÑO!$B$11:$AM$375,37)</f>
        <v>0</v>
      </c>
      <c r="AG142" s="223">
        <f ca="1">VLOOKUP($B142,DATOSAÑO!$B$11:$AM$375,38)</f>
        <v>0</v>
      </c>
      <c r="AH142" s="223">
        <f ca="1">VLOOKUP($B142,DATOSAÑO!$B$11:$AN$375,39)</f>
        <v>0</v>
      </c>
      <c r="AI142" s="223">
        <f ca="1">VLOOKUP($B142,DATOSAÑO!$B$11:$BJ$375,61)</f>
        <v>0</v>
      </c>
      <c r="AJ142" s="223">
        <f ca="1">VLOOKUP($B142,DATOSAÑO!$B$11:$BM$375,64)</f>
        <v>0</v>
      </c>
      <c r="AK142" s="223">
        <f ca="1">VLOOKUP($B142,DATOSAÑO!$B$11:$BP$375,67)</f>
        <v>0</v>
      </c>
      <c r="AL142" s="223">
        <f ca="1">VLOOKUP($B142,DATOSAÑO!$B$11:$CC$375,80)</f>
        <v>0</v>
      </c>
    </row>
    <row r="143" spans="1:38">
      <c r="B143" s="439">
        <f t="shared" si="16"/>
        <v>45248</v>
      </c>
      <c r="C143" s="223">
        <f ca="1">VLOOKUP($B143,DATOSAÑO!$B$11:$AR$375,8)</f>
        <v>0</v>
      </c>
      <c r="D143" s="223">
        <f ca="1">VLOOKUP($B143,DATOSAÑO!$B$11:$AR$375,40)</f>
        <v>0</v>
      </c>
      <c r="E143" s="223">
        <f ca="1">VLOOKUP($B143,DATOSAÑO!$B$11:$AR$375,3)</f>
        <v>0</v>
      </c>
      <c r="F143" s="223">
        <f t="shared" ca="1" si="9"/>
        <v>0</v>
      </c>
      <c r="G143" s="434">
        <f t="shared" ca="1" si="10"/>
        <v>0</v>
      </c>
      <c r="H143" s="223">
        <f ca="1">VLOOKUP($B143,DATOSAÑO!$B$11:$AR$375,6)</f>
        <v>0</v>
      </c>
      <c r="I143" s="223">
        <f ca="1">VLOOKUP($B143,DATOSAÑO!$B$11:$AR$375,15)</f>
        <v>0</v>
      </c>
      <c r="J143" s="223">
        <f ca="1">VLOOKUP($B143,DATOSAÑO!$B$11:$AR$375,41)</f>
        <v>0</v>
      </c>
      <c r="K143" s="223">
        <f ca="1">VLOOKUP($B143,DATOSAÑO!$B$11:$AR$375,10)</f>
        <v>0</v>
      </c>
      <c r="L143" s="223">
        <f t="shared" ca="1" si="11"/>
        <v>0</v>
      </c>
      <c r="M143" s="434">
        <f t="shared" ca="1" si="12"/>
        <v>0</v>
      </c>
      <c r="N143" s="223">
        <f ca="1">VLOOKUP($B143,DATOSAÑO!$B$11:$AR$375,13)</f>
        <v>0</v>
      </c>
      <c r="O143" s="223">
        <f t="shared" ca="1" si="13"/>
        <v>0</v>
      </c>
      <c r="P143" s="223">
        <f t="shared" ca="1" si="14"/>
        <v>0</v>
      </c>
      <c r="Q143" s="223">
        <f t="shared" ca="1" si="15"/>
        <v>0</v>
      </c>
      <c r="R143" s="223">
        <f ca="1">VLOOKUP($B143,DATOSAÑO!$B$11:$AR$375,16)</f>
        <v>0</v>
      </c>
      <c r="S143" s="223">
        <f ca="1">VLOOKUP($B143,DATOSAÑO!$B$11:$AR$375,43)</f>
        <v>0</v>
      </c>
      <c r="T143" s="223">
        <f ca="1">VLOOKUP($B143,DATOSAÑO!$B$11:$AR$375,17)</f>
        <v>0</v>
      </c>
      <c r="U143" s="223">
        <f ca="1">VLOOKUP($B143,DATOSAÑO!$B$11:$AR$375,19)</f>
        <v>0</v>
      </c>
      <c r="V143" s="223">
        <f ca="1">VLOOKUP($B143,DATOSAÑO!$B$11:$AR$375,43)</f>
        <v>0</v>
      </c>
      <c r="W143" s="223">
        <f ca="1">VLOOKUP($B143,DATOSAÑO!$B$11:$AR$375,20)</f>
        <v>0</v>
      </c>
      <c r="X143" s="223">
        <f ca="1">VLOOKUP($B143,DATOSAÑO!$B$11:$AR$375,24)</f>
        <v>0</v>
      </c>
      <c r="Y143" s="223">
        <f ca="1">VLOOKUP($B143,DATOSAÑO!$B$11:$BG$375,55)</f>
        <v>0</v>
      </c>
      <c r="Z143" s="223">
        <f ca="1">VLOOKUP($B143,DATOSAÑO!$B$11:$AM$375,29)</f>
        <v>0</v>
      </c>
      <c r="AA143" s="223">
        <f ca="1">VLOOKUP($B143,DATOSAÑO!$B$11:$AM$375,31)</f>
        <v>0</v>
      </c>
      <c r="AB143" s="223">
        <f ca="1">VLOOKUP($B143,DATOSAÑO!$B$11:$AM$375,33)</f>
        <v>0</v>
      </c>
      <c r="AC143" s="223">
        <f ca="1">VLOOKUP($B143,DATOSAÑO!$B$11:$AM$375,34)</f>
        <v>0</v>
      </c>
      <c r="AD143" s="223">
        <f ca="1">VLOOKUP($B143,DATOSAÑO!$B$11:$AM$375,35)</f>
        <v>0</v>
      </c>
      <c r="AE143" s="223">
        <f ca="1">VLOOKUP($B143,DATOSAÑO!$B$11:$AM$375,36)</f>
        <v>0</v>
      </c>
      <c r="AF143" s="223">
        <f ca="1">VLOOKUP($B143,DATOSAÑO!$B$11:$AM$375,37)</f>
        <v>0</v>
      </c>
      <c r="AG143" s="223">
        <f ca="1">VLOOKUP($B143,DATOSAÑO!$B$11:$AM$375,38)</f>
        <v>0</v>
      </c>
      <c r="AH143" s="223">
        <f ca="1">VLOOKUP($B143,DATOSAÑO!$B$11:$AN$375,39)</f>
        <v>0</v>
      </c>
      <c r="AI143" s="223">
        <f ca="1">VLOOKUP($B143,DATOSAÑO!$B$11:$BJ$375,61)</f>
        <v>0</v>
      </c>
      <c r="AJ143" s="223">
        <f ca="1">VLOOKUP($B143,DATOSAÑO!$B$11:$BM$375,64)</f>
        <v>0</v>
      </c>
      <c r="AK143" s="223">
        <f ca="1">VLOOKUP($B143,DATOSAÑO!$B$11:$BP$375,67)</f>
        <v>0</v>
      </c>
      <c r="AL143" s="223">
        <f ca="1">VLOOKUP($B143,DATOSAÑO!$B$11:$CC$375,80)</f>
        <v>0</v>
      </c>
    </row>
    <row r="144" spans="1:38">
      <c r="B144" s="439">
        <f t="shared" si="16"/>
        <v>45249</v>
      </c>
      <c r="C144" s="223">
        <f ca="1">VLOOKUP($B144,DATOSAÑO!$B$11:$AR$375,8)</f>
        <v>0</v>
      </c>
      <c r="D144" s="223">
        <f ca="1">VLOOKUP($B144,DATOSAÑO!$B$11:$AR$375,40)</f>
        <v>0</v>
      </c>
      <c r="E144" s="223">
        <f ca="1">VLOOKUP($B144,DATOSAÑO!$B$11:$AR$375,3)</f>
        <v>0</v>
      </c>
      <c r="F144" s="223">
        <f t="shared" ca="1" si="9"/>
        <v>0</v>
      </c>
      <c r="G144" s="434">
        <f t="shared" ca="1" si="10"/>
        <v>0</v>
      </c>
      <c r="H144" s="223">
        <f ca="1">VLOOKUP($B144,DATOSAÑO!$B$11:$AR$375,6)</f>
        <v>0</v>
      </c>
      <c r="I144" s="223">
        <f ca="1">VLOOKUP($B144,DATOSAÑO!$B$11:$AR$375,15)</f>
        <v>0</v>
      </c>
      <c r="J144" s="223">
        <f ca="1">VLOOKUP($B144,DATOSAÑO!$B$11:$AR$375,41)</f>
        <v>0</v>
      </c>
      <c r="K144" s="223">
        <f ca="1">VLOOKUP($B144,DATOSAÑO!$B$11:$AR$375,10)</f>
        <v>0</v>
      </c>
      <c r="L144" s="223">
        <f t="shared" ca="1" si="11"/>
        <v>0</v>
      </c>
      <c r="M144" s="434">
        <f t="shared" ca="1" si="12"/>
        <v>0</v>
      </c>
      <c r="N144" s="223">
        <f ca="1">VLOOKUP($B144,DATOSAÑO!$B$11:$AR$375,13)</f>
        <v>0</v>
      </c>
      <c r="O144" s="223">
        <f t="shared" ca="1" si="13"/>
        <v>0</v>
      </c>
      <c r="P144" s="223">
        <f t="shared" ca="1" si="14"/>
        <v>0</v>
      </c>
      <c r="Q144" s="223">
        <f t="shared" ca="1" si="15"/>
        <v>0</v>
      </c>
      <c r="R144" s="223">
        <f ca="1">VLOOKUP($B144,DATOSAÑO!$B$11:$AR$375,16)</f>
        <v>0</v>
      </c>
      <c r="S144" s="223">
        <f ca="1">VLOOKUP($B144,DATOSAÑO!$B$11:$AR$375,43)</f>
        <v>0</v>
      </c>
      <c r="T144" s="223">
        <f ca="1">VLOOKUP($B144,DATOSAÑO!$B$11:$AR$375,17)</f>
        <v>0</v>
      </c>
      <c r="U144" s="223">
        <f ca="1">VLOOKUP($B144,DATOSAÑO!$B$11:$AR$375,19)</f>
        <v>0</v>
      </c>
      <c r="V144" s="223">
        <f ca="1">VLOOKUP($B144,DATOSAÑO!$B$11:$AR$375,43)</f>
        <v>0</v>
      </c>
      <c r="W144" s="223">
        <f ca="1">VLOOKUP($B144,DATOSAÑO!$B$11:$AR$375,20)</f>
        <v>0</v>
      </c>
      <c r="X144" s="223">
        <f ca="1">VLOOKUP($B144,DATOSAÑO!$B$11:$AR$375,24)</f>
        <v>0</v>
      </c>
      <c r="Y144" s="223">
        <f ca="1">VLOOKUP($B144,DATOSAÑO!$B$11:$BG$375,55)</f>
        <v>0</v>
      </c>
      <c r="Z144" s="223">
        <f ca="1">VLOOKUP($B144,DATOSAÑO!$B$11:$AM$375,29)</f>
        <v>0</v>
      </c>
      <c r="AA144" s="223">
        <f ca="1">VLOOKUP($B144,DATOSAÑO!$B$11:$AM$375,31)</f>
        <v>0</v>
      </c>
      <c r="AB144" s="223">
        <f ca="1">VLOOKUP($B144,DATOSAÑO!$B$11:$AM$375,33)</f>
        <v>0</v>
      </c>
      <c r="AC144" s="223">
        <f ca="1">VLOOKUP($B144,DATOSAÑO!$B$11:$AM$375,34)</f>
        <v>0</v>
      </c>
      <c r="AD144" s="223">
        <f ca="1">VLOOKUP($B144,DATOSAÑO!$B$11:$AM$375,35)</f>
        <v>0</v>
      </c>
      <c r="AE144" s="223">
        <f ca="1">VLOOKUP($B144,DATOSAÑO!$B$11:$AM$375,36)</f>
        <v>0</v>
      </c>
      <c r="AF144" s="223">
        <f ca="1">VLOOKUP($B144,DATOSAÑO!$B$11:$AM$375,37)</f>
        <v>0</v>
      </c>
      <c r="AG144" s="223">
        <f ca="1">VLOOKUP($B144,DATOSAÑO!$B$11:$AM$375,38)</f>
        <v>0</v>
      </c>
      <c r="AH144" s="223">
        <f ca="1">VLOOKUP($B144,DATOSAÑO!$B$11:$AN$375,39)</f>
        <v>0</v>
      </c>
      <c r="AI144" s="223">
        <f ca="1">VLOOKUP($B144,DATOSAÑO!$B$11:$BJ$375,61)</f>
        <v>0</v>
      </c>
      <c r="AJ144" s="223">
        <f ca="1">VLOOKUP($B144,DATOSAÑO!$B$11:$BM$375,64)</f>
        <v>0</v>
      </c>
      <c r="AK144" s="223">
        <f ca="1">VLOOKUP($B144,DATOSAÑO!$B$11:$BP$375,67)</f>
        <v>0</v>
      </c>
      <c r="AL144" s="223">
        <f ca="1">VLOOKUP($B144,DATOSAÑO!$B$11:$CC$375,80)</f>
        <v>0</v>
      </c>
    </row>
    <row r="145" spans="2:40">
      <c r="B145" s="439">
        <f t="shared" si="16"/>
        <v>45250</v>
      </c>
      <c r="C145" s="223">
        <f ca="1">VLOOKUP($B145,DATOSAÑO!$B$11:$AR$375,8)</f>
        <v>0</v>
      </c>
      <c r="D145" s="223">
        <f ca="1">VLOOKUP($B145,DATOSAÑO!$B$11:$AR$375,40)</f>
        <v>0</v>
      </c>
      <c r="E145" s="223">
        <f ca="1">VLOOKUP($B145,DATOSAÑO!$B$11:$AR$375,3)</f>
        <v>0</v>
      </c>
      <c r="F145" s="223">
        <f t="shared" ca="1" si="9"/>
        <v>0</v>
      </c>
      <c r="G145" s="434">
        <f t="shared" ca="1" si="10"/>
        <v>0</v>
      </c>
      <c r="H145" s="223">
        <f ca="1">VLOOKUP($B145,DATOSAÑO!$B$11:$AR$375,6)</f>
        <v>0</v>
      </c>
      <c r="I145" s="223">
        <f ca="1">VLOOKUP($B145,DATOSAÑO!$B$11:$AR$375,15)</f>
        <v>0</v>
      </c>
      <c r="J145" s="223">
        <f ca="1">VLOOKUP($B145,DATOSAÑO!$B$11:$AR$375,41)</f>
        <v>0</v>
      </c>
      <c r="K145" s="223">
        <f ca="1">VLOOKUP($B145,DATOSAÑO!$B$11:$AR$375,10)</f>
        <v>0</v>
      </c>
      <c r="L145" s="223">
        <f t="shared" ca="1" si="11"/>
        <v>0</v>
      </c>
      <c r="M145" s="434">
        <f t="shared" ca="1" si="12"/>
        <v>0</v>
      </c>
      <c r="N145" s="223">
        <f ca="1">VLOOKUP($B145,DATOSAÑO!$B$11:$AR$375,13)</f>
        <v>0</v>
      </c>
      <c r="O145" s="223">
        <f t="shared" ca="1" si="13"/>
        <v>0</v>
      </c>
      <c r="P145" s="223">
        <f t="shared" ca="1" si="14"/>
        <v>0</v>
      </c>
      <c r="Q145" s="223">
        <f t="shared" ca="1" si="15"/>
        <v>0</v>
      </c>
      <c r="R145" s="223">
        <f ca="1">VLOOKUP($B145,DATOSAÑO!$B$11:$AR$375,16)</f>
        <v>0</v>
      </c>
      <c r="S145" s="223">
        <f ca="1">VLOOKUP($B145,DATOSAÑO!$B$11:$AR$375,43)</f>
        <v>0</v>
      </c>
      <c r="T145" s="223">
        <f ca="1">VLOOKUP($B145,DATOSAÑO!$B$11:$AR$375,17)</f>
        <v>0</v>
      </c>
      <c r="U145" s="223">
        <f ca="1">VLOOKUP($B145,DATOSAÑO!$B$11:$AR$375,19)</f>
        <v>0</v>
      </c>
      <c r="V145" s="223">
        <f ca="1">VLOOKUP($B145,DATOSAÑO!$B$11:$AR$375,43)</f>
        <v>0</v>
      </c>
      <c r="W145" s="223">
        <f ca="1">VLOOKUP($B145,DATOSAÑO!$B$11:$AR$375,20)</f>
        <v>0</v>
      </c>
      <c r="X145" s="223">
        <f ca="1">VLOOKUP($B145,DATOSAÑO!$B$11:$AR$375,24)</f>
        <v>0</v>
      </c>
      <c r="Y145" s="223">
        <f ca="1">VLOOKUP($B145,DATOSAÑO!$B$11:$BG$375,55)</f>
        <v>0</v>
      </c>
      <c r="Z145" s="223">
        <f ca="1">VLOOKUP($B145,DATOSAÑO!$B$11:$AM$375,29)</f>
        <v>0</v>
      </c>
      <c r="AA145" s="223">
        <f ca="1">VLOOKUP($B145,DATOSAÑO!$B$11:$AM$375,31)</f>
        <v>0</v>
      </c>
      <c r="AB145" s="223">
        <f ca="1">VLOOKUP($B145,DATOSAÑO!$B$11:$AM$375,33)</f>
        <v>0</v>
      </c>
      <c r="AC145" s="223">
        <f ca="1">VLOOKUP($B145,DATOSAÑO!$B$11:$AM$375,34)</f>
        <v>0</v>
      </c>
      <c r="AD145" s="223">
        <f ca="1">VLOOKUP($B145,DATOSAÑO!$B$11:$AM$375,35)</f>
        <v>0</v>
      </c>
      <c r="AE145" s="223">
        <f ca="1">VLOOKUP($B145,DATOSAÑO!$B$11:$AM$375,36)</f>
        <v>0</v>
      </c>
      <c r="AF145" s="223">
        <f ca="1">VLOOKUP($B145,DATOSAÑO!$B$11:$AM$375,37)</f>
        <v>0</v>
      </c>
      <c r="AG145" s="223">
        <f ca="1">VLOOKUP($B145,DATOSAÑO!$B$11:$AM$375,38)</f>
        <v>0</v>
      </c>
      <c r="AH145" s="223">
        <f ca="1">VLOOKUP($B145,DATOSAÑO!$B$11:$AN$375,39)</f>
        <v>0</v>
      </c>
      <c r="AI145" s="223">
        <f ca="1">VLOOKUP($B145,DATOSAÑO!$B$11:$BJ$375,61)</f>
        <v>0</v>
      </c>
      <c r="AJ145" s="223">
        <f ca="1">VLOOKUP($B145,DATOSAÑO!$B$11:$BM$375,64)</f>
        <v>0</v>
      </c>
      <c r="AK145" s="223">
        <f ca="1">VLOOKUP($B145,DATOSAÑO!$B$11:$BP$375,67)</f>
        <v>0</v>
      </c>
      <c r="AL145" s="223">
        <f ca="1">VLOOKUP($B145,DATOSAÑO!$B$11:$CC$375,80)</f>
        <v>0</v>
      </c>
    </row>
    <row r="146" spans="2:40">
      <c r="B146" s="439">
        <f t="shared" si="16"/>
        <v>45251</v>
      </c>
      <c r="C146" s="223">
        <f ca="1">VLOOKUP($B146,DATOSAÑO!$B$11:$AR$375,8)</f>
        <v>0</v>
      </c>
      <c r="D146" s="223">
        <f ca="1">VLOOKUP($B146,DATOSAÑO!$B$11:$AR$375,40)</f>
        <v>0</v>
      </c>
      <c r="E146" s="223">
        <f ca="1">VLOOKUP($B146,DATOSAÑO!$B$11:$AR$375,3)</f>
        <v>0</v>
      </c>
      <c r="F146" s="223">
        <f t="shared" ca="1" si="9"/>
        <v>0</v>
      </c>
      <c r="G146" s="434">
        <f t="shared" ca="1" si="10"/>
        <v>0</v>
      </c>
      <c r="H146" s="223">
        <f ca="1">VLOOKUP($B146,DATOSAÑO!$B$11:$AR$375,6)</f>
        <v>0</v>
      </c>
      <c r="I146" s="223">
        <f ca="1">VLOOKUP($B146,DATOSAÑO!$B$11:$AR$375,15)</f>
        <v>0</v>
      </c>
      <c r="J146" s="223">
        <f ca="1">VLOOKUP($B146,DATOSAÑO!$B$11:$AR$375,41)</f>
        <v>0</v>
      </c>
      <c r="K146" s="223">
        <f ca="1">VLOOKUP($B146,DATOSAÑO!$B$11:$AR$375,10)</f>
        <v>0</v>
      </c>
      <c r="L146" s="223">
        <f t="shared" ca="1" si="11"/>
        <v>0</v>
      </c>
      <c r="M146" s="434">
        <f t="shared" ca="1" si="12"/>
        <v>0</v>
      </c>
      <c r="N146" s="223">
        <f ca="1">VLOOKUP($B146,DATOSAÑO!$B$11:$AR$375,13)</f>
        <v>0</v>
      </c>
      <c r="O146" s="223">
        <f t="shared" ca="1" si="13"/>
        <v>0</v>
      </c>
      <c r="P146" s="223">
        <f t="shared" ca="1" si="14"/>
        <v>0</v>
      </c>
      <c r="Q146" s="223">
        <f t="shared" ca="1" si="15"/>
        <v>0</v>
      </c>
      <c r="R146" s="223">
        <f ca="1">VLOOKUP($B146,DATOSAÑO!$B$11:$AR$375,16)</f>
        <v>0</v>
      </c>
      <c r="S146" s="223">
        <f ca="1">VLOOKUP($B146,DATOSAÑO!$B$11:$AR$375,43)</f>
        <v>0</v>
      </c>
      <c r="T146" s="223">
        <f ca="1">VLOOKUP($B146,DATOSAÑO!$B$11:$AR$375,17)</f>
        <v>0</v>
      </c>
      <c r="U146" s="223">
        <f ca="1">VLOOKUP($B146,DATOSAÑO!$B$11:$AR$375,19)</f>
        <v>0</v>
      </c>
      <c r="V146" s="223">
        <f ca="1">VLOOKUP($B146,DATOSAÑO!$B$11:$AR$375,43)</f>
        <v>0</v>
      </c>
      <c r="W146" s="223">
        <f ca="1">VLOOKUP($B146,DATOSAÑO!$B$11:$AR$375,20)</f>
        <v>0</v>
      </c>
      <c r="X146" s="223">
        <f ca="1">VLOOKUP($B146,DATOSAÑO!$B$11:$AR$375,24)</f>
        <v>0</v>
      </c>
      <c r="Y146" s="223">
        <f ca="1">VLOOKUP($B146,DATOSAÑO!$B$11:$BG$375,55)</f>
        <v>0</v>
      </c>
      <c r="Z146" s="223">
        <f ca="1">VLOOKUP($B146,DATOSAÑO!$B$11:$AM$375,29)</f>
        <v>0</v>
      </c>
      <c r="AA146" s="223">
        <f ca="1">VLOOKUP($B146,DATOSAÑO!$B$11:$AM$375,31)</f>
        <v>0</v>
      </c>
      <c r="AB146" s="223">
        <f ca="1">VLOOKUP($B146,DATOSAÑO!$B$11:$AM$375,33)</f>
        <v>0</v>
      </c>
      <c r="AC146" s="223">
        <f ca="1">VLOOKUP($B146,DATOSAÑO!$B$11:$AM$375,34)</f>
        <v>0</v>
      </c>
      <c r="AD146" s="223">
        <f ca="1">VLOOKUP($B146,DATOSAÑO!$B$11:$AM$375,35)</f>
        <v>0</v>
      </c>
      <c r="AE146" s="223">
        <f ca="1">VLOOKUP($B146,DATOSAÑO!$B$11:$AM$375,36)</f>
        <v>0</v>
      </c>
      <c r="AF146" s="223">
        <f ca="1">VLOOKUP($B146,DATOSAÑO!$B$11:$AM$375,37)</f>
        <v>0</v>
      </c>
      <c r="AG146" s="223">
        <f ca="1">VLOOKUP($B146,DATOSAÑO!$B$11:$AM$375,38)</f>
        <v>0</v>
      </c>
      <c r="AH146" s="223">
        <f ca="1">VLOOKUP($B146,DATOSAÑO!$B$11:$AN$375,39)</f>
        <v>0</v>
      </c>
      <c r="AI146" s="223">
        <f ca="1">VLOOKUP($B146,DATOSAÑO!$B$11:$BJ$375,61)</f>
        <v>0</v>
      </c>
      <c r="AJ146" s="223">
        <f ca="1">VLOOKUP($B146,DATOSAÑO!$B$11:$BM$375,64)</f>
        <v>0</v>
      </c>
      <c r="AK146" s="223">
        <f ca="1">VLOOKUP($B146,DATOSAÑO!$B$11:$BP$375,67)</f>
        <v>0</v>
      </c>
      <c r="AL146" s="223">
        <f ca="1">VLOOKUP($B146,DATOSAÑO!$B$11:$CC$375,80)</f>
        <v>0</v>
      </c>
    </row>
    <row r="147" spans="2:40">
      <c r="B147" s="439">
        <f t="shared" si="16"/>
        <v>45252</v>
      </c>
      <c r="C147" s="223">
        <f ca="1">VLOOKUP($B147,DATOSAÑO!$B$11:$AR$375,8)</f>
        <v>0</v>
      </c>
      <c r="D147" s="223">
        <f ca="1">VLOOKUP($B147,DATOSAÑO!$B$11:$AR$375,40)</f>
        <v>0</v>
      </c>
      <c r="E147" s="223">
        <f ca="1">VLOOKUP($B147,DATOSAÑO!$B$11:$AR$375,3)</f>
        <v>0</v>
      </c>
      <c r="F147" s="223">
        <f t="shared" ca="1" si="9"/>
        <v>0</v>
      </c>
      <c r="G147" s="434">
        <f t="shared" ca="1" si="10"/>
        <v>0</v>
      </c>
      <c r="H147" s="223">
        <f ca="1">VLOOKUP($B147,DATOSAÑO!$B$11:$AR$375,6)</f>
        <v>0</v>
      </c>
      <c r="I147" s="223">
        <f ca="1">VLOOKUP($B147,DATOSAÑO!$B$11:$AR$375,15)</f>
        <v>0</v>
      </c>
      <c r="J147" s="223">
        <f ca="1">VLOOKUP($B147,DATOSAÑO!$B$11:$AR$375,41)</f>
        <v>0</v>
      </c>
      <c r="K147" s="223">
        <f ca="1">VLOOKUP($B147,DATOSAÑO!$B$11:$AR$375,10)</f>
        <v>0</v>
      </c>
      <c r="L147" s="223">
        <f t="shared" ca="1" si="11"/>
        <v>0</v>
      </c>
      <c r="M147" s="434">
        <f t="shared" ca="1" si="12"/>
        <v>0</v>
      </c>
      <c r="N147" s="223">
        <f ca="1">VLOOKUP($B147,DATOSAÑO!$B$11:$AR$375,13)</f>
        <v>0</v>
      </c>
      <c r="O147" s="223">
        <f t="shared" ca="1" si="13"/>
        <v>0</v>
      </c>
      <c r="P147" s="223">
        <f t="shared" ca="1" si="14"/>
        <v>0</v>
      </c>
      <c r="Q147" s="223">
        <f t="shared" ca="1" si="15"/>
        <v>0</v>
      </c>
      <c r="R147" s="223">
        <f ca="1">VLOOKUP($B147,DATOSAÑO!$B$11:$AR$375,16)</f>
        <v>0</v>
      </c>
      <c r="S147" s="223">
        <f ca="1">VLOOKUP($B147,DATOSAÑO!$B$11:$AR$375,43)</f>
        <v>0</v>
      </c>
      <c r="T147" s="223">
        <f ca="1">VLOOKUP($B147,DATOSAÑO!$B$11:$AR$375,17)</f>
        <v>0</v>
      </c>
      <c r="U147" s="223">
        <f ca="1">VLOOKUP($B147,DATOSAÑO!$B$11:$AR$375,19)</f>
        <v>0</v>
      </c>
      <c r="V147" s="223">
        <f ca="1">VLOOKUP($B147,DATOSAÑO!$B$11:$AR$375,43)</f>
        <v>0</v>
      </c>
      <c r="W147" s="223">
        <f ca="1">VLOOKUP($B147,DATOSAÑO!$B$11:$AR$375,20)</f>
        <v>0</v>
      </c>
      <c r="X147" s="223">
        <f ca="1">VLOOKUP($B147,DATOSAÑO!$B$11:$AR$375,24)</f>
        <v>0</v>
      </c>
      <c r="Y147" s="223">
        <f ca="1">VLOOKUP($B147,DATOSAÑO!$B$11:$BG$375,55)</f>
        <v>0</v>
      </c>
      <c r="Z147" s="223">
        <f ca="1">VLOOKUP($B147,DATOSAÑO!$B$11:$AM$375,29)</f>
        <v>0</v>
      </c>
      <c r="AA147" s="223">
        <f ca="1">VLOOKUP($B147,DATOSAÑO!$B$11:$AM$375,31)</f>
        <v>0</v>
      </c>
      <c r="AB147" s="223">
        <f ca="1">VLOOKUP($B147,DATOSAÑO!$B$11:$AM$375,33)</f>
        <v>0</v>
      </c>
      <c r="AC147" s="223">
        <f ca="1">VLOOKUP($B147,DATOSAÑO!$B$11:$AM$375,34)</f>
        <v>0</v>
      </c>
      <c r="AD147" s="223">
        <f ca="1">VLOOKUP($B147,DATOSAÑO!$B$11:$AM$375,35)</f>
        <v>0</v>
      </c>
      <c r="AE147" s="223">
        <f ca="1">VLOOKUP($B147,DATOSAÑO!$B$11:$AM$375,36)</f>
        <v>0</v>
      </c>
      <c r="AF147" s="223">
        <f ca="1">VLOOKUP($B147,DATOSAÑO!$B$11:$AM$375,37)</f>
        <v>0</v>
      </c>
      <c r="AG147" s="223">
        <f ca="1">VLOOKUP($B147,DATOSAÑO!$B$11:$AM$375,38)</f>
        <v>0</v>
      </c>
      <c r="AH147" s="223">
        <f ca="1">VLOOKUP($B147,DATOSAÑO!$B$11:$AN$375,39)</f>
        <v>0</v>
      </c>
      <c r="AI147" s="223">
        <f ca="1">VLOOKUP($B147,DATOSAÑO!$B$11:$BJ$375,61)</f>
        <v>0</v>
      </c>
      <c r="AJ147" s="223">
        <f ca="1">VLOOKUP($B147,DATOSAÑO!$B$11:$BM$375,64)</f>
        <v>0</v>
      </c>
      <c r="AK147" s="223">
        <f ca="1">VLOOKUP($B147,DATOSAÑO!$B$11:$BP$375,67)</f>
        <v>0</v>
      </c>
      <c r="AL147" s="223">
        <f ca="1">VLOOKUP($B147,DATOSAÑO!$B$11:$CC$375,80)</f>
        <v>0</v>
      </c>
    </row>
    <row r="148" spans="2:40">
      <c r="B148" s="439">
        <f t="shared" si="16"/>
        <v>45253</v>
      </c>
      <c r="C148" s="223">
        <f ca="1">VLOOKUP($B148,DATOSAÑO!$B$11:$AR$375,8)</f>
        <v>0</v>
      </c>
      <c r="D148" s="223">
        <f ca="1">VLOOKUP($B148,DATOSAÑO!$B$11:$AR$375,40)</f>
        <v>0</v>
      </c>
      <c r="E148" s="223">
        <f ca="1">VLOOKUP($B148,DATOSAÑO!$B$11:$AR$375,3)</f>
        <v>0</v>
      </c>
      <c r="F148" s="223">
        <f t="shared" ca="1" si="9"/>
        <v>0</v>
      </c>
      <c r="G148" s="434">
        <f t="shared" ca="1" si="10"/>
        <v>0</v>
      </c>
      <c r="H148" s="223">
        <f ca="1">VLOOKUP($B148,DATOSAÑO!$B$11:$AR$375,6)</f>
        <v>0</v>
      </c>
      <c r="I148" s="223">
        <f ca="1">VLOOKUP($B148,DATOSAÑO!$B$11:$AR$375,15)</f>
        <v>0</v>
      </c>
      <c r="J148" s="223">
        <f ca="1">VLOOKUP($B148,DATOSAÑO!$B$11:$AR$375,41)</f>
        <v>0</v>
      </c>
      <c r="K148" s="223">
        <f ca="1">VLOOKUP($B148,DATOSAÑO!$B$11:$AR$375,10)</f>
        <v>0</v>
      </c>
      <c r="L148" s="223">
        <f t="shared" ca="1" si="11"/>
        <v>0</v>
      </c>
      <c r="M148" s="434">
        <f t="shared" ca="1" si="12"/>
        <v>0</v>
      </c>
      <c r="N148" s="223">
        <f ca="1">VLOOKUP($B148,DATOSAÑO!$B$11:$AR$375,13)</f>
        <v>0</v>
      </c>
      <c r="O148" s="223">
        <f t="shared" ca="1" si="13"/>
        <v>0</v>
      </c>
      <c r="P148" s="223">
        <f t="shared" ca="1" si="14"/>
        <v>0</v>
      </c>
      <c r="Q148" s="223">
        <f t="shared" ca="1" si="15"/>
        <v>0</v>
      </c>
      <c r="R148" s="223">
        <f ca="1">VLOOKUP($B148,DATOSAÑO!$B$11:$AR$375,16)</f>
        <v>0</v>
      </c>
      <c r="S148" s="223">
        <f ca="1">VLOOKUP($B148,DATOSAÑO!$B$11:$AR$375,43)</f>
        <v>0</v>
      </c>
      <c r="T148" s="223">
        <f ca="1">VLOOKUP($B148,DATOSAÑO!$B$11:$AR$375,17)</f>
        <v>0</v>
      </c>
      <c r="U148" s="223">
        <f ca="1">VLOOKUP($B148,DATOSAÑO!$B$11:$AR$375,19)</f>
        <v>0</v>
      </c>
      <c r="V148" s="223">
        <f ca="1">VLOOKUP($B148,DATOSAÑO!$B$11:$AR$375,43)</f>
        <v>0</v>
      </c>
      <c r="W148" s="223">
        <f ca="1">VLOOKUP($B148,DATOSAÑO!$B$11:$AR$375,20)</f>
        <v>0</v>
      </c>
      <c r="X148" s="223">
        <f ca="1">VLOOKUP($B148,DATOSAÑO!$B$11:$AR$375,24)</f>
        <v>0</v>
      </c>
      <c r="Y148" s="223">
        <f ca="1">VLOOKUP($B148,DATOSAÑO!$B$11:$BG$375,55)</f>
        <v>0</v>
      </c>
      <c r="Z148" s="223">
        <f ca="1">VLOOKUP($B148,DATOSAÑO!$B$11:$AM$375,29)</f>
        <v>0</v>
      </c>
      <c r="AA148" s="223">
        <f ca="1">VLOOKUP($B148,DATOSAÑO!$B$11:$AM$375,31)</f>
        <v>0</v>
      </c>
      <c r="AB148" s="223">
        <f ca="1">VLOOKUP($B148,DATOSAÑO!$B$11:$AM$375,33)</f>
        <v>0</v>
      </c>
      <c r="AC148" s="223">
        <f ca="1">VLOOKUP($B148,DATOSAÑO!$B$11:$AM$375,34)</f>
        <v>0</v>
      </c>
      <c r="AD148" s="223">
        <f ca="1">VLOOKUP($B148,DATOSAÑO!$B$11:$AM$375,35)</f>
        <v>0</v>
      </c>
      <c r="AE148" s="223">
        <f ca="1">VLOOKUP($B148,DATOSAÑO!$B$11:$AM$375,36)</f>
        <v>0</v>
      </c>
      <c r="AF148" s="223">
        <f ca="1">VLOOKUP($B148,DATOSAÑO!$B$11:$AM$375,37)</f>
        <v>0</v>
      </c>
      <c r="AG148" s="223">
        <f ca="1">VLOOKUP($B148,DATOSAÑO!$B$11:$AM$375,38)</f>
        <v>0</v>
      </c>
      <c r="AH148" s="223">
        <f ca="1">VLOOKUP($B148,DATOSAÑO!$B$11:$AN$375,39)</f>
        <v>0</v>
      </c>
      <c r="AI148" s="223">
        <f ca="1">VLOOKUP($B148,DATOSAÑO!$B$11:$BJ$375,61)</f>
        <v>0</v>
      </c>
      <c r="AJ148" s="223">
        <f ca="1">VLOOKUP($B148,DATOSAÑO!$B$11:$BM$375,64)</f>
        <v>0</v>
      </c>
      <c r="AK148" s="223">
        <f ca="1">VLOOKUP($B148,DATOSAÑO!$B$11:$BP$375,67)</f>
        <v>0</v>
      </c>
      <c r="AL148" s="223">
        <f ca="1">VLOOKUP($B148,DATOSAÑO!$B$11:$CC$375,80)</f>
        <v>0</v>
      </c>
    </row>
    <row r="149" spans="2:40">
      <c r="B149" s="439">
        <f t="shared" si="16"/>
        <v>45254</v>
      </c>
      <c r="C149" s="223">
        <f ca="1">VLOOKUP($B149,DATOSAÑO!$B$11:$AR$375,8)</f>
        <v>0</v>
      </c>
      <c r="D149" s="223">
        <f ca="1">VLOOKUP($B149,DATOSAÑO!$B$11:$AR$375,40)</f>
        <v>0</v>
      </c>
      <c r="E149" s="223">
        <f ca="1">VLOOKUP($B149,DATOSAÑO!$B$11:$AR$375,3)</f>
        <v>0</v>
      </c>
      <c r="F149" s="223">
        <f t="shared" ca="1" si="9"/>
        <v>0</v>
      </c>
      <c r="G149" s="434">
        <f t="shared" ca="1" si="10"/>
        <v>0</v>
      </c>
      <c r="H149" s="223">
        <f ca="1">VLOOKUP($B149,DATOSAÑO!$B$11:$AR$375,6)</f>
        <v>0</v>
      </c>
      <c r="I149" s="223">
        <f ca="1">VLOOKUP($B149,DATOSAÑO!$B$11:$AR$375,15)</f>
        <v>0</v>
      </c>
      <c r="J149" s="223">
        <f ca="1">VLOOKUP($B149,DATOSAÑO!$B$11:$AR$375,41)</f>
        <v>0</v>
      </c>
      <c r="K149" s="223">
        <f ca="1">VLOOKUP($B149,DATOSAÑO!$B$11:$AR$375,10)</f>
        <v>0</v>
      </c>
      <c r="L149" s="223">
        <f t="shared" ca="1" si="11"/>
        <v>0</v>
      </c>
      <c r="M149" s="434">
        <f t="shared" ca="1" si="12"/>
        <v>0</v>
      </c>
      <c r="N149" s="223">
        <f ca="1">VLOOKUP($B149,DATOSAÑO!$B$11:$AR$375,13)</f>
        <v>0</v>
      </c>
      <c r="O149" s="223">
        <f t="shared" ca="1" si="13"/>
        <v>0</v>
      </c>
      <c r="P149" s="223">
        <f t="shared" ca="1" si="14"/>
        <v>0</v>
      </c>
      <c r="Q149" s="223">
        <f t="shared" ca="1" si="15"/>
        <v>0</v>
      </c>
      <c r="R149" s="223">
        <f ca="1">VLOOKUP($B149,DATOSAÑO!$B$11:$AR$375,16)</f>
        <v>0</v>
      </c>
      <c r="S149" s="223">
        <f ca="1">VLOOKUP($B149,DATOSAÑO!$B$11:$AR$375,43)</f>
        <v>0</v>
      </c>
      <c r="T149" s="223">
        <f ca="1">VLOOKUP($B149,DATOSAÑO!$B$11:$AR$375,17)</f>
        <v>0</v>
      </c>
      <c r="U149" s="223">
        <f ca="1">VLOOKUP($B149,DATOSAÑO!$B$11:$AR$375,19)</f>
        <v>0</v>
      </c>
      <c r="V149" s="223">
        <f ca="1">VLOOKUP($B149,DATOSAÑO!$B$11:$AR$375,43)</f>
        <v>0</v>
      </c>
      <c r="W149" s="223">
        <f ca="1">VLOOKUP($B149,DATOSAÑO!$B$11:$AR$375,20)</f>
        <v>0</v>
      </c>
      <c r="X149" s="223">
        <f ca="1">VLOOKUP($B149,DATOSAÑO!$B$11:$AR$375,24)</f>
        <v>0</v>
      </c>
      <c r="Y149" s="223">
        <f ca="1">VLOOKUP($B149,DATOSAÑO!$B$11:$BG$375,55)</f>
        <v>0</v>
      </c>
      <c r="Z149" s="223">
        <f ca="1">VLOOKUP($B149,DATOSAÑO!$B$11:$AM$375,29)</f>
        <v>0</v>
      </c>
      <c r="AA149" s="223">
        <f ca="1">VLOOKUP($B149,DATOSAÑO!$B$11:$AM$375,31)</f>
        <v>0</v>
      </c>
      <c r="AB149" s="223">
        <f ca="1">VLOOKUP($B149,DATOSAÑO!$B$11:$AM$375,33)</f>
        <v>0</v>
      </c>
      <c r="AC149" s="223">
        <f ca="1">VLOOKUP($B149,DATOSAÑO!$B$11:$AM$375,34)</f>
        <v>0</v>
      </c>
      <c r="AD149" s="223">
        <f ca="1">VLOOKUP($B149,DATOSAÑO!$B$11:$AM$375,35)</f>
        <v>0</v>
      </c>
      <c r="AE149" s="223">
        <f ca="1">VLOOKUP($B149,DATOSAÑO!$B$11:$AM$375,36)</f>
        <v>0</v>
      </c>
      <c r="AF149" s="223">
        <f ca="1">VLOOKUP($B149,DATOSAÑO!$B$11:$AM$375,37)</f>
        <v>0</v>
      </c>
      <c r="AG149" s="223">
        <f ca="1">VLOOKUP($B149,DATOSAÑO!$B$11:$AM$375,38)</f>
        <v>0</v>
      </c>
      <c r="AH149" s="223">
        <f ca="1">VLOOKUP($B149,DATOSAÑO!$B$11:$AN$375,39)</f>
        <v>0</v>
      </c>
      <c r="AI149" s="223">
        <f ca="1">VLOOKUP($B149,DATOSAÑO!$B$11:$BJ$375,61)</f>
        <v>0</v>
      </c>
      <c r="AJ149" s="223">
        <f ca="1">VLOOKUP($B149,DATOSAÑO!$B$11:$BM$375,64)</f>
        <v>0</v>
      </c>
      <c r="AK149" s="223">
        <f ca="1">VLOOKUP($B149,DATOSAÑO!$B$11:$BP$375,67)</f>
        <v>0</v>
      </c>
      <c r="AL149" s="223">
        <f ca="1">VLOOKUP($B149,DATOSAÑO!$B$11:$CC$375,80)</f>
        <v>0</v>
      </c>
    </row>
    <row r="150" spans="2:40">
      <c r="B150" s="439">
        <f t="shared" si="16"/>
        <v>45255</v>
      </c>
      <c r="C150" s="223">
        <f ca="1">VLOOKUP($B150,DATOSAÑO!$B$11:$AR$375,8)</f>
        <v>0</v>
      </c>
      <c r="D150" s="223">
        <f ca="1">VLOOKUP($B150,DATOSAÑO!$B$11:$AR$375,40)</f>
        <v>0</v>
      </c>
      <c r="E150" s="223">
        <f ca="1">VLOOKUP($B150,DATOSAÑO!$B$11:$AR$375,3)</f>
        <v>0</v>
      </c>
      <c r="F150" s="223">
        <f t="shared" ca="1" si="9"/>
        <v>0</v>
      </c>
      <c r="G150" s="434">
        <f t="shared" ca="1" si="10"/>
        <v>0</v>
      </c>
      <c r="H150" s="223">
        <f ca="1">VLOOKUP($B150,DATOSAÑO!$B$11:$AR$375,6)</f>
        <v>0</v>
      </c>
      <c r="I150" s="223">
        <f ca="1">VLOOKUP($B150,DATOSAÑO!$B$11:$AR$375,15)</f>
        <v>0</v>
      </c>
      <c r="J150" s="223">
        <f ca="1">VLOOKUP($B150,DATOSAÑO!$B$11:$AR$375,41)</f>
        <v>0</v>
      </c>
      <c r="K150" s="223">
        <f ca="1">VLOOKUP($B150,DATOSAÑO!$B$11:$AR$375,10)</f>
        <v>0</v>
      </c>
      <c r="L150" s="223">
        <f t="shared" ca="1" si="11"/>
        <v>0</v>
      </c>
      <c r="M150" s="434">
        <f t="shared" ca="1" si="12"/>
        <v>0</v>
      </c>
      <c r="N150" s="223">
        <f ca="1">VLOOKUP($B150,DATOSAÑO!$B$11:$AR$375,13)</f>
        <v>0</v>
      </c>
      <c r="O150" s="223">
        <f t="shared" ca="1" si="13"/>
        <v>0</v>
      </c>
      <c r="P150" s="223">
        <f t="shared" ca="1" si="14"/>
        <v>0</v>
      </c>
      <c r="Q150" s="223">
        <f t="shared" ca="1" si="15"/>
        <v>0</v>
      </c>
      <c r="R150" s="223">
        <f ca="1">VLOOKUP($B150,DATOSAÑO!$B$11:$AR$375,16)</f>
        <v>0</v>
      </c>
      <c r="S150" s="223">
        <f ca="1">VLOOKUP($B150,DATOSAÑO!$B$11:$AR$375,43)</f>
        <v>0</v>
      </c>
      <c r="T150" s="223">
        <f ca="1">VLOOKUP($B150,DATOSAÑO!$B$11:$AR$375,17)</f>
        <v>0</v>
      </c>
      <c r="U150" s="223">
        <f ca="1">VLOOKUP($B150,DATOSAÑO!$B$11:$AR$375,19)</f>
        <v>0</v>
      </c>
      <c r="V150" s="223">
        <f ca="1">VLOOKUP($B150,DATOSAÑO!$B$11:$AR$375,43)</f>
        <v>0</v>
      </c>
      <c r="W150" s="223">
        <f ca="1">VLOOKUP($B150,DATOSAÑO!$B$11:$AR$375,20)</f>
        <v>0</v>
      </c>
      <c r="X150" s="223">
        <f ca="1">VLOOKUP($B150,DATOSAÑO!$B$11:$AR$375,24)</f>
        <v>0</v>
      </c>
      <c r="Y150" s="223">
        <f ca="1">VLOOKUP($B150,DATOSAÑO!$B$11:$BG$375,55)</f>
        <v>0</v>
      </c>
      <c r="Z150" s="223">
        <f ca="1">VLOOKUP($B150,DATOSAÑO!$B$11:$AM$375,29)</f>
        <v>0</v>
      </c>
      <c r="AA150" s="223">
        <f ca="1">VLOOKUP($B150,DATOSAÑO!$B$11:$AM$375,31)</f>
        <v>0</v>
      </c>
      <c r="AB150" s="223">
        <f ca="1">VLOOKUP($B150,DATOSAÑO!$B$11:$AM$375,33)</f>
        <v>0</v>
      </c>
      <c r="AC150" s="223">
        <f ca="1">VLOOKUP($B150,DATOSAÑO!$B$11:$AM$375,34)</f>
        <v>0</v>
      </c>
      <c r="AD150" s="223">
        <f ca="1">VLOOKUP($B150,DATOSAÑO!$B$11:$AM$375,35)</f>
        <v>0</v>
      </c>
      <c r="AE150" s="223">
        <f ca="1">VLOOKUP($B150,DATOSAÑO!$B$11:$AM$375,36)</f>
        <v>0</v>
      </c>
      <c r="AF150" s="223">
        <f ca="1">VLOOKUP($B150,DATOSAÑO!$B$11:$AM$375,37)</f>
        <v>0</v>
      </c>
      <c r="AG150" s="223">
        <f ca="1">VLOOKUP($B150,DATOSAÑO!$B$11:$AM$375,38)</f>
        <v>0</v>
      </c>
      <c r="AH150" s="223">
        <f ca="1">VLOOKUP($B150,DATOSAÑO!$B$11:$AN$375,39)</f>
        <v>0</v>
      </c>
      <c r="AI150" s="223">
        <f ca="1">VLOOKUP($B150,DATOSAÑO!$B$11:$BJ$375,61)</f>
        <v>0</v>
      </c>
      <c r="AJ150" s="223">
        <f ca="1">VLOOKUP($B150,DATOSAÑO!$B$11:$BM$375,64)</f>
        <v>0</v>
      </c>
      <c r="AK150" s="223">
        <f ca="1">VLOOKUP($B150,DATOSAÑO!$B$11:$BP$375,67)</f>
        <v>0</v>
      </c>
      <c r="AL150" s="223">
        <f ca="1">VLOOKUP($B150,DATOSAÑO!$B$11:$CC$375,80)</f>
        <v>0</v>
      </c>
    </row>
    <row r="151" spans="2:40">
      <c r="B151" s="439">
        <f t="shared" si="16"/>
        <v>45256</v>
      </c>
      <c r="C151" s="223">
        <f ca="1">VLOOKUP($B151,DATOSAÑO!$B$11:$AR$375,8)</f>
        <v>0</v>
      </c>
      <c r="D151" s="223">
        <f ca="1">VLOOKUP($B151,DATOSAÑO!$B$11:$AR$375,40)</f>
        <v>0</v>
      </c>
      <c r="E151" s="223">
        <f ca="1">VLOOKUP($B151,DATOSAÑO!$B$11:$AR$375,3)</f>
        <v>0</v>
      </c>
      <c r="F151" s="223">
        <f t="shared" ca="1" si="9"/>
        <v>0</v>
      </c>
      <c r="G151" s="434">
        <f t="shared" ca="1" si="10"/>
        <v>0</v>
      </c>
      <c r="H151" s="223">
        <f ca="1">VLOOKUP($B151,DATOSAÑO!$B$11:$AR$375,6)</f>
        <v>0</v>
      </c>
      <c r="I151" s="223">
        <f ca="1">VLOOKUP($B151,DATOSAÑO!$B$11:$AR$375,15)</f>
        <v>0</v>
      </c>
      <c r="J151" s="223">
        <f ca="1">VLOOKUP($B151,DATOSAÑO!$B$11:$AR$375,41)</f>
        <v>0</v>
      </c>
      <c r="K151" s="223">
        <f ca="1">VLOOKUP($B151,DATOSAÑO!$B$11:$AR$375,10)</f>
        <v>0</v>
      </c>
      <c r="L151" s="223">
        <f t="shared" ca="1" si="11"/>
        <v>0</v>
      </c>
      <c r="M151" s="434">
        <f t="shared" ca="1" si="12"/>
        <v>0</v>
      </c>
      <c r="N151" s="223">
        <f ca="1">VLOOKUP($B151,DATOSAÑO!$B$11:$AR$375,13)</f>
        <v>0</v>
      </c>
      <c r="O151" s="223">
        <f t="shared" ca="1" si="13"/>
        <v>0</v>
      </c>
      <c r="P151" s="223">
        <f t="shared" ca="1" si="14"/>
        <v>0</v>
      </c>
      <c r="Q151" s="223">
        <f t="shared" ca="1" si="15"/>
        <v>0</v>
      </c>
      <c r="R151" s="223">
        <f ca="1">VLOOKUP($B151,DATOSAÑO!$B$11:$AR$375,16)</f>
        <v>0</v>
      </c>
      <c r="S151" s="223">
        <f ca="1">VLOOKUP($B151,DATOSAÑO!$B$11:$AR$375,43)</f>
        <v>0</v>
      </c>
      <c r="T151" s="223">
        <f ca="1">VLOOKUP($B151,DATOSAÑO!$B$11:$AR$375,17)</f>
        <v>0</v>
      </c>
      <c r="U151" s="223">
        <f ca="1">VLOOKUP($B151,DATOSAÑO!$B$11:$AR$375,19)</f>
        <v>0</v>
      </c>
      <c r="V151" s="223">
        <f ca="1">VLOOKUP($B151,DATOSAÑO!$B$11:$AR$375,43)</f>
        <v>0</v>
      </c>
      <c r="W151" s="223">
        <f ca="1">VLOOKUP($B151,DATOSAÑO!$B$11:$AR$375,20)</f>
        <v>0</v>
      </c>
      <c r="X151" s="223">
        <f ca="1">VLOOKUP($B151,DATOSAÑO!$B$11:$AR$375,24)</f>
        <v>0</v>
      </c>
      <c r="Y151" s="223">
        <f ca="1">VLOOKUP($B151,DATOSAÑO!$B$11:$BG$375,55)</f>
        <v>0</v>
      </c>
      <c r="Z151" s="223">
        <f ca="1">VLOOKUP($B151,DATOSAÑO!$B$11:$AM$375,29)</f>
        <v>0</v>
      </c>
      <c r="AA151" s="223">
        <f ca="1">VLOOKUP($B151,DATOSAÑO!$B$11:$AM$375,31)</f>
        <v>0</v>
      </c>
      <c r="AB151" s="223">
        <f ca="1">VLOOKUP($B151,DATOSAÑO!$B$11:$AM$375,33)</f>
        <v>0</v>
      </c>
      <c r="AC151" s="223">
        <f ca="1">VLOOKUP($B151,DATOSAÑO!$B$11:$AM$375,34)</f>
        <v>0</v>
      </c>
      <c r="AD151" s="223">
        <f ca="1">VLOOKUP($B151,DATOSAÑO!$B$11:$AM$375,35)</f>
        <v>0</v>
      </c>
      <c r="AE151" s="223">
        <f ca="1">VLOOKUP($B151,DATOSAÑO!$B$11:$AM$375,36)</f>
        <v>0</v>
      </c>
      <c r="AF151" s="223">
        <f ca="1">VLOOKUP($B151,DATOSAÑO!$B$11:$AM$375,37)</f>
        <v>0</v>
      </c>
      <c r="AG151" s="223">
        <f ca="1">VLOOKUP($B151,DATOSAÑO!$B$11:$AM$375,38)</f>
        <v>0</v>
      </c>
      <c r="AH151" s="223">
        <f ca="1">VLOOKUP($B151,DATOSAÑO!$B$11:$AN$375,39)</f>
        <v>0</v>
      </c>
      <c r="AI151" s="223">
        <f ca="1">VLOOKUP($B151,DATOSAÑO!$B$11:$BJ$375,61)</f>
        <v>0</v>
      </c>
      <c r="AJ151" s="223">
        <f ca="1">VLOOKUP($B151,DATOSAÑO!$B$11:$BM$375,64)</f>
        <v>0</v>
      </c>
      <c r="AK151" s="223">
        <f ca="1">VLOOKUP($B151,DATOSAÑO!$B$11:$BP$375,67)</f>
        <v>0</v>
      </c>
      <c r="AL151" s="223">
        <f ca="1">VLOOKUP($B151,DATOSAÑO!$B$11:$CC$375,80)</f>
        <v>0</v>
      </c>
    </row>
    <row r="152" spans="2:40">
      <c r="B152" s="439">
        <f t="shared" si="16"/>
        <v>45257</v>
      </c>
      <c r="C152" s="223">
        <f ca="1">VLOOKUP($B152,DATOSAÑO!$B$11:$AR$375,8)</f>
        <v>0</v>
      </c>
      <c r="D152" s="223">
        <f ca="1">VLOOKUP($B152,DATOSAÑO!$B$11:$AR$375,40)</f>
        <v>0</v>
      </c>
      <c r="E152" s="223">
        <f ca="1">VLOOKUP($B152,DATOSAÑO!$B$11:$AR$375,3)</f>
        <v>0</v>
      </c>
      <c r="F152" s="223">
        <f t="shared" ca="1" si="9"/>
        <v>0</v>
      </c>
      <c r="G152" s="434">
        <f t="shared" ca="1" si="10"/>
        <v>0</v>
      </c>
      <c r="H152" s="223">
        <f ca="1">VLOOKUP($B152,DATOSAÑO!$B$11:$AR$375,6)</f>
        <v>0</v>
      </c>
      <c r="I152" s="223">
        <f ca="1">VLOOKUP($B152,DATOSAÑO!$B$11:$AR$375,15)</f>
        <v>0</v>
      </c>
      <c r="J152" s="223">
        <f ca="1">VLOOKUP($B152,DATOSAÑO!$B$11:$AR$375,41)</f>
        <v>0</v>
      </c>
      <c r="K152" s="223">
        <f ca="1">VLOOKUP($B152,DATOSAÑO!$B$11:$AR$375,10)</f>
        <v>0</v>
      </c>
      <c r="L152" s="223">
        <f t="shared" ca="1" si="11"/>
        <v>0</v>
      </c>
      <c r="M152" s="434">
        <f t="shared" ca="1" si="12"/>
        <v>0</v>
      </c>
      <c r="N152" s="223">
        <f ca="1">VLOOKUP($B152,DATOSAÑO!$B$11:$AR$375,13)</f>
        <v>0</v>
      </c>
      <c r="O152" s="223">
        <f t="shared" ca="1" si="13"/>
        <v>0</v>
      </c>
      <c r="P152" s="223">
        <f t="shared" ca="1" si="14"/>
        <v>0</v>
      </c>
      <c r="Q152" s="223">
        <f t="shared" ca="1" si="15"/>
        <v>0</v>
      </c>
      <c r="R152" s="223">
        <f ca="1">VLOOKUP($B152,DATOSAÑO!$B$11:$AR$375,16)</f>
        <v>0</v>
      </c>
      <c r="S152" s="223">
        <f ca="1">VLOOKUP($B152,DATOSAÑO!$B$11:$AR$375,43)</f>
        <v>0</v>
      </c>
      <c r="T152" s="223">
        <f ca="1">VLOOKUP($B152,DATOSAÑO!$B$11:$AR$375,17)</f>
        <v>0</v>
      </c>
      <c r="U152" s="223">
        <f ca="1">VLOOKUP($B152,DATOSAÑO!$B$11:$AR$375,19)</f>
        <v>0</v>
      </c>
      <c r="V152" s="223">
        <f ca="1">VLOOKUP($B152,DATOSAÑO!$B$11:$AR$375,43)</f>
        <v>0</v>
      </c>
      <c r="W152" s="223">
        <f ca="1">VLOOKUP($B152,DATOSAÑO!$B$11:$AR$375,20)</f>
        <v>0</v>
      </c>
      <c r="X152" s="223">
        <f ca="1">VLOOKUP($B152,DATOSAÑO!$B$11:$AR$375,24)</f>
        <v>0</v>
      </c>
      <c r="Y152" s="223">
        <f ca="1">VLOOKUP($B152,DATOSAÑO!$B$11:$BG$375,55)</f>
        <v>0</v>
      </c>
      <c r="Z152" s="223">
        <f ca="1">VLOOKUP($B152,DATOSAÑO!$B$11:$AM$375,29)</f>
        <v>0</v>
      </c>
      <c r="AA152" s="223">
        <f ca="1">VLOOKUP($B152,DATOSAÑO!$B$11:$AM$375,31)</f>
        <v>0</v>
      </c>
      <c r="AB152" s="223">
        <f ca="1">VLOOKUP($B152,DATOSAÑO!$B$11:$AM$375,33)</f>
        <v>0</v>
      </c>
      <c r="AC152" s="223">
        <f ca="1">VLOOKUP($B152,DATOSAÑO!$B$11:$AM$375,34)</f>
        <v>0</v>
      </c>
      <c r="AD152" s="223">
        <f ca="1">VLOOKUP($B152,DATOSAÑO!$B$11:$AM$375,35)</f>
        <v>0</v>
      </c>
      <c r="AE152" s="223">
        <f ca="1">VLOOKUP($B152,DATOSAÑO!$B$11:$AM$375,36)</f>
        <v>0</v>
      </c>
      <c r="AF152" s="223">
        <f ca="1">VLOOKUP($B152,DATOSAÑO!$B$11:$AM$375,37)</f>
        <v>0</v>
      </c>
      <c r="AG152" s="223">
        <f ca="1">VLOOKUP($B152,DATOSAÑO!$B$11:$AM$375,38)</f>
        <v>0</v>
      </c>
      <c r="AH152" s="223">
        <f ca="1">VLOOKUP($B152,DATOSAÑO!$B$11:$AN$375,39)</f>
        <v>0</v>
      </c>
      <c r="AI152" s="223">
        <f ca="1">VLOOKUP($B152,DATOSAÑO!$B$11:$BJ$375,61)</f>
        <v>0</v>
      </c>
      <c r="AJ152" s="223">
        <f ca="1">VLOOKUP($B152,DATOSAÑO!$B$11:$BM$375,64)</f>
        <v>0</v>
      </c>
      <c r="AK152" s="223">
        <f ca="1">VLOOKUP($B152,DATOSAÑO!$B$11:$BP$375,67)</f>
        <v>0</v>
      </c>
      <c r="AL152" s="223">
        <f ca="1">VLOOKUP($B152,DATOSAÑO!$B$11:$CC$375,80)</f>
        <v>0</v>
      </c>
    </row>
    <row r="153" spans="2:40">
      <c r="B153" s="439">
        <f t="shared" si="16"/>
        <v>45258</v>
      </c>
      <c r="C153" s="223">
        <f ca="1">VLOOKUP($B153,DATOSAÑO!$B$11:$AR$375,8)</f>
        <v>0</v>
      </c>
      <c r="D153" s="223">
        <f ca="1">VLOOKUP($B153,DATOSAÑO!$B$11:$AR$375,40)</f>
        <v>0</v>
      </c>
      <c r="E153" s="223">
        <f ca="1">VLOOKUP($B153,DATOSAÑO!$B$11:$AR$375,3)</f>
        <v>0</v>
      </c>
      <c r="F153" s="223">
        <f t="shared" ca="1" si="9"/>
        <v>0</v>
      </c>
      <c r="G153" s="434">
        <f t="shared" ca="1" si="10"/>
        <v>0</v>
      </c>
      <c r="H153" s="223">
        <f ca="1">VLOOKUP($B153,DATOSAÑO!$B$11:$AR$375,6)</f>
        <v>0</v>
      </c>
      <c r="I153" s="223">
        <f ca="1">VLOOKUP($B153,DATOSAÑO!$B$11:$AR$375,15)</f>
        <v>0</v>
      </c>
      <c r="J153" s="223">
        <f ca="1">VLOOKUP($B153,DATOSAÑO!$B$11:$AR$375,41)</f>
        <v>0</v>
      </c>
      <c r="K153" s="223">
        <f ca="1">VLOOKUP($B153,DATOSAÑO!$B$11:$AR$375,10)</f>
        <v>0</v>
      </c>
      <c r="L153" s="223">
        <f t="shared" ca="1" si="11"/>
        <v>0</v>
      </c>
      <c r="M153" s="434">
        <f t="shared" ca="1" si="12"/>
        <v>0</v>
      </c>
      <c r="N153" s="223">
        <f ca="1">VLOOKUP($B153,DATOSAÑO!$B$11:$AR$375,13)</f>
        <v>0</v>
      </c>
      <c r="O153" s="223">
        <f t="shared" ca="1" si="13"/>
        <v>0</v>
      </c>
      <c r="P153" s="223">
        <f t="shared" ca="1" si="14"/>
        <v>0</v>
      </c>
      <c r="Q153" s="223">
        <f t="shared" ca="1" si="15"/>
        <v>0</v>
      </c>
      <c r="R153" s="223">
        <f ca="1">VLOOKUP($B153,DATOSAÑO!$B$11:$AR$375,16)</f>
        <v>0</v>
      </c>
      <c r="S153" s="223">
        <f ca="1">VLOOKUP($B153,DATOSAÑO!$B$11:$AR$375,43)</f>
        <v>0</v>
      </c>
      <c r="T153" s="223">
        <f ca="1">VLOOKUP($B153,DATOSAÑO!$B$11:$AR$375,17)</f>
        <v>0</v>
      </c>
      <c r="U153" s="223">
        <f ca="1">VLOOKUP($B153,DATOSAÑO!$B$11:$AR$375,19)</f>
        <v>0</v>
      </c>
      <c r="V153" s="223">
        <f ca="1">VLOOKUP($B153,DATOSAÑO!$B$11:$AR$375,43)</f>
        <v>0</v>
      </c>
      <c r="W153" s="223">
        <f ca="1">VLOOKUP($B153,DATOSAÑO!$B$11:$AR$375,20)</f>
        <v>0</v>
      </c>
      <c r="X153" s="223">
        <f ca="1">VLOOKUP($B153,DATOSAÑO!$B$11:$AR$375,24)</f>
        <v>0</v>
      </c>
      <c r="Y153" s="223">
        <f ca="1">VLOOKUP($B153,DATOSAÑO!$B$11:$BG$375,55)</f>
        <v>0</v>
      </c>
      <c r="Z153" s="223">
        <f ca="1">VLOOKUP($B153,DATOSAÑO!$B$11:$AM$375,29)</f>
        <v>0</v>
      </c>
      <c r="AA153" s="223">
        <f ca="1">VLOOKUP($B153,DATOSAÑO!$B$11:$AM$375,31)</f>
        <v>0</v>
      </c>
      <c r="AB153" s="223">
        <f ca="1">VLOOKUP($B153,DATOSAÑO!$B$11:$AM$375,33)</f>
        <v>0</v>
      </c>
      <c r="AC153" s="223">
        <f ca="1">VLOOKUP($B153,DATOSAÑO!$B$11:$AM$375,34)</f>
        <v>0</v>
      </c>
      <c r="AD153" s="223">
        <f ca="1">VLOOKUP($B153,DATOSAÑO!$B$11:$AM$375,35)</f>
        <v>0</v>
      </c>
      <c r="AE153" s="223">
        <f ca="1">VLOOKUP($B153,DATOSAÑO!$B$11:$AM$375,36)</f>
        <v>0</v>
      </c>
      <c r="AF153" s="223">
        <f ca="1">VLOOKUP($B153,DATOSAÑO!$B$11:$AM$375,37)</f>
        <v>0</v>
      </c>
      <c r="AG153" s="223">
        <f ca="1">VLOOKUP($B153,DATOSAÑO!$B$11:$AM$375,38)</f>
        <v>0</v>
      </c>
      <c r="AH153" s="223">
        <f ca="1">VLOOKUP($B153,DATOSAÑO!$B$11:$AN$375,39)</f>
        <v>0</v>
      </c>
      <c r="AI153" s="223">
        <f ca="1">VLOOKUP($B153,DATOSAÑO!$B$11:$BJ$375,61)</f>
        <v>0</v>
      </c>
      <c r="AJ153" s="223">
        <f ca="1">VLOOKUP($B153,DATOSAÑO!$B$11:$BM$375,64)</f>
        <v>0</v>
      </c>
      <c r="AK153" s="223">
        <f ca="1">VLOOKUP($B153,DATOSAÑO!$B$11:$BP$375,67)</f>
        <v>0</v>
      </c>
      <c r="AL153" s="223">
        <f ca="1">VLOOKUP($B153,DATOSAÑO!$B$11:$CC$375,80)</f>
        <v>0</v>
      </c>
    </row>
    <row r="154" spans="2:40" s="1271" customFormat="1">
      <c r="B154" s="439">
        <f t="shared" si="16"/>
        <v>45259</v>
      </c>
      <c r="C154" s="223">
        <f ca="1">VLOOKUP($B154,DATOSAÑO!$B$11:$AR$375,8)</f>
        <v>0</v>
      </c>
      <c r="D154" s="223">
        <f ca="1">VLOOKUP($B154,DATOSAÑO!$B$11:$AR$375,40)</f>
        <v>0</v>
      </c>
      <c r="E154" s="223">
        <f ca="1">VLOOKUP($B154,DATOSAÑO!$B$11:$AR$375,3)</f>
        <v>0</v>
      </c>
      <c r="F154" s="223">
        <f t="shared" ca="1" si="9"/>
        <v>0</v>
      </c>
      <c r="G154" s="434">
        <f t="shared" ca="1" si="10"/>
        <v>0</v>
      </c>
      <c r="H154" s="223">
        <f ca="1">VLOOKUP($B154,DATOSAÑO!$B$11:$AR$375,6)</f>
        <v>0</v>
      </c>
      <c r="I154" s="223">
        <f ca="1">VLOOKUP($B154,DATOSAÑO!$B$11:$AR$375,15)</f>
        <v>0</v>
      </c>
      <c r="J154" s="223">
        <f ca="1">VLOOKUP($B154,DATOSAÑO!$B$11:$AR$375,41)</f>
        <v>0</v>
      </c>
      <c r="K154" s="223">
        <f ca="1">VLOOKUP($B154,DATOSAÑO!$B$11:$AR$375,10)</f>
        <v>0</v>
      </c>
      <c r="L154" s="223">
        <f t="shared" ca="1" si="11"/>
        <v>0</v>
      </c>
      <c r="M154" s="434">
        <f t="shared" ca="1" si="12"/>
        <v>0</v>
      </c>
      <c r="N154" s="223">
        <f ca="1">VLOOKUP($B154,DATOSAÑO!$B$11:$AR$375,13)</f>
        <v>0</v>
      </c>
      <c r="O154" s="223">
        <f t="shared" ca="1" si="13"/>
        <v>0</v>
      </c>
      <c r="P154" s="223">
        <f t="shared" ca="1" si="14"/>
        <v>0</v>
      </c>
      <c r="Q154" s="223">
        <f t="shared" ca="1" si="15"/>
        <v>0</v>
      </c>
      <c r="R154" s="223">
        <f ca="1">VLOOKUP($B154,DATOSAÑO!$B$11:$AR$375,16)</f>
        <v>0</v>
      </c>
      <c r="S154" s="223">
        <f ca="1">VLOOKUP($B154,DATOSAÑO!$B$11:$AR$375,43)</f>
        <v>0</v>
      </c>
      <c r="T154" s="223">
        <f ca="1">VLOOKUP($B154,DATOSAÑO!$B$11:$AR$375,17)</f>
        <v>0</v>
      </c>
      <c r="U154" s="223">
        <f ca="1">VLOOKUP($B154,DATOSAÑO!$B$11:$AR$375,19)</f>
        <v>0</v>
      </c>
      <c r="V154" s="223">
        <f ca="1">VLOOKUP($B154,DATOSAÑO!$B$11:$AR$375,43)</f>
        <v>0</v>
      </c>
      <c r="W154" s="223">
        <f ca="1">VLOOKUP($B154,DATOSAÑO!$B$11:$AR$375,20)</f>
        <v>0</v>
      </c>
      <c r="X154" s="223">
        <f ca="1">VLOOKUP($B154,DATOSAÑO!$B$11:$AR$375,24)</f>
        <v>0</v>
      </c>
      <c r="Y154" s="223">
        <f ca="1">VLOOKUP($B154,DATOSAÑO!$B$11:$BG$375,55)</f>
        <v>0</v>
      </c>
      <c r="Z154" s="223">
        <f ca="1">VLOOKUP($B154,DATOSAÑO!$B$11:$AM$375,29)</f>
        <v>0</v>
      </c>
      <c r="AA154" s="223">
        <f ca="1">VLOOKUP($B154,DATOSAÑO!$B$11:$AM$375,31)</f>
        <v>0</v>
      </c>
      <c r="AB154" s="223">
        <f ca="1">VLOOKUP($B154,DATOSAÑO!$B$11:$AM$375,33)</f>
        <v>0</v>
      </c>
      <c r="AC154" s="223">
        <f ca="1">VLOOKUP($B154,DATOSAÑO!$B$11:$AM$375,34)</f>
        <v>0</v>
      </c>
      <c r="AD154" s="223">
        <f ca="1">VLOOKUP($B154,DATOSAÑO!$B$11:$AM$375,35)</f>
        <v>0</v>
      </c>
      <c r="AE154" s="223">
        <f ca="1">VLOOKUP($B154,DATOSAÑO!$B$11:$AM$375,36)</f>
        <v>0</v>
      </c>
      <c r="AF154" s="223">
        <f ca="1">VLOOKUP($B154,DATOSAÑO!$B$11:$AM$375,37)</f>
        <v>0</v>
      </c>
      <c r="AG154" s="223">
        <f ca="1">VLOOKUP($B154,DATOSAÑO!$B$11:$AM$375,38)</f>
        <v>0</v>
      </c>
      <c r="AH154" s="223">
        <f ca="1">VLOOKUP($B154,DATOSAÑO!$B$11:$AN$375,39)</f>
        <v>0</v>
      </c>
      <c r="AI154" s="223">
        <f ca="1">VLOOKUP($B154,DATOSAÑO!$B$11:$BJ$375,61)</f>
        <v>0</v>
      </c>
      <c r="AJ154" s="223">
        <f ca="1">VLOOKUP($B154,DATOSAÑO!$B$11:$BM$375,64)</f>
        <v>0</v>
      </c>
      <c r="AK154" s="223">
        <f ca="1">VLOOKUP($B154,DATOSAÑO!$B$11:$BP$375,67)</f>
        <v>0</v>
      </c>
      <c r="AL154" s="223">
        <f ca="1">VLOOKUP($B154,DATOSAÑO!$B$11:$CC$375,80)</f>
        <v>0</v>
      </c>
    </row>
    <row r="155" spans="2:40" s="1271" customFormat="1">
      <c r="B155" s="439">
        <f t="shared" si="16"/>
        <v>45260</v>
      </c>
      <c r="C155" s="223">
        <f ca="1">VLOOKUP($B155,DATOSAÑO!$B$11:$AR$375,8)</f>
        <v>0</v>
      </c>
      <c r="D155" s="223">
        <f ca="1">VLOOKUP($B155,DATOSAÑO!$B$11:$AR$375,40)</f>
        <v>0</v>
      </c>
      <c r="E155" s="223">
        <f ca="1">VLOOKUP($B155,DATOSAÑO!$B$11:$AR$375,3)</f>
        <v>0</v>
      </c>
      <c r="F155" s="223">
        <f t="shared" ca="1" si="9"/>
        <v>0</v>
      </c>
      <c r="G155" s="434">
        <f t="shared" ca="1" si="10"/>
        <v>0</v>
      </c>
      <c r="H155" s="223">
        <f ca="1">VLOOKUP($B155,DATOSAÑO!$B$11:$AR$375,6)</f>
        <v>0</v>
      </c>
      <c r="I155" s="223">
        <f ca="1">VLOOKUP($B155,DATOSAÑO!$B$11:$AR$375,15)</f>
        <v>0</v>
      </c>
      <c r="J155" s="223">
        <f ca="1">VLOOKUP($B155,DATOSAÑO!$B$11:$AR$375,41)</f>
        <v>0</v>
      </c>
      <c r="K155" s="223">
        <f ca="1">VLOOKUP($B155,DATOSAÑO!$B$11:$AR$375,10)</f>
        <v>0</v>
      </c>
      <c r="L155" s="223">
        <f t="shared" ca="1" si="11"/>
        <v>0</v>
      </c>
      <c r="M155" s="434">
        <f t="shared" ca="1" si="12"/>
        <v>0</v>
      </c>
      <c r="N155" s="223">
        <f ca="1">VLOOKUP($B155,DATOSAÑO!$B$11:$AR$375,13)</f>
        <v>0</v>
      </c>
      <c r="O155" s="223">
        <f t="shared" ca="1" si="13"/>
        <v>0</v>
      </c>
      <c r="P155" s="223">
        <f t="shared" ca="1" si="14"/>
        <v>0</v>
      </c>
      <c r="Q155" s="223">
        <f t="shared" ca="1" si="15"/>
        <v>0</v>
      </c>
      <c r="R155" s="223">
        <f ca="1">VLOOKUP($B155,DATOSAÑO!$B$11:$AR$375,16)</f>
        <v>0</v>
      </c>
      <c r="S155" s="223">
        <f ca="1">VLOOKUP($B155,DATOSAÑO!$B$11:$AR$375,43)</f>
        <v>0</v>
      </c>
      <c r="T155" s="223">
        <f ca="1">VLOOKUP($B155,DATOSAÑO!$B$11:$AR$375,17)</f>
        <v>0</v>
      </c>
      <c r="U155" s="223">
        <f ca="1">VLOOKUP($B155,DATOSAÑO!$B$11:$AR$375,19)</f>
        <v>0</v>
      </c>
      <c r="V155" s="223">
        <f ca="1">VLOOKUP($B155,DATOSAÑO!$B$11:$AR$375,43)</f>
        <v>0</v>
      </c>
      <c r="W155" s="223">
        <f ca="1">VLOOKUP($B155,DATOSAÑO!$B$11:$AR$375,20)</f>
        <v>0</v>
      </c>
      <c r="X155" s="223">
        <f ca="1">VLOOKUP($B155,DATOSAÑO!$B$11:$AR$375,24)</f>
        <v>0</v>
      </c>
      <c r="Y155" s="223">
        <f ca="1">VLOOKUP($B155,DATOSAÑO!$B$11:$BG$375,55)</f>
        <v>0</v>
      </c>
      <c r="Z155" s="223">
        <f ca="1">VLOOKUP($B155,DATOSAÑO!$B$11:$AM$375,29)</f>
        <v>0</v>
      </c>
      <c r="AA155" s="223">
        <f ca="1">VLOOKUP($B155,DATOSAÑO!$B$11:$AM$375,31)</f>
        <v>0</v>
      </c>
      <c r="AB155" s="223">
        <f ca="1">VLOOKUP($B155,DATOSAÑO!$B$11:$AM$375,33)</f>
        <v>0</v>
      </c>
      <c r="AC155" s="223">
        <f ca="1">VLOOKUP($B155,DATOSAÑO!$B$11:$AM$375,34)</f>
        <v>0</v>
      </c>
      <c r="AD155" s="223">
        <f ca="1">VLOOKUP($B155,DATOSAÑO!$B$11:$AM$375,35)</f>
        <v>0</v>
      </c>
      <c r="AE155" s="223">
        <f ca="1">VLOOKUP($B155,DATOSAÑO!$B$11:$AM$375,36)</f>
        <v>0</v>
      </c>
      <c r="AF155" s="223">
        <f ca="1">VLOOKUP($B155,DATOSAÑO!$B$11:$AM$375,37)</f>
        <v>0</v>
      </c>
      <c r="AG155" s="223">
        <f ca="1">VLOOKUP($B155,DATOSAÑO!$B$11:$AM$375,38)</f>
        <v>0</v>
      </c>
      <c r="AH155" s="223">
        <f ca="1">VLOOKUP($B155,DATOSAÑO!$B$11:$AN$375,39)</f>
        <v>0</v>
      </c>
      <c r="AI155" s="223">
        <f ca="1">VLOOKUP($B155,DATOSAÑO!$B$11:$BJ$375,61)</f>
        <v>0</v>
      </c>
      <c r="AJ155" s="223">
        <f ca="1">VLOOKUP($B155,DATOSAÑO!$B$11:$BM$375,64)</f>
        <v>0</v>
      </c>
      <c r="AK155" s="223">
        <f ca="1">VLOOKUP($B155,DATOSAÑO!$B$11:$BP$375,67)</f>
        <v>0</v>
      </c>
      <c r="AL155" s="223">
        <f ca="1">VLOOKUP($B155,DATOSAÑO!$B$11:$CC$375,80)</f>
        <v>0</v>
      </c>
    </row>
    <row r="156" spans="2:40" s="1271" customFormat="1">
      <c r="B156" s="439">
        <f t="shared" si="16"/>
        <v>45261</v>
      </c>
      <c r="C156" s="223">
        <f ca="1">VLOOKUP($B156,DATOSAÑO!$B$11:$AR$375,8)</f>
        <v>0</v>
      </c>
      <c r="D156" s="223">
        <f ca="1">VLOOKUP($B156,DATOSAÑO!$B$11:$AR$375,40)</f>
        <v>0</v>
      </c>
      <c r="E156" s="223">
        <f ca="1">VLOOKUP($B156,DATOSAÑO!$B$11:$AR$375,3)</f>
        <v>0</v>
      </c>
      <c r="F156" s="223">
        <f t="shared" ca="1" si="9"/>
        <v>0</v>
      </c>
      <c r="G156" s="434">
        <f t="shared" ca="1" si="10"/>
        <v>0</v>
      </c>
      <c r="H156" s="223">
        <f ca="1">VLOOKUP($B156,DATOSAÑO!$B$11:$AR$375,6)</f>
        <v>0</v>
      </c>
      <c r="I156" s="223">
        <f ca="1">VLOOKUP($B156,DATOSAÑO!$B$11:$AR$375,15)</f>
        <v>0</v>
      </c>
      <c r="J156" s="223">
        <f ca="1">VLOOKUP($B156,DATOSAÑO!$B$11:$AR$375,41)</f>
        <v>0</v>
      </c>
      <c r="K156" s="223">
        <f ca="1">VLOOKUP($B156,DATOSAÑO!$B$11:$AR$375,10)</f>
        <v>0</v>
      </c>
      <c r="L156" s="223">
        <f t="shared" ca="1" si="11"/>
        <v>0</v>
      </c>
      <c r="M156" s="434">
        <f t="shared" ca="1" si="12"/>
        <v>0</v>
      </c>
      <c r="N156" s="223">
        <f ca="1">VLOOKUP($B156,DATOSAÑO!$B$11:$AR$375,13)</f>
        <v>0</v>
      </c>
      <c r="O156" s="223">
        <f t="shared" ref="O156" ca="1" si="17">(E156+K156)</f>
        <v>0</v>
      </c>
      <c r="P156" s="223">
        <f t="shared" ref="P156" ca="1" si="18">AVERAGE(C156,I156)</f>
        <v>0</v>
      </c>
      <c r="Q156" s="223">
        <f t="shared" ref="Q156" ca="1" si="19">AVERAGE(D156,J156)</f>
        <v>0</v>
      </c>
      <c r="R156" s="223">
        <f ca="1">VLOOKUP($B156,DATOSAÑO!$B$11:$AR$375,16)</f>
        <v>0</v>
      </c>
      <c r="S156" s="223">
        <f ca="1">VLOOKUP($B156,DATOSAÑO!$B$11:$AR$375,43)</f>
        <v>0</v>
      </c>
      <c r="T156" s="223">
        <f ca="1">VLOOKUP($B156,DATOSAÑO!$B$11:$AR$375,17)</f>
        <v>0</v>
      </c>
      <c r="U156" s="223">
        <f ca="1">VLOOKUP($B156,DATOSAÑO!$B$11:$AR$375,19)</f>
        <v>0</v>
      </c>
      <c r="V156" s="223">
        <f ca="1">VLOOKUP($B156,DATOSAÑO!$B$11:$AR$375,43)</f>
        <v>0</v>
      </c>
      <c r="W156" s="223">
        <f ca="1">VLOOKUP($B156,DATOSAÑO!$B$11:$AR$375,20)</f>
        <v>0</v>
      </c>
      <c r="X156" s="223">
        <f ca="1">VLOOKUP($B156,DATOSAÑO!$B$11:$AR$375,24)</f>
        <v>0</v>
      </c>
      <c r="Y156" s="223">
        <f ca="1">VLOOKUP($B156,DATOSAÑO!$B$11:$BG$375,55)</f>
        <v>0</v>
      </c>
      <c r="Z156" s="223">
        <f ca="1">VLOOKUP($B156,DATOSAÑO!$B$11:$AM$375,29)</f>
        <v>0</v>
      </c>
      <c r="AA156" s="223">
        <f ca="1">VLOOKUP($B156,DATOSAÑO!$B$11:$AM$375,31)</f>
        <v>0</v>
      </c>
      <c r="AB156" s="223">
        <f ca="1">VLOOKUP($B156,DATOSAÑO!$B$11:$AM$375,33)</f>
        <v>0</v>
      </c>
      <c r="AC156" s="223">
        <f ca="1">VLOOKUP($B156,DATOSAÑO!$B$11:$AM$375,34)</f>
        <v>0</v>
      </c>
      <c r="AD156" s="223">
        <f ca="1">VLOOKUP($B156,DATOSAÑO!$B$11:$AM$375,35)</f>
        <v>0</v>
      </c>
      <c r="AE156" s="223">
        <f ca="1">VLOOKUP($B156,DATOSAÑO!$B$11:$AM$375,36)</f>
        <v>0</v>
      </c>
      <c r="AF156" s="223">
        <f ca="1">VLOOKUP($B156,DATOSAÑO!$B$11:$AM$375,37)</f>
        <v>0</v>
      </c>
      <c r="AG156" s="223">
        <f ca="1">VLOOKUP($B156,DATOSAÑO!$B$11:$AM$375,38)</f>
        <v>0</v>
      </c>
      <c r="AH156" s="223">
        <f ca="1">VLOOKUP($B156,DATOSAÑO!$B$11:$AN$375,39)</f>
        <v>0</v>
      </c>
      <c r="AI156" s="223">
        <f ca="1">VLOOKUP($B156,DATOSAÑO!$B$11:$BJ$375,61)</f>
        <v>0</v>
      </c>
      <c r="AJ156" s="223">
        <f ca="1">VLOOKUP($B156,DATOSAÑO!$B$11:$BM$375,64)</f>
        <v>0</v>
      </c>
      <c r="AK156" s="223">
        <f ca="1">VLOOKUP($B156,DATOSAÑO!$B$11:$BP$375,67)</f>
        <v>0</v>
      </c>
      <c r="AL156" s="223">
        <f ca="1">VLOOKUP($B156,DATOSAÑO!$B$11:$CC$375,80)</f>
        <v>0</v>
      </c>
    </row>
    <row r="157" spans="2:40" ht="15" customHeight="1">
      <c r="B157" s="2215" t="s">
        <v>131</v>
      </c>
      <c r="C157" s="2210" t="s">
        <v>598</v>
      </c>
      <c r="D157" s="2210" t="s">
        <v>609</v>
      </c>
      <c r="E157" s="2210" t="s">
        <v>587</v>
      </c>
      <c r="F157" s="2210" t="s">
        <v>585</v>
      </c>
      <c r="G157" s="2210" t="s">
        <v>601</v>
      </c>
      <c r="H157" s="2210" t="s">
        <v>608</v>
      </c>
      <c r="I157" s="2210" t="s">
        <v>602</v>
      </c>
      <c r="J157" s="2210" t="s">
        <v>610</v>
      </c>
      <c r="K157" s="2210" t="s">
        <v>188</v>
      </c>
      <c r="L157" s="2210" t="s">
        <v>180</v>
      </c>
      <c r="M157" s="2210" t="s">
        <v>603</v>
      </c>
      <c r="N157" s="2212" t="s">
        <v>210</v>
      </c>
      <c r="O157" s="2210" t="s">
        <v>604</v>
      </c>
      <c r="P157" s="2212" t="s">
        <v>210</v>
      </c>
      <c r="Q157" s="2210" t="s">
        <v>605</v>
      </c>
      <c r="R157" s="2210" t="s">
        <v>606</v>
      </c>
      <c r="S157" s="2210" t="s">
        <v>607</v>
      </c>
      <c r="T157" s="2210" t="s">
        <v>201</v>
      </c>
      <c r="U157" s="2210" t="s">
        <v>195</v>
      </c>
      <c r="V157" s="2210" t="s">
        <v>211</v>
      </c>
      <c r="W157" s="2210" t="s">
        <v>212</v>
      </c>
      <c r="X157" s="2210" t="s">
        <v>213</v>
      </c>
      <c r="Y157" s="2210" t="s">
        <v>214</v>
      </c>
      <c r="Z157" s="2210" t="s">
        <v>215</v>
      </c>
      <c r="AA157" s="2210" t="s">
        <v>216</v>
      </c>
      <c r="AB157" s="2210" t="s">
        <v>217</v>
      </c>
      <c r="AC157" s="2210" t="s">
        <v>594</v>
      </c>
      <c r="AD157" s="2210" t="s">
        <v>595</v>
      </c>
      <c r="AE157" s="2210" t="s">
        <v>596</v>
      </c>
      <c r="AF157" s="2210" t="s">
        <v>597</v>
      </c>
      <c r="AG157" s="2210" t="s">
        <v>222</v>
      </c>
      <c r="AH157" s="2240" t="s">
        <v>613</v>
      </c>
      <c r="AI157" s="1113"/>
      <c r="AJ157" s="1113"/>
      <c r="AK157" s="1113"/>
      <c r="AL157" s="1113"/>
      <c r="AM157" s="1113"/>
      <c r="AN157" s="1113"/>
    </row>
    <row r="158" spans="2:40" ht="46.5" customHeight="1">
      <c r="B158" s="2216"/>
      <c r="C158" s="2211"/>
      <c r="D158" s="2211"/>
      <c r="E158" s="2211"/>
      <c r="F158" s="2211"/>
      <c r="G158" s="2211"/>
      <c r="H158" s="2211"/>
      <c r="I158" s="2211"/>
      <c r="J158" s="2211"/>
      <c r="K158" s="2211"/>
      <c r="L158" s="2211"/>
      <c r="M158" s="2211"/>
      <c r="N158" s="2213"/>
      <c r="O158" s="2211"/>
      <c r="P158" s="2213"/>
      <c r="Q158" s="2211"/>
      <c r="R158" s="2211"/>
      <c r="S158" s="2211"/>
      <c r="T158" s="2211"/>
      <c r="U158" s="2211"/>
      <c r="V158" s="2211"/>
      <c r="W158" s="2211"/>
      <c r="X158" s="2211"/>
      <c r="Y158" s="2211"/>
      <c r="Z158" s="2211"/>
      <c r="AA158" s="2211"/>
      <c r="AB158" s="2211"/>
      <c r="AC158" s="2211"/>
      <c r="AD158" s="2211"/>
      <c r="AE158" s="2211"/>
      <c r="AF158" s="2211"/>
      <c r="AG158" s="2211"/>
      <c r="AH158" s="2241"/>
      <c r="AI158" s="1113"/>
      <c r="AJ158" s="1113"/>
      <c r="AK158" s="1113"/>
      <c r="AL158" s="1113"/>
      <c r="AM158" s="1113"/>
      <c r="AN158" s="1113"/>
    </row>
    <row r="159" spans="2:40">
      <c r="B159" s="224">
        <v>41640</v>
      </c>
      <c r="C159" s="200">
        <f ca="1">DATOSAÑO!I376</f>
        <v>5613.8399999999674</v>
      </c>
      <c r="D159" s="200">
        <f ca="1">DATOSAÑO!AO376</f>
        <v>2797.0299999999697</v>
      </c>
      <c r="E159" s="200">
        <f ca="1">DATOSAÑO!P376</f>
        <v>7936.4000000000015</v>
      </c>
      <c r="F159" s="200">
        <f ca="1">DATOSAÑO!AP376</f>
        <v>4111.8</v>
      </c>
      <c r="G159" s="200">
        <f ca="1">DATOSAÑO!Q376</f>
        <v>1.8299999999999272</v>
      </c>
      <c r="H159" s="200">
        <f ca="1">DATOSAÑO!AQ376</f>
        <v>0.74600000000009459</v>
      </c>
      <c r="I159" s="200">
        <f ca="1">DATOSAÑO!T376</f>
        <v>2.5570000000000164</v>
      </c>
      <c r="J159" s="200">
        <f ca="1">DATOSAÑO!AR376</f>
        <v>1.0579999999999927</v>
      </c>
      <c r="K159" s="200">
        <f ca="1">DATOSAÑO!W376</f>
        <v>13550.239999999969</v>
      </c>
      <c r="L159" s="200">
        <f ca="1">DATOSAÑO!X376</f>
        <v>4.3869999999999436</v>
      </c>
      <c r="M159" s="200">
        <f ca="1">DATOSAÑO!Y376</f>
        <v>13554.626999999968</v>
      </c>
      <c r="N159" s="200">
        <f ca="1">$M159/2</f>
        <v>6777.3134999999838</v>
      </c>
      <c r="O159" s="200">
        <f ca="1">DATOSAÑO!BD376</f>
        <v>6910.6339999999691</v>
      </c>
      <c r="P159" s="200">
        <f ca="1">$O159/2</f>
        <v>3455.3169999999845</v>
      </c>
      <c r="Q159" s="201">
        <f ca="1">DATOSAÑO!D376</f>
        <v>111.44138153932562</v>
      </c>
      <c r="R159" s="201">
        <f ca="1">DATOSAÑO!K376</f>
        <v>128.66486019101129</v>
      </c>
      <c r="S159" s="201">
        <f ca="1">$Q159+$R159</f>
        <v>240.1062417303369</v>
      </c>
      <c r="T159" s="201">
        <f ca="1">DATOSAÑO!AD376</f>
        <v>5119.0999999999767</v>
      </c>
      <c r="U159" s="201">
        <f ca="1">DATOSAÑO!AF376</f>
        <v>4240</v>
      </c>
      <c r="V159" s="201">
        <f ca="1">DATOSAÑO!AH376</f>
        <v>320.69999999999709</v>
      </c>
      <c r="W159" s="201">
        <f ca="1">DATOSAÑO!AI376</f>
        <v>1265.5800000000017</v>
      </c>
      <c r="X159" s="201">
        <f ca="1">DATOSAÑO!AJ376</f>
        <v>257.33999999999651</v>
      </c>
      <c r="Y159" s="201">
        <f ca="1">DATOSAÑO!AK376</f>
        <v>470.33999999999651</v>
      </c>
      <c r="Z159" s="201">
        <f ca="1">DATOSAÑO!AL376</f>
        <v>1030.8669999999649</v>
      </c>
      <c r="AA159" s="201">
        <f ca="1">DATOSAÑO!AM376</f>
        <v>276.9375000000353</v>
      </c>
      <c r="AB159" s="201">
        <f ca="1">DATOSAÑO!AN376</f>
        <v>87.141999999999967</v>
      </c>
      <c r="AC159" s="716">
        <f ca="1">DATOSAÑO!G376</f>
        <v>0</v>
      </c>
      <c r="AD159" s="716">
        <f ca="1">DATOSAÑO!N376</f>
        <v>0</v>
      </c>
      <c r="AE159" s="716">
        <f ca="1">DATOSAÑO!R376</f>
        <v>219.59999999999127</v>
      </c>
      <c r="AF159" s="716">
        <f ca="1">DATOSAÑO!U376</f>
        <v>306.84000000000196</v>
      </c>
      <c r="AG159" s="633">
        <f ca="1">SUM(AC159:AF159)</f>
        <v>526.43999999999323</v>
      </c>
      <c r="AH159" s="722">
        <v>970.1</v>
      </c>
      <c r="AI159" s="1113"/>
      <c r="AJ159" s="1113"/>
      <c r="AK159" s="1113"/>
      <c r="AL159" s="1113"/>
      <c r="AM159" s="629"/>
    </row>
    <row r="160" spans="2:40">
      <c r="B160" s="224">
        <v>41671</v>
      </c>
      <c r="C160" s="200">
        <f ca="1">DATOSAÑO!I377</f>
        <v>8128.1600000000326</v>
      </c>
      <c r="D160" s="200">
        <f ca="1">DATOSAÑO!AO377</f>
        <v>4099.9000000000233</v>
      </c>
      <c r="E160" s="200">
        <f ca="1">DATOSAÑO!P377</f>
        <v>4107.9799999999996</v>
      </c>
      <c r="F160" s="200">
        <f ca="1">DATOSAÑO!AP377</f>
        <v>2143.3099999999995</v>
      </c>
      <c r="G160" s="200">
        <f ca="1">DATOSAÑO!Q377</f>
        <v>1.15300000000002</v>
      </c>
      <c r="H160" s="200">
        <f ca="1">DATOSAÑO!AQ377</f>
        <v>0.39299999999991542</v>
      </c>
      <c r="I160" s="200">
        <f ca="1">DATOSAÑO!T377</f>
        <v>3.4409999999999172</v>
      </c>
      <c r="J160" s="200">
        <f ca="1">DATOSAÑO!AR377</f>
        <v>1.3290000000000077</v>
      </c>
      <c r="K160" s="200">
        <f ca="1">DATOSAÑO!W377</f>
        <v>12235.640000000032</v>
      </c>
      <c r="L160" s="200">
        <f ca="1">DATOSAÑO!X377</f>
        <v>5.0939999999999372</v>
      </c>
      <c r="M160" s="200">
        <f ca="1">DATOSAÑO!Y377</f>
        <v>12240.734000000031</v>
      </c>
      <c r="N160" s="200">
        <f t="shared" ref="N160:N170" ca="1" si="20">$M160/2</f>
        <v>6120.3670000000157</v>
      </c>
      <c r="O160" s="200">
        <f ca="1">DATOSAÑO!BD377</f>
        <v>6244.9320000000225</v>
      </c>
      <c r="P160" s="200">
        <f t="shared" ref="P160:P170" ca="1" si="21">$O160/2</f>
        <v>3122.4660000000113</v>
      </c>
      <c r="Q160" s="201">
        <f ca="1">DATOSAÑO!D377</f>
        <v>135.61939776059879</v>
      </c>
      <c r="R160" s="201">
        <f ca="1">DATOSAÑO!K377</f>
        <v>102.83230648877804</v>
      </c>
      <c r="S160" s="201">
        <f t="shared" ref="S160:S170" ca="1" si="22">$Q160+$R160</f>
        <v>238.45170424937683</v>
      </c>
      <c r="T160" s="201">
        <f ca="1">DATOSAÑO!AD377</f>
        <v>4449.0999999999767</v>
      </c>
      <c r="U160" s="201">
        <f ca="1">DATOSAÑO!AF377</f>
        <v>4044</v>
      </c>
      <c r="V160" s="201">
        <f ca="1">DATOSAÑO!AH377</f>
        <v>280.5</v>
      </c>
      <c r="W160" s="201">
        <f ca="1">DATOSAÑO!AI377</f>
        <v>1097.3600000000079</v>
      </c>
      <c r="X160" s="201">
        <f ca="1">DATOSAÑO!AJ377</f>
        <v>247.08999999999651</v>
      </c>
      <c r="Y160" s="201">
        <f ca="1">DATOSAÑO!AK377</f>
        <v>413.5</v>
      </c>
      <c r="Z160" s="201">
        <f ca="1">DATOSAÑO!AL377</f>
        <v>928.88400000008437</v>
      </c>
      <c r="AA160" s="201">
        <f ca="1">DATOSAÑO!AM377</f>
        <v>264.84499999996621</v>
      </c>
      <c r="AB160" s="201">
        <f ca="1">DATOSAÑO!AN377</f>
        <v>86.488000000000483</v>
      </c>
      <c r="AC160" s="716">
        <f ca="1">DATOSAÑO!G377</f>
        <v>0</v>
      </c>
      <c r="AD160" s="716">
        <f ca="1">DATOSAÑO!N377</f>
        <v>0</v>
      </c>
      <c r="AE160" s="716">
        <f ca="1">DATOSAÑO!R377</f>
        <v>138.3600000000024</v>
      </c>
      <c r="AF160" s="716">
        <f ca="1">DATOSAÑO!U377</f>
        <v>412.91999999999007</v>
      </c>
      <c r="AG160" s="633">
        <f t="shared" ref="AG160:AG170" ca="1" si="23">SUM(AC160:AF160)</f>
        <v>551.27999999999247</v>
      </c>
      <c r="AH160" s="722">
        <v>882.2</v>
      </c>
      <c r="AI160" s="1113"/>
      <c r="AJ160" s="1113"/>
      <c r="AK160" s="1113"/>
      <c r="AL160" s="1113"/>
    </row>
    <row r="161" spans="2:38">
      <c r="B161" s="224">
        <v>41699</v>
      </c>
      <c r="C161" s="200">
        <f ca="1">DATOSAÑO!I378</f>
        <v>9022.8399999999674</v>
      </c>
      <c r="D161" s="200">
        <f ca="1">DATOSAÑO!AO378</f>
        <v>4590.2999999999884</v>
      </c>
      <c r="E161" s="200">
        <f ca="1">DATOSAÑO!P378</f>
        <v>4705.4199999999983</v>
      </c>
      <c r="F161" s="200">
        <f ca="1">DATOSAÑO!AP378</f>
        <v>2416.7900000000009</v>
      </c>
      <c r="G161" s="200">
        <f ca="1">DATOSAÑO!Q378</f>
        <v>0.64599999999995816</v>
      </c>
      <c r="H161" s="200">
        <f ca="1">DATOSAÑO!AQ378</f>
        <v>0.19500000000005002</v>
      </c>
      <c r="I161" s="200">
        <f ca="1">DATOSAÑO!T378</f>
        <v>1.0579999999999927</v>
      </c>
      <c r="J161" s="200">
        <f ca="1">DATOSAÑO!AR378</f>
        <v>0.40100000000001046</v>
      </c>
      <c r="K161" s="200">
        <f ca="1">DATOSAÑO!W378</f>
        <v>13728.259999999966</v>
      </c>
      <c r="L161" s="200">
        <f ca="1">DATOSAÑO!X378</f>
        <v>1.7039999999999509</v>
      </c>
      <c r="M161" s="200">
        <f ca="1">DATOSAÑO!Y378</f>
        <v>13729.963999999965</v>
      </c>
      <c r="N161" s="200">
        <f t="shared" ca="1" si="20"/>
        <v>6864.9819999999827</v>
      </c>
      <c r="O161" s="200">
        <f ca="1">DATOSAÑO!BD378</f>
        <v>7007.6859999999897</v>
      </c>
      <c r="P161" s="200">
        <f t="shared" ca="1" si="21"/>
        <v>3503.8429999999948</v>
      </c>
      <c r="Q161" s="201">
        <f ca="1">DATOSAÑO!D378</f>
        <v>150.34417391895238</v>
      </c>
      <c r="R161" s="201">
        <f ca="1">DATOSAÑO!K378</f>
        <v>115.13728264713214</v>
      </c>
      <c r="S161" s="201">
        <f t="shared" ca="1" si="22"/>
        <v>265.48145656608449</v>
      </c>
      <c r="T161" s="201">
        <f ca="1">DATOSAÑO!AD378</f>
        <v>5082.4000000000233</v>
      </c>
      <c r="U161" s="201">
        <f ca="1">DATOSAÑO!AF378</f>
        <v>4448</v>
      </c>
      <c r="V161" s="201">
        <f ca="1">DATOSAÑO!AH378</f>
        <v>300.79999999999927</v>
      </c>
      <c r="W161" s="201">
        <f ca="1">DATOSAÑO!AI378</f>
        <v>1212.5399999999936</v>
      </c>
      <c r="X161" s="201">
        <f ca="1">DATOSAÑO!AJ378</f>
        <v>237.61000000000058</v>
      </c>
      <c r="Y161" s="201">
        <f ca="1">DATOSAÑO!AK378</f>
        <v>455.60000000000582</v>
      </c>
      <c r="Z161" s="201">
        <f ca="1">DATOSAÑO!AL378</f>
        <v>1083.1139999999343</v>
      </c>
      <c r="AA161" s="201">
        <f ca="1">DATOSAÑO!AM378</f>
        <v>311.30750000000984</v>
      </c>
      <c r="AB161" s="201">
        <f ca="1">DATOSAÑO!AN378</f>
        <v>82.56799999999977</v>
      </c>
      <c r="AC161" s="716">
        <f ca="1">DATOSAÑO!G378</f>
        <v>0</v>
      </c>
      <c r="AD161" s="716">
        <f ca="1">DATOSAÑO!N378</f>
        <v>0</v>
      </c>
      <c r="AE161" s="716">
        <f ca="1">DATOSAÑO!R378</f>
        <v>77.51999999999498</v>
      </c>
      <c r="AF161" s="716">
        <f ca="1">DATOSAÑO!U378</f>
        <v>126.95999999999913</v>
      </c>
      <c r="AG161" s="633">
        <f t="shared" ca="1" si="23"/>
        <v>204.47999999999411</v>
      </c>
      <c r="AH161" s="722">
        <v>880</v>
      </c>
      <c r="AI161" s="1113"/>
      <c r="AJ161" s="1113"/>
      <c r="AK161" s="1113"/>
      <c r="AL161" s="1113"/>
    </row>
    <row r="162" spans="2:38">
      <c r="B162" s="224">
        <v>41730</v>
      </c>
      <c r="C162" s="200">
        <f ca="1">DATOSAÑO!I379</f>
        <v>9357.1500000000233</v>
      </c>
      <c r="D162" s="200">
        <f ca="1">DATOSAÑO!AO379</f>
        <v>4815.3800000000047</v>
      </c>
      <c r="E162" s="200">
        <f ca="1">DATOSAÑO!P379</f>
        <v>3766.1000000000022</v>
      </c>
      <c r="F162" s="200">
        <f ca="1">DATOSAÑO!AP379</f>
        <v>1913.9600000000009</v>
      </c>
      <c r="G162" s="200">
        <f ca="1">DATOSAÑO!Q379</f>
        <v>5.1920000000000073</v>
      </c>
      <c r="H162" s="200">
        <f ca="1">DATOSAÑO!AQ379</f>
        <v>2.8450000000000273</v>
      </c>
      <c r="I162" s="200">
        <f ca="1">DATOSAÑO!T379</f>
        <v>26.50100000000009</v>
      </c>
      <c r="J162" s="200">
        <f ca="1">DATOSAÑO!AR379</f>
        <v>10.230999999999995</v>
      </c>
      <c r="K162" s="200">
        <f ca="1">DATOSAÑO!W379</f>
        <v>13123.250000000025</v>
      </c>
      <c r="L162" s="200">
        <f ca="1">DATOSAÑO!X379</f>
        <v>31.693000000000097</v>
      </c>
      <c r="M162" s="200">
        <f ca="1">DATOSAÑO!Y379</f>
        <v>13154.943000000025</v>
      </c>
      <c r="N162" s="200">
        <f t="shared" ca="1" si="20"/>
        <v>6577.4715000000124</v>
      </c>
      <c r="O162" s="200">
        <f ca="1">DATOSAÑO!BD379</f>
        <v>6742.4160000000047</v>
      </c>
      <c r="P162" s="200">
        <f t="shared" ca="1" si="21"/>
        <v>3371.2080000000024</v>
      </c>
      <c r="Q162" s="201">
        <f ca="1">DATOSAÑO!D379</f>
        <v>154.463473048483</v>
      </c>
      <c r="R162" s="201">
        <f ca="1">DATOSAÑO!K379</f>
        <v>100.07923481234741</v>
      </c>
      <c r="S162" s="201">
        <f t="shared" ca="1" si="22"/>
        <v>254.5427078608304</v>
      </c>
      <c r="T162" s="201">
        <f ca="1">DATOSAÑO!AD379</f>
        <v>4906.9500000000698</v>
      </c>
      <c r="U162" s="201">
        <f ca="1">DATOSAÑO!AF379</f>
        <v>4297.2000000000116</v>
      </c>
      <c r="V162" s="201">
        <f ca="1">DATOSAÑO!AH379</f>
        <v>314.19999999999891</v>
      </c>
      <c r="W162" s="201">
        <f ca="1">DATOSAÑO!AI379</f>
        <v>1161.3899999999994</v>
      </c>
      <c r="X162" s="201">
        <f ca="1">DATOSAÑO!AJ379</f>
        <v>211.93000000000757</v>
      </c>
      <c r="Y162" s="201">
        <f ca="1">DATOSAÑO!AK379</f>
        <v>421.5</v>
      </c>
      <c r="Z162" s="201">
        <f ca="1">DATOSAÑO!AL379</f>
        <v>1024.5729999999701</v>
      </c>
      <c r="AA162" s="201">
        <f ca="1">DATOSAÑO!AM379</f>
        <v>251.22449999996763</v>
      </c>
      <c r="AB162" s="201">
        <f ca="1">DATOSAÑO!AN379</f>
        <v>98.091000000000065</v>
      </c>
      <c r="AC162" s="716">
        <f ca="1">DATOSAÑO!G379</f>
        <v>0</v>
      </c>
      <c r="AD162" s="716">
        <f ca="1">DATOSAÑO!N379</f>
        <v>0</v>
      </c>
      <c r="AE162" s="716">
        <f ca="1">DATOSAÑO!R379</f>
        <v>623.04000000000087</v>
      </c>
      <c r="AF162" s="716">
        <f ca="1">DATOSAÑO!U379</f>
        <v>3180.1200000000108</v>
      </c>
      <c r="AG162" s="633">
        <f t="shared" ca="1" si="23"/>
        <v>3803.1600000000117</v>
      </c>
      <c r="AH162" s="722">
        <v>860.1</v>
      </c>
      <c r="AI162" s="1113"/>
      <c r="AJ162" s="1113"/>
      <c r="AK162" s="1113"/>
      <c r="AL162" s="1113"/>
    </row>
    <row r="163" spans="2:38">
      <c r="B163" s="224">
        <v>41760</v>
      </c>
      <c r="C163" s="200">
        <f ca="1">DATOSAÑO!I380</f>
        <v>6850.8499999999767</v>
      </c>
      <c r="D163" s="200">
        <f ca="1">DATOSAÑO!AO380</f>
        <v>3382.6199999999953</v>
      </c>
      <c r="E163" s="200">
        <f ca="1">DATOSAÑO!P380</f>
        <v>6271.0999999999985</v>
      </c>
      <c r="F163" s="200">
        <f ca="1">DATOSAÑO!AP380</f>
        <v>3176.9399999999987</v>
      </c>
      <c r="G163" s="200">
        <f ca="1">DATOSAÑO!Q380</f>
        <v>1.4770000000000891</v>
      </c>
      <c r="H163" s="200">
        <f ca="1">DATOSAÑO!AQ380</f>
        <v>0.7419999999999618</v>
      </c>
      <c r="I163" s="200">
        <f ca="1">DATOSAÑO!T380</f>
        <v>2.8199999999999363</v>
      </c>
      <c r="J163" s="200">
        <f ca="1">DATOSAÑO!AR380</f>
        <v>1.0790000000000077</v>
      </c>
      <c r="K163" s="200">
        <f ca="1">DATOSAÑO!W380</f>
        <v>13121.949999999975</v>
      </c>
      <c r="L163" s="200">
        <f ca="1">DATOSAÑO!X380</f>
        <v>4.2970000000000255</v>
      </c>
      <c r="M163" s="200">
        <f ca="1">DATOSAÑO!Y380</f>
        <v>13126.246999999976</v>
      </c>
      <c r="N163" s="200">
        <f t="shared" ca="1" si="20"/>
        <v>6563.1234999999879</v>
      </c>
      <c r="O163" s="200">
        <f ca="1">DATOSAÑO!BD380</f>
        <v>6561.3809999999939</v>
      </c>
      <c r="P163" s="200">
        <f t="shared" ca="1" si="21"/>
        <v>3280.690499999997</v>
      </c>
      <c r="Q163" s="201">
        <f ca="1">DATOSAÑO!D380</f>
        <v>139.16309963284951</v>
      </c>
      <c r="R163" s="201">
        <f ca="1">DATOSAÑO!K380</f>
        <v>134.2026791999287</v>
      </c>
      <c r="S163" s="201">
        <f t="shared" ca="1" si="22"/>
        <v>273.36577883277823</v>
      </c>
      <c r="T163" s="201">
        <f ca="1">DATOSAÑO!AD380</f>
        <v>4462.7</v>
      </c>
      <c r="U163" s="201">
        <f ca="1">DATOSAÑO!AF380</f>
        <v>4650.7999999999884</v>
      </c>
      <c r="V163" s="201">
        <f ca="1">DATOSAÑO!AH380</f>
        <v>340.70000000000437</v>
      </c>
      <c r="W163" s="201">
        <f ca="1">DATOSAÑO!AI380</f>
        <v>1128.5100000000093</v>
      </c>
      <c r="X163" s="201">
        <f ca="1">DATOSAÑO!AJ380</f>
        <v>206.06999999999243</v>
      </c>
      <c r="Y163" s="201">
        <f ca="1">DATOSAÑO!AK380</f>
        <v>394.5</v>
      </c>
      <c r="Z163" s="201">
        <f ca="1">DATOSAÑO!AL380</f>
        <v>1060.5669999999473</v>
      </c>
      <c r="AA163" s="201">
        <f ca="1">DATOSAÑO!AM380</f>
        <v>283.9545000000341</v>
      </c>
      <c r="AB163" s="201">
        <f ca="1">DATOSAÑO!AN380</f>
        <v>99.264000000000195</v>
      </c>
      <c r="AC163" s="716">
        <f ca="1">DATOSAÑO!G380</f>
        <v>0</v>
      </c>
      <c r="AD163" s="716">
        <f ca="1">DATOSAÑO!N380</f>
        <v>0</v>
      </c>
      <c r="AE163" s="716">
        <f ca="1">DATOSAÑO!R380</f>
        <v>177.2400000000107</v>
      </c>
      <c r="AF163" s="716">
        <f ca="1">DATOSAÑO!U380</f>
        <v>338.39999999999236</v>
      </c>
      <c r="AG163" s="633">
        <f t="shared" ca="1" si="23"/>
        <v>515.64000000000306</v>
      </c>
      <c r="AH163" s="722">
        <v>840.8</v>
      </c>
      <c r="AI163" s="1113"/>
      <c r="AJ163" s="1113"/>
      <c r="AK163" s="1113"/>
      <c r="AL163" s="1113"/>
    </row>
    <row r="164" spans="2:38">
      <c r="B164" s="224">
        <v>41791</v>
      </c>
      <c r="C164" s="200">
        <f ca="1">DATOSAÑO!I381</f>
        <v>7944.3260000000009</v>
      </c>
      <c r="D164" s="200">
        <f ca="1">DATOSAÑO!AO381</f>
        <v>3936.7999999999884</v>
      </c>
      <c r="E164" s="200">
        <f ca="1">DATOSAÑO!P381</f>
        <v>5185.239999999998</v>
      </c>
      <c r="F164" s="200">
        <f ca="1">DATOSAÑO!AP381</f>
        <v>2644.3430000000008</v>
      </c>
      <c r="G164" s="200">
        <f ca="1">DATOSAÑO!Q381</f>
        <v>0.78399999999987813</v>
      </c>
      <c r="H164" s="200">
        <f ca="1">DATOSAÑO!AQ381</f>
        <v>0.3930000000000291</v>
      </c>
      <c r="I164" s="200">
        <f ca="1">DATOSAÑO!T381</f>
        <v>1.3020000000000209</v>
      </c>
      <c r="J164" s="200">
        <f ca="1">DATOSAÑO!AR381</f>
        <v>0.49699999999995725</v>
      </c>
      <c r="K164" s="200">
        <f ca="1">DATOSAÑO!W381</f>
        <v>13129.565999999999</v>
      </c>
      <c r="L164" s="200">
        <f ca="1">DATOSAÑO!X381</f>
        <v>2.085999999999899</v>
      </c>
      <c r="M164" s="200">
        <f ca="1">DATOSAÑO!Y381</f>
        <v>13131.651999999998</v>
      </c>
      <c r="N164" s="200">
        <f t="shared" ca="1" si="20"/>
        <v>6565.8259999999991</v>
      </c>
      <c r="O164" s="200">
        <f ca="1">DATOSAÑO!BD381</f>
        <v>6582.0329999999894</v>
      </c>
      <c r="P164" s="200">
        <f t="shared" ca="1" si="21"/>
        <v>3291.0164999999947</v>
      </c>
      <c r="Q164" s="201">
        <f ca="1">DATOSAÑO!D381</f>
        <v>144.31918901266104</v>
      </c>
      <c r="R164" s="201">
        <f ca="1">DATOSAÑO!K381</f>
        <v>119.53144598956018</v>
      </c>
      <c r="S164" s="201">
        <f t="shared" ca="1" si="22"/>
        <v>263.85063500222122</v>
      </c>
      <c r="T164" s="201">
        <f ca="1">DATOSAÑO!AD381</f>
        <v>4888.1229999999996</v>
      </c>
      <c r="U164" s="201">
        <f ca="1">DATOSAÑO!AF381</f>
        <v>4468.4099999999744</v>
      </c>
      <c r="V164" s="201">
        <f ca="1">DATOSAÑO!AH381</f>
        <v>284.49999999999636</v>
      </c>
      <c r="W164" s="201">
        <f ca="1">DATOSAÑO!AI381</f>
        <v>1097.3799999999901</v>
      </c>
      <c r="X164" s="201">
        <f ca="1">DATOSAÑO!AJ381</f>
        <v>181.57000000000698</v>
      </c>
      <c r="Y164" s="201">
        <f ca="1">DATOSAÑO!AK381</f>
        <v>342.88000000000466</v>
      </c>
      <c r="Z164" s="201">
        <f ca="1">DATOSAÑO!AL381</f>
        <v>1018.0990000000243</v>
      </c>
      <c r="AA164" s="201">
        <f ca="1">DATOSAÑO!AM381</f>
        <v>309.80600000000226</v>
      </c>
      <c r="AB164" s="201">
        <f ca="1">DATOSAÑO!AN381</f>
        <v>104.35900000000066</v>
      </c>
      <c r="AC164" s="716">
        <f ca="1">DATOSAÑO!G381</f>
        <v>0</v>
      </c>
      <c r="AD164" s="716">
        <f ca="1">DATOSAÑO!N381</f>
        <v>0</v>
      </c>
      <c r="AE164" s="716">
        <f ca="1">DATOSAÑO!R381</f>
        <v>94.079999999985375</v>
      </c>
      <c r="AF164" s="716">
        <f ca="1">DATOSAÑO!U381</f>
        <v>156.24000000000251</v>
      </c>
      <c r="AG164" s="633">
        <f t="shared" ca="1" si="23"/>
        <v>250.31999999998789</v>
      </c>
      <c r="AH164" s="722">
        <v>900.4</v>
      </c>
      <c r="AI164" s="1113"/>
      <c r="AJ164" s="1113"/>
      <c r="AK164" s="1113"/>
      <c r="AL164" s="1113"/>
    </row>
    <row r="165" spans="2:38">
      <c r="B165" s="224">
        <v>41821</v>
      </c>
      <c r="C165" s="200">
        <f ca="1">DATOSAÑO!I382</f>
        <v>7105.6739999999991</v>
      </c>
      <c r="D165" s="200">
        <f ca="1">DATOSAÑO!AO382</f>
        <v>3508.2000000000116</v>
      </c>
      <c r="E165" s="200">
        <f ca="1">DATOSAÑO!P382</f>
        <v>6458.760000000002</v>
      </c>
      <c r="F165" s="200">
        <f ca="1">DATOSAÑO!AP382</f>
        <v>3317.6569999999992</v>
      </c>
      <c r="G165" s="200">
        <f ca="1">DATOSAÑO!Q382</f>
        <v>1.8210000000001401</v>
      </c>
      <c r="H165" s="200">
        <f ca="1">DATOSAÑO!AQ382</f>
        <v>0.90999999999996817</v>
      </c>
      <c r="I165" s="200">
        <f ca="1">DATOSAÑO!T382</f>
        <v>1.7129999999999654</v>
      </c>
      <c r="J165" s="200">
        <f ca="1">DATOSAÑO!AR382</f>
        <v>0.65600000000000591</v>
      </c>
      <c r="K165" s="200">
        <f ca="1">DATOSAÑO!W382</f>
        <v>13564.434000000001</v>
      </c>
      <c r="L165" s="200">
        <f ca="1">DATOSAÑO!X382</f>
        <v>3.5340000000001055</v>
      </c>
      <c r="M165" s="200">
        <f ca="1">DATOSAÑO!Y382</f>
        <v>13567.968000000001</v>
      </c>
      <c r="N165" s="200">
        <f t="shared" ca="1" si="20"/>
        <v>6783.9840000000004</v>
      </c>
      <c r="O165" s="200">
        <f ca="1">DATOSAÑO!BD382</f>
        <v>6827.4230000000107</v>
      </c>
      <c r="P165" s="200">
        <f t="shared" ca="1" si="21"/>
        <v>3413.7115000000053</v>
      </c>
      <c r="Q165" s="201">
        <f ca="1">DATOSAÑO!D382</f>
        <v>141.48473307479171</v>
      </c>
      <c r="R165" s="201">
        <f ca="1">DATOSAÑO!K382</f>
        <v>135.8150147885404</v>
      </c>
      <c r="S165" s="201">
        <f t="shared" ca="1" si="22"/>
        <v>277.29974786333207</v>
      </c>
      <c r="T165" s="201">
        <f ca="1">DATOSAÑO!AD382</f>
        <v>5086.8770000000004</v>
      </c>
      <c r="U165" s="201">
        <f ca="1">DATOSAÑO!AF382</f>
        <v>4584.5900000000256</v>
      </c>
      <c r="V165" s="201">
        <f ca="1">DATOSAÑO!AH382</f>
        <v>315.69999999999891</v>
      </c>
      <c r="W165" s="201">
        <f ca="1">DATOSAÑO!AI382</f>
        <v>1146.4199999999983</v>
      </c>
      <c r="X165" s="201">
        <f ca="1">DATOSAÑO!AJ382</f>
        <v>229.52999999999884</v>
      </c>
      <c r="Y165" s="201">
        <f ca="1">DATOSAÑO!AK382</f>
        <v>302.51999999998952</v>
      </c>
      <c r="Z165" s="201">
        <f ca="1">DATOSAÑO!AL382</f>
        <v>1033.9209999999935</v>
      </c>
      <c r="AA165" s="201">
        <f ca="1">DATOSAÑO!AM382</f>
        <v>270.11099999999601</v>
      </c>
      <c r="AB165" s="201">
        <f ca="1">DATOSAÑO!AN382</f>
        <v>91.279000000000124</v>
      </c>
      <c r="AC165" s="716">
        <f ca="1">DATOSAÑO!G382</f>
        <v>0</v>
      </c>
      <c r="AD165" s="716">
        <f ca="1">DATOSAÑO!N382</f>
        <v>0</v>
      </c>
      <c r="AE165" s="716">
        <f ca="1">DATOSAÑO!R382</f>
        <v>218.52000000001681</v>
      </c>
      <c r="AF165" s="716">
        <f ca="1">DATOSAÑO!U382</f>
        <v>205.55999999999585</v>
      </c>
      <c r="AG165" s="633">
        <f t="shared" ca="1" si="23"/>
        <v>424.08000000001266</v>
      </c>
      <c r="AH165" s="722">
        <v>868.8</v>
      </c>
      <c r="AI165" s="1113"/>
      <c r="AJ165" s="1113"/>
      <c r="AK165" s="1113"/>
      <c r="AL165" s="1113"/>
    </row>
    <row r="166" spans="2:38">
      <c r="B166" s="224">
        <v>41852</v>
      </c>
      <c r="C166" s="200">
        <f ca="1">DATOSAÑO!I383</f>
        <v>6453.3000000000466</v>
      </c>
      <c r="D166" s="200">
        <f ca="1">DATOSAÑO!AO383</f>
        <v>3249.4000000000233</v>
      </c>
      <c r="E166" s="200">
        <f ca="1">DATOSAÑO!P383</f>
        <v>7362.4000000000015</v>
      </c>
      <c r="F166" s="200">
        <f ca="1">DATOSAÑO!AP383</f>
        <v>3722.4000000000015</v>
      </c>
      <c r="G166" s="200">
        <f ca="1">DATOSAÑO!Q383</f>
        <v>4</v>
      </c>
      <c r="H166" s="200">
        <f ca="1">DATOSAÑO!AQ383</f>
        <v>2.0019999999999527</v>
      </c>
      <c r="I166" s="200">
        <f ca="1">DATOSAÑO!T383</f>
        <v>9.9680000000000746</v>
      </c>
      <c r="J166" s="200">
        <f ca="1">DATOSAÑO!AR383</f>
        <v>3.785000000000025</v>
      </c>
      <c r="K166" s="200">
        <f ca="1">DATOSAÑO!W383</f>
        <v>13815.700000000048</v>
      </c>
      <c r="L166" s="200">
        <f ca="1">DATOSAÑO!X383</f>
        <v>13.968000000000075</v>
      </c>
      <c r="M166" s="200">
        <f ca="1">DATOSAÑO!Y383</f>
        <v>13829.668000000049</v>
      </c>
      <c r="N166" s="200">
        <f t="shared" ca="1" si="20"/>
        <v>6914.8340000000244</v>
      </c>
      <c r="O166" s="200">
        <f ca="1">DATOSAÑO!BD383</f>
        <v>6977.587000000025</v>
      </c>
      <c r="P166" s="200">
        <f t="shared" ca="1" si="21"/>
        <v>3488.7935000000125</v>
      </c>
      <c r="Q166" s="201">
        <f ca="1">DATOSAÑO!D383</f>
        <v>139.81258349859698</v>
      </c>
      <c r="R166" s="201">
        <f ca="1">DATOSAÑO!K383</f>
        <v>151.15495521789481</v>
      </c>
      <c r="S166" s="201">
        <f t="shared" ca="1" si="22"/>
        <v>290.96753871649179</v>
      </c>
      <c r="T166" s="201">
        <f ca="1">DATOSAÑO!AD383</f>
        <v>5130.7000000000007</v>
      </c>
      <c r="U166" s="201">
        <f ca="1">DATOSAÑO!AF383</f>
        <v>4646.7000000000116</v>
      </c>
      <c r="V166" s="201">
        <f ca="1">DATOSAÑO!AH383</f>
        <v>327.00000000000546</v>
      </c>
      <c r="W166" s="201">
        <f ca="1">DATOSAÑO!AI383</f>
        <v>1125.2000000000116</v>
      </c>
      <c r="X166" s="201">
        <f ca="1">DATOSAÑO!AJ383</f>
        <v>261.10000000000582</v>
      </c>
      <c r="Y166" s="201">
        <f ca="1">DATOSAÑO!AK383</f>
        <v>356.29999999998836</v>
      </c>
      <c r="Z166" s="201">
        <f ca="1">DATOSAÑO!AL383</f>
        <v>1087.8680000000106</v>
      </c>
      <c r="AA166" s="201">
        <f ca="1">DATOSAÑO!AM383</f>
        <v>331.29600000001392</v>
      </c>
      <c r="AB166" s="201">
        <f ca="1">DATOSAÑO!AN383</f>
        <v>96.954999999999487</v>
      </c>
      <c r="AC166" s="716">
        <f ca="1">DATOSAÑO!G383</f>
        <v>0</v>
      </c>
      <c r="AD166" s="716">
        <f ca="1">DATOSAÑO!N383</f>
        <v>0</v>
      </c>
      <c r="AE166" s="716">
        <f ca="1">DATOSAÑO!R383</f>
        <v>480</v>
      </c>
      <c r="AF166" s="716">
        <f ca="1">DATOSAÑO!U383</f>
        <v>1196.1600000000089</v>
      </c>
      <c r="AG166" s="633">
        <f t="shared" ca="1" si="23"/>
        <v>1676.1600000000089</v>
      </c>
      <c r="AH166" s="722">
        <v>855</v>
      </c>
      <c r="AI166" s="1113"/>
      <c r="AJ166" s="1113"/>
      <c r="AK166" s="1113"/>
      <c r="AL166" s="1113"/>
    </row>
    <row r="167" spans="2:38">
      <c r="B167" s="224">
        <v>41883</v>
      </c>
      <c r="C167" s="200">
        <f ca="1">DATOSAÑO!I384</f>
        <v>3745.1999999999534</v>
      </c>
      <c r="D167" s="200">
        <f>DATOSAÑO!AO384</f>
        <v>1835.2599999999511</v>
      </c>
      <c r="E167" s="200">
        <f ca="1">DATOSAÑO!P384</f>
        <v>9563.5999999999985</v>
      </c>
      <c r="F167" s="200">
        <f>DATOSAÑO!AP384</f>
        <v>4926.5999999999985</v>
      </c>
      <c r="G167" s="200">
        <f ca="1">DATOSAÑO!Q384</f>
        <v>1.8540000000000418</v>
      </c>
      <c r="H167" s="200">
        <f>DATOSAÑO!AQ384</f>
        <v>0.90700000000003911</v>
      </c>
      <c r="I167" s="200">
        <f ca="1">DATOSAÑO!T384</f>
        <v>47.394999999999982</v>
      </c>
      <c r="J167" s="200">
        <f>DATOSAÑO!AR384</f>
        <v>18.269000000000005</v>
      </c>
      <c r="K167" s="200">
        <f ca="1">DATOSAÑO!W384</f>
        <v>13308.798999999952</v>
      </c>
      <c r="L167" s="200">
        <f ca="1">DATOSAÑO!X384</f>
        <v>49.250000000000021</v>
      </c>
      <c r="M167" s="200">
        <f ca="1">DATOSAÑO!Y384</f>
        <v>13358.04899999995</v>
      </c>
      <c r="N167" s="200">
        <f t="shared" ca="1" si="20"/>
        <v>6679.024499999975</v>
      </c>
      <c r="O167" s="200">
        <f>DATOSAÑO!BD384</f>
        <v>6781.03599999995</v>
      </c>
      <c r="P167" s="200">
        <f t="shared" si="21"/>
        <v>3390.517999999975</v>
      </c>
      <c r="Q167" s="201">
        <f ca="1">DATOSAÑO!D384</f>
        <v>96.159453888666192</v>
      </c>
      <c r="R167" s="201">
        <f ca="1">DATOSAÑO!K384</f>
        <v>159.48395119555551</v>
      </c>
      <c r="S167" s="201">
        <f t="shared" ca="1" si="22"/>
        <v>255.64340508422168</v>
      </c>
      <c r="T167" s="201">
        <f ca="1">DATOSAÑO!AD384</f>
        <v>4906.2999999999993</v>
      </c>
      <c r="U167" s="201">
        <f ca="1">DATOSAÑO!AF384</f>
        <v>4467.2999999999884</v>
      </c>
      <c r="V167" s="201">
        <f ca="1">DATOSAÑO!AH384</f>
        <v>290.19999999999709</v>
      </c>
      <c r="W167" s="201">
        <f ca="1">DATOSAÑO!AI384</f>
        <v>1151.1999999999971</v>
      </c>
      <c r="X167" s="201">
        <f ca="1">DATOSAÑO!AJ384</f>
        <v>261.29999999998836</v>
      </c>
      <c r="Y167" s="201">
        <f ca="1">DATOSAÑO!AK384</f>
        <v>346.70000000001164</v>
      </c>
      <c r="Z167" s="201">
        <f ca="1">DATOSAÑO!AL384</f>
        <v>1104.0489999999845</v>
      </c>
      <c r="AA167" s="201">
        <f ca="1">DATOSAÑO!AM384</f>
        <v>260.52199999998561</v>
      </c>
      <c r="AB167" s="201">
        <f ca="1">DATOSAÑO!AN384</f>
        <v>122.11000000000018</v>
      </c>
      <c r="AC167" s="716">
        <f ca="1">DATOSAÑO!G384</f>
        <v>0</v>
      </c>
      <c r="AD167" s="716">
        <f ca="1">DATOSAÑO!N384</f>
        <v>0</v>
      </c>
      <c r="AE167" s="716">
        <f ca="1">DATOSAÑO!R384</f>
        <v>222.48000000000502</v>
      </c>
      <c r="AF167" s="716">
        <f ca="1">DATOSAÑO!U384</f>
        <v>5687.3999999999978</v>
      </c>
      <c r="AG167" s="633">
        <f t="shared" ca="1" si="23"/>
        <v>5909.8800000000028</v>
      </c>
      <c r="AH167" s="722">
        <v>827.5</v>
      </c>
      <c r="AI167" s="1113"/>
      <c r="AJ167" s="1113"/>
      <c r="AK167" s="1113"/>
      <c r="AL167" s="1113"/>
    </row>
    <row r="168" spans="2:38">
      <c r="B168" s="224">
        <v>41913</v>
      </c>
      <c r="C168" s="200">
        <f ca="1">DATOSAÑO!I385</f>
        <v>3667.5</v>
      </c>
      <c r="D168" s="200">
        <f ca="1">DATOSAÑO!AO385</f>
        <v>1826.3400000000256</v>
      </c>
      <c r="E168" s="200">
        <f ca="1">DATOSAÑO!P385</f>
        <v>9807</v>
      </c>
      <c r="F168" s="200">
        <f ca="1">DATOSAÑO!AP385</f>
        <v>5043</v>
      </c>
      <c r="G168" s="200">
        <f ca="1">DATOSAÑO!Q385</f>
        <v>1.5299999999999727</v>
      </c>
      <c r="H168" s="200">
        <f ca="1">DATOSAÑO!AQ385</f>
        <v>0.72900000000004184</v>
      </c>
      <c r="I168" s="200">
        <f ca="1">DATOSAÑO!T385</f>
        <v>108.40300000000002</v>
      </c>
      <c r="J168" s="200">
        <f ca="1">DATOSAÑO!AR385</f>
        <v>41.991999999999962</v>
      </c>
      <c r="K168" s="200">
        <f ca="1">DATOSAÑO!W385</f>
        <v>13474.5</v>
      </c>
      <c r="L168" s="200">
        <f ca="1">DATOSAÑO!X385</f>
        <v>109.93299999999999</v>
      </c>
      <c r="M168" s="200">
        <f ca="1">DATOSAÑO!Y385</f>
        <v>13584.433000000001</v>
      </c>
      <c r="N168" s="200">
        <f t="shared" ca="1" si="20"/>
        <v>6792.2165000000005</v>
      </c>
      <c r="O168" s="200">
        <f ca="1">DATOSAÑO!BD385</f>
        <v>6912.0610000000261</v>
      </c>
      <c r="P168" s="200">
        <f t="shared" ca="1" si="21"/>
        <v>3456.030500000013</v>
      </c>
      <c r="Q168" s="201">
        <f ca="1">DATOSAÑO!D385</f>
        <v>82.881678351271461</v>
      </c>
      <c r="R168" s="201">
        <f ca="1">DATOSAÑO!K385</f>
        <v>171.94954537114137</v>
      </c>
      <c r="S168" s="201">
        <f t="shared" ca="1" si="22"/>
        <v>254.83122372241283</v>
      </c>
      <c r="T168" s="201">
        <f ca="1">DATOSAÑO!AD385</f>
        <v>5119</v>
      </c>
      <c r="U168" s="201">
        <f ca="1">DATOSAÑO!AF385</f>
        <v>4547</v>
      </c>
      <c r="V168" s="201">
        <f ca="1">DATOSAÑO!AH385</f>
        <v>289.20000000000255</v>
      </c>
      <c r="W168" s="201">
        <f ca="1">DATOSAÑO!AI385</f>
        <v>1187</v>
      </c>
      <c r="X168" s="201">
        <f ca="1">DATOSAÑO!AJ385</f>
        <v>218.40000000000873</v>
      </c>
      <c r="Y168" s="201">
        <f ca="1">DATOSAÑO!AK385</f>
        <v>282</v>
      </c>
      <c r="Z168" s="201">
        <f ca="1">DATOSAÑO!AL385</f>
        <v>1023.5299999999875</v>
      </c>
      <c r="AA168" s="201">
        <f ca="1">DATOSAÑO!AM385</f>
        <v>336.62900000000093</v>
      </c>
      <c r="AB168" s="201">
        <f ca="1">DATOSAÑO!AN385</f>
        <v>108.21899999999947</v>
      </c>
      <c r="AC168" s="716">
        <f ca="1">DATOSAÑO!G385</f>
        <v>734</v>
      </c>
      <c r="AD168" s="716">
        <f ca="1">DATOSAÑO!N385</f>
        <v>0</v>
      </c>
      <c r="AE168" s="716">
        <f ca="1">DATOSAÑO!R385</f>
        <v>183.59999999999673</v>
      </c>
      <c r="AF168" s="716">
        <f ca="1">DATOSAÑO!U385</f>
        <v>13008.36</v>
      </c>
      <c r="AG168" s="633">
        <f t="shared" ca="1" si="23"/>
        <v>13925.959999999997</v>
      </c>
      <c r="AH168" s="722">
        <v>845.5</v>
      </c>
      <c r="AI168" s="1113"/>
      <c r="AJ168" s="1113"/>
      <c r="AK168" s="1113"/>
      <c r="AL168" s="1113"/>
    </row>
    <row r="169" spans="2:38">
      <c r="B169" s="224">
        <v>41944</v>
      </c>
      <c r="C169" s="200">
        <f ca="1">DATOSAÑO!I386</f>
        <v>147</v>
      </c>
      <c r="D169" s="200">
        <f ca="1">DATOSAÑO!AO386</f>
        <v>70</v>
      </c>
      <c r="E169" s="200">
        <f ca="1">DATOSAÑO!P386</f>
        <v>293</v>
      </c>
      <c r="F169" s="200">
        <f ca="1">DATOSAÑO!AP386</f>
        <v>152</v>
      </c>
      <c r="G169" s="200">
        <f ca="1">DATOSAÑO!Q386</f>
        <v>0</v>
      </c>
      <c r="H169" s="200">
        <f ca="1">DATOSAÑO!AQ386</f>
        <v>0</v>
      </c>
      <c r="I169" s="200">
        <f ca="1">DATOSAÑO!T386</f>
        <v>0</v>
      </c>
      <c r="J169" s="200">
        <f ca="1">DATOSAÑO!AR386</f>
        <v>0</v>
      </c>
      <c r="K169" s="200">
        <f ca="1">DATOSAÑO!W386</f>
        <v>440</v>
      </c>
      <c r="L169" s="200">
        <f ca="1">DATOSAÑO!X386</f>
        <v>0</v>
      </c>
      <c r="M169" s="200">
        <f ca="1">DATOSAÑO!Y386</f>
        <v>440</v>
      </c>
      <c r="N169" s="200">
        <f t="shared" ca="1" si="20"/>
        <v>220</v>
      </c>
      <c r="O169" s="200">
        <f ca="1">DATOSAÑO!BD386</f>
        <v>222</v>
      </c>
      <c r="P169" s="200">
        <f t="shared" ca="1" si="21"/>
        <v>111</v>
      </c>
      <c r="Q169" s="201">
        <f ca="1">DATOSAÑO!D386</f>
        <v>4.0365242327959576</v>
      </c>
      <c r="R169" s="201">
        <f ca="1">DATOSAÑO!K386</f>
        <v>5.4957787804379201</v>
      </c>
      <c r="S169" s="201">
        <f t="shared" ca="1" si="22"/>
        <v>9.5323030132338786</v>
      </c>
      <c r="T169" s="201">
        <f ca="1">DATOSAÑO!AD386</f>
        <v>163.20000000000073</v>
      </c>
      <c r="U169" s="201">
        <f ca="1">DATOSAÑO!AF386</f>
        <v>151</v>
      </c>
      <c r="V169" s="201">
        <f ca="1">DATOSAÑO!AH386</f>
        <v>9.6999999999989086</v>
      </c>
      <c r="W169" s="201">
        <f ca="1">DATOSAÑO!AI386</f>
        <v>38.69999999999709</v>
      </c>
      <c r="X169" s="201">
        <f ca="1">DATOSAÑO!AJ386</f>
        <v>5</v>
      </c>
      <c r="Y169" s="201">
        <f ca="1">DATOSAÑO!AK386</f>
        <v>9</v>
      </c>
      <c r="Z169" s="201">
        <f ca="1">DATOSAÑO!AL386</f>
        <v>33.300000000004673</v>
      </c>
      <c r="AA169" s="201">
        <f ca="1">DATOSAÑO!AM386</f>
        <v>11.722999999997556</v>
      </c>
      <c r="AB169" s="201">
        <f ca="1">DATOSAÑO!AN386</f>
        <v>3.3780000000006276</v>
      </c>
      <c r="AC169" s="716">
        <f ca="1">DATOSAÑO!G386</f>
        <v>0</v>
      </c>
      <c r="AD169" s="716">
        <f ca="1">DATOSAÑO!N386</f>
        <v>0</v>
      </c>
      <c r="AE169" s="716">
        <f ca="1">DATOSAÑO!R386</f>
        <v>0</v>
      </c>
      <c r="AF169" s="716">
        <f ca="1">DATOSAÑO!U386</f>
        <v>0</v>
      </c>
      <c r="AG169" s="633">
        <f t="shared" ca="1" si="23"/>
        <v>0</v>
      </c>
      <c r="AH169" s="722">
        <v>831.2</v>
      </c>
      <c r="AI169" s="1113"/>
      <c r="AJ169" s="1113"/>
      <c r="AK169" s="1113"/>
      <c r="AL169" s="1113"/>
    </row>
    <row r="170" spans="2:38">
      <c r="B170" s="224">
        <v>41974</v>
      </c>
      <c r="C170" s="200">
        <f ca="1">DATOSAÑO!I387</f>
        <v>0</v>
      </c>
      <c r="D170" s="200">
        <f ca="1">DATOSAÑO!AO387</f>
        <v>0</v>
      </c>
      <c r="E170" s="200">
        <f ca="1">DATOSAÑO!P387</f>
        <v>0</v>
      </c>
      <c r="F170" s="200">
        <f ca="1">DATOSAÑO!AP387</f>
        <v>0</v>
      </c>
      <c r="G170" s="200">
        <f ca="1">DATOSAÑO!Q387</f>
        <v>0</v>
      </c>
      <c r="H170" s="200">
        <f ca="1">DATOSAÑO!AQ387</f>
        <v>0</v>
      </c>
      <c r="I170" s="200">
        <f ca="1">DATOSAÑO!T387</f>
        <v>0</v>
      </c>
      <c r="J170" s="200">
        <f ca="1">DATOSAÑO!AR387</f>
        <v>0</v>
      </c>
      <c r="K170" s="200">
        <f ca="1">DATOSAÑO!W387</f>
        <v>0</v>
      </c>
      <c r="L170" s="200">
        <f ca="1">DATOSAÑO!X387</f>
        <v>0</v>
      </c>
      <c r="M170" s="200">
        <f ca="1">DATOSAÑO!Y387</f>
        <v>0</v>
      </c>
      <c r="N170" s="200">
        <f t="shared" ca="1" si="20"/>
        <v>0</v>
      </c>
      <c r="O170" s="200">
        <f ca="1">DATOSAÑO!BD387</f>
        <v>0</v>
      </c>
      <c r="P170" s="200">
        <f t="shared" ca="1" si="21"/>
        <v>0</v>
      </c>
      <c r="Q170" s="201">
        <f ca="1">DATOSAÑO!D387</f>
        <v>0</v>
      </c>
      <c r="R170" s="201">
        <f ca="1">DATOSAÑO!K387</f>
        <v>0</v>
      </c>
      <c r="S170" s="201">
        <f t="shared" ca="1" si="22"/>
        <v>0</v>
      </c>
      <c r="T170" s="201">
        <f ca="1">DATOSAÑO!AD387</f>
        <v>0</v>
      </c>
      <c r="U170" s="201">
        <f ca="1">DATOSAÑO!AF387</f>
        <v>0</v>
      </c>
      <c r="V170" s="201">
        <f ca="1">DATOSAÑO!AH387</f>
        <v>0</v>
      </c>
      <c r="W170" s="201">
        <f ca="1">DATOSAÑO!AI387</f>
        <v>0</v>
      </c>
      <c r="X170" s="201">
        <f ca="1">DATOSAÑO!AJ387</f>
        <v>0</v>
      </c>
      <c r="Y170" s="201">
        <f ca="1">DATOSAÑO!AK387</f>
        <v>0</v>
      </c>
      <c r="Z170" s="201">
        <f ca="1">DATOSAÑO!AL387</f>
        <v>0</v>
      </c>
      <c r="AA170" s="201">
        <f ca="1">DATOSAÑO!AM387</f>
        <v>0</v>
      </c>
      <c r="AB170" s="201">
        <f ca="1">DATOSAÑO!AN387</f>
        <v>0</v>
      </c>
      <c r="AC170" s="716">
        <f ca="1">DATOSAÑO!G387</f>
        <v>0</v>
      </c>
      <c r="AD170" s="716">
        <f ca="1">DATOSAÑO!N387</f>
        <v>0</v>
      </c>
      <c r="AE170" s="716">
        <f ca="1">DATOSAÑO!R387</f>
        <v>0</v>
      </c>
      <c r="AF170" s="716">
        <f ca="1">DATOSAÑO!U387</f>
        <v>0</v>
      </c>
      <c r="AG170" s="633">
        <f t="shared" ca="1" si="23"/>
        <v>0</v>
      </c>
      <c r="AH170" s="722"/>
      <c r="AI170" s="1113"/>
      <c r="AJ170" s="1113"/>
      <c r="AK170" s="1113"/>
      <c r="AL170" s="1113"/>
    </row>
    <row r="172" spans="2:38">
      <c r="B172" s="407">
        <v>1</v>
      </c>
      <c r="C172" s="430"/>
      <c r="D172" s="430"/>
      <c r="E172" s="430"/>
      <c r="F172" s="430"/>
      <c r="G172" s="430"/>
    </row>
    <row r="173" spans="2:38">
      <c r="E173" s="430"/>
      <c r="F173" s="430"/>
      <c r="G173" s="430"/>
    </row>
    <row r="174" spans="2:38" hidden="1"/>
    <row r="175" spans="2:38" hidden="1">
      <c r="B175" s="2215" t="s">
        <v>131</v>
      </c>
      <c r="C175" s="2214" t="s">
        <v>598</v>
      </c>
      <c r="D175" s="2214" t="s">
        <v>609</v>
      </c>
      <c r="E175" s="2214" t="s">
        <v>587</v>
      </c>
      <c r="F175" s="2214" t="s">
        <v>585</v>
      </c>
      <c r="G175" s="2214" t="s">
        <v>601</v>
      </c>
      <c r="H175" s="2214" t="s">
        <v>608</v>
      </c>
      <c r="I175" s="2214" t="s">
        <v>602</v>
      </c>
      <c r="J175" s="2214" t="s">
        <v>610</v>
      </c>
      <c r="K175" s="2210" t="s">
        <v>188</v>
      </c>
      <c r="L175" s="2210" t="s">
        <v>180</v>
      </c>
      <c r="M175" s="2210" t="s">
        <v>603</v>
      </c>
      <c r="N175" s="2212" t="s">
        <v>210</v>
      </c>
      <c r="O175" s="2210" t="s">
        <v>604</v>
      </c>
    </row>
    <row r="176" spans="2:38" ht="34.5" hidden="1" customHeight="1">
      <c r="B176" s="2216"/>
      <c r="C176" s="2211"/>
      <c r="D176" s="2211"/>
      <c r="E176" s="2211"/>
      <c r="F176" s="2211"/>
      <c r="G176" s="2211"/>
      <c r="H176" s="2211"/>
      <c r="I176" s="2211"/>
      <c r="J176" s="2211"/>
      <c r="K176" s="2211"/>
      <c r="L176" s="2211"/>
      <c r="M176" s="2211"/>
      <c r="N176" s="2213"/>
      <c r="O176" s="2211"/>
    </row>
    <row r="177" spans="2:15" hidden="1">
      <c r="B177" s="628">
        <f>INDEX(B159:B170,B172)</f>
        <v>41640</v>
      </c>
      <c r="C177" s="200" t="e">
        <f>VLOOKUP($B$177,TABLAGRAFICAS,2)</f>
        <v>#NAME?</v>
      </c>
      <c r="D177" s="200" t="e">
        <f>VLOOKUP($B$177,TABLAGRAFICAS,3)</f>
        <v>#NAME?</v>
      </c>
      <c r="E177" s="200" t="e">
        <f>VLOOKUP($B$177,TABLAGRAFICAS,4)</f>
        <v>#NAME?</v>
      </c>
      <c r="F177" s="200" t="e">
        <f>VLOOKUP($B$177,TABLAGRAFICAS,5)</f>
        <v>#NAME?</v>
      </c>
      <c r="G177" s="200" t="e">
        <f>VLOOKUP($B$177,TABLAGRAFICAS,6)</f>
        <v>#NAME?</v>
      </c>
      <c r="H177" s="200" t="e">
        <f>VLOOKUP($B$177,TABLAGRAFICAS,7)</f>
        <v>#NAME?</v>
      </c>
      <c r="I177" s="200" t="e">
        <f>VLOOKUP($B$177,TABLAGRAFICAS,8)</f>
        <v>#NAME?</v>
      </c>
      <c r="J177" s="200" t="e">
        <f>VLOOKUP($B$177,TABLAGRAFICAS,9)</f>
        <v>#NAME?</v>
      </c>
      <c r="K177" s="200" t="e">
        <f>VLOOKUP($B$177,TABLAGRAFICAS,10)</f>
        <v>#NAME?</v>
      </c>
      <c r="L177" s="200" t="e">
        <f>VLOOKUP($B$177,TABLAGRAFICAS,11)</f>
        <v>#NAME?</v>
      </c>
      <c r="M177" s="200" t="e">
        <f>VLOOKUP($B$177,TABLAGRAFICAS,12)</f>
        <v>#NAME?</v>
      </c>
      <c r="N177" s="200" t="e">
        <f>VLOOKUP($B$177,TABLAGRAFICAS,13)</f>
        <v>#NAME?</v>
      </c>
      <c r="O177" s="200" t="e">
        <f>VLOOKUP($B$177,TABLAGRAFICAS,14)</f>
        <v>#NAME?</v>
      </c>
    </row>
    <row r="178" spans="2:15" hidden="1"/>
    <row r="179" spans="2:15" hidden="1"/>
    <row r="180" spans="2:15" hidden="1"/>
    <row r="181" spans="2:15" hidden="1"/>
    <row r="182" spans="2:15" hidden="1"/>
    <row r="183" spans="2:15" hidden="1"/>
    <row r="184" spans="2:15" hidden="1"/>
    <row r="185" spans="2:15" hidden="1"/>
    <row r="186" spans="2:15" hidden="1"/>
    <row r="187" spans="2:15" hidden="1"/>
    <row r="188" spans="2:15" hidden="1"/>
    <row r="189" spans="2:15" hidden="1"/>
    <row r="190" spans="2:15" hidden="1"/>
    <row r="191" spans="2:15" hidden="1"/>
    <row r="192" spans="2:15"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sheetData>
  <mergeCells count="68">
    <mergeCell ref="Y157:Y158"/>
    <mergeCell ref="X157:X158"/>
    <mergeCell ref="Z157:Z158"/>
    <mergeCell ref="AA157:AA158"/>
    <mergeCell ref="U124:W124"/>
    <mergeCell ref="B157:B158"/>
    <mergeCell ref="C157:C158"/>
    <mergeCell ref="B124:B125"/>
    <mergeCell ref="F157:F158"/>
    <mergeCell ref="G157:G158"/>
    <mergeCell ref="E157:E158"/>
    <mergeCell ref="H157:H158"/>
    <mergeCell ref="S157:S158"/>
    <mergeCell ref="V157:V158"/>
    <mergeCell ref="W157:W158"/>
    <mergeCell ref="U157:U158"/>
    <mergeCell ref="N4:O4"/>
    <mergeCell ref="R124:T124"/>
    <mergeCell ref="C124:H124"/>
    <mergeCell ref="I124:N124"/>
    <mergeCell ref="D157:D158"/>
    <mergeCell ref="R157:R158"/>
    <mergeCell ref="I157:I158"/>
    <mergeCell ref="O157:O158"/>
    <mergeCell ref="L157:L158"/>
    <mergeCell ref="M157:M158"/>
    <mergeCell ref="Q157:Q158"/>
    <mergeCell ref="P157:P158"/>
    <mergeCell ref="N157:N158"/>
    <mergeCell ref="K157:K158"/>
    <mergeCell ref="J157:J158"/>
    <mergeCell ref="T157:T158"/>
    <mergeCell ref="AB157:AB158"/>
    <mergeCell ref="AC157:AC158"/>
    <mergeCell ref="AD157:AD158"/>
    <mergeCell ref="AE85:AE87"/>
    <mergeCell ref="AM85:AM87"/>
    <mergeCell ref="AM124:AN124"/>
    <mergeCell ref="AM125:AN125"/>
    <mergeCell ref="AM126:AN126"/>
    <mergeCell ref="AG157:AG158"/>
    <mergeCell ref="AF157:AF158"/>
    <mergeCell ref="AE157:AE158"/>
    <mergeCell ref="AM127:AN127"/>
    <mergeCell ref="AH157:AH158"/>
    <mergeCell ref="AE83:AN84"/>
    <mergeCell ref="AI85:AI87"/>
    <mergeCell ref="AJ85:AJ87"/>
    <mergeCell ref="AK85:AK87"/>
    <mergeCell ref="AL85:AL87"/>
    <mergeCell ref="AF85:AF87"/>
    <mergeCell ref="AG85:AG87"/>
    <mergeCell ref="AH85:AH87"/>
    <mergeCell ref="AN85:AN87"/>
    <mergeCell ref="B175:B176"/>
    <mergeCell ref="C175:C176"/>
    <mergeCell ref="D175:D176"/>
    <mergeCell ref="E175:E176"/>
    <mergeCell ref="F175:F176"/>
    <mergeCell ref="L175:L176"/>
    <mergeCell ref="M175:M176"/>
    <mergeCell ref="N175:N176"/>
    <mergeCell ref="O175:O176"/>
    <mergeCell ref="G175:G176"/>
    <mergeCell ref="H175:H176"/>
    <mergeCell ref="I175:I176"/>
    <mergeCell ref="J175:J176"/>
    <mergeCell ref="K175:K17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93" r:id="rId4" name="Scroll Bar 17">
              <controlPr defaultSize="0" autoPict="0">
                <anchor moveWithCells="1">
                  <from>
                    <xdr:col>14</xdr:col>
                    <xdr:colOff>241300</xdr:colOff>
                    <xdr:row>174</xdr:row>
                    <xdr:rowOff>0</xdr:rowOff>
                  </from>
                  <to>
                    <xdr:col>14</xdr:col>
                    <xdr:colOff>609600</xdr:colOff>
                    <xdr:row>264</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rgb="FF002060"/>
  </sheetPr>
  <dimension ref="A1:AE38"/>
  <sheetViews>
    <sheetView showGridLines="0" zoomScale="85" zoomScaleNormal="85" workbookViewId="0">
      <selection activeCell="J14" sqref="J14"/>
    </sheetView>
  </sheetViews>
  <sheetFormatPr baseColWidth="10" defaultColWidth="5.26953125" defaultRowHeight="14.5"/>
  <cols>
    <col min="1" max="1" width="9.6328125" style="1043" customWidth="1"/>
    <col min="2" max="3" width="6.54296875" style="1043" bestFit="1" customWidth="1"/>
    <col min="4" max="4" width="6.54296875" style="1043" customWidth="1"/>
    <col min="5" max="12" width="6.54296875" style="1043" bestFit="1" customWidth="1"/>
    <col min="13" max="13" width="7.54296875" style="1043" customWidth="1"/>
    <col min="14" max="16" width="6.54296875" style="1043" bestFit="1" customWidth="1"/>
    <col min="17" max="17" width="6.7265625" style="1043" customWidth="1"/>
    <col min="18" max="18" width="6.54296875" style="1043" bestFit="1" customWidth="1"/>
    <col min="19" max="19" width="5.453125" style="1043" customWidth="1"/>
    <col min="20" max="25" width="6.54296875" style="1043" bestFit="1" customWidth="1"/>
    <col min="26" max="29" width="7.6328125" style="1043" customWidth="1"/>
    <col min="30" max="31" width="6.54296875" style="1043" bestFit="1" customWidth="1"/>
    <col min="32" max="16384" width="5.26953125" style="1043"/>
  </cols>
  <sheetData>
    <row r="1" spans="1:31">
      <c r="A1" s="1093" t="s">
        <v>111</v>
      </c>
      <c r="B1" s="1094"/>
      <c r="C1" s="1095"/>
      <c r="D1" s="1392" t="s">
        <v>339</v>
      </c>
      <c r="E1" s="1096"/>
      <c r="F1" s="1096"/>
      <c r="G1" s="1096"/>
      <c r="H1" s="1097"/>
      <c r="I1" s="2249" t="s">
        <v>1</v>
      </c>
      <c r="J1" s="2249"/>
      <c r="K1" s="2249"/>
      <c r="L1" s="2250">
        <v>45231</v>
      </c>
      <c r="M1" s="2250"/>
      <c r="N1" s="1113"/>
    </row>
    <row r="2" spans="1:31">
      <c r="A2" s="1093" t="s">
        <v>279</v>
      </c>
      <c r="B2" s="1094"/>
      <c r="C2" s="1095"/>
      <c r="D2" s="1392" t="s">
        <v>280</v>
      </c>
      <c r="E2" s="1096"/>
      <c r="F2" s="1096"/>
      <c r="G2" s="1096"/>
      <c r="H2" s="1097"/>
      <c r="I2" s="2249" t="s">
        <v>2</v>
      </c>
      <c r="J2" s="2249"/>
      <c r="K2" s="2249"/>
      <c r="L2" s="2250">
        <v>45260</v>
      </c>
      <c r="M2" s="2250"/>
      <c r="N2" s="1113"/>
    </row>
    <row r="3" spans="1:31">
      <c r="A3" s="1093" t="s">
        <v>281</v>
      </c>
      <c r="B3" s="1094"/>
      <c r="C3" s="1095"/>
      <c r="D3" s="1392" t="s">
        <v>282</v>
      </c>
      <c r="E3" s="1096"/>
      <c r="F3" s="1096"/>
      <c r="G3" s="1096"/>
      <c r="H3" s="1097"/>
      <c r="I3" s="2249" t="s">
        <v>1250</v>
      </c>
      <c r="J3" s="2249"/>
      <c r="K3" s="2249"/>
      <c r="L3" s="2251">
        <f ca="1">TODAY()</f>
        <v>45232</v>
      </c>
      <c r="M3" s="2251"/>
      <c r="N3" s="1113"/>
    </row>
    <row r="4" spans="1:31">
      <c r="A4" s="1093" t="s">
        <v>226</v>
      </c>
      <c r="B4" s="1094"/>
      <c r="C4" s="1095"/>
      <c r="D4" s="1392" t="s">
        <v>1194</v>
      </c>
      <c r="E4" s="1096"/>
      <c r="F4" s="1096"/>
      <c r="G4" s="1096"/>
      <c r="H4" s="1097"/>
    </row>
    <row r="5" spans="1:31">
      <c r="A5" s="1093" t="s">
        <v>283</v>
      </c>
      <c r="B5" s="1094"/>
      <c r="C5" s="1095"/>
      <c r="D5" s="1392" t="s">
        <v>284</v>
      </c>
      <c r="E5" s="1096"/>
      <c r="F5" s="1096"/>
      <c r="G5" s="1096"/>
      <c r="H5" s="1097"/>
      <c r="Q5" s="154"/>
      <c r="R5" s="154"/>
      <c r="S5" s="154"/>
      <c r="T5" s="154"/>
      <c r="U5" s="154"/>
      <c r="V5" s="154"/>
      <c r="W5" s="154"/>
    </row>
    <row r="6" spans="1:31" ht="21">
      <c r="A6" s="1098" t="s">
        <v>1441</v>
      </c>
      <c r="B6" s="1099"/>
      <c r="C6" s="1099"/>
      <c r="D6" s="1099"/>
      <c r="E6" s="1099"/>
      <c r="F6" s="1099"/>
      <c r="G6" s="1099"/>
      <c r="H6" s="1099"/>
      <c r="I6" s="1099"/>
      <c r="J6" s="1099"/>
      <c r="K6" s="1099"/>
      <c r="L6" s="1099"/>
      <c r="M6" s="1099"/>
      <c r="N6" s="1099"/>
      <c r="O6" s="1099"/>
      <c r="P6" s="1099"/>
      <c r="Q6" s="1099"/>
      <c r="R6" s="1099"/>
      <c r="S6" s="1099"/>
      <c r="T6" s="1099"/>
      <c r="U6" s="1099"/>
      <c r="V6" s="1099"/>
      <c r="W6" s="1099"/>
      <c r="X6" s="1099"/>
      <c r="Y6" s="1099"/>
      <c r="Z6" s="1099"/>
      <c r="AA6" s="1099"/>
      <c r="AB6" s="1099"/>
      <c r="AC6" s="1010"/>
    </row>
    <row r="7" spans="1:31">
      <c r="A7" s="1100" t="s">
        <v>340</v>
      </c>
      <c r="B7" s="1116" t="s">
        <v>341</v>
      </c>
      <c r="C7" s="1100" t="s">
        <v>342</v>
      </c>
      <c r="D7" s="1100" t="s">
        <v>343</v>
      </c>
      <c r="E7" s="1100" t="s">
        <v>344</v>
      </c>
      <c r="F7" s="1100" t="s">
        <v>345</v>
      </c>
      <c r="G7" s="1100" t="s">
        <v>346</v>
      </c>
      <c r="H7" s="1100" t="s">
        <v>347</v>
      </c>
      <c r="I7" s="1100" t="s">
        <v>348</v>
      </c>
      <c r="J7" s="1100" t="s">
        <v>349</v>
      </c>
      <c r="K7" s="1100" t="s">
        <v>350</v>
      </c>
      <c r="L7" s="1100" t="s">
        <v>351</v>
      </c>
      <c r="M7" s="1100" t="s">
        <v>352</v>
      </c>
      <c r="N7" s="1100" t="s">
        <v>353</v>
      </c>
      <c r="O7" s="1100" t="s">
        <v>354</v>
      </c>
      <c r="P7" s="1100" t="s">
        <v>355</v>
      </c>
      <c r="Q7" s="1100" t="s">
        <v>356</v>
      </c>
      <c r="R7" s="1100" t="s">
        <v>357</v>
      </c>
      <c r="S7" s="1100" t="s">
        <v>358</v>
      </c>
      <c r="T7" s="1100" t="s">
        <v>359</v>
      </c>
      <c r="U7" s="1100" t="s">
        <v>360</v>
      </c>
      <c r="V7" s="1100" t="s">
        <v>361</v>
      </c>
      <c r="W7" s="1100" t="s">
        <v>362</v>
      </c>
      <c r="X7" s="1100" t="s">
        <v>363</v>
      </c>
      <c r="Y7" s="1100" t="s">
        <v>364</v>
      </c>
      <c r="Z7" s="1100" t="s">
        <v>1440</v>
      </c>
      <c r="AA7" s="1100" t="s">
        <v>1437</v>
      </c>
      <c r="AB7" s="1100" t="s">
        <v>1439</v>
      </c>
      <c r="AC7" s="1100" t="s">
        <v>1438</v>
      </c>
    </row>
    <row r="8" spans="1:31">
      <c r="A8" s="1117">
        <f>INICIO!D12</f>
        <v>45231</v>
      </c>
      <c r="B8" s="1875">
        <v>17.670669404632378</v>
      </c>
      <c r="C8" s="1875">
        <v>19.332084491215358</v>
      </c>
      <c r="D8" s="1875">
        <v>19.18590028284024</v>
      </c>
      <c r="E8" s="1875">
        <v>19.31194980205089</v>
      </c>
      <c r="F8" s="1875">
        <v>19.37354777384137</v>
      </c>
      <c r="G8" s="1875">
        <v>19.17483644816437</v>
      </c>
      <c r="H8" s="1875">
        <v>19.215266653872778</v>
      </c>
      <c r="I8" s="1875">
        <v>18.694149149242669</v>
      </c>
      <c r="J8" s="1875">
        <v>17.692266016273141</v>
      </c>
      <c r="K8" s="1875">
        <v>17.87323641611437</v>
      </c>
      <c r="L8" s="1875">
        <v>18.098592542300029</v>
      </c>
      <c r="M8" s="1875">
        <v>18.139305247529581</v>
      </c>
      <c r="N8" s="1875">
        <v>18.077277674964499</v>
      </c>
      <c r="O8" s="1875">
        <v>17.785281658713121</v>
      </c>
      <c r="P8" s="1875">
        <v>17.8259386002889</v>
      </c>
      <c r="Q8" s="1875">
        <v>17.766438698057648</v>
      </c>
      <c r="R8" s="1875">
        <v>17.680022662555992</v>
      </c>
      <c r="S8" s="1875">
        <v>17.817076655768069</v>
      </c>
      <c r="T8" s="1876">
        <v>17.787106456806178</v>
      </c>
      <c r="U8" s="1875">
        <v>17.707447164160648</v>
      </c>
      <c r="V8" s="1875">
        <v>17.552800482325651</v>
      </c>
      <c r="W8" s="1875">
        <v>17.549792619914349</v>
      </c>
      <c r="X8" s="1875">
        <v>17.569334742591479</v>
      </c>
      <c r="Y8" s="1875">
        <v>17.532898231735672</v>
      </c>
      <c r="Z8" s="1879">
        <f>+AVERAGE(B8:Y8)</f>
        <v>18.183884161498309</v>
      </c>
      <c r="AA8" s="1879">
        <f>MIN(B8:Y8)</f>
        <v>17.532898231735672</v>
      </c>
      <c r="AB8" s="1879">
        <f>+SUM(B8:Y8)</f>
        <v>436.41321987595938</v>
      </c>
      <c r="AC8" s="1879">
        <f>MAX(B8:Y8)</f>
        <v>19.37354777384137</v>
      </c>
    </row>
    <row r="9" spans="1:31">
      <c r="A9" s="1117">
        <f>A8+1</f>
        <v>45232</v>
      </c>
      <c r="B9" s="1875"/>
      <c r="C9" s="1875"/>
      <c r="D9" s="1875"/>
      <c r="E9" s="1875"/>
      <c r="F9" s="1875"/>
      <c r="G9" s="1875"/>
      <c r="H9" s="1875"/>
      <c r="I9" s="1875"/>
      <c r="J9" s="1875"/>
      <c r="K9" s="1875"/>
      <c r="L9" s="1875"/>
      <c r="M9" s="1875"/>
      <c r="N9" s="1875"/>
      <c r="O9" s="1875"/>
      <c r="P9" s="1875"/>
      <c r="Q9" s="1875"/>
      <c r="R9" s="1875"/>
      <c r="S9" s="1876"/>
      <c r="T9" s="1875"/>
      <c r="U9" s="1875"/>
      <c r="V9" s="1875"/>
      <c r="W9" s="1875"/>
      <c r="X9" s="1875"/>
      <c r="Y9" s="1875"/>
      <c r="Z9" s="1879" t="e">
        <f>+AVERAGE(B9:Y9)</f>
        <v>#DIV/0!</v>
      </c>
      <c r="AA9" s="1879">
        <f>MIN(B9:Y9)</f>
        <v>0</v>
      </c>
      <c r="AB9" s="1879">
        <f>+SUM(B9:Y9)</f>
        <v>0</v>
      </c>
      <c r="AC9" s="1879">
        <f>MAX(B9:Y9)</f>
        <v>0</v>
      </c>
    </row>
    <row r="10" spans="1:31">
      <c r="A10" s="1117">
        <f t="shared" ref="A10:A38" si="0">A9+1</f>
        <v>45233</v>
      </c>
      <c r="B10" s="1875"/>
      <c r="C10" s="1875"/>
      <c r="D10" s="1875"/>
      <c r="E10" s="1875"/>
      <c r="F10" s="1875"/>
      <c r="G10" s="1875"/>
      <c r="H10" s="1875"/>
      <c r="I10" s="1875"/>
      <c r="J10" s="1875"/>
      <c r="K10" s="1875"/>
      <c r="L10" s="1875"/>
      <c r="M10" s="1875"/>
      <c r="N10" s="1875"/>
      <c r="O10" s="1875"/>
      <c r="P10" s="1875"/>
      <c r="Q10" s="1875"/>
      <c r="R10" s="1876"/>
      <c r="S10" s="1875"/>
      <c r="T10" s="1875"/>
      <c r="U10" s="1875"/>
      <c r="V10" s="1875"/>
      <c r="W10" s="1875"/>
      <c r="X10" s="1875"/>
      <c r="Y10" s="1875"/>
      <c r="Z10" s="1879" t="e">
        <f t="shared" ref="Z10:Z35" si="1">+AVERAGE(B10:Y10)</f>
        <v>#DIV/0!</v>
      </c>
      <c r="AA10" s="1879">
        <f t="shared" ref="AA10:AA35" si="2">MIN(B10:Y10)</f>
        <v>0</v>
      </c>
      <c r="AB10" s="1879">
        <f t="shared" ref="AB10:AB35" si="3">+SUM(B10:Y10)</f>
        <v>0</v>
      </c>
      <c r="AC10" s="1879">
        <f t="shared" ref="AC10:AC22" si="4">MAX(B10:Y10)</f>
        <v>0</v>
      </c>
    </row>
    <row r="11" spans="1:31">
      <c r="A11" s="1117">
        <f t="shared" si="0"/>
        <v>45234</v>
      </c>
      <c r="B11" s="1875"/>
      <c r="C11" s="1875"/>
      <c r="D11" s="1875"/>
      <c r="E11" s="1875"/>
      <c r="F11" s="1875"/>
      <c r="G11" s="1875"/>
      <c r="H11" s="1875"/>
      <c r="I11" s="1875"/>
      <c r="J11" s="1875"/>
      <c r="K11" s="1875"/>
      <c r="L11" s="1875"/>
      <c r="M11" s="1875"/>
      <c r="N11" s="1875"/>
      <c r="O11" s="1875"/>
      <c r="P11" s="1875"/>
      <c r="Q11" s="1876"/>
      <c r="R11" s="1875"/>
      <c r="S11" s="1875"/>
      <c r="T11" s="1875"/>
      <c r="U11" s="1875"/>
      <c r="V11" s="1875"/>
      <c r="W11" s="1875"/>
      <c r="X11" s="1875"/>
      <c r="Y11" s="1875"/>
      <c r="Z11" s="1879" t="e">
        <f t="shared" si="1"/>
        <v>#DIV/0!</v>
      </c>
      <c r="AA11" s="1879">
        <f t="shared" si="2"/>
        <v>0</v>
      </c>
      <c r="AB11" s="1879">
        <f t="shared" si="3"/>
        <v>0</v>
      </c>
      <c r="AC11" s="1879">
        <f t="shared" si="4"/>
        <v>0</v>
      </c>
    </row>
    <row r="12" spans="1:31">
      <c r="A12" s="1117">
        <f t="shared" si="0"/>
        <v>45235</v>
      </c>
      <c r="B12" s="1875"/>
      <c r="C12" s="1875"/>
      <c r="D12" s="1875"/>
      <c r="E12" s="1875"/>
      <c r="F12" s="1875"/>
      <c r="G12" s="1875"/>
      <c r="H12" s="1875"/>
      <c r="I12" s="1875"/>
      <c r="J12" s="1875"/>
      <c r="K12" s="1875"/>
      <c r="L12" s="1875"/>
      <c r="M12" s="1875"/>
      <c r="N12" s="1875"/>
      <c r="O12" s="1875"/>
      <c r="P12" s="1876"/>
      <c r="Q12" s="1875"/>
      <c r="R12" s="1875"/>
      <c r="S12" s="1875"/>
      <c r="T12" s="1875"/>
      <c r="U12" s="1875"/>
      <c r="V12" s="1875"/>
      <c r="W12" s="1875"/>
      <c r="X12" s="1875"/>
      <c r="Y12" s="1875"/>
      <c r="Z12" s="1879" t="e">
        <f t="shared" si="1"/>
        <v>#DIV/0!</v>
      </c>
      <c r="AA12" s="1879">
        <f t="shared" si="2"/>
        <v>0</v>
      </c>
      <c r="AB12" s="1879">
        <f t="shared" si="3"/>
        <v>0</v>
      </c>
      <c r="AC12" s="1879">
        <f t="shared" si="4"/>
        <v>0</v>
      </c>
    </row>
    <row r="13" spans="1:31" ht="17.5" customHeight="1">
      <c r="A13" s="1117">
        <f t="shared" si="0"/>
        <v>45236</v>
      </c>
      <c r="B13" s="1877"/>
      <c r="C13" s="1875"/>
      <c r="D13" s="1875"/>
      <c r="E13" s="1875"/>
      <c r="F13" s="1875"/>
      <c r="G13" s="1875"/>
      <c r="H13" s="1875"/>
      <c r="I13" s="1875"/>
      <c r="J13" s="1875"/>
      <c r="K13" s="1875"/>
      <c r="L13" s="1875"/>
      <c r="M13" s="1875"/>
      <c r="N13" s="1875"/>
      <c r="O13" s="1876"/>
      <c r="P13" s="1875"/>
      <c r="Q13" s="1875"/>
      <c r="R13" s="1875"/>
      <c r="S13" s="1875"/>
      <c r="T13" s="1875"/>
      <c r="U13" s="1875"/>
      <c r="V13" s="1875"/>
      <c r="W13" s="1875"/>
      <c r="X13" s="1875"/>
      <c r="Y13" s="1875"/>
      <c r="Z13" s="1879" t="e">
        <f t="shared" si="1"/>
        <v>#DIV/0!</v>
      </c>
      <c r="AA13" s="1879">
        <f t="shared" si="2"/>
        <v>0</v>
      </c>
      <c r="AB13" s="1879">
        <f t="shared" si="3"/>
        <v>0</v>
      </c>
      <c r="AC13" s="1879">
        <f t="shared" si="4"/>
        <v>0</v>
      </c>
      <c r="AD13" s="154"/>
      <c r="AE13" s="154"/>
    </row>
    <row r="14" spans="1:31" ht="17.5" customHeight="1">
      <c r="A14" s="1117">
        <f t="shared" si="0"/>
        <v>45237</v>
      </c>
      <c r="B14" s="1875"/>
      <c r="C14" s="1875"/>
      <c r="D14" s="1878"/>
      <c r="E14" s="1878"/>
      <c r="F14" s="1878"/>
      <c r="G14" s="1878"/>
      <c r="H14" s="1878"/>
      <c r="I14" s="1878"/>
      <c r="J14" s="1878"/>
      <c r="K14" s="1878"/>
      <c r="L14" s="1878"/>
      <c r="M14" s="1878"/>
      <c r="N14" s="1878"/>
      <c r="O14" s="1878"/>
      <c r="P14" s="1878"/>
      <c r="Q14" s="1878"/>
      <c r="R14" s="1878"/>
      <c r="S14" s="1878"/>
      <c r="T14" s="1878"/>
      <c r="U14" s="1878"/>
      <c r="V14" s="1878"/>
      <c r="W14" s="1878"/>
      <c r="X14" s="1878"/>
      <c r="Y14" s="1878"/>
      <c r="Z14" s="1879" t="e">
        <f t="shared" si="1"/>
        <v>#DIV/0!</v>
      </c>
      <c r="AA14" s="1879">
        <f t="shared" si="2"/>
        <v>0</v>
      </c>
      <c r="AB14" s="1879">
        <f t="shared" si="3"/>
        <v>0</v>
      </c>
      <c r="AC14" s="1879">
        <f t="shared" si="4"/>
        <v>0</v>
      </c>
      <c r="AD14" s="154"/>
      <c r="AE14" s="154"/>
    </row>
    <row r="15" spans="1:31" ht="17.5" customHeight="1">
      <c r="A15" s="1117">
        <f t="shared" si="0"/>
        <v>45238</v>
      </c>
      <c r="B15" s="1875"/>
      <c r="C15" s="1875"/>
      <c r="D15" s="1875"/>
      <c r="E15" s="1875"/>
      <c r="F15" s="1875"/>
      <c r="G15" s="1875"/>
      <c r="H15" s="1875"/>
      <c r="I15" s="1875"/>
      <c r="J15" s="1875"/>
      <c r="K15" s="1875"/>
      <c r="L15" s="1875"/>
      <c r="M15" s="1875"/>
      <c r="N15" s="1875"/>
      <c r="O15" s="1875"/>
      <c r="P15" s="1875"/>
      <c r="Q15" s="1875"/>
      <c r="R15" s="1875"/>
      <c r="S15" s="1875"/>
      <c r="T15" s="1875"/>
      <c r="U15" s="1875"/>
      <c r="V15" s="1875"/>
      <c r="W15" s="1875"/>
      <c r="X15" s="1875"/>
      <c r="Y15" s="1875"/>
      <c r="Z15" s="1879" t="e">
        <f t="shared" si="1"/>
        <v>#DIV/0!</v>
      </c>
      <c r="AA15" s="1879">
        <f t="shared" si="2"/>
        <v>0</v>
      </c>
      <c r="AB15" s="1879">
        <f t="shared" si="3"/>
        <v>0</v>
      </c>
      <c r="AC15" s="1879">
        <f t="shared" si="4"/>
        <v>0</v>
      </c>
      <c r="AD15" s="154"/>
      <c r="AE15" s="154"/>
    </row>
    <row r="16" spans="1:31">
      <c r="A16" s="1117">
        <f t="shared" si="0"/>
        <v>45239</v>
      </c>
      <c r="B16" s="1875"/>
      <c r="C16" s="1875"/>
      <c r="D16" s="1875"/>
      <c r="E16" s="1875"/>
      <c r="F16" s="1875"/>
      <c r="G16" s="1875"/>
      <c r="H16" s="1875"/>
      <c r="I16" s="1875"/>
      <c r="J16" s="1875"/>
      <c r="K16" s="1875"/>
      <c r="L16" s="1875"/>
      <c r="M16" s="1875"/>
      <c r="N16" s="1875"/>
      <c r="O16" s="1875"/>
      <c r="P16" s="1875"/>
      <c r="Q16" s="1875"/>
      <c r="R16" s="1875"/>
      <c r="S16" s="1875"/>
      <c r="T16" s="1875"/>
      <c r="U16" s="1875"/>
      <c r="V16" s="1875"/>
      <c r="W16" s="1875"/>
      <c r="X16" s="1875"/>
      <c r="Y16" s="1875"/>
      <c r="Z16" s="1879" t="e">
        <f t="shared" si="1"/>
        <v>#DIV/0!</v>
      </c>
      <c r="AA16" s="1879">
        <f t="shared" si="2"/>
        <v>0</v>
      </c>
      <c r="AB16" s="1879">
        <f t="shared" si="3"/>
        <v>0</v>
      </c>
      <c r="AC16" s="1879">
        <f t="shared" si="4"/>
        <v>0</v>
      </c>
    </row>
    <row r="17" spans="1:29">
      <c r="A17" s="1117">
        <f t="shared" si="0"/>
        <v>45240</v>
      </c>
      <c r="B17" s="1875"/>
      <c r="C17" s="1875"/>
      <c r="D17" s="1875"/>
      <c r="E17" s="1875"/>
      <c r="F17" s="1875"/>
      <c r="G17" s="1875"/>
      <c r="H17" s="1875"/>
      <c r="I17" s="1875"/>
      <c r="J17" s="1875"/>
      <c r="K17" s="1875"/>
      <c r="L17" s="1875"/>
      <c r="M17" s="1875"/>
      <c r="N17" s="1875"/>
      <c r="O17" s="1875"/>
      <c r="P17" s="1875"/>
      <c r="Q17" s="1875"/>
      <c r="R17" s="1875"/>
      <c r="S17" s="1875"/>
      <c r="T17" s="1875"/>
      <c r="U17" s="1875"/>
      <c r="V17" s="1875"/>
      <c r="W17" s="1875"/>
      <c r="X17" s="1875"/>
      <c r="Y17" s="1875"/>
      <c r="Z17" s="1879" t="e">
        <f t="shared" si="1"/>
        <v>#DIV/0!</v>
      </c>
      <c r="AA17" s="1879">
        <f t="shared" si="2"/>
        <v>0</v>
      </c>
      <c r="AB17" s="1879">
        <f t="shared" si="3"/>
        <v>0</v>
      </c>
      <c r="AC17" s="1879">
        <f t="shared" si="4"/>
        <v>0</v>
      </c>
    </row>
    <row r="18" spans="1:29">
      <c r="A18" s="1117">
        <f t="shared" si="0"/>
        <v>45241</v>
      </c>
      <c r="B18" s="1875"/>
      <c r="C18" s="1875"/>
      <c r="D18" s="1875"/>
      <c r="E18" s="1875"/>
      <c r="F18" s="1875"/>
      <c r="G18" s="1875"/>
      <c r="H18" s="1875"/>
      <c r="I18" s="1875"/>
      <c r="J18" s="1875"/>
      <c r="K18" s="1875"/>
      <c r="L18" s="1875"/>
      <c r="M18" s="1875"/>
      <c r="N18" s="1875"/>
      <c r="O18" s="1875"/>
      <c r="P18" s="1875"/>
      <c r="Q18" s="1875"/>
      <c r="R18" s="1875"/>
      <c r="S18" s="1875"/>
      <c r="T18" s="1875"/>
      <c r="U18" s="1875"/>
      <c r="V18" s="1875"/>
      <c r="W18" s="1875"/>
      <c r="X18" s="1875"/>
      <c r="Y18" s="1875"/>
      <c r="Z18" s="1879" t="e">
        <f t="shared" si="1"/>
        <v>#DIV/0!</v>
      </c>
      <c r="AA18" s="1879">
        <f t="shared" si="2"/>
        <v>0</v>
      </c>
      <c r="AB18" s="1879">
        <f t="shared" si="3"/>
        <v>0</v>
      </c>
      <c r="AC18" s="1879">
        <f t="shared" si="4"/>
        <v>0</v>
      </c>
    </row>
    <row r="19" spans="1:29">
      <c r="A19" s="1117">
        <f t="shared" si="0"/>
        <v>45242</v>
      </c>
      <c r="B19" s="1875"/>
      <c r="C19" s="1875"/>
      <c r="D19" s="1875"/>
      <c r="E19" s="1875"/>
      <c r="F19" s="1875"/>
      <c r="G19" s="1875"/>
      <c r="H19" s="1875"/>
      <c r="I19" s="1875"/>
      <c r="J19" s="1875"/>
      <c r="K19" s="1875"/>
      <c r="L19" s="1875"/>
      <c r="M19" s="1875"/>
      <c r="N19" s="1875"/>
      <c r="O19" s="1875"/>
      <c r="P19" s="1875"/>
      <c r="Q19" s="1875"/>
      <c r="R19" s="1875"/>
      <c r="S19" s="1875"/>
      <c r="T19" s="1875"/>
      <c r="U19" s="1875"/>
      <c r="V19" s="1875"/>
      <c r="W19" s="1875"/>
      <c r="X19" s="1875"/>
      <c r="Y19" s="1875"/>
      <c r="Z19" s="1879" t="e">
        <f t="shared" si="1"/>
        <v>#DIV/0!</v>
      </c>
      <c r="AA19" s="1879">
        <f t="shared" si="2"/>
        <v>0</v>
      </c>
      <c r="AB19" s="1879">
        <f t="shared" si="3"/>
        <v>0</v>
      </c>
      <c r="AC19" s="1879">
        <f t="shared" si="4"/>
        <v>0</v>
      </c>
    </row>
    <row r="20" spans="1:29">
      <c r="A20" s="1117">
        <f t="shared" si="0"/>
        <v>45243</v>
      </c>
      <c r="B20" s="1875"/>
      <c r="C20" s="1875"/>
      <c r="D20" s="1875"/>
      <c r="E20" s="1875"/>
      <c r="F20" s="1875"/>
      <c r="G20" s="1875"/>
      <c r="H20" s="1875"/>
      <c r="I20" s="1875"/>
      <c r="J20" s="1875"/>
      <c r="K20" s="1875"/>
      <c r="L20" s="1875"/>
      <c r="M20" s="1875"/>
      <c r="N20" s="1875"/>
      <c r="O20" s="1875"/>
      <c r="P20" s="1875"/>
      <c r="Q20" s="1875"/>
      <c r="R20" s="1875"/>
      <c r="S20" s="1875"/>
      <c r="T20" s="1875"/>
      <c r="U20" s="1875"/>
      <c r="V20" s="1875"/>
      <c r="W20" s="1875"/>
      <c r="X20" s="1875"/>
      <c r="Y20" s="1875"/>
      <c r="Z20" s="1879" t="e">
        <f t="shared" si="1"/>
        <v>#DIV/0!</v>
      </c>
      <c r="AA20" s="1879">
        <f t="shared" si="2"/>
        <v>0</v>
      </c>
      <c r="AB20" s="1879">
        <f t="shared" si="3"/>
        <v>0</v>
      </c>
      <c r="AC20" s="1879">
        <f t="shared" si="4"/>
        <v>0</v>
      </c>
    </row>
    <row r="21" spans="1:29">
      <c r="A21" s="1117">
        <f t="shared" si="0"/>
        <v>45244</v>
      </c>
      <c r="B21" s="1875"/>
      <c r="C21" s="1875"/>
      <c r="D21" s="1875"/>
      <c r="E21" s="1875"/>
      <c r="F21" s="1875"/>
      <c r="G21" s="1875"/>
      <c r="H21" s="1875"/>
      <c r="I21" s="1875"/>
      <c r="J21" s="1875"/>
      <c r="K21" s="1875"/>
      <c r="L21" s="1875"/>
      <c r="M21" s="1875"/>
      <c r="N21" s="1875"/>
      <c r="O21" s="1875"/>
      <c r="P21" s="1875"/>
      <c r="Q21" s="1875"/>
      <c r="R21" s="1875"/>
      <c r="S21" s="1875"/>
      <c r="T21" s="1875"/>
      <c r="U21" s="1875"/>
      <c r="V21" s="1875"/>
      <c r="W21" s="1875"/>
      <c r="X21" s="1875"/>
      <c r="Y21" s="1875"/>
      <c r="Z21" s="1879" t="e">
        <f t="shared" si="1"/>
        <v>#DIV/0!</v>
      </c>
      <c r="AA21" s="1879">
        <f t="shared" si="2"/>
        <v>0</v>
      </c>
      <c r="AB21" s="1879">
        <f t="shared" si="3"/>
        <v>0</v>
      </c>
      <c r="AC21" s="1879">
        <f t="shared" si="4"/>
        <v>0</v>
      </c>
    </row>
    <row r="22" spans="1:29">
      <c r="A22" s="1117">
        <f t="shared" si="0"/>
        <v>45245</v>
      </c>
      <c r="B22" s="1875"/>
      <c r="C22" s="1875"/>
      <c r="D22" s="1875"/>
      <c r="E22" s="1875"/>
      <c r="F22" s="1875"/>
      <c r="G22" s="1875"/>
      <c r="H22" s="1875"/>
      <c r="I22" s="1875"/>
      <c r="J22" s="1875"/>
      <c r="K22" s="1875"/>
      <c r="L22" s="1875"/>
      <c r="M22" s="1875"/>
      <c r="N22" s="1875"/>
      <c r="O22" s="1875"/>
      <c r="P22" s="1875"/>
      <c r="Q22" s="1875"/>
      <c r="R22" s="1875"/>
      <c r="S22" s="1875"/>
      <c r="T22" s="1875"/>
      <c r="U22" s="1875"/>
      <c r="V22" s="1875"/>
      <c r="W22" s="1875"/>
      <c r="X22" s="1875"/>
      <c r="Y22" s="1875"/>
      <c r="Z22" s="1879" t="e">
        <f t="shared" si="1"/>
        <v>#DIV/0!</v>
      </c>
      <c r="AA22" s="1879">
        <f t="shared" si="2"/>
        <v>0</v>
      </c>
      <c r="AB22" s="1879">
        <f t="shared" si="3"/>
        <v>0</v>
      </c>
      <c r="AC22" s="1879">
        <f t="shared" si="4"/>
        <v>0</v>
      </c>
    </row>
    <row r="23" spans="1:29">
      <c r="A23" s="1117">
        <f t="shared" si="0"/>
        <v>45246</v>
      </c>
      <c r="B23" s="1875"/>
      <c r="C23" s="1875"/>
      <c r="D23" s="1875"/>
      <c r="E23" s="1875"/>
      <c r="F23" s="1875"/>
      <c r="G23" s="1875"/>
      <c r="H23" s="1875"/>
      <c r="I23" s="1875"/>
      <c r="J23" s="1875"/>
      <c r="K23" s="1875"/>
      <c r="L23" s="1875"/>
      <c r="M23" s="1875"/>
      <c r="N23" s="1875"/>
      <c r="O23" s="1875"/>
      <c r="P23" s="1875"/>
      <c r="Q23" s="1875"/>
      <c r="R23" s="1875"/>
      <c r="S23" s="1875"/>
      <c r="T23" s="1875"/>
      <c r="U23" s="1875"/>
      <c r="V23" s="1875"/>
      <c r="W23" s="1875"/>
      <c r="X23" s="1875"/>
      <c r="Y23" s="1875"/>
      <c r="Z23" s="1879" t="e">
        <f>+AVERAGE(B23:Y23)</f>
        <v>#DIV/0!</v>
      </c>
      <c r="AA23" s="1879">
        <f>MIN(B23:Y23)</f>
        <v>0</v>
      </c>
      <c r="AB23" s="1879">
        <f>+SUM(B23:Y23)</f>
        <v>0</v>
      </c>
      <c r="AC23" s="1879">
        <f>MAX(B23:Y23)</f>
        <v>0</v>
      </c>
    </row>
    <row r="24" spans="1:29">
      <c r="A24" s="1117">
        <f t="shared" si="0"/>
        <v>45247</v>
      </c>
      <c r="B24" s="1875"/>
      <c r="C24" s="1875"/>
      <c r="D24" s="1875"/>
      <c r="E24" s="1875"/>
      <c r="F24" s="1875"/>
      <c r="G24" s="1875"/>
      <c r="H24" s="1875"/>
      <c r="I24" s="1875"/>
      <c r="J24" s="1875"/>
      <c r="K24" s="1875"/>
      <c r="L24" s="1875"/>
      <c r="M24" s="1875"/>
      <c r="N24" s="1875"/>
      <c r="O24" s="1875"/>
      <c r="P24" s="1875"/>
      <c r="Q24" s="1875"/>
      <c r="R24" s="1875"/>
      <c r="S24" s="1875"/>
      <c r="T24" s="1875"/>
      <c r="U24" s="1875"/>
      <c r="V24" s="1875"/>
      <c r="W24" s="1875"/>
      <c r="X24" s="1875"/>
      <c r="Y24" s="1875"/>
      <c r="Z24" s="1879" t="e">
        <f>+AVERAGE(B24:Y24)</f>
        <v>#DIV/0!</v>
      </c>
      <c r="AA24" s="1879">
        <f>MIN(B24:Y24)</f>
        <v>0</v>
      </c>
      <c r="AB24" s="1879">
        <f>+SUM(B24:Y24)</f>
        <v>0</v>
      </c>
      <c r="AC24" s="1879">
        <f>MAX(B24:Y24)</f>
        <v>0</v>
      </c>
    </row>
    <row r="25" spans="1:29">
      <c r="A25" s="1117">
        <f t="shared" si="0"/>
        <v>45248</v>
      </c>
      <c r="B25" s="1875"/>
      <c r="C25" s="1875"/>
      <c r="D25" s="1875"/>
      <c r="E25" s="1875"/>
      <c r="F25" s="1875"/>
      <c r="G25" s="1875"/>
      <c r="H25" s="1875"/>
      <c r="I25" s="1875"/>
      <c r="J25" s="1875"/>
      <c r="K25" s="1875"/>
      <c r="L25" s="1875"/>
      <c r="M25" s="1875"/>
      <c r="N25" s="1875"/>
      <c r="O25" s="1875"/>
      <c r="P25" s="1875"/>
      <c r="Q25" s="1875"/>
      <c r="R25" s="1875"/>
      <c r="S25" s="1875"/>
      <c r="T25" s="1875"/>
      <c r="U25" s="1875"/>
      <c r="V25" s="1875"/>
      <c r="W25" s="1875"/>
      <c r="X25" s="1875"/>
      <c r="Y25" s="1875"/>
      <c r="Z25" s="1879" t="e">
        <f t="shared" si="1"/>
        <v>#DIV/0!</v>
      </c>
      <c r="AA25" s="1879">
        <f t="shared" si="2"/>
        <v>0</v>
      </c>
      <c r="AB25" s="1879">
        <f t="shared" si="3"/>
        <v>0</v>
      </c>
      <c r="AC25" s="1879">
        <f t="shared" ref="AC25:AC35" si="5">MAX(B25:Y25)</f>
        <v>0</v>
      </c>
    </row>
    <row r="26" spans="1:29" s="468" customFormat="1">
      <c r="A26" s="1117">
        <f t="shared" si="0"/>
        <v>45249</v>
      </c>
      <c r="B26" s="1875"/>
      <c r="C26" s="1875"/>
      <c r="D26" s="1875"/>
      <c r="E26" s="1875"/>
      <c r="F26" s="1875"/>
      <c r="G26" s="1875"/>
      <c r="H26" s="1875"/>
      <c r="I26" s="1875"/>
      <c r="J26" s="1875"/>
      <c r="K26" s="1875"/>
      <c r="L26" s="1875"/>
      <c r="M26" s="1875"/>
      <c r="N26" s="1875"/>
      <c r="O26" s="1875"/>
      <c r="P26" s="1875"/>
      <c r="Q26" s="1875"/>
      <c r="R26" s="1875"/>
      <c r="S26" s="1875"/>
      <c r="T26" s="1875"/>
      <c r="U26" s="1875"/>
      <c r="V26" s="1875"/>
      <c r="W26" s="1875"/>
      <c r="X26" s="1875"/>
      <c r="Y26" s="1875"/>
      <c r="Z26" s="1879" t="e">
        <f t="shared" si="1"/>
        <v>#DIV/0!</v>
      </c>
      <c r="AA26" s="1879">
        <f t="shared" si="2"/>
        <v>0</v>
      </c>
      <c r="AB26" s="1879">
        <f t="shared" si="3"/>
        <v>0</v>
      </c>
      <c r="AC26" s="1879">
        <f t="shared" si="5"/>
        <v>0</v>
      </c>
    </row>
    <row r="27" spans="1:29">
      <c r="A27" s="1117">
        <f t="shared" si="0"/>
        <v>45250</v>
      </c>
      <c r="B27" s="1875"/>
      <c r="C27" s="1875"/>
      <c r="D27" s="1875"/>
      <c r="E27" s="1875"/>
      <c r="F27" s="1875"/>
      <c r="G27" s="1875"/>
      <c r="H27" s="1875"/>
      <c r="I27" s="1875"/>
      <c r="J27" s="1875"/>
      <c r="K27" s="1875"/>
      <c r="L27" s="1875"/>
      <c r="M27" s="1875"/>
      <c r="N27" s="1875"/>
      <c r="O27" s="1875"/>
      <c r="P27" s="1875"/>
      <c r="Q27" s="1875"/>
      <c r="R27" s="1875"/>
      <c r="S27" s="1875"/>
      <c r="T27" s="1875"/>
      <c r="U27" s="1875"/>
      <c r="V27" s="1875"/>
      <c r="W27" s="1875"/>
      <c r="X27" s="1875"/>
      <c r="Y27" s="1875"/>
      <c r="Z27" s="1879" t="e">
        <f t="shared" si="1"/>
        <v>#DIV/0!</v>
      </c>
      <c r="AA27" s="1879">
        <f t="shared" si="2"/>
        <v>0</v>
      </c>
      <c r="AB27" s="1879">
        <f t="shared" si="3"/>
        <v>0</v>
      </c>
      <c r="AC27" s="1879">
        <f t="shared" si="5"/>
        <v>0</v>
      </c>
    </row>
    <row r="28" spans="1:29">
      <c r="A28" s="1117">
        <f t="shared" si="0"/>
        <v>45251</v>
      </c>
      <c r="B28" s="1875"/>
      <c r="C28" s="1878"/>
      <c r="D28" s="1878"/>
      <c r="E28" s="1878"/>
      <c r="F28" s="1878"/>
      <c r="G28" s="1878"/>
      <c r="H28" s="1878"/>
      <c r="I28" s="1878"/>
      <c r="J28" s="1878"/>
      <c r="K28" s="1878"/>
      <c r="L28" s="1878"/>
      <c r="M28" s="1878"/>
      <c r="N28" s="1878"/>
      <c r="O28" s="1878"/>
      <c r="P28" s="1878"/>
      <c r="Q28" s="1878"/>
      <c r="R28" s="1878"/>
      <c r="S28" s="1878"/>
      <c r="T28" s="1878"/>
      <c r="U28" s="1878"/>
      <c r="V28" s="1878"/>
      <c r="W28" s="1878"/>
      <c r="X28" s="1878"/>
      <c r="Y28" s="1878"/>
      <c r="Z28" s="1879" t="e">
        <f t="shared" si="1"/>
        <v>#DIV/0!</v>
      </c>
      <c r="AA28" s="1879">
        <f t="shared" si="2"/>
        <v>0</v>
      </c>
      <c r="AB28" s="1879">
        <f t="shared" si="3"/>
        <v>0</v>
      </c>
      <c r="AC28" s="1879">
        <f t="shared" si="5"/>
        <v>0</v>
      </c>
    </row>
    <row r="29" spans="1:29">
      <c r="A29" s="1117">
        <f t="shared" si="0"/>
        <v>45252</v>
      </c>
      <c r="B29" s="1875"/>
      <c r="C29" s="1878"/>
      <c r="D29" s="1878"/>
      <c r="E29" s="1878"/>
      <c r="F29" s="1878"/>
      <c r="G29" s="1878"/>
      <c r="H29" s="1878"/>
      <c r="I29" s="1878"/>
      <c r="J29" s="1878"/>
      <c r="K29" s="1878"/>
      <c r="L29" s="1878"/>
      <c r="M29" s="1878"/>
      <c r="N29" s="1878"/>
      <c r="O29" s="1878"/>
      <c r="P29" s="1878"/>
      <c r="Q29" s="1878"/>
      <c r="R29" s="1878"/>
      <c r="S29" s="1878"/>
      <c r="T29" s="1878"/>
      <c r="U29" s="1878"/>
      <c r="V29" s="1878"/>
      <c r="W29" s="1878"/>
      <c r="X29" s="1878"/>
      <c r="Y29" s="1878"/>
      <c r="Z29" s="1879" t="e">
        <f t="shared" si="1"/>
        <v>#DIV/0!</v>
      </c>
      <c r="AA29" s="1879">
        <f t="shared" si="2"/>
        <v>0</v>
      </c>
      <c r="AB29" s="1879">
        <f t="shared" si="3"/>
        <v>0</v>
      </c>
      <c r="AC29" s="1879">
        <f t="shared" si="5"/>
        <v>0</v>
      </c>
    </row>
    <row r="30" spans="1:29">
      <c r="A30" s="1117">
        <f t="shared" si="0"/>
        <v>45253</v>
      </c>
      <c r="B30" s="1875"/>
      <c r="C30" s="1878"/>
      <c r="D30" s="1878"/>
      <c r="E30" s="1878"/>
      <c r="F30" s="1878"/>
      <c r="G30" s="1878"/>
      <c r="H30" s="1878"/>
      <c r="I30" s="1878"/>
      <c r="J30" s="1878"/>
      <c r="K30" s="1878"/>
      <c r="L30" s="1878"/>
      <c r="M30" s="1878"/>
      <c r="N30" s="1878"/>
      <c r="O30" s="1878"/>
      <c r="P30" s="1878"/>
      <c r="Q30" s="1878"/>
      <c r="R30" s="1878"/>
      <c r="S30" s="1878"/>
      <c r="T30" s="1878"/>
      <c r="U30" s="1878"/>
      <c r="V30" s="1878"/>
      <c r="W30" s="1878"/>
      <c r="X30" s="1878"/>
      <c r="Y30" s="1878"/>
      <c r="Z30" s="1879" t="e">
        <f t="shared" si="1"/>
        <v>#DIV/0!</v>
      </c>
      <c r="AA30" s="1879">
        <f t="shared" si="2"/>
        <v>0</v>
      </c>
      <c r="AB30" s="1879">
        <f t="shared" si="3"/>
        <v>0</v>
      </c>
      <c r="AC30" s="1879">
        <f t="shared" si="5"/>
        <v>0</v>
      </c>
    </row>
    <row r="31" spans="1:29">
      <c r="A31" s="1117">
        <f t="shared" si="0"/>
        <v>45254</v>
      </c>
      <c r="B31" s="1875"/>
      <c r="C31" s="1878"/>
      <c r="D31" s="1878"/>
      <c r="E31" s="1878"/>
      <c r="F31" s="1878"/>
      <c r="G31" s="1878"/>
      <c r="H31" s="1878"/>
      <c r="I31" s="1878"/>
      <c r="J31" s="1878"/>
      <c r="K31" s="1878"/>
      <c r="L31" s="1878"/>
      <c r="M31" s="1878"/>
      <c r="N31" s="1878"/>
      <c r="O31" s="1878"/>
      <c r="P31" s="1878"/>
      <c r="Q31" s="1878"/>
      <c r="R31" s="1878"/>
      <c r="S31" s="1878"/>
      <c r="T31" s="1878"/>
      <c r="U31" s="1878"/>
      <c r="V31" s="1878"/>
      <c r="W31" s="1878"/>
      <c r="X31" s="1878"/>
      <c r="Y31" s="1878"/>
      <c r="Z31" s="1879" t="e">
        <f t="shared" si="1"/>
        <v>#DIV/0!</v>
      </c>
      <c r="AA31" s="1879">
        <f t="shared" si="2"/>
        <v>0</v>
      </c>
      <c r="AB31" s="1879">
        <f t="shared" si="3"/>
        <v>0</v>
      </c>
      <c r="AC31" s="1879">
        <f t="shared" si="5"/>
        <v>0</v>
      </c>
    </row>
    <row r="32" spans="1:29">
      <c r="A32" s="1117">
        <f t="shared" si="0"/>
        <v>45255</v>
      </c>
      <c r="B32" s="1875"/>
      <c r="C32" s="1878"/>
      <c r="D32" s="1878"/>
      <c r="E32" s="1878"/>
      <c r="F32" s="1878"/>
      <c r="G32" s="1878"/>
      <c r="H32" s="1878"/>
      <c r="I32" s="1878"/>
      <c r="J32" s="1878"/>
      <c r="K32" s="1878"/>
      <c r="L32" s="1878"/>
      <c r="M32" s="1878"/>
      <c r="N32" s="1878"/>
      <c r="O32" s="1878"/>
      <c r="P32" s="1878"/>
      <c r="Q32" s="1878"/>
      <c r="R32" s="1878"/>
      <c r="S32" s="1878"/>
      <c r="T32" s="1878"/>
      <c r="U32" s="1878"/>
      <c r="V32" s="1878"/>
      <c r="W32" s="1878"/>
      <c r="X32" s="1878"/>
      <c r="Y32" s="1878"/>
      <c r="Z32" s="1879" t="e">
        <f t="shared" si="1"/>
        <v>#DIV/0!</v>
      </c>
      <c r="AA32" s="1879">
        <f t="shared" si="2"/>
        <v>0</v>
      </c>
      <c r="AB32" s="1879">
        <f t="shared" si="3"/>
        <v>0</v>
      </c>
      <c r="AC32" s="1879">
        <f t="shared" si="5"/>
        <v>0</v>
      </c>
    </row>
    <row r="33" spans="1:29">
      <c r="A33" s="1117">
        <f t="shared" si="0"/>
        <v>45256</v>
      </c>
      <c r="B33" s="1875"/>
      <c r="C33" s="1875"/>
      <c r="D33" s="1875"/>
      <c r="E33" s="1875"/>
      <c r="F33" s="1875"/>
      <c r="G33" s="1875"/>
      <c r="H33" s="1875"/>
      <c r="I33" s="1875"/>
      <c r="J33" s="1875"/>
      <c r="K33" s="1875"/>
      <c r="L33" s="1875"/>
      <c r="M33" s="1875"/>
      <c r="N33" s="1875"/>
      <c r="O33" s="1875"/>
      <c r="P33" s="1875"/>
      <c r="Q33" s="1875"/>
      <c r="R33" s="1875"/>
      <c r="S33" s="1875"/>
      <c r="T33" s="1875"/>
      <c r="U33" s="1875"/>
      <c r="V33" s="1875"/>
      <c r="W33" s="1875"/>
      <c r="X33" s="1875"/>
      <c r="Y33" s="1875"/>
      <c r="Z33" s="1879" t="e">
        <f t="shared" si="1"/>
        <v>#DIV/0!</v>
      </c>
      <c r="AA33" s="1879">
        <f t="shared" si="2"/>
        <v>0</v>
      </c>
      <c r="AB33" s="1879">
        <f t="shared" si="3"/>
        <v>0</v>
      </c>
      <c r="AC33" s="1879">
        <f t="shared" si="5"/>
        <v>0</v>
      </c>
    </row>
    <row r="34" spans="1:29">
      <c r="A34" s="1117">
        <f t="shared" si="0"/>
        <v>45257</v>
      </c>
      <c r="B34" s="1875"/>
      <c r="C34" s="1875"/>
      <c r="D34" s="1875"/>
      <c r="E34" s="1875"/>
      <c r="F34" s="1875"/>
      <c r="G34" s="1875"/>
      <c r="H34" s="1875"/>
      <c r="I34" s="1875"/>
      <c r="J34" s="1875"/>
      <c r="K34" s="1875"/>
      <c r="L34" s="1875"/>
      <c r="M34" s="1875"/>
      <c r="N34" s="1875"/>
      <c r="O34" s="1875"/>
      <c r="P34" s="1875"/>
      <c r="Q34" s="1875"/>
      <c r="R34" s="1875"/>
      <c r="S34" s="1875"/>
      <c r="T34" s="1875"/>
      <c r="U34" s="1875"/>
      <c r="V34" s="1875"/>
      <c r="W34" s="1875"/>
      <c r="X34" s="1875"/>
      <c r="Y34" s="1875"/>
      <c r="Z34" s="1879" t="e">
        <f t="shared" si="1"/>
        <v>#DIV/0!</v>
      </c>
      <c r="AA34" s="1879">
        <f t="shared" si="2"/>
        <v>0</v>
      </c>
      <c r="AB34" s="1879">
        <f t="shared" si="3"/>
        <v>0</v>
      </c>
      <c r="AC34" s="1879">
        <f t="shared" si="5"/>
        <v>0</v>
      </c>
    </row>
    <row r="35" spans="1:29">
      <c r="A35" s="1117">
        <f t="shared" si="0"/>
        <v>45258</v>
      </c>
      <c r="B35" s="1875"/>
      <c r="C35" s="1878"/>
      <c r="D35" s="1878"/>
      <c r="E35" s="1878"/>
      <c r="F35" s="1878"/>
      <c r="G35" s="1878"/>
      <c r="H35" s="1878"/>
      <c r="I35" s="1878"/>
      <c r="J35" s="1878"/>
      <c r="K35" s="1878"/>
      <c r="L35" s="1878"/>
      <c r="M35" s="1878"/>
      <c r="N35" s="1878"/>
      <c r="O35" s="1878"/>
      <c r="P35" s="1878"/>
      <c r="Q35" s="1878"/>
      <c r="R35" s="1878"/>
      <c r="S35" s="1878"/>
      <c r="T35" s="1878"/>
      <c r="U35" s="1878"/>
      <c r="V35" s="1878"/>
      <c r="W35" s="1878"/>
      <c r="X35" s="1878"/>
      <c r="Y35" s="1878"/>
      <c r="Z35" s="1879" t="e">
        <f t="shared" si="1"/>
        <v>#DIV/0!</v>
      </c>
      <c r="AA35" s="1879">
        <f t="shared" si="2"/>
        <v>0</v>
      </c>
      <c r="AB35" s="1879">
        <f t="shared" si="3"/>
        <v>0</v>
      </c>
      <c r="AC35" s="1879">
        <f t="shared" si="5"/>
        <v>0</v>
      </c>
    </row>
    <row r="36" spans="1:29">
      <c r="A36" s="1117">
        <f t="shared" si="0"/>
        <v>45259</v>
      </c>
      <c r="B36" s="1875"/>
      <c r="C36" s="1878"/>
      <c r="D36" s="1878"/>
      <c r="E36" s="1878"/>
      <c r="F36" s="1878"/>
      <c r="G36" s="1878"/>
      <c r="H36" s="1878"/>
      <c r="I36" s="1878"/>
      <c r="J36" s="1878"/>
      <c r="K36" s="1878"/>
      <c r="L36" s="1878"/>
      <c r="M36" s="1878"/>
      <c r="N36" s="1878"/>
      <c r="O36" s="1878"/>
      <c r="P36" s="1878"/>
      <c r="Q36" s="1878"/>
      <c r="R36" s="1878"/>
      <c r="S36" s="1878"/>
      <c r="T36" s="1878"/>
      <c r="U36" s="1878"/>
      <c r="V36" s="1878"/>
      <c r="W36" s="1878"/>
      <c r="X36" s="1878"/>
      <c r="Y36" s="1878"/>
      <c r="Z36" s="1879" t="e">
        <f>+AVERAGE(B36:Y36)</f>
        <v>#DIV/0!</v>
      </c>
      <c r="AA36" s="1879">
        <f>MIN(B36:Y36)</f>
        <v>0</v>
      </c>
      <c r="AB36" s="1879">
        <f>+SUM(B36:Y36)</f>
        <v>0</v>
      </c>
      <c r="AC36" s="1879">
        <f>MAX(B36:Y36)</f>
        <v>0</v>
      </c>
    </row>
    <row r="37" spans="1:29">
      <c r="A37" s="1117">
        <f t="shared" si="0"/>
        <v>45260</v>
      </c>
      <c r="B37" s="1875"/>
      <c r="C37" s="1878"/>
      <c r="D37" s="1878"/>
      <c r="E37" s="1878"/>
      <c r="F37" s="1878"/>
      <c r="G37" s="1878"/>
      <c r="H37" s="1878"/>
      <c r="I37" s="1878"/>
      <c r="J37" s="1878"/>
      <c r="K37" s="1878"/>
      <c r="L37" s="1878"/>
      <c r="M37" s="1878"/>
      <c r="N37" s="1878"/>
      <c r="O37" s="1878"/>
      <c r="P37" s="1878"/>
      <c r="Q37" s="1878"/>
      <c r="R37" s="1878"/>
      <c r="S37" s="1878"/>
      <c r="T37" s="1878"/>
      <c r="U37" s="1878"/>
      <c r="V37" s="1878"/>
      <c r="W37" s="1878"/>
      <c r="X37" s="1878"/>
      <c r="Y37" s="1878"/>
      <c r="Z37" s="1879" t="e">
        <f>+AVERAGE(B37:Y37)</f>
        <v>#DIV/0!</v>
      </c>
      <c r="AA37" s="1879">
        <f>MIN(B37:Y37)</f>
        <v>0</v>
      </c>
      <c r="AB37" s="1879">
        <f>+SUM(B37:Y37)</f>
        <v>0</v>
      </c>
      <c r="AC37" s="1879">
        <f>MAX(B37:Y37)</f>
        <v>0</v>
      </c>
    </row>
    <row r="38" spans="1:29">
      <c r="A38" s="1117">
        <f t="shared" si="0"/>
        <v>45261</v>
      </c>
      <c r="B38" s="1875"/>
      <c r="C38" s="1878"/>
      <c r="D38" s="1878"/>
      <c r="E38" s="1878"/>
      <c r="F38" s="1878"/>
      <c r="G38" s="1878"/>
      <c r="H38" s="1878"/>
      <c r="I38" s="1878"/>
      <c r="J38" s="1878"/>
      <c r="K38" s="1878"/>
      <c r="L38" s="1878"/>
      <c r="M38" s="1878"/>
      <c r="N38" s="1878"/>
      <c r="O38" s="1878"/>
      <c r="P38" s="1878"/>
      <c r="Q38" s="1878"/>
      <c r="R38" s="1878"/>
      <c r="S38" s="1878"/>
      <c r="T38" s="1878"/>
      <c r="U38" s="1878"/>
      <c r="V38" s="1878"/>
      <c r="W38" s="1878"/>
      <c r="X38" s="1878"/>
      <c r="Y38" s="1878"/>
      <c r="Z38" s="1879" t="e">
        <f>+AVERAGE(B38:Y38)</f>
        <v>#DIV/0!</v>
      </c>
      <c r="AA38" s="1879">
        <f>MIN(B38:Y38)</f>
        <v>0</v>
      </c>
      <c r="AB38" s="1879">
        <f>+SUM(B38:Y38)</f>
        <v>0</v>
      </c>
      <c r="AC38" s="1879">
        <f>MAX(B38:Y38)</f>
        <v>0</v>
      </c>
    </row>
  </sheetData>
  <mergeCells count="6">
    <mergeCell ref="I2:K2"/>
    <mergeCell ref="I1:K1"/>
    <mergeCell ref="I3:K3"/>
    <mergeCell ref="L1:M1"/>
    <mergeCell ref="L2:M2"/>
    <mergeCell ref="L3:M3"/>
  </mergeCells>
  <pageMargins left="0.7" right="0.7" top="0.75" bottom="0.75" header="0.3" footer="0.3"/>
  <pageSetup orientation="portrait" r:id="rId1"/>
  <ignoredErrors>
    <ignoredError sqref="Z8 Z14:Z27 AA8:AC13 AA14:AC27 Z10:Z12" formulaRange="1"/>
    <ignoredError sqref="AA35:AB35 AC35 Z35 Z28:Z34 AA28:AC34 Z9" evalError="1" formulaRange="1"/>
    <ignoredError sqref="Z36:Z37" evalError="1"/>
  </ignoredErrors>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rgb="FF0F5741"/>
    <pageSetUpPr fitToPage="1"/>
  </sheetPr>
  <dimension ref="A1:EL136"/>
  <sheetViews>
    <sheetView topLeftCell="A82" zoomScale="60" zoomScaleNormal="60" workbookViewId="0">
      <selection activeCell="I93" sqref="I93"/>
    </sheetView>
  </sheetViews>
  <sheetFormatPr baseColWidth="10" defaultColWidth="0" defaultRowHeight="15" customHeight="1" zeroHeight="1"/>
  <cols>
    <col min="1" max="1" width="1.54296875" style="344" customWidth="1"/>
    <col min="2" max="2" width="20.81640625" style="382" bestFit="1" customWidth="1"/>
    <col min="3" max="3" width="27" style="382" customWidth="1"/>
    <col min="4" max="5" width="14.54296875" style="382" customWidth="1"/>
    <col min="6" max="7" width="11" style="382" customWidth="1"/>
    <col min="8" max="8" width="13.54296875" style="343" customWidth="1"/>
    <col min="9" max="9" width="16" style="343" customWidth="1"/>
    <col min="10" max="10" width="16.453125" style="343" customWidth="1"/>
    <col min="11" max="11" width="46" style="343" customWidth="1"/>
    <col min="12" max="12" width="4.54296875" style="343" customWidth="1"/>
    <col min="13" max="13" width="21.453125" style="366" hidden="1" customWidth="1"/>
    <col min="14" max="14" width="8.453125" style="367" hidden="1" customWidth="1"/>
    <col min="15" max="17" width="10.54296875" style="367" hidden="1" customWidth="1"/>
    <col min="18" max="27" width="8.453125" style="367" hidden="1" customWidth="1"/>
    <col min="28" max="37" width="11.453125" style="367" hidden="1" customWidth="1"/>
    <col min="38" max="142" width="0" style="367" hidden="1" customWidth="1"/>
    <col min="143" max="16384" width="11.453125" style="383" hidden="1"/>
  </cols>
  <sheetData>
    <row r="1" spans="1:11" ht="8.25" customHeight="1" thickBot="1">
      <c r="A1" s="342"/>
      <c r="B1" s="343"/>
      <c r="C1" s="343"/>
      <c r="D1" s="343"/>
      <c r="E1" s="343"/>
      <c r="F1" s="343"/>
      <c r="G1" s="343"/>
    </row>
    <row r="2" spans="1:11" thickBot="1">
      <c r="B2" s="2253" t="s">
        <v>277</v>
      </c>
      <c r="C2" s="2254"/>
      <c r="D2" s="345"/>
      <c r="E2" s="345"/>
      <c r="F2" s="345"/>
      <c r="G2" s="345"/>
      <c r="H2" s="346"/>
      <c r="I2" s="346"/>
    </row>
    <row r="3" spans="1:11" ht="14.5">
      <c r="B3" s="347" t="s">
        <v>111</v>
      </c>
      <c r="C3" s="348" t="s">
        <v>278</v>
      </c>
      <c r="D3" s="349"/>
      <c r="E3" s="346"/>
      <c r="F3" s="350"/>
      <c r="G3" s="350"/>
      <c r="H3" s="346"/>
      <c r="I3" s="346"/>
    </row>
    <row r="4" spans="1:11" ht="14.5">
      <c r="B4" s="351" t="s">
        <v>279</v>
      </c>
      <c r="C4" s="352" t="s">
        <v>280</v>
      </c>
      <c r="D4" s="349"/>
      <c r="E4" s="346"/>
      <c r="F4" s="350"/>
      <c r="G4" s="350"/>
      <c r="H4" s="346"/>
      <c r="I4" s="346"/>
    </row>
    <row r="5" spans="1:11" ht="14.5">
      <c r="B5" s="351" t="s">
        <v>281</v>
      </c>
      <c r="C5" s="352" t="s">
        <v>282</v>
      </c>
      <c r="D5" s="349"/>
      <c r="E5" s="346"/>
      <c r="F5" s="350"/>
      <c r="G5" s="350"/>
      <c r="H5" s="346"/>
      <c r="I5" s="346"/>
    </row>
    <row r="6" spans="1:11" ht="14.5">
      <c r="B6" s="351" t="s">
        <v>226</v>
      </c>
      <c r="C6" s="352" t="s">
        <v>317</v>
      </c>
      <c r="D6" s="349"/>
      <c r="E6" s="346"/>
      <c r="F6" s="350"/>
      <c r="G6" s="350"/>
      <c r="H6" s="346"/>
      <c r="I6" s="346"/>
    </row>
    <row r="7" spans="1:11" thickBot="1">
      <c r="B7" s="353" t="s">
        <v>283</v>
      </c>
      <c r="C7" s="354" t="s">
        <v>284</v>
      </c>
      <c r="D7" s="349"/>
      <c r="E7" s="346"/>
      <c r="F7" s="350"/>
      <c r="G7" s="350"/>
      <c r="H7" s="346"/>
      <c r="I7" s="346"/>
    </row>
    <row r="8" spans="1:11" ht="14.5">
      <c r="A8" s="342"/>
      <c r="B8" s="343"/>
      <c r="C8" s="343"/>
      <c r="D8" s="343"/>
      <c r="E8" s="343"/>
      <c r="F8" s="346"/>
      <c r="G8" s="346"/>
      <c r="H8" s="346"/>
      <c r="I8" s="346"/>
    </row>
    <row r="9" spans="1:11" ht="27" customHeight="1">
      <c r="B9" s="2255" t="s">
        <v>285</v>
      </c>
      <c r="C9" s="2255"/>
      <c r="D9" s="2255"/>
      <c r="E9" s="2255"/>
      <c r="F9" s="349"/>
      <c r="G9" s="349"/>
      <c r="H9" s="2256" t="s">
        <v>286</v>
      </c>
      <c r="I9" s="2255"/>
      <c r="J9" s="2255"/>
      <c r="K9" s="345"/>
    </row>
    <row r="10" spans="1:11" ht="27" customHeight="1">
      <c r="B10" s="355" t="s">
        <v>111</v>
      </c>
      <c r="C10" s="355" t="s">
        <v>98</v>
      </c>
      <c r="D10" s="355" t="s">
        <v>287</v>
      </c>
      <c r="E10" s="356" t="s">
        <v>288</v>
      </c>
      <c r="F10" s="346"/>
      <c r="G10" s="357"/>
      <c r="H10" s="356" t="s">
        <v>289</v>
      </c>
      <c r="I10" s="356" t="s">
        <v>290</v>
      </c>
      <c r="J10" s="356" t="s">
        <v>291</v>
      </c>
      <c r="K10" s="358"/>
    </row>
    <row r="11" spans="1:11" ht="14.5">
      <c r="B11" s="359" t="s">
        <v>75</v>
      </c>
      <c r="C11" s="359" t="s">
        <v>292</v>
      </c>
      <c r="D11" s="359" t="s">
        <v>5</v>
      </c>
      <c r="E11" s="360">
        <v>20.97</v>
      </c>
      <c r="F11" s="346"/>
      <c r="G11" s="361"/>
      <c r="H11" s="362">
        <v>1347.3166666666668</v>
      </c>
      <c r="I11" s="363">
        <f t="shared" ref="I11:I30" si="0">+H11/8760</f>
        <v>0.15380327245053274</v>
      </c>
      <c r="J11" s="364">
        <f>I11</f>
        <v>0.15380327245053274</v>
      </c>
      <c r="K11" s="365"/>
    </row>
    <row r="12" spans="1:11" ht="14.5">
      <c r="B12" s="359" t="s">
        <v>224</v>
      </c>
      <c r="C12" s="359" t="s">
        <v>292</v>
      </c>
      <c r="D12" s="359" t="s">
        <v>6</v>
      </c>
      <c r="E12" s="360">
        <v>20.97</v>
      </c>
      <c r="F12" s="346"/>
      <c r="G12" s="361"/>
      <c r="H12" s="362">
        <v>592.08333333333337</v>
      </c>
      <c r="I12" s="363">
        <f t="shared" si="0"/>
        <v>6.7589421613394221E-2</v>
      </c>
      <c r="J12" s="364">
        <f t="shared" ref="J12:J30" si="1">I12</f>
        <v>6.7589421613394221E-2</v>
      </c>
      <c r="K12" s="365"/>
    </row>
    <row r="13" spans="1:11" ht="14.5">
      <c r="B13" s="359" t="s">
        <v>73</v>
      </c>
      <c r="C13" s="359" t="s">
        <v>320</v>
      </c>
      <c r="D13" s="359" t="s">
        <v>73</v>
      </c>
      <c r="E13" s="360">
        <v>1.6</v>
      </c>
      <c r="F13" s="346"/>
      <c r="G13" s="361"/>
      <c r="H13" s="362">
        <v>231.78333333333336</v>
      </c>
      <c r="I13" s="363">
        <f t="shared" si="0"/>
        <v>2.6459284627092849E-2</v>
      </c>
      <c r="J13" s="364">
        <f t="shared" si="1"/>
        <v>2.6459284627092849E-2</v>
      </c>
      <c r="K13" s="365"/>
    </row>
    <row r="14" spans="1:11" ht="14.5">
      <c r="B14" s="359" t="s">
        <v>165</v>
      </c>
      <c r="C14" s="359" t="s">
        <v>320</v>
      </c>
      <c r="D14" s="359" t="s">
        <v>165</v>
      </c>
      <c r="E14" s="360">
        <v>1.6</v>
      </c>
      <c r="F14" s="346"/>
      <c r="G14" s="361"/>
      <c r="H14" s="362">
        <v>64.116666666666674</v>
      </c>
      <c r="I14" s="363">
        <f t="shared" si="0"/>
        <v>7.3192541856925428E-3</v>
      </c>
      <c r="J14" s="364">
        <f t="shared" si="1"/>
        <v>7.3192541856925428E-3</v>
      </c>
      <c r="K14" s="365"/>
    </row>
    <row r="15" spans="1:11" ht="14.5">
      <c r="B15" s="359"/>
      <c r="C15" s="359"/>
      <c r="D15" s="359"/>
      <c r="E15" s="360"/>
      <c r="F15" s="346"/>
      <c r="G15" s="361"/>
      <c r="H15" s="362"/>
      <c r="I15" s="363">
        <f t="shared" si="0"/>
        <v>0</v>
      </c>
      <c r="J15" s="364">
        <f t="shared" si="1"/>
        <v>0</v>
      </c>
      <c r="K15" s="365"/>
    </row>
    <row r="16" spans="1:11" ht="14.5">
      <c r="B16" s="359"/>
      <c r="C16" s="359"/>
      <c r="D16" s="359"/>
      <c r="E16" s="360"/>
      <c r="F16" s="346"/>
      <c r="G16" s="361"/>
      <c r="H16" s="362"/>
      <c r="I16" s="363">
        <f t="shared" si="0"/>
        <v>0</v>
      </c>
      <c r="J16" s="364">
        <f t="shared" si="1"/>
        <v>0</v>
      </c>
      <c r="K16" s="365"/>
    </row>
    <row r="17" spans="1:13" ht="14.5">
      <c r="B17" s="359"/>
      <c r="C17" s="359"/>
      <c r="D17" s="359"/>
      <c r="E17" s="360"/>
      <c r="F17" s="346"/>
      <c r="G17" s="361"/>
      <c r="H17" s="362"/>
      <c r="I17" s="363">
        <f t="shared" si="0"/>
        <v>0</v>
      </c>
      <c r="J17" s="364">
        <f t="shared" si="1"/>
        <v>0</v>
      </c>
      <c r="K17" s="365"/>
    </row>
    <row r="18" spans="1:13" ht="14.5">
      <c r="B18" s="359"/>
      <c r="C18" s="359"/>
      <c r="D18" s="359"/>
      <c r="E18" s="360"/>
      <c r="F18" s="346"/>
      <c r="G18" s="361"/>
      <c r="H18" s="362"/>
      <c r="I18" s="363">
        <f t="shared" si="0"/>
        <v>0</v>
      </c>
      <c r="J18" s="364">
        <f t="shared" si="1"/>
        <v>0</v>
      </c>
      <c r="K18" s="365"/>
    </row>
    <row r="19" spans="1:13" ht="14.5">
      <c r="B19" s="359"/>
      <c r="C19" s="359"/>
      <c r="D19" s="359"/>
      <c r="E19" s="360"/>
      <c r="F19" s="346"/>
      <c r="G19" s="361"/>
      <c r="H19" s="362"/>
      <c r="I19" s="363">
        <f t="shared" si="0"/>
        <v>0</v>
      </c>
      <c r="J19" s="364">
        <f t="shared" si="1"/>
        <v>0</v>
      </c>
      <c r="K19" s="365"/>
    </row>
    <row r="20" spans="1:13" ht="14.5">
      <c r="B20" s="359"/>
      <c r="C20" s="359"/>
      <c r="D20" s="359"/>
      <c r="E20" s="360"/>
      <c r="F20" s="346"/>
      <c r="G20" s="361"/>
      <c r="H20" s="362"/>
      <c r="I20" s="363">
        <f t="shared" si="0"/>
        <v>0</v>
      </c>
      <c r="J20" s="364">
        <f t="shared" si="1"/>
        <v>0</v>
      </c>
      <c r="K20" s="365"/>
    </row>
    <row r="21" spans="1:13" ht="14.5">
      <c r="B21" s="359"/>
      <c r="C21" s="359"/>
      <c r="D21" s="359"/>
      <c r="E21" s="360"/>
      <c r="F21" s="346"/>
      <c r="G21" s="361"/>
      <c r="H21" s="362"/>
      <c r="I21" s="363">
        <f t="shared" si="0"/>
        <v>0</v>
      </c>
      <c r="J21" s="364">
        <f t="shared" si="1"/>
        <v>0</v>
      </c>
      <c r="K21" s="365"/>
    </row>
    <row r="22" spans="1:13" ht="14.5">
      <c r="B22" s="359"/>
      <c r="C22" s="359"/>
      <c r="D22" s="359"/>
      <c r="E22" s="360"/>
      <c r="F22" s="346"/>
      <c r="G22" s="361"/>
      <c r="H22" s="362"/>
      <c r="I22" s="363">
        <f t="shared" si="0"/>
        <v>0</v>
      </c>
      <c r="J22" s="364">
        <f t="shared" si="1"/>
        <v>0</v>
      </c>
      <c r="K22" s="365"/>
    </row>
    <row r="23" spans="1:13" ht="14.5">
      <c r="B23" s="359"/>
      <c r="C23" s="359"/>
      <c r="D23" s="359"/>
      <c r="E23" s="360"/>
      <c r="F23" s="346"/>
      <c r="G23" s="361"/>
      <c r="H23" s="362"/>
      <c r="I23" s="363">
        <f t="shared" si="0"/>
        <v>0</v>
      </c>
      <c r="J23" s="364">
        <f t="shared" si="1"/>
        <v>0</v>
      </c>
      <c r="K23" s="365"/>
    </row>
    <row r="24" spans="1:13" ht="14.5">
      <c r="B24" s="359"/>
      <c r="C24" s="359"/>
      <c r="D24" s="359"/>
      <c r="E24" s="360"/>
      <c r="F24" s="346"/>
      <c r="G24" s="361"/>
      <c r="H24" s="362"/>
      <c r="I24" s="363">
        <f t="shared" si="0"/>
        <v>0</v>
      </c>
      <c r="J24" s="364">
        <f t="shared" si="1"/>
        <v>0</v>
      </c>
      <c r="K24" s="365"/>
    </row>
    <row r="25" spans="1:13" ht="14.5">
      <c r="B25" s="359"/>
      <c r="C25" s="359"/>
      <c r="D25" s="359"/>
      <c r="E25" s="360"/>
      <c r="F25" s="346"/>
      <c r="G25" s="361"/>
      <c r="H25" s="362"/>
      <c r="I25" s="363">
        <f t="shared" si="0"/>
        <v>0</v>
      </c>
      <c r="J25" s="364">
        <f t="shared" si="1"/>
        <v>0</v>
      </c>
      <c r="K25" s="365"/>
    </row>
    <row r="26" spans="1:13" ht="14.5">
      <c r="B26" s="359"/>
      <c r="C26" s="359"/>
      <c r="D26" s="359"/>
      <c r="E26" s="360"/>
      <c r="F26" s="346"/>
      <c r="G26" s="361"/>
      <c r="H26" s="362"/>
      <c r="I26" s="363">
        <f t="shared" si="0"/>
        <v>0</v>
      </c>
      <c r="J26" s="364">
        <f t="shared" si="1"/>
        <v>0</v>
      </c>
      <c r="K26" s="365"/>
    </row>
    <row r="27" spans="1:13" ht="14.5">
      <c r="B27" s="359"/>
      <c r="C27" s="359"/>
      <c r="D27" s="359"/>
      <c r="E27" s="360"/>
      <c r="F27" s="346"/>
      <c r="G27" s="361"/>
      <c r="H27" s="362"/>
      <c r="I27" s="363">
        <f t="shared" si="0"/>
        <v>0</v>
      </c>
      <c r="J27" s="364">
        <f t="shared" si="1"/>
        <v>0</v>
      </c>
      <c r="K27" s="365"/>
    </row>
    <row r="28" spans="1:13" ht="14.5">
      <c r="B28" s="359"/>
      <c r="C28" s="359"/>
      <c r="D28" s="359"/>
      <c r="E28" s="360"/>
      <c r="F28" s="346"/>
      <c r="G28" s="361"/>
      <c r="H28" s="362"/>
      <c r="I28" s="363">
        <f t="shared" si="0"/>
        <v>0</v>
      </c>
      <c r="J28" s="364">
        <f t="shared" si="1"/>
        <v>0</v>
      </c>
      <c r="K28" s="365"/>
    </row>
    <row r="29" spans="1:13" ht="14.5">
      <c r="B29" s="359"/>
      <c r="C29" s="359"/>
      <c r="D29" s="359"/>
      <c r="E29" s="360"/>
      <c r="F29" s="346"/>
      <c r="G29" s="361"/>
      <c r="H29" s="362"/>
      <c r="I29" s="363">
        <f t="shared" si="0"/>
        <v>0</v>
      </c>
      <c r="J29" s="364">
        <f t="shared" si="1"/>
        <v>0</v>
      </c>
      <c r="K29" s="365"/>
    </row>
    <row r="30" spans="1:13" ht="14.5">
      <c r="B30" s="359"/>
      <c r="C30" s="359"/>
      <c r="D30" s="359"/>
      <c r="E30" s="360"/>
      <c r="F30" s="346"/>
      <c r="G30" s="361"/>
      <c r="H30" s="362"/>
      <c r="I30" s="363">
        <f t="shared" si="0"/>
        <v>0</v>
      </c>
      <c r="J30" s="364">
        <f t="shared" si="1"/>
        <v>0</v>
      </c>
      <c r="K30" s="365"/>
    </row>
    <row r="31" spans="1:13" ht="14.5">
      <c r="A31" s="342"/>
      <c r="B31" s="343"/>
      <c r="C31" s="343"/>
      <c r="D31" s="343"/>
      <c r="E31" s="343"/>
      <c r="F31" s="343"/>
      <c r="G31" s="343"/>
      <c r="H31" s="346"/>
      <c r="I31" s="346"/>
    </row>
    <row r="32" spans="1:13" ht="14.5">
      <c r="A32" s="342"/>
      <c r="B32" s="343"/>
      <c r="C32" s="343"/>
      <c r="D32" s="343"/>
      <c r="E32" s="343"/>
      <c r="F32" s="343"/>
      <c r="G32" s="343"/>
      <c r="H32" s="346"/>
      <c r="I32" s="346"/>
      <c r="M32" s="368"/>
    </row>
    <row r="33" spans="2:38" ht="27" customHeight="1">
      <c r="B33" s="2255" t="s">
        <v>293</v>
      </c>
      <c r="C33" s="2255"/>
      <c r="D33" s="2255"/>
      <c r="E33" s="2255"/>
      <c r="F33" s="2255"/>
      <c r="G33" s="2255"/>
      <c r="H33" s="2255"/>
      <c r="I33" s="2255"/>
      <c r="J33" s="2255"/>
      <c r="K33" s="2255"/>
    </row>
    <row r="34" spans="2:38" ht="27.75" customHeight="1">
      <c r="B34" s="369" t="s">
        <v>294</v>
      </c>
      <c r="C34" s="369" t="s">
        <v>295</v>
      </c>
      <c r="D34" s="369" t="s">
        <v>287</v>
      </c>
      <c r="E34" s="370" t="s">
        <v>296</v>
      </c>
      <c r="F34" s="370" t="s">
        <v>297</v>
      </c>
      <c r="G34" s="369" t="s">
        <v>298</v>
      </c>
      <c r="H34" s="369" t="s">
        <v>299</v>
      </c>
      <c r="I34" s="370" t="s">
        <v>300</v>
      </c>
      <c r="J34" s="2257" t="s">
        <v>301</v>
      </c>
      <c r="K34" s="2257"/>
      <c r="P34" s="371"/>
      <c r="AD34" s="372" t="s">
        <v>302</v>
      </c>
      <c r="AE34" s="372" t="s">
        <v>281</v>
      </c>
      <c r="AF34" s="367" t="s">
        <v>282</v>
      </c>
      <c r="AG34" s="367" t="s">
        <v>303</v>
      </c>
      <c r="AH34" s="367" t="s">
        <v>304</v>
      </c>
      <c r="AI34" s="367" t="s">
        <v>305</v>
      </c>
      <c r="AJ34" s="367" t="s">
        <v>306</v>
      </c>
      <c r="AK34" s="367" t="s">
        <v>307</v>
      </c>
      <c r="AL34" s="367" t="s">
        <v>308</v>
      </c>
    </row>
    <row r="35" spans="2:38" ht="27.75" customHeight="1">
      <c r="B35" s="373">
        <v>1</v>
      </c>
      <c r="C35" s="374" t="s">
        <v>75</v>
      </c>
      <c r="D35" s="375" t="str">
        <f t="shared" ref="D35:D98" ca="1" si="2">IFERROR(OFFSET($D$10,MATCH(C35,Fuente,0),0,1,1),"")</f>
        <v>US-G-8001</v>
      </c>
      <c r="E35" s="376">
        <v>42409</v>
      </c>
      <c r="F35" s="377">
        <v>0.35486111111111113</v>
      </c>
      <c r="G35" s="376">
        <v>42409</v>
      </c>
      <c r="H35" s="377">
        <v>0.70138888888888884</v>
      </c>
      <c r="I35" s="378">
        <f>IF(((G35-E35)*24)+((HOUR(H35)-HOUR(F35))+((MINUTE(H35)-MINUTE(F35))/60))=0,"",((G35-E35)*24)+((HOUR(H35)-HOUR(F35))+((MINUTE(H35)-MINUTE(F35))/60)))</f>
        <v>8.3166666666666664</v>
      </c>
      <c r="J35" s="2252" t="s">
        <v>826</v>
      </c>
      <c r="K35" s="2252"/>
      <c r="L35" s="379"/>
      <c r="P35" s="371"/>
      <c r="Q35" s="366"/>
      <c r="AD35" s="367" t="s">
        <v>309</v>
      </c>
      <c r="AE35" s="367" t="s">
        <v>282</v>
      </c>
      <c r="AF35" s="367" t="s">
        <v>310</v>
      </c>
      <c r="AG35" s="367" t="s">
        <v>311</v>
      </c>
      <c r="AH35" s="367" t="s">
        <v>312</v>
      </c>
      <c r="AI35" s="367" t="s">
        <v>313</v>
      </c>
      <c r="AJ35" s="367" t="s">
        <v>314</v>
      </c>
      <c r="AK35" s="367" t="s">
        <v>315</v>
      </c>
      <c r="AL35" s="367" t="s">
        <v>316</v>
      </c>
    </row>
    <row r="36" spans="2:38" ht="27.75" customHeight="1">
      <c r="B36" s="373">
        <v>2</v>
      </c>
      <c r="C36" s="374" t="s">
        <v>75</v>
      </c>
      <c r="D36" s="375" t="str">
        <f t="shared" ca="1" si="2"/>
        <v>US-G-8001</v>
      </c>
      <c r="E36" s="376">
        <v>42423</v>
      </c>
      <c r="F36" s="377">
        <v>0.37847222222222227</v>
      </c>
      <c r="G36" s="376">
        <v>42426</v>
      </c>
      <c r="H36" s="377">
        <v>0.90625</v>
      </c>
      <c r="I36" s="378">
        <f t="shared" ref="I36:I99" si="3">IF(((G36-E36)*24)+((HOUR(H36)-HOUR(F36))+((MINUTE(H36)-MINUTE(F36))/60))=0,"",((G36-E36)*24)+((HOUR(H36)-HOUR(F36))+((MINUTE(H36)-MINUTE(F36))/60)))</f>
        <v>84.666666666666671</v>
      </c>
      <c r="J36" s="2252" t="s">
        <v>1186</v>
      </c>
      <c r="K36" s="2252"/>
      <c r="P36" s="371"/>
      <c r="Q36" s="366"/>
      <c r="AD36" s="367" t="s">
        <v>280</v>
      </c>
      <c r="AE36" s="367" t="s">
        <v>303</v>
      </c>
      <c r="AF36" s="367" t="s">
        <v>317</v>
      </c>
      <c r="AG36" s="367" t="s">
        <v>318</v>
      </c>
      <c r="AH36" s="367" t="s">
        <v>319</v>
      </c>
      <c r="AK36" s="367" t="s">
        <v>284</v>
      </c>
      <c r="AL36" s="367" t="s">
        <v>320</v>
      </c>
    </row>
    <row r="37" spans="2:38" ht="27.75" customHeight="1">
      <c r="B37" s="373">
        <v>3</v>
      </c>
      <c r="C37" s="374" t="s">
        <v>75</v>
      </c>
      <c r="D37" s="375" t="str">
        <f t="shared" ca="1" si="2"/>
        <v>US-G-8001</v>
      </c>
      <c r="E37" s="376">
        <v>42436</v>
      </c>
      <c r="F37" s="377">
        <v>0.24374999999999999</v>
      </c>
      <c r="G37" s="376">
        <v>42436</v>
      </c>
      <c r="H37" s="377">
        <v>0.9819444444444444</v>
      </c>
      <c r="I37" s="378">
        <f t="shared" si="3"/>
        <v>17.716666666666665</v>
      </c>
      <c r="J37" s="2252" t="s">
        <v>965</v>
      </c>
      <c r="K37" s="2252"/>
      <c r="M37" s="380"/>
      <c r="P37" s="371"/>
      <c r="Q37" s="366"/>
      <c r="AD37" s="367" t="s">
        <v>321</v>
      </c>
      <c r="AE37" s="367" t="s">
        <v>304</v>
      </c>
      <c r="AF37" s="367" t="s">
        <v>322</v>
      </c>
      <c r="AH37" s="367" t="s">
        <v>323</v>
      </c>
      <c r="AK37" s="367" t="s">
        <v>324</v>
      </c>
      <c r="AL37" s="367" t="s">
        <v>325</v>
      </c>
    </row>
    <row r="38" spans="2:38" ht="27.75" customHeight="1">
      <c r="B38" s="373">
        <v>4</v>
      </c>
      <c r="C38" s="374" t="s">
        <v>224</v>
      </c>
      <c r="D38" s="375" t="str">
        <f t="shared" ca="1" si="2"/>
        <v>US-G-8002</v>
      </c>
      <c r="E38" s="376">
        <v>42437</v>
      </c>
      <c r="F38" s="377">
        <v>0.51250000000000007</v>
      </c>
      <c r="G38" s="376">
        <v>42437</v>
      </c>
      <c r="H38" s="377">
        <v>0.52083333333333337</v>
      </c>
      <c r="I38" s="378">
        <f t="shared" si="3"/>
        <v>0.2</v>
      </c>
      <c r="J38" s="2252" t="s">
        <v>1187</v>
      </c>
      <c r="K38" s="2252"/>
      <c r="P38" s="371"/>
      <c r="Q38" s="366"/>
      <c r="AD38" s="367" t="s">
        <v>326</v>
      </c>
      <c r="AE38" s="367" t="s">
        <v>305</v>
      </c>
      <c r="AF38" s="367" t="s">
        <v>327</v>
      </c>
      <c r="AK38" s="367" t="s">
        <v>328</v>
      </c>
      <c r="AL38" s="367" t="s">
        <v>329</v>
      </c>
    </row>
    <row r="39" spans="2:38" ht="27.75" customHeight="1">
      <c r="B39" s="373">
        <v>5</v>
      </c>
      <c r="C39" s="374" t="s">
        <v>75</v>
      </c>
      <c r="D39" s="375" t="str">
        <f t="shared" ca="1" si="2"/>
        <v>US-G-8001</v>
      </c>
      <c r="E39" s="376">
        <v>42514</v>
      </c>
      <c r="F39" s="377">
        <v>0.49513888888888885</v>
      </c>
      <c r="G39" s="376">
        <v>42514</v>
      </c>
      <c r="H39" s="377">
        <v>0.51874999999999993</v>
      </c>
      <c r="I39" s="378">
        <f>IF(((G39-E39)*24)+((HOUR(H39)-HOUR(F39))+((MINUTE(H39)-MINUTE(F39))/60))=0,"",((G39-E39)*24)+((HOUR(H39)-HOUR(F39))+((MINUTE(H39)-MINUTE(F39))/60)))</f>
        <v>0.56666666666666665</v>
      </c>
      <c r="J39" s="2252" t="s">
        <v>830</v>
      </c>
      <c r="K39" s="2252"/>
      <c r="P39" s="371"/>
      <c r="Q39" s="366"/>
      <c r="AD39" s="367" t="s">
        <v>330</v>
      </c>
      <c r="AE39" s="367" t="s">
        <v>306</v>
      </c>
      <c r="AF39" s="367" t="s">
        <v>331</v>
      </c>
      <c r="AK39" s="367" t="s">
        <v>332</v>
      </c>
      <c r="AL39" s="367" t="s">
        <v>292</v>
      </c>
    </row>
    <row r="40" spans="2:38" ht="27.75" customHeight="1">
      <c r="B40" s="373">
        <v>6</v>
      </c>
      <c r="C40" s="374" t="s">
        <v>75</v>
      </c>
      <c r="D40" s="375" t="str">
        <f t="shared" ca="1" si="2"/>
        <v>US-G-8001</v>
      </c>
      <c r="E40" s="376">
        <v>42614</v>
      </c>
      <c r="F40" s="377">
        <v>0.59166666666666667</v>
      </c>
      <c r="G40" s="376">
        <v>42614</v>
      </c>
      <c r="H40" s="377">
        <v>0.61249999999999993</v>
      </c>
      <c r="I40" s="378">
        <f>IF(((G40-E40)*24)+((HOUR(H40)-HOUR(F40))+((MINUTE(H40)-MINUTE(F40))/60))=0,"",((G40-E40)*24)+((HOUR(H40)-HOUR(F40))+((MINUTE(H40)-MINUTE(F40))/60)))</f>
        <v>0.5</v>
      </c>
      <c r="J40" s="2252" t="s">
        <v>954</v>
      </c>
      <c r="K40" s="2252"/>
      <c r="P40" s="371"/>
      <c r="Q40" s="366"/>
      <c r="AF40" s="367" t="s">
        <v>333</v>
      </c>
    </row>
    <row r="41" spans="2:38" ht="27.75" customHeight="1">
      <c r="B41" s="373">
        <v>7</v>
      </c>
      <c r="C41" s="374" t="s">
        <v>75</v>
      </c>
      <c r="D41" s="375" t="str">
        <f t="shared" ca="1" si="2"/>
        <v>US-G-8001</v>
      </c>
      <c r="E41" s="376">
        <v>43082</v>
      </c>
      <c r="F41" s="377">
        <v>0.30624999999999997</v>
      </c>
      <c r="G41" s="376">
        <v>43082</v>
      </c>
      <c r="H41" s="377">
        <v>0.42291666666666666</v>
      </c>
      <c r="I41" s="378">
        <f t="shared" si="3"/>
        <v>2.8</v>
      </c>
      <c r="J41" s="2252" t="s">
        <v>1132</v>
      </c>
      <c r="K41" s="2252"/>
      <c r="P41" s="371"/>
      <c r="Q41" s="366"/>
      <c r="AF41" s="367" t="s">
        <v>251</v>
      </c>
    </row>
    <row r="42" spans="2:38" ht="27.75" customHeight="1">
      <c r="B42" s="373">
        <v>8</v>
      </c>
      <c r="C42" s="374" t="s">
        <v>224</v>
      </c>
      <c r="D42" s="375" t="str">
        <f t="shared" ca="1" si="2"/>
        <v>US-G-8002</v>
      </c>
      <c r="E42" s="376">
        <v>43082</v>
      </c>
      <c r="F42" s="377">
        <v>0.30624999999999997</v>
      </c>
      <c r="G42" s="376">
        <v>43082</v>
      </c>
      <c r="H42" s="377">
        <v>0.48680555555555555</v>
      </c>
      <c r="I42" s="378">
        <f t="shared" si="3"/>
        <v>4.333333333333333</v>
      </c>
      <c r="J42" s="2252" t="s">
        <v>1133</v>
      </c>
      <c r="K42" s="2252"/>
      <c r="P42" s="371"/>
      <c r="Q42" s="366"/>
      <c r="AF42" s="367" t="s">
        <v>334</v>
      </c>
    </row>
    <row r="43" spans="2:38" ht="27.75" customHeight="1">
      <c r="B43" s="373">
        <v>9</v>
      </c>
      <c r="C43" s="374" t="s">
        <v>224</v>
      </c>
      <c r="D43" s="375" t="str">
        <f t="shared" ca="1" si="2"/>
        <v>US-G-8002</v>
      </c>
      <c r="E43" s="376">
        <v>43110</v>
      </c>
      <c r="F43" s="377">
        <v>0.50486111111111109</v>
      </c>
      <c r="G43" s="376">
        <v>43131</v>
      </c>
      <c r="H43" s="377">
        <v>4.1666666666666664E-2</v>
      </c>
      <c r="I43" s="378">
        <f t="shared" si="3"/>
        <v>492.88333333333333</v>
      </c>
      <c r="J43" s="2252" t="s">
        <v>1188</v>
      </c>
      <c r="K43" s="2252"/>
      <c r="P43" s="371"/>
      <c r="Q43" s="366"/>
      <c r="AF43" s="367" t="s">
        <v>335</v>
      </c>
    </row>
    <row r="44" spans="2:38" ht="27.75" customHeight="1">
      <c r="B44" s="373">
        <v>10</v>
      </c>
      <c r="C44" s="374" t="s">
        <v>75</v>
      </c>
      <c r="D44" s="375" t="str">
        <f t="shared" ca="1" si="2"/>
        <v>US-G-8001</v>
      </c>
      <c r="E44" s="376">
        <v>43110</v>
      </c>
      <c r="F44" s="377">
        <v>0.98888888888888893</v>
      </c>
      <c r="G44" s="376">
        <v>43126</v>
      </c>
      <c r="H44" s="377">
        <v>0.87708333333333333</v>
      </c>
      <c r="I44" s="378">
        <f t="shared" si="3"/>
        <v>381.31666666666666</v>
      </c>
      <c r="J44" s="2252" t="s">
        <v>1189</v>
      </c>
      <c r="K44" s="2252"/>
      <c r="P44" s="371"/>
      <c r="Q44" s="366"/>
    </row>
    <row r="45" spans="2:38" ht="27.75" customHeight="1">
      <c r="B45" s="373">
        <v>11</v>
      </c>
      <c r="C45" s="374" t="s">
        <v>75</v>
      </c>
      <c r="D45" s="375" t="str">
        <f t="shared" ca="1" si="2"/>
        <v>US-G-8001</v>
      </c>
      <c r="E45" s="376">
        <v>43131</v>
      </c>
      <c r="F45" s="377">
        <v>0.4069444444444445</v>
      </c>
      <c r="G45" s="376">
        <v>43131</v>
      </c>
      <c r="H45" s="377">
        <v>0.45833333333333331</v>
      </c>
      <c r="I45" s="378">
        <f t="shared" si="3"/>
        <v>1.2333333333333334</v>
      </c>
      <c r="J45" s="2252" t="s">
        <v>1153</v>
      </c>
      <c r="K45" s="2252"/>
      <c r="P45" s="371"/>
      <c r="Q45" s="366"/>
    </row>
    <row r="46" spans="2:38" ht="27.75" customHeight="1">
      <c r="B46" s="373">
        <v>12</v>
      </c>
      <c r="C46" s="374" t="s">
        <v>224</v>
      </c>
      <c r="D46" s="375" t="str">
        <f t="shared" ca="1" si="2"/>
        <v>US-G-8002</v>
      </c>
      <c r="E46" s="376">
        <v>43137</v>
      </c>
      <c r="F46" s="377">
        <v>0.50069444444444444</v>
      </c>
      <c r="G46" s="376">
        <v>43137</v>
      </c>
      <c r="H46" s="377">
        <v>0.55277777777777781</v>
      </c>
      <c r="I46" s="378">
        <f t="shared" si="3"/>
        <v>1.25</v>
      </c>
      <c r="J46" s="2252" t="s">
        <v>1154</v>
      </c>
      <c r="K46" s="2252"/>
      <c r="P46" s="371"/>
      <c r="Q46" s="366"/>
    </row>
    <row r="47" spans="2:38" ht="27.75" customHeight="1">
      <c r="B47" s="373">
        <v>13</v>
      </c>
      <c r="C47" s="374" t="s">
        <v>224</v>
      </c>
      <c r="D47" s="375" t="str">
        <f t="shared" ca="1" si="2"/>
        <v>US-G-8002</v>
      </c>
      <c r="E47" s="376">
        <v>43138</v>
      </c>
      <c r="F47" s="377">
        <v>0.53611111111111109</v>
      </c>
      <c r="G47" s="376">
        <v>43138</v>
      </c>
      <c r="H47" s="377">
        <v>0.54097222222222219</v>
      </c>
      <c r="I47" s="378">
        <f t="shared" si="3"/>
        <v>0.11666666666666667</v>
      </c>
      <c r="J47" s="2252" t="s">
        <v>1155</v>
      </c>
      <c r="K47" s="2252"/>
      <c r="P47" s="371"/>
      <c r="Q47" s="366"/>
    </row>
    <row r="48" spans="2:38" ht="27.75" customHeight="1">
      <c r="B48" s="373">
        <v>14</v>
      </c>
      <c r="C48" s="374" t="s">
        <v>224</v>
      </c>
      <c r="D48" s="375" t="str">
        <f t="shared" ca="1" si="2"/>
        <v>US-G-8002</v>
      </c>
      <c r="E48" s="376">
        <v>43139</v>
      </c>
      <c r="F48" s="377">
        <v>0.63611111111111118</v>
      </c>
      <c r="G48" s="376">
        <v>43139</v>
      </c>
      <c r="H48" s="377">
        <v>0.64444444444444449</v>
      </c>
      <c r="I48" s="378">
        <f t="shared" si="3"/>
        <v>0.2</v>
      </c>
      <c r="J48" s="2252" t="s">
        <v>1155</v>
      </c>
      <c r="K48" s="2252"/>
      <c r="P48" s="371"/>
      <c r="Q48" s="366"/>
    </row>
    <row r="49" spans="2:17" ht="27.75" customHeight="1">
      <c r="B49" s="373">
        <v>15</v>
      </c>
      <c r="C49" s="374" t="s">
        <v>224</v>
      </c>
      <c r="D49" s="375" t="str">
        <f t="shared" ca="1" si="2"/>
        <v>US-G-8002</v>
      </c>
      <c r="E49" s="376">
        <v>43141</v>
      </c>
      <c r="F49" s="377">
        <v>0.97569444444444453</v>
      </c>
      <c r="G49" s="376">
        <v>43142</v>
      </c>
      <c r="H49" s="377">
        <v>4.5138888888888888E-2</v>
      </c>
      <c r="I49" s="378">
        <f t="shared" si="3"/>
        <v>1.6666666666666679</v>
      </c>
      <c r="J49" s="2252" t="s">
        <v>1156</v>
      </c>
      <c r="K49" s="2252"/>
      <c r="P49" s="371"/>
      <c r="Q49" s="366"/>
    </row>
    <row r="50" spans="2:17" ht="27.75" customHeight="1">
      <c r="B50" s="373">
        <v>16</v>
      </c>
      <c r="C50" s="374" t="s">
        <v>75</v>
      </c>
      <c r="D50" s="375" t="str">
        <f t="shared" ca="1" si="2"/>
        <v>US-G-8001</v>
      </c>
      <c r="E50" s="376">
        <v>43171</v>
      </c>
      <c r="F50" s="377">
        <v>2.0833333333333332E-2</v>
      </c>
      <c r="G50" s="376">
        <v>43172</v>
      </c>
      <c r="H50" s="377">
        <v>0.70833333333333337</v>
      </c>
      <c r="I50" s="378">
        <f t="shared" si="3"/>
        <v>40.5</v>
      </c>
      <c r="J50" s="2252" t="s">
        <v>1157</v>
      </c>
      <c r="K50" s="2252"/>
      <c r="P50" s="371"/>
      <c r="Q50" s="366"/>
    </row>
    <row r="51" spans="2:17" ht="27.75" customHeight="1">
      <c r="B51" s="373">
        <v>17</v>
      </c>
      <c r="C51" s="374" t="s">
        <v>224</v>
      </c>
      <c r="D51" s="375" t="str">
        <f t="shared" ca="1" si="2"/>
        <v>US-G-8002</v>
      </c>
      <c r="E51" s="376">
        <v>43172</v>
      </c>
      <c r="F51" s="377">
        <v>0.65972222222222221</v>
      </c>
      <c r="G51" s="376">
        <v>43172</v>
      </c>
      <c r="H51" s="377">
        <v>0.74305555555555547</v>
      </c>
      <c r="I51" s="378">
        <f t="shared" si="3"/>
        <v>2</v>
      </c>
      <c r="J51" s="2252" t="s">
        <v>1158</v>
      </c>
      <c r="K51" s="2252"/>
      <c r="P51" s="371"/>
      <c r="Q51" s="366"/>
    </row>
    <row r="52" spans="2:17" ht="27.75" customHeight="1">
      <c r="B52" s="373">
        <v>18</v>
      </c>
      <c r="C52" s="374" t="s">
        <v>75</v>
      </c>
      <c r="D52" s="375" t="str">
        <f t="shared" ca="1" si="2"/>
        <v>US-G-8001</v>
      </c>
      <c r="E52" s="376">
        <v>43177</v>
      </c>
      <c r="F52" s="377">
        <v>2.7777777777777776E-2</v>
      </c>
      <c r="G52" s="376">
        <v>43207</v>
      </c>
      <c r="H52" s="377">
        <v>0.63194444444444442</v>
      </c>
      <c r="I52" s="378">
        <f t="shared" si="3"/>
        <v>734.5</v>
      </c>
      <c r="J52" s="2252" t="s">
        <v>1159</v>
      </c>
      <c r="K52" s="2252"/>
      <c r="P52" s="371"/>
      <c r="Q52" s="366"/>
    </row>
    <row r="53" spans="2:17" ht="27.75" customHeight="1">
      <c r="B53" s="373">
        <v>19</v>
      </c>
      <c r="C53" s="374" t="s">
        <v>75</v>
      </c>
      <c r="D53" s="375" t="str">
        <f t="shared" ca="1" si="2"/>
        <v>US-G-8001</v>
      </c>
      <c r="E53" s="376">
        <v>43207</v>
      </c>
      <c r="F53" s="377">
        <v>0.64513888888888882</v>
      </c>
      <c r="G53" s="376">
        <v>43207</v>
      </c>
      <c r="H53" s="377">
        <v>0.86458333333333337</v>
      </c>
      <c r="I53" s="378">
        <f t="shared" si="3"/>
        <v>5.2666666666666666</v>
      </c>
      <c r="J53" s="2252" t="s">
        <v>1156</v>
      </c>
      <c r="K53" s="2252"/>
      <c r="P53" s="371"/>
      <c r="Q53" s="366"/>
    </row>
    <row r="54" spans="2:17" ht="27.75" customHeight="1">
      <c r="B54" s="373">
        <v>20</v>
      </c>
      <c r="C54" s="374" t="s">
        <v>224</v>
      </c>
      <c r="D54" s="375" t="str">
        <f t="shared" ca="1" si="2"/>
        <v>US-G-8002</v>
      </c>
      <c r="E54" s="376">
        <v>43207</v>
      </c>
      <c r="F54" s="377">
        <v>0.64513888888888882</v>
      </c>
      <c r="G54" s="376">
        <v>43208</v>
      </c>
      <c r="H54" s="377">
        <v>0.41666666666666669</v>
      </c>
      <c r="I54" s="378">
        <f t="shared" si="3"/>
        <v>18.516666666666666</v>
      </c>
      <c r="J54" s="2252" t="s">
        <v>1160</v>
      </c>
      <c r="K54" s="2252"/>
      <c r="P54" s="371"/>
      <c r="Q54" s="366"/>
    </row>
    <row r="55" spans="2:17" ht="27.75" customHeight="1">
      <c r="B55" s="373">
        <v>21</v>
      </c>
      <c r="C55" s="374" t="s">
        <v>75</v>
      </c>
      <c r="D55" s="375" t="str">
        <f t="shared" ca="1" si="2"/>
        <v>US-G-8001</v>
      </c>
      <c r="E55" s="376">
        <v>43214</v>
      </c>
      <c r="F55" s="377">
        <v>0.3576388888888889</v>
      </c>
      <c r="G55" s="376">
        <v>43214</v>
      </c>
      <c r="H55" s="377">
        <v>0.46597222222222223</v>
      </c>
      <c r="I55" s="378">
        <f t="shared" si="3"/>
        <v>2.6</v>
      </c>
      <c r="J55" s="2252" t="s">
        <v>1161</v>
      </c>
      <c r="K55" s="2252"/>
      <c r="P55" s="371"/>
      <c r="Q55" s="366"/>
    </row>
    <row r="56" spans="2:17" ht="27.75" customHeight="1">
      <c r="B56" s="373">
        <v>22</v>
      </c>
      <c r="C56" s="374" t="s">
        <v>224</v>
      </c>
      <c r="D56" s="375" t="str">
        <f t="shared" ca="1" si="2"/>
        <v>US-G-8002</v>
      </c>
      <c r="E56" s="376">
        <v>43214</v>
      </c>
      <c r="F56" s="377">
        <v>0.3576388888888889</v>
      </c>
      <c r="G56" s="376">
        <v>43214</v>
      </c>
      <c r="H56" s="377">
        <v>0.81736111111111109</v>
      </c>
      <c r="I56" s="378">
        <f t="shared" si="3"/>
        <v>11.033333333333333</v>
      </c>
      <c r="J56" s="2252" t="s">
        <v>1161</v>
      </c>
      <c r="K56" s="2252"/>
      <c r="P56" s="371"/>
      <c r="Q56" s="366"/>
    </row>
    <row r="57" spans="2:17" ht="27.75" customHeight="1">
      <c r="B57" s="373">
        <v>23</v>
      </c>
      <c r="C57" s="374" t="s">
        <v>75</v>
      </c>
      <c r="D57" s="375" t="str">
        <f t="shared" ca="1" si="2"/>
        <v>US-G-8001</v>
      </c>
      <c r="E57" s="376">
        <v>43253</v>
      </c>
      <c r="F57" s="377">
        <v>0.61249999999999993</v>
      </c>
      <c r="G57" s="376">
        <v>43253</v>
      </c>
      <c r="H57" s="377">
        <v>0.70416666666666661</v>
      </c>
      <c r="I57" s="378">
        <f t="shared" si="3"/>
        <v>2.2000000000000002</v>
      </c>
      <c r="J57" s="2252" t="s">
        <v>1162</v>
      </c>
      <c r="K57" s="2252"/>
      <c r="P57" s="371"/>
      <c r="Q57" s="366"/>
    </row>
    <row r="58" spans="2:17" ht="27.75" customHeight="1">
      <c r="B58" s="373">
        <v>24</v>
      </c>
      <c r="C58" s="374" t="s">
        <v>224</v>
      </c>
      <c r="D58" s="375" t="str">
        <f t="shared" ca="1" si="2"/>
        <v>US-G-8002</v>
      </c>
      <c r="E58" s="376">
        <v>43396</v>
      </c>
      <c r="F58" s="377">
        <v>0.58472222222222225</v>
      </c>
      <c r="G58" s="376">
        <v>43396</v>
      </c>
      <c r="H58" s="377">
        <v>0.59861111111111109</v>
      </c>
      <c r="I58" s="378">
        <f t="shared" si="3"/>
        <v>0.33333333333333331</v>
      </c>
      <c r="J58" s="2252" t="s">
        <v>1191</v>
      </c>
      <c r="K58" s="2252"/>
    </row>
    <row r="59" spans="2:17" ht="27.75" customHeight="1">
      <c r="B59" s="373">
        <v>25</v>
      </c>
      <c r="C59" s="374" t="s">
        <v>75</v>
      </c>
      <c r="D59" s="375" t="str">
        <f t="shared" ca="1" si="2"/>
        <v>US-G-8001</v>
      </c>
      <c r="E59" s="376">
        <v>43510</v>
      </c>
      <c r="F59" s="377">
        <v>0.4381944444444445</v>
      </c>
      <c r="G59" s="376">
        <v>43510</v>
      </c>
      <c r="H59" s="377">
        <v>0.6166666666666667</v>
      </c>
      <c r="I59" s="378">
        <f t="shared" si="3"/>
        <v>4.2833333333333332</v>
      </c>
      <c r="J59" s="2252" t="s">
        <v>1185</v>
      </c>
      <c r="K59" s="2252"/>
    </row>
    <row r="60" spans="2:17" ht="27.75" customHeight="1">
      <c r="B60" s="373">
        <v>26</v>
      </c>
      <c r="C60" s="374" t="s">
        <v>224</v>
      </c>
      <c r="D60" s="375" t="str">
        <f t="shared" ca="1" si="2"/>
        <v>US-G-8002</v>
      </c>
      <c r="E60" s="376">
        <v>43510</v>
      </c>
      <c r="F60" s="377">
        <v>0.60138888888888886</v>
      </c>
      <c r="G60" s="376">
        <v>43510</v>
      </c>
      <c r="H60" s="377">
        <v>0.66666666666666663</v>
      </c>
      <c r="I60" s="378">
        <f t="shared" si="3"/>
        <v>1.5666666666666667</v>
      </c>
      <c r="J60" s="2252" t="s">
        <v>1190</v>
      </c>
      <c r="K60" s="2252"/>
    </row>
    <row r="61" spans="2:17" ht="27.75" customHeight="1">
      <c r="B61" s="373">
        <v>27</v>
      </c>
      <c r="C61" s="374" t="s">
        <v>75</v>
      </c>
      <c r="D61" s="375" t="str">
        <f t="shared" ca="1" si="2"/>
        <v>US-G-8001</v>
      </c>
      <c r="E61" s="376">
        <v>43668</v>
      </c>
      <c r="F61" s="377">
        <v>0.1875</v>
      </c>
      <c r="G61" s="376">
        <v>43669</v>
      </c>
      <c r="H61" s="377">
        <v>7.7777777777777779E-2</v>
      </c>
      <c r="I61" s="378">
        <f t="shared" si="3"/>
        <v>21.366666666666667</v>
      </c>
      <c r="J61" s="2258" t="s">
        <v>1196</v>
      </c>
      <c r="K61" s="2252"/>
    </row>
    <row r="62" spans="2:17" ht="27.75" customHeight="1">
      <c r="B62" s="373">
        <v>28</v>
      </c>
      <c r="C62" s="374" t="s">
        <v>75</v>
      </c>
      <c r="D62" s="375" t="str">
        <f t="shared" ca="1" si="2"/>
        <v>US-G-8001</v>
      </c>
      <c r="E62" s="376">
        <v>43739</v>
      </c>
      <c r="F62" s="377">
        <v>0.32847222222222222</v>
      </c>
      <c r="G62" s="376">
        <v>43739</v>
      </c>
      <c r="H62" s="377">
        <v>0.50624999999999998</v>
      </c>
      <c r="I62" s="378">
        <f t="shared" si="3"/>
        <v>4.2666666666666666</v>
      </c>
      <c r="J62" s="2258" t="s">
        <v>1244</v>
      </c>
      <c r="K62" s="2252"/>
    </row>
    <row r="63" spans="2:17" ht="27.75" customHeight="1">
      <c r="B63" s="373">
        <v>29</v>
      </c>
      <c r="C63" s="374" t="s">
        <v>75</v>
      </c>
      <c r="D63" s="375" t="str">
        <f t="shared" ca="1" si="2"/>
        <v>US-G-8001</v>
      </c>
      <c r="E63" s="376">
        <v>43940</v>
      </c>
      <c r="F63" s="377">
        <v>0.54375000000000007</v>
      </c>
      <c r="G63" s="376">
        <v>43941</v>
      </c>
      <c r="H63" s="377">
        <v>2.013888888888889E-2</v>
      </c>
      <c r="I63" s="378">
        <f t="shared" si="3"/>
        <v>11.433333333333334</v>
      </c>
      <c r="J63" s="2258" t="s">
        <v>1304</v>
      </c>
      <c r="K63" s="2252"/>
    </row>
    <row r="64" spans="2:17" ht="27.75" customHeight="1">
      <c r="B64" s="373">
        <v>30</v>
      </c>
      <c r="C64" s="374" t="s">
        <v>73</v>
      </c>
      <c r="D64" s="375" t="str">
        <f t="shared" ca="1" si="2"/>
        <v>US-G-8005</v>
      </c>
      <c r="E64" s="376">
        <v>43207</v>
      </c>
      <c r="F64" s="377">
        <v>0.62708333333333333</v>
      </c>
      <c r="G64" s="376">
        <v>43211</v>
      </c>
      <c r="H64" s="377">
        <v>0.60416666666666663</v>
      </c>
      <c r="I64" s="378">
        <f t="shared" si="3"/>
        <v>95.45</v>
      </c>
      <c r="J64" s="2258" t="s">
        <v>1307</v>
      </c>
      <c r="K64" s="2252"/>
    </row>
    <row r="65" spans="2:11" ht="27.75" customHeight="1">
      <c r="B65" s="373">
        <v>31</v>
      </c>
      <c r="C65" s="374" t="s">
        <v>75</v>
      </c>
      <c r="D65" s="375" t="str">
        <f t="shared" ca="1" si="2"/>
        <v>US-G-8001</v>
      </c>
      <c r="E65" s="376">
        <v>44136</v>
      </c>
      <c r="F65" s="377">
        <v>0.64097222222222217</v>
      </c>
      <c r="G65" s="376">
        <v>44136</v>
      </c>
      <c r="H65" s="377">
        <v>0.72430555555555554</v>
      </c>
      <c r="I65" s="378">
        <f t="shared" si="3"/>
        <v>2</v>
      </c>
      <c r="J65" s="2258" t="s">
        <v>1309</v>
      </c>
      <c r="K65" s="2252"/>
    </row>
    <row r="66" spans="2:11" ht="27.75" customHeight="1">
      <c r="B66" s="373">
        <v>32</v>
      </c>
      <c r="C66" s="374" t="s">
        <v>75</v>
      </c>
      <c r="D66" s="375" t="str">
        <f t="shared" ca="1" si="2"/>
        <v>US-G-8001</v>
      </c>
      <c r="E66" s="376">
        <v>44137</v>
      </c>
      <c r="F66" s="377">
        <v>0.17708333333333334</v>
      </c>
      <c r="G66" s="376">
        <v>44137</v>
      </c>
      <c r="H66" s="377">
        <v>0.71666666666666667</v>
      </c>
      <c r="I66" s="378">
        <f t="shared" si="3"/>
        <v>12.95</v>
      </c>
      <c r="J66" s="2258" t="s">
        <v>1363</v>
      </c>
      <c r="K66" s="2252"/>
    </row>
    <row r="67" spans="2:11" ht="27.75" customHeight="1">
      <c r="B67" s="373">
        <v>33</v>
      </c>
      <c r="C67" s="374" t="s">
        <v>73</v>
      </c>
      <c r="D67" s="375" t="str">
        <f t="shared" ca="1" si="2"/>
        <v>US-G-8005</v>
      </c>
      <c r="E67" s="376">
        <v>44161</v>
      </c>
      <c r="F67" s="377">
        <v>0</v>
      </c>
      <c r="G67" s="376">
        <v>44166</v>
      </c>
      <c r="H67" s="377">
        <v>0.68055555555555547</v>
      </c>
      <c r="I67" s="378">
        <f t="shared" si="3"/>
        <v>136.33333333333334</v>
      </c>
      <c r="J67" s="2258" t="s">
        <v>1310</v>
      </c>
      <c r="K67" s="2252"/>
    </row>
    <row r="68" spans="2:11" ht="27.75" customHeight="1">
      <c r="B68" s="373">
        <v>34</v>
      </c>
      <c r="C68" s="374" t="s">
        <v>165</v>
      </c>
      <c r="D68" s="375" t="str">
        <f t="shared" ca="1" si="2"/>
        <v>US-G-8006</v>
      </c>
      <c r="E68" s="376">
        <v>44174</v>
      </c>
      <c r="F68" s="377">
        <v>0.66180555555555554</v>
      </c>
      <c r="G68" s="376">
        <v>44177</v>
      </c>
      <c r="H68" s="377">
        <v>0.33333333333333331</v>
      </c>
      <c r="I68" s="378">
        <f t="shared" si="3"/>
        <v>64.116666666666674</v>
      </c>
      <c r="J68" s="2258" t="s">
        <v>1319</v>
      </c>
      <c r="K68" s="2252"/>
    </row>
    <row r="69" spans="2:11" ht="27.75" customHeight="1">
      <c r="B69" s="373">
        <v>35</v>
      </c>
      <c r="C69" s="374" t="s">
        <v>224</v>
      </c>
      <c r="D69" s="375" t="str">
        <f t="shared" ca="1" si="2"/>
        <v>US-G-8002</v>
      </c>
      <c r="E69" s="376">
        <v>44178</v>
      </c>
      <c r="F69" s="377">
        <v>0.12013888888888889</v>
      </c>
      <c r="G69" s="376">
        <v>44178</v>
      </c>
      <c r="H69" s="377">
        <v>0.49583333333333335</v>
      </c>
      <c r="I69" s="378">
        <f t="shared" si="3"/>
        <v>9.0166666666666675</v>
      </c>
      <c r="J69" s="2258" t="s">
        <v>1311</v>
      </c>
      <c r="K69" s="2252"/>
    </row>
    <row r="70" spans="2:11" ht="27.75" customHeight="1">
      <c r="B70" s="373">
        <v>36</v>
      </c>
      <c r="C70" s="374" t="s">
        <v>75</v>
      </c>
      <c r="D70" s="375" t="str">
        <f t="shared" ca="1" si="2"/>
        <v>US-G-8001</v>
      </c>
      <c r="E70" s="376">
        <v>44229</v>
      </c>
      <c r="F70" s="377">
        <v>0.51388888888888895</v>
      </c>
      <c r="G70" s="376">
        <v>44229</v>
      </c>
      <c r="H70" s="377">
        <v>0.67847222222222225</v>
      </c>
      <c r="I70" s="378">
        <f t="shared" si="3"/>
        <v>3.95</v>
      </c>
      <c r="J70" s="2252" t="s">
        <v>1333</v>
      </c>
      <c r="K70" s="2252"/>
    </row>
    <row r="71" spans="2:11" ht="27.75" customHeight="1">
      <c r="B71" s="373">
        <v>37</v>
      </c>
      <c r="C71" s="374" t="s">
        <v>224</v>
      </c>
      <c r="D71" s="375" t="str">
        <f t="shared" ca="1" si="2"/>
        <v>US-G-8002</v>
      </c>
      <c r="E71" s="376">
        <v>44229</v>
      </c>
      <c r="F71" s="377">
        <v>0.51388888888888895</v>
      </c>
      <c r="G71" s="376">
        <v>44229</v>
      </c>
      <c r="H71" s="377">
        <v>0.58680555555555558</v>
      </c>
      <c r="I71" s="378">
        <f t="shared" si="3"/>
        <v>1.75</v>
      </c>
      <c r="J71" s="2252" t="s">
        <v>1333</v>
      </c>
      <c r="K71" s="2252"/>
    </row>
    <row r="72" spans="2:11" ht="27.75" customHeight="1">
      <c r="B72" s="373">
        <v>38</v>
      </c>
      <c r="C72" s="374" t="s">
        <v>75</v>
      </c>
      <c r="D72" s="375" t="str">
        <f t="shared" ca="1" si="2"/>
        <v>US-G-8001</v>
      </c>
      <c r="E72" s="376">
        <v>44399</v>
      </c>
      <c r="F72" s="377">
        <v>0.42708333333333331</v>
      </c>
      <c r="G72" s="376">
        <v>44399</v>
      </c>
      <c r="H72" s="377">
        <v>0.50902777777777775</v>
      </c>
      <c r="I72" s="378">
        <f t="shared" si="3"/>
        <v>1.9666666666666666</v>
      </c>
      <c r="J72" s="2258" t="s">
        <v>1353</v>
      </c>
      <c r="K72" s="2252"/>
    </row>
    <row r="73" spans="2:11" ht="27.75" customHeight="1">
      <c r="B73" s="373">
        <v>39</v>
      </c>
      <c r="C73" s="374" t="s">
        <v>75</v>
      </c>
      <c r="D73" s="375" t="str">
        <f t="shared" ca="1" si="2"/>
        <v>US-G-8001</v>
      </c>
      <c r="E73" s="376">
        <v>44405</v>
      </c>
      <c r="F73" s="377">
        <v>0.85069444444444453</v>
      </c>
      <c r="G73" s="376">
        <v>44405</v>
      </c>
      <c r="H73" s="377">
        <v>0.97222222222222221</v>
      </c>
      <c r="I73" s="378">
        <f t="shared" si="3"/>
        <v>2.9166666666666665</v>
      </c>
      <c r="J73" s="2258" t="s">
        <v>1354</v>
      </c>
      <c r="K73" s="2252"/>
    </row>
    <row r="74" spans="2:11" ht="27.75" customHeight="1">
      <c r="B74" s="373">
        <v>40</v>
      </c>
      <c r="C74" s="374" t="s">
        <v>224</v>
      </c>
      <c r="D74" s="375" t="str">
        <f t="shared" ca="1" si="2"/>
        <v>US-G-8002</v>
      </c>
      <c r="E74" s="376">
        <v>44594</v>
      </c>
      <c r="F74" s="377">
        <v>6.7361111111111108E-2</v>
      </c>
      <c r="G74" s="376">
        <v>44595</v>
      </c>
      <c r="H74" s="377">
        <v>0.56736111111111109</v>
      </c>
      <c r="I74" s="378">
        <f t="shared" si="3"/>
        <v>36</v>
      </c>
      <c r="J74" s="2258" t="s">
        <v>1359</v>
      </c>
      <c r="K74" s="2252"/>
    </row>
    <row r="75" spans="2:11" ht="27.75" customHeight="1">
      <c r="B75" s="373">
        <v>41</v>
      </c>
      <c r="C75" s="374" t="s">
        <v>224</v>
      </c>
      <c r="D75" s="375" t="str">
        <f t="shared" ca="1" si="2"/>
        <v>US-G-8002</v>
      </c>
      <c r="E75" s="376">
        <v>44599</v>
      </c>
      <c r="F75" s="377">
        <v>0.54999999999999993</v>
      </c>
      <c r="G75" s="376">
        <v>44599</v>
      </c>
      <c r="H75" s="377">
        <v>0.55694444444444446</v>
      </c>
      <c r="I75" s="378">
        <f t="shared" si="3"/>
        <v>0.16666666666666666</v>
      </c>
      <c r="J75" s="2258" t="s">
        <v>1360</v>
      </c>
      <c r="K75" s="2252"/>
    </row>
    <row r="76" spans="2:11" ht="27.75" customHeight="1">
      <c r="B76" s="373">
        <v>42</v>
      </c>
      <c r="C76" s="374" t="s">
        <v>224</v>
      </c>
      <c r="D76" s="375" t="str">
        <f t="shared" ca="1" si="2"/>
        <v>US-G-8002</v>
      </c>
      <c r="E76" s="376">
        <v>44600</v>
      </c>
      <c r="F76" s="377">
        <v>0.12847222222222224</v>
      </c>
      <c r="G76" s="376">
        <v>44600</v>
      </c>
      <c r="H76" s="377">
        <v>0.58888888888888891</v>
      </c>
      <c r="I76" s="378">
        <f t="shared" si="3"/>
        <v>11.05</v>
      </c>
      <c r="J76" s="2258" t="s">
        <v>1361</v>
      </c>
      <c r="K76" s="2252"/>
    </row>
    <row r="77" spans="2:11" ht="27.75" customHeight="1">
      <c r="B77" s="373">
        <v>43</v>
      </c>
      <c r="C77" s="374" t="s">
        <v>75</v>
      </c>
      <c r="D77" s="375" t="str">
        <f t="shared" ca="1" si="2"/>
        <v>US-G-8001</v>
      </c>
      <c r="E77" s="376">
        <v>44732</v>
      </c>
      <c r="F77" s="377">
        <v>0.63888888888888895</v>
      </c>
      <c r="G77" s="376">
        <v>44737</v>
      </c>
      <c r="H77" s="377">
        <v>0.48749999999999999</v>
      </c>
      <c r="I77" s="378">
        <f t="shared" si="3"/>
        <v>116.36666666666666</v>
      </c>
      <c r="J77" s="2252" t="s">
        <v>1374</v>
      </c>
      <c r="K77" s="2252"/>
    </row>
    <row r="78" spans="2:11" ht="27.75" customHeight="1">
      <c r="B78" s="373">
        <v>44</v>
      </c>
      <c r="C78" s="374" t="s">
        <v>75</v>
      </c>
      <c r="D78" s="375" t="str">
        <f t="shared" ca="1" si="2"/>
        <v>US-G-8001</v>
      </c>
      <c r="E78" s="376">
        <v>44820</v>
      </c>
      <c r="F78" s="377">
        <v>0.45069444444444445</v>
      </c>
      <c r="G78" s="376">
        <v>44821</v>
      </c>
      <c r="H78" s="377">
        <v>0.59861111111111109</v>
      </c>
      <c r="I78" s="378">
        <f t="shared" si="3"/>
        <v>27.55</v>
      </c>
      <c r="J78" s="2258" t="s">
        <v>1421</v>
      </c>
      <c r="K78" s="2252"/>
    </row>
    <row r="79" spans="2:11" ht="27.75" customHeight="1">
      <c r="B79" s="373">
        <v>45</v>
      </c>
      <c r="C79" s="374" t="s">
        <v>75</v>
      </c>
      <c r="D79" s="375" t="str">
        <f t="shared" ca="1" si="2"/>
        <v>US-G-8001</v>
      </c>
      <c r="E79" s="376">
        <v>44823</v>
      </c>
      <c r="F79" s="377">
        <v>0.54583333333333328</v>
      </c>
      <c r="G79" s="376">
        <v>44823</v>
      </c>
      <c r="H79" s="377">
        <v>0.59375</v>
      </c>
      <c r="I79" s="378">
        <f t="shared" si="3"/>
        <v>1.1499999999999999</v>
      </c>
      <c r="J79" s="2258" t="s">
        <v>1422</v>
      </c>
      <c r="K79" s="2252"/>
    </row>
    <row r="80" spans="2:11" ht="27.75" customHeight="1">
      <c r="B80" s="373">
        <v>46</v>
      </c>
      <c r="C80" s="374" t="s">
        <v>75</v>
      </c>
      <c r="D80" s="375" t="str">
        <f t="shared" ca="1" si="2"/>
        <v>US-G-8001</v>
      </c>
      <c r="E80" s="376">
        <v>44883</v>
      </c>
      <c r="F80" s="377">
        <v>0.57222222222222219</v>
      </c>
      <c r="G80" s="376">
        <v>44884</v>
      </c>
      <c r="H80" s="377">
        <v>5.2083333333333336E-2</v>
      </c>
      <c r="I80" s="378">
        <f t="shared" si="3"/>
        <v>11.516666666666667</v>
      </c>
      <c r="J80" s="2252" t="s">
        <v>1456</v>
      </c>
      <c r="K80" s="2252"/>
    </row>
    <row r="81" spans="2:11" ht="27.75" customHeight="1">
      <c r="B81" s="373">
        <v>47</v>
      </c>
      <c r="C81" s="374" t="s">
        <v>224</v>
      </c>
      <c r="D81" s="375" t="str">
        <f t="shared" ca="1" si="2"/>
        <v>US-G-8002</v>
      </c>
      <c r="E81" s="376">
        <v>44883</v>
      </c>
      <c r="F81" s="377">
        <v>0.57222222222222219</v>
      </c>
      <c r="G81" s="376">
        <v>44883</v>
      </c>
      <c r="H81" s="377">
        <v>0.61458333333333337</v>
      </c>
      <c r="I81" s="378">
        <f t="shared" si="3"/>
        <v>1.0166666666666666</v>
      </c>
      <c r="J81" s="2252" t="s">
        <v>1456</v>
      </c>
      <c r="K81" s="2259"/>
    </row>
    <row r="82" spans="2:11" ht="27.75" customHeight="1">
      <c r="B82" s="373">
        <v>48</v>
      </c>
      <c r="C82" s="374" t="s">
        <v>75</v>
      </c>
      <c r="D82" s="375" t="str">
        <f t="shared" ca="1" si="2"/>
        <v>US-G-8001</v>
      </c>
      <c r="E82" s="376">
        <v>44916</v>
      </c>
      <c r="F82" s="377">
        <v>0.80833333333333324</v>
      </c>
      <c r="G82" s="376">
        <v>44917</v>
      </c>
      <c r="H82" s="377">
        <v>4.8611111111111112E-3</v>
      </c>
      <c r="I82" s="378">
        <f t="shared" si="3"/>
        <v>4.716666666666665</v>
      </c>
      <c r="J82" s="2252" t="s">
        <v>1455</v>
      </c>
      <c r="K82" s="2252"/>
    </row>
    <row r="83" spans="2:11" ht="27.75" customHeight="1">
      <c r="B83" s="373">
        <v>49</v>
      </c>
      <c r="C83" s="374" t="s">
        <v>224</v>
      </c>
      <c r="D83" s="375" t="str">
        <f t="shared" ca="1" si="2"/>
        <v>US-G-8002</v>
      </c>
      <c r="E83" s="376">
        <v>44965</v>
      </c>
      <c r="F83" s="377">
        <v>0.67847222222222225</v>
      </c>
      <c r="G83" s="376">
        <v>44965</v>
      </c>
      <c r="H83" s="377">
        <v>0.81736111111111109</v>
      </c>
      <c r="I83" s="378">
        <f t="shared" si="3"/>
        <v>3.3333333333333335</v>
      </c>
      <c r="J83" s="2252" t="s">
        <v>1463</v>
      </c>
      <c r="K83" s="2252"/>
    </row>
    <row r="84" spans="2:11" ht="27.75" customHeight="1">
      <c r="B84" s="373">
        <v>50</v>
      </c>
      <c r="C84" s="374" t="s">
        <v>224</v>
      </c>
      <c r="D84" s="375" t="str">
        <f t="shared" ca="1" si="2"/>
        <v>US-G-8002</v>
      </c>
      <c r="E84" s="376">
        <v>45032</v>
      </c>
      <c r="F84" s="377">
        <v>0.75694444444444453</v>
      </c>
      <c r="G84" s="376">
        <v>45036</v>
      </c>
      <c r="H84" s="377">
        <v>0.19166666666666665</v>
      </c>
      <c r="I84" s="378">
        <f t="shared" si="3"/>
        <v>82.433333333333337</v>
      </c>
      <c r="J84" s="2252" t="s">
        <v>1465</v>
      </c>
      <c r="K84" s="2252"/>
    </row>
    <row r="85" spans="2:11" ht="27.75" customHeight="1">
      <c r="B85" s="373">
        <v>51</v>
      </c>
      <c r="C85" s="374" t="s">
        <v>75</v>
      </c>
      <c r="D85" s="375" t="str">
        <f t="shared" ca="1" si="2"/>
        <v>US-G-8001</v>
      </c>
      <c r="E85" s="376">
        <v>45037</v>
      </c>
      <c r="F85" s="377">
        <v>0.37847222222222227</v>
      </c>
      <c r="G85" s="376">
        <v>45037</v>
      </c>
      <c r="H85" s="377">
        <v>0.45833333333333331</v>
      </c>
      <c r="I85" s="378">
        <f t="shared" si="3"/>
        <v>1.9166666666666667</v>
      </c>
      <c r="J85" s="2252" t="s">
        <v>1466</v>
      </c>
      <c r="K85" s="2252"/>
    </row>
    <row r="86" spans="2:11" ht="27.75" customHeight="1">
      <c r="B86" s="373">
        <v>52</v>
      </c>
      <c r="C86" s="374" t="s">
        <v>224</v>
      </c>
      <c r="D86" s="375" t="str">
        <f t="shared" ca="1" si="2"/>
        <v>US-G-8002</v>
      </c>
      <c r="E86" s="376">
        <v>45037</v>
      </c>
      <c r="F86" s="377">
        <v>0.37847222222222227</v>
      </c>
      <c r="G86" s="376">
        <v>45037</v>
      </c>
      <c r="H86" s="377">
        <v>0.61041666666666672</v>
      </c>
      <c r="I86" s="378">
        <f t="shared" si="3"/>
        <v>5.5666666666666664</v>
      </c>
      <c r="J86" s="2252" t="s">
        <v>1466</v>
      </c>
      <c r="K86" s="2252"/>
    </row>
    <row r="87" spans="2:11" ht="27.75" customHeight="1">
      <c r="B87" s="373">
        <v>53</v>
      </c>
      <c r="C87" s="374" t="s">
        <v>75</v>
      </c>
      <c r="D87" s="375" t="str">
        <f t="shared" ca="1" si="2"/>
        <v>US-G-8001</v>
      </c>
      <c r="E87" s="376">
        <v>45060</v>
      </c>
      <c r="F87" s="377">
        <v>0.11041666666666666</v>
      </c>
      <c r="G87" s="376">
        <v>45060</v>
      </c>
      <c r="H87" s="377">
        <v>0.8965277777777777</v>
      </c>
      <c r="I87" s="378">
        <f t="shared" si="3"/>
        <v>18.866666666666667</v>
      </c>
      <c r="J87" s="2252" t="s">
        <v>1467</v>
      </c>
      <c r="K87" s="2252"/>
    </row>
    <row r="88" spans="2:11" ht="27.75" customHeight="1">
      <c r="B88" s="373">
        <v>54</v>
      </c>
      <c r="C88" s="374" t="s">
        <v>224</v>
      </c>
      <c r="D88" s="375" t="str">
        <f t="shared" ca="1" si="2"/>
        <v>US-G-8002</v>
      </c>
      <c r="E88" s="376">
        <v>45164</v>
      </c>
      <c r="F88" s="377">
        <v>0.18472222222222223</v>
      </c>
      <c r="G88" s="376">
        <v>45164</v>
      </c>
      <c r="H88" s="377">
        <v>0.73819444444444438</v>
      </c>
      <c r="I88" s="378">
        <f t="shared" si="3"/>
        <v>13.283333333333333</v>
      </c>
      <c r="J88" s="2252" t="s">
        <v>1481</v>
      </c>
      <c r="K88" s="2252"/>
    </row>
    <row r="89" spans="2:11" ht="27.75" customHeight="1">
      <c r="B89" s="373">
        <v>55</v>
      </c>
      <c r="C89" s="374" t="s">
        <v>75</v>
      </c>
      <c r="D89" s="375" t="str">
        <f t="shared" ca="1" si="2"/>
        <v>US-G-8001</v>
      </c>
      <c r="E89" s="376">
        <v>45195</v>
      </c>
      <c r="F89" s="377">
        <v>0.52569444444444446</v>
      </c>
      <c r="G89" s="376">
        <v>45210</v>
      </c>
      <c r="H89" s="377">
        <v>0.56736111111111109</v>
      </c>
      <c r="I89" s="378">
        <f t="shared" si="3"/>
        <v>361</v>
      </c>
      <c r="J89" s="2252" t="s">
        <v>1484</v>
      </c>
      <c r="K89" s="2252"/>
    </row>
    <row r="90" spans="2:11" ht="27.75" customHeight="1">
      <c r="B90" s="373">
        <v>56</v>
      </c>
      <c r="C90" s="374" t="s">
        <v>75</v>
      </c>
      <c r="D90" s="375" t="str">
        <f t="shared" ca="1" si="2"/>
        <v>US-G-8001</v>
      </c>
      <c r="E90" s="376">
        <v>45221</v>
      </c>
      <c r="F90" s="377">
        <v>0.98958333333333337</v>
      </c>
      <c r="G90" s="376">
        <v>45223</v>
      </c>
      <c r="H90" s="377">
        <v>0.20416666666666669</v>
      </c>
      <c r="I90" s="378">
        <f t="shared" si="3"/>
        <v>29.15</v>
      </c>
      <c r="J90" s="2252" t="s">
        <v>1489</v>
      </c>
      <c r="K90" s="2252"/>
    </row>
    <row r="91" spans="2:11" ht="27.75" customHeight="1">
      <c r="B91" s="373">
        <v>57</v>
      </c>
      <c r="C91" s="374"/>
      <c r="D91" s="375" t="str">
        <f t="shared" ca="1" si="2"/>
        <v/>
      </c>
      <c r="E91" s="376"/>
      <c r="F91" s="377"/>
      <c r="G91" s="376"/>
      <c r="H91" s="377"/>
      <c r="I91" s="378" t="str">
        <f t="shared" si="3"/>
        <v/>
      </c>
      <c r="J91" s="2252"/>
      <c r="K91" s="2252"/>
    </row>
    <row r="92" spans="2:11" ht="27.75" customHeight="1">
      <c r="B92" s="373">
        <v>58</v>
      </c>
      <c r="C92" s="374"/>
      <c r="D92" s="375" t="str">
        <f t="shared" ca="1" si="2"/>
        <v/>
      </c>
      <c r="E92" s="376"/>
      <c r="F92" s="377"/>
      <c r="G92" s="376"/>
      <c r="H92" s="377"/>
      <c r="I92" s="378" t="str">
        <f t="shared" si="3"/>
        <v/>
      </c>
      <c r="J92" s="2252"/>
      <c r="K92" s="2252"/>
    </row>
    <row r="93" spans="2:11" ht="27.75" customHeight="1">
      <c r="B93" s="373">
        <v>59</v>
      </c>
      <c r="C93" s="374"/>
      <c r="D93" s="375" t="str">
        <f t="shared" ca="1" si="2"/>
        <v/>
      </c>
      <c r="E93" s="376"/>
      <c r="F93" s="377"/>
      <c r="G93" s="376"/>
      <c r="H93" s="377"/>
      <c r="I93" s="378" t="str">
        <f t="shared" si="3"/>
        <v/>
      </c>
      <c r="J93" s="2252"/>
      <c r="K93" s="2252"/>
    </row>
    <row r="94" spans="2:11" ht="27.75" customHeight="1">
      <c r="B94" s="373">
        <v>60</v>
      </c>
      <c r="C94" s="374"/>
      <c r="D94" s="375" t="str">
        <f t="shared" ca="1" si="2"/>
        <v/>
      </c>
      <c r="E94" s="376"/>
      <c r="F94" s="377"/>
      <c r="G94" s="376"/>
      <c r="H94" s="377"/>
      <c r="I94" s="378" t="str">
        <f t="shared" si="3"/>
        <v/>
      </c>
      <c r="J94" s="2252"/>
      <c r="K94" s="2252"/>
    </row>
    <row r="95" spans="2:11" ht="27.75" customHeight="1">
      <c r="B95" s="373">
        <v>61</v>
      </c>
      <c r="C95" s="374"/>
      <c r="D95" s="375" t="str">
        <f t="shared" ca="1" si="2"/>
        <v/>
      </c>
      <c r="E95" s="376"/>
      <c r="F95" s="377"/>
      <c r="G95" s="376"/>
      <c r="H95" s="377"/>
      <c r="I95" s="378" t="str">
        <f t="shared" si="3"/>
        <v/>
      </c>
      <c r="J95" s="2252"/>
      <c r="K95" s="2252"/>
    </row>
    <row r="96" spans="2:11" ht="27.75" customHeight="1">
      <c r="B96" s="373">
        <v>62</v>
      </c>
      <c r="C96" s="374"/>
      <c r="D96" s="375" t="str">
        <f t="shared" ca="1" si="2"/>
        <v/>
      </c>
      <c r="E96" s="376"/>
      <c r="F96" s="377"/>
      <c r="G96" s="376"/>
      <c r="H96" s="377"/>
      <c r="I96" s="378" t="str">
        <f t="shared" si="3"/>
        <v/>
      </c>
      <c r="J96" s="2252"/>
      <c r="K96" s="2252"/>
    </row>
    <row r="97" spans="2:11" ht="27.75" customHeight="1">
      <c r="B97" s="373">
        <v>63</v>
      </c>
      <c r="C97" s="374"/>
      <c r="D97" s="375" t="str">
        <f t="shared" ca="1" si="2"/>
        <v/>
      </c>
      <c r="E97" s="376"/>
      <c r="F97" s="377"/>
      <c r="G97" s="376"/>
      <c r="H97" s="377"/>
      <c r="I97" s="378" t="str">
        <f t="shared" si="3"/>
        <v/>
      </c>
      <c r="J97" s="2252"/>
      <c r="K97" s="2252"/>
    </row>
    <row r="98" spans="2:11" ht="27.75" customHeight="1">
      <c r="B98" s="373">
        <v>64</v>
      </c>
      <c r="C98" s="374"/>
      <c r="D98" s="375" t="str">
        <f t="shared" ca="1" si="2"/>
        <v/>
      </c>
      <c r="E98" s="376"/>
      <c r="F98" s="377"/>
      <c r="G98" s="376"/>
      <c r="H98" s="377"/>
      <c r="I98" s="378" t="str">
        <f t="shared" si="3"/>
        <v/>
      </c>
      <c r="J98" s="2252"/>
      <c r="K98" s="2252"/>
    </row>
    <row r="99" spans="2:11" ht="27.75" customHeight="1">
      <c r="B99" s="373">
        <v>65</v>
      </c>
      <c r="C99" s="374"/>
      <c r="D99" s="375" t="str">
        <f t="shared" ref="D99:D134" ca="1" si="4">IFERROR(OFFSET($D$10,MATCH(C99,Fuente,0),0,1,1),"")</f>
        <v/>
      </c>
      <c r="E99" s="376"/>
      <c r="F99" s="377"/>
      <c r="G99" s="376"/>
      <c r="H99" s="377"/>
      <c r="I99" s="378" t="str">
        <f t="shared" si="3"/>
        <v/>
      </c>
      <c r="J99" s="2252"/>
      <c r="K99" s="2252"/>
    </row>
    <row r="100" spans="2:11" ht="27.75" customHeight="1">
      <c r="B100" s="373">
        <v>66</v>
      </c>
      <c r="C100" s="374"/>
      <c r="D100" s="375" t="str">
        <f t="shared" ca="1" si="4"/>
        <v/>
      </c>
      <c r="E100" s="376"/>
      <c r="F100" s="377"/>
      <c r="G100" s="376"/>
      <c r="H100" s="377"/>
      <c r="I100" s="378" t="str">
        <f t="shared" ref="I100:I134" si="5">IF(((G100-E100)*24)+((HOUR(H100)-HOUR(F100))+((MINUTE(H100)-MINUTE(F100))/60))=0,"",((G100-E100)*24)+((HOUR(H100)-HOUR(F100))+((MINUTE(H100)-MINUTE(F100))/60)))</f>
        <v/>
      </c>
      <c r="J100" s="2252"/>
      <c r="K100" s="2252"/>
    </row>
    <row r="101" spans="2:11" ht="27.75" customHeight="1">
      <c r="B101" s="373">
        <v>67</v>
      </c>
      <c r="C101" s="374"/>
      <c r="D101" s="375" t="str">
        <f t="shared" ca="1" si="4"/>
        <v/>
      </c>
      <c r="E101" s="376"/>
      <c r="F101" s="377"/>
      <c r="G101" s="376"/>
      <c r="H101" s="377"/>
      <c r="I101" s="378" t="str">
        <f t="shared" si="5"/>
        <v/>
      </c>
      <c r="J101" s="2252"/>
      <c r="K101" s="2252"/>
    </row>
    <row r="102" spans="2:11" ht="27.75" customHeight="1">
      <c r="B102" s="373">
        <v>68</v>
      </c>
      <c r="C102" s="374"/>
      <c r="D102" s="375" t="str">
        <f t="shared" ca="1" si="4"/>
        <v/>
      </c>
      <c r="E102" s="376"/>
      <c r="F102" s="377"/>
      <c r="G102" s="376"/>
      <c r="H102" s="377"/>
      <c r="I102" s="378" t="str">
        <f t="shared" si="5"/>
        <v/>
      </c>
      <c r="J102" s="2252"/>
      <c r="K102" s="2252"/>
    </row>
    <row r="103" spans="2:11" ht="27.75" customHeight="1">
      <c r="B103" s="373">
        <v>69</v>
      </c>
      <c r="C103" s="374"/>
      <c r="D103" s="375" t="str">
        <f t="shared" ca="1" si="4"/>
        <v/>
      </c>
      <c r="E103" s="376"/>
      <c r="F103" s="377"/>
      <c r="G103" s="376"/>
      <c r="H103" s="377"/>
      <c r="I103" s="378" t="str">
        <f t="shared" si="5"/>
        <v/>
      </c>
      <c r="J103" s="2252"/>
      <c r="K103" s="2252"/>
    </row>
    <row r="104" spans="2:11" ht="27.75" customHeight="1">
      <c r="B104" s="373">
        <v>70</v>
      </c>
      <c r="C104" s="374"/>
      <c r="D104" s="375" t="str">
        <f t="shared" ca="1" si="4"/>
        <v/>
      </c>
      <c r="E104" s="376"/>
      <c r="F104" s="377"/>
      <c r="G104" s="376"/>
      <c r="H104" s="377"/>
      <c r="I104" s="378" t="str">
        <f t="shared" si="5"/>
        <v/>
      </c>
      <c r="J104" s="2252"/>
      <c r="K104" s="2252"/>
    </row>
    <row r="105" spans="2:11" ht="27.75" customHeight="1">
      <c r="B105" s="373">
        <v>71</v>
      </c>
      <c r="C105" s="374"/>
      <c r="D105" s="375" t="str">
        <f t="shared" ca="1" si="4"/>
        <v/>
      </c>
      <c r="E105" s="376"/>
      <c r="F105" s="377"/>
      <c r="G105" s="376"/>
      <c r="H105" s="377"/>
      <c r="I105" s="378" t="str">
        <f t="shared" si="5"/>
        <v/>
      </c>
      <c r="J105" s="2252"/>
      <c r="K105" s="2252"/>
    </row>
    <row r="106" spans="2:11" ht="27.75" customHeight="1">
      <c r="B106" s="373">
        <v>72</v>
      </c>
      <c r="C106" s="374"/>
      <c r="D106" s="375" t="str">
        <f t="shared" ca="1" si="4"/>
        <v/>
      </c>
      <c r="E106" s="376"/>
      <c r="F106" s="377"/>
      <c r="G106" s="376"/>
      <c r="H106" s="377"/>
      <c r="I106" s="378" t="str">
        <f t="shared" si="5"/>
        <v/>
      </c>
      <c r="J106" s="2252"/>
      <c r="K106" s="2252"/>
    </row>
    <row r="107" spans="2:11" ht="27.75" customHeight="1">
      <c r="B107" s="373">
        <v>73</v>
      </c>
      <c r="C107" s="374"/>
      <c r="D107" s="375" t="str">
        <f t="shared" ca="1" si="4"/>
        <v/>
      </c>
      <c r="E107" s="376"/>
      <c r="F107" s="377"/>
      <c r="G107" s="376"/>
      <c r="H107" s="377"/>
      <c r="I107" s="378" t="str">
        <f t="shared" si="5"/>
        <v/>
      </c>
      <c r="J107" s="2252"/>
      <c r="K107" s="2252"/>
    </row>
    <row r="108" spans="2:11" ht="27.75" customHeight="1">
      <c r="B108" s="373">
        <v>74</v>
      </c>
      <c r="C108" s="374"/>
      <c r="D108" s="375" t="str">
        <f t="shared" ca="1" si="4"/>
        <v/>
      </c>
      <c r="E108" s="376"/>
      <c r="F108" s="377"/>
      <c r="G108" s="376"/>
      <c r="H108" s="377"/>
      <c r="I108" s="378" t="str">
        <f t="shared" si="5"/>
        <v/>
      </c>
      <c r="J108" s="2252"/>
      <c r="K108" s="2252"/>
    </row>
    <row r="109" spans="2:11" ht="27.75" customHeight="1">
      <c r="B109" s="373">
        <v>75</v>
      </c>
      <c r="C109" s="374"/>
      <c r="D109" s="375" t="str">
        <f t="shared" ca="1" si="4"/>
        <v/>
      </c>
      <c r="E109" s="376"/>
      <c r="F109" s="377"/>
      <c r="G109" s="376"/>
      <c r="H109" s="377"/>
      <c r="I109" s="378" t="str">
        <f t="shared" si="5"/>
        <v/>
      </c>
      <c r="J109" s="2252"/>
      <c r="K109" s="2252"/>
    </row>
    <row r="110" spans="2:11" ht="27.75" customHeight="1">
      <c r="B110" s="373">
        <v>76</v>
      </c>
      <c r="C110" s="374"/>
      <c r="D110" s="375" t="str">
        <f t="shared" ca="1" si="4"/>
        <v/>
      </c>
      <c r="E110" s="376"/>
      <c r="F110" s="377"/>
      <c r="G110" s="376"/>
      <c r="H110" s="377"/>
      <c r="I110" s="378" t="str">
        <f t="shared" si="5"/>
        <v/>
      </c>
      <c r="J110" s="2252"/>
      <c r="K110" s="2252"/>
    </row>
    <row r="111" spans="2:11" ht="27.75" customHeight="1">
      <c r="B111" s="373">
        <v>77</v>
      </c>
      <c r="C111" s="374"/>
      <c r="D111" s="375" t="str">
        <f t="shared" ca="1" si="4"/>
        <v/>
      </c>
      <c r="E111" s="376"/>
      <c r="F111" s="377"/>
      <c r="G111" s="376"/>
      <c r="H111" s="377"/>
      <c r="I111" s="378" t="str">
        <f t="shared" si="5"/>
        <v/>
      </c>
      <c r="J111" s="2252"/>
      <c r="K111" s="2252"/>
    </row>
    <row r="112" spans="2:11" ht="27.75" customHeight="1">
      <c r="B112" s="373">
        <v>78</v>
      </c>
      <c r="C112" s="374"/>
      <c r="D112" s="375" t="str">
        <f t="shared" ca="1" si="4"/>
        <v/>
      </c>
      <c r="E112" s="376"/>
      <c r="F112" s="377"/>
      <c r="G112" s="376"/>
      <c r="H112" s="377"/>
      <c r="I112" s="378" t="str">
        <f t="shared" si="5"/>
        <v/>
      </c>
      <c r="J112" s="2252"/>
      <c r="K112" s="2252"/>
    </row>
    <row r="113" spans="2:11" ht="27.75" customHeight="1">
      <c r="B113" s="373">
        <v>79</v>
      </c>
      <c r="C113" s="374"/>
      <c r="D113" s="375" t="str">
        <f t="shared" ca="1" si="4"/>
        <v/>
      </c>
      <c r="E113" s="376"/>
      <c r="F113" s="377"/>
      <c r="G113" s="376"/>
      <c r="H113" s="377"/>
      <c r="I113" s="378" t="str">
        <f t="shared" si="5"/>
        <v/>
      </c>
      <c r="J113" s="2252"/>
      <c r="K113" s="2252"/>
    </row>
    <row r="114" spans="2:11" ht="27.75" customHeight="1">
      <c r="B114" s="373">
        <v>80</v>
      </c>
      <c r="C114" s="374"/>
      <c r="D114" s="375" t="str">
        <f t="shared" ca="1" si="4"/>
        <v/>
      </c>
      <c r="E114" s="376"/>
      <c r="F114" s="377"/>
      <c r="G114" s="376"/>
      <c r="H114" s="377"/>
      <c r="I114" s="378" t="str">
        <f t="shared" si="5"/>
        <v/>
      </c>
      <c r="J114" s="2252"/>
      <c r="K114" s="2252"/>
    </row>
    <row r="115" spans="2:11" ht="27.75" customHeight="1">
      <c r="B115" s="373">
        <v>81</v>
      </c>
      <c r="C115" s="374"/>
      <c r="D115" s="375" t="str">
        <f t="shared" ca="1" si="4"/>
        <v/>
      </c>
      <c r="E115" s="376"/>
      <c r="F115" s="377"/>
      <c r="G115" s="376"/>
      <c r="H115" s="377"/>
      <c r="I115" s="378" t="str">
        <f t="shared" si="5"/>
        <v/>
      </c>
      <c r="J115" s="2252"/>
      <c r="K115" s="2252"/>
    </row>
    <row r="116" spans="2:11" ht="27.75" customHeight="1">
      <c r="B116" s="373">
        <v>82</v>
      </c>
      <c r="C116" s="374"/>
      <c r="D116" s="375" t="str">
        <f t="shared" ca="1" si="4"/>
        <v/>
      </c>
      <c r="E116" s="376"/>
      <c r="F116" s="377"/>
      <c r="G116" s="376"/>
      <c r="H116" s="377"/>
      <c r="I116" s="378" t="str">
        <f t="shared" si="5"/>
        <v/>
      </c>
      <c r="J116" s="2252"/>
      <c r="K116" s="2252"/>
    </row>
    <row r="117" spans="2:11" ht="27.75" customHeight="1">
      <c r="B117" s="373">
        <v>83</v>
      </c>
      <c r="C117" s="374"/>
      <c r="D117" s="375" t="str">
        <f t="shared" ca="1" si="4"/>
        <v/>
      </c>
      <c r="E117" s="376"/>
      <c r="F117" s="377"/>
      <c r="G117" s="376"/>
      <c r="H117" s="377"/>
      <c r="I117" s="378" t="str">
        <f t="shared" si="5"/>
        <v/>
      </c>
      <c r="J117" s="2252"/>
      <c r="K117" s="2252"/>
    </row>
    <row r="118" spans="2:11" ht="27.75" customHeight="1">
      <c r="B118" s="373">
        <v>84</v>
      </c>
      <c r="C118" s="374"/>
      <c r="D118" s="375" t="str">
        <f t="shared" ca="1" si="4"/>
        <v/>
      </c>
      <c r="E118" s="376"/>
      <c r="F118" s="377"/>
      <c r="G118" s="376"/>
      <c r="H118" s="377"/>
      <c r="I118" s="378" t="str">
        <f t="shared" si="5"/>
        <v/>
      </c>
      <c r="J118" s="2252"/>
      <c r="K118" s="2252"/>
    </row>
    <row r="119" spans="2:11" ht="27.75" customHeight="1">
      <c r="B119" s="373">
        <v>85</v>
      </c>
      <c r="C119" s="374"/>
      <c r="D119" s="375" t="str">
        <f t="shared" ca="1" si="4"/>
        <v/>
      </c>
      <c r="E119" s="376"/>
      <c r="F119" s="377"/>
      <c r="G119" s="376"/>
      <c r="H119" s="377"/>
      <c r="I119" s="378" t="str">
        <f t="shared" si="5"/>
        <v/>
      </c>
      <c r="J119" s="2252"/>
      <c r="K119" s="2252"/>
    </row>
    <row r="120" spans="2:11" ht="27.75" customHeight="1">
      <c r="B120" s="373">
        <v>86</v>
      </c>
      <c r="C120" s="374"/>
      <c r="D120" s="375" t="str">
        <f t="shared" ca="1" si="4"/>
        <v/>
      </c>
      <c r="E120" s="376"/>
      <c r="F120" s="377"/>
      <c r="G120" s="376"/>
      <c r="H120" s="377"/>
      <c r="I120" s="378" t="str">
        <f t="shared" si="5"/>
        <v/>
      </c>
      <c r="J120" s="2252"/>
      <c r="K120" s="2252"/>
    </row>
    <row r="121" spans="2:11" ht="27.75" customHeight="1">
      <c r="B121" s="373">
        <v>87</v>
      </c>
      <c r="C121" s="374"/>
      <c r="D121" s="375" t="str">
        <f t="shared" ca="1" si="4"/>
        <v/>
      </c>
      <c r="E121" s="376"/>
      <c r="F121" s="377"/>
      <c r="G121" s="376"/>
      <c r="H121" s="377"/>
      <c r="I121" s="378" t="str">
        <f t="shared" si="5"/>
        <v/>
      </c>
      <c r="J121" s="2252"/>
      <c r="K121" s="2252"/>
    </row>
    <row r="122" spans="2:11" ht="27.75" customHeight="1">
      <c r="B122" s="373">
        <v>88</v>
      </c>
      <c r="C122" s="374"/>
      <c r="D122" s="375" t="str">
        <f t="shared" ca="1" si="4"/>
        <v/>
      </c>
      <c r="E122" s="376"/>
      <c r="F122" s="377"/>
      <c r="G122" s="376"/>
      <c r="H122" s="377"/>
      <c r="I122" s="378" t="str">
        <f t="shared" si="5"/>
        <v/>
      </c>
      <c r="J122" s="2252"/>
      <c r="K122" s="2252"/>
    </row>
    <row r="123" spans="2:11" ht="27.75" customHeight="1">
      <c r="B123" s="373">
        <v>89</v>
      </c>
      <c r="C123" s="374"/>
      <c r="D123" s="375" t="str">
        <f t="shared" ca="1" si="4"/>
        <v/>
      </c>
      <c r="E123" s="376"/>
      <c r="F123" s="377"/>
      <c r="G123" s="376"/>
      <c r="H123" s="377"/>
      <c r="I123" s="378" t="str">
        <f t="shared" si="5"/>
        <v/>
      </c>
      <c r="J123" s="2252"/>
      <c r="K123" s="2252"/>
    </row>
    <row r="124" spans="2:11" ht="27.75" customHeight="1">
      <c r="B124" s="373">
        <v>90</v>
      </c>
      <c r="C124" s="374"/>
      <c r="D124" s="375" t="str">
        <f t="shared" ca="1" si="4"/>
        <v/>
      </c>
      <c r="E124" s="376"/>
      <c r="F124" s="377"/>
      <c r="G124" s="376"/>
      <c r="H124" s="377"/>
      <c r="I124" s="378" t="str">
        <f t="shared" si="5"/>
        <v/>
      </c>
      <c r="J124" s="2252"/>
      <c r="K124" s="2252"/>
    </row>
    <row r="125" spans="2:11" ht="27.75" customHeight="1">
      <c r="B125" s="373">
        <v>91</v>
      </c>
      <c r="C125" s="374"/>
      <c r="D125" s="375" t="str">
        <f t="shared" ca="1" si="4"/>
        <v/>
      </c>
      <c r="E125" s="376"/>
      <c r="F125" s="377"/>
      <c r="G125" s="376"/>
      <c r="H125" s="377"/>
      <c r="I125" s="378" t="str">
        <f t="shared" si="5"/>
        <v/>
      </c>
      <c r="J125" s="2252"/>
      <c r="K125" s="2252"/>
    </row>
    <row r="126" spans="2:11" ht="27.75" customHeight="1">
      <c r="B126" s="373">
        <v>92</v>
      </c>
      <c r="C126" s="374"/>
      <c r="D126" s="375" t="str">
        <f t="shared" ca="1" si="4"/>
        <v/>
      </c>
      <c r="E126" s="376"/>
      <c r="F126" s="377"/>
      <c r="G126" s="376"/>
      <c r="H126" s="377"/>
      <c r="I126" s="378" t="str">
        <f t="shared" si="5"/>
        <v/>
      </c>
      <c r="J126" s="2252"/>
      <c r="K126" s="2252"/>
    </row>
    <row r="127" spans="2:11" ht="27.75" customHeight="1">
      <c r="B127" s="373">
        <v>93</v>
      </c>
      <c r="C127" s="374"/>
      <c r="D127" s="375" t="str">
        <f t="shared" ca="1" si="4"/>
        <v/>
      </c>
      <c r="E127" s="376"/>
      <c r="F127" s="377"/>
      <c r="G127" s="376"/>
      <c r="H127" s="377"/>
      <c r="I127" s="378" t="str">
        <f t="shared" si="5"/>
        <v/>
      </c>
      <c r="J127" s="2252"/>
      <c r="K127" s="2252"/>
    </row>
    <row r="128" spans="2:11" ht="27.75" customHeight="1">
      <c r="B128" s="373">
        <v>94</v>
      </c>
      <c r="C128" s="374"/>
      <c r="D128" s="375" t="str">
        <f t="shared" ca="1" si="4"/>
        <v/>
      </c>
      <c r="E128" s="376"/>
      <c r="F128" s="377"/>
      <c r="G128" s="376"/>
      <c r="H128" s="377"/>
      <c r="I128" s="378" t="str">
        <f t="shared" si="5"/>
        <v/>
      </c>
      <c r="J128" s="2252"/>
      <c r="K128" s="2252"/>
    </row>
    <row r="129" spans="2:11" ht="27.75" customHeight="1">
      <c r="B129" s="373">
        <v>95</v>
      </c>
      <c r="C129" s="374"/>
      <c r="D129" s="375" t="str">
        <f t="shared" ca="1" si="4"/>
        <v/>
      </c>
      <c r="E129" s="376"/>
      <c r="F129" s="377"/>
      <c r="G129" s="376"/>
      <c r="H129" s="377"/>
      <c r="I129" s="378" t="str">
        <f t="shared" si="5"/>
        <v/>
      </c>
      <c r="J129" s="2252"/>
      <c r="K129" s="2252"/>
    </row>
    <row r="130" spans="2:11" ht="27.75" customHeight="1">
      <c r="B130" s="373">
        <v>96</v>
      </c>
      <c r="C130" s="374"/>
      <c r="D130" s="375" t="str">
        <f t="shared" ca="1" si="4"/>
        <v/>
      </c>
      <c r="E130" s="376"/>
      <c r="F130" s="377"/>
      <c r="G130" s="376"/>
      <c r="H130" s="377"/>
      <c r="I130" s="378" t="str">
        <f t="shared" si="5"/>
        <v/>
      </c>
      <c r="J130" s="2252"/>
      <c r="K130" s="2252"/>
    </row>
    <row r="131" spans="2:11" ht="27.75" customHeight="1">
      <c r="B131" s="373">
        <v>97</v>
      </c>
      <c r="C131" s="374"/>
      <c r="D131" s="375" t="str">
        <f t="shared" ca="1" si="4"/>
        <v/>
      </c>
      <c r="E131" s="376"/>
      <c r="F131" s="377"/>
      <c r="G131" s="376"/>
      <c r="H131" s="377"/>
      <c r="I131" s="378" t="str">
        <f t="shared" si="5"/>
        <v/>
      </c>
      <c r="J131" s="2252"/>
      <c r="K131" s="2252"/>
    </row>
    <row r="132" spans="2:11" ht="27.75" customHeight="1">
      <c r="B132" s="373">
        <v>98</v>
      </c>
      <c r="C132" s="374"/>
      <c r="D132" s="375" t="str">
        <f t="shared" ca="1" si="4"/>
        <v/>
      </c>
      <c r="E132" s="376"/>
      <c r="F132" s="377"/>
      <c r="G132" s="376"/>
      <c r="H132" s="377"/>
      <c r="I132" s="378" t="str">
        <f t="shared" si="5"/>
        <v/>
      </c>
      <c r="J132" s="2252"/>
      <c r="K132" s="2252"/>
    </row>
    <row r="133" spans="2:11" ht="27.75" customHeight="1">
      <c r="B133" s="373">
        <v>99</v>
      </c>
      <c r="C133" s="374"/>
      <c r="D133" s="375" t="str">
        <f t="shared" ca="1" si="4"/>
        <v/>
      </c>
      <c r="E133" s="376"/>
      <c r="F133" s="377"/>
      <c r="G133" s="376"/>
      <c r="H133" s="377"/>
      <c r="I133" s="378" t="str">
        <f t="shared" si="5"/>
        <v/>
      </c>
      <c r="J133" s="2252"/>
      <c r="K133" s="2252"/>
    </row>
    <row r="134" spans="2:11" ht="27.75" customHeight="1">
      <c r="B134" s="373">
        <v>100</v>
      </c>
      <c r="C134" s="374"/>
      <c r="D134" s="375" t="str">
        <f t="shared" ca="1" si="4"/>
        <v/>
      </c>
      <c r="E134" s="376"/>
      <c r="F134" s="377"/>
      <c r="G134" s="376"/>
      <c r="H134" s="377"/>
      <c r="I134" s="378" t="str">
        <f t="shared" si="5"/>
        <v/>
      </c>
      <c r="J134" s="2252"/>
      <c r="K134" s="2252"/>
    </row>
    <row r="135" spans="2:11" ht="14.5">
      <c r="B135" s="381"/>
      <c r="C135" s="381"/>
      <c r="D135" s="381"/>
      <c r="E135" s="381"/>
      <c r="F135" s="381"/>
      <c r="G135" s="381"/>
      <c r="H135" s="381"/>
      <c r="I135" s="381"/>
    </row>
    <row r="136" spans="2:11" ht="14.5" hidden="1">
      <c r="B136" s="381"/>
      <c r="C136" s="381"/>
      <c r="D136" s="381"/>
      <c r="E136" s="381"/>
      <c r="F136" s="381"/>
      <c r="G136" s="381"/>
      <c r="H136" s="381"/>
      <c r="I136" s="381"/>
    </row>
  </sheetData>
  <sheetProtection password="CD4E" sheet="1" objects="1" scenarios="1"/>
  <mergeCells count="105">
    <mergeCell ref="J132:K132"/>
    <mergeCell ref="J133:K133"/>
    <mergeCell ref="J134:K134"/>
    <mergeCell ref="J126:K126"/>
    <mergeCell ref="J127:K127"/>
    <mergeCell ref="J128:K128"/>
    <mergeCell ref="J129:K129"/>
    <mergeCell ref="J130:K130"/>
    <mergeCell ref="J131:K131"/>
    <mergeCell ref="J120:K120"/>
    <mergeCell ref="J121:K121"/>
    <mergeCell ref="J122:K122"/>
    <mergeCell ref="J123:K123"/>
    <mergeCell ref="J124:K124"/>
    <mergeCell ref="J125:K125"/>
    <mergeCell ref="J114:K114"/>
    <mergeCell ref="J115:K115"/>
    <mergeCell ref="J116:K116"/>
    <mergeCell ref="J117:K117"/>
    <mergeCell ref="J118:K118"/>
    <mergeCell ref="J119:K119"/>
    <mergeCell ref="J108:K108"/>
    <mergeCell ref="J109:K109"/>
    <mergeCell ref="J110:K110"/>
    <mergeCell ref="J111:K111"/>
    <mergeCell ref="J112:K112"/>
    <mergeCell ref="J113:K113"/>
    <mergeCell ref="J102:K102"/>
    <mergeCell ref="J103:K103"/>
    <mergeCell ref="J104:K104"/>
    <mergeCell ref="J105:K105"/>
    <mergeCell ref="J106:K106"/>
    <mergeCell ref="J107:K107"/>
    <mergeCell ref="J96:K96"/>
    <mergeCell ref="J97:K97"/>
    <mergeCell ref="J98:K98"/>
    <mergeCell ref="J99:K99"/>
    <mergeCell ref="J100:K100"/>
    <mergeCell ref="J101:K101"/>
    <mergeCell ref="J90:K90"/>
    <mergeCell ref="J91:K91"/>
    <mergeCell ref="J92:K92"/>
    <mergeCell ref="J93:K93"/>
    <mergeCell ref="J94:K94"/>
    <mergeCell ref="J95:K95"/>
    <mergeCell ref="J84:K84"/>
    <mergeCell ref="J85:K85"/>
    <mergeCell ref="J86:K86"/>
    <mergeCell ref="J87:K87"/>
    <mergeCell ref="J88:K88"/>
    <mergeCell ref="J89:K89"/>
    <mergeCell ref="J78:K78"/>
    <mergeCell ref="J79:K79"/>
    <mergeCell ref="J80:K80"/>
    <mergeCell ref="J81:K81"/>
    <mergeCell ref="J82:K82"/>
    <mergeCell ref="J83:K83"/>
    <mergeCell ref="J72:K72"/>
    <mergeCell ref="J73:K73"/>
    <mergeCell ref="J74:K74"/>
    <mergeCell ref="J75:K75"/>
    <mergeCell ref="J76:K76"/>
    <mergeCell ref="J77:K77"/>
    <mergeCell ref="J66:K66"/>
    <mergeCell ref="J67:K67"/>
    <mergeCell ref="J68:K68"/>
    <mergeCell ref="J69:K69"/>
    <mergeCell ref="J70:K70"/>
    <mergeCell ref="J71:K71"/>
    <mergeCell ref="J60:K60"/>
    <mergeCell ref="J61:K61"/>
    <mergeCell ref="J62:K62"/>
    <mergeCell ref="J63:K63"/>
    <mergeCell ref="J64:K64"/>
    <mergeCell ref="J65:K65"/>
    <mergeCell ref="J54:K54"/>
    <mergeCell ref="J55:K55"/>
    <mergeCell ref="J56:K56"/>
    <mergeCell ref="J57:K57"/>
    <mergeCell ref="J58:K58"/>
    <mergeCell ref="J59:K59"/>
    <mergeCell ref="J48:K48"/>
    <mergeCell ref="J49:K49"/>
    <mergeCell ref="J50:K50"/>
    <mergeCell ref="J51:K51"/>
    <mergeCell ref="J52:K52"/>
    <mergeCell ref="J53:K53"/>
    <mergeCell ref="J42:K42"/>
    <mergeCell ref="J43:K43"/>
    <mergeCell ref="J44:K44"/>
    <mergeCell ref="J45:K45"/>
    <mergeCell ref="J46:K46"/>
    <mergeCell ref="J47:K47"/>
    <mergeCell ref="J36:K36"/>
    <mergeCell ref="J37:K37"/>
    <mergeCell ref="J38:K38"/>
    <mergeCell ref="J39:K39"/>
    <mergeCell ref="J40:K40"/>
    <mergeCell ref="J41:K41"/>
    <mergeCell ref="B2:C2"/>
    <mergeCell ref="B9:E9"/>
    <mergeCell ref="H9:J9"/>
    <mergeCell ref="B33:K33"/>
    <mergeCell ref="J34:K34"/>
    <mergeCell ref="J35:K35"/>
  </mergeCells>
  <dataValidations count="6">
    <dataValidation type="list" allowBlank="1" showInputMessage="1" showErrorMessage="1" sqref="F7:G7 C7">
      <formula1>Zona</formula1>
    </dataValidation>
    <dataValidation type="list" allowBlank="1" showInputMessage="1" showErrorMessage="1" sqref="F6:G6 C6">
      <formula1>INDIRECT($C$5)</formula1>
    </dataValidation>
    <dataValidation type="list" allowBlank="1" showInputMessage="1" showErrorMessage="1" sqref="F5:G5 C5">
      <formula1>Vicepresidencia</formula1>
    </dataValidation>
    <dataValidation type="list" allowBlank="1" showInputMessage="1" showErrorMessage="1" sqref="C35:C134">
      <formula1>Fuente</formula1>
    </dataValidation>
    <dataValidation type="list" allowBlank="1" showInputMessage="1" showErrorMessage="1" sqref="C11:C30">
      <formula1>Tipo_Fuente</formula1>
    </dataValidation>
    <dataValidation type="list" allowBlank="1" showInputMessage="1" showErrorMessage="1" sqref="C4">
      <formula1>Instalacion</formula1>
    </dataValidation>
  </dataValidations>
  <pageMargins left="0.70866141732283472" right="0.70866141732283472" top="0.74803149606299213" bottom="0.74803149606299213" header="0.31496062992125984" footer="0.31496062992125984"/>
  <pageSetup paperSize="9" scale="15" orientation="landscape" r:id="rId1"/>
  <drawing r:id="rId2"/>
  <legacyDrawing r:id="rId3"/>
  <controls>
    <mc:AlternateContent xmlns:mc="http://schemas.openxmlformats.org/markup-compatibility/2006">
      <mc:Choice Requires="x14">
        <control shapeId="34817" r:id="rId4" name="Indisponibilidad">
          <controlPr defaultSize="0" autoLine="0" r:id="rId5">
            <anchor moveWithCells="1">
              <from>
                <xdr:col>7</xdr:col>
                <xdr:colOff>660400</xdr:colOff>
                <xdr:row>4</xdr:row>
                <xdr:rowOff>107950</xdr:rowOff>
              </from>
              <to>
                <xdr:col>9</xdr:col>
                <xdr:colOff>508000</xdr:colOff>
                <xdr:row>7</xdr:row>
                <xdr:rowOff>177800</xdr:rowOff>
              </to>
            </anchor>
          </controlPr>
        </control>
      </mc:Choice>
      <mc:Fallback>
        <control shapeId="34817" r:id="rId4" name="Indisponibilidad"/>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theme="3" tint="0.39997558519241921"/>
  </sheetPr>
  <dimension ref="A1"/>
  <sheetViews>
    <sheetView zoomScale="50" zoomScaleNormal="50" workbookViewId="0">
      <selection activeCell="U39" sqref="U35:U39"/>
    </sheetView>
  </sheetViews>
  <sheetFormatPr baseColWidth="10" defaultColWidth="11.453125" defaultRowHeight="14.5"/>
  <cols>
    <col min="1" max="16384" width="11.453125" style="468"/>
  </cols>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W206"/>
  <sheetViews>
    <sheetView showGridLines="0" zoomScale="70" zoomScaleNormal="70" workbookViewId="0">
      <selection activeCell="F375" sqref="F375"/>
    </sheetView>
  </sheetViews>
  <sheetFormatPr baseColWidth="10" defaultColWidth="9.1796875" defaultRowHeight="14.5"/>
  <cols>
    <col min="1" max="2" width="10.54296875" bestFit="1" customWidth="1"/>
    <col min="3" max="3" width="8.1796875" bestFit="1" customWidth="1"/>
    <col min="6" max="6" width="12.81640625" customWidth="1"/>
    <col min="7" max="7" width="12.54296875" customWidth="1"/>
    <col min="8" max="9" width="10.81640625" customWidth="1"/>
    <col min="10" max="10" width="11.54296875" customWidth="1"/>
    <col min="11" max="11" width="14.453125" customWidth="1"/>
    <col min="14" max="14" width="9.453125" bestFit="1" customWidth="1"/>
    <col min="15" max="15" width="10.90625" customWidth="1"/>
    <col min="17" max="17" width="11.6328125" customWidth="1"/>
    <col min="19" max="19" width="10.7265625" customWidth="1"/>
    <col min="23" max="23" width="14.453125" customWidth="1"/>
    <col min="255" max="256" width="10.54296875" bestFit="1" customWidth="1"/>
    <col min="257" max="257" width="8.1796875" bestFit="1" customWidth="1"/>
    <col min="260" max="260" width="12.81640625" customWidth="1"/>
    <col min="261" max="261" width="12.54296875" customWidth="1"/>
    <col min="262" max="263" width="10.81640625" customWidth="1"/>
    <col min="264" max="264" width="11.54296875" customWidth="1"/>
    <col min="265" max="265" width="14.453125" customWidth="1"/>
    <col min="266" max="266" width="14.1796875" customWidth="1"/>
    <col min="511" max="512" width="10.54296875" bestFit="1" customWidth="1"/>
    <col min="513" max="513" width="8.1796875" bestFit="1" customWidth="1"/>
    <col min="516" max="516" width="12.81640625" customWidth="1"/>
    <col min="517" max="517" width="12.54296875" customWidth="1"/>
    <col min="518" max="519" width="10.81640625" customWidth="1"/>
    <col min="520" max="520" width="11.54296875" customWidth="1"/>
    <col min="521" max="521" width="14.453125" customWidth="1"/>
    <col min="522" max="522" width="14.1796875" customWidth="1"/>
    <col min="767" max="768" width="10.54296875" bestFit="1" customWidth="1"/>
    <col min="769" max="769" width="8.1796875" bestFit="1" customWidth="1"/>
    <col min="772" max="772" width="12.81640625" customWidth="1"/>
    <col min="773" max="773" width="12.54296875" customWidth="1"/>
    <col min="774" max="775" width="10.81640625" customWidth="1"/>
    <col min="776" max="776" width="11.54296875" customWidth="1"/>
    <col min="777" max="777" width="14.453125" customWidth="1"/>
    <col min="778" max="778" width="14.1796875" customWidth="1"/>
    <col min="1023" max="1024" width="10.54296875" bestFit="1" customWidth="1"/>
    <col min="1025" max="1025" width="8.1796875" bestFit="1" customWidth="1"/>
    <col min="1028" max="1028" width="12.81640625" customWidth="1"/>
    <col min="1029" max="1029" width="12.54296875" customWidth="1"/>
    <col min="1030" max="1031" width="10.81640625" customWidth="1"/>
    <col min="1032" max="1032" width="11.54296875" customWidth="1"/>
    <col min="1033" max="1033" width="14.453125" customWidth="1"/>
    <col min="1034" max="1034" width="14.1796875" customWidth="1"/>
    <col min="1279" max="1280" width="10.54296875" bestFit="1" customWidth="1"/>
    <col min="1281" max="1281" width="8.1796875" bestFit="1" customWidth="1"/>
    <col min="1284" max="1284" width="12.81640625" customWidth="1"/>
    <col min="1285" max="1285" width="12.54296875" customWidth="1"/>
    <col min="1286" max="1287" width="10.81640625" customWidth="1"/>
    <col min="1288" max="1288" width="11.54296875" customWidth="1"/>
    <col min="1289" max="1289" width="14.453125" customWidth="1"/>
    <col min="1290" max="1290" width="14.1796875" customWidth="1"/>
    <col min="1535" max="1536" width="10.54296875" bestFit="1" customWidth="1"/>
    <col min="1537" max="1537" width="8.1796875" bestFit="1" customWidth="1"/>
    <col min="1540" max="1540" width="12.81640625" customWidth="1"/>
    <col min="1541" max="1541" width="12.54296875" customWidth="1"/>
    <col min="1542" max="1543" width="10.81640625" customWidth="1"/>
    <col min="1544" max="1544" width="11.54296875" customWidth="1"/>
    <col min="1545" max="1545" width="14.453125" customWidth="1"/>
    <col min="1546" max="1546" width="14.1796875" customWidth="1"/>
    <col min="1791" max="1792" width="10.54296875" bestFit="1" customWidth="1"/>
    <col min="1793" max="1793" width="8.1796875" bestFit="1" customWidth="1"/>
    <col min="1796" max="1796" width="12.81640625" customWidth="1"/>
    <col min="1797" max="1797" width="12.54296875" customWidth="1"/>
    <col min="1798" max="1799" width="10.81640625" customWidth="1"/>
    <col min="1800" max="1800" width="11.54296875" customWidth="1"/>
    <col min="1801" max="1801" width="14.453125" customWidth="1"/>
    <col min="1802" max="1802" width="14.1796875" customWidth="1"/>
    <col min="2047" max="2048" width="10.54296875" bestFit="1" customWidth="1"/>
    <col min="2049" max="2049" width="8.1796875" bestFit="1" customWidth="1"/>
    <col min="2052" max="2052" width="12.81640625" customWidth="1"/>
    <col min="2053" max="2053" width="12.54296875" customWidth="1"/>
    <col min="2054" max="2055" width="10.81640625" customWidth="1"/>
    <col min="2056" max="2056" width="11.54296875" customWidth="1"/>
    <col min="2057" max="2057" width="14.453125" customWidth="1"/>
    <col min="2058" max="2058" width="14.1796875" customWidth="1"/>
    <col min="2303" max="2304" width="10.54296875" bestFit="1" customWidth="1"/>
    <col min="2305" max="2305" width="8.1796875" bestFit="1" customWidth="1"/>
    <col min="2308" max="2308" width="12.81640625" customWidth="1"/>
    <col min="2309" max="2309" width="12.54296875" customWidth="1"/>
    <col min="2310" max="2311" width="10.81640625" customWidth="1"/>
    <col min="2312" max="2312" width="11.54296875" customWidth="1"/>
    <col min="2313" max="2313" width="14.453125" customWidth="1"/>
    <col min="2314" max="2314" width="14.1796875" customWidth="1"/>
    <col min="2559" max="2560" width="10.54296875" bestFit="1" customWidth="1"/>
    <col min="2561" max="2561" width="8.1796875" bestFit="1" customWidth="1"/>
    <col min="2564" max="2564" width="12.81640625" customWidth="1"/>
    <col min="2565" max="2565" width="12.54296875" customWidth="1"/>
    <col min="2566" max="2567" width="10.81640625" customWidth="1"/>
    <col min="2568" max="2568" width="11.54296875" customWidth="1"/>
    <col min="2569" max="2569" width="14.453125" customWidth="1"/>
    <col min="2570" max="2570" width="14.1796875" customWidth="1"/>
    <col min="2815" max="2816" width="10.54296875" bestFit="1" customWidth="1"/>
    <col min="2817" max="2817" width="8.1796875" bestFit="1" customWidth="1"/>
    <col min="2820" max="2820" width="12.81640625" customWidth="1"/>
    <col min="2821" max="2821" width="12.54296875" customWidth="1"/>
    <col min="2822" max="2823" width="10.81640625" customWidth="1"/>
    <col min="2824" max="2824" width="11.54296875" customWidth="1"/>
    <col min="2825" max="2825" width="14.453125" customWidth="1"/>
    <col min="2826" max="2826" width="14.1796875" customWidth="1"/>
    <col min="3071" max="3072" width="10.54296875" bestFit="1" customWidth="1"/>
    <col min="3073" max="3073" width="8.1796875" bestFit="1" customWidth="1"/>
    <col min="3076" max="3076" width="12.81640625" customWidth="1"/>
    <col min="3077" max="3077" width="12.54296875" customWidth="1"/>
    <col min="3078" max="3079" width="10.81640625" customWidth="1"/>
    <col min="3080" max="3080" width="11.54296875" customWidth="1"/>
    <col min="3081" max="3081" width="14.453125" customWidth="1"/>
    <col min="3082" max="3082" width="14.1796875" customWidth="1"/>
    <col min="3327" max="3328" width="10.54296875" bestFit="1" customWidth="1"/>
    <col min="3329" max="3329" width="8.1796875" bestFit="1" customWidth="1"/>
    <col min="3332" max="3332" width="12.81640625" customWidth="1"/>
    <col min="3333" max="3333" width="12.54296875" customWidth="1"/>
    <col min="3334" max="3335" width="10.81640625" customWidth="1"/>
    <col min="3336" max="3336" width="11.54296875" customWidth="1"/>
    <col min="3337" max="3337" width="14.453125" customWidth="1"/>
    <col min="3338" max="3338" width="14.1796875" customWidth="1"/>
    <col min="3583" max="3584" width="10.54296875" bestFit="1" customWidth="1"/>
    <col min="3585" max="3585" width="8.1796875" bestFit="1" customWidth="1"/>
    <col min="3588" max="3588" width="12.81640625" customWidth="1"/>
    <col min="3589" max="3589" width="12.54296875" customWidth="1"/>
    <col min="3590" max="3591" width="10.81640625" customWidth="1"/>
    <col min="3592" max="3592" width="11.54296875" customWidth="1"/>
    <col min="3593" max="3593" width="14.453125" customWidth="1"/>
    <col min="3594" max="3594" width="14.1796875" customWidth="1"/>
    <col min="3839" max="3840" width="10.54296875" bestFit="1" customWidth="1"/>
    <col min="3841" max="3841" width="8.1796875" bestFit="1" customWidth="1"/>
    <col min="3844" max="3844" width="12.81640625" customWidth="1"/>
    <col min="3845" max="3845" width="12.54296875" customWidth="1"/>
    <col min="3846" max="3847" width="10.81640625" customWidth="1"/>
    <col min="3848" max="3848" width="11.54296875" customWidth="1"/>
    <col min="3849" max="3849" width="14.453125" customWidth="1"/>
    <col min="3850" max="3850" width="14.1796875" customWidth="1"/>
    <col min="4095" max="4096" width="10.54296875" bestFit="1" customWidth="1"/>
    <col min="4097" max="4097" width="8.1796875" bestFit="1" customWidth="1"/>
    <col min="4100" max="4100" width="12.81640625" customWidth="1"/>
    <col min="4101" max="4101" width="12.54296875" customWidth="1"/>
    <col min="4102" max="4103" width="10.81640625" customWidth="1"/>
    <col min="4104" max="4104" width="11.54296875" customWidth="1"/>
    <col min="4105" max="4105" width="14.453125" customWidth="1"/>
    <col min="4106" max="4106" width="14.1796875" customWidth="1"/>
    <col min="4351" max="4352" width="10.54296875" bestFit="1" customWidth="1"/>
    <col min="4353" max="4353" width="8.1796875" bestFit="1" customWidth="1"/>
    <col min="4356" max="4356" width="12.81640625" customWidth="1"/>
    <col min="4357" max="4357" width="12.54296875" customWidth="1"/>
    <col min="4358" max="4359" width="10.81640625" customWidth="1"/>
    <col min="4360" max="4360" width="11.54296875" customWidth="1"/>
    <col min="4361" max="4361" width="14.453125" customWidth="1"/>
    <col min="4362" max="4362" width="14.1796875" customWidth="1"/>
    <col min="4607" max="4608" width="10.54296875" bestFit="1" customWidth="1"/>
    <col min="4609" max="4609" width="8.1796875" bestFit="1" customWidth="1"/>
    <col min="4612" max="4612" width="12.81640625" customWidth="1"/>
    <col min="4613" max="4613" width="12.54296875" customWidth="1"/>
    <col min="4614" max="4615" width="10.81640625" customWidth="1"/>
    <col min="4616" max="4616" width="11.54296875" customWidth="1"/>
    <col min="4617" max="4617" width="14.453125" customWidth="1"/>
    <col min="4618" max="4618" width="14.1796875" customWidth="1"/>
    <col min="4863" max="4864" width="10.54296875" bestFit="1" customWidth="1"/>
    <col min="4865" max="4865" width="8.1796875" bestFit="1" customWidth="1"/>
    <col min="4868" max="4868" width="12.81640625" customWidth="1"/>
    <col min="4869" max="4869" width="12.54296875" customWidth="1"/>
    <col min="4870" max="4871" width="10.81640625" customWidth="1"/>
    <col min="4872" max="4872" width="11.54296875" customWidth="1"/>
    <col min="4873" max="4873" width="14.453125" customWidth="1"/>
    <col min="4874" max="4874" width="14.1796875" customWidth="1"/>
    <col min="5119" max="5120" width="10.54296875" bestFit="1" customWidth="1"/>
    <col min="5121" max="5121" width="8.1796875" bestFit="1" customWidth="1"/>
    <col min="5124" max="5124" width="12.81640625" customWidth="1"/>
    <col min="5125" max="5125" width="12.54296875" customWidth="1"/>
    <col min="5126" max="5127" width="10.81640625" customWidth="1"/>
    <col min="5128" max="5128" width="11.54296875" customWidth="1"/>
    <col min="5129" max="5129" width="14.453125" customWidth="1"/>
    <col min="5130" max="5130" width="14.1796875" customWidth="1"/>
    <col min="5375" max="5376" width="10.54296875" bestFit="1" customWidth="1"/>
    <col min="5377" max="5377" width="8.1796875" bestFit="1" customWidth="1"/>
    <col min="5380" max="5380" width="12.81640625" customWidth="1"/>
    <col min="5381" max="5381" width="12.54296875" customWidth="1"/>
    <col min="5382" max="5383" width="10.81640625" customWidth="1"/>
    <col min="5384" max="5384" width="11.54296875" customWidth="1"/>
    <col min="5385" max="5385" width="14.453125" customWidth="1"/>
    <col min="5386" max="5386" width="14.1796875" customWidth="1"/>
    <col min="5631" max="5632" width="10.54296875" bestFit="1" customWidth="1"/>
    <col min="5633" max="5633" width="8.1796875" bestFit="1" customWidth="1"/>
    <col min="5636" max="5636" width="12.81640625" customWidth="1"/>
    <col min="5637" max="5637" width="12.54296875" customWidth="1"/>
    <col min="5638" max="5639" width="10.81640625" customWidth="1"/>
    <col min="5640" max="5640" width="11.54296875" customWidth="1"/>
    <col min="5641" max="5641" width="14.453125" customWidth="1"/>
    <col min="5642" max="5642" width="14.1796875" customWidth="1"/>
    <col min="5887" max="5888" width="10.54296875" bestFit="1" customWidth="1"/>
    <col min="5889" max="5889" width="8.1796875" bestFit="1" customWidth="1"/>
    <col min="5892" max="5892" width="12.81640625" customWidth="1"/>
    <col min="5893" max="5893" width="12.54296875" customWidth="1"/>
    <col min="5894" max="5895" width="10.81640625" customWidth="1"/>
    <col min="5896" max="5896" width="11.54296875" customWidth="1"/>
    <col min="5897" max="5897" width="14.453125" customWidth="1"/>
    <col min="5898" max="5898" width="14.1796875" customWidth="1"/>
    <col min="6143" max="6144" width="10.54296875" bestFit="1" customWidth="1"/>
    <col min="6145" max="6145" width="8.1796875" bestFit="1" customWidth="1"/>
    <col min="6148" max="6148" width="12.81640625" customWidth="1"/>
    <col min="6149" max="6149" width="12.54296875" customWidth="1"/>
    <col min="6150" max="6151" width="10.81640625" customWidth="1"/>
    <col min="6152" max="6152" width="11.54296875" customWidth="1"/>
    <col min="6153" max="6153" width="14.453125" customWidth="1"/>
    <col min="6154" max="6154" width="14.1796875" customWidth="1"/>
    <col min="6399" max="6400" width="10.54296875" bestFit="1" customWidth="1"/>
    <col min="6401" max="6401" width="8.1796875" bestFit="1" customWidth="1"/>
    <col min="6404" max="6404" width="12.81640625" customWidth="1"/>
    <col min="6405" max="6405" width="12.54296875" customWidth="1"/>
    <col min="6406" max="6407" width="10.81640625" customWidth="1"/>
    <col min="6408" max="6408" width="11.54296875" customWidth="1"/>
    <col min="6409" max="6409" width="14.453125" customWidth="1"/>
    <col min="6410" max="6410" width="14.1796875" customWidth="1"/>
    <col min="6655" max="6656" width="10.54296875" bestFit="1" customWidth="1"/>
    <col min="6657" max="6657" width="8.1796875" bestFit="1" customWidth="1"/>
    <col min="6660" max="6660" width="12.81640625" customWidth="1"/>
    <col min="6661" max="6661" width="12.54296875" customWidth="1"/>
    <col min="6662" max="6663" width="10.81640625" customWidth="1"/>
    <col min="6664" max="6664" width="11.54296875" customWidth="1"/>
    <col min="6665" max="6665" width="14.453125" customWidth="1"/>
    <col min="6666" max="6666" width="14.1796875" customWidth="1"/>
    <col min="6911" max="6912" width="10.54296875" bestFit="1" customWidth="1"/>
    <col min="6913" max="6913" width="8.1796875" bestFit="1" customWidth="1"/>
    <col min="6916" max="6916" width="12.81640625" customWidth="1"/>
    <col min="6917" max="6917" width="12.54296875" customWidth="1"/>
    <col min="6918" max="6919" width="10.81640625" customWidth="1"/>
    <col min="6920" max="6920" width="11.54296875" customWidth="1"/>
    <col min="6921" max="6921" width="14.453125" customWidth="1"/>
    <col min="6922" max="6922" width="14.1796875" customWidth="1"/>
    <col min="7167" max="7168" width="10.54296875" bestFit="1" customWidth="1"/>
    <col min="7169" max="7169" width="8.1796875" bestFit="1" customWidth="1"/>
    <col min="7172" max="7172" width="12.81640625" customWidth="1"/>
    <col min="7173" max="7173" width="12.54296875" customWidth="1"/>
    <col min="7174" max="7175" width="10.81640625" customWidth="1"/>
    <col min="7176" max="7176" width="11.54296875" customWidth="1"/>
    <col min="7177" max="7177" width="14.453125" customWidth="1"/>
    <col min="7178" max="7178" width="14.1796875" customWidth="1"/>
    <col min="7423" max="7424" width="10.54296875" bestFit="1" customWidth="1"/>
    <col min="7425" max="7425" width="8.1796875" bestFit="1" customWidth="1"/>
    <col min="7428" max="7428" width="12.81640625" customWidth="1"/>
    <col min="7429" max="7429" width="12.54296875" customWidth="1"/>
    <col min="7430" max="7431" width="10.81640625" customWidth="1"/>
    <col min="7432" max="7432" width="11.54296875" customWidth="1"/>
    <col min="7433" max="7433" width="14.453125" customWidth="1"/>
    <col min="7434" max="7434" width="14.1796875" customWidth="1"/>
    <col min="7679" max="7680" width="10.54296875" bestFit="1" customWidth="1"/>
    <col min="7681" max="7681" width="8.1796875" bestFit="1" customWidth="1"/>
    <col min="7684" max="7684" width="12.81640625" customWidth="1"/>
    <col min="7685" max="7685" width="12.54296875" customWidth="1"/>
    <col min="7686" max="7687" width="10.81640625" customWidth="1"/>
    <col min="7688" max="7688" width="11.54296875" customWidth="1"/>
    <col min="7689" max="7689" width="14.453125" customWidth="1"/>
    <col min="7690" max="7690" width="14.1796875" customWidth="1"/>
    <col min="7935" max="7936" width="10.54296875" bestFit="1" customWidth="1"/>
    <col min="7937" max="7937" width="8.1796875" bestFit="1" customWidth="1"/>
    <col min="7940" max="7940" width="12.81640625" customWidth="1"/>
    <col min="7941" max="7941" width="12.54296875" customWidth="1"/>
    <col min="7942" max="7943" width="10.81640625" customWidth="1"/>
    <col min="7944" max="7944" width="11.54296875" customWidth="1"/>
    <col min="7945" max="7945" width="14.453125" customWidth="1"/>
    <col min="7946" max="7946" width="14.1796875" customWidth="1"/>
    <col min="8191" max="8192" width="10.54296875" bestFit="1" customWidth="1"/>
    <col min="8193" max="8193" width="8.1796875" bestFit="1" customWidth="1"/>
    <col min="8196" max="8196" width="12.81640625" customWidth="1"/>
    <col min="8197" max="8197" width="12.54296875" customWidth="1"/>
    <col min="8198" max="8199" width="10.81640625" customWidth="1"/>
    <col min="8200" max="8200" width="11.54296875" customWidth="1"/>
    <col min="8201" max="8201" width="14.453125" customWidth="1"/>
    <col min="8202" max="8202" width="14.1796875" customWidth="1"/>
    <col min="8447" max="8448" width="10.54296875" bestFit="1" customWidth="1"/>
    <col min="8449" max="8449" width="8.1796875" bestFit="1" customWidth="1"/>
    <col min="8452" max="8452" width="12.81640625" customWidth="1"/>
    <col min="8453" max="8453" width="12.54296875" customWidth="1"/>
    <col min="8454" max="8455" width="10.81640625" customWidth="1"/>
    <col min="8456" max="8456" width="11.54296875" customWidth="1"/>
    <col min="8457" max="8457" width="14.453125" customWidth="1"/>
    <col min="8458" max="8458" width="14.1796875" customWidth="1"/>
    <col min="8703" max="8704" width="10.54296875" bestFit="1" customWidth="1"/>
    <col min="8705" max="8705" width="8.1796875" bestFit="1" customWidth="1"/>
    <col min="8708" max="8708" width="12.81640625" customWidth="1"/>
    <col min="8709" max="8709" width="12.54296875" customWidth="1"/>
    <col min="8710" max="8711" width="10.81640625" customWidth="1"/>
    <col min="8712" max="8712" width="11.54296875" customWidth="1"/>
    <col min="8713" max="8713" width="14.453125" customWidth="1"/>
    <col min="8714" max="8714" width="14.1796875" customWidth="1"/>
    <col min="8959" max="8960" width="10.54296875" bestFit="1" customWidth="1"/>
    <col min="8961" max="8961" width="8.1796875" bestFit="1" customWidth="1"/>
    <col min="8964" max="8964" width="12.81640625" customWidth="1"/>
    <col min="8965" max="8965" width="12.54296875" customWidth="1"/>
    <col min="8966" max="8967" width="10.81640625" customWidth="1"/>
    <col min="8968" max="8968" width="11.54296875" customWidth="1"/>
    <col min="8969" max="8969" width="14.453125" customWidth="1"/>
    <col min="8970" max="8970" width="14.1796875" customWidth="1"/>
    <col min="9215" max="9216" width="10.54296875" bestFit="1" customWidth="1"/>
    <col min="9217" max="9217" width="8.1796875" bestFit="1" customWidth="1"/>
    <col min="9220" max="9220" width="12.81640625" customWidth="1"/>
    <col min="9221" max="9221" width="12.54296875" customWidth="1"/>
    <col min="9222" max="9223" width="10.81640625" customWidth="1"/>
    <col min="9224" max="9224" width="11.54296875" customWidth="1"/>
    <col min="9225" max="9225" width="14.453125" customWidth="1"/>
    <col min="9226" max="9226" width="14.1796875" customWidth="1"/>
    <col min="9471" max="9472" width="10.54296875" bestFit="1" customWidth="1"/>
    <col min="9473" max="9473" width="8.1796875" bestFit="1" customWidth="1"/>
    <col min="9476" max="9476" width="12.81640625" customWidth="1"/>
    <col min="9477" max="9477" width="12.54296875" customWidth="1"/>
    <col min="9478" max="9479" width="10.81640625" customWidth="1"/>
    <col min="9480" max="9480" width="11.54296875" customWidth="1"/>
    <col min="9481" max="9481" width="14.453125" customWidth="1"/>
    <col min="9482" max="9482" width="14.1796875" customWidth="1"/>
    <col min="9727" max="9728" width="10.54296875" bestFit="1" customWidth="1"/>
    <col min="9729" max="9729" width="8.1796875" bestFit="1" customWidth="1"/>
    <col min="9732" max="9732" width="12.81640625" customWidth="1"/>
    <col min="9733" max="9733" width="12.54296875" customWidth="1"/>
    <col min="9734" max="9735" width="10.81640625" customWidth="1"/>
    <col min="9736" max="9736" width="11.54296875" customWidth="1"/>
    <col min="9737" max="9737" width="14.453125" customWidth="1"/>
    <col min="9738" max="9738" width="14.1796875" customWidth="1"/>
    <col min="9983" max="9984" width="10.54296875" bestFit="1" customWidth="1"/>
    <col min="9985" max="9985" width="8.1796875" bestFit="1" customWidth="1"/>
    <col min="9988" max="9988" width="12.81640625" customWidth="1"/>
    <col min="9989" max="9989" width="12.54296875" customWidth="1"/>
    <col min="9990" max="9991" width="10.81640625" customWidth="1"/>
    <col min="9992" max="9992" width="11.54296875" customWidth="1"/>
    <col min="9993" max="9993" width="14.453125" customWidth="1"/>
    <col min="9994" max="9994" width="14.1796875" customWidth="1"/>
    <col min="10239" max="10240" width="10.54296875" bestFit="1" customWidth="1"/>
    <col min="10241" max="10241" width="8.1796875" bestFit="1" customWidth="1"/>
    <col min="10244" max="10244" width="12.81640625" customWidth="1"/>
    <col min="10245" max="10245" width="12.54296875" customWidth="1"/>
    <col min="10246" max="10247" width="10.81640625" customWidth="1"/>
    <col min="10248" max="10248" width="11.54296875" customWidth="1"/>
    <col min="10249" max="10249" width="14.453125" customWidth="1"/>
    <col min="10250" max="10250" width="14.1796875" customWidth="1"/>
    <col min="10495" max="10496" width="10.54296875" bestFit="1" customWidth="1"/>
    <col min="10497" max="10497" width="8.1796875" bestFit="1" customWidth="1"/>
    <col min="10500" max="10500" width="12.81640625" customWidth="1"/>
    <col min="10501" max="10501" width="12.54296875" customWidth="1"/>
    <col min="10502" max="10503" width="10.81640625" customWidth="1"/>
    <col min="10504" max="10504" width="11.54296875" customWidth="1"/>
    <col min="10505" max="10505" width="14.453125" customWidth="1"/>
    <col min="10506" max="10506" width="14.1796875" customWidth="1"/>
    <col min="10751" max="10752" width="10.54296875" bestFit="1" customWidth="1"/>
    <col min="10753" max="10753" width="8.1796875" bestFit="1" customWidth="1"/>
    <col min="10756" max="10756" width="12.81640625" customWidth="1"/>
    <col min="10757" max="10757" width="12.54296875" customWidth="1"/>
    <col min="10758" max="10759" width="10.81640625" customWidth="1"/>
    <col min="10760" max="10760" width="11.54296875" customWidth="1"/>
    <col min="10761" max="10761" width="14.453125" customWidth="1"/>
    <col min="10762" max="10762" width="14.1796875" customWidth="1"/>
    <col min="11007" max="11008" width="10.54296875" bestFit="1" customWidth="1"/>
    <col min="11009" max="11009" width="8.1796875" bestFit="1" customWidth="1"/>
    <col min="11012" max="11012" width="12.81640625" customWidth="1"/>
    <col min="11013" max="11013" width="12.54296875" customWidth="1"/>
    <col min="11014" max="11015" width="10.81640625" customWidth="1"/>
    <col min="11016" max="11016" width="11.54296875" customWidth="1"/>
    <col min="11017" max="11017" width="14.453125" customWidth="1"/>
    <col min="11018" max="11018" width="14.1796875" customWidth="1"/>
    <col min="11263" max="11264" width="10.54296875" bestFit="1" customWidth="1"/>
    <col min="11265" max="11265" width="8.1796875" bestFit="1" customWidth="1"/>
    <col min="11268" max="11268" width="12.81640625" customWidth="1"/>
    <col min="11269" max="11269" width="12.54296875" customWidth="1"/>
    <col min="11270" max="11271" width="10.81640625" customWidth="1"/>
    <col min="11272" max="11272" width="11.54296875" customWidth="1"/>
    <col min="11273" max="11273" width="14.453125" customWidth="1"/>
    <col min="11274" max="11274" width="14.1796875" customWidth="1"/>
    <col min="11519" max="11520" width="10.54296875" bestFit="1" customWidth="1"/>
    <col min="11521" max="11521" width="8.1796875" bestFit="1" customWidth="1"/>
    <col min="11524" max="11524" width="12.81640625" customWidth="1"/>
    <col min="11525" max="11525" width="12.54296875" customWidth="1"/>
    <col min="11526" max="11527" width="10.81640625" customWidth="1"/>
    <col min="11528" max="11528" width="11.54296875" customWidth="1"/>
    <col min="11529" max="11529" width="14.453125" customWidth="1"/>
    <col min="11530" max="11530" width="14.1796875" customWidth="1"/>
    <col min="11775" max="11776" width="10.54296875" bestFit="1" customWidth="1"/>
    <col min="11777" max="11777" width="8.1796875" bestFit="1" customWidth="1"/>
    <col min="11780" max="11780" width="12.81640625" customWidth="1"/>
    <col min="11781" max="11781" width="12.54296875" customWidth="1"/>
    <col min="11782" max="11783" width="10.81640625" customWidth="1"/>
    <col min="11784" max="11784" width="11.54296875" customWidth="1"/>
    <col min="11785" max="11785" width="14.453125" customWidth="1"/>
    <col min="11786" max="11786" width="14.1796875" customWidth="1"/>
    <col min="12031" max="12032" width="10.54296875" bestFit="1" customWidth="1"/>
    <col min="12033" max="12033" width="8.1796875" bestFit="1" customWidth="1"/>
    <col min="12036" max="12036" width="12.81640625" customWidth="1"/>
    <col min="12037" max="12037" width="12.54296875" customWidth="1"/>
    <col min="12038" max="12039" width="10.81640625" customWidth="1"/>
    <col min="12040" max="12040" width="11.54296875" customWidth="1"/>
    <col min="12041" max="12041" width="14.453125" customWidth="1"/>
    <col min="12042" max="12042" width="14.1796875" customWidth="1"/>
    <col min="12287" max="12288" width="10.54296875" bestFit="1" customWidth="1"/>
    <col min="12289" max="12289" width="8.1796875" bestFit="1" customWidth="1"/>
    <col min="12292" max="12292" width="12.81640625" customWidth="1"/>
    <col min="12293" max="12293" width="12.54296875" customWidth="1"/>
    <col min="12294" max="12295" width="10.81640625" customWidth="1"/>
    <col min="12296" max="12296" width="11.54296875" customWidth="1"/>
    <col min="12297" max="12297" width="14.453125" customWidth="1"/>
    <col min="12298" max="12298" width="14.1796875" customWidth="1"/>
    <col min="12543" max="12544" width="10.54296875" bestFit="1" customWidth="1"/>
    <col min="12545" max="12545" width="8.1796875" bestFit="1" customWidth="1"/>
    <col min="12548" max="12548" width="12.81640625" customWidth="1"/>
    <col min="12549" max="12549" width="12.54296875" customWidth="1"/>
    <col min="12550" max="12551" width="10.81640625" customWidth="1"/>
    <col min="12552" max="12552" width="11.54296875" customWidth="1"/>
    <col min="12553" max="12553" width="14.453125" customWidth="1"/>
    <col min="12554" max="12554" width="14.1796875" customWidth="1"/>
    <col min="12799" max="12800" width="10.54296875" bestFit="1" customWidth="1"/>
    <col min="12801" max="12801" width="8.1796875" bestFit="1" customWidth="1"/>
    <col min="12804" max="12804" width="12.81640625" customWidth="1"/>
    <col min="12805" max="12805" width="12.54296875" customWidth="1"/>
    <col min="12806" max="12807" width="10.81640625" customWidth="1"/>
    <col min="12808" max="12808" width="11.54296875" customWidth="1"/>
    <col min="12809" max="12809" width="14.453125" customWidth="1"/>
    <col min="12810" max="12810" width="14.1796875" customWidth="1"/>
    <col min="13055" max="13056" width="10.54296875" bestFit="1" customWidth="1"/>
    <col min="13057" max="13057" width="8.1796875" bestFit="1" customWidth="1"/>
    <col min="13060" max="13060" width="12.81640625" customWidth="1"/>
    <col min="13061" max="13061" width="12.54296875" customWidth="1"/>
    <col min="13062" max="13063" width="10.81640625" customWidth="1"/>
    <col min="13064" max="13064" width="11.54296875" customWidth="1"/>
    <col min="13065" max="13065" width="14.453125" customWidth="1"/>
    <col min="13066" max="13066" width="14.1796875" customWidth="1"/>
    <col min="13311" max="13312" width="10.54296875" bestFit="1" customWidth="1"/>
    <col min="13313" max="13313" width="8.1796875" bestFit="1" customWidth="1"/>
    <col min="13316" max="13316" width="12.81640625" customWidth="1"/>
    <col min="13317" max="13317" width="12.54296875" customWidth="1"/>
    <col min="13318" max="13319" width="10.81640625" customWidth="1"/>
    <col min="13320" max="13320" width="11.54296875" customWidth="1"/>
    <col min="13321" max="13321" width="14.453125" customWidth="1"/>
    <col min="13322" max="13322" width="14.1796875" customWidth="1"/>
    <col min="13567" max="13568" width="10.54296875" bestFit="1" customWidth="1"/>
    <col min="13569" max="13569" width="8.1796875" bestFit="1" customWidth="1"/>
    <col min="13572" max="13572" width="12.81640625" customWidth="1"/>
    <col min="13573" max="13573" width="12.54296875" customWidth="1"/>
    <col min="13574" max="13575" width="10.81640625" customWidth="1"/>
    <col min="13576" max="13576" width="11.54296875" customWidth="1"/>
    <col min="13577" max="13577" width="14.453125" customWidth="1"/>
    <col min="13578" max="13578" width="14.1796875" customWidth="1"/>
    <col min="13823" max="13824" width="10.54296875" bestFit="1" customWidth="1"/>
    <col min="13825" max="13825" width="8.1796875" bestFit="1" customWidth="1"/>
    <col min="13828" max="13828" width="12.81640625" customWidth="1"/>
    <col min="13829" max="13829" width="12.54296875" customWidth="1"/>
    <col min="13830" max="13831" width="10.81640625" customWidth="1"/>
    <col min="13832" max="13832" width="11.54296875" customWidth="1"/>
    <col min="13833" max="13833" width="14.453125" customWidth="1"/>
    <col min="13834" max="13834" width="14.1796875" customWidth="1"/>
    <col min="14079" max="14080" width="10.54296875" bestFit="1" customWidth="1"/>
    <col min="14081" max="14081" width="8.1796875" bestFit="1" customWidth="1"/>
    <col min="14084" max="14084" width="12.81640625" customWidth="1"/>
    <col min="14085" max="14085" width="12.54296875" customWidth="1"/>
    <col min="14086" max="14087" width="10.81640625" customWidth="1"/>
    <col min="14088" max="14088" width="11.54296875" customWidth="1"/>
    <col min="14089" max="14089" width="14.453125" customWidth="1"/>
    <col min="14090" max="14090" width="14.1796875" customWidth="1"/>
    <col min="14335" max="14336" width="10.54296875" bestFit="1" customWidth="1"/>
    <col min="14337" max="14337" width="8.1796875" bestFit="1" customWidth="1"/>
    <col min="14340" max="14340" width="12.81640625" customWidth="1"/>
    <col min="14341" max="14341" width="12.54296875" customWidth="1"/>
    <col min="14342" max="14343" width="10.81640625" customWidth="1"/>
    <col min="14344" max="14344" width="11.54296875" customWidth="1"/>
    <col min="14345" max="14345" width="14.453125" customWidth="1"/>
    <col min="14346" max="14346" width="14.1796875" customWidth="1"/>
    <col min="14591" max="14592" width="10.54296875" bestFit="1" customWidth="1"/>
    <col min="14593" max="14593" width="8.1796875" bestFit="1" customWidth="1"/>
    <col min="14596" max="14596" width="12.81640625" customWidth="1"/>
    <col min="14597" max="14597" width="12.54296875" customWidth="1"/>
    <col min="14598" max="14599" width="10.81640625" customWidth="1"/>
    <col min="14600" max="14600" width="11.54296875" customWidth="1"/>
    <col min="14601" max="14601" width="14.453125" customWidth="1"/>
    <col min="14602" max="14602" width="14.1796875" customWidth="1"/>
    <col min="14847" max="14848" width="10.54296875" bestFit="1" customWidth="1"/>
    <col min="14849" max="14849" width="8.1796875" bestFit="1" customWidth="1"/>
    <col min="14852" max="14852" width="12.81640625" customWidth="1"/>
    <col min="14853" max="14853" width="12.54296875" customWidth="1"/>
    <col min="14854" max="14855" width="10.81640625" customWidth="1"/>
    <col min="14856" max="14856" width="11.54296875" customWidth="1"/>
    <col min="14857" max="14857" width="14.453125" customWidth="1"/>
    <col min="14858" max="14858" width="14.1796875" customWidth="1"/>
    <col min="15103" max="15104" width="10.54296875" bestFit="1" customWidth="1"/>
    <col min="15105" max="15105" width="8.1796875" bestFit="1" customWidth="1"/>
    <col min="15108" max="15108" width="12.81640625" customWidth="1"/>
    <col min="15109" max="15109" width="12.54296875" customWidth="1"/>
    <col min="15110" max="15111" width="10.81640625" customWidth="1"/>
    <col min="15112" max="15112" width="11.54296875" customWidth="1"/>
    <col min="15113" max="15113" width="14.453125" customWidth="1"/>
    <col min="15114" max="15114" width="14.1796875" customWidth="1"/>
    <col min="15359" max="15360" width="10.54296875" bestFit="1" customWidth="1"/>
    <col min="15361" max="15361" width="8.1796875" bestFit="1" customWidth="1"/>
    <col min="15364" max="15364" width="12.81640625" customWidth="1"/>
    <col min="15365" max="15365" width="12.54296875" customWidth="1"/>
    <col min="15366" max="15367" width="10.81640625" customWidth="1"/>
    <col min="15368" max="15368" width="11.54296875" customWidth="1"/>
    <col min="15369" max="15369" width="14.453125" customWidth="1"/>
    <col min="15370" max="15370" width="14.1796875" customWidth="1"/>
    <col min="15615" max="15616" width="10.54296875" bestFit="1" customWidth="1"/>
    <col min="15617" max="15617" width="8.1796875" bestFit="1" customWidth="1"/>
    <col min="15620" max="15620" width="12.81640625" customWidth="1"/>
    <col min="15621" max="15621" width="12.54296875" customWidth="1"/>
    <col min="15622" max="15623" width="10.81640625" customWidth="1"/>
    <col min="15624" max="15624" width="11.54296875" customWidth="1"/>
    <col min="15625" max="15625" width="14.453125" customWidth="1"/>
    <col min="15626" max="15626" width="14.1796875" customWidth="1"/>
    <col min="15871" max="15872" width="10.54296875" bestFit="1" customWidth="1"/>
    <col min="15873" max="15873" width="8.1796875" bestFit="1" customWidth="1"/>
    <col min="15876" max="15876" width="12.81640625" customWidth="1"/>
    <col min="15877" max="15877" width="12.54296875" customWidth="1"/>
    <col min="15878" max="15879" width="10.81640625" customWidth="1"/>
    <col min="15880" max="15880" width="11.54296875" customWidth="1"/>
    <col min="15881" max="15881" width="14.453125" customWidth="1"/>
    <col min="15882" max="15882" width="14.1796875" customWidth="1"/>
    <col min="16127" max="16128" width="10.54296875" bestFit="1" customWidth="1"/>
    <col min="16129" max="16129" width="8.1796875" bestFit="1" customWidth="1"/>
    <col min="16132" max="16132" width="12.81640625" customWidth="1"/>
    <col min="16133" max="16133" width="12.54296875" customWidth="1"/>
    <col min="16134" max="16135" width="10.81640625" customWidth="1"/>
    <col min="16136" max="16136" width="11.54296875" customWidth="1"/>
    <col min="16137" max="16137" width="14.453125" customWidth="1"/>
    <col min="16138" max="16138" width="14.1796875" customWidth="1"/>
  </cols>
  <sheetData>
    <row r="2" spans="1:23" ht="15" thickBot="1">
      <c r="B2" s="2262">
        <v>44927</v>
      </c>
      <c r="C2" s="2264"/>
      <c r="D2" s="2264"/>
      <c r="E2" s="2264"/>
      <c r="F2" s="2263" t="s">
        <v>60</v>
      </c>
      <c r="G2" s="2263"/>
      <c r="H2" s="2263"/>
      <c r="I2" s="2263"/>
      <c r="J2" s="2263"/>
      <c r="K2" s="2263"/>
      <c r="N2" s="2262">
        <v>45108</v>
      </c>
      <c r="O2" s="2264"/>
      <c r="P2" s="2264"/>
      <c r="Q2" s="2264"/>
      <c r="R2" s="2263" t="s">
        <v>60</v>
      </c>
      <c r="S2" s="2263"/>
      <c r="T2" s="2263"/>
      <c r="U2" s="2263"/>
      <c r="V2" s="2263"/>
      <c r="W2" s="2263"/>
    </row>
    <row r="3" spans="1:23" ht="44.5" thickTop="1" thickBot="1">
      <c r="A3" s="40">
        <f ca="1">ABS(TODAY()-1)</f>
        <v>45231</v>
      </c>
      <c r="B3" s="67">
        <f ca="1">DAY(A3)</f>
        <v>1</v>
      </c>
      <c r="C3" s="68"/>
      <c r="D3" s="76" t="s">
        <v>61</v>
      </c>
      <c r="E3" s="77" t="s">
        <v>62</v>
      </c>
      <c r="F3" s="41"/>
      <c r="G3" s="42"/>
      <c r="H3" s="42" t="s">
        <v>63</v>
      </c>
      <c r="I3" s="42" t="s">
        <v>64</v>
      </c>
      <c r="J3" s="43" t="s">
        <v>56</v>
      </c>
      <c r="K3" s="42" t="s">
        <v>65</v>
      </c>
      <c r="M3" s="40">
        <f ca="1">ABS(TODAY()-1)</f>
        <v>45231</v>
      </c>
      <c r="N3" s="67">
        <f ca="1">DAY(M3)</f>
        <v>1</v>
      </c>
      <c r="O3" s="68"/>
      <c r="P3" s="76" t="s">
        <v>61</v>
      </c>
      <c r="Q3" s="77" t="s">
        <v>62</v>
      </c>
      <c r="R3" s="41"/>
      <c r="S3" s="42"/>
      <c r="T3" s="42" t="s">
        <v>63</v>
      </c>
      <c r="U3" s="42" t="s">
        <v>64</v>
      </c>
      <c r="V3" s="43" t="s">
        <v>56</v>
      </c>
      <c r="W3" s="42" t="s">
        <v>65</v>
      </c>
    </row>
    <row r="4" spans="1:23" ht="15" thickTop="1">
      <c r="A4">
        <v>1</v>
      </c>
      <c r="B4" s="69">
        <f ca="1">IF(DATOSAÑO!$E11=0,0,((DATOSAÑO!$C11/DATOSAÑO!$E11)*1000)*DATOSAÑO!$E11/24)</f>
        <v>5980.8333333300352</v>
      </c>
      <c r="C4" s="70">
        <f ca="1">IF(DATOSAÑO!$L11=0,0,((DATOSAÑO!$J11/DATOSAÑO!$L11)*1000)*DATOSAÑO!$L11/24)</f>
        <v>11718.333333333323</v>
      </c>
      <c r="D4" s="78">
        <f ca="1">IF(B4&gt;0,(B4-$F$8)/($F$9-$F$8)*($G$9-$G$8)+$G$8,0)</f>
        <v>3.3164106404488516</v>
      </c>
      <c r="E4" s="79">
        <f ca="1">IF(C4&gt;0,(C4-$F$14)/($F$15-$F$14)*($G$15-$G$14)+$G$14,0)</f>
        <v>4.3375567078651684</v>
      </c>
      <c r="F4" s="2260" t="s">
        <v>66</v>
      </c>
      <c r="G4" s="2261"/>
      <c r="H4" s="45">
        <f ca="1">IF($G$5&gt;=J4,1,0)</f>
        <v>1</v>
      </c>
      <c r="I4" s="45">
        <f ca="1">IF($G$11&gt;=J4,1,0)</f>
        <v>1</v>
      </c>
      <c r="J4" s="46">
        <v>0</v>
      </c>
      <c r="K4" s="47">
        <f>PORTADA!H21</f>
        <v>2.2519567078651681</v>
      </c>
      <c r="M4">
        <v>1</v>
      </c>
      <c r="N4" s="69">
        <f ca="1">IF(DATOSAÑO!$E192=0,0,((DATOSAÑO!$C192/DATOSAÑO!$E192)*1000)*DATOSAÑO!$E192/24)</f>
        <v>11778.500000000349</v>
      </c>
      <c r="O4" s="70">
        <f ca="1">IF(DATOSAÑO!$L192=0,0,((DATOSAÑO!$J192/DATOSAÑO!$L192)*1000)*DATOSAÑO!$L192/24)</f>
        <v>6145.4166666668852</v>
      </c>
      <c r="P4" s="78">
        <f ca="1">IF(N4&gt;0,(N4-$R$8)/($R$9-$R$8)*($S$9-$S$8)+$S$8,0)</f>
        <v>5.1582747862569871</v>
      </c>
      <c r="Q4" s="79">
        <f ca="1">IF(O4&gt;0,(O4-$R$14)/($R$15-$R$14)*($S$15-$S$14)+$S$14,0)</f>
        <v>3.8669029319751922</v>
      </c>
      <c r="R4" s="2260" t="s">
        <v>66</v>
      </c>
      <c r="S4" s="2261"/>
      <c r="T4" s="45">
        <f ca="1">IF($S$5&gt;=V4,1,0)</f>
        <v>1</v>
      </c>
      <c r="U4" s="45">
        <f ca="1">IF($S$11&gt;=V4,1,0)</f>
        <v>1</v>
      </c>
      <c r="V4" s="46">
        <v>0</v>
      </c>
      <c r="W4" s="47">
        <f>PORTADA!N21</f>
        <v>2.514529468577348</v>
      </c>
    </row>
    <row r="5" spans="1:23">
      <c r="A5">
        <v>2</v>
      </c>
      <c r="B5" s="176">
        <f ca="1">IF(DATOSAÑO!$E12=0,0,((DATOSAÑO!$C12/DATOSAÑO!$E12)*1000)*DATOSAÑO!$E12/24)</f>
        <v>6191.6666666705469</v>
      </c>
      <c r="C5" s="72">
        <f ca="1">IF(DATOSAÑO!L12=0,0,((DATOSAÑO!J12/DATOSAÑO!L12)*1000)*DATOSAÑO!L12/24)</f>
        <v>12256.249999999985</v>
      </c>
      <c r="D5" s="82">
        <f t="shared" ref="D5:D34" ca="1" si="0">IF(B5&gt;0,(B5-$F$8)/($F$9-$F$8)*($G$9-$G$8)+$G$8,0)</f>
        <v>3.3539342359557471</v>
      </c>
      <c r="E5" s="44">
        <f t="shared" ref="E5:E34" ca="1" si="1">IF(C5&gt;0,(C5-$F$14)/($F$15-$F$14)*($G$15-$G$14)+$G$14,0)</f>
        <v>4.4332937865168525</v>
      </c>
      <c r="F5" s="48" t="s">
        <v>67</v>
      </c>
      <c r="G5" s="49">
        <f ca="1">INDEX(B4:C34,B3,1)</f>
        <v>5980.8333333300352</v>
      </c>
      <c r="H5" s="45">
        <f t="shared" ref="H5:H15" ca="1" si="2">IF($G$5&gt;=J5,1,0)</f>
        <v>1</v>
      </c>
      <c r="I5" s="45">
        <f t="shared" ref="I5:I15" ca="1" si="3">IF($G$11&gt;=J5,1,0)</f>
        <v>1</v>
      </c>
      <c r="J5" s="46">
        <v>2630</v>
      </c>
      <c r="K5" s="47">
        <f>PORTADA!H22</f>
        <v>2.720037606741573</v>
      </c>
      <c r="M5">
        <v>2</v>
      </c>
      <c r="N5" s="71">
        <f ca="1">IF(DATOSAÑO!$E193=0,0,((DATOSAÑO!$C193/DATOSAÑO!$E193)*1000)*DATOSAÑO!$E193/24)</f>
        <v>12059.583333330616</v>
      </c>
      <c r="O5" s="72">
        <f ca="1">IF(DATOSAÑO!$L193=0,0,((DATOSAÑO!$J193/DATOSAÑO!$L193)*1000)*DATOSAÑO!$L193/24)</f>
        <v>6128.3333333331029</v>
      </c>
      <c r="P5" s="82">
        <f t="shared" ref="P5:P34" ca="1" si="4">IF(N5&gt;0,(N5-$F$144)/($F$145-$F$144)*($G$145-$G$144)+$G$144,0)</f>
        <v>5.0746701026397876</v>
      </c>
      <c r="Q5" s="44">
        <f t="shared" ref="Q5:Q34" ca="1" si="5">IF(O5&gt;0,(O5-$F$150)/($F$151-$F$150)*($G$151-$G$150)+$G$150,0)</f>
        <v>3.8567039989295449</v>
      </c>
      <c r="R5" s="48" t="s">
        <v>67</v>
      </c>
      <c r="S5" s="49">
        <f ca="1">INDEX(N4:O34,N3,1)</f>
        <v>11778.500000000349</v>
      </c>
      <c r="T5" s="45">
        <f t="shared" ref="T5:T14" ca="1" si="6">IF($S$5&gt;=V5,1,0)</f>
        <v>1</v>
      </c>
      <c r="U5" s="45">
        <f t="shared" ref="U5:U14" ca="1" si="7">IF($S$11&gt;=V5,1,0)</f>
        <v>1</v>
      </c>
      <c r="V5" s="46">
        <v>2630</v>
      </c>
      <c r="W5" s="47">
        <f>PORTADA!N22</f>
        <v>3.0371874796270721</v>
      </c>
    </row>
    <row r="6" spans="1:23">
      <c r="A6">
        <v>3</v>
      </c>
      <c r="B6" s="176">
        <f ca="1">IF(DATOSAÑO!$E13=0,0,((DATOSAÑO!$C13/DATOSAÑO!$E13)*1000)*DATOSAÑO!$E13/24)</f>
        <v>6179.1666666637566</v>
      </c>
      <c r="C6" s="72">
        <f ca="1">IF(DATOSAÑO!L13=0,0,((DATOSAÑO!J13/DATOSAÑO!L13)*1000)*DATOSAÑO!L13/24)</f>
        <v>12451.249999999995</v>
      </c>
      <c r="D6" s="82">
        <f t="shared" ca="1" si="0"/>
        <v>3.3517095168534152</v>
      </c>
      <c r="E6" s="44">
        <f t="shared" ca="1" si="1"/>
        <v>4.4679994044943827</v>
      </c>
      <c r="F6" s="48" t="s">
        <v>68</v>
      </c>
      <c r="G6" s="50">
        <f ca="1">(G5-F8)/(F9-F8)*(G9-G8)+G8</f>
        <v>3.3164106404488516</v>
      </c>
      <c r="H6" s="45">
        <f t="shared" ca="1" si="2"/>
        <v>1</v>
      </c>
      <c r="I6" s="45">
        <f t="shared" ca="1" si="3"/>
        <v>1</v>
      </c>
      <c r="J6" s="46">
        <v>5260</v>
      </c>
      <c r="K6" s="47">
        <f>PORTADA!H23</f>
        <v>3.2661319887640445</v>
      </c>
      <c r="M6">
        <v>3</v>
      </c>
      <c r="N6" s="71">
        <f ca="1">IF(DATOSAÑO!$E194=0,0,((DATOSAÑO!$C194/DATOSAÑO!$E194)*1000)*DATOSAÑO!$E194/24)</f>
        <v>11981.666666668994</v>
      </c>
      <c r="O6" s="72">
        <f ca="1">IF(DATOSAÑO!$L194=0,0,((DATOSAÑO!$J194/DATOSAÑO!$L194)*1000)*DATOSAÑO!$L194/24)</f>
        <v>6050.0000000001819</v>
      </c>
      <c r="P6" s="82">
        <f t="shared" ca="1" si="4"/>
        <v>5.0586701264276925</v>
      </c>
      <c r="Q6" s="44">
        <f t="shared" ca="1" si="5"/>
        <v>3.8406184613463754</v>
      </c>
      <c r="R6" s="48" t="s">
        <v>68</v>
      </c>
      <c r="S6" s="50">
        <f ca="1">(S5-R8)/(R9-R8)*(S9-S8)+S8</f>
        <v>5.1582747862569871</v>
      </c>
      <c r="T6" s="45">
        <f t="shared" ca="1" si="6"/>
        <v>1</v>
      </c>
      <c r="U6" s="45">
        <f t="shared" ca="1" si="7"/>
        <v>1</v>
      </c>
      <c r="V6" s="46">
        <v>5260</v>
      </c>
      <c r="W6" s="47">
        <f>PORTADA!N23</f>
        <v>3.6469551591850826</v>
      </c>
    </row>
    <row r="7" spans="1:23">
      <c r="A7">
        <v>4</v>
      </c>
      <c r="B7" s="176">
        <f ca="1">IF(DATOSAÑO!$E14=0,0,((DATOSAÑO!$C14/DATOSAÑO!$E14)*1000)*DATOSAÑO!$E14/24)</f>
        <v>6162.5000000009704</v>
      </c>
      <c r="C7" s="72">
        <f ca="1">IF(DATOSAÑO!L14=0,0,((DATOSAÑO!J14/DATOSAÑO!L14)*1000)*DATOSAÑO!L14/24)</f>
        <v>12515.833333333378</v>
      </c>
      <c r="D7" s="82">
        <f t="shared" ca="1" si="0"/>
        <v>3.3487432247192741</v>
      </c>
      <c r="E7" s="44">
        <f t="shared" ca="1" si="1"/>
        <v>4.4794937865168638</v>
      </c>
      <c r="F7" s="48"/>
      <c r="G7" s="45"/>
      <c r="H7" s="45">
        <f t="shared" ca="1" si="2"/>
        <v>0</v>
      </c>
      <c r="I7" s="45">
        <f t="shared" ca="1" si="3"/>
        <v>1</v>
      </c>
      <c r="J7" s="46">
        <v>7890</v>
      </c>
      <c r="K7" s="47">
        <f>PORTADA!H24</f>
        <v>3.8512331123595507</v>
      </c>
      <c r="M7">
        <v>4</v>
      </c>
      <c r="N7" s="71">
        <f ca="1">IF(DATOSAÑO!$E195=0,0,((DATOSAÑO!$C195/DATOSAÑO!$E195)*1000)*DATOSAÑO!$E195/24)</f>
        <v>12041.666666666666</v>
      </c>
      <c r="O7" s="72">
        <f ca="1">IF(DATOSAÑO!$L195=0,0,((DATOSAÑO!$J195/DATOSAÑO!$L195)*1000)*DATOSAÑO!$L195/24)</f>
        <v>6291.2499999999154</v>
      </c>
      <c r="P7" s="82">
        <f t="shared" ca="1" si="4"/>
        <v>5.0709909637250252</v>
      </c>
      <c r="Q7" s="44">
        <f t="shared" ca="1" si="5"/>
        <v>3.8901584946479382</v>
      </c>
      <c r="R7" s="48"/>
      <c r="S7" s="45"/>
      <c r="T7" s="45">
        <f t="shared" ca="1" si="6"/>
        <v>1</v>
      </c>
      <c r="U7" s="45">
        <f t="shared" ca="1" si="7"/>
        <v>0</v>
      </c>
      <c r="V7" s="46">
        <v>7890</v>
      </c>
      <c r="W7" s="47">
        <f>PORTADA!N24</f>
        <v>4.3002776729972378</v>
      </c>
    </row>
    <row r="8" spans="1:23">
      <c r="A8">
        <v>5</v>
      </c>
      <c r="B8" s="176">
        <f ca="1">IF(DATOSAÑO!$E15=0,0,((DATOSAÑO!$C15/DATOSAÑO!$E15)*1000)*DATOSAÑO!$E15/24)</f>
        <v>6104.166666666667</v>
      </c>
      <c r="C8" s="72">
        <f ca="1">IF(DATOSAÑO!L15=0,0,((DATOSAÑO!J15/DATOSAÑO!L15)*1000)*DATOSAÑO!L15/24)</f>
        <v>12545.833333333348</v>
      </c>
      <c r="D8" s="82">
        <f t="shared" ca="1" si="0"/>
        <v>3.3383612022471914</v>
      </c>
      <c r="E8" s="44">
        <f t="shared" ca="1" si="1"/>
        <v>4.4848331123595546</v>
      </c>
      <c r="F8" s="51">
        <f ca="1">INDEX(J4:J14,H15)</f>
        <v>0</v>
      </c>
      <c r="G8" s="52">
        <f ca="1">INDEX(K4:K14,H15)</f>
        <v>2.2519567078651681</v>
      </c>
      <c r="H8" s="45">
        <f t="shared" ca="1" si="2"/>
        <v>0</v>
      </c>
      <c r="I8" s="45">
        <f t="shared" ca="1" si="3"/>
        <v>1</v>
      </c>
      <c r="J8" s="46">
        <v>10520</v>
      </c>
      <c r="K8" s="75">
        <f>PORTADA!H25</f>
        <v>4.3583207528089885</v>
      </c>
      <c r="M8">
        <v>5</v>
      </c>
      <c r="N8" s="71">
        <f ca="1">IF(DATOSAÑO!$E196=0,0,((DATOSAÑO!$C196/DATOSAÑO!$E196)*1000)*DATOSAÑO!$E196/24)</f>
        <v>12437.5</v>
      </c>
      <c r="O8" s="72">
        <f ca="1">IF(DATOSAÑO!$L196=0,0,((DATOSAÑO!$J196/DATOSAÑO!$L196)*1000)*DATOSAÑO!$L196/24)</f>
        <v>6062.5</v>
      </c>
      <c r="P8" s="82">
        <f t="shared" ca="1" si="4"/>
        <v>5.152274265342534</v>
      </c>
      <c r="Q8" s="44">
        <f t="shared" ca="1" si="5"/>
        <v>3.8431853024500486</v>
      </c>
      <c r="R8" s="51">
        <f ca="1">INDEX(V4:V14,T15)</f>
        <v>10520</v>
      </c>
      <c r="S8" s="52">
        <f ca="1">INDEX(W4:W14,T15)</f>
        <v>4.8664905183011049</v>
      </c>
      <c r="T8" s="45">
        <f t="shared" ca="1" si="6"/>
        <v>1</v>
      </c>
      <c r="U8" s="45">
        <f t="shared" ca="1" si="7"/>
        <v>0</v>
      </c>
      <c r="V8" s="46">
        <v>10520</v>
      </c>
      <c r="W8" s="47">
        <f>PORTADA!N25</f>
        <v>4.8664905183011049</v>
      </c>
    </row>
    <row r="9" spans="1:23">
      <c r="A9">
        <v>6</v>
      </c>
      <c r="B9" s="176">
        <f ca="1">IF(DATOSAÑO!$E16=0,0,((DATOSAÑO!$C16/DATOSAÑO!$E16)*1000)*DATOSAÑO!$E16/24)</f>
        <v>4533.3333333352739</v>
      </c>
      <c r="C9" s="72">
        <f ca="1">IF(DATOSAÑO!L16=0,0,((DATOSAÑO!J16/DATOSAÑO!L16)*1000)*DATOSAÑO!L16/24)</f>
        <v>8862.4999999999545</v>
      </c>
      <c r="D9" s="82">
        <f t="shared" ca="1" si="0"/>
        <v>3.0587881685396714</v>
      </c>
      <c r="E9" s="44">
        <f t="shared" ca="1" si="1"/>
        <v>3.8292825505617909</v>
      </c>
      <c r="F9" s="51">
        <f ca="1">INDEX(J4:J14,H15+1)</f>
        <v>2630</v>
      </c>
      <c r="G9" s="52">
        <f ca="1">INDEX(K4:K14,H15+1)</f>
        <v>2.720037606741573</v>
      </c>
      <c r="H9" s="45">
        <f t="shared" ca="1" si="2"/>
        <v>0</v>
      </c>
      <c r="I9" s="45">
        <f t="shared" ca="1" si="3"/>
        <v>0</v>
      </c>
      <c r="J9" s="46">
        <v>13150</v>
      </c>
      <c r="K9" s="47">
        <f>PORTADA!H26</f>
        <v>4.90441513483146</v>
      </c>
      <c r="M9">
        <v>6</v>
      </c>
      <c r="N9" s="71">
        <f ca="1">IF(DATOSAÑO!$E197=0,0,((DATOSAÑO!$C197/DATOSAÑO!$E197)*1000)*DATOSAÑO!$E197/24)</f>
        <v>12437.5</v>
      </c>
      <c r="O9" s="72">
        <f ca="1">IF(DATOSAÑO!$L197=0,0,((DATOSAÑO!$J197/DATOSAÑO!$L197)*1000)*DATOSAÑO!$L197/24)</f>
        <v>6204.166666666727</v>
      </c>
      <c r="P9" s="82">
        <f t="shared" ca="1" si="4"/>
        <v>5.152274265342534</v>
      </c>
      <c r="Q9" s="44">
        <f t="shared" ca="1" si="5"/>
        <v>3.8722761682921161</v>
      </c>
      <c r="R9" s="51">
        <f ca="1">INDEX(V4:V14,T15+1)</f>
        <v>13150</v>
      </c>
      <c r="S9" s="52">
        <f ca="1">INDEX(W4:W14,T15+1)</f>
        <v>5.4762581978591154</v>
      </c>
      <c r="T9" s="45">
        <f t="shared" ca="1" si="6"/>
        <v>0</v>
      </c>
      <c r="U9" s="45">
        <f t="shared" ca="1" si="7"/>
        <v>0</v>
      </c>
      <c r="V9" s="46">
        <v>13150</v>
      </c>
      <c r="W9" s="47">
        <f>PORTADA!N26</f>
        <v>5.4762581978591154</v>
      </c>
    </row>
    <row r="10" spans="1:23">
      <c r="A10">
        <v>7</v>
      </c>
      <c r="B10" s="176">
        <f ca="1">IF(DATOSAÑO!$E17=0,0,((DATOSAÑO!$C17/DATOSAÑO!$E17)*1000)*DATOSAÑO!$E17/24)</f>
        <v>5204.1666666627862</v>
      </c>
      <c r="C10" s="72">
        <f ca="1">IF(DATOSAÑO!L17=0,0,((DATOSAÑO!J17/DATOSAÑO!L17)*1000)*DATOSAÑO!L17/24)</f>
        <v>10258.333333333363</v>
      </c>
      <c r="D10" s="82">
        <f t="shared" ca="1" si="0"/>
        <v>3.1781814269656019</v>
      </c>
      <c r="E10" s="44">
        <f t="shared" ca="1" si="1"/>
        <v>4.0777095168539388</v>
      </c>
      <c r="F10" s="2260" t="s">
        <v>69</v>
      </c>
      <c r="G10" s="2261"/>
      <c r="H10" s="45">
        <f t="shared" ca="1" si="2"/>
        <v>0</v>
      </c>
      <c r="I10" s="45">
        <f t="shared" ca="1" si="3"/>
        <v>0</v>
      </c>
      <c r="J10" s="46">
        <v>15780</v>
      </c>
      <c r="K10" s="47">
        <f>PORTADA!H27</f>
        <v>5.4895162584269661</v>
      </c>
      <c r="M10">
        <v>7</v>
      </c>
      <c r="N10" s="71">
        <f ca="1">IF(DATOSAÑO!$E198=0,0,((DATOSAÑO!$C198/DATOSAÑO!$E198)*1000)*DATOSAÑO!$E198/24)</f>
        <v>12041.666666666666</v>
      </c>
      <c r="O10" s="72">
        <f ca="1">IF(DATOSAÑO!$L198=0,0,((DATOSAÑO!$J198/DATOSAÑO!$L198)*1000)*DATOSAÑO!$L198/24)</f>
        <v>5941.666666666606</v>
      </c>
      <c r="P10" s="82">
        <f t="shared" ca="1" si="4"/>
        <v>5.0709909637250252</v>
      </c>
      <c r="Q10" s="44">
        <f t="shared" ca="1" si="5"/>
        <v>3.8183725051141657</v>
      </c>
      <c r="R10" s="2260" t="s">
        <v>69</v>
      </c>
      <c r="S10" s="2261"/>
      <c r="T10" s="45">
        <f t="shared" ca="1" si="6"/>
        <v>0</v>
      </c>
      <c r="U10" s="45">
        <f t="shared" ca="1" si="7"/>
        <v>0</v>
      </c>
      <c r="V10" s="46">
        <v>15780</v>
      </c>
      <c r="W10" s="47">
        <f>PORTADA!N27</f>
        <v>6.1295807116712711</v>
      </c>
    </row>
    <row r="11" spans="1:23">
      <c r="A11">
        <v>8</v>
      </c>
      <c r="B11" s="176">
        <f ca="1">IF(DATOSAÑO!$E18=0,0,((DATOSAÑO!$C18/DATOSAÑO!$E18)*1000)*DATOSAÑO!$E18/24)</f>
        <v>6225.0000000009704</v>
      </c>
      <c r="C11" s="72">
        <f ca="1">IF(DATOSAÑO!L18=0,0,((DATOSAÑO!J18/DATOSAÑO!L18)*1000)*DATOSAÑO!L18/24)</f>
        <v>12141.666666666652</v>
      </c>
      <c r="D11" s="82">
        <f t="shared" ca="1" si="0"/>
        <v>3.3598668202248922</v>
      </c>
      <c r="E11" s="44">
        <f t="shared" ca="1" si="1"/>
        <v>4.412900528089887</v>
      </c>
      <c r="F11" s="48" t="s">
        <v>67</v>
      </c>
      <c r="G11" s="49">
        <f ca="1">INDEX(B4:C34,B3,2)</f>
        <v>11718.333333333323</v>
      </c>
      <c r="H11" s="45">
        <f t="shared" ca="1" si="2"/>
        <v>0</v>
      </c>
      <c r="I11" s="45">
        <f t="shared" ca="1" si="3"/>
        <v>0</v>
      </c>
      <c r="J11" s="46">
        <v>18410</v>
      </c>
      <c r="K11" s="47">
        <f>PORTADA!H28</f>
        <v>6.152630865168538</v>
      </c>
      <c r="M11">
        <v>8</v>
      </c>
      <c r="N11" s="71">
        <f ca="1">IF(DATOSAÑO!$E199=0,0,((DATOSAÑO!$C199/DATOSAÑO!$E199)*1000)*DATOSAÑO!$E199/24)</f>
        <v>7250</v>
      </c>
      <c r="O11" s="72">
        <f ca="1">IF(DATOSAÑO!$L199=0,0,((DATOSAÑO!$J199/DATOSAÑO!$L199)*1000)*DATOSAÑO!$L199/24)</f>
        <v>11320.833333333212</v>
      </c>
      <c r="P11" s="82">
        <f t="shared" ca="1" si="4"/>
        <v>4.08703520730257</v>
      </c>
      <c r="Q11" s="44">
        <f t="shared" ca="1" si="5"/>
        <v>4.9229697934110144</v>
      </c>
      <c r="R11" s="48" t="s">
        <v>67</v>
      </c>
      <c r="S11" s="49">
        <f ca="1">INDEX(N4:O34,N3,2)</f>
        <v>6145.4166666668852</v>
      </c>
      <c r="T11" s="45">
        <f t="shared" ca="1" si="6"/>
        <v>0</v>
      </c>
      <c r="U11" s="45">
        <f t="shared" ca="1" si="7"/>
        <v>0</v>
      </c>
      <c r="V11" s="46">
        <v>18410</v>
      </c>
      <c r="W11" s="47">
        <f>PORTADA!N28</f>
        <v>6.8700128939917118</v>
      </c>
    </row>
    <row r="12" spans="1:23">
      <c r="A12">
        <v>9</v>
      </c>
      <c r="B12" s="176">
        <f ca="1">IF(DATOSAÑO!$E19=0,0,((DATOSAÑO!$C19/DATOSAÑO!$E19)*1000)*DATOSAÑO!$E19/24)</f>
        <v>6179.1666666686069</v>
      </c>
      <c r="C12" s="72">
        <f ca="1">IF(DATOSAÑO!L19=0,0,((DATOSAÑO!J19/DATOSAÑO!L19)*1000)*DATOSAÑO!L19/24)</f>
        <v>11962.49999999994</v>
      </c>
      <c r="D12" s="82">
        <f t="shared" ca="1" si="0"/>
        <v>3.3517095168542781</v>
      </c>
      <c r="E12" s="44">
        <f t="shared" ca="1" si="1"/>
        <v>4.3810128876404395</v>
      </c>
      <c r="F12" s="48" t="s">
        <v>68</v>
      </c>
      <c r="G12" s="50">
        <f ca="1">(G11-F14)/(F15-F14)*(G15-G14)+G14</f>
        <v>4.3375567078651684</v>
      </c>
      <c r="H12" s="45">
        <f t="shared" ca="1" si="2"/>
        <v>0</v>
      </c>
      <c r="I12" s="45">
        <f t="shared" ca="1" si="3"/>
        <v>0</v>
      </c>
      <c r="J12" s="46">
        <v>21040</v>
      </c>
      <c r="K12" s="47">
        <f>PORTADA!H29</f>
        <v>6.7767387303370787</v>
      </c>
      <c r="M12">
        <v>9</v>
      </c>
      <c r="N12" s="71">
        <f ca="1">IF(DATOSAÑO!$E200=0,0,((DATOSAÑO!$C200/DATOSAÑO!$E200)*1000)*DATOSAÑO!$E200/24)</f>
        <v>6000</v>
      </c>
      <c r="O12" s="72">
        <f ca="1">IF(DATOSAÑO!$L200=0,0,((DATOSAÑO!$J200/DATOSAÑO!$L200)*1000)*DATOSAÑO!$L200/24)</f>
        <v>12562.5</v>
      </c>
      <c r="P12" s="82">
        <f t="shared" ca="1" si="4"/>
        <v>3.8303510969314951</v>
      </c>
      <c r="Q12" s="44">
        <f t="shared" ca="1" si="5"/>
        <v>5.1779426763796401</v>
      </c>
      <c r="R12" s="48" t="s">
        <v>68</v>
      </c>
      <c r="S12" s="50">
        <f ca="1">(S11-R14)/(R15-R14)*(S15-S14)+S14</f>
        <v>3.8669029319751922</v>
      </c>
      <c r="T12" s="45">
        <f t="shared" ca="1" si="6"/>
        <v>0</v>
      </c>
      <c r="U12" s="45">
        <f t="shared" ca="1" si="7"/>
        <v>0</v>
      </c>
      <c r="V12" s="46">
        <v>21040</v>
      </c>
      <c r="W12" s="47">
        <f>PORTADA!N29</f>
        <v>7.5668902420580118</v>
      </c>
    </row>
    <row r="13" spans="1:23">
      <c r="A13">
        <v>10</v>
      </c>
      <c r="B13" s="176">
        <f ca="1">IF(DATOSAÑO!$E20=0,0,((DATOSAÑO!$C20/DATOSAÑO!$E20)*1000)*DATOSAÑO!$E20/24)</f>
        <v>6108.3333333323635</v>
      </c>
      <c r="C13" s="72">
        <f ca="1">IF(DATOSAÑO!L20=0,0,((DATOSAÑO!J20/DATOSAÑO!L20)*1000)*DATOSAÑO!L20/24)</f>
        <v>11804.166666666788</v>
      </c>
      <c r="D13" s="82">
        <f t="shared" ca="1" si="0"/>
        <v>3.3391027752807272</v>
      </c>
      <c r="E13" s="44">
        <f t="shared" ca="1" si="1"/>
        <v>4.3528331123595736</v>
      </c>
      <c r="F13" s="48"/>
      <c r="G13" s="45"/>
      <c r="H13" s="45">
        <f t="shared" ca="1" si="2"/>
        <v>0</v>
      </c>
      <c r="I13" s="45">
        <f t="shared" ca="1" si="3"/>
        <v>0</v>
      </c>
      <c r="J13" s="46">
        <v>23670</v>
      </c>
      <c r="K13" s="47">
        <f>PORTADA!H30</f>
        <v>7.4008465955056186</v>
      </c>
      <c r="M13">
        <v>10</v>
      </c>
      <c r="N13" s="71">
        <f ca="1">IF(DATOSAÑO!$E201=0,0,((DATOSAÑO!$C201/DATOSAÑO!$E201)*1000)*DATOSAÑO!$E201/24)</f>
        <v>6250</v>
      </c>
      <c r="O13" s="72">
        <f ca="1">IF(DATOSAÑO!$L201=0,0,((DATOSAÑO!$J201/DATOSAÑO!$L201)*1000)*DATOSAÑO!$L201/24)</f>
        <v>11829.166666666728</v>
      </c>
      <c r="P13" s="82">
        <f t="shared" ca="1" si="4"/>
        <v>3.8816879190057101</v>
      </c>
      <c r="Q13" s="44">
        <f t="shared" ca="1" si="5"/>
        <v>5.0273546649619556</v>
      </c>
      <c r="R13" s="48"/>
      <c r="S13" s="45"/>
      <c r="T13" s="45">
        <f t="shared" ca="1" si="6"/>
        <v>0</v>
      </c>
      <c r="U13" s="45">
        <f t="shared" ca="1" si="7"/>
        <v>0</v>
      </c>
      <c r="V13" s="46">
        <v>23670</v>
      </c>
      <c r="W13" s="47">
        <f>PORTADA!N30</f>
        <v>8.2637675901243117</v>
      </c>
    </row>
    <row r="14" spans="1:23">
      <c r="A14">
        <v>11</v>
      </c>
      <c r="B14" s="176">
        <f ca="1">IF(DATOSAÑO!$E21=0,0,((DATOSAÑO!$C21/DATOSAÑO!$E21)*1000)*DATOSAÑO!$E21/24)</f>
        <v>6187.5</v>
      </c>
      <c r="C14" s="72">
        <f ca="1">IF(DATOSAÑO!L21=0,0,((DATOSAÑO!J21/DATOSAÑO!L21)*1000)*DATOSAÑO!L21/24)</f>
        <v>11820.833333333212</v>
      </c>
      <c r="D14" s="82">
        <f t="shared" ca="1" si="0"/>
        <v>3.3531926629213489</v>
      </c>
      <c r="E14" s="44">
        <f t="shared" ca="1" si="1"/>
        <v>4.3557994044943618</v>
      </c>
      <c r="F14" s="51">
        <f ca="1">INDEX(J4:J14,I15)</f>
        <v>0</v>
      </c>
      <c r="G14" s="52">
        <f ca="1">INDEX(K4:K14,I15)</f>
        <v>2.2519567078651681</v>
      </c>
      <c r="H14" s="45">
        <f t="shared" ca="1" si="2"/>
        <v>0</v>
      </c>
      <c r="I14" s="45">
        <f t="shared" ca="1" si="3"/>
        <v>0</v>
      </c>
      <c r="J14" s="46">
        <v>26300</v>
      </c>
      <c r="K14" s="47">
        <f>PORTADA!H31</f>
        <v>8.0249544606741576</v>
      </c>
      <c r="M14">
        <v>11</v>
      </c>
      <c r="N14" s="71">
        <f ca="1">IF(DATOSAÑO!$E202=0,0,((DATOSAÑO!$C202/DATOSAÑO!$E202)*1000)*DATOSAÑO!$E202/24)</f>
        <v>6208.333333333333</v>
      </c>
      <c r="O14" s="72">
        <f ca="1">IF(DATOSAÑO!$L202=0,0,((DATOSAÑO!$J202/DATOSAÑO!$L202)*1000)*DATOSAÑO!$L202/24)</f>
        <v>12079.166666666728</v>
      </c>
      <c r="P14" s="82">
        <f t="shared" ca="1" si="4"/>
        <v>3.8731317819933411</v>
      </c>
      <c r="Q14" s="44">
        <f t="shared" ca="1" si="5"/>
        <v>5.0786914870361706</v>
      </c>
      <c r="R14" s="51">
        <f ca="1">INDEX(V4:V14,U15)</f>
        <v>5260</v>
      </c>
      <c r="S14" s="52">
        <f ca="1">INDEX(W4:W14,U15)</f>
        <v>3.6469551591850826</v>
      </c>
      <c r="T14" s="45">
        <f t="shared" ca="1" si="6"/>
        <v>0</v>
      </c>
      <c r="U14" s="45">
        <f t="shared" ca="1" si="7"/>
        <v>0</v>
      </c>
      <c r="V14" s="46">
        <v>26300</v>
      </c>
      <c r="W14" s="47">
        <f>PORTADA!N31</f>
        <v>8.9606449381906081</v>
      </c>
    </row>
    <row r="15" spans="1:23" ht="15" thickBot="1">
      <c r="A15">
        <v>12</v>
      </c>
      <c r="B15" s="176">
        <f ca="1">IF(DATOSAÑO!$E22=0,0,((DATOSAÑO!$C22/DATOSAÑO!$E22)*1000)*DATOSAÑO!$E22/24)</f>
        <v>6312.5</v>
      </c>
      <c r="C15" s="72">
        <f ca="1">IF(DATOSAÑO!L22=0,0,((DATOSAÑO!J22/DATOSAÑO!L22)*1000)*DATOSAÑO!L22/24)</f>
        <v>12537.50000000006</v>
      </c>
      <c r="D15" s="82">
        <f t="shared" ca="1" si="0"/>
        <v>3.3754398539325852</v>
      </c>
      <c r="E15" s="44">
        <f t="shared" ca="1" si="1"/>
        <v>4.4833499662921472</v>
      </c>
      <c r="F15" s="53">
        <f ca="1">INDEX(J4:J14,I15+1)</f>
        <v>2630</v>
      </c>
      <c r="G15" s="54">
        <f ca="1">INDEX(K4:K14,I15+1)</f>
        <v>2.720037606741573</v>
      </c>
      <c r="H15" s="55">
        <f t="shared" ca="1" si="2"/>
        <v>1</v>
      </c>
      <c r="I15" s="55">
        <f t="shared" ca="1" si="3"/>
        <v>1</v>
      </c>
      <c r="J15" s="55"/>
      <c r="K15" s="55"/>
      <c r="M15">
        <v>12</v>
      </c>
      <c r="N15" s="71">
        <f ca="1">IF(DATOSAÑO!$E203=0,0,((DATOSAÑO!$C203/DATOSAÑO!$E203)*1000)*DATOSAÑO!$E203/24)</f>
        <v>6208.333333333333</v>
      </c>
      <c r="O15" s="72">
        <f ca="1">IF(DATOSAÑO!$L203=0,0,((DATOSAÑO!$J203/DATOSAÑO!$L203)*1000)*DATOSAÑO!$L203/24)</f>
        <v>12375</v>
      </c>
      <c r="P15" s="82">
        <f t="shared" ca="1" si="4"/>
        <v>3.8731317819933411</v>
      </c>
      <c r="Q15" s="44">
        <f t="shared" ca="1" si="5"/>
        <v>5.1394400598239791</v>
      </c>
      <c r="R15" s="53">
        <f ca="1">INDEX(V4:V14,U15+1)</f>
        <v>7890</v>
      </c>
      <c r="S15" s="54">
        <f ca="1">INDEX(W4:W14,U15+1)</f>
        <v>4.3002776729972378</v>
      </c>
      <c r="T15" s="55">
        <f ca="1">SUM(T4:T14)</f>
        <v>5</v>
      </c>
      <c r="U15" s="55">
        <f ca="1">SUM(U4:U14)</f>
        <v>3</v>
      </c>
      <c r="V15" s="55"/>
      <c r="W15" s="55"/>
    </row>
    <row r="16" spans="1:23">
      <c r="A16">
        <v>13</v>
      </c>
      <c r="B16" s="176">
        <f ca="1">IF(DATOSAÑO!$E23=0,0,((DATOSAÑO!$C23/DATOSAÑO!$E23)*1000)*DATOSAÑO!$E23/24)</f>
        <v>6083.333333333333</v>
      </c>
      <c r="C16" s="72">
        <f ca="1">IF(DATOSAÑO!L23=0,0,((DATOSAÑO!J23/DATOSAÑO!L23)*1000)*DATOSAÑO!L23/24)</f>
        <v>12833.333333333334</v>
      </c>
      <c r="D16" s="82">
        <f t="shared" ca="1" si="0"/>
        <v>3.3346533370786524</v>
      </c>
      <c r="E16" s="44">
        <f t="shared" ca="1" si="1"/>
        <v>4.5360016516853952</v>
      </c>
      <c r="F16" s="56"/>
      <c r="G16" s="56"/>
      <c r="H16" s="56"/>
      <c r="I16" s="56"/>
      <c r="J16" s="56"/>
      <c r="K16" s="56"/>
      <c r="M16">
        <v>13</v>
      </c>
      <c r="N16" s="71">
        <f ca="1">IF(DATOSAÑO!$E204=0,0,((DATOSAÑO!$C204/DATOSAÑO!$E204)*1000)*DATOSAÑO!$E204/24)</f>
        <v>6166.666666666667</v>
      </c>
      <c r="O16" s="72">
        <f ca="1">IF(DATOSAÑO!$L204=0,0,((DATOSAÑO!$J204/DATOSAÑO!$L204)*1000)*DATOSAÑO!$L204/24)</f>
        <v>12500</v>
      </c>
      <c r="P16" s="82">
        <f t="shared" ca="1" si="4"/>
        <v>3.8645756449809716</v>
      </c>
      <c r="Q16" s="44">
        <f t="shared" ca="1" si="5"/>
        <v>5.165108470861087</v>
      </c>
      <c r="R16" s="56"/>
      <c r="S16" s="56"/>
      <c r="T16" s="56"/>
      <c r="U16" s="56"/>
      <c r="V16" s="56"/>
      <c r="W16" s="56"/>
    </row>
    <row r="17" spans="1:23">
      <c r="A17">
        <v>14</v>
      </c>
      <c r="B17" s="176">
        <f ca="1">IF(DATOSAÑO!$E24=0,0,((DATOSAÑO!$C24/DATOSAÑO!$E24)*1000)*DATOSAÑO!$E24/24)</f>
        <v>6166.666666666667</v>
      </c>
      <c r="C17" s="72">
        <f ca="1">IF(DATOSAÑO!L24=0,0,((DATOSAÑO!J24/DATOSAÑO!L24)*1000)*DATOSAÑO!L24/24)</f>
        <v>12500</v>
      </c>
      <c r="D17" s="82">
        <f t="shared" ca="1" si="0"/>
        <v>3.3494847977528099</v>
      </c>
      <c r="E17" s="44">
        <f t="shared" ca="1" si="1"/>
        <v>4.4766758089887659</v>
      </c>
      <c r="F17" s="56"/>
      <c r="G17" s="56"/>
      <c r="H17" s="56"/>
      <c r="I17" s="56"/>
      <c r="J17" s="56"/>
      <c r="K17" s="56"/>
      <c r="M17">
        <v>14</v>
      </c>
      <c r="N17" s="71">
        <f ca="1">IF(DATOSAÑO!$E205=0,0,((DATOSAÑO!$C205/DATOSAÑO!$E205)*1000)*DATOSAÑO!$E205/24)</f>
        <v>6166.666666666667</v>
      </c>
      <c r="O17" s="72">
        <f ca="1">IF(DATOSAÑO!$L205=0,0,((DATOSAÑO!$J205/DATOSAÑO!$L205)*1000)*DATOSAÑO!$L205/24)</f>
        <v>11666.666666666666</v>
      </c>
      <c r="P17" s="82">
        <f t="shared" ca="1" si="4"/>
        <v>3.8645756449809716</v>
      </c>
      <c r="Q17" s="44">
        <f t="shared" ca="1" si="5"/>
        <v>4.9939857306137032</v>
      </c>
      <c r="R17" s="56"/>
      <c r="S17" s="56"/>
      <c r="T17" s="56"/>
      <c r="U17" s="56"/>
      <c r="V17" s="56"/>
      <c r="W17" s="56"/>
    </row>
    <row r="18" spans="1:23">
      <c r="A18">
        <v>15</v>
      </c>
      <c r="B18" s="176">
        <f ca="1">IF(DATOSAÑO!$E25=0,0,((DATOSAÑO!$C25/DATOSAÑO!$E25)*1000)*DATOSAÑO!$E25/24)</f>
        <v>6250</v>
      </c>
      <c r="C18" s="72">
        <f ca="1">IF(DATOSAÑO!L25=0,0,((DATOSAÑO!J25/DATOSAÑO!L25)*1000)*DATOSAÑO!L25/24)</f>
        <v>12500</v>
      </c>
      <c r="D18" s="82">
        <f t="shared" ca="1" si="0"/>
        <v>3.3643162584269666</v>
      </c>
      <c r="E18" s="44">
        <f t="shared" ca="1" si="1"/>
        <v>4.4766758089887659</v>
      </c>
      <c r="F18" s="56"/>
      <c r="G18" s="56"/>
      <c r="H18" s="56"/>
      <c r="I18" s="56"/>
      <c r="J18" s="56"/>
      <c r="K18" s="56"/>
      <c r="M18">
        <v>15</v>
      </c>
      <c r="N18" s="71">
        <f ca="1">IF(DATOSAÑO!$E206=0,0,((DATOSAÑO!$C206/DATOSAÑO!$E206)*1000)*DATOSAÑO!$E206/24)</f>
        <v>6166.666666666667</v>
      </c>
      <c r="O18" s="72">
        <f ca="1">IF(DATOSAÑO!$L206=0,0,((DATOSAÑO!$J206/DATOSAÑO!$L206)*1000)*DATOSAÑO!$L206/24)</f>
        <v>12083.333333333334</v>
      </c>
      <c r="P18" s="82">
        <f t="shared" ca="1" si="4"/>
        <v>3.8645756449809716</v>
      </c>
      <c r="Q18" s="44">
        <f t="shared" ca="1" si="5"/>
        <v>5.0795471007373951</v>
      </c>
      <c r="R18" s="56"/>
      <c r="S18" s="56"/>
      <c r="T18" s="56"/>
      <c r="U18" s="56"/>
      <c r="V18" s="56"/>
      <c r="W18" s="56"/>
    </row>
    <row r="19" spans="1:23">
      <c r="A19">
        <v>16</v>
      </c>
      <c r="B19" s="176">
        <f ca="1">IF(DATOSAÑO!$E26=0,0,((DATOSAÑO!$C26/DATOSAÑO!$E26)*1000)*DATOSAÑO!$E26/24)</f>
        <v>6250</v>
      </c>
      <c r="C19" s="72">
        <f ca="1">IF(DATOSAÑO!L26=0,0,((DATOSAÑO!J26/DATOSAÑO!L26)*1000)*DATOSAÑO!L26/24)</f>
        <v>12666.666666666666</v>
      </c>
      <c r="D19" s="82">
        <f t="shared" ca="1" si="0"/>
        <v>3.3643162584269666</v>
      </c>
      <c r="E19" s="44">
        <f t="shared" ca="1" si="1"/>
        <v>4.5063387303370801</v>
      </c>
      <c r="F19" s="56"/>
      <c r="G19" s="56"/>
      <c r="H19" s="56"/>
      <c r="I19" s="56"/>
      <c r="J19" s="56"/>
      <c r="K19" s="56"/>
      <c r="M19">
        <v>16</v>
      </c>
      <c r="N19" s="71">
        <f ca="1">IF(DATOSAÑO!$E207=0,0,((DATOSAÑO!$C207/DATOSAÑO!$E207)*1000)*DATOSAÑO!$E207/24)</f>
        <v>6166.666666666667</v>
      </c>
      <c r="O19" s="72">
        <f ca="1">IF(DATOSAÑO!$L207=0,0,((DATOSAÑO!$J207/DATOSAÑO!$L207)*1000)*DATOSAÑO!$L207/24)</f>
        <v>12333.333333333334</v>
      </c>
      <c r="P19" s="82">
        <f t="shared" ca="1" si="4"/>
        <v>3.8645756449809716</v>
      </c>
      <c r="Q19" s="44">
        <f t="shared" ca="1" si="5"/>
        <v>5.130883922811611</v>
      </c>
      <c r="R19" s="56"/>
      <c r="S19" s="56"/>
      <c r="T19" s="56"/>
      <c r="U19" s="56"/>
      <c r="V19" s="56"/>
      <c r="W19" s="56"/>
    </row>
    <row r="20" spans="1:23">
      <c r="A20">
        <v>17</v>
      </c>
      <c r="B20" s="176">
        <f ca="1">IF(DATOSAÑO!$E27=0,0,((DATOSAÑO!$C27/DATOSAÑO!$E27)*1000)*DATOSAÑO!$E27/24)</f>
        <v>6250</v>
      </c>
      <c r="C20" s="72">
        <f ca="1">IF(DATOSAÑO!L27=0,0,((DATOSAÑO!J27/DATOSAÑO!L27)*1000)*DATOSAÑO!L27/24)</f>
        <v>12500</v>
      </c>
      <c r="D20" s="82">
        <f t="shared" ca="1" si="0"/>
        <v>3.3643162584269666</v>
      </c>
      <c r="E20" s="44">
        <f t="shared" ca="1" si="1"/>
        <v>4.4766758089887659</v>
      </c>
      <c r="F20" s="56"/>
      <c r="G20" s="56"/>
      <c r="H20" s="57"/>
      <c r="I20" s="56"/>
      <c r="J20" s="56"/>
      <c r="K20" s="56"/>
      <c r="M20">
        <v>17</v>
      </c>
      <c r="N20" s="71">
        <f ca="1">IF(DATOSAÑO!$E208=0,0,((DATOSAÑO!$C208/DATOSAÑO!$E208)*1000)*DATOSAÑO!$E208/24)</f>
        <v>6166.666666666667</v>
      </c>
      <c r="O20" s="72">
        <f ca="1">IF(DATOSAÑO!$L208=0,0,((DATOSAÑO!$J208/DATOSAÑO!$L208)*1000)*DATOSAÑO!$L208/24)</f>
        <v>12166.666666666666</v>
      </c>
      <c r="P20" s="82">
        <f t="shared" ca="1" si="4"/>
        <v>3.8645756449809716</v>
      </c>
      <c r="Q20" s="44">
        <f t="shared" ca="1" si="5"/>
        <v>5.0966593747621332</v>
      </c>
      <c r="R20" s="56"/>
      <c r="S20" s="56"/>
      <c r="T20" s="57"/>
      <c r="U20" s="56"/>
      <c r="V20" s="56"/>
      <c r="W20" s="56"/>
    </row>
    <row r="21" spans="1:23">
      <c r="A21">
        <v>18</v>
      </c>
      <c r="B21" s="176">
        <f ca="1">IF(DATOSAÑO!$E28=0,0,((DATOSAÑO!$C28/DATOSAÑO!$E28)*1000)*DATOSAÑO!$E28/24)</f>
        <v>6250</v>
      </c>
      <c r="C21" s="72">
        <f ca="1">IF(DATOSAÑO!L28=0,0,((DATOSAÑO!J28/DATOSAÑO!L28)*1000)*DATOSAÑO!L28/24)</f>
        <v>12333.333333333334</v>
      </c>
      <c r="D21" s="82">
        <f t="shared" ca="1" si="0"/>
        <v>3.3643162584269666</v>
      </c>
      <c r="E21" s="44">
        <f t="shared" ca="1" si="1"/>
        <v>4.4470128876404509</v>
      </c>
      <c r="F21" s="56"/>
      <c r="G21" s="56"/>
      <c r="H21" s="56"/>
      <c r="I21" s="56"/>
      <c r="J21" s="56"/>
      <c r="K21" s="56"/>
      <c r="M21">
        <v>18</v>
      </c>
      <c r="N21" s="71">
        <f ca="1">IF(DATOSAÑO!$E209=0,0,((DATOSAÑO!$C209/DATOSAÑO!$E209)*1000)*DATOSAÑO!$E209/24)</f>
        <v>5791.666666666667</v>
      </c>
      <c r="O21" s="72">
        <f ca="1">IF(DATOSAÑO!$L209=0,0,((DATOSAÑO!$J209/DATOSAÑO!$L209)*1000)*DATOSAÑO!$L209/24)</f>
        <v>11375</v>
      </c>
      <c r="P21" s="82">
        <f t="shared" ca="1" si="4"/>
        <v>3.7875704118696492</v>
      </c>
      <c r="Q21" s="44">
        <f t="shared" ca="1" si="5"/>
        <v>4.9340927715271192</v>
      </c>
      <c r="R21" s="56"/>
      <c r="S21" s="56"/>
      <c r="T21" s="56"/>
      <c r="U21" s="56"/>
      <c r="V21" s="56"/>
      <c r="W21" s="56"/>
    </row>
    <row r="22" spans="1:23">
      <c r="A22">
        <v>19</v>
      </c>
      <c r="B22" s="176">
        <f ca="1">IF(DATOSAÑO!$E29=0,0,((DATOSAÑO!$C29/DATOSAÑO!$E29)*1000)*DATOSAÑO!$E29/24)</f>
        <v>6083.333333333333</v>
      </c>
      <c r="C22" s="72">
        <f ca="1">IF(DATOSAÑO!L29=0,0,((DATOSAÑO!J29/DATOSAÑO!L29)*1000)*DATOSAÑO!L29/24)</f>
        <v>12666.666666666666</v>
      </c>
      <c r="D22" s="82">
        <f t="shared" ca="1" si="0"/>
        <v>3.3346533370786524</v>
      </c>
      <c r="E22" s="44">
        <f t="shared" ca="1" si="1"/>
        <v>4.5063387303370801</v>
      </c>
      <c r="F22" s="56"/>
      <c r="G22" s="56"/>
      <c r="H22" s="56"/>
      <c r="I22" s="56"/>
      <c r="J22" s="56"/>
      <c r="K22" s="58"/>
      <c r="M22">
        <v>19</v>
      </c>
      <c r="N22" s="71">
        <f ca="1">IF(DATOSAÑO!$E210=0,0,((DATOSAÑO!$C210/DATOSAÑO!$E210)*1000)*DATOSAÑO!$E210/24)</f>
        <v>6250</v>
      </c>
      <c r="O22" s="72">
        <f ca="1">IF(DATOSAÑO!$L210=0,0,((DATOSAÑO!$J210/DATOSAÑO!$L210)*1000)*DATOSAÑO!$L210/24)</f>
        <v>11833.333333333334</v>
      </c>
      <c r="P22" s="82">
        <f t="shared" ca="1" si="4"/>
        <v>3.8816879190057101</v>
      </c>
      <c r="Q22" s="44">
        <f t="shared" ca="1" si="5"/>
        <v>5.028210278663181</v>
      </c>
      <c r="R22" s="56"/>
      <c r="S22" s="56"/>
      <c r="T22" s="56"/>
      <c r="U22" s="56"/>
      <c r="V22" s="56"/>
      <c r="W22" s="58"/>
    </row>
    <row r="23" spans="1:23">
      <c r="A23">
        <v>20</v>
      </c>
      <c r="B23" s="176">
        <f ca="1">IF(DATOSAÑO!$E30=0,0,((DATOSAÑO!$C30/DATOSAÑO!$E30)*1000)*DATOSAÑO!$E30/24)</f>
        <v>6333.333333333333</v>
      </c>
      <c r="C23" s="72">
        <f ca="1">IF(DATOSAÑO!L30=0,0,((DATOSAÑO!J30/DATOSAÑO!L30)*1000)*DATOSAÑO!L30/24)</f>
        <v>12500</v>
      </c>
      <c r="D23" s="82">
        <f t="shared" ca="1" si="0"/>
        <v>3.3791477191011241</v>
      </c>
      <c r="E23" s="44">
        <f t="shared" ca="1" si="1"/>
        <v>4.4766758089887659</v>
      </c>
      <c r="F23" s="56"/>
      <c r="G23" s="56"/>
      <c r="H23" s="56"/>
      <c r="I23" s="56"/>
      <c r="J23" s="56"/>
      <c r="K23" s="56"/>
      <c r="M23">
        <v>20</v>
      </c>
      <c r="N23" s="71">
        <f ca="1">IF(DATOSAÑO!$E211=0,0,((DATOSAÑO!$C211/DATOSAÑO!$E211)*1000)*DATOSAÑO!$E211/24)</f>
        <v>6198.7500000007758</v>
      </c>
      <c r="O23" s="72">
        <f ca="1">IF(DATOSAÑO!$L211=0,0,((DATOSAÑO!$J211/DATOSAÑO!$L211)*1000)*DATOSAÑO!$L211/24)</f>
        <v>12552.916666666533</v>
      </c>
      <c r="P23" s="82">
        <f t="shared" ca="1" si="4"/>
        <v>3.8711638704806552</v>
      </c>
      <c r="Q23" s="44">
        <f t="shared" ca="1" si="5"/>
        <v>5.1759747648667691</v>
      </c>
      <c r="R23" s="56"/>
      <c r="S23" s="56"/>
      <c r="T23" s="56"/>
      <c r="U23" s="56"/>
      <c r="V23" s="56"/>
      <c r="W23" s="56"/>
    </row>
    <row r="24" spans="1:23">
      <c r="A24">
        <v>21</v>
      </c>
      <c r="B24" s="176">
        <f ca="1">IF(DATOSAÑO!$E31=0,0,((DATOSAÑO!$C31/DATOSAÑO!$E31)*1000)*DATOSAÑO!$E31/24)</f>
        <v>6250</v>
      </c>
      <c r="C24" s="72">
        <f ca="1">IF(DATOSAÑO!L31=0,0,((DATOSAÑO!J31/DATOSAÑO!L31)*1000)*DATOSAÑO!L31/24)</f>
        <v>12500</v>
      </c>
      <c r="D24" s="82">
        <f t="shared" ca="1" si="0"/>
        <v>3.3643162584269666</v>
      </c>
      <c r="E24" s="44">
        <f t="shared" ca="1" si="1"/>
        <v>4.4766758089887659</v>
      </c>
      <c r="F24" s="56"/>
      <c r="G24" s="56"/>
      <c r="H24" s="56"/>
      <c r="I24" s="56"/>
      <c r="J24" s="56"/>
      <c r="K24" s="56"/>
      <c r="M24">
        <v>21</v>
      </c>
      <c r="N24" s="71">
        <f ca="1">IF(DATOSAÑO!$E212=0,0,((DATOSAÑO!$C212/DATOSAÑO!$E212)*1000)*DATOSAÑO!$E212/24)</f>
        <v>10147.083333334498</v>
      </c>
      <c r="O24" s="72">
        <f ca="1">IF(DATOSAÑO!$L212=0,0,((DATOSAÑO!$J212/DATOSAÑO!$L212)*1000)*DATOSAÑO!$L212/24)</f>
        <v>7967.9166666667998</v>
      </c>
      <c r="P24" s="82">
        <f t="shared" ca="1" si="4"/>
        <v>4.6819434137728386</v>
      </c>
      <c r="Q24" s="44">
        <f t="shared" ca="1" si="5"/>
        <v>4.2344574480257187</v>
      </c>
      <c r="R24" s="56"/>
      <c r="S24" s="56"/>
      <c r="T24" s="56"/>
      <c r="U24" s="56"/>
      <c r="V24" s="56"/>
      <c r="W24" s="56"/>
    </row>
    <row r="25" spans="1:23">
      <c r="A25">
        <v>22</v>
      </c>
      <c r="B25" s="176">
        <f ca="1">IF(DATOSAÑO!$E32=0,0,((DATOSAÑO!$C32/DATOSAÑO!$E32)*1000)*DATOSAÑO!$E32/24)</f>
        <v>6333.333333333333</v>
      </c>
      <c r="C25" s="72">
        <f ca="1">IF(DATOSAÑO!L32=0,0,((DATOSAÑO!J32/DATOSAÑO!L32)*1000)*DATOSAÑO!L32/24)</f>
        <v>12250</v>
      </c>
      <c r="D25" s="82">
        <f t="shared" ca="1" si="0"/>
        <v>3.3791477191011241</v>
      </c>
      <c r="E25" s="44">
        <f t="shared" ca="1" si="1"/>
        <v>4.4321814269662934</v>
      </c>
      <c r="F25" s="56"/>
      <c r="G25" s="56"/>
      <c r="H25" s="56"/>
      <c r="I25" s="56"/>
      <c r="J25" s="56"/>
      <c r="K25" s="56"/>
      <c r="M25">
        <v>22</v>
      </c>
      <c r="N25" s="71">
        <f ca="1">IF(DATOSAÑO!$E213=0,0,((DATOSAÑO!$C213/DATOSAÑO!$E213)*1000)*DATOSAÑO!$E213/24)</f>
        <v>12094.166666667055</v>
      </c>
      <c r="O25" s="72">
        <f ca="1">IF(DATOSAÑO!$L213=0,0,((DATOSAÑO!$J213/DATOSAÑO!$L213)*1000)*DATOSAÑO!$L213/24)</f>
        <v>6240.5416666667106</v>
      </c>
      <c r="P25" s="82">
        <f t="shared" ca="1" si="4"/>
        <v>5.0817716963606916</v>
      </c>
      <c r="Q25" s="44">
        <f t="shared" ca="1" si="5"/>
        <v>3.8797456759039113</v>
      </c>
      <c r="R25" s="56"/>
      <c r="S25" s="56"/>
      <c r="T25" s="56"/>
      <c r="U25" s="56"/>
      <c r="V25" s="56"/>
      <c r="W25" s="56"/>
    </row>
    <row r="26" spans="1:23">
      <c r="A26">
        <v>23</v>
      </c>
      <c r="B26" s="176">
        <f ca="1">IF(DATOSAÑO!$E33=0,0,((DATOSAÑO!$C33/DATOSAÑO!$E33)*1000)*DATOSAÑO!$E33/24)</f>
        <v>6333.333333333333</v>
      </c>
      <c r="C26" s="72">
        <f ca="1">IF(DATOSAÑO!L33=0,0,((DATOSAÑO!J33/DATOSAÑO!L33)*1000)*DATOSAÑO!L33/24)</f>
        <v>12250</v>
      </c>
      <c r="D26" s="82">
        <f t="shared" ca="1" si="0"/>
        <v>3.3791477191011241</v>
      </c>
      <c r="E26" s="44">
        <f t="shared" ca="1" si="1"/>
        <v>4.4321814269662934</v>
      </c>
      <c r="F26" s="56"/>
      <c r="G26" s="56"/>
      <c r="H26" s="56"/>
      <c r="I26" s="56"/>
      <c r="J26" s="56"/>
      <c r="K26" s="56"/>
      <c r="M26">
        <v>23</v>
      </c>
      <c r="N26" s="71">
        <f ca="1">IF(DATOSAÑO!$E214=0,0,((DATOSAÑO!$C214/DATOSAÑO!$E214)*1000)*DATOSAÑO!$E214/24)</f>
        <v>12134.999999999613</v>
      </c>
      <c r="O26" s="72">
        <f ca="1">IF(DATOSAÑO!$L214=0,0,((DATOSAÑO!$J214/DATOSAÑO!$L214)*1000)*DATOSAÑO!$L214/24)</f>
        <v>6147.1666666666351</v>
      </c>
      <c r="P26" s="82">
        <f t="shared" ca="1" si="4"/>
        <v>5.0901567106326535</v>
      </c>
      <c r="Q26" s="44">
        <f t="shared" ca="1" si="5"/>
        <v>3.8605713728591766</v>
      </c>
      <c r="R26" s="56"/>
      <c r="S26" s="56"/>
      <c r="T26" s="56"/>
      <c r="U26" s="56"/>
      <c r="V26" s="56"/>
      <c r="W26" s="56"/>
    </row>
    <row r="27" spans="1:23">
      <c r="A27">
        <v>24</v>
      </c>
      <c r="B27" s="176">
        <f ca="1">IF(DATOSAÑO!$E34=0,0,((DATOSAÑO!$C34/DATOSAÑO!$E34)*1000)*DATOSAÑO!$E34/24)</f>
        <v>9375</v>
      </c>
      <c r="C27" s="72">
        <f ca="1">IF(DATOSAÑO!L34=0,0,((DATOSAÑO!J34/DATOSAÑO!L34)*1000)*DATOSAÑO!L34/24)</f>
        <v>8583.3333333333339</v>
      </c>
      <c r="D27" s="82">
        <f t="shared" ca="1" si="0"/>
        <v>3.9204960337078663</v>
      </c>
      <c r="E27" s="44">
        <f t="shared" ca="1" si="1"/>
        <v>3.779597157303372</v>
      </c>
      <c r="F27" s="56"/>
      <c r="G27" s="56"/>
      <c r="H27" s="56"/>
      <c r="I27" s="56"/>
      <c r="J27" s="56"/>
      <c r="K27" s="56"/>
      <c r="M27">
        <v>24</v>
      </c>
      <c r="N27" s="71">
        <f ca="1">IF(DATOSAÑO!$E215=0,0,((DATOSAÑO!$C215/DATOSAÑO!$E215)*1000)*DATOSAÑO!$E215/24)</f>
        <v>12297.499999995731</v>
      </c>
      <c r="O27" s="72">
        <f ca="1">IF(DATOSAÑO!$L215=0,0,((DATOSAÑO!$J215/DATOSAÑO!$L215)*1000)*DATOSAÑO!$L215/24)</f>
        <v>6170.0833333334231</v>
      </c>
      <c r="P27" s="82">
        <f t="shared" ca="1" si="4"/>
        <v>5.1235256449800968</v>
      </c>
      <c r="Q27" s="44">
        <f t="shared" ca="1" si="5"/>
        <v>3.865277248216004</v>
      </c>
      <c r="R27" s="56"/>
      <c r="S27" s="56"/>
      <c r="T27" s="56"/>
      <c r="U27" s="56"/>
      <c r="V27" s="56"/>
      <c r="W27" s="56"/>
    </row>
    <row r="28" spans="1:23">
      <c r="A28">
        <v>25</v>
      </c>
      <c r="B28" s="176">
        <f ca="1">IF(DATOSAÑO!$E35=0,0,((DATOSAÑO!$C35/DATOSAÑO!$E35)*1000)*DATOSAÑO!$E35/24)</f>
        <v>12291.666666666666</v>
      </c>
      <c r="C28" s="72">
        <f ca="1">IF(DATOSAÑO!L35=0,0,((DATOSAÑO!J35/DATOSAÑO!L35)*1000)*DATOSAÑO!L35/24)</f>
        <v>6304.166666666636</v>
      </c>
      <c r="D28" s="82">
        <f t="shared" ca="1" si="0"/>
        <v>4.4395971573033721</v>
      </c>
      <c r="E28" s="44">
        <f t="shared" ca="1" si="1"/>
        <v>3.3739567078651636</v>
      </c>
      <c r="F28" s="56"/>
      <c r="G28" s="56"/>
      <c r="H28" s="56"/>
      <c r="I28" s="56"/>
      <c r="J28" s="56"/>
      <c r="K28" s="56"/>
      <c r="M28">
        <v>25</v>
      </c>
      <c r="N28" s="71">
        <f ca="1">IF(DATOSAÑO!$E216=0,0,((DATOSAÑO!$C216/DATOSAÑO!$E216)*1000)*DATOSAÑO!$E216/24)</f>
        <v>12045.416666670159</v>
      </c>
      <c r="O28" s="72">
        <f ca="1">IF(DATOSAÑO!$L216=0,0,((DATOSAÑO!$J216/DATOSAÑO!$L216)*1000)*DATOSAÑO!$L216/24)</f>
        <v>6112.6249999997526</v>
      </c>
      <c r="P28" s="82">
        <f t="shared" ca="1" si="4"/>
        <v>5.0717610160568558</v>
      </c>
      <c r="Q28" s="44">
        <f t="shared" ca="1" si="5"/>
        <v>3.8534783352758781</v>
      </c>
      <c r="R28" s="56"/>
      <c r="S28" s="56"/>
      <c r="T28" s="56"/>
      <c r="U28" s="56"/>
      <c r="V28" s="56"/>
      <c r="W28" s="56"/>
    </row>
    <row r="29" spans="1:23">
      <c r="A29">
        <v>26</v>
      </c>
      <c r="B29" s="176">
        <f ca="1">IF(DATOSAÑO!$E36=0,0,((DATOSAÑO!$C36/DATOSAÑO!$E36)*1000)*DATOSAÑO!$E36/24)</f>
        <v>11833.333333333334</v>
      </c>
      <c r="C29" s="72">
        <f ca="1">IF(DATOSAÑO!L36=0,0,((DATOSAÑO!J36/DATOSAÑO!L36)*1000)*DATOSAÑO!L36/24)</f>
        <v>6279.166666666697</v>
      </c>
      <c r="D29" s="82">
        <f t="shared" ca="1" si="0"/>
        <v>4.3580241235955075</v>
      </c>
      <c r="E29" s="44">
        <f t="shared" ca="1" si="1"/>
        <v>3.3695072696629271</v>
      </c>
      <c r="F29" s="56"/>
      <c r="G29" s="56"/>
      <c r="H29" s="56"/>
      <c r="I29" s="56"/>
      <c r="J29" s="56"/>
      <c r="K29" s="56"/>
      <c r="M29">
        <v>26</v>
      </c>
      <c r="N29" s="71">
        <f ca="1">IF(DATOSAÑO!$E217=0,0,((DATOSAÑO!$C217/DATOSAÑO!$E217)*1000)*DATOSAÑO!$E217/24)</f>
        <v>11938.750000001164</v>
      </c>
      <c r="O29" s="72">
        <f ca="1">IF(DATOSAÑO!$L217=0,0,((DATOSAÑO!$J217/DATOSAÑO!$L217)*1000)*DATOSAÑO!$L217/24)</f>
        <v>6165.6666666667661</v>
      </c>
      <c r="P29" s="82">
        <f t="shared" ca="1" si="4"/>
        <v>5.0498573053047133</v>
      </c>
      <c r="Q29" s="44">
        <f t="shared" ca="1" si="5"/>
        <v>3.8643702976926955</v>
      </c>
      <c r="R29" s="56"/>
      <c r="S29" s="56"/>
      <c r="T29" s="56"/>
      <c r="U29" s="56"/>
      <c r="V29" s="56"/>
      <c r="W29" s="56"/>
    </row>
    <row r="30" spans="1:23">
      <c r="A30">
        <v>27</v>
      </c>
      <c r="B30" s="176">
        <f ca="1">IF(DATOSAÑO!$E37=0,0,((DATOSAÑO!$C37/DATOSAÑO!$E37)*1000)*DATOSAÑO!$E37/24)</f>
        <v>11916.666666666666</v>
      </c>
      <c r="C30" s="72">
        <f ca="1">IF(DATOSAÑO!L37=0,0,((DATOSAÑO!J37/DATOSAÑO!L37)*1000)*DATOSAÑO!L37/24)</f>
        <v>6183.333333333394</v>
      </c>
      <c r="D30" s="82">
        <f t="shared" ca="1" si="0"/>
        <v>4.372855584269665</v>
      </c>
      <c r="E30" s="44">
        <f t="shared" ca="1" si="1"/>
        <v>3.3524510898876518</v>
      </c>
      <c r="F30" s="56"/>
      <c r="G30" s="56"/>
      <c r="H30" s="56"/>
      <c r="I30" s="56"/>
      <c r="J30" s="56"/>
      <c r="K30" s="56"/>
      <c r="M30">
        <v>27</v>
      </c>
      <c r="N30" s="71">
        <f ca="1">IF(DATOSAÑO!$E218=0,0,((DATOSAÑO!$C218/DATOSAÑO!$E218)*1000)*DATOSAÑO!$E218/24)</f>
        <v>12143.333333331006</v>
      </c>
      <c r="O30" s="72">
        <f ca="1">IF(DATOSAÑO!$L218=0,0,((DATOSAÑO!$J218/DATOSAÑO!$L218)*1000)*DATOSAÑO!$L218/24)</f>
        <v>6226.4166666667124</v>
      </c>
      <c r="P30" s="82">
        <f t="shared" ca="1" si="4"/>
        <v>5.0918679380347296</v>
      </c>
      <c r="Q30" s="44">
        <f t="shared" ca="1" si="5"/>
        <v>3.8768451454567185</v>
      </c>
      <c r="R30" s="56"/>
      <c r="S30" s="56"/>
      <c r="T30" s="56"/>
      <c r="U30" s="56"/>
      <c r="V30" s="56"/>
      <c r="W30" s="56"/>
    </row>
    <row r="31" spans="1:23">
      <c r="A31">
        <v>28</v>
      </c>
      <c r="B31" s="176">
        <f ca="1">IF(DATOSAÑO!$E38=0,0,((DATOSAÑO!$C38/DATOSAÑO!$E38)*1000)*DATOSAÑO!$E38/24)</f>
        <v>12208.333333333334</v>
      </c>
      <c r="C31" s="72">
        <f ca="1">IF(DATOSAÑO!L38=0,0,((DATOSAÑO!J38/DATOSAÑO!L38)*1000)*DATOSAÑO!L38/24)</f>
        <v>6237.499999999879</v>
      </c>
      <c r="D31" s="82">
        <f t="shared" ca="1" si="0"/>
        <v>4.4247656966292155</v>
      </c>
      <c r="E31" s="44">
        <f t="shared" ca="1" si="1"/>
        <v>3.3620915393258217</v>
      </c>
      <c r="F31" s="56"/>
      <c r="G31" s="56"/>
      <c r="H31" s="56"/>
      <c r="I31" s="56"/>
      <c r="J31" s="56"/>
      <c r="K31" s="56"/>
      <c r="M31">
        <v>28</v>
      </c>
      <c r="N31" s="71">
        <f ca="1">IF(DATOSAÑO!$E219=0,0,((DATOSAÑO!$C219/DATOSAÑO!$E219)*1000)*DATOSAÑO!$E219/24)</f>
        <v>11541.666666666666</v>
      </c>
      <c r="O31" s="72">
        <f ca="1">IF(DATOSAÑO!$L219=0,0,((DATOSAÑO!$J219/DATOSAÑO!$L219)*1000)*DATOSAÑO!$L219/24)</f>
        <v>6125</v>
      </c>
      <c r="P31" s="82">
        <f t="shared" ca="1" si="4"/>
        <v>4.9683173195765953</v>
      </c>
      <c r="Q31" s="44">
        <f t="shared" ca="1" si="5"/>
        <v>3.8560195079686026</v>
      </c>
      <c r="R31" s="56"/>
      <c r="S31" s="56"/>
      <c r="T31" s="56"/>
      <c r="U31" s="56"/>
      <c r="V31" s="56"/>
      <c r="W31" s="56"/>
    </row>
    <row r="32" spans="1:23">
      <c r="A32">
        <v>29</v>
      </c>
      <c r="B32" s="176">
        <f ca="1">IF(DATOSAÑO!$E39=0,0,((DATOSAÑO!$C39/DATOSAÑO!$E39)*1000)*DATOSAÑO!$E39/24)</f>
        <v>12208.333333333334</v>
      </c>
      <c r="C32" s="72">
        <f ca="1">IF(DATOSAÑO!L39=0,0,((DATOSAÑO!J39/DATOSAÑO!L39)*1000)*DATOSAÑO!L39/24)</f>
        <v>6250</v>
      </c>
      <c r="D32" s="82">
        <f t="shared" ca="1" si="0"/>
        <v>4.4247656966292155</v>
      </c>
      <c r="E32" s="44">
        <f t="shared" ca="1" si="1"/>
        <v>3.3643162584269666</v>
      </c>
      <c r="F32" s="56"/>
      <c r="G32" s="56"/>
      <c r="H32" s="56"/>
      <c r="I32" s="56"/>
      <c r="J32" s="56"/>
      <c r="K32" s="56"/>
      <c r="M32">
        <v>29</v>
      </c>
      <c r="N32" s="71">
        <f ca="1">IF(DATOSAÑO!$E220=0,0,((DATOSAÑO!$C220/DATOSAÑO!$E220)*1000)*DATOSAÑO!$E220/24)</f>
        <v>12291.666666666666</v>
      </c>
      <c r="O32" s="72">
        <f ca="1">IF(DATOSAÑO!$L220=0,0,((DATOSAÑO!$J220/DATOSAÑO!$L220)*1000)*DATOSAÑO!$L220/24)</f>
        <v>6125</v>
      </c>
      <c r="P32" s="82">
        <f t="shared" ca="1" si="4"/>
        <v>5.1223277857992411</v>
      </c>
      <c r="Q32" s="44">
        <f t="shared" ca="1" si="5"/>
        <v>3.8560195079686026</v>
      </c>
      <c r="R32" s="56"/>
      <c r="S32" s="56"/>
      <c r="T32" s="56"/>
      <c r="U32" s="56"/>
      <c r="V32" s="56"/>
      <c r="W32" s="56"/>
    </row>
    <row r="33" spans="1:23">
      <c r="A33">
        <v>30</v>
      </c>
      <c r="B33" s="176">
        <f ca="1">IF(DATOSAÑO!$E40=0,0,((DATOSAÑO!$C40/DATOSAÑO!$E40)*1000)*DATOSAÑO!$E40/24)</f>
        <v>11962.49999999903</v>
      </c>
      <c r="C33" s="72">
        <f ca="1">IF(DATOSAÑO!L40=0,0,((DATOSAÑO!J40/DATOSAÑO!L40)*1000)*DATOSAÑO!L40/24)</f>
        <v>6250</v>
      </c>
      <c r="D33" s="82">
        <f t="shared" ca="1" si="0"/>
        <v>4.3810128876402779</v>
      </c>
      <c r="E33" s="44">
        <f t="shared" ca="1" si="1"/>
        <v>3.3643162584269666</v>
      </c>
      <c r="F33" s="56"/>
      <c r="G33" s="56"/>
      <c r="H33" s="56"/>
      <c r="I33" s="56"/>
      <c r="J33" s="56"/>
      <c r="K33" s="56"/>
      <c r="M33">
        <v>30</v>
      </c>
      <c r="N33" s="71">
        <f ca="1">IF(DATOSAÑO!$E221=0,0,((DATOSAÑO!$C221/DATOSAÑO!$E221)*1000)*DATOSAÑO!$E221/24)</f>
        <v>12250</v>
      </c>
      <c r="O33" s="72">
        <f ca="1">IF(DATOSAÑO!$L221=0,0,((DATOSAÑO!$J221/DATOSAÑO!$L221)*1000)*DATOSAÑO!$L221/24)</f>
        <v>6250</v>
      </c>
      <c r="P33" s="82">
        <f t="shared" ca="1" si="4"/>
        <v>5.113771648786873</v>
      </c>
      <c r="Q33" s="44">
        <f t="shared" ca="1" si="5"/>
        <v>3.8816879190057101</v>
      </c>
      <c r="R33" s="56"/>
      <c r="S33" s="56"/>
      <c r="T33" s="56"/>
      <c r="U33" s="56"/>
      <c r="V33" s="56"/>
      <c r="W33" s="56"/>
    </row>
    <row r="34" spans="1:23" ht="15" thickBot="1">
      <c r="A34">
        <v>31</v>
      </c>
      <c r="B34" s="177">
        <f ca="1">IF(DATOSAÑO!$E41=0,0,((DATOSAÑO!$C41/DATOSAÑO!$E41)*1000)*DATOSAÑO!$E41/24)</f>
        <v>12162.50000000097</v>
      </c>
      <c r="C34" s="74">
        <f ca="1">IF(DATOSAÑO!L41=0,0,((DATOSAÑO!J41/DATOSAÑO!L41)*1000)*DATOSAÑO!L41/24)</f>
        <v>6220.8333333334549</v>
      </c>
      <c r="D34" s="80">
        <f t="shared" ca="1" si="0"/>
        <v>4.4166083932586009</v>
      </c>
      <c r="E34" s="81">
        <f t="shared" ca="1" si="1"/>
        <v>3.3591252471910336</v>
      </c>
      <c r="F34" s="56"/>
      <c r="G34" s="56"/>
      <c r="H34" s="56"/>
      <c r="I34" s="56"/>
      <c r="J34" s="56"/>
      <c r="K34" s="56"/>
      <c r="M34">
        <v>31</v>
      </c>
      <c r="N34" s="73">
        <f ca="1">IF(DATOSAÑO!$E222=0,0,((DATOSAÑO!$C222/DATOSAÑO!$E222)*1000)*DATOSAÑO!$E222/24)</f>
        <v>11416.666666666666</v>
      </c>
      <c r="O34" s="74">
        <f ca="1">IF(DATOSAÑO!$L222=0,0,((DATOSAÑO!$J222/DATOSAÑO!$L222)*1000)*DATOSAÑO!$L222/24)</f>
        <v>6083.333333333333</v>
      </c>
      <c r="P34" s="80">
        <f t="shared" ca="1" si="4"/>
        <v>4.9426489085394882</v>
      </c>
      <c r="Q34" s="81">
        <f t="shared" ca="1" si="5"/>
        <v>3.8474633709562331</v>
      </c>
      <c r="R34" s="56"/>
      <c r="S34" s="56"/>
      <c r="T34" s="56"/>
      <c r="U34" s="56"/>
      <c r="V34" s="56"/>
      <c r="W34" s="56"/>
    </row>
    <row r="35" spans="1:23" ht="15" thickTop="1"/>
    <row r="36" spans="1:23" ht="15" thickBot="1">
      <c r="B36" s="2262">
        <v>44958</v>
      </c>
      <c r="C36" s="2264"/>
      <c r="D36" s="2264"/>
      <c r="E36" s="2264"/>
      <c r="F36" s="2263" t="s">
        <v>60</v>
      </c>
      <c r="G36" s="2263"/>
      <c r="H36" s="2263"/>
      <c r="I36" s="2263"/>
      <c r="J36" s="2263"/>
      <c r="K36" s="2263"/>
      <c r="N36" s="2262">
        <v>45139</v>
      </c>
      <c r="O36" s="2264"/>
      <c r="P36" s="2264"/>
      <c r="Q36" s="2264"/>
      <c r="R36" s="2263" t="s">
        <v>60</v>
      </c>
      <c r="S36" s="2263"/>
      <c r="T36" s="2263"/>
      <c r="U36" s="2263"/>
      <c r="V36" s="2263"/>
      <c r="W36" s="2263"/>
    </row>
    <row r="37" spans="1:23" ht="44.5" thickTop="1" thickBot="1">
      <c r="A37" s="40">
        <f ca="1">ABS(TODAY()-1)</f>
        <v>45231</v>
      </c>
      <c r="B37" s="67">
        <f ca="1">DAY(A37)</f>
        <v>1</v>
      </c>
      <c r="C37" s="68"/>
      <c r="D37" s="76" t="s">
        <v>61</v>
      </c>
      <c r="E37" s="77" t="s">
        <v>62</v>
      </c>
      <c r="F37" s="41"/>
      <c r="G37" s="42"/>
      <c r="H37" s="42" t="s">
        <v>63</v>
      </c>
      <c r="I37" s="42" t="s">
        <v>64</v>
      </c>
      <c r="J37" s="43" t="s">
        <v>56</v>
      </c>
      <c r="K37" s="42" t="s">
        <v>65</v>
      </c>
      <c r="M37" s="40">
        <f ca="1">ABS(TODAY()-1)</f>
        <v>45231</v>
      </c>
      <c r="N37" s="67">
        <f ca="1">DAY(M37)</f>
        <v>1</v>
      </c>
      <c r="O37" s="68"/>
      <c r="P37" s="76" t="s">
        <v>61</v>
      </c>
      <c r="Q37" s="77" t="s">
        <v>62</v>
      </c>
      <c r="R37" s="41"/>
      <c r="S37" s="42"/>
      <c r="T37" s="42" t="s">
        <v>63</v>
      </c>
      <c r="U37" s="42" t="s">
        <v>64</v>
      </c>
      <c r="V37" s="43" t="s">
        <v>56</v>
      </c>
      <c r="W37" s="42" t="s">
        <v>65</v>
      </c>
    </row>
    <row r="38" spans="1:23" ht="15" thickTop="1">
      <c r="A38">
        <v>1</v>
      </c>
      <c r="B38" s="69">
        <f ca="1">IF(DATOSAÑO!E42=0,0,((DATOSAÑO!C42/DATOSAÑO!E42)*1000)*DATOSAÑO!E42/24)</f>
        <v>12245.833333334303</v>
      </c>
      <c r="C38" s="70">
        <f ca="1">IF(DATOSAÑO!L42=0,0,((DATOSAÑO!J42/DATOSAÑO!L42)*1000)*DATOSAÑO!L42/24)</f>
        <v>6608.333333333273</v>
      </c>
      <c r="D38" s="83">
        <f ca="1">IF(B38&gt;0,(B38-$F$42)/($F$43-$F$42)*($G$43-$G$42)+$G$42,0)</f>
        <v>4.8729764251872218</v>
      </c>
      <c r="E38" s="79">
        <f ca="1">IF(C38&gt;0,(C38-$F$48)/($F$49-$F$48)*($G$49-$G$48)+$G$48,0)</f>
        <v>3.769657223192008</v>
      </c>
      <c r="F38" s="2260" t="s">
        <v>66</v>
      </c>
      <c r="G38" s="2261"/>
      <c r="H38" s="45">
        <f ca="1">IF($G$39&gt;=J38,1,0)</f>
        <v>1</v>
      </c>
      <c r="I38" s="45">
        <f ca="1">IF($G$45&gt;=J38,1,0)</f>
        <v>1</v>
      </c>
      <c r="J38" s="46">
        <v>0</v>
      </c>
      <c r="K38" s="47">
        <f>PORTADA!I21</f>
        <v>2.4763355274314209</v>
      </c>
      <c r="M38">
        <v>1</v>
      </c>
      <c r="N38" s="69">
        <f ca="1">IF(DATOSAÑO!$E223=0,0,((DATOSAÑO!$C223/DATOSAÑO!$E223)*1000)*DATOSAÑO!$E223/24)</f>
        <v>12291.666666666666</v>
      </c>
      <c r="O38" s="70">
        <f ca="1">IF(DATOSAÑO!$L223=0,0,((DATOSAÑO!$J223/DATOSAÑO!$L223)*1000)*DATOSAÑO!$L223/24)</f>
        <v>6208.333333333333</v>
      </c>
      <c r="P38" s="78">
        <f ca="1">IF(N38&gt;0,(N38-$R$42)/($R$43-$R$42)*($S$43-$S$42)+$S$42,0)</f>
        <v>5.3624296167251453</v>
      </c>
      <c r="Q38" s="79">
        <f ca="1">IF(O38&gt;0,(O38-$R$48)/($R$49-$R$48)*($S$49-$S$48)+$S$48,0)</f>
        <v>3.945197593333333</v>
      </c>
      <c r="R38" s="2260" t="s">
        <v>66</v>
      </c>
      <c r="S38" s="2261"/>
      <c r="T38" s="45">
        <f ca="1">IF($S$39&gt;=V38,1,0)</f>
        <v>1</v>
      </c>
      <c r="U38" s="45">
        <f ca="1">IF($S$45&gt;=V38,1,0)</f>
        <v>1</v>
      </c>
      <c r="V38" s="46">
        <v>0</v>
      </c>
      <c r="W38" s="47">
        <f>PORTADA!O21</f>
        <v>2.5551148564912278</v>
      </c>
    </row>
    <row r="39" spans="1:23">
      <c r="A39">
        <v>2</v>
      </c>
      <c r="B39" s="71">
        <f ca="1">IF(DATOSAÑO!E43=0,0,((DATOSAÑO!C43/DATOSAÑO!E43)*1000)*DATOSAÑO!E43/24)</f>
        <v>9237.4999999980591</v>
      </c>
      <c r="C39" s="72">
        <f ca="1">IF(DATOSAÑO!L43=0,0,((DATOSAÑO!J43/DATOSAÑO!L43)*1000)*DATOSAÑO!L43/24)</f>
        <v>4716.666666666697</v>
      </c>
      <c r="D39" s="84">
        <f t="shared" ref="D39:D64" ca="1" si="8">IF(B39&gt;0,(B39-$F$42)/($F$43-$F$42)*($G$43-$G$42)+$G$42,0)</f>
        <v>4.284213332917326</v>
      </c>
      <c r="E39" s="44">
        <f t="shared" ref="E39:E64" ca="1" si="9">IF(C39&gt;0,(C39-$F$48)/($F$49-$F$48)*($G$49-$G$48)+$G$48,0)</f>
        <v>3.3994377718204545</v>
      </c>
      <c r="F39" s="48" t="s">
        <v>67</v>
      </c>
      <c r="G39" s="49">
        <f ca="1">INDEX(B38:C68,B37,1)</f>
        <v>12245.833333334303</v>
      </c>
      <c r="H39" s="45">
        <f t="shared" ref="H39:H49" ca="1" si="10">IF($G$39&gt;=J39,1,0)</f>
        <v>1</v>
      </c>
      <c r="I39" s="45">
        <f t="shared" ref="I39:I49" ca="1" si="11">IF($G$45&gt;=J39,1,0)</f>
        <v>1</v>
      </c>
      <c r="J39" s="46">
        <v>2630</v>
      </c>
      <c r="K39" s="47">
        <f>PORTADA!I22</f>
        <v>2.9910547294264336</v>
      </c>
      <c r="M39">
        <v>2</v>
      </c>
      <c r="N39" s="71">
        <f ca="1">IF(DATOSAÑO!$E224=0,0,((DATOSAÑO!$C224/DATOSAÑO!$E224)*1000)*DATOSAÑO!$E224/24)</f>
        <v>11750</v>
      </c>
      <c r="O39" s="72">
        <f ca="1">IF(DATOSAÑO!$L224=0,0,((DATOSAÑO!$J224/DATOSAÑO!$L224)*1000)*DATOSAÑO!$L224/24)</f>
        <v>6166.666666666667</v>
      </c>
      <c r="P39" s="82">
        <f t="shared" ref="P39:P66" ca="1" si="12">IF(N39&gt;0,(N39-$R$42)/($R$43-$R$42)*($S$43-$S$42)+$S$42,0)</f>
        <v>5.2348167512280694</v>
      </c>
      <c r="Q39" s="44">
        <f t="shared" ref="Q39:Q66" ca="1" si="13">IF(O39&gt;0,(O39-$R$48)/($R$49-$R$48)*($S$49-$S$48)+$S$48,0)</f>
        <v>3.934680049473684</v>
      </c>
      <c r="R39" s="48" t="s">
        <v>67</v>
      </c>
      <c r="S39" s="49">
        <f ca="1">INDEX(N38:O68,N37,1)</f>
        <v>12291.666666666666</v>
      </c>
      <c r="T39" s="45">
        <f t="shared" ref="T39:T48" ca="1" si="14">IF($S$39&gt;=V39,1,0)</f>
        <v>1</v>
      </c>
      <c r="U39" s="45">
        <f t="shared" ref="U39:U48" ca="1" si="15">IF($S$45&gt;=V39,1,0)</f>
        <v>1</v>
      </c>
      <c r="V39" s="46">
        <v>2630</v>
      </c>
      <c r="W39" s="47">
        <f>PORTADA!O22</f>
        <v>3.08620875122807</v>
      </c>
    </row>
    <row r="40" spans="1:23">
      <c r="A40">
        <v>3</v>
      </c>
      <c r="B40" s="71">
        <f ca="1">IF(DATOSAÑO!E44=0,0,((DATOSAÑO!C44/DATOSAÑO!E44)*1000)*DATOSAÑO!E44/24)</f>
        <v>12224.583333333916</v>
      </c>
      <c r="C40" s="72">
        <f ca="1">IF(DATOSAÑO!L44=0,0,((DATOSAÑO!J44/DATOSAÑO!L44)*1000)*DATOSAÑO!L44/24)</f>
        <v>6128.3333333332548</v>
      </c>
      <c r="D40" s="84">
        <f t="shared" ca="1" si="8"/>
        <v>4.8688175723193163</v>
      </c>
      <c r="E40" s="44">
        <f t="shared" ca="1" si="9"/>
        <v>3.6757160760598349</v>
      </c>
      <c r="F40" s="48" t="s">
        <v>68</v>
      </c>
      <c r="G40" s="50">
        <f ca="1">(G39-F42)/(F43-F42)*(G43-G42)+G42</f>
        <v>4.8729764251872218</v>
      </c>
      <c r="H40" s="45">
        <f t="shared" ca="1" si="10"/>
        <v>1</v>
      </c>
      <c r="I40" s="45">
        <f t="shared" ca="1" si="11"/>
        <v>1</v>
      </c>
      <c r="J40" s="46">
        <v>5260</v>
      </c>
      <c r="K40" s="47">
        <f>PORTADA!I23</f>
        <v>3.5915604650872814</v>
      </c>
      <c r="M40">
        <v>3</v>
      </c>
      <c r="N40" s="71">
        <f ca="1">IF(DATOSAÑO!$E225=0,0,((DATOSAÑO!$C225/DATOSAÑO!$E225)*1000)*DATOSAÑO!$E225/24)</f>
        <v>11625</v>
      </c>
      <c r="O40" s="72">
        <f ca="1">IF(DATOSAÑO!$L225=0,0,((DATOSAÑO!$J225/DATOSAÑO!$L225)*1000)*DATOSAÑO!$L225/24)</f>
        <v>6250</v>
      </c>
      <c r="P40" s="82">
        <f t="shared" ca="1" si="12"/>
        <v>5.2053676284210519</v>
      </c>
      <c r="Q40" s="44">
        <f t="shared" ca="1" si="13"/>
        <v>3.9557151371929824</v>
      </c>
      <c r="R40" s="48" t="s">
        <v>68</v>
      </c>
      <c r="S40" s="50">
        <f ca="1">(S39-R42)/(R43-R42)*(S43-S42)+S42</f>
        <v>5.3624296167251453</v>
      </c>
      <c r="T40" s="45">
        <f t="shared" ca="1" si="14"/>
        <v>1</v>
      </c>
      <c r="U40" s="45">
        <f t="shared" ca="1" si="15"/>
        <v>1</v>
      </c>
      <c r="V40" s="46">
        <v>5260</v>
      </c>
      <c r="W40" s="47">
        <f>PORTADA!O23</f>
        <v>3.705818295087719</v>
      </c>
    </row>
    <row r="41" spans="1:23">
      <c r="A41">
        <v>4</v>
      </c>
      <c r="B41" s="71">
        <f ca="1">IF(DATOSAÑO!E45=0,0,((DATOSAÑO!C45/DATOSAÑO!E45)*1000)*DATOSAÑO!E45/24)</f>
        <v>12899.16666666492</v>
      </c>
      <c r="C41" s="72">
        <f ca="1">IF(DATOSAÑO!L45=0,0,((DATOSAÑO!J45/DATOSAÑO!L45)*1000)*DATOSAÑO!L45/24)</f>
        <v>6053.3333333334367</v>
      </c>
      <c r="D41" s="84">
        <f t="shared" ca="1" si="8"/>
        <v>5.0008407643388111</v>
      </c>
      <c r="E41" s="44">
        <f t="shared" ca="1" si="9"/>
        <v>3.6610377718204692</v>
      </c>
      <c r="F41" s="48"/>
      <c r="G41" s="45"/>
      <c r="H41" s="45">
        <f t="shared" ca="1" si="10"/>
        <v>1</v>
      </c>
      <c r="I41" s="45">
        <f t="shared" ca="1" si="11"/>
        <v>0</v>
      </c>
      <c r="J41" s="46">
        <v>7890</v>
      </c>
      <c r="K41" s="47">
        <f>PORTADA!I24</f>
        <v>4.2349594675810476</v>
      </c>
      <c r="M41">
        <v>4</v>
      </c>
      <c r="N41" s="71">
        <f ca="1">IF(DATOSAÑO!$E226=0,0,((DATOSAÑO!$C226/DATOSAÑO!$E226)*1000)*DATOSAÑO!$E226/24)</f>
        <v>12125</v>
      </c>
      <c r="O41" s="72">
        <f ca="1">IF(DATOSAÑO!$L226=0,0,((DATOSAÑO!$J226/DATOSAÑO!$L226)*1000)*DATOSAÑO!$L226/24)</f>
        <v>6125</v>
      </c>
      <c r="P41" s="82">
        <f t="shared" ca="1" si="12"/>
        <v>5.323164119649122</v>
      </c>
      <c r="Q41" s="44">
        <f t="shared" ca="1" si="13"/>
        <v>3.924162505614035</v>
      </c>
      <c r="R41" s="48"/>
      <c r="S41" s="45"/>
      <c r="T41" s="45">
        <f t="shared" ca="1" si="14"/>
        <v>1</v>
      </c>
      <c r="U41" s="45">
        <f t="shared" ca="1" si="15"/>
        <v>0</v>
      </c>
      <c r="V41" s="46">
        <v>7890</v>
      </c>
      <c r="W41" s="47">
        <f>PORTADA!O24</f>
        <v>4.369685663508772</v>
      </c>
    </row>
    <row r="42" spans="1:23">
      <c r="A42">
        <v>5</v>
      </c>
      <c r="B42" s="71">
        <f ca="1">IF(DATOSAÑO!E46=0,0,((DATOSAÑO!C46/DATOSAÑO!E46)*1000)*DATOSAÑO!E46/24)</f>
        <v>12671.250000004269</v>
      </c>
      <c r="C42" s="72">
        <f ca="1">IF(DATOSAÑO!L46=0,0,((DATOSAÑO!J46/DATOSAÑO!L46)*1000)*DATOSAÑO!L46/24)</f>
        <v>6128.3333333332548</v>
      </c>
      <c r="D42" s="84">
        <f t="shared" ca="1" si="8"/>
        <v>4.9562350286791403</v>
      </c>
      <c r="E42" s="44">
        <f t="shared" ca="1" si="9"/>
        <v>3.6757160760598349</v>
      </c>
      <c r="F42" s="51">
        <f ca="1">INDEX(J38:J48,H49)</f>
        <v>0</v>
      </c>
      <c r="G42" s="52">
        <f ca="1">INDEX(K38:K48,H49)</f>
        <v>2.4763355274314209</v>
      </c>
      <c r="H42" s="45">
        <f t="shared" ca="1" si="10"/>
        <v>1</v>
      </c>
      <c r="I42" s="45">
        <f t="shared" ca="1" si="11"/>
        <v>0</v>
      </c>
      <c r="J42" s="46">
        <v>10520</v>
      </c>
      <c r="K42" s="47">
        <f>PORTADA!I25</f>
        <v>4.7925719364089776</v>
      </c>
      <c r="M42">
        <v>5</v>
      </c>
      <c r="N42" s="71">
        <f ca="1">IF(DATOSAÑO!$E227=0,0,((DATOSAÑO!$C227/DATOSAÑO!$E227)*1000)*DATOSAÑO!$E227/24)</f>
        <v>11958.333333333334</v>
      </c>
      <c r="O42" s="72">
        <f ca="1">IF(DATOSAÑO!$L227=0,0,((DATOSAÑO!$J227/DATOSAÑO!$L227)*1000)*DATOSAÑO!$L227/24)</f>
        <v>6250</v>
      </c>
      <c r="P42" s="82">
        <f t="shared" ca="1" si="12"/>
        <v>5.2838986225730986</v>
      </c>
      <c r="Q42" s="44">
        <f t="shared" ca="1" si="13"/>
        <v>3.9557151371929824</v>
      </c>
      <c r="R42" s="51">
        <f ca="1">INDEX(V38:V48,T49)</f>
        <v>10520</v>
      </c>
      <c r="S42" s="52">
        <f ca="1">INDEX(W38:W48,T49)</f>
        <v>4.9450373828070173</v>
      </c>
      <c r="T42" s="45">
        <f t="shared" ca="1" si="14"/>
        <v>1</v>
      </c>
      <c r="U42" s="45">
        <f t="shared" ca="1" si="15"/>
        <v>0</v>
      </c>
      <c r="V42" s="46">
        <v>10520</v>
      </c>
      <c r="W42" s="47">
        <f>PORTADA!O25</f>
        <v>4.9450373828070173</v>
      </c>
    </row>
    <row r="43" spans="1:23">
      <c r="A43">
        <v>6</v>
      </c>
      <c r="B43" s="71">
        <f ca="1">IF(DATOSAÑO!E47=0,0,((DATOSAÑO!C47/DATOSAÑO!E47)*1000)*DATOSAÑO!E47/24)</f>
        <v>12648.333333330811</v>
      </c>
      <c r="C43" s="72">
        <f ca="1">IF(DATOSAÑO!L47=0,0,((DATOSAÑO!J47/DATOSAÑO!L47)*1000)*DATOSAÑO!L47/24)</f>
        <v>6105.8333333333694</v>
      </c>
      <c r="D43" s="84">
        <f t="shared" ca="1" si="8"/>
        <v>4.9517499912713276</v>
      </c>
      <c r="E43" s="44">
        <f t="shared" ca="1" si="9"/>
        <v>3.671312584788037</v>
      </c>
      <c r="F43" s="51">
        <f ca="1">INDEX(J38:J48,H49+1)</f>
        <v>2630</v>
      </c>
      <c r="G43" s="52">
        <f ca="1">INDEX(K38:K48,H49+1)</f>
        <v>2.9910547294264336</v>
      </c>
      <c r="H43" s="45">
        <f t="shared" ca="1" si="10"/>
        <v>0</v>
      </c>
      <c r="I43" s="45">
        <f t="shared" ca="1" si="11"/>
        <v>0</v>
      </c>
      <c r="J43" s="46">
        <v>13150</v>
      </c>
      <c r="K43" s="47">
        <f>PORTADA!I26</f>
        <v>5.3930776720698246</v>
      </c>
      <c r="M43">
        <v>6</v>
      </c>
      <c r="N43" s="71">
        <f ca="1">IF(DATOSAÑO!$E228=0,0,((DATOSAÑO!$C228/DATOSAÑO!$E228)*1000)*DATOSAÑO!$E228/24)</f>
        <v>12416.666666666666</v>
      </c>
      <c r="O43" s="72">
        <f ca="1">IF(DATOSAÑO!$L228=0,0,((DATOSAÑO!$J228/DATOSAÑO!$L228)*1000)*DATOSAÑO!$L228/24)</f>
        <v>6250</v>
      </c>
      <c r="P43" s="82">
        <f t="shared" ca="1" si="12"/>
        <v>5.3918787395321628</v>
      </c>
      <c r="Q43" s="44">
        <f t="shared" ca="1" si="13"/>
        <v>3.9557151371929824</v>
      </c>
      <c r="R43" s="51">
        <f ca="1">INDEX(V38:V48,T49+1)</f>
        <v>13150</v>
      </c>
      <c r="S43" s="52">
        <f ca="1">INDEX(W38:W48,T49+1)</f>
        <v>5.5646469266666658</v>
      </c>
      <c r="T43" s="45">
        <f t="shared" ca="1" si="14"/>
        <v>0</v>
      </c>
      <c r="U43" s="45">
        <f t="shared" ca="1" si="15"/>
        <v>0</v>
      </c>
      <c r="V43" s="46">
        <v>13150</v>
      </c>
      <c r="W43" s="47">
        <f>PORTADA!O26</f>
        <v>5.5646469266666658</v>
      </c>
    </row>
    <row r="44" spans="1:23">
      <c r="A44">
        <v>7</v>
      </c>
      <c r="B44" s="71">
        <f ca="1">IF(DATOSAÑO!E48=0,0,((DATOSAÑO!C48/DATOSAÑO!E48)*1000)*DATOSAÑO!E48/24)</f>
        <v>13240.000000000387</v>
      </c>
      <c r="C44" s="72">
        <f ca="1">IF(DATOSAÑO!L48=0,0,((DATOSAÑO!J48/DATOSAÑO!L48)*1000)*DATOSAÑO!L48/24)</f>
        <v>6200.8333333333212</v>
      </c>
      <c r="D44" s="84">
        <f t="shared" ca="1" si="8"/>
        <v>5.0675455024938412</v>
      </c>
      <c r="E44" s="44">
        <f t="shared" ca="1" si="9"/>
        <v>3.6899051034912693</v>
      </c>
      <c r="F44" s="2260" t="s">
        <v>69</v>
      </c>
      <c r="G44" s="2261"/>
      <c r="H44" s="45">
        <f t="shared" ca="1" si="10"/>
        <v>0</v>
      </c>
      <c r="I44" s="45">
        <f t="shared" ca="1" si="11"/>
        <v>0</v>
      </c>
      <c r="J44" s="46">
        <v>15780</v>
      </c>
      <c r="K44" s="47">
        <f>PORTADA!I27</f>
        <v>6.0364766745635912</v>
      </c>
      <c r="M44">
        <v>7</v>
      </c>
      <c r="N44" s="71">
        <f ca="1">IF(DATOSAÑO!$E229=0,0,((DATOSAÑO!$C229/DATOSAÑO!$E229)*1000)*DATOSAÑO!$E229/24)</f>
        <v>11916.666666666666</v>
      </c>
      <c r="O44" s="72">
        <f ca="1">IF(DATOSAÑO!$L229=0,0,((DATOSAÑO!$J229/DATOSAÑO!$L229)*1000)*DATOSAÑO!$L229/24)</f>
        <v>6166.666666666667</v>
      </c>
      <c r="P44" s="82">
        <f t="shared" ca="1" si="12"/>
        <v>5.2740822483040928</v>
      </c>
      <c r="Q44" s="44">
        <f t="shared" ca="1" si="13"/>
        <v>3.934680049473684</v>
      </c>
      <c r="R44" s="2260" t="s">
        <v>69</v>
      </c>
      <c r="S44" s="2261"/>
      <c r="T44" s="45">
        <f t="shared" ca="1" si="14"/>
        <v>0</v>
      </c>
      <c r="U44" s="45">
        <f t="shared" ca="1" si="15"/>
        <v>0</v>
      </c>
      <c r="V44" s="46">
        <v>15780</v>
      </c>
      <c r="W44" s="47">
        <f>PORTADA!O27</f>
        <v>6.2285142950877193</v>
      </c>
    </row>
    <row r="45" spans="1:23">
      <c r="A45">
        <v>8</v>
      </c>
      <c r="B45" s="71">
        <f ca="1">IF(DATOSAÑO!E49=0,0,((DATOSAÑO!C49/DATOSAÑO!E49)*1000)*DATOSAÑO!E49/24)</f>
        <v>13083.333333333334</v>
      </c>
      <c r="C45" s="72">
        <f ca="1">IF(DATOSAÑO!L49=0,0,((DATOSAÑO!J49/DATOSAÑO!L49)*1000)*DATOSAÑO!L49/24)</f>
        <v>5250</v>
      </c>
      <c r="D45" s="84">
        <f t="shared" ca="1" si="8"/>
        <v>5.0368841558603492</v>
      </c>
      <c r="E45" s="44">
        <f t="shared" ca="1" si="9"/>
        <v>3.503816824189526</v>
      </c>
      <c r="F45" s="48" t="s">
        <v>67</v>
      </c>
      <c r="G45" s="49">
        <f ca="1">INDEX(B38:C68,B37,2)</f>
        <v>6608.333333333273</v>
      </c>
      <c r="H45" s="45">
        <f t="shared" ca="1" si="10"/>
        <v>0</v>
      </c>
      <c r="I45" s="45">
        <f t="shared" ca="1" si="11"/>
        <v>0</v>
      </c>
      <c r="J45" s="46">
        <v>18410</v>
      </c>
      <c r="K45" s="47">
        <f>PORTADA!I28</f>
        <v>6.7656622107231907</v>
      </c>
      <c r="M45">
        <v>8</v>
      </c>
      <c r="N45" s="71">
        <f ca="1">IF(DATOSAÑO!$E230=0,0,((DATOSAÑO!$C230/DATOSAÑO!$E230)*1000)*DATOSAÑO!$E230/24)</f>
        <v>12083.333333333334</v>
      </c>
      <c r="O45" s="72">
        <f ca="1">IF(DATOSAÑO!$L230=0,0,((DATOSAÑO!$J230/DATOSAÑO!$L230)*1000)*DATOSAÑO!$L230/24)</f>
        <v>6166.666666666667</v>
      </c>
      <c r="P45" s="82">
        <f t="shared" ca="1" si="12"/>
        <v>5.3133477453801161</v>
      </c>
      <c r="Q45" s="44">
        <f t="shared" ca="1" si="13"/>
        <v>3.934680049473684</v>
      </c>
      <c r="R45" s="48" t="s">
        <v>67</v>
      </c>
      <c r="S45" s="49">
        <f ca="1">INDEX(N38:O68,N37,2)</f>
        <v>6208.333333333333</v>
      </c>
      <c r="T45" s="45">
        <f t="shared" ca="1" si="14"/>
        <v>0</v>
      </c>
      <c r="U45" s="45">
        <f t="shared" ca="1" si="15"/>
        <v>0</v>
      </c>
      <c r="V45" s="46">
        <v>18410</v>
      </c>
      <c r="W45" s="47">
        <f>PORTADA!O28</f>
        <v>6.9808973126315781</v>
      </c>
    </row>
    <row r="46" spans="1:23">
      <c r="A46">
        <v>9</v>
      </c>
      <c r="B46" s="71">
        <f ca="1">IF(DATOSAÑO!E50=0,0,((DATOSAÑO!C50/DATOSAÑO!E50)*1000)*DATOSAÑO!E50/24)</f>
        <v>12625</v>
      </c>
      <c r="C46" s="72">
        <f ca="1">IF(DATOSAÑO!L50=0,0,((DATOSAÑO!J50/DATOSAÑO!L50)*1000)*DATOSAÑO!L50/24)</f>
        <v>6083.333333333333</v>
      </c>
      <c r="D46" s="84">
        <f t="shared" ca="1" si="8"/>
        <v>4.9471834077306731</v>
      </c>
      <c r="E46" s="44">
        <f t="shared" ca="1" si="9"/>
        <v>3.6669090935162094</v>
      </c>
      <c r="F46" s="48" t="s">
        <v>68</v>
      </c>
      <c r="G46" s="50">
        <f ca="1">(G45-F48)/(F49-F48)*(G49-G48)+G48</f>
        <v>3.769657223192008</v>
      </c>
      <c r="H46" s="45">
        <f t="shared" ca="1" si="10"/>
        <v>0</v>
      </c>
      <c r="I46" s="45">
        <f t="shared" ca="1" si="11"/>
        <v>0</v>
      </c>
      <c r="J46" s="46">
        <v>21040</v>
      </c>
      <c r="K46" s="47">
        <f>PORTADA!I29</f>
        <v>7.4519544800498752</v>
      </c>
      <c r="M46">
        <v>9</v>
      </c>
      <c r="N46" s="71">
        <f ca="1">IF(DATOSAÑO!$E231=0,0,((DATOSAÑO!$C231/DATOSAÑO!$E231)*1000)*DATOSAÑO!$E231/24)</f>
        <v>12375</v>
      </c>
      <c r="O46" s="72">
        <f ca="1">IF(DATOSAÑO!$L231=0,0,((DATOSAÑO!$J231/DATOSAÑO!$L231)*1000)*DATOSAÑO!$L231/24)</f>
        <v>6208.333333333333</v>
      </c>
      <c r="P46" s="82">
        <f t="shared" ca="1" si="12"/>
        <v>5.382062365263157</v>
      </c>
      <c r="Q46" s="44">
        <f t="shared" ca="1" si="13"/>
        <v>3.945197593333333</v>
      </c>
      <c r="R46" s="48" t="s">
        <v>68</v>
      </c>
      <c r="S46" s="50">
        <f ca="1">(S45-R48)/(R49-R48)*(S49-S48)+S48</f>
        <v>3.945197593333333</v>
      </c>
      <c r="T46" s="45">
        <f t="shared" ca="1" si="14"/>
        <v>0</v>
      </c>
      <c r="U46" s="45">
        <f t="shared" ca="1" si="15"/>
        <v>0</v>
      </c>
      <c r="V46" s="46">
        <v>21040</v>
      </c>
      <c r="W46" s="47">
        <f>PORTADA!O29</f>
        <v>7.6890225056140356</v>
      </c>
    </row>
    <row r="47" spans="1:23">
      <c r="A47">
        <v>10</v>
      </c>
      <c r="B47" s="71">
        <f ca="1">IF(DATOSAÑO!E51=0,0,((DATOSAÑO!C51/DATOSAÑO!E51)*1000)*DATOSAÑO!E51/24)</f>
        <v>12083.333333333334</v>
      </c>
      <c r="C47" s="72">
        <f ca="1">IF(DATOSAÑO!L51=0,0,((DATOSAÑO!J51/DATOSAÑO!L51)*1000)*DATOSAÑO!L51/24)</f>
        <v>6250</v>
      </c>
      <c r="D47" s="84">
        <f t="shared" ca="1" si="8"/>
        <v>4.8411734326683291</v>
      </c>
      <c r="E47" s="44">
        <f t="shared" ca="1" si="9"/>
        <v>3.6995275473815461</v>
      </c>
      <c r="F47" s="48"/>
      <c r="G47" s="45"/>
      <c r="H47" s="45">
        <f t="shared" ca="1" si="10"/>
        <v>0</v>
      </c>
      <c r="I47" s="45">
        <f t="shared" ca="1" si="11"/>
        <v>0</v>
      </c>
      <c r="J47" s="46">
        <v>23670</v>
      </c>
      <c r="K47" s="47">
        <f>PORTADA!I30</f>
        <v>8.1382467493765596</v>
      </c>
      <c r="M47">
        <v>10</v>
      </c>
      <c r="N47" s="71">
        <f ca="1">IF(DATOSAÑO!$E232=0,0,((DATOSAÑO!$C232/DATOSAÑO!$E232)*1000)*DATOSAÑO!$E232/24)</f>
        <v>11883.333333331393</v>
      </c>
      <c r="O47" s="72">
        <f ca="1">IF(DATOSAÑO!$L232=0,0,((DATOSAÑO!$J232/DATOSAÑO!$L232)*1000)*DATOSAÑO!$L232/24)</f>
        <v>6230.1250000000437</v>
      </c>
      <c r="P47" s="82">
        <f t="shared" ca="1" si="12"/>
        <v>5.2662291488884314</v>
      </c>
      <c r="Q47" s="44">
        <f t="shared" ca="1" si="13"/>
        <v>3.9506982687719407</v>
      </c>
      <c r="R47" s="48"/>
      <c r="S47" s="45"/>
      <c r="T47" s="45">
        <f t="shared" ca="1" si="14"/>
        <v>0</v>
      </c>
      <c r="U47" s="45">
        <f t="shared" ca="1" si="15"/>
        <v>0</v>
      </c>
      <c r="V47" s="46">
        <v>23670</v>
      </c>
      <c r="W47" s="47">
        <f>PORTADA!O30</f>
        <v>8.397147698596493</v>
      </c>
    </row>
    <row r="48" spans="1:23">
      <c r="A48">
        <v>11</v>
      </c>
      <c r="B48" s="176">
        <f ca="1">IF(DATOSAÑO!E52=0,0,((DATOSAÑO!C52/DATOSAÑO!E52)*1000)*DATOSAÑO!E52/24)</f>
        <v>11833.333333333334</v>
      </c>
      <c r="C48" s="72">
        <f ca="1">IF(DATOSAÑO!L52=0,0,((DATOSAÑO!J52/DATOSAÑO!L52)*1000)*DATOSAÑO!L52/24)</f>
        <v>6166.666666666667</v>
      </c>
      <c r="D48" s="645">
        <f t="shared" ca="1" si="8"/>
        <v>4.7922457518703245</v>
      </c>
      <c r="E48" s="44">
        <f t="shared" ca="1" si="9"/>
        <v>3.6832183204488778</v>
      </c>
      <c r="F48" s="51">
        <f ca="1">INDEX(J38:J48,I49)</f>
        <v>0</v>
      </c>
      <c r="G48" s="52">
        <f ca="1">INDEX(K38:K48,I49)</f>
        <v>2.4763355274314209</v>
      </c>
      <c r="H48" s="45">
        <f t="shared" ca="1" si="10"/>
        <v>0</v>
      </c>
      <c r="I48" s="45">
        <f t="shared" ca="1" si="11"/>
        <v>0</v>
      </c>
      <c r="J48" s="46">
        <v>26300</v>
      </c>
      <c r="K48" s="47">
        <f>PORTADA!I31</f>
        <v>8.8245390187032413</v>
      </c>
      <c r="M48">
        <v>11</v>
      </c>
      <c r="N48" s="71">
        <f ca="1">IF(DATOSAÑO!$E233=0,0,((DATOSAÑO!$C233/DATOSAÑO!$E233)*1000)*DATOSAÑO!$E233/24)</f>
        <v>12070.833333336244</v>
      </c>
      <c r="O48" s="72">
        <f ca="1">IF(DATOSAÑO!$L233=0,0,((DATOSAÑO!$J233/DATOSAÑO!$L233)*1000)*DATOSAÑO!$L233/24)</f>
        <v>6340.2083333333694</v>
      </c>
      <c r="P48" s="82">
        <f t="shared" ca="1" si="12"/>
        <v>5.3104028331001008</v>
      </c>
      <c r="Q48" s="44">
        <f t="shared" ca="1" si="13"/>
        <v>3.9784856196491316</v>
      </c>
      <c r="R48" s="51">
        <f ca="1">INDEX(V38:V48,U49)</f>
        <v>5260</v>
      </c>
      <c r="S48" s="52">
        <f ca="1">INDEX(W38:W48,U49)</f>
        <v>3.705818295087719</v>
      </c>
      <c r="T48" s="45">
        <f t="shared" ca="1" si="14"/>
        <v>0</v>
      </c>
      <c r="U48" s="45">
        <f t="shared" ca="1" si="15"/>
        <v>0</v>
      </c>
      <c r="V48" s="46">
        <v>26300</v>
      </c>
      <c r="W48" s="47">
        <f>PORTADA!O31</f>
        <v>9.1052728915789469</v>
      </c>
    </row>
    <row r="49" spans="1:23" ht="15" thickBot="1">
      <c r="A49">
        <v>12</v>
      </c>
      <c r="B49" s="176">
        <f ca="1">IF(DATOSAÑO!E53=0,0,((DATOSAÑO!C53/DATOSAÑO!E53)*1000)*DATOSAÑO!E53/24)</f>
        <v>12000</v>
      </c>
      <c r="C49" s="72">
        <f ca="1">IF(DATOSAÑO!L53=0,0,((DATOSAÑO!J53/DATOSAÑO!L53)*1000)*DATOSAÑO!L53/24)</f>
        <v>6229.166666666667</v>
      </c>
      <c r="D49" s="645">
        <f t="shared" ca="1" si="8"/>
        <v>4.8248642057356612</v>
      </c>
      <c r="E49" s="44">
        <f t="shared" ca="1" si="9"/>
        <v>3.6954502406483791</v>
      </c>
      <c r="F49" s="53">
        <f ca="1">INDEX(J38:J48,I49+1)</f>
        <v>2630</v>
      </c>
      <c r="G49" s="54">
        <f ca="1">INDEX(K38:K48,I49+1)</f>
        <v>2.9910547294264336</v>
      </c>
      <c r="H49" s="55">
        <f t="shared" ca="1" si="10"/>
        <v>1</v>
      </c>
      <c r="I49" s="55">
        <f t="shared" ca="1" si="11"/>
        <v>1</v>
      </c>
      <c r="J49" s="55"/>
      <c r="K49" s="55"/>
      <c r="M49">
        <v>12</v>
      </c>
      <c r="N49" s="71">
        <f ca="1">IF(DATOSAÑO!$E234=0,0,((DATOSAÑO!$C234/DATOSAÑO!$E234)*1000)*DATOSAÑO!$E234/24)</f>
        <v>8647.4999999967022</v>
      </c>
      <c r="O49" s="72">
        <f ca="1">IF(DATOSAÑO!$L234=0,0,((DATOSAÑO!$J234/DATOSAÑO!$L234)*1000)*DATOSAÑO!$L234/24)</f>
        <v>9604.7916666666424</v>
      </c>
      <c r="P49" s="82">
        <f t="shared" ca="1" si="12"/>
        <v>4.5038895231571177</v>
      </c>
      <c r="Q49" s="44">
        <f t="shared" ca="1" si="13"/>
        <v>4.802535181052626</v>
      </c>
      <c r="R49" s="53">
        <f ca="1">INDEX(V38:V48,U49+1)</f>
        <v>7890</v>
      </c>
      <c r="S49" s="54">
        <f ca="1">INDEX(W38:W48,U49+1)</f>
        <v>4.369685663508772</v>
      </c>
      <c r="T49" s="55">
        <f ca="1">SUM(T38:T48)</f>
        <v>5</v>
      </c>
      <c r="U49" s="55">
        <f ca="1">SUM(U38:U48)</f>
        <v>3</v>
      </c>
      <c r="V49" s="55"/>
      <c r="W49" s="55"/>
    </row>
    <row r="50" spans="1:23">
      <c r="A50">
        <v>13</v>
      </c>
      <c r="B50" s="176">
        <f ca="1">IF(DATOSAÑO!E54=0,0,((DATOSAÑO!C54/DATOSAÑO!E54)*1000)*DATOSAÑO!E54/24)</f>
        <v>11750</v>
      </c>
      <c r="C50" s="72">
        <f ca="1">IF(DATOSAÑO!L54=0,0,((DATOSAÑO!J54/DATOSAÑO!L54)*1000)*DATOSAÑO!L54/24)</f>
        <v>6833.333333333333</v>
      </c>
      <c r="D50" s="645">
        <f t="shared" ca="1" si="8"/>
        <v>4.7759365249376557</v>
      </c>
      <c r="E50" s="44">
        <f t="shared" ca="1" si="9"/>
        <v>3.813692135910224</v>
      </c>
      <c r="F50" s="56"/>
      <c r="G50" s="56"/>
      <c r="H50" s="56"/>
      <c r="I50" s="56"/>
      <c r="J50" s="56"/>
      <c r="K50" s="56"/>
      <c r="M50">
        <v>13</v>
      </c>
      <c r="N50" s="71">
        <f ca="1">IF(DATOSAÑO!$E235=0,0,((DATOSAÑO!$C235/DATOSAÑO!$E235)*1000)*DATOSAÑO!$E235/24)</f>
        <v>6092.0833333366318</v>
      </c>
      <c r="O50" s="72">
        <f ca="1">IF(DATOSAÑO!$L235=0,0,((DATOSAÑO!$J235/DATOSAÑO!$L235)*1000)*DATOSAÑO!$L235/24)</f>
        <v>12333.500000000035</v>
      </c>
      <c r="P50" s="82">
        <f t="shared" ca="1" si="12"/>
        <v>3.9018512892405441</v>
      </c>
      <c r="Q50" s="44">
        <f t="shared" ca="1" si="13"/>
        <v>5.4913186108772027</v>
      </c>
      <c r="R50" s="56"/>
      <c r="S50" s="56"/>
      <c r="T50" s="56"/>
      <c r="U50" s="56"/>
      <c r="V50" s="56"/>
      <c r="W50" s="56"/>
    </row>
    <row r="51" spans="1:23">
      <c r="A51">
        <v>14</v>
      </c>
      <c r="B51" s="176">
        <f ca="1">IF(DATOSAÑO!E55=0,0,((DATOSAÑO!C55/DATOSAÑO!E55)*1000)*DATOSAÑO!E55/24)</f>
        <v>11750</v>
      </c>
      <c r="C51" s="72">
        <f ca="1">IF(DATOSAÑO!L55=0,0,((DATOSAÑO!J55/DATOSAÑO!L55)*1000)*DATOSAÑO!L55/24)</f>
        <v>6279.166666666697</v>
      </c>
      <c r="D51" s="645">
        <f t="shared" ca="1" si="8"/>
        <v>4.7759365249376557</v>
      </c>
      <c r="E51" s="44">
        <f t="shared" ca="1" si="9"/>
        <v>3.705235776807986</v>
      </c>
      <c r="F51" s="56"/>
      <c r="G51" s="56"/>
      <c r="H51" s="56"/>
      <c r="I51" s="56"/>
      <c r="J51" s="56"/>
      <c r="K51" s="56"/>
      <c r="M51">
        <v>14</v>
      </c>
      <c r="N51" s="71">
        <f ca="1">IF(DATOSAÑO!$E236=0,0,((DATOSAÑO!$C236/DATOSAÑO!$E236)*1000)*DATOSAÑO!$E236/24)</f>
        <v>6129.1666666656965</v>
      </c>
      <c r="O51" s="72">
        <f ca="1">IF(DATOSAÑO!$L236=0,0,((DATOSAÑO!$J236/DATOSAÑO!$L236)*1000)*DATOSAÑO!$L236/24)</f>
        <v>12310.87499999982</v>
      </c>
      <c r="P51" s="82">
        <f t="shared" ca="1" si="12"/>
        <v>3.9105878623389536</v>
      </c>
      <c r="Q51" s="44">
        <f t="shared" ca="1" si="13"/>
        <v>5.4856075845613583</v>
      </c>
      <c r="R51" s="56"/>
      <c r="S51" s="56"/>
      <c r="T51" s="56"/>
      <c r="U51" s="56"/>
      <c r="V51" s="56"/>
      <c r="W51" s="56"/>
    </row>
    <row r="52" spans="1:23">
      <c r="A52">
        <v>15</v>
      </c>
      <c r="B52" s="176">
        <f ca="1">IF(DATOSAÑO!E56=0,0,((DATOSAÑO!C56/DATOSAÑO!E56)*1000)*DATOSAÑO!E56/24)</f>
        <v>12500</v>
      </c>
      <c r="C52" s="72">
        <f ca="1">IF(DATOSAÑO!L56=0,0,((DATOSAÑO!J56/DATOSAÑO!L56)*1000)*DATOSAÑO!L56/24)</f>
        <v>6279.166666666697</v>
      </c>
      <c r="D52" s="645">
        <f t="shared" ca="1" si="8"/>
        <v>4.9227195673316713</v>
      </c>
      <c r="E52" s="44">
        <f t="shared" ca="1" si="9"/>
        <v>3.705235776807986</v>
      </c>
      <c r="F52" s="56"/>
      <c r="G52" s="56"/>
      <c r="H52" s="56"/>
      <c r="I52" s="56"/>
      <c r="J52" s="56"/>
      <c r="K52" s="56"/>
      <c r="M52">
        <v>15</v>
      </c>
      <c r="N52" s="71">
        <f ca="1">IF(DATOSAÑO!$E237=0,0,((DATOSAÑO!$C237/DATOSAÑO!$E237)*1000)*DATOSAÑO!$E237/24)</f>
        <v>6118.7499999990296</v>
      </c>
      <c r="O52" s="72">
        <f ca="1">IF(DATOSAÑO!$L237=0,0,((DATOSAÑO!$J237/DATOSAÑO!$L237)*1000)*DATOSAÑO!$L237/24)</f>
        <v>12273.125000000013</v>
      </c>
      <c r="P52" s="82">
        <f t="shared" ca="1" si="12"/>
        <v>3.9081337687717017</v>
      </c>
      <c r="Q52" s="44">
        <f t="shared" ca="1" si="13"/>
        <v>5.4760786898245648</v>
      </c>
      <c r="R52" s="56"/>
      <c r="S52" s="56"/>
      <c r="T52" s="56"/>
      <c r="U52" s="56"/>
      <c r="V52" s="56"/>
      <c r="W52" s="56"/>
    </row>
    <row r="53" spans="1:23">
      <c r="A53">
        <v>16</v>
      </c>
      <c r="B53" s="176">
        <f ca="1">IF(DATOSAÑO!E57=0,0,((DATOSAÑO!C57/DATOSAÑO!E57)*1000)*DATOSAÑO!E57/24)</f>
        <v>12083.333333333334</v>
      </c>
      <c r="C53" s="72">
        <f ca="1">IF(DATOSAÑO!L57=0,0,((DATOSAÑO!J57/DATOSAÑO!L57)*1000)*DATOSAÑO!L57/24)</f>
        <v>6070.8333333332121</v>
      </c>
      <c r="D53" s="645">
        <f t="shared" ca="1" si="8"/>
        <v>4.8411734326683291</v>
      </c>
      <c r="E53" s="44">
        <f t="shared" ca="1" si="9"/>
        <v>3.6644627094762852</v>
      </c>
      <c r="F53" s="56"/>
      <c r="G53" s="56"/>
      <c r="H53" s="56"/>
      <c r="I53" s="56"/>
      <c r="J53" s="56"/>
      <c r="K53" s="56"/>
      <c r="M53">
        <v>16</v>
      </c>
      <c r="N53" s="71">
        <f ca="1">IF(DATOSAÑO!$E238=0,0,((DATOSAÑO!$C238/DATOSAÑO!$E238)*1000)*DATOSAÑO!$E238/24)</f>
        <v>6112.5000000029104</v>
      </c>
      <c r="O53" s="72">
        <f ca="1">IF(DATOSAÑO!$L238=0,0,((DATOSAÑO!$J238/DATOSAÑO!$L238)*1000)*DATOSAÑO!$L238/24)</f>
        <v>12194.166666666812</v>
      </c>
      <c r="P53" s="82">
        <f t="shared" ca="1" si="12"/>
        <v>3.9066613126322656</v>
      </c>
      <c r="Q53" s="44">
        <f t="shared" ca="1" si="13"/>
        <v>5.4561479442105636</v>
      </c>
      <c r="R53" s="56"/>
      <c r="S53" s="56"/>
      <c r="T53" s="56"/>
      <c r="U53" s="56"/>
      <c r="V53" s="56"/>
      <c r="W53" s="56"/>
    </row>
    <row r="54" spans="1:23">
      <c r="A54">
        <v>17</v>
      </c>
      <c r="B54" s="176">
        <f ca="1">IF(DATOSAÑO!E58=0,0,((DATOSAÑO!C58/DATOSAÑO!E58)*1000)*DATOSAÑO!E58/24)</f>
        <v>12000</v>
      </c>
      <c r="C54" s="72">
        <f ca="1">IF(DATOSAÑO!L58=0,0,((DATOSAÑO!J58/DATOSAÑO!L58)*1000)*DATOSAÑO!L58/24)</f>
        <v>5912.5000000000609</v>
      </c>
      <c r="D54" s="645">
        <f t="shared" ca="1" si="8"/>
        <v>4.8248642057356612</v>
      </c>
      <c r="E54" s="44">
        <f t="shared" ca="1" si="9"/>
        <v>3.6334751783042512</v>
      </c>
      <c r="F54" s="56"/>
      <c r="G54" s="56"/>
      <c r="H54" s="57"/>
      <c r="I54" s="56"/>
      <c r="J54" s="56"/>
      <c r="K54" s="56"/>
      <c r="M54">
        <v>17</v>
      </c>
      <c r="N54" s="71">
        <f ca="1">IF(DATOSAÑO!$E239=0,0,((DATOSAÑO!$C239/DATOSAÑO!$E239)*1000)*DATOSAÑO!$E239/24)</f>
        <v>6070.8333333313931</v>
      </c>
      <c r="O54" s="72">
        <f ca="1">IF(DATOSAÑO!$L239=0,0,((DATOSAÑO!$J239/DATOSAÑO!$L239)*1000)*DATOSAÑO!$L239/24)</f>
        <v>12088.208333333265</v>
      </c>
      <c r="P54" s="82">
        <f t="shared" ca="1" si="12"/>
        <v>3.8968449383621167</v>
      </c>
      <c r="Q54" s="44">
        <f t="shared" ca="1" si="13"/>
        <v>5.4294018301754221</v>
      </c>
      <c r="R54" s="56"/>
      <c r="S54" s="56"/>
      <c r="T54" s="57"/>
      <c r="U54" s="56"/>
      <c r="V54" s="56"/>
      <c r="W54" s="56"/>
    </row>
    <row r="55" spans="1:23">
      <c r="A55">
        <v>18</v>
      </c>
      <c r="B55" s="176">
        <f ca="1">IF(DATOSAÑO!E59=0,0,((DATOSAÑO!C59/DATOSAÑO!E59)*1000)*DATOSAÑO!E59/24)</f>
        <v>12541.666666666666</v>
      </c>
      <c r="C55" s="72">
        <f ca="1">IF(DATOSAÑO!L59=0,0,((DATOSAÑO!J59/DATOSAÑO!L59)*1000)*DATOSAÑO!L59/24)</f>
        <v>6266.666666666727</v>
      </c>
      <c r="D55" s="645">
        <f t="shared" ca="1" si="8"/>
        <v>4.9308741807980052</v>
      </c>
      <c r="E55" s="44">
        <f t="shared" ca="1" si="9"/>
        <v>3.7027893927680915</v>
      </c>
      <c r="F55" s="56"/>
      <c r="G55" s="56"/>
      <c r="H55" s="56"/>
      <c r="I55" s="56"/>
      <c r="J55" s="56"/>
      <c r="K55" s="56"/>
      <c r="M55">
        <v>18</v>
      </c>
      <c r="N55" s="71">
        <f ca="1">IF(DATOSAÑO!$E240=0,0,((DATOSAÑO!$C240/DATOSAÑO!$E240)*1000)*DATOSAÑO!$E240/24)</f>
        <v>6166.666666666667</v>
      </c>
      <c r="O55" s="72">
        <f ca="1">IF(DATOSAÑO!$L240=0,0,((DATOSAÑO!$J240/DATOSAÑO!$L240)*1000)*DATOSAÑO!$L240/24)</f>
        <v>12375</v>
      </c>
      <c r="P55" s="82">
        <f t="shared" ca="1" si="12"/>
        <v>3.9194225991812877</v>
      </c>
      <c r="Q55" s="44">
        <f t="shared" ca="1" si="13"/>
        <v>5.5017940845614044</v>
      </c>
      <c r="R55" s="56"/>
      <c r="S55" s="56"/>
      <c r="T55" s="56"/>
      <c r="U55" s="56"/>
      <c r="V55" s="56"/>
      <c r="W55" s="56"/>
    </row>
    <row r="56" spans="1:23">
      <c r="A56">
        <v>19</v>
      </c>
      <c r="B56" s="176">
        <f ca="1">IF(DATOSAÑO!E60=0,0,((DATOSAÑO!C60/DATOSAÑO!E60)*1000)*DATOSAÑO!E60/24)</f>
        <v>12250</v>
      </c>
      <c r="C56" s="72">
        <f ca="1">IF(DATOSAÑO!L60=0,0,((DATOSAÑO!J60/DATOSAÑO!L60)*1000)*DATOSAÑO!L60/24)</f>
        <v>6066.666666666606</v>
      </c>
      <c r="D56" s="645">
        <f t="shared" ca="1" si="8"/>
        <v>4.8737918865336667</v>
      </c>
      <c r="E56" s="44">
        <f t="shared" ca="1" si="9"/>
        <v>3.6636472481296636</v>
      </c>
      <c r="F56" s="56"/>
      <c r="G56" s="56"/>
      <c r="H56" s="56"/>
      <c r="I56" s="56"/>
      <c r="J56" s="56"/>
      <c r="K56" s="58"/>
      <c r="M56">
        <v>19</v>
      </c>
      <c r="N56" s="71">
        <f ca="1">IF(DATOSAÑO!$E241=0,0,((DATOSAÑO!$C241/DATOSAÑO!$E241)*1000)*DATOSAÑO!$E241/24)</f>
        <v>6166.666666666667</v>
      </c>
      <c r="O56" s="72">
        <f ca="1">IF(DATOSAÑO!$L241=0,0,((DATOSAÑO!$J241/DATOSAÑO!$L241)*1000)*DATOSAÑO!$L241/24)</f>
        <v>13083.333333333334</v>
      </c>
      <c r="P56" s="82">
        <f t="shared" ca="1" si="12"/>
        <v>3.9194225991812877</v>
      </c>
      <c r="Q56" s="44">
        <f t="shared" ca="1" si="13"/>
        <v>5.6805923301754397</v>
      </c>
      <c r="R56" s="56"/>
      <c r="S56" s="56"/>
      <c r="T56" s="56"/>
      <c r="U56" s="56"/>
      <c r="V56" s="56"/>
      <c r="W56" s="58"/>
    </row>
    <row r="57" spans="1:23">
      <c r="A57">
        <v>20</v>
      </c>
      <c r="B57" s="176">
        <f ca="1">IF(DATOSAÑO!E61=0,0,((DATOSAÑO!C61/DATOSAÑO!E61)*1000)*DATOSAÑO!E61/24)</f>
        <v>12375</v>
      </c>
      <c r="C57" s="72">
        <f ca="1">IF(DATOSAÑO!L61=0,0,((DATOSAÑO!J61/DATOSAÑO!L61)*1000)*DATOSAÑO!L61/24)</f>
        <v>6191.666666666606</v>
      </c>
      <c r="D57" s="645">
        <f t="shared" ca="1" si="8"/>
        <v>4.8982557269326685</v>
      </c>
      <c r="E57" s="44">
        <f t="shared" ca="1" si="9"/>
        <v>3.6881110885286663</v>
      </c>
      <c r="F57" s="56"/>
      <c r="G57" s="56"/>
      <c r="H57" s="56"/>
      <c r="I57" s="56"/>
      <c r="J57" s="56"/>
      <c r="K57" s="56"/>
      <c r="M57">
        <v>20</v>
      </c>
      <c r="N57" s="71">
        <f ca="1">IF(DATOSAÑO!$E242=0,0,((DATOSAÑO!$C242/DATOSAÑO!$E242)*1000)*DATOSAÑO!$E242/24)</f>
        <v>6083.333333333333</v>
      </c>
      <c r="O57" s="72">
        <f ca="1">IF(DATOSAÑO!$L242=0,0,((DATOSAÑO!$J242/DATOSAÑO!$L242)*1000)*DATOSAÑO!$L242/24)</f>
        <v>12500</v>
      </c>
      <c r="P57" s="82">
        <f t="shared" ca="1" si="12"/>
        <v>3.8997898506432755</v>
      </c>
      <c r="Q57" s="44">
        <f t="shared" ca="1" si="13"/>
        <v>5.5333467161403513</v>
      </c>
      <c r="R57" s="56"/>
      <c r="S57" s="56"/>
      <c r="T57" s="56"/>
      <c r="U57" s="56"/>
      <c r="V57" s="56"/>
      <c r="W57" s="56"/>
    </row>
    <row r="58" spans="1:23">
      <c r="A58">
        <v>21</v>
      </c>
      <c r="B58" s="176">
        <f ca="1">IF(DATOSAÑO!E62=0,0,((DATOSAÑO!C62/DATOSAÑO!E62)*1000)*DATOSAÑO!E62/24)</f>
        <v>12625</v>
      </c>
      <c r="C58" s="72">
        <f ca="1">IF(DATOSAÑO!L62=0,0,((DATOSAÑO!J62/DATOSAÑO!L62)*1000)*DATOSAÑO!L62/24)</f>
        <v>6129.1666666667579</v>
      </c>
      <c r="D58" s="645">
        <f t="shared" ca="1" si="8"/>
        <v>4.9471834077306731</v>
      </c>
      <c r="E58" s="44">
        <f t="shared" ca="1" si="9"/>
        <v>3.6758791683291951</v>
      </c>
      <c r="F58" s="56"/>
      <c r="G58" s="56"/>
      <c r="H58" s="56"/>
      <c r="I58" s="56"/>
      <c r="J58" s="56"/>
      <c r="K58" s="56"/>
      <c r="M58">
        <v>21</v>
      </c>
      <c r="N58" s="71">
        <f ca="1">IF(DATOSAÑO!$E243=0,0,((DATOSAÑO!$C243/DATOSAÑO!$E243)*1000)*DATOSAÑO!$E243/24)</f>
        <v>6208.333333333333</v>
      </c>
      <c r="O58" s="72">
        <f ca="1">IF(DATOSAÑO!$L243=0,0,((DATOSAÑO!$J243/DATOSAÑO!$L243)*1000)*DATOSAÑO!$L243/24)</f>
        <v>13041.666666666666</v>
      </c>
      <c r="P58" s="82">
        <f t="shared" ca="1" si="12"/>
        <v>3.929238973450293</v>
      </c>
      <c r="Q58" s="44">
        <f t="shared" ca="1" si="13"/>
        <v>5.6700747863157899</v>
      </c>
      <c r="R58" s="56"/>
      <c r="S58" s="56"/>
      <c r="T58" s="56"/>
      <c r="U58" s="56"/>
      <c r="V58" s="56"/>
      <c r="W58" s="56"/>
    </row>
    <row r="59" spans="1:23">
      <c r="A59">
        <v>22</v>
      </c>
      <c r="B59" s="176">
        <f ca="1">IF(DATOSAÑO!E63=0,0,((DATOSAÑO!C63/DATOSAÑO!E63)*1000)*DATOSAÑO!E63/24)</f>
        <v>12600.00000000097</v>
      </c>
      <c r="C59" s="72">
        <f ca="1">IF(DATOSAÑO!L63=0,0,((DATOSAÑO!J63/DATOSAÑO!L63)*1000)*DATOSAÑO!L63/24)</f>
        <v>6137.49999999997</v>
      </c>
      <c r="D59" s="645">
        <f t="shared" ca="1" si="8"/>
        <v>4.9422906396510626</v>
      </c>
      <c r="E59" s="44">
        <f t="shared" ca="1" si="9"/>
        <v>3.6775100910224379</v>
      </c>
      <c r="F59" s="56"/>
      <c r="G59" s="56"/>
      <c r="H59" s="56"/>
      <c r="I59" s="56"/>
      <c r="J59" s="56"/>
      <c r="K59" s="56"/>
      <c r="M59">
        <v>22</v>
      </c>
      <c r="N59" s="71">
        <f ca="1">IF(DATOSAÑO!$E244=0,0,((DATOSAÑO!$C244/DATOSAÑO!$E244)*1000)*DATOSAÑO!$E244/24)</f>
        <v>6166.666666666667</v>
      </c>
      <c r="O59" s="72">
        <f ca="1">IF(DATOSAÑO!$L244=0,0,((DATOSAÑO!$J244/DATOSAÑO!$L244)*1000)*DATOSAÑO!$L244/24)</f>
        <v>13416.666666666666</v>
      </c>
      <c r="P59" s="82">
        <f t="shared" ca="1" si="12"/>
        <v>3.9194225991812877</v>
      </c>
      <c r="Q59" s="44">
        <f t="shared" ca="1" si="13"/>
        <v>5.7647326810526316</v>
      </c>
      <c r="R59" s="56"/>
      <c r="S59" s="56"/>
      <c r="T59" s="56"/>
      <c r="U59" s="56"/>
      <c r="V59" s="56"/>
      <c r="W59" s="56"/>
    </row>
    <row r="60" spans="1:23">
      <c r="A60">
        <v>23</v>
      </c>
      <c r="B60" s="176">
        <f ca="1">IF(DATOSAÑO!E64=0,0,((DATOSAÑO!C64/DATOSAÑO!E64)*1000)*DATOSAÑO!E64/24)</f>
        <v>10798.333333334691</v>
      </c>
      <c r="C60" s="72">
        <f ca="1">IF(DATOSAÑO!L64=0,0,((DATOSAÑO!J64/DATOSAÑO!L64)*1000)*DATOSAÑO!L64/24)</f>
        <v>5564.1666666667033</v>
      </c>
      <c r="D60" s="645">
        <f t="shared" ca="1" si="8"/>
        <v>4.5896851533668492</v>
      </c>
      <c r="E60" s="44">
        <f t="shared" ca="1" si="9"/>
        <v>3.565302609725693</v>
      </c>
      <c r="F60" s="56"/>
      <c r="G60" s="56"/>
      <c r="H60" s="56"/>
      <c r="I60" s="56"/>
      <c r="J60" s="56"/>
      <c r="K60" s="56"/>
      <c r="M60">
        <v>23</v>
      </c>
      <c r="N60" s="71">
        <f ca="1">IF(DATOSAÑO!$E245=0,0,((DATOSAÑO!$C245/DATOSAÑO!$E245)*1000)*DATOSAÑO!$E245/24)</f>
        <v>6166.666666666667</v>
      </c>
      <c r="O60" s="72">
        <f ca="1">IF(DATOSAÑO!$L245=0,0,((DATOSAÑO!$J245/DATOSAÑO!$L245)*1000)*DATOSAÑO!$L245/24)</f>
        <v>13125</v>
      </c>
      <c r="P60" s="82">
        <f t="shared" ca="1" si="12"/>
        <v>3.9194225991812877</v>
      </c>
      <c r="Q60" s="44">
        <f t="shared" ca="1" si="13"/>
        <v>5.6911098740350887</v>
      </c>
      <c r="R60" s="56"/>
      <c r="S60" s="56"/>
      <c r="T60" s="56"/>
      <c r="U60" s="56"/>
      <c r="V60" s="56"/>
      <c r="W60" s="56"/>
    </row>
    <row r="61" spans="1:23">
      <c r="A61">
        <v>24</v>
      </c>
      <c r="B61" s="176">
        <f ca="1">IF(DATOSAÑO!E65=0,0,((DATOSAÑO!C65/DATOSAÑO!E65)*1000)*DATOSAÑO!E65/24)</f>
        <v>11877.916666664532</v>
      </c>
      <c r="C61" s="72">
        <f ca="1">IF(DATOSAÑO!L65=0,0,((DATOSAÑO!J65/DATOSAÑO!L65)*1000)*DATOSAÑO!L65/24)</f>
        <v>6236.6666666666788</v>
      </c>
      <c r="D61" s="645">
        <f t="shared" ca="1" si="8"/>
        <v>4.8009711882788846</v>
      </c>
      <c r="E61" s="44">
        <f t="shared" ca="1" si="9"/>
        <v>3.6969180710723215</v>
      </c>
      <c r="F61" s="56"/>
      <c r="G61" s="56"/>
      <c r="H61" s="56"/>
      <c r="I61" s="56"/>
      <c r="J61" s="56"/>
      <c r="K61" s="56"/>
      <c r="M61">
        <v>24</v>
      </c>
      <c r="N61" s="71">
        <f ca="1">IF(DATOSAÑO!$E246=0,0,((DATOSAÑO!$C246/DATOSAÑO!$E246)*1000)*DATOSAÑO!$E246/24)</f>
        <v>6291.666666666667</v>
      </c>
      <c r="O61" s="72">
        <f ca="1">IF(DATOSAÑO!$L246=0,0,((DATOSAÑO!$J246/DATOSAÑO!$L246)*1000)*DATOSAÑO!$L246/24)</f>
        <v>12875</v>
      </c>
      <c r="P61" s="82">
        <f t="shared" ca="1" si="12"/>
        <v>3.9488717219883052</v>
      </c>
      <c r="Q61" s="44">
        <f t="shared" ca="1" si="13"/>
        <v>5.6280046108771931</v>
      </c>
      <c r="R61" s="56"/>
      <c r="S61" s="56"/>
      <c r="T61" s="56"/>
      <c r="U61" s="56"/>
      <c r="V61" s="56"/>
      <c r="W61" s="56"/>
    </row>
    <row r="62" spans="1:23">
      <c r="A62">
        <v>25</v>
      </c>
      <c r="B62" s="176">
        <f ca="1">IF(DATOSAÑO!E66=0,0,((DATOSAÑO!C66/DATOSAÑO!E66)*1000)*DATOSAÑO!E66/24)</f>
        <v>11728.749999999613</v>
      </c>
      <c r="C62" s="72">
        <f ca="1">IF(DATOSAÑO!L66=0,0,((DATOSAÑO!J66/DATOSAÑO!L66)*1000)*DATOSAÑO!L66/24)</f>
        <v>6303.7499999998845</v>
      </c>
      <c r="D62" s="645">
        <f t="shared" ca="1" si="8"/>
        <v>4.7717776720697493</v>
      </c>
      <c r="E62" s="44">
        <f t="shared" ca="1" si="9"/>
        <v>3.7100469987530946</v>
      </c>
      <c r="F62" s="56"/>
      <c r="G62" s="56"/>
      <c r="H62" s="56"/>
      <c r="I62" s="56"/>
      <c r="J62" s="56"/>
      <c r="K62" s="56"/>
      <c r="M62">
        <v>25</v>
      </c>
      <c r="N62" s="71">
        <f ca="1">IF(DATOSAÑO!$E247=0,0,((DATOSAÑO!$C247/DATOSAÑO!$E247)*1000)*DATOSAÑO!$E247/24)</f>
        <v>6250</v>
      </c>
      <c r="O62" s="72">
        <f ca="1">IF(DATOSAÑO!$L247=0,0,((DATOSAÑO!$J247/DATOSAÑO!$L247)*1000)*DATOSAÑO!$L247/24)</f>
        <v>13166.666666666666</v>
      </c>
      <c r="P62" s="82">
        <f t="shared" ca="1" si="12"/>
        <v>3.9390553477192993</v>
      </c>
      <c r="Q62" s="44">
        <f t="shared" ca="1" si="13"/>
        <v>5.7016274178947377</v>
      </c>
      <c r="R62" s="56"/>
      <c r="S62" s="56"/>
      <c r="T62" s="56"/>
      <c r="U62" s="56"/>
      <c r="V62" s="56"/>
      <c r="W62" s="56"/>
    </row>
    <row r="63" spans="1:23">
      <c r="A63">
        <v>26</v>
      </c>
      <c r="B63" s="176">
        <f ca="1">IF(DATOSAÑO!E67=0,0,((DATOSAÑO!C67/DATOSAÑO!E67)*1000)*DATOSAÑO!E67/24)</f>
        <v>11530.416666665891</v>
      </c>
      <c r="C63" s="72">
        <f ca="1">IF(DATOSAÑO!L67=0,0,((DATOSAÑO!J67/DATOSAÑO!L67)*1000)*DATOSAÑO!L67/24)</f>
        <v>6295.4166666666724</v>
      </c>
      <c r="D63" s="645">
        <f t="shared" ca="1" si="8"/>
        <v>4.7329617119699225</v>
      </c>
      <c r="E63" s="44">
        <f t="shared" ca="1" si="9"/>
        <v>3.7084160760598515</v>
      </c>
      <c r="F63" s="56"/>
      <c r="G63" s="56"/>
      <c r="H63" s="56"/>
      <c r="I63" s="56"/>
      <c r="J63" s="56"/>
      <c r="K63" s="56"/>
      <c r="M63">
        <v>26</v>
      </c>
      <c r="N63" s="71">
        <f ca="1">IF(DATOSAÑO!$E248=0,0,((DATOSAÑO!$C248/DATOSAÑO!$E248)*1000)*DATOSAÑO!$E248/24)</f>
        <v>13958.333333333334</v>
      </c>
      <c r="O63" s="72">
        <f ca="1">IF(DATOSAÑO!$L248=0,0,((DATOSAÑO!$J248/DATOSAÑO!$L248)*1000)*DATOSAÑO!$L248/24)</f>
        <v>4291.666666666667</v>
      </c>
      <c r="P63" s="82">
        <f t="shared" ca="1" si="12"/>
        <v>5.7550845874853795</v>
      </c>
      <c r="Q63" s="44">
        <f t="shared" ca="1" si="13"/>
        <v>3.4613905757894732</v>
      </c>
      <c r="R63" s="56"/>
      <c r="S63" s="56"/>
      <c r="T63" s="56"/>
      <c r="U63" s="56"/>
      <c r="V63" s="56"/>
      <c r="W63" s="56"/>
    </row>
    <row r="64" spans="1:23">
      <c r="A64">
        <v>27</v>
      </c>
      <c r="B64" s="176">
        <f ca="1">IF(DATOSAÑO!E68=0,0,((DATOSAÑO!C68/DATOSAÑO!E68)*1000)*DATOSAÑO!E68/24)</f>
        <v>11827.083333332363</v>
      </c>
      <c r="C64" s="72">
        <f ca="1">IF(DATOSAÑO!L68=0,0,((DATOSAÑO!J68/DATOSAÑO!L68)*1000)*DATOSAÑO!L68/24)</f>
        <v>6306.2500000000909</v>
      </c>
      <c r="D64" s="645">
        <f t="shared" ca="1" si="8"/>
        <v>4.7910225598501839</v>
      </c>
      <c r="E64" s="44">
        <f t="shared" ca="1" si="9"/>
        <v>3.7105362755611146</v>
      </c>
      <c r="F64" s="56"/>
      <c r="G64" s="56"/>
      <c r="H64" s="56"/>
      <c r="I64" s="56"/>
      <c r="J64" s="56"/>
      <c r="K64" s="56"/>
      <c r="M64">
        <v>27</v>
      </c>
      <c r="N64" s="71">
        <f ca="1">IF(DATOSAÑO!$E249=0,0,((DATOSAÑO!$C249/DATOSAÑO!$E249)*1000)*DATOSAÑO!$E249/24)</f>
        <v>8875</v>
      </c>
      <c r="O64" s="72">
        <f ca="1">IF(DATOSAÑO!$L249=0,0,((DATOSAÑO!$J249/DATOSAÑO!$L249)*1000)*DATOSAÑO!$L249/24)</f>
        <v>9583.3333333333339</v>
      </c>
      <c r="P64" s="82">
        <f t="shared" ca="1" si="12"/>
        <v>4.5574869266666669</v>
      </c>
      <c r="Q64" s="44">
        <f t="shared" ca="1" si="13"/>
        <v>4.7971186459649129</v>
      </c>
      <c r="R64" s="56"/>
      <c r="S64" s="56"/>
      <c r="T64" s="56"/>
      <c r="U64" s="56"/>
      <c r="V64" s="56"/>
      <c r="W64" s="56"/>
    </row>
    <row r="65" spans="1:23">
      <c r="A65">
        <v>28</v>
      </c>
      <c r="B65" s="176">
        <f ca="1">IF(DATOSAÑO!E69=0,0,((DATOSAÑO!C69/DATOSAÑO!E69)*1000)*DATOSAÑO!E69/24)</f>
        <v>11644.166666669966</v>
      </c>
      <c r="C65" s="72">
        <f ca="1">IF(DATOSAÑO!L69=0,0,((DATOSAÑO!J69/DATOSAÑO!L69)*1000)*DATOSAÑO!L69/24)</f>
        <v>6351.2500000000118</v>
      </c>
      <c r="D65" s="645">
        <f ca="1">IF(B65&gt;0,(B65-$F$42)/($F$43-$F$42)*($G$43-$G$42)+$G$42,0)</f>
        <v>4.7552238067338131</v>
      </c>
      <c r="E65" s="44">
        <f ca="1">IF(C65&gt;0,(C65-$F$48)/($F$49-$F$48)*($G$49-$G$48)+$G$48,0)</f>
        <v>3.7193432581047405</v>
      </c>
      <c r="F65" s="56"/>
      <c r="G65" s="56"/>
      <c r="H65" s="56"/>
      <c r="I65" s="56"/>
      <c r="J65" s="56"/>
      <c r="K65" s="56"/>
      <c r="M65">
        <v>28</v>
      </c>
      <c r="N65" s="71">
        <f ca="1">IF(DATOSAÑO!$E250=0,0,((DATOSAÑO!$C250/DATOSAÑO!$E250)*1000)*DATOSAÑO!$E250/24)</f>
        <v>6250</v>
      </c>
      <c r="O65" s="72">
        <f ca="1">IF(DATOSAÑO!$L250=0,0,((DATOSAÑO!$J250/DATOSAÑO!$L250)*1000)*DATOSAÑO!$L250/24)</f>
        <v>12500</v>
      </c>
      <c r="P65" s="82">
        <f t="shared" ca="1" si="12"/>
        <v>3.9390553477192993</v>
      </c>
      <c r="Q65" s="44">
        <f t="shared" ca="1" si="13"/>
        <v>5.5333467161403513</v>
      </c>
      <c r="R65" s="56"/>
      <c r="S65" s="56"/>
      <c r="T65" s="56"/>
      <c r="U65" s="56"/>
      <c r="V65" s="56"/>
      <c r="W65" s="56"/>
    </row>
    <row r="66" spans="1:23">
      <c r="A66">
        <v>29</v>
      </c>
      <c r="B66" s="1251"/>
      <c r="C66" s="1252"/>
      <c r="D66" s="1253"/>
      <c r="E66" s="1254"/>
      <c r="F66" s="56"/>
      <c r="G66" s="56"/>
      <c r="H66" s="56"/>
      <c r="I66" s="56"/>
      <c r="J66" s="56"/>
      <c r="K66" s="56"/>
      <c r="M66">
        <v>29</v>
      </c>
      <c r="N66" s="71">
        <f ca="1">IF(DATOSAÑO!$E251=0,0,((DATOSAÑO!$C251/DATOSAÑO!$E251)*1000)*DATOSAÑO!$E251/24)</f>
        <v>6250</v>
      </c>
      <c r="O66" s="72">
        <f ca="1">IF(DATOSAÑO!$L251=0,0,((DATOSAÑO!$J251/DATOSAÑO!$L251)*1000)*DATOSAÑO!$L251/24)</f>
        <v>12875</v>
      </c>
      <c r="P66" s="82">
        <f t="shared" ca="1" si="12"/>
        <v>3.9390553477192993</v>
      </c>
      <c r="Q66" s="44">
        <f t="shared" ca="1" si="13"/>
        <v>5.6280046108771931</v>
      </c>
      <c r="R66" s="56"/>
      <c r="S66" s="56"/>
      <c r="T66" s="56"/>
      <c r="U66" s="56"/>
      <c r="V66" s="56"/>
      <c r="W66" s="56"/>
    </row>
    <row r="67" spans="1:23">
      <c r="B67" s="176"/>
      <c r="C67" s="72"/>
      <c r="D67" s="645"/>
      <c r="E67" s="44"/>
      <c r="F67" s="56"/>
      <c r="G67" s="56"/>
      <c r="H67" s="56"/>
      <c r="I67" s="56"/>
      <c r="J67" s="56"/>
      <c r="K67" s="56"/>
      <c r="M67">
        <v>30</v>
      </c>
      <c r="N67" s="71">
        <f ca="1">IF(DATOSAÑO!$E252=0,0,((DATOSAÑO!$C252/DATOSAÑO!$E252)*1000)*DATOSAÑO!$E252/24)</f>
        <v>6250</v>
      </c>
      <c r="O67" s="72">
        <f ca="1">IF(DATOSAÑO!$L252=0,0,((DATOSAÑO!$J252/DATOSAÑO!$L252)*1000)*DATOSAÑO!$L252/24)</f>
        <v>12333.333333333334</v>
      </c>
      <c r="P67" s="82">
        <f ca="1">IF(N67&gt;0,(N67-$R$42)/($R$43-$R$42)*($S$43-$S$42)+$S$42,0)</f>
        <v>3.9390553477192993</v>
      </c>
      <c r="Q67" s="44">
        <f ca="1">IF(O67&gt;0,(O67-$R$48)/($R$49-$R$48)*($S$49-$S$48)+$S$48,0)</f>
        <v>5.4912765407017554</v>
      </c>
      <c r="R67" s="56"/>
      <c r="S67" s="56"/>
      <c r="T67" s="56"/>
      <c r="U67" s="56"/>
      <c r="V67" s="56"/>
      <c r="W67" s="56"/>
    </row>
    <row r="68" spans="1:23" ht="15" thickBot="1">
      <c r="B68" s="177"/>
      <c r="C68" s="74"/>
      <c r="D68" s="80"/>
      <c r="E68" s="81"/>
      <c r="F68" s="56"/>
      <c r="G68" s="56"/>
      <c r="H68" s="56"/>
      <c r="I68" s="56"/>
      <c r="J68" s="56"/>
      <c r="K68" s="56"/>
      <c r="M68">
        <v>31</v>
      </c>
      <c r="N68" s="71">
        <f ca="1">IF(DATOSAÑO!$E253=0,0,((DATOSAÑO!$C253/DATOSAÑO!$E253)*1000)*DATOSAÑO!$E253/24)</f>
        <v>6137.50000000194</v>
      </c>
      <c r="O68" s="72">
        <f ca="1">IF(DATOSAÑO!$L253=0,0,((DATOSAÑO!$J253/DATOSAÑO!$L253)*1000)*DATOSAÑO!$L253/24)</f>
        <v>12433.333333333394</v>
      </c>
      <c r="P68" s="80">
        <f ca="1">IF(N68&gt;0,(N68-$R$42)/($R$43-$R$42)*($S$43-$S$42)+$S$42,0)</f>
        <v>3.9125511371934403</v>
      </c>
      <c r="Q68" s="81">
        <f ca="1">IF(O68&gt;0,(O68-$R$48)/($R$49-$R$48)*($S$49-$S$48)+$S$48,0)</f>
        <v>5.5165186459649282</v>
      </c>
      <c r="R68" s="56"/>
      <c r="S68" s="56"/>
      <c r="T68" s="56"/>
      <c r="U68" s="56"/>
      <c r="V68" s="56"/>
      <c r="W68" s="56"/>
    </row>
    <row r="69" spans="1:23" ht="15" thickTop="1"/>
    <row r="70" spans="1:23" ht="15" thickBot="1">
      <c r="B70" s="2262">
        <v>44986</v>
      </c>
      <c r="C70" s="2264"/>
      <c r="D70" s="2264"/>
      <c r="E70" s="2264"/>
      <c r="F70" s="2263" t="s">
        <v>60</v>
      </c>
      <c r="G70" s="2263"/>
      <c r="H70" s="2263"/>
      <c r="I70" s="2263"/>
      <c r="J70" s="2263"/>
      <c r="K70" s="2263"/>
      <c r="N70" s="2262">
        <v>45170</v>
      </c>
      <c r="O70" s="2264"/>
      <c r="P70" s="2264"/>
      <c r="Q70" s="2264"/>
      <c r="R70" s="2263" t="s">
        <v>60</v>
      </c>
      <c r="S70" s="2263"/>
      <c r="T70" s="2263"/>
      <c r="U70" s="2263"/>
      <c r="V70" s="2263"/>
      <c r="W70" s="2263"/>
    </row>
    <row r="71" spans="1:23" ht="44.5" thickTop="1" thickBot="1">
      <c r="A71" s="40">
        <f ca="1">ABS(TODAY()-1)</f>
        <v>45231</v>
      </c>
      <c r="B71" s="67">
        <f ca="1">DAY(A71)</f>
        <v>1</v>
      </c>
      <c r="C71" s="68"/>
      <c r="D71" s="76" t="s">
        <v>61</v>
      </c>
      <c r="E71" s="77" t="s">
        <v>62</v>
      </c>
      <c r="F71" s="41"/>
      <c r="G71" s="42"/>
      <c r="H71" s="42" t="s">
        <v>63</v>
      </c>
      <c r="I71" s="42" t="s">
        <v>64</v>
      </c>
      <c r="J71" s="43" t="s">
        <v>56</v>
      </c>
      <c r="K71" s="42" t="s">
        <v>65</v>
      </c>
      <c r="M71" s="40">
        <f ca="1">ABS(TODAY()-1)</f>
        <v>45231</v>
      </c>
      <c r="N71" s="67">
        <f ca="1">DAY(M71)</f>
        <v>1</v>
      </c>
      <c r="O71" s="68"/>
      <c r="P71" s="76" t="s">
        <v>61</v>
      </c>
      <c r="Q71" s="77" t="s">
        <v>62</v>
      </c>
      <c r="R71" s="41"/>
      <c r="S71" s="42"/>
      <c r="T71" s="42" t="s">
        <v>63</v>
      </c>
      <c r="U71" s="42" t="s">
        <v>64</v>
      </c>
      <c r="V71" s="43" t="s">
        <v>56</v>
      </c>
      <c r="W71" s="42" t="s">
        <v>65</v>
      </c>
    </row>
    <row r="72" spans="1:23" ht="15.5" thickTop="1" thickBot="1">
      <c r="A72">
        <v>1</v>
      </c>
      <c r="B72" s="69">
        <f ca="1">IF(DATOSAÑO!E70=0,0,((DATOSAÑO!C70/DATOSAÑO!E70)*1000)*DATOSAÑO!E70/24)</f>
        <v>11572.499999999613</v>
      </c>
      <c r="C72" s="70">
        <f ca="1">IF(DATOSAÑO!L70=0,0,((DATOSAÑO!J70/DATOSAÑO!L70)*1000)*DATOSAÑO!L70/24)</f>
        <v>6388.3333333333212</v>
      </c>
      <c r="D72" s="83">
        <f ca="1">IF(B72&gt;0,(B72-$F$42)/($F$43-$F$42)*($G$43-$G$42)+$G$42,0)</f>
        <v>4.7411978715709964</v>
      </c>
      <c r="E72" s="79">
        <f ca="1">IF(C72&gt;0,(C72-$F$48)/($F$49-$F$48)*($G$49-$G$48)+$G$48,0)</f>
        <v>3.7266008640897734</v>
      </c>
      <c r="F72" s="2260" t="s">
        <v>66</v>
      </c>
      <c r="G72" s="2261"/>
      <c r="H72" s="45">
        <f>IF($G$72&gt;=J72,1,0)</f>
        <v>1</v>
      </c>
      <c r="I72" s="45">
        <f ca="1">IF($G$79&gt;=J72,1,0)</f>
        <v>1</v>
      </c>
      <c r="J72" s="46">
        <v>0</v>
      </c>
      <c r="K72" s="47">
        <f>PORTADA!I55</f>
        <v>0</v>
      </c>
      <c r="M72">
        <v>1</v>
      </c>
      <c r="N72" s="69">
        <f ca="1">IF(DATOSAÑO!$E254=0,0,((DATOSAÑO!$C254/DATOSAÑO!$E254)*1000)*DATOSAÑO!$E254/24)</f>
        <v>6394.1666666651145</v>
      </c>
      <c r="O72" s="70">
        <f ca="1">IF(DATOSAÑO!$L254=0,0,((DATOSAÑO!$J254/DATOSAÑO!$L254)*1000)*DATOSAÑO!$L254/24)</f>
        <v>12710.833333333236</v>
      </c>
      <c r="P72" s="78">
        <f ca="1">IF(N72&gt;0,(N72-$R$76)/($R$77-$R$76)*($S$77-$S$76)+$S$76,0)</f>
        <v>3.7925005469996274</v>
      </c>
      <c r="Q72" s="79">
        <f ca="1">IF(O72&gt;0,(O72-$R$82)/($R$83-$R$82)*($S$83-$S$82)+$S$82,0)</f>
        <v>5.1881232247777547</v>
      </c>
      <c r="R72" s="2260" t="s">
        <v>66</v>
      </c>
      <c r="S72" s="2261"/>
      <c r="T72" s="45">
        <f ca="1">IF($S$73&gt;=V72,1,0)</f>
        <v>1</v>
      </c>
      <c r="U72" s="45">
        <f ca="1">IF($S$79&gt;=V72,1,0)</f>
        <v>1</v>
      </c>
      <c r="V72" s="46">
        <v>0</v>
      </c>
      <c r="W72" s="47">
        <f>PORTADA!P21</f>
        <v>2.4273591136666663</v>
      </c>
    </row>
    <row r="73" spans="1:23" ht="15.5" thickTop="1" thickBot="1">
      <c r="A73">
        <v>2</v>
      </c>
      <c r="B73" s="71">
        <f ca="1">IF(DATOSAÑO!E71=0,0,((DATOSAÑO!C71/DATOSAÑO!E71)*1000)*DATOSAÑO!E71/24)</f>
        <v>11716.666666664727</v>
      </c>
      <c r="C73" s="72">
        <f ca="1">IF(DATOSAÑO!L71=0,0,((DATOSAÑO!J71/DATOSAÑO!L71)*1000)*DATOSAÑO!L71/24)</f>
        <v>6295.833333333273</v>
      </c>
      <c r="D73" s="83">
        <f t="shared" ref="D73:D102" ca="1" si="16">IF(B73&gt;0,(B73-$F$42)/($F$43-$F$42)*($G$43-$G$42)+$G$42,0)</f>
        <v>4.7694128341642088</v>
      </c>
      <c r="E73" s="79">
        <f t="shared" ref="E73:E102" ca="1" si="17">IF(C73&gt;0,(C73-$F$48)/($F$49-$F$48)*($G$49-$G$48)+$G$48,0)</f>
        <v>3.7084976221945016</v>
      </c>
      <c r="F73" s="48" t="s">
        <v>67</v>
      </c>
      <c r="G73" s="49">
        <f ca="1">INDEX(B72:C102,B71,1)</f>
        <v>11572.499999999613</v>
      </c>
      <c r="H73" s="45">
        <f t="shared" ref="H73:H83" si="18">IF($G$72&gt;=J73,1,0)</f>
        <v>0</v>
      </c>
      <c r="I73" s="45">
        <f t="shared" ref="I73:I83" ca="1" si="19">IF($G$79&gt;=J73,1,0)</f>
        <v>1</v>
      </c>
      <c r="J73" s="46">
        <v>2630</v>
      </c>
      <c r="K73" s="47">
        <f>PORTADA!I56</f>
        <v>0</v>
      </c>
      <c r="M73">
        <v>2</v>
      </c>
      <c r="N73" s="71">
        <f ca="1">IF(DATOSAÑO!$E255=0,0,((DATOSAÑO!$C255/DATOSAÑO!$E255)*1000)*DATOSAÑO!$E255/24)</f>
        <v>6126.6666666682186</v>
      </c>
      <c r="O73" s="72">
        <f ca="1">IF(DATOSAÑO!$L255=0,0,((DATOSAÑO!$J255/DATOSAÑO!$L255)*1000)*DATOSAÑO!$L255/24)</f>
        <v>12244.583333333443</v>
      </c>
      <c r="P73" s="82">
        <f t="shared" ref="P73:P101" ca="1" si="20">IF(N73&gt;0,(N73-$R$76)/($R$77-$R$76)*($S$77-$S$76)+$S$76,0)</f>
        <v>3.7283540470003715</v>
      </c>
      <c r="Q73" s="44">
        <f t="shared" ref="Q73:Q101" ca="1" si="21">IF(O73&gt;0,(O73-$R$82)/($R$83-$R$82)*($S$83-$S$82)+$S$82,0)</f>
        <v>5.0837702581111346</v>
      </c>
      <c r="R73" s="48" t="s">
        <v>67</v>
      </c>
      <c r="S73" s="49">
        <f ca="1">INDEX(N72:O102,N71,1)</f>
        <v>6394.1666666651145</v>
      </c>
      <c r="T73" s="45">
        <f t="shared" ref="T73:T82" ca="1" si="22">IF($S$73&gt;=V73,1,0)</f>
        <v>1</v>
      </c>
      <c r="U73" s="45">
        <f t="shared" ref="U73:U82" ca="1" si="23">IF($S$79&gt;=V73,1,0)</f>
        <v>1</v>
      </c>
      <c r="V73" s="46">
        <v>2630</v>
      </c>
      <c r="W73" s="47">
        <f>PORTADA!P22</f>
        <v>2.9318983136666668</v>
      </c>
    </row>
    <row r="74" spans="1:23" ht="15.5" thickTop="1" thickBot="1">
      <c r="A74">
        <v>3</v>
      </c>
      <c r="B74" s="71">
        <f ca="1">IF(DATOSAÑO!E72=0,0,((DATOSAÑO!C72/DATOSAÑO!E72)*1000)*DATOSAÑO!E72/24)</f>
        <v>11667.91666666783</v>
      </c>
      <c r="C74" s="72">
        <f ca="1">IF(DATOSAÑO!L72=0,0,((DATOSAÑO!J72/DATOSAÑO!L72)*1000)*DATOSAÑO!L72/24)</f>
        <v>6222.9166666667579</v>
      </c>
      <c r="D74" s="83">
        <f t="shared" ca="1" si="16"/>
        <v>4.7598719364092057</v>
      </c>
      <c r="E74" s="79">
        <f t="shared" ca="1" si="17"/>
        <v>3.6942270486284468</v>
      </c>
      <c r="F74" s="48" t="s">
        <v>68</v>
      </c>
      <c r="G74" s="50">
        <f ca="1">(G73-F76)/(F77-F76)*(G77-G76)+G76</f>
        <v>0</v>
      </c>
      <c r="H74" s="45">
        <f t="shared" si="18"/>
        <v>0</v>
      </c>
      <c r="I74" s="45">
        <f t="shared" ca="1" si="19"/>
        <v>1</v>
      </c>
      <c r="J74" s="46">
        <v>5260</v>
      </c>
      <c r="K74" s="47">
        <f>PORTADA!I57</f>
        <v>0</v>
      </c>
      <c r="M74">
        <v>3</v>
      </c>
      <c r="N74" s="71">
        <f ca="1">IF(DATOSAÑO!$E256=0,0,((DATOSAÑO!$C256/DATOSAÑO!$E256)*1000)*DATOSAÑO!$E256/24)</f>
        <v>6344.1666666670544</v>
      </c>
      <c r="O74" s="72">
        <f ca="1">IF(DATOSAÑO!$L256=0,0,((DATOSAÑO!$J256/DATOSAÑO!$L256)*1000)*DATOSAÑO!$L256/24)</f>
        <v>12132.083333333261</v>
      </c>
      <c r="P74" s="82">
        <f t="shared" ca="1" si="20"/>
        <v>3.7805105470000928</v>
      </c>
      <c r="Q74" s="44">
        <f t="shared" ca="1" si="21"/>
        <v>5.0585912581110941</v>
      </c>
      <c r="R74" s="48" t="s">
        <v>68</v>
      </c>
      <c r="S74" s="50">
        <f ca="1">(S73-R76)/(R77-R76)*(S77-S76)+S76</f>
        <v>3.7925005469996274</v>
      </c>
      <c r="T74" s="45">
        <f t="shared" ca="1" si="22"/>
        <v>1</v>
      </c>
      <c r="U74" s="45">
        <f t="shared" ca="1" si="23"/>
        <v>1</v>
      </c>
      <c r="V74" s="46">
        <v>5260</v>
      </c>
      <c r="W74" s="47">
        <f>PORTADA!P23</f>
        <v>3.5205273803333328</v>
      </c>
    </row>
    <row r="75" spans="1:23" ht="15.5" thickTop="1" thickBot="1">
      <c r="A75">
        <v>4</v>
      </c>
      <c r="B75" s="71">
        <f ca="1">IF(DATOSAÑO!E73=0,0,((DATOSAÑO!C73/DATOSAÑO!E73)*1000)*DATOSAÑO!E73/24)</f>
        <v>12097.916666665697</v>
      </c>
      <c r="C75" s="72">
        <f ca="1">IF(DATOSAÑO!L73=0,0,((DATOSAÑO!J73/DATOSAÑO!L73)*1000)*DATOSAÑO!L73/24)</f>
        <v>6248.7499999998972</v>
      </c>
      <c r="D75" s="83">
        <f t="shared" ca="1" si="16"/>
        <v>4.8440275473813568</v>
      </c>
      <c r="E75" s="79">
        <f t="shared" ca="1" si="17"/>
        <v>3.6992829089775361</v>
      </c>
      <c r="F75" s="48"/>
      <c r="G75" s="45"/>
      <c r="H75" s="45">
        <f t="shared" si="18"/>
        <v>0</v>
      </c>
      <c r="I75" s="45">
        <f t="shared" ca="1" si="19"/>
        <v>0</v>
      </c>
      <c r="J75" s="46">
        <v>7890</v>
      </c>
      <c r="K75" s="47">
        <f>PORTADA!I58</f>
        <v>0</v>
      </c>
      <c r="M75">
        <v>4</v>
      </c>
      <c r="N75" s="71">
        <f ca="1">IF(DATOSAÑO!$E257=0,0,((DATOSAÑO!$C257/DATOSAÑO!$E257)*1000)*DATOSAÑO!$E257/24)</f>
        <v>6591.2499999976717</v>
      </c>
      <c r="O75" s="72">
        <f ca="1">IF(DATOSAÑO!$L257=0,0,((DATOSAÑO!$J257/DATOSAÑO!$L257)*1000)*DATOSAÑO!$L257/24)</f>
        <v>11956.208333333214</v>
      </c>
      <c r="P75" s="82">
        <f t="shared" ca="1" si="20"/>
        <v>3.8397611303327746</v>
      </c>
      <c r="Q75" s="44">
        <f t="shared" ca="1" si="21"/>
        <v>5.0192280881110838</v>
      </c>
      <c r="R75" s="48"/>
      <c r="S75" s="45"/>
      <c r="T75" s="45">
        <f t="shared" ca="1" si="22"/>
        <v>0</v>
      </c>
      <c r="U75" s="45">
        <f t="shared" ca="1" si="23"/>
        <v>1</v>
      </c>
      <c r="V75" s="46">
        <v>7890</v>
      </c>
      <c r="W75" s="47">
        <f>PORTADA!P24</f>
        <v>4.1512013803333332</v>
      </c>
    </row>
    <row r="76" spans="1:23" ht="15.5" thickTop="1" thickBot="1">
      <c r="A76">
        <v>5</v>
      </c>
      <c r="B76" s="71">
        <f ca="1">IF(DATOSAÑO!E74=0,0,((DATOSAÑO!C74/DATOSAÑO!E74)*1000)*DATOSAÑO!E74/24)</f>
        <v>11592.499999998836</v>
      </c>
      <c r="C76" s="72">
        <f ca="1">IF(DATOSAÑO!L74=0,0,((DATOSAÑO!J74/DATOSAÑO!L74)*1000)*DATOSAÑO!L74/24)</f>
        <v>6272.0833333334367</v>
      </c>
      <c r="D76" s="83">
        <f t="shared" ca="1" si="16"/>
        <v>4.7451120860346849</v>
      </c>
      <c r="E76" s="79">
        <f t="shared" ca="1" si="17"/>
        <v>3.7038494925187235</v>
      </c>
      <c r="F76" s="51">
        <f>INDEX(J72:J82,H83)</f>
        <v>0</v>
      </c>
      <c r="G76" s="52">
        <f>INDEX(K72:K82,H83)</f>
        <v>0</v>
      </c>
      <c r="H76" s="45">
        <f t="shared" si="18"/>
        <v>0</v>
      </c>
      <c r="I76" s="45">
        <f t="shared" ca="1" si="19"/>
        <v>0</v>
      </c>
      <c r="J76" s="46">
        <v>10520</v>
      </c>
      <c r="K76" s="47">
        <f>PORTADA!I59</f>
        <v>0</v>
      </c>
      <c r="M76">
        <v>5</v>
      </c>
      <c r="N76" s="71">
        <f ca="1">IF(DATOSAÑO!$E258=0,0,((DATOSAÑO!$C258/DATOSAÑO!$E258)*1000)*DATOSAÑO!$E258/24)</f>
        <v>6377.0833333352739</v>
      </c>
      <c r="O76" s="72">
        <f ca="1">IF(DATOSAÑO!$L258=0,0,((DATOSAÑO!$J258/DATOSAÑO!$L258)*1000)*DATOSAÑO!$L258/24)</f>
        <v>12221.666666666655</v>
      </c>
      <c r="P76" s="82">
        <f t="shared" ca="1" si="20"/>
        <v>3.7884039636671316</v>
      </c>
      <c r="Q76" s="44">
        <f t="shared" ca="1" si="21"/>
        <v>5.0786412025555521</v>
      </c>
      <c r="R76" s="51">
        <f ca="1">INDEX(V72:V82,T83)</f>
        <v>5260</v>
      </c>
      <c r="S76" s="52">
        <f ca="1">INDEX(W72:W82,T83)</f>
        <v>3.5205273803333328</v>
      </c>
      <c r="T76" s="45">
        <f t="shared" ca="1" si="22"/>
        <v>0</v>
      </c>
      <c r="U76" s="45">
        <f t="shared" ca="1" si="23"/>
        <v>1</v>
      </c>
      <c r="V76" s="46">
        <v>10520</v>
      </c>
      <c r="W76" s="47">
        <f>PORTADA!P25</f>
        <v>4.6977855136666662</v>
      </c>
    </row>
    <row r="77" spans="1:23" ht="15.5" thickTop="1" thickBot="1">
      <c r="A77">
        <v>6</v>
      </c>
      <c r="B77" s="71">
        <f ca="1">IF(DATOSAÑO!E75=0,0,((DATOSAÑO!C75/DATOSAÑO!E75)*1000)*DATOSAÑO!E75/24)</f>
        <v>11887.500000001941</v>
      </c>
      <c r="C77" s="72">
        <f ca="1">IF(DATOSAÑO!L75=0,0,((DATOSAÑO!J75/DATOSAÑO!L75)*1000)*DATOSAÑO!L75/24)</f>
        <v>6193.7499999999091</v>
      </c>
      <c r="D77" s="83">
        <f t="shared" ca="1" si="16"/>
        <v>4.8028467493769389</v>
      </c>
      <c r="E77" s="79">
        <f t="shared" ca="1" si="17"/>
        <v>3.6885188192019771</v>
      </c>
      <c r="F77" s="51">
        <f>INDEX(J72:J82,H83+1)</f>
        <v>2630</v>
      </c>
      <c r="G77" s="52">
        <f>INDEX(K72:K82,H83+1)</f>
        <v>0</v>
      </c>
      <c r="H77" s="45">
        <f t="shared" si="18"/>
        <v>0</v>
      </c>
      <c r="I77" s="45">
        <f t="shared" ca="1" si="19"/>
        <v>0</v>
      </c>
      <c r="J77" s="46">
        <v>13150</v>
      </c>
      <c r="K77" s="47">
        <f>PORTADA!I60</f>
        <v>0</v>
      </c>
      <c r="M77">
        <v>6</v>
      </c>
      <c r="N77" s="71">
        <f ca="1">IF(DATOSAÑO!$E259=0,0,((DATOSAÑO!$C259/DATOSAÑO!$E259)*1000)*DATOSAÑO!$E259/24)</f>
        <v>6154.1666666647261</v>
      </c>
      <c r="O77" s="72">
        <f ca="1">IF(DATOSAÑO!$L259=0,0,((DATOSAÑO!$J259/DATOSAÑO!$L259)*1000)*DATOSAÑO!$L259/24)</f>
        <v>11830.416666666679</v>
      </c>
      <c r="P77" s="82">
        <f t="shared" ca="1" si="20"/>
        <v>3.7349485469995343</v>
      </c>
      <c r="Q77" s="44">
        <f t="shared" ca="1" si="21"/>
        <v>4.9910742358888909</v>
      </c>
      <c r="R77" s="51">
        <f ca="1">INDEX(V72:V82,T83+1)</f>
        <v>7890</v>
      </c>
      <c r="S77" s="52">
        <f ca="1">INDEX(W72:W82,T83+1)</f>
        <v>4.1512013803333332</v>
      </c>
      <c r="T77" s="45">
        <f t="shared" ca="1" si="22"/>
        <v>0</v>
      </c>
      <c r="U77" s="45">
        <f t="shared" ca="1" si="23"/>
        <v>0</v>
      </c>
      <c r="V77" s="46">
        <v>13150</v>
      </c>
      <c r="W77" s="47">
        <f>PORTADA!P26</f>
        <v>5.2864145803333322</v>
      </c>
    </row>
    <row r="78" spans="1:23" ht="15.5" thickTop="1" thickBot="1">
      <c r="A78">
        <v>7</v>
      </c>
      <c r="B78" s="71">
        <f ca="1">IF(DATOSAÑO!E76=0,0,((DATOSAÑO!C76/DATOSAÑO!E76)*1000)*DATOSAÑO!E76/24)</f>
        <v>12458.333333333334</v>
      </c>
      <c r="C78" s="72">
        <f ca="1">IF(DATOSAÑO!L76=0,0,((DATOSAÑO!J76/DATOSAÑO!L76)*1000)*DATOSAÑO!L76/24)</f>
        <v>6358.333333333424</v>
      </c>
      <c r="D78" s="83">
        <f t="shared" ca="1" si="16"/>
        <v>4.9145649538653373</v>
      </c>
      <c r="E78" s="79">
        <f t="shared" ca="1" si="17"/>
        <v>3.7207295423940328</v>
      </c>
      <c r="F78" s="2260" t="s">
        <v>69</v>
      </c>
      <c r="G78" s="2261"/>
      <c r="H78" s="45">
        <f t="shared" si="18"/>
        <v>0</v>
      </c>
      <c r="I78" s="45">
        <f t="shared" ca="1" si="19"/>
        <v>0</v>
      </c>
      <c r="J78" s="46">
        <v>15780</v>
      </c>
      <c r="K78" s="47">
        <f>PORTADA!I61</f>
        <v>0</v>
      </c>
      <c r="M78">
        <v>7</v>
      </c>
      <c r="N78" s="71">
        <f ca="1">IF(DATOSAÑO!$E260=0,0,((DATOSAÑO!$C260/DATOSAÑO!$E260)*1000)*DATOSAÑO!$E260/24)</f>
        <v>6333.333333333333</v>
      </c>
      <c r="O78" s="72">
        <f ca="1">IF(DATOSAÑO!$L260=0,0,((DATOSAÑO!$J260/DATOSAÑO!$L260)*1000)*DATOSAÑO!$L260/24)</f>
        <v>12387.500000000122</v>
      </c>
      <c r="P78" s="82">
        <f t="shared" ca="1" si="20"/>
        <v>3.7779127136666664</v>
      </c>
      <c r="Q78" s="44">
        <f t="shared" ca="1" si="21"/>
        <v>5.1157569136666927</v>
      </c>
      <c r="R78" s="2260" t="s">
        <v>69</v>
      </c>
      <c r="S78" s="2261"/>
      <c r="T78" s="45">
        <f t="shared" ca="1" si="22"/>
        <v>0</v>
      </c>
      <c r="U78" s="45">
        <f t="shared" ca="1" si="23"/>
        <v>0</v>
      </c>
      <c r="V78" s="46">
        <v>15780</v>
      </c>
      <c r="W78" s="47">
        <f>PORTADA!P27</f>
        <v>5.9170885803333331</v>
      </c>
    </row>
    <row r="79" spans="1:23" ht="15.5" thickTop="1" thickBot="1">
      <c r="A79">
        <v>8</v>
      </c>
      <c r="B79" s="71">
        <f ca="1">IF(DATOSAÑO!E77=0,0,((DATOSAÑO!C77/DATOSAÑO!E77)*1000)*DATOSAÑO!E77/24)</f>
        <v>12208.333333333334</v>
      </c>
      <c r="C79" s="72">
        <f ca="1">IF(DATOSAÑO!L77=0,0,((DATOSAÑO!J77/DATOSAÑO!L77)*1000)*DATOSAÑO!L77/24)</f>
        <v>6329.166666666576</v>
      </c>
      <c r="D79" s="83">
        <f t="shared" ca="1" si="16"/>
        <v>4.8656372730673318</v>
      </c>
      <c r="E79" s="79">
        <f t="shared" ca="1" si="17"/>
        <v>3.7150213129675631</v>
      </c>
      <c r="F79" s="48" t="s">
        <v>67</v>
      </c>
      <c r="G79" s="49">
        <f ca="1">INDEX(B72:C102,B71,2)</f>
        <v>6388.3333333333212</v>
      </c>
      <c r="H79" s="45">
        <f t="shared" si="18"/>
        <v>0</v>
      </c>
      <c r="I79" s="45">
        <f t="shared" ca="1" si="19"/>
        <v>0</v>
      </c>
      <c r="J79" s="46">
        <v>18410</v>
      </c>
      <c r="K79" s="47">
        <f>PORTADA!I62</f>
        <v>0</v>
      </c>
      <c r="M79">
        <v>8</v>
      </c>
      <c r="N79" s="71">
        <f ca="1">IF(DATOSAÑO!$E261=0,0,((DATOSAÑO!$C261/DATOSAÑO!$E261)*1000)*DATOSAÑO!$E261/24)</f>
        <v>6166.666666666667</v>
      </c>
      <c r="O79" s="72">
        <f ca="1">IF(DATOSAÑO!$L261=0,0,((DATOSAÑO!$J261/DATOSAÑO!$L261)*1000)*DATOSAÑO!$L261/24)</f>
        <v>11916.666666666666</v>
      </c>
      <c r="P79" s="82">
        <f t="shared" ca="1" si="20"/>
        <v>3.7379460469999999</v>
      </c>
      <c r="Q79" s="44">
        <f t="shared" ca="1" si="21"/>
        <v>5.0103781358888879</v>
      </c>
      <c r="R79" s="48" t="s">
        <v>67</v>
      </c>
      <c r="S79" s="49">
        <f ca="1">INDEX(N72:O102,N71,2)</f>
        <v>12710.833333333236</v>
      </c>
      <c r="T79" s="45">
        <f t="shared" ca="1" si="22"/>
        <v>0</v>
      </c>
      <c r="U79" s="45">
        <f t="shared" ca="1" si="23"/>
        <v>0</v>
      </c>
      <c r="V79" s="46">
        <v>18410</v>
      </c>
      <c r="W79" s="47">
        <f>PORTADA!P28</f>
        <v>6.6318524469999991</v>
      </c>
    </row>
    <row r="80" spans="1:23" ht="15.5" thickTop="1" thickBot="1">
      <c r="A80">
        <v>9</v>
      </c>
      <c r="B80" s="71">
        <f ca="1">IF(DATOSAÑO!E78=0,0,((DATOSAÑO!C78/DATOSAÑO!E78)*1000)*DATOSAÑO!E78/24)</f>
        <v>12000</v>
      </c>
      <c r="C80" s="72">
        <f ca="1">IF(DATOSAÑO!L78=0,0,((DATOSAÑO!J78/DATOSAÑO!L78)*1000)*DATOSAÑO!L78/24)</f>
        <v>6087.5000000000909</v>
      </c>
      <c r="D80" s="83">
        <f t="shared" ca="1" si="16"/>
        <v>4.8248642057356612</v>
      </c>
      <c r="E80" s="79">
        <f t="shared" ca="1" si="17"/>
        <v>3.6677245548628603</v>
      </c>
      <c r="F80" s="48" t="s">
        <v>68</v>
      </c>
      <c r="G80" s="50">
        <f ca="1">(G79-F82)/(F83-F82)*(G83-G82)+G82</f>
        <v>0</v>
      </c>
      <c r="H80" s="45">
        <f t="shared" si="18"/>
        <v>0</v>
      </c>
      <c r="I80" s="45">
        <f t="shared" ca="1" si="19"/>
        <v>0</v>
      </c>
      <c r="J80" s="46">
        <v>21040</v>
      </c>
      <c r="K80" s="47">
        <f>PORTADA!I63</f>
        <v>0</v>
      </c>
      <c r="M80">
        <v>9</v>
      </c>
      <c r="N80" s="71">
        <f ca="1">IF(DATOSAÑO!$E262=0,0,((DATOSAÑO!$C262/DATOSAÑO!$E262)*1000)*DATOSAÑO!$E262/24)</f>
        <v>6250</v>
      </c>
      <c r="O80" s="72">
        <f ca="1">IF(DATOSAÑO!$L262=0,0,((DATOSAÑO!$J262/DATOSAÑO!$L262)*1000)*DATOSAÑO!$L262/24)</f>
        <v>12333.333333333334</v>
      </c>
      <c r="P80" s="82">
        <f t="shared" ca="1" si="20"/>
        <v>3.7579293803333331</v>
      </c>
      <c r="Q80" s="44">
        <f t="shared" ca="1" si="21"/>
        <v>5.1036336914444433</v>
      </c>
      <c r="R80" s="48" t="s">
        <v>68</v>
      </c>
      <c r="S80" s="50">
        <f ca="1">(S79-R82)/(R83-R82)*(S83-S82)+S82</f>
        <v>5.1881232247777547</v>
      </c>
      <c r="T80" s="45">
        <f t="shared" ca="1" si="22"/>
        <v>0</v>
      </c>
      <c r="U80" s="45">
        <f t="shared" ca="1" si="23"/>
        <v>0</v>
      </c>
      <c r="V80" s="46">
        <v>21040</v>
      </c>
      <c r="W80" s="47">
        <f>PORTADA!P29</f>
        <v>7.3045713803333339</v>
      </c>
    </row>
    <row r="81" spans="1:23" ht="15.5" thickTop="1" thickBot="1">
      <c r="A81">
        <v>10</v>
      </c>
      <c r="B81" s="71">
        <f ca="1">IF(DATOSAÑO!E79=0,0,((DATOSAÑO!C79/DATOSAÑO!E79)*1000)*DATOSAÑO!E79/24)</f>
        <v>12208.333333333334</v>
      </c>
      <c r="C81" s="72">
        <f ca="1">IF(DATOSAÑO!L79=0,0,((DATOSAÑO!J79/DATOSAÑO!L79)*1000)*DATOSAÑO!L79/24)</f>
        <v>6254.166666666606</v>
      </c>
      <c r="D81" s="83">
        <f t="shared" ca="1" si="16"/>
        <v>4.8656372730673318</v>
      </c>
      <c r="E81" s="79">
        <f t="shared" ca="1" si="17"/>
        <v>3.7003430087281677</v>
      </c>
      <c r="F81" s="48"/>
      <c r="G81" s="45"/>
      <c r="H81" s="45">
        <f t="shared" si="18"/>
        <v>0</v>
      </c>
      <c r="I81" s="45">
        <f t="shared" ca="1" si="19"/>
        <v>0</v>
      </c>
      <c r="J81" s="46">
        <v>23670</v>
      </c>
      <c r="K81" s="47">
        <f>PORTADA!I64</f>
        <v>0</v>
      </c>
      <c r="M81">
        <v>10</v>
      </c>
      <c r="N81" s="71">
        <f ca="1">IF(DATOSAÑO!$E263=0,0,((DATOSAÑO!$C263/DATOSAÑO!$E263)*1000)*DATOSAÑO!$E263/24)</f>
        <v>6291.666666666667</v>
      </c>
      <c r="O81" s="72">
        <f ca="1">IF(DATOSAÑO!$L263=0,0,((DATOSAÑO!$J263/DATOSAÑO!$L263)*1000)*DATOSAÑO!$L263/24)</f>
        <v>12041.666666666666</v>
      </c>
      <c r="P81" s="82">
        <f t="shared" ca="1" si="20"/>
        <v>3.7679210469999997</v>
      </c>
      <c r="Q81" s="44">
        <f t="shared" ca="1" si="21"/>
        <v>5.0383548025555545</v>
      </c>
      <c r="R81" s="48"/>
      <c r="S81" s="45"/>
      <c r="T81" s="45">
        <f t="shared" ca="1" si="22"/>
        <v>0</v>
      </c>
      <c r="U81" s="45">
        <f t="shared" ca="1" si="23"/>
        <v>0</v>
      </c>
      <c r="V81" s="46">
        <v>23670</v>
      </c>
      <c r="W81" s="47">
        <f>PORTADA!P30</f>
        <v>7.9772903136666677</v>
      </c>
    </row>
    <row r="82" spans="1:23" ht="15.5" thickTop="1" thickBot="1">
      <c r="A82">
        <v>11</v>
      </c>
      <c r="B82" s="71">
        <f ca="1">IF(DATOSAÑO!E80=0,0,((DATOSAÑO!C80/DATOSAÑO!E80)*1000)*DATOSAÑO!E80/24)</f>
        <v>10791.666666666666</v>
      </c>
      <c r="C82" s="72">
        <f ca="1">IF(DATOSAÑO!L80=0,0,((DATOSAÑO!J80/DATOSAÑO!L80)*1000)*DATOSAÑO!L80/24)</f>
        <v>7354.166666666667</v>
      </c>
      <c r="D82" s="83">
        <f t="shared" ca="1" si="16"/>
        <v>4.5883804152119705</v>
      </c>
      <c r="E82" s="79">
        <f t="shared" ca="1" si="17"/>
        <v>3.9156248042394015</v>
      </c>
      <c r="F82" s="51">
        <f ca="1">INDEX(J72:J82,I83)</f>
        <v>0</v>
      </c>
      <c r="G82" s="52">
        <f ca="1">INDEX(K72:K82,I83)</f>
        <v>0</v>
      </c>
      <c r="H82" s="45">
        <f t="shared" si="18"/>
        <v>0</v>
      </c>
      <c r="I82" s="45">
        <f t="shared" ca="1" si="19"/>
        <v>0</v>
      </c>
      <c r="J82" s="46">
        <v>26300</v>
      </c>
      <c r="K82" s="47">
        <f>PORTADA!I65</f>
        <v>0</v>
      </c>
      <c r="M82">
        <v>11</v>
      </c>
      <c r="N82" s="71">
        <f ca="1">IF(DATOSAÑO!$E264=0,0,((DATOSAÑO!$C264/DATOSAÑO!$E264)*1000)*DATOSAÑO!$E264/24)</f>
        <v>6166.666666666667</v>
      </c>
      <c r="O82" s="72">
        <f ca="1">IF(DATOSAÑO!$L264=0,0,((DATOSAÑO!$J264/DATOSAÑO!$L264)*1000)*DATOSAÑO!$L264/24)</f>
        <v>12583.333333333334</v>
      </c>
      <c r="P82" s="82">
        <f t="shared" ca="1" si="20"/>
        <v>3.7379460469999999</v>
      </c>
      <c r="Q82" s="44">
        <f t="shared" ca="1" si="21"/>
        <v>5.1595870247777773</v>
      </c>
      <c r="R82" s="51">
        <f ca="1">INDEX(V72:V82,U83)</f>
        <v>10520</v>
      </c>
      <c r="S82" s="52">
        <f ca="1">INDEX(W72:W82,U83)</f>
        <v>4.6977855136666662</v>
      </c>
      <c r="T82" s="45">
        <f t="shared" ca="1" si="22"/>
        <v>0</v>
      </c>
      <c r="U82" s="45">
        <f t="shared" ca="1" si="23"/>
        <v>0</v>
      </c>
      <c r="V82" s="46">
        <v>26300</v>
      </c>
      <c r="W82" s="47">
        <f>PORTADA!P31</f>
        <v>8.6500092469999998</v>
      </c>
    </row>
    <row r="83" spans="1:23" ht="15.5" thickTop="1" thickBot="1">
      <c r="A83">
        <v>12</v>
      </c>
      <c r="B83" s="71">
        <f ca="1">IF(DATOSAÑO!E81=0,0,((DATOSAÑO!C81/DATOSAÑO!E81)*1000)*DATOSAÑO!E81/24)</f>
        <v>11500</v>
      </c>
      <c r="C83" s="72">
        <f ca="1">IF(DATOSAÑO!L81=0,0,((DATOSAÑO!J81/DATOSAÑO!L81)*1000)*DATOSAÑO!L81/24)</f>
        <v>6479.166666666667</v>
      </c>
      <c r="D83" s="83">
        <f t="shared" ca="1" si="16"/>
        <v>4.7270088441396512</v>
      </c>
      <c r="E83" s="79">
        <f t="shared" ca="1" si="17"/>
        <v>3.7443779214463841</v>
      </c>
      <c r="F83" s="53">
        <f ca="1">INDEX(J72:J82,I83+1)</f>
        <v>2630</v>
      </c>
      <c r="G83" s="54">
        <f ca="1">INDEX(K72:K82,I83+1)</f>
        <v>0</v>
      </c>
      <c r="H83" s="55">
        <f t="shared" si="18"/>
        <v>1</v>
      </c>
      <c r="I83" s="55">
        <f t="shared" ca="1" si="19"/>
        <v>1</v>
      </c>
      <c r="J83" s="55"/>
      <c r="K83" s="55"/>
      <c r="M83">
        <v>12</v>
      </c>
      <c r="N83" s="71">
        <f ca="1">IF(DATOSAÑO!$E265=0,0,((DATOSAÑO!$C265/DATOSAÑO!$E265)*1000)*DATOSAÑO!$E265/24)</f>
        <v>6250</v>
      </c>
      <c r="O83" s="72">
        <f ca="1">IF(DATOSAÑO!$L265=0,0,((DATOSAÑO!$J265/DATOSAÑO!$L265)*1000)*DATOSAÑO!$L265/24)</f>
        <v>12208.333333333334</v>
      </c>
      <c r="P83" s="82">
        <f t="shared" ca="1" si="20"/>
        <v>3.7579293803333331</v>
      </c>
      <c r="Q83" s="44">
        <f t="shared" ca="1" si="21"/>
        <v>5.0756570247777768</v>
      </c>
      <c r="R83" s="53">
        <f ca="1">INDEX(V72:V82,U83+1)</f>
        <v>13150</v>
      </c>
      <c r="S83" s="54">
        <f ca="1">INDEX(W72:W82,U83+1)</f>
        <v>5.2864145803333322</v>
      </c>
      <c r="T83" s="55">
        <f ca="1">SUM(T72:T82)</f>
        <v>3</v>
      </c>
      <c r="U83" s="55">
        <f ca="1">SUM(U72:U82)</f>
        <v>5</v>
      </c>
      <c r="V83" s="55"/>
      <c r="W83" s="55"/>
    </row>
    <row r="84" spans="1:23" ht="15.5" thickTop="1" thickBot="1">
      <c r="A84">
        <v>13</v>
      </c>
      <c r="B84" s="71">
        <f ca="1">IF(DATOSAÑO!E82=0,0,((DATOSAÑO!C82/DATOSAÑO!E82)*1000)*DATOSAÑO!E82/24)</f>
        <v>12458.333333333334</v>
      </c>
      <c r="C84" s="72">
        <f ca="1">IF(DATOSAÑO!L82=0,0,((DATOSAÑO!J82/DATOSAÑO!L82)*1000)*DATOSAÑO!L82/24)</f>
        <v>6304.166666666636</v>
      </c>
      <c r="D84" s="83">
        <f t="shared" ca="1" si="16"/>
        <v>4.9145649538653373</v>
      </c>
      <c r="E84" s="79">
        <f t="shared" ca="1" si="17"/>
        <v>3.7101285448877741</v>
      </c>
      <c r="F84" s="56"/>
      <c r="G84" s="56"/>
      <c r="H84" s="56"/>
      <c r="I84" s="56"/>
      <c r="J84" s="56"/>
      <c r="K84" s="56"/>
      <c r="M84">
        <v>13</v>
      </c>
      <c r="N84" s="71">
        <f ca="1">IF(DATOSAÑO!$E266=0,0,((DATOSAÑO!$C266/DATOSAÑO!$E266)*1000)*DATOSAÑO!$E266/24)</f>
        <v>6250</v>
      </c>
      <c r="O84" s="72">
        <f ca="1">IF(DATOSAÑO!$L266=0,0,((DATOSAÑO!$J266/DATOSAÑO!$L266)*1000)*DATOSAÑO!$L266/24)</f>
        <v>12750</v>
      </c>
      <c r="P84" s="82">
        <f t="shared" ca="1" si="20"/>
        <v>3.7579293803333331</v>
      </c>
      <c r="Q84" s="44">
        <f t="shared" ca="1" si="21"/>
        <v>5.1968892469999988</v>
      </c>
      <c r="R84" s="56"/>
      <c r="S84" s="56"/>
      <c r="T84" s="56"/>
      <c r="U84" s="56"/>
      <c r="V84" s="56"/>
      <c r="W84" s="56"/>
    </row>
    <row r="85" spans="1:23" ht="15.5" thickTop="1" thickBot="1">
      <c r="A85">
        <v>14</v>
      </c>
      <c r="B85" s="71">
        <f ca="1">IF(DATOSAÑO!E83=0,0,((DATOSAÑO!C83/DATOSAÑO!E83)*1000)*DATOSAÑO!E83/24)</f>
        <v>12029.166666664727</v>
      </c>
      <c r="C85" s="72">
        <f ca="1">IF(DATOSAÑO!L83=0,0,((DATOSAÑO!J83/DATOSAÑO!L83)*1000)*DATOSAÑO!L83/24)</f>
        <v>6066.6666666667579</v>
      </c>
      <c r="D85" s="83">
        <f t="shared" ca="1" si="16"/>
        <v>4.8305724351617156</v>
      </c>
      <c r="E85" s="79">
        <f t="shared" ca="1" si="17"/>
        <v>3.6636472481296938</v>
      </c>
      <c r="F85" s="56"/>
      <c r="G85" s="56"/>
      <c r="H85" s="56"/>
      <c r="I85" s="56"/>
      <c r="J85" s="56"/>
      <c r="K85" s="56"/>
      <c r="M85">
        <v>14</v>
      </c>
      <c r="N85" s="71">
        <f ca="1">IF(DATOSAÑO!$E267=0,0,((DATOSAÑO!$C267/DATOSAÑO!$E267)*1000)*DATOSAÑO!$E267/24)</f>
        <v>6208.333333333333</v>
      </c>
      <c r="O85" s="72">
        <f ca="1">IF(DATOSAÑO!$L267=0,0,((DATOSAÑO!$J267/DATOSAÑO!$L267)*1000)*DATOSAÑO!$L267/24)</f>
        <v>12583.333333333334</v>
      </c>
      <c r="P85" s="82">
        <f t="shared" ca="1" si="20"/>
        <v>3.7479377136666661</v>
      </c>
      <c r="Q85" s="44">
        <f t="shared" ca="1" si="21"/>
        <v>5.1595870247777773</v>
      </c>
      <c r="R85" s="56"/>
      <c r="S85" s="56"/>
      <c r="T85" s="56"/>
      <c r="U85" s="56"/>
      <c r="V85" s="56"/>
      <c r="W85" s="56"/>
    </row>
    <row r="86" spans="1:23" ht="15.5" thickTop="1" thickBot="1">
      <c r="A86">
        <v>15</v>
      </c>
      <c r="B86" s="71">
        <f ca="1">IF(DATOSAÑO!E84=0,0,((DATOSAÑO!C84/DATOSAÑO!E84)*1000)*DATOSAÑO!E84/24)</f>
        <v>12325.000000001941</v>
      </c>
      <c r="C86" s="72">
        <f ca="1">IF(DATOSAÑO!L84=0,0,((DATOSAÑO!J84/DATOSAÑO!L84)*1000)*DATOSAÑO!L84/24)</f>
        <v>6191.666666666606</v>
      </c>
      <c r="D86" s="83">
        <f t="shared" ca="1" si="16"/>
        <v>4.8884701907734467</v>
      </c>
      <c r="E86" s="79">
        <f t="shared" ca="1" si="17"/>
        <v>3.6881110885286663</v>
      </c>
      <c r="F86" s="56"/>
      <c r="G86" s="56"/>
      <c r="H86" s="56"/>
      <c r="I86" s="56"/>
      <c r="J86" s="56"/>
      <c r="K86" s="56"/>
      <c r="M86">
        <v>15</v>
      </c>
      <c r="N86" s="71">
        <f ca="1">IF(DATOSAÑO!$E268=0,0,((DATOSAÑO!$C268/DATOSAÑO!$E268)*1000)*DATOSAÑO!$E268/24)</f>
        <v>6250</v>
      </c>
      <c r="O86" s="72">
        <f ca="1">IF(DATOSAÑO!$L268=0,0,((DATOSAÑO!$J268/DATOSAÑO!$L268)*1000)*DATOSAÑO!$L268/24)</f>
        <v>12416.666666666666</v>
      </c>
      <c r="P86" s="82">
        <f t="shared" ca="1" si="20"/>
        <v>3.7579293803333331</v>
      </c>
      <c r="Q86" s="44">
        <f t="shared" ca="1" si="21"/>
        <v>5.122284802555555</v>
      </c>
      <c r="R86" s="56"/>
      <c r="S86" s="56"/>
      <c r="T86" s="56"/>
      <c r="U86" s="56"/>
      <c r="V86" s="56"/>
      <c r="W86" s="56"/>
    </row>
    <row r="87" spans="1:23" ht="15.5" thickTop="1" thickBot="1">
      <c r="A87">
        <v>16</v>
      </c>
      <c r="B87" s="71">
        <f ca="1">IF(DATOSAÑO!E85=0,0,((DATOSAÑO!C85/DATOSAÑO!E85)*1000)*DATOSAÑO!E85/24)</f>
        <v>12104.166666666666</v>
      </c>
      <c r="C87" s="72">
        <f ca="1">IF(DATOSAÑO!L85=0,0,((DATOSAÑO!J85/DATOSAÑO!L85)*1000)*DATOSAÑO!L85/24)</f>
        <v>6604.166666666667</v>
      </c>
      <c r="D87" s="83">
        <f t="shared" ca="1" si="16"/>
        <v>4.8452507394014965</v>
      </c>
      <c r="E87" s="79">
        <f t="shared" ca="1" si="17"/>
        <v>3.7688417618453864</v>
      </c>
      <c r="F87" s="56"/>
      <c r="G87" s="56"/>
      <c r="H87" s="56"/>
      <c r="I87" s="56"/>
      <c r="J87" s="56"/>
      <c r="K87" s="56"/>
      <c r="M87">
        <v>16</v>
      </c>
      <c r="N87" s="71">
        <f ca="1">IF(DATOSAÑO!$E269=0,0,((DATOSAÑO!$C269/DATOSAÑO!$E269)*1000)*DATOSAÑO!$E269/24)</f>
        <v>6250</v>
      </c>
      <c r="O87" s="72">
        <f ca="1">IF(DATOSAÑO!$L269=0,0,((DATOSAÑO!$J269/DATOSAÑO!$L269)*1000)*DATOSAÑO!$L269/24)</f>
        <v>12416.666666666666</v>
      </c>
      <c r="P87" s="82">
        <f t="shared" ca="1" si="20"/>
        <v>3.7579293803333331</v>
      </c>
      <c r="Q87" s="44">
        <f t="shared" ca="1" si="21"/>
        <v>5.122284802555555</v>
      </c>
      <c r="R87" s="56"/>
      <c r="S87" s="56"/>
      <c r="T87" s="56"/>
      <c r="U87" s="56"/>
      <c r="V87" s="56"/>
      <c r="W87" s="56"/>
    </row>
    <row r="88" spans="1:23" ht="15.5" thickTop="1" thickBot="1">
      <c r="A88">
        <v>17</v>
      </c>
      <c r="B88" s="71">
        <f ca="1">IF(DATOSAÑO!E86=0,0,((DATOSAÑO!C86/DATOSAÑO!E86)*1000)*DATOSAÑO!E86/24)</f>
        <v>11791.666666666666</v>
      </c>
      <c r="C88" s="72">
        <f ca="1">IF(DATOSAÑO!L86=0,0,((DATOSAÑO!J86/DATOSAÑO!L86)*1000)*DATOSAÑO!L86/24)</f>
        <v>6750</v>
      </c>
      <c r="D88" s="83">
        <f t="shared" ca="1" si="16"/>
        <v>4.7840911384039906</v>
      </c>
      <c r="E88" s="79">
        <f t="shared" ca="1" si="17"/>
        <v>3.7973829089775561</v>
      </c>
      <c r="F88" s="56"/>
      <c r="G88" s="56"/>
      <c r="H88" s="57"/>
      <c r="I88" s="56"/>
      <c r="J88" s="56"/>
      <c r="K88" s="56"/>
      <c r="M88">
        <v>17</v>
      </c>
      <c r="N88" s="71">
        <f ca="1">IF(DATOSAÑO!$E270=0,0,((DATOSAÑO!$C270/DATOSAÑO!$E270)*1000)*DATOSAÑO!$E270/24)</f>
        <v>6166.666666666667</v>
      </c>
      <c r="O88" s="72">
        <f ca="1">IF(DATOSAÑO!$L270=0,0,((DATOSAÑO!$J270/DATOSAÑO!$L270)*1000)*DATOSAÑO!$L270/24)</f>
        <v>12666.666666666666</v>
      </c>
      <c r="P88" s="82">
        <f t="shared" ca="1" si="20"/>
        <v>3.7379460469999999</v>
      </c>
      <c r="Q88" s="44">
        <f t="shared" ca="1" si="21"/>
        <v>5.178238135888888</v>
      </c>
      <c r="R88" s="56"/>
      <c r="S88" s="56"/>
      <c r="T88" s="57"/>
      <c r="U88" s="56"/>
      <c r="V88" s="56"/>
      <c r="W88" s="56"/>
    </row>
    <row r="89" spans="1:23" ht="15.5" thickTop="1" thickBot="1">
      <c r="A89">
        <v>18</v>
      </c>
      <c r="B89" s="71">
        <f ca="1">IF(DATOSAÑO!E87=0,0,((DATOSAÑO!C87/DATOSAÑO!E87)*1000)*DATOSAÑO!E87/24)</f>
        <v>12416.666666666666</v>
      </c>
      <c r="C89" s="72">
        <f ca="1">IF(DATOSAÑO!L87=0,0,((DATOSAÑO!J87/DATOSAÑO!L87)*1000)*DATOSAÑO!L87/24)</f>
        <v>6291.666666666667</v>
      </c>
      <c r="D89" s="83">
        <f t="shared" ca="1" si="16"/>
        <v>4.9064103403990025</v>
      </c>
      <c r="E89" s="79">
        <f t="shared" ca="1" si="17"/>
        <v>3.70768216084788</v>
      </c>
      <c r="F89" s="56"/>
      <c r="G89" s="56"/>
      <c r="H89" s="56"/>
      <c r="I89" s="56"/>
      <c r="J89" s="56"/>
      <c r="K89" s="56"/>
      <c r="M89">
        <v>18</v>
      </c>
      <c r="N89" s="71">
        <f ca="1">IF(DATOSAÑO!$E271=0,0,((DATOSAÑO!$C271/DATOSAÑO!$E271)*1000)*DATOSAÑO!$E271/24)</f>
        <v>6166.666666666667</v>
      </c>
      <c r="O89" s="72">
        <f ca="1">IF(DATOSAÑO!$L271=0,0,((DATOSAÑO!$J271/DATOSAÑO!$L271)*1000)*DATOSAÑO!$L271/24)</f>
        <v>13208.333333333334</v>
      </c>
      <c r="P89" s="82">
        <f t="shared" ca="1" si="20"/>
        <v>3.7379460469999999</v>
      </c>
      <c r="Q89" s="44">
        <f t="shared" ca="1" si="21"/>
        <v>5.29947035811111</v>
      </c>
      <c r="R89" s="56"/>
      <c r="S89" s="56"/>
      <c r="T89" s="56"/>
      <c r="U89" s="56"/>
      <c r="V89" s="56"/>
      <c r="W89" s="56"/>
    </row>
    <row r="90" spans="1:23" ht="15.5" thickTop="1" thickBot="1">
      <c r="A90">
        <v>19</v>
      </c>
      <c r="B90" s="71">
        <f ca="1">IF(DATOSAÑO!E88=0,0,((DATOSAÑO!C88/DATOSAÑO!E88)*1000)*DATOSAÑO!E88/24)</f>
        <v>12083.333333333334</v>
      </c>
      <c r="C90" s="72">
        <f ca="1">IF(DATOSAÑO!L88=0,0,((DATOSAÑO!J88/DATOSAÑO!L88)*1000)*DATOSAÑO!L88/24)</f>
        <v>6583.333333333333</v>
      </c>
      <c r="D90" s="83">
        <f t="shared" ca="1" si="16"/>
        <v>4.8411734326683291</v>
      </c>
      <c r="E90" s="79">
        <f t="shared" ca="1" si="17"/>
        <v>3.7647644551122195</v>
      </c>
      <c r="F90" s="56"/>
      <c r="G90" s="56"/>
      <c r="H90" s="56"/>
      <c r="I90" s="56"/>
      <c r="J90" s="56"/>
      <c r="K90" s="58"/>
      <c r="M90">
        <v>19</v>
      </c>
      <c r="N90" s="71">
        <f ca="1">IF(DATOSAÑO!$E272=0,0,((DATOSAÑO!$C272/DATOSAÑO!$E272)*1000)*DATOSAÑO!$E272/24)</f>
        <v>5833.333333333333</v>
      </c>
      <c r="O90" s="72">
        <f ca="1">IF(DATOSAÑO!$L272=0,0,((DATOSAÑO!$J272/DATOSAÑO!$L272)*1000)*DATOSAÑO!$L272/24)</f>
        <v>11666.666666666666</v>
      </c>
      <c r="P90" s="82">
        <f t="shared" ca="1" si="20"/>
        <v>3.658012713666666</v>
      </c>
      <c r="Q90" s="44">
        <f t="shared" ca="1" si="21"/>
        <v>4.9544248025555548</v>
      </c>
      <c r="R90" s="56"/>
      <c r="S90" s="56"/>
      <c r="T90" s="56"/>
      <c r="U90" s="56"/>
      <c r="V90" s="56"/>
      <c r="W90" s="58"/>
    </row>
    <row r="91" spans="1:23" ht="15.5" thickTop="1" thickBot="1">
      <c r="A91">
        <v>20</v>
      </c>
      <c r="B91" s="71">
        <f ca="1">IF(DATOSAÑO!E89=0,0,((DATOSAÑO!C89/DATOSAÑO!E89)*1000)*DATOSAÑO!E89/24)</f>
        <v>12500</v>
      </c>
      <c r="C91" s="72">
        <f ca="1">IF(DATOSAÑO!L89=0,0,((DATOSAÑO!J89/DATOSAÑO!L89)*1000)*DATOSAÑO!L89/24)</f>
        <v>6500</v>
      </c>
      <c r="D91" s="83">
        <f t="shared" ca="1" si="16"/>
        <v>4.9227195673316713</v>
      </c>
      <c r="E91" s="79">
        <f t="shared" ca="1" si="17"/>
        <v>3.7484552281795511</v>
      </c>
      <c r="F91" s="56"/>
      <c r="G91" s="56"/>
      <c r="H91" s="56"/>
      <c r="I91" s="56"/>
      <c r="J91" s="56"/>
      <c r="K91" s="56"/>
      <c r="M91">
        <v>20</v>
      </c>
      <c r="N91" s="71">
        <f ca="1">IF(DATOSAÑO!$E273=0,0,((DATOSAÑO!$C273/DATOSAÑO!$E273)*1000)*DATOSAÑO!$E273/24)</f>
        <v>6250</v>
      </c>
      <c r="O91" s="72">
        <f ca="1">IF(DATOSAÑO!$L273=0,0,((DATOSAÑO!$J273/DATOSAÑO!$L273)*1000)*DATOSAÑO!$L273/24)</f>
        <v>12250</v>
      </c>
      <c r="P91" s="82">
        <f t="shared" ca="1" si="20"/>
        <v>3.7579293803333331</v>
      </c>
      <c r="Q91" s="44">
        <f t="shared" ca="1" si="21"/>
        <v>5.0849825803333326</v>
      </c>
      <c r="R91" s="56"/>
      <c r="S91" s="56"/>
      <c r="T91" s="56"/>
      <c r="U91" s="56"/>
      <c r="V91" s="56"/>
      <c r="W91" s="56"/>
    </row>
    <row r="92" spans="1:23" ht="15.5" thickTop="1" thickBot="1">
      <c r="A92">
        <v>21</v>
      </c>
      <c r="B92" s="71">
        <f ca="1">IF(DATOSAÑO!E90=0,0,((DATOSAÑO!C90/DATOSAÑO!E90)*1000)*DATOSAÑO!E90/24)</f>
        <v>12625</v>
      </c>
      <c r="C92" s="72">
        <f ca="1">IF(DATOSAÑO!L90=0,0,((DATOSAÑO!J90/DATOSAÑO!L90)*1000)*DATOSAÑO!L90/24)</f>
        <v>6416.666666666667</v>
      </c>
      <c r="D92" s="83">
        <f t="shared" ca="1" si="16"/>
        <v>4.9471834077306731</v>
      </c>
      <c r="E92" s="79">
        <f t="shared" ca="1" si="17"/>
        <v>3.7321460012468828</v>
      </c>
      <c r="F92" s="56"/>
      <c r="G92" s="56"/>
      <c r="H92" s="56"/>
      <c r="I92" s="56"/>
      <c r="J92" s="56"/>
      <c r="K92" s="56"/>
      <c r="M92">
        <v>21</v>
      </c>
      <c r="N92" s="71">
        <f ca="1">IF(DATOSAÑO!$E274=0,0,((DATOSAÑO!$C274/DATOSAÑO!$E274)*1000)*DATOSAÑO!$E274/24)</f>
        <v>6163.3333333350793</v>
      </c>
      <c r="O92" s="72">
        <f ca="1">IF(DATOSAÑO!$L274=0,0,((DATOSAÑO!$J274/DATOSAÑO!$L274)*1000)*DATOSAÑO!$L274/24)</f>
        <v>12278.333333333043</v>
      </c>
      <c r="P92" s="82">
        <f t="shared" ca="1" si="20"/>
        <v>3.7371467136670851</v>
      </c>
      <c r="Q92" s="44">
        <f t="shared" ca="1" si="21"/>
        <v>5.0913239581110457</v>
      </c>
      <c r="R92" s="56"/>
      <c r="S92" s="56"/>
      <c r="T92" s="56"/>
      <c r="U92" s="56"/>
      <c r="V92" s="56"/>
      <c r="W92" s="56"/>
    </row>
    <row r="93" spans="1:23" ht="15.5" thickTop="1" thickBot="1">
      <c r="A93">
        <v>22</v>
      </c>
      <c r="B93" s="71">
        <f ca="1">IF(DATOSAÑO!E91=0,0,((DATOSAÑO!C91/DATOSAÑO!E91)*1000)*DATOSAÑO!E91/24)</f>
        <v>12416.666666666666</v>
      </c>
      <c r="C93" s="72">
        <f ca="1">IF(DATOSAÑO!L91=0,0,((DATOSAÑO!J91/DATOSAÑO!L91)*1000)*DATOSAÑO!L91/24)</f>
        <v>6416.666666666667</v>
      </c>
      <c r="D93" s="83">
        <f t="shared" ca="1" si="16"/>
        <v>4.9064103403990025</v>
      </c>
      <c r="E93" s="79">
        <f t="shared" ca="1" si="17"/>
        <v>3.7321460012468828</v>
      </c>
      <c r="F93" s="56"/>
      <c r="G93" s="56"/>
      <c r="H93" s="56"/>
      <c r="I93" s="56"/>
      <c r="J93" s="56"/>
      <c r="K93" s="56"/>
      <c r="M93">
        <v>22</v>
      </c>
      <c r="N93" s="71">
        <f ca="1">IF(DATOSAÑO!$E275=0,0,((DATOSAÑO!$C275/DATOSAÑO!$E275)*1000)*DATOSAÑO!$E275/24)</f>
        <v>6282.9166666633682</v>
      </c>
      <c r="O93" s="72">
        <f ca="1">IF(DATOSAÑO!$L275=0,0,((DATOSAÑO!$J275/DATOSAÑO!$L275)*1000)*DATOSAÑO!$L275/24)</f>
        <v>12157.083333333503</v>
      </c>
      <c r="P93" s="82">
        <f t="shared" ca="1" si="20"/>
        <v>3.7658227969992089</v>
      </c>
      <c r="Q93" s="44">
        <f t="shared" ca="1" si="21"/>
        <v>5.0641865914444812</v>
      </c>
      <c r="R93" s="56"/>
      <c r="S93" s="56"/>
      <c r="T93" s="56"/>
      <c r="U93" s="56"/>
      <c r="V93" s="56"/>
      <c r="W93" s="56"/>
    </row>
    <row r="94" spans="1:23" ht="15.5" thickTop="1" thickBot="1">
      <c r="A94">
        <v>23</v>
      </c>
      <c r="B94" s="71">
        <f ca="1">IF(DATOSAÑO!E92=0,0,((DATOSAÑO!C92/DATOSAÑO!E92)*1000)*DATOSAÑO!E92/24)</f>
        <v>12500</v>
      </c>
      <c r="C94" s="72">
        <f ca="1">IF(DATOSAÑO!L92=0,0,((DATOSAÑO!J92/DATOSAÑO!L92)*1000)*DATOSAÑO!L92/24)</f>
        <v>6208.333333333333</v>
      </c>
      <c r="D94" s="83">
        <f t="shared" ca="1" si="16"/>
        <v>4.9227195673316713</v>
      </c>
      <c r="E94" s="79">
        <f t="shared" ca="1" si="17"/>
        <v>3.6913729339152122</v>
      </c>
      <c r="F94" s="56"/>
      <c r="G94" s="56"/>
      <c r="H94" s="56"/>
      <c r="I94" s="56"/>
      <c r="J94" s="56"/>
      <c r="K94" s="56"/>
      <c r="M94">
        <v>23</v>
      </c>
      <c r="N94" s="71">
        <f ca="1">IF(DATOSAÑO!$E276=0,0,((DATOSAÑO!$C276/DATOSAÑO!$E276)*1000)*DATOSAÑO!$E276/24)</f>
        <v>4960.0000000015525</v>
      </c>
      <c r="O94" s="72">
        <f ca="1">IF(DATOSAÑO!$L276=0,0,((DATOSAÑO!$J276/DATOSAÑO!$L276)*1000)*DATOSAÑO!$L276/24)</f>
        <v>13489.166666666884</v>
      </c>
      <c r="P94" s="82">
        <f t="shared" ca="1" si="20"/>
        <v>3.4485873803337048</v>
      </c>
      <c r="Q94" s="44">
        <f t="shared" ca="1" si="21"/>
        <v>5.3623246025556028</v>
      </c>
      <c r="R94" s="56"/>
      <c r="S94" s="56"/>
      <c r="T94" s="56"/>
      <c r="U94" s="56"/>
      <c r="V94" s="56"/>
      <c r="W94" s="56"/>
    </row>
    <row r="95" spans="1:23" ht="15.5" thickTop="1" thickBot="1">
      <c r="A95">
        <v>24</v>
      </c>
      <c r="B95" s="71">
        <f ca="1">IF(DATOSAÑO!E93=0,0,((DATOSAÑO!C93/DATOSAÑO!E93)*1000)*DATOSAÑO!E93/24)</f>
        <v>12458.333333333334</v>
      </c>
      <c r="C95" s="72">
        <f ca="1">IF(DATOSAÑO!L93=0,0,((DATOSAÑO!J93/DATOSAÑO!L93)*1000)*DATOSAÑO!L93/24)</f>
        <v>6083.333333333333</v>
      </c>
      <c r="D95" s="83">
        <f t="shared" ca="1" si="16"/>
        <v>4.9145649538653373</v>
      </c>
      <c r="E95" s="79">
        <f t="shared" ca="1" si="17"/>
        <v>3.6669090935162094</v>
      </c>
      <c r="F95" s="56"/>
      <c r="G95" s="56"/>
      <c r="H95" s="56"/>
      <c r="I95" s="56"/>
      <c r="J95" s="56"/>
      <c r="K95" s="56"/>
      <c r="M95">
        <v>24</v>
      </c>
      <c r="N95" s="71">
        <f ca="1">IF(DATOSAÑO!$E277=0,0,((DATOSAÑO!$C277/DATOSAÑO!$E277)*1000)*DATOSAÑO!$E277/24)</f>
        <v>2656.25</v>
      </c>
      <c r="O95" s="72">
        <f ca="1">IF(DATOSAÑO!$L277=0,0,((DATOSAÑO!$J277/DATOSAÑO!$L277)*1000)*DATOSAÑO!$L277/24)</f>
        <v>16085.416666666788</v>
      </c>
      <c r="P95" s="82">
        <f t="shared" ca="1" si="20"/>
        <v>2.8961481303333323</v>
      </c>
      <c r="Q95" s="44">
        <f t="shared" ca="1" si="21"/>
        <v>5.9433999692222477</v>
      </c>
      <c r="R95" s="56"/>
      <c r="S95" s="56"/>
      <c r="T95" s="56"/>
      <c r="U95" s="56"/>
      <c r="V95" s="56"/>
      <c r="W95" s="56"/>
    </row>
    <row r="96" spans="1:23" ht="15.5" thickTop="1" thickBot="1">
      <c r="A96">
        <v>25</v>
      </c>
      <c r="B96" s="71">
        <f ca="1">IF(DATOSAÑO!E94=0,0,((DATOSAÑO!C94/DATOSAÑO!E94)*1000)*DATOSAÑO!E94/24)</f>
        <v>12500</v>
      </c>
      <c r="C96" s="72">
        <f ca="1">IF(DATOSAÑO!L94=0,0,((DATOSAÑO!J94/DATOSAÑO!L94)*1000)*DATOSAÑO!L94/24)</f>
        <v>6083.333333333333</v>
      </c>
      <c r="D96" s="83">
        <f t="shared" ca="1" si="16"/>
        <v>4.9227195673316713</v>
      </c>
      <c r="E96" s="79">
        <f t="shared" ca="1" si="17"/>
        <v>3.6669090935162094</v>
      </c>
      <c r="F96" s="56"/>
      <c r="G96" s="56"/>
      <c r="H96" s="56"/>
      <c r="I96" s="56"/>
      <c r="J96" s="56"/>
      <c r="K96" s="56"/>
      <c r="M96">
        <v>25</v>
      </c>
      <c r="N96" s="71">
        <f ca="1">IF(DATOSAÑO!$E278=0,0,((DATOSAÑO!$C278/DATOSAÑO!$E278)*1000)*DATOSAÑO!$E278/24)</f>
        <v>8258.3333333313931</v>
      </c>
      <c r="O96" s="72">
        <f ca="1">IF(DATOSAÑO!$L278=0,0,((DATOSAÑO!$J278/DATOSAÑO!$L278)*1000)*DATOSAÑO!$L278/24)</f>
        <v>10179.999999999685</v>
      </c>
      <c r="P96" s="82">
        <f t="shared" ca="1" si="20"/>
        <v>4.2395277136662015</v>
      </c>
      <c r="Q96" s="44">
        <f t="shared" ca="1" si="21"/>
        <v>4.6216889803332624</v>
      </c>
      <c r="R96" s="56"/>
      <c r="S96" s="56"/>
      <c r="T96" s="56"/>
      <c r="U96" s="56"/>
      <c r="V96" s="56"/>
      <c r="W96" s="56"/>
    </row>
    <row r="97" spans="1:23" ht="15.5" thickTop="1" thickBot="1">
      <c r="A97">
        <v>26</v>
      </c>
      <c r="B97" s="71">
        <f ca="1">IF(DATOSAÑO!E95=0,0,((DATOSAÑO!C95/DATOSAÑO!E95)*1000)*DATOSAÑO!E95/24)</f>
        <v>12333.333333333334</v>
      </c>
      <c r="C97" s="72">
        <f ca="1">IF(DATOSAÑO!L95=0,0,((DATOSAÑO!J95/DATOSAÑO!L95)*1000)*DATOSAÑO!L95/24)</f>
        <v>6083.333333333333</v>
      </c>
      <c r="D97" s="83">
        <f t="shared" ca="1" si="16"/>
        <v>4.8901011134663346</v>
      </c>
      <c r="E97" s="79">
        <f t="shared" ca="1" si="17"/>
        <v>3.6669090935162094</v>
      </c>
      <c r="F97" s="56"/>
      <c r="G97" s="56"/>
      <c r="H97" s="56"/>
      <c r="I97" s="56"/>
      <c r="J97" s="56"/>
      <c r="K97" s="56"/>
      <c r="M97">
        <v>26</v>
      </c>
      <c r="N97" s="71">
        <f ca="1">IF(DATOSAÑO!$E279=0,0,((DATOSAÑO!$C279/DATOSAÑO!$E279)*1000)*DATOSAÑO!$E279/24)</f>
        <v>2908.3333333352734</v>
      </c>
      <c r="O97" s="72">
        <f ca="1">IF(DATOSAÑO!$L279=0,0,((DATOSAÑO!$J279/DATOSAÑO!$L279)*1000)*DATOSAÑO!$L279/24)</f>
        <v>15635.208333333139</v>
      </c>
      <c r="P97" s="82">
        <f t="shared" ca="1" si="20"/>
        <v>2.9565977136671311</v>
      </c>
      <c r="Q97" s="44">
        <f t="shared" ca="1" si="21"/>
        <v>5.8426373414443997</v>
      </c>
      <c r="R97" s="56"/>
      <c r="S97" s="56"/>
      <c r="T97" s="56"/>
      <c r="U97" s="56"/>
      <c r="V97" s="56"/>
      <c r="W97" s="56"/>
    </row>
    <row r="98" spans="1:23" ht="15.5" thickTop="1" thickBot="1">
      <c r="A98">
        <v>27</v>
      </c>
      <c r="B98" s="71">
        <f ca="1">IF(DATOSAÑO!E96=0,0,((DATOSAÑO!C96/DATOSAÑO!E96)*1000)*DATOSAÑO!E96/24)</f>
        <v>12250</v>
      </c>
      <c r="C98" s="72">
        <f ca="1">IF(DATOSAÑO!L96=0,0,((DATOSAÑO!J96/DATOSAÑO!L96)*1000)*DATOSAÑO!L96/24)</f>
        <v>6333.333333333333</v>
      </c>
      <c r="D98" s="83">
        <f t="shared" ca="1" si="16"/>
        <v>4.8737918865336667</v>
      </c>
      <c r="E98" s="79">
        <f t="shared" ca="1" si="17"/>
        <v>3.715836774314214</v>
      </c>
      <c r="F98" s="56"/>
      <c r="G98" s="56"/>
      <c r="H98" s="56"/>
      <c r="I98" s="56"/>
      <c r="J98" s="56"/>
      <c r="K98" s="56"/>
      <c r="M98">
        <v>27</v>
      </c>
      <c r="N98" s="71">
        <f ca="1">IF(DATOSAÑO!$E280=0,0,((DATOSAÑO!$C280/DATOSAÑO!$E280)*1000)*DATOSAÑO!$E280/24)</f>
        <v>0</v>
      </c>
      <c r="O98" s="72">
        <f ca="1">IF(DATOSAÑO!$L280=0,0,((DATOSAÑO!$J280/DATOSAÑO!$L280)*1000)*DATOSAÑO!$L280/24)</f>
        <v>18047.500000000582</v>
      </c>
      <c r="P98" s="82">
        <f t="shared" ca="1" si="20"/>
        <v>0</v>
      </c>
      <c r="Q98" s="44">
        <f t="shared" ca="1" si="21"/>
        <v>6.3825403803334613</v>
      </c>
      <c r="R98" s="56"/>
      <c r="S98" s="56"/>
      <c r="T98" s="56"/>
      <c r="U98" s="56"/>
      <c r="V98" s="56"/>
      <c r="W98" s="56"/>
    </row>
    <row r="99" spans="1:23" ht="15.5" thickTop="1" thickBot="1">
      <c r="A99">
        <v>28</v>
      </c>
      <c r="B99" s="71">
        <f ca="1">IF(DATOSAÑO!E97=0,0,((DATOSAÑO!C97/DATOSAÑO!E97)*1000)*DATOSAÑO!E97/24)</f>
        <v>12375</v>
      </c>
      <c r="C99" s="72">
        <f ca="1">IF(DATOSAÑO!L97=0,0,((DATOSAÑO!J97/DATOSAÑO!L97)*1000)*DATOSAÑO!L97/24)</f>
        <v>6125</v>
      </c>
      <c r="D99" s="83">
        <f t="shared" ca="1" si="16"/>
        <v>4.8982557269326685</v>
      </c>
      <c r="E99" s="79">
        <f t="shared" ca="1" si="17"/>
        <v>3.6750637069825434</v>
      </c>
      <c r="F99" s="56"/>
      <c r="G99" s="56"/>
      <c r="H99" s="56"/>
      <c r="I99" s="56"/>
      <c r="J99" s="56"/>
      <c r="K99" s="56"/>
      <c r="M99">
        <v>28</v>
      </c>
      <c r="N99" s="71">
        <f ca="1">IF(DATOSAÑO!$E281=0,0,((DATOSAÑO!$C281/DATOSAÑO!$E281)*1000)*DATOSAÑO!$E281/24)</f>
        <v>0</v>
      </c>
      <c r="O99" s="72">
        <f ca="1">IF(DATOSAÑO!$L281=0,0,((DATOSAÑO!$J281/DATOSAÑO!$L281)*1000)*DATOSAÑO!$L281/24)</f>
        <v>18168.958333333041</v>
      </c>
      <c r="P99" s="82">
        <f t="shared" ca="1" si="20"/>
        <v>0</v>
      </c>
      <c r="Q99" s="44">
        <f t="shared" ca="1" si="21"/>
        <v>6.40972437477771</v>
      </c>
      <c r="R99" s="56"/>
      <c r="S99" s="56"/>
      <c r="T99" s="56"/>
      <c r="U99" s="56"/>
      <c r="V99" s="56"/>
      <c r="W99" s="56"/>
    </row>
    <row r="100" spans="1:23" ht="15.5" thickTop="1" thickBot="1">
      <c r="A100">
        <v>29</v>
      </c>
      <c r="B100" s="71">
        <f ca="1">IF(DATOSAÑO!E98=0,0,((DATOSAÑO!C98/DATOSAÑO!E98)*1000)*DATOSAÑO!E98/24)</f>
        <v>12291.666666666666</v>
      </c>
      <c r="C100" s="72">
        <f ca="1">IF(DATOSAÑO!L98=0,0,((DATOSAÑO!J98/DATOSAÑO!L98)*1000)*DATOSAÑO!L98/24)</f>
        <v>6291.666666666667</v>
      </c>
      <c r="D100" s="83">
        <f t="shared" ca="1" si="16"/>
        <v>4.8819464999999997</v>
      </c>
      <c r="E100" s="79">
        <f t="shared" ca="1" si="17"/>
        <v>3.70768216084788</v>
      </c>
      <c r="F100" s="56"/>
      <c r="G100" s="56"/>
      <c r="H100" s="56"/>
      <c r="I100" s="56"/>
      <c r="J100" s="56"/>
      <c r="K100" s="56"/>
      <c r="M100">
        <v>29</v>
      </c>
      <c r="N100" s="71">
        <f ca="1">IF(DATOSAÑO!$E282=0,0,((DATOSAÑO!$C282/DATOSAÑO!$E282)*1000)*DATOSAÑO!$E282/24)</f>
        <v>0</v>
      </c>
      <c r="O100" s="72">
        <f ca="1">IF(DATOSAÑO!$L282=0,0,((DATOSAÑO!$J282/DATOSAÑO!$L282)*1000)*DATOSAÑO!$L282/24)</f>
        <v>18083.333333333332</v>
      </c>
      <c r="P100" s="82">
        <f t="shared" ca="1" si="20"/>
        <v>0</v>
      </c>
      <c r="Q100" s="44">
        <f t="shared" ca="1" si="21"/>
        <v>6.3905603581111086</v>
      </c>
      <c r="R100" s="56"/>
      <c r="S100" s="56"/>
      <c r="T100" s="56"/>
      <c r="U100" s="56"/>
      <c r="V100" s="56"/>
      <c r="W100" s="56"/>
    </row>
    <row r="101" spans="1:23" ht="15.5" thickTop="1" thickBot="1">
      <c r="A101">
        <v>30</v>
      </c>
      <c r="B101" s="71">
        <f ca="1">IF(DATOSAÑO!E99=0,0,((DATOSAÑO!C99/DATOSAÑO!E99)*1000)*DATOSAÑO!E99/24)</f>
        <v>11875</v>
      </c>
      <c r="C101" s="72">
        <f ca="1">IF(DATOSAÑO!L99=0,0,((DATOSAÑO!J99/DATOSAÑO!L99)*1000)*DATOSAÑO!L99/24)</f>
        <v>6074.99999999997</v>
      </c>
      <c r="D101" s="83">
        <f t="shared" ca="1" si="16"/>
        <v>4.8004003653366585</v>
      </c>
      <c r="E101" s="79">
        <f t="shared" ca="1" si="17"/>
        <v>3.6652781708229365</v>
      </c>
      <c r="F101" s="56"/>
      <c r="G101" s="56"/>
      <c r="H101" s="56"/>
      <c r="I101" s="56"/>
      <c r="J101" s="56"/>
      <c r="K101" s="56"/>
      <c r="M101">
        <v>30</v>
      </c>
      <c r="N101" s="71">
        <f ca="1">IF(DATOSAÑO!$E283=0,0,((DATOSAÑO!$C283/DATOSAÑO!$E283)*1000)*DATOSAÑO!$E283/24)</f>
        <v>0</v>
      </c>
      <c r="O101" s="72">
        <f ca="1">IF(DATOSAÑO!$L283=0,0,((DATOSAÑO!$J283/DATOSAÑO!$L283)*1000)*DATOSAÑO!$L283/24)</f>
        <v>17833.333333333332</v>
      </c>
      <c r="P101" s="82">
        <f t="shared" ca="1" si="20"/>
        <v>0</v>
      </c>
      <c r="Q101" s="44">
        <f t="shared" ca="1" si="21"/>
        <v>6.3346070247777755</v>
      </c>
      <c r="R101" s="56"/>
      <c r="S101" s="56"/>
      <c r="T101" s="56"/>
      <c r="U101" s="56"/>
      <c r="V101" s="56"/>
      <c r="W101" s="56"/>
    </row>
    <row r="102" spans="1:23" ht="15.5" thickTop="1" thickBot="1">
      <c r="A102">
        <v>31</v>
      </c>
      <c r="B102" s="73">
        <f ca="1">IF(DATOSAÑO!E100=0,0,((DATOSAÑO!C100/DATOSAÑO!E100)*1000)*DATOSAÑO!E100/24)</f>
        <v>12916.666666666666</v>
      </c>
      <c r="C102" s="74">
        <f ca="1">IF(DATOSAÑO!L100=0,0,((DATOSAÑO!J100/DATOSAÑO!L100)*1000)*DATOSAÑO!L100/24)</f>
        <v>6166.666666666667</v>
      </c>
      <c r="D102" s="83">
        <f t="shared" ca="1" si="16"/>
        <v>5.0042657019950134</v>
      </c>
      <c r="E102" s="79">
        <f t="shared" ca="1" si="17"/>
        <v>3.6832183204488778</v>
      </c>
      <c r="F102" s="56"/>
      <c r="G102" s="56"/>
      <c r="H102" s="56"/>
      <c r="I102" s="56"/>
      <c r="J102" s="56"/>
      <c r="K102" s="56"/>
      <c r="N102" s="73"/>
      <c r="O102" s="74"/>
      <c r="P102" s="80"/>
      <c r="Q102" s="81"/>
      <c r="R102" s="56"/>
      <c r="S102" s="56"/>
      <c r="T102" s="56"/>
      <c r="U102" s="56"/>
      <c r="V102" s="56"/>
      <c r="W102" s="56"/>
    </row>
    <row r="103" spans="1:23" ht="15" thickTop="1"/>
    <row r="104" spans="1:23" ht="15" thickBot="1">
      <c r="B104" s="2262">
        <v>45017</v>
      </c>
      <c r="C104" s="2264"/>
      <c r="D104" s="2264"/>
      <c r="E104" s="2264"/>
      <c r="F104" s="2263" t="s">
        <v>60</v>
      </c>
      <c r="G104" s="2263"/>
      <c r="H104" s="2263"/>
      <c r="I104" s="2263"/>
      <c r="J104" s="2263"/>
      <c r="K104" s="2263"/>
      <c r="N104" s="2262">
        <v>45200</v>
      </c>
      <c r="O104" s="2264"/>
      <c r="P104" s="2264"/>
      <c r="Q104" s="2264"/>
      <c r="R104" s="2263" t="s">
        <v>60</v>
      </c>
      <c r="S104" s="2263"/>
      <c r="T104" s="2263"/>
      <c r="U104" s="2263"/>
      <c r="V104" s="2263"/>
      <c r="W104" s="2263"/>
    </row>
    <row r="105" spans="1:23" ht="44.5" thickTop="1" thickBot="1">
      <c r="A105" s="40">
        <f ca="1">ABS(TODAY()-1)</f>
        <v>45231</v>
      </c>
      <c r="B105" s="67">
        <f ca="1">DAY(A105)</f>
        <v>1</v>
      </c>
      <c r="C105" s="68"/>
      <c r="D105" s="76" t="s">
        <v>61</v>
      </c>
      <c r="E105" s="77" t="s">
        <v>62</v>
      </c>
      <c r="F105" s="41"/>
      <c r="G105" s="42"/>
      <c r="H105" s="42" t="s">
        <v>63</v>
      </c>
      <c r="I105" s="42" t="s">
        <v>64</v>
      </c>
      <c r="J105" s="43" t="s">
        <v>56</v>
      </c>
      <c r="K105" s="42" t="s">
        <v>65</v>
      </c>
      <c r="M105" s="40">
        <f ca="1">ABS(TODAY()-1)</f>
        <v>45231</v>
      </c>
      <c r="N105" s="67">
        <f ca="1">DAY(M105)</f>
        <v>1</v>
      </c>
      <c r="O105" s="68"/>
      <c r="P105" s="76" t="s">
        <v>61</v>
      </c>
      <c r="Q105" s="77" t="s">
        <v>62</v>
      </c>
      <c r="R105" s="41"/>
      <c r="S105" s="42"/>
      <c r="T105" s="42" t="s">
        <v>63</v>
      </c>
      <c r="U105" s="42" t="s">
        <v>64</v>
      </c>
      <c r="V105" s="43" t="s">
        <v>56</v>
      </c>
      <c r="W105" s="42" t="s">
        <v>65</v>
      </c>
    </row>
    <row r="106" spans="1:23" ht="15" thickTop="1">
      <c r="A106">
        <v>1</v>
      </c>
      <c r="B106" s="69">
        <f ca="1">IF(DATOSAÑO!E101=0,0,((DATOSAÑO!C101/DATOSAÑO!E101)*1000)*DATOSAÑO!E101/24)</f>
        <v>12791.666666666666</v>
      </c>
      <c r="C106" s="70">
        <f ca="1">IF(DATOSAÑO!L101=0,0,((DATOSAÑO!J101/DATOSAÑO!L101)*1000)*DATOSAÑO!L101/24)</f>
        <v>6133.333333333364</v>
      </c>
      <c r="D106" s="83">
        <f ca="1">IF(B106&gt;0,(B106-$F$110)/($F$111-$F$110)*($G$111-$G$110)+$G$110,0)</f>
        <v>5.1077563100802248</v>
      </c>
      <c r="E106" s="79">
        <f ca="1">IF(C106&gt;0,(C106-$F$110)/($F$111-$F$110)*($G$111-$G$110)+$G$110,0)</f>
        <v>3.7711661461458035</v>
      </c>
      <c r="F106" s="2260" t="s">
        <v>66</v>
      </c>
      <c r="G106" s="2261"/>
      <c r="H106" s="45">
        <f ca="1">IF($G$107&gt;=J106,1,0)</f>
        <v>1</v>
      </c>
      <c r="I106" s="45">
        <f ca="1">IF($G$113&gt;=J106,1,0)</f>
        <v>1</v>
      </c>
      <c r="J106" s="46">
        <v>0</v>
      </c>
      <c r="K106" s="47">
        <f>PORTADA!K21</f>
        <v>2.5399641928845478</v>
      </c>
      <c r="M106">
        <v>1</v>
      </c>
      <c r="N106" s="69">
        <f ca="1">IF(DATOSAÑO!$E284=0,0,((DATOSAÑO!$C284/DATOSAÑO!$E284)*1000)*DATOSAÑO!$E284/24)</f>
        <v>0</v>
      </c>
      <c r="O106" s="70">
        <f ca="1">IF(DATOSAÑO!$L284=0,0,((DATOSAÑO!$J284/DATOSAÑO!$L284)*1000)*DATOSAÑO!$L284/24)</f>
        <v>18333.333333333332</v>
      </c>
      <c r="P106" s="78">
        <f ca="1">IF(N106&gt;0,(N106-$R$110)/($R$111-$R$110)*($S$111-$S$110)+$S$110,0)</f>
        <v>0</v>
      </c>
      <c r="Q106" s="79">
        <f ca="1">IF(O106&gt;0,(O106-$R$116)/($R$117-$R$116)*($S$117-$S$116)+$S$116,0)</f>
        <v>7.0371553427557654</v>
      </c>
      <c r="R106" s="2260" t="s">
        <v>66</v>
      </c>
      <c r="S106" s="2261"/>
      <c r="T106" s="45">
        <f ca="1">IF($S$107&gt;=V106,1,0)</f>
        <v>1</v>
      </c>
      <c r="U106" s="45">
        <f ca="1">IF($S$113&gt;=V106,1,0)</f>
        <v>1</v>
      </c>
      <c r="V106" s="46">
        <v>0</v>
      </c>
      <c r="W106" s="47">
        <f>PORTADA!Q21</f>
        <v>2.5838240121821405</v>
      </c>
    </row>
    <row r="107" spans="1:23">
      <c r="A107">
        <v>2</v>
      </c>
      <c r="B107" s="71">
        <f ca="1">IF(DATOSAÑO!E102=0,0,((DATOSAÑO!C102/DATOSAÑO!E102)*1000)*DATOSAÑO!E102/24)</f>
        <v>12833.333333333334</v>
      </c>
      <c r="C107" s="72">
        <f ca="1">IF(DATOSAÑO!L102=0,0,((DATOSAÑO!J102/DATOSAÑO!L102)*1000)*DATOSAÑO!L102/24)</f>
        <v>6125</v>
      </c>
      <c r="D107" s="84">
        <f t="shared" ref="D107:D135" ca="1" si="24">IF(B107&gt;0,(B107-$F$110)/($F$111-$F$110)*($G$111-$G$110)+$G$110,0)</f>
        <v>5.1161204537844451</v>
      </c>
      <c r="E107" s="44">
        <f t="shared" ref="E107:E135" ca="1" si="25">IF(C107&gt;0,(C107-$F$110)/($F$111-$F$110)*($G$111-$G$110)+$G$110,0)</f>
        <v>3.7694933174049532</v>
      </c>
      <c r="F107" s="48" t="s">
        <v>67</v>
      </c>
      <c r="G107" s="49">
        <f ca="1">INDEX(B106:C136,B105,1)</f>
        <v>12791.666666666666</v>
      </c>
      <c r="H107" s="45">
        <f t="shared" ref="H107:H117" ca="1" si="26">IF($G$107&gt;=J107,1,0)</f>
        <v>1</v>
      </c>
      <c r="I107" s="45">
        <f t="shared" ref="I107:I117" ca="1" si="27">IF($G$113&gt;=J107,1,0)</f>
        <v>1</v>
      </c>
      <c r="J107" s="46">
        <v>2630</v>
      </c>
      <c r="K107" s="47">
        <f>PORTADA!K22</f>
        <v>3.0679089434949423</v>
      </c>
      <c r="M107">
        <v>2</v>
      </c>
      <c r="N107" s="71">
        <f ca="1">IF(DATOSAÑO!$E285=0,0,((DATOSAÑO!$C285/DATOSAÑO!$E285)*1000)*DATOSAÑO!$E285/24)</f>
        <v>0</v>
      </c>
      <c r="O107" s="72">
        <f ca="1">IF(DATOSAÑO!$L285=0,0,((DATOSAÑO!$J285/DATOSAÑO!$L285)*1000)*DATOSAÑO!$L285/24)</f>
        <v>18208.333333333332</v>
      </c>
      <c r="P107" s="66">
        <f t="shared" ref="P107:P136" ca="1" si="28">IF(N107&gt;0,(N107-$R$110)/($R$111-$R$110)*($S$111-$S$110)+$S$110,0)</f>
        <v>0</v>
      </c>
      <c r="Q107" s="44">
        <f t="shared" ref="Q107:Q136" ca="1" si="29">IF(O107&gt;0,(O107-$R$116)/($R$117-$R$116)*($S$117-$S$116)+$S$116,0)</f>
        <v>7.0009938998225891</v>
      </c>
      <c r="R107" s="48" t="s">
        <v>67</v>
      </c>
      <c r="S107" s="49">
        <f ca="1">INDEX(N106:O136,N105,1)</f>
        <v>0</v>
      </c>
      <c r="T107" s="45">
        <f t="shared" ref="T107:T116" ca="1" si="30">IF($S$107&gt;=V107,1,0)</f>
        <v>0</v>
      </c>
      <c r="U107" s="45">
        <f t="shared" ref="U107:U116" ca="1" si="31">IF($S$113&gt;=V107,1,0)</f>
        <v>1</v>
      </c>
      <c r="V107" s="46">
        <v>2630</v>
      </c>
      <c r="W107" s="47">
        <f>PORTADA!Q22</f>
        <v>3.1208852540508576</v>
      </c>
    </row>
    <row r="108" spans="1:23">
      <c r="A108">
        <v>3</v>
      </c>
      <c r="B108" s="71">
        <f ca="1">IF(DATOSAÑO!E103=0,0,((DATOSAÑO!C103/DATOSAÑO!E103)*1000)*DATOSAÑO!E103/24)</f>
        <v>12625</v>
      </c>
      <c r="C108" s="72">
        <f ca="1">IF(DATOSAÑO!L103=0,0,((DATOSAÑO!J103/DATOSAÑO!L103)*1000)*DATOSAÑO!L103/24)</f>
        <v>6133.333333333364</v>
      </c>
      <c r="D108" s="84">
        <f t="shared" ca="1" si="24"/>
        <v>5.0742997352633425</v>
      </c>
      <c r="E108" s="44">
        <f t="shared" ca="1" si="25"/>
        <v>3.7711661461458035</v>
      </c>
      <c r="F108" s="48" t="s">
        <v>68</v>
      </c>
      <c r="G108" s="50">
        <f ca="1">(G107-F110)/(F111-F110)*(G111-G110)+G110</f>
        <v>5.1077563100802248</v>
      </c>
      <c r="H108" s="45">
        <f t="shared" ca="1" si="26"/>
        <v>1</v>
      </c>
      <c r="I108" s="45">
        <f t="shared" ca="1" si="27"/>
        <v>1</v>
      </c>
      <c r="J108" s="46">
        <v>5260</v>
      </c>
      <c r="K108" s="47">
        <f>PORTADA!K23</f>
        <v>3.6838444858737351</v>
      </c>
      <c r="M108">
        <v>3</v>
      </c>
      <c r="N108" s="71">
        <f ca="1">IF(DATOSAÑO!$E286=0,0,((DATOSAÑO!$C286/DATOSAÑO!$E286)*1000)*DATOSAÑO!$E286/24)</f>
        <v>0</v>
      </c>
      <c r="O108" s="72">
        <f ca="1">IF(DATOSAÑO!$L286=0,0,((DATOSAÑO!$J286/DATOSAÑO!$L286)*1000)*DATOSAÑO!$L286/24)</f>
        <v>18166.666666666668</v>
      </c>
      <c r="P108" s="66">
        <f t="shared" ca="1" si="28"/>
        <v>0</v>
      </c>
      <c r="Q108" s="44">
        <f t="shared" ca="1" si="29"/>
        <v>6.9889400855115316</v>
      </c>
      <c r="R108" s="48" t="s">
        <v>68</v>
      </c>
      <c r="S108" s="50">
        <f ca="1">(S107-R110)/(R111-R110)*(S111-S110)+S110</f>
        <v>2.5838240121821405</v>
      </c>
      <c r="T108" s="45">
        <f t="shared" ca="1" si="30"/>
        <v>0</v>
      </c>
      <c r="U108" s="45">
        <f t="shared" ca="1" si="31"/>
        <v>1</v>
      </c>
      <c r="V108" s="46">
        <v>5260</v>
      </c>
      <c r="W108" s="47">
        <f>PORTADA!Q23</f>
        <v>3.7474567028976935</v>
      </c>
    </row>
    <row r="109" spans="1:23">
      <c r="A109">
        <v>4</v>
      </c>
      <c r="B109" s="71">
        <f ca="1">IF(DATOSAÑO!E104=0,0,((DATOSAÑO!C104/DATOSAÑO!E104)*1000)*DATOSAÑO!E104/24)</f>
        <v>13454.166666667637</v>
      </c>
      <c r="C109" s="72">
        <f ca="1">IF(DATOSAÑO!L104=0,0,((DATOSAÑO!J104/DATOSAÑO!L104)*1000)*DATOSAÑO!L104/24)</f>
        <v>6170.833333333273</v>
      </c>
      <c r="D109" s="84">
        <f t="shared" ca="1" si="24"/>
        <v>5.2407461949775236</v>
      </c>
      <c r="E109" s="44">
        <f t="shared" ca="1" si="25"/>
        <v>3.7786938754795836</v>
      </c>
      <c r="F109" s="48"/>
      <c r="G109" s="45"/>
      <c r="H109" s="45">
        <f t="shared" ca="1" si="26"/>
        <v>1</v>
      </c>
      <c r="I109" s="45">
        <f t="shared" ca="1" si="27"/>
        <v>0</v>
      </c>
      <c r="J109" s="46">
        <v>7890</v>
      </c>
      <c r="K109" s="47">
        <f>PORTADA!K24</f>
        <v>4.3437754241367283</v>
      </c>
      <c r="M109">
        <v>4</v>
      </c>
      <c r="N109" s="71">
        <f ca="1">IF(DATOSAÑO!$E287=0,0,((DATOSAÑO!$C287/DATOSAÑO!$E287)*1000)*DATOSAÑO!$E287/24)</f>
        <v>0</v>
      </c>
      <c r="O109" s="72">
        <f ca="1">IF(DATOSAÑO!$L287=0,0,((DATOSAÑO!$J287/DATOSAÑO!$L287)*1000)*DATOSAÑO!$L287/24)</f>
        <v>17833.333333333332</v>
      </c>
      <c r="P109" s="66">
        <f t="shared" ca="1" si="28"/>
        <v>0</v>
      </c>
      <c r="Q109" s="44">
        <f t="shared" ca="1" si="29"/>
        <v>6.8925095710230622</v>
      </c>
      <c r="R109" s="48"/>
      <c r="S109" s="45"/>
      <c r="T109" s="45">
        <f t="shared" ca="1" si="30"/>
        <v>0</v>
      </c>
      <c r="U109" s="45">
        <f t="shared" ca="1" si="31"/>
        <v>1</v>
      </c>
      <c r="V109" s="46">
        <v>7890</v>
      </c>
      <c r="W109" s="47">
        <f>PORTADA!Q24</f>
        <v>4.4187832552335902</v>
      </c>
    </row>
    <row r="110" spans="1:23">
      <c r="A110">
        <v>5</v>
      </c>
      <c r="B110" s="71">
        <f ca="1">IF(DATOSAÑO!E105=0,0,((DATOSAÑO!C105/DATOSAÑO!E105)*1000)*DATOSAÑO!E105/24)</f>
        <v>12600.00000000097</v>
      </c>
      <c r="C110" s="72">
        <f ca="1">IF(DATOSAÑO!L105=0,0,((DATOSAÑO!J105/DATOSAÑO!L105)*1000)*DATOSAÑO!L105/24)</f>
        <v>6266.666666666727</v>
      </c>
      <c r="D110" s="84">
        <f t="shared" ca="1" si="24"/>
        <v>5.0692812490410049</v>
      </c>
      <c r="E110" s="44">
        <f t="shared" ca="1" si="25"/>
        <v>3.7979314059993148</v>
      </c>
      <c r="F110" s="51">
        <f ca="1">INDEX(J106:J116,H117)</f>
        <v>0</v>
      </c>
      <c r="G110" s="52">
        <f ca="1">INDEX(K106:K116,H117)</f>
        <v>2.5399641928845478</v>
      </c>
      <c r="H110" s="45">
        <f t="shared" ca="1" si="26"/>
        <v>1</v>
      </c>
      <c r="I110" s="45">
        <f t="shared" ca="1" si="27"/>
        <v>0</v>
      </c>
      <c r="J110" s="46">
        <v>10520</v>
      </c>
      <c r="K110" s="47">
        <f>PORTADA!K25</f>
        <v>4.9157155706313214</v>
      </c>
      <c r="M110">
        <v>5</v>
      </c>
      <c r="N110" s="71">
        <f ca="1">IF(DATOSAÑO!$E288=0,0,((DATOSAÑO!$C288/DATOSAÑO!$E288)*1000)*DATOSAÑO!$E288/24)</f>
        <v>0</v>
      </c>
      <c r="O110" s="72">
        <f ca="1">IF(DATOSAÑO!$L288=0,0,((DATOSAÑO!$J288/DATOSAÑO!$L288)*1000)*DATOSAÑO!$L288/24)</f>
        <v>17916.666666666668</v>
      </c>
      <c r="P110" s="66">
        <f t="shared" ca="1" si="28"/>
        <v>0</v>
      </c>
      <c r="Q110" s="44">
        <f t="shared" ca="1" si="29"/>
        <v>6.91661719964518</v>
      </c>
      <c r="R110" s="51">
        <f ca="1">INDEX(V106:V116,T117)</f>
        <v>0</v>
      </c>
      <c r="S110" s="52">
        <f ca="1">INDEX(W106:W116,T117)</f>
        <v>2.5838240121821405</v>
      </c>
      <c r="T110" s="45">
        <f t="shared" ca="1" si="30"/>
        <v>0</v>
      </c>
      <c r="U110" s="45">
        <f t="shared" ca="1" si="31"/>
        <v>1</v>
      </c>
      <c r="V110" s="46">
        <v>10520</v>
      </c>
      <c r="W110" s="47">
        <f>PORTADA!Q25</f>
        <v>5.0005996005913662</v>
      </c>
    </row>
    <row r="111" spans="1:23">
      <c r="A111">
        <v>6</v>
      </c>
      <c r="B111" s="71">
        <f ca="1">IF(DATOSAÑO!E106=0,0,((DATOSAÑO!C106/DATOSAÑO!E106)*1000)*DATOSAÑO!E106/24)</f>
        <v>12862.499999998059</v>
      </c>
      <c r="C111" s="72">
        <f ca="1">IF(DATOSAÑO!L106=0,0,((DATOSAÑO!J106/DATOSAÑO!L106)*1000)*DATOSAÑO!L106/24)</f>
        <v>6304.166666666636</v>
      </c>
      <c r="D111" s="84">
        <f t="shared" ca="1" si="24"/>
        <v>5.1219753543770095</v>
      </c>
      <c r="E111" s="44">
        <f t="shared" ca="1" si="25"/>
        <v>3.8054591353330949</v>
      </c>
      <c r="F111" s="51">
        <f ca="1">INDEX(J106:J116,H117+1)</f>
        <v>2630</v>
      </c>
      <c r="G111" s="52">
        <f ca="1">INDEX(K106:K116,H117+1)</f>
        <v>3.0679089434949423</v>
      </c>
      <c r="H111" s="45">
        <f t="shared" ca="1" si="26"/>
        <v>0</v>
      </c>
      <c r="I111" s="45">
        <f t="shared" ca="1" si="27"/>
        <v>0</v>
      </c>
      <c r="J111" s="46">
        <v>13150</v>
      </c>
      <c r="K111" s="47">
        <f>PORTADA!K26</f>
        <v>5.5316511130101143</v>
      </c>
      <c r="M111">
        <v>6</v>
      </c>
      <c r="N111" s="71">
        <f ca="1">IF(DATOSAÑO!$E289=0,0,((DATOSAÑO!$C289/DATOSAÑO!$E289)*1000)*DATOSAÑO!$E289/24)</f>
        <v>0</v>
      </c>
      <c r="O111" s="72">
        <f ca="1">IF(DATOSAÑO!$L289=0,0,((DATOSAÑO!$J289/DATOSAÑO!$L289)*1000)*DATOSAÑO!$L289/24)</f>
        <v>18250</v>
      </c>
      <c r="P111" s="66">
        <f t="shared" ca="1" si="28"/>
        <v>0</v>
      </c>
      <c r="Q111" s="44">
        <f t="shared" ca="1" si="29"/>
        <v>7.0130477141336485</v>
      </c>
      <c r="R111" s="51">
        <f ca="1">INDEX(V106:V116,T117+1)</f>
        <v>2630</v>
      </c>
      <c r="S111" s="52">
        <f ca="1">INDEX(W106:W116,T117+1)</f>
        <v>3.1208852540508576</v>
      </c>
      <c r="T111" s="45">
        <f t="shared" ca="1" si="30"/>
        <v>0</v>
      </c>
      <c r="U111" s="45">
        <f t="shared" ca="1" si="31"/>
        <v>1</v>
      </c>
      <c r="V111" s="46">
        <v>13150</v>
      </c>
      <c r="W111" s="47">
        <f>PORTADA!Q26</f>
        <v>5.6271710494382017</v>
      </c>
    </row>
    <row r="112" spans="1:23">
      <c r="A112">
        <v>7</v>
      </c>
      <c r="B112" s="71">
        <f ca="1">IF(DATOSAÑO!E107=0,0,((DATOSAÑO!C107/DATOSAÑO!E107)*1000)*DATOSAÑO!E107/24)</f>
        <v>13083.333333333334</v>
      </c>
      <c r="C112" s="72">
        <f ca="1">IF(DATOSAÑO!L107=0,0,((DATOSAÑO!J107/DATOSAÑO!L107)*1000)*DATOSAÑO!L107/24)</f>
        <v>6166.666666666667</v>
      </c>
      <c r="D112" s="84">
        <f t="shared" ca="1" si="24"/>
        <v>5.1663053160097672</v>
      </c>
      <c r="E112" s="44">
        <f t="shared" ca="1" si="25"/>
        <v>3.777857461109174</v>
      </c>
      <c r="F112" s="2260" t="s">
        <v>69</v>
      </c>
      <c r="G112" s="2261"/>
      <c r="H112" s="45">
        <f t="shared" ca="1" si="26"/>
        <v>0</v>
      </c>
      <c r="I112" s="45">
        <f t="shared" ca="1" si="27"/>
        <v>0</v>
      </c>
      <c r="J112" s="46">
        <v>15780</v>
      </c>
      <c r="K112" s="47">
        <f>PORTADA!K27</f>
        <v>6.1915820512731079</v>
      </c>
      <c r="M112">
        <v>7</v>
      </c>
      <c r="N112" s="71">
        <f ca="1">IF(DATOSAÑO!$E290=0,0,((DATOSAÑO!$C290/DATOSAÑO!$E290)*1000)*DATOSAÑO!$E290/24)</f>
        <v>0</v>
      </c>
      <c r="O112" s="72">
        <f ca="1">IF(DATOSAÑO!$L290=0,0,((DATOSAÑO!$J290/DATOSAÑO!$L290)*1000)*DATOSAÑO!$L290/24)</f>
        <v>17500</v>
      </c>
      <c r="P112" s="66">
        <f t="shared" ca="1" si="28"/>
        <v>0</v>
      </c>
      <c r="Q112" s="44">
        <f t="shared" ca="1" si="29"/>
        <v>6.7960790565345945</v>
      </c>
      <c r="R112" s="2260" t="s">
        <v>69</v>
      </c>
      <c r="S112" s="2261"/>
      <c r="T112" s="45">
        <f t="shared" ca="1" si="30"/>
        <v>0</v>
      </c>
      <c r="U112" s="45">
        <f t="shared" ca="1" si="31"/>
        <v>1</v>
      </c>
      <c r="V112" s="46">
        <v>15780</v>
      </c>
      <c r="W112" s="47">
        <f>PORTADA!Q27</f>
        <v>6.2984976017740983</v>
      </c>
    </row>
    <row r="113" spans="1:23">
      <c r="A113">
        <v>8</v>
      </c>
      <c r="B113" s="71">
        <f ca="1">IF(DATOSAÑO!E108=0,0,((DATOSAÑO!C108/DATOSAÑO!E108)*1000)*DATOSAÑO!E108/24)</f>
        <v>12833.333333333334</v>
      </c>
      <c r="C113" s="72">
        <f ca="1">IF(DATOSAÑO!L108=0,0,((DATOSAÑO!J108/DATOSAÑO!L108)*1000)*DATOSAÑO!L108/24)</f>
        <v>6083.333333333333</v>
      </c>
      <c r="D113" s="84">
        <f t="shared" ca="1" si="24"/>
        <v>5.1161204537844451</v>
      </c>
      <c r="E113" s="44">
        <f t="shared" ca="1" si="25"/>
        <v>3.7611291737007324</v>
      </c>
      <c r="F113" s="48" t="s">
        <v>67</v>
      </c>
      <c r="G113" s="49">
        <f ca="1">INDEX(B106:C136,B105,2)</f>
        <v>6133.333333333364</v>
      </c>
      <c r="H113" s="45">
        <f t="shared" ca="1" si="26"/>
        <v>0</v>
      </c>
      <c r="I113" s="45">
        <f t="shared" ca="1" si="27"/>
        <v>0</v>
      </c>
      <c r="J113" s="46">
        <v>18410</v>
      </c>
      <c r="K113" s="47">
        <f>PORTADA!K28</f>
        <v>6.9395037813044986</v>
      </c>
      <c r="M113">
        <v>8</v>
      </c>
      <c r="N113" s="71">
        <f ca="1">IF(DATOSAÑO!$E291=0,0,((DATOSAÑO!$C291/DATOSAÑO!$E291)*1000)*DATOSAÑO!$E291/24)</f>
        <v>0</v>
      </c>
      <c r="O113" s="72">
        <f ca="1">IF(DATOSAÑO!$L291=0,0,((DATOSAÑO!$J291/DATOSAÑO!$L291)*1000)*DATOSAÑO!$L291/24)</f>
        <v>17791.666666666668</v>
      </c>
      <c r="P113" s="66">
        <f t="shared" ca="1" si="28"/>
        <v>0</v>
      </c>
      <c r="Q113" s="44">
        <f t="shared" ca="1" si="29"/>
        <v>6.8804557567120046</v>
      </c>
      <c r="R113" s="48" t="s">
        <v>67</v>
      </c>
      <c r="S113" s="49">
        <f ca="1">INDEX(N106:O136,N105,2)</f>
        <v>18333.333333333332</v>
      </c>
      <c r="T113" s="45">
        <f t="shared" ca="1" si="30"/>
        <v>0</v>
      </c>
      <c r="U113" s="45">
        <f t="shared" ca="1" si="31"/>
        <v>0</v>
      </c>
      <c r="V113" s="46">
        <v>18410</v>
      </c>
      <c r="W113" s="47">
        <f>PORTADA!Q28</f>
        <v>7.059334361088113</v>
      </c>
    </row>
    <row r="114" spans="1:23">
      <c r="A114">
        <v>9</v>
      </c>
      <c r="B114" s="71">
        <f ca="1">IF(DATOSAÑO!E109=0,0,((DATOSAÑO!C109/DATOSAÑO!E109)*1000)*DATOSAÑO!E109/24)</f>
        <v>12458.333333333334</v>
      </c>
      <c r="C114" s="72">
        <f ca="1">IF(DATOSAÑO!L109=0,0,((DATOSAÑO!J109/DATOSAÑO!L109)*1000)*DATOSAÑO!L109/24)</f>
        <v>6208.333333333333</v>
      </c>
      <c r="D114" s="84">
        <f t="shared" ca="1" si="24"/>
        <v>5.0408431604464612</v>
      </c>
      <c r="E114" s="44">
        <f t="shared" ca="1" si="25"/>
        <v>3.7862216048133943</v>
      </c>
      <c r="F114" s="48" t="s">
        <v>68</v>
      </c>
      <c r="G114" s="50">
        <f ca="1">(G113-F116)/(F117-F116)*(G117-G116)+G116</f>
        <v>3.7711661461458035</v>
      </c>
      <c r="H114" s="45">
        <f t="shared" ca="1" si="26"/>
        <v>0</v>
      </c>
      <c r="I114" s="45">
        <f t="shared" ca="1" si="27"/>
        <v>0</v>
      </c>
      <c r="J114" s="46">
        <v>21040</v>
      </c>
      <c r="K114" s="47">
        <f>PORTADA!K29</f>
        <v>7.6434301154516913</v>
      </c>
      <c r="M114">
        <v>9</v>
      </c>
      <c r="N114" s="71">
        <f ca="1">IF(DATOSAÑO!$E292=0,0,((DATOSAÑO!$C292/DATOSAÑO!$E292)*1000)*DATOSAÑO!$E292/24)</f>
        <v>0</v>
      </c>
      <c r="O114" s="72">
        <f ca="1">IF(DATOSAÑO!$L292=0,0,((DATOSAÑO!$J292/DATOSAÑO!$L292)*1000)*DATOSAÑO!$L292/24)</f>
        <v>17666.666666666668</v>
      </c>
      <c r="P114" s="66">
        <f t="shared" ca="1" si="28"/>
        <v>0</v>
      </c>
      <c r="Q114" s="44">
        <f t="shared" ca="1" si="29"/>
        <v>6.8442943137788292</v>
      </c>
      <c r="R114" s="48" t="s">
        <v>68</v>
      </c>
      <c r="S114" s="50">
        <f ca="1">(S113-R116)/(R117-R116)*(S117-S116)+S116</f>
        <v>7.0371553427557654</v>
      </c>
      <c r="T114" s="45">
        <f t="shared" ca="1" si="30"/>
        <v>0</v>
      </c>
      <c r="U114" s="45">
        <f t="shared" ca="1" si="31"/>
        <v>0</v>
      </c>
      <c r="V114" s="46">
        <v>21040</v>
      </c>
      <c r="W114" s="47">
        <f>PORTADA!Q29</f>
        <v>7.7754160169130691</v>
      </c>
    </row>
    <row r="115" spans="1:23">
      <c r="A115">
        <v>10</v>
      </c>
      <c r="B115" s="71">
        <f ca="1">IF(DATOSAÑO!E110=0,0,((DATOSAÑO!C110/DATOSAÑO!E110)*1000)*DATOSAÑO!E110/24)</f>
        <v>12625</v>
      </c>
      <c r="C115" s="72">
        <f ca="1">IF(DATOSAÑO!L110=0,0,((DATOSAÑO!J110/DATOSAÑO!L110)*1000)*DATOSAÑO!L110/24)</f>
        <v>6083.333333333333</v>
      </c>
      <c r="D115" s="84">
        <f t="shared" ca="1" si="24"/>
        <v>5.0742997352633425</v>
      </c>
      <c r="E115" s="44">
        <f t="shared" ca="1" si="25"/>
        <v>3.7611291737007324</v>
      </c>
      <c r="F115" s="48"/>
      <c r="G115" s="45"/>
      <c r="H115" s="45">
        <f t="shared" ca="1" si="26"/>
        <v>0</v>
      </c>
      <c r="I115" s="45">
        <f t="shared" ca="1" si="27"/>
        <v>0</v>
      </c>
      <c r="J115" s="46">
        <v>23670</v>
      </c>
      <c r="K115" s="47">
        <f>PORTADA!K30</f>
        <v>8.3473564495988857</v>
      </c>
      <c r="M115">
        <v>10</v>
      </c>
      <c r="N115" s="71">
        <f ca="1">IF(DATOSAÑO!$E293=0,0,((DATOSAÑO!$C293/DATOSAÑO!$E293)*1000)*DATOSAÑO!$E293/24)</f>
        <v>0</v>
      </c>
      <c r="O115" s="72">
        <f ca="1">IF(DATOSAÑO!$L293=0,0,((DATOSAÑO!$J293/DATOSAÑO!$L293)*1000)*DATOSAÑO!$L293/24)</f>
        <v>17833.333333333332</v>
      </c>
      <c r="P115" s="66">
        <f t="shared" ca="1" si="28"/>
        <v>0</v>
      </c>
      <c r="Q115" s="44">
        <f t="shared" ca="1" si="29"/>
        <v>6.8925095710230622</v>
      </c>
      <c r="R115" s="48"/>
      <c r="S115" s="45"/>
      <c r="T115" s="45">
        <f t="shared" ca="1" si="30"/>
        <v>0</v>
      </c>
      <c r="U115" s="45">
        <f t="shared" ca="1" si="31"/>
        <v>0</v>
      </c>
      <c r="V115" s="46">
        <v>23670</v>
      </c>
      <c r="W115" s="47">
        <f>PORTADA!Q30</f>
        <v>8.491497672738026</v>
      </c>
    </row>
    <row r="116" spans="1:23">
      <c r="A116">
        <v>11</v>
      </c>
      <c r="B116" s="71">
        <f ca="1">IF(DATOSAÑO!E111=0,0,((DATOSAÑO!C111/DATOSAÑO!E111)*1000)*DATOSAÑO!E111/24)</f>
        <v>12333.333333333334</v>
      </c>
      <c r="C116" s="72">
        <f ca="1">IF(DATOSAÑO!L111=0,0,((DATOSAÑO!J111/DATOSAÑO!L111)*1000)*DATOSAÑO!L111/24)</f>
        <v>6208.333333333333</v>
      </c>
      <c r="D116" s="84">
        <f t="shared" ca="1" si="24"/>
        <v>5.0157507293337993</v>
      </c>
      <c r="E116" s="44">
        <f t="shared" ca="1" si="25"/>
        <v>3.7862216048133943</v>
      </c>
      <c r="F116" s="51">
        <f ca="1">INDEX(J106:J116,I117)</f>
        <v>0</v>
      </c>
      <c r="G116" s="52">
        <f ca="1">INDEX(K106:K116,I117)</f>
        <v>2.5399641928845478</v>
      </c>
      <c r="H116" s="45">
        <f t="shared" ca="1" si="26"/>
        <v>0</v>
      </c>
      <c r="I116" s="45">
        <f t="shared" ca="1" si="27"/>
        <v>0</v>
      </c>
      <c r="J116" s="46">
        <v>26300</v>
      </c>
      <c r="K116" s="47">
        <f>PORTADA!K31</f>
        <v>9.0512827837460765</v>
      </c>
      <c r="M116">
        <v>11</v>
      </c>
      <c r="N116" s="71">
        <f ca="1">IF(DATOSAÑO!$E294=0,0,((DATOSAÑO!$C294/DATOSAÑO!$E294)*1000)*DATOSAÑO!$E294/24)</f>
        <v>2562.5000000000005</v>
      </c>
      <c r="O116" s="72">
        <f ca="1">IF(DATOSAÑO!$L294=0,0,((DATOSAÑO!$J294/DATOSAÑO!$L294)*1000)*DATOSAÑO!$L294/24)</f>
        <v>16083.333333333334</v>
      </c>
      <c r="P116" s="66">
        <f t="shared" ca="1" si="28"/>
        <v>3.1071013628622119</v>
      </c>
      <c r="Q116" s="44">
        <f t="shared" ca="1" si="29"/>
        <v>6.3862493699586045</v>
      </c>
      <c r="R116" s="51">
        <f ca="1">INDEX(V106:V116,U117)</f>
        <v>15780</v>
      </c>
      <c r="S116" s="52">
        <f ca="1">INDEX(W106:W116,U117)</f>
        <v>6.2984976017740983</v>
      </c>
      <c r="T116" s="45">
        <f t="shared" ca="1" si="30"/>
        <v>0</v>
      </c>
      <c r="U116" s="45">
        <f t="shared" ca="1" si="31"/>
        <v>0</v>
      </c>
      <c r="V116" s="46">
        <v>26300</v>
      </c>
      <c r="W116" s="47">
        <f>PORTADA!Q31</f>
        <v>9.2075793285629803</v>
      </c>
    </row>
    <row r="117" spans="1:23" ht="15" thickBot="1">
      <c r="A117">
        <v>12</v>
      </c>
      <c r="B117" s="71">
        <f ca="1">IF(DATOSAÑO!E112=0,0,((DATOSAÑO!C112/DATOSAÑO!E112)*1000)*DATOSAÑO!E112/24)</f>
        <v>12166.666666666666</v>
      </c>
      <c r="C117" s="72">
        <f ca="1">IF(DATOSAÑO!L112=0,0,((DATOSAÑO!J112/DATOSAÑO!L112)*1000)*DATOSAÑO!L112/24)</f>
        <v>6166.666666666667</v>
      </c>
      <c r="D117" s="84">
        <f t="shared" ca="1" si="24"/>
        <v>4.9822941545169179</v>
      </c>
      <c r="E117" s="44">
        <f t="shared" ca="1" si="25"/>
        <v>3.777857461109174</v>
      </c>
      <c r="F117" s="53">
        <f ca="1">INDEX(J106:J116,I117+1)</f>
        <v>2630</v>
      </c>
      <c r="G117" s="54">
        <f ca="1">INDEX(K106:K116,I117+1)</f>
        <v>3.0679089434949423</v>
      </c>
      <c r="H117" s="55">
        <f t="shared" ca="1" si="26"/>
        <v>1</v>
      </c>
      <c r="I117" s="55">
        <f t="shared" ca="1" si="27"/>
        <v>1</v>
      </c>
      <c r="J117" s="55"/>
      <c r="K117" s="55"/>
      <c r="M117">
        <v>12</v>
      </c>
      <c r="N117" s="71">
        <f ca="1">IF(DATOSAÑO!$E295=0,0,((DATOSAÑO!$C295/DATOSAÑO!$E295)*1000)*DATOSAÑO!$E295/24)</f>
        <v>8320.8333333313931</v>
      </c>
      <c r="O117" s="72">
        <f ca="1">IF(DATOSAÑO!$L295=0,0,((DATOSAÑO!$J295/DATOSAÑO!$L295)*1000)*DATOSAÑO!$L295/24)</f>
        <v>9994.5833333331393</v>
      </c>
      <c r="P117" s="66">
        <f t="shared" ca="1" si="28"/>
        <v>4.2829864013006098</v>
      </c>
      <c r="Q117" s="44">
        <f t="shared" ca="1" si="29"/>
        <v>4.6248254846835648</v>
      </c>
      <c r="R117" s="53">
        <f ca="1">INDEX(V106:V116,U117+1)</f>
        <v>18410</v>
      </c>
      <c r="S117" s="54">
        <f ca="1">INDEX(W106:W116,U117+1)</f>
        <v>7.059334361088113</v>
      </c>
      <c r="T117" s="55">
        <f ca="1">SUM(T106:T116)</f>
        <v>1</v>
      </c>
      <c r="U117" s="55">
        <f ca="1">SUM(U106:U116)</f>
        <v>7</v>
      </c>
      <c r="V117" s="55"/>
      <c r="W117" s="55"/>
    </row>
    <row r="118" spans="1:23">
      <c r="A118">
        <v>13</v>
      </c>
      <c r="B118" s="71">
        <f ca="1">IF(DATOSAÑO!E113=0,0,((DATOSAÑO!C113/DATOSAÑO!E113)*1000)*DATOSAÑO!E113/24)</f>
        <v>12416.666666666666</v>
      </c>
      <c r="C118" s="72">
        <f ca="1">IF(DATOSAÑO!L113=0,0,((DATOSAÑO!J113/DATOSAÑO!L113)*1000)*DATOSAÑO!L113/24)</f>
        <v>6125</v>
      </c>
      <c r="D118" s="84">
        <f t="shared" ca="1" si="24"/>
        <v>5.03247901674224</v>
      </c>
      <c r="E118" s="44">
        <f t="shared" ca="1" si="25"/>
        <v>3.7694933174049532</v>
      </c>
      <c r="F118" s="56"/>
      <c r="G118" s="56"/>
      <c r="H118" s="56"/>
      <c r="I118" s="56"/>
      <c r="J118" s="56"/>
      <c r="K118" s="56"/>
      <c r="M118">
        <v>13</v>
      </c>
      <c r="N118" s="71">
        <f ca="1">IF(DATOSAÑO!$E296=0,0,((DATOSAÑO!$C296/DATOSAÑO!$E296)*1000)*DATOSAÑO!$E296/24)</f>
        <v>5870.8333333343035</v>
      </c>
      <c r="O118" s="72">
        <f ca="1">IF(DATOSAÑO!$L296=0,0,((DATOSAÑO!$J296/DATOSAÑO!$L296)*1000)*DATOSAÑO!$L296/24)</f>
        <v>12291.250000000218</v>
      </c>
      <c r="P118" s="66">
        <f t="shared" ca="1" si="28"/>
        <v>3.7826822026022091</v>
      </c>
      <c r="Q118" s="44">
        <f t="shared" ca="1" si="29"/>
        <v>5.2892317295092308</v>
      </c>
      <c r="R118" s="56"/>
      <c r="S118" s="56"/>
      <c r="T118" s="56"/>
      <c r="U118" s="56"/>
      <c r="V118" s="56"/>
      <c r="W118" s="56"/>
    </row>
    <row r="119" spans="1:23">
      <c r="A119">
        <v>14</v>
      </c>
      <c r="B119" s="71">
        <f ca="1">IF(DATOSAÑO!E114=0,0,((DATOSAÑO!C114/DATOSAÑO!E114)*1000)*DATOSAÑO!E114/24)</f>
        <v>13333.333333333334</v>
      </c>
      <c r="C119" s="72">
        <f ca="1">IF(DATOSAÑO!L114=0,0,((DATOSAÑO!J114/DATOSAÑO!L114)*1000)*DATOSAÑO!L114/24)</f>
        <v>4875</v>
      </c>
      <c r="D119" s="84">
        <f t="shared" ca="1" si="24"/>
        <v>5.216490178235091</v>
      </c>
      <c r="E119" s="44">
        <f t="shared" ca="1" si="25"/>
        <v>3.5185690062783399</v>
      </c>
      <c r="F119" s="56"/>
      <c r="G119" s="56"/>
      <c r="H119" s="56"/>
      <c r="I119" s="56"/>
      <c r="J119" s="56"/>
      <c r="K119" s="56"/>
      <c r="M119">
        <v>14</v>
      </c>
      <c r="N119" s="71">
        <f ca="1">IF(DATOSAÑO!$E297=0,0,((DATOSAÑO!$C297/DATOSAÑO!$E297)*1000)*DATOSAÑO!$E297/24)</f>
        <v>6183.3333333343035</v>
      </c>
      <c r="O119" s="72">
        <f ca="1">IF(DATOSAÑO!$L297=0,0,((DATOSAÑO!$J297/DATOSAÑO!$L297)*1000)*DATOSAÑO!$L297/24)</f>
        <v>12593.333333333552</v>
      </c>
      <c r="P119" s="66">
        <f t="shared" ca="1" si="28"/>
        <v>3.8464965136607545</v>
      </c>
      <c r="Q119" s="44">
        <f t="shared" ca="1" si="29"/>
        <v>5.3766218832644048</v>
      </c>
      <c r="R119" s="56"/>
      <c r="S119" s="56"/>
      <c r="T119" s="56"/>
      <c r="U119" s="56"/>
      <c r="V119" s="56"/>
      <c r="W119" s="56"/>
    </row>
    <row r="120" spans="1:23">
      <c r="A120">
        <v>15</v>
      </c>
      <c r="B120" s="71">
        <f ca="1">IF(DATOSAÑO!E115=0,0,((DATOSAÑO!C115/DATOSAÑO!E115)*1000)*DATOSAÑO!E115/24)</f>
        <v>15166.666666666666</v>
      </c>
      <c r="C120" s="72">
        <f ca="1">IF(DATOSAÑO!L115=0,0,((DATOSAÑO!J115/DATOSAÑO!L115)*1000)*DATOSAÑO!L115/24)</f>
        <v>3583.3333333333335</v>
      </c>
      <c r="D120" s="84">
        <f t="shared" ca="1" si="24"/>
        <v>5.5845125012207895</v>
      </c>
      <c r="E120" s="44">
        <f t="shared" ca="1" si="25"/>
        <v>3.2592805514475058</v>
      </c>
      <c r="F120" s="56"/>
      <c r="G120" s="56"/>
      <c r="H120" s="56"/>
      <c r="I120" s="56"/>
      <c r="J120" s="56"/>
      <c r="K120" s="56"/>
      <c r="M120">
        <v>15</v>
      </c>
      <c r="N120" s="71">
        <f ca="1">IF(DATOSAÑO!$E298=0,0,((DATOSAÑO!$C298/DATOSAÑO!$E298)*1000)*DATOSAÑO!$E298/24)</f>
        <v>6166.666666666667</v>
      </c>
      <c r="O120" s="72">
        <f ca="1">IF(DATOSAÑO!$L298=0,0,((DATOSAÑO!$J298/DATOSAÑO!$L298)*1000)*DATOSAÑO!$L298/24)</f>
        <v>12079.166666666424</v>
      </c>
      <c r="P120" s="66">
        <f t="shared" ca="1" si="28"/>
        <v>3.8430930837374344</v>
      </c>
      <c r="Q120" s="44">
        <f t="shared" ca="1" si="29"/>
        <v>5.2278778146658089</v>
      </c>
      <c r="R120" s="56"/>
      <c r="S120" s="56"/>
      <c r="T120" s="56"/>
      <c r="U120" s="56"/>
      <c r="V120" s="56"/>
      <c r="W120" s="56"/>
    </row>
    <row r="121" spans="1:23">
      <c r="A121">
        <v>16</v>
      </c>
      <c r="B121" s="71">
        <f ca="1">IF(DATOSAÑO!E116=0,0,((DATOSAÑO!C116/DATOSAÑO!E116)*1000)*DATOSAÑO!E116/24)</f>
        <v>15833.333333333334</v>
      </c>
      <c r="C121" s="72">
        <f ca="1">IF(DATOSAÑO!L116=0,0,((DATOSAÑO!J116/DATOSAÑO!L116)*1000)*DATOSAÑO!L116/24)</f>
        <v>2608.3333333332725</v>
      </c>
      <c r="D121" s="84">
        <f t="shared" ca="1" si="24"/>
        <v>5.7183388004883167</v>
      </c>
      <c r="E121" s="44">
        <f t="shared" ca="1" si="25"/>
        <v>3.0635595887687357</v>
      </c>
      <c r="F121" s="56"/>
      <c r="G121" s="56"/>
      <c r="H121" s="56"/>
      <c r="I121" s="56"/>
      <c r="J121" s="56"/>
      <c r="K121" s="56"/>
      <c r="M121">
        <v>16</v>
      </c>
      <c r="N121" s="71">
        <f ca="1">IF(DATOSAÑO!$E299=0,0,((DATOSAÑO!$C299/DATOSAÑO!$E299)*1000)*DATOSAÑO!$E299/24)</f>
        <v>6166.666666666667</v>
      </c>
      <c r="O121" s="72">
        <f ca="1">IF(DATOSAÑO!$L299=0,0,((DATOSAÑO!$J299/DATOSAÑO!$L299)*1000)*DATOSAÑO!$L299/24)</f>
        <v>11875</v>
      </c>
      <c r="P121" s="66">
        <f t="shared" ca="1" si="28"/>
        <v>3.8430930837374344</v>
      </c>
      <c r="Q121" s="44">
        <f t="shared" ca="1" si="29"/>
        <v>5.1688141245416928</v>
      </c>
      <c r="R121" s="56"/>
      <c r="S121" s="56"/>
      <c r="T121" s="56"/>
      <c r="U121" s="56"/>
      <c r="V121" s="56"/>
      <c r="W121" s="56"/>
    </row>
    <row r="122" spans="1:23">
      <c r="A122">
        <v>17</v>
      </c>
      <c r="B122" s="71">
        <f ca="1">IF(DATOSAÑO!E117=0,0,((DATOSAÑO!C117/DATOSAÑO!E117)*1000)*DATOSAÑO!E117/24)</f>
        <v>17791.666666666668</v>
      </c>
      <c r="C122" s="72">
        <f ca="1">IF(DATOSAÑO!L117=0,0,((DATOSAÑO!J117/DATOSAÑO!L117)*1000)*DATOSAÑO!L117/24)</f>
        <v>0</v>
      </c>
      <c r="D122" s="84">
        <f t="shared" ca="1" si="24"/>
        <v>6.1114535545866779</v>
      </c>
      <c r="E122" s="44">
        <f t="shared" ca="1" si="25"/>
        <v>0</v>
      </c>
      <c r="F122" s="56"/>
      <c r="G122" s="56"/>
      <c r="H122" s="57"/>
      <c r="I122" s="56"/>
      <c r="J122" s="56"/>
      <c r="K122" s="56"/>
      <c r="M122">
        <v>17</v>
      </c>
      <c r="N122" s="71">
        <f ca="1">IF(DATOSAÑO!$E300=0,0,((DATOSAÑO!$C300/DATOSAÑO!$E300)*1000)*DATOSAÑO!$E300/24)</f>
        <v>9666.6666666666661</v>
      </c>
      <c r="O122" s="72">
        <f ca="1">IF(DATOSAÑO!$L300=0,0,((DATOSAÑO!$J300/DATOSAÑO!$L300)*1000)*DATOSAÑO!$L300/24)</f>
        <v>8333.3333333333339</v>
      </c>
      <c r="P122" s="66">
        <f t="shared" ca="1" si="28"/>
        <v>4.5578133675931412</v>
      </c>
      <c r="Q122" s="44">
        <f t="shared" ca="1" si="29"/>
        <v>4.1442399081017172</v>
      </c>
      <c r="R122" s="56"/>
      <c r="S122" s="56"/>
      <c r="T122" s="57"/>
      <c r="U122" s="56"/>
      <c r="V122" s="56"/>
      <c r="W122" s="56"/>
    </row>
    <row r="123" spans="1:23">
      <c r="A123">
        <v>18</v>
      </c>
      <c r="B123" s="71">
        <f ca="1">IF(DATOSAÑO!E118=0,0,((DATOSAÑO!C118/DATOSAÑO!E118)*1000)*DATOSAÑO!E118/24)</f>
        <v>18250</v>
      </c>
      <c r="C123" s="72">
        <f ca="1">IF(DATOSAÑO!L118=0,0,((DATOSAÑO!J118/DATOSAÑO!L118)*1000)*DATOSAÑO!L118/24)</f>
        <v>0</v>
      </c>
      <c r="D123" s="84">
        <f t="shared" ca="1" si="24"/>
        <v>6.2034591353331034</v>
      </c>
      <c r="E123" s="44">
        <f t="shared" ca="1" si="25"/>
        <v>0</v>
      </c>
      <c r="F123" s="56"/>
      <c r="G123" s="56"/>
      <c r="H123" s="56"/>
      <c r="I123" s="56"/>
      <c r="J123" s="56"/>
      <c r="K123" s="56"/>
      <c r="M123">
        <v>18</v>
      </c>
      <c r="N123" s="71">
        <f ca="1">IF(DATOSAÑO!$E301=0,0,((DATOSAÑO!$C301/DATOSAÑO!$E301)*1000)*DATOSAÑO!$E301/24)</f>
        <v>12083.333333333334</v>
      </c>
      <c r="O123" s="72">
        <f ca="1">IF(DATOSAÑO!$L301=0,0,((DATOSAÑO!$J301/DATOSAÑO!$L301)*1000)*DATOSAÑO!$L301/24)</f>
        <v>6250</v>
      </c>
      <c r="P123" s="66">
        <f t="shared" ca="1" si="28"/>
        <v>5.0513107064458911</v>
      </c>
      <c r="Q123" s="44">
        <f t="shared" ca="1" si="29"/>
        <v>3.5415491925487905</v>
      </c>
      <c r="R123" s="56"/>
      <c r="S123" s="56"/>
      <c r="T123" s="56"/>
      <c r="U123" s="56"/>
      <c r="V123" s="56"/>
      <c r="W123" s="56"/>
    </row>
    <row r="124" spans="1:23">
      <c r="A124">
        <v>19</v>
      </c>
      <c r="B124" s="71">
        <f ca="1">IF(DATOSAÑO!E119=0,0,((DATOSAÑO!C119/DATOSAÑO!E119)*1000)*DATOSAÑO!E119/24)</f>
        <v>13583.333333333334</v>
      </c>
      <c r="C124" s="72">
        <f ca="1">IF(DATOSAÑO!L119=0,0,((DATOSAÑO!J119/DATOSAÑO!L119)*1000)*DATOSAÑO!L119/24)</f>
        <v>0</v>
      </c>
      <c r="D124" s="84">
        <f t="shared" ca="1" si="24"/>
        <v>5.266675040460413</v>
      </c>
      <c r="E124" s="44">
        <f t="shared" ca="1" si="25"/>
        <v>0</v>
      </c>
      <c r="F124" s="56"/>
      <c r="G124" s="56"/>
      <c r="H124" s="56"/>
      <c r="I124" s="56"/>
      <c r="J124" s="56"/>
      <c r="K124" s="58"/>
      <c r="M124">
        <v>19</v>
      </c>
      <c r="N124" s="71">
        <f ca="1">IF(DATOSAÑO!$E302=0,0,((DATOSAÑO!$C302/DATOSAÑO!$E302)*1000)*DATOSAÑO!$E302/24)</f>
        <v>6166.666666666667</v>
      </c>
      <c r="O124" s="72">
        <f ca="1">IF(DATOSAÑO!$L302=0,0,((DATOSAÑO!$J302/DATOSAÑO!$L302)*1000)*DATOSAÑO!$L302/24)</f>
        <v>12000</v>
      </c>
      <c r="P124" s="66">
        <f t="shared" ca="1" si="28"/>
        <v>3.8430930837374344</v>
      </c>
      <c r="Q124" s="44">
        <f t="shared" ca="1" si="29"/>
        <v>5.2049755674748681</v>
      </c>
      <c r="R124" s="56"/>
      <c r="S124" s="56"/>
      <c r="T124" s="56"/>
      <c r="U124" s="56"/>
      <c r="V124" s="56"/>
      <c r="W124" s="58"/>
    </row>
    <row r="125" spans="1:23">
      <c r="A125">
        <v>20</v>
      </c>
      <c r="B125" s="71">
        <f ca="1">IF(DATOSAÑO!E120=0,0,((DATOSAÑO!C120/DATOSAÑO!E120)*1000)*DATOSAÑO!E120/24)</f>
        <v>11041.666666666666</v>
      </c>
      <c r="C125" s="72">
        <f ca="1">IF(DATOSAÑO!L120=0,0,((DATOSAÑO!J120/DATOSAÑO!L120)*1000)*DATOSAÑO!L120/24)</f>
        <v>4175.0000000001819</v>
      </c>
      <c r="D125" s="84">
        <f t="shared" ca="1" si="24"/>
        <v>4.7564622745029652</v>
      </c>
      <c r="E125" s="44">
        <f t="shared" ca="1" si="25"/>
        <v>3.3780513920474728</v>
      </c>
      <c r="F125" s="56"/>
      <c r="G125" s="56"/>
      <c r="H125" s="56"/>
      <c r="I125" s="56"/>
      <c r="J125" s="56"/>
      <c r="K125" s="56"/>
      <c r="M125">
        <v>20</v>
      </c>
      <c r="N125" s="71">
        <f ca="1">IF(DATOSAÑO!$E303=0,0,((DATOSAÑO!$C303/DATOSAÑO!$E303)*1000)*DATOSAÑO!$E303/24)</f>
        <v>5958.333333333333</v>
      </c>
      <c r="O125" s="72">
        <f ca="1">IF(DATOSAÑO!$L303=0,0,((DATOSAÑO!$J303/DATOSAÑO!$L303)*1000)*DATOSAÑO!$L303/24)</f>
        <v>12375</v>
      </c>
      <c r="P125" s="66">
        <f t="shared" ca="1" si="28"/>
        <v>3.8005502096984038</v>
      </c>
      <c r="Q125" s="44">
        <f t="shared" ca="1" si="29"/>
        <v>5.3134598962743951</v>
      </c>
      <c r="R125" s="56"/>
      <c r="S125" s="56"/>
      <c r="T125" s="56"/>
      <c r="U125" s="56"/>
      <c r="V125" s="56"/>
      <c r="W125" s="56"/>
    </row>
    <row r="126" spans="1:23">
      <c r="A126">
        <v>21</v>
      </c>
      <c r="B126" s="71">
        <f ca="1">IF(DATOSAÑO!E121=0,0,((DATOSAÑO!C121/DATOSAÑO!E121)*1000)*DATOSAÑO!E121/24)</f>
        <v>9000</v>
      </c>
      <c r="C126" s="72">
        <f ca="1">IF(DATOSAÑO!L121=0,0,((DATOSAÑO!J121/DATOSAÑO!L121)*1000)*DATOSAÑO!L121/24)</f>
        <v>4741.6666666664851</v>
      </c>
      <c r="D126" s="84">
        <f t="shared" ca="1" si="24"/>
        <v>4.3466192329961642</v>
      </c>
      <c r="E126" s="44">
        <f t="shared" ca="1" si="25"/>
        <v>3.491803746424798</v>
      </c>
      <c r="F126" s="56"/>
      <c r="G126" s="56"/>
      <c r="H126" s="56"/>
      <c r="I126" s="56"/>
      <c r="J126" s="56"/>
      <c r="K126" s="56"/>
      <c r="M126">
        <v>21</v>
      </c>
      <c r="N126" s="71">
        <f ca="1">IF(DATOSAÑO!$E304=0,0,((DATOSAÑO!$C304/DATOSAÑO!$E304)*1000)*DATOSAÑO!$E304/24)</f>
        <v>5375</v>
      </c>
      <c r="O126" s="72">
        <f ca="1">IF(DATOSAÑO!$L304=0,0,((DATOSAÑO!$J304/DATOSAÑO!$L304)*1000)*DATOSAÑO!$L304/24)</f>
        <v>13375</v>
      </c>
      <c r="P126" s="66">
        <f t="shared" ca="1" si="28"/>
        <v>3.6814301623891197</v>
      </c>
      <c r="Q126" s="44">
        <f t="shared" ca="1" si="29"/>
        <v>5.6027514397397997</v>
      </c>
      <c r="R126" s="56"/>
      <c r="S126" s="56"/>
      <c r="T126" s="56"/>
      <c r="U126" s="56"/>
      <c r="V126" s="56"/>
      <c r="W126" s="56"/>
    </row>
    <row r="127" spans="1:23">
      <c r="A127">
        <v>22</v>
      </c>
      <c r="B127" s="71">
        <f ca="1">IF(DATOSAÑO!E122=0,0,((DATOSAÑO!C122/DATOSAÑO!E122)*1000)*DATOSAÑO!E122/24)</f>
        <v>12000</v>
      </c>
      <c r="C127" s="72">
        <f ca="1">IF(DATOSAÑO!L122=0,0,((DATOSAÑO!J122/DATOSAÑO!L122)*1000)*DATOSAÑO!L122/24)</f>
        <v>6375</v>
      </c>
      <c r="D127" s="84">
        <f t="shared" ca="1" si="24"/>
        <v>4.9488375797000357</v>
      </c>
      <c r="E127" s="44">
        <f t="shared" ca="1" si="25"/>
        <v>3.8196781796302757</v>
      </c>
      <c r="F127" s="56"/>
      <c r="G127" s="56"/>
      <c r="H127" s="56"/>
      <c r="I127" s="56"/>
      <c r="J127" s="56"/>
      <c r="K127" s="56"/>
      <c r="M127">
        <v>22</v>
      </c>
      <c r="N127" s="71">
        <f ca="1">IF(DATOSAÑO!$E305=0,0,((DATOSAÑO!$C305/DATOSAÑO!$E305)*1000)*DATOSAÑO!$E305/24)</f>
        <v>3041.6666666666665</v>
      </c>
      <c r="O127" s="72">
        <f ca="1">IF(DATOSAÑO!$L305=0,0,((DATOSAÑO!$J305/DATOSAÑO!$L305)*1000)*DATOSAÑO!$L305/24)</f>
        <v>15333.333333333334</v>
      </c>
      <c r="P127" s="66">
        <f t="shared" ca="1" si="28"/>
        <v>3.2049499731519813</v>
      </c>
      <c r="Q127" s="44">
        <f t="shared" ca="1" si="29"/>
        <v>6.1692807123595514</v>
      </c>
      <c r="R127" s="56"/>
      <c r="S127" s="56"/>
      <c r="T127" s="56"/>
      <c r="U127" s="56"/>
      <c r="V127" s="56"/>
      <c r="W127" s="56"/>
    </row>
    <row r="128" spans="1:23">
      <c r="A128">
        <v>23</v>
      </c>
      <c r="B128" s="71">
        <f ca="1">IF(DATOSAÑO!E123=0,0,((DATOSAÑO!C123/DATOSAÑO!E123)*1000)*DATOSAÑO!E123/24)</f>
        <v>12291.666666666666</v>
      </c>
      <c r="C128" s="72">
        <f ca="1">IF(DATOSAÑO!L123=0,0,((DATOSAÑO!J123/DATOSAÑO!L123)*1000)*DATOSAÑO!L123/24)</f>
        <v>6475.0000000000609</v>
      </c>
      <c r="D128" s="84">
        <f t="shared" ca="1" si="24"/>
        <v>5.0073865856295789</v>
      </c>
      <c r="E128" s="44">
        <f t="shared" ca="1" si="25"/>
        <v>3.8397521245204169</v>
      </c>
      <c r="F128" s="56"/>
      <c r="G128" s="56"/>
      <c r="H128" s="56"/>
      <c r="I128" s="56"/>
      <c r="J128" s="56"/>
      <c r="K128" s="56"/>
      <c r="M128">
        <v>23</v>
      </c>
      <c r="N128" s="71">
        <f ca="1">IF(DATOSAÑO!$E306=0,0,((DATOSAÑO!$C306/DATOSAÑO!$E306)*1000)*DATOSAÑO!$E306/24)</f>
        <v>0</v>
      </c>
      <c r="O128" s="72">
        <f ca="1">IF(DATOSAÑO!$L306=0,0,((DATOSAÑO!$J306/DATOSAÑO!$L306)*1000)*DATOSAÑO!$L306/24)</f>
        <v>15833.333333333334</v>
      </c>
      <c r="P128" s="66">
        <f t="shared" ca="1" si="28"/>
        <v>0</v>
      </c>
      <c r="Q128" s="44">
        <f t="shared" ca="1" si="29"/>
        <v>6.3139264840922538</v>
      </c>
      <c r="R128" s="56"/>
      <c r="S128" s="56"/>
      <c r="T128" s="56"/>
      <c r="U128" s="56"/>
      <c r="V128" s="56"/>
      <c r="W128" s="56"/>
    </row>
    <row r="129" spans="1:23">
      <c r="A129">
        <v>24</v>
      </c>
      <c r="B129" s="71">
        <f ca="1">IF(DATOSAÑO!E124=0,0,((DATOSAÑO!C124/DATOSAÑO!E124)*1000)*DATOSAÑO!E124/24)</f>
        <v>12583.333333333334</v>
      </c>
      <c r="C129" s="72">
        <f ca="1">IF(DATOSAÑO!L124=0,0,((DATOSAÑO!J124/DATOSAÑO!L124)*1000)*DATOSAÑO!L124/24)</f>
        <v>6375</v>
      </c>
      <c r="D129" s="84">
        <f t="shared" ca="1" si="24"/>
        <v>5.0659355915591222</v>
      </c>
      <c r="E129" s="44">
        <f t="shared" ca="1" si="25"/>
        <v>3.8196781796302757</v>
      </c>
      <c r="F129" s="56"/>
      <c r="G129" s="56"/>
      <c r="H129" s="56"/>
      <c r="I129" s="56"/>
      <c r="J129" s="56"/>
      <c r="K129" s="56"/>
      <c r="M129">
        <v>24</v>
      </c>
      <c r="N129" s="71">
        <f ca="1">IF(DATOSAÑO!$E307=0,0,((DATOSAÑO!$C307/DATOSAÑO!$E307)*1000)*DATOSAÑO!$E307/24)</f>
        <v>7166.666666666667</v>
      </c>
      <c r="O129" s="72">
        <f ca="1">IF(DATOSAÑO!$L307=0,0,((DATOSAÑO!$J307/DATOSAÑO!$L307)*1000)*DATOSAÑO!$L307/24)</f>
        <v>9583.3333333333339</v>
      </c>
      <c r="P129" s="66">
        <f t="shared" ca="1" si="28"/>
        <v>4.0472988791247788</v>
      </c>
      <c r="Q129" s="44">
        <f t="shared" ca="1" si="29"/>
        <v>4.5058543374334734</v>
      </c>
      <c r="R129" s="56"/>
      <c r="S129" s="56"/>
      <c r="T129" s="56"/>
      <c r="U129" s="56"/>
      <c r="V129" s="56"/>
      <c r="W129" s="56"/>
    </row>
    <row r="130" spans="1:23">
      <c r="A130">
        <v>25</v>
      </c>
      <c r="B130" s="71">
        <f ca="1">IF(DATOSAÑO!E125=0,0,((DATOSAÑO!C125/DATOSAÑO!E125)*1000)*DATOSAÑO!E125/24)</f>
        <v>12125</v>
      </c>
      <c r="C130" s="72">
        <f ca="1">IF(DATOSAÑO!L125=0,0,((DATOSAÑO!J125/DATOSAÑO!L125)*1000)*DATOSAÑO!L125/24)</f>
        <v>6541.666666666667</v>
      </c>
      <c r="D130" s="84">
        <f t="shared" ca="1" si="24"/>
        <v>4.9739300108126976</v>
      </c>
      <c r="E130" s="44">
        <f t="shared" ca="1" si="25"/>
        <v>3.8531347544471579</v>
      </c>
      <c r="F130" s="56"/>
      <c r="G130" s="56"/>
      <c r="H130" s="56"/>
      <c r="I130" s="56"/>
      <c r="J130" s="56"/>
      <c r="K130" s="56"/>
      <c r="M130">
        <v>25</v>
      </c>
      <c r="N130" s="71">
        <f ca="1">IF(DATOSAÑO!$E308=0,0,((DATOSAÑO!$C308/DATOSAÑO!$E308)*1000)*DATOSAÑO!$E308/24)</f>
        <v>6166.666666666667</v>
      </c>
      <c r="O130" s="72">
        <f ca="1">IF(DATOSAÑO!$L308=0,0,((DATOSAÑO!$J308/DATOSAÑO!$L308)*1000)*DATOSAÑO!$L308/24)</f>
        <v>12583.333333333334</v>
      </c>
      <c r="P130" s="66">
        <f t="shared" ca="1" si="28"/>
        <v>3.8430930837374344</v>
      </c>
      <c r="Q130" s="44">
        <f t="shared" ca="1" si="29"/>
        <v>5.3737289678296882</v>
      </c>
      <c r="R130" s="56"/>
      <c r="S130" s="56"/>
      <c r="T130" s="56"/>
      <c r="U130" s="56"/>
      <c r="V130" s="56"/>
      <c r="W130" s="56"/>
    </row>
    <row r="131" spans="1:23">
      <c r="A131">
        <v>26</v>
      </c>
      <c r="B131" s="71">
        <f ca="1">IF(DATOSAÑO!E126=0,0,((DATOSAÑO!C126/DATOSAÑO!E126)*1000)*DATOSAÑO!E126/24)</f>
        <v>11755.416666666861</v>
      </c>
      <c r="C131" s="72">
        <f ca="1">IF(DATOSAÑO!L126=0,0,((DATOSAÑO!J126/DATOSAÑO!L126)*1000)*DATOSAÑO!L126/24)</f>
        <v>6204.5833333334785</v>
      </c>
      <c r="D131" s="84">
        <f t="shared" ca="1" si="24"/>
        <v>4.8997400561563005</v>
      </c>
      <c r="E131" s="44">
        <f t="shared" ca="1" si="25"/>
        <v>3.7854688318800433</v>
      </c>
      <c r="F131" s="56"/>
      <c r="G131" s="56"/>
      <c r="H131" s="56"/>
      <c r="I131" s="56"/>
      <c r="J131" s="56"/>
      <c r="K131" s="56"/>
      <c r="M131">
        <v>26</v>
      </c>
      <c r="N131" s="71">
        <f ca="1">IF(DATOSAÑO!$E309=0,0,((DATOSAÑO!$C309/DATOSAÑO!$E309)*1000)*DATOSAÑO!$E309/24)</f>
        <v>6250</v>
      </c>
      <c r="O131" s="72">
        <f ca="1">IF(DATOSAÑO!$L309=0,0,((DATOSAÑO!$J309/DATOSAÑO!$L309)*1000)*DATOSAÑO!$L309/24)</f>
        <v>12250</v>
      </c>
      <c r="P131" s="66">
        <f t="shared" ca="1" si="28"/>
        <v>3.8601102333530459</v>
      </c>
      <c r="Q131" s="44">
        <f t="shared" ca="1" si="29"/>
        <v>5.2772984533412188</v>
      </c>
      <c r="R131" s="56"/>
      <c r="S131" s="56"/>
      <c r="T131" s="56"/>
      <c r="U131" s="56"/>
      <c r="V131" s="56"/>
      <c r="W131" s="56"/>
    </row>
    <row r="132" spans="1:23">
      <c r="A132">
        <v>27</v>
      </c>
      <c r="B132" s="71">
        <f ca="1">IF(DATOSAÑO!E127=0,0,((DATOSAÑO!C127/DATOSAÑO!E127)*1000)*DATOSAÑO!E127/24)</f>
        <v>12812.916666667055</v>
      </c>
      <c r="C132" s="72">
        <f ca="1">IF(DATOSAÑO!L127=0,0,((DATOSAÑO!J127/DATOSAÑO!L127)*1000)*DATOSAÑO!L127/24)</f>
        <v>6298.3333333331757</v>
      </c>
      <c r="D132" s="84">
        <f t="shared" ca="1" si="24"/>
        <v>5.1120220233694544</v>
      </c>
      <c r="E132" s="44">
        <f t="shared" ca="1" si="25"/>
        <v>3.8042881552144783</v>
      </c>
      <c r="F132" s="56"/>
      <c r="G132" s="56"/>
      <c r="H132" s="56"/>
      <c r="I132" s="56"/>
      <c r="J132" s="56"/>
      <c r="K132" s="56"/>
      <c r="M132">
        <v>27</v>
      </c>
      <c r="N132" s="71">
        <f ca="1">IF(DATOSAÑO!$E310=0,0,((DATOSAÑO!$C310/DATOSAÑO!$E310)*1000)*DATOSAÑO!$E310/24)</f>
        <v>9416.6666666666661</v>
      </c>
      <c r="O132" s="72">
        <f ca="1">IF(DATOSAÑO!$L310=0,0,((DATOSAÑO!$J310/DATOSAÑO!$L310)*1000)*DATOSAÑO!$L310/24)</f>
        <v>8916.6666666666661</v>
      </c>
      <c r="P132" s="66">
        <f t="shared" ca="1" si="28"/>
        <v>4.5067619187463048</v>
      </c>
      <c r="Q132" s="44">
        <f t="shared" ca="1" si="29"/>
        <v>4.3129933084565364</v>
      </c>
      <c r="R132" s="56"/>
      <c r="S132" s="56"/>
      <c r="T132" s="56"/>
      <c r="U132" s="56"/>
      <c r="V132" s="56"/>
      <c r="W132" s="56"/>
    </row>
    <row r="133" spans="1:23">
      <c r="A133">
        <v>28</v>
      </c>
      <c r="B133" s="71">
        <f ca="1">IF(DATOSAÑO!E128=0,0,((DATOSAÑO!C128/DATOSAÑO!E128)*1000)*DATOSAÑO!E128/24)</f>
        <v>12452.499999999418</v>
      </c>
      <c r="C133" s="72">
        <f ca="1">IF(DATOSAÑO!L128=0,0,((DATOSAÑO!J128/DATOSAÑO!L128)*1000)*DATOSAÑO!L128/24)</f>
        <v>6330.8333333334303</v>
      </c>
      <c r="D133" s="84">
        <f t="shared" ca="1" si="24"/>
        <v>5.0396721803277522</v>
      </c>
      <c r="E133" s="44">
        <f t="shared" ca="1" si="25"/>
        <v>3.8108121873038217</v>
      </c>
      <c r="F133" s="56"/>
      <c r="G133" s="56"/>
      <c r="H133" s="56"/>
      <c r="I133" s="56"/>
      <c r="J133" s="56"/>
      <c r="K133" s="56"/>
      <c r="M133">
        <v>28</v>
      </c>
      <c r="N133" s="71">
        <f ca="1">IF(DATOSAÑO!$E311=0,0,((DATOSAÑO!$C311/DATOSAÑO!$E311)*1000)*DATOSAÑO!$E311/24)</f>
        <v>12250</v>
      </c>
      <c r="O133" s="72">
        <f ca="1">IF(DATOSAÑO!$L311=0,0,((DATOSAÑO!$J311/DATOSAÑO!$L311)*1000)*DATOSAÑO!$L311/24)</f>
        <v>6250</v>
      </c>
      <c r="P133" s="66">
        <f t="shared" ca="1" si="28"/>
        <v>5.0853450056771159</v>
      </c>
      <c r="Q133" s="44">
        <f t="shared" ca="1" si="29"/>
        <v>3.5415491925487905</v>
      </c>
      <c r="R133" s="56"/>
      <c r="S133" s="56"/>
      <c r="T133" s="56"/>
      <c r="U133" s="56"/>
      <c r="V133" s="56"/>
      <c r="W133" s="56"/>
    </row>
    <row r="134" spans="1:23">
      <c r="A134">
        <v>29</v>
      </c>
      <c r="B134" s="71">
        <f ca="1">IF(DATOSAÑO!E129=0,0,((DATOSAÑO!C129/DATOSAÑO!E129)*1000)*DATOSAÑO!E129/24)</f>
        <v>12152.500000001359</v>
      </c>
      <c r="C134" s="72">
        <f ca="1">IF(DATOSAÑO!L129=0,0,((DATOSAÑO!J129/DATOSAÑO!L129)*1000)*DATOSAÑO!L129/24)</f>
        <v>6162.0833333333094</v>
      </c>
      <c r="D134" s="84">
        <f t="shared" ca="1" si="24"/>
        <v>4.9794503456577548</v>
      </c>
      <c r="E134" s="44">
        <f t="shared" ca="1" si="25"/>
        <v>3.7769374053017044</v>
      </c>
      <c r="F134" s="56"/>
      <c r="G134" s="56"/>
      <c r="H134" s="56"/>
      <c r="I134" s="56"/>
      <c r="J134" s="56"/>
      <c r="K134" s="56"/>
      <c r="M134">
        <v>29</v>
      </c>
      <c r="N134" s="71">
        <f ca="1">IF(DATOSAÑO!$E312=0,0,((DATOSAÑO!$C312/DATOSAÑO!$E312)*1000)*DATOSAÑO!$E312/24)</f>
        <v>12083.333333333334</v>
      </c>
      <c r="O134" s="72">
        <f ca="1">IF(DATOSAÑO!$L312=0,0,((DATOSAÑO!$J312/DATOSAÑO!$L312)*1000)*DATOSAÑO!$L312/24)</f>
        <v>6250</v>
      </c>
      <c r="P134" s="66">
        <f t="shared" ca="1" si="28"/>
        <v>5.0513107064458911</v>
      </c>
      <c r="Q134" s="44">
        <f t="shared" ca="1" si="29"/>
        <v>3.5415491925487905</v>
      </c>
      <c r="R134" s="56"/>
      <c r="S134" s="56"/>
      <c r="T134" s="56"/>
      <c r="U134" s="56"/>
      <c r="V134" s="56"/>
      <c r="W134" s="56"/>
    </row>
    <row r="135" spans="1:23">
      <c r="A135">
        <v>30</v>
      </c>
      <c r="B135" s="71">
        <f ca="1">IF(DATOSAÑO!E130=0,0,((DATOSAÑO!C130/DATOSAÑO!E130)*1000)*DATOSAÑO!E130/24)</f>
        <v>12624.583333332945</v>
      </c>
      <c r="C135" s="72">
        <f ca="1">IF(DATOSAÑO!L130=0,0,((DATOSAÑO!J130/DATOSAÑO!L130)*1000)*DATOSAÑO!L130/24)</f>
        <v>6000</v>
      </c>
      <c r="D135" s="84">
        <f t="shared" ca="1" si="24"/>
        <v>5.0742160938262222</v>
      </c>
      <c r="E135" s="44">
        <f t="shared" ca="1" si="25"/>
        <v>3.7444008862922917</v>
      </c>
      <c r="F135" s="56"/>
      <c r="G135" s="56"/>
      <c r="H135" s="56"/>
      <c r="I135" s="56"/>
      <c r="J135" s="56"/>
      <c r="K135" s="56"/>
      <c r="M135">
        <v>30</v>
      </c>
      <c r="N135" s="71">
        <f ca="1">IF(DATOSAÑO!$E313=0,0,((DATOSAÑO!$C313/DATOSAÑO!$E313)*1000)*DATOSAÑO!$E313/24)</f>
        <v>11916.666666666666</v>
      </c>
      <c r="O135" s="72">
        <f ca="1">IF(DATOSAÑO!$L313=0,0,((DATOSAÑO!$J313/DATOSAÑO!$L313)*1000)*DATOSAÑO!$L313/24)</f>
        <v>6166.666666666667</v>
      </c>
      <c r="P135" s="66">
        <f t="shared" ca="1" si="28"/>
        <v>5.0172764072146672</v>
      </c>
      <c r="Q135" s="44">
        <f t="shared" ca="1" si="29"/>
        <v>3.5174415639266741</v>
      </c>
      <c r="R135" s="56"/>
      <c r="S135" s="56"/>
      <c r="T135" s="56"/>
      <c r="U135" s="56"/>
      <c r="V135" s="56"/>
      <c r="W135" s="56"/>
    </row>
    <row r="136" spans="1:23" ht="15" thickBot="1">
      <c r="B136" s="73"/>
      <c r="C136" s="74"/>
      <c r="D136" s="85"/>
      <c r="E136" s="81"/>
      <c r="F136" s="56"/>
      <c r="G136" s="56"/>
      <c r="H136" s="56"/>
      <c r="I136" s="56"/>
      <c r="J136" s="56"/>
      <c r="K136" s="56"/>
      <c r="M136">
        <v>31</v>
      </c>
      <c r="N136" s="73">
        <f ca="1">IF(DATOSAÑO!$E314=0,0,((DATOSAÑO!$C314/DATOSAÑO!$E314)*1000)*DATOSAÑO!$E314/24)</f>
        <v>10000</v>
      </c>
      <c r="O136" s="74">
        <f ca="1">IF(DATOSAÑO!$L314=0,0,((DATOSAÑO!$J314/DATOSAÑO!$L314)*1000)*DATOSAÑO!$L314/24)</f>
        <v>8708.3333333333339</v>
      </c>
      <c r="P136" s="80">
        <f t="shared" ca="1" si="28"/>
        <v>4.625881966055589</v>
      </c>
      <c r="Q136" s="81">
        <f t="shared" ca="1" si="29"/>
        <v>4.2527242369012441</v>
      </c>
      <c r="R136" s="56"/>
      <c r="S136" s="56"/>
      <c r="T136" s="56"/>
      <c r="U136" s="56"/>
      <c r="V136" s="56"/>
      <c r="W136" s="56"/>
    </row>
    <row r="137" spans="1:23" ht="15" thickTop="1"/>
    <row r="138" spans="1:23" ht="15" thickBot="1">
      <c r="B138" s="2262">
        <v>45047</v>
      </c>
      <c r="C138" s="2262"/>
      <c r="D138" s="2262"/>
      <c r="E138" s="2262"/>
      <c r="F138" s="2263" t="s">
        <v>60</v>
      </c>
      <c r="G138" s="2263"/>
      <c r="H138" s="2263"/>
      <c r="I138" s="2263"/>
      <c r="J138" s="2263"/>
      <c r="K138" s="2263"/>
      <c r="N138" s="2262">
        <v>45231</v>
      </c>
      <c r="O138" s="2262"/>
      <c r="P138" s="2262"/>
      <c r="Q138" s="2262"/>
      <c r="R138" s="2263" t="s">
        <v>60</v>
      </c>
      <c r="S138" s="2263"/>
      <c r="T138" s="2263"/>
      <c r="U138" s="2263"/>
      <c r="V138" s="2263"/>
      <c r="W138" s="2263"/>
    </row>
    <row r="139" spans="1:23" ht="44.5" thickTop="1" thickBot="1">
      <c r="A139" s="40">
        <f ca="1">ABS(TODAY()-1)</f>
        <v>45231</v>
      </c>
      <c r="B139" s="67">
        <f ca="1">DAY(A139)</f>
        <v>1</v>
      </c>
      <c r="C139" s="68"/>
      <c r="D139" s="76" t="s">
        <v>61</v>
      </c>
      <c r="E139" s="77" t="s">
        <v>62</v>
      </c>
      <c r="F139" s="41"/>
      <c r="G139" s="42"/>
      <c r="H139" s="42" t="s">
        <v>63</v>
      </c>
      <c r="I139" s="42" t="s">
        <v>64</v>
      </c>
      <c r="J139" s="43" t="s">
        <v>56</v>
      </c>
      <c r="K139" s="42" t="s">
        <v>65</v>
      </c>
      <c r="M139" s="40">
        <f ca="1">ABS(TODAY()-1)</f>
        <v>45231</v>
      </c>
      <c r="N139" s="67">
        <f ca="1">DAY(M139)</f>
        <v>1</v>
      </c>
      <c r="O139" s="68"/>
      <c r="P139" s="76" t="s">
        <v>61</v>
      </c>
      <c r="Q139" s="77" t="s">
        <v>62</v>
      </c>
      <c r="R139" s="41"/>
      <c r="S139" s="42"/>
      <c r="T139" s="42" t="s">
        <v>63</v>
      </c>
      <c r="U139" s="42" t="s">
        <v>64</v>
      </c>
      <c r="V139" s="43" t="s">
        <v>56</v>
      </c>
      <c r="W139" s="42" t="s">
        <v>65</v>
      </c>
    </row>
    <row r="140" spans="1:23" ht="15" thickTop="1">
      <c r="A140">
        <v>1</v>
      </c>
      <c r="B140" s="69">
        <f ca="1">IF(DATOSAÑO!E131=0,0,((DATOSAÑO!C131/DATOSAÑO!E131)*1000)*DATOSAÑO!E131/24)</f>
        <v>12797.916666667637</v>
      </c>
      <c r="C140" s="70">
        <f ca="1">IF(DATOSAÑO!L131=0,0,((DATOSAÑO!J131/DATOSAÑO!L131)*1000)*DATOSAÑO!L131/24)</f>
        <v>6045.833333333273</v>
      </c>
      <c r="D140" s="79">
        <f ca="1">IF(B140&gt;0,(B140-$F$150)/($F$151-$F$150)*($G$151-$G$150)+$G$150,0)</f>
        <v>5.2262848504997255</v>
      </c>
      <c r="E140" s="79">
        <f ca="1">IF(C140&gt;0,(C140-$F$150)/($F$151-$F$150)*($G$151-$G$150)+$G$150,0)</f>
        <v>3.8397628476450887</v>
      </c>
      <c r="F140" s="2260" t="s">
        <v>66</v>
      </c>
      <c r="G140" s="2261"/>
      <c r="H140" s="45">
        <f ca="1">IF($G$141&gt;=J140,1,0)</f>
        <v>1</v>
      </c>
      <c r="I140" s="45">
        <f ca="1">IF($G$147&gt;=J140,1,0)</f>
        <v>1</v>
      </c>
      <c r="J140" s="46">
        <v>0</v>
      </c>
      <c r="K140" s="47">
        <f>PORTADA!L21</f>
        <v>2.5982673671503327</v>
      </c>
      <c r="M140">
        <v>1</v>
      </c>
      <c r="N140" s="69">
        <f ca="1">IF(DATOSAÑO!$E315=0,0,((DATOSAÑO!$C315/DATOSAÑO!$E315)*1000)*DATOSAÑO!$E315/24)</f>
        <v>6125</v>
      </c>
      <c r="O140" s="70">
        <f ca="1">IF(DATOSAÑO!$L315=0,0,((DATOSAÑO!$J315/DATOSAÑO!$L315)*1000)*DATOSAÑO!$L315/24)</f>
        <v>12208.333333333334</v>
      </c>
      <c r="P140" s="78">
        <f ca="1">IF(N140&gt;0,(N140-$R$144)/($R$145-$R$144)*($S$145-$S$144)+$S$144,0)</f>
        <v>4.0365242327959576</v>
      </c>
      <c r="Q140" s="79">
        <f ca="1">IF(O140&gt;0,(O140-$R$150)/($R$151-$R$150)*($S$151-$S$150)+$S$150,0)</f>
        <v>5.4957787804379201</v>
      </c>
      <c r="R140" s="2260" t="s">
        <v>66</v>
      </c>
      <c r="S140" s="2261"/>
      <c r="T140" s="45">
        <f ca="1">IF($S$141&gt;=V140,1,0)</f>
        <v>1</v>
      </c>
      <c r="U140" s="45">
        <f ca="1">IF($S$147&gt;=V140,1,0)</f>
        <v>1</v>
      </c>
      <c r="V140" s="46">
        <v>0</v>
      </c>
      <c r="W140" s="47">
        <f>PORTADA!R21</f>
        <v>2.6282762299085656</v>
      </c>
    </row>
    <row r="141" spans="1:23">
      <c r="A141">
        <v>2</v>
      </c>
      <c r="B141" s="71">
        <f ca="1">IF(DATOSAÑO!E132=0,0,((DATOSAÑO!C132/DATOSAÑO!E132)*1000)*DATOSAÑO!E132/24)</f>
        <v>13029.166666664727</v>
      </c>
      <c r="C141" s="72">
        <f ca="1">IF(DATOSAÑO!L132=0,0,((DATOSAÑO!J132/DATOSAÑO!L132)*1000)*DATOSAÑO!L132/24)</f>
        <v>6166.666666666667</v>
      </c>
      <c r="D141" s="44">
        <f t="shared" ref="D141:E170" ca="1" si="32">IF(B141&gt;0,(B141-$F$150)/($F$151-$F$150)*($G$151-$G$150)+$G$150,0)</f>
        <v>5.2737714109177771</v>
      </c>
      <c r="E141" s="44">
        <f t="shared" ca="1" si="32"/>
        <v>3.8645756449809716</v>
      </c>
      <c r="F141" s="48" t="s">
        <v>67</v>
      </c>
      <c r="G141" s="49">
        <f ca="1">INDEX(B140:C170,B139,1)</f>
        <v>12797.916666667637</v>
      </c>
      <c r="H141" s="45">
        <f t="shared" ref="H141:H150" ca="1" si="33">IF($G$141&gt;=J141,1,0)</f>
        <v>1</v>
      </c>
      <c r="I141" s="45">
        <f t="shared" ref="I141:I150" ca="1" si="34">IF($G$147&gt;=J141,1,0)</f>
        <v>1</v>
      </c>
      <c r="J141" s="46">
        <v>2630</v>
      </c>
      <c r="K141" s="47">
        <f>PORTADA!L22</f>
        <v>3.1383307353710754</v>
      </c>
      <c r="M141">
        <v>2</v>
      </c>
      <c r="N141" s="71">
        <f ca="1">IF(DATOSAÑO!$E316=0,0,((DATOSAÑO!$C316/DATOSAÑO!$E316)*1000)*DATOSAÑO!$E316/24)</f>
        <v>0</v>
      </c>
      <c r="O141" s="72">
        <f ca="1">IF(DATOSAÑO!$L316=0,0,((DATOSAÑO!$J316/DATOSAÑO!$L316)*1000)*DATOSAÑO!$L316/24)</f>
        <v>0</v>
      </c>
      <c r="P141" s="82">
        <f t="shared" ref="P141:P169" ca="1" si="35">IF(N141&gt;0,(N141-$R$144)/($R$145-$R$144)*($S$145-$S$144)+$S$144,0)</f>
        <v>0</v>
      </c>
      <c r="Q141" s="44">
        <f t="shared" ref="Q141:Q169" ca="1" si="36">IF(O141&gt;0,(O141-$R$150)/($R$151-$R$150)*($S$151-$S$150)+$S$150,0)</f>
        <v>0</v>
      </c>
      <c r="R141" s="48" t="s">
        <v>67</v>
      </c>
      <c r="S141" s="49">
        <f ca="1">INDEX(N140:O170,N139,1)</f>
        <v>6125</v>
      </c>
      <c r="T141" s="45">
        <f t="shared" ref="T141:T150" ca="1" si="37">IF($S$141&gt;=V141,1,0)</f>
        <v>1</v>
      </c>
      <c r="U141" s="45">
        <f t="shared" ref="U141:U150" ca="1" si="38">IF($S$147&gt;=V141,1,0)</f>
        <v>1</v>
      </c>
      <c r="V141" s="46">
        <v>2630</v>
      </c>
      <c r="W141" s="47">
        <f>PORTADA!R22</f>
        <v>3.1745770961260824</v>
      </c>
    </row>
    <row r="142" spans="1:23">
      <c r="A142">
        <v>3</v>
      </c>
      <c r="B142" s="71">
        <f ca="1">IF(DATOSAÑO!E133=0,0,((DATOSAÑO!C133/DATOSAÑO!E133)*1000)*DATOSAÑO!E133/24)</f>
        <v>11916.666666666666</v>
      </c>
      <c r="C142" s="72">
        <f ca="1">IF(DATOSAÑO!L133=0,0,((DATOSAÑO!J133/DATOSAÑO!L133)*1000)*DATOSAÑO!L133/24)</f>
        <v>6083.333333333333</v>
      </c>
      <c r="D142" s="44">
        <f t="shared" ca="1" si="32"/>
        <v>5.0453225526879191</v>
      </c>
      <c r="E142" s="44">
        <f t="shared" ca="1" si="32"/>
        <v>3.8474633709562331</v>
      </c>
      <c r="F142" s="48" t="s">
        <v>68</v>
      </c>
      <c r="G142" s="50">
        <f ca="1">(G141-F144)/(F145-F144)*(G145-G144)+G144</f>
        <v>5.2262848504997255</v>
      </c>
      <c r="H142" s="45">
        <f t="shared" ca="1" si="33"/>
        <v>1</v>
      </c>
      <c r="I142" s="45">
        <f t="shared" ca="1" si="34"/>
        <v>1</v>
      </c>
      <c r="J142" s="46">
        <v>5260</v>
      </c>
      <c r="K142" s="47">
        <f>PORTADA!L23</f>
        <v>3.7684046649619409</v>
      </c>
      <c r="M142">
        <v>3</v>
      </c>
      <c r="N142" s="71">
        <f ca="1">IF(DATOSAÑO!$E317=0,0,((DATOSAÑO!$C317/DATOSAÑO!$E317)*1000)*DATOSAÑO!$E317/24)</f>
        <v>0</v>
      </c>
      <c r="O142" s="72">
        <f ca="1">IF(DATOSAÑO!$L317=0,0,((DATOSAÑO!$J317/DATOSAÑO!$L317)*1000)*DATOSAÑO!$L317/24)</f>
        <v>0</v>
      </c>
      <c r="P142" s="82">
        <f t="shared" ca="1" si="35"/>
        <v>0</v>
      </c>
      <c r="Q142" s="44">
        <f t="shared" ca="1" si="36"/>
        <v>0</v>
      </c>
      <c r="R142" s="48" t="s">
        <v>68</v>
      </c>
      <c r="S142" s="50">
        <f ca="1">(S141-R144)/(R145-R144)*(S145-S144)+S144</f>
        <v>4.0365242327959576</v>
      </c>
      <c r="T142" s="45">
        <f t="shared" ca="1" si="37"/>
        <v>1</v>
      </c>
      <c r="U142" s="45">
        <f t="shared" ca="1" si="38"/>
        <v>1</v>
      </c>
      <c r="V142" s="46">
        <v>5260</v>
      </c>
      <c r="W142" s="47">
        <f>PORTADA!R23</f>
        <v>3.8119281067131854</v>
      </c>
    </row>
    <row r="143" spans="1:23">
      <c r="A143">
        <v>4</v>
      </c>
      <c r="B143" s="71">
        <f ca="1">IF(DATOSAÑO!E134=0,0,((DATOSAÑO!C134/DATOSAÑO!E134)*1000)*DATOSAÑO!E134/24)</f>
        <v>12291.666666666666</v>
      </c>
      <c r="C143" s="72">
        <f ca="1">IF(DATOSAÑO!L134=0,0,((DATOSAÑO!J134/DATOSAÑO!L134)*1000)*DATOSAÑO!L134/24)</f>
        <v>6250</v>
      </c>
      <c r="D143" s="44">
        <f t="shared" ca="1" si="32"/>
        <v>5.1223277857992411</v>
      </c>
      <c r="E143" s="44">
        <f t="shared" ca="1" si="32"/>
        <v>3.8816879190057101</v>
      </c>
      <c r="F143" s="48"/>
      <c r="G143" s="45"/>
      <c r="H143" s="45">
        <f t="shared" ca="1" si="33"/>
        <v>1</v>
      </c>
      <c r="I143" s="45">
        <f t="shared" ca="1" si="34"/>
        <v>0</v>
      </c>
      <c r="J143" s="46">
        <v>7890</v>
      </c>
      <c r="K143" s="47">
        <f>PORTADA!L24</f>
        <v>4.4434838752378694</v>
      </c>
      <c r="M143">
        <v>4</v>
      </c>
      <c r="N143" s="71">
        <f ca="1">IF(DATOSAÑO!$E318=0,0,((DATOSAÑO!$C318/DATOSAÑO!$E318)*1000)*DATOSAÑO!$E318/24)</f>
        <v>0</v>
      </c>
      <c r="O143" s="72">
        <f ca="1">IF(DATOSAÑO!$L318=0,0,((DATOSAÑO!$J318/DATOSAÑO!$L318)*1000)*DATOSAÑO!$L318/24)</f>
        <v>0</v>
      </c>
      <c r="P143" s="82">
        <f t="shared" ca="1" si="35"/>
        <v>0</v>
      </c>
      <c r="Q143" s="44">
        <f t="shared" ca="1" si="36"/>
        <v>0</v>
      </c>
      <c r="R143" s="48"/>
      <c r="S143" s="45"/>
      <c r="T143" s="45">
        <f t="shared" ca="1" si="37"/>
        <v>0</v>
      </c>
      <c r="U143" s="45">
        <f t="shared" ca="1" si="38"/>
        <v>1</v>
      </c>
      <c r="V143" s="46">
        <v>7890</v>
      </c>
      <c r="W143" s="47">
        <f>PORTADA!R24</f>
        <v>4.4948041894850821</v>
      </c>
    </row>
    <row r="144" spans="1:23">
      <c r="A144">
        <v>5</v>
      </c>
      <c r="B144" s="71">
        <f ca="1">IF(DATOSAÑO!E135=0,0,((DATOSAÑO!C135/DATOSAÑO!E135)*1000)*DATOSAÑO!E135/24)</f>
        <v>13083.333333333334</v>
      </c>
      <c r="C144" s="72">
        <f ca="1">IF(DATOSAÑO!L135=0,0,((DATOSAÑO!J135/DATOSAÑO!L135)*1000)*DATOSAÑO!L135/24)</f>
        <v>6166.666666666667</v>
      </c>
      <c r="D144" s="44">
        <f t="shared" ca="1" si="32"/>
        <v>5.2848943890342559</v>
      </c>
      <c r="E144" s="44">
        <f t="shared" ca="1" si="32"/>
        <v>3.8645756449809716</v>
      </c>
      <c r="F144" s="51">
        <f>INDEX(J140:J150,H151)</f>
        <v>0</v>
      </c>
      <c r="G144" s="52">
        <f>INDEX(K140:K150,H151)</f>
        <v>2.5982673671503327</v>
      </c>
      <c r="H144" s="45">
        <f t="shared" ca="1" si="33"/>
        <v>1</v>
      </c>
      <c r="I144" s="45">
        <f t="shared" ca="1" si="34"/>
        <v>0</v>
      </c>
      <c r="J144" s="46">
        <v>10520</v>
      </c>
      <c r="K144" s="47">
        <f>PORTADA!L25</f>
        <v>5.0285525241436728</v>
      </c>
      <c r="M144">
        <v>5</v>
      </c>
      <c r="N144" s="71">
        <f ca="1">IF(DATOSAÑO!$E319=0,0,((DATOSAÑO!$C319/DATOSAÑO!$E319)*1000)*DATOSAÑO!$E319/24)</f>
        <v>0</v>
      </c>
      <c r="O144" s="72">
        <f ca="1">IF(DATOSAÑO!$L319=0,0,((DATOSAÑO!$J319/DATOSAÑO!$L319)*1000)*DATOSAÑO!$L319/24)</f>
        <v>0</v>
      </c>
      <c r="P144" s="82">
        <f t="shared" ca="1" si="35"/>
        <v>0</v>
      </c>
      <c r="Q144" s="44">
        <f t="shared" ca="1" si="36"/>
        <v>0</v>
      </c>
      <c r="R144" s="51">
        <f ca="1">INDEX(V140:V150,T151)</f>
        <v>5260</v>
      </c>
      <c r="S144" s="52">
        <f ca="1">INDEX(W140:W150,T151)</f>
        <v>3.8119281067131854</v>
      </c>
      <c r="T144" s="45">
        <f t="shared" ca="1" si="37"/>
        <v>0</v>
      </c>
      <c r="U144" s="45">
        <f t="shared" ca="1" si="38"/>
        <v>1</v>
      </c>
      <c r="V144" s="46">
        <v>10520</v>
      </c>
      <c r="W144" s="47">
        <f>PORTADA!R25</f>
        <v>5.0866301278873918</v>
      </c>
    </row>
    <row r="145" spans="1:23">
      <c r="A145">
        <v>6</v>
      </c>
      <c r="B145" s="71">
        <f ca="1">IF(DATOSAÑO!E136=0,0,((DATOSAÑO!C136/DATOSAÑO!E136)*1000)*DATOSAÑO!E136/24)</f>
        <v>9000</v>
      </c>
      <c r="C145" s="72">
        <f ca="1">IF(DATOSAÑO!L136=0,0,((DATOSAÑO!J136/DATOSAÑO!L136)*1000)*DATOSAÑO!L136/24)</f>
        <v>9916.6666666666661</v>
      </c>
      <c r="D145" s="82">
        <f t="shared" ref="D145:D170" ca="1" si="39">IF(B145&gt;0,(B145-$F$144)/($F$145-$F$144)*($G$145-$G$144)+$G$144,0)</f>
        <v>4.4463929618220757</v>
      </c>
      <c r="E145" s="44">
        <f t="shared" ca="1" si="32"/>
        <v>4.6346279760941975</v>
      </c>
      <c r="F145" s="51">
        <f>INDEX(J140:J150,H151+1)</f>
        <v>2630</v>
      </c>
      <c r="G145" s="52">
        <f>INDEX(K140:K150,H151+1)</f>
        <v>3.1383307353710754</v>
      </c>
      <c r="H145" s="45">
        <f t="shared" ca="1" si="33"/>
        <v>0</v>
      </c>
      <c r="I145" s="45">
        <f t="shared" ca="1" si="34"/>
        <v>0</v>
      </c>
      <c r="J145" s="46">
        <v>13150</v>
      </c>
      <c r="K145" s="47">
        <f>PORTADA!L26</f>
        <v>5.6586264537345379</v>
      </c>
      <c r="M145">
        <v>6</v>
      </c>
      <c r="N145" s="71">
        <f ca="1">IF(DATOSAÑO!$E320=0,0,((DATOSAÑO!$C320/DATOSAÑO!$E320)*1000)*DATOSAÑO!$E320/24)</f>
        <v>0</v>
      </c>
      <c r="O145" s="72">
        <f ca="1">IF(DATOSAÑO!$L320=0,0,((DATOSAÑO!$J320/DATOSAÑO!$L320)*1000)*DATOSAÑO!$L320/24)</f>
        <v>0</v>
      </c>
      <c r="P145" s="82">
        <f t="shared" ca="1" si="35"/>
        <v>0</v>
      </c>
      <c r="Q145" s="44">
        <f t="shared" ca="1" si="36"/>
        <v>0</v>
      </c>
      <c r="R145" s="51">
        <f ca="1">INDEX(V140:V150,T151+1)</f>
        <v>7890</v>
      </c>
      <c r="S145" s="52">
        <f ca="1">INDEX(W140:W150,T151+1)</f>
        <v>4.4948041894850821</v>
      </c>
      <c r="T145" s="45">
        <f t="shared" ca="1" si="37"/>
        <v>0</v>
      </c>
      <c r="U145" s="45">
        <f t="shared" ca="1" si="38"/>
        <v>0</v>
      </c>
      <c r="V145" s="46">
        <v>13150</v>
      </c>
      <c r="W145" s="47">
        <f>PORTADA!R26</f>
        <v>5.7239811384744934</v>
      </c>
    </row>
    <row r="146" spans="1:23">
      <c r="A146">
        <v>7</v>
      </c>
      <c r="B146" s="71">
        <f ca="1">IF(DATOSAÑO!E137=0,0,((DATOSAÑO!C137/DATOSAÑO!E137)*1000)*DATOSAÑO!E137/24)</f>
        <v>6208.333333333333</v>
      </c>
      <c r="C146" s="72">
        <f ca="1">IF(DATOSAÑO!L137=0,0,((DATOSAÑO!J137/DATOSAÑO!L137)*1000)*DATOSAÑO!L137/24)</f>
        <v>12541.666666666666</v>
      </c>
      <c r="D146" s="82">
        <f t="shared" ca="1" si="39"/>
        <v>3.8731317819933411</v>
      </c>
      <c r="E146" s="44">
        <f t="shared" ca="1" si="32"/>
        <v>5.1736646078734561</v>
      </c>
      <c r="F146" s="2260" t="s">
        <v>69</v>
      </c>
      <c r="G146" s="2261"/>
      <c r="H146" s="45">
        <f t="shared" ca="1" si="33"/>
        <v>0</v>
      </c>
      <c r="I146" s="45">
        <f t="shared" ca="1" si="34"/>
        <v>0</v>
      </c>
      <c r="J146" s="46">
        <v>15780</v>
      </c>
      <c r="K146" s="47">
        <f>PORTADA!L27</f>
        <v>6.3337056640104663</v>
      </c>
      <c r="M146">
        <v>7</v>
      </c>
      <c r="N146" s="71">
        <f ca="1">IF(DATOSAÑO!$E321=0,0,((DATOSAÑO!$C321/DATOSAÑO!$E321)*1000)*DATOSAÑO!$E321/24)</f>
        <v>0</v>
      </c>
      <c r="O146" s="72">
        <f ca="1">IF(DATOSAÑO!$L321=0,0,((DATOSAÑO!$J321/DATOSAÑO!$L321)*1000)*DATOSAÑO!$L321/24)</f>
        <v>0</v>
      </c>
      <c r="P146" s="82">
        <f t="shared" ca="1" si="35"/>
        <v>0</v>
      </c>
      <c r="Q146" s="44">
        <f t="shared" ca="1" si="36"/>
        <v>0</v>
      </c>
      <c r="R146" s="2260" t="s">
        <v>69</v>
      </c>
      <c r="S146" s="2261"/>
      <c r="T146" s="45">
        <f t="shared" ca="1" si="37"/>
        <v>0</v>
      </c>
      <c r="U146" s="45">
        <f t="shared" ca="1" si="38"/>
        <v>0</v>
      </c>
      <c r="V146" s="46">
        <v>15780</v>
      </c>
      <c r="W146" s="47">
        <f>PORTADA!R27</f>
        <v>6.4068572212463906</v>
      </c>
    </row>
    <row r="147" spans="1:23">
      <c r="A147">
        <v>8</v>
      </c>
      <c r="B147" s="71">
        <f ca="1">IF(DATOSAÑO!E138=0,0,((DATOSAÑO!C138/DATOSAÑO!E138)*1000)*DATOSAÑO!E138/24)</f>
        <v>6166.666666666667</v>
      </c>
      <c r="C147" s="72">
        <f ca="1">IF(DATOSAÑO!L138=0,0,((DATOSAÑO!J138/DATOSAÑO!L138)*1000)*DATOSAÑO!L138/24)</f>
        <v>12166.666666666666</v>
      </c>
      <c r="D147" s="82">
        <f t="shared" ca="1" si="39"/>
        <v>3.8645756449809716</v>
      </c>
      <c r="E147" s="44">
        <f t="shared" ca="1" si="32"/>
        <v>5.0966593747621332</v>
      </c>
      <c r="F147" s="48" t="s">
        <v>67</v>
      </c>
      <c r="G147" s="49">
        <f ca="1">INDEX(B140:C170,B139,2)</f>
        <v>6045.833333333273</v>
      </c>
      <c r="H147" s="45">
        <f t="shared" ca="1" si="33"/>
        <v>0</v>
      </c>
      <c r="I147" s="45">
        <f t="shared" ca="1" si="34"/>
        <v>0</v>
      </c>
      <c r="J147" s="46">
        <v>18410</v>
      </c>
      <c r="K147" s="47">
        <f>PORTADA!L28</f>
        <v>7.098795435656517</v>
      </c>
      <c r="M147">
        <v>8</v>
      </c>
      <c r="N147" s="71">
        <f ca="1">IF(DATOSAÑO!$E322=0,0,((DATOSAÑO!$C322/DATOSAÑO!$E322)*1000)*DATOSAÑO!$E322/24)</f>
        <v>0</v>
      </c>
      <c r="O147" s="72">
        <f ca="1">IF(DATOSAÑO!$L322=0,0,((DATOSAÑO!$J322/DATOSAÑO!$L322)*1000)*DATOSAÑO!$L322/24)</f>
        <v>0</v>
      </c>
      <c r="P147" s="82">
        <f t="shared" ca="1" si="35"/>
        <v>0</v>
      </c>
      <c r="Q147" s="44">
        <f t="shared" ca="1" si="36"/>
        <v>0</v>
      </c>
      <c r="R147" s="48" t="s">
        <v>67</v>
      </c>
      <c r="S147" s="49">
        <f ca="1">INDEX(N140:O170,N139,2)</f>
        <v>12208.333333333334</v>
      </c>
      <c r="T147" s="45">
        <f t="shared" ca="1" si="37"/>
        <v>0</v>
      </c>
      <c r="U147" s="45">
        <f t="shared" ca="1" si="38"/>
        <v>0</v>
      </c>
      <c r="V147" s="46">
        <v>18410</v>
      </c>
      <c r="W147" s="47">
        <f>PORTADA!R28</f>
        <v>7.1807834483878716</v>
      </c>
    </row>
    <row r="148" spans="1:23">
      <c r="A148">
        <v>9</v>
      </c>
      <c r="B148" s="71">
        <f ca="1">IF(DATOSAÑO!E139=0,0,((DATOSAÑO!C139/DATOSAÑO!E139)*1000)*DATOSAÑO!E139/24)</f>
        <v>6345.8333333352739</v>
      </c>
      <c r="C148" s="72">
        <f ca="1">IF(DATOSAÑO!L139=0,0,((DATOSAÑO!J139/DATOSAÑO!L139)*1000)*DATOSAÑO!L139/24)</f>
        <v>12329.166666666728</v>
      </c>
      <c r="D148" s="82">
        <f t="shared" ca="1" si="39"/>
        <v>3.9013670341345574</v>
      </c>
      <c r="E148" s="44">
        <f t="shared" ca="1" si="32"/>
        <v>5.1300283091103864</v>
      </c>
      <c r="F148" s="48" t="s">
        <v>68</v>
      </c>
      <c r="G148" s="50">
        <f ca="1">(G147-F150)/(F151-F150)*(G151-G150)+G150</f>
        <v>3.8397628476450887</v>
      </c>
      <c r="H148" s="45">
        <f t="shared" ca="1" si="33"/>
        <v>0</v>
      </c>
      <c r="I148" s="45">
        <f t="shared" ca="1" si="34"/>
        <v>0</v>
      </c>
      <c r="J148" s="46">
        <v>21040</v>
      </c>
      <c r="K148" s="47">
        <f>PORTADA!L29</f>
        <v>7.818879926617508</v>
      </c>
      <c r="M148">
        <v>9</v>
      </c>
      <c r="N148" s="71">
        <f ca="1">IF(DATOSAÑO!$E323=0,0,((DATOSAÑO!$C323/DATOSAÑO!$E323)*1000)*DATOSAÑO!$E323/24)</f>
        <v>0</v>
      </c>
      <c r="O148" s="72">
        <f ca="1">IF(DATOSAÑO!$L323=0,0,((DATOSAÑO!$J323/DATOSAÑO!$L323)*1000)*DATOSAÑO!$L323/24)</f>
        <v>0</v>
      </c>
      <c r="P148" s="82">
        <f t="shared" ca="1" si="35"/>
        <v>0</v>
      </c>
      <c r="Q148" s="44">
        <f t="shared" ca="1" si="36"/>
        <v>0</v>
      </c>
      <c r="R148" s="48" t="s">
        <v>68</v>
      </c>
      <c r="S148" s="50">
        <f ca="1">(S147-R150)/(R151-R150)*(S151-S150)+S150</f>
        <v>5.4957787804379201</v>
      </c>
      <c r="T148" s="45">
        <f t="shared" ca="1" si="37"/>
        <v>0</v>
      </c>
      <c r="U148" s="45">
        <f t="shared" ca="1" si="38"/>
        <v>0</v>
      </c>
      <c r="V148" s="46">
        <v>21040</v>
      </c>
      <c r="W148" s="47">
        <f>PORTADA!R29</f>
        <v>7.9091846033445616</v>
      </c>
    </row>
    <row r="149" spans="1:23">
      <c r="A149">
        <v>10</v>
      </c>
      <c r="B149" s="71">
        <f ca="1">IF(DATOSAÑO!E140=0,0,((DATOSAÑO!C140/DATOSAÑO!E140)*1000)*DATOSAÑO!E140/24)</f>
        <v>6149.9999999990296</v>
      </c>
      <c r="C149" s="72">
        <f ca="1">IF(DATOSAÑO!L140=0,0,((DATOSAÑO!J140/DATOSAÑO!L140)*1000)*DATOSAÑO!L140/24)</f>
        <v>12162.50000000006</v>
      </c>
      <c r="D149" s="82">
        <f t="shared" ca="1" si="39"/>
        <v>3.8611531901758243</v>
      </c>
      <c r="E149" s="44">
        <f t="shared" ca="1" si="32"/>
        <v>5.0958037610609095</v>
      </c>
      <c r="F149" s="48"/>
      <c r="G149" s="45"/>
      <c r="H149" s="45">
        <f t="shared" ca="1" si="33"/>
        <v>0</v>
      </c>
      <c r="I149" s="45">
        <f t="shared" ca="1" si="34"/>
        <v>0</v>
      </c>
      <c r="J149" s="46">
        <v>23670</v>
      </c>
      <c r="K149" s="47">
        <f>PORTADA!L30</f>
        <v>8.538964417578498</v>
      </c>
      <c r="M149">
        <v>10</v>
      </c>
      <c r="N149" s="71">
        <f ca="1">IF(DATOSAÑO!$E324=0,0,((DATOSAÑO!$C324/DATOSAÑO!$E324)*1000)*DATOSAÑO!$E324/24)</f>
        <v>0</v>
      </c>
      <c r="O149" s="72">
        <f ca="1">IF(DATOSAÑO!$L324=0,0,((DATOSAÑO!$J324/DATOSAÑO!$L324)*1000)*DATOSAÑO!$L324/24)</f>
        <v>0</v>
      </c>
      <c r="P149" s="82">
        <f t="shared" ca="1" si="35"/>
        <v>0</v>
      </c>
      <c r="Q149" s="44">
        <f t="shared" ca="1" si="36"/>
        <v>0</v>
      </c>
      <c r="R149" s="48"/>
      <c r="S149" s="45"/>
      <c r="T149" s="45">
        <f t="shared" ca="1" si="37"/>
        <v>0</v>
      </c>
      <c r="U149" s="45">
        <f t="shared" ca="1" si="38"/>
        <v>0</v>
      </c>
      <c r="V149" s="46">
        <v>23670</v>
      </c>
      <c r="W149" s="47">
        <f>PORTADA!R30</f>
        <v>8.6375857583012525</v>
      </c>
    </row>
    <row r="150" spans="1:23">
      <c r="A150">
        <v>11</v>
      </c>
      <c r="B150" s="71">
        <f ca="1">IF(DATOSAÑO!E141=0,0,((DATOSAÑO!C141/DATOSAÑO!E141)*1000)*DATOSAÑO!E141/24)</f>
        <v>6212.4999999990296</v>
      </c>
      <c r="C150" s="72">
        <f ca="1">IF(DATOSAÑO!L141=0,0,((DATOSAÑO!J141/DATOSAÑO!L141)*1000)*DATOSAÑO!L141/24)</f>
        <v>12754.166666666606</v>
      </c>
      <c r="D150" s="82">
        <f t="shared" ca="1" si="39"/>
        <v>3.8739873956943782</v>
      </c>
      <c r="E150" s="44">
        <f t="shared" ca="1" si="32"/>
        <v>5.2173009066365266</v>
      </c>
      <c r="F150" s="51">
        <f ca="1">INDEX(J140:J150,I151)</f>
        <v>0</v>
      </c>
      <c r="G150" s="52">
        <f ca="1">INDEX(K140:K150,I151)</f>
        <v>2.5982673671503327</v>
      </c>
      <c r="H150" s="45">
        <f t="shared" ca="1" si="33"/>
        <v>0</v>
      </c>
      <c r="I150" s="45">
        <f t="shared" ca="1" si="34"/>
        <v>0</v>
      </c>
      <c r="J150" s="46">
        <v>26300</v>
      </c>
      <c r="K150" s="47">
        <f>PORTADA!L31</f>
        <v>9.2590489085394871</v>
      </c>
      <c r="M150">
        <v>11</v>
      </c>
      <c r="N150" s="71">
        <f ca="1">IF(DATOSAÑO!$E325=0,0,((DATOSAÑO!$C325/DATOSAÑO!$E325)*1000)*DATOSAÑO!$E325/24)</f>
        <v>0</v>
      </c>
      <c r="O150" s="72">
        <f ca="1">IF(DATOSAÑO!$L325=0,0,((DATOSAÑO!$J325/DATOSAÑO!$L325)*1000)*DATOSAÑO!$L325/24)</f>
        <v>0</v>
      </c>
      <c r="P150" s="82">
        <f t="shared" ca="1" si="35"/>
        <v>0</v>
      </c>
      <c r="Q150" s="44">
        <f t="shared" ca="1" si="36"/>
        <v>0</v>
      </c>
      <c r="R150" s="51">
        <f ca="1">INDEX(V140:V150,U151)</f>
        <v>10520</v>
      </c>
      <c r="S150" s="52">
        <f ca="1">INDEX(W140:W150,U151)</f>
        <v>5.0866301278873918</v>
      </c>
      <c r="T150" s="45">
        <f t="shared" ca="1" si="37"/>
        <v>0</v>
      </c>
      <c r="U150" s="45">
        <f t="shared" ca="1" si="38"/>
        <v>0</v>
      </c>
      <c r="V150" s="46">
        <v>26300</v>
      </c>
      <c r="W150" s="47">
        <f>PORTADA!R31</f>
        <v>9.3659869132579399</v>
      </c>
    </row>
    <row r="151" spans="1:23" ht="15" thickBot="1">
      <c r="A151">
        <v>12</v>
      </c>
      <c r="B151" s="71">
        <f ca="1">IF(DATOSAÑO!E142=0,0,((DATOSAÑO!C142/DATOSAÑO!E142)*1000)*DATOSAÑO!E142/24)</f>
        <v>6250</v>
      </c>
      <c r="C151" s="72">
        <f ca="1">IF(DATOSAÑO!L142=0,0,((DATOSAÑO!J142/DATOSAÑO!L142)*1000)*DATOSAÑO!L142/24)</f>
        <v>12337.49999999994</v>
      </c>
      <c r="D151" s="82">
        <f t="shared" ca="1" si="39"/>
        <v>3.8816879190057101</v>
      </c>
      <c r="E151" s="44">
        <f t="shared" ca="1" si="32"/>
        <v>5.1317395365128355</v>
      </c>
      <c r="F151" s="53">
        <f ca="1">INDEX(J140:J150,I151+1)</f>
        <v>2630</v>
      </c>
      <c r="G151" s="54">
        <f ca="1">INDEX(K140:K150,I151+1)</f>
        <v>3.1383307353710754</v>
      </c>
      <c r="H151" s="55">
        <f>IF($G$140&gt;=J151,1,0)</f>
        <v>1</v>
      </c>
      <c r="I151" s="55">
        <f ca="1">IF($G$147&gt;=J151,1,0)</f>
        <v>1</v>
      </c>
      <c r="J151" s="55"/>
      <c r="K151" s="55"/>
      <c r="M151">
        <v>12</v>
      </c>
      <c r="N151" s="71">
        <f ca="1">IF(DATOSAÑO!$E326=0,0,((DATOSAÑO!$C326/DATOSAÑO!$E326)*1000)*DATOSAÑO!$E326/24)</f>
        <v>0</v>
      </c>
      <c r="O151" s="72">
        <f ca="1">IF(DATOSAÑO!$L326=0,0,((DATOSAÑO!$J326/DATOSAÑO!$L326)*1000)*DATOSAÑO!$L326/24)</f>
        <v>0</v>
      </c>
      <c r="P151" s="82">
        <f t="shared" ca="1" si="35"/>
        <v>0</v>
      </c>
      <c r="Q151" s="44">
        <f t="shared" ca="1" si="36"/>
        <v>0</v>
      </c>
      <c r="R151" s="53">
        <f ca="1">INDEX(V140:V150,U151+1)</f>
        <v>13150</v>
      </c>
      <c r="S151" s="54">
        <f ca="1">INDEX(W140:W150,U151+1)</f>
        <v>5.7239811384744934</v>
      </c>
      <c r="T151" s="55">
        <f ca="1">SUM(T140:T150)</f>
        <v>3</v>
      </c>
      <c r="U151" s="55">
        <f ca="1">SUM(U140:U150)</f>
        <v>5</v>
      </c>
      <c r="V151" s="55"/>
      <c r="W151" s="55"/>
    </row>
    <row r="152" spans="1:23">
      <c r="A152">
        <v>13</v>
      </c>
      <c r="B152" s="71">
        <f ca="1">IF(DATOSAÑO!E143=0,0,((DATOSAÑO!C143/DATOSAÑO!E143)*1000)*DATOSAÑO!E143/24)</f>
        <v>6250</v>
      </c>
      <c r="C152" s="72">
        <f ca="1">IF(DATOSAÑO!L143=0,0,((DATOSAÑO!J143/DATOSAÑO!L143)*1000)*DATOSAÑO!L143/24)</f>
        <v>11666.666666666666</v>
      </c>
      <c r="D152" s="82">
        <f t="shared" ca="1" si="39"/>
        <v>3.8816879190057101</v>
      </c>
      <c r="E152" s="44">
        <f t="shared" ca="1" si="32"/>
        <v>4.9939857306137032</v>
      </c>
      <c r="F152" s="56"/>
      <c r="G152" s="56"/>
      <c r="H152" s="56"/>
      <c r="I152" s="56"/>
      <c r="J152" s="56"/>
      <c r="K152" s="56"/>
      <c r="M152">
        <v>13</v>
      </c>
      <c r="N152" s="71">
        <f ca="1">IF(DATOSAÑO!$E327=0,0,((DATOSAÑO!$C327/DATOSAÑO!$E327)*1000)*DATOSAÑO!$E327/24)</f>
        <v>0</v>
      </c>
      <c r="O152" s="72">
        <f ca="1">IF(DATOSAÑO!$L327=0,0,((DATOSAÑO!$J327/DATOSAÑO!$L327)*1000)*DATOSAÑO!$L327/24)</f>
        <v>0</v>
      </c>
      <c r="P152" s="82">
        <f t="shared" ca="1" si="35"/>
        <v>0</v>
      </c>
      <c r="Q152" s="44">
        <f t="shared" ca="1" si="36"/>
        <v>0</v>
      </c>
      <c r="R152" s="56"/>
      <c r="S152" s="56"/>
      <c r="T152" s="56"/>
      <c r="U152" s="56"/>
      <c r="V152" s="56"/>
      <c r="W152" s="56"/>
    </row>
    <row r="153" spans="1:23">
      <c r="A153">
        <v>14</v>
      </c>
      <c r="B153" s="71">
        <f ca="1">IF(DATOSAÑO!E144=0,0,((DATOSAÑO!C144/DATOSAÑO!E144)*1000)*DATOSAÑO!E144/24)</f>
        <v>1333.3333333333335</v>
      </c>
      <c r="C153" s="72">
        <f ca="1">IF(DATOSAÑO!L144=0,0,((DATOSAÑO!J144/DATOSAÑO!L144)*1000)*DATOSAÑO!L144/24)</f>
        <v>16416.666666666668</v>
      </c>
      <c r="D153" s="82">
        <f t="shared" ca="1" si="39"/>
        <v>2.8720637515461465</v>
      </c>
      <c r="E153" s="44">
        <f t="shared" ca="1" si="32"/>
        <v>5.9693853500237903</v>
      </c>
      <c r="F153" s="56"/>
      <c r="G153" s="56"/>
      <c r="H153" s="56"/>
      <c r="I153" s="56"/>
      <c r="J153" s="56"/>
      <c r="K153" s="56"/>
      <c r="M153">
        <v>14</v>
      </c>
      <c r="N153" s="71">
        <f ca="1">IF(DATOSAÑO!$E328=0,0,((DATOSAÑO!$C328/DATOSAÑO!$E328)*1000)*DATOSAÑO!$E328/24)</f>
        <v>0</v>
      </c>
      <c r="O153" s="72">
        <f ca="1">IF(DATOSAÑO!$L328=0,0,((DATOSAÑO!$J328/DATOSAÑO!$L328)*1000)*DATOSAÑO!$L328/24)</f>
        <v>0</v>
      </c>
      <c r="P153" s="82">
        <f t="shared" ca="1" si="35"/>
        <v>0</v>
      </c>
      <c r="Q153" s="44">
        <f t="shared" ca="1" si="36"/>
        <v>0</v>
      </c>
      <c r="R153" s="56"/>
      <c r="S153" s="56"/>
      <c r="T153" s="56"/>
      <c r="U153" s="56"/>
      <c r="V153" s="56"/>
      <c r="W153" s="56"/>
    </row>
    <row r="154" spans="1:23">
      <c r="A154">
        <v>15</v>
      </c>
      <c r="B154" s="71">
        <f ca="1">IF(DATOSAÑO!E145=0,0,((DATOSAÑO!C145/DATOSAÑO!E145)*1000)*DATOSAÑO!E145/24)</f>
        <v>6083.333333333333</v>
      </c>
      <c r="C154" s="72">
        <f ca="1">IF(DATOSAÑO!L145=0,0,((DATOSAÑO!J145/DATOSAÑO!L145)*1000)*DATOSAÑO!L145/24)</f>
        <v>12583.333333333334</v>
      </c>
      <c r="D154" s="82">
        <f t="shared" ca="1" si="39"/>
        <v>3.8474633709562331</v>
      </c>
      <c r="E154" s="44">
        <f t="shared" ca="1" si="32"/>
        <v>5.1822207448858251</v>
      </c>
      <c r="F154" s="56"/>
      <c r="G154" s="56"/>
      <c r="H154" s="56"/>
      <c r="I154" s="56"/>
      <c r="J154" s="56"/>
      <c r="K154" s="56"/>
      <c r="M154">
        <v>15</v>
      </c>
      <c r="N154" s="71">
        <f ca="1">IF(DATOSAÑO!$E329=0,0,((DATOSAÑO!$C329/DATOSAÑO!$E329)*1000)*DATOSAÑO!$E329/24)</f>
        <v>0</v>
      </c>
      <c r="O154" s="72">
        <f ca="1">IF(DATOSAÑO!$L329=0,0,((DATOSAÑO!$J329/DATOSAÑO!$L329)*1000)*DATOSAÑO!$L329/24)</f>
        <v>0</v>
      </c>
      <c r="P154" s="82">
        <f t="shared" ca="1" si="35"/>
        <v>0</v>
      </c>
      <c r="Q154" s="44">
        <f t="shared" ca="1" si="36"/>
        <v>0</v>
      </c>
      <c r="R154" s="56"/>
      <c r="S154" s="56"/>
      <c r="T154" s="56"/>
      <c r="U154" s="56"/>
      <c r="V154" s="56"/>
      <c r="W154" s="56"/>
    </row>
    <row r="155" spans="1:23">
      <c r="A155">
        <v>16</v>
      </c>
      <c r="B155" s="71">
        <f ca="1">IF(DATOSAÑO!E146=0,0,((DATOSAÑO!C146/DATOSAÑO!E146)*1000)*DATOSAÑO!E146/24)</f>
        <v>5750</v>
      </c>
      <c r="C155" s="72">
        <f ca="1">IF(DATOSAÑO!L146=0,0,((DATOSAÑO!J146/DATOSAÑO!L146)*1000)*DATOSAÑO!L146/24)</f>
        <v>12416.666666666666</v>
      </c>
      <c r="D155" s="82">
        <f t="shared" ca="1" si="39"/>
        <v>3.7790142748572797</v>
      </c>
      <c r="E155" s="44">
        <f t="shared" ca="1" si="32"/>
        <v>5.147996196836349</v>
      </c>
      <c r="F155" s="56"/>
      <c r="G155" s="56"/>
      <c r="H155" s="56"/>
      <c r="I155" s="56"/>
      <c r="J155" s="56"/>
      <c r="K155" s="56"/>
      <c r="M155">
        <v>16</v>
      </c>
      <c r="N155" s="71">
        <f ca="1">IF(DATOSAÑO!$E330=0,0,((DATOSAÑO!$C330/DATOSAÑO!$E330)*1000)*DATOSAÑO!$E330/24)</f>
        <v>0</v>
      </c>
      <c r="O155" s="72">
        <f ca="1">IF(DATOSAÑO!$L330=0,0,((DATOSAÑO!$J330/DATOSAÑO!$L330)*1000)*DATOSAÑO!$L330/24)</f>
        <v>0</v>
      </c>
      <c r="P155" s="82">
        <f t="shared" ca="1" si="35"/>
        <v>0</v>
      </c>
      <c r="Q155" s="44">
        <f t="shared" ca="1" si="36"/>
        <v>0</v>
      </c>
      <c r="R155" s="56"/>
      <c r="S155" s="56"/>
      <c r="T155" s="56"/>
      <c r="U155" s="56"/>
      <c r="V155" s="56"/>
      <c r="W155" s="56"/>
    </row>
    <row r="156" spans="1:23">
      <c r="A156">
        <v>17</v>
      </c>
      <c r="B156" s="71">
        <f ca="1">IF(DATOSAÑO!E147=0,0,((DATOSAÑO!C147/DATOSAÑO!E147)*1000)*DATOSAÑO!E147/24)</f>
        <v>5624.5833333329456</v>
      </c>
      <c r="C156" s="72">
        <f ca="1">IF(DATOSAÑO!L147=0,0,((DATOSAÑO!J147/DATOSAÑO!L147)*1000)*DATOSAÑO!L147/24)</f>
        <v>12685.416666666546</v>
      </c>
      <c r="D156" s="82">
        <f t="shared" ca="1" si="39"/>
        <v>3.7532603024499691</v>
      </c>
      <c r="E156" s="44">
        <f t="shared" ca="1" si="32"/>
        <v>5.2031832805661047</v>
      </c>
      <c r="F156" s="56"/>
      <c r="G156" s="56"/>
      <c r="H156" s="57"/>
      <c r="I156" s="56"/>
      <c r="J156" s="56"/>
      <c r="K156" s="56"/>
      <c r="M156">
        <v>17</v>
      </c>
      <c r="N156" s="71">
        <f ca="1">IF(DATOSAÑO!$E331=0,0,((DATOSAÑO!$C331/DATOSAÑO!$E331)*1000)*DATOSAÑO!$E331/24)</f>
        <v>0</v>
      </c>
      <c r="O156" s="72">
        <f ca="1">IF(DATOSAÑO!$L331=0,0,((DATOSAÑO!$J331/DATOSAÑO!$L331)*1000)*DATOSAÑO!$L331/24)</f>
        <v>0</v>
      </c>
      <c r="P156" s="82">
        <f t="shared" ca="1" si="35"/>
        <v>0</v>
      </c>
      <c r="Q156" s="44">
        <f t="shared" ca="1" si="36"/>
        <v>0</v>
      </c>
      <c r="R156" s="56"/>
      <c r="S156" s="56"/>
      <c r="T156" s="57"/>
      <c r="U156" s="56"/>
      <c r="V156" s="56"/>
      <c r="W156" s="56"/>
    </row>
    <row r="157" spans="1:23">
      <c r="A157">
        <v>18</v>
      </c>
      <c r="B157" s="71">
        <f ca="1">IF(DATOSAÑO!E148=0,0,((DATOSAÑO!C148/DATOSAÑO!E148)*1000)*DATOSAÑO!E148/24)</f>
        <v>7365.6250000009704</v>
      </c>
      <c r="C157" s="72">
        <f ca="1">IF(DATOSAÑO!L148=0,0,((DATOSAÑO!J148/DATOSAÑO!L148)*1000)*DATOSAÑO!L148/24)</f>
        <v>11182.416666666844</v>
      </c>
      <c r="D157" s="82">
        <f t="shared" ca="1" si="39"/>
        <v>4.1107784875120945</v>
      </c>
      <c r="E157" s="44">
        <f t="shared" ca="1" si="32"/>
        <v>4.894546306255986</v>
      </c>
      <c r="F157" s="56"/>
      <c r="G157" s="56"/>
      <c r="H157" s="56"/>
      <c r="I157" s="56"/>
      <c r="J157" s="56"/>
      <c r="K157" s="56"/>
      <c r="M157">
        <v>18</v>
      </c>
      <c r="N157" s="71">
        <f ca="1">IF(DATOSAÑO!$E332=0,0,((DATOSAÑO!$C332/DATOSAÑO!$E332)*1000)*DATOSAÑO!$E332/24)</f>
        <v>0</v>
      </c>
      <c r="O157" s="72">
        <f ca="1">IF(DATOSAÑO!$L332=0,0,((DATOSAÑO!$J332/DATOSAÑO!$L332)*1000)*DATOSAÑO!$L332/24)</f>
        <v>0</v>
      </c>
      <c r="P157" s="82">
        <f t="shared" ca="1" si="35"/>
        <v>0</v>
      </c>
      <c r="Q157" s="44">
        <f t="shared" ca="1" si="36"/>
        <v>0</v>
      </c>
      <c r="R157" s="56"/>
      <c r="S157" s="56"/>
      <c r="T157" s="56"/>
      <c r="U157" s="56"/>
      <c r="V157" s="56"/>
      <c r="W157" s="56"/>
    </row>
    <row r="158" spans="1:23">
      <c r="A158">
        <v>19</v>
      </c>
      <c r="B158" s="71">
        <f ca="1">IF(DATOSAÑO!E149=0,0,((DATOSAÑO!C149/DATOSAÑO!E149)*1000)*DATOSAÑO!E149/24)</f>
        <v>12148.541666664338</v>
      </c>
      <c r="C158" s="72">
        <f ca="1">IF(DATOSAÑO!L149=0,0,((DATOSAÑO!J149/DATOSAÑO!L149)*1000)*DATOSAÑO!L149/24)</f>
        <v>6145.9583333332075</v>
      </c>
      <c r="D158" s="82">
        <f t="shared" ca="1" si="39"/>
        <v>5.0929374551612749</v>
      </c>
      <c r="E158" s="44">
        <f t="shared" ca="1" si="32"/>
        <v>3.860323244885798</v>
      </c>
      <c r="F158" s="56"/>
      <c r="G158" s="56"/>
      <c r="H158" s="56"/>
      <c r="I158" s="56"/>
      <c r="J158" s="56"/>
      <c r="K158" s="58"/>
      <c r="M158">
        <v>19</v>
      </c>
      <c r="N158" s="71">
        <f ca="1">IF(DATOSAÑO!$E333=0,0,((DATOSAÑO!$C333/DATOSAÑO!$E333)*1000)*DATOSAÑO!$E333/24)</f>
        <v>0</v>
      </c>
      <c r="O158" s="72">
        <f ca="1">IF(DATOSAÑO!$L333=0,0,((DATOSAÑO!$J333/DATOSAÑO!$L333)*1000)*DATOSAÑO!$L333/24)</f>
        <v>0</v>
      </c>
      <c r="P158" s="82">
        <f t="shared" ca="1" si="35"/>
        <v>0</v>
      </c>
      <c r="Q158" s="44">
        <f t="shared" ca="1" si="36"/>
        <v>0</v>
      </c>
      <c r="R158" s="56"/>
      <c r="S158" s="56"/>
      <c r="T158" s="56"/>
      <c r="U158" s="56"/>
      <c r="V158" s="56"/>
      <c r="W158" s="58"/>
    </row>
    <row r="159" spans="1:23">
      <c r="A159">
        <v>20</v>
      </c>
      <c r="B159" s="71">
        <f ca="1">IF(DATOSAÑO!E150=0,0,((DATOSAÑO!C150/DATOSAÑO!E150)*1000)*DATOSAÑO!E150/24)</f>
        <v>12819.58333333508</v>
      </c>
      <c r="C159" s="72">
        <f ca="1">IF(DATOSAÑO!L150=0,0,((DATOSAÑO!J150/DATOSAÑO!L150)*1000)*DATOSAÑO!L150/24)</f>
        <v>6151.7499999999927</v>
      </c>
      <c r="D159" s="82">
        <f t="shared" ca="1" si="39"/>
        <v>5.2307340417463175</v>
      </c>
      <c r="E159" s="44">
        <f t="shared" ca="1" si="32"/>
        <v>3.8615125479305421</v>
      </c>
      <c r="F159" s="56"/>
      <c r="G159" s="56"/>
      <c r="H159" s="56"/>
      <c r="I159" s="56"/>
      <c r="J159" s="56"/>
      <c r="K159" s="56"/>
      <c r="M159">
        <v>20</v>
      </c>
      <c r="N159" s="71">
        <f ca="1">IF(DATOSAÑO!$E334=0,0,((DATOSAÑO!$C334/DATOSAÑO!$E334)*1000)*DATOSAÑO!$E334/24)</f>
        <v>0</v>
      </c>
      <c r="O159" s="72">
        <f ca="1">IF(DATOSAÑO!$L334=0,0,((DATOSAÑO!$J334/DATOSAÑO!$L334)*1000)*DATOSAÑO!$L334/24)</f>
        <v>0</v>
      </c>
      <c r="P159" s="82">
        <f t="shared" ca="1" si="35"/>
        <v>0</v>
      </c>
      <c r="Q159" s="44">
        <f t="shared" ca="1" si="36"/>
        <v>0</v>
      </c>
      <c r="R159" s="56"/>
      <c r="S159" s="56"/>
      <c r="T159" s="56"/>
      <c r="U159" s="56"/>
      <c r="V159" s="56"/>
      <c r="W159" s="56"/>
    </row>
    <row r="160" spans="1:23">
      <c r="A160">
        <v>21</v>
      </c>
      <c r="B160" s="71">
        <f ca="1">IF(DATOSAÑO!E151=0,0,((DATOSAÑO!C151/DATOSAÑO!E151)*1000)*DATOSAÑO!E151/24)</f>
        <v>12635.416666666666</v>
      </c>
      <c r="C160" s="72">
        <f ca="1">IF(DATOSAÑO!L151=0,0,((DATOSAÑO!J151/DATOSAÑO!L151)*1000)*DATOSAÑO!L151/24)</f>
        <v>6150.9583333333167</v>
      </c>
      <c r="D160" s="82">
        <f t="shared" ca="1" si="39"/>
        <v>5.1929159161512874</v>
      </c>
      <c r="E160" s="44">
        <f t="shared" ca="1" si="32"/>
        <v>3.8613499813273053</v>
      </c>
      <c r="F160" s="56"/>
      <c r="G160" s="56"/>
      <c r="H160" s="56"/>
      <c r="I160" s="56"/>
      <c r="J160" s="56"/>
      <c r="K160" s="56"/>
      <c r="M160">
        <v>21</v>
      </c>
      <c r="N160" s="71">
        <f ca="1">IF(DATOSAÑO!$E335=0,0,((DATOSAÑO!$C335/DATOSAÑO!$E335)*1000)*DATOSAÑO!$E335/24)</f>
        <v>0</v>
      </c>
      <c r="O160" s="72">
        <f ca="1">IF(DATOSAÑO!$L335=0,0,((DATOSAÑO!$J335/DATOSAÑO!$L335)*1000)*DATOSAÑO!$L335/24)</f>
        <v>0</v>
      </c>
      <c r="P160" s="82">
        <f t="shared" ca="1" si="35"/>
        <v>0</v>
      </c>
      <c r="Q160" s="44">
        <f t="shared" ca="1" si="36"/>
        <v>0</v>
      </c>
      <c r="R160" s="56"/>
      <c r="S160" s="56"/>
      <c r="T160" s="56"/>
      <c r="U160" s="56"/>
      <c r="V160" s="56"/>
      <c r="W160" s="56"/>
    </row>
    <row r="161" spans="1:23">
      <c r="A161">
        <v>22</v>
      </c>
      <c r="B161" s="71">
        <f ca="1">IF(DATOSAÑO!E152=0,0,((DATOSAÑO!C152/DATOSAÑO!E152)*1000)*DATOSAÑO!E152/24)</f>
        <v>12783.750000002328</v>
      </c>
      <c r="C161" s="72">
        <f ca="1">IF(DATOSAÑO!L152=0,0,((DATOSAÑO!J152/DATOSAÑO!L152)*1000)*DATOSAÑO!L152/24)</f>
        <v>6258.083333333464</v>
      </c>
      <c r="D161" s="82">
        <f t="shared" ca="1" si="39"/>
        <v>5.2233757639157989</v>
      </c>
      <c r="E161" s="44">
        <f t="shared" ca="1" si="32"/>
        <v>3.8833478095861365</v>
      </c>
      <c r="F161" s="56"/>
      <c r="G161" s="56"/>
      <c r="H161" s="56"/>
      <c r="I161" s="56"/>
      <c r="J161" s="56"/>
      <c r="K161" s="56"/>
      <c r="M161">
        <v>22</v>
      </c>
      <c r="N161" s="71">
        <f ca="1">IF(DATOSAÑO!$E336=0,0,((DATOSAÑO!$C336/DATOSAÑO!$E336)*1000)*DATOSAÑO!$E336/24)</f>
        <v>0</v>
      </c>
      <c r="O161" s="72">
        <f ca="1">IF(DATOSAÑO!$L336=0,0,((DATOSAÑO!$J336/DATOSAÑO!$L336)*1000)*DATOSAÑO!$L336/24)</f>
        <v>0</v>
      </c>
      <c r="P161" s="82">
        <f t="shared" ca="1" si="35"/>
        <v>0</v>
      </c>
      <c r="Q161" s="44">
        <f t="shared" ca="1" si="36"/>
        <v>0</v>
      </c>
      <c r="R161" s="56"/>
      <c r="S161" s="56"/>
      <c r="T161" s="56"/>
      <c r="U161" s="56"/>
      <c r="V161" s="56"/>
      <c r="W161" s="56"/>
    </row>
    <row r="162" spans="1:23">
      <c r="A162">
        <v>23</v>
      </c>
      <c r="B162" s="71">
        <f ca="1">IF(DATOSAÑO!E153=0,0,((DATOSAÑO!C153/DATOSAÑO!E153)*1000)*DATOSAÑO!E153/24)</f>
        <v>10289.166666664338</v>
      </c>
      <c r="C162" s="72">
        <f ca="1">IF(DATOSAÑO!L153=0,0,((DATOSAÑO!J153/DATOSAÑO!L153)*1000)*DATOSAÑO!L153/24)</f>
        <v>5300.4166666666306</v>
      </c>
      <c r="D162" s="82">
        <f t="shared" ca="1" si="39"/>
        <v>4.7111198409843</v>
      </c>
      <c r="E162" s="44">
        <f t="shared" ca="1" si="32"/>
        <v>3.6866935564938088</v>
      </c>
      <c r="F162" s="56"/>
      <c r="G162" s="56"/>
      <c r="H162" s="56"/>
      <c r="I162" s="56"/>
      <c r="J162" s="56"/>
      <c r="K162" s="56"/>
      <c r="M162">
        <v>23</v>
      </c>
      <c r="N162" s="71">
        <f ca="1">IF(DATOSAÑO!$E337=0,0,((DATOSAÑO!$C337/DATOSAÑO!$E337)*1000)*DATOSAÑO!$E337/24)</f>
        <v>0</v>
      </c>
      <c r="O162" s="72">
        <f ca="1">IF(DATOSAÑO!$L337=0,0,((DATOSAÑO!$J337/DATOSAÑO!$L337)*1000)*DATOSAÑO!$L337/24)</f>
        <v>0</v>
      </c>
      <c r="P162" s="82">
        <f t="shared" ca="1" si="35"/>
        <v>0</v>
      </c>
      <c r="Q162" s="44">
        <f t="shared" ca="1" si="36"/>
        <v>0</v>
      </c>
      <c r="R162" s="56"/>
      <c r="S162" s="56"/>
      <c r="T162" s="56"/>
      <c r="U162" s="56"/>
      <c r="V162" s="56"/>
      <c r="W162" s="56"/>
    </row>
    <row r="163" spans="1:23">
      <c r="A163">
        <v>24</v>
      </c>
      <c r="B163" s="71">
        <f ca="1">IF(DATOSAÑO!E154=0,0,((DATOSAÑO!C154/DATOSAÑO!E154)*1000)*DATOSAÑO!E154/24)</f>
        <v>6916.666666666667</v>
      </c>
      <c r="C163" s="72">
        <f ca="1">IF(DATOSAÑO!L154=0,0,((DATOSAÑO!J154/DATOSAÑO!L154)*1000)*DATOSAÑO!L154/24)</f>
        <v>3500</v>
      </c>
      <c r="D163" s="82">
        <f t="shared" ca="1" si="39"/>
        <v>4.018586111203617</v>
      </c>
      <c r="E163" s="44">
        <f t="shared" ca="1" si="32"/>
        <v>3.3169828761893441</v>
      </c>
      <c r="F163" s="56"/>
      <c r="G163" s="56"/>
      <c r="H163" s="56"/>
      <c r="I163" s="56"/>
      <c r="J163" s="56"/>
      <c r="K163" s="56"/>
      <c r="M163">
        <v>24</v>
      </c>
      <c r="N163" s="71">
        <f ca="1">IF(DATOSAÑO!$E338=0,0,((DATOSAÑO!$C338/DATOSAÑO!$E338)*1000)*DATOSAÑO!$E338/24)</f>
        <v>0</v>
      </c>
      <c r="O163" s="72">
        <f ca="1">IF(DATOSAÑO!$L338=0,0,((DATOSAÑO!$J338/DATOSAÑO!$L338)*1000)*DATOSAÑO!$L338/24)</f>
        <v>0</v>
      </c>
      <c r="P163" s="82">
        <f t="shared" ca="1" si="35"/>
        <v>0</v>
      </c>
      <c r="Q163" s="44">
        <f t="shared" ca="1" si="36"/>
        <v>0</v>
      </c>
      <c r="R163" s="56"/>
      <c r="S163" s="56"/>
      <c r="T163" s="56"/>
      <c r="U163" s="56"/>
      <c r="V163" s="56"/>
      <c r="W163" s="56"/>
    </row>
    <row r="164" spans="1:23">
      <c r="A164">
        <v>25</v>
      </c>
      <c r="B164" s="71">
        <f ca="1">IF(DATOSAÑO!E155=0,0,((DATOSAÑO!C155/DATOSAÑO!E155)*1000)*DATOSAÑO!E155/24)</f>
        <v>7833.333333333333</v>
      </c>
      <c r="C164" s="72">
        <f ca="1">IF(DATOSAÑO!L155=0,0,((DATOSAÑO!J155/DATOSAÑO!L155)*1000)*DATOSAÑO!L155/24)</f>
        <v>3500</v>
      </c>
      <c r="D164" s="82">
        <f t="shared" ca="1" si="39"/>
        <v>4.2068211254757388</v>
      </c>
      <c r="E164" s="44">
        <f t="shared" ca="1" si="32"/>
        <v>3.3169828761893441</v>
      </c>
      <c r="F164" s="56"/>
      <c r="G164" s="56"/>
      <c r="H164" s="56"/>
      <c r="I164" s="56"/>
      <c r="J164" s="56"/>
      <c r="K164" s="56"/>
      <c r="M164">
        <v>25</v>
      </c>
      <c r="N164" s="71">
        <f ca="1">IF(DATOSAÑO!$E339=0,0,((DATOSAÑO!$C339/DATOSAÑO!$E339)*1000)*DATOSAÑO!$E339/24)</f>
        <v>0</v>
      </c>
      <c r="O164" s="72">
        <f ca="1">IF(DATOSAÑO!$L339=0,0,((DATOSAÑO!$J339/DATOSAÑO!$L339)*1000)*DATOSAÑO!$L339/24)</f>
        <v>0</v>
      </c>
      <c r="P164" s="82">
        <f t="shared" ca="1" si="35"/>
        <v>0</v>
      </c>
      <c r="Q164" s="44">
        <f t="shared" ca="1" si="36"/>
        <v>0</v>
      </c>
      <c r="R164" s="56"/>
      <c r="S164" s="56"/>
      <c r="T164" s="56"/>
      <c r="U164" s="56"/>
      <c r="V164" s="56"/>
      <c r="W164" s="56"/>
    </row>
    <row r="165" spans="1:23">
      <c r="A165">
        <v>26</v>
      </c>
      <c r="B165" s="71">
        <f ca="1">IF(DATOSAÑO!E156=0,0,((DATOSAÑO!C156/DATOSAÑO!E156)*1000)*DATOSAÑO!E156/24)</f>
        <v>8083.333333333333</v>
      </c>
      <c r="C165" s="72">
        <f ca="1">IF(DATOSAÑO!L156=0,0,((DATOSAÑO!J156/DATOSAÑO!L156)*1000)*DATOSAÑO!L156/24)</f>
        <v>3500</v>
      </c>
      <c r="D165" s="82">
        <f t="shared" ca="1" si="39"/>
        <v>4.2581579475499538</v>
      </c>
      <c r="E165" s="44">
        <f t="shared" ca="1" si="32"/>
        <v>3.3169828761893441</v>
      </c>
      <c r="F165" s="56"/>
      <c r="G165" s="56"/>
      <c r="H165" s="56"/>
      <c r="I165" s="56"/>
      <c r="J165" s="56"/>
      <c r="K165" s="56"/>
      <c r="M165">
        <v>26</v>
      </c>
      <c r="N165" s="71">
        <f ca="1">IF(DATOSAÑO!$E340=0,0,((DATOSAÑO!$C340/DATOSAÑO!$E340)*1000)*DATOSAÑO!$E340/24)</f>
        <v>0</v>
      </c>
      <c r="O165" s="72">
        <f ca="1">IF(DATOSAÑO!$L340=0,0,((DATOSAÑO!$J340/DATOSAÑO!$L340)*1000)*DATOSAÑO!$L340/24)</f>
        <v>0</v>
      </c>
      <c r="P165" s="82">
        <f t="shared" ca="1" si="35"/>
        <v>0</v>
      </c>
      <c r="Q165" s="44">
        <f t="shared" ca="1" si="36"/>
        <v>0</v>
      </c>
      <c r="R165" s="56"/>
      <c r="S165" s="56"/>
      <c r="T165" s="56"/>
      <c r="U165" s="56"/>
      <c r="V165" s="56"/>
      <c r="W165" s="56"/>
    </row>
    <row r="166" spans="1:23">
      <c r="A166">
        <v>27</v>
      </c>
      <c r="B166" s="71">
        <f ca="1">IF(DATOSAÑO!E157=0,0,((DATOSAÑO!C157/DATOSAÑO!E157)*1000)*DATOSAÑO!E157/24)</f>
        <v>9250</v>
      </c>
      <c r="C166" s="72">
        <f ca="1">IF(DATOSAÑO!L157=0,0,((DATOSAÑO!J157/DATOSAÑO!L157)*1000)*DATOSAÑO!L157/24)</f>
        <v>4208.333333333333</v>
      </c>
      <c r="D166" s="82">
        <f t="shared" ca="1" si="39"/>
        <v>4.4977297838962915</v>
      </c>
      <c r="E166" s="44">
        <f t="shared" ca="1" si="32"/>
        <v>3.46243720539962</v>
      </c>
      <c r="F166" s="56"/>
      <c r="G166" s="56"/>
      <c r="H166" s="56"/>
      <c r="I166" s="56"/>
      <c r="J166" s="56"/>
      <c r="K166" s="56"/>
      <c r="M166">
        <v>27</v>
      </c>
      <c r="N166" s="71">
        <f ca="1">IF(DATOSAÑO!$E341=0,0,((DATOSAÑO!$C341/DATOSAÑO!$E341)*1000)*DATOSAÑO!$E341/24)</f>
        <v>0</v>
      </c>
      <c r="O166" s="72">
        <f ca="1">IF(DATOSAÑO!$L341=0,0,((DATOSAÑO!$J341/DATOSAÑO!$L341)*1000)*DATOSAÑO!$L341/24)</f>
        <v>0</v>
      </c>
      <c r="P166" s="82">
        <f t="shared" ca="1" si="35"/>
        <v>0</v>
      </c>
      <c r="Q166" s="44">
        <f t="shared" ca="1" si="36"/>
        <v>0</v>
      </c>
      <c r="R166" s="56"/>
      <c r="S166" s="56"/>
      <c r="T166" s="56"/>
      <c r="U166" s="56"/>
      <c r="V166" s="56"/>
      <c r="W166" s="56"/>
    </row>
    <row r="167" spans="1:23">
      <c r="A167">
        <v>28</v>
      </c>
      <c r="B167" s="71">
        <f ca="1">IF(DATOSAÑO!E158=0,0,((DATOSAÑO!C158/DATOSAÑO!E158)*1000)*DATOSAÑO!E158/24)</f>
        <v>12875</v>
      </c>
      <c r="C167" s="72">
        <f ca="1">IF(DATOSAÑO!L158=0,0,((DATOSAÑO!J158/DATOSAÑO!L158)*1000)*DATOSAÑO!L158/24)</f>
        <v>6024.9999999999391</v>
      </c>
      <c r="D167" s="82">
        <f t="shared" ca="1" si="39"/>
        <v>5.2421137039724091</v>
      </c>
      <c r="E167" s="44">
        <f t="shared" ca="1" si="32"/>
        <v>3.8354847791389037</v>
      </c>
      <c r="F167" s="56"/>
      <c r="G167" s="56"/>
      <c r="H167" s="56"/>
      <c r="I167" s="56"/>
      <c r="J167" s="56"/>
      <c r="K167" s="56"/>
      <c r="M167">
        <v>28</v>
      </c>
      <c r="N167" s="71">
        <f ca="1">IF(DATOSAÑO!$E342=0,0,((DATOSAÑO!$C342/DATOSAÑO!$E342)*1000)*DATOSAÑO!$E342/24)</f>
        <v>0</v>
      </c>
      <c r="O167" s="72">
        <f ca="1">IF(DATOSAÑO!$L342=0,0,((DATOSAÑO!$J342/DATOSAÑO!$L342)*1000)*DATOSAÑO!$L342/24)</f>
        <v>0</v>
      </c>
      <c r="P167" s="82">
        <f t="shared" ca="1" si="35"/>
        <v>0</v>
      </c>
      <c r="Q167" s="44">
        <f t="shared" ca="1" si="36"/>
        <v>0</v>
      </c>
      <c r="R167" s="56"/>
      <c r="S167" s="56"/>
      <c r="T167" s="56"/>
      <c r="U167" s="56"/>
      <c r="V167" s="56"/>
      <c r="W167" s="56"/>
    </row>
    <row r="168" spans="1:23">
      <c r="A168">
        <v>29</v>
      </c>
      <c r="B168" s="71">
        <f ca="1">IF(DATOSAÑO!E159=0,0,((DATOSAÑO!C159/DATOSAÑO!E159)*1000)*DATOSAÑO!E159/24)</f>
        <v>12583.333333333334</v>
      </c>
      <c r="C168" s="72">
        <f ca="1">IF(DATOSAÑO!L159=0,0,((DATOSAÑO!J159/DATOSAÑO!L159)*1000)*DATOSAÑO!L159/24)</f>
        <v>6179.1666666667879</v>
      </c>
      <c r="D168" s="82">
        <f t="shared" ca="1" si="39"/>
        <v>5.1822207448858251</v>
      </c>
      <c r="E168" s="44">
        <f t="shared" ca="1" si="32"/>
        <v>3.867142486084707</v>
      </c>
      <c r="F168" s="56"/>
      <c r="G168" s="56"/>
      <c r="H168" s="56"/>
      <c r="I168" s="56"/>
      <c r="J168" s="56"/>
      <c r="K168" s="56"/>
      <c r="M168">
        <v>29</v>
      </c>
      <c r="N168" s="71">
        <f ca="1">IF(DATOSAÑO!$E343=0,0,((DATOSAÑO!$C343/DATOSAÑO!$E343)*1000)*DATOSAÑO!$E343/24)</f>
        <v>0</v>
      </c>
      <c r="O168" s="72">
        <f ca="1">IF(DATOSAÑO!$L343=0,0,((DATOSAÑO!$J343/DATOSAÑO!$L343)*1000)*DATOSAÑO!$L343/24)</f>
        <v>0</v>
      </c>
      <c r="P168" s="82">
        <f t="shared" ca="1" si="35"/>
        <v>0</v>
      </c>
      <c r="Q168" s="44">
        <f t="shared" ca="1" si="36"/>
        <v>0</v>
      </c>
      <c r="R168" s="56"/>
      <c r="S168" s="56"/>
      <c r="T168" s="56"/>
      <c r="U168" s="56"/>
      <c r="V168" s="56"/>
      <c r="W168" s="56"/>
    </row>
    <row r="169" spans="1:23">
      <c r="A169">
        <v>30</v>
      </c>
      <c r="B169" s="71">
        <f ca="1">IF(DATOSAÑO!E160=0,0,((DATOSAÑO!C160/DATOSAÑO!E160)*1000)*DATOSAÑO!E160/24)</f>
        <v>12804.166666668607</v>
      </c>
      <c r="C169" s="72">
        <f ca="1">IF(DATOSAÑO!L160=0,0,((DATOSAÑO!J160/DATOSAÑO!L160)*1000)*DATOSAÑO!L160/24)</f>
        <v>6291.666666666667</v>
      </c>
      <c r="D169" s="82">
        <f t="shared" ca="1" si="39"/>
        <v>5.2275682710517799</v>
      </c>
      <c r="E169" s="44">
        <f t="shared" ca="1" si="32"/>
        <v>3.8902440560180791</v>
      </c>
      <c r="F169" s="56"/>
      <c r="G169" s="56"/>
      <c r="H169" s="56"/>
      <c r="I169" s="56"/>
      <c r="J169" s="56"/>
      <c r="K169" s="56"/>
      <c r="M169">
        <v>30</v>
      </c>
      <c r="N169" s="71">
        <f ca="1">IF(DATOSAÑO!$E344=0,0,((DATOSAÑO!$C344/DATOSAÑO!$E344)*1000)*DATOSAÑO!$E344/24)</f>
        <v>0</v>
      </c>
      <c r="O169" s="72">
        <f ca="1">IF(DATOSAÑO!$L344=0,0,((DATOSAÑO!$J344/DATOSAÑO!$L344)*1000)*DATOSAÑO!$L344/24)</f>
        <v>0</v>
      </c>
      <c r="P169" s="82">
        <f t="shared" ca="1" si="35"/>
        <v>0</v>
      </c>
      <c r="Q169" s="44">
        <f t="shared" ca="1" si="36"/>
        <v>0</v>
      </c>
      <c r="R169" s="56"/>
      <c r="S169" s="56"/>
      <c r="T169" s="56"/>
      <c r="U169" s="56"/>
      <c r="V169" s="56"/>
      <c r="W169" s="56"/>
    </row>
    <row r="170" spans="1:23" ht="15" thickBot="1">
      <c r="A170">
        <v>31</v>
      </c>
      <c r="B170" s="73">
        <f ca="1">IF(DATOSAÑO!E161=0,0,((DATOSAÑO!C161/DATOSAÑO!E161)*1000)*DATOSAÑO!E161/24)</f>
        <v>12570.833333331393</v>
      </c>
      <c r="C170" s="74">
        <f ca="1">IF(DATOSAÑO!L161=0,0,((DATOSAÑO!J161/DATOSAÑO!L161)*1000)*DATOSAÑO!L161/24)</f>
        <v>6212.4999999999391</v>
      </c>
      <c r="D170" s="80">
        <f t="shared" ca="1" si="39"/>
        <v>5.1796539037817162</v>
      </c>
      <c r="E170" s="81">
        <f t="shared" ca="1" si="32"/>
        <v>3.8739873956945652</v>
      </c>
      <c r="F170" s="56"/>
      <c r="G170" s="56"/>
      <c r="H170" s="56"/>
      <c r="I170" s="56"/>
      <c r="J170" s="56"/>
      <c r="K170" s="56"/>
      <c r="N170" s="73"/>
      <c r="O170" s="74"/>
      <c r="P170" s="80"/>
      <c r="Q170" s="81"/>
      <c r="R170" s="56"/>
      <c r="S170" s="56"/>
      <c r="T170" s="56"/>
      <c r="U170" s="56"/>
      <c r="V170" s="56"/>
      <c r="W170" s="56"/>
    </row>
    <row r="171" spans="1:23" ht="15" thickTop="1"/>
    <row r="172" spans="1:23" ht="15" thickBot="1">
      <c r="B172" s="2262">
        <v>45078</v>
      </c>
      <c r="C172" s="2264"/>
      <c r="D172" s="2264"/>
      <c r="E172" s="2264"/>
      <c r="F172" s="2263" t="s">
        <v>60</v>
      </c>
      <c r="G172" s="2263"/>
      <c r="H172" s="2263"/>
      <c r="I172" s="2263"/>
      <c r="J172" s="2263"/>
      <c r="K172" s="2263"/>
      <c r="N172" s="2262">
        <v>45261</v>
      </c>
      <c r="O172" s="2264"/>
      <c r="P172" s="2264"/>
      <c r="Q172" s="2264"/>
      <c r="R172" s="2263" t="s">
        <v>60</v>
      </c>
      <c r="S172" s="2263"/>
      <c r="T172" s="2263"/>
      <c r="U172" s="2263"/>
      <c r="V172" s="2263"/>
      <c r="W172" s="2263"/>
    </row>
    <row r="173" spans="1:23" ht="44.5" thickTop="1" thickBot="1">
      <c r="A173" s="40">
        <f ca="1">ABS(TODAY()-1)</f>
        <v>45231</v>
      </c>
      <c r="B173" s="67">
        <f ca="1">DAY(A173)</f>
        <v>1</v>
      </c>
      <c r="C173" s="68"/>
      <c r="D173" s="76" t="s">
        <v>61</v>
      </c>
      <c r="E173" s="77" t="s">
        <v>62</v>
      </c>
      <c r="F173" s="41"/>
      <c r="G173" s="42"/>
      <c r="H173" s="42" t="s">
        <v>63</v>
      </c>
      <c r="I173" s="42" t="s">
        <v>64</v>
      </c>
      <c r="J173" s="43" t="s">
        <v>56</v>
      </c>
      <c r="K173" s="42" t="s">
        <v>65</v>
      </c>
      <c r="M173" s="40">
        <f ca="1">ABS(TODAY()-1)</f>
        <v>45231</v>
      </c>
      <c r="N173" s="67">
        <f ca="1">DAY(M173)</f>
        <v>1</v>
      </c>
      <c r="O173" s="68"/>
      <c r="P173" s="76" t="s">
        <v>61</v>
      </c>
      <c r="Q173" s="77" t="s">
        <v>62</v>
      </c>
      <c r="R173" s="41"/>
      <c r="S173" s="42"/>
      <c r="T173" s="42" t="s">
        <v>63</v>
      </c>
      <c r="U173" s="42" t="s">
        <v>64</v>
      </c>
      <c r="V173" s="43" t="s">
        <v>56</v>
      </c>
      <c r="W173" s="42" t="s">
        <v>65</v>
      </c>
    </row>
    <row r="174" spans="1:23" ht="15" thickTop="1">
      <c r="A174">
        <v>1</v>
      </c>
      <c r="B174" s="69">
        <f ca="1">IF(DATOSAÑO!E162=0,0,((DATOSAÑO!C162/DATOSAÑO!E162)*1000)*DATOSAÑO!E162/24)</f>
        <v>12333.333333333334</v>
      </c>
      <c r="C174" s="70">
        <f ca="1">IF(DATOSAÑO!L162=0,0,((DATOSAÑO!J162/DATOSAÑO!L162)*1000)*DATOSAÑO!L162/24)</f>
        <v>6166.666666666667</v>
      </c>
      <c r="D174" s="78">
        <f ca="1">IF(B174&gt;0,(B174-$F$178)/($F$179-$F$178)*($G$179-$G$178)+$G$178,0)</f>
        <v>5.1013664174811186</v>
      </c>
      <c r="E174" s="79">
        <f ca="1">IF(C174&gt;0,(C174-$F$184)/($F$185-$F$184)*($G$185-$G$184)+$G$184,0)</f>
        <v>3.7362854756774766</v>
      </c>
      <c r="F174" s="2260" t="s">
        <v>66</v>
      </c>
      <c r="G174" s="2261"/>
      <c r="H174" s="45">
        <f ca="1">IF($G$175&gt;=J174,1,0)</f>
        <v>1</v>
      </c>
      <c r="I174" s="45">
        <f ca="1">IF($G$181&gt;=J174,1,0)</f>
        <v>1</v>
      </c>
      <c r="J174" s="46">
        <v>0</v>
      </c>
      <c r="K174" s="47">
        <f>PORTADA!M21</f>
        <v>2.4262807666592625</v>
      </c>
      <c r="M174">
        <v>1</v>
      </c>
      <c r="N174" s="69">
        <f ca="1">IF(DATOSAÑO!$E345=0,0,((DATOSAÑO!$C345/DATOSAÑO!$E345)*1000)*DATOSAÑO!$E345/24)</f>
        <v>0</v>
      </c>
      <c r="O174" s="70">
        <f ca="1">IF(DATOSAÑO!$L345=0,0,((DATOSAÑO!$J345/DATOSAÑO!$L345)*1000)*DATOSAÑO!$L345/24)</f>
        <v>0</v>
      </c>
      <c r="P174" s="78">
        <f ca="1">IF(N174&gt;0,(N174-$R$178)/($R$179-$R$178)*($S$179-$S$178)+$S$178,0)</f>
        <v>0</v>
      </c>
      <c r="Q174" s="79">
        <f ca="1">IF(O174&gt;0,(O174-$R$184)/($R$185-$R$184)*($S$185-$S$184)+$S$184,0)</f>
        <v>0</v>
      </c>
      <c r="R174" s="2260" t="s">
        <v>66</v>
      </c>
      <c r="S174" s="2261"/>
      <c r="T174" s="45">
        <f ca="1">IF($S$175&gt;=V174,1,0)</f>
        <v>1</v>
      </c>
      <c r="U174" s="45">
        <f ca="1">IF($S$181&gt;=V174,1,0)</f>
        <v>1</v>
      </c>
      <c r="V174" s="46">
        <v>0</v>
      </c>
      <c r="W174" s="47" t="e">
        <f>PORTADA!S21</f>
        <v>#DIV/0!</v>
      </c>
    </row>
    <row r="175" spans="1:23">
      <c r="A175">
        <v>2</v>
      </c>
      <c r="B175" s="71">
        <f ca="1">IF(DATOSAÑO!E163=0,0,((DATOSAÑO!C163/DATOSAÑO!E163)*1000)*DATOSAÑO!E163/24)</f>
        <v>12166.666666666666</v>
      </c>
      <c r="C175" s="72">
        <f ca="1">IF(DATOSAÑO!L163=0,0,((DATOSAÑO!J163/DATOSAÑO!L163)*1000)*DATOSAÑO!L163/24)</f>
        <v>6250</v>
      </c>
      <c r="D175" s="82">
        <f t="shared" ref="D175:D203" ca="1" si="40">IF(B175&gt;0,(B175-$F$178)/($F$179-$F$178)*($G$179-$G$178)+$G$178,0)</f>
        <v>5.064080766659262</v>
      </c>
      <c r="E175" s="44">
        <f t="shared" ref="E175:E203" ca="1" si="41">IF(C175&gt;0,(C175-$F$184)/($F$185-$F$184)*($G$185-$G$184)+$G$184,0)</f>
        <v>3.7562599314748999</v>
      </c>
      <c r="F175" s="48" t="s">
        <v>67</v>
      </c>
      <c r="G175" s="49">
        <f ca="1">INDEX(B174:C204,B173,1)</f>
        <v>12333.333333333334</v>
      </c>
      <c r="H175" s="45">
        <f t="shared" ref="H175:H184" ca="1" si="42">IF($G$175&gt;=J175,1,0)</f>
        <v>1</v>
      </c>
      <c r="I175" s="45">
        <f t="shared" ref="I175:I184" ca="1" si="43">IF($G$181&gt;=J175,1,0)</f>
        <v>1</v>
      </c>
      <c r="J175" s="46">
        <v>2630</v>
      </c>
      <c r="K175" s="47">
        <f>PORTADA!M22</f>
        <v>2.930595826632608</v>
      </c>
      <c r="M175">
        <v>2</v>
      </c>
      <c r="N175" s="71">
        <f ca="1">IF(DATOSAÑO!$E346=0,0,((DATOSAÑO!$C346/DATOSAÑO!$E346)*1000)*DATOSAÑO!$E346/24)</f>
        <v>0</v>
      </c>
      <c r="O175" s="72">
        <f ca="1">IF(DATOSAÑO!$L346=0,0,((DATOSAÑO!$J346/DATOSAÑO!$L346)*1000)*DATOSAÑO!$L346/24)</f>
        <v>0</v>
      </c>
      <c r="P175" s="82">
        <f t="shared" ref="P175:P204" ca="1" si="44">IF(N175&gt;0,(N175-$R$178)/($R$179-$R$178)*($S$179-$S$178)+$S$178,0)</f>
        <v>0</v>
      </c>
      <c r="Q175" s="44">
        <f t="shared" ref="Q175:Q204" ca="1" si="45">IF(O175&gt;0,(O175-$R$184)/($R$185-$R$184)*($S$185-$S$184)+$S$184,0)</f>
        <v>0</v>
      </c>
      <c r="R175" s="48" t="s">
        <v>67</v>
      </c>
      <c r="S175" s="49">
        <f ca="1">INDEX(N174:O204,N173,1)</f>
        <v>0</v>
      </c>
      <c r="T175" s="45">
        <f t="shared" ref="T175:T184" ca="1" si="46">IF($S$175&gt;=V175,1,0)</f>
        <v>0</v>
      </c>
      <c r="U175" s="45">
        <f t="shared" ref="U175:U184" ca="1" si="47">IF($S$181&gt;=V175,1,0)</f>
        <v>0</v>
      </c>
      <c r="V175" s="46">
        <v>2630</v>
      </c>
      <c r="W175" s="47" t="e">
        <f>PORTADA!S22</f>
        <v>#DIV/0!</v>
      </c>
    </row>
    <row r="176" spans="1:23">
      <c r="A176">
        <v>3</v>
      </c>
      <c r="B176" s="71">
        <f ca="1">IF(DATOSAÑO!E164=0,0,((DATOSAÑO!C164/DATOSAÑO!E164)*1000)*DATOSAÑO!E164/24)</f>
        <v>12083.333333333334</v>
      </c>
      <c r="C176" s="72">
        <f ca="1">IF(DATOSAÑO!L164=0,0,((DATOSAÑO!J164/DATOSAÑO!L164)*1000)*DATOSAÑO!L164/24)</f>
        <v>6166.666666666667</v>
      </c>
      <c r="D176" s="82">
        <f t="shared" ca="1" si="40"/>
        <v>5.0454379412483341</v>
      </c>
      <c r="E176" s="44">
        <f t="shared" ca="1" si="41"/>
        <v>3.7362854756774766</v>
      </c>
      <c r="F176" s="48" t="s">
        <v>68</v>
      </c>
      <c r="G176" s="50">
        <f ca="1">(G175-F178)/(F179-F178)*(G179-G178)+G178</f>
        <v>5.1013664174811186</v>
      </c>
      <c r="H176" s="45">
        <f t="shared" ca="1" si="42"/>
        <v>1</v>
      </c>
      <c r="I176" s="45">
        <f t="shared" ca="1" si="43"/>
        <v>1</v>
      </c>
      <c r="J176" s="46">
        <v>5260</v>
      </c>
      <c r="K176" s="47">
        <f>PORTADA!M23</f>
        <v>3.5189633966015101</v>
      </c>
      <c r="M176">
        <v>3</v>
      </c>
      <c r="N176" s="71">
        <f ca="1">IF(DATOSAÑO!$E347=0,0,((DATOSAÑO!$C347/DATOSAÑO!$E347)*1000)*DATOSAÑO!$E347/24)</f>
        <v>0</v>
      </c>
      <c r="O176" s="72">
        <f ca="1">IF(DATOSAÑO!$L347=0,0,((DATOSAÑO!$J347/DATOSAÑO!$L347)*1000)*DATOSAÑO!$L347/24)</f>
        <v>0</v>
      </c>
      <c r="P176" s="82">
        <f t="shared" ca="1" si="44"/>
        <v>0</v>
      </c>
      <c r="Q176" s="44">
        <f t="shared" ca="1" si="45"/>
        <v>0</v>
      </c>
      <c r="R176" s="48" t="s">
        <v>68</v>
      </c>
      <c r="S176" s="50" t="e">
        <f ca="1">(S175-R178)/(R179-R178)*(S179-S178)+S178</f>
        <v>#DIV/0!</v>
      </c>
      <c r="T176" s="45">
        <f t="shared" ca="1" si="46"/>
        <v>0</v>
      </c>
      <c r="U176" s="45">
        <f t="shared" ca="1" si="47"/>
        <v>0</v>
      </c>
      <c r="V176" s="46">
        <v>5260</v>
      </c>
      <c r="W176" s="47" t="e">
        <f>PORTADA!S23</f>
        <v>#DIV/0!</v>
      </c>
    </row>
    <row r="177" spans="1:23">
      <c r="A177">
        <v>4</v>
      </c>
      <c r="B177" s="71">
        <f ca="1">IF(DATOSAÑO!E165=0,0,((DATOSAÑO!C165/DATOSAÑO!E165)*1000)*DATOSAÑO!E165/24)</f>
        <v>12416.666666666666</v>
      </c>
      <c r="C177" s="72">
        <f ca="1">IF(DATOSAÑO!L165=0,0,((DATOSAÑO!J165/DATOSAÑO!L165)*1000)*DATOSAÑO!L165/24)</f>
        <v>6250</v>
      </c>
      <c r="D177" s="82">
        <f t="shared" ca="1" si="40"/>
        <v>5.1200092428920474</v>
      </c>
      <c r="E177" s="44">
        <f t="shared" ca="1" si="41"/>
        <v>3.7562599314748999</v>
      </c>
      <c r="F177" s="48"/>
      <c r="G177" s="45"/>
      <c r="H177" s="45">
        <f t="shared" ca="1" si="42"/>
        <v>1</v>
      </c>
      <c r="I177" s="45">
        <f t="shared" ca="1" si="43"/>
        <v>0</v>
      </c>
      <c r="J177" s="46">
        <v>7890</v>
      </c>
      <c r="K177" s="47">
        <f>PORTADA!M24</f>
        <v>4.1493572215681924</v>
      </c>
      <c r="M177">
        <v>4</v>
      </c>
      <c r="N177" s="71">
        <f ca="1">IF(DATOSAÑO!$E348=0,0,((DATOSAÑO!$C348/DATOSAÑO!$E348)*1000)*DATOSAÑO!$E348/24)</f>
        <v>0</v>
      </c>
      <c r="O177" s="72">
        <f ca="1">IF(DATOSAÑO!$L348=0,0,((DATOSAÑO!$J348/DATOSAÑO!$L348)*1000)*DATOSAÑO!$L348/24)</f>
        <v>0</v>
      </c>
      <c r="P177" s="82">
        <f t="shared" ca="1" si="44"/>
        <v>0</v>
      </c>
      <c r="Q177" s="44">
        <f t="shared" ca="1" si="45"/>
        <v>0</v>
      </c>
      <c r="R177" s="48"/>
      <c r="S177" s="45"/>
      <c r="T177" s="45">
        <f t="shared" ca="1" si="46"/>
        <v>0</v>
      </c>
      <c r="U177" s="45">
        <f t="shared" ca="1" si="47"/>
        <v>0</v>
      </c>
      <c r="V177" s="46">
        <v>7890</v>
      </c>
      <c r="W177" s="47" t="e">
        <f>PORTADA!S24</f>
        <v>#DIV/0!</v>
      </c>
    </row>
    <row r="178" spans="1:23">
      <c r="A178">
        <v>5</v>
      </c>
      <c r="B178" s="71">
        <f ca="1">IF(DATOSAÑO!E166=0,0,((DATOSAÑO!C166/DATOSAÑO!E166)*1000)*DATOSAÑO!E166/24)</f>
        <v>11625</v>
      </c>
      <c r="C178" s="72">
        <f ca="1">IF(DATOSAÑO!L166=0,0,((DATOSAÑO!J166/DATOSAÑO!L166)*1000)*DATOSAÑO!L166/24)</f>
        <v>6083.333333333333</v>
      </c>
      <c r="D178" s="82">
        <f t="shared" ca="1" si="40"/>
        <v>4.9429024014882268</v>
      </c>
      <c r="E178" s="44">
        <f t="shared" ca="1" si="41"/>
        <v>3.7163110198800533</v>
      </c>
      <c r="F178" s="51">
        <f ca="1">INDEX(J174:J184,H185)</f>
        <v>10520</v>
      </c>
      <c r="G178" s="52">
        <f ca="1">INDEX(K174:K184,H185)</f>
        <v>4.6956985365393162</v>
      </c>
      <c r="H178" s="45">
        <f t="shared" ca="1" si="42"/>
        <v>1</v>
      </c>
      <c r="I178" s="45">
        <f t="shared" ca="1" si="43"/>
        <v>0</v>
      </c>
      <c r="J178" s="46">
        <v>10520</v>
      </c>
      <c r="K178" s="47">
        <f>PORTADA!M25</f>
        <v>4.6956985365393162</v>
      </c>
      <c r="M178">
        <v>5</v>
      </c>
      <c r="N178" s="71">
        <f ca="1">IF(DATOSAÑO!$E349=0,0,((DATOSAÑO!$C349/DATOSAÑO!$E349)*1000)*DATOSAÑO!$E349/24)</f>
        <v>0</v>
      </c>
      <c r="O178" s="72">
        <f ca="1">IF(DATOSAÑO!$L349=0,0,((DATOSAÑO!$J349/DATOSAÑO!$L349)*1000)*DATOSAÑO!$L349/24)</f>
        <v>0</v>
      </c>
      <c r="P178" s="82">
        <f t="shared" ca="1" si="44"/>
        <v>0</v>
      </c>
      <c r="Q178" s="44">
        <f t="shared" ca="1" si="45"/>
        <v>0</v>
      </c>
      <c r="R178" s="51">
        <f ca="1">INDEX(V174:V184,T185)</f>
        <v>0</v>
      </c>
      <c r="S178" s="52" t="e">
        <f ca="1">INDEX(W174:W184,T185)</f>
        <v>#DIV/0!</v>
      </c>
      <c r="T178" s="45">
        <f t="shared" ca="1" si="46"/>
        <v>0</v>
      </c>
      <c r="U178" s="45">
        <f t="shared" ca="1" si="47"/>
        <v>0</v>
      </c>
      <c r="V178" s="46">
        <v>10520</v>
      </c>
      <c r="W178" s="47" t="e">
        <f>PORTADA!S25</f>
        <v>#DIV/0!</v>
      </c>
    </row>
    <row r="179" spans="1:23">
      <c r="A179">
        <v>6</v>
      </c>
      <c r="B179" s="71">
        <f ca="1">IF(DATOSAÑO!E167=0,0,((DATOSAÑO!C167/DATOSAÑO!E167)*1000)*DATOSAÑO!E167/24)</f>
        <v>12973.333333332752</v>
      </c>
      <c r="C179" s="72">
        <f ca="1">IF(DATOSAÑO!L167=0,0,((DATOSAÑO!J167/DATOSAÑO!L167)*1000)*DATOSAÑO!L167/24)</f>
        <v>6393.6250000000045</v>
      </c>
      <c r="D179" s="82">
        <f t="shared" ca="1" si="40"/>
        <v>5.2445433166369195</v>
      </c>
      <c r="E179" s="44">
        <f t="shared" ca="1" si="41"/>
        <v>3.7906859060417606</v>
      </c>
      <c r="F179" s="51">
        <f ca="1">INDEX(J174:J184,H185+1)</f>
        <v>13150</v>
      </c>
      <c r="G179" s="52">
        <f ca="1">INDEX(K174:K184,H185+1)</f>
        <v>5.2840661065082175</v>
      </c>
      <c r="H179" s="45">
        <f t="shared" ca="1" si="42"/>
        <v>0</v>
      </c>
      <c r="I179" s="45">
        <f t="shared" ca="1" si="43"/>
        <v>0</v>
      </c>
      <c r="J179" s="46">
        <v>13150</v>
      </c>
      <c r="K179" s="47">
        <f>PORTADA!M26</f>
        <v>5.2840661065082175</v>
      </c>
      <c r="M179">
        <v>6</v>
      </c>
      <c r="N179" s="71">
        <f ca="1">IF(DATOSAÑO!$E350=0,0,((DATOSAÑO!$C350/DATOSAÑO!$E350)*1000)*DATOSAÑO!$E350/24)</f>
        <v>0</v>
      </c>
      <c r="O179" s="72">
        <f ca="1">IF(DATOSAÑO!$L350=0,0,((DATOSAÑO!$J350/DATOSAÑO!$L350)*1000)*DATOSAÑO!$L350/24)</f>
        <v>0</v>
      </c>
      <c r="P179" s="82">
        <f t="shared" ca="1" si="44"/>
        <v>0</v>
      </c>
      <c r="Q179" s="44">
        <f t="shared" ca="1" si="45"/>
        <v>0</v>
      </c>
      <c r="R179" s="51">
        <f ca="1">INDEX(V174:V184,T185+1)</f>
        <v>2630</v>
      </c>
      <c r="S179" s="52" t="e">
        <f ca="1">INDEX(W174:W184,T185+1)</f>
        <v>#DIV/0!</v>
      </c>
      <c r="T179" s="45">
        <f t="shared" ca="1" si="46"/>
        <v>0</v>
      </c>
      <c r="U179" s="45">
        <f t="shared" ca="1" si="47"/>
        <v>0</v>
      </c>
      <c r="V179" s="46">
        <v>13150</v>
      </c>
      <c r="W179" s="47" t="e">
        <f>PORTADA!S26</f>
        <v>#DIV/0!</v>
      </c>
    </row>
    <row r="180" spans="1:23">
      <c r="A180">
        <v>7</v>
      </c>
      <c r="B180" s="71">
        <f ca="1">IF(DATOSAÑO!E168=0,0,((DATOSAÑO!C168/DATOSAÑO!E168)*1000)*DATOSAÑO!E168/24)</f>
        <v>12212.083333331975</v>
      </c>
      <c r="C180" s="72">
        <f ca="1">IF(DATOSAÑO!L168=0,0,((DATOSAÑO!J168/DATOSAÑO!L168)*1000)*DATOSAÑO!L168/24)</f>
        <v>6131.3749999999345</v>
      </c>
      <c r="D180" s="82">
        <f t="shared" ca="1" si="40"/>
        <v>5.0742411065079143</v>
      </c>
      <c r="E180" s="44">
        <f t="shared" ca="1" si="41"/>
        <v>3.7278262936472522</v>
      </c>
      <c r="F180" s="2260" t="s">
        <v>69</v>
      </c>
      <c r="G180" s="2261"/>
      <c r="H180" s="45">
        <f t="shared" ca="1" si="42"/>
        <v>0</v>
      </c>
      <c r="I180" s="45">
        <f t="shared" ca="1" si="43"/>
        <v>0</v>
      </c>
      <c r="J180" s="46">
        <v>15780</v>
      </c>
      <c r="K180" s="47">
        <f>PORTADA!M27</f>
        <v>5.9144599314749007</v>
      </c>
      <c r="M180">
        <v>7</v>
      </c>
      <c r="N180" s="71">
        <f ca="1">IF(DATOSAÑO!$E351=0,0,((DATOSAÑO!$C351/DATOSAÑO!$E351)*1000)*DATOSAÑO!$E351/24)</f>
        <v>0</v>
      </c>
      <c r="O180" s="72">
        <f ca="1">IF(DATOSAÑO!$L351=0,0,((DATOSAÑO!$J351/DATOSAÑO!$L351)*1000)*DATOSAÑO!$L351/24)</f>
        <v>0</v>
      </c>
      <c r="P180" s="82">
        <f t="shared" ca="1" si="44"/>
        <v>0</v>
      </c>
      <c r="Q180" s="44">
        <f t="shared" ca="1" si="45"/>
        <v>0</v>
      </c>
      <c r="R180" s="2260" t="s">
        <v>69</v>
      </c>
      <c r="S180" s="2261"/>
      <c r="T180" s="45">
        <f t="shared" ca="1" si="46"/>
        <v>0</v>
      </c>
      <c r="U180" s="45">
        <f t="shared" ca="1" si="47"/>
        <v>0</v>
      </c>
      <c r="V180" s="46">
        <v>15780</v>
      </c>
      <c r="W180" s="47" t="e">
        <f>PORTADA!S27</f>
        <v>#DIV/0!</v>
      </c>
    </row>
    <row r="181" spans="1:23">
      <c r="A181">
        <v>8</v>
      </c>
      <c r="B181" s="71">
        <f ca="1">IF(DATOSAÑO!E169=0,0,((DATOSAÑO!C169/DATOSAÑO!E169)*1000)*DATOSAÑO!E169/24)</f>
        <v>11775.00000000388</v>
      </c>
      <c r="C181" s="72">
        <f ca="1">IF(DATOSAÑO!L169=0,0,((DATOSAÑO!J169/DATOSAÑO!L169)*1000)*DATOSAÑO!L169/24)</f>
        <v>6107.2500000000218</v>
      </c>
      <c r="D181" s="82">
        <f t="shared" ca="1" si="40"/>
        <v>4.976459487228766</v>
      </c>
      <c r="E181" s="44">
        <f t="shared" ca="1" si="41"/>
        <v>3.722043688693919</v>
      </c>
      <c r="F181" s="48" t="s">
        <v>67</v>
      </c>
      <c r="G181" s="49">
        <f ca="1">INDEX(B174:C204,B173,2)</f>
        <v>6166.666666666667</v>
      </c>
      <c r="H181" s="45">
        <f t="shared" ca="1" si="42"/>
        <v>0</v>
      </c>
      <c r="I181" s="45">
        <f t="shared" ca="1" si="43"/>
        <v>0</v>
      </c>
      <c r="J181" s="46">
        <v>18410</v>
      </c>
      <c r="K181" s="47">
        <f>PORTADA!M28</f>
        <v>6.6289062664371379</v>
      </c>
      <c r="M181">
        <v>8</v>
      </c>
      <c r="N181" s="71">
        <f ca="1">IF(DATOSAÑO!$E352=0,0,((DATOSAÑO!$C352/DATOSAÑO!$E352)*1000)*DATOSAÑO!$E352/24)</f>
        <v>0</v>
      </c>
      <c r="O181" s="72">
        <f ca="1">IF(DATOSAÑO!$L352=0,0,((DATOSAÑO!$J352/DATOSAÑO!$L352)*1000)*DATOSAÑO!$L352/24)</f>
        <v>0</v>
      </c>
      <c r="P181" s="82">
        <f t="shared" ca="1" si="44"/>
        <v>0</v>
      </c>
      <c r="Q181" s="44">
        <f t="shared" ca="1" si="45"/>
        <v>0</v>
      </c>
      <c r="R181" s="48" t="s">
        <v>67</v>
      </c>
      <c r="S181" s="49">
        <f ca="1">INDEX(N174:O204,N173,2)</f>
        <v>0</v>
      </c>
      <c r="T181" s="45">
        <f t="shared" ca="1" si="46"/>
        <v>0</v>
      </c>
      <c r="U181" s="45">
        <f t="shared" ca="1" si="47"/>
        <v>0</v>
      </c>
      <c r="V181" s="46">
        <v>18410</v>
      </c>
      <c r="W181" s="47" t="e">
        <f>PORTADA!S28</f>
        <v>#DIV/0!</v>
      </c>
    </row>
    <row r="182" spans="1:23">
      <c r="A182">
        <v>9</v>
      </c>
      <c r="B182" s="71">
        <f ca="1">IF(DATOSAÑO!E170=0,0,((DATOSAÑO!C170/DATOSAÑO!E170)*1000)*DATOSAÑO!E170/24)</f>
        <v>11894.541666663523</v>
      </c>
      <c r="C182" s="72">
        <f ca="1">IF(DATOSAÑO!L170=0,0,((DATOSAÑO!J170/DATOSAÑO!L170)*1000)*DATOSAÑO!L170/24)</f>
        <v>6408.0416666665769</v>
      </c>
      <c r="D182" s="82">
        <f t="shared" ca="1" si="40"/>
        <v>5.003202620279172</v>
      </c>
      <c r="E182" s="44">
        <f t="shared" ca="1" si="41"/>
        <v>3.7941414868946919</v>
      </c>
      <c r="F182" s="48" t="s">
        <v>68</v>
      </c>
      <c r="G182" s="50">
        <f ca="1">(G181-F184)/(F185-F184)*(G185-G184)+G184</f>
        <v>3.7362854756774766</v>
      </c>
      <c r="H182" s="45">
        <f t="shared" ca="1" si="42"/>
        <v>0</v>
      </c>
      <c r="I182" s="45">
        <f t="shared" ca="1" si="43"/>
        <v>0</v>
      </c>
      <c r="J182" s="46">
        <v>21040</v>
      </c>
      <c r="K182" s="47">
        <f>PORTADA!M29</f>
        <v>7.3013263464015994</v>
      </c>
      <c r="M182">
        <v>9</v>
      </c>
      <c r="N182" s="71">
        <f ca="1">IF(DATOSAÑO!$E353=0,0,((DATOSAÑO!$C353/DATOSAÑO!$E353)*1000)*DATOSAÑO!$E353/24)</f>
        <v>0</v>
      </c>
      <c r="O182" s="72">
        <f ca="1">IF(DATOSAÑO!$L353=0,0,((DATOSAÑO!$J353/DATOSAÑO!$L353)*1000)*DATOSAÑO!$L353/24)</f>
        <v>0</v>
      </c>
      <c r="P182" s="82">
        <f t="shared" ca="1" si="44"/>
        <v>0</v>
      </c>
      <c r="Q182" s="44">
        <f t="shared" ca="1" si="45"/>
        <v>0</v>
      </c>
      <c r="R182" s="48" t="s">
        <v>68</v>
      </c>
      <c r="S182" s="50" t="e">
        <f ca="1">(S181-R184)/(R185-R184)*(S185-S184)+S184</f>
        <v>#DIV/0!</v>
      </c>
      <c r="T182" s="45">
        <f t="shared" ca="1" si="46"/>
        <v>0</v>
      </c>
      <c r="U182" s="45">
        <f t="shared" ca="1" si="47"/>
        <v>0</v>
      </c>
      <c r="V182" s="46">
        <v>21040</v>
      </c>
      <c r="W182" s="47" t="e">
        <f>PORTADA!S29</f>
        <v>#DIV/0!</v>
      </c>
    </row>
    <row r="183" spans="1:23">
      <c r="A183">
        <v>10</v>
      </c>
      <c r="B183" s="71">
        <f ca="1">IF(DATOSAÑO!E171=0,0,((DATOSAÑO!C171/DATOSAÑO!E171)*1000)*DATOSAÑO!E171/24)</f>
        <v>11640.875000002174</v>
      </c>
      <c r="C183" s="72">
        <f ca="1">IF(DATOSAÑO!L171=0,0,((DATOSAÑO!J171/DATOSAÑO!L171)*1000)*DATOSAÑO!L171/24)</f>
        <v>6236.3750000001046</v>
      </c>
      <c r="D183" s="82">
        <f t="shared" ca="1" si="40"/>
        <v>4.9464538597294956</v>
      </c>
      <c r="E183" s="44">
        <f t="shared" ca="1" si="41"/>
        <v>3.7529941079520466</v>
      </c>
      <c r="F183" s="48"/>
      <c r="G183" s="45"/>
      <c r="H183" s="45">
        <f t="shared" ca="1" si="42"/>
        <v>0</v>
      </c>
      <c r="I183" s="45">
        <f t="shared" ca="1" si="43"/>
        <v>0</v>
      </c>
      <c r="J183" s="46">
        <v>23670</v>
      </c>
      <c r="K183" s="47">
        <f>PORTADA!M30</f>
        <v>7.9737464263660609</v>
      </c>
      <c r="M183">
        <v>10</v>
      </c>
      <c r="N183" s="71">
        <f ca="1">IF(DATOSAÑO!$E354=0,0,((DATOSAÑO!$C354/DATOSAÑO!$E354)*1000)*DATOSAÑO!$E354/24)</f>
        <v>0</v>
      </c>
      <c r="O183" s="72">
        <f ca="1">IF(DATOSAÑO!$L354=0,0,((DATOSAÑO!$J354/DATOSAÑO!$L354)*1000)*DATOSAÑO!$L354/24)</f>
        <v>0</v>
      </c>
      <c r="P183" s="82">
        <f t="shared" ca="1" si="44"/>
        <v>0</v>
      </c>
      <c r="Q183" s="44">
        <f t="shared" ca="1" si="45"/>
        <v>0</v>
      </c>
      <c r="R183" s="48"/>
      <c r="S183" s="45"/>
      <c r="T183" s="45">
        <f t="shared" ca="1" si="46"/>
        <v>0</v>
      </c>
      <c r="U183" s="45">
        <f t="shared" ca="1" si="47"/>
        <v>0</v>
      </c>
      <c r="V183" s="46">
        <v>23670</v>
      </c>
      <c r="W183" s="47" t="e">
        <f>PORTADA!S30</f>
        <v>#DIV/0!</v>
      </c>
    </row>
    <row r="184" spans="1:23">
      <c r="A184">
        <v>11</v>
      </c>
      <c r="B184" s="71">
        <f ca="1">IF(DATOSAÑO!E172=0,0,((DATOSAÑO!C172/DATOSAÑO!E172)*1000)*DATOSAÑO!E172/24)</f>
        <v>11229.166666666666</v>
      </c>
      <c r="C184" s="72">
        <f ca="1">IF(DATOSAÑO!L172=0,0,((DATOSAÑO!J172/DATOSAÑO!L172)*1000)*DATOSAÑO!L172/24)</f>
        <v>6300.4166666666306</v>
      </c>
      <c r="D184" s="82">
        <f t="shared" ca="1" si="40"/>
        <v>4.8543489807863169</v>
      </c>
      <c r="E184" s="44">
        <f t="shared" ca="1" si="41"/>
        <v>3.7683444772323327</v>
      </c>
      <c r="F184" s="51">
        <f ca="1">INDEX(J174:J184,I185)</f>
        <v>5260</v>
      </c>
      <c r="G184" s="52">
        <f ca="1">INDEX(K174:K184,I185)</f>
        <v>3.5189633966015101</v>
      </c>
      <c r="H184" s="45">
        <f t="shared" ca="1" si="42"/>
        <v>0</v>
      </c>
      <c r="I184" s="45">
        <f t="shared" ca="1" si="43"/>
        <v>0</v>
      </c>
      <c r="J184" s="46">
        <v>26300</v>
      </c>
      <c r="K184" s="47">
        <f>PORTADA!M31</f>
        <v>8.6461665063305198</v>
      </c>
      <c r="M184">
        <v>11</v>
      </c>
      <c r="N184" s="71">
        <f ca="1">IF(DATOSAÑO!$E355=0,0,((DATOSAÑO!$C355/DATOSAÑO!$E355)*1000)*DATOSAÑO!$E355/24)</f>
        <v>0</v>
      </c>
      <c r="O184" s="72">
        <f ca="1">IF(DATOSAÑO!$L355=0,0,((DATOSAÑO!$J355/DATOSAÑO!$L355)*1000)*DATOSAÑO!$L355/24)</f>
        <v>0</v>
      </c>
      <c r="P184" s="82">
        <f t="shared" ca="1" si="44"/>
        <v>0</v>
      </c>
      <c r="Q184" s="44">
        <f t="shared" ca="1" si="45"/>
        <v>0</v>
      </c>
      <c r="R184" s="51">
        <f ca="1">INDEX(V174:V184,U185)</f>
        <v>0</v>
      </c>
      <c r="S184" s="52" t="e">
        <f ca="1">INDEX(W174:W184,U185)</f>
        <v>#DIV/0!</v>
      </c>
      <c r="T184" s="45">
        <f t="shared" ca="1" si="46"/>
        <v>0</v>
      </c>
      <c r="U184" s="45">
        <f t="shared" ca="1" si="47"/>
        <v>0</v>
      </c>
      <c r="V184" s="46">
        <v>26300</v>
      </c>
      <c r="W184" s="47" t="e">
        <f>PORTADA!S31</f>
        <v>#DIV/0!</v>
      </c>
    </row>
    <row r="185" spans="1:23" ht="15" thickBot="1">
      <c r="A185">
        <v>12</v>
      </c>
      <c r="B185" s="71">
        <f ca="1">IF(DATOSAÑO!E173=0,0,((DATOSAÑO!C173/DATOSAÑO!E173)*1000)*DATOSAÑO!E173/24)</f>
        <v>11237.499999998059</v>
      </c>
      <c r="C185" s="72">
        <f ca="1">IF(DATOSAÑO!L173=0,0,((DATOSAÑO!J173/DATOSAÑO!L173)*1000)*DATOSAÑO!L173/24)</f>
        <v>6353.416666666817</v>
      </c>
      <c r="D185" s="82">
        <f t="shared" ca="1" si="40"/>
        <v>4.8562132633269757</v>
      </c>
      <c r="E185" s="44">
        <f t="shared" ca="1" si="41"/>
        <v>3.7810482311195384</v>
      </c>
      <c r="F185" s="53">
        <f ca="1">INDEX(J174:J184,I185+1)</f>
        <v>7890</v>
      </c>
      <c r="G185" s="54">
        <f ca="1">INDEX(K174:K184,I185+1)</f>
        <v>4.1493572215681924</v>
      </c>
      <c r="H185" s="55">
        <f ca="1">SUM(H174:H184)</f>
        <v>5</v>
      </c>
      <c r="I185" s="55">
        <f ca="1">SUM(I174:I184)</f>
        <v>3</v>
      </c>
      <c r="J185" s="55"/>
      <c r="K185" s="55"/>
      <c r="M185">
        <v>12</v>
      </c>
      <c r="N185" s="71">
        <f ca="1">IF(DATOSAÑO!$E356=0,0,((DATOSAÑO!$C356/DATOSAÑO!$E356)*1000)*DATOSAÑO!$E356/24)</f>
        <v>0</v>
      </c>
      <c r="O185" s="72">
        <f ca="1">IF(DATOSAÑO!$L356=0,0,((DATOSAÑO!$J356/DATOSAÑO!$L356)*1000)*DATOSAÑO!$L356/24)</f>
        <v>0</v>
      </c>
      <c r="P185" s="82">
        <f t="shared" ca="1" si="44"/>
        <v>0</v>
      </c>
      <c r="Q185" s="44">
        <f t="shared" ca="1" si="45"/>
        <v>0</v>
      </c>
      <c r="R185" s="53">
        <f ca="1">INDEX(V174:V184,U185+1)</f>
        <v>2630</v>
      </c>
      <c r="S185" s="54" t="e">
        <f ca="1">INDEX(W174:W184,U185+1)</f>
        <v>#DIV/0!</v>
      </c>
      <c r="T185" s="55">
        <f ca="1">SUM(T174:T184)</f>
        <v>1</v>
      </c>
      <c r="U185" s="55">
        <f ca="1">SUM(U174:U184)</f>
        <v>1</v>
      </c>
      <c r="V185" s="55"/>
      <c r="W185" s="55"/>
    </row>
    <row r="186" spans="1:23">
      <c r="A186">
        <v>13</v>
      </c>
      <c r="B186" s="71">
        <f ca="1">IF(DATOSAÑO!E174=0,0,((DATOSAÑO!C174/DATOSAÑO!E174)*1000)*DATOSAÑO!E174/24)</f>
        <v>11847.499999998641</v>
      </c>
      <c r="C186" s="72">
        <f ca="1">IF(DATOSAÑO!L174=0,0,((DATOSAÑO!J174/DATOSAÑO!L174)*1000)*DATOSAÑO!L174/24)</f>
        <v>6118.99999999999</v>
      </c>
      <c r="D186" s="82">
        <f t="shared" ca="1" si="40"/>
        <v>4.9926787453351018</v>
      </c>
      <c r="E186" s="44">
        <f t="shared" ca="1" si="41"/>
        <v>3.724860086961348</v>
      </c>
      <c r="F186" s="56"/>
      <c r="G186" s="56"/>
      <c r="H186" s="56"/>
      <c r="I186" s="56"/>
      <c r="J186" s="56"/>
      <c r="K186" s="56"/>
      <c r="M186">
        <v>13</v>
      </c>
      <c r="N186" s="71">
        <f ca="1">IF(DATOSAÑO!$E357=0,0,((DATOSAÑO!$C357/DATOSAÑO!$E357)*1000)*DATOSAÑO!$E357/24)</f>
        <v>0</v>
      </c>
      <c r="O186" s="72">
        <f ca="1">IF(DATOSAÑO!$L357=0,0,((DATOSAÑO!$J357/DATOSAÑO!$L357)*1000)*DATOSAÑO!$L357/24)</f>
        <v>0</v>
      </c>
      <c r="P186" s="82">
        <f t="shared" ca="1" si="44"/>
        <v>0</v>
      </c>
      <c r="Q186" s="44">
        <f t="shared" ca="1" si="45"/>
        <v>0</v>
      </c>
      <c r="R186" s="56"/>
      <c r="S186" s="56"/>
      <c r="T186" s="56"/>
      <c r="U186" s="56"/>
      <c r="V186" s="56"/>
      <c r="W186" s="56"/>
    </row>
    <row r="187" spans="1:23">
      <c r="A187">
        <v>14</v>
      </c>
      <c r="B187" s="71">
        <f ca="1">IF(DATOSAÑO!E175=0,0,((DATOSAÑO!C175/DATOSAÑO!E175)*1000)*DATOSAÑO!E175/24)</f>
        <v>12060.833333336632</v>
      </c>
      <c r="C187" s="72">
        <f ca="1">IF(DATOSAÑO!L175=0,0,((DATOSAÑO!J175/DATOSAÑO!L175)*1000)*DATOSAÑO!L175/24)</f>
        <v>6116.4999999997844</v>
      </c>
      <c r="D187" s="82">
        <f t="shared" ca="1" si="40"/>
        <v>5.0404043783881205</v>
      </c>
      <c r="E187" s="44">
        <f t="shared" ca="1" si="41"/>
        <v>3.724260853287376</v>
      </c>
      <c r="F187" s="56"/>
      <c r="G187" s="56"/>
      <c r="H187" s="56"/>
      <c r="I187" s="56"/>
      <c r="J187" s="56"/>
      <c r="K187" s="56"/>
      <c r="M187">
        <v>14</v>
      </c>
      <c r="N187" s="71">
        <f ca="1">IF(DATOSAÑO!$E358=0,0,((DATOSAÑO!$C358/DATOSAÑO!$E358)*1000)*DATOSAÑO!$E358/24)</f>
        <v>0</v>
      </c>
      <c r="O187" s="72">
        <f ca="1">IF(DATOSAÑO!$L358=0,0,((DATOSAÑO!$J358/DATOSAÑO!$L358)*1000)*DATOSAÑO!$L358/24)</f>
        <v>0</v>
      </c>
      <c r="P187" s="82">
        <f t="shared" ca="1" si="44"/>
        <v>0</v>
      </c>
      <c r="Q187" s="44">
        <f t="shared" ca="1" si="45"/>
        <v>0</v>
      </c>
      <c r="R187" s="56"/>
      <c r="S187" s="56"/>
      <c r="T187" s="56"/>
      <c r="U187" s="56"/>
      <c r="V187" s="56"/>
      <c r="W187" s="56"/>
    </row>
    <row r="188" spans="1:23">
      <c r="A188">
        <v>15</v>
      </c>
      <c r="B188" s="71">
        <f ca="1">IF(DATOSAÑO!E176=0,0,((DATOSAÑO!C176/DATOSAÑO!E176)*1000)*DATOSAÑO!E176/24)</f>
        <v>11556.24999999903</v>
      </c>
      <c r="C188" s="72">
        <f ca="1">IF(DATOSAÑO!L176=0,0,((DATOSAÑO!J176/DATOSAÑO!L176)*1000)*DATOSAÑO!L176/24)</f>
        <v>6963.1666666667415</v>
      </c>
      <c r="D188" s="82">
        <f t="shared" ca="1" si="40"/>
        <v>4.9275220705239944</v>
      </c>
      <c r="E188" s="44">
        <f t="shared" ca="1" si="41"/>
        <v>3.9272013241892676</v>
      </c>
      <c r="F188" s="56"/>
      <c r="G188" s="56"/>
      <c r="H188" s="56"/>
      <c r="I188" s="56"/>
      <c r="J188" s="56"/>
      <c r="K188" s="56"/>
      <c r="M188">
        <v>15</v>
      </c>
      <c r="N188" s="71">
        <f ca="1">IF(DATOSAÑO!$E359=0,0,((DATOSAÑO!$C359/DATOSAÑO!$E359)*1000)*DATOSAÑO!$E359/24)</f>
        <v>0</v>
      </c>
      <c r="O188" s="72">
        <f ca="1">IF(DATOSAÑO!$L359=0,0,((DATOSAÑO!$J359/DATOSAÑO!$L359)*1000)*DATOSAÑO!$L359/24)</f>
        <v>0</v>
      </c>
      <c r="P188" s="82">
        <f t="shared" ca="1" si="44"/>
        <v>0</v>
      </c>
      <c r="Q188" s="44">
        <f t="shared" ca="1" si="45"/>
        <v>0</v>
      </c>
      <c r="R188" s="56"/>
      <c r="S188" s="56"/>
      <c r="T188" s="56"/>
      <c r="U188" s="56"/>
      <c r="V188" s="56"/>
      <c r="W188" s="56"/>
    </row>
    <row r="189" spans="1:23">
      <c r="A189">
        <v>16</v>
      </c>
      <c r="B189" s="71">
        <f ca="1">IF(DATOSAÑO!E177=0,0,((DATOSAÑO!C177/DATOSAÑO!E177)*1000)*DATOSAÑO!E177/24)</f>
        <v>4364.583333333333</v>
      </c>
      <c r="C189" s="72">
        <f ca="1">IF(DATOSAÑO!L177=0,0,((DATOSAÑO!J177/DATOSAÑO!L177)*1000)*DATOSAÑO!L177/24)</f>
        <v>13950.000000000122</v>
      </c>
      <c r="D189" s="82">
        <f t="shared" ca="1" si="40"/>
        <v>3.3186462375610875</v>
      </c>
      <c r="E189" s="44">
        <f t="shared" ca="1" si="41"/>
        <v>5.6018996471568503</v>
      </c>
      <c r="F189" s="56"/>
      <c r="G189" s="56"/>
      <c r="H189" s="56"/>
      <c r="I189" s="56"/>
      <c r="J189" s="56"/>
      <c r="K189" s="56"/>
      <c r="M189">
        <v>16</v>
      </c>
      <c r="N189" s="71">
        <f ca="1">IF(DATOSAÑO!$E360=0,0,((DATOSAÑO!$C360/DATOSAÑO!$E360)*1000)*DATOSAÑO!$E360/24)</f>
        <v>0</v>
      </c>
      <c r="O189" s="72">
        <f ca="1">IF(DATOSAÑO!$L360=0,0,((DATOSAÑO!$J360/DATOSAÑO!$L360)*1000)*DATOSAÑO!$L360/24)</f>
        <v>0</v>
      </c>
      <c r="P189" s="82">
        <f t="shared" ca="1" si="44"/>
        <v>0</v>
      </c>
      <c r="Q189" s="44">
        <f t="shared" ca="1" si="45"/>
        <v>0</v>
      </c>
      <c r="R189" s="56"/>
      <c r="S189" s="56"/>
      <c r="T189" s="56"/>
      <c r="U189" s="56"/>
      <c r="V189" s="56"/>
      <c r="W189" s="56"/>
    </row>
    <row r="190" spans="1:23">
      <c r="A190">
        <v>17</v>
      </c>
      <c r="B190" s="71">
        <f ca="1">IF(DATOSAÑO!E178=0,0,((DATOSAÑO!C178/DATOSAÑO!E178)*1000)*DATOSAÑO!E178/24)</f>
        <v>6333.333333333333</v>
      </c>
      <c r="C190" s="72">
        <f ca="1">IF(DATOSAÑO!L178=0,0,((DATOSAÑO!J178/DATOSAÑO!L178)*1000)*DATOSAÑO!L178/24)</f>
        <v>12037.50000000006</v>
      </c>
      <c r="D190" s="82">
        <f t="shared" ca="1" si="40"/>
        <v>3.7590829878942715</v>
      </c>
      <c r="E190" s="44">
        <f t="shared" ca="1" si="41"/>
        <v>5.1434858866059692</v>
      </c>
      <c r="F190" s="56"/>
      <c r="G190" s="56"/>
      <c r="H190" s="57"/>
      <c r="I190" s="56"/>
      <c r="J190" s="56"/>
      <c r="K190" s="56"/>
      <c r="M190">
        <v>17</v>
      </c>
      <c r="N190" s="71">
        <f ca="1">IF(DATOSAÑO!$E361=0,0,((DATOSAÑO!$C361/DATOSAÑO!$E361)*1000)*DATOSAÑO!$E361/24)</f>
        <v>0</v>
      </c>
      <c r="O190" s="72">
        <f ca="1">IF(DATOSAÑO!$L361=0,0,((DATOSAÑO!$J361/DATOSAÑO!$L361)*1000)*DATOSAÑO!$L361/24)</f>
        <v>0</v>
      </c>
      <c r="P190" s="82">
        <f t="shared" ca="1" si="44"/>
        <v>0</v>
      </c>
      <c r="Q190" s="44">
        <f t="shared" ca="1" si="45"/>
        <v>0</v>
      </c>
      <c r="R190" s="56"/>
      <c r="S190" s="56"/>
      <c r="T190" s="57"/>
      <c r="U190" s="56"/>
      <c r="V190" s="56"/>
      <c r="W190" s="56"/>
    </row>
    <row r="191" spans="1:23">
      <c r="A191">
        <v>18</v>
      </c>
      <c r="B191" s="71">
        <f ca="1">IF(DATOSAÑO!E179=0,0,((DATOSAÑO!C179/DATOSAÑO!E179)*1000)*DATOSAÑO!E179/24)</f>
        <v>6333.333333333333</v>
      </c>
      <c r="C191" s="72">
        <f ca="1">IF(DATOSAÑO!L179=0,0,((DATOSAÑO!J179/DATOSAÑO!L179)*1000)*DATOSAÑO!L179/24)</f>
        <v>11449.999999999818</v>
      </c>
      <c r="D191" s="82">
        <f t="shared" ca="1" si="40"/>
        <v>3.7590829878942715</v>
      </c>
      <c r="E191" s="44">
        <f t="shared" ca="1" si="41"/>
        <v>5.0026659732340759</v>
      </c>
      <c r="F191" s="56"/>
      <c r="G191" s="56"/>
      <c r="H191" s="56"/>
      <c r="I191" s="56"/>
      <c r="J191" s="56"/>
      <c r="K191" s="56"/>
      <c r="M191">
        <v>18</v>
      </c>
      <c r="N191" s="71">
        <f ca="1">IF(DATOSAÑO!$E362=0,0,((DATOSAÑO!$C362/DATOSAÑO!$E362)*1000)*DATOSAÑO!$E362/24)</f>
        <v>0</v>
      </c>
      <c r="O191" s="72">
        <f ca="1">IF(DATOSAÑO!$L362=0,0,((DATOSAÑO!$J362/DATOSAÑO!$L362)*1000)*DATOSAÑO!$L362/24)</f>
        <v>0</v>
      </c>
      <c r="P191" s="82">
        <f t="shared" ca="1" si="44"/>
        <v>0</v>
      </c>
      <c r="Q191" s="44">
        <f t="shared" ca="1" si="45"/>
        <v>0</v>
      </c>
      <c r="R191" s="56"/>
      <c r="S191" s="56"/>
      <c r="T191" s="56"/>
      <c r="U191" s="56"/>
      <c r="V191" s="56"/>
      <c r="W191" s="56"/>
    </row>
    <row r="192" spans="1:23">
      <c r="A192">
        <v>19</v>
      </c>
      <c r="B192" s="71">
        <f ca="1">IF(DATOSAÑO!E180=0,0,((DATOSAÑO!C180/DATOSAÑO!E180)*1000)*DATOSAÑO!E180/24)</f>
        <v>6291.666666666667</v>
      </c>
      <c r="C192" s="72">
        <f ca="1">IF(DATOSAÑO!L180=0,0,((DATOSAÑO!J180/DATOSAÑO!L180)*1000)*DATOSAÑO!L180/24)</f>
        <v>12291.666666666666</v>
      </c>
      <c r="D192" s="82">
        <f t="shared" ca="1" si="40"/>
        <v>3.7497615751888076</v>
      </c>
      <c r="E192" s="44">
        <f t="shared" ca="1" si="41"/>
        <v>5.2044079767880955</v>
      </c>
      <c r="F192" s="56"/>
      <c r="G192" s="56"/>
      <c r="H192" s="56"/>
      <c r="I192" s="56"/>
      <c r="J192" s="56"/>
      <c r="K192" s="58"/>
      <c r="M192">
        <v>19</v>
      </c>
      <c r="N192" s="71">
        <f ca="1">IF(DATOSAÑO!$E363=0,0,((DATOSAÑO!$C363/DATOSAÑO!$E363)*1000)*DATOSAÑO!$E363/24)</f>
        <v>0</v>
      </c>
      <c r="O192" s="72">
        <f ca="1">IF(DATOSAÑO!$L363=0,0,((DATOSAÑO!$J363/DATOSAÑO!$L363)*1000)*DATOSAÑO!$L363/24)</f>
        <v>0</v>
      </c>
      <c r="P192" s="82">
        <f t="shared" ca="1" si="44"/>
        <v>0</v>
      </c>
      <c r="Q192" s="44">
        <f t="shared" ca="1" si="45"/>
        <v>0</v>
      </c>
      <c r="R192" s="56"/>
      <c r="S192" s="56"/>
      <c r="T192" s="56"/>
      <c r="U192" s="56"/>
      <c r="V192" s="56"/>
      <c r="W192" s="58"/>
    </row>
    <row r="193" spans="1:23">
      <c r="A193">
        <v>20</v>
      </c>
      <c r="B193" s="71">
        <f ca="1">IF(DATOSAÑO!E181=0,0,((DATOSAÑO!C181/DATOSAÑO!E181)*1000)*DATOSAÑO!E181/24)</f>
        <v>7833.333333333333</v>
      </c>
      <c r="C193" s="72">
        <f ca="1">IF(DATOSAÑO!L181=0,0,((DATOSAÑO!J181/DATOSAÑO!L181)*1000)*DATOSAÑO!L181/24)</f>
        <v>10641.666666666728</v>
      </c>
      <c r="D193" s="82">
        <f t="shared" ca="1" si="40"/>
        <v>4.0946538452909831</v>
      </c>
      <c r="E193" s="44">
        <f t="shared" ca="1" si="41"/>
        <v>4.8089137519991274</v>
      </c>
      <c r="F193" s="56"/>
      <c r="G193" s="56"/>
      <c r="H193" s="56"/>
      <c r="I193" s="56"/>
      <c r="J193" s="56"/>
      <c r="K193" s="56"/>
      <c r="M193">
        <v>20</v>
      </c>
      <c r="N193" s="71">
        <f ca="1">IF(DATOSAÑO!$E364=0,0,((DATOSAÑO!$C364/DATOSAÑO!$E364)*1000)*DATOSAÑO!$E364/24)</f>
        <v>0</v>
      </c>
      <c r="O193" s="72">
        <f ca="1">IF(DATOSAÑO!$L364=0,0,((DATOSAÑO!$J364/DATOSAÑO!$L364)*1000)*DATOSAÑO!$L364/24)</f>
        <v>0</v>
      </c>
      <c r="P193" s="82">
        <f t="shared" ca="1" si="44"/>
        <v>0</v>
      </c>
      <c r="Q193" s="44">
        <f t="shared" ca="1" si="45"/>
        <v>0</v>
      </c>
      <c r="R193" s="56"/>
      <c r="S193" s="56"/>
      <c r="T193" s="56"/>
      <c r="U193" s="56"/>
      <c r="V193" s="56"/>
      <c r="W193" s="56"/>
    </row>
    <row r="194" spans="1:23">
      <c r="A194">
        <v>21</v>
      </c>
      <c r="B194" s="71">
        <f ca="1">IF(DATOSAÑO!E182=0,0,((DATOSAÑO!C182/DATOSAÑO!E182)*1000)*DATOSAÑO!E182/24)</f>
        <v>12041.666666666666</v>
      </c>
      <c r="C194" s="72">
        <f ca="1">IF(DATOSAÑO!L182=0,0,((DATOSAÑO!J182/DATOSAÑO!L182)*1000)*DATOSAÑO!L182/24)</f>
        <v>6250</v>
      </c>
      <c r="D194" s="82">
        <f t="shared" ca="1" si="40"/>
        <v>5.0361165285428688</v>
      </c>
      <c r="E194" s="44">
        <f t="shared" ca="1" si="41"/>
        <v>3.7562599314748999</v>
      </c>
      <c r="F194" s="56"/>
      <c r="G194" s="56"/>
      <c r="H194" s="56"/>
      <c r="I194" s="56"/>
      <c r="J194" s="56"/>
      <c r="K194" s="56"/>
      <c r="M194">
        <v>21</v>
      </c>
      <c r="N194" s="71">
        <f ca="1">IF(DATOSAÑO!$E365=0,0,((DATOSAÑO!$C365/DATOSAÑO!$E365)*1000)*DATOSAÑO!$E365/24)</f>
        <v>0</v>
      </c>
      <c r="O194" s="72">
        <f ca="1">IF(DATOSAÑO!$L365=0,0,((DATOSAÑO!$J365/DATOSAÑO!$L365)*1000)*DATOSAÑO!$L365/24)</f>
        <v>0</v>
      </c>
      <c r="P194" s="82">
        <f t="shared" ca="1" si="44"/>
        <v>0</v>
      </c>
      <c r="Q194" s="44">
        <f t="shared" ca="1" si="45"/>
        <v>0</v>
      </c>
      <c r="R194" s="56"/>
      <c r="S194" s="56"/>
      <c r="T194" s="56"/>
      <c r="U194" s="56"/>
      <c r="V194" s="56"/>
      <c r="W194" s="56"/>
    </row>
    <row r="195" spans="1:23">
      <c r="A195">
        <v>22</v>
      </c>
      <c r="B195" s="71">
        <f ca="1">IF(DATOSAÑO!E183=0,0,((DATOSAÑO!C183/DATOSAÑO!E183)*1000)*DATOSAÑO!E183/24)</f>
        <v>12083.333333333334</v>
      </c>
      <c r="C195" s="72">
        <f ca="1">IF(DATOSAÑO!L183=0,0,((DATOSAÑO!J183/DATOSAÑO!L183)*1000)*DATOSAÑO!L183/24)</f>
        <v>6416.666666666667</v>
      </c>
      <c r="D195" s="82">
        <f t="shared" ca="1" si="40"/>
        <v>5.0454379412483341</v>
      </c>
      <c r="E195" s="44">
        <f t="shared" ca="1" si="41"/>
        <v>3.7962088430697469</v>
      </c>
      <c r="F195" s="56"/>
      <c r="G195" s="56"/>
      <c r="H195" s="56"/>
      <c r="I195" s="56"/>
      <c r="J195" s="56"/>
      <c r="K195" s="56"/>
      <c r="M195">
        <v>22</v>
      </c>
      <c r="N195" s="71">
        <f ca="1">IF(DATOSAÑO!$E366=0,0,((DATOSAÑO!$C366/DATOSAÑO!$E366)*1000)*DATOSAÑO!$E366/24)</f>
        <v>0</v>
      </c>
      <c r="O195" s="72">
        <f ca="1">IF(DATOSAÑO!$L366=0,0,((DATOSAÑO!$J366/DATOSAÑO!$L366)*1000)*DATOSAÑO!$L366/24)</f>
        <v>0</v>
      </c>
      <c r="P195" s="82">
        <f t="shared" ca="1" si="44"/>
        <v>0</v>
      </c>
      <c r="Q195" s="44">
        <f t="shared" ca="1" si="45"/>
        <v>0</v>
      </c>
      <c r="R195" s="56"/>
      <c r="S195" s="56"/>
      <c r="T195" s="56"/>
      <c r="U195" s="56"/>
      <c r="V195" s="56"/>
      <c r="W195" s="56"/>
    </row>
    <row r="196" spans="1:23">
      <c r="A196">
        <v>23</v>
      </c>
      <c r="B196" s="71">
        <f ca="1">IF(DATOSAÑO!E184=0,0,((DATOSAÑO!C184/DATOSAÑO!E184)*1000)*DATOSAÑO!E184/24)</f>
        <v>12166.666666666666</v>
      </c>
      <c r="C196" s="72">
        <f ca="1">IF(DATOSAÑO!L184=0,0,((DATOSAÑO!J184/DATOSAÑO!L184)*1000)*DATOSAÑO!L184/24)</f>
        <v>6000</v>
      </c>
      <c r="D196" s="82">
        <f t="shared" ca="1" si="40"/>
        <v>5.064080766659262</v>
      </c>
      <c r="E196" s="44">
        <f t="shared" ca="1" si="41"/>
        <v>3.69633656408263</v>
      </c>
      <c r="F196" s="56"/>
      <c r="G196" s="56"/>
      <c r="H196" s="56"/>
      <c r="I196" s="56"/>
      <c r="J196" s="56"/>
      <c r="K196" s="56"/>
      <c r="M196">
        <v>23</v>
      </c>
      <c r="N196" s="71">
        <f ca="1">IF(DATOSAÑO!$E367=0,0,((DATOSAÑO!$C367/DATOSAÑO!$E367)*1000)*DATOSAÑO!$E367/24)</f>
        <v>0</v>
      </c>
      <c r="O196" s="72">
        <f ca="1">IF(DATOSAÑO!$L367=0,0,((DATOSAÑO!$J367/DATOSAÑO!$L367)*1000)*DATOSAÑO!$L367/24)</f>
        <v>0</v>
      </c>
      <c r="P196" s="82">
        <f t="shared" ca="1" si="44"/>
        <v>0</v>
      </c>
      <c r="Q196" s="44">
        <f t="shared" ca="1" si="45"/>
        <v>0</v>
      </c>
      <c r="R196" s="56"/>
      <c r="S196" s="56"/>
      <c r="T196" s="56"/>
      <c r="U196" s="56"/>
      <c r="V196" s="56"/>
      <c r="W196" s="56"/>
    </row>
    <row r="197" spans="1:23">
      <c r="A197">
        <v>24</v>
      </c>
      <c r="B197" s="71">
        <f ca="1">IF(DATOSAÑO!E185=0,0,((DATOSAÑO!C185/DATOSAÑO!E185)*1000)*DATOSAÑO!E185/24)</f>
        <v>12333.333333333334</v>
      </c>
      <c r="C197" s="72">
        <f ca="1">IF(DATOSAÑO!L185=0,0,((DATOSAÑO!J185/DATOSAÑO!L185)*1000)*DATOSAÑO!L185/24)</f>
        <v>6083.333333333333</v>
      </c>
      <c r="D197" s="82">
        <f t="shared" ca="1" si="40"/>
        <v>5.1013664174811186</v>
      </c>
      <c r="E197" s="44">
        <f t="shared" ca="1" si="41"/>
        <v>3.7163110198800533</v>
      </c>
      <c r="F197" s="56"/>
      <c r="G197" s="56"/>
      <c r="H197" s="56"/>
      <c r="I197" s="56"/>
      <c r="J197" s="56"/>
      <c r="K197" s="56"/>
      <c r="M197">
        <v>24</v>
      </c>
      <c r="N197" s="71">
        <f ca="1">IF(DATOSAÑO!$E368=0,0,((DATOSAÑO!$C368/DATOSAÑO!$E368)*1000)*DATOSAÑO!$E368/24)</f>
        <v>0</v>
      </c>
      <c r="O197" s="72">
        <f ca="1">IF(DATOSAÑO!$L368=0,0,((DATOSAÑO!$J368/DATOSAÑO!$L368)*1000)*DATOSAÑO!$L368/24)</f>
        <v>0</v>
      </c>
      <c r="P197" s="82">
        <f t="shared" ca="1" si="44"/>
        <v>0</v>
      </c>
      <c r="Q197" s="44">
        <f t="shared" ca="1" si="45"/>
        <v>0</v>
      </c>
      <c r="R197" s="56"/>
      <c r="S197" s="56"/>
      <c r="T197" s="56"/>
      <c r="U197" s="56"/>
      <c r="V197" s="56"/>
      <c r="W197" s="56"/>
    </row>
    <row r="198" spans="1:23">
      <c r="A198">
        <v>25</v>
      </c>
      <c r="B198" s="71">
        <f ca="1">IF(DATOSAÑO!E186=0,0,((DATOSAÑO!C186/DATOSAÑO!E186)*1000)*DATOSAÑO!E186/24)</f>
        <v>12208.333333333334</v>
      </c>
      <c r="C198" s="72">
        <f ca="1">IF(DATOSAÑO!L186=0,0,((DATOSAÑO!J186/DATOSAÑO!L186)*1000)*DATOSAÑO!L186/24)</f>
        <v>6291.666666666667</v>
      </c>
      <c r="D198" s="82">
        <f t="shared" ca="1" si="40"/>
        <v>5.0734021793647264</v>
      </c>
      <c r="E198" s="44">
        <f t="shared" ca="1" si="41"/>
        <v>3.766247159373612</v>
      </c>
      <c r="F198" s="56"/>
      <c r="G198" s="56"/>
      <c r="H198" s="56"/>
      <c r="I198" s="56"/>
      <c r="J198" s="56"/>
      <c r="K198" s="56"/>
      <c r="M198">
        <v>25</v>
      </c>
      <c r="N198" s="71">
        <f ca="1">IF(DATOSAÑO!$E369=0,0,((DATOSAÑO!$C369/DATOSAÑO!$E369)*1000)*DATOSAÑO!$E369/24)</f>
        <v>0</v>
      </c>
      <c r="O198" s="72">
        <f ca="1">IF(DATOSAÑO!$L369=0,0,((DATOSAÑO!$J369/DATOSAÑO!$L369)*1000)*DATOSAÑO!$L369/24)</f>
        <v>0</v>
      </c>
      <c r="P198" s="82">
        <f t="shared" ca="1" si="44"/>
        <v>0</v>
      </c>
      <c r="Q198" s="44">
        <f t="shared" ca="1" si="45"/>
        <v>0</v>
      </c>
      <c r="R198" s="56"/>
      <c r="S198" s="56"/>
      <c r="T198" s="56"/>
      <c r="U198" s="56"/>
      <c r="V198" s="56"/>
      <c r="W198" s="56"/>
    </row>
    <row r="199" spans="1:23">
      <c r="A199">
        <v>26</v>
      </c>
      <c r="B199" s="71">
        <f ca="1">IF(DATOSAÑO!E187=0,0,((DATOSAÑO!C187/DATOSAÑO!E187)*1000)*DATOSAÑO!E187/24)</f>
        <v>12250</v>
      </c>
      <c r="C199" s="72">
        <f ca="1">IF(DATOSAÑO!L187=0,0,((DATOSAÑO!J187/DATOSAÑO!L187)*1000)*DATOSAÑO!L187/24)</f>
        <v>6083.333333333333</v>
      </c>
      <c r="D199" s="82">
        <f t="shared" ca="1" si="40"/>
        <v>5.0827235920701908</v>
      </c>
      <c r="E199" s="44">
        <f t="shared" ca="1" si="41"/>
        <v>3.7163110198800533</v>
      </c>
      <c r="F199" s="56"/>
      <c r="G199" s="56"/>
      <c r="H199" s="56"/>
      <c r="I199" s="56"/>
      <c r="J199" s="56"/>
      <c r="K199" s="56"/>
      <c r="M199">
        <v>26</v>
      </c>
      <c r="N199" s="71">
        <f ca="1">IF(DATOSAÑO!$E370=0,0,((DATOSAÑO!$C370/DATOSAÑO!$E370)*1000)*DATOSAÑO!$E370/24)</f>
        <v>0</v>
      </c>
      <c r="O199" s="72">
        <f ca="1">IF(DATOSAÑO!$L370=0,0,((DATOSAÑO!$J370/DATOSAÑO!$L370)*1000)*DATOSAÑO!$L370/24)</f>
        <v>0</v>
      </c>
      <c r="P199" s="82">
        <f t="shared" ca="1" si="44"/>
        <v>0</v>
      </c>
      <c r="Q199" s="44">
        <f t="shared" ca="1" si="45"/>
        <v>0</v>
      </c>
      <c r="R199" s="56"/>
      <c r="S199" s="56"/>
      <c r="T199" s="56"/>
      <c r="U199" s="56"/>
      <c r="V199" s="56"/>
      <c r="W199" s="56"/>
    </row>
    <row r="200" spans="1:23">
      <c r="A200">
        <v>27</v>
      </c>
      <c r="B200" s="71">
        <f ca="1">IF(DATOSAÑO!E188=0,0,((DATOSAÑO!C188/DATOSAÑO!E188)*1000)*DATOSAÑO!E188/24)</f>
        <v>12044.166666668994</v>
      </c>
      <c r="C200" s="72">
        <f ca="1">IF(DATOSAÑO!L188=0,0,((DATOSAÑO!J188/DATOSAÑO!L188)*1000)*DATOSAÑO!L188/24)</f>
        <v>6082.5000000001337</v>
      </c>
      <c r="D200" s="82">
        <f t="shared" ca="1" si="40"/>
        <v>5.0366758133057177</v>
      </c>
      <c r="E200" s="44">
        <f t="shared" ca="1" si="41"/>
        <v>3.7161112753221111</v>
      </c>
      <c r="F200" s="56"/>
      <c r="G200" s="56"/>
      <c r="H200" s="56"/>
      <c r="I200" s="56"/>
      <c r="J200" s="56"/>
      <c r="K200" s="56"/>
      <c r="M200">
        <v>27</v>
      </c>
      <c r="N200" s="71">
        <f ca="1">IF(DATOSAÑO!$E371=0,0,((DATOSAÑO!$C371/DATOSAÑO!$E371)*1000)*DATOSAÑO!$E371/24)</f>
        <v>0</v>
      </c>
      <c r="O200" s="72">
        <f ca="1">IF(DATOSAÑO!$L371=0,0,((DATOSAÑO!$J371/DATOSAÑO!$L371)*1000)*DATOSAÑO!$L371/24)</f>
        <v>0</v>
      </c>
      <c r="P200" s="82">
        <f t="shared" ca="1" si="44"/>
        <v>0</v>
      </c>
      <c r="Q200" s="44">
        <f t="shared" ca="1" si="45"/>
        <v>0</v>
      </c>
      <c r="R200" s="56"/>
      <c r="S200" s="56"/>
      <c r="T200" s="56"/>
      <c r="U200" s="56"/>
      <c r="V200" s="56"/>
      <c r="W200" s="56"/>
    </row>
    <row r="201" spans="1:23">
      <c r="A201">
        <v>28</v>
      </c>
      <c r="B201" s="71">
        <f ca="1">IF(DATOSAÑO!E189=0,0,((DATOSAÑO!C189/DATOSAÑO!E189)*1000)*DATOSAÑO!E189/24)</f>
        <v>11808.333333329452</v>
      </c>
      <c r="C201" s="72">
        <f ca="1">IF(DATOSAÑO!L189=0,0,((DATOSAÑO!J189/DATOSAÑO!L189)*1000)*DATOSAÑO!L189/24)</f>
        <v>6107.0833333333212</v>
      </c>
      <c r="D201" s="82">
        <f t="shared" ca="1" si="40"/>
        <v>4.9839166173914018</v>
      </c>
      <c r="E201" s="44">
        <f t="shared" ca="1" si="41"/>
        <v>3.7220037397823162</v>
      </c>
      <c r="F201" s="56"/>
      <c r="G201" s="56"/>
      <c r="H201" s="56"/>
      <c r="I201" s="56"/>
      <c r="J201" s="56"/>
      <c r="K201" s="56"/>
      <c r="M201">
        <v>28</v>
      </c>
      <c r="N201" s="71">
        <f ca="1">IF(DATOSAÑO!$E372=0,0,((DATOSAÑO!$C372/DATOSAÑO!$E372)*1000)*DATOSAÑO!$E372/24)</f>
        <v>0</v>
      </c>
      <c r="O201" s="72">
        <f ca="1">IF(DATOSAÑO!$L372=0,0,((DATOSAÑO!$J372/DATOSAÑO!$L372)*1000)*DATOSAÑO!$L372/24)</f>
        <v>0</v>
      </c>
      <c r="P201" s="82">
        <f t="shared" ca="1" si="44"/>
        <v>0</v>
      </c>
      <c r="Q201" s="44">
        <f t="shared" ca="1" si="45"/>
        <v>0</v>
      </c>
      <c r="R201" s="56"/>
      <c r="S201" s="56"/>
      <c r="T201" s="56"/>
      <c r="U201" s="56"/>
      <c r="V201" s="56"/>
      <c r="W201" s="56"/>
    </row>
    <row r="202" spans="1:23">
      <c r="A202">
        <v>29</v>
      </c>
      <c r="B202" s="71">
        <f ca="1">IF(DATOSAÑO!E190=0,0,((DATOSAÑO!C190/DATOSAÑO!E190)*1000)*DATOSAÑO!E190/24)</f>
        <v>12116.250000001552</v>
      </c>
      <c r="C202" s="72">
        <f ca="1">IF(DATOSAÑO!L190=0,0,((DATOSAÑO!J190/DATOSAÑO!L190)*1000)*DATOSAÑO!L190/24)</f>
        <v>6157.7500000000027</v>
      </c>
      <c r="D202" s="82">
        <f t="shared" ca="1" si="40"/>
        <v>5.0528018572859974</v>
      </c>
      <c r="E202" s="44">
        <f t="shared" ca="1" si="41"/>
        <v>3.7341482089071532</v>
      </c>
      <c r="F202" s="56"/>
      <c r="G202" s="56"/>
      <c r="H202" s="56"/>
      <c r="I202" s="56"/>
      <c r="J202" s="56"/>
      <c r="K202" s="56"/>
      <c r="M202">
        <v>29</v>
      </c>
      <c r="N202" s="71">
        <f ca="1">IF(DATOSAÑO!$E373=0,0,((DATOSAÑO!$C373/DATOSAÑO!$E373)*1000)*DATOSAÑO!$E373/24)</f>
        <v>0</v>
      </c>
      <c r="O202" s="72">
        <f ca="1">IF(DATOSAÑO!$L373=0,0,((DATOSAÑO!$J373/DATOSAÑO!$L373)*1000)*DATOSAÑO!$L373/24)</f>
        <v>0</v>
      </c>
      <c r="P202" s="82">
        <f t="shared" ca="1" si="44"/>
        <v>0</v>
      </c>
      <c r="Q202" s="44">
        <f t="shared" ca="1" si="45"/>
        <v>0</v>
      </c>
      <c r="R202" s="56"/>
      <c r="S202" s="56"/>
      <c r="T202" s="56"/>
      <c r="U202" s="56"/>
      <c r="V202" s="56"/>
      <c r="W202" s="56"/>
    </row>
    <row r="203" spans="1:23">
      <c r="A203">
        <v>30</v>
      </c>
      <c r="B203" s="71">
        <f ca="1">IF(DATOSAÑO!E191=0,0,((DATOSAÑO!C191/DATOSAÑO!E191)*1000)*DATOSAÑO!E191/24)</f>
        <v>11753.166666666706</v>
      </c>
      <c r="C203" s="72">
        <f ca="1">IF(DATOSAÑO!L191=0,0,((DATOSAÑO!J191/DATOSAÑO!L191)*1000)*DATOSAÑO!L191/24)</f>
        <v>6162.6666666664578</v>
      </c>
      <c r="D203" s="82">
        <f t="shared" ca="1" si="40"/>
        <v>4.9715750669702441</v>
      </c>
      <c r="E203" s="44">
        <f t="shared" ca="1" si="41"/>
        <v>3.7353267017991501</v>
      </c>
      <c r="F203" s="56"/>
      <c r="G203" s="56"/>
      <c r="H203" s="56"/>
      <c r="I203" s="56"/>
      <c r="J203" s="56"/>
      <c r="K203" s="56"/>
      <c r="M203">
        <v>30</v>
      </c>
      <c r="N203" s="71">
        <f ca="1">IF(DATOSAÑO!$E374=0,0,((DATOSAÑO!$C374/DATOSAÑO!$E374)*1000)*DATOSAÑO!$E374/24)</f>
        <v>0</v>
      </c>
      <c r="O203" s="72">
        <f ca="1">IF(DATOSAÑO!$L374=0,0,((DATOSAÑO!$J374/DATOSAÑO!$L374)*1000)*DATOSAÑO!$L374/24)</f>
        <v>0</v>
      </c>
      <c r="P203" s="82">
        <f t="shared" ca="1" si="44"/>
        <v>0</v>
      </c>
      <c r="Q203" s="44">
        <f t="shared" ca="1" si="45"/>
        <v>0</v>
      </c>
      <c r="R203" s="56"/>
      <c r="S203" s="56"/>
      <c r="T203" s="56"/>
      <c r="U203" s="56"/>
      <c r="V203" s="56"/>
      <c r="W203" s="56"/>
    </row>
    <row r="204" spans="1:23" ht="15" thickBot="1">
      <c r="B204" s="73"/>
      <c r="C204" s="74"/>
      <c r="D204" s="80"/>
      <c r="E204" s="81"/>
      <c r="F204" s="56"/>
      <c r="G204" s="56"/>
      <c r="H204" s="56"/>
      <c r="I204" s="56"/>
      <c r="J204" s="56"/>
      <c r="K204" s="56"/>
      <c r="M204">
        <v>31</v>
      </c>
      <c r="N204" s="73">
        <f ca="1">IF(DATOSAÑO!$E375=0,0,((DATOSAÑO!$C375/DATOSAÑO!$E375)*1000)*DATOSAÑO!$E375/24)</f>
        <v>0</v>
      </c>
      <c r="O204" s="74">
        <f ca="1">IF(DATOSAÑO!$L375=0,0,((DATOSAÑO!$J375/DATOSAÑO!$L375)*1000)*DATOSAÑO!$L375/24)</f>
        <v>0</v>
      </c>
      <c r="P204" s="80">
        <f t="shared" ca="1" si="44"/>
        <v>0</v>
      </c>
      <c r="Q204" s="81">
        <f t="shared" ca="1" si="45"/>
        <v>0</v>
      </c>
      <c r="R204" s="56"/>
      <c r="S204" s="56"/>
      <c r="T204" s="56"/>
      <c r="U204" s="56"/>
      <c r="V204" s="56"/>
      <c r="W204" s="56"/>
    </row>
    <row r="205" spans="1:23" ht="15" thickTop="1"/>
    <row r="206" spans="1:23">
      <c r="D206" s="190"/>
      <c r="E206" s="190"/>
      <c r="F206" s="190"/>
    </row>
  </sheetData>
  <mergeCells count="48">
    <mergeCell ref="F38:G38"/>
    <mergeCell ref="F44:G44"/>
    <mergeCell ref="B70:E70"/>
    <mergeCell ref="F70:K70"/>
    <mergeCell ref="B2:E2"/>
    <mergeCell ref="F2:K2"/>
    <mergeCell ref="F4:G4"/>
    <mergeCell ref="F10:G10"/>
    <mergeCell ref="B36:E36"/>
    <mergeCell ref="F36:K36"/>
    <mergeCell ref="F72:G72"/>
    <mergeCell ref="F78:G78"/>
    <mergeCell ref="B138:E138"/>
    <mergeCell ref="F138:K138"/>
    <mergeCell ref="F140:G140"/>
    <mergeCell ref="F112:G112"/>
    <mergeCell ref="B104:E104"/>
    <mergeCell ref="F104:K104"/>
    <mergeCell ref="F106:G106"/>
    <mergeCell ref="B172:E172"/>
    <mergeCell ref="F172:K172"/>
    <mergeCell ref="F146:G146"/>
    <mergeCell ref="F174:G174"/>
    <mergeCell ref="F180:G180"/>
    <mergeCell ref="N2:Q2"/>
    <mergeCell ref="R2:W2"/>
    <mergeCell ref="R4:S4"/>
    <mergeCell ref="R10:S10"/>
    <mergeCell ref="N36:Q36"/>
    <mergeCell ref="R36:W36"/>
    <mergeCell ref="R38:S38"/>
    <mergeCell ref="R44:S44"/>
    <mergeCell ref="N70:Q70"/>
    <mergeCell ref="R70:W70"/>
    <mergeCell ref="R72:S72"/>
    <mergeCell ref="R78:S78"/>
    <mergeCell ref="N104:Q104"/>
    <mergeCell ref="R104:W104"/>
    <mergeCell ref="R106:S106"/>
    <mergeCell ref="R112:S112"/>
    <mergeCell ref="R174:S174"/>
    <mergeCell ref="R180:S180"/>
    <mergeCell ref="N138:Q138"/>
    <mergeCell ref="R138:W138"/>
    <mergeCell ref="R140:S140"/>
    <mergeCell ref="R146:S146"/>
    <mergeCell ref="N172:Q172"/>
    <mergeCell ref="R172:W172"/>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60A680"/>
  </sheetPr>
  <dimension ref="A1:AS376"/>
  <sheetViews>
    <sheetView showGridLines="0" zoomScale="50" zoomScaleNormal="50" workbookViewId="0">
      <pane xSplit="2" ySplit="11" topLeftCell="V304" activePane="bottomRight" state="frozen"/>
      <selection activeCell="B24" sqref="B24"/>
      <selection pane="topRight" activeCell="B24" sqref="B24"/>
      <selection pane="bottomLeft" activeCell="B24" sqref="B24"/>
      <selection pane="bottomRight" activeCell="F375" sqref="F375"/>
    </sheetView>
  </sheetViews>
  <sheetFormatPr baseColWidth="10" defaultColWidth="9.1796875" defaultRowHeight="14.5"/>
  <cols>
    <col min="1" max="1" width="1.1796875" style="169" hidden="1" customWidth="1"/>
    <col min="2" max="2" width="14.54296875" style="1" customWidth="1"/>
    <col min="3" max="5" width="14" style="1" customWidth="1"/>
    <col min="6" max="6" width="18.1796875" style="1" bestFit="1" customWidth="1"/>
    <col min="7" max="11" width="14" style="1" customWidth="1"/>
    <col min="12" max="12" width="13.81640625" style="1" customWidth="1"/>
    <col min="13" max="13" width="12.81640625" style="1" hidden="1" customWidth="1"/>
    <col min="14" max="14" width="12" style="1" hidden="1" customWidth="1"/>
    <col min="15" max="15" width="13.453125" style="1" customWidth="1"/>
    <col min="16" max="16" width="16.26953125" style="1" customWidth="1"/>
    <col min="17" max="34" width="14" style="1" customWidth="1"/>
    <col min="35" max="35" width="11.26953125" style="1" customWidth="1"/>
    <col min="36" max="36" width="12.26953125" style="1" customWidth="1"/>
    <col min="37" max="37" width="11.26953125" style="1" customWidth="1"/>
    <col min="38" max="38" width="13.453125" style="1" customWidth="1"/>
    <col min="39" max="39" width="11.7265625" style="1" customWidth="1"/>
    <col min="40" max="40" width="13.1796875" style="1" customWidth="1"/>
    <col min="41" max="41" width="11" style="1" customWidth="1"/>
    <col min="42" max="42" width="13.7265625" style="1" customWidth="1"/>
    <col min="43" max="43" width="11.453125" style="1" customWidth="1"/>
    <col min="44" max="44" width="13.1796875" style="1" customWidth="1"/>
    <col min="45" max="45" width="9.1796875" style="425"/>
    <col min="46" max="194" width="9.1796875" style="1"/>
    <col min="195" max="195" width="0.81640625" style="1" customWidth="1"/>
    <col min="196" max="196" width="11.453125" style="1" bestFit="1" customWidth="1"/>
    <col min="197" max="197" width="13.453125" style="1" customWidth="1"/>
    <col min="198" max="200" width="13.1796875" style="1" customWidth="1"/>
    <col min="201" max="214" width="13.453125" style="1" customWidth="1"/>
    <col min="215" max="215" width="14" style="1" customWidth="1"/>
    <col min="216" max="216" width="13.54296875" style="1" customWidth="1"/>
    <col min="217" max="217" width="48.453125" style="1" customWidth="1"/>
    <col min="218" max="450" width="9.1796875" style="1"/>
    <col min="451" max="451" width="0.81640625" style="1" customWidth="1"/>
    <col min="452" max="452" width="11.453125" style="1" bestFit="1" customWidth="1"/>
    <col min="453" max="453" width="13.453125" style="1" customWidth="1"/>
    <col min="454" max="456" width="13.1796875" style="1" customWidth="1"/>
    <col min="457" max="470" width="13.453125" style="1" customWidth="1"/>
    <col min="471" max="471" width="14" style="1" customWidth="1"/>
    <col min="472" max="472" width="13.54296875" style="1" customWidth="1"/>
    <col min="473" max="473" width="48.453125" style="1" customWidth="1"/>
    <col min="474" max="706" width="9.1796875" style="1"/>
    <col min="707" max="707" width="0.81640625" style="1" customWidth="1"/>
    <col min="708" max="708" width="11.453125" style="1" bestFit="1" customWidth="1"/>
    <col min="709" max="709" width="13.453125" style="1" customWidth="1"/>
    <col min="710" max="712" width="13.1796875" style="1" customWidth="1"/>
    <col min="713" max="726" width="13.453125" style="1" customWidth="1"/>
    <col min="727" max="727" width="14" style="1" customWidth="1"/>
    <col min="728" max="728" width="13.54296875" style="1" customWidth="1"/>
    <col min="729" max="729" width="48.453125" style="1" customWidth="1"/>
    <col min="730" max="962" width="9.1796875" style="1"/>
    <col min="963" max="963" width="0.81640625" style="1" customWidth="1"/>
    <col min="964" max="964" width="11.453125" style="1" bestFit="1" customWidth="1"/>
    <col min="965" max="965" width="13.453125" style="1" customWidth="1"/>
    <col min="966" max="968" width="13.1796875" style="1" customWidth="1"/>
    <col min="969" max="982" width="13.453125" style="1" customWidth="1"/>
    <col min="983" max="983" width="14" style="1" customWidth="1"/>
    <col min="984" max="984" width="13.54296875" style="1" customWidth="1"/>
    <col min="985" max="985" width="48.453125" style="1" customWidth="1"/>
    <col min="986" max="1218" width="9.1796875" style="1"/>
    <col min="1219" max="1219" width="0.81640625" style="1" customWidth="1"/>
    <col min="1220" max="1220" width="11.453125" style="1" bestFit="1" customWidth="1"/>
    <col min="1221" max="1221" width="13.453125" style="1" customWidth="1"/>
    <col min="1222" max="1224" width="13.1796875" style="1" customWidth="1"/>
    <col min="1225" max="1238" width="13.453125" style="1" customWidth="1"/>
    <col min="1239" max="1239" width="14" style="1" customWidth="1"/>
    <col min="1240" max="1240" width="13.54296875" style="1" customWidth="1"/>
    <col min="1241" max="1241" width="48.453125" style="1" customWidth="1"/>
    <col min="1242" max="1474" width="9.1796875" style="1"/>
    <col min="1475" max="1475" width="0.81640625" style="1" customWidth="1"/>
    <col min="1476" max="1476" width="11.453125" style="1" bestFit="1" customWidth="1"/>
    <col min="1477" max="1477" width="13.453125" style="1" customWidth="1"/>
    <col min="1478" max="1480" width="13.1796875" style="1" customWidth="1"/>
    <col min="1481" max="1494" width="13.453125" style="1" customWidth="1"/>
    <col min="1495" max="1495" width="14" style="1" customWidth="1"/>
    <col min="1496" max="1496" width="13.54296875" style="1" customWidth="1"/>
    <col min="1497" max="1497" width="48.453125" style="1" customWidth="1"/>
    <col min="1498" max="1730" width="9.1796875" style="1"/>
    <col min="1731" max="1731" width="0.81640625" style="1" customWidth="1"/>
    <col min="1732" max="1732" width="11.453125" style="1" bestFit="1" customWidth="1"/>
    <col min="1733" max="1733" width="13.453125" style="1" customWidth="1"/>
    <col min="1734" max="1736" width="13.1796875" style="1" customWidth="1"/>
    <col min="1737" max="1750" width="13.453125" style="1" customWidth="1"/>
    <col min="1751" max="1751" width="14" style="1" customWidth="1"/>
    <col min="1752" max="1752" width="13.54296875" style="1" customWidth="1"/>
    <col min="1753" max="1753" width="48.453125" style="1" customWidth="1"/>
    <col min="1754" max="1986" width="9.1796875" style="1"/>
    <col min="1987" max="1987" width="0.81640625" style="1" customWidth="1"/>
    <col min="1988" max="1988" width="11.453125" style="1" bestFit="1" customWidth="1"/>
    <col min="1989" max="1989" width="13.453125" style="1" customWidth="1"/>
    <col min="1990" max="1992" width="13.1796875" style="1" customWidth="1"/>
    <col min="1993" max="2006" width="13.453125" style="1" customWidth="1"/>
    <col min="2007" max="2007" width="14" style="1" customWidth="1"/>
    <col min="2008" max="2008" width="13.54296875" style="1" customWidth="1"/>
    <col min="2009" max="2009" width="48.453125" style="1" customWidth="1"/>
    <col min="2010" max="2242" width="9.1796875" style="1"/>
    <col min="2243" max="2243" width="0.81640625" style="1" customWidth="1"/>
    <col min="2244" max="2244" width="11.453125" style="1" bestFit="1" customWidth="1"/>
    <col min="2245" max="2245" width="13.453125" style="1" customWidth="1"/>
    <col min="2246" max="2248" width="13.1796875" style="1" customWidth="1"/>
    <col min="2249" max="2262" width="13.453125" style="1" customWidth="1"/>
    <col min="2263" max="2263" width="14" style="1" customWidth="1"/>
    <col min="2264" max="2264" width="13.54296875" style="1" customWidth="1"/>
    <col min="2265" max="2265" width="48.453125" style="1" customWidth="1"/>
    <col min="2266" max="2498" width="9.1796875" style="1"/>
    <col min="2499" max="2499" width="0.81640625" style="1" customWidth="1"/>
    <col min="2500" max="2500" width="11.453125" style="1" bestFit="1" customWidth="1"/>
    <col min="2501" max="2501" width="13.453125" style="1" customWidth="1"/>
    <col min="2502" max="2504" width="13.1796875" style="1" customWidth="1"/>
    <col min="2505" max="2518" width="13.453125" style="1" customWidth="1"/>
    <col min="2519" max="2519" width="14" style="1" customWidth="1"/>
    <col min="2520" max="2520" width="13.54296875" style="1" customWidth="1"/>
    <col min="2521" max="2521" width="48.453125" style="1" customWidth="1"/>
    <col min="2522" max="2754" width="9.1796875" style="1"/>
    <col min="2755" max="2755" width="0.81640625" style="1" customWidth="1"/>
    <col min="2756" max="2756" width="11.453125" style="1" bestFit="1" customWidth="1"/>
    <col min="2757" max="2757" width="13.453125" style="1" customWidth="1"/>
    <col min="2758" max="2760" width="13.1796875" style="1" customWidth="1"/>
    <col min="2761" max="2774" width="13.453125" style="1" customWidth="1"/>
    <col min="2775" max="2775" width="14" style="1" customWidth="1"/>
    <col min="2776" max="2776" width="13.54296875" style="1" customWidth="1"/>
    <col min="2777" max="2777" width="48.453125" style="1" customWidth="1"/>
    <col min="2778" max="3010" width="9.1796875" style="1"/>
    <col min="3011" max="3011" width="0.81640625" style="1" customWidth="1"/>
    <col min="3012" max="3012" width="11.453125" style="1" bestFit="1" customWidth="1"/>
    <col min="3013" max="3013" width="13.453125" style="1" customWidth="1"/>
    <col min="3014" max="3016" width="13.1796875" style="1" customWidth="1"/>
    <col min="3017" max="3030" width="13.453125" style="1" customWidth="1"/>
    <col min="3031" max="3031" width="14" style="1" customWidth="1"/>
    <col min="3032" max="3032" width="13.54296875" style="1" customWidth="1"/>
    <col min="3033" max="3033" width="48.453125" style="1" customWidth="1"/>
    <col min="3034" max="3266" width="9.1796875" style="1"/>
    <col min="3267" max="3267" width="0.81640625" style="1" customWidth="1"/>
    <col min="3268" max="3268" width="11.453125" style="1" bestFit="1" customWidth="1"/>
    <col min="3269" max="3269" width="13.453125" style="1" customWidth="1"/>
    <col min="3270" max="3272" width="13.1796875" style="1" customWidth="1"/>
    <col min="3273" max="3286" width="13.453125" style="1" customWidth="1"/>
    <col min="3287" max="3287" width="14" style="1" customWidth="1"/>
    <col min="3288" max="3288" width="13.54296875" style="1" customWidth="1"/>
    <col min="3289" max="3289" width="48.453125" style="1" customWidth="1"/>
    <col min="3290" max="3522" width="9.1796875" style="1"/>
    <col min="3523" max="3523" width="0.81640625" style="1" customWidth="1"/>
    <col min="3524" max="3524" width="11.453125" style="1" bestFit="1" customWidth="1"/>
    <col min="3525" max="3525" width="13.453125" style="1" customWidth="1"/>
    <col min="3526" max="3528" width="13.1796875" style="1" customWidth="1"/>
    <col min="3529" max="3542" width="13.453125" style="1" customWidth="1"/>
    <col min="3543" max="3543" width="14" style="1" customWidth="1"/>
    <col min="3544" max="3544" width="13.54296875" style="1" customWidth="1"/>
    <col min="3545" max="3545" width="48.453125" style="1" customWidth="1"/>
    <col min="3546" max="3778" width="9.1796875" style="1"/>
    <col min="3779" max="3779" width="0.81640625" style="1" customWidth="1"/>
    <col min="3780" max="3780" width="11.453125" style="1" bestFit="1" customWidth="1"/>
    <col min="3781" max="3781" width="13.453125" style="1" customWidth="1"/>
    <col min="3782" max="3784" width="13.1796875" style="1" customWidth="1"/>
    <col min="3785" max="3798" width="13.453125" style="1" customWidth="1"/>
    <col min="3799" max="3799" width="14" style="1" customWidth="1"/>
    <col min="3800" max="3800" width="13.54296875" style="1" customWidth="1"/>
    <col min="3801" max="3801" width="48.453125" style="1" customWidth="1"/>
    <col min="3802" max="4034" width="9.1796875" style="1"/>
    <col min="4035" max="4035" width="0.81640625" style="1" customWidth="1"/>
    <col min="4036" max="4036" width="11.453125" style="1" bestFit="1" customWidth="1"/>
    <col min="4037" max="4037" width="13.453125" style="1" customWidth="1"/>
    <col min="4038" max="4040" width="13.1796875" style="1" customWidth="1"/>
    <col min="4041" max="4054" width="13.453125" style="1" customWidth="1"/>
    <col min="4055" max="4055" width="14" style="1" customWidth="1"/>
    <col min="4056" max="4056" width="13.54296875" style="1" customWidth="1"/>
    <col min="4057" max="4057" width="48.453125" style="1" customWidth="1"/>
    <col min="4058" max="4290" width="9.1796875" style="1"/>
    <col min="4291" max="4291" width="0.81640625" style="1" customWidth="1"/>
    <col min="4292" max="4292" width="11.453125" style="1" bestFit="1" customWidth="1"/>
    <col min="4293" max="4293" width="13.453125" style="1" customWidth="1"/>
    <col min="4294" max="4296" width="13.1796875" style="1" customWidth="1"/>
    <col min="4297" max="4310" width="13.453125" style="1" customWidth="1"/>
    <col min="4311" max="4311" width="14" style="1" customWidth="1"/>
    <col min="4312" max="4312" width="13.54296875" style="1" customWidth="1"/>
    <col min="4313" max="4313" width="48.453125" style="1" customWidth="1"/>
    <col min="4314" max="4546" width="9.1796875" style="1"/>
    <col min="4547" max="4547" width="0.81640625" style="1" customWidth="1"/>
    <col min="4548" max="4548" width="11.453125" style="1" bestFit="1" customWidth="1"/>
    <col min="4549" max="4549" width="13.453125" style="1" customWidth="1"/>
    <col min="4550" max="4552" width="13.1796875" style="1" customWidth="1"/>
    <col min="4553" max="4566" width="13.453125" style="1" customWidth="1"/>
    <col min="4567" max="4567" width="14" style="1" customWidth="1"/>
    <col min="4568" max="4568" width="13.54296875" style="1" customWidth="1"/>
    <col min="4569" max="4569" width="48.453125" style="1" customWidth="1"/>
    <col min="4570" max="4802" width="9.1796875" style="1"/>
    <col min="4803" max="4803" width="0.81640625" style="1" customWidth="1"/>
    <col min="4804" max="4804" width="11.453125" style="1" bestFit="1" customWidth="1"/>
    <col min="4805" max="4805" width="13.453125" style="1" customWidth="1"/>
    <col min="4806" max="4808" width="13.1796875" style="1" customWidth="1"/>
    <col min="4809" max="4822" width="13.453125" style="1" customWidth="1"/>
    <col min="4823" max="4823" width="14" style="1" customWidth="1"/>
    <col min="4824" max="4824" width="13.54296875" style="1" customWidth="1"/>
    <col min="4825" max="4825" width="48.453125" style="1" customWidth="1"/>
    <col min="4826" max="5058" width="9.1796875" style="1"/>
    <col min="5059" max="5059" width="0.81640625" style="1" customWidth="1"/>
    <col min="5060" max="5060" width="11.453125" style="1" bestFit="1" customWidth="1"/>
    <col min="5061" max="5061" width="13.453125" style="1" customWidth="1"/>
    <col min="5062" max="5064" width="13.1796875" style="1" customWidth="1"/>
    <col min="5065" max="5078" width="13.453125" style="1" customWidth="1"/>
    <col min="5079" max="5079" width="14" style="1" customWidth="1"/>
    <col min="5080" max="5080" width="13.54296875" style="1" customWidth="1"/>
    <col min="5081" max="5081" width="48.453125" style="1" customWidth="1"/>
    <col min="5082" max="5314" width="9.1796875" style="1"/>
    <col min="5315" max="5315" width="0.81640625" style="1" customWidth="1"/>
    <col min="5316" max="5316" width="11.453125" style="1" bestFit="1" customWidth="1"/>
    <col min="5317" max="5317" width="13.453125" style="1" customWidth="1"/>
    <col min="5318" max="5320" width="13.1796875" style="1" customWidth="1"/>
    <col min="5321" max="5334" width="13.453125" style="1" customWidth="1"/>
    <col min="5335" max="5335" width="14" style="1" customWidth="1"/>
    <col min="5336" max="5336" width="13.54296875" style="1" customWidth="1"/>
    <col min="5337" max="5337" width="48.453125" style="1" customWidth="1"/>
    <col min="5338" max="5570" width="9.1796875" style="1"/>
    <col min="5571" max="5571" width="0.81640625" style="1" customWidth="1"/>
    <col min="5572" max="5572" width="11.453125" style="1" bestFit="1" customWidth="1"/>
    <col min="5573" max="5573" width="13.453125" style="1" customWidth="1"/>
    <col min="5574" max="5576" width="13.1796875" style="1" customWidth="1"/>
    <col min="5577" max="5590" width="13.453125" style="1" customWidth="1"/>
    <col min="5591" max="5591" width="14" style="1" customWidth="1"/>
    <col min="5592" max="5592" width="13.54296875" style="1" customWidth="1"/>
    <col min="5593" max="5593" width="48.453125" style="1" customWidth="1"/>
    <col min="5594" max="5826" width="9.1796875" style="1"/>
    <col min="5827" max="5827" width="0.81640625" style="1" customWidth="1"/>
    <col min="5828" max="5828" width="11.453125" style="1" bestFit="1" customWidth="1"/>
    <col min="5829" max="5829" width="13.453125" style="1" customWidth="1"/>
    <col min="5830" max="5832" width="13.1796875" style="1" customWidth="1"/>
    <col min="5833" max="5846" width="13.453125" style="1" customWidth="1"/>
    <col min="5847" max="5847" width="14" style="1" customWidth="1"/>
    <col min="5848" max="5848" width="13.54296875" style="1" customWidth="1"/>
    <col min="5849" max="5849" width="48.453125" style="1" customWidth="1"/>
    <col min="5850" max="6082" width="9.1796875" style="1"/>
    <col min="6083" max="6083" width="0.81640625" style="1" customWidth="1"/>
    <col min="6084" max="6084" width="11.453125" style="1" bestFit="1" customWidth="1"/>
    <col min="6085" max="6085" width="13.453125" style="1" customWidth="1"/>
    <col min="6086" max="6088" width="13.1796875" style="1" customWidth="1"/>
    <col min="6089" max="6102" width="13.453125" style="1" customWidth="1"/>
    <col min="6103" max="6103" width="14" style="1" customWidth="1"/>
    <col min="6104" max="6104" width="13.54296875" style="1" customWidth="1"/>
    <col min="6105" max="6105" width="48.453125" style="1" customWidth="1"/>
    <col min="6106" max="6338" width="9.1796875" style="1"/>
    <col min="6339" max="6339" width="0.81640625" style="1" customWidth="1"/>
    <col min="6340" max="6340" width="11.453125" style="1" bestFit="1" customWidth="1"/>
    <col min="6341" max="6341" width="13.453125" style="1" customWidth="1"/>
    <col min="6342" max="6344" width="13.1796875" style="1" customWidth="1"/>
    <col min="6345" max="6358" width="13.453125" style="1" customWidth="1"/>
    <col min="6359" max="6359" width="14" style="1" customWidth="1"/>
    <col min="6360" max="6360" width="13.54296875" style="1" customWidth="1"/>
    <col min="6361" max="6361" width="48.453125" style="1" customWidth="1"/>
    <col min="6362" max="6594" width="9.1796875" style="1"/>
    <col min="6595" max="6595" width="0.81640625" style="1" customWidth="1"/>
    <col min="6596" max="6596" width="11.453125" style="1" bestFit="1" customWidth="1"/>
    <col min="6597" max="6597" width="13.453125" style="1" customWidth="1"/>
    <col min="6598" max="6600" width="13.1796875" style="1" customWidth="1"/>
    <col min="6601" max="6614" width="13.453125" style="1" customWidth="1"/>
    <col min="6615" max="6615" width="14" style="1" customWidth="1"/>
    <col min="6616" max="6616" width="13.54296875" style="1" customWidth="1"/>
    <col min="6617" max="6617" width="48.453125" style="1" customWidth="1"/>
    <col min="6618" max="6850" width="9.1796875" style="1"/>
    <col min="6851" max="6851" width="0.81640625" style="1" customWidth="1"/>
    <col min="6852" max="6852" width="11.453125" style="1" bestFit="1" customWidth="1"/>
    <col min="6853" max="6853" width="13.453125" style="1" customWidth="1"/>
    <col min="6854" max="6856" width="13.1796875" style="1" customWidth="1"/>
    <col min="6857" max="6870" width="13.453125" style="1" customWidth="1"/>
    <col min="6871" max="6871" width="14" style="1" customWidth="1"/>
    <col min="6872" max="6872" width="13.54296875" style="1" customWidth="1"/>
    <col min="6873" max="6873" width="48.453125" style="1" customWidth="1"/>
    <col min="6874" max="7106" width="9.1796875" style="1"/>
    <col min="7107" max="7107" width="0.81640625" style="1" customWidth="1"/>
    <col min="7108" max="7108" width="11.453125" style="1" bestFit="1" customWidth="1"/>
    <col min="7109" max="7109" width="13.453125" style="1" customWidth="1"/>
    <col min="7110" max="7112" width="13.1796875" style="1" customWidth="1"/>
    <col min="7113" max="7126" width="13.453125" style="1" customWidth="1"/>
    <col min="7127" max="7127" width="14" style="1" customWidth="1"/>
    <col min="7128" max="7128" width="13.54296875" style="1" customWidth="1"/>
    <col min="7129" max="7129" width="48.453125" style="1" customWidth="1"/>
    <col min="7130" max="7362" width="9.1796875" style="1"/>
    <col min="7363" max="7363" width="0.81640625" style="1" customWidth="1"/>
    <col min="7364" max="7364" width="11.453125" style="1" bestFit="1" customWidth="1"/>
    <col min="7365" max="7365" width="13.453125" style="1" customWidth="1"/>
    <col min="7366" max="7368" width="13.1796875" style="1" customWidth="1"/>
    <col min="7369" max="7382" width="13.453125" style="1" customWidth="1"/>
    <col min="7383" max="7383" width="14" style="1" customWidth="1"/>
    <col min="7384" max="7384" width="13.54296875" style="1" customWidth="1"/>
    <col min="7385" max="7385" width="48.453125" style="1" customWidth="1"/>
    <col min="7386" max="7618" width="9.1796875" style="1"/>
    <col min="7619" max="7619" width="0.81640625" style="1" customWidth="1"/>
    <col min="7620" max="7620" width="11.453125" style="1" bestFit="1" customWidth="1"/>
    <col min="7621" max="7621" width="13.453125" style="1" customWidth="1"/>
    <col min="7622" max="7624" width="13.1796875" style="1" customWidth="1"/>
    <col min="7625" max="7638" width="13.453125" style="1" customWidth="1"/>
    <col min="7639" max="7639" width="14" style="1" customWidth="1"/>
    <col min="7640" max="7640" width="13.54296875" style="1" customWidth="1"/>
    <col min="7641" max="7641" width="48.453125" style="1" customWidth="1"/>
    <col min="7642" max="7874" width="9.1796875" style="1"/>
    <col min="7875" max="7875" width="0.81640625" style="1" customWidth="1"/>
    <col min="7876" max="7876" width="11.453125" style="1" bestFit="1" customWidth="1"/>
    <col min="7877" max="7877" width="13.453125" style="1" customWidth="1"/>
    <col min="7878" max="7880" width="13.1796875" style="1" customWidth="1"/>
    <col min="7881" max="7894" width="13.453125" style="1" customWidth="1"/>
    <col min="7895" max="7895" width="14" style="1" customWidth="1"/>
    <col min="7896" max="7896" width="13.54296875" style="1" customWidth="1"/>
    <col min="7897" max="7897" width="48.453125" style="1" customWidth="1"/>
    <col min="7898" max="8130" width="9.1796875" style="1"/>
    <col min="8131" max="8131" width="0.81640625" style="1" customWidth="1"/>
    <col min="8132" max="8132" width="11.453125" style="1" bestFit="1" customWidth="1"/>
    <col min="8133" max="8133" width="13.453125" style="1" customWidth="1"/>
    <col min="8134" max="8136" width="13.1796875" style="1" customWidth="1"/>
    <col min="8137" max="8150" width="13.453125" style="1" customWidth="1"/>
    <col min="8151" max="8151" width="14" style="1" customWidth="1"/>
    <col min="8152" max="8152" width="13.54296875" style="1" customWidth="1"/>
    <col min="8153" max="8153" width="48.453125" style="1" customWidth="1"/>
    <col min="8154" max="8386" width="9.1796875" style="1"/>
    <col min="8387" max="8387" width="0.81640625" style="1" customWidth="1"/>
    <col min="8388" max="8388" width="11.453125" style="1" bestFit="1" customWidth="1"/>
    <col min="8389" max="8389" width="13.453125" style="1" customWidth="1"/>
    <col min="8390" max="8392" width="13.1796875" style="1" customWidth="1"/>
    <col min="8393" max="8406" width="13.453125" style="1" customWidth="1"/>
    <col min="8407" max="8407" width="14" style="1" customWidth="1"/>
    <col min="8408" max="8408" width="13.54296875" style="1" customWidth="1"/>
    <col min="8409" max="8409" width="48.453125" style="1" customWidth="1"/>
    <col min="8410" max="8642" width="9.1796875" style="1"/>
    <col min="8643" max="8643" width="0.81640625" style="1" customWidth="1"/>
    <col min="8644" max="8644" width="11.453125" style="1" bestFit="1" customWidth="1"/>
    <col min="8645" max="8645" width="13.453125" style="1" customWidth="1"/>
    <col min="8646" max="8648" width="13.1796875" style="1" customWidth="1"/>
    <col min="8649" max="8662" width="13.453125" style="1" customWidth="1"/>
    <col min="8663" max="8663" width="14" style="1" customWidth="1"/>
    <col min="8664" max="8664" width="13.54296875" style="1" customWidth="1"/>
    <col min="8665" max="8665" width="48.453125" style="1" customWidth="1"/>
    <col min="8666" max="8898" width="9.1796875" style="1"/>
    <col min="8899" max="8899" width="0.81640625" style="1" customWidth="1"/>
    <col min="8900" max="8900" width="11.453125" style="1" bestFit="1" customWidth="1"/>
    <col min="8901" max="8901" width="13.453125" style="1" customWidth="1"/>
    <col min="8902" max="8904" width="13.1796875" style="1" customWidth="1"/>
    <col min="8905" max="8918" width="13.453125" style="1" customWidth="1"/>
    <col min="8919" max="8919" width="14" style="1" customWidth="1"/>
    <col min="8920" max="8920" width="13.54296875" style="1" customWidth="1"/>
    <col min="8921" max="8921" width="48.453125" style="1" customWidth="1"/>
    <col min="8922" max="9154" width="9.1796875" style="1"/>
    <col min="9155" max="9155" width="0.81640625" style="1" customWidth="1"/>
    <col min="9156" max="9156" width="11.453125" style="1" bestFit="1" customWidth="1"/>
    <col min="9157" max="9157" width="13.453125" style="1" customWidth="1"/>
    <col min="9158" max="9160" width="13.1796875" style="1" customWidth="1"/>
    <col min="9161" max="9174" width="13.453125" style="1" customWidth="1"/>
    <col min="9175" max="9175" width="14" style="1" customWidth="1"/>
    <col min="9176" max="9176" width="13.54296875" style="1" customWidth="1"/>
    <col min="9177" max="9177" width="48.453125" style="1" customWidth="1"/>
    <col min="9178" max="9410" width="9.1796875" style="1"/>
    <col min="9411" max="9411" width="0.81640625" style="1" customWidth="1"/>
    <col min="9412" max="9412" width="11.453125" style="1" bestFit="1" customWidth="1"/>
    <col min="9413" max="9413" width="13.453125" style="1" customWidth="1"/>
    <col min="9414" max="9416" width="13.1796875" style="1" customWidth="1"/>
    <col min="9417" max="9430" width="13.453125" style="1" customWidth="1"/>
    <col min="9431" max="9431" width="14" style="1" customWidth="1"/>
    <col min="9432" max="9432" width="13.54296875" style="1" customWidth="1"/>
    <col min="9433" max="9433" width="48.453125" style="1" customWidth="1"/>
    <col min="9434" max="9666" width="9.1796875" style="1"/>
    <col min="9667" max="9667" width="0.81640625" style="1" customWidth="1"/>
    <col min="9668" max="9668" width="11.453125" style="1" bestFit="1" customWidth="1"/>
    <col min="9669" max="9669" width="13.453125" style="1" customWidth="1"/>
    <col min="9670" max="9672" width="13.1796875" style="1" customWidth="1"/>
    <col min="9673" max="9686" width="13.453125" style="1" customWidth="1"/>
    <col min="9687" max="9687" width="14" style="1" customWidth="1"/>
    <col min="9688" max="9688" width="13.54296875" style="1" customWidth="1"/>
    <col min="9689" max="9689" width="48.453125" style="1" customWidth="1"/>
    <col min="9690" max="9922" width="9.1796875" style="1"/>
    <col min="9923" max="9923" width="0.81640625" style="1" customWidth="1"/>
    <col min="9924" max="9924" width="11.453125" style="1" bestFit="1" customWidth="1"/>
    <col min="9925" max="9925" width="13.453125" style="1" customWidth="1"/>
    <col min="9926" max="9928" width="13.1796875" style="1" customWidth="1"/>
    <col min="9929" max="9942" width="13.453125" style="1" customWidth="1"/>
    <col min="9943" max="9943" width="14" style="1" customWidth="1"/>
    <col min="9944" max="9944" width="13.54296875" style="1" customWidth="1"/>
    <col min="9945" max="9945" width="48.453125" style="1" customWidth="1"/>
    <col min="9946" max="10178" width="9.1796875" style="1"/>
    <col min="10179" max="10179" width="0.81640625" style="1" customWidth="1"/>
    <col min="10180" max="10180" width="11.453125" style="1" bestFit="1" customWidth="1"/>
    <col min="10181" max="10181" width="13.453125" style="1" customWidth="1"/>
    <col min="10182" max="10184" width="13.1796875" style="1" customWidth="1"/>
    <col min="10185" max="10198" width="13.453125" style="1" customWidth="1"/>
    <col min="10199" max="10199" width="14" style="1" customWidth="1"/>
    <col min="10200" max="10200" width="13.54296875" style="1" customWidth="1"/>
    <col min="10201" max="10201" width="48.453125" style="1" customWidth="1"/>
    <col min="10202" max="10434" width="9.1796875" style="1"/>
    <col min="10435" max="10435" width="0.81640625" style="1" customWidth="1"/>
    <col min="10436" max="10436" width="11.453125" style="1" bestFit="1" customWidth="1"/>
    <col min="10437" max="10437" width="13.453125" style="1" customWidth="1"/>
    <col min="10438" max="10440" width="13.1796875" style="1" customWidth="1"/>
    <col min="10441" max="10454" width="13.453125" style="1" customWidth="1"/>
    <col min="10455" max="10455" width="14" style="1" customWidth="1"/>
    <col min="10456" max="10456" width="13.54296875" style="1" customWidth="1"/>
    <col min="10457" max="10457" width="48.453125" style="1" customWidth="1"/>
    <col min="10458" max="10690" width="9.1796875" style="1"/>
    <col min="10691" max="10691" width="0.81640625" style="1" customWidth="1"/>
    <col min="10692" max="10692" width="11.453125" style="1" bestFit="1" customWidth="1"/>
    <col min="10693" max="10693" width="13.453125" style="1" customWidth="1"/>
    <col min="10694" max="10696" width="13.1796875" style="1" customWidth="1"/>
    <col min="10697" max="10710" width="13.453125" style="1" customWidth="1"/>
    <col min="10711" max="10711" width="14" style="1" customWidth="1"/>
    <col min="10712" max="10712" width="13.54296875" style="1" customWidth="1"/>
    <col min="10713" max="10713" width="48.453125" style="1" customWidth="1"/>
    <col min="10714" max="10946" width="9.1796875" style="1"/>
    <col min="10947" max="10947" width="0.81640625" style="1" customWidth="1"/>
    <col min="10948" max="10948" width="11.453125" style="1" bestFit="1" customWidth="1"/>
    <col min="10949" max="10949" width="13.453125" style="1" customWidth="1"/>
    <col min="10950" max="10952" width="13.1796875" style="1" customWidth="1"/>
    <col min="10953" max="10966" width="13.453125" style="1" customWidth="1"/>
    <col min="10967" max="10967" width="14" style="1" customWidth="1"/>
    <col min="10968" max="10968" width="13.54296875" style="1" customWidth="1"/>
    <col min="10969" max="10969" width="48.453125" style="1" customWidth="1"/>
    <col min="10970" max="11202" width="9.1796875" style="1"/>
    <col min="11203" max="11203" width="0.81640625" style="1" customWidth="1"/>
    <col min="11204" max="11204" width="11.453125" style="1" bestFit="1" customWidth="1"/>
    <col min="11205" max="11205" width="13.453125" style="1" customWidth="1"/>
    <col min="11206" max="11208" width="13.1796875" style="1" customWidth="1"/>
    <col min="11209" max="11222" width="13.453125" style="1" customWidth="1"/>
    <col min="11223" max="11223" width="14" style="1" customWidth="1"/>
    <col min="11224" max="11224" width="13.54296875" style="1" customWidth="1"/>
    <col min="11225" max="11225" width="48.453125" style="1" customWidth="1"/>
    <col min="11226" max="11458" width="9.1796875" style="1"/>
    <col min="11459" max="11459" width="0.81640625" style="1" customWidth="1"/>
    <col min="11460" max="11460" width="11.453125" style="1" bestFit="1" customWidth="1"/>
    <col min="11461" max="11461" width="13.453125" style="1" customWidth="1"/>
    <col min="11462" max="11464" width="13.1796875" style="1" customWidth="1"/>
    <col min="11465" max="11478" width="13.453125" style="1" customWidth="1"/>
    <col min="11479" max="11479" width="14" style="1" customWidth="1"/>
    <col min="11480" max="11480" width="13.54296875" style="1" customWidth="1"/>
    <col min="11481" max="11481" width="48.453125" style="1" customWidth="1"/>
    <col min="11482" max="11714" width="9.1796875" style="1"/>
    <col min="11715" max="11715" width="0.81640625" style="1" customWidth="1"/>
    <col min="11716" max="11716" width="11.453125" style="1" bestFit="1" customWidth="1"/>
    <col min="11717" max="11717" width="13.453125" style="1" customWidth="1"/>
    <col min="11718" max="11720" width="13.1796875" style="1" customWidth="1"/>
    <col min="11721" max="11734" width="13.453125" style="1" customWidth="1"/>
    <col min="11735" max="11735" width="14" style="1" customWidth="1"/>
    <col min="11736" max="11736" width="13.54296875" style="1" customWidth="1"/>
    <col min="11737" max="11737" width="48.453125" style="1" customWidth="1"/>
    <col min="11738" max="11970" width="9.1796875" style="1"/>
    <col min="11971" max="11971" width="0.81640625" style="1" customWidth="1"/>
    <col min="11972" max="11972" width="11.453125" style="1" bestFit="1" customWidth="1"/>
    <col min="11973" max="11973" width="13.453125" style="1" customWidth="1"/>
    <col min="11974" max="11976" width="13.1796875" style="1" customWidth="1"/>
    <col min="11977" max="11990" width="13.453125" style="1" customWidth="1"/>
    <col min="11991" max="11991" width="14" style="1" customWidth="1"/>
    <col min="11992" max="11992" width="13.54296875" style="1" customWidth="1"/>
    <col min="11993" max="11993" width="48.453125" style="1" customWidth="1"/>
    <col min="11994" max="12226" width="9.1796875" style="1"/>
    <col min="12227" max="12227" width="0.81640625" style="1" customWidth="1"/>
    <col min="12228" max="12228" width="11.453125" style="1" bestFit="1" customWidth="1"/>
    <col min="12229" max="12229" width="13.453125" style="1" customWidth="1"/>
    <col min="12230" max="12232" width="13.1796875" style="1" customWidth="1"/>
    <col min="12233" max="12246" width="13.453125" style="1" customWidth="1"/>
    <col min="12247" max="12247" width="14" style="1" customWidth="1"/>
    <col min="12248" max="12248" width="13.54296875" style="1" customWidth="1"/>
    <col min="12249" max="12249" width="48.453125" style="1" customWidth="1"/>
    <col min="12250" max="12482" width="9.1796875" style="1"/>
    <col min="12483" max="12483" width="0.81640625" style="1" customWidth="1"/>
    <col min="12484" max="12484" width="11.453125" style="1" bestFit="1" customWidth="1"/>
    <col min="12485" max="12485" width="13.453125" style="1" customWidth="1"/>
    <col min="12486" max="12488" width="13.1796875" style="1" customWidth="1"/>
    <col min="12489" max="12502" width="13.453125" style="1" customWidth="1"/>
    <col min="12503" max="12503" width="14" style="1" customWidth="1"/>
    <col min="12504" max="12504" width="13.54296875" style="1" customWidth="1"/>
    <col min="12505" max="12505" width="48.453125" style="1" customWidth="1"/>
    <col min="12506" max="12738" width="9.1796875" style="1"/>
    <col min="12739" max="12739" width="0.81640625" style="1" customWidth="1"/>
    <col min="12740" max="12740" width="11.453125" style="1" bestFit="1" customWidth="1"/>
    <col min="12741" max="12741" width="13.453125" style="1" customWidth="1"/>
    <col min="12742" max="12744" width="13.1796875" style="1" customWidth="1"/>
    <col min="12745" max="12758" width="13.453125" style="1" customWidth="1"/>
    <col min="12759" max="12759" width="14" style="1" customWidth="1"/>
    <col min="12760" max="12760" width="13.54296875" style="1" customWidth="1"/>
    <col min="12761" max="12761" width="48.453125" style="1" customWidth="1"/>
    <col min="12762" max="12994" width="9.1796875" style="1"/>
    <col min="12995" max="12995" width="0.81640625" style="1" customWidth="1"/>
    <col min="12996" max="12996" width="11.453125" style="1" bestFit="1" customWidth="1"/>
    <col min="12997" max="12997" width="13.453125" style="1" customWidth="1"/>
    <col min="12998" max="13000" width="13.1796875" style="1" customWidth="1"/>
    <col min="13001" max="13014" width="13.453125" style="1" customWidth="1"/>
    <col min="13015" max="13015" width="14" style="1" customWidth="1"/>
    <col min="13016" max="13016" width="13.54296875" style="1" customWidth="1"/>
    <col min="13017" max="13017" width="48.453125" style="1" customWidth="1"/>
    <col min="13018" max="13250" width="9.1796875" style="1"/>
    <col min="13251" max="13251" width="0.81640625" style="1" customWidth="1"/>
    <col min="13252" max="13252" width="11.453125" style="1" bestFit="1" customWidth="1"/>
    <col min="13253" max="13253" width="13.453125" style="1" customWidth="1"/>
    <col min="13254" max="13256" width="13.1796875" style="1" customWidth="1"/>
    <col min="13257" max="13270" width="13.453125" style="1" customWidth="1"/>
    <col min="13271" max="13271" width="14" style="1" customWidth="1"/>
    <col min="13272" max="13272" width="13.54296875" style="1" customWidth="1"/>
    <col min="13273" max="13273" width="48.453125" style="1" customWidth="1"/>
    <col min="13274" max="13506" width="9.1796875" style="1"/>
    <col min="13507" max="13507" width="0.81640625" style="1" customWidth="1"/>
    <col min="13508" max="13508" width="11.453125" style="1" bestFit="1" customWidth="1"/>
    <col min="13509" max="13509" width="13.453125" style="1" customWidth="1"/>
    <col min="13510" max="13512" width="13.1796875" style="1" customWidth="1"/>
    <col min="13513" max="13526" width="13.453125" style="1" customWidth="1"/>
    <col min="13527" max="13527" width="14" style="1" customWidth="1"/>
    <col min="13528" max="13528" width="13.54296875" style="1" customWidth="1"/>
    <col min="13529" max="13529" width="48.453125" style="1" customWidth="1"/>
    <col min="13530" max="13762" width="9.1796875" style="1"/>
    <col min="13763" max="13763" width="0.81640625" style="1" customWidth="1"/>
    <col min="13764" max="13764" width="11.453125" style="1" bestFit="1" customWidth="1"/>
    <col min="13765" max="13765" width="13.453125" style="1" customWidth="1"/>
    <col min="13766" max="13768" width="13.1796875" style="1" customWidth="1"/>
    <col min="13769" max="13782" width="13.453125" style="1" customWidth="1"/>
    <col min="13783" max="13783" width="14" style="1" customWidth="1"/>
    <col min="13784" max="13784" width="13.54296875" style="1" customWidth="1"/>
    <col min="13785" max="13785" width="48.453125" style="1" customWidth="1"/>
    <col min="13786" max="14018" width="9.1796875" style="1"/>
    <col min="14019" max="14019" width="0.81640625" style="1" customWidth="1"/>
    <col min="14020" max="14020" width="11.453125" style="1" bestFit="1" customWidth="1"/>
    <col min="14021" max="14021" width="13.453125" style="1" customWidth="1"/>
    <col min="14022" max="14024" width="13.1796875" style="1" customWidth="1"/>
    <col min="14025" max="14038" width="13.453125" style="1" customWidth="1"/>
    <col min="14039" max="14039" width="14" style="1" customWidth="1"/>
    <col min="14040" max="14040" width="13.54296875" style="1" customWidth="1"/>
    <col min="14041" max="14041" width="48.453125" style="1" customWidth="1"/>
    <col min="14042" max="14274" width="9.1796875" style="1"/>
    <col min="14275" max="14275" width="0.81640625" style="1" customWidth="1"/>
    <col min="14276" max="14276" width="11.453125" style="1" bestFit="1" customWidth="1"/>
    <col min="14277" max="14277" width="13.453125" style="1" customWidth="1"/>
    <col min="14278" max="14280" width="13.1796875" style="1" customWidth="1"/>
    <col min="14281" max="14294" width="13.453125" style="1" customWidth="1"/>
    <col min="14295" max="14295" width="14" style="1" customWidth="1"/>
    <col min="14296" max="14296" width="13.54296875" style="1" customWidth="1"/>
    <col min="14297" max="14297" width="48.453125" style="1" customWidth="1"/>
    <col min="14298" max="14530" width="9.1796875" style="1"/>
    <col min="14531" max="14531" width="0.81640625" style="1" customWidth="1"/>
    <col min="14532" max="14532" width="11.453125" style="1" bestFit="1" customWidth="1"/>
    <col min="14533" max="14533" width="13.453125" style="1" customWidth="1"/>
    <col min="14534" max="14536" width="13.1796875" style="1" customWidth="1"/>
    <col min="14537" max="14550" width="13.453125" style="1" customWidth="1"/>
    <col min="14551" max="14551" width="14" style="1" customWidth="1"/>
    <col min="14552" max="14552" width="13.54296875" style="1" customWidth="1"/>
    <col min="14553" max="14553" width="48.453125" style="1" customWidth="1"/>
    <col min="14554" max="14786" width="9.1796875" style="1"/>
    <col min="14787" max="14787" width="0.81640625" style="1" customWidth="1"/>
    <col min="14788" max="14788" width="11.453125" style="1" bestFit="1" customWidth="1"/>
    <col min="14789" max="14789" width="13.453125" style="1" customWidth="1"/>
    <col min="14790" max="14792" width="13.1796875" style="1" customWidth="1"/>
    <col min="14793" max="14806" width="13.453125" style="1" customWidth="1"/>
    <col min="14807" max="14807" width="14" style="1" customWidth="1"/>
    <col min="14808" max="14808" width="13.54296875" style="1" customWidth="1"/>
    <col min="14809" max="14809" width="48.453125" style="1" customWidth="1"/>
    <col min="14810" max="15042" width="9.1796875" style="1"/>
    <col min="15043" max="15043" width="0.81640625" style="1" customWidth="1"/>
    <col min="15044" max="15044" width="11.453125" style="1" bestFit="1" customWidth="1"/>
    <col min="15045" max="15045" width="13.453125" style="1" customWidth="1"/>
    <col min="15046" max="15048" width="13.1796875" style="1" customWidth="1"/>
    <col min="15049" max="15062" width="13.453125" style="1" customWidth="1"/>
    <col min="15063" max="15063" width="14" style="1" customWidth="1"/>
    <col min="15064" max="15064" width="13.54296875" style="1" customWidth="1"/>
    <col min="15065" max="15065" width="48.453125" style="1" customWidth="1"/>
    <col min="15066" max="15298" width="9.1796875" style="1"/>
    <col min="15299" max="15299" width="0.81640625" style="1" customWidth="1"/>
    <col min="15300" max="15300" width="11.453125" style="1" bestFit="1" customWidth="1"/>
    <col min="15301" max="15301" width="13.453125" style="1" customWidth="1"/>
    <col min="15302" max="15304" width="13.1796875" style="1" customWidth="1"/>
    <col min="15305" max="15318" width="13.453125" style="1" customWidth="1"/>
    <col min="15319" max="15319" width="14" style="1" customWidth="1"/>
    <col min="15320" max="15320" width="13.54296875" style="1" customWidth="1"/>
    <col min="15321" max="15321" width="48.453125" style="1" customWidth="1"/>
    <col min="15322" max="15554" width="9.1796875" style="1"/>
    <col min="15555" max="15555" width="0.81640625" style="1" customWidth="1"/>
    <col min="15556" max="15556" width="11.453125" style="1" bestFit="1" customWidth="1"/>
    <col min="15557" max="15557" width="13.453125" style="1" customWidth="1"/>
    <col min="15558" max="15560" width="13.1796875" style="1" customWidth="1"/>
    <col min="15561" max="15574" width="13.453125" style="1" customWidth="1"/>
    <col min="15575" max="15575" width="14" style="1" customWidth="1"/>
    <col min="15576" max="15576" width="13.54296875" style="1" customWidth="1"/>
    <col min="15577" max="15577" width="48.453125" style="1" customWidth="1"/>
    <col min="15578" max="15810" width="9.1796875" style="1"/>
    <col min="15811" max="15811" width="0.81640625" style="1" customWidth="1"/>
    <col min="15812" max="15812" width="11.453125" style="1" bestFit="1" customWidth="1"/>
    <col min="15813" max="15813" width="13.453125" style="1" customWidth="1"/>
    <col min="15814" max="15816" width="13.1796875" style="1" customWidth="1"/>
    <col min="15817" max="15830" width="13.453125" style="1" customWidth="1"/>
    <col min="15831" max="15831" width="14" style="1" customWidth="1"/>
    <col min="15832" max="15832" width="13.54296875" style="1" customWidth="1"/>
    <col min="15833" max="15833" width="48.453125" style="1" customWidth="1"/>
    <col min="15834" max="16066" width="9.1796875" style="1"/>
    <col min="16067" max="16067" width="0.81640625" style="1" customWidth="1"/>
    <col min="16068" max="16068" width="11.453125" style="1" bestFit="1" customWidth="1"/>
    <col min="16069" max="16069" width="13.453125" style="1" customWidth="1"/>
    <col min="16070" max="16072" width="13.1796875" style="1" customWidth="1"/>
    <col min="16073" max="16086" width="13.453125" style="1" customWidth="1"/>
    <col min="16087" max="16087" width="14" style="1" customWidth="1"/>
    <col min="16088" max="16088" width="13.54296875" style="1" customWidth="1"/>
    <col min="16089" max="16089" width="48.453125" style="1" customWidth="1"/>
    <col min="16090" max="16384" width="9.1796875" style="1"/>
  </cols>
  <sheetData>
    <row r="1" spans="1:45" ht="12.75" customHeight="1"/>
    <row r="2" spans="1:45" ht="13" customHeight="1"/>
    <row r="3" spans="1:45" ht="13" customHeight="1">
      <c r="F3" s="27" t="s">
        <v>1</v>
      </c>
      <c r="G3" s="2273">
        <f>INICIO!D12</f>
        <v>45231</v>
      </c>
      <c r="H3" s="2273"/>
    </row>
    <row r="4" spans="1:45" ht="13" customHeight="1">
      <c r="F4" s="27" t="s">
        <v>2</v>
      </c>
      <c r="G4" s="2273">
        <f>INICIO!D13</f>
        <v>45260</v>
      </c>
      <c r="H4" s="2273"/>
      <c r="I4" s="2016"/>
      <c r="J4" s="2016"/>
      <c r="L4" s="169"/>
    </row>
    <row r="5" spans="1:45" ht="13" customHeight="1">
      <c r="F5" s="27" t="s">
        <v>18</v>
      </c>
      <c r="G5" s="2273">
        <f ca="1">TODAY()-1</f>
        <v>45231</v>
      </c>
      <c r="H5" s="2273"/>
      <c r="I5" s="2016"/>
      <c r="J5" s="2016"/>
      <c r="L5" s="169"/>
    </row>
    <row r="6" spans="1:45" ht="13" customHeight="1" thickBot="1">
      <c r="F6" s="1674" t="s">
        <v>1316</v>
      </c>
      <c r="G6" s="1675">
        <f ca="1">G5</f>
        <v>45231</v>
      </c>
    </row>
    <row r="7" spans="1:45" ht="15" hidden="1" thickBot="1">
      <c r="B7" s="165"/>
      <c r="C7" s="166">
        <v>30</v>
      </c>
      <c r="D7" s="166">
        <v>31</v>
      </c>
      <c r="E7" s="166">
        <v>32</v>
      </c>
      <c r="F7" s="166">
        <v>33</v>
      </c>
      <c r="G7" s="166">
        <v>34</v>
      </c>
      <c r="H7" s="166">
        <v>35</v>
      </c>
      <c r="I7" s="166">
        <v>36</v>
      </c>
      <c r="J7" s="166">
        <v>37</v>
      </c>
      <c r="K7" s="166">
        <v>38</v>
      </c>
      <c r="L7" s="166">
        <v>39</v>
      </c>
      <c r="M7" s="166"/>
      <c r="N7" s="166"/>
      <c r="O7" s="166"/>
      <c r="P7" s="166"/>
      <c r="Q7" s="166">
        <v>40</v>
      </c>
      <c r="R7" s="166">
        <v>41</v>
      </c>
      <c r="S7" s="166"/>
      <c r="T7" s="166"/>
      <c r="U7" s="166"/>
      <c r="V7" s="166"/>
      <c r="W7" s="166"/>
      <c r="X7" s="166"/>
      <c r="Y7" s="166"/>
      <c r="Z7" s="166"/>
      <c r="AA7" s="166"/>
      <c r="AB7" s="166"/>
      <c r="AC7" s="166"/>
      <c r="AD7" s="166"/>
    </row>
    <row r="8" spans="1:45" ht="39.75" customHeight="1" thickBot="1">
      <c r="B8" s="2265" t="s">
        <v>1459</v>
      </c>
      <c r="C8" s="2274"/>
      <c r="D8" s="2274"/>
      <c r="E8" s="2274"/>
      <c r="F8" s="2274"/>
      <c r="G8" s="2274"/>
      <c r="H8" s="2274"/>
      <c r="I8" s="2274"/>
      <c r="J8" s="2274"/>
      <c r="K8" s="2274"/>
      <c r="L8" s="2274"/>
      <c r="M8" s="2274"/>
      <c r="N8" s="2274"/>
      <c r="O8" s="2266"/>
      <c r="P8" s="2266"/>
      <c r="Q8" s="2274"/>
      <c r="R8" s="2274"/>
      <c r="S8" s="2274"/>
      <c r="T8" s="2274"/>
      <c r="U8" s="2274"/>
      <c r="V8" s="2274"/>
      <c r="W8" s="2274"/>
      <c r="X8" s="2274"/>
      <c r="Y8" s="2274"/>
      <c r="Z8" s="2274"/>
      <c r="AA8" s="2274"/>
      <c r="AB8" s="2274"/>
      <c r="AC8" s="2274"/>
      <c r="AD8" s="2274"/>
      <c r="AE8" s="2274"/>
      <c r="AF8" s="2274"/>
      <c r="AG8" s="2274"/>
      <c r="AH8" s="2267"/>
      <c r="AI8" s="2265" t="s">
        <v>1459</v>
      </c>
      <c r="AJ8" s="2266"/>
      <c r="AK8" s="2266"/>
      <c r="AL8" s="2266"/>
      <c r="AM8" s="2266"/>
      <c r="AN8" s="2266"/>
      <c r="AO8" s="2266"/>
      <c r="AP8" s="2266"/>
      <c r="AQ8" s="2266"/>
      <c r="AR8" s="2267"/>
    </row>
    <row r="9" spans="1:45" ht="32.25" customHeight="1" thickBot="1">
      <c r="B9" s="2275" t="s">
        <v>4</v>
      </c>
      <c r="C9" s="2270" t="s">
        <v>189</v>
      </c>
      <c r="D9" s="2278"/>
      <c r="E9" s="2278"/>
      <c r="F9" s="2278"/>
      <c r="G9" s="2278"/>
      <c r="H9" s="2278"/>
      <c r="I9" s="2278"/>
      <c r="J9" s="2278"/>
      <c r="K9" s="2278"/>
      <c r="L9" s="2278"/>
      <c r="M9" s="191"/>
      <c r="N9" s="191"/>
      <c r="O9" s="338"/>
      <c r="P9" s="338"/>
      <c r="Q9" s="2270" t="s">
        <v>190</v>
      </c>
      <c r="R9" s="2278"/>
      <c r="S9" s="2278"/>
      <c r="T9" s="2278"/>
      <c r="U9" s="2278"/>
      <c r="V9" s="2278"/>
      <c r="W9" s="2278"/>
      <c r="X9" s="2278"/>
      <c r="Y9" s="2278"/>
      <c r="Z9" s="2278"/>
      <c r="AA9" s="2278"/>
      <c r="AB9" s="2278"/>
      <c r="AC9" s="2278"/>
      <c r="AD9" s="2278"/>
      <c r="AE9" s="2278"/>
      <c r="AF9" s="2278"/>
      <c r="AG9" s="2278"/>
      <c r="AH9" s="2272"/>
      <c r="AI9" s="2270" t="s">
        <v>1223</v>
      </c>
      <c r="AJ9" s="2271"/>
      <c r="AK9" s="2271"/>
      <c r="AL9" s="2271"/>
      <c r="AM9" s="2271"/>
      <c r="AN9" s="2271"/>
      <c r="AO9" s="2271"/>
      <c r="AP9" s="2271"/>
      <c r="AQ9" s="2271"/>
      <c r="AR9" s="2272"/>
    </row>
    <row r="10" spans="1:45" ht="34.5" customHeight="1" thickBot="1">
      <c r="B10" s="2276"/>
      <c r="C10" s="2279" t="s">
        <v>75</v>
      </c>
      <c r="D10" s="2280"/>
      <c r="E10" s="2281"/>
      <c r="F10" s="2279" t="s">
        <v>191</v>
      </c>
      <c r="G10" s="2280"/>
      <c r="H10" s="2281"/>
      <c r="I10" s="2279" t="s">
        <v>192</v>
      </c>
      <c r="J10" s="2281"/>
      <c r="K10" s="2279" t="s">
        <v>193</v>
      </c>
      <c r="L10" s="2281"/>
      <c r="M10" s="2279" t="s">
        <v>194</v>
      </c>
      <c r="N10" s="2281"/>
      <c r="O10" s="1322" t="s">
        <v>192</v>
      </c>
      <c r="P10" s="1321" t="s">
        <v>193</v>
      </c>
      <c r="Q10" s="2279" t="s">
        <v>13</v>
      </c>
      <c r="R10" s="2281"/>
      <c r="S10" s="2279" t="s">
        <v>195</v>
      </c>
      <c r="T10" s="2281"/>
      <c r="U10" s="2268" t="s">
        <v>163</v>
      </c>
      <c r="V10" s="2269"/>
      <c r="W10" s="2268" t="s">
        <v>196</v>
      </c>
      <c r="X10" s="2269"/>
      <c r="Y10" s="2268" t="s">
        <v>160</v>
      </c>
      <c r="Z10" s="2269"/>
      <c r="AA10" s="2268" t="s">
        <v>161</v>
      </c>
      <c r="AB10" s="2269"/>
      <c r="AC10" s="2268" t="s">
        <v>197</v>
      </c>
      <c r="AD10" s="2269"/>
      <c r="AE10" s="2268" t="s">
        <v>198</v>
      </c>
      <c r="AF10" s="2269"/>
      <c r="AG10" s="2268" t="s">
        <v>199</v>
      </c>
      <c r="AH10" s="2269"/>
      <c r="AI10" s="2268" t="s">
        <v>1210</v>
      </c>
      <c r="AJ10" s="2269"/>
      <c r="AK10" s="2268" t="s">
        <v>1211</v>
      </c>
      <c r="AL10" s="2269"/>
      <c r="AM10" s="2268" t="s">
        <v>1212</v>
      </c>
      <c r="AN10" s="2269"/>
      <c r="AO10" s="2268" t="s">
        <v>1216</v>
      </c>
      <c r="AP10" s="2269"/>
      <c r="AQ10" s="2268" t="s">
        <v>1222</v>
      </c>
      <c r="AR10" s="2269"/>
    </row>
    <row r="11" spans="1:45" ht="40.5" customHeight="1" thickBot="1">
      <c r="A11" s="1407" t="s">
        <v>1316</v>
      </c>
      <c r="B11" s="2277"/>
      <c r="C11" s="192" t="s">
        <v>11</v>
      </c>
      <c r="D11" s="197" t="s">
        <v>9</v>
      </c>
      <c r="E11" s="198" t="s">
        <v>200</v>
      </c>
      <c r="F11" s="192" t="s">
        <v>11</v>
      </c>
      <c r="G11" s="197" t="s">
        <v>9</v>
      </c>
      <c r="H11" s="198" t="s">
        <v>200</v>
      </c>
      <c r="I11" s="192" t="s">
        <v>11</v>
      </c>
      <c r="J11" s="198" t="s">
        <v>200</v>
      </c>
      <c r="K11" s="192" t="s">
        <v>11</v>
      </c>
      <c r="L11" s="198" t="s">
        <v>200</v>
      </c>
      <c r="M11" s="192" t="s">
        <v>11</v>
      </c>
      <c r="N11" s="198" t="s">
        <v>200</v>
      </c>
      <c r="O11" s="192" t="s">
        <v>415</v>
      </c>
      <c r="P11" s="198" t="s">
        <v>580</v>
      </c>
      <c r="Q11" s="192" t="s">
        <v>11</v>
      </c>
      <c r="R11" s="198" t="s">
        <v>9</v>
      </c>
      <c r="S11" s="192" t="s">
        <v>11</v>
      </c>
      <c r="T11" s="198" t="s">
        <v>9</v>
      </c>
      <c r="U11" s="192" t="s">
        <v>11</v>
      </c>
      <c r="V11" s="198" t="s">
        <v>9</v>
      </c>
      <c r="W11" s="192" t="s">
        <v>11</v>
      </c>
      <c r="X11" s="198" t="s">
        <v>9</v>
      </c>
      <c r="Y11" s="192" t="s">
        <v>11</v>
      </c>
      <c r="Z11" s="198" t="s">
        <v>9</v>
      </c>
      <c r="AA11" s="192" t="s">
        <v>11</v>
      </c>
      <c r="AB11" s="198" t="s">
        <v>9</v>
      </c>
      <c r="AC11" s="192" t="s">
        <v>11</v>
      </c>
      <c r="AD11" s="198" t="s">
        <v>9</v>
      </c>
      <c r="AE11" s="192" t="s">
        <v>11</v>
      </c>
      <c r="AF11" s="198" t="s">
        <v>9</v>
      </c>
      <c r="AG11" s="192" t="s">
        <v>11</v>
      </c>
      <c r="AH11" s="198" t="s">
        <v>9</v>
      </c>
      <c r="AI11" s="192" t="s">
        <v>11</v>
      </c>
      <c r="AJ11" s="198" t="s">
        <v>9</v>
      </c>
      <c r="AK11" s="192" t="s">
        <v>11</v>
      </c>
      <c r="AL11" s="198" t="s">
        <v>9</v>
      </c>
      <c r="AM11" s="192" t="s">
        <v>11</v>
      </c>
      <c r="AN11" s="198" t="s">
        <v>9</v>
      </c>
      <c r="AO11" s="192" t="s">
        <v>11</v>
      </c>
      <c r="AP11" s="198" t="s">
        <v>9</v>
      </c>
      <c r="AQ11" s="192" t="s">
        <v>11</v>
      </c>
      <c r="AR11" s="198" t="s">
        <v>9</v>
      </c>
      <c r="AS11" s="1387" t="s">
        <v>1320</v>
      </c>
    </row>
    <row r="12" spans="1:45" ht="16.5" customHeight="1">
      <c r="A12" s="1408">
        <v>44927</v>
      </c>
      <c r="B12" s="1868">
        <v>44927</v>
      </c>
      <c r="C12" s="178">
        <f ca="1">DATOSAÑO!I11</f>
        <v>143.53999999992084</v>
      </c>
      <c r="D12" s="179">
        <f ca="1">DATOSAÑO!$D11</f>
        <v>3.3164106404488516</v>
      </c>
      <c r="E12" s="180">
        <f ca="1">DATOSAÑO!$G11</f>
        <v>0</v>
      </c>
      <c r="F12" s="9">
        <f ca="1">DATOSAÑO!P11</f>
        <v>281.23999999999978</v>
      </c>
      <c r="G12" s="10">
        <f ca="1">DATOSAÑO!K11</f>
        <v>4.3375567078651684</v>
      </c>
      <c r="H12" s="11">
        <f ca="1">DATOSAÑO!N11</f>
        <v>0</v>
      </c>
      <c r="I12" s="9">
        <f ca="1">DATOSAÑO!Q11</f>
        <v>0</v>
      </c>
      <c r="J12" s="11">
        <f ca="1">DATOSAÑO!R11</f>
        <v>0</v>
      </c>
      <c r="K12" s="9">
        <f ca="1">DATOSAÑO!T11</f>
        <v>0</v>
      </c>
      <c r="L12" s="11">
        <f ca="1">K12*120</f>
        <v>0</v>
      </c>
      <c r="M12" s="9"/>
      <c r="N12" s="11">
        <f>M12*120</f>
        <v>0</v>
      </c>
      <c r="O12" s="9">
        <f>DATOSAÑO!CK11</f>
        <v>0</v>
      </c>
      <c r="P12" s="9">
        <f>DATOSAÑO!CL11</f>
        <v>0</v>
      </c>
      <c r="Q12" s="9">
        <f ca="1">DATOSAÑO!AD11</f>
        <v>157.19999999995343</v>
      </c>
      <c r="R12" s="11">
        <f ca="1">(Q12*DATOSAÑO!$Z$11)/DATOSAÑO!$Y$11</f>
        <v>2.8325337048703618</v>
      </c>
      <c r="S12" s="9">
        <f ca="1">DATOSAÑO!AF11</f>
        <v>134.70000000001164</v>
      </c>
      <c r="T12" s="11">
        <f ca="1">(S12*DATOSAÑO!$Z$11)/DATOSAÑO!$Y$11</f>
        <v>2.4271138043650367</v>
      </c>
      <c r="U12" s="9">
        <f ca="1">DATOSAÑO!AH11</f>
        <v>8.0999999999985448</v>
      </c>
      <c r="V12" s="11">
        <f ca="1">(U12*DATOSAÑO!$Z$11)/DATOSAÑO!$Y$11</f>
        <v>0.1459511641822685</v>
      </c>
      <c r="W12" s="9">
        <f ca="1">DATOSAÑO!AI11</f>
        <v>41.92000000000553</v>
      </c>
      <c r="X12" s="11">
        <f ca="1">(W12*DATOSAÑO!$Z$11)/DATOSAÑO!$Y$11</f>
        <v>0.75534232129908652</v>
      </c>
      <c r="Y12" s="9">
        <f ca="1">DATOSAÑO!AJ11</f>
        <v>7.2299999999959255</v>
      </c>
      <c r="Z12" s="11">
        <f ca="1">(Y12*DATOSAÑO!$Z$11)/DATOSAÑO!$Y$11</f>
        <v>0.13027492802930815</v>
      </c>
      <c r="AA12" s="9">
        <f ca="1">DATOSAÑO!AK11</f>
        <v>14.880000000004657</v>
      </c>
      <c r="AB12" s="11">
        <f ca="1">(AA12*DATOSAÑO!$Z$11)/DATOSAÑO!$Y$11</f>
        <v>0.26811769420163273</v>
      </c>
      <c r="AC12" s="9">
        <f ca="1">DATOSAÑO!AL11</f>
        <v>31.64999999997417</v>
      </c>
      <c r="AD12" s="11">
        <f ca="1">(AC12*DATOSAÑO!$Z$11)/DATOSAÑO!$Y$11</f>
        <v>0.5702906600451676</v>
      </c>
      <c r="AE12" s="9">
        <f ca="1">DATOSAÑO!AM11</f>
        <v>10.697999999976988</v>
      </c>
      <c r="AF12" s="11">
        <f ca="1">(AE12*DATOSAÑO!$Z$11)/DATOSAÑO!$Y$11</f>
        <v>0.19276364869368276</v>
      </c>
      <c r="AG12" s="9">
        <f ca="1">DATOSAÑO!AN11</f>
        <v>3.0980000000000185</v>
      </c>
      <c r="AH12" s="11">
        <f ca="1">(AG12*DATOSAÑO!$Z$11)/DATOSAÑO!$Y$11</f>
        <v>5.5821815634166876E-2</v>
      </c>
      <c r="AI12" s="9">
        <f ca="1">DATOSAÑO!BJ11</f>
        <v>0</v>
      </c>
      <c r="AJ12" s="11">
        <f ca="1">(AI12*DATOSAÑO!$Z$11)/DATOSAÑO!$Y$11</f>
        <v>0</v>
      </c>
      <c r="AK12" s="9">
        <f ca="1">DATOSAÑO!BM11</f>
        <v>3.738</v>
      </c>
      <c r="AL12" s="11">
        <f ca="1">(AK12*DATOSAÑO!$Z$11)/DATOSAÑO!$Y$11</f>
        <v>6.7353759470792307E-2</v>
      </c>
      <c r="AM12" s="9">
        <f ca="1">DATOSAÑO!BP11</f>
        <v>3.1139999999999999</v>
      </c>
      <c r="AN12" s="11">
        <f ca="1">(AM12*DATOSAÑO!$Z$11)/DATOSAÑO!$Y$11</f>
        <v>5.6110114230082185E-2</v>
      </c>
      <c r="AO12" s="9">
        <f ca="1">DATOSAÑO!BW11</f>
        <v>12.418999999988202</v>
      </c>
      <c r="AP12" s="11">
        <f ca="1">(AO12*DATOSAÑO!$Z$11)/DATOSAÑO!$Y$11</f>
        <v>0.22377376641706126</v>
      </c>
      <c r="AQ12" s="9">
        <f ca="1">DATOSAÑO!CC11</f>
        <v>2.6212000000000071</v>
      </c>
      <c r="AR12" s="1348">
        <f ca="1">(AQ12*DATOSAÑO!$Z$11)/DATOSAÑO!$Y$11</f>
        <v>4.7230517475880487E-2</v>
      </c>
      <c r="AS12" s="1383">
        <f>WEEKNUM(B12,1)</f>
        <v>1</v>
      </c>
    </row>
    <row r="13" spans="1:45">
      <c r="A13" s="1408">
        <v>44928</v>
      </c>
      <c r="B13" s="1869">
        <v>44928</v>
      </c>
      <c r="C13" s="9">
        <f ca="1">DATOSAÑO!I12</f>
        <v>148.60000000009313</v>
      </c>
      <c r="D13" s="10">
        <f ca="1">DATOSAÑO!$D12</f>
        <v>3.3539342359557471</v>
      </c>
      <c r="E13" s="11">
        <f ca="1">DATOSAÑO!$G12</f>
        <v>0</v>
      </c>
      <c r="F13" s="9">
        <f ca="1">DATOSAÑO!P12</f>
        <v>294.14999999999964</v>
      </c>
      <c r="G13" s="10">
        <f ca="1">DATOSAÑO!K12</f>
        <v>4.4332937865168525</v>
      </c>
      <c r="H13" s="11">
        <f ca="1">DATOSAÑO!N12</f>
        <v>0</v>
      </c>
      <c r="I13" s="9">
        <f ca="1">DATOSAÑO!Q12</f>
        <v>0</v>
      </c>
      <c r="J13" s="11">
        <f ca="1">DATOSAÑO!R12</f>
        <v>0</v>
      </c>
      <c r="K13" s="9">
        <f ca="1">DATOSAÑO!T12</f>
        <v>0</v>
      </c>
      <c r="L13" s="11">
        <f t="shared" ref="L13:L75" ca="1" si="0">K13*120</f>
        <v>0</v>
      </c>
      <c r="M13" s="9"/>
      <c r="N13" s="11">
        <f t="shared" ref="N13:N75" si="1">M13*120</f>
        <v>0</v>
      </c>
      <c r="O13" s="9">
        <f>DATOSAÑO!CK12</f>
        <v>0</v>
      </c>
      <c r="P13" s="9">
        <f>DATOSAÑO!CL12</f>
        <v>0</v>
      </c>
      <c r="Q13" s="9">
        <f ca="1">DATOSAÑO!AD12</f>
        <v>162.30000000004657</v>
      </c>
      <c r="R13" s="11">
        <f ca="1">(Q13*DATOSAÑO!$Z$11)/DATOSAÑO!$Y$11</f>
        <v>2.9244288823201519</v>
      </c>
      <c r="S13" s="9">
        <f ca="1">DATOSAÑO!AF12</f>
        <v>142.09999999997672</v>
      </c>
      <c r="T13" s="11">
        <f ca="1">(S13*DATOSAÑO!$Z$11)/DATOSAÑO!$Y$11</f>
        <v>2.5604519049753924</v>
      </c>
      <c r="U13" s="9">
        <f ca="1">DATOSAÑO!AH12</f>
        <v>11.19999999999709</v>
      </c>
      <c r="V13" s="11">
        <f ca="1">(U13*DATOSAÑO!$Z$11)/DATOSAÑO!$Y$11</f>
        <v>0.20180901714089827</v>
      </c>
      <c r="W13" s="9">
        <f ca="1">DATOSAÑO!AI12</f>
        <v>43.020000000004075</v>
      </c>
      <c r="X13" s="11">
        <f ca="1">(W13*DATOSAÑO!$Z$11)/DATOSAÑO!$Y$11</f>
        <v>0.77516284976826089</v>
      </c>
      <c r="Y13" s="9">
        <f ca="1">DATOSAÑO!AJ12</f>
        <v>7.3600000000005821</v>
      </c>
      <c r="Z13" s="11">
        <f ca="1">(Y13*DATOSAÑO!$Z$11)/DATOSAÑO!$Y$11</f>
        <v>0.13261735412120668</v>
      </c>
      <c r="AA13" s="9">
        <f ca="1">DATOSAÑO!AK12</f>
        <v>16.100000000005821</v>
      </c>
      <c r="AB13" s="11">
        <f ca="1">(AA13*DATOSAÑO!$Z$11)/DATOSAÑO!$Y$11</f>
        <v>0.2901004621402215</v>
      </c>
      <c r="AC13" s="9">
        <f ca="1">DATOSAÑO!AL12</f>
        <v>33.070000000027051</v>
      </c>
      <c r="AD13" s="11">
        <f ca="1">(AC13*DATOSAÑO!$Z$11)/DATOSAÑO!$Y$11</f>
        <v>0.59587716043363392</v>
      </c>
      <c r="AE13" s="9">
        <f ca="1">DATOSAÑO!AM12</f>
        <v>7.6860000000346362</v>
      </c>
      <c r="AF13" s="11">
        <f ca="1">(AE13*DATOSAÑO!$Z$11)/DATOSAÑO!$Y$11</f>
        <v>0.13849143801360153</v>
      </c>
      <c r="AG13" s="9">
        <f ca="1">DATOSAÑO!AN12</f>
        <v>4.6330000000002913</v>
      </c>
      <c r="AH13" s="11">
        <f ca="1">(AG13*DATOSAÑO!$Z$11)/DATOSAÑO!$Y$11</f>
        <v>8.3480462179828879E-2</v>
      </c>
      <c r="AI13" s="9">
        <f ca="1">DATOSAÑO!BJ12</f>
        <v>0</v>
      </c>
      <c r="AJ13" s="11">
        <f ca="1">(AI13*DATOSAÑO!$Z$11)/DATOSAÑO!$Y$11</f>
        <v>0</v>
      </c>
      <c r="AK13" s="9">
        <f ca="1">DATOSAÑO!BM12</f>
        <v>4.0359999999999996</v>
      </c>
      <c r="AL13" s="11">
        <f ca="1">(AK13*DATOSAÑO!$Z$11)/DATOSAÑO!$Y$11</f>
        <v>7.272332081972116E-2</v>
      </c>
      <c r="AM13" s="9">
        <f ca="1">DATOSAÑO!BP12</f>
        <v>2.948</v>
      </c>
      <c r="AN13" s="11">
        <f ca="1">(AM13*DATOSAÑO!$Z$11)/DATOSAÑO!$Y$11</f>
        <v>5.311901629745739E-2</v>
      </c>
      <c r="AO13" s="9">
        <f ca="1">DATOSAÑO!BW12</f>
        <v>11.093000000017318</v>
      </c>
      <c r="AP13" s="11">
        <f ca="1">(AO13*DATOSAÑO!$Z$11)/DATOSAÑO!$Y$11</f>
        <v>0.1998810202810769</v>
      </c>
      <c r="AQ13" s="9">
        <f ca="1">DATOSAÑO!CC12</f>
        <v>2.9002000000001162</v>
      </c>
      <c r="AR13" s="1348">
        <f ca="1">(AQ13*DATOSAÑO!$Z$11)/DATOSAÑO!$Y$11</f>
        <v>5.2257724242161491E-2</v>
      </c>
      <c r="AS13" s="1384">
        <f t="shared" ref="AS13:AS76" si="2">WEEKNUM(B13,1)</f>
        <v>1</v>
      </c>
    </row>
    <row r="14" spans="1:45" ht="16.5" customHeight="1">
      <c r="A14" s="1408">
        <v>44929</v>
      </c>
      <c r="B14" s="1869">
        <v>44929</v>
      </c>
      <c r="C14" s="9">
        <f ca="1">DATOSAÑO!I13</f>
        <v>148.29999999993015</v>
      </c>
      <c r="D14" s="10">
        <f ca="1">DATOSAÑO!$D13</f>
        <v>3.3517095168534152</v>
      </c>
      <c r="E14" s="11">
        <f ca="1">DATOSAÑO!$G13</f>
        <v>0</v>
      </c>
      <c r="F14" s="9">
        <f ca="1">DATOSAÑO!P13</f>
        <v>298.82999999999993</v>
      </c>
      <c r="G14" s="10">
        <f ca="1">DATOSAÑO!K13</f>
        <v>4.4679994044943827</v>
      </c>
      <c r="H14" s="11">
        <f ca="1">DATOSAÑO!N13</f>
        <v>0</v>
      </c>
      <c r="I14" s="9">
        <f ca="1">DATOSAÑO!Q13</f>
        <v>0.21199999999998909</v>
      </c>
      <c r="J14" s="11">
        <f ca="1">DATOSAÑO!R13</f>
        <v>25.43999999999869</v>
      </c>
      <c r="K14" s="9">
        <f ca="1">DATOSAÑO!T13</f>
        <v>0.2239999999999327</v>
      </c>
      <c r="L14" s="11">
        <f t="shared" ca="1" si="0"/>
        <v>26.879999999991924</v>
      </c>
      <c r="M14" s="9"/>
      <c r="N14" s="11">
        <f t="shared" si="1"/>
        <v>0</v>
      </c>
      <c r="O14" s="9">
        <f>DATOSAÑO!CK13</f>
        <v>1</v>
      </c>
      <c r="P14" s="9">
        <f>DATOSAÑO!CL13</f>
        <v>1</v>
      </c>
      <c r="Q14" s="9">
        <f ca="1">DATOSAÑO!AD13</f>
        <v>162</v>
      </c>
      <c r="R14" s="11">
        <f ca="1">(Q14*DATOSAÑO!$Z$11)/DATOSAÑO!$Y$11</f>
        <v>2.919023283645894</v>
      </c>
      <c r="S14" s="9">
        <f ca="1">DATOSAÑO!AF13</f>
        <v>148.90000000002328</v>
      </c>
      <c r="T14" s="11">
        <f ca="1">(S14*DATOSAÑO!$Z$11)/DATOSAÑO!$Y$11</f>
        <v>2.6829788082403803</v>
      </c>
      <c r="U14" s="9">
        <f ca="1">DATOSAÑO!AH13</f>
        <v>8.7000000000043656</v>
      </c>
      <c r="V14" s="11">
        <f ca="1">(U14*DATOSAÑO!$Z$11)/DATOSAÑO!$Y$11</f>
        <v>0.15676236152921003</v>
      </c>
      <c r="W14" s="9">
        <f ca="1">DATOSAÑO!AI13</f>
        <v>43.669999999998254</v>
      </c>
      <c r="X14" s="11">
        <f ca="1">(W14*DATOSAÑO!$Z$11)/DATOSAÑO!$Y$11</f>
        <v>0.78687498022722913</v>
      </c>
      <c r="Y14" s="9">
        <f ca="1">DATOSAÑO!AJ13</f>
        <v>6.680000000007567</v>
      </c>
      <c r="Z14" s="11">
        <f ca="1">(Y14*DATOSAÑO!$Z$11)/DATOSAÑO!$Y$11</f>
        <v>0.12036466379491766</v>
      </c>
      <c r="AA14" s="9">
        <f ca="1">DATOSAÑO!AK13</f>
        <v>15.649999999994179</v>
      </c>
      <c r="AB14" s="11">
        <f ca="1">(AA14*DATOSAÑO!$Z$11)/DATOSAÑO!$Y$11</f>
        <v>0.28199206412988426</v>
      </c>
      <c r="AC14" s="9">
        <f ca="1">DATOSAÑO!AL13</f>
        <v>33.465999999889561</v>
      </c>
      <c r="AD14" s="11">
        <f ca="1">(AC14*DATOSAÑO!$Z$11)/DATOSAÑO!$Y$11</f>
        <v>0.60301255068006865</v>
      </c>
      <c r="AE14" s="9">
        <f ca="1">DATOSAÑO!AM13</f>
        <v>8.1400000000128117</v>
      </c>
      <c r="AF14" s="11">
        <f ca="1">(AE14*DATOSAÑO!$Z$11)/DATOSAÑO!$Y$11</f>
        <v>0.14667191067231466</v>
      </c>
      <c r="AG14" s="9">
        <f ca="1">DATOSAÑO!AN13</f>
        <v>3.9779999999996294</v>
      </c>
      <c r="AH14" s="11">
        <f ca="1">(AG14*DATOSAÑO!$Z$11)/DATOSAÑO!$Y$11</f>
        <v>7.1678238409520284E-2</v>
      </c>
      <c r="AI14" s="9">
        <f ca="1">DATOSAÑO!BJ13</f>
        <v>0</v>
      </c>
      <c r="AJ14" s="11">
        <f ca="1">(AI14*DATOSAÑO!$Z$11)/DATOSAÑO!$Y$11</f>
        <v>0</v>
      </c>
      <c r="AK14" s="9">
        <f ca="1">DATOSAÑO!BM13</f>
        <v>4.218</v>
      </c>
      <c r="AL14" s="11">
        <f ca="1">(AK14*DATOSAÑO!$Z$11)/DATOSAÑO!$Y$11</f>
        <v>7.6002717348261625E-2</v>
      </c>
      <c r="AM14" s="9">
        <f ca="1">DATOSAÑO!BP13</f>
        <v>3.492</v>
      </c>
      <c r="AN14" s="11">
        <f ca="1">(AM14*DATOSAÑO!$Z$11)/DATOSAÑO!$Y$11</f>
        <v>6.2921168558589272E-2</v>
      </c>
      <c r="AO14" s="9">
        <f ca="1">DATOSAÑO!BW13</f>
        <v>11.250000000006697</v>
      </c>
      <c r="AP14" s="11">
        <f ca="1">(AO14*DATOSAÑO!$Z$11)/DATOSAÑO!$Y$11</f>
        <v>0.20270995025330776</v>
      </c>
      <c r="AQ14" s="9">
        <f ca="1">DATOSAÑO!CC13</f>
        <v>3.0831999999998518</v>
      </c>
      <c r="AR14" s="1348">
        <f ca="1">(AQ14*DATOSAÑO!$Z$11)/DATOSAÑO!$Y$11</f>
        <v>5.5555139432941908E-2</v>
      </c>
      <c r="AS14" s="1384">
        <f t="shared" si="2"/>
        <v>1</v>
      </c>
    </row>
    <row r="15" spans="1:45">
      <c r="A15" s="1408">
        <v>44930</v>
      </c>
      <c r="B15" s="1869">
        <v>44930</v>
      </c>
      <c r="C15" s="9">
        <f ca="1">DATOSAÑO!I14</f>
        <v>147.90000000002328</v>
      </c>
      <c r="D15" s="10">
        <f ca="1">DATOSAÑO!$D14</f>
        <v>3.3487432247192741</v>
      </c>
      <c r="E15" s="11">
        <f ca="1">DATOSAÑO!$G14</f>
        <v>0</v>
      </c>
      <c r="F15" s="9">
        <f ca="1">DATOSAÑO!P14</f>
        <v>300.38000000000102</v>
      </c>
      <c r="G15" s="10">
        <f ca="1">DATOSAÑO!K14</f>
        <v>4.4794937865168638</v>
      </c>
      <c r="H15" s="11">
        <f ca="1">DATOSAÑO!N14</f>
        <v>0</v>
      </c>
      <c r="I15" s="9">
        <f ca="1">DATOSAÑO!Q14</f>
        <v>0</v>
      </c>
      <c r="J15" s="11">
        <f ca="1">DATOSAÑO!R14</f>
        <v>0</v>
      </c>
      <c r="K15" s="9">
        <f ca="1">DATOSAÑO!T14</f>
        <v>0</v>
      </c>
      <c r="L15" s="11">
        <f t="shared" ca="1" si="0"/>
        <v>0</v>
      </c>
      <c r="M15" s="9"/>
      <c r="N15" s="11">
        <f t="shared" si="1"/>
        <v>0</v>
      </c>
      <c r="O15" s="9">
        <f>DATOSAÑO!CK14</f>
        <v>0</v>
      </c>
      <c r="P15" s="9">
        <f>DATOSAÑO!CL14</f>
        <v>0</v>
      </c>
      <c r="Q15" s="9">
        <f ca="1">DATOSAÑO!AD14</f>
        <v>162</v>
      </c>
      <c r="R15" s="11">
        <f ca="1">(Q15*DATOSAÑO!$Z$11)/DATOSAÑO!$Y$11</f>
        <v>2.919023283645894</v>
      </c>
      <c r="S15" s="9">
        <f ca="1">DATOSAÑO!AF14</f>
        <v>142.59999999997672</v>
      </c>
      <c r="T15" s="11">
        <f ca="1">(S15*DATOSAÑO!$Z$11)/DATOSAÑO!$Y$11</f>
        <v>2.5694612360977565</v>
      </c>
      <c r="U15" s="9">
        <f ca="1">DATOSAÑO!AH14</f>
        <v>13.19999999999709</v>
      </c>
      <c r="V15" s="11">
        <f ca="1">(U15*DATOSAÑO!$Z$11)/DATOSAÑO!$Y$11</f>
        <v>0.23784634163035376</v>
      </c>
      <c r="W15" s="9">
        <f ca="1">DATOSAÑO!AI14</f>
        <v>45.089999999996508</v>
      </c>
      <c r="X15" s="11">
        <f ca="1">(W15*DATOSAÑO!$Z$11)/DATOSAÑO!$Y$11</f>
        <v>0.81246148061471102</v>
      </c>
      <c r="Y15" s="9">
        <f ca="1">DATOSAÑO!AJ14</f>
        <v>8.9099999999889405</v>
      </c>
      <c r="Z15" s="11">
        <f ca="1">(Y15*DATOSAÑO!$Z$11)/DATOSAÑO!$Y$11</f>
        <v>0.16054628060032489</v>
      </c>
      <c r="AA15" s="9">
        <f ca="1">DATOSAÑO!AK14</f>
        <v>16.309999999997672</v>
      </c>
      <c r="AB15" s="11">
        <f ca="1">(AA15*DATOSAÑO!$Z$11)/DATOSAÑO!$Y$11</f>
        <v>0.29388438121146754</v>
      </c>
      <c r="AC15" s="9">
        <f ca="1">DATOSAÑO!AL14</f>
        <v>33.270000000080472</v>
      </c>
      <c r="AD15" s="11">
        <f ca="1">(AC15*DATOSAÑO!$Z$11)/DATOSAÑO!$Y$11</f>
        <v>0.599480892883542</v>
      </c>
      <c r="AE15" s="9">
        <f ca="1">DATOSAÑO!AM14</f>
        <v>7.3659999999864674</v>
      </c>
      <c r="AF15" s="11">
        <f ca="1">(AE15*DATOSAÑO!$Z$11)/DATOSAÑO!$Y$11</f>
        <v>0.13272546609442071</v>
      </c>
      <c r="AG15" s="9">
        <f ca="1">DATOSAÑO!AN14</f>
        <v>3.889000000000582</v>
      </c>
      <c r="AH15" s="11">
        <f ca="1">(AG15*DATOSAÑO!$Z$11)/DATOSAÑO!$Y$11</f>
        <v>7.0074577469756677E-2</v>
      </c>
      <c r="AI15" s="9">
        <f ca="1">DATOSAÑO!BJ14</f>
        <v>0</v>
      </c>
      <c r="AJ15" s="11">
        <f ca="1">(AI15*DATOSAÑO!$Z$11)/DATOSAÑO!$Y$11</f>
        <v>0</v>
      </c>
      <c r="AK15" s="9">
        <f ca="1">DATOSAÑO!BM14</f>
        <v>3.3420000000000001</v>
      </c>
      <c r="AL15" s="11">
        <f ca="1">(AK15*DATOSAÑO!$Z$11)/DATOSAÑO!$Y$11</f>
        <v>6.0218369221880119E-2</v>
      </c>
      <c r="AM15" s="9">
        <f ca="1">DATOSAÑO!BP14</f>
        <v>2.9220000000000002</v>
      </c>
      <c r="AN15" s="11">
        <f ca="1">(AM15*DATOSAÑO!$Z$11)/DATOSAÑO!$Y$11</f>
        <v>5.2650531079094468E-2</v>
      </c>
      <c r="AO15" s="9">
        <f ca="1">DATOSAÑO!BW14</f>
        <v>11.592999999993088</v>
      </c>
      <c r="AP15" s="11">
        <f ca="1">(AO15*DATOSAÑO!$Z$11)/DATOSAÑO!$Y$11</f>
        <v>0.20889035140300416</v>
      </c>
      <c r="AQ15" s="9">
        <f ca="1">DATOSAÑO!CC14</f>
        <v>3.0266000000002329</v>
      </c>
      <c r="AR15" s="1348">
        <f ca="1">(AQ15*DATOSAÑO!$Z$11)/DATOSAÑO!$Y$11</f>
        <v>5.4535283149897182E-2</v>
      </c>
      <c r="AS15" s="1384">
        <f t="shared" si="2"/>
        <v>1</v>
      </c>
    </row>
    <row r="16" spans="1:45" ht="16.5" customHeight="1">
      <c r="A16" s="1408">
        <v>44931</v>
      </c>
      <c r="B16" s="1869">
        <v>44931</v>
      </c>
      <c r="C16" s="9">
        <f ca="1">DATOSAÑO!I15</f>
        <v>146.5</v>
      </c>
      <c r="D16" s="10">
        <f ca="1">DATOSAÑO!$D15</f>
        <v>3.3383612022471914</v>
      </c>
      <c r="E16" s="11">
        <f ca="1">DATOSAÑO!$G15</f>
        <v>0</v>
      </c>
      <c r="F16" s="9">
        <f ca="1">DATOSAÑO!P15</f>
        <v>301.10000000000036</v>
      </c>
      <c r="G16" s="10">
        <f ca="1">DATOSAÑO!K15</f>
        <v>4.4848331123595546</v>
      </c>
      <c r="H16" s="11">
        <f ca="1">DATOSAÑO!N15</f>
        <v>0</v>
      </c>
      <c r="I16" s="9">
        <f ca="1">DATOSAÑO!Q15</f>
        <v>0.39999999999986358</v>
      </c>
      <c r="J16" s="11">
        <f ca="1">DATOSAÑO!R15</f>
        <v>47.999999999983629</v>
      </c>
      <c r="K16" s="9">
        <f ca="1">DATOSAÑO!T15</f>
        <v>0</v>
      </c>
      <c r="L16" s="11">
        <f t="shared" ca="1" si="0"/>
        <v>0</v>
      </c>
      <c r="M16" s="9"/>
      <c r="N16" s="11">
        <f t="shared" si="1"/>
        <v>0</v>
      </c>
      <c r="O16" s="9">
        <f>DATOSAÑO!CK15</f>
        <v>1</v>
      </c>
      <c r="P16" s="9">
        <f>DATOSAÑO!CL15</f>
        <v>0</v>
      </c>
      <c r="Q16" s="9">
        <f ca="1">DATOSAÑO!AD15</f>
        <v>161.90000000002328</v>
      </c>
      <c r="R16" s="11">
        <f ca="1">(Q16*DATOSAÑO!$Z$11)/DATOSAÑO!$Y$11</f>
        <v>2.9172214174218412</v>
      </c>
      <c r="S16" s="9">
        <f ca="1">DATOSAÑO!AF15</f>
        <v>149.70000000001164</v>
      </c>
      <c r="T16" s="11">
        <f ca="1">(S16*DATOSAÑO!$Z$11)/DATOSAÑO!$Y$11</f>
        <v>2.6973937380359527</v>
      </c>
      <c r="U16" s="9">
        <f ca="1">DATOSAÑO!AH15</f>
        <v>4.4000000000014552</v>
      </c>
      <c r="V16" s="11">
        <f ca="1">(U16*DATOSAÑO!$Z$11)/DATOSAÑO!$Y$11</f>
        <v>7.9282113876828292E-2</v>
      </c>
      <c r="W16" s="9">
        <f ca="1">DATOSAÑO!AI15</f>
        <v>46.279999999998836</v>
      </c>
      <c r="X16" s="11">
        <f ca="1">(W16*DATOSAÑO!$Z$11)/DATOSAÑO!$Y$11</f>
        <v>0.83390368868597897</v>
      </c>
      <c r="Y16" s="9">
        <f ca="1">DATOSAÑO!AJ15</f>
        <v>10.660000000003492</v>
      </c>
      <c r="Z16" s="11">
        <f ca="1">(Y16*DATOSAÑO!$Z$11)/DATOSAÑO!$Y$11</f>
        <v>0.19207893952886065</v>
      </c>
      <c r="AA16" s="9">
        <f ca="1">DATOSAÑO!AK15</f>
        <v>14.799999999988358</v>
      </c>
      <c r="AB16" s="11">
        <f ca="1">(AA16*DATOSAÑO!$Z$11)/DATOSAÑO!$Y$11</f>
        <v>0.26667620122176083</v>
      </c>
      <c r="AC16" s="9">
        <f ca="1">DATOSAÑO!AL15</f>
        <v>35.15999999994915</v>
      </c>
      <c r="AD16" s="11">
        <f ca="1">(AC16*DATOSAÑO!$Z$11)/DATOSAÑO!$Y$11</f>
        <v>0.6335361645237112</v>
      </c>
      <c r="AE16" s="9">
        <f ca="1">DATOSAÑO!AM15</f>
        <v>3.8860000000243557</v>
      </c>
      <c r="AF16" s="11">
        <f ca="1">(AE16*DATOSAÑO!$Z$11)/DATOSAÑO!$Y$11</f>
        <v>7.0020521483450865E-2</v>
      </c>
      <c r="AG16" s="9">
        <f ca="1">DATOSAÑO!AN15</f>
        <v>3.6429999999998364</v>
      </c>
      <c r="AH16" s="11">
        <f ca="1">(AG16*DATOSAÑO!$Z$11)/DATOSAÑO!$Y$11</f>
        <v>6.5641986557540222E-2</v>
      </c>
      <c r="AI16" s="9">
        <f ca="1">DATOSAÑO!BJ15</f>
        <v>0</v>
      </c>
      <c r="AJ16" s="11">
        <f ca="1">(AI16*DATOSAÑO!$Z$11)/DATOSAÑO!$Y$11</f>
        <v>0</v>
      </c>
      <c r="AK16" s="9">
        <f ca="1">DATOSAÑO!BM15</f>
        <v>4.1310000000000002</v>
      </c>
      <c r="AL16" s="11">
        <f ca="1">(AK16*DATOSAÑO!$Z$11)/DATOSAÑO!$Y$11</f>
        <v>7.4435093732970317E-2</v>
      </c>
      <c r="AM16" s="9">
        <f ca="1">DATOSAÑO!BP15</f>
        <v>3.2029999999999998</v>
      </c>
      <c r="AN16" s="11">
        <f ca="1">(AM16*DATOSAÑO!$Z$11)/DATOSAÑO!$Y$11</f>
        <v>5.7713775169862959E-2</v>
      </c>
      <c r="AO16" s="9">
        <f ca="1">DATOSAÑO!BW15</f>
        <v>10.643000000011996</v>
      </c>
      <c r="AP16" s="11">
        <f ca="1">(AO16*DATOSAÑO!$Z$11)/DATOSAÑO!$Y$11</f>
        <v>0.19177262227085354</v>
      </c>
      <c r="AQ16" s="9">
        <f ca="1">DATOSAÑO!CC15</f>
        <v>2.9941999999999345</v>
      </c>
      <c r="AR16" s="1348">
        <f ca="1">(AQ16*DATOSAÑO!$Z$11)/DATOSAÑO!$Y$11</f>
        <v>5.3951478493162626E-2</v>
      </c>
      <c r="AS16" s="1384">
        <f t="shared" si="2"/>
        <v>1</v>
      </c>
    </row>
    <row r="17" spans="1:45">
      <c r="A17" s="1408">
        <v>44932</v>
      </c>
      <c r="B17" s="1869">
        <v>44932</v>
      </c>
      <c r="C17" s="9">
        <f ca="1">DATOSAÑO!I16</f>
        <v>108.80000000004657</v>
      </c>
      <c r="D17" s="10">
        <f ca="1">DATOSAÑO!$D16</f>
        <v>3.0587881685396714</v>
      </c>
      <c r="E17" s="11">
        <f ca="1">DATOSAÑO!$G16</f>
        <v>0</v>
      </c>
      <c r="F17" s="9">
        <f ca="1">DATOSAÑO!P16</f>
        <v>212.69999999999891</v>
      </c>
      <c r="G17" s="10">
        <f ca="1">DATOSAÑO!K16</f>
        <v>3.8292825505617909</v>
      </c>
      <c r="H17" s="11">
        <f ca="1">DATOSAÑO!N16</f>
        <v>0</v>
      </c>
      <c r="I17" s="9">
        <f ca="1">DATOSAÑO!Q16</f>
        <v>0</v>
      </c>
      <c r="J17" s="11">
        <f ca="1">DATOSAÑO!R16</f>
        <v>0</v>
      </c>
      <c r="K17" s="9">
        <f ca="1">DATOSAÑO!T16</f>
        <v>0</v>
      </c>
      <c r="L17" s="11">
        <f t="shared" ca="1" si="0"/>
        <v>0</v>
      </c>
      <c r="M17" s="9"/>
      <c r="N17" s="11">
        <f t="shared" si="1"/>
        <v>0</v>
      </c>
      <c r="O17" s="9">
        <f>DATOSAÑO!CK16</f>
        <v>0</v>
      </c>
      <c r="P17" s="9">
        <f>DATOSAÑO!CL16</f>
        <v>0</v>
      </c>
      <c r="Q17" s="9">
        <f ca="1">DATOSAÑO!AD16</f>
        <v>165.29999999993015</v>
      </c>
      <c r="R17" s="11">
        <f ca="1">(Q17*DATOSAÑO!$Z$11)/DATOSAÑO!$Y$11</f>
        <v>2.9784848690522372</v>
      </c>
      <c r="S17" s="9">
        <f ca="1">DATOSAÑO!AF16</f>
        <v>25.5</v>
      </c>
      <c r="T17" s="11">
        <f ca="1">(S17*DATOSAÑO!$Z$11)/DATOSAÑO!$Y$11</f>
        <v>0.45947588724055743</v>
      </c>
      <c r="U17" s="9">
        <f ca="1">DATOSAÑO!AH16</f>
        <v>10.599999999998545</v>
      </c>
      <c r="V17" s="11">
        <f ca="1">(U17*DATOSAÑO!$Z$11)/DATOSAÑO!$Y$11</f>
        <v>0.19099781979408784</v>
      </c>
      <c r="W17" s="9">
        <f ca="1">DATOSAÑO!AI16</f>
        <v>38.200000000004366</v>
      </c>
      <c r="X17" s="11">
        <f ca="1">(W17*DATOSAÑO!$Z$11)/DATOSAÑO!$Y$11</f>
        <v>0.68831289774867843</v>
      </c>
      <c r="Y17" s="9">
        <f ca="1">DATOSAÑO!AJ16</f>
        <v>10.5</v>
      </c>
      <c r="Z17" s="11">
        <f ca="1">(Y17*DATOSAÑO!$Z$11)/DATOSAÑO!$Y$11</f>
        <v>0.18919595356964131</v>
      </c>
      <c r="AA17" s="9">
        <f ca="1">DATOSAÑO!AK16</f>
        <v>15</v>
      </c>
      <c r="AB17" s="11">
        <f ca="1">(AA17*DATOSAÑO!$Z$11)/DATOSAÑO!$Y$11</f>
        <v>0.27027993367091613</v>
      </c>
      <c r="AC17" s="9">
        <f ca="1">DATOSAÑO!AL16</f>
        <v>33.200000000135333</v>
      </c>
      <c r="AD17" s="11">
        <f ca="1">(AC17*DATOSAÑO!$Z$11)/DATOSAÑO!$Y$11</f>
        <v>0.59821958652739959</v>
      </c>
      <c r="AE17" s="9">
        <f ca="1">DATOSAÑO!AM16</f>
        <v>6.1849999999770802</v>
      </c>
      <c r="AF17" s="11">
        <f ca="1">(AE17*DATOSAÑO!$Z$11)/DATOSAÑO!$Y$11</f>
        <v>0.1114454259832281</v>
      </c>
      <c r="AG17" s="9">
        <f ca="1">DATOSAÑO!AN16</f>
        <v>2.7639999999998182</v>
      </c>
      <c r="AH17" s="11">
        <f ca="1">(AG17*DATOSAÑO!$Z$11)/DATOSAÑO!$Y$11</f>
        <v>4.9803582444424205E-2</v>
      </c>
      <c r="AI17" s="9">
        <f ca="1">DATOSAÑO!BJ16</f>
        <v>0</v>
      </c>
      <c r="AJ17" s="11">
        <f ca="1">(AI17*DATOSAÑO!$Z$11)/DATOSAÑO!$Y$11</f>
        <v>0</v>
      </c>
      <c r="AK17" s="9">
        <f ca="1">DATOSAÑO!BM16</f>
        <v>3.387</v>
      </c>
      <c r="AL17" s="11">
        <f ca="1">(AK17*DATOSAÑO!$Z$11)/DATOSAÑO!$Y$11</f>
        <v>6.1029209022892862E-2</v>
      </c>
      <c r="AM17" s="9">
        <f ca="1">DATOSAÑO!BP16</f>
        <v>2.6280000000000001</v>
      </c>
      <c r="AN17" s="11">
        <f ca="1">(AM17*DATOSAÑO!$Z$11)/DATOSAÑO!$Y$11</f>
        <v>4.7353044379144511E-2</v>
      </c>
      <c r="AO17" s="9">
        <f ca="1">DATOSAÑO!BW16</f>
        <v>9.892499999988722</v>
      </c>
      <c r="AP17" s="11">
        <f ca="1">(AO17*DATOSAÑO!$Z$11)/DATOSAÑO!$Y$11</f>
        <v>0.17824961625576596</v>
      </c>
      <c r="AQ17" s="9">
        <f ca="1">DATOSAÑO!CC16</f>
        <v>2.541599999999927</v>
      </c>
      <c r="AR17" s="1348">
        <f ca="1">(AQ17*DATOSAÑO!$Z$11)/DATOSAÑO!$Y$11</f>
        <v>4.5796231961198711E-2</v>
      </c>
      <c r="AS17" s="1384">
        <f t="shared" si="2"/>
        <v>1</v>
      </c>
    </row>
    <row r="18" spans="1:45" ht="16.5" customHeight="1">
      <c r="A18" s="1408">
        <v>44933</v>
      </c>
      <c r="B18" s="1869">
        <v>44933</v>
      </c>
      <c r="C18" s="9">
        <f ca="1">DATOSAÑO!I17</f>
        <v>124.89999999990687</v>
      </c>
      <c r="D18" s="10">
        <f ca="1">DATOSAÑO!$D17</f>
        <v>3.1781814269656019</v>
      </c>
      <c r="E18" s="11">
        <f ca="1">DATOSAÑO!$G17</f>
        <v>0</v>
      </c>
      <c r="F18" s="9">
        <f ca="1">DATOSAÑO!P17</f>
        <v>246.20000000000073</v>
      </c>
      <c r="G18" s="10">
        <f ca="1">DATOSAÑO!K17</f>
        <v>4.0777095168539388</v>
      </c>
      <c r="H18" s="11">
        <f ca="1">DATOSAÑO!N17</f>
        <v>0</v>
      </c>
      <c r="I18" s="9">
        <f ca="1">DATOSAÑO!Q17</f>
        <v>0</v>
      </c>
      <c r="J18" s="11">
        <f ca="1">DATOSAÑO!R17</f>
        <v>0</v>
      </c>
      <c r="K18" s="9">
        <f ca="1">DATOSAÑO!T17</f>
        <v>1.0180000000000291</v>
      </c>
      <c r="L18" s="11">
        <f t="shared" ca="1" si="0"/>
        <v>122.16000000000349</v>
      </c>
      <c r="M18" s="9"/>
      <c r="N18" s="11">
        <f t="shared" si="1"/>
        <v>0</v>
      </c>
      <c r="O18" s="9">
        <f>DATOSAÑO!CK17</f>
        <v>0</v>
      </c>
      <c r="P18" s="9">
        <f>DATOSAÑO!CL17</f>
        <v>1</v>
      </c>
      <c r="Q18" s="9">
        <f ca="1">DATOSAÑO!AD17</f>
        <v>166.90000000002328</v>
      </c>
      <c r="R18" s="11">
        <f ca="1">(Q18*DATOSAÑO!$Z$11)/DATOSAÑO!$Y$11</f>
        <v>3.00731472864548</v>
      </c>
      <c r="S18" s="9">
        <f ca="1">DATOSAÑO!AF17</f>
        <v>95.200000000011642</v>
      </c>
      <c r="T18" s="11">
        <f ca="1">(S18*DATOSAÑO!$Z$11)/DATOSAÑO!$Y$11</f>
        <v>1.7153766456982908</v>
      </c>
      <c r="U18" s="9">
        <f ca="1">DATOSAÑO!AH17</f>
        <v>5.5</v>
      </c>
      <c r="V18" s="11">
        <f ca="1">(U18*DATOSAÑO!$Z$11)/DATOSAÑO!$Y$11</f>
        <v>9.9102642346002578E-2</v>
      </c>
      <c r="W18" s="9">
        <f ca="1">DATOSAÑO!AI17</f>
        <v>29.80000000000291</v>
      </c>
      <c r="X18" s="11">
        <f ca="1">(W18*DATOSAÑO!$Z$11)/DATOSAÑO!$Y$11</f>
        <v>0.53695613489293914</v>
      </c>
      <c r="Y18" s="9">
        <f ca="1">DATOSAÑO!AJ17</f>
        <v>11</v>
      </c>
      <c r="Z18" s="11">
        <f ca="1">(Y18*DATOSAÑO!$Z$11)/DATOSAÑO!$Y$11</f>
        <v>0.19820528469200516</v>
      </c>
      <c r="AA18" s="9">
        <f ca="1">DATOSAÑO!AK17</f>
        <v>14.899999999994179</v>
      </c>
      <c r="AB18" s="11">
        <f ca="1">(AA18*DATOSAÑO!$Z$11)/DATOSAÑO!$Y$11</f>
        <v>0.26847806744633845</v>
      </c>
      <c r="AC18" s="9">
        <f ca="1">DATOSAÑO!AL17</f>
        <v>32.217999999911626</v>
      </c>
      <c r="AD18" s="11">
        <f ca="1">(AC18*DATOSAÑO!$Z$11)/DATOSAÑO!$Y$11</f>
        <v>0.58052526019904604</v>
      </c>
      <c r="AE18" s="9">
        <f ca="1">DATOSAÑO!AM17</f>
        <v>4.4939999999637905</v>
      </c>
      <c r="AF18" s="11">
        <f ca="1">(AE18*DATOSAÑO!$Z$11)/DATOSAÑO!$Y$11</f>
        <v>8.097586812715403E-2</v>
      </c>
      <c r="AG18" s="9">
        <f ca="1">DATOSAÑO!AN17</f>
        <v>2.6330000000000102</v>
      </c>
      <c r="AH18" s="11">
        <f ca="1">(AG18*DATOSAÑO!$Z$11)/DATOSAÑO!$Y$11</f>
        <v>4.7443137690368328E-2</v>
      </c>
      <c r="AI18" s="9">
        <f ca="1">DATOSAÑO!BJ17</f>
        <v>0</v>
      </c>
      <c r="AJ18" s="11">
        <f ca="1">(AI18*DATOSAÑO!$Z$11)/DATOSAÑO!$Y$11</f>
        <v>0</v>
      </c>
      <c r="AK18" s="9">
        <f ca="1">DATOSAÑO!BM17</f>
        <v>2.3380000000000001</v>
      </c>
      <c r="AL18" s="11">
        <f ca="1">(AK18*DATOSAÑO!$Z$11)/DATOSAÑO!$Y$11</f>
        <v>4.2127632328173466E-2</v>
      </c>
      <c r="AM18" s="9">
        <f ca="1">DATOSAÑO!BP17</f>
        <v>1.448</v>
      </c>
      <c r="AN18" s="11">
        <f ca="1">(AM18*DATOSAÑO!$Z$11)/DATOSAÑO!$Y$11</f>
        <v>2.6091022930365769E-2</v>
      </c>
      <c r="AO18" s="9">
        <f ca="1">DATOSAÑO!BW17</f>
        <v>6.5469999999820772</v>
      </c>
      <c r="AP18" s="11">
        <f ca="1">(AO18*DATOSAÑO!$Z$11)/DATOSAÑO!$Y$11</f>
        <v>0.11796818171590959</v>
      </c>
      <c r="AQ18" s="9">
        <f ca="1">DATOSAÑO!CC17</f>
        <v>2.4402000000000044</v>
      </c>
      <c r="AR18" s="1348">
        <f ca="1">(AQ18*DATOSAÑO!$Z$11)/DATOSAÑO!$Y$11</f>
        <v>4.396913960958472E-2</v>
      </c>
      <c r="AS18" s="1384">
        <f t="shared" si="2"/>
        <v>1</v>
      </c>
    </row>
    <row r="19" spans="1:45">
      <c r="A19" s="1408">
        <v>44934</v>
      </c>
      <c r="B19" s="1869">
        <v>44934</v>
      </c>
      <c r="C19" s="9">
        <f ca="1">DATOSAÑO!I18</f>
        <v>149.40000000002328</v>
      </c>
      <c r="D19" s="10">
        <f ca="1">DATOSAÑO!$D18</f>
        <v>3.3598668202248922</v>
      </c>
      <c r="E19" s="11">
        <f ca="1">DATOSAÑO!$G18</f>
        <v>0</v>
      </c>
      <c r="F19" s="9">
        <f ca="1">DATOSAÑO!P18</f>
        <v>291.39999999999964</v>
      </c>
      <c r="G19" s="10">
        <f ca="1">DATOSAÑO!K18</f>
        <v>4.412900528089887</v>
      </c>
      <c r="H19" s="11">
        <f ca="1">DATOSAÑO!N18</f>
        <v>0</v>
      </c>
      <c r="I19" s="9">
        <f ca="1">DATOSAÑO!Q18</f>
        <v>0</v>
      </c>
      <c r="J19" s="11">
        <f ca="1">DATOSAÑO!R18</f>
        <v>0</v>
      </c>
      <c r="K19" s="9">
        <f ca="1">DATOSAÑO!T18</f>
        <v>0</v>
      </c>
      <c r="L19" s="11">
        <f t="shared" ca="1" si="0"/>
        <v>0</v>
      </c>
      <c r="M19" s="9"/>
      <c r="N19" s="11">
        <f t="shared" si="1"/>
        <v>0</v>
      </c>
      <c r="O19" s="9">
        <f>DATOSAÑO!CK18</f>
        <v>0</v>
      </c>
      <c r="P19" s="9">
        <f>DATOSAÑO!CL18</f>
        <v>0</v>
      </c>
      <c r="Q19" s="9">
        <f ca="1">DATOSAÑO!AD18</f>
        <v>165.90000000002328</v>
      </c>
      <c r="R19" s="11">
        <f ca="1">(Q19*DATOSAÑO!$Z$11)/DATOSAÑO!$Y$11</f>
        <v>2.989296066400752</v>
      </c>
      <c r="S19" s="9">
        <f ca="1">DATOSAÑO!AF18</f>
        <v>146.09999999997672</v>
      </c>
      <c r="T19" s="11">
        <f ca="1">(S19*DATOSAÑO!$Z$11)/DATOSAÑO!$Y$11</f>
        <v>2.6325265539543037</v>
      </c>
      <c r="U19" s="9">
        <f ca="1">DATOSAÑO!AH18</f>
        <v>14.30000000000291</v>
      </c>
      <c r="V19" s="11">
        <f ca="1">(U19*DATOSAÑO!$Z$11)/DATOSAÑO!$Y$11</f>
        <v>0.25766687009965916</v>
      </c>
      <c r="W19" s="9">
        <f ca="1">DATOSAÑO!AI18</f>
        <v>31.19999999999709</v>
      </c>
      <c r="X19" s="11">
        <f ca="1">(W19*DATOSAÑO!$Z$11)/DATOSAÑO!$Y$11</f>
        <v>0.56218226203545307</v>
      </c>
      <c r="Y19" s="9">
        <f ca="1">DATOSAÑO!AJ18</f>
        <v>7.9000000000087311</v>
      </c>
      <c r="Z19" s="11">
        <f ca="1">(Y19*DATOSAÑO!$Z$11)/DATOSAÑO!$Y$11</f>
        <v>0.1423474317335065</v>
      </c>
      <c r="AA19" s="9">
        <f ca="1">DATOSAÑO!AK18</f>
        <v>15.5</v>
      </c>
      <c r="AB19" s="11">
        <f ca="1">(AA19*DATOSAÑO!$Z$11)/DATOSAÑO!$Y$11</f>
        <v>0.27928926479328003</v>
      </c>
      <c r="AC19" s="9">
        <f ca="1">DATOSAÑO!AL18</f>
        <v>32.099999999954946</v>
      </c>
      <c r="AD19" s="11">
        <f ca="1">(AC19*DATOSAÑO!$Z$11)/DATOSAÑO!$Y$11</f>
        <v>0.57839905805494873</v>
      </c>
      <c r="AE19" s="9">
        <f ca="1">DATOSAÑO!AM18</f>
        <v>8.4870000000600267</v>
      </c>
      <c r="AF19" s="11">
        <f ca="1">(AE19*DATOSAÑO!$Z$11)/DATOSAÑO!$Y$11</f>
        <v>0.15292438647208595</v>
      </c>
      <c r="AG19" s="9">
        <f ca="1">DATOSAÑO!AN18</f>
        <v>3.4329999999996361</v>
      </c>
      <c r="AH19" s="11">
        <f ca="1">(AG19*DATOSAÑO!$Z$11)/DATOSAÑO!$Y$11</f>
        <v>6.1858067486143788E-2</v>
      </c>
      <c r="AI19" s="9">
        <f ca="1">DATOSAÑO!BJ18</f>
        <v>0</v>
      </c>
      <c r="AJ19" s="11">
        <f ca="1">(AI19*DATOSAÑO!$Z$11)/DATOSAÑO!$Y$11</f>
        <v>0</v>
      </c>
      <c r="AK19" s="9">
        <f ca="1">DATOSAÑO!BM18</f>
        <v>4.5460000000000003</v>
      </c>
      <c r="AL19" s="11">
        <f ca="1">(AK19*DATOSAÑO!$Z$11)/DATOSAÑO!$Y$11</f>
        <v>8.1912838564532325E-2</v>
      </c>
      <c r="AM19" s="9">
        <f ca="1">DATOSAÑO!BP18</f>
        <v>2.9670000000000001</v>
      </c>
      <c r="AN19" s="11">
        <f ca="1">(AM19*DATOSAÑO!$Z$11)/DATOSAÑO!$Y$11</f>
        <v>5.346137088010721E-2</v>
      </c>
      <c r="AO19" s="9">
        <f ca="1">DATOSAÑO!BW18</f>
        <v>11.14350000002965</v>
      </c>
      <c r="AP19" s="11">
        <f ca="1">(AO19*DATOSAÑO!$Z$11)/DATOSAÑO!$Y$11</f>
        <v>0.20079096272465785</v>
      </c>
      <c r="AQ19" s="9">
        <f ca="1">DATOSAÑO!CC18</f>
        <v>2.8401999999998546</v>
      </c>
      <c r="AR19" s="1348">
        <f ca="1">(AQ19*DATOSAÑO!$Z$11)/DATOSAÑO!$Y$11</f>
        <v>5.1176604507473113E-2</v>
      </c>
      <c r="AS19" s="1384">
        <f t="shared" si="2"/>
        <v>2</v>
      </c>
    </row>
    <row r="20" spans="1:45" ht="16.5" customHeight="1">
      <c r="A20" s="1408">
        <v>44935</v>
      </c>
      <c r="B20" s="1869">
        <v>44935</v>
      </c>
      <c r="C20" s="9">
        <f ca="1">DATOSAÑO!I19</f>
        <v>148.30000000004657</v>
      </c>
      <c r="D20" s="10">
        <f ca="1">DATOSAÑO!$D19</f>
        <v>3.3517095168542781</v>
      </c>
      <c r="E20" s="11">
        <f ca="1">DATOSAÑO!$G19</f>
        <v>0</v>
      </c>
      <c r="F20" s="9">
        <f ca="1">DATOSAÑO!P19</f>
        <v>287.09999999999854</v>
      </c>
      <c r="G20" s="10">
        <f ca="1">DATOSAÑO!K19</f>
        <v>4.3810128876404395</v>
      </c>
      <c r="H20" s="11">
        <f ca="1">DATOSAÑO!N19</f>
        <v>0</v>
      </c>
      <c r="I20" s="9">
        <f ca="1">DATOSAÑO!Q19</f>
        <v>0.18200000000001637</v>
      </c>
      <c r="J20" s="11">
        <f ca="1">DATOSAÑO!R19</f>
        <v>21.840000000001965</v>
      </c>
      <c r="K20" s="9">
        <f ca="1">DATOSAÑO!T19</f>
        <v>0.42399999999997817</v>
      </c>
      <c r="L20" s="11">
        <f t="shared" ca="1" si="0"/>
        <v>50.879999999997381</v>
      </c>
      <c r="M20" s="9"/>
      <c r="N20" s="11">
        <f t="shared" si="1"/>
        <v>0</v>
      </c>
      <c r="O20" s="9">
        <f>DATOSAÑO!CK19</f>
        <v>1</v>
      </c>
      <c r="P20" s="9">
        <f>DATOSAÑO!CL19</f>
        <v>1</v>
      </c>
      <c r="Q20" s="9">
        <f ca="1">DATOSAÑO!AD19</f>
        <v>159.59999999997672</v>
      </c>
      <c r="R20" s="11">
        <f ca="1">(Q20*DATOSAÑO!$Z$11)/DATOSAÑO!$Y$11</f>
        <v>2.8757784942581281</v>
      </c>
      <c r="S20" s="9">
        <f ca="1">DATOSAÑO!AF19</f>
        <v>139.60000000003492</v>
      </c>
      <c r="T20" s="11">
        <f ca="1">(S20*DATOSAÑO!$Z$11)/DATOSAÑO!$Y$11</f>
        <v>2.5154052493646222</v>
      </c>
      <c r="U20" s="9">
        <f ca="1">DATOSAÑO!AH19</f>
        <v>15.399999999994179</v>
      </c>
      <c r="V20" s="11">
        <f ca="1">(U20*DATOSAÑO!$Z$11)/DATOSAÑO!$Y$11</f>
        <v>0.27748739856870236</v>
      </c>
      <c r="W20" s="9">
        <f ca="1">DATOSAÑO!AI19</f>
        <v>31.999999999992724</v>
      </c>
      <c r="X20" s="11">
        <f ca="1">(W20*DATOSAÑO!$Z$11)/DATOSAÑO!$Y$11</f>
        <v>0.57659719183115665</v>
      </c>
      <c r="Y20" s="9">
        <f ca="1">DATOSAÑO!AJ19</f>
        <v>7.7999999999883585</v>
      </c>
      <c r="Z20" s="11">
        <f ca="1">(Y20*DATOSAÑO!$Z$11)/DATOSAÑO!$Y$11</f>
        <v>0.14054556550866662</v>
      </c>
      <c r="AA20" s="9">
        <f ca="1">DATOSAÑO!AK19</f>
        <v>15.800000000017462</v>
      </c>
      <c r="AB20" s="11">
        <f ca="1">(AA20*DATOSAÑO!$Z$11)/DATOSAÑO!$Y$11</f>
        <v>0.284694863467013</v>
      </c>
      <c r="AC20" s="9">
        <f ca="1">DATOSAÑO!AL19</f>
        <v>37.406000000075608</v>
      </c>
      <c r="AD20" s="11">
        <f ca="1">(AC20*DATOSAÑO!$Z$11)/DATOSAÑO!$Y$11</f>
        <v>0.67400607992764827</v>
      </c>
      <c r="AE20" s="9">
        <f ca="1">DATOSAÑO!AM19</f>
        <v>8.0049999999646193</v>
      </c>
      <c r="AF20" s="11">
        <f ca="1">(AE20*DATOSAÑO!$Z$11)/DATOSAÑO!$Y$11</f>
        <v>0.14423939126840807</v>
      </c>
      <c r="AG20" s="9">
        <f ca="1">DATOSAÑO!AN19</f>
        <v>3.4690000000004551</v>
      </c>
      <c r="AH20" s="11">
        <f ca="1">(AG20*DATOSAÑO!$Z$11)/DATOSAÑO!$Y$11</f>
        <v>6.2506739326968735E-2</v>
      </c>
      <c r="AI20" s="9">
        <f ca="1">DATOSAÑO!BJ19</f>
        <v>0</v>
      </c>
      <c r="AJ20" s="11">
        <f ca="1">(AI20*DATOSAÑO!$Z$11)/DATOSAÑO!$Y$11</f>
        <v>0</v>
      </c>
      <c r="AK20" s="9">
        <f ca="1">DATOSAÑO!BM19</f>
        <v>4.9219999999999997</v>
      </c>
      <c r="AL20" s="11">
        <f ca="1">(AK20*DATOSAÑO!$Z$11)/DATOSAÑO!$Y$11</f>
        <v>8.8687855568549953E-2</v>
      </c>
      <c r="AM20" s="9">
        <f ca="1">DATOSAÑO!BP19</f>
        <v>3.4729999999999999</v>
      </c>
      <c r="AN20" s="11">
        <f ca="1">(AM20*DATOSAÑO!$Z$11)/DATOSAÑO!$Y$11</f>
        <v>6.2578813975939451E-2</v>
      </c>
      <c r="AO20" s="9">
        <f ca="1">DATOSAÑO!BW19</f>
        <v>11.002499999982309</v>
      </c>
      <c r="AP20" s="11">
        <f ca="1">(AO20*DATOSAÑO!$Z$11)/DATOSAÑO!$Y$11</f>
        <v>0.19825033134729822</v>
      </c>
      <c r="AQ20" s="9">
        <f ca="1">DATOSAÑO!CC19</f>
        <v>2.9186000000001817</v>
      </c>
      <c r="AR20" s="1348">
        <f ca="1">(AQ20*DATOSAÑO!$Z$11)/DATOSAÑO!$Y$11</f>
        <v>5.2589267627465658E-2</v>
      </c>
      <c r="AS20" s="1384">
        <f t="shared" si="2"/>
        <v>2</v>
      </c>
    </row>
    <row r="21" spans="1:45">
      <c r="A21" s="1408">
        <v>44936</v>
      </c>
      <c r="B21" s="1869">
        <v>44936</v>
      </c>
      <c r="C21" s="9">
        <f ca="1">DATOSAÑO!I20</f>
        <v>146.59999999997672</v>
      </c>
      <c r="D21" s="10">
        <f ca="1">DATOSAÑO!$D20</f>
        <v>3.3391027752807272</v>
      </c>
      <c r="E21" s="11">
        <f ca="1">DATOSAÑO!$G20</f>
        <v>0</v>
      </c>
      <c r="F21" s="9">
        <f ca="1">DATOSAÑO!P20</f>
        <v>283.30000000000291</v>
      </c>
      <c r="G21" s="10">
        <f ca="1">DATOSAÑO!K20</f>
        <v>4.3528331123595736</v>
      </c>
      <c r="H21" s="11">
        <f ca="1">DATOSAÑO!N20</f>
        <v>0</v>
      </c>
      <c r="I21" s="9">
        <f ca="1">DATOSAÑO!Q20</f>
        <v>0</v>
      </c>
      <c r="J21" s="11">
        <f ca="1">DATOSAÑO!R20</f>
        <v>0</v>
      </c>
      <c r="K21" s="9">
        <f ca="1">DATOSAÑO!T20</f>
        <v>0</v>
      </c>
      <c r="L21" s="11">
        <f t="shared" ca="1" si="0"/>
        <v>0</v>
      </c>
      <c r="M21" s="9"/>
      <c r="N21" s="11">
        <f t="shared" si="1"/>
        <v>0</v>
      </c>
      <c r="O21" s="9">
        <f>DATOSAÑO!CK20</f>
        <v>0</v>
      </c>
      <c r="P21" s="9">
        <f>DATOSAÑO!CL20</f>
        <v>0</v>
      </c>
      <c r="Q21" s="9">
        <f ca="1">DATOSAÑO!AD20</f>
        <v>161.30000000004657</v>
      </c>
      <c r="R21" s="11">
        <f ca="1">(Q21*DATOSAÑO!$Z$11)/DATOSAÑO!$Y$11</f>
        <v>2.9064102200754238</v>
      </c>
      <c r="S21" s="9">
        <f ca="1">DATOSAÑO!AF20</f>
        <v>138.19999999995343</v>
      </c>
      <c r="T21" s="11">
        <f ca="1">(S21*DATOSAÑO!$Z$11)/DATOSAÑO!$Y$11</f>
        <v>2.4901791222205349</v>
      </c>
      <c r="U21" s="9">
        <f ca="1">DATOSAÑO!AH20</f>
        <v>8.9000000000014552</v>
      </c>
      <c r="V21" s="11">
        <f ca="1">(U21*DATOSAÑO!$Z$11)/DATOSAÑO!$Y$11</f>
        <v>0.16036609397810314</v>
      </c>
      <c r="W21" s="9">
        <f ca="1">DATOSAÑO!AI20</f>
        <v>39.300000000010186</v>
      </c>
      <c r="X21" s="11">
        <f ca="1">(W21*DATOSAÑO!$Z$11)/DATOSAÑO!$Y$11</f>
        <v>0.70813342621798381</v>
      </c>
      <c r="Y21" s="9">
        <f ca="1">DATOSAÑO!AJ20</f>
        <v>7.4000000000087311</v>
      </c>
      <c r="Z21" s="11">
        <f ca="1">(Y21*DATOSAÑO!$Z$11)/DATOSAÑO!$Y$11</f>
        <v>0.13333810061114262</v>
      </c>
      <c r="AA21" s="9">
        <f ca="1">DATOSAÑO!AK20</f>
        <v>14.399999999994179</v>
      </c>
      <c r="AB21" s="11">
        <f ca="1">(AA21*DATOSAÑO!$Z$11)/DATOSAÑO!$Y$11</f>
        <v>0.2594687363239746</v>
      </c>
      <c r="AC21" s="9">
        <f ca="1">DATOSAÑO!AL20</f>
        <v>32.399999999954218</v>
      </c>
      <c r="AD21" s="11">
        <f ca="1">(AC21*DATOSAÑO!$Z$11)/DATOSAÑO!$Y$11</f>
        <v>0.58380465672835391</v>
      </c>
      <c r="AE21" s="9">
        <f ca="1">DATOSAÑO!AM20</f>
        <v>8.0620000000107304</v>
      </c>
      <c r="AF21" s="11">
        <f ca="1">(AE21*DATOSAÑO!$Z$11)/DATOSAÑO!$Y$11</f>
        <v>0.14526645501718841</v>
      </c>
      <c r="AG21" s="9">
        <f ca="1">DATOSAÑO!AN20</f>
        <v>3.1499999999998183</v>
      </c>
      <c r="AH21" s="11">
        <f ca="1">(AG21*DATOSAÑO!$Z$11)/DATOSAÑO!$Y$11</f>
        <v>5.6758786070889113E-2</v>
      </c>
      <c r="AI21" s="9">
        <f ca="1">DATOSAÑO!BJ20</f>
        <v>0</v>
      </c>
      <c r="AJ21" s="11">
        <f ca="1">(AI21*DATOSAÑO!$Z$11)/DATOSAÑO!$Y$11</f>
        <v>0</v>
      </c>
      <c r="AK21" s="9">
        <f ca="1">DATOSAÑO!BM20</f>
        <v>4.8390000000000004</v>
      </c>
      <c r="AL21" s="11">
        <f ca="1">(AK21*DATOSAÑO!$Z$11)/DATOSAÑO!$Y$11</f>
        <v>8.7192306602237549E-2</v>
      </c>
      <c r="AM21" s="9">
        <f ca="1">DATOSAÑO!BP20</f>
        <v>3.2989999999999999</v>
      </c>
      <c r="AN21" s="11">
        <f ca="1">(AM21*DATOSAÑO!$Z$11)/DATOSAÑO!$Y$11</f>
        <v>5.9443566745356821E-2</v>
      </c>
      <c r="AO21" s="9">
        <f ca="1">DATOSAÑO!BW20</f>
        <v>11.131000000005729</v>
      </c>
      <c r="AP21" s="11">
        <f ca="1">(AO21*DATOSAÑO!$Z$11)/DATOSAÑO!$Y$11</f>
        <v>0.20056572944616774</v>
      </c>
      <c r="AQ21" s="9">
        <f ca="1">DATOSAÑO!CC20</f>
        <v>2.8099999999999277</v>
      </c>
      <c r="AR21" s="1348">
        <f ca="1">(AQ21*DATOSAÑO!$Z$11)/DATOSAÑO!$Y$11</f>
        <v>5.0632440907683651E-2</v>
      </c>
      <c r="AS21" s="1384">
        <f t="shared" si="2"/>
        <v>2</v>
      </c>
    </row>
    <row r="22" spans="1:45" ht="16.5" customHeight="1">
      <c r="A22" s="1408">
        <v>44937</v>
      </c>
      <c r="B22" s="1869">
        <v>44937</v>
      </c>
      <c r="C22" s="9">
        <f ca="1">DATOSAÑO!I21</f>
        <v>148.5</v>
      </c>
      <c r="D22" s="10">
        <f ca="1">DATOSAÑO!$D21</f>
        <v>3.3531926629213489</v>
      </c>
      <c r="E22" s="11">
        <f ca="1">DATOSAÑO!$G21</f>
        <v>0</v>
      </c>
      <c r="F22" s="9">
        <f ca="1">DATOSAÑO!P21</f>
        <v>283.69999999999709</v>
      </c>
      <c r="G22" s="10">
        <f ca="1">DATOSAÑO!K21</f>
        <v>4.3557994044943618</v>
      </c>
      <c r="H22" s="11">
        <f ca="1">DATOSAÑO!N21</f>
        <v>0</v>
      </c>
      <c r="I22" s="9">
        <f ca="1">DATOSAÑO!Q21</f>
        <v>0</v>
      </c>
      <c r="J22" s="11">
        <f ca="1">DATOSAÑO!R21</f>
        <v>0</v>
      </c>
      <c r="K22" s="9">
        <f ca="1">DATOSAÑO!T21</f>
        <v>0</v>
      </c>
      <c r="L22" s="11">
        <f t="shared" ca="1" si="0"/>
        <v>0</v>
      </c>
      <c r="M22" s="9"/>
      <c r="N22" s="11">
        <f t="shared" si="1"/>
        <v>0</v>
      </c>
      <c r="O22" s="9">
        <f>DATOSAÑO!CK21</f>
        <v>0</v>
      </c>
      <c r="P22" s="9">
        <f>DATOSAÑO!CL21</f>
        <v>0</v>
      </c>
      <c r="Q22" s="9">
        <f ca="1">DATOSAÑO!AD21</f>
        <v>162.59999999997672</v>
      </c>
      <c r="R22" s="11">
        <f ca="1">(Q22*DATOSAÑO!$Z$11)/DATOSAÑO!$Y$11</f>
        <v>2.9298344809923118</v>
      </c>
      <c r="S22" s="9">
        <f ca="1">DATOSAÑO!AF21</f>
        <v>138.80000000004657</v>
      </c>
      <c r="T22" s="11">
        <f ca="1">(S22*DATOSAÑO!$Z$11)/DATOSAÑO!$Y$11</f>
        <v>2.5009903195690497</v>
      </c>
      <c r="U22" s="9">
        <f ca="1">DATOSAÑO!AH21</f>
        <v>5.4000000000014552</v>
      </c>
      <c r="V22" s="11">
        <f ca="1">(U22*DATOSAÑO!$Z$11)/DATOSAÑO!$Y$11</f>
        <v>9.7300776121556021E-2</v>
      </c>
      <c r="W22" s="9">
        <f ca="1">DATOSAÑO!AI21</f>
        <v>43.799999999995634</v>
      </c>
      <c r="X22" s="11">
        <f ca="1">(W22*DATOSAÑO!$Z$11)/DATOSAÑO!$Y$11</f>
        <v>0.7892174063189964</v>
      </c>
      <c r="Y22" s="9">
        <f ca="1">DATOSAÑO!AJ21</f>
        <v>7.8999999999941792</v>
      </c>
      <c r="Z22" s="11">
        <f ca="1">(Y22*DATOSAÑO!$Z$11)/DATOSAÑO!$Y$11</f>
        <v>0.14234743173324427</v>
      </c>
      <c r="AA22" s="9">
        <f ca="1">DATOSAÑO!AK21</f>
        <v>13.899999999994179</v>
      </c>
      <c r="AB22" s="11">
        <f ca="1">(AA22*DATOSAÑO!$Z$11)/DATOSAÑO!$Y$11</f>
        <v>0.25045940520161075</v>
      </c>
      <c r="AC22" s="9">
        <f ca="1">DATOSAÑO!AL21</f>
        <v>30.699999999988052</v>
      </c>
      <c r="AD22" s="11">
        <f ca="1">(AC22*DATOSAÑO!$Z$11)/DATOSAÑO!$Y$11</f>
        <v>0.55317293091292641</v>
      </c>
      <c r="AE22" s="9">
        <f ca="1">DATOSAÑO!AM21</f>
        <v>9.8550000000001834</v>
      </c>
      <c r="AF22" s="11">
        <f ca="1">(AE22*DATOSAÑO!$Z$11)/DATOSAÑO!$Y$11</f>
        <v>0.17757391642179521</v>
      </c>
      <c r="AG22" s="9">
        <f ca="1">DATOSAÑO!AN21</f>
        <v>2.2640000000001819</v>
      </c>
      <c r="AH22" s="11">
        <f ca="1">(AG22*DATOSAÑO!$Z$11)/DATOSAÑO!$Y$11</f>
        <v>4.0794251322066884E-2</v>
      </c>
      <c r="AI22" s="9">
        <f ca="1">DATOSAÑO!BJ21</f>
        <v>0</v>
      </c>
      <c r="AJ22" s="11">
        <f ca="1">(AI22*DATOSAÑO!$Z$11)/DATOSAÑO!$Y$11</f>
        <v>0</v>
      </c>
      <c r="AK22" s="9">
        <f ca="1">DATOSAÑO!BM21</f>
        <v>4.9009999999999998</v>
      </c>
      <c r="AL22" s="11">
        <f ca="1">(AK22*DATOSAÑO!$Z$11)/DATOSAÑO!$Y$11</f>
        <v>8.8309463661410653E-2</v>
      </c>
      <c r="AM22" s="9">
        <f ca="1">DATOSAÑO!BP21</f>
        <v>3.544</v>
      </c>
      <c r="AN22" s="11">
        <f ca="1">(AM22*DATOSAÑO!$Z$11)/DATOSAÑO!$Y$11</f>
        <v>6.3858138995315117E-2</v>
      </c>
      <c r="AO22" s="9">
        <f ca="1">DATOSAÑO!BW21</f>
        <v>11.927500000000091</v>
      </c>
      <c r="AP22" s="11">
        <f ca="1">(AO22*DATOSAÑO!$Z$11)/DATOSAÑO!$Y$11</f>
        <v>0.21491759392399176</v>
      </c>
      <c r="AQ22" s="9">
        <f ca="1">DATOSAÑO!CC21</f>
        <v>2.441600000000073</v>
      </c>
      <c r="AR22" s="1348">
        <f ca="1">(AQ22*DATOSAÑO!$Z$11)/DATOSAÑO!$Y$11</f>
        <v>4.3994365736728575E-2</v>
      </c>
      <c r="AS22" s="1384">
        <f t="shared" si="2"/>
        <v>2</v>
      </c>
    </row>
    <row r="23" spans="1:45">
      <c r="A23" s="1408">
        <v>44938</v>
      </c>
      <c r="B23" s="1869">
        <v>44938</v>
      </c>
      <c r="C23" s="9">
        <f ca="1">DATOSAÑO!I22</f>
        <v>151.5</v>
      </c>
      <c r="D23" s="10">
        <f ca="1">DATOSAÑO!$D22</f>
        <v>3.3754398539325852</v>
      </c>
      <c r="E23" s="11">
        <f ca="1">DATOSAÑO!$G22</f>
        <v>0</v>
      </c>
      <c r="F23" s="9">
        <f ca="1">DATOSAÑO!P22</f>
        <v>300.90000000000146</v>
      </c>
      <c r="G23" s="10">
        <f ca="1">DATOSAÑO!K22</f>
        <v>4.4833499662921472</v>
      </c>
      <c r="H23" s="11">
        <f ca="1">DATOSAÑO!N22</f>
        <v>0</v>
      </c>
      <c r="I23" s="9">
        <f ca="1">DATOSAÑO!Q22</f>
        <v>0</v>
      </c>
      <c r="J23" s="11">
        <f ca="1">DATOSAÑO!R22</f>
        <v>0</v>
      </c>
      <c r="K23" s="9">
        <f ca="1">DATOSAÑO!T22</f>
        <v>0</v>
      </c>
      <c r="L23" s="11">
        <f t="shared" ca="1" si="0"/>
        <v>0</v>
      </c>
      <c r="M23" s="9"/>
      <c r="N23" s="11">
        <f t="shared" si="1"/>
        <v>0</v>
      </c>
      <c r="O23" s="9">
        <f>DATOSAÑO!CK22</f>
        <v>0</v>
      </c>
      <c r="P23" s="9">
        <f>DATOSAÑO!CL22</f>
        <v>0</v>
      </c>
      <c r="Q23" s="9">
        <f ca="1">DATOSAÑO!AD22</f>
        <v>169.59999999997672</v>
      </c>
      <c r="R23" s="11">
        <f ca="1">(Q23*DATOSAÑO!$Z$11)/DATOSAÑO!$Y$11</f>
        <v>3.0559651167054054</v>
      </c>
      <c r="S23" s="9">
        <f ca="1">DATOSAÑO!AF22</f>
        <v>137.59999999997672</v>
      </c>
      <c r="T23" s="11">
        <f ca="1">(S23*DATOSAÑO!$Z$11)/DATOSAÑO!$Y$11</f>
        <v>2.4793679248741176</v>
      </c>
      <c r="U23" s="9">
        <f ca="1">DATOSAÑO!AH22</f>
        <v>9.1999999999970896</v>
      </c>
      <c r="V23" s="11">
        <f ca="1">(U23*DATOSAÑO!$Z$11)/DATOSAÑO!$Y$11</f>
        <v>0.16577169265144279</v>
      </c>
      <c r="W23" s="9">
        <f ca="1">DATOSAÑO!AI22</f>
        <v>42.69999999999709</v>
      </c>
      <c r="X23" s="11">
        <f ca="1">(W23*DATOSAÑO!$Z$11)/DATOSAÑO!$Y$11</f>
        <v>0.76939687784982214</v>
      </c>
      <c r="Y23" s="9">
        <f ca="1">DATOSAÑO!AJ22</f>
        <v>7.8000000000029104</v>
      </c>
      <c r="Z23" s="11">
        <f ca="1">(Y23*DATOSAÑO!$Z$11)/DATOSAÑO!$Y$11</f>
        <v>0.14054556550892883</v>
      </c>
      <c r="AA23" s="9">
        <f ca="1">DATOSAÑO!AK22</f>
        <v>15.100000000005821</v>
      </c>
      <c r="AB23" s="11">
        <f ca="1">(AA23*DATOSAÑO!$Z$11)/DATOSAÑO!$Y$11</f>
        <v>0.2720817998954938</v>
      </c>
      <c r="AC23" s="9">
        <f ca="1">DATOSAÑO!AL22</f>
        <v>39.800000000044747</v>
      </c>
      <c r="AD23" s="11">
        <f ca="1">(AC23*DATOSAÑO!$Z$11)/DATOSAÑO!$Y$11</f>
        <v>0.71714275734097044</v>
      </c>
      <c r="AE23" s="9">
        <f ca="1">DATOSAÑO!AM22</f>
        <v>10.730000000000921</v>
      </c>
      <c r="AF23" s="11">
        <f ca="1">(AE23*DATOSAÑO!$Z$11)/DATOSAÑO!$Y$11</f>
        <v>0.19334024588594526</v>
      </c>
      <c r="AG23" s="9">
        <f ca="1">DATOSAÑO!AN22</f>
        <v>2.4789999999999921</v>
      </c>
      <c r="AH23" s="11">
        <f ca="1">(AG23*DATOSAÑO!$Z$11)/DATOSAÑO!$Y$11</f>
        <v>4.4668263704679932E-2</v>
      </c>
      <c r="AI23" s="9">
        <f ca="1">DATOSAÑO!BJ22</f>
        <v>0</v>
      </c>
      <c r="AJ23" s="11">
        <f ca="1">(AI23*DATOSAÑO!$Z$11)/DATOSAÑO!$Y$11</f>
        <v>0</v>
      </c>
      <c r="AK23" s="9">
        <f ca="1">DATOSAÑO!BM22</f>
        <v>5.0739999999999998</v>
      </c>
      <c r="AL23" s="11">
        <f ca="1">(AK23*DATOSAÑO!$Z$11)/DATOSAÑO!$Y$11</f>
        <v>9.1426692229748557E-2</v>
      </c>
      <c r="AM23" s="9">
        <f ca="1">DATOSAÑO!BP22</f>
        <v>3.6560000000000001</v>
      </c>
      <c r="AN23" s="11">
        <f ca="1">(AM23*DATOSAÑO!$Z$11)/DATOSAÑO!$Y$11</f>
        <v>6.5876229166724629E-2</v>
      </c>
      <c r="AO23" s="9">
        <f ca="1">DATOSAÑO!BW22</f>
        <v>12.464999999999915</v>
      </c>
      <c r="AP23" s="11">
        <f ca="1">(AO23*DATOSAÑO!$Z$11)/DATOSAÑO!$Y$11</f>
        <v>0.22460262488052976</v>
      </c>
      <c r="AQ23" s="9">
        <f ca="1">DATOSAÑO!CC22</f>
        <v>2.5525999999999969</v>
      </c>
      <c r="AR23" s="1348">
        <f ca="1">(AQ23*DATOSAÑO!$Z$11)/DATOSAÑO!$Y$11</f>
        <v>4.599443724589198E-2</v>
      </c>
      <c r="AS23" s="1384">
        <f t="shared" si="2"/>
        <v>2</v>
      </c>
    </row>
    <row r="24" spans="1:45" ht="16.5" customHeight="1">
      <c r="A24" s="1408">
        <v>44939</v>
      </c>
      <c r="B24" s="1869">
        <v>44939</v>
      </c>
      <c r="C24" s="9">
        <f ca="1">DATOSAÑO!I23</f>
        <v>146</v>
      </c>
      <c r="D24" s="10">
        <f ca="1">DATOSAÑO!$D23</f>
        <v>3.3346533370786524</v>
      </c>
      <c r="E24" s="11">
        <f ca="1">DATOSAÑO!$G23</f>
        <v>0</v>
      </c>
      <c r="F24" s="9">
        <f ca="1">DATOSAÑO!P23</f>
        <v>308</v>
      </c>
      <c r="G24" s="10">
        <f ca="1">DATOSAÑO!K23</f>
        <v>4.5360016516853952</v>
      </c>
      <c r="H24" s="11">
        <f ca="1">DATOSAÑO!N23</f>
        <v>0</v>
      </c>
      <c r="I24" s="9">
        <f ca="1">DATOSAÑO!Q23</f>
        <v>0</v>
      </c>
      <c r="J24" s="11">
        <f ca="1">DATOSAÑO!R23</f>
        <v>0</v>
      </c>
      <c r="K24" s="9">
        <f ca="1">DATOSAÑO!T23</f>
        <v>0</v>
      </c>
      <c r="L24" s="11">
        <f t="shared" ca="1" si="0"/>
        <v>0</v>
      </c>
      <c r="M24" s="9"/>
      <c r="N24" s="11">
        <f t="shared" si="1"/>
        <v>0</v>
      </c>
      <c r="O24" s="9">
        <f>DATOSAÑO!CK23</f>
        <v>0</v>
      </c>
      <c r="P24" s="9">
        <f>DATOSAÑO!CL23</f>
        <v>0</v>
      </c>
      <c r="Q24" s="9">
        <f ca="1">DATOSAÑO!AD23</f>
        <v>167</v>
      </c>
      <c r="R24" s="11">
        <f ca="1">(Q24*DATOSAÑO!$Z$11)/DATOSAÑO!$Y$11</f>
        <v>3.0091165948695329</v>
      </c>
      <c r="S24" s="9">
        <f ca="1">DATOSAÑO!AF23</f>
        <v>143</v>
      </c>
      <c r="T24" s="11">
        <f ca="1">(S24*DATOSAÑO!$Z$11)/DATOSAÑO!$Y$11</f>
        <v>2.5766687009960672</v>
      </c>
      <c r="U24" s="9">
        <f ca="1">DATOSAÑO!AH23</f>
        <v>16.5</v>
      </c>
      <c r="V24" s="11">
        <f ca="1">(U24*DATOSAÑO!$Z$11)/DATOSAÑO!$Y$11</f>
        <v>0.29730792703800774</v>
      </c>
      <c r="W24" s="9">
        <f ca="1">DATOSAÑO!AI23</f>
        <v>41.700000000004366</v>
      </c>
      <c r="X24" s="11">
        <f ca="1">(W24*DATOSAÑO!$Z$11)/DATOSAÑO!$Y$11</f>
        <v>0.75137821560522555</v>
      </c>
      <c r="Y24" s="9">
        <f ca="1">DATOSAÑO!AJ23</f>
        <v>8.5</v>
      </c>
      <c r="Z24" s="11">
        <f ca="1">(Y24*DATOSAÑO!$Z$11)/DATOSAÑO!$Y$11</f>
        <v>0.15315862908018582</v>
      </c>
      <c r="AA24" s="9">
        <f ca="1">DATOSAÑO!AK23</f>
        <v>16.5</v>
      </c>
      <c r="AB24" s="11">
        <f ca="1">(AA24*DATOSAÑO!$Z$11)/DATOSAÑO!$Y$11</f>
        <v>0.29730792703800774</v>
      </c>
      <c r="AC24" s="9">
        <f ca="1">DATOSAÑO!AL23</f>
        <v>31.399999999995998</v>
      </c>
      <c r="AD24" s="11">
        <f ca="1">(AC24*DATOSAÑO!$Z$11)/DATOSAÑO!$Y$11</f>
        <v>0.56578599448437905</v>
      </c>
      <c r="AE24" s="9">
        <f ca="1">DATOSAÑO!AM23</f>
        <v>9.9509999999993521</v>
      </c>
      <c r="AF24" s="11">
        <f ca="1">(AE24*DATOSAÑO!$Z$11)/DATOSAÑO!$Y$11</f>
        <v>0.17930370799727408</v>
      </c>
      <c r="AG24" s="9">
        <f ca="1">DATOSAÑO!AN23</f>
        <v>2.6380000000002726</v>
      </c>
      <c r="AH24" s="11">
        <f ca="1">(AG24*DATOSAÑO!$Z$11)/DATOSAÑO!$Y$11</f>
        <v>4.7533231001596697E-2</v>
      </c>
      <c r="AI24" s="9">
        <f ca="1">DATOSAÑO!BJ23</f>
        <v>1.8</v>
      </c>
      <c r="AJ24" s="11">
        <f ca="1">(AI24*DATOSAÑO!$Z$11)/DATOSAÑO!$Y$11</f>
        <v>3.243359204050994E-2</v>
      </c>
      <c r="AK24" s="9">
        <f ca="1">DATOSAÑO!BM23</f>
        <v>2.9329999999999998</v>
      </c>
      <c r="AL24" s="11">
        <f ca="1">(AK24*DATOSAÑO!$Z$11)/DATOSAÑO!$Y$11</f>
        <v>5.2848736363786467E-2</v>
      </c>
      <c r="AM24" s="9">
        <f ca="1">DATOSAÑO!BP23</f>
        <v>3.516</v>
      </c>
      <c r="AN24" s="11">
        <f ca="1">(AM24*DATOSAÑO!$Z$11)/DATOSAÑO!$Y$11</f>
        <v>6.3353616452462749E-2</v>
      </c>
      <c r="AO24" s="9">
        <f ca="1">DATOSAÑO!BW23</f>
        <v>11.975499999999677</v>
      </c>
      <c r="AP24" s="11">
        <f ca="1">(AO24*DATOSAÑO!$Z$11)/DATOSAÑO!$Y$11</f>
        <v>0.21578248971173125</v>
      </c>
      <c r="AQ24" s="9">
        <f ca="1">DATOSAÑO!CC23</f>
        <v>2.6172000000001092</v>
      </c>
      <c r="AR24" s="1348">
        <f ca="1">(AQ24*DATOSAÑO!$Z$11)/DATOSAÑO!$Y$11</f>
        <v>4.7158442826903416E-2</v>
      </c>
      <c r="AS24" s="1384">
        <f t="shared" si="2"/>
        <v>2</v>
      </c>
    </row>
    <row r="25" spans="1:45">
      <c r="A25" s="1408">
        <v>44940</v>
      </c>
      <c r="B25" s="1869">
        <v>44940</v>
      </c>
      <c r="C25" s="9">
        <f ca="1">DATOSAÑO!I24</f>
        <v>148</v>
      </c>
      <c r="D25" s="10">
        <f ca="1">DATOSAÑO!$D24</f>
        <v>3.3494847977528099</v>
      </c>
      <c r="E25" s="11">
        <f ca="1">DATOSAÑO!$G24</f>
        <v>0</v>
      </c>
      <c r="F25" s="9">
        <f ca="1">DATOSAÑO!P24</f>
        <v>300</v>
      </c>
      <c r="G25" s="10">
        <f ca="1">DATOSAÑO!K24</f>
        <v>4.4766758089887659</v>
      </c>
      <c r="H25" s="11">
        <f ca="1">DATOSAÑO!N24</f>
        <v>0</v>
      </c>
      <c r="I25" s="9">
        <f ca="1">DATOSAÑO!Q24</f>
        <v>0</v>
      </c>
      <c r="J25" s="11">
        <f ca="1">DATOSAÑO!R24</f>
        <v>0</v>
      </c>
      <c r="K25" s="9">
        <f ca="1">DATOSAÑO!T24</f>
        <v>0</v>
      </c>
      <c r="L25" s="11">
        <f t="shared" ca="1" si="0"/>
        <v>0</v>
      </c>
      <c r="M25" s="9"/>
      <c r="N25" s="11">
        <f t="shared" si="1"/>
        <v>0</v>
      </c>
      <c r="O25" s="9">
        <f>DATOSAÑO!CK24</f>
        <v>0</v>
      </c>
      <c r="P25" s="9">
        <f>DATOSAÑO!CL24</f>
        <v>0</v>
      </c>
      <c r="Q25" s="9">
        <f ca="1">DATOSAÑO!AD24</f>
        <v>168</v>
      </c>
      <c r="R25" s="11">
        <f ca="1">(Q25*DATOSAÑO!$Z$11)/DATOSAÑO!$Y$11</f>
        <v>3.0271352571142609</v>
      </c>
      <c r="S25" s="9">
        <f ca="1">DATOSAÑO!AF24</f>
        <v>143</v>
      </c>
      <c r="T25" s="11">
        <f ca="1">(S25*DATOSAÑO!$Z$11)/DATOSAÑO!$Y$11</f>
        <v>2.5766687009960672</v>
      </c>
      <c r="U25" s="9">
        <f ca="1">DATOSAÑO!AH24</f>
        <v>5</v>
      </c>
      <c r="V25" s="11">
        <f ca="1">(U25*DATOSAÑO!$Z$11)/DATOSAÑO!$Y$11</f>
        <v>9.0093311223638714E-2</v>
      </c>
      <c r="W25" s="9">
        <f ca="1">DATOSAÑO!AI24</f>
        <v>45.599999999998545</v>
      </c>
      <c r="X25" s="11">
        <f ca="1">(W25*DATOSAÑO!$Z$11)/DATOSAÑO!$Y$11</f>
        <v>0.82165099835955879</v>
      </c>
      <c r="Y25" s="9">
        <f ca="1">DATOSAÑO!AJ24</f>
        <v>8.8999999999941792</v>
      </c>
      <c r="Z25" s="11">
        <f ca="1">(Y25*DATOSAÑO!$Z$11)/DATOSAÑO!$Y$11</f>
        <v>0.16036609397797202</v>
      </c>
      <c r="AA25" s="9">
        <f ca="1">DATOSAÑO!AK24</f>
        <v>14.700000000011642</v>
      </c>
      <c r="AB25" s="11">
        <f ca="1">(AA25*DATOSAÑO!$Z$11)/DATOSAÑO!$Y$11</f>
        <v>0.26487433499770757</v>
      </c>
      <c r="AC25" s="9">
        <f ca="1">DATOSAÑO!AL24</f>
        <v>33.799999999995578</v>
      </c>
      <c r="AD25" s="11">
        <f ca="1">(AC25*DATOSAÑO!$Z$11)/DATOSAÑO!$Y$11</f>
        <v>0.60903078387171794</v>
      </c>
      <c r="AE25" s="9">
        <f ca="1">DATOSAÑO!AM24</f>
        <v>9.5560000000005587</v>
      </c>
      <c r="AF25" s="11">
        <f ca="1">(AE25*DATOSAÑO!$Z$11)/DATOSAÑO!$Y$11</f>
        <v>0.17218633641062839</v>
      </c>
      <c r="AG25" s="9">
        <f ca="1">DATOSAÑO!AN24</f>
        <v>2.7539999999992721</v>
      </c>
      <c r="AH25" s="11">
        <f ca="1">(AG25*DATOSAÑO!$Z$11)/DATOSAÑO!$Y$11</f>
        <v>4.9623395821967085E-2</v>
      </c>
      <c r="AI25" s="9">
        <f ca="1">DATOSAÑO!BJ24</f>
        <v>4.2</v>
      </c>
      <c r="AJ25" s="11">
        <f ca="1">(AI25*DATOSAÑO!$Z$11)/DATOSAÑO!$Y$11</f>
        <v>7.5678381427856531E-2</v>
      </c>
      <c r="AK25" s="9">
        <f ca="1">DATOSAÑO!BM24</f>
        <v>0</v>
      </c>
      <c r="AL25" s="11">
        <f ca="1">(AK25*DATOSAÑO!$Z$11)/DATOSAÑO!$Y$11</f>
        <v>0</v>
      </c>
      <c r="AM25" s="9">
        <f ca="1">DATOSAÑO!BP24</f>
        <v>3.6440000000000001</v>
      </c>
      <c r="AN25" s="11">
        <f ca="1">(AM25*DATOSAÑO!$Z$11)/DATOSAÑO!$Y$11</f>
        <v>6.566000521978789E-2</v>
      </c>
      <c r="AO25" s="9">
        <f ca="1">DATOSAÑO!BW24</f>
        <v>12.078000000000461</v>
      </c>
      <c r="AP25" s="11">
        <f ca="1">(AO25*DATOSAÑO!$Z$11)/DATOSAÑO!$Y$11</f>
        <v>0.21762940259182997</v>
      </c>
      <c r="AQ25" s="9">
        <f ca="1">DATOSAÑO!CC24</f>
        <v>2.6475999999997089</v>
      </c>
      <c r="AR25" s="1348">
        <f ca="1">(AQ25*DATOSAÑO!$Z$11)/DATOSAÑO!$Y$11</f>
        <v>4.7706210159135926E-2</v>
      </c>
      <c r="AS25" s="1384">
        <f t="shared" si="2"/>
        <v>2</v>
      </c>
    </row>
    <row r="26" spans="1:45" ht="16.5" customHeight="1">
      <c r="A26" s="1408">
        <v>44941</v>
      </c>
      <c r="B26" s="1869">
        <v>44941</v>
      </c>
      <c r="C26" s="9">
        <f ca="1">DATOSAÑO!I25</f>
        <v>150</v>
      </c>
      <c r="D26" s="10">
        <f ca="1">DATOSAÑO!$D25</f>
        <v>3.3643162584269666</v>
      </c>
      <c r="E26" s="11">
        <f ca="1">DATOSAÑO!$G25</f>
        <v>0</v>
      </c>
      <c r="F26" s="9">
        <f ca="1">DATOSAÑO!P25</f>
        <v>300</v>
      </c>
      <c r="G26" s="10">
        <f ca="1">DATOSAÑO!K25</f>
        <v>4.4766758089887659</v>
      </c>
      <c r="H26" s="11">
        <f ca="1">DATOSAÑO!N25</f>
        <v>0</v>
      </c>
      <c r="I26" s="9">
        <f ca="1">DATOSAÑO!Q25</f>
        <v>0</v>
      </c>
      <c r="J26" s="11">
        <f ca="1">DATOSAÑO!R25</f>
        <v>0</v>
      </c>
      <c r="K26" s="9">
        <f ca="1">DATOSAÑO!T25</f>
        <v>0</v>
      </c>
      <c r="L26" s="11">
        <f t="shared" ca="1" si="0"/>
        <v>0</v>
      </c>
      <c r="M26" s="9"/>
      <c r="N26" s="11">
        <f t="shared" si="1"/>
        <v>0</v>
      </c>
      <c r="O26" s="9">
        <f>DATOSAÑO!CK25</f>
        <v>0</v>
      </c>
      <c r="P26" s="9">
        <f>DATOSAÑO!CL25</f>
        <v>0</v>
      </c>
      <c r="Q26" s="9">
        <f ca="1">DATOSAÑO!AD25</f>
        <v>166</v>
      </c>
      <c r="R26" s="11">
        <f ca="1">(Q26*DATOSAÑO!$Z$11)/DATOSAÑO!$Y$11</f>
        <v>2.9910979326248053</v>
      </c>
      <c r="S26" s="9">
        <f ca="1">DATOSAÑO!AF25</f>
        <v>138</v>
      </c>
      <c r="T26" s="11">
        <f ca="1">(S26*DATOSAÑO!$Z$11)/DATOSAÑO!$Y$11</f>
        <v>2.4865753897724288</v>
      </c>
      <c r="U26" s="9">
        <f ca="1">DATOSAÑO!AH25</f>
        <v>12.80000000000291</v>
      </c>
      <c r="V26" s="11">
        <f ca="1">(U26*DATOSAÑO!$Z$11)/DATOSAÑO!$Y$11</f>
        <v>0.23063887673256753</v>
      </c>
      <c r="W26" s="9">
        <f ca="1">DATOSAÑO!AI25</f>
        <v>46.900000000001455</v>
      </c>
      <c r="X26" s="11">
        <f ca="1">(W26*DATOSAÑO!$Z$11)/DATOSAÑO!$Y$11</f>
        <v>0.84507525927775728</v>
      </c>
      <c r="Y26" s="9">
        <f ca="1">DATOSAÑO!AJ25</f>
        <v>8.2000000000116415</v>
      </c>
      <c r="Z26" s="11">
        <f ca="1">(Y26*DATOSAÑO!$Z$11)/DATOSAÑO!$Y$11</f>
        <v>0.14775303040697724</v>
      </c>
      <c r="AA26" s="9">
        <f ca="1">DATOSAÑO!AK25</f>
        <v>15.5</v>
      </c>
      <c r="AB26" s="11">
        <f ca="1">(AA26*DATOSAÑO!$Z$11)/DATOSAÑO!$Y$11</f>
        <v>0.27928926479328003</v>
      </c>
      <c r="AC26" s="9">
        <f ca="1">DATOSAÑO!AL25</f>
        <v>32.999999999983686</v>
      </c>
      <c r="AD26" s="11">
        <f ca="1">(AC26*DATOSAÑO!$Z$11)/DATOSAÑO!$Y$11</f>
        <v>0.59461585407572159</v>
      </c>
      <c r="AE26" s="9">
        <f ca="1">DATOSAÑO!AM25</f>
        <v>10.324000000000455</v>
      </c>
      <c r="AF26" s="11">
        <f ca="1">(AE26*DATOSAÑO!$Z$11)/DATOSAÑO!$Y$11</f>
        <v>0.1860246690145774</v>
      </c>
      <c r="AG26" s="9">
        <f ca="1">DATOSAÑO!AN25</f>
        <v>2.8580000000000911</v>
      </c>
      <c r="AH26" s="11">
        <f ca="1">(AG26*DATOSAÑO!$Z$11)/DATOSAÑO!$Y$11</f>
        <v>5.1497336695433528E-2</v>
      </c>
      <c r="AI26" s="9">
        <f ca="1">DATOSAÑO!BJ25</f>
        <v>4</v>
      </c>
      <c r="AJ26" s="11">
        <f ca="1">(AI26*DATOSAÑO!$Z$11)/DATOSAÑO!$Y$11</f>
        <v>7.2074648978910971E-2</v>
      </c>
      <c r="AK26" s="9">
        <f ca="1">DATOSAÑO!BM25</f>
        <v>0</v>
      </c>
      <c r="AL26" s="11">
        <f ca="1">(AK26*DATOSAÑO!$Z$11)/DATOSAÑO!$Y$11</f>
        <v>0</v>
      </c>
      <c r="AM26" s="9">
        <f ca="1">DATOSAÑO!BP25</f>
        <v>3.6760000000000002</v>
      </c>
      <c r="AN26" s="11">
        <f ca="1">(AM26*DATOSAÑO!$Z$11)/DATOSAÑO!$Y$11</f>
        <v>6.6236602411619189E-2</v>
      </c>
      <c r="AO26" s="9">
        <f ca="1">DATOSAÑO!BW25</f>
        <v>12.362000000000045</v>
      </c>
      <c r="AP26" s="11">
        <f ca="1">(AO26*DATOSAÑO!$Z$11)/DATOSAÑO!$Y$11</f>
        <v>0.22274670266932514</v>
      </c>
      <c r="AQ26" s="9">
        <f ca="1">DATOSAÑO!CC25</f>
        <v>2.6852000000000364</v>
      </c>
      <c r="AR26" s="1348">
        <f ca="1">(AQ26*DATOSAÑO!$Z$11)/DATOSAÑO!$Y$11</f>
        <v>4.8383711859543592E-2</v>
      </c>
      <c r="AS26" s="1384">
        <f t="shared" si="2"/>
        <v>3</v>
      </c>
    </row>
    <row r="27" spans="1:45">
      <c r="A27" s="1408">
        <v>44942</v>
      </c>
      <c r="B27" s="1869">
        <v>44942</v>
      </c>
      <c r="C27" s="9">
        <f ca="1">DATOSAÑO!I26</f>
        <v>150</v>
      </c>
      <c r="D27" s="10">
        <f ca="1">DATOSAÑO!$D26</f>
        <v>3.3643162584269666</v>
      </c>
      <c r="E27" s="11">
        <f ca="1">DATOSAÑO!$G26</f>
        <v>0</v>
      </c>
      <c r="F27" s="9">
        <f ca="1">DATOSAÑO!P26</f>
        <v>304</v>
      </c>
      <c r="G27" s="10">
        <f ca="1">DATOSAÑO!K26</f>
        <v>4.5063387303370801</v>
      </c>
      <c r="H27" s="11">
        <f ca="1">DATOSAÑO!N26</f>
        <v>0</v>
      </c>
      <c r="I27" s="9">
        <f ca="1">DATOSAÑO!Q26</f>
        <v>0.48500000000012733</v>
      </c>
      <c r="J27" s="11">
        <f ca="1">DATOSAÑO!R26</f>
        <v>58.20000000001528</v>
      </c>
      <c r="K27" s="9">
        <f ca="1">DATOSAÑO!T26</f>
        <v>0.44600000000002638</v>
      </c>
      <c r="L27" s="11">
        <f t="shared" ca="1" si="0"/>
        <v>53.520000000003165</v>
      </c>
      <c r="M27" s="9"/>
      <c r="N27" s="11">
        <f t="shared" si="1"/>
        <v>0</v>
      </c>
      <c r="O27" s="9">
        <f>DATOSAÑO!CK26</f>
        <v>0.5</v>
      </c>
      <c r="P27" s="9">
        <f>DATOSAÑO!CL26</f>
        <v>0.4</v>
      </c>
      <c r="Q27" s="9">
        <f ca="1">DATOSAÑO!AD26</f>
        <v>165</v>
      </c>
      <c r="R27" s="11">
        <f ca="1">(Q27*DATOSAÑO!$Z$11)/DATOSAÑO!$Y$11</f>
        <v>2.9730792703800777</v>
      </c>
      <c r="S27" s="9">
        <f ca="1">DATOSAÑO!AF26</f>
        <v>144</v>
      </c>
      <c r="T27" s="11">
        <f ca="1">(S27*DATOSAÑO!$Z$11)/DATOSAÑO!$Y$11</f>
        <v>2.5946873632407947</v>
      </c>
      <c r="U27" s="9">
        <f ca="1">DATOSAÑO!AH26</f>
        <v>12</v>
      </c>
      <c r="V27" s="11">
        <f ca="1">(U27*DATOSAÑO!$Z$11)/DATOSAÑO!$Y$11</f>
        <v>0.21622394693673291</v>
      </c>
      <c r="W27" s="9">
        <f ca="1">DATOSAÑO!AI26</f>
        <v>45.099999999998545</v>
      </c>
      <c r="X27" s="11">
        <f ca="1">(W27*DATOSAÑO!$Z$11)/DATOSAÑO!$Y$11</f>
        <v>0.81264166723719489</v>
      </c>
      <c r="Y27" s="9">
        <f ca="1">DATOSAÑO!AJ26</f>
        <v>8.3999999999941792</v>
      </c>
      <c r="Z27" s="11">
        <f ca="1">(Y27*DATOSAÑO!$Z$11)/DATOSAÑO!$Y$11</f>
        <v>0.15135676285560815</v>
      </c>
      <c r="AA27" s="9">
        <f ca="1">DATOSAÑO!AK26</f>
        <v>15.399999999994179</v>
      </c>
      <c r="AB27" s="11">
        <f ca="1">(AA27*DATOSAÑO!$Z$11)/DATOSAÑO!$Y$11</f>
        <v>0.27748739856870236</v>
      </c>
      <c r="AC27" s="9">
        <f ca="1">DATOSAÑO!AL26</f>
        <v>36.331000000014342</v>
      </c>
      <c r="AD27" s="11">
        <f ca="1">(AC27*DATOSAÑO!$Z$11)/DATOSAÑO!$Y$11</f>
        <v>0.65463601801346205</v>
      </c>
      <c r="AE27" s="9">
        <f ca="1">DATOSAÑO!AM26</f>
        <v>9.6859999999989981</v>
      </c>
      <c r="AF27" s="11">
        <f ca="1">(AE27*DATOSAÑO!$Z$11)/DATOSAÑO!$Y$11</f>
        <v>0.17452876250241484</v>
      </c>
      <c r="AG27" s="9">
        <f ca="1">DATOSAÑO!AN26</f>
        <v>2.8440000000000909</v>
      </c>
      <c r="AH27" s="11">
        <f ca="1">(AG27*DATOSAÑO!$Z$11)/DATOSAÑO!$Y$11</f>
        <v>5.1245075424007337E-2</v>
      </c>
      <c r="AI27" s="9">
        <f ca="1">DATOSAÑO!BJ26</f>
        <v>4</v>
      </c>
      <c r="AJ27" s="11">
        <f ca="1">(AI27*DATOSAÑO!$Z$11)/DATOSAÑO!$Y$11</f>
        <v>7.2074648978910971E-2</v>
      </c>
      <c r="AK27" s="9">
        <f ca="1">DATOSAÑO!BM26</f>
        <v>0</v>
      </c>
      <c r="AL27" s="11">
        <f ca="1">(AK27*DATOSAÑO!$Z$11)/DATOSAÑO!$Y$11</f>
        <v>0</v>
      </c>
      <c r="AM27" s="9">
        <f ca="1">DATOSAÑO!BP26</f>
        <v>3.4140000000000001</v>
      </c>
      <c r="AN27" s="11">
        <f ca="1">(AM27*DATOSAÑO!$Z$11)/DATOSAÑO!$Y$11</f>
        <v>6.1515712903500518E-2</v>
      </c>
      <c r="AO27" s="9">
        <f ca="1">DATOSAÑO!BW26</f>
        <v>12.042999999999317</v>
      </c>
      <c r="AP27" s="11">
        <f ca="1">(AO27*DATOSAÑO!$Z$11)/DATOSAÑO!$Y$11</f>
        <v>0.2169987494132439</v>
      </c>
      <c r="AQ27" s="9">
        <f ca="1">DATOSAÑO!CC26</f>
        <v>2.6936000000000364</v>
      </c>
      <c r="AR27" s="1348">
        <f ca="1">(AQ27*DATOSAÑO!$Z$11)/DATOSAÑO!$Y$11</f>
        <v>4.8535068622399306E-2</v>
      </c>
      <c r="AS27" s="1384">
        <f t="shared" si="2"/>
        <v>3</v>
      </c>
    </row>
    <row r="28" spans="1:45" ht="16.5" customHeight="1">
      <c r="A28" s="1408">
        <v>44943</v>
      </c>
      <c r="B28" s="1869">
        <v>44943</v>
      </c>
      <c r="C28" s="9">
        <f ca="1">DATOSAÑO!I27</f>
        <v>150</v>
      </c>
      <c r="D28" s="10">
        <f ca="1">DATOSAÑO!$D27</f>
        <v>3.3643162584269666</v>
      </c>
      <c r="E28" s="11">
        <f ca="1">DATOSAÑO!$G27</f>
        <v>0</v>
      </c>
      <c r="F28" s="9">
        <f ca="1">DATOSAÑO!P27</f>
        <v>300</v>
      </c>
      <c r="G28" s="10">
        <f ca="1">DATOSAÑO!K27</f>
        <v>4.4766758089887659</v>
      </c>
      <c r="H28" s="11">
        <f ca="1">DATOSAÑO!N27</f>
        <v>0</v>
      </c>
      <c r="I28" s="9">
        <f ca="1">DATOSAÑO!Q27</f>
        <v>0</v>
      </c>
      <c r="J28" s="11">
        <f ca="1">DATOSAÑO!R27</f>
        <v>0</v>
      </c>
      <c r="K28" s="9">
        <f ca="1">DATOSAÑO!T27</f>
        <v>0</v>
      </c>
      <c r="L28" s="11">
        <f t="shared" ca="1" si="0"/>
        <v>0</v>
      </c>
      <c r="M28" s="9"/>
      <c r="N28" s="11">
        <f t="shared" si="1"/>
        <v>0</v>
      </c>
      <c r="O28" s="9">
        <f>DATOSAÑO!CK27</f>
        <v>0</v>
      </c>
      <c r="P28" s="9">
        <f>DATOSAÑO!CL27</f>
        <v>0</v>
      </c>
      <c r="Q28" s="9">
        <f ca="1">DATOSAÑO!AD27</f>
        <v>167</v>
      </c>
      <c r="R28" s="11">
        <f ca="1">(Q28*DATOSAÑO!$Z$11)/DATOSAÑO!$Y$11</f>
        <v>3.0091165948695329</v>
      </c>
      <c r="S28" s="9">
        <f ca="1">DATOSAÑO!AF27</f>
        <v>142</v>
      </c>
      <c r="T28" s="11">
        <f ca="1">(S28*DATOSAÑO!$Z$11)/DATOSAÑO!$Y$11</f>
        <v>2.5586500387513391</v>
      </c>
      <c r="U28" s="9">
        <f ca="1">DATOSAÑO!AH27</f>
        <v>9</v>
      </c>
      <c r="V28" s="11">
        <f ca="1">(U28*DATOSAÑO!$Z$11)/DATOSAÑO!$Y$11</f>
        <v>0.16216796020254967</v>
      </c>
      <c r="W28" s="9">
        <f ca="1">DATOSAÑO!AI27</f>
        <v>44.5</v>
      </c>
      <c r="X28" s="11">
        <f ca="1">(W28*DATOSAÑO!$Z$11)/DATOSAÑO!$Y$11</f>
        <v>0.80183046989038453</v>
      </c>
      <c r="Y28" s="9">
        <f ca="1">DATOSAÑO!AJ27</f>
        <v>9.3999999999941792</v>
      </c>
      <c r="Z28" s="11">
        <f ca="1">(Y28*DATOSAÑO!$Z$11)/DATOSAÑO!$Y$11</f>
        <v>0.1693754251003359</v>
      </c>
      <c r="AA28" s="9">
        <f ca="1">DATOSAÑO!AK27</f>
        <v>14.100000000005821</v>
      </c>
      <c r="AB28" s="11">
        <f ca="1">(AA28*DATOSAÑO!$Z$11)/DATOSAÑO!$Y$11</f>
        <v>0.25406313765076605</v>
      </c>
      <c r="AC28" s="9">
        <f ca="1">DATOSAÑO!AL27</f>
        <v>34.299999999999272</v>
      </c>
      <c r="AD28" s="11">
        <f ca="1">(AC28*DATOSAÑO!$Z$11)/DATOSAÑO!$Y$11</f>
        <v>0.61804011499414857</v>
      </c>
      <c r="AE28" s="9">
        <f ca="1">DATOSAÑO!AM27</f>
        <v>11.022000000000268</v>
      </c>
      <c r="AF28" s="11">
        <f ca="1">(AE28*DATOSAÑO!$Z$11)/DATOSAÑO!$Y$11</f>
        <v>0.19860169526139401</v>
      </c>
      <c r="AG28" s="9">
        <f ca="1">DATOSAÑO!AN27</f>
        <v>2.8640000000000829</v>
      </c>
      <c r="AH28" s="11">
        <f ca="1">(AG28*DATOSAÑO!$Z$11)/DATOSAÑO!$Y$11</f>
        <v>5.1605448668901745E-2</v>
      </c>
      <c r="AI28" s="9">
        <f ca="1">DATOSAÑO!BJ27</f>
        <v>3.8</v>
      </c>
      <c r="AJ28" s="11">
        <f ca="1">(AI28*DATOSAÑO!$Z$11)/DATOSAÑO!$Y$11</f>
        <v>6.8470916529965425E-2</v>
      </c>
      <c r="AK28" s="9">
        <f ca="1">DATOSAÑO!BM27</f>
        <v>0</v>
      </c>
      <c r="AL28" s="11">
        <f ca="1">(AK28*DATOSAÑO!$Z$11)/DATOSAÑO!$Y$11</f>
        <v>0</v>
      </c>
      <c r="AM28" s="9">
        <f ca="1">DATOSAÑO!BP27</f>
        <v>3.3380000000000001</v>
      </c>
      <c r="AN28" s="11">
        <f ca="1">(AM28*DATOSAÑO!$Z$11)/DATOSAÑO!$Y$11</f>
        <v>6.0146294572901209E-2</v>
      </c>
      <c r="AO28" s="9">
        <f ca="1">DATOSAÑO!BW27</f>
        <v>12.611000000000498</v>
      </c>
      <c r="AP28" s="11">
        <f ca="1">(AO28*DATOSAÑO!$Z$11)/DATOSAÑO!$Y$11</f>
        <v>0.22723334956827052</v>
      </c>
      <c r="AQ28" s="9">
        <f ca="1">DATOSAÑO!CC27</f>
        <v>2.7216000000000333</v>
      </c>
      <c r="AR28" s="1348">
        <f ca="1">(AQ28*DATOSAÑO!$Z$11)/DATOSAÑO!$Y$11</f>
        <v>4.9039591165251625E-2</v>
      </c>
      <c r="AS28" s="1384">
        <f t="shared" si="2"/>
        <v>3</v>
      </c>
    </row>
    <row r="29" spans="1:45">
      <c r="A29" s="1408">
        <v>44944</v>
      </c>
      <c r="B29" s="1869">
        <v>44944</v>
      </c>
      <c r="C29" s="9">
        <f ca="1">DATOSAÑO!I28</f>
        <v>150</v>
      </c>
      <c r="D29" s="10">
        <f ca="1">DATOSAÑO!$D28</f>
        <v>3.3643162584269666</v>
      </c>
      <c r="E29" s="11">
        <f ca="1">DATOSAÑO!$G28</f>
        <v>0</v>
      </c>
      <c r="F29" s="9">
        <f ca="1">DATOSAÑO!P28</f>
        <v>296</v>
      </c>
      <c r="G29" s="10">
        <f ca="1">DATOSAÑO!K28</f>
        <v>4.4470128876404509</v>
      </c>
      <c r="H29" s="11">
        <f ca="1">DATOSAÑO!N28</f>
        <v>0</v>
      </c>
      <c r="I29" s="9">
        <f ca="1">DATOSAÑO!Q28</f>
        <v>0</v>
      </c>
      <c r="J29" s="11">
        <f ca="1">DATOSAÑO!R28</f>
        <v>0</v>
      </c>
      <c r="K29" s="9">
        <f ca="1">DATOSAÑO!T28</f>
        <v>0</v>
      </c>
      <c r="L29" s="11">
        <f t="shared" ca="1" si="0"/>
        <v>0</v>
      </c>
      <c r="M29" s="9"/>
      <c r="N29" s="11">
        <f t="shared" si="1"/>
        <v>0</v>
      </c>
      <c r="O29" s="9">
        <f>DATOSAÑO!CK28</f>
        <v>0</v>
      </c>
      <c r="P29" s="9">
        <f>DATOSAÑO!CL28</f>
        <v>0</v>
      </c>
      <c r="Q29" s="9">
        <f ca="1">DATOSAÑO!AD28</f>
        <v>164</v>
      </c>
      <c r="R29" s="11">
        <f ca="1">(Q29*DATOSAÑO!$Z$11)/DATOSAÑO!$Y$11</f>
        <v>2.9550606081353497</v>
      </c>
      <c r="S29" s="9">
        <f ca="1">DATOSAÑO!AF28</f>
        <v>143</v>
      </c>
      <c r="T29" s="11">
        <f ca="1">(S29*DATOSAÑO!$Z$11)/DATOSAÑO!$Y$11</f>
        <v>2.5766687009960672</v>
      </c>
      <c r="U29" s="9">
        <f ca="1">DATOSAÑO!AH28</f>
        <v>10.5</v>
      </c>
      <c r="V29" s="11">
        <f ca="1">(U29*DATOSAÑO!$Z$11)/DATOSAÑO!$Y$11</f>
        <v>0.18919595356964131</v>
      </c>
      <c r="W29" s="9">
        <f ca="1">DATOSAÑO!AI28</f>
        <v>43.400000000001455</v>
      </c>
      <c r="X29" s="11">
        <f ca="1">(W29*DATOSAÑO!$Z$11)/DATOSAÑO!$Y$11</f>
        <v>0.78200994142121028</v>
      </c>
      <c r="Y29" s="9">
        <f ca="1">DATOSAÑO!AJ28</f>
        <v>9</v>
      </c>
      <c r="Z29" s="11">
        <f ca="1">(Y29*DATOSAÑO!$Z$11)/DATOSAÑO!$Y$11</f>
        <v>0.16216796020254967</v>
      </c>
      <c r="AA29" s="9">
        <f ca="1">DATOSAÑO!AK28</f>
        <v>14.699999999982538</v>
      </c>
      <c r="AB29" s="11">
        <f ca="1">(AA29*DATOSAÑO!$Z$11)/DATOSAÑO!$Y$11</f>
        <v>0.26487433499718316</v>
      </c>
      <c r="AC29" s="9">
        <f ca="1">DATOSAÑO!AL28</f>
        <v>34.8000000000157</v>
      </c>
      <c r="AD29" s="11">
        <f ca="1">(AC29*DATOSAÑO!$Z$11)/DATOSAÑO!$Y$11</f>
        <v>0.62704944611680824</v>
      </c>
      <c r="AE29" s="9">
        <f ca="1">DATOSAÑO!AM28</f>
        <v>8.1739999999999071</v>
      </c>
      <c r="AF29" s="11">
        <f ca="1">(AE29*DATOSAÑO!$Z$11)/DATOSAÑO!$Y$11</f>
        <v>0.14728454518840289</v>
      </c>
      <c r="AG29" s="9">
        <f ca="1">DATOSAÑO!AN28</f>
        <v>2.482000000000455</v>
      </c>
      <c r="AH29" s="11">
        <f ca="1">(AG29*DATOSAÑO!$Z$11)/DATOSAÑO!$Y$11</f>
        <v>4.4722319691422451E-2</v>
      </c>
      <c r="AI29" s="9">
        <f ca="1">DATOSAÑO!BJ28</f>
        <v>4</v>
      </c>
      <c r="AJ29" s="11">
        <f ca="1">(AI29*DATOSAÑO!$Z$11)/DATOSAÑO!$Y$11</f>
        <v>7.2074648978910971E-2</v>
      </c>
      <c r="AK29" s="9">
        <f ca="1">DATOSAÑO!BM28</f>
        <v>0</v>
      </c>
      <c r="AL29" s="11">
        <f ca="1">(AK29*DATOSAÑO!$Z$11)/DATOSAÑO!$Y$11</f>
        <v>0</v>
      </c>
      <c r="AM29" s="9">
        <f ca="1">DATOSAÑO!BP28</f>
        <v>3.4260000000000002</v>
      </c>
      <c r="AN29" s="11">
        <f ca="1">(AM29*DATOSAÑO!$Z$11)/DATOSAÑO!$Y$11</f>
        <v>6.1731936850437243E-2</v>
      </c>
      <c r="AO29" s="9">
        <f ca="1">DATOSAÑO!BW28</f>
        <v>11.086999999999954</v>
      </c>
      <c r="AP29" s="11">
        <f ca="1">(AO29*DATOSAÑO!$Z$11)/DATOSAÑO!$Y$11</f>
        <v>0.19977290830729563</v>
      </c>
      <c r="AQ29" s="9">
        <f ca="1">DATOSAÑO!CC28</f>
        <v>2.5108000000001818</v>
      </c>
      <c r="AR29" s="1348">
        <f ca="1">(AQ29*DATOSAÑO!$Z$11)/DATOSAÑO!$Y$11</f>
        <v>4.5241257164065692E-2</v>
      </c>
      <c r="AS29" s="1384">
        <f t="shared" si="2"/>
        <v>3</v>
      </c>
    </row>
    <row r="30" spans="1:45" ht="16.5" customHeight="1">
      <c r="A30" s="1408">
        <v>44945</v>
      </c>
      <c r="B30" s="1869">
        <v>44945</v>
      </c>
      <c r="C30" s="9">
        <f ca="1">DATOSAÑO!I29</f>
        <v>146</v>
      </c>
      <c r="D30" s="10">
        <f ca="1">DATOSAÑO!$D29</f>
        <v>3.3346533370786524</v>
      </c>
      <c r="E30" s="11">
        <f ca="1">DATOSAÑO!$G29</f>
        <v>0</v>
      </c>
      <c r="F30" s="9">
        <f ca="1">DATOSAÑO!P29</f>
        <v>304</v>
      </c>
      <c r="G30" s="10">
        <f ca="1">DATOSAÑO!K29</f>
        <v>4.5063387303370801</v>
      </c>
      <c r="H30" s="11">
        <f ca="1">DATOSAÑO!N29</f>
        <v>0</v>
      </c>
      <c r="I30" s="9">
        <f ca="1">DATOSAÑO!Q29</f>
        <v>0</v>
      </c>
      <c r="J30" s="11">
        <f ca="1">DATOSAÑO!R29</f>
        <v>0</v>
      </c>
      <c r="K30" s="9">
        <f ca="1">DATOSAÑO!T29</f>
        <v>0</v>
      </c>
      <c r="L30" s="11">
        <f t="shared" ca="1" si="0"/>
        <v>0</v>
      </c>
      <c r="M30" s="9"/>
      <c r="N30" s="11">
        <f t="shared" si="1"/>
        <v>0</v>
      </c>
      <c r="O30" s="9">
        <f>DATOSAÑO!CK29</f>
        <v>0</v>
      </c>
      <c r="P30" s="9">
        <f>DATOSAÑO!CL29</f>
        <v>0</v>
      </c>
      <c r="Q30" s="9">
        <f ca="1">DATOSAÑO!AD29</f>
        <v>170.40000000002328</v>
      </c>
      <c r="R30" s="11">
        <f ca="1">(Q30*DATOSAÑO!$Z$11)/DATOSAÑO!$Y$11</f>
        <v>3.0703800465020268</v>
      </c>
      <c r="S30" s="9">
        <f ca="1">DATOSAÑO!AF29</f>
        <v>142</v>
      </c>
      <c r="T30" s="11">
        <f ca="1">(S30*DATOSAÑO!$Z$11)/DATOSAÑO!$Y$11</f>
        <v>2.5586500387513391</v>
      </c>
      <c r="U30" s="9">
        <f ca="1">DATOSAÑO!AH29</f>
        <v>10.099999999998545</v>
      </c>
      <c r="V30" s="11">
        <f ca="1">(U30*DATOSAÑO!$Z$11)/DATOSAÑO!$Y$11</f>
        <v>0.18198848867172399</v>
      </c>
      <c r="W30" s="9">
        <f ca="1">DATOSAÑO!AI29</f>
        <v>44.400000000001455</v>
      </c>
      <c r="X30" s="11">
        <f ca="1">(W30*DATOSAÑO!$Z$11)/DATOSAÑO!$Y$11</f>
        <v>0.80002860366593798</v>
      </c>
      <c r="Y30" s="9">
        <f ca="1">DATOSAÑO!AJ29</f>
        <v>9.2000000000116415</v>
      </c>
      <c r="Z30" s="11">
        <f ca="1">(Y30*DATOSAÑO!$Z$11)/DATOSAÑO!$Y$11</f>
        <v>0.16577169265170499</v>
      </c>
      <c r="AA30" s="9">
        <f ca="1">DATOSAÑO!AK29</f>
        <v>14.899999999994179</v>
      </c>
      <c r="AB30" s="11">
        <f ca="1">(AA30*DATOSAÑO!$Z$11)/DATOSAÑO!$Y$11</f>
        <v>0.26847806744633845</v>
      </c>
      <c r="AC30" s="9">
        <f ca="1">DATOSAÑO!AL29</f>
        <v>31.199999999971624</v>
      </c>
      <c r="AD30" s="11">
        <f ca="1">(AC30*DATOSAÑO!$Z$11)/DATOSAÑO!$Y$11</f>
        <v>0.56218226203499422</v>
      </c>
      <c r="AE30" s="9">
        <f ca="1">DATOSAÑO!AM29</f>
        <v>8.8319999999995531</v>
      </c>
      <c r="AF30" s="11">
        <f ca="1">(AE30*DATOSAÑO!$Z$11)/DATOSAÑO!$Y$11</f>
        <v>0.15914082494542736</v>
      </c>
      <c r="AG30" s="9">
        <f ca="1">DATOSAÑO!AN29</f>
        <v>2.6119999999999091</v>
      </c>
      <c r="AH30" s="11">
        <f ca="1">(AG30*DATOSAÑO!$Z$11)/DATOSAÑO!$Y$11</f>
        <v>4.7064745783227217E-2</v>
      </c>
      <c r="AI30" s="9">
        <f ca="1">DATOSAÑO!BJ29</f>
        <v>4.2480000000000002</v>
      </c>
      <c r="AJ30" s="11">
        <f ca="1">(AI30*DATOSAÑO!$Z$11)/DATOSAÑO!$Y$11</f>
        <v>7.6543277215603445E-2</v>
      </c>
      <c r="AK30" s="9">
        <f ca="1">DATOSAÑO!BM29</f>
        <v>0</v>
      </c>
      <c r="AL30" s="11">
        <f ca="1">(AK30*DATOSAÑO!$Z$11)/DATOSAÑO!$Y$11</f>
        <v>0</v>
      </c>
      <c r="AM30" s="9">
        <f ca="1">DATOSAÑO!BP29</f>
        <v>3.42</v>
      </c>
      <c r="AN30" s="11">
        <f ca="1">(AM30*DATOSAÑO!$Z$11)/DATOSAÑO!$Y$11</f>
        <v>6.162382487696888E-2</v>
      </c>
      <c r="AO30" s="9">
        <f ca="1">DATOSAÑO!BW29</f>
        <v>11.615999999999595</v>
      </c>
      <c r="AP30" s="11">
        <f ca="1">(AO30*DATOSAÑO!$Z$11)/DATOSAÑO!$Y$11</f>
        <v>0.20930478063475016</v>
      </c>
      <c r="AQ30" s="9">
        <f ca="1">DATOSAÑO!CC29</f>
        <v>2.5327999999999635</v>
      </c>
      <c r="AR30" s="1348">
        <f ca="1">(AQ30*DATOSAÑO!$Z$11)/DATOSAÑO!$Y$11</f>
        <v>4.5637667733445769E-2</v>
      </c>
      <c r="AS30" s="1384">
        <f t="shared" si="2"/>
        <v>3</v>
      </c>
    </row>
    <row r="31" spans="1:45">
      <c r="A31" s="1408">
        <v>44946</v>
      </c>
      <c r="B31" s="1869">
        <v>44946</v>
      </c>
      <c r="C31" s="9">
        <f ca="1">DATOSAÑO!I30</f>
        <v>152</v>
      </c>
      <c r="D31" s="10">
        <f ca="1">DATOSAÑO!$D30</f>
        <v>3.3791477191011241</v>
      </c>
      <c r="E31" s="11">
        <f ca="1">DATOSAÑO!$G30</f>
        <v>0</v>
      </c>
      <c r="F31" s="9">
        <f ca="1">DATOSAÑO!P30</f>
        <v>300</v>
      </c>
      <c r="G31" s="10">
        <f ca="1">DATOSAÑO!K30</f>
        <v>4.4766758089887659</v>
      </c>
      <c r="H31" s="11">
        <f ca="1">DATOSAÑO!N30</f>
        <v>0</v>
      </c>
      <c r="I31" s="9">
        <f ca="1">DATOSAÑO!Q30</f>
        <v>0</v>
      </c>
      <c r="J31" s="11">
        <f ca="1">DATOSAÑO!R30</f>
        <v>0</v>
      </c>
      <c r="K31" s="9">
        <f ca="1">DATOSAÑO!T30</f>
        <v>0</v>
      </c>
      <c r="L31" s="11">
        <f t="shared" ca="1" si="0"/>
        <v>0</v>
      </c>
      <c r="M31" s="9"/>
      <c r="N31" s="11">
        <f t="shared" si="1"/>
        <v>0</v>
      </c>
      <c r="O31" s="9">
        <f>DATOSAÑO!CK30</f>
        <v>0</v>
      </c>
      <c r="P31" s="9">
        <f>DATOSAÑO!CL30</f>
        <v>0</v>
      </c>
      <c r="Q31" s="9">
        <f ca="1">DATOSAÑO!AD30</f>
        <v>168.59999999997672</v>
      </c>
      <c r="R31" s="11">
        <f ca="1">(Q31*DATOSAÑO!$Z$11)/DATOSAÑO!$Y$11</f>
        <v>3.0379464544606778</v>
      </c>
      <c r="S31" s="9">
        <f ca="1">DATOSAÑO!AF30</f>
        <v>141</v>
      </c>
      <c r="T31" s="11">
        <f ca="1">(S31*DATOSAÑO!$Z$11)/DATOSAÑO!$Y$11</f>
        <v>2.540631376506612</v>
      </c>
      <c r="U31" s="9">
        <f ca="1">DATOSAÑO!AH30</f>
        <v>11.5</v>
      </c>
      <c r="V31" s="11">
        <f ca="1">(U31*DATOSAÑO!$Z$11)/DATOSAÑO!$Y$11</f>
        <v>0.20721461581436901</v>
      </c>
      <c r="W31" s="9">
        <f ca="1">DATOSAÑO!AI30</f>
        <v>44.099999999998545</v>
      </c>
      <c r="X31" s="11">
        <f ca="1">(W31*DATOSAÑO!$Z$11)/DATOSAÑO!$Y$11</f>
        <v>0.79462300499246719</v>
      </c>
      <c r="Y31" s="9">
        <f ca="1">DATOSAÑO!AJ30</f>
        <v>8.5999999999912689</v>
      </c>
      <c r="Z31" s="11">
        <f ca="1">(Y31*DATOSAÑO!$Z$11)/DATOSAÑO!$Y$11</f>
        <v>0.15496049530450123</v>
      </c>
      <c r="AA31" s="9">
        <f ca="1">DATOSAÑO!AK30</f>
        <v>15.300000000017462</v>
      </c>
      <c r="AB31" s="11">
        <f ca="1">(AA31*DATOSAÑO!$Z$11)/DATOSAÑO!$Y$11</f>
        <v>0.2756855323446491</v>
      </c>
      <c r="AC31" s="9">
        <f ca="1">DATOSAÑO!AL30</f>
        <v>33.900000000016007</v>
      </c>
      <c r="AD31" s="11">
        <f ca="1">(AC31*DATOSAÑO!$Z$11)/DATOSAÑO!$Y$11</f>
        <v>0.61083265009655896</v>
      </c>
      <c r="AE31" s="9">
        <f ca="1">DATOSAÑO!AM30</f>
        <v>15</v>
      </c>
      <c r="AF31" s="11">
        <f ca="1">(AE31*DATOSAÑO!$Z$11)/DATOSAÑO!$Y$11</f>
        <v>0.27027993367091613</v>
      </c>
      <c r="AG31" s="9">
        <f ca="1">DATOSAÑO!AN30</f>
        <v>2.508</v>
      </c>
      <c r="AH31" s="11">
        <f ca="1">(AG31*DATOSAÑO!$Z$11)/DATOSAÑO!$Y$11</f>
        <v>4.5190804909777178E-2</v>
      </c>
      <c r="AI31" s="9">
        <f ca="1">DATOSAÑO!BJ30</f>
        <v>2.4E-2</v>
      </c>
      <c r="AJ31" s="11">
        <f ca="1">(AI31*DATOSAÑO!$Z$11)/DATOSAÑO!$Y$11</f>
        <v>4.3244789387346583E-4</v>
      </c>
      <c r="AK31" s="9">
        <f ca="1">DATOSAÑO!BM30</f>
        <v>0</v>
      </c>
      <c r="AL31" s="11">
        <f ca="1">(AK31*DATOSAÑO!$Z$11)/DATOSAÑO!$Y$11</f>
        <v>0</v>
      </c>
      <c r="AM31" s="9">
        <f ca="1">DATOSAÑO!BP30</f>
        <v>3.476</v>
      </c>
      <c r="AN31" s="11">
        <f ca="1">(AM31*DATOSAÑO!$Z$11)/DATOSAÑO!$Y$11</f>
        <v>6.2632869962673629E-2</v>
      </c>
      <c r="AO31" s="9">
        <f ca="1">DATOSAÑO!BW30</f>
        <v>14</v>
      </c>
      <c r="AP31" s="11">
        <f ca="1">(AO31*DATOSAÑO!$Z$11)/DATOSAÑO!$Y$11</f>
        <v>0.25226127142618837</v>
      </c>
      <c r="AQ31" s="9">
        <f ca="1">DATOSAÑO!CC30</f>
        <v>2.4952000000000001</v>
      </c>
      <c r="AR31" s="1348">
        <f ca="1">(AQ31*DATOSAÑO!$Z$11)/DATOSAÑO!$Y$11</f>
        <v>4.4960166033044667E-2</v>
      </c>
      <c r="AS31" s="1384">
        <f t="shared" si="2"/>
        <v>3</v>
      </c>
    </row>
    <row r="32" spans="1:45" ht="16.5" customHeight="1">
      <c r="A32" s="1408">
        <v>44947</v>
      </c>
      <c r="B32" s="1869">
        <v>44947</v>
      </c>
      <c r="C32" s="9">
        <f ca="1">DATOSAÑO!I31</f>
        <v>150</v>
      </c>
      <c r="D32" s="10">
        <f ca="1">DATOSAÑO!$D31</f>
        <v>3.3643162584269666</v>
      </c>
      <c r="E32" s="11">
        <f ca="1">DATOSAÑO!$G31</f>
        <v>0</v>
      </c>
      <c r="F32" s="9">
        <f ca="1">DATOSAÑO!P31</f>
        <v>300</v>
      </c>
      <c r="G32" s="10">
        <f ca="1">DATOSAÑO!K31</f>
        <v>4.4766758089887659</v>
      </c>
      <c r="H32" s="11">
        <f ca="1">DATOSAÑO!N31</f>
        <v>0</v>
      </c>
      <c r="I32" s="9">
        <f ca="1">DATOSAÑO!Q31</f>
        <v>0</v>
      </c>
      <c r="J32" s="11">
        <f ca="1">DATOSAÑO!R31</f>
        <v>0</v>
      </c>
      <c r="K32" s="9">
        <f ca="1">DATOSAÑO!T31</f>
        <v>0</v>
      </c>
      <c r="L32" s="11">
        <f t="shared" ca="1" si="0"/>
        <v>0</v>
      </c>
      <c r="M32" s="9"/>
      <c r="N32" s="11">
        <f t="shared" si="1"/>
        <v>0</v>
      </c>
      <c r="O32" s="9">
        <f>DATOSAÑO!CK31</f>
        <v>0</v>
      </c>
      <c r="P32" s="9">
        <f>DATOSAÑO!CL31</f>
        <v>0</v>
      </c>
      <c r="Q32" s="9">
        <f ca="1">DATOSAÑO!AD31</f>
        <v>170</v>
      </c>
      <c r="R32" s="11">
        <f ca="1">(Q32*DATOSAÑO!$Z$11)/DATOSAÑO!$Y$11</f>
        <v>3.0631725816037165</v>
      </c>
      <c r="S32" s="9">
        <f ca="1">DATOSAÑO!AF31</f>
        <v>143</v>
      </c>
      <c r="T32" s="11">
        <f ca="1">(S32*DATOSAÑO!$Z$11)/DATOSAÑO!$Y$11</f>
        <v>2.5766687009960672</v>
      </c>
      <c r="U32" s="9">
        <f ca="1">DATOSAÑO!AH31</f>
        <v>9.8000000000029104</v>
      </c>
      <c r="V32" s="11">
        <f ca="1">(U32*DATOSAÑO!$Z$11)/DATOSAÑO!$Y$11</f>
        <v>0.17658288999838434</v>
      </c>
      <c r="W32" s="9">
        <f ca="1">DATOSAÑO!AI31</f>
        <v>42.899999999994179</v>
      </c>
      <c r="X32" s="11">
        <f ca="1">(W32*DATOSAÑO!$Z$11)/DATOSAÑO!$Y$11</f>
        <v>0.77300061029871525</v>
      </c>
      <c r="Y32" s="9">
        <f ca="1">DATOSAÑO!AJ31</f>
        <v>9.1000000000058208</v>
      </c>
      <c r="Z32" s="11">
        <f ca="1">(Y32*DATOSAÑO!$Z$11)/DATOSAÑO!$Y$11</f>
        <v>0.16396982642712732</v>
      </c>
      <c r="AA32" s="9">
        <f ca="1">DATOSAÑO!AK31</f>
        <v>14.899999999994179</v>
      </c>
      <c r="AB32" s="11">
        <f ca="1">(AA32*DATOSAÑO!$Z$11)/DATOSAÑO!$Y$11</f>
        <v>0.26847806744633845</v>
      </c>
      <c r="AC32" s="9">
        <f ca="1">DATOSAÑO!AL31</f>
        <v>33.100000000002183</v>
      </c>
      <c r="AD32" s="11">
        <f ca="1">(AC32*DATOSAÑO!$Z$11)/DATOSAÑO!$Y$11</f>
        <v>0.59641772030052753</v>
      </c>
      <c r="AE32" s="9">
        <f ca="1">DATOSAÑO!AM31</f>
        <v>9.8505000000009897</v>
      </c>
      <c r="AF32" s="11">
        <f ca="1">(AE32*DATOSAÑO!$Z$11)/DATOSAÑO!$Y$11</f>
        <v>0.17749283244170846</v>
      </c>
      <c r="AG32" s="9">
        <f ca="1">DATOSAÑO!AN31</f>
        <v>2.6099999999999088</v>
      </c>
      <c r="AH32" s="11">
        <f ca="1">(AG32*DATOSAÑO!$Z$11)/DATOSAÑO!$Y$11</f>
        <v>4.7028708458737759E-2</v>
      </c>
      <c r="AI32" s="9">
        <f ca="1">DATOSAÑO!BJ31</f>
        <v>1.6065</v>
      </c>
      <c r="AJ32" s="11">
        <f ca="1">(AI32*DATOSAÑO!$Z$11)/DATOSAÑO!$Y$11</f>
        <v>2.8946980896155119E-2</v>
      </c>
      <c r="AK32" s="9">
        <f ca="1">DATOSAÑO!BM31</f>
        <v>1.9890000000000001</v>
      </c>
      <c r="AL32" s="11">
        <f ca="1">(AK32*DATOSAÑO!$Z$11)/DATOSAÑO!$Y$11</f>
        <v>3.583911920476348E-2</v>
      </c>
      <c r="AM32" s="9">
        <f ca="1">DATOSAÑO!BP31</f>
        <v>3.4540000000000002</v>
      </c>
      <c r="AN32" s="11">
        <f ca="1">(AM32*DATOSAÑO!$Z$11)/DATOSAÑO!$Y$11</f>
        <v>6.2236459393289624E-2</v>
      </c>
      <c r="AO32" s="9">
        <f ca="1">DATOSAÑO!BW31</f>
        <v>11.125250000000314</v>
      </c>
      <c r="AP32" s="11">
        <f ca="1">(AO32*DATOSAÑO!$Z$11)/DATOSAÑO!$Y$11</f>
        <v>0.20046212213816295</v>
      </c>
      <c r="AQ32" s="9">
        <f ca="1">DATOSAÑO!CC31</f>
        <v>2.5339999999999634</v>
      </c>
      <c r="AR32" s="1348">
        <f ca="1">(AQ32*DATOSAÑO!$Z$11)/DATOSAÑO!$Y$11</f>
        <v>4.5659290128139435E-2</v>
      </c>
      <c r="AS32" s="1384">
        <f t="shared" si="2"/>
        <v>3</v>
      </c>
    </row>
    <row r="33" spans="1:45">
      <c r="A33" s="1408">
        <v>44948</v>
      </c>
      <c r="B33" s="1869">
        <v>44948</v>
      </c>
      <c r="C33" s="9">
        <f ca="1">DATOSAÑO!I32</f>
        <v>152</v>
      </c>
      <c r="D33" s="10">
        <f ca="1">DATOSAÑO!$D32</f>
        <v>3.3791477191011241</v>
      </c>
      <c r="E33" s="11">
        <f ca="1">DATOSAÑO!$G32</f>
        <v>0</v>
      </c>
      <c r="F33" s="9">
        <f ca="1">DATOSAÑO!P32</f>
        <v>294</v>
      </c>
      <c r="G33" s="10">
        <f ca="1">DATOSAÑO!K32</f>
        <v>4.4321814269662934</v>
      </c>
      <c r="H33" s="11">
        <f ca="1">DATOSAÑO!N32</f>
        <v>0</v>
      </c>
      <c r="I33" s="9">
        <f ca="1">DATOSAÑO!Q32</f>
        <v>0</v>
      </c>
      <c r="J33" s="11">
        <f ca="1">DATOSAÑO!R32</f>
        <v>0</v>
      </c>
      <c r="K33" s="9">
        <f ca="1">DATOSAÑO!T32</f>
        <v>0</v>
      </c>
      <c r="L33" s="11">
        <f t="shared" ca="1" si="0"/>
        <v>0</v>
      </c>
      <c r="M33" s="9"/>
      <c r="N33" s="11">
        <f t="shared" si="1"/>
        <v>0</v>
      </c>
      <c r="O33" s="9">
        <f>DATOSAÑO!CK32</f>
        <v>0</v>
      </c>
      <c r="P33" s="9">
        <f>DATOSAÑO!CL32</f>
        <v>0</v>
      </c>
      <c r="Q33" s="9">
        <f ca="1">DATOSAÑO!AD32</f>
        <v>166</v>
      </c>
      <c r="R33" s="11">
        <f ca="1">(Q33*DATOSAÑO!$Z$11)/DATOSAÑO!$Y$11</f>
        <v>2.9910979326248053</v>
      </c>
      <c r="S33" s="9">
        <f ca="1">DATOSAÑO!AF32</f>
        <v>144</v>
      </c>
      <c r="T33" s="11">
        <f ca="1">(S33*DATOSAÑO!$Z$11)/DATOSAÑO!$Y$11</f>
        <v>2.5946873632407947</v>
      </c>
      <c r="U33" s="9">
        <f ca="1">DATOSAÑO!AH32</f>
        <v>13.5</v>
      </c>
      <c r="V33" s="11">
        <f ca="1">(U33*DATOSAÑO!$Z$11)/DATOSAÑO!$Y$11</f>
        <v>0.24325194030382452</v>
      </c>
      <c r="W33" s="9">
        <f ca="1">DATOSAÑO!AI32</f>
        <v>38.700000000004366</v>
      </c>
      <c r="X33" s="11">
        <f ca="1">(W33*DATOSAÑO!$Z$11)/DATOSAÑO!$Y$11</f>
        <v>0.69732222887104223</v>
      </c>
      <c r="Y33" s="9">
        <f ca="1">DATOSAÑO!AJ32</f>
        <v>8.3999999999941792</v>
      </c>
      <c r="Z33" s="11">
        <f ca="1">(Y33*DATOSAÑO!$Z$11)/DATOSAÑO!$Y$11</f>
        <v>0.15135676285560815</v>
      </c>
      <c r="AA33" s="9">
        <f ca="1">DATOSAÑO!AK32</f>
        <v>15.200000000011642</v>
      </c>
      <c r="AB33" s="11">
        <f ca="1">(AA33*DATOSAÑO!$Z$11)/DATOSAÑO!$Y$11</f>
        <v>0.27388366612007142</v>
      </c>
      <c r="AC33" s="9">
        <f ca="1">DATOSAÑO!AL32</f>
        <v>32.999999999990905</v>
      </c>
      <c r="AD33" s="11">
        <f ca="1">(AC33*DATOSAÑO!$Z$11)/DATOSAÑO!$Y$11</f>
        <v>0.5946158540758516</v>
      </c>
      <c r="AE33" s="9">
        <f ca="1">DATOSAÑO!AM32</f>
        <v>8.4679999999988169</v>
      </c>
      <c r="AF33" s="11">
        <f ca="1">(AE33*DATOSAÑO!$Z$11)/DATOSAÑO!$Y$11</f>
        <v>0.15258203188833319</v>
      </c>
      <c r="AG33" s="9">
        <f ca="1">DATOSAÑO!AN32</f>
        <v>2.5539999999999088</v>
      </c>
      <c r="AH33" s="11">
        <f ca="1">(AG33*DATOSAÑO!$Z$11)/DATOSAÑO!$Y$11</f>
        <v>4.601966337303301E-2</v>
      </c>
      <c r="AI33" s="9">
        <f ca="1">DATOSAÑO!BJ32</f>
        <v>0</v>
      </c>
      <c r="AJ33" s="11">
        <f ca="1">(AI33*DATOSAÑO!$Z$11)/DATOSAÑO!$Y$11</f>
        <v>0</v>
      </c>
      <c r="AK33" s="9">
        <f ca="1">DATOSAÑO!BM32</f>
        <v>4.7</v>
      </c>
      <c r="AL33" s="11">
        <f ca="1">(AK33*DATOSAÑO!$Z$11)/DATOSAÑO!$Y$11</f>
        <v>8.4687712550220381E-2</v>
      </c>
      <c r="AM33" s="9">
        <f ca="1">DATOSAÑO!BP32</f>
        <v>3.6320000000000001</v>
      </c>
      <c r="AN33" s="11">
        <f ca="1">(AM33*DATOSAÑO!$Z$11)/DATOSAÑO!$Y$11</f>
        <v>6.5443781272851165E-2</v>
      </c>
      <c r="AO33" s="9">
        <f ca="1">DATOSAÑO!BW32</f>
        <v>10.53399999999959</v>
      </c>
      <c r="AP33" s="11">
        <f ca="1">(AO33*DATOSAÑO!$Z$11)/DATOSAÑO!$Y$11</f>
        <v>0.18980858808595466</v>
      </c>
      <c r="AQ33" s="9">
        <f ca="1">DATOSAÑO!CC32</f>
        <v>2.5675999999999637</v>
      </c>
      <c r="AR33" s="1348">
        <f ca="1">(AQ33*DATOSAÑO!$Z$11)/DATOSAÑO!$Y$11</f>
        <v>4.6264717179562292E-2</v>
      </c>
      <c r="AS33" s="1384">
        <f t="shared" si="2"/>
        <v>4</v>
      </c>
    </row>
    <row r="34" spans="1:45" ht="16.5" customHeight="1">
      <c r="A34" s="1408">
        <v>44949</v>
      </c>
      <c r="B34" s="1869">
        <v>44949</v>
      </c>
      <c r="C34" s="9">
        <f ca="1">DATOSAÑO!I33</f>
        <v>152</v>
      </c>
      <c r="D34" s="10">
        <f ca="1">DATOSAÑO!$D33</f>
        <v>3.3791477191011241</v>
      </c>
      <c r="E34" s="11">
        <f ca="1">DATOSAÑO!$G33</f>
        <v>0</v>
      </c>
      <c r="F34" s="9">
        <f ca="1">DATOSAÑO!P33</f>
        <v>294</v>
      </c>
      <c r="G34" s="10">
        <f ca="1">DATOSAÑO!K33</f>
        <v>4.4321814269662934</v>
      </c>
      <c r="H34" s="11">
        <f ca="1">DATOSAÑO!N33</f>
        <v>0</v>
      </c>
      <c r="I34" s="9">
        <f ca="1">DATOSAÑO!Q33</f>
        <v>0</v>
      </c>
      <c r="J34" s="11">
        <f ca="1">DATOSAÑO!R33</f>
        <v>0</v>
      </c>
      <c r="K34" s="9">
        <f ca="1">DATOSAÑO!T33</f>
        <v>0</v>
      </c>
      <c r="L34" s="11">
        <f t="shared" ca="1" si="0"/>
        <v>0</v>
      </c>
      <c r="M34" s="9"/>
      <c r="N34" s="11">
        <f t="shared" si="1"/>
        <v>0</v>
      </c>
      <c r="O34" s="9">
        <f>DATOSAÑO!CK33</f>
        <v>0</v>
      </c>
      <c r="P34" s="9">
        <f>DATOSAÑO!CL33</f>
        <v>0</v>
      </c>
      <c r="Q34" s="9">
        <f ca="1">DATOSAÑO!AD33</f>
        <v>168</v>
      </c>
      <c r="R34" s="11">
        <f ca="1">(Q34*DATOSAÑO!$Z$11)/DATOSAÑO!$Y$11</f>
        <v>3.0271352571142609</v>
      </c>
      <c r="S34" s="9">
        <f ca="1">DATOSAÑO!AF33</f>
        <v>142</v>
      </c>
      <c r="T34" s="11">
        <f ca="1">(S34*DATOSAÑO!$Z$11)/DATOSAÑO!$Y$11</f>
        <v>2.5586500387513391</v>
      </c>
      <c r="U34" s="9">
        <f ca="1">DATOSAÑO!AH33</f>
        <v>9.9000000000014552</v>
      </c>
      <c r="V34" s="11">
        <f ca="1">(U34*DATOSAÑO!$Z$11)/DATOSAÑO!$Y$11</f>
        <v>0.17838475622283087</v>
      </c>
      <c r="W34" s="9">
        <f ca="1">DATOSAÑO!AI33</f>
        <v>39.599999999998545</v>
      </c>
      <c r="X34" s="11">
        <f ca="1">(W34*DATOSAÑO!$Z$11)/DATOSAÑO!$Y$11</f>
        <v>0.71353902489119236</v>
      </c>
      <c r="Y34" s="9">
        <f ca="1">DATOSAÑO!AJ33</f>
        <v>8.9000000000087311</v>
      </c>
      <c r="Z34" s="11">
        <f ca="1">(Y34*DATOSAÑO!$Z$11)/DATOSAÑO!$Y$11</f>
        <v>0.1603660939782342</v>
      </c>
      <c r="AA34" s="9">
        <f ca="1">DATOSAÑO!AK33</f>
        <v>14.699999999982538</v>
      </c>
      <c r="AB34" s="11">
        <f ca="1">(AA34*DATOSAÑO!$Z$11)/DATOSAÑO!$Y$11</f>
        <v>0.26487433499718316</v>
      </c>
      <c r="AC34" s="9">
        <f ca="1">DATOSAÑO!AL33</f>
        <v>33.600000000007583</v>
      </c>
      <c r="AD34" s="11">
        <f ca="1">(AC34*DATOSAÑO!$Z$11)/DATOSAÑO!$Y$11</f>
        <v>0.6054270514229888</v>
      </c>
      <c r="AE34" s="9">
        <f ca="1">DATOSAÑO!AM33</f>
        <v>12.534000000001093</v>
      </c>
      <c r="AF34" s="11">
        <f ca="1">(AE34*DATOSAÑO!$Z$11)/DATOSAÑO!$Y$11</f>
        <v>0.22584591257543724</v>
      </c>
      <c r="AG34" s="9">
        <f ca="1">DATOSAÑO!AN33</f>
        <v>0.67599999999981808</v>
      </c>
      <c r="AH34" s="11">
        <f ca="1">(AG34*DATOSAÑO!$Z$11)/DATOSAÑO!$Y$11</f>
        <v>1.2180615677432675E-2</v>
      </c>
      <c r="AI34" s="9">
        <f ca="1">DATOSAÑO!BJ33</f>
        <v>0</v>
      </c>
      <c r="AJ34" s="11">
        <f ca="1">(AI34*DATOSAÑO!$Z$11)/DATOSAÑO!$Y$11</f>
        <v>0</v>
      </c>
      <c r="AK34" s="9">
        <f ca="1">DATOSAÑO!BM33</f>
        <v>4.6100000000000003</v>
      </c>
      <c r="AL34" s="11">
        <f ca="1">(AK34*DATOSAÑO!$Z$11)/DATOSAÑO!$Y$11</f>
        <v>8.3066032948194896E-2</v>
      </c>
      <c r="AM34" s="9">
        <f ca="1">DATOSAÑO!BP33</f>
        <v>3.6560000000000001</v>
      </c>
      <c r="AN34" s="11">
        <f ca="1">(AM34*DATOSAÑO!$Z$11)/DATOSAÑO!$Y$11</f>
        <v>6.5876229166724629E-2</v>
      </c>
      <c r="AO34" s="9">
        <f ca="1">DATOSAÑO!BW33</f>
        <v>12.567000000000728</v>
      </c>
      <c r="AP34" s="11">
        <f ca="1">(AO34*DATOSAÑO!$Z$11)/DATOSAÑO!$Y$11</f>
        <v>0.22644052842950665</v>
      </c>
      <c r="AQ34" s="9">
        <f ca="1">DATOSAÑO!CC33</f>
        <v>1.7943999999999272</v>
      </c>
      <c r="AR34" s="1348">
        <f ca="1">(AQ34*DATOSAÑO!$Z$11)/DATOSAÑO!$Y$11</f>
        <v>3.2332687531938145E-2</v>
      </c>
      <c r="AS34" s="1384">
        <f t="shared" si="2"/>
        <v>4</v>
      </c>
    </row>
    <row r="35" spans="1:45">
      <c r="A35" s="1408">
        <v>44950</v>
      </c>
      <c r="B35" s="1869">
        <v>44950</v>
      </c>
      <c r="C35" s="9">
        <f ca="1">DATOSAÑO!I34</f>
        <v>225</v>
      </c>
      <c r="D35" s="10">
        <f ca="1">DATOSAÑO!$D34</f>
        <v>3.9204960337078663</v>
      </c>
      <c r="E35" s="11">
        <f ca="1">DATOSAÑO!$G34</f>
        <v>0</v>
      </c>
      <c r="F35" s="9">
        <f ca="1">DATOSAÑO!P34</f>
        <v>206</v>
      </c>
      <c r="G35" s="10">
        <f ca="1">DATOSAÑO!K34</f>
        <v>3.779597157303372</v>
      </c>
      <c r="H35" s="11">
        <f ca="1">DATOSAÑO!N34</f>
        <v>0</v>
      </c>
      <c r="I35" s="9">
        <f ca="1">DATOSAÑO!Q34</f>
        <v>0.33899999999994179</v>
      </c>
      <c r="J35" s="11">
        <f ca="1">DATOSAÑO!R34</f>
        <v>40.679999999993015</v>
      </c>
      <c r="K35" s="9">
        <f ca="1">DATOSAÑO!T34</f>
        <v>0.32000000000005002</v>
      </c>
      <c r="L35" s="11">
        <f t="shared" ca="1" si="0"/>
        <v>38.400000000006003</v>
      </c>
      <c r="M35" s="9"/>
      <c r="N35" s="11">
        <f t="shared" si="1"/>
        <v>0</v>
      </c>
      <c r="O35" s="9">
        <f>DATOSAÑO!CK34</f>
        <v>1</v>
      </c>
      <c r="P35" s="9">
        <f>DATOSAÑO!CL34</f>
        <v>1</v>
      </c>
      <c r="Q35" s="9">
        <f ca="1">DATOSAÑO!AD34</f>
        <v>162</v>
      </c>
      <c r="R35" s="11">
        <f ca="1">(Q35*DATOSAÑO!$Z$11)/DATOSAÑO!$Y$11</f>
        <v>2.919023283645894</v>
      </c>
      <c r="S35" s="9">
        <f ca="1">DATOSAÑO!AF34</f>
        <v>141</v>
      </c>
      <c r="T35" s="11">
        <f ca="1">(S35*DATOSAÑO!$Z$11)/DATOSAÑO!$Y$11</f>
        <v>2.540631376506612</v>
      </c>
      <c r="U35" s="9">
        <f ca="1">DATOSAÑO!AH34</f>
        <v>7.8999999999941792</v>
      </c>
      <c r="V35" s="11">
        <f ca="1">(U35*DATOSAÑO!$Z$11)/DATOSAÑO!$Y$11</f>
        <v>0.14234743173324427</v>
      </c>
      <c r="W35" s="9">
        <f ca="1">DATOSAÑO!AI34</f>
        <v>36.80000000000291</v>
      </c>
      <c r="X35" s="11">
        <f ca="1">(W35*DATOSAÑO!$Z$11)/DATOSAÑO!$Y$11</f>
        <v>0.66308677060603327</v>
      </c>
      <c r="Y35" s="9">
        <f ca="1">DATOSAÑO!AJ34</f>
        <v>9</v>
      </c>
      <c r="Z35" s="11">
        <f ca="1">(Y35*DATOSAÑO!$Z$11)/DATOSAÑO!$Y$11</f>
        <v>0.16216796020254967</v>
      </c>
      <c r="AA35" s="9">
        <f ca="1">DATOSAÑO!AK34</f>
        <v>13.899999999994179</v>
      </c>
      <c r="AB35" s="11">
        <f ca="1">(AA35*DATOSAÑO!$Z$11)/DATOSAÑO!$Y$11</f>
        <v>0.25045940520161075</v>
      </c>
      <c r="AC35" s="9">
        <f ca="1">DATOSAÑO!AL34</f>
        <v>34.15900000000903</v>
      </c>
      <c r="AD35" s="11">
        <f ca="1">(AC35*DATOSAÑO!$Z$11)/DATOSAÑO!$Y$11</f>
        <v>0.61549948361781759</v>
      </c>
      <c r="AE35" s="9">
        <f ca="1">DATOSAÑO!AM34</f>
        <v>5.9879999999989177</v>
      </c>
      <c r="AF35" s="11">
        <f ca="1">(AE35*DATOSAÑO!$Z$11)/DATOSAÑO!$Y$11</f>
        <v>0.10789574952141022</v>
      </c>
      <c r="AG35" s="9">
        <f ca="1">DATOSAÑO!AN34</f>
        <v>5.0860000000003556</v>
      </c>
      <c r="AH35" s="11">
        <f ca="1">(AG35*DATOSAÑO!$Z$11)/DATOSAÑO!$Y$11</f>
        <v>9.1642916176691694E-2</v>
      </c>
      <c r="AI35" s="9">
        <f ca="1">DATOSAÑO!BJ34</f>
        <v>0</v>
      </c>
      <c r="AJ35" s="11">
        <f ca="1">(AI35*DATOSAÑO!$Z$11)/DATOSAÑO!$Y$11</f>
        <v>0</v>
      </c>
      <c r="AK35" s="9">
        <f ca="1">DATOSAÑO!BM34</f>
        <v>4.593</v>
      </c>
      <c r="AL35" s="11">
        <f ca="1">(AK35*DATOSAÑO!$Z$11)/DATOSAÑO!$Y$11</f>
        <v>8.2759715690034527E-2</v>
      </c>
      <c r="AM35" s="9">
        <f ca="1">DATOSAÑO!BP34</f>
        <v>3.5790000000000002</v>
      </c>
      <c r="AN35" s="11">
        <f ca="1">(AM35*DATOSAÑO!$Z$11)/DATOSAÑO!$Y$11</f>
        <v>6.4488792173880594E-2</v>
      </c>
      <c r="AO35" s="9">
        <f ca="1">DATOSAÑO!BW34</f>
        <v>9.0939999999998236</v>
      </c>
      <c r="AP35" s="11">
        <f ca="1">(AO35*DATOSAÑO!$Z$11)/DATOSAÑO!$Y$11</f>
        <v>0.16386171445355091</v>
      </c>
      <c r="AQ35" s="9">
        <f ca="1">DATOSAÑO!CC34</f>
        <v>3.5884000000001421</v>
      </c>
      <c r="AR35" s="1348">
        <f ca="1">(AQ35*DATOSAÑO!$Z$11)/DATOSAÑO!$Y$11</f>
        <v>6.4658167598983587E-2</v>
      </c>
      <c r="AS35" s="1384">
        <f t="shared" si="2"/>
        <v>4</v>
      </c>
    </row>
    <row r="36" spans="1:45" ht="16.5" customHeight="1">
      <c r="A36" s="1408">
        <v>44951</v>
      </c>
      <c r="B36" s="1869">
        <v>44951</v>
      </c>
      <c r="C36" s="9">
        <f ca="1">DATOSAÑO!I35</f>
        <v>295</v>
      </c>
      <c r="D36" s="10">
        <f ca="1">DATOSAÑO!$D35</f>
        <v>4.4395971573033721</v>
      </c>
      <c r="E36" s="11">
        <f ca="1">DATOSAÑO!$G35</f>
        <v>0</v>
      </c>
      <c r="F36" s="9">
        <f ca="1">DATOSAÑO!P35</f>
        <v>151.29999999999927</v>
      </c>
      <c r="G36" s="10">
        <f ca="1">DATOSAÑO!K35</f>
        <v>3.3739567078651636</v>
      </c>
      <c r="H36" s="11">
        <f ca="1">DATOSAÑO!N35</f>
        <v>0</v>
      </c>
      <c r="I36" s="9">
        <f ca="1">DATOSAÑO!Q35</f>
        <v>0</v>
      </c>
      <c r="J36" s="11">
        <f ca="1">DATOSAÑO!R35</f>
        <v>0</v>
      </c>
      <c r="K36" s="9">
        <f ca="1">DATOSAÑO!T35</f>
        <v>0</v>
      </c>
      <c r="L36" s="11">
        <f t="shared" ca="1" si="0"/>
        <v>0</v>
      </c>
      <c r="M36" s="9"/>
      <c r="N36" s="11">
        <f t="shared" si="1"/>
        <v>0</v>
      </c>
      <c r="O36" s="9">
        <f>DATOSAÑO!CK35</f>
        <v>0</v>
      </c>
      <c r="P36" s="9">
        <f>DATOSAÑO!CL35</f>
        <v>0</v>
      </c>
      <c r="Q36" s="9">
        <f ca="1">DATOSAÑO!AD35</f>
        <v>167</v>
      </c>
      <c r="R36" s="11">
        <f ca="1">(Q36*DATOSAÑO!$Z$11)/DATOSAÑO!$Y$11</f>
        <v>3.0091165948695329</v>
      </c>
      <c r="S36" s="9">
        <f ca="1">DATOSAÑO!AF35</f>
        <v>143</v>
      </c>
      <c r="T36" s="11">
        <f ca="1">(S36*DATOSAÑO!$Z$11)/DATOSAÑO!$Y$11</f>
        <v>2.5766687009960672</v>
      </c>
      <c r="U36" s="9">
        <f ca="1">DATOSAÑO!AH35</f>
        <v>13.30000000000291</v>
      </c>
      <c r="V36" s="11">
        <f ca="1">(U36*DATOSAÑO!$Z$11)/DATOSAÑO!$Y$11</f>
        <v>0.23964820785493143</v>
      </c>
      <c r="W36" s="9">
        <f ca="1">DATOSAÑO!AI35</f>
        <v>38</v>
      </c>
      <c r="X36" s="11">
        <f ca="1">(W36*DATOSAÑO!$Z$11)/DATOSAÑO!$Y$11</f>
        <v>0.6847091652996542</v>
      </c>
      <c r="Y36" s="9">
        <f ca="1">DATOSAÑO!AJ35</f>
        <v>9</v>
      </c>
      <c r="Z36" s="11">
        <f ca="1">(Y36*DATOSAÑO!$Z$11)/DATOSAÑO!$Y$11</f>
        <v>0.16216796020254967</v>
      </c>
      <c r="AA36" s="9">
        <f ca="1">DATOSAÑO!AK35</f>
        <v>15.700000000011642</v>
      </c>
      <c r="AB36" s="11">
        <f ca="1">(AA36*DATOSAÑO!$Z$11)/DATOSAÑO!$Y$11</f>
        <v>0.28289299724243533</v>
      </c>
      <c r="AC36" s="9">
        <f ca="1">DATOSAÑO!AL35</f>
        <v>31.699999999984357</v>
      </c>
      <c r="AD36" s="11">
        <f ca="1">(AC36*DATOSAÑO!$Z$11)/DATOSAÑO!$Y$11</f>
        <v>0.57119159315758761</v>
      </c>
      <c r="AE36" s="9">
        <f ca="1">DATOSAÑO!AM35</f>
        <v>10.217000000000453</v>
      </c>
      <c r="AF36" s="11">
        <f ca="1">(AE36*DATOSAÑO!$Z$11)/DATOSAÑO!$Y$11</f>
        <v>0.18409667215439152</v>
      </c>
      <c r="AG36" s="9">
        <f ca="1">DATOSAÑO!AN35</f>
        <v>2.3770000000000913</v>
      </c>
      <c r="AH36" s="11">
        <f ca="1">(AG36*DATOSAÑO!$Z$11)/DATOSAÑO!$Y$11</f>
        <v>4.2830360155719491E-2</v>
      </c>
      <c r="AI36" s="9">
        <f ca="1">DATOSAÑO!BJ35</f>
        <v>0</v>
      </c>
      <c r="AJ36" s="11">
        <f ca="1">(AI36*DATOSAÑO!$Z$11)/DATOSAÑO!$Y$11</f>
        <v>0</v>
      </c>
      <c r="AK36" s="9">
        <f ca="1">DATOSAÑO!BM35</f>
        <v>4.641</v>
      </c>
      <c r="AL36" s="11">
        <f ca="1">(AK36*DATOSAÑO!$Z$11)/DATOSAÑO!$Y$11</f>
        <v>8.3624611477781455E-2</v>
      </c>
      <c r="AM36" s="9">
        <f ca="1">DATOSAÑO!BP35</f>
        <v>3.6419999999999999</v>
      </c>
      <c r="AN36" s="11">
        <f ca="1">(AM36*DATOSAÑO!$Z$11)/DATOSAÑO!$Y$11</f>
        <v>6.5623967895298438E-2</v>
      </c>
      <c r="AO36" s="9">
        <f ca="1">DATOSAÑO!BW35</f>
        <v>11.308500000000045</v>
      </c>
      <c r="AP36" s="11">
        <f ca="1">(AO36*DATOSAÑO!$Z$11)/DATOSAÑO!$Y$11</f>
        <v>0.20376404199450449</v>
      </c>
      <c r="AQ36" s="9">
        <f ca="1">DATOSAÑO!CC35</f>
        <v>2.4738000000000362</v>
      </c>
      <c r="AR36" s="1348">
        <f ca="1">(AQ36*DATOSAÑO!$Z$11)/DATOSAÑO!$Y$11</f>
        <v>4.457456666100814E-2</v>
      </c>
      <c r="AS36" s="1384">
        <f t="shared" si="2"/>
        <v>4</v>
      </c>
    </row>
    <row r="37" spans="1:45">
      <c r="A37" s="1408">
        <v>44952</v>
      </c>
      <c r="B37" s="1869">
        <v>44952</v>
      </c>
      <c r="C37" s="9">
        <f ca="1">DATOSAÑO!I36</f>
        <v>284</v>
      </c>
      <c r="D37" s="10">
        <f ca="1">DATOSAÑO!$D36</f>
        <v>4.3580241235955075</v>
      </c>
      <c r="E37" s="11">
        <f ca="1">DATOSAÑO!$G36</f>
        <v>0</v>
      </c>
      <c r="F37" s="9">
        <f ca="1">DATOSAÑO!P36</f>
        <v>150.70000000000073</v>
      </c>
      <c r="G37" s="10">
        <f ca="1">DATOSAÑO!K36</f>
        <v>3.3695072696629271</v>
      </c>
      <c r="H37" s="11">
        <f ca="1">DATOSAÑO!N36</f>
        <v>0</v>
      </c>
      <c r="I37" s="9">
        <f ca="1">DATOSAÑO!Q36</f>
        <v>0</v>
      </c>
      <c r="J37" s="11">
        <f ca="1">DATOSAÑO!R36</f>
        <v>0</v>
      </c>
      <c r="K37" s="9">
        <f ca="1">DATOSAÑO!T36</f>
        <v>0</v>
      </c>
      <c r="L37" s="11">
        <f t="shared" ca="1" si="0"/>
        <v>0</v>
      </c>
      <c r="M37" s="9"/>
      <c r="N37" s="11">
        <f t="shared" si="1"/>
        <v>0</v>
      </c>
      <c r="O37" s="9">
        <f>DATOSAÑO!CK36</f>
        <v>0</v>
      </c>
      <c r="P37" s="9">
        <f>DATOSAÑO!CL36</f>
        <v>0</v>
      </c>
      <c r="Q37" s="9">
        <f ca="1">DATOSAÑO!AD36</f>
        <v>167.09999999997672</v>
      </c>
      <c r="R37" s="11">
        <f ca="1">(Q37*DATOSAÑO!$Z$11)/DATOSAÑO!$Y$11</f>
        <v>3.0109184610935862</v>
      </c>
      <c r="S37" s="9">
        <f ca="1">DATOSAÑO!AF36</f>
        <v>139</v>
      </c>
      <c r="T37" s="11">
        <f ca="1">(S37*DATOSAÑO!$Z$11)/DATOSAÑO!$Y$11</f>
        <v>2.5045940520171563</v>
      </c>
      <c r="U37" s="9">
        <f ca="1">DATOSAÑO!AH36</f>
        <v>9.6999999999970896</v>
      </c>
      <c r="V37" s="11">
        <f ca="1">(U37*DATOSAÑO!$Z$11)/DATOSAÑO!$Y$11</f>
        <v>0.17478102377380664</v>
      </c>
      <c r="W37" s="9">
        <f ca="1">DATOSAÑO!AI36</f>
        <v>36.900000000001455</v>
      </c>
      <c r="X37" s="11">
        <f ca="1">(W37*DATOSAÑO!$Z$11)/DATOSAÑO!$Y$11</f>
        <v>0.66488863683047994</v>
      </c>
      <c r="Y37" s="9">
        <f ca="1">DATOSAÑO!AJ36</f>
        <v>8.3999999999941792</v>
      </c>
      <c r="Z37" s="11">
        <f ca="1">(Y37*DATOSAÑO!$Z$11)/DATOSAÑO!$Y$11</f>
        <v>0.15135676285560815</v>
      </c>
      <c r="AA37" s="9">
        <f ca="1">DATOSAÑO!AK36</f>
        <v>14</v>
      </c>
      <c r="AB37" s="11">
        <f ca="1">(AA37*DATOSAÑO!$Z$11)/DATOSAÑO!$Y$11</f>
        <v>0.25226127142618837</v>
      </c>
      <c r="AC37" s="9">
        <f ca="1">DATOSAÑO!AL36</f>
        <v>33.600000000031287</v>
      </c>
      <c r="AD37" s="11">
        <f ca="1">(AC37*DATOSAÑO!$Z$11)/DATOSAÑO!$Y$11</f>
        <v>0.6054270514234158</v>
      </c>
      <c r="AE37" s="9">
        <f ca="1">DATOSAÑO!AM36</f>
        <v>8.9230000000007248</v>
      </c>
      <c r="AF37" s="11">
        <f ca="1">(AE37*DATOSAÑO!$Z$11)/DATOSAÑO!$Y$11</f>
        <v>0.1607805232097187</v>
      </c>
      <c r="AG37" s="9">
        <f ca="1">DATOSAÑO!AN36</f>
        <v>1.7029999999994543</v>
      </c>
      <c r="AH37" s="11">
        <f ca="1">(AG37*DATOSAÑO!$Z$11)/DATOSAÑO!$Y$11</f>
        <v>3.0685781802761512E-2</v>
      </c>
      <c r="AI37" s="9">
        <f ca="1">DATOSAÑO!BJ36</f>
        <v>0</v>
      </c>
      <c r="AJ37" s="11">
        <f ca="1">(AI37*DATOSAÑO!$Z$11)/DATOSAÑO!$Y$11</f>
        <v>0</v>
      </c>
      <c r="AK37" s="9">
        <f ca="1">DATOSAÑO!BM36</f>
        <v>4.0590000000000002</v>
      </c>
      <c r="AL37" s="11">
        <f ca="1">(AK37*DATOSAÑO!$Z$11)/DATOSAÑO!$Y$11</f>
        <v>7.3137750051349912E-2</v>
      </c>
      <c r="AM37" s="9">
        <f ca="1">DATOSAÑO!BP36</f>
        <v>3.718</v>
      </c>
      <c r="AN37" s="11">
        <f ca="1">(AM37*DATOSAÑO!$Z$11)/DATOSAÑO!$Y$11</f>
        <v>6.6993386225897747E-2</v>
      </c>
      <c r="AO37" s="9">
        <f ca="1">DATOSAÑO!BW36</f>
        <v>10.661500000000181</v>
      </c>
      <c r="AP37" s="11">
        <f ca="1">(AO37*DATOSAÑO!$Z$11)/DATOSAÑO!$Y$11</f>
        <v>0.1921059675221681</v>
      </c>
      <c r="AQ37" s="9">
        <f ca="1">DATOSAÑO!CC36</f>
        <v>2.0781999999997818</v>
      </c>
      <c r="AR37" s="1348">
        <f ca="1">(AQ37*DATOSAÑO!$Z$11)/DATOSAÑO!$Y$11</f>
        <v>3.7446383876989259E-2</v>
      </c>
      <c r="AS37" s="1384">
        <f t="shared" si="2"/>
        <v>4</v>
      </c>
    </row>
    <row r="38" spans="1:45" ht="16.5" customHeight="1">
      <c r="A38" s="1408">
        <v>44953</v>
      </c>
      <c r="B38" s="1869">
        <v>44953</v>
      </c>
      <c r="C38" s="9">
        <f ca="1">DATOSAÑO!I37</f>
        <v>286</v>
      </c>
      <c r="D38" s="10">
        <f ca="1">DATOSAÑO!$D37</f>
        <v>4.372855584269665</v>
      </c>
      <c r="E38" s="11">
        <f ca="1">DATOSAÑO!$G37</f>
        <v>0</v>
      </c>
      <c r="F38" s="9">
        <f ca="1">DATOSAÑO!P37</f>
        <v>148.40000000000146</v>
      </c>
      <c r="G38" s="10">
        <f ca="1">DATOSAÑO!K37</f>
        <v>3.3524510898876518</v>
      </c>
      <c r="H38" s="11">
        <f ca="1">DATOSAÑO!N37</f>
        <v>0</v>
      </c>
      <c r="I38" s="9">
        <f ca="1">DATOSAÑO!Q37</f>
        <v>0</v>
      </c>
      <c r="J38" s="11">
        <f ca="1">DATOSAÑO!R37</f>
        <v>0</v>
      </c>
      <c r="K38" s="9">
        <f ca="1">DATOSAÑO!T37</f>
        <v>0</v>
      </c>
      <c r="L38" s="11">
        <f t="shared" ca="1" si="0"/>
        <v>0</v>
      </c>
      <c r="M38" s="9"/>
      <c r="N38" s="11">
        <f t="shared" si="1"/>
        <v>0</v>
      </c>
      <c r="O38" s="9">
        <f>DATOSAÑO!CK37</f>
        <v>0</v>
      </c>
      <c r="P38" s="9">
        <f>DATOSAÑO!CL37</f>
        <v>0</v>
      </c>
      <c r="Q38" s="9">
        <f ca="1">DATOSAÑO!AD37</f>
        <v>162.09999999997672</v>
      </c>
      <c r="R38" s="11">
        <f ca="1">(Q38*DATOSAÑO!$Z$11)/DATOSAÑO!$Y$11</f>
        <v>2.9208251498699473</v>
      </c>
      <c r="S38" s="9">
        <f ca="1">DATOSAÑO!AF37</f>
        <v>143</v>
      </c>
      <c r="T38" s="11">
        <f ca="1">(S38*DATOSAÑO!$Z$11)/DATOSAÑO!$Y$11</f>
        <v>2.5766687009960672</v>
      </c>
      <c r="U38" s="9">
        <f ca="1">DATOSAÑO!AH37</f>
        <v>10.900000000001455</v>
      </c>
      <c r="V38" s="11">
        <f ca="1">(U38*DATOSAÑO!$Z$11)/DATOSAÑO!$Y$11</f>
        <v>0.19640341846755863</v>
      </c>
      <c r="W38" s="9">
        <f ca="1">DATOSAÑO!AI37</f>
        <v>37.299999999995634</v>
      </c>
      <c r="X38" s="11">
        <f ca="1">(W38*DATOSAÑO!$Z$11)/DATOSAÑO!$Y$11</f>
        <v>0.67209610172826617</v>
      </c>
      <c r="Y38" s="9">
        <f ca="1">DATOSAÑO!AJ37</f>
        <v>8.5</v>
      </c>
      <c r="Z38" s="11">
        <f ca="1">(Y38*DATOSAÑO!$Z$11)/DATOSAÑO!$Y$11</f>
        <v>0.15315862908018582</v>
      </c>
      <c r="AA38" s="9">
        <f ca="1">DATOSAÑO!AK37</f>
        <v>15</v>
      </c>
      <c r="AB38" s="11">
        <f ca="1">(AA38*DATOSAÑO!$Z$11)/DATOSAÑO!$Y$11</f>
        <v>0.27027993367091613</v>
      </c>
      <c r="AC38" s="9">
        <f ca="1">DATOSAÑO!AL37</f>
        <v>31.600000000027592</v>
      </c>
      <c r="AD38" s="11">
        <f ca="1">(AC38*DATOSAÑO!$Z$11)/DATOSAÑO!$Y$11</f>
        <v>0.56938972693389378</v>
      </c>
      <c r="AE38" s="9">
        <f ca="1">DATOSAÑO!AM37</f>
        <v>8.7140000000003628</v>
      </c>
      <c r="AF38" s="11">
        <f ca="1">(AE38*DATOSAÑO!$Z$11)/DATOSAÑO!$Y$11</f>
        <v>0.15701462280056411</v>
      </c>
      <c r="AG38" s="9">
        <f ca="1">DATOSAÑO!AN37</f>
        <v>1.8209999999998181</v>
      </c>
      <c r="AH38" s="11">
        <f ca="1">(AG38*DATOSAÑO!$Z$11)/DATOSAÑO!$Y$11</f>
        <v>3.2811983947645944E-2</v>
      </c>
      <c r="AI38" s="9">
        <f ca="1">DATOSAÑO!BJ37</f>
        <v>0</v>
      </c>
      <c r="AJ38" s="11">
        <f ca="1">(AI38*DATOSAÑO!$Z$11)/DATOSAÑO!$Y$11</f>
        <v>0</v>
      </c>
      <c r="AK38" s="9">
        <f ca="1">DATOSAÑO!BM37</f>
        <v>4.4080000000000004</v>
      </c>
      <c r="AL38" s="11">
        <f ca="1">(AK38*DATOSAÑO!$Z$11)/DATOSAÑO!$Y$11</f>
        <v>7.9426263174759898E-2</v>
      </c>
      <c r="AM38" s="9">
        <f ca="1">DATOSAÑO!BP37</f>
        <v>3.4780000000000002</v>
      </c>
      <c r="AN38" s="11">
        <f ca="1">(AM38*DATOSAÑO!$Z$11)/DATOSAÑO!$Y$11</f>
        <v>6.2668907287163081E-2</v>
      </c>
      <c r="AO38" s="9">
        <f ca="1">DATOSAÑO!BW37</f>
        <v>10.556999999999999</v>
      </c>
      <c r="AP38" s="11">
        <f ca="1">(AO38*DATOSAÑO!$Z$11)/DATOSAÑO!$Y$11</f>
        <v>0.19022301731759075</v>
      </c>
      <c r="AQ38" s="9">
        <f ca="1">DATOSAÑO!CC37</f>
        <v>2.1073999999999273</v>
      </c>
      <c r="AR38" s="1348">
        <f ca="1">(AQ38*DATOSAÑO!$Z$11)/DATOSAÑO!$Y$11</f>
        <v>3.7972528814537936E-2</v>
      </c>
      <c r="AS38" s="1384">
        <f t="shared" si="2"/>
        <v>4</v>
      </c>
    </row>
    <row r="39" spans="1:45">
      <c r="A39" s="1408">
        <v>44954</v>
      </c>
      <c r="B39" s="1869">
        <v>44954</v>
      </c>
      <c r="C39" s="9">
        <f ca="1">DATOSAÑO!I38</f>
        <v>293</v>
      </c>
      <c r="D39" s="10">
        <f ca="1">DATOSAÑO!$D38</f>
        <v>4.4247656966292155</v>
      </c>
      <c r="E39" s="11">
        <f ca="1">DATOSAÑO!$G38</f>
        <v>0</v>
      </c>
      <c r="F39" s="9">
        <f ca="1">DATOSAÑO!P38</f>
        <v>149.69999999999709</v>
      </c>
      <c r="G39" s="10">
        <f ca="1">DATOSAÑO!K38</f>
        <v>3.3620915393258217</v>
      </c>
      <c r="H39" s="11">
        <f ca="1">DATOSAÑO!N38</f>
        <v>0</v>
      </c>
      <c r="I39" s="9">
        <f ca="1">DATOSAÑO!Q38</f>
        <v>8.0000000000381988E-3</v>
      </c>
      <c r="J39" s="11">
        <f ca="1">DATOSAÑO!R38</f>
        <v>0.96000000000458385</v>
      </c>
      <c r="K39" s="9">
        <f ca="1">DATOSAÑO!T38</f>
        <v>0</v>
      </c>
      <c r="L39" s="11">
        <f t="shared" ca="1" si="0"/>
        <v>0</v>
      </c>
      <c r="M39" s="9"/>
      <c r="N39" s="11">
        <f t="shared" si="1"/>
        <v>0</v>
      </c>
      <c r="O39" s="9">
        <f>DATOSAÑO!CK38</f>
        <v>1</v>
      </c>
      <c r="P39" s="9">
        <f>DATOSAÑO!CL38</f>
        <v>0</v>
      </c>
      <c r="Q39" s="9">
        <f ca="1">DATOSAÑO!AD38</f>
        <v>164.80000000004657</v>
      </c>
      <c r="R39" s="11">
        <f ca="1">(Q39*DATOSAÑO!$Z$11)/DATOSAÑO!$Y$11</f>
        <v>2.9694755379319711</v>
      </c>
      <c r="S39" s="9">
        <f ca="1">DATOSAÑO!AF38</f>
        <v>142</v>
      </c>
      <c r="T39" s="11">
        <f ca="1">(S39*DATOSAÑO!$Z$11)/DATOSAÑO!$Y$11</f>
        <v>2.5586500387513391</v>
      </c>
      <c r="U39" s="9">
        <f ca="1">DATOSAÑO!AH38</f>
        <v>13</v>
      </c>
      <c r="V39" s="11">
        <f ca="1">(U39*DATOSAÑO!$Z$11)/DATOSAÑO!$Y$11</f>
        <v>0.23424260918146064</v>
      </c>
      <c r="W39" s="9">
        <f ca="1">DATOSAÑO!AI38</f>
        <v>40.200000000004366</v>
      </c>
      <c r="X39" s="11">
        <f ca="1">(W39*DATOSAÑO!$Z$11)/DATOSAÑO!$Y$11</f>
        <v>0.72435022223813395</v>
      </c>
      <c r="Y39" s="9">
        <f ca="1">DATOSAÑO!AJ38</f>
        <v>7.5</v>
      </c>
      <c r="Z39" s="11">
        <f ca="1">(Y39*DATOSAÑO!$Z$11)/DATOSAÑO!$Y$11</f>
        <v>0.13513996683545806</v>
      </c>
      <c r="AA39" s="9">
        <f ca="1">DATOSAÑO!AK38</f>
        <v>16</v>
      </c>
      <c r="AB39" s="11">
        <f ca="1">(AA39*DATOSAÑO!$Z$11)/DATOSAÑO!$Y$11</f>
        <v>0.28829859591564388</v>
      </c>
      <c r="AC39" s="9">
        <f ca="1">DATOSAÑO!AL38</f>
        <v>30.607999999958508</v>
      </c>
      <c r="AD39" s="11">
        <f ca="1">(AC39*DATOSAÑO!$Z$11)/DATOSAÑO!$Y$11</f>
        <v>0.5515152139858791</v>
      </c>
      <c r="AE39" s="9">
        <f ca="1">DATOSAÑO!AM38</f>
        <v>11.007999999986811</v>
      </c>
      <c r="AF39" s="11">
        <f ca="1">(AE39*DATOSAÑO!$Z$11)/DATOSAÑO!$Y$11</f>
        <v>0.19834943398972532</v>
      </c>
      <c r="AG39" s="9">
        <f ca="1">DATOSAÑO!AN38</f>
        <v>1.9360000000006365</v>
      </c>
      <c r="AH39" s="11">
        <f ca="1">(AG39*DATOSAÑO!$Z$11)/DATOSAÑO!$Y$11</f>
        <v>3.4884130105804378E-2</v>
      </c>
      <c r="AI39" s="9">
        <f ca="1">DATOSAÑO!BJ38</f>
        <v>0</v>
      </c>
      <c r="AJ39" s="11">
        <f ca="1">(AI39*DATOSAÑO!$Z$11)/DATOSAÑO!$Y$11</f>
        <v>0</v>
      </c>
      <c r="AK39" s="9">
        <f ca="1">DATOSAÑO!BM38</f>
        <v>4.4820000000000002</v>
      </c>
      <c r="AL39" s="11">
        <f ca="1">(AK39*DATOSAÑO!$Z$11)/DATOSAÑO!$Y$11</f>
        <v>8.0759644180869741E-2</v>
      </c>
      <c r="AM39" s="9">
        <f ca="1">DATOSAÑO!BP38</f>
        <v>3.51</v>
      </c>
      <c r="AN39" s="11">
        <f ca="1">(AM39*DATOSAÑO!$Z$11)/DATOSAÑO!$Y$11</f>
        <v>6.324550447899438E-2</v>
      </c>
      <c r="AO39" s="9">
        <f ca="1">DATOSAÑO!BW38</f>
        <v>11.803999999993588</v>
      </c>
      <c r="AP39" s="11">
        <f ca="1">(AO39*DATOSAÑO!$Z$11)/DATOSAÑO!$Y$11</f>
        <v>0.21269228913665073</v>
      </c>
      <c r="AQ39" s="9">
        <f ca="1">DATOSAÑO!CC38</f>
        <v>2.1384000000002548</v>
      </c>
      <c r="AR39" s="1348">
        <f ca="1">(AQ39*DATOSAÑO!$Z$11)/DATOSAÑO!$Y$11</f>
        <v>3.85311073441304E-2</v>
      </c>
      <c r="AS39" s="1384">
        <f t="shared" si="2"/>
        <v>4</v>
      </c>
    </row>
    <row r="40" spans="1:45" ht="16.5" customHeight="1">
      <c r="A40" s="1408">
        <v>44955</v>
      </c>
      <c r="B40" s="1869">
        <v>44955</v>
      </c>
      <c r="C40" s="9">
        <f ca="1">DATOSAÑO!I39</f>
        <v>293</v>
      </c>
      <c r="D40" s="10">
        <f ca="1">DATOSAÑO!$D39</f>
        <v>4.4247656966292155</v>
      </c>
      <c r="E40" s="11">
        <f ca="1">DATOSAÑO!$G39</f>
        <v>0</v>
      </c>
      <c r="F40" s="9">
        <f ca="1">DATOSAÑO!P39</f>
        <v>150</v>
      </c>
      <c r="G40" s="10">
        <f ca="1">DATOSAÑO!K39</f>
        <v>3.3643162584269666</v>
      </c>
      <c r="H40" s="11">
        <f ca="1">DATOSAÑO!N39</f>
        <v>0</v>
      </c>
      <c r="I40" s="9">
        <f ca="1">DATOSAÑO!Q39</f>
        <v>0</v>
      </c>
      <c r="J40" s="11">
        <f ca="1">DATOSAÑO!R39</f>
        <v>0</v>
      </c>
      <c r="K40" s="9">
        <f ca="1">DATOSAÑO!T39</f>
        <v>0</v>
      </c>
      <c r="L40" s="11">
        <f t="shared" ca="1" si="0"/>
        <v>0</v>
      </c>
      <c r="M40" s="9"/>
      <c r="N40" s="11">
        <f t="shared" si="1"/>
        <v>0</v>
      </c>
      <c r="O40" s="9">
        <f>DATOSAÑO!CK39</f>
        <v>0</v>
      </c>
      <c r="P40" s="9">
        <f>DATOSAÑO!CL39</f>
        <v>0</v>
      </c>
      <c r="Q40" s="9">
        <f ca="1">DATOSAÑO!AD39</f>
        <v>167.90000000002328</v>
      </c>
      <c r="R40" s="11">
        <f ca="1">(Q40*DATOSAÑO!$Z$11)/DATOSAÑO!$Y$11</f>
        <v>3.0253333908902076</v>
      </c>
      <c r="S40" s="9">
        <f ca="1">DATOSAÑO!AF39</f>
        <v>144</v>
      </c>
      <c r="T40" s="11">
        <f ca="1">(S40*DATOSAÑO!$Z$11)/DATOSAÑO!$Y$11</f>
        <v>2.5946873632407947</v>
      </c>
      <c r="U40" s="9">
        <f ca="1">DATOSAÑO!AH39</f>
        <v>9.4000000000014552</v>
      </c>
      <c r="V40" s="11">
        <f ca="1">(U40*DATOSAÑO!$Z$11)/DATOSAÑO!$Y$11</f>
        <v>0.16937542510046699</v>
      </c>
      <c r="W40" s="9">
        <f ca="1">DATOSAÑO!AI39</f>
        <v>41.799999999995634</v>
      </c>
      <c r="X40" s="11">
        <f ca="1">(W40*DATOSAÑO!$Z$11)/DATOSAÑO!$Y$11</f>
        <v>0.75318008182954099</v>
      </c>
      <c r="Y40" s="9">
        <f ca="1">DATOSAÑO!AJ39</f>
        <v>6.1000000000058208</v>
      </c>
      <c r="Z40" s="11">
        <f ca="1">(Y40*DATOSAÑO!$Z$11)/DATOSAÑO!$Y$11</f>
        <v>0.1099138396929441</v>
      </c>
      <c r="AA40" s="9">
        <f ca="1">DATOSAÑO!AK39</f>
        <v>15.600000000005821</v>
      </c>
      <c r="AB40" s="11">
        <f ca="1">(AA40*DATOSAÑO!$Z$11)/DATOSAÑO!$Y$11</f>
        <v>0.28109113101785765</v>
      </c>
      <c r="AC40" s="9">
        <f ca="1">DATOSAÑO!AL39</f>
        <v>32.599999999956708</v>
      </c>
      <c r="AD40" s="11">
        <f ca="1">(AC40*DATOSAÑO!$Z$11)/DATOSAÑO!$Y$11</f>
        <v>0.58740838917734428</v>
      </c>
      <c r="AE40" s="9">
        <f ca="1">DATOSAÑO!AM39</f>
        <v>7.3650000000121842</v>
      </c>
      <c r="AF40" s="11">
        <f ca="1">(AE40*DATOSAÑO!$Z$11)/DATOSAÑO!$Y$11</f>
        <v>0.13270744743263937</v>
      </c>
      <c r="AG40" s="9">
        <f ca="1">DATOSAÑO!AN39</f>
        <v>2.1969999999994543</v>
      </c>
      <c r="AH40" s="11">
        <f ca="1">(AG40*DATOSAÑO!$Z$11)/DATOSAÑO!$Y$11</f>
        <v>3.9587000951657014E-2</v>
      </c>
      <c r="AI40" s="9">
        <f ca="1">DATOSAÑO!BJ39</f>
        <v>0</v>
      </c>
      <c r="AJ40" s="11">
        <f ca="1">(AI40*DATOSAÑO!$Z$11)/DATOSAÑO!$Y$11</f>
        <v>0</v>
      </c>
      <c r="AK40" s="9">
        <f ca="1">DATOSAÑO!BM39</f>
        <v>4.5789999999999997</v>
      </c>
      <c r="AL40" s="11">
        <f ca="1">(AK40*DATOSAÑO!$Z$11)/DATOSAÑO!$Y$11</f>
        <v>8.2507454418608336E-2</v>
      </c>
      <c r="AM40" s="9">
        <f ca="1">DATOSAÑO!BP39</f>
        <v>3.6560000000000001</v>
      </c>
      <c r="AN40" s="11">
        <f ca="1">(AM40*DATOSAÑO!$Z$11)/DATOSAÑO!$Y$11</f>
        <v>6.5876229166724629E-2</v>
      </c>
      <c r="AO40" s="9">
        <f ca="1">DATOSAÑO!BW39</f>
        <v>10.082500000005728</v>
      </c>
      <c r="AP40" s="11">
        <f ca="1">(AO40*DATOSAÑO!$Z$11)/DATOSAÑO!$Y$11</f>
        <v>0.18167316208257067</v>
      </c>
      <c r="AQ40" s="9">
        <f ca="1">DATOSAÑO!CC39</f>
        <v>2.281799999999782</v>
      </c>
      <c r="AR40" s="1348">
        <f ca="1">(AQ40*DATOSAÑO!$Z$11)/DATOSAÑO!$Y$11</f>
        <v>4.1114983510015836E-2</v>
      </c>
      <c r="AS40" s="1384">
        <f t="shared" si="2"/>
        <v>5</v>
      </c>
    </row>
    <row r="41" spans="1:45">
      <c r="A41" s="1408">
        <v>44956</v>
      </c>
      <c r="B41" s="1869">
        <v>44956</v>
      </c>
      <c r="C41" s="9">
        <f ca="1">DATOSAÑO!I40</f>
        <v>287.09999999997672</v>
      </c>
      <c r="D41" s="10">
        <f ca="1">DATOSAÑO!$D40</f>
        <v>4.3810128876402779</v>
      </c>
      <c r="E41" s="11">
        <f ca="1">DATOSAÑO!$G40</f>
        <v>0</v>
      </c>
      <c r="F41" s="9">
        <f ca="1">DATOSAÑO!P40</f>
        <v>150</v>
      </c>
      <c r="G41" s="10">
        <f ca="1">DATOSAÑO!K40</f>
        <v>3.3643162584269666</v>
      </c>
      <c r="H41" s="11">
        <f ca="1">DATOSAÑO!N40</f>
        <v>0</v>
      </c>
      <c r="I41" s="9">
        <f ca="1">DATOSAÑO!Q40</f>
        <v>0.20399999999995089</v>
      </c>
      <c r="J41" s="11">
        <f ca="1">DATOSAÑO!R40</f>
        <v>24.479999999994106</v>
      </c>
      <c r="K41" s="9">
        <f ca="1">DATOSAÑO!T40</f>
        <v>0</v>
      </c>
      <c r="L41" s="11">
        <f t="shared" ca="1" si="0"/>
        <v>0</v>
      </c>
      <c r="M41" s="9"/>
      <c r="N41" s="11">
        <f t="shared" si="1"/>
        <v>0</v>
      </c>
      <c r="O41" s="9">
        <f>DATOSAÑO!CK40</f>
        <v>1</v>
      </c>
      <c r="P41" s="9">
        <f>DATOSAÑO!CL40</f>
        <v>0</v>
      </c>
      <c r="Q41" s="9">
        <f ca="1">DATOSAÑO!AD40</f>
        <v>165.19999999995343</v>
      </c>
      <c r="R41" s="11">
        <f ca="1">(Q41*DATOSAÑO!$Z$11)/DATOSAÑO!$Y$11</f>
        <v>2.9766830028281839</v>
      </c>
      <c r="S41" s="9">
        <f ca="1">DATOSAÑO!AF40</f>
        <v>141</v>
      </c>
      <c r="T41" s="11">
        <f ca="1">(S41*DATOSAÑO!$Z$11)/DATOSAÑO!$Y$11</f>
        <v>2.540631376506612</v>
      </c>
      <c r="U41" s="9">
        <f ca="1">DATOSAÑO!AH40</f>
        <v>8.3000000000029104</v>
      </c>
      <c r="V41" s="11">
        <f ca="1">(U41*DATOSAÑO!$Z$11)/DATOSAÑO!$Y$11</f>
        <v>0.14955489663129271</v>
      </c>
      <c r="W41" s="9">
        <f ca="1">DATOSAÑO!AI40</f>
        <v>40.900000000001455</v>
      </c>
      <c r="X41" s="11">
        <f ca="1">(W41*DATOSAÑO!$Z$11)/DATOSAÑO!$Y$11</f>
        <v>0.73696328580939097</v>
      </c>
      <c r="Y41" s="9">
        <f ca="1">DATOSAÑO!AJ40</f>
        <v>5.5</v>
      </c>
      <c r="Z41" s="11">
        <f ca="1">(Y41*DATOSAÑO!$Z$11)/DATOSAÑO!$Y$11</f>
        <v>9.9102642346002578E-2</v>
      </c>
      <c r="AA41" s="9">
        <f ca="1">DATOSAÑO!AK40</f>
        <v>15.399999999994179</v>
      </c>
      <c r="AB41" s="11">
        <f ca="1">(AA41*DATOSAÑO!$Z$11)/DATOSAÑO!$Y$11</f>
        <v>0.27748739856870236</v>
      </c>
      <c r="AC41" s="9">
        <f ca="1">DATOSAÑO!AL40</f>
        <v>33.004000000024632</v>
      </c>
      <c r="AD41" s="11">
        <f ca="1">(AC41*DATOSAÑO!$Z$11)/DATOSAÑO!$Y$11</f>
        <v>0.59468792872543819</v>
      </c>
      <c r="AE41" s="9">
        <f ca="1">DATOSAÑO!AM40</f>
        <v>8.7149999999991845</v>
      </c>
      <c r="AF41" s="11">
        <f ca="1">(AE41*DATOSAÑO!$Z$11)/DATOSAÑO!$Y$11</f>
        <v>0.15703264146278759</v>
      </c>
      <c r="AG41" s="9">
        <f ca="1">DATOSAÑO!AN40</f>
        <v>3.344000000000273</v>
      </c>
      <c r="AH41" s="11">
        <f ca="1">(AG41*DATOSAÑO!$Z$11)/DATOSAÑO!$Y$11</f>
        <v>6.0254406546374491E-2</v>
      </c>
      <c r="AI41" s="9">
        <f ca="1">DATOSAÑO!BJ40</f>
        <v>0</v>
      </c>
      <c r="AJ41" s="11">
        <f ca="1">(AI41*DATOSAÑO!$Z$11)/DATOSAÑO!$Y$11</f>
        <v>0</v>
      </c>
      <c r="AK41" s="9">
        <f ca="1">DATOSAÑO!BM40</f>
        <v>4.5129999999999999</v>
      </c>
      <c r="AL41" s="11">
        <f ca="1">(AK41*DATOSAÑO!$Z$11)/DATOSAÑO!$Y$11</f>
        <v>8.13182227104563E-2</v>
      </c>
      <c r="AM41" s="9">
        <f ca="1">DATOSAÑO!BP40</f>
        <v>3.6720000000000002</v>
      </c>
      <c r="AN41" s="11">
        <f ca="1">(AM41*DATOSAÑO!$Z$11)/DATOSAÑO!$Y$11</f>
        <v>6.6164527762640271E-2</v>
      </c>
      <c r="AO41" s="9">
        <f ca="1">DATOSAÑO!BW40</f>
        <v>10.757500000000139</v>
      </c>
      <c r="AP41" s="11">
        <f ca="1">(AO41*DATOSAÑO!$Z$11)/DATOSAÑO!$Y$11</f>
        <v>0.19383575909766118</v>
      </c>
      <c r="AQ41" s="9">
        <f ca="1">DATOSAÑO!CC40</f>
        <v>2.6936000000001092</v>
      </c>
      <c r="AR41" s="1348">
        <f ca="1">(AQ41*DATOSAÑO!$Z$11)/DATOSAÑO!$Y$11</f>
        <v>4.8535068622400618E-2</v>
      </c>
      <c r="AS41" s="1384">
        <f t="shared" si="2"/>
        <v>5</v>
      </c>
    </row>
    <row r="42" spans="1:45" ht="16.5" customHeight="1" thickBot="1">
      <c r="A42" s="1408">
        <v>44957</v>
      </c>
      <c r="B42" s="1870">
        <v>44957</v>
      </c>
      <c r="C42" s="63">
        <f ca="1">DATOSAÑO!I41</f>
        <v>291.90000000002328</v>
      </c>
      <c r="D42" s="64">
        <f ca="1">DATOSAÑO!$D41</f>
        <v>4.4166083932586009</v>
      </c>
      <c r="E42" s="65">
        <f ca="1">DATOSAÑO!$G41</f>
        <v>0</v>
      </c>
      <c r="F42" s="63">
        <f ca="1">DATOSAÑO!P41</f>
        <v>149.30000000000291</v>
      </c>
      <c r="G42" s="64">
        <f ca="1">DATOSAÑO!K41</f>
        <v>3.3591252471910336</v>
      </c>
      <c r="H42" s="65">
        <f ca="1">DATOSAÑO!N41</f>
        <v>0</v>
      </c>
      <c r="I42" s="63">
        <f ca="1">DATOSAÑO!Q41</f>
        <v>0</v>
      </c>
      <c r="J42" s="65">
        <f ca="1">DATOSAÑO!R41</f>
        <v>0</v>
      </c>
      <c r="K42" s="199">
        <f ca="1">DATOSAÑO!T41</f>
        <v>0.125</v>
      </c>
      <c r="L42" s="65">
        <f t="shared" ca="1" si="0"/>
        <v>15</v>
      </c>
      <c r="M42" s="63"/>
      <c r="N42" s="65">
        <f t="shared" si="1"/>
        <v>0</v>
      </c>
      <c r="O42" s="63">
        <f>DATOSAÑO!CK41</f>
        <v>0</v>
      </c>
      <c r="P42" s="62">
        <f>DATOSAÑO!CL41</f>
        <v>0</v>
      </c>
      <c r="Q42" s="199">
        <f ca="1">DATOSAÑO!AD41</f>
        <v>166.40000000002328</v>
      </c>
      <c r="R42" s="65">
        <f ca="1">(Q42*DATOSAÑO!$Z$11)/DATOSAÑO!$Y$11</f>
        <v>2.9983053975231155</v>
      </c>
      <c r="S42" s="199">
        <f ca="1">DATOSAÑO!AF41</f>
        <v>143</v>
      </c>
      <c r="T42" s="65">
        <f ca="1">(S42*DATOSAÑO!$Z$11)/DATOSAÑO!$Y$11</f>
        <v>2.5766687009960672</v>
      </c>
      <c r="U42" s="199">
        <f ca="1">DATOSAÑO!AH41</f>
        <v>12.69999999999709</v>
      </c>
      <c r="V42" s="65">
        <f ca="1">(U42*DATOSAÑO!$Z$11)/DATOSAÑO!$Y$11</f>
        <v>0.22883701050798988</v>
      </c>
      <c r="W42" s="199">
        <f ca="1">DATOSAÑO!AI41</f>
        <v>39.799999999995634</v>
      </c>
      <c r="X42" s="65">
        <f ca="1">(W42*DATOSAÑO!$Z$11)/DATOSAÑO!$Y$11</f>
        <v>0.71714275734008548</v>
      </c>
      <c r="Y42" s="199">
        <f ca="1">DATOSAÑO!AJ41</f>
        <v>5.5999999999912689</v>
      </c>
      <c r="Z42" s="65">
        <f ca="1">(Y42*DATOSAÑO!$Z$11)/DATOSAÑO!$Y$11</f>
        <v>0.10090450857031805</v>
      </c>
      <c r="AA42" s="199">
        <f ca="1">DATOSAÑO!AK41</f>
        <v>16.5</v>
      </c>
      <c r="AB42" s="65">
        <f ca="1">(AA42*DATOSAÑO!$Z$11)/DATOSAÑO!$Y$11</f>
        <v>0.29730792703800774</v>
      </c>
      <c r="AC42" s="199">
        <f ca="1">DATOSAÑO!AL41</f>
        <v>30.72499999999485</v>
      </c>
      <c r="AD42" s="65">
        <f ca="1">(AC42*DATOSAÑO!$Z$11)/DATOSAÑO!$Y$11</f>
        <v>0.55362339746916711</v>
      </c>
      <c r="AE42" s="199">
        <f ca="1">DATOSAÑO!AM41</f>
        <v>9.016000000024011</v>
      </c>
      <c r="AF42" s="65">
        <f ca="1">(AE42*DATOSAÑO!$Z$11)/DATOSAÑO!$Y$11</f>
        <v>0.162456258798898</v>
      </c>
      <c r="AG42" s="63">
        <f ca="1">DATOSAÑO!AN41</f>
        <v>1.8449999999998181</v>
      </c>
      <c r="AH42" s="65">
        <f ca="1">(AG42*DATOSAÑO!$Z$11)/DATOSAÑO!$Y$11</f>
        <v>3.3244431841519408E-2</v>
      </c>
      <c r="AI42" s="63">
        <f ca="1">DATOSAÑO!BJ41</f>
        <v>0</v>
      </c>
      <c r="AJ42" s="65">
        <f ca="1">(AI42*DATOSAÑO!$Z$11)/DATOSAÑO!$Y$11</f>
        <v>0</v>
      </c>
      <c r="AK42" s="63">
        <f ca="1">DATOSAÑO!BM41</f>
        <v>4.4710000000000001</v>
      </c>
      <c r="AL42" s="65">
        <f ca="1">(AK42*DATOSAÑO!$Z$11)/DATOSAÑO!$Y$11</f>
        <v>8.0561438896177728E-2</v>
      </c>
      <c r="AM42" s="63">
        <f ca="1">DATOSAÑO!BP41</f>
        <v>3.613</v>
      </c>
      <c r="AN42" s="65">
        <f ca="1">(AM42*DATOSAÑO!$Z$11)/DATOSAÑO!$Y$11</f>
        <v>6.5101426690201331E-2</v>
      </c>
      <c r="AO42" s="63">
        <f ca="1">DATOSAÑO!BW41</f>
        <v>10.808000000012187</v>
      </c>
      <c r="AP42" s="65">
        <f ca="1">(AO42*DATOSAÑO!$Z$11)/DATOSAÑO!$Y$11</f>
        <v>0.19474570154123702</v>
      </c>
      <c r="AQ42" s="63">
        <f ca="1">DATOSAÑO!CC41</f>
        <v>2.0929999999999271</v>
      </c>
      <c r="AR42" s="1109">
        <f ca="1">(AQ42*DATOSAÑO!$Z$11)/DATOSAÑO!$Y$11</f>
        <v>3.7713060078213852E-2</v>
      </c>
      <c r="AS42" s="1385">
        <f t="shared" si="2"/>
        <v>5</v>
      </c>
    </row>
    <row r="43" spans="1:45">
      <c r="A43" s="1408">
        <v>44958</v>
      </c>
      <c r="B43" s="1871">
        <v>44958</v>
      </c>
      <c r="C43" s="9">
        <f ca="1">DATOSAÑO!I42</f>
        <v>293.90000000002328</v>
      </c>
      <c r="D43" s="10">
        <f ca="1">DATOSAÑO!$D42</f>
        <v>4.8729764251872218</v>
      </c>
      <c r="E43" s="11">
        <f ca="1">DATOSAÑO!$G42</f>
        <v>0</v>
      </c>
      <c r="F43" s="9">
        <f ca="1">DATOSAÑO!P42</f>
        <v>158.59999999999854</v>
      </c>
      <c r="G43" s="10">
        <f ca="1">DATOSAÑO!K42</f>
        <v>3.769657223192008</v>
      </c>
      <c r="H43" s="11">
        <f ca="1">DATOSAÑO!N42</f>
        <v>0</v>
      </c>
      <c r="I43" s="9">
        <f ca="1">DATOSAÑO!Q42</f>
        <v>0</v>
      </c>
      <c r="J43" s="11">
        <f ca="1">DATOSAÑO!R42</f>
        <v>0</v>
      </c>
      <c r="K43" s="178">
        <f ca="1">DATOSAÑO!T42</f>
        <v>0</v>
      </c>
      <c r="L43" s="11">
        <f t="shared" ca="1" si="0"/>
        <v>0</v>
      </c>
      <c r="M43" s="9"/>
      <c r="N43" s="11">
        <f t="shared" si="1"/>
        <v>0</v>
      </c>
      <c r="O43" s="9">
        <f>DATOSAÑO!CK42</f>
        <v>0</v>
      </c>
      <c r="P43" s="9">
        <f>DATOSAÑO!CL42</f>
        <v>0</v>
      </c>
      <c r="Q43" s="178">
        <f ca="1">DATOSAÑO!AD42</f>
        <v>167.30000000004657</v>
      </c>
      <c r="R43" s="11">
        <f ca="1">(Q43*DATOSAÑO!$Z$11)/DATOSAÑO!$Y$11</f>
        <v>3.0145221935437903</v>
      </c>
      <c r="S43" s="178">
        <f ca="1">DATOSAÑO!AF42</f>
        <v>153.79999999998836</v>
      </c>
      <c r="T43" s="11">
        <f ca="1">(S43*DATOSAÑO!$Z$11)/DATOSAÑO!$Y$11</f>
        <v>2.7712702532389168</v>
      </c>
      <c r="U43" s="178">
        <f ca="1">DATOSAÑO!AH42</f>
        <v>7.5</v>
      </c>
      <c r="V43" s="11">
        <f ca="1">(U43*DATOSAÑO!$Z$11)/DATOSAÑO!$Y$11</f>
        <v>0.13513996683545806</v>
      </c>
      <c r="W43" s="178">
        <f ca="1">DATOSAÑO!AI42</f>
        <v>40.700000000004366</v>
      </c>
      <c r="X43" s="11">
        <f ca="1">(W43*DATOSAÑO!$Z$11)/DATOSAÑO!$Y$11</f>
        <v>0.73335955336049774</v>
      </c>
      <c r="Y43" s="178">
        <f ca="1">DATOSAÑO!AJ42</f>
        <v>8.3000000000029104</v>
      </c>
      <c r="Z43" s="11">
        <f ca="1">(Y43*DATOSAÑO!$Z$11)/DATOSAÑO!$Y$11</f>
        <v>0.14955489663129271</v>
      </c>
      <c r="AA43" s="178">
        <f ca="1">DATOSAÑO!AK42</f>
        <v>15.299999999988358</v>
      </c>
      <c r="AB43" s="11">
        <f ca="1">(AA43*DATOSAÑO!$Z$11)/DATOSAÑO!$Y$11</f>
        <v>0.27568553234412468</v>
      </c>
      <c r="AC43" s="178">
        <f ca="1">DATOSAÑO!AL42</f>
        <v>32.600000000014859</v>
      </c>
      <c r="AD43" s="11">
        <f ca="1">(AC43*DATOSAÑO!$Z$11)/DATOSAÑO!$Y$11</f>
        <v>0.58740838917839211</v>
      </c>
      <c r="AE43" s="178">
        <f ca="1">DATOSAÑO!AM42</f>
        <v>10.232999999975807</v>
      </c>
      <c r="AF43" s="11">
        <f ca="1">(AE43*DATOSAÑO!$Z$11)/DATOSAÑO!$Y$11</f>
        <v>0.18438497074986307</v>
      </c>
      <c r="AG43" s="9">
        <f ca="1">DATOSAÑO!AN42</f>
        <v>1.3630000000007276</v>
      </c>
      <c r="AH43" s="11">
        <f ca="1">(AG43*DATOSAÑO!$Z$11)/DATOSAÑO!$Y$11</f>
        <v>2.4559436639577024E-2</v>
      </c>
      <c r="AI43" s="9">
        <f ca="1">DATOSAÑO!BJ42</f>
        <v>0</v>
      </c>
      <c r="AJ43" s="11">
        <f ca="1">(AI43*DATOSAÑO!$Z$11)/DATOSAÑO!$Y$11</f>
        <v>0</v>
      </c>
      <c r="AK43" s="9">
        <f ca="1">DATOSAÑO!BM42</f>
        <v>4.3440000000000003</v>
      </c>
      <c r="AL43" s="11">
        <f ca="1">(AK43*DATOSAÑO!$Z$11)/DATOSAÑO!$Y$11</f>
        <v>7.8273068791097314E-2</v>
      </c>
      <c r="AM43" s="9">
        <f ca="1">DATOSAÑO!BP42</f>
        <v>3.5230000000000001</v>
      </c>
      <c r="AN43" s="11">
        <f ca="1">(AM43*DATOSAÑO!$Z$11)/DATOSAÑO!$Y$11</f>
        <v>6.3479747088175845E-2</v>
      </c>
      <c r="AO43" s="9">
        <f ca="1">DATOSAÑO!BW42</f>
        <v>11.316499999987721</v>
      </c>
      <c r="AP43" s="11">
        <f ca="1">(AO43*DATOSAÑO!$Z$11)/DATOSAÑO!$Y$11</f>
        <v>0.20390819129224025</v>
      </c>
      <c r="AQ43" s="9">
        <f ca="1">DATOSAÑO!CC42</f>
        <v>1.882200000000291</v>
      </c>
      <c r="AR43" s="1348">
        <f ca="1">(AQ43*DATOSAÑO!$Z$11)/DATOSAÑO!$Y$11</f>
        <v>3.3914726077031797E-2</v>
      </c>
      <c r="AS43" s="1406">
        <f t="shared" si="2"/>
        <v>5</v>
      </c>
    </row>
    <row r="44" spans="1:45" ht="16.5" customHeight="1">
      <c r="A44" s="1408">
        <v>44959</v>
      </c>
      <c r="B44" s="1869">
        <v>44959</v>
      </c>
      <c r="C44" s="9">
        <f ca="1">DATOSAÑO!I43</f>
        <v>221.69999999995343</v>
      </c>
      <c r="D44" s="10">
        <f ca="1">DATOSAÑO!$D43</f>
        <v>4.284213332917326</v>
      </c>
      <c r="E44" s="11">
        <f ca="1">DATOSAÑO!$G43</f>
        <v>0</v>
      </c>
      <c r="F44" s="9">
        <f ca="1">DATOSAÑO!P43</f>
        <v>113.20000000000073</v>
      </c>
      <c r="G44" s="10">
        <f ca="1">DATOSAÑO!K43</f>
        <v>3.3994377718204545</v>
      </c>
      <c r="H44" s="11">
        <f ca="1">DATOSAÑO!N43</f>
        <v>0</v>
      </c>
      <c r="I44" s="9">
        <f ca="1">DATOSAÑO!Q43</f>
        <v>0</v>
      </c>
      <c r="J44" s="11">
        <f ca="1">DATOSAÑO!R43</f>
        <v>0</v>
      </c>
      <c r="K44" s="9">
        <f ca="1">DATOSAÑO!T43</f>
        <v>0</v>
      </c>
      <c r="L44" s="11">
        <f t="shared" ca="1" si="0"/>
        <v>0</v>
      </c>
      <c r="M44" s="9"/>
      <c r="N44" s="11">
        <f t="shared" si="1"/>
        <v>0</v>
      </c>
      <c r="O44" s="9">
        <f>DATOSAÑO!CK43</f>
        <v>0</v>
      </c>
      <c r="P44" s="9">
        <f>DATOSAÑO!CL43</f>
        <v>0</v>
      </c>
      <c r="Q44" s="9">
        <f ca="1">DATOSAÑO!AD43</f>
        <v>62.699999999953434</v>
      </c>
      <c r="R44" s="11">
        <f ca="1">(Q44*DATOSAÑO!$Z$11)/DATOSAÑO!$Y$11</f>
        <v>1.1297701227435903</v>
      </c>
      <c r="S44" s="9">
        <f ca="1">DATOSAÑO!AF43</f>
        <v>145.10000000003492</v>
      </c>
      <c r="T44" s="11">
        <f ca="1">(S44*DATOSAÑO!$Z$11)/DATOSAÑO!$Y$11</f>
        <v>2.614507891710625</v>
      </c>
      <c r="U44" s="9">
        <f ca="1">DATOSAÑO!AH43</f>
        <v>10.30000000000291</v>
      </c>
      <c r="V44" s="11">
        <f ca="1">(U44*DATOSAÑO!$Z$11)/DATOSAÑO!$Y$11</f>
        <v>0.18559222112074819</v>
      </c>
      <c r="W44" s="9">
        <f ca="1">DATOSAÑO!AI43</f>
        <v>43.299999999995634</v>
      </c>
      <c r="X44" s="11">
        <f ca="1">(W44*DATOSAÑO!$Z$11)/DATOSAÑO!$Y$11</f>
        <v>0.78020807519663249</v>
      </c>
      <c r="Y44" s="9">
        <f ca="1">DATOSAÑO!AJ43</f>
        <v>5.5</v>
      </c>
      <c r="Z44" s="11">
        <f ca="1">(Y44*DATOSAÑO!$Z$11)/DATOSAÑO!$Y$11</f>
        <v>9.9102642346002578E-2</v>
      </c>
      <c r="AA44" s="9">
        <f ca="1">DATOSAÑO!AK43</f>
        <v>9.9000000000232831</v>
      </c>
      <c r="AB44" s="11">
        <f ca="1">(AA44*DATOSAÑO!$Z$11)/DATOSAÑO!$Y$11</f>
        <v>0.17838475622322419</v>
      </c>
      <c r="AC44" s="9">
        <f ca="1">DATOSAÑO!AL43</f>
        <v>30.999999999978229</v>
      </c>
      <c r="AD44" s="11">
        <f ca="1">(AC44*DATOSAÑO!$Z$11)/DATOSAÑO!$Y$11</f>
        <v>0.55857852958616772</v>
      </c>
      <c r="AE44" s="9">
        <f ca="1">DATOSAÑO!AM43</f>
        <v>10.475999999966168</v>
      </c>
      <c r="AF44" s="11">
        <f ca="1">(AE44*DATOSAÑO!$Z$11)/DATOSAÑO!$Y$11</f>
        <v>0.18876350567515821</v>
      </c>
      <c r="AG44" s="9">
        <f ca="1">DATOSAÑO!AN43</f>
        <v>1.6659999999994541</v>
      </c>
      <c r="AH44" s="11">
        <f ca="1">(AG44*DATOSAÑO!$Z$11)/DATOSAÑO!$Y$11</f>
        <v>3.0019091299706584E-2</v>
      </c>
      <c r="AI44" s="9">
        <f ca="1">DATOSAÑO!BJ43</f>
        <v>0</v>
      </c>
      <c r="AJ44" s="11">
        <f ca="1">(AI44*DATOSAÑO!$Z$11)/DATOSAÑO!$Y$11</f>
        <v>0</v>
      </c>
      <c r="AK44" s="9">
        <f ca="1">DATOSAÑO!BM43</f>
        <v>4.3369999999999997</v>
      </c>
      <c r="AL44" s="11">
        <f ca="1">(AK44*DATOSAÑO!$Z$11)/DATOSAÑO!$Y$11</f>
        <v>7.8146938155384219E-2</v>
      </c>
      <c r="AM44" s="9">
        <f ca="1">DATOSAÑO!BP43</f>
        <v>3.387</v>
      </c>
      <c r="AN44" s="11">
        <f ca="1">(AM44*DATOSAÑO!$Z$11)/DATOSAÑO!$Y$11</f>
        <v>6.1029209022892862E-2</v>
      </c>
      <c r="AO44" s="9">
        <f ca="1">DATOSAÑO!BW43</f>
        <v>11.537999999983267</v>
      </c>
      <c r="AP44" s="11">
        <f ca="1">(AO44*DATOSAÑO!$Z$11)/DATOSAÑO!$Y$11</f>
        <v>0.20789932497936719</v>
      </c>
      <c r="AQ44" s="9">
        <f ca="1">DATOSAÑO!CC43</f>
        <v>1.6003999999997818</v>
      </c>
      <c r="AR44" s="1348">
        <f ca="1">(AQ44*DATOSAÑO!$Z$11)/DATOSAÑO!$Y$11</f>
        <v>2.8837067056458346E-2</v>
      </c>
      <c r="AS44" s="1384">
        <f t="shared" si="2"/>
        <v>5</v>
      </c>
    </row>
    <row r="45" spans="1:45">
      <c r="A45" s="1408">
        <v>44960</v>
      </c>
      <c r="B45" s="1869">
        <v>44960</v>
      </c>
      <c r="C45" s="9">
        <f ca="1">DATOSAÑO!I44</f>
        <v>293.39000000001397</v>
      </c>
      <c r="D45" s="10">
        <f ca="1">DATOSAÑO!$D44</f>
        <v>4.8688175723193163</v>
      </c>
      <c r="E45" s="11">
        <f ca="1">DATOSAÑO!$G44</f>
        <v>0</v>
      </c>
      <c r="F45" s="9">
        <f ca="1">DATOSAÑO!P44</f>
        <v>147.07999999999811</v>
      </c>
      <c r="G45" s="10">
        <f ca="1">DATOSAÑO!K44</f>
        <v>3.6757160760598349</v>
      </c>
      <c r="H45" s="11">
        <f ca="1">DATOSAÑO!N44</f>
        <v>0</v>
      </c>
      <c r="I45" s="9">
        <f ca="1">DATOSAÑO!Q44</f>
        <v>0</v>
      </c>
      <c r="J45" s="11">
        <f ca="1">DATOSAÑO!R44</f>
        <v>0</v>
      </c>
      <c r="K45" s="9">
        <f ca="1">DATOSAÑO!T44</f>
        <v>0</v>
      </c>
      <c r="L45" s="11">
        <f t="shared" ca="1" si="0"/>
        <v>0</v>
      </c>
      <c r="M45" s="9"/>
      <c r="N45" s="11">
        <f t="shared" si="1"/>
        <v>0</v>
      </c>
      <c r="O45" s="9">
        <f>DATOSAÑO!CK44</f>
        <v>0</v>
      </c>
      <c r="P45" s="9">
        <f>DATOSAÑO!CL44</f>
        <v>0</v>
      </c>
      <c r="Q45" s="9">
        <f ca="1">DATOSAÑO!AD44</f>
        <v>165</v>
      </c>
      <c r="R45" s="11">
        <f ca="1">(Q45*DATOSAÑO!$Z$11)/DATOSAÑO!$Y$11</f>
        <v>2.9730792703800777</v>
      </c>
      <c r="S45" s="9">
        <f ca="1">DATOSAÑO!AF44</f>
        <v>145.9199999999837</v>
      </c>
      <c r="T45" s="11">
        <f ca="1">(S45*DATOSAÑO!$Z$11)/DATOSAÑO!$Y$11</f>
        <v>2.6292831947503785</v>
      </c>
      <c r="U45" s="9">
        <f ca="1">DATOSAÑO!AH44</f>
        <v>11</v>
      </c>
      <c r="V45" s="11">
        <f ca="1">(U45*DATOSAÑO!$Z$11)/DATOSAÑO!$Y$11</f>
        <v>0.19820528469200516</v>
      </c>
      <c r="W45" s="9">
        <f ca="1">DATOSAÑO!AI44</f>
        <v>39.120000000002619</v>
      </c>
      <c r="X45" s="11">
        <f ca="1">(W45*DATOSAÑO!$Z$11)/DATOSAÑO!$Y$11</f>
        <v>0.70489006701379653</v>
      </c>
      <c r="Y45" s="9">
        <f ca="1">DATOSAÑO!AJ44</f>
        <v>8.8999999999941792</v>
      </c>
      <c r="Z45" s="11">
        <f ca="1">(Y45*DATOSAÑO!$Z$11)/DATOSAÑO!$Y$11</f>
        <v>0.16036609397797202</v>
      </c>
      <c r="AA45" s="9">
        <f ca="1">DATOSAÑO!AK44</f>
        <v>11.489999999990687</v>
      </c>
      <c r="AB45" s="11">
        <f ca="1">(AA45*DATOSAÑO!$Z$11)/DATOSAÑO!$Y$11</f>
        <v>0.20703442919175394</v>
      </c>
      <c r="AC45" s="9">
        <f ca="1">DATOSAÑO!AL44</f>
        <v>31.65999999999076</v>
      </c>
      <c r="AD45" s="11">
        <f ca="1">(AC45*DATOSAÑO!$Z$11)/DATOSAÑO!$Y$11</f>
        <v>0.57047084666791381</v>
      </c>
      <c r="AE45" s="9">
        <f ca="1">DATOSAÑO!AM44</f>
        <v>10.066000000051094</v>
      </c>
      <c r="AF45" s="11">
        <f ca="1">(AE45*DATOSAÑO!$Z$11)/DATOSAÑO!$Y$11</f>
        <v>0.1813758541563501</v>
      </c>
      <c r="AG45" s="9">
        <f ca="1">DATOSAÑO!AN44</f>
        <v>1.4629999999994725</v>
      </c>
      <c r="AH45" s="11">
        <f ca="1">(AG45*DATOSAÑO!$Z$11)/DATOSAÑO!$Y$11</f>
        <v>2.6361302864027183E-2</v>
      </c>
      <c r="AI45" s="9">
        <f ca="1">DATOSAÑO!BJ44</f>
        <v>0</v>
      </c>
      <c r="AJ45" s="11">
        <f ca="1">(AI45*DATOSAÑO!$Z$11)/DATOSAÑO!$Y$11</f>
        <v>0</v>
      </c>
      <c r="AK45" s="9">
        <f ca="1">DATOSAÑO!BM44</f>
        <v>4.57</v>
      </c>
      <c r="AL45" s="11">
        <f ca="1">(AK45*DATOSAÑO!$Z$11)/DATOSAÑO!$Y$11</f>
        <v>8.2345286458405789E-2</v>
      </c>
      <c r="AM45" s="9">
        <f ca="1">DATOSAÑO!BP44</f>
        <v>3.6840000000000002</v>
      </c>
      <c r="AN45" s="11">
        <f ca="1">(AM45*DATOSAÑO!$Z$11)/DATOSAÑO!$Y$11</f>
        <v>6.6380751709576996E-2</v>
      </c>
      <c r="AO45" s="9">
        <f ca="1">DATOSAÑO!BW44</f>
        <v>11.51300000002511</v>
      </c>
      <c r="AP45" s="11">
        <f ca="1">(AO45*DATOSAÑO!$Z$11)/DATOSAÑO!$Y$11</f>
        <v>0.20744885842400296</v>
      </c>
      <c r="AQ45" s="9">
        <f ca="1">DATOSAÑO!CC44</f>
        <v>1.702199999999789</v>
      </c>
      <c r="AR45" s="1348">
        <f ca="1">(AQ45*DATOSAÑO!$Z$11)/DATOSAÑO!$Y$11</f>
        <v>3.0671366872971759E-2</v>
      </c>
      <c r="AS45" s="1384">
        <f t="shared" si="2"/>
        <v>5</v>
      </c>
    </row>
    <row r="46" spans="1:45" ht="16.5" customHeight="1">
      <c r="A46" s="1408">
        <v>44961</v>
      </c>
      <c r="B46" s="1869">
        <v>44961</v>
      </c>
      <c r="C46" s="9">
        <f ca="1">DATOSAÑO!I45</f>
        <v>309.57999999995809</v>
      </c>
      <c r="D46" s="10">
        <f ca="1">DATOSAÑO!$D45</f>
        <v>5.0008407643388111</v>
      </c>
      <c r="E46" s="11">
        <f ca="1">DATOSAÑO!$G45</f>
        <v>0</v>
      </c>
      <c r="F46" s="9">
        <f ca="1">DATOSAÑO!P45</f>
        <v>145.28000000000247</v>
      </c>
      <c r="G46" s="10">
        <f ca="1">DATOSAÑO!K45</f>
        <v>3.6610377718204692</v>
      </c>
      <c r="H46" s="11">
        <f ca="1">DATOSAÑO!N45</f>
        <v>0</v>
      </c>
      <c r="I46" s="9">
        <f ca="1">DATOSAÑO!Q45</f>
        <v>0</v>
      </c>
      <c r="J46" s="11">
        <f ca="1">DATOSAÑO!R45</f>
        <v>0</v>
      </c>
      <c r="K46" s="9">
        <f ca="1">DATOSAÑO!T45</f>
        <v>0</v>
      </c>
      <c r="L46" s="11">
        <f t="shared" ca="1" si="0"/>
        <v>0</v>
      </c>
      <c r="M46" s="9"/>
      <c r="N46" s="11">
        <f t="shared" si="1"/>
        <v>0</v>
      </c>
      <c r="O46" s="9">
        <f>DATOSAÑO!CK45</f>
        <v>0</v>
      </c>
      <c r="P46" s="9">
        <f>DATOSAÑO!CL45</f>
        <v>0</v>
      </c>
      <c r="Q46" s="9">
        <f ca="1">DATOSAÑO!AD45</f>
        <v>164.68000000005122</v>
      </c>
      <c r="R46" s="11">
        <f ca="1">(Q46*DATOSAÑO!$Z$11)/DATOSAÑO!$Y$11</f>
        <v>2.9673132984626878</v>
      </c>
      <c r="S46" s="9">
        <f ca="1">DATOSAÑO!AF45</f>
        <v>150.52000000001863</v>
      </c>
      <c r="T46" s="11">
        <f ca="1">(S46*DATOSAÑO!$Z$11)/DATOSAÑO!$Y$11</f>
        <v>2.7121690410767556</v>
      </c>
      <c r="U46" s="9">
        <f ca="1">DATOSAÑO!AH45</f>
        <v>19.5</v>
      </c>
      <c r="V46" s="11">
        <f ca="1">(U46*DATOSAÑO!$Z$11)/DATOSAÑO!$Y$11</f>
        <v>0.35136391377219095</v>
      </c>
      <c r="W46" s="9">
        <f ca="1">DATOSAÑO!AI45</f>
        <v>38.760000000002037</v>
      </c>
      <c r="X46" s="11">
        <f ca="1">(W46*DATOSAÑO!$Z$11)/DATOSAÑO!$Y$11</f>
        <v>0.69840334860568398</v>
      </c>
      <c r="Y46" s="9">
        <f ca="1">DATOSAÑO!AJ45</f>
        <v>8.7200000000011642</v>
      </c>
      <c r="Z46" s="11">
        <f ca="1">(Y46*DATOSAÑO!$Z$11)/DATOSAÑO!$Y$11</f>
        <v>0.15712273477404687</v>
      </c>
      <c r="AA46" s="9">
        <f ca="1">DATOSAÑO!AK45</f>
        <v>13.85999999998603</v>
      </c>
      <c r="AB46" s="11">
        <f ca="1">(AA46*DATOSAÑO!$Z$11)/DATOSAÑO!$Y$11</f>
        <v>0.24973865871167478</v>
      </c>
      <c r="AC46" s="9">
        <f ca="1">DATOSAÑO!AL45</f>
        <v>30.539999999919019</v>
      </c>
      <c r="AD46" s="11">
        <f ca="1">(AC46*DATOSAÑO!$Z$11)/DATOSAÑO!$Y$11</f>
        <v>0.55028994495252603</v>
      </c>
      <c r="AE46" s="9">
        <f ca="1">DATOSAÑO!AM45</f>
        <v>9.456999999981333</v>
      </c>
      <c r="AF46" s="11">
        <f ca="1">(AE46*DATOSAÑO!$Z$11)/DATOSAÑO!$Y$11</f>
        <v>0.1704024888480539</v>
      </c>
      <c r="AG46" s="9">
        <f ca="1">DATOSAÑO!AN45</f>
        <v>3.2970000000006205</v>
      </c>
      <c r="AH46" s="11">
        <f ca="1">(AG46*DATOSAÑO!$Z$11)/DATOSAÑO!$Y$11</f>
        <v>5.9407529420878548E-2</v>
      </c>
      <c r="AI46" s="9">
        <f ca="1">DATOSAÑO!BJ45</f>
        <v>0</v>
      </c>
      <c r="AJ46" s="11">
        <f ca="1">(AI46*DATOSAÑO!$Z$11)/DATOSAÑO!$Y$11</f>
        <v>0</v>
      </c>
      <c r="AK46" s="9">
        <f ca="1">DATOSAÑO!BM45</f>
        <v>4.5819999999999999</v>
      </c>
      <c r="AL46" s="11">
        <f ca="1">(AK46*DATOSAÑO!$Z$11)/DATOSAÑO!$Y$11</f>
        <v>8.2561510405342514E-2</v>
      </c>
      <c r="AM46" s="9">
        <f ca="1">DATOSAÑO!BP45</f>
        <v>3.6709999999999998</v>
      </c>
      <c r="AN46" s="11">
        <f ca="1">(AM46*DATOSAÑO!$Z$11)/DATOSAÑO!$Y$11</f>
        <v>6.6146509100395545E-2</v>
      </c>
      <c r="AO46" s="9">
        <f ca="1">DATOSAÑO!BW45</f>
        <v>11.168499999991177</v>
      </c>
      <c r="AP46" s="11">
        <f ca="1">(AO46*DATOSAÑO!$Z$11)/DATOSAÑO!$Y$11</f>
        <v>0.20124142928008282</v>
      </c>
      <c r="AQ46" s="9">
        <f ca="1">DATOSAÑO!CC45</f>
        <v>2.1518000000002484</v>
      </c>
      <c r="AR46" s="1348">
        <f ca="1">(AQ46*DATOSAÑO!$Z$11)/DATOSAÑO!$Y$11</f>
        <v>3.8772557418209633E-2</v>
      </c>
      <c r="AS46" s="1384">
        <f t="shared" si="2"/>
        <v>5</v>
      </c>
    </row>
    <row r="47" spans="1:45">
      <c r="A47" s="1408">
        <v>44962</v>
      </c>
      <c r="B47" s="1869">
        <v>44962</v>
      </c>
      <c r="C47" s="9">
        <f ca="1">DATOSAÑO!I46</f>
        <v>304.11000000010245</v>
      </c>
      <c r="D47" s="10">
        <f ca="1">DATOSAÑO!$D46</f>
        <v>4.9562350286791403</v>
      </c>
      <c r="E47" s="11">
        <f ca="1">DATOSAÑO!$G46</f>
        <v>0</v>
      </c>
      <c r="F47" s="9">
        <f ca="1">DATOSAÑO!P46</f>
        <v>147.07999999999811</v>
      </c>
      <c r="G47" s="10">
        <f ca="1">DATOSAÑO!K46</f>
        <v>3.6757160760598349</v>
      </c>
      <c r="H47" s="11">
        <f ca="1">DATOSAÑO!N46</f>
        <v>0</v>
      </c>
      <c r="I47" s="9">
        <f ca="1">DATOSAÑO!Q46</f>
        <v>0</v>
      </c>
      <c r="J47" s="11">
        <f ca="1">DATOSAÑO!R46</f>
        <v>0</v>
      </c>
      <c r="K47" s="9">
        <f ca="1">DATOSAÑO!T46</f>
        <v>0</v>
      </c>
      <c r="L47" s="11">
        <f t="shared" ca="1" si="0"/>
        <v>0</v>
      </c>
      <c r="M47" s="9"/>
      <c r="N47" s="11">
        <f t="shared" si="1"/>
        <v>0</v>
      </c>
      <c r="O47" s="9">
        <f>DATOSAÑO!CK46</f>
        <v>0</v>
      </c>
      <c r="P47" s="9">
        <f>DATOSAÑO!CL46</f>
        <v>0</v>
      </c>
      <c r="Q47" s="9">
        <f ca="1">DATOSAÑO!AD46</f>
        <v>165.71999999997206</v>
      </c>
      <c r="R47" s="11">
        <f ca="1">(Q47*DATOSAÑO!$Z$11)/DATOSAÑO!$Y$11</f>
        <v>2.9860527071957783</v>
      </c>
      <c r="S47" s="9">
        <f ca="1">DATOSAÑO!AF46</f>
        <v>152.85999999998603</v>
      </c>
      <c r="T47" s="11">
        <f ca="1">(S47*DATOSAÑO!$Z$11)/DATOSAÑO!$Y$11</f>
        <v>2.7543327107288311</v>
      </c>
      <c r="U47" s="9">
        <f ca="1">DATOSAÑO!AH46</f>
        <v>10.599999999998545</v>
      </c>
      <c r="V47" s="11">
        <f ca="1">(U47*DATOSAÑO!$Z$11)/DATOSAÑO!$Y$11</f>
        <v>0.19099781979408784</v>
      </c>
      <c r="W47" s="9">
        <f ca="1">DATOSAÑO!AI46</f>
        <v>39.209999999999127</v>
      </c>
      <c r="X47" s="11">
        <f ca="1">(W47*DATOSAÑO!$Z$11)/DATOSAÑO!$Y$11</f>
        <v>0.70651174661575911</v>
      </c>
      <c r="Y47" s="9">
        <f ca="1">DATOSAÑO!AJ46</f>
        <v>8.680000000007567</v>
      </c>
      <c r="Z47" s="11">
        <f ca="1">(Y47*DATOSAÑO!$Z$11)/DATOSAÑO!$Y$11</f>
        <v>0.15640198828437316</v>
      </c>
      <c r="AA47" s="9">
        <f ca="1">DATOSAÑO!AK46</f>
        <v>12.730000000010477</v>
      </c>
      <c r="AB47" s="11">
        <f ca="1">(AA47*DATOSAÑO!$Z$11)/DATOSAÑO!$Y$11</f>
        <v>0.22937757037557296</v>
      </c>
      <c r="AC47" s="9">
        <f ca="1">DATOSAÑO!AL46</f>
        <v>32.550000000135697</v>
      </c>
      <c r="AD47" s="11">
        <f ca="1">(AC47*DATOSAÑO!$Z$11)/DATOSAÑO!$Y$11</f>
        <v>0.5865074560683331</v>
      </c>
      <c r="AE47" s="9">
        <f ca="1">DATOSAÑO!AM46</f>
        <v>9.0479999999918856</v>
      </c>
      <c r="AF47" s="11">
        <f ca="1">(AE47*DATOSAÑO!$Z$11)/DATOSAÑO!$Y$11</f>
        <v>0.16303285599015038</v>
      </c>
      <c r="AG47" s="9">
        <f ca="1">DATOSAÑO!AN46</f>
        <v>4.1399999999996364</v>
      </c>
      <c r="AH47" s="11">
        <f ca="1">(AG47*DATOSAÑO!$Z$11)/DATOSAÑO!$Y$11</f>
        <v>7.45972616931663E-2</v>
      </c>
      <c r="AI47" s="9">
        <f ca="1">DATOSAÑO!BJ46</f>
        <v>0</v>
      </c>
      <c r="AJ47" s="11">
        <f ca="1">(AI47*DATOSAÑO!$Z$11)/DATOSAÑO!$Y$11</f>
        <v>0</v>
      </c>
      <c r="AK47" s="9">
        <f ca="1">DATOSAÑO!BM46</f>
        <v>4.5919999999999996</v>
      </c>
      <c r="AL47" s="11">
        <f ca="1">(AK47*DATOSAÑO!$Z$11)/DATOSAÑO!$Y$11</f>
        <v>8.2741697027789787E-2</v>
      </c>
      <c r="AM47" s="9">
        <f ca="1">DATOSAÑO!BP46</f>
        <v>3.78</v>
      </c>
      <c r="AN47" s="11">
        <f ca="1">(AM47*DATOSAÑO!$Z$11)/DATOSAÑO!$Y$11</f>
        <v>6.8110543285070865E-2</v>
      </c>
      <c r="AO47" s="9">
        <f ca="1">DATOSAÑO!BW46</f>
        <v>11.043999999995471</v>
      </c>
      <c r="AP47" s="11">
        <f ca="1">(AO47*DATOSAÑO!$Z$11)/DATOSAÑO!$Y$11</f>
        <v>0.19899810583069158</v>
      </c>
      <c r="AQ47" s="9">
        <f ca="1">DATOSAÑO!CC46</f>
        <v>2.4159999999998547</v>
      </c>
      <c r="AR47" s="1348">
        <f ca="1">(AQ47*DATOSAÑO!$Z$11)/DATOSAÑO!$Y$11</f>
        <v>4.3533087983259611E-2</v>
      </c>
      <c r="AS47" s="1384">
        <f t="shared" si="2"/>
        <v>6</v>
      </c>
    </row>
    <row r="48" spans="1:45" ht="16.5" customHeight="1">
      <c r="A48" s="1408">
        <v>44963</v>
      </c>
      <c r="B48" s="1869">
        <v>44963</v>
      </c>
      <c r="C48" s="9">
        <f ca="1">DATOSAÑO!I47</f>
        <v>303.55999999993946</v>
      </c>
      <c r="D48" s="10">
        <f ca="1">DATOSAÑO!$D47</f>
        <v>4.9517499912713276</v>
      </c>
      <c r="E48" s="11">
        <f ca="1">DATOSAÑO!$G47</f>
        <v>0</v>
      </c>
      <c r="F48" s="9">
        <f ca="1">DATOSAÑO!P47</f>
        <v>146.54000000000087</v>
      </c>
      <c r="G48" s="10">
        <f ca="1">DATOSAÑO!K47</f>
        <v>3.671312584788037</v>
      </c>
      <c r="H48" s="11">
        <f ca="1">DATOSAÑO!N47</f>
        <v>0</v>
      </c>
      <c r="I48" s="9">
        <f ca="1">DATOSAÑO!Q47</f>
        <v>0</v>
      </c>
      <c r="J48" s="11">
        <f ca="1">DATOSAÑO!R47</f>
        <v>0</v>
      </c>
      <c r="K48" s="9">
        <f ca="1">DATOSAÑO!T47</f>
        <v>0</v>
      </c>
      <c r="L48" s="11">
        <f t="shared" ca="1" si="0"/>
        <v>0</v>
      </c>
      <c r="M48" s="9"/>
      <c r="N48" s="11">
        <f t="shared" si="1"/>
        <v>0</v>
      </c>
      <c r="O48" s="9">
        <f>DATOSAÑO!CK47</f>
        <v>0</v>
      </c>
      <c r="P48" s="9">
        <f>DATOSAÑO!CL47</f>
        <v>0</v>
      </c>
      <c r="Q48" s="9">
        <f ca="1">DATOSAÑO!AD47</f>
        <v>164</v>
      </c>
      <c r="R48" s="11">
        <f ca="1">(Q48*DATOSAÑO!$Z$11)/DATOSAÑO!$Y$11</f>
        <v>2.9550606081353497</v>
      </c>
      <c r="S48" s="9">
        <f ca="1">DATOSAÑO!AF47</f>
        <v>152.42999999999302</v>
      </c>
      <c r="T48" s="11">
        <f ca="1">(S48*DATOSAÑO!$Z$11)/DATOSAÑO!$Y$11</f>
        <v>2.7465846859637235</v>
      </c>
      <c r="U48" s="9">
        <f ca="1">DATOSAÑO!AH47</f>
        <v>9.0999999999985448</v>
      </c>
      <c r="V48" s="11">
        <f ca="1">(U48*DATOSAÑO!$Z$11)/DATOSAÑO!$Y$11</f>
        <v>0.16396982642699626</v>
      </c>
      <c r="W48" s="9">
        <f ca="1">DATOSAÑO!AI47</f>
        <v>40.180000000000291</v>
      </c>
      <c r="X48" s="11">
        <f ca="1">(W48*DATOSAÑO!$Z$11)/DATOSAÑO!$Y$11</f>
        <v>0.72398984899316587</v>
      </c>
      <c r="Y48" s="9">
        <f ca="1">DATOSAÑO!AJ47</f>
        <v>8.9199999999982538</v>
      </c>
      <c r="Z48" s="11">
        <f ca="1">(Y48*DATOSAÑO!$Z$11)/DATOSAÑO!$Y$11</f>
        <v>0.16072646722293998</v>
      </c>
      <c r="AA48" s="9">
        <f ca="1">DATOSAÑO!AK47</f>
        <v>12.64000000001397</v>
      </c>
      <c r="AB48" s="11">
        <f ca="1">(AA48*DATOSAÑO!$Z$11)/DATOSAÑO!$Y$11</f>
        <v>0.22775589077361039</v>
      </c>
      <c r="AC48" s="9">
        <f ca="1">DATOSAÑO!AL47</f>
        <v>34.25999999990745</v>
      </c>
      <c r="AD48" s="11">
        <f ca="1">(AC48*DATOSAÑO!$Z$11)/DATOSAÑO!$Y$11</f>
        <v>0.61731936850270486</v>
      </c>
      <c r="AE48" s="9">
        <f ca="1">DATOSAÑO!AM47</f>
        <v>8.5970000000287747</v>
      </c>
      <c r="AF48" s="11">
        <f ca="1">(AE48*DATOSAÑO!$Z$11)/DATOSAÑO!$Y$11</f>
        <v>0.15490643931844289</v>
      </c>
      <c r="AG48" s="9">
        <f ca="1">DATOSAÑO!AN47</f>
        <v>4.4460000000000726</v>
      </c>
      <c r="AH48" s="11">
        <f ca="1">(AG48*DATOSAÑO!$Z$11)/DATOSAÑO!$Y$11</f>
        <v>8.0110972340060843E-2</v>
      </c>
      <c r="AI48" s="9">
        <f ca="1">DATOSAÑO!BJ47</f>
        <v>0</v>
      </c>
      <c r="AJ48" s="11">
        <f ca="1">(AI48*DATOSAÑO!$Z$11)/DATOSAÑO!$Y$11</f>
        <v>0</v>
      </c>
      <c r="AK48" s="9">
        <f ca="1">DATOSAÑO!BM47</f>
        <v>4.5739999999999998</v>
      </c>
      <c r="AL48" s="11">
        <f ca="1">(AK48*DATOSAÑO!$Z$11)/DATOSAÑO!$Y$11</f>
        <v>8.2417361107384693E-2</v>
      </c>
      <c r="AM48" s="9">
        <f ca="1">DATOSAÑO!BP47</f>
        <v>3.6890000000000001</v>
      </c>
      <c r="AN48" s="11">
        <f ca="1">(AM48*DATOSAÑO!$Z$11)/DATOSAÑO!$Y$11</f>
        <v>6.647084502080064E-2</v>
      </c>
      <c r="AO48" s="9">
        <f ca="1">DATOSAÑO!BW47</f>
        <v>10.838500000014351</v>
      </c>
      <c r="AP48" s="11">
        <f ca="1">(AO48*DATOSAÑO!$Z$11)/DATOSAÑO!$Y$11</f>
        <v>0.19529527073974023</v>
      </c>
      <c r="AQ48" s="9">
        <f ca="1">DATOSAÑO!CC47</f>
        <v>2.502400000000029</v>
      </c>
      <c r="AR48" s="1348">
        <f ca="1">(AQ48*DATOSAÑO!$Z$11)/DATOSAÑO!$Y$11</f>
        <v>4.5089900401207222E-2</v>
      </c>
      <c r="AS48" s="1384">
        <f t="shared" si="2"/>
        <v>6</v>
      </c>
    </row>
    <row r="49" spans="1:45">
      <c r="A49" s="1408">
        <v>44964</v>
      </c>
      <c r="B49" s="1869">
        <v>44964</v>
      </c>
      <c r="C49" s="9">
        <f ca="1">DATOSAÑO!I48</f>
        <v>317.76000000000931</v>
      </c>
      <c r="D49" s="10">
        <f ca="1">DATOSAÑO!$D48</f>
        <v>5.0675455024938412</v>
      </c>
      <c r="E49" s="11">
        <f ca="1">DATOSAÑO!$G48</f>
        <v>0</v>
      </c>
      <c r="F49" s="9">
        <f ca="1">DATOSAÑO!P48</f>
        <v>148.81999999999971</v>
      </c>
      <c r="G49" s="10">
        <f ca="1">DATOSAÑO!K48</f>
        <v>3.6899051034912693</v>
      </c>
      <c r="H49" s="11">
        <f ca="1">DATOSAÑO!N48</f>
        <v>0</v>
      </c>
      <c r="I49" s="9">
        <f ca="1">DATOSAÑO!Q48</f>
        <v>0.33100000000013097</v>
      </c>
      <c r="J49" s="11">
        <f ca="1">DATOSAÑO!R48</f>
        <v>39.720000000015716</v>
      </c>
      <c r="K49" s="9">
        <f ca="1">DATOSAÑO!T48</f>
        <v>0.36499999999989541</v>
      </c>
      <c r="L49" s="11">
        <f t="shared" ca="1" si="0"/>
        <v>43.799999999987449</v>
      </c>
      <c r="M49" s="9"/>
      <c r="N49" s="11">
        <f t="shared" si="1"/>
        <v>0</v>
      </c>
      <c r="O49" s="9">
        <f>DATOSAÑO!CK48</f>
        <v>0.3</v>
      </c>
      <c r="P49" s="9">
        <f>DATOSAÑO!CL48</f>
        <v>0.4</v>
      </c>
      <c r="Q49" s="9">
        <f ca="1">DATOSAÑO!AD48</f>
        <v>164.69999999995343</v>
      </c>
      <c r="R49" s="11">
        <f ca="1">(Q49*DATOSAÑO!$Z$11)/DATOSAÑO!$Y$11</f>
        <v>2.9676736717058199</v>
      </c>
      <c r="S49" s="9">
        <f ca="1">DATOSAÑO!AF48</f>
        <v>155.36999999999534</v>
      </c>
      <c r="T49" s="11">
        <f ca="1">(S49*DATOSAÑO!$Z$11)/DATOSAÑO!$Y$11</f>
        <v>2.7995595529632658</v>
      </c>
      <c r="U49" s="9">
        <f ca="1">DATOSAÑO!AH48</f>
        <v>14</v>
      </c>
      <c r="V49" s="11">
        <f ca="1">(U49*DATOSAÑO!$Z$11)/DATOSAÑO!$Y$11</f>
        <v>0.25226127142618837</v>
      </c>
      <c r="W49" s="9">
        <f ca="1">DATOSAÑO!AI48</f>
        <v>42.129999999997381</v>
      </c>
      <c r="X49" s="11">
        <f ca="1">(W49*DATOSAÑO!$Z$11)/DATOSAÑO!$Y$11</f>
        <v>0.75912624037033261</v>
      </c>
      <c r="Y49" s="9">
        <f ca="1">DATOSAÑO!AJ48</f>
        <v>10.380000000004657</v>
      </c>
      <c r="Z49" s="11">
        <f ca="1">(Y49*DATOSAÑO!$Z$11)/DATOSAÑO!$Y$11</f>
        <v>0.18703371410035788</v>
      </c>
      <c r="AA49" s="9">
        <f ca="1">DATOSAÑO!AK48</f>
        <v>14.279999999998836</v>
      </c>
      <c r="AB49" s="11">
        <f ca="1">(AA49*DATOSAÑO!$Z$11)/DATOSAÑO!$Y$11</f>
        <v>0.2573064968546912</v>
      </c>
      <c r="AC49" s="9">
        <f ca="1">DATOSAÑO!AL48</f>
        <v>37.086000000077661</v>
      </c>
      <c r="AD49" s="11">
        <f ca="1">(AC49*DATOSAÑO!$Z$11)/DATOSAÑO!$Y$11</f>
        <v>0.66824010800937239</v>
      </c>
      <c r="AE49" s="9">
        <f ca="1">DATOSAÑO!AM48</f>
        <v>9.3149999999816426</v>
      </c>
      <c r="AF49" s="11">
        <f ca="1">(AE49*DATOSAÑO!$Z$11)/DATOSAÑO!$Y$11</f>
        <v>0.16784383880930814</v>
      </c>
      <c r="AG49" s="9">
        <f ca="1">DATOSAÑO!AN48</f>
        <v>4.3240000000002023</v>
      </c>
      <c r="AH49" s="11">
        <f ca="1">(AG49*DATOSAÑO!$Z$11)/DATOSAÑO!$Y$11</f>
        <v>7.7912695546206404E-2</v>
      </c>
      <c r="AI49" s="9">
        <f ca="1">DATOSAÑO!BJ48</f>
        <v>0</v>
      </c>
      <c r="AJ49" s="11">
        <f ca="1">(AI49*DATOSAÑO!$Z$11)/DATOSAÑO!$Y$11</f>
        <v>0</v>
      </c>
      <c r="AK49" s="9">
        <f ca="1">DATOSAÑO!BM48</f>
        <v>4.641</v>
      </c>
      <c r="AL49" s="11">
        <f ca="1">(AK49*DATOSAÑO!$Z$11)/DATOSAÑO!$Y$11</f>
        <v>8.3624611477781455E-2</v>
      </c>
      <c r="AM49" s="9">
        <f ca="1">DATOSAÑO!BP48</f>
        <v>3.6640000000000001</v>
      </c>
      <c r="AN49" s="11">
        <f ca="1">(AM49*DATOSAÑO!$Z$11)/DATOSAÑO!$Y$11</f>
        <v>6.602037846468245E-2</v>
      </c>
      <c r="AO49" s="9">
        <f ca="1">DATOSAÑO!BW48</f>
        <v>11.277499999990713</v>
      </c>
      <c r="AP49" s="11">
        <f ca="1">(AO49*DATOSAÑO!$Z$11)/DATOSAÑO!$Y$11</f>
        <v>0.2032054634647498</v>
      </c>
      <c r="AQ49" s="9">
        <f ca="1">DATOSAÑO!CC48</f>
        <v>2.4956000000000813</v>
      </c>
      <c r="AR49" s="1348">
        <f ca="1">(AQ49*DATOSAÑO!$Z$11)/DATOSAÑO!$Y$11</f>
        <v>4.4967373497944017E-2</v>
      </c>
      <c r="AS49" s="1384">
        <f t="shared" si="2"/>
        <v>6</v>
      </c>
    </row>
    <row r="50" spans="1:45" ht="16.5" customHeight="1">
      <c r="A50" s="1408">
        <v>44965</v>
      </c>
      <c r="B50" s="1869">
        <v>44965</v>
      </c>
      <c r="C50" s="9">
        <f ca="1">DATOSAÑO!I49</f>
        <v>314</v>
      </c>
      <c r="D50" s="10">
        <f ca="1">DATOSAÑO!$D49</f>
        <v>5.0368841558603492</v>
      </c>
      <c r="E50" s="11">
        <f ca="1">DATOSAÑO!$G49</f>
        <v>0</v>
      </c>
      <c r="F50" s="9">
        <f ca="1">DATOSAÑO!P49</f>
        <v>126</v>
      </c>
      <c r="G50" s="10">
        <f ca="1">DATOSAÑO!K49</f>
        <v>3.503816824189526</v>
      </c>
      <c r="H50" s="11">
        <f ca="1">DATOSAÑO!N49</f>
        <v>0</v>
      </c>
      <c r="I50" s="9">
        <f ca="1">DATOSAÑO!Q49</f>
        <v>0</v>
      </c>
      <c r="J50" s="11">
        <f ca="1">DATOSAÑO!R49</f>
        <v>0</v>
      </c>
      <c r="K50" s="9">
        <f ca="1">DATOSAÑO!T49</f>
        <v>2.2960000000000491</v>
      </c>
      <c r="L50" s="11">
        <f t="shared" ca="1" si="0"/>
        <v>275.52000000000589</v>
      </c>
      <c r="M50" s="9"/>
      <c r="N50" s="11">
        <f t="shared" si="1"/>
        <v>0</v>
      </c>
      <c r="O50" s="9">
        <f>DATOSAÑO!CK49</f>
        <v>0</v>
      </c>
      <c r="P50" s="9">
        <f>DATOSAÑO!CL49</f>
        <v>2.2999999999999998</v>
      </c>
      <c r="Q50" s="9">
        <f ca="1">DATOSAÑO!AD49</f>
        <v>152.80000000004657</v>
      </c>
      <c r="R50" s="11">
        <f ca="1">(Q50*DATOSAÑO!$Z$11)/DATOSAÑO!$Y$11</f>
        <v>2.7532515909952382</v>
      </c>
      <c r="S50" s="9">
        <f ca="1">DATOSAÑO!AF49</f>
        <v>154</v>
      </c>
      <c r="T50" s="11">
        <f ca="1">(S50*DATOSAÑO!$Z$11)/DATOSAÑO!$Y$11</f>
        <v>2.7748739856880724</v>
      </c>
      <c r="U50" s="9">
        <f ca="1">DATOSAÑO!AH49</f>
        <v>9.8000000000029104</v>
      </c>
      <c r="V50" s="11">
        <f ca="1">(U50*DATOSAÑO!$Z$11)/DATOSAÑO!$Y$11</f>
        <v>0.17658288999838434</v>
      </c>
      <c r="W50" s="9">
        <f ca="1">DATOSAÑO!AI49</f>
        <v>42.200000000004366</v>
      </c>
      <c r="X50" s="11">
        <f ca="1">(W50*DATOSAÑO!$Z$11)/DATOSAÑO!$Y$11</f>
        <v>0.76038754672758946</v>
      </c>
      <c r="Y50" s="9">
        <f ca="1">DATOSAÑO!AJ49</f>
        <v>9.7999999999883585</v>
      </c>
      <c r="Z50" s="11">
        <f ca="1">(Y50*DATOSAÑO!$Z$11)/DATOSAÑO!$Y$11</f>
        <v>0.17658288999812211</v>
      </c>
      <c r="AA50" s="9">
        <f ca="1">DATOSAÑO!AK49</f>
        <v>12.699999999982538</v>
      </c>
      <c r="AB50" s="11">
        <f ca="1">(AA50*DATOSAÑO!$Z$11)/DATOSAÑO!$Y$11</f>
        <v>0.22883701050772767</v>
      </c>
      <c r="AC50" s="9">
        <f ca="1">DATOSAÑO!AL49</f>
        <v>36.295999999974583</v>
      </c>
      <c r="AD50" s="11">
        <f ca="1">(AC50*DATOSAÑO!$Z$11)/DATOSAÑO!$Y$11</f>
        <v>0.65400536483418015</v>
      </c>
      <c r="AE50" s="9">
        <f ca="1">DATOSAÑO!AM49</f>
        <v>5.6100000000008095</v>
      </c>
      <c r="AF50" s="11">
        <f ca="1">(AE50*DATOSAÑO!$Z$11)/DATOSAÑO!$Y$11</f>
        <v>0.10108469519293722</v>
      </c>
      <c r="AG50" s="9">
        <f ca="1">DATOSAÑO!AN49</f>
        <v>3.8840000000000909</v>
      </c>
      <c r="AH50" s="11">
        <f ca="1">(AG50*DATOSAÑO!$Z$11)/DATOSAÑO!$Y$11</f>
        <v>6.9984484158524193E-2</v>
      </c>
      <c r="AI50" s="9">
        <f ca="1">DATOSAÑO!BJ49</f>
        <v>2.0670000000000002</v>
      </c>
      <c r="AJ50" s="11">
        <f ca="1">(AI50*DATOSAÑO!$Z$11)/DATOSAÑO!$Y$11</f>
        <v>3.7244574859852247E-2</v>
      </c>
      <c r="AK50" s="9">
        <f ca="1">DATOSAÑO!BM49</f>
        <v>4.67</v>
      </c>
      <c r="AL50" s="11">
        <f ca="1">(AK50*DATOSAÑO!$Z$11)/DATOSAÑO!$Y$11</f>
        <v>8.4147152682878562E-2</v>
      </c>
      <c r="AM50" s="9">
        <f ca="1">DATOSAÑO!BP49</f>
        <v>1.2529999999999999</v>
      </c>
      <c r="AN50" s="11">
        <f ca="1">(AM50*DATOSAÑO!$Z$11)/DATOSAÑO!$Y$11</f>
        <v>2.257738379264386E-2</v>
      </c>
      <c r="AO50" s="9">
        <f ca="1">DATOSAÑO!BW49</f>
        <v>9.0050000000002228</v>
      </c>
      <c r="AP50" s="11">
        <f ca="1">(AO50*DATOSAÑO!$Z$11)/DATOSAÑO!$Y$11</f>
        <v>0.16225805351377734</v>
      </c>
      <c r="AQ50" s="9">
        <f ca="1">DATOSAÑO!CC49</f>
        <v>2.5696000000000367</v>
      </c>
      <c r="AR50" s="1348">
        <f ca="1">(AQ50*DATOSAÑO!$Z$11)/DATOSAÑO!$Y$11</f>
        <v>4.630075450405307E-2</v>
      </c>
      <c r="AS50" s="1384">
        <f t="shared" si="2"/>
        <v>6</v>
      </c>
    </row>
    <row r="51" spans="1:45">
      <c r="A51" s="1408">
        <v>44966</v>
      </c>
      <c r="B51" s="1869">
        <v>44966</v>
      </c>
      <c r="C51" s="9">
        <f ca="1">DATOSAÑO!I50</f>
        <v>303</v>
      </c>
      <c r="D51" s="10">
        <f ca="1">DATOSAÑO!$D50</f>
        <v>4.9471834077306731</v>
      </c>
      <c r="E51" s="11">
        <f ca="1">DATOSAÑO!$G50</f>
        <v>0</v>
      </c>
      <c r="F51" s="9">
        <f ca="1">DATOSAÑO!P50</f>
        <v>146</v>
      </c>
      <c r="G51" s="10">
        <f ca="1">DATOSAÑO!K50</f>
        <v>3.6669090935162094</v>
      </c>
      <c r="H51" s="11">
        <f ca="1">DATOSAÑO!N50</f>
        <v>0</v>
      </c>
      <c r="I51" s="9">
        <f ca="1">DATOSAÑO!Q50</f>
        <v>0</v>
      </c>
      <c r="J51" s="11">
        <f ca="1">DATOSAÑO!R50</f>
        <v>0</v>
      </c>
      <c r="K51" s="9">
        <f ca="1">DATOSAÑO!T50</f>
        <v>0</v>
      </c>
      <c r="L51" s="11">
        <f t="shared" ca="1" si="0"/>
        <v>0</v>
      </c>
      <c r="M51" s="9"/>
      <c r="N51" s="11">
        <f t="shared" si="1"/>
        <v>0</v>
      </c>
      <c r="O51" s="9">
        <f>DATOSAÑO!CK50</f>
        <v>0</v>
      </c>
      <c r="P51" s="9">
        <f>DATOSAÑO!CL50</f>
        <v>0</v>
      </c>
      <c r="Q51" s="9">
        <f ca="1">DATOSAÑO!AD50</f>
        <v>163.59999999997672</v>
      </c>
      <c r="R51" s="11">
        <f ca="1">(Q51*DATOSAÑO!$Z$11)/DATOSAÑO!$Y$11</f>
        <v>2.947853143237039</v>
      </c>
      <c r="S51" s="9">
        <f ca="1">DATOSAÑO!AF50</f>
        <v>152</v>
      </c>
      <c r="T51" s="11">
        <f ca="1">(S51*DATOSAÑO!$Z$11)/DATOSAÑO!$Y$11</f>
        <v>2.7388366611986168</v>
      </c>
      <c r="U51" s="9">
        <f ca="1">DATOSAÑO!AH50</f>
        <v>9.5999999999985448</v>
      </c>
      <c r="V51" s="11">
        <f ca="1">(U51*DATOSAÑO!$Z$11)/DATOSAÑO!$Y$11</f>
        <v>0.17297915754936011</v>
      </c>
      <c r="W51" s="9">
        <f ca="1">DATOSAÑO!AI50</f>
        <v>42.69999999999709</v>
      </c>
      <c r="X51" s="11">
        <f ca="1">(W51*DATOSAÑO!$Z$11)/DATOSAÑO!$Y$11</f>
        <v>0.76939687784982214</v>
      </c>
      <c r="Y51" s="9">
        <f ca="1">DATOSAÑO!AJ50</f>
        <v>10.100000000005821</v>
      </c>
      <c r="Z51" s="11">
        <f ca="1">(Y51*DATOSAÑO!$Z$11)/DATOSAÑO!$Y$11</f>
        <v>0.18198848867185508</v>
      </c>
      <c r="AA51" s="9">
        <f ca="1">DATOSAÑO!AK50</f>
        <v>12.800000000017462</v>
      </c>
      <c r="AB51" s="11">
        <f ca="1">(AA51*DATOSAÑO!$Z$11)/DATOSAÑO!$Y$11</f>
        <v>0.23063887673282976</v>
      </c>
      <c r="AC51" s="9">
        <f ca="1">DATOSAÑO!AL50</f>
        <v>28.900000000005093</v>
      </c>
      <c r="AD51" s="11">
        <f ca="1">(AC51*DATOSAÑO!$Z$11)/DATOSAÑO!$Y$11</f>
        <v>0.5207393388727235</v>
      </c>
      <c r="AE51" s="9">
        <f ca="1">DATOSAÑO!AM50</f>
        <v>10.759999999999195</v>
      </c>
      <c r="AF51" s="11">
        <f ca="1">(AE51*DATOSAÑO!$Z$11)/DATOSAÑO!$Y$11</f>
        <v>0.193880805753256</v>
      </c>
      <c r="AG51" s="9">
        <f ca="1">DATOSAÑO!AN50</f>
        <v>3.4379999999997226</v>
      </c>
      <c r="AH51" s="11">
        <f ca="1">(AG51*DATOSAÑO!$Z$11)/DATOSAÑO!$Y$11</f>
        <v>6.1948160797368979E-2</v>
      </c>
      <c r="AI51" s="9">
        <f ca="1">DATOSAÑO!BJ50</f>
        <v>2.7839999999999998</v>
      </c>
      <c r="AJ51" s="11">
        <f ca="1">(AI51*DATOSAÑO!$Z$11)/DATOSAÑO!$Y$11</f>
        <v>5.0163955689322026E-2</v>
      </c>
      <c r="AK51" s="9">
        <f ca="1">DATOSAÑO!BM50</f>
        <v>4.726</v>
      </c>
      <c r="AL51" s="11">
        <f ca="1">(AK51*DATOSAÑO!$Z$11)/DATOSAÑO!$Y$11</f>
        <v>8.5156197768583311E-2</v>
      </c>
      <c r="AM51" s="9">
        <f ca="1">DATOSAÑO!BP50</f>
        <v>0</v>
      </c>
      <c r="AN51" s="11">
        <f ca="1">(AM51*DATOSAÑO!$Z$11)/DATOSAÑO!$Y$11</f>
        <v>0</v>
      </c>
      <c r="AO51" s="9">
        <f ca="1">DATOSAÑO!BW50</f>
        <v>11.479999999999961</v>
      </c>
      <c r="AP51" s="11">
        <f ca="1">(AO51*DATOSAÑO!$Z$11)/DATOSAÑO!$Y$11</f>
        <v>0.2068542425694738</v>
      </c>
      <c r="AQ51" s="9">
        <f ca="1">DATOSAÑO!CC50</f>
        <v>2.8671999999998894</v>
      </c>
      <c r="AR51" s="1348">
        <f ca="1">(AQ51*DATOSAÑO!$Z$11)/DATOSAÑO!$Y$11</f>
        <v>5.1663108388081393E-2</v>
      </c>
      <c r="AS51" s="1384">
        <f t="shared" si="2"/>
        <v>6</v>
      </c>
    </row>
    <row r="52" spans="1:45" ht="16.5" customHeight="1">
      <c r="A52" s="1408">
        <v>44967</v>
      </c>
      <c r="B52" s="1869">
        <v>44967</v>
      </c>
      <c r="C52" s="9">
        <f ca="1">DATOSAÑO!I51</f>
        <v>290</v>
      </c>
      <c r="D52" s="10">
        <f ca="1">DATOSAÑO!$D51</f>
        <v>4.8411734326683291</v>
      </c>
      <c r="E52" s="11">
        <f ca="1">DATOSAÑO!$G51</f>
        <v>0</v>
      </c>
      <c r="F52" s="9">
        <f ca="1">DATOSAÑO!P51</f>
        <v>150</v>
      </c>
      <c r="G52" s="10">
        <f ca="1">DATOSAÑO!K51</f>
        <v>3.6995275473815461</v>
      </c>
      <c r="H52" s="11">
        <f ca="1">DATOSAÑO!N51</f>
        <v>0</v>
      </c>
      <c r="I52" s="9">
        <f ca="1">DATOSAÑO!Q51</f>
        <v>0</v>
      </c>
      <c r="J52" s="11">
        <f ca="1">DATOSAÑO!R51</f>
        <v>0</v>
      </c>
      <c r="K52" s="9">
        <f ca="1">DATOSAÑO!T51</f>
        <v>0</v>
      </c>
      <c r="L52" s="11">
        <f t="shared" ca="1" si="0"/>
        <v>0</v>
      </c>
      <c r="M52" s="9"/>
      <c r="N52" s="11">
        <f t="shared" si="1"/>
        <v>0</v>
      </c>
      <c r="O52" s="9">
        <f>DATOSAÑO!CK51</f>
        <v>0</v>
      </c>
      <c r="P52" s="9">
        <f>DATOSAÑO!CL51</f>
        <v>0</v>
      </c>
      <c r="Q52" s="9">
        <f ca="1">DATOSAÑO!AD51</f>
        <v>165</v>
      </c>
      <c r="R52" s="11">
        <f ca="1">(Q52*DATOSAÑO!$Z$11)/DATOSAÑO!$Y$11</f>
        <v>2.9730792703800777</v>
      </c>
      <c r="S52" s="9">
        <f ca="1">DATOSAÑO!AF51</f>
        <v>140</v>
      </c>
      <c r="T52" s="11">
        <f ca="1">(S52*DATOSAÑO!$Z$11)/DATOSAÑO!$Y$11</f>
        <v>2.5226127142618835</v>
      </c>
      <c r="U52" s="9">
        <f ca="1">DATOSAÑO!AH51</f>
        <v>9.1999999999970896</v>
      </c>
      <c r="V52" s="11">
        <f ca="1">(U52*DATOSAÑO!$Z$11)/DATOSAÑO!$Y$11</f>
        <v>0.16577169265144279</v>
      </c>
      <c r="W52" s="9">
        <f ca="1">DATOSAÑO!AI51</f>
        <v>43.900000000001455</v>
      </c>
      <c r="X52" s="11">
        <f ca="1">(W52*DATOSAÑO!$Z$11)/DATOSAÑO!$Y$11</f>
        <v>0.79101927254357418</v>
      </c>
      <c r="Y52" s="9">
        <f ca="1">DATOSAÑO!AJ51</f>
        <v>9.6999999999970896</v>
      </c>
      <c r="Z52" s="11">
        <f ca="1">(Y52*DATOSAÑO!$Z$11)/DATOSAÑO!$Y$11</f>
        <v>0.17478102377380664</v>
      </c>
      <c r="AA52" s="9">
        <f ca="1">DATOSAÑO!AK51</f>
        <v>12.5</v>
      </c>
      <c r="AB52" s="11">
        <f ca="1">(AA52*DATOSAÑO!$Z$11)/DATOSAÑO!$Y$11</f>
        <v>0.22523327805909676</v>
      </c>
      <c r="AC52" s="9">
        <f ca="1">DATOSAÑO!AL51</f>
        <v>32.800000000004729</v>
      </c>
      <c r="AD52" s="11">
        <f ca="1">(AC52*DATOSAÑO!$Z$11)/DATOSAÑO!$Y$11</f>
        <v>0.59101212162715522</v>
      </c>
      <c r="AE52" s="9">
        <f ca="1">DATOSAÑO!AM51</f>
        <v>11.703999999999727</v>
      </c>
      <c r="AF52" s="11">
        <f ca="1">(AE52*DATOSAÑO!$Z$11)/DATOSAÑO!$Y$11</f>
        <v>0.21089042291228857</v>
      </c>
      <c r="AG52" s="9">
        <f ca="1">DATOSAÑO!AN51</f>
        <v>3.0360000000000911</v>
      </c>
      <c r="AH52" s="11">
        <f ca="1">(AG52*DATOSAÑO!$Z$11)/DATOSAÑO!$Y$11</f>
        <v>5.4704658574995069E-2</v>
      </c>
      <c r="AI52" s="9">
        <f ca="1">DATOSAÑO!BJ51</f>
        <v>0</v>
      </c>
      <c r="AJ52" s="11">
        <f ca="1">(AI52*DATOSAÑO!$Z$11)/DATOSAÑO!$Y$11</f>
        <v>0</v>
      </c>
      <c r="AK52" s="9">
        <f ca="1">DATOSAÑO!BM51</f>
        <v>4.5960000000000001</v>
      </c>
      <c r="AL52" s="11">
        <f ca="1">(AK52*DATOSAÑO!$Z$11)/DATOSAÑO!$Y$11</f>
        <v>8.2813771676768705E-2</v>
      </c>
      <c r="AM52" s="9">
        <f ca="1">DATOSAÑO!BP51</f>
        <v>0</v>
      </c>
      <c r="AN52" s="11">
        <f ca="1">(AM52*DATOSAÑO!$Z$11)/DATOSAÑO!$Y$11</f>
        <v>0</v>
      </c>
      <c r="AO52" s="9">
        <f ca="1">DATOSAÑO!BW51</f>
        <v>12.051999999999682</v>
      </c>
      <c r="AP52" s="11">
        <f ca="1">(AO52*DATOSAÑO!$Z$11)/DATOSAÑO!$Y$11</f>
        <v>0.21716091737345303</v>
      </c>
      <c r="AQ52" s="9">
        <f ca="1">DATOSAÑO!CC51</f>
        <v>2.5784000000000367</v>
      </c>
      <c r="AR52" s="1348">
        <f ca="1">(AQ52*DATOSAÑO!$Z$11)/DATOSAÑO!$Y$11</f>
        <v>4.645931873180667E-2</v>
      </c>
      <c r="AS52" s="1384">
        <f t="shared" si="2"/>
        <v>6</v>
      </c>
    </row>
    <row r="53" spans="1:45">
      <c r="A53" s="1408">
        <v>44968</v>
      </c>
      <c r="B53" s="1869">
        <v>44968</v>
      </c>
      <c r="C53" s="9">
        <f ca="1">DATOSAÑO!I52</f>
        <v>284</v>
      </c>
      <c r="D53" s="10">
        <f ca="1">DATOSAÑO!$D52</f>
        <v>4.7922457518703245</v>
      </c>
      <c r="E53" s="11">
        <f ca="1">DATOSAÑO!$G52</f>
        <v>0</v>
      </c>
      <c r="F53" s="9">
        <f ca="1">DATOSAÑO!P52</f>
        <v>148</v>
      </c>
      <c r="G53" s="10">
        <f ca="1">DATOSAÑO!K52</f>
        <v>3.6832183204488778</v>
      </c>
      <c r="H53" s="11">
        <f ca="1">DATOSAÑO!N52</f>
        <v>0</v>
      </c>
      <c r="I53" s="9">
        <f ca="1">DATOSAÑO!Q52</f>
        <v>0</v>
      </c>
      <c r="J53" s="11">
        <f ca="1">DATOSAÑO!R52</f>
        <v>0</v>
      </c>
      <c r="K53" s="9">
        <f ca="1">DATOSAÑO!T52</f>
        <v>0</v>
      </c>
      <c r="L53" s="11">
        <f t="shared" ca="1" si="0"/>
        <v>0</v>
      </c>
      <c r="M53" s="9"/>
      <c r="N53" s="11">
        <f t="shared" si="1"/>
        <v>0</v>
      </c>
      <c r="O53" s="9">
        <f>DATOSAÑO!CK52</f>
        <v>0</v>
      </c>
      <c r="P53" s="9">
        <f>DATOSAÑO!CL52</f>
        <v>0</v>
      </c>
      <c r="Q53" s="9">
        <f ca="1">DATOSAÑO!AD52</f>
        <v>166</v>
      </c>
      <c r="R53" s="11">
        <f ca="1">(Q53*DATOSAÑO!$Z$11)/DATOSAÑO!$Y$11</f>
        <v>2.9910979326248053</v>
      </c>
      <c r="S53" s="9">
        <f ca="1">DATOSAÑO!AF52</f>
        <v>132</v>
      </c>
      <c r="T53" s="11">
        <f ca="1">(S53*DATOSAÑO!$Z$11)/DATOSAÑO!$Y$11</f>
        <v>2.3784634163040619</v>
      </c>
      <c r="U53" s="9">
        <f ca="1">DATOSAÑO!AH52</f>
        <v>10</v>
      </c>
      <c r="V53" s="11">
        <f ca="1">(U53*DATOSAÑO!$Z$11)/DATOSAÑO!$Y$11</f>
        <v>0.18018662244727743</v>
      </c>
      <c r="W53" s="9">
        <f ca="1">DATOSAÑO!AI52</f>
        <v>42.900000000001455</v>
      </c>
      <c r="X53" s="11">
        <f ca="1">(W53*DATOSAÑO!$Z$11)/DATOSAÑO!$Y$11</f>
        <v>0.77300061029884637</v>
      </c>
      <c r="Y53" s="9">
        <f ca="1">DATOSAÑO!AJ52</f>
        <v>10.100000000005821</v>
      </c>
      <c r="Z53" s="11">
        <f ca="1">(Y53*DATOSAÑO!$Z$11)/DATOSAÑO!$Y$11</f>
        <v>0.18198848867185508</v>
      </c>
      <c r="AA53" s="9">
        <f ca="1">DATOSAÑO!AK52</f>
        <v>15</v>
      </c>
      <c r="AB53" s="11">
        <f ca="1">(AA53*DATOSAÑO!$Z$11)/DATOSAÑO!$Y$11</f>
        <v>0.27027993367091613</v>
      </c>
      <c r="AC53" s="9">
        <f ca="1">DATOSAÑO!AL52</f>
        <v>32.599999999991326</v>
      </c>
      <c r="AD53" s="11">
        <f ca="1">(AC53*DATOSAÑO!$Z$11)/DATOSAÑO!$Y$11</f>
        <v>0.58740838917796812</v>
      </c>
      <c r="AE53" s="9">
        <f ca="1">DATOSAÑO!AM52</f>
        <v>8.9860000000011802</v>
      </c>
      <c r="AF53" s="11">
        <f ca="1">(AE53*DATOSAÑO!$Z$11)/DATOSAÑO!$Y$11</f>
        <v>0.16191569893114477</v>
      </c>
      <c r="AG53" s="9">
        <f ca="1">DATOSAÑO!AN52</f>
        <v>2.2359999999999092</v>
      </c>
      <c r="AH53" s="11">
        <f ca="1">(AG53*DATOSAÑO!$Z$11)/DATOSAÑO!$Y$11</f>
        <v>4.0289728779209596E-2</v>
      </c>
      <c r="AI53" s="9">
        <f ca="1">DATOSAÑO!BJ52</f>
        <v>0</v>
      </c>
      <c r="AJ53" s="11">
        <f ca="1">(AI53*DATOSAÑO!$Z$11)/DATOSAÑO!$Y$11</f>
        <v>0</v>
      </c>
      <c r="AK53" s="9">
        <f ca="1">DATOSAÑO!BM52</f>
        <v>4.7140000000000004</v>
      </c>
      <c r="AL53" s="11">
        <f ca="1">(AK53*DATOSAÑO!$Z$11)/DATOSAÑO!$Y$11</f>
        <v>8.4939973821646586E-2</v>
      </c>
      <c r="AM53" s="9">
        <f ca="1">DATOSAÑO!BP52</f>
        <v>0</v>
      </c>
      <c r="AN53" s="11">
        <f ca="1">(AM53*DATOSAÑO!$Z$11)/DATOSAÑO!$Y$11</f>
        <v>0</v>
      </c>
      <c r="AO53" s="9">
        <f ca="1">DATOSAÑO!BW52</f>
        <v>10.593000000000954</v>
      </c>
      <c r="AP53" s="11">
        <f ca="1">(AO53*DATOSAÑO!$Z$11)/DATOSAÑO!$Y$11</f>
        <v>0.19087168915841815</v>
      </c>
      <c r="AQ53" s="9">
        <f ca="1">DATOSAÑO!CC52</f>
        <v>2.2583999999999635</v>
      </c>
      <c r="AR53" s="1348">
        <f ca="1">(AQ53*DATOSAÑO!$Z$11)/DATOSAÑO!$Y$11</f>
        <v>4.0693346813492473E-2</v>
      </c>
      <c r="AS53" s="1384">
        <f t="shared" si="2"/>
        <v>6</v>
      </c>
    </row>
    <row r="54" spans="1:45" ht="16.5" customHeight="1">
      <c r="A54" s="1408">
        <v>44969</v>
      </c>
      <c r="B54" s="1869">
        <v>44969</v>
      </c>
      <c r="C54" s="9">
        <f ca="1">DATOSAÑO!I53</f>
        <v>288</v>
      </c>
      <c r="D54" s="10">
        <f ca="1">DATOSAÑO!$D53</f>
        <v>4.8248642057356612</v>
      </c>
      <c r="E54" s="11">
        <f ca="1">DATOSAÑO!$G53</f>
        <v>0</v>
      </c>
      <c r="F54" s="9">
        <f ca="1">DATOSAÑO!P53</f>
        <v>150</v>
      </c>
      <c r="G54" s="10">
        <f ca="1">DATOSAÑO!K53</f>
        <v>3.6954502406483791</v>
      </c>
      <c r="H54" s="11">
        <f ca="1">DATOSAÑO!N53</f>
        <v>0</v>
      </c>
      <c r="I54" s="9">
        <f ca="1">DATOSAÑO!Q53</f>
        <v>0</v>
      </c>
      <c r="J54" s="11">
        <f ca="1">DATOSAÑO!R53</f>
        <v>0</v>
      </c>
      <c r="K54" s="9">
        <f ca="1">DATOSAÑO!T53</f>
        <v>0</v>
      </c>
      <c r="L54" s="11">
        <f t="shared" ca="1" si="0"/>
        <v>0</v>
      </c>
      <c r="M54" s="9"/>
      <c r="N54" s="11">
        <f t="shared" si="1"/>
        <v>0</v>
      </c>
      <c r="O54" s="9">
        <f>DATOSAÑO!CK53</f>
        <v>0</v>
      </c>
      <c r="P54" s="9">
        <f>DATOSAÑO!CL53</f>
        <v>0</v>
      </c>
      <c r="Q54" s="9">
        <f ca="1">DATOSAÑO!AD53</f>
        <v>160</v>
      </c>
      <c r="R54" s="11">
        <f ca="1">(Q54*DATOSAÑO!$Z$11)/DATOSAÑO!$Y$11</f>
        <v>2.8829859591564388</v>
      </c>
      <c r="S54" s="9">
        <f ca="1">DATOSAÑO!AF53</f>
        <v>142</v>
      </c>
      <c r="T54" s="11">
        <f ca="1">(S54*DATOSAÑO!$Z$11)/DATOSAÑO!$Y$11</f>
        <v>2.5586500387513391</v>
      </c>
      <c r="U54" s="9">
        <f ca="1">DATOSAÑO!AH53</f>
        <v>8.5999999999985448</v>
      </c>
      <c r="V54" s="11">
        <f ca="1">(U54*DATOSAÑO!$Z$11)/DATOSAÑO!$Y$11</f>
        <v>0.15496049530463235</v>
      </c>
      <c r="W54" s="9">
        <f ca="1">DATOSAÑO!AI53</f>
        <v>42.299999999995634</v>
      </c>
      <c r="X54" s="11">
        <f ca="1">(W54*DATOSAÑO!$Z$11)/DATOSAÑO!$Y$11</f>
        <v>0.7621894129519049</v>
      </c>
      <c r="Y54" s="9">
        <f ca="1">DATOSAÑO!AJ53</f>
        <v>8.3000000000029104</v>
      </c>
      <c r="Z54" s="11">
        <f ca="1">(Y54*DATOSAÑO!$Z$11)/DATOSAÑO!$Y$11</f>
        <v>0.14955489663129271</v>
      </c>
      <c r="AA54" s="9">
        <f ca="1">DATOSAÑO!AK53</f>
        <v>16.099999999976717</v>
      </c>
      <c r="AB54" s="11">
        <f ca="1">(AA54*DATOSAÑO!$Z$11)/DATOSAÑO!$Y$11</f>
        <v>0.29010046213969715</v>
      </c>
      <c r="AC54" s="9">
        <f ca="1">DATOSAÑO!AL53</f>
        <v>33.300000000028376</v>
      </c>
      <c r="AD54" s="11">
        <f ca="1">(AC54*DATOSAÑO!$Z$11)/DATOSAÑO!$Y$11</f>
        <v>0.60002145274994512</v>
      </c>
      <c r="AE54" s="9">
        <f ca="1">DATOSAÑO!AM53</f>
        <v>10.051999999997724</v>
      </c>
      <c r="AF54" s="11">
        <f ca="1">(AE54*DATOSAÑO!$Z$11)/DATOSAÑO!$Y$11</f>
        <v>0.18112359288396224</v>
      </c>
      <c r="AG54" s="9">
        <f ca="1">DATOSAÑO!AN53</f>
        <v>2.5940000000004551</v>
      </c>
      <c r="AH54" s="11">
        <f ca="1">(AG54*DATOSAÑO!$Z$11)/DATOSAÑO!$Y$11</f>
        <v>4.6740409862831962E-2</v>
      </c>
      <c r="AI54" s="9">
        <f ca="1">DATOSAÑO!BJ53</f>
        <v>2.2559999999999998</v>
      </c>
      <c r="AJ54" s="11">
        <f ca="1">(AI54*DATOSAÑO!$Z$11)/DATOSAÑO!$Y$11</f>
        <v>4.065010202410578E-2</v>
      </c>
      <c r="AK54" s="9">
        <f ca="1">DATOSAÑO!BM53</f>
        <v>4.6920000000000002</v>
      </c>
      <c r="AL54" s="11">
        <f ca="1">(AK54*DATOSAÑO!$Z$11)/DATOSAÑO!$Y$11</f>
        <v>8.4543563252262574E-2</v>
      </c>
      <c r="AM54" s="9">
        <f ca="1">DATOSAÑO!BP53</f>
        <v>0</v>
      </c>
      <c r="AN54" s="11">
        <f ca="1">(AM54*DATOSAÑO!$Z$11)/DATOSAÑO!$Y$11</f>
        <v>0</v>
      </c>
      <c r="AO54" s="9">
        <f ca="1">DATOSAÑO!BW53</f>
        <v>11.425999999998499</v>
      </c>
      <c r="AP54" s="11">
        <f ca="1">(AO54*DATOSAÑO!$Z$11)/DATOSAÑO!$Y$11</f>
        <v>0.20588123480823214</v>
      </c>
      <c r="AQ54" s="9">
        <f ca="1">DATOSAÑO!CC53</f>
        <v>2.4436000000001821</v>
      </c>
      <c r="AR54" s="1348">
        <f ca="1">(AQ54*DATOSAÑO!$Z$11)/DATOSAÑO!$Y$11</f>
        <v>4.403040306121999E-2</v>
      </c>
      <c r="AS54" s="1384">
        <f t="shared" si="2"/>
        <v>7</v>
      </c>
    </row>
    <row r="55" spans="1:45">
      <c r="A55" s="1408">
        <v>44970</v>
      </c>
      <c r="B55" s="1869">
        <v>44970</v>
      </c>
      <c r="C55" s="9">
        <f ca="1">DATOSAÑO!I54</f>
        <v>282</v>
      </c>
      <c r="D55" s="10">
        <f ca="1">DATOSAÑO!$D54</f>
        <v>4.7759365249376557</v>
      </c>
      <c r="E55" s="11">
        <f ca="1">DATOSAÑO!$G54</f>
        <v>0</v>
      </c>
      <c r="F55" s="9">
        <f ca="1">DATOSAÑO!P54</f>
        <v>164</v>
      </c>
      <c r="G55" s="10">
        <f ca="1">DATOSAÑO!K54</f>
        <v>3.813692135910224</v>
      </c>
      <c r="H55" s="11">
        <f ca="1">DATOSAÑO!N54</f>
        <v>0</v>
      </c>
      <c r="I55" s="9">
        <f ca="1">DATOSAÑO!Q54</f>
        <v>0</v>
      </c>
      <c r="J55" s="11">
        <f ca="1">DATOSAÑO!R54</f>
        <v>0</v>
      </c>
      <c r="K55" s="9">
        <f ca="1">DATOSAÑO!T54</f>
        <v>0</v>
      </c>
      <c r="L55" s="11">
        <f t="shared" ca="1" si="0"/>
        <v>0</v>
      </c>
      <c r="M55" s="9"/>
      <c r="N55" s="11">
        <f t="shared" si="1"/>
        <v>0</v>
      </c>
      <c r="O55" s="9">
        <f>DATOSAÑO!CK54</f>
        <v>0</v>
      </c>
      <c r="P55" s="9">
        <f>DATOSAÑO!CL54</f>
        <v>0</v>
      </c>
      <c r="Q55" s="9">
        <f ca="1">DATOSAÑO!AD54</f>
        <v>162</v>
      </c>
      <c r="R55" s="11">
        <f ca="1">(Q55*DATOSAÑO!$Z$11)/DATOSAÑO!$Y$11</f>
        <v>2.919023283645894</v>
      </c>
      <c r="S55" s="9">
        <f ca="1">DATOSAÑO!AF54</f>
        <v>146</v>
      </c>
      <c r="T55" s="11">
        <f ca="1">(S55*DATOSAÑO!$Z$11)/DATOSAÑO!$Y$11</f>
        <v>2.6307246877302504</v>
      </c>
      <c r="U55" s="9">
        <f ca="1">DATOSAÑO!AH54</f>
        <v>9</v>
      </c>
      <c r="V55" s="11">
        <f ca="1">(U55*DATOSAÑO!$Z$11)/DATOSAÑO!$Y$11</f>
        <v>0.16216796020254967</v>
      </c>
      <c r="W55" s="9">
        <f ca="1">DATOSAÑO!AI54</f>
        <v>42.69999999999709</v>
      </c>
      <c r="X55" s="11">
        <f ca="1">(W55*DATOSAÑO!$Z$11)/DATOSAÑO!$Y$11</f>
        <v>0.76939687784982214</v>
      </c>
      <c r="Y55" s="9">
        <f ca="1">DATOSAÑO!AJ54</f>
        <v>8.7999999999883585</v>
      </c>
      <c r="Z55" s="11">
        <f ca="1">(Y55*DATOSAÑO!$Z$11)/DATOSAÑO!$Y$11</f>
        <v>0.15856422775339435</v>
      </c>
      <c r="AA55" s="9">
        <f ca="1">DATOSAÑO!AK54</f>
        <v>15.900000000023283</v>
      </c>
      <c r="AB55" s="11">
        <f ca="1">(AA55*DATOSAÑO!$Z$11)/DATOSAÑO!$Y$11</f>
        <v>0.28649672969159062</v>
      </c>
      <c r="AC55" s="9">
        <f ca="1">DATOSAÑO!AL54</f>
        <v>34.399999999990541</v>
      </c>
      <c r="AD55" s="11">
        <f ca="1">(AC55*DATOSAÑO!$Z$11)/DATOSAÑO!$Y$11</f>
        <v>0.6198419812184639</v>
      </c>
      <c r="AE55" s="9">
        <f ca="1">DATOSAÑO!AM54</f>
        <v>10.268000000000722</v>
      </c>
      <c r="AF55" s="11">
        <f ca="1">(AE55*DATOSAÑO!$Z$11)/DATOSAÑO!$Y$11</f>
        <v>0.18501562392887747</v>
      </c>
      <c r="AG55" s="9">
        <f ca="1">DATOSAÑO!AN54</f>
        <v>2.7039999999994544</v>
      </c>
      <c r="AH55" s="11">
        <f ca="1">(AG55*DATOSAÑO!$Z$11)/DATOSAÑO!$Y$11</f>
        <v>4.8722462709733981E-2</v>
      </c>
      <c r="AI55" s="9">
        <f ca="1">DATOSAÑO!BJ54</f>
        <v>1.3939999999999999</v>
      </c>
      <c r="AJ55" s="11">
        <f ca="1">(AI55*DATOSAÑO!$Z$11)/DATOSAÑO!$Y$11</f>
        <v>2.5118015169150472E-2</v>
      </c>
      <c r="AK55" s="9">
        <f ca="1">DATOSAÑO!BM54</f>
        <v>5.0380000000000003</v>
      </c>
      <c r="AL55" s="11">
        <f ca="1">(AK55*DATOSAÑO!$Z$11)/DATOSAÑO!$Y$11</f>
        <v>9.0778020388938369E-2</v>
      </c>
      <c r="AM55" s="9">
        <f ca="1">DATOSAÑO!BP54</f>
        <v>0</v>
      </c>
      <c r="AN55" s="11">
        <f ca="1">(AM55*DATOSAÑO!$Z$11)/DATOSAÑO!$Y$11</f>
        <v>0</v>
      </c>
      <c r="AO55" s="9">
        <f ca="1">DATOSAÑO!BW54</f>
        <v>11.534000000000907</v>
      </c>
      <c r="AP55" s="11">
        <f ca="1">(AO55*DATOSAÑO!$Z$11)/DATOSAÑO!$Y$11</f>
        <v>0.20782725033070612</v>
      </c>
      <c r="AQ55" s="9">
        <f ca="1">DATOSAÑO!CC54</f>
        <v>2.4775999999997818</v>
      </c>
      <c r="AR55" s="1348">
        <f ca="1">(AQ55*DATOSAÑO!$Z$11)/DATOSAÑO!$Y$11</f>
        <v>4.4643037577533518E-2</v>
      </c>
      <c r="AS55" s="1384">
        <f t="shared" si="2"/>
        <v>7</v>
      </c>
    </row>
    <row r="56" spans="1:45" ht="16.5" customHeight="1">
      <c r="A56" s="1408">
        <v>44971</v>
      </c>
      <c r="B56" s="1869">
        <v>44971</v>
      </c>
      <c r="C56" s="9">
        <f ca="1">DATOSAÑO!I55</f>
        <v>282</v>
      </c>
      <c r="D56" s="10">
        <f ca="1">DATOSAÑO!$D55</f>
        <v>4.7759365249376557</v>
      </c>
      <c r="E56" s="11">
        <f ca="1">DATOSAÑO!$G55</f>
        <v>0</v>
      </c>
      <c r="F56" s="9">
        <f ca="1">DATOSAÑO!P55</f>
        <v>150.70000000000073</v>
      </c>
      <c r="G56" s="10">
        <f ca="1">DATOSAÑO!K55</f>
        <v>3.705235776807986</v>
      </c>
      <c r="H56" s="11">
        <f ca="1">DATOSAÑO!N55</f>
        <v>0</v>
      </c>
      <c r="I56" s="9">
        <f ca="1">DATOSAÑO!Q55</f>
        <v>0</v>
      </c>
      <c r="J56" s="11">
        <f ca="1">DATOSAÑO!R55</f>
        <v>0</v>
      </c>
      <c r="K56" s="9">
        <f ca="1">DATOSAÑO!T55</f>
        <v>0</v>
      </c>
      <c r="L56" s="11">
        <f t="shared" ca="1" si="0"/>
        <v>0</v>
      </c>
      <c r="M56" s="9"/>
      <c r="N56" s="11">
        <f t="shared" si="1"/>
        <v>0</v>
      </c>
      <c r="O56" s="9">
        <f>DATOSAÑO!CK55</f>
        <v>0</v>
      </c>
      <c r="P56" s="9">
        <f>DATOSAÑO!CL55</f>
        <v>0</v>
      </c>
      <c r="Q56" s="9">
        <f ca="1">DATOSAÑO!AD55</f>
        <v>162.09999999997672</v>
      </c>
      <c r="R56" s="11">
        <f ca="1">(Q56*DATOSAÑO!$Z$11)/DATOSAÑO!$Y$11</f>
        <v>2.9208251498699473</v>
      </c>
      <c r="S56" s="9">
        <f ca="1">DATOSAÑO!AF55</f>
        <v>138</v>
      </c>
      <c r="T56" s="11">
        <f ca="1">(S56*DATOSAÑO!$Z$11)/DATOSAÑO!$Y$11</f>
        <v>2.4865753897724288</v>
      </c>
      <c r="U56" s="9">
        <f ca="1">DATOSAÑO!AH55</f>
        <v>7.9000000000014552</v>
      </c>
      <c r="V56" s="11">
        <f ca="1">(U56*DATOSAÑO!$Z$11)/DATOSAÑO!$Y$11</f>
        <v>0.14234743173337538</v>
      </c>
      <c r="W56" s="9">
        <f ca="1">DATOSAÑO!AI55</f>
        <v>40.900000000008731</v>
      </c>
      <c r="X56" s="11">
        <f ca="1">(W56*DATOSAÑO!$Z$11)/DATOSAÑO!$Y$11</f>
        <v>0.73696328580952197</v>
      </c>
      <c r="Y56" s="9">
        <f ca="1">DATOSAÑO!AJ55</f>
        <v>7.3000000000029104</v>
      </c>
      <c r="Z56" s="11">
        <f ca="1">(Y56*DATOSAÑO!$Z$11)/DATOSAÑO!$Y$11</f>
        <v>0.13153623438656495</v>
      </c>
      <c r="AA56" s="9">
        <f ca="1">DATOSAÑO!AK55</f>
        <v>15.299999999988358</v>
      </c>
      <c r="AB56" s="11">
        <f ca="1">(AA56*DATOSAÑO!$Z$11)/DATOSAÑO!$Y$11</f>
        <v>0.27568553234412468</v>
      </c>
      <c r="AC56" s="9">
        <f ca="1">DATOSAÑO!AL55</f>
        <v>34.300000000021043</v>
      </c>
      <c r="AD56" s="11">
        <f ca="1">(AC56*DATOSAÑO!$Z$11)/DATOSAÑO!$Y$11</f>
        <v>0.6180401149945407</v>
      </c>
      <c r="AE56" s="9">
        <f ca="1">DATOSAÑO!AM55</f>
        <v>10.32900000000218</v>
      </c>
      <c r="AF56" s="11">
        <f ca="1">(AE56*DATOSAÑO!$Z$11)/DATOSAÑO!$Y$11</f>
        <v>0.18611476232583213</v>
      </c>
      <c r="AG56" s="9">
        <f ca="1">DATOSAÑO!AN55</f>
        <v>2.2480000000000002</v>
      </c>
      <c r="AH56" s="11">
        <f ca="1">(AG56*DATOSAÑO!$Z$11)/DATOSAÑO!$Y$11</f>
        <v>4.0505952726147966E-2</v>
      </c>
      <c r="AI56" s="9">
        <f ca="1">DATOSAÑO!BJ55</f>
        <v>0</v>
      </c>
      <c r="AJ56" s="11">
        <f ca="1">(AI56*DATOSAÑO!$Z$11)/DATOSAÑO!$Y$11</f>
        <v>0</v>
      </c>
      <c r="AK56" s="9">
        <f ca="1">DATOSAÑO!BM55</f>
        <v>5.5190000000000001</v>
      </c>
      <c r="AL56" s="11">
        <f ca="1">(AK56*DATOSAÑO!$Z$11)/DATOSAÑO!$Y$11</f>
        <v>9.9444996928652413E-2</v>
      </c>
      <c r="AM56" s="9">
        <f ca="1">DATOSAÑO!BP55</f>
        <v>1.252</v>
      </c>
      <c r="AN56" s="11">
        <f ca="1">(AM56*DATOSAÑO!$Z$11)/DATOSAÑO!$Y$11</f>
        <v>2.2559365130399134E-2</v>
      </c>
      <c r="AO56" s="9">
        <f ca="1">DATOSAÑO!BW55</f>
        <v>11.464500000000363</v>
      </c>
      <c r="AP56" s="11">
        <f ca="1">(AO56*DATOSAÑO!$Z$11)/DATOSAÑO!$Y$11</f>
        <v>0.20657495330468775</v>
      </c>
      <c r="AQ56" s="9">
        <f ca="1">DATOSAÑO!CC55</f>
        <v>2.1512000000000002</v>
      </c>
      <c r="AR56" s="1348">
        <f ca="1">(AQ56*DATOSAÑO!$Z$11)/DATOSAÑO!$Y$11</f>
        <v>3.8761746220858317E-2</v>
      </c>
      <c r="AS56" s="1384">
        <f t="shared" si="2"/>
        <v>7</v>
      </c>
    </row>
    <row r="57" spans="1:45">
      <c r="A57" s="1408">
        <v>44972</v>
      </c>
      <c r="B57" s="1869">
        <v>44972</v>
      </c>
      <c r="C57" s="9">
        <f ca="1">DATOSAÑO!I56</f>
        <v>300</v>
      </c>
      <c r="D57" s="10">
        <f ca="1">DATOSAÑO!$D56</f>
        <v>4.9227195673316713</v>
      </c>
      <c r="E57" s="11">
        <f ca="1">DATOSAÑO!$G56</f>
        <v>0</v>
      </c>
      <c r="F57" s="9">
        <f ca="1">DATOSAÑO!P56</f>
        <v>150.70000000000073</v>
      </c>
      <c r="G57" s="10">
        <f ca="1">DATOSAÑO!K56</f>
        <v>3.705235776807986</v>
      </c>
      <c r="H57" s="11">
        <f ca="1">DATOSAÑO!N56</f>
        <v>0</v>
      </c>
      <c r="I57" s="9">
        <f ca="1">DATOSAÑO!Q56</f>
        <v>0</v>
      </c>
      <c r="J57" s="11">
        <f ca="1">DATOSAÑO!R56</f>
        <v>0</v>
      </c>
      <c r="K57" s="9">
        <f ca="1">DATOSAÑO!T56</f>
        <v>0</v>
      </c>
      <c r="L57" s="11">
        <f t="shared" ca="1" si="0"/>
        <v>0</v>
      </c>
      <c r="M57" s="9"/>
      <c r="N57" s="11">
        <f t="shared" si="1"/>
        <v>0</v>
      </c>
      <c r="O57" s="9">
        <f>DATOSAÑO!CK56</f>
        <v>0</v>
      </c>
      <c r="P57" s="9">
        <f>DATOSAÑO!CL56</f>
        <v>0</v>
      </c>
      <c r="Q57" s="9">
        <f ca="1">DATOSAÑO!AD56</f>
        <v>163.90000000002328</v>
      </c>
      <c r="R57" s="11">
        <f ca="1">(Q57*DATOSAÑO!$Z$11)/DATOSAÑO!$Y$11</f>
        <v>2.9532587419112963</v>
      </c>
      <c r="S57" s="9">
        <f ca="1">DATOSAÑO!AF56</f>
        <v>146</v>
      </c>
      <c r="T57" s="11">
        <f ca="1">(S57*DATOSAÑO!$Z$11)/DATOSAÑO!$Y$11</f>
        <v>2.6307246877302504</v>
      </c>
      <c r="U57" s="9">
        <f ca="1">DATOSAÑO!AH56</f>
        <v>8.5999999999985448</v>
      </c>
      <c r="V57" s="11">
        <f ca="1">(U57*DATOSAÑO!$Z$11)/DATOSAÑO!$Y$11</f>
        <v>0.15496049530463235</v>
      </c>
      <c r="W57" s="9">
        <f ca="1">DATOSAÑO!AI56</f>
        <v>47.099999999998545</v>
      </c>
      <c r="X57" s="11">
        <f ca="1">(W57*DATOSAÑO!$Z$11)/DATOSAÑO!$Y$11</f>
        <v>0.84867899172665051</v>
      </c>
      <c r="Y57" s="9">
        <f ca="1">DATOSAÑO!AJ56</f>
        <v>7.1999999999970896</v>
      </c>
      <c r="Z57" s="11">
        <f ca="1">(Y57*DATOSAÑO!$Z$11)/DATOSAÑO!$Y$11</f>
        <v>0.1297343681619873</v>
      </c>
      <c r="AA57" s="9">
        <f ca="1">DATOSAÑO!AK56</f>
        <v>16.600000000005821</v>
      </c>
      <c r="AB57" s="11">
        <f ca="1">(AA57*DATOSAÑO!$Z$11)/DATOSAÑO!$Y$11</f>
        <v>0.29910979326258541</v>
      </c>
      <c r="AC57" s="9">
        <f ca="1">DATOSAÑO!AL56</f>
        <v>32.299999999966531</v>
      </c>
      <c r="AD57" s="11">
        <f ca="1">(AC57*DATOSAÑO!$Z$11)/DATOSAÑO!$Y$11</f>
        <v>0.58200279050410297</v>
      </c>
      <c r="AE57" s="9">
        <f ca="1">DATOSAÑO!AM56</f>
        <v>9.8590000000098215</v>
      </c>
      <c r="AF57" s="11">
        <f ca="1">(AE57*DATOSAÑO!$Z$11)/DATOSAÑO!$Y$11</f>
        <v>0.17764599107094778</v>
      </c>
      <c r="AG57" s="9">
        <f ca="1">DATOSAÑO!AN56</f>
        <v>2.7900000000005454</v>
      </c>
      <c r="AH57" s="11">
        <f ca="1">(AG57*DATOSAÑO!$Z$11)/DATOSAÑO!$Y$11</f>
        <v>5.0272067662800235E-2</v>
      </c>
      <c r="AI57" s="9">
        <f ca="1">DATOSAÑO!BJ56</f>
        <v>0</v>
      </c>
      <c r="AJ57" s="11">
        <f ca="1">(AI57*DATOSAÑO!$Z$11)/DATOSAÑO!$Y$11</f>
        <v>0</v>
      </c>
      <c r="AK57" s="9">
        <f ca="1">DATOSAÑO!BM56</f>
        <v>4.6399999999999997</v>
      </c>
      <c r="AL57" s="11">
        <f ca="1">(AK57*DATOSAÑO!$Z$11)/DATOSAÑO!$Y$11</f>
        <v>8.3606592815536715E-2</v>
      </c>
      <c r="AM57" s="9">
        <f ca="1">DATOSAÑO!BP56</f>
        <v>3.7010000000000001</v>
      </c>
      <c r="AN57" s="11">
        <f ca="1">(AM57*DATOSAÑO!$Z$11)/DATOSAÑO!$Y$11</f>
        <v>6.6687068967737378E-2</v>
      </c>
      <c r="AO57" s="9">
        <f ca="1">DATOSAÑO!BW56</f>
        <v>11.329500000005456</v>
      </c>
      <c r="AP57" s="11">
        <f ca="1">(AO57*DATOSAÑO!$Z$11)/DATOSAÑO!$Y$11</f>
        <v>0.20414243390174128</v>
      </c>
      <c r="AQ57" s="9">
        <f ca="1">DATOSAÑO!CC56</f>
        <v>2.7260000000002185</v>
      </c>
      <c r="AR57" s="1348">
        <f ca="1">(AQ57*DATOSAÑO!$Z$11)/DATOSAÑO!$Y$11</f>
        <v>4.911887327913176E-2</v>
      </c>
      <c r="AS57" s="1384">
        <f t="shared" si="2"/>
        <v>7</v>
      </c>
    </row>
    <row r="58" spans="1:45" ht="16.5" customHeight="1">
      <c r="A58" s="1408">
        <v>44973</v>
      </c>
      <c r="B58" s="1869">
        <v>44973</v>
      </c>
      <c r="C58" s="9">
        <f ca="1">DATOSAÑO!I57</f>
        <v>290</v>
      </c>
      <c r="D58" s="10">
        <f ca="1">DATOSAÑO!$D57</f>
        <v>4.8411734326683291</v>
      </c>
      <c r="E58" s="11">
        <f ca="1">DATOSAÑO!$G57</f>
        <v>0</v>
      </c>
      <c r="F58" s="9">
        <f ca="1">DATOSAÑO!P57</f>
        <v>145.69999999999709</v>
      </c>
      <c r="G58" s="10">
        <f ca="1">DATOSAÑO!K57</f>
        <v>3.6644627094762852</v>
      </c>
      <c r="H58" s="11">
        <f ca="1">DATOSAÑO!N57</f>
        <v>0</v>
      </c>
      <c r="I58" s="9">
        <f ca="1">DATOSAÑO!Q57</f>
        <v>0</v>
      </c>
      <c r="J58" s="11">
        <f ca="1">DATOSAÑO!R57</f>
        <v>0</v>
      </c>
      <c r="K58" s="9">
        <f ca="1">DATOSAÑO!T57</f>
        <v>0</v>
      </c>
      <c r="L58" s="11">
        <f t="shared" ca="1" si="0"/>
        <v>0</v>
      </c>
      <c r="M58" s="9"/>
      <c r="N58" s="11">
        <f t="shared" si="1"/>
        <v>0</v>
      </c>
      <c r="O58" s="9">
        <f>DATOSAÑO!CK57</f>
        <v>0</v>
      </c>
      <c r="P58" s="9">
        <f>DATOSAÑO!CL57</f>
        <v>0</v>
      </c>
      <c r="Q58" s="9">
        <f ca="1">DATOSAÑO!AD57</f>
        <v>158</v>
      </c>
      <c r="R58" s="11">
        <f ca="1">(Q58*DATOSAÑO!$Z$11)/DATOSAÑO!$Y$11</f>
        <v>2.8469486346669832</v>
      </c>
      <c r="S58" s="9">
        <f ca="1">DATOSAÑO!AF57</f>
        <v>142</v>
      </c>
      <c r="T58" s="11">
        <f ca="1">(S58*DATOSAÑO!$Z$11)/DATOSAÑO!$Y$11</f>
        <v>2.5586500387513391</v>
      </c>
      <c r="U58" s="9">
        <f ca="1">DATOSAÑO!AH57</f>
        <v>10</v>
      </c>
      <c r="V58" s="11">
        <f ca="1">(U58*DATOSAÑO!$Z$11)/DATOSAÑO!$Y$11</f>
        <v>0.18018662244727743</v>
      </c>
      <c r="W58" s="9">
        <f ca="1">DATOSAÑO!AI57</f>
        <v>43.599999999998545</v>
      </c>
      <c r="X58" s="11">
        <f ca="1">(W58*DATOSAÑO!$Z$11)/DATOSAÑO!$Y$11</f>
        <v>0.78561367387010339</v>
      </c>
      <c r="Y58" s="9">
        <f ca="1">DATOSAÑO!AJ57</f>
        <v>6</v>
      </c>
      <c r="Z58" s="11">
        <f ca="1">(Y58*DATOSAÑO!$Z$11)/DATOSAÑO!$Y$11</f>
        <v>0.10811197346836646</v>
      </c>
      <c r="AA58" s="9">
        <f ca="1">DATOSAÑO!AK57</f>
        <v>14.399999999994179</v>
      </c>
      <c r="AB58" s="11">
        <f ca="1">(AA58*DATOSAÑO!$Z$11)/DATOSAÑO!$Y$11</f>
        <v>0.2594687363239746</v>
      </c>
      <c r="AC58" s="9">
        <f ca="1">DATOSAÑO!AL57</f>
        <v>33.400000000016007</v>
      </c>
      <c r="AD58" s="11">
        <f ca="1">(AC58*DATOSAÑO!$Z$11)/DATOSAÑO!$Y$11</f>
        <v>0.60182331897419505</v>
      </c>
      <c r="AE58" s="9">
        <f ca="1">DATOSAÑO!AM57</f>
        <v>8.8469999999882667</v>
      </c>
      <c r="AF58" s="11">
        <f ca="1">(AE58*DATOSAÑO!$Z$11)/DATOSAÑO!$Y$11</f>
        <v>0.15941110487889493</v>
      </c>
      <c r="AG58" s="9">
        <f ca="1">DATOSAÑO!AN57</f>
        <v>3.7199999999999092</v>
      </c>
      <c r="AH58" s="11">
        <f ca="1">(AG58*DATOSAÑO!$Z$11)/DATOSAÑO!$Y$11</f>
        <v>6.7029423550385561E-2</v>
      </c>
      <c r="AI58" s="9">
        <f ca="1">DATOSAÑO!BJ57</f>
        <v>0</v>
      </c>
      <c r="AJ58" s="11">
        <f ca="1">(AI58*DATOSAÑO!$Z$11)/DATOSAÑO!$Y$11</f>
        <v>0</v>
      </c>
      <c r="AK58" s="9">
        <f ca="1">DATOSAÑO!BM57</f>
        <v>4.5179999999999998</v>
      </c>
      <c r="AL58" s="11">
        <f ca="1">(AK58*DATOSAÑO!$Z$11)/DATOSAÑO!$Y$11</f>
        <v>8.140831602167993E-2</v>
      </c>
      <c r="AM58" s="9">
        <f ca="1">DATOSAÑO!BP57</f>
        <v>3.5350000000000001</v>
      </c>
      <c r="AN58" s="11">
        <f ca="1">(AM58*DATOSAÑO!$Z$11)/DATOSAÑO!$Y$11</f>
        <v>6.369597103511257E-2</v>
      </c>
      <c r="AO58" s="9">
        <f ca="1">DATOSAÑO!BW57</f>
        <v>10.723499999994315</v>
      </c>
      <c r="AP58" s="11">
        <f ca="1">(AO58*DATOSAÑO!$Z$11)/DATOSAÑO!$Y$11</f>
        <v>0.19322312458123553</v>
      </c>
      <c r="AQ58" s="9">
        <f ca="1">DATOSAÑO!CC57</f>
        <v>2.8679999999999639</v>
      </c>
      <c r="AR58" s="1348">
        <f ca="1">(AQ58*DATOSAÑO!$Z$11)/DATOSAÑO!$Y$11</f>
        <v>5.1677523317878511E-2</v>
      </c>
      <c r="AS58" s="1384">
        <f t="shared" si="2"/>
        <v>7</v>
      </c>
    </row>
    <row r="59" spans="1:45">
      <c r="A59" s="1408">
        <v>44974</v>
      </c>
      <c r="B59" s="1869">
        <v>44974</v>
      </c>
      <c r="C59" s="9">
        <f ca="1">DATOSAÑO!I58</f>
        <v>288</v>
      </c>
      <c r="D59" s="10">
        <f ca="1">DATOSAÑO!$D58</f>
        <v>4.8248642057356612</v>
      </c>
      <c r="E59" s="11">
        <f ca="1">DATOSAÑO!$G58</f>
        <v>0</v>
      </c>
      <c r="F59" s="9">
        <f ca="1">DATOSAÑO!P58</f>
        <v>141.90000000000146</v>
      </c>
      <c r="G59" s="10">
        <f ca="1">DATOSAÑO!K58</f>
        <v>3.6334751783042512</v>
      </c>
      <c r="H59" s="11">
        <f ca="1">DATOSAÑO!N58</f>
        <v>0</v>
      </c>
      <c r="I59" s="9">
        <f ca="1">DATOSAÑO!Q58</f>
        <v>0</v>
      </c>
      <c r="J59" s="11">
        <f ca="1">DATOSAÑO!R58</f>
        <v>0</v>
      </c>
      <c r="K59" s="9">
        <f ca="1">DATOSAÑO!T58</f>
        <v>0</v>
      </c>
      <c r="L59" s="11">
        <f t="shared" ca="1" si="0"/>
        <v>0</v>
      </c>
      <c r="M59" s="9"/>
      <c r="N59" s="11">
        <f t="shared" si="1"/>
        <v>0</v>
      </c>
      <c r="O59" s="9">
        <f>DATOSAÑO!CK58</f>
        <v>0</v>
      </c>
      <c r="P59" s="9">
        <f>DATOSAÑO!CL58</f>
        <v>0</v>
      </c>
      <c r="Q59" s="9">
        <f ca="1">DATOSAÑO!AD58</f>
        <v>163</v>
      </c>
      <c r="R59" s="11">
        <f ca="1">(Q59*DATOSAÑO!$Z$11)/DATOSAÑO!$Y$11</f>
        <v>2.9370419458906221</v>
      </c>
      <c r="S59" s="9">
        <f ca="1">DATOSAÑO!AF58</f>
        <v>135</v>
      </c>
      <c r="T59" s="11">
        <f ca="1">(S59*DATOSAÑO!$Z$11)/DATOSAÑO!$Y$11</f>
        <v>2.4325194030382451</v>
      </c>
      <c r="U59" s="9">
        <f ca="1">DATOSAÑO!AH58</f>
        <v>6.7000000000043656</v>
      </c>
      <c r="V59" s="11">
        <f ca="1">(U59*DATOSAÑO!$Z$11)/DATOSAÑO!$Y$11</f>
        <v>0.12072503703975454</v>
      </c>
      <c r="W59" s="9">
        <f ca="1">DATOSAÑO!AI58</f>
        <v>39.299999999995634</v>
      </c>
      <c r="X59" s="11">
        <f ca="1">(W59*DATOSAÑO!$Z$11)/DATOSAÑO!$Y$11</f>
        <v>0.70813342621772168</v>
      </c>
      <c r="Y59" s="9">
        <f ca="1">DATOSAÑO!AJ58</f>
        <v>8.7000000000116415</v>
      </c>
      <c r="Z59" s="11">
        <f ca="1">(Y59*DATOSAÑO!$Z$11)/DATOSAÑO!$Y$11</f>
        <v>0.15676236152934112</v>
      </c>
      <c r="AA59" s="9">
        <f ca="1">DATOSAÑO!AK58</f>
        <v>16</v>
      </c>
      <c r="AB59" s="11">
        <f ca="1">(AA59*DATOSAÑO!$Z$11)/DATOSAÑO!$Y$11</f>
        <v>0.28829859591564388</v>
      </c>
      <c r="AC59" s="9">
        <f ca="1">DATOSAÑO!AL58</f>
        <v>31.099999999991212</v>
      </c>
      <c r="AD59" s="11">
        <f ca="1">(AC59*DATOSAÑO!$Z$11)/DATOSAÑO!$Y$11</f>
        <v>0.5603803958108744</v>
      </c>
      <c r="AE59" s="9">
        <f ca="1">DATOSAÑO!AM58</f>
        <v>11.153999999998366</v>
      </c>
      <c r="AF59" s="11">
        <f ca="1">(AE59*DATOSAÑO!$Z$11)/DATOSAÑO!$Y$11</f>
        <v>0.20098015867766378</v>
      </c>
      <c r="AG59" s="9">
        <f ca="1">DATOSAÑO!AN58</f>
        <v>3.4310000000001821</v>
      </c>
      <c r="AH59" s="11">
        <f ca="1">(AG59*DATOSAÑO!$Z$11)/DATOSAÑO!$Y$11</f>
        <v>6.1822030161664161E-2</v>
      </c>
      <c r="AI59" s="9">
        <f ca="1">DATOSAÑO!BJ58</f>
        <v>0</v>
      </c>
      <c r="AJ59" s="11">
        <f ca="1">(AI59*DATOSAÑO!$Z$11)/DATOSAÑO!$Y$11</f>
        <v>0</v>
      </c>
      <c r="AK59" s="9">
        <f ca="1">DATOSAÑO!BM58</f>
        <v>4.516</v>
      </c>
      <c r="AL59" s="11">
        <f ca="1">(AK59*DATOSAÑO!$Z$11)/DATOSAÑO!$Y$11</f>
        <v>8.1372278697190492E-2</v>
      </c>
      <c r="AM59" s="9">
        <f ca="1">DATOSAÑO!BP58</f>
        <v>3.63</v>
      </c>
      <c r="AN59" s="11">
        <f ca="1">(AM59*DATOSAÑO!$Z$11)/DATOSAÑO!$Y$11</f>
        <v>6.5407743948361699E-2</v>
      </c>
      <c r="AO59" s="9">
        <f ca="1">DATOSAÑO!BW58</f>
        <v>11.576999999999183</v>
      </c>
      <c r="AP59" s="11">
        <f ca="1">(AO59*DATOSAÑO!$Z$11)/DATOSAÑO!$Y$11</f>
        <v>0.20860205280719835</v>
      </c>
      <c r="AQ59" s="9">
        <f ca="1">DATOSAÑO!CC58</f>
        <v>2.7414000000000729</v>
      </c>
      <c r="AR59" s="1348">
        <f ca="1">(AQ59*DATOSAÑO!$Z$11)/DATOSAÑO!$Y$11</f>
        <v>4.9396360677697947E-2</v>
      </c>
      <c r="AS59" s="1384">
        <f t="shared" si="2"/>
        <v>7</v>
      </c>
    </row>
    <row r="60" spans="1:45" ht="16.5" customHeight="1">
      <c r="A60" s="1408">
        <v>44975</v>
      </c>
      <c r="B60" s="1869">
        <v>44975</v>
      </c>
      <c r="C60" s="9">
        <f ca="1">DATOSAÑO!I59</f>
        <v>301</v>
      </c>
      <c r="D60" s="10">
        <f ca="1">DATOSAÑO!$D59</f>
        <v>4.9308741807980052</v>
      </c>
      <c r="E60" s="11">
        <f ca="1">DATOSAÑO!$G59</f>
        <v>0</v>
      </c>
      <c r="F60" s="9">
        <f ca="1">DATOSAÑO!P59</f>
        <v>150.40000000000146</v>
      </c>
      <c r="G60" s="10">
        <f ca="1">DATOSAÑO!K59</f>
        <v>3.7027893927680915</v>
      </c>
      <c r="H60" s="11">
        <f ca="1">DATOSAÑO!N59</f>
        <v>0</v>
      </c>
      <c r="I60" s="9">
        <f ca="1">DATOSAÑO!Q59</f>
        <v>0</v>
      </c>
      <c r="J60" s="11">
        <f ca="1">DATOSAÑO!R59</f>
        <v>0</v>
      </c>
      <c r="K60" s="9">
        <f ca="1">DATOSAÑO!T59</f>
        <v>0</v>
      </c>
      <c r="L60" s="11">
        <f t="shared" ca="1" si="0"/>
        <v>0</v>
      </c>
      <c r="M60" s="9"/>
      <c r="N60" s="11">
        <f t="shared" si="1"/>
        <v>0</v>
      </c>
      <c r="O60" s="9">
        <f>DATOSAÑO!CK59</f>
        <v>0</v>
      </c>
      <c r="P60" s="9">
        <f>DATOSAÑO!CL59</f>
        <v>0</v>
      </c>
      <c r="Q60" s="9">
        <f ca="1">DATOSAÑO!AD59</f>
        <v>165</v>
      </c>
      <c r="R60" s="11">
        <f ca="1">(Q60*DATOSAÑO!$Z$11)/DATOSAÑO!$Y$11</f>
        <v>2.9730792703800777</v>
      </c>
      <c r="S60" s="9">
        <f ca="1">DATOSAÑO!AF59</f>
        <v>148</v>
      </c>
      <c r="T60" s="11">
        <f ca="1">(S60*DATOSAÑO!$Z$11)/DATOSAÑO!$Y$11</f>
        <v>2.666762012219706</v>
      </c>
      <c r="U60" s="9">
        <f ca="1">DATOSAÑO!AH59</f>
        <v>11.099999999998545</v>
      </c>
      <c r="V60" s="11">
        <f ca="1">(U60*DATOSAÑO!$Z$11)/DATOSAÑO!$Y$11</f>
        <v>0.20000715091645174</v>
      </c>
      <c r="W60" s="9">
        <f ca="1">DATOSAÑO!AI59</f>
        <v>40.300000000010186</v>
      </c>
      <c r="X60" s="11">
        <f ca="1">(W60*DATOSAÑO!$Z$11)/DATOSAÑO!$Y$11</f>
        <v>0.72615208846271162</v>
      </c>
      <c r="Y60" s="9">
        <f ca="1">DATOSAÑO!AJ59</f>
        <v>9.1999999999970896</v>
      </c>
      <c r="Z60" s="11">
        <f ca="1">(Y60*DATOSAÑO!$Z$11)/DATOSAÑO!$Y$11</f>
        <v>0.16577169265144279</v>
      </c>
      <c r="AA60" s="9">
        <f ca="1">DATOSAÑO!AK59</f>
        <v>16</v>
      </c>
      <c r="AB60" s="11">
        <f ca="1">(AA60*DATOSAÑO!$Z$11)/DATOSAÑO!$Y$11</f>
        <v>0.28829859591564388</v>
      </c>
      <c r="AC60" s="9">
        <f ca="1">DATOSAÑO!AL59</f>
        <v>33.299999999995634</v>
      </c>
      <c r="AD60" s="11">
        <f ca="1">(AC60*DATOSAÑO!$Z$11)/DATOSAÑO!$Y$11</f>
        <v>0.60002145274935514</v>
      </c>
      <c r="AE60" s="9">
        <f ca="1">DATOSAÑO!AM59</f>
        <v>7.9819999999999975</v>
      </c>
      <c r="AF60" s="11">
        <f ca="1">(AE60*DATOSAÑO!$Z$11)/DATOSAÑO!$Y$11</f>
        <v>0.14382496203741679</v>
      </c>
      <c r="AG60" s="9">
        <f ca="1">DATOSAÑO!AN59</f>
        <v>3.9060000000001818</v>
      </c>
      <c r="AH60" s="11">
        <f ca="1">(AG60*DATOSAÑO!$Z$11)/DATOSAÑO!$Y$11</f>
        <v>7.0380894727909829E-2</v>
      </c>
      <c r="AI60" s="9">
        <f ca="1">DATOSAÑO!BJ59</f>
        <v>0</v>
      </c>
      <c r="AJ60" s="11">
        <f ca="1">(AI60*DATOSAÑO!$Z$11)/DATOSAÑO!$Y$11</f>
        <v>0</v>
      </c>
      <c r="AK60" s="9">
        <f ca="1">DATOSAÑO!BM59</f>
        <v>4.6920000000000002</v>
      </c>
      <c r="AL60" s="11">
        <f ca="1">(AK60*DATOSAÑO!$Z$11)/DATOSAÑO!$Y$11</f>
        <v>8.4543563252262574E-2</v>
      </c>
      <c r="AM60" s="9">
        <f ca="1">DATOSAÑO!BP59</f>
        <v>3.8260000000000001</v>
      </c>
      <c r="AN60" s="11">
        <f ca="1">(AM60*DATOSAÑO!$Z$11)/DATOSAÑO!$Y$11</f>
        <v>6.8939401748328341E-2</v>
      </c>
      <c r="AO60" s="9">
        <f ca="1">DATOSAÑO!BW59</f>
        <v>10.690999999999818</v>
      </c>
      <c r="AP60" s="11">
        <f ca="1">(AO60*DATOSAÑO!$Z$11)/DATOSAÑO!$Y$11</f>
        <v>0.192637518058381</v>
      </c>
      <c r="AQ60" s="9">
        <f ca="1">DATOSAÑO!CC59</f>
        <v>2.9564000000000727</v>
      </c>
      <c r="AR60" s="1348">
        <f ca="1">(AQ60*DATOSAÑO!$Z$11)/DATOSAÑO!$Y$11</f>
        <v>5.3270373060314409E-2</v>
      </c>
      <c r="AS60" s="1384">
        <f t="shared" si="2"/>
        <v>7</v>
      </c>
    </row>
    <row r="61" spans="1:45">
      <c r="A61" s="1408">
        <v>44976</v>
      </c>
      <c r="B61" s="1869">
        <v>44976</v>
      </c>
      <c r="C61" s="9">
        <f ca="1">DATOSAÑO!I60</f>
        <v>294</v>
      </c>
      <c r="D61" s="10">
        <f ca="1">DATOSAÑO!$D60</f>
        <v>4.8737918865336667</v>
      </c>
      <c r="E61" s="11">
        <f ca="1">DATOSAÑO!$G60</f>
        <v>0</v>
      </c>
      <c r="F61" s="9">
        <f ca="1">DATOSAÑO!P60</f>
        <v>145.59999999999854</v>
      </c>
      <c r="G61" s="10">
        <f ca="1">DATOSAÑO!K60</f>
        <v>3.6636472481296636</v>
      </c>
      <c r="H61" s="11">
        <f ca="1">DATOSAÑO!N60</f>
        <v>0</v>
      </c>
      <c r="I61" s="9">
        <f ca="1">DATOSAÑO!Q60</f>
        <v>0</v>
      </c>
      <c r="J61" s="11">
        <f ca="1">DATOSAÑO!R60</f>
        <v>0</v>
      </c>
      <c r="K61" s="9">
        <f ca="1">DATOSAÑO!T60</f>
        <v>0</v>
      </c>
      <c r="L61" s="11">
        <f t="shared" ca="1" si="0"/>
        <v>0</v>
      </c>
      <c r="M61" s="9"/>
      <c r="N61" s="11">
        <f t="shared" si="1"/>
        <v>0</v>
      </c>
      <c r="O61" s="9">
        <f>DATOSAÑO!CK60</f>
        <v>0</v>
      </c>
      <c r="P61" s="9">
        <f>DATOSAÑO!CL60</f>
        <v>0</v>
      </c>
      <c r="Q61" s="9">
        <f ca="1">DATOSAÑO!AD60</f>
        <v>160</v>
      </c>
      <c r="R61" s="11">
        <f ca="1">(Q61*DATOSAÑO!$Z$11)/DATOSAÑO!$Y$11</f>
        <v>2.8829859591564388</v>
      </c>
      <c r="S61" s="9">
        <f ca="1">DATOSAÑO!AF60</f>
        <v>143</v>
      </c>
      <c r="T61" s="11">
        <f ca="1">(S61*DATOSAÑO!$Z$11)/DATOSAÑO!$Y$11</f>
        <v>2.5766687009960672</v>
      </c>
      <c r="U61" s="9">
        <f ca="1">DATOSAÑO!AH60</f>
        <v>11.400000000001455</v>
      </c>
      <c r="V61" s="11">
        <f ca="1">(U61*DATOSAÑO!$Z$11)/DATOSAÑO!$Y$11</f>
        <v>0.20541274958992248</v>
      </c>
      <c r="W61" s="9">
        <f ca="1">DATOSAÑO!AI60</f>
        <v>39.19999999999709</v>
      </c>
      <c r="X61" s="11">
        <f ca="1">(W61*DATOSAÑO!$Z$11)/DATOSAÑO!$Y$11</f>
        <v>0.70633155999327502</v>
      </c>
      <c r="Y61" s="9">
        <f ca="1">DATOSAÑO!AJ60</f>
        <v>9.1999999999970896</v>
      </c>
      <c r="Z61" s="11">
        <f ca="1">(Y61*DATOSAÑO!$Z$11)/DATOSAÑO!$Y$11</f>
        <v>0.16577169265144279</v>
      </c>
      <c r="AA61" s="9">
        <f ca="1">DATOSAÑO!AK60</f>
        <v>16</v>
      </c>
      <c r="AB61" s="11">
        <f ca="1">(AA61*DATOSAÑO!$Z$11)/DATOSAÑO!$Y$11</f>
        <v>0.28829859591564388</v>
      </c>
      <c r="AC61" s="9">
        <f ca="1">DATOSAÑO!AL60</f>
        <v>32.100000000002183</v>
      </c>
      <c r="AD61" s="11">
        <f ca="1">(AC61*DATOSAÑO!$Z$11)/DATOSAÑO!$Y$11</f>
        <v>0.57839905805579983</v>
      </c>
      <c r="AE61" s="9">
        <f ca="1">DATOSAÑO!AM60</f>
        <v>10.661000000001636</v>
      </c>
      <c r="AF61" s="11">
        <f ca="1">(AE61*DATOSAÑO!$Z$11)/DATOSAÑO!$Y$11</f>
        <v>0.19209695819107192</v>
      </c>
      <c r="AG61" s="9">
        <f ca="1">DATOSAÑO!AN60</f>
        <v>3.1769999999990906</v>
      </c>
      <c r="AH61" s="11">
        <f ca="1">(AG61*DATOSAÑO!$Z$11)/DATOSAÑO!$Y$11</f>
        <v>5.7245289951483654E-2</v>
      </c>
      <c r="AI61" s="9">
        <f ca="1">DATOSAÑO!BJ60</f>
        <v>0</v>
      </c>
      <c r="AJ61" s="11">
        <f ca="1">(AI61*DATOSAÑO!$Z$11)/DATOSAÑO!$Y$11</f>
        <v>0</v>
      </c>
      <c r="AK61" s="9">
        <f ca="1">DATOSAÑO!BM60</f>
        <v>4.2240000000000002</v>
      </c>
      <c r="AL61" s="11">
        <f ca="1">(AK61*DATOSAÑO!$Z$11)/DATOSAÑO!$Y$11</f>
        <v>7.6110829321729981E-2</v>
      </c>
      <c r="AM61" s="9">
        <f ca="1">DATOSAÑO!BP60</f>
        <v>3.3149999999999999</v>
      </c>
      <c r="AN61" s="11">
        <f ca="1">(AM61*DATOSAÑO!$Z$11)/DATOSAÑO!$Y$11</f>
        <v>5.9731865341272464E-2</v>
      </c>
      <c r="AO61" s="9">
        <f ca="1">DATOSAÑO!BW60</f>
        <v>11.330500000000818</v>
      </c>
      <c r="AP61" s="11">
        <f ca="1">(AO61*DATOSAÑO!$Z$11)/DATOSAÑO!$Y$11</f>
        <v>0.20416045256390242</v>
      </c>
      <c r="AQ61" s="9">
        <f ca="1">DATOSAÑO!CC60</f>
        <v>2.5937999999996362</v>
      </c>
      <c r="AR61" s="1348">
        <f ca="1">(AQ61*DATOSAÑO!$Z$11)/DATOSAÑO!$Y$11</f>
        <v>4.6736806130368264E-2</v>
      </c>
      <c r="AS61" s="1384">
        <f t="shared" si="2"/>
        <v>8</v>
      </c>
    </row>
    <row r="62" spans="1:45" ht="16.5" customHeight="1">
      <c r="A62" s="1408">
        <v>44977</v>
      </c>
      <c r="B62" s="1869">
        <v>44977</v>
      </c>
      <c r="C62" s="9">
        <f ca="1">DATOSAÑO!I61</f>
        <v>297</v>
      </c>
      <c r="D62" s="10">
        <f ca="1">DATOSAÑO!$D61</f>
        <v>4.8982557269326685</v>
      </c>
      <c r="E62" s="11">
        <f ca="1">DATOSAÑO!$G61</f>
        <v>0</v>
      </c>
      <c r="F62" s="9">
        <f ca="1">DATOSAÑO!P61</f>
        <v>148.59999999999854</v>
      </c>
      <c r="G62" s="10">
        <f ca="1">DATOSAÑO!K61</f>
        <v>3.6881110885286663</v>
      </c>
      <c r="H62" s="11">
        <f ca="1">DATOSAÑO!N61</f>
        <v>0</v>
      </c>
      <c r="I62" s="9">
        <f ca="1">DATOSAÑO!Q61</f>
        <v>0.8149999999998272</v>
      </c>
      <c r="J62" s="11">
        <f ca="1">DATOSAÑO!R61</f>
        <v>97.799999999979264</v>
      </c>
      <c r="K62" s="9">
        <f ca="1">DATOSAÑO!T61</f>
        <v>0.19200000000000728</v>
      </c>
      <c r="L62" s="11">
        <f t="shared" ca="1" si="0"/>
        <v>23.040000000000873</v>
      </c>
      <c r="M62" s="9"/>
      <c r="N62" s="11">
        <f t="shared" si="1"/>
        <v>0</v>
      </c>
      <c r="O62" s="9">
        <f>DATOSAÑO!CK61</f>
        <v>1</v>
      </c>
      <c r="P62" s="9">
        <f>DATOSAÑO!CL61</f>
        <v>1</v>
      </c>
      <c r="Q62" s="9">
        <f ca="1">DATOSAÑO!AD61</f>
        <v>155</v>
      </c>
      <c r="R62" s="11">
        <f ca="1">(Q62*DATOSAÑO!$Z$11)/DATOSAÑO!$Y$11</f>
        <v>2.7928926479328005</v>
      </c>
      <c r="S62" s="9">
        <f ca="1">DATOSAÑO!AF61</f>
        <v>147</v>
      </c>
      <c r="T62" s="11">
        <f ca="1">(S62*DATOSAÑO!$Z$11)/DATOSAÑO!$Y$11</f>
        <v>2.648743349974978</v>
      </c>
      <c r="U62" s="9">
        <f ca="1">DATOSAÑO!AH61</f>
        <v>10.5</v>
      </c>
      <c r="V62" s="11">
        <f ca="1">(U62*DATOSAÑO!$Z$11)/DATOSAÑO!$Y$11</f>
        <v>0.18919595356964131</v>
      </c>
      <c r="W62" s="9">
        <f ca="1">DATOSAÑO!AI61</f>
        <v>39.399999999994179</v>
      </c>
      <c r="X62" s="11">
        <f ca="1">(W62*DATOSAÑO!$Z$11)/DATOSAÑO!$Y$11</f>
        <v>0.70993529244216813</v>
      </c>
      <c r="Y62" s="9">
        <f ca="1">DATOSAÑO!AJ61</f>
        <v>9.6000000000058208</v>
      </c>
      <c r="Z62" s="11">
        <f ca="1">(Y62*DATOSAÑO!$Z$11)/DATOSAÑO!$Y$11</f>
        <v>0.17297915754949122</v>
      </c>
      <c r="AA62" s="9">
        <f ca="1">DATOSAÑO!AK61</f>
        <v>17</v>
      </c>
      <c r="AB62" s="11">
        <f ca="1">(AA62*DATOSAÑO!$Z$11)/DATOSAÑO!$Y$11</f>
        <v>0.30631725816037164</v>
      </c>
      <c r="AC62" s="9">
        <f ca="1">DATOSAÑO!AL61</f>
        <v>39.30699999999905</v>
      </c>
      <c r="AD62" s="11">
        <f ca="1">(AC62*DATOSAÑO!$Z$11)/DATOSAÑO!$Y$11</f>
        <v>0.70825955685349629</v>
      </c>
      <c r="AE62" s="9">
        <f ca="1">DATOSAÑO!AM61</f>
        <v>10.685999999999909</v>
      </c>
      <c r="AF62" s="11">
        <f ca="1">(AE62*DATOSAÑO!$Z$11)/DATOSAÑO!$Y$11</f>
        <v>0.19254742474715902</v>
      </c>
      <c r="AG62" s="9">
        <f ca="1">DATOSAÑO!AN61</f>
        <v>3.7259999999999089</v>
      </c>
      <c r="AH62" s="11">
        <f ca="1">(AG62*DATOSAÑO!$Z$11)/DATOSAÑO!$Y$11</f>
        <v>6.7137535523853931E-2</v>
      </c>
      <c r="AI62" s="9">
        <f ca="1">DATOSAÑO!BJ61</f>
        <v>0</v>
      </c>
      <c r="AJ62" s="11">
        <f ca="1">(AI62*DATOSAÑO!$Z$11)/DATOSAÑO!$Y$11</f>
        <v>0</v>
      </c>
      <c r="AK62" s="9">
        <f ca="1">DATOSAÑO!BM61</f>
        <v>6.0570000000000004</v>
      </c>
      <c r="AL62" s="11">
        <f ca="1">(AK62*DATOSAÑO!$Z$11)/DATOSAÑO!$Y$11</f>
        <v>0.10913903721631593</v>
      </c>
      <c r="AM62" s="9">
        <f ca="1">DATOSAÑO!BP61</f>
        <v>2.3570000000000002</v>
      </c>
      <c r="AN62" s="11">
        <f ca="1">(AM62*DATOSAÑO!$Z$11)/DATOSAÑO!$Y$11</f>
        <v>4.2469986910823293E-2</v>
      </c>
      <c r="AO62" s="9">
        <f ca="1">DATOSAÑO!BW61</f>
        <v>9.9429999999994081</v>
      </c>
      <c r="AP62" s="11">
        <f ca="1">(AO62*DATOSAÑO!$Z$11)/DATOSAÑO!$Y$11</f>
        <v>0.1791595586993173</v>
      </c>
      <c r="AQ62" s="9">
        <f ca="1">DATOSAÑO!CC61</f>
        <v>2.8643999999999639</v>
      </c>
      <c r="AR62" s="1348">
        <f ca="1">(AQ62*DATOSAÑO!$Z$11)/DATOSAÑO!$Y$11</f>
        <v>5.1612656133797494E-2</v>
      </c>
      <c r="AS62" s="1384">
        <f t="shared" si="2"/>
        <v>8</v>
      </c>
    </row>
    <row r="63" spans="1:45">
      <c r="A63" s="1408">
        <v>44978</v>
      </c>
      <c r="B63" s="1869">
        <v>44978</v>
      </c>
      <c r="C63" s="9">
        <f ca="1">DATOSAÑO!I62</f>
        <v>303</v>
      </c>
      <c r="D63" s="10">
        <f ca="1">DATOSAÑO!$D62</f>
        <v>4.9471834077306731</v>
      </c>
      <c r="E63" s="11">
        <f ca="1">DATOSAÑO!$G62</f>
        <v>0</v>
      </c>
      <c r="F63" s="9">
        <f ca="1">DATOSAÑO!P62</f>
        <v>147.10000000000218</v>
      </c>
      <c r="G63" s="10">
        <f ca="1">DATOSAÑO!K62</f>
        <v>3.6758791683291951</v>
      </c>
      <c r="H63" s="11">
        <f ca="1">DATOSAÑO!N62</f>
        <v>0</v>
      </c>
      <c r="I63" s="9">
        <f ca="1">DATOSAÑO!Q62</f>
        <v>0</v>
      </c>
      <c r="J63" s="11">
        <f ca="1">DATOSAÑO!R62</f>
        <v>0</v>
      </c>
      <c r="K63" s="9">
        <f ca="1">DATOSAÑO!T62</f>
        <v>0</v>
      </c>
      <c r="L63" s="11">
        <f t="shared" ca="1" si="0"/>
        <v>0</v>
      </c>
      <c r="M63" s="9"/>
      <c r="N63" s="11">
        <f t="shared" si="1"/>
        <v>0</v>
      </c>
      <c r="O63" s="9">
        <f>DATOSAÑO!CK62</f>
        <v>0</v>
      </c>
      <c r="P63" s="9">
        <f>DATOSAÑO!CL62</f>
        <v>0</v>
      </c>
      <c r="Q63" s="9">
        <f ca="1">DATOSAÑO!AD62</f>
        <v>169.40000000002328</v>
      </c>
      <c r="R63" s="11">
        <f ca="1">(Q63*DATOSAÑO!$Z$11)/DATOSAÑO!$Y$11</f>
        <v>3.0523613842572992</v>
      </c>
      <c r="S63" s="9">
        <f ca="1">DATOSAÑO!AF62</f>
        <v>150.70000000001164</v>
      </c>
      <c r="T63" s="11">
        <f ca="1">(S63*DATOSAÑO!$Z$11)/DATOSAÑO!$Y$11</f>
        <v>2.7154124002806808</v>
      </c>
      <c r="U63" s="9">
        <f ca="1">DATOSAÑO!AH62</f>
        <v>8.7999999999956344</v>
      </c>
      <c r="V63" s="11">
        <f ca="1">(U63*DATOSAÑO!$Z$11)/DATOSAÑO!$Y$11</f>
        <v>0.15856422775352547</v>
      </c>
      <c r="W63" s="9">
        <f ca="1">DATOSAÑO!AI62</f>
        <v>38.69999999999709</v>
      </c>
      <c r="X63" s="11">
        <f ca="1">(W63*DATOSAÑO!$Z$11)/DATOSAÑO!$Y$11</f>
        <v>0.69732222887091111</v>
      </c>
      <c r="Y63" s="9">
        <f ca="1">DATOSAÑO!AJ62</f>
        <v>10.069999999992433</v>
      </c>
      <c r="Z63" s="11">
        <f ca="1">(Y63*DATOSAÑO!$Z$11)/DATOSAÑO!$Y$11</f>
        <v>0.18144792880427202</v>
      </c>
      <c r="AA63" s="9">
        <f ca="1">DATOSAÑO!AK62</f>
        <v>16.700000000011642</v>
      </c>
      <c r="AB63" s="11">
        <f ca="1">(AA63*DATOSAÑO!$Z$11)/DATOSAÑO!$Y$11</f>
        <v>0.30091165948716309</v>
      </c>
      <c r="AC63" s="9">
        <f ca="1">DATOSAÑO!AL62</f>
        <v>27.129999999993743</v>
      </c>
      <c r="AD63" s="11">
        <f ca="1">(AC63*DATOSAÑO!$Z$11)/DATOSAÑO!$Y$11</f>
        <v>0.48884630669935086</v>
      </c>
      <c r="AE63" s="9">
        <f ca="1">DATOSAÑO!AM62</f>
        <v>10.476999999976444</v>
      </c>
      <c r="AF63" s="11">
        <f ca="1">(AE63*DATOSAÑO!$Z$11)/DATOSAÑO!$Y$11</f>
        <v>0.18878152433758813</v>
      </c>
      <c r="AG63" s="9">
        <f ca="1">DATOSAÑO!AN62</f>
        <v>2.791000000000273</v>
      </c>
      <c r="AH63" s="11">
        <f ca="1">(AG63*DATOSAÑO!$Z$11)/DATOSAÑO!$Y$11</f>
        <v>5.0290086325040048E-2</v>
      </c>
      <c r="AI63" s="9">
        <f ca="1">DATOSAÑO!BJ62</f>
        <v>0</v>
      </c>
      <c r="AJ63" s="11">
        <f ca="1">(AI63*DATOSAÑO!$Z$11)/DATOSAÑO!$Y$11</f>
        <v>0</v>
      </c>
      <c r="AK63" s="9">
        <f ca="1">DATOSAÑO!BM62</f>
        <v>5.1970000000000001</v>
      </c>
      <c r="AL63" s="11">
        <f ca="1">(AK63*DATOSAÑO!$Z$11)/DATOSAÑO!$Y$11</f>
        <v>9.3642987685850082E-2</v>
      </c>
      <c r="AM63" s="9">
        <f ca="1">DATOSAÑO!BP62</f>
        <v>2.726</v>
      </c>
      <c r="AN63" s="11">
        <f ca="1">(AM63*DATOSAÑO!$Z$11)/DATOSAÑO!$Y$11</f>
        <v>4.9118873279127825E-2</v>
      </c>
      <c r="AO63" s="9">
        <f ca="1">DATOSAÑO!BW62</f>
        <v>11.238499999988221</v>
      </c>
      <c r="AP63" s="11">
        <f ca="1">(AO63*DATOSAÑO!$Z$11)/DATOSAÑO!$Y$11</f>
        <v>0.20250273563716048</v>
      </c>
      <c r="AQ63" s="9">
        <f ca="1">DATOSAÑO!CC62</f>
        <v>2.5254000000001096</v>
      </c>
      <c r="AR63" s="1348">
        <f ca="1">(AQ63*DATOSAÑO!$Z$11)/DATOSAÑO!$Y$11</f>
        <v>4.5504329632837411E-2</v>
      </c>
      <c r="AS63" s="1384">
        <f t="shared" si="2"/>
        <v>8</v>
      </c>
    </row>
    <row r="64" spans="1:45" ht="16.5" customHeight="1">
      <c r="A64" s="1408">
        <v>44979</v>
      </c>
      <c r="B64" s="1869">
        <v>44979</v>
      </c>
      <c r="C64" s="9">
        <f ca="1">DATOSAÑO!I63</f>
        <v>302.40000000002328</v>
      </c>
      <c r="D64" s="10">
        <f ca="1">DATOSAÑO!$D63</f>
        <v>4.9422906396510626</v>
      </c>
      <c r="E64" s="11">
        <f ca="1">DATOSAÑO!$G63</f>
        <v>0</v>
      </c>
      <c r="F64" s="9">
        <f ca="1">DATOSAÑO!P63</f>
        <v>147.29999999999927</v>
      </c>
      <c r="G64" s="10">
        <f ca="1">DATOSAÑO!K63</f>
        <v>3.6775100910224379</v>
      </c>
      <c r="H64" s="11">
        <f ca="1">DATOSAÑO!N63</f>
        <v>0</v>
      </c>
      <c r="I64" s="9">
        <f ca="1">DATOSAÑO!Q63</f>
        <v>0</v>
      </c>
      <c r="J64" s="11">
        <f ca="1">DATOSAÑO!R63</f>
        <v>0</v>
      </c>
      <c r="K64" s="9">
        <f ca="1">DATOSAÑO!T63</f>
        <v>0</v>
      </c>
      <c r="L64" s="11">
        <f t="shared" ca="1" si="0"/>
        <v>0</v>
      </c>
      <c r="M64" s="9"/>
      <c r="N64" s="11">
        <f t="shared" si="1"/>
        <v>0</v>
      </c>
      <c r="O64" s="9">
        <f>DATOSAÑO!CK63</f>
        <v>0</v>
      </c>
      <c r="P64" s="9">
        <f>DATOSAÑO!CL63</f>
        <v>0</v>
      </c>
      <c r="Q64" s="9">
        <f ca="1">DATOSAÑO!AD63</f>
        <v>163.90000000002328</v>
      </c>
      <c r="R64" s="11">
        <f ca="1">(Q64*DATOSAÑO!$Z$11)/DATOSAÑO!$Y$11</f>
        <v>2.9532587419112963</v>
      </c>
      <c r="S64" s="9">
        <f ca="1">DATOSAÑO!AF63</f>
        <v>150.20000000001164</v>
      </c>
      <c r="T64" s="11">
        <f ca="1">(S64*DATOSAÑO!$Z$11)/DATOSAÑO!$Y$11</f>
        <v>2.7064030691583167</v>
      </c>
      <c r="U64" s="9">
        <f ca="1">DATOSAÑO!AH63</f>
        <v>10.200000000004366</v>
      </c>
      <c r="V64" s="11">
        <f ca="1">(U64*DATOSAÑO!$Z$11)/DATOSAÑO!$Y$11</f>
        <v>0.18379035489630161</v>
      </c>
      <c r="W64" s="9">
        <f ca="1">DATOSAÑO!AI63</f>
        <v>36.30000000000291</v>
      </c>
      <c r="X64" s="11">
        <f ca="1">(W64*DATOSAÑO!$Z$11)/DATOSAÑO!$Y$11</f>
        <v>0.65407743948366959</v>
      </c>
      <c r="Y64" s="9">
        <f ca="1">DATOSAÑO!AJ63</f>
        <v>10.229999999995925</v>
      </c>
      <c r="Z64" s="11">
        <f ca="1">(Y64*DATOSAÑO!$Z$11)/DATOSAÑO!$Y$11</f>
        <v>0.18433091476349139</v>
      </c>
      <c r="AA64" s="9">
        <f ca="1">DATOSAÑO!AK63</f>
        <v>17</v>
      </c>
      <c r="AB64" s="11">
        <f ca="1">(AA64*DATOSAÑO!$Z$11)/DATOSAÑO!$Y$11</f>
        <v>0.30631725816037164</v>
      </c>
      <c r="AC64" s="9">
        <f ca="1">DATOSAÑO!AL63</f>
        <v>33.769999999993217</v>
      </c>
      <c r="AD64" s="11">
        <f ca="1">(AC64*DATOSAÑO!$Z$11)/DATOSAÑO!$Y$11</f>
        <v>0.60849022400433372</v>
      </c>
      <c r="AE64" s="9">
        <f ca="1">DATOSAÑO!AM63</f>
        <v>7.1569999999906333</v>
      </c>
      <c r="AF64" s="11">
        <f ca="1">(AE64*DATOSAÑO!$Z$11)/DATOSAÑO!$Y$11</f>
        <v>0.12895956568534769</v>
      </c>
      <c r="AG64" s="9">
        <f ca="1">DATOSAÑO!AN63</f>
        <v>1.8150000000002728</v>
      </c>
      <c r="AH64" s="11">
        <f ca="1">(AG64*DATOSAÑO!$Z$11)/DATOSAÑO!$Y$11</f>
        <v>3.2703871974185769E-2</v>
      </c>
      <c r="AI64" s="9">
        <f ca="1">DATOSAÑO!BJ63</f>
        <v>0</v>
      </c>
      <c r="AJ64" s="11">
        <f ca="1">(AI64*DATOSAÑO!$Z$11)/DATOSAÑO!$Y$11</f>
        <v>0</v>
      </c>
      <c r="AK64" s="9">
        <f ca="1">DATOSAÑO!BM63</f>
        <v>2.4279999999999999</v>
      </c>
      <c r="AL64" s="11">
        <f ca="1">(AK64*DATOSAÑO!$Z$11)/DATOSAÑO!$Y$11</f>
        <v>4.3749311930198959E-2</v>
      </c>
      <c r="AM64" s="9">
        <f ca="1">DATOSAÑO!BP63</f>
        <v>6.2149999999999999</v>
      </c>
      <c r="AN64" s="11">
        <f ca="1">(AM64*DATOSAÑO!$Z$11)/DATOSAÑO!$Y$11</f>
        <v>0.11198598585098292</v>
      </c>
      <c r="AO64" s="9">
        <f ca="1">DATOSAÑO!BW63</f>
        <v>12.67849999999568</v>
      </c>
      <c r="AP64" s="11">
        <f ca="1">(AO64*DATOSAÑO!$Z$11)/DATOSAÑO!$Y$11</f>
        <v>0.22844960926970284</v>
      </c>
      <c r="AQ64" s="9">
        <f ca="1">DATOSAÑO!CC63</f>
        <v>2.111000000000109</v>
      </c>
      <c r="AR64" s="1348">
        <f ca="1">(AQ64*DATOSAÑO!$Z$11)/DATOSAÑO!$Y$11</f>
        <v>3.8037395998622228E-2</v>
      </c>
      <c r="AS64" s="1384">
        <f t="shared" si="2"/>
        <v>8</v>
      </c>
    </row>
    <row r="65" spans="1:45">
      <c r="A65" s="1408">
        <v>44980</v>
      </c>
      <c r="B65" s="1869">
        <v>44980</v>
      </c>
      <c r="C65" s="9">
        <f ca="1">DATOSAÑO!I64</f>
        <v>259.1600000000326</v>
      </c>
      <c r="D65" s="10">
        <f ca="1">DATOSAÑO!$D64</f>
        <v>4.5896851533668492</v>
      </c>
      <c r="E65" s="11">
        <f ca="1">DATOSAÑO!$G64</f>
        <v>0</v>
      </c>
      <c r="F65" s="9">
        <f ca="1">DATOSAÑO!P64</f>
        <v>133.54000000000087</v>
      </c>
      <c r="G65" s="10">
        <f ca="1">DATOSAÑO!K64</f>
        <v>3.565302609725693</v>
      </c>
      <c r="H65" s="11">
        <f ca="1">DATOSAÑO!N64</f>
        <v>0</v>
      </c>
      <c r="I65" s="9">
        <f ca="1">DATOSAÑO!Q64</f>
        <v>0</v>
      </c>
      <c r="J65" s="11">
        <f ca="1">DATOSAÑO!R64</f>
        <v>0</v>
      </c>
      <c r="K65" s="9">
        <f ca="1">DATOSAÑO!T64</f>
        <v>0</v>
      </c>
      <c r="L65" s="11">
        <f t="shared" ca="1" si="0"/>
        <v>0</v>
      </c>
      <c r="M65" s="9"/>
      <c r="N65" s="11">
        <f t="shared" si="1"/>
        <v>0</v>
      </c>
      <c r="O65" s="9">
        <f>DATOSAÑO!CK64</f>
        <v>0</v>
      </c>
      <c r="P65" s="9">
        <f>DATOSAÑO!CL64</f>
        <v>0</v>
      </c>
      <c r="Q65" s="9">
        <f ca="1">DATOSAÑO!AD64</f>
        <v>151.59999999997672</v>
      </c>
      <c r="R65" s="11">
        <f ca="1">(Q65*DATOSAÑO!$Z$11)/DATOSAÑO!$Y$11</f>
        <v>2.7316291963003061</v>
      </c>
      <c r="S65" s="9">
        <f ca="1">DATOSAÑO!AF64</f>
        <v>123.88999999995576</v>
      </c>
      <c r="T65" s="11">
        <f ca="1">(S65*DATOSAÑO!$Z$11)/DATOSAÑO!$Y$11</f>
        <v>2.232332065498523</v>
      </c>
      <c r="U65" s="9">
        <f ca="1">DATOSAÑO!AH64</f>
        <v>0.1000000000003638</v>
      </c>
      <c r="V65" s="11">
        <f ca="1">(U65*DATOSAÑO!$Z$11)/DATOSAÑO!$Y$11</f>
        <v>1.8018662244793293E-3</v>
      </c>
      <c r="W65" s="9">
        <f ca="1">DATOSAÑO!AI64</f>
        <v>33.110000000007858</v>
      </c>
      <c r="X65" s="11">
        <f ca="1">(W65*DATOSAÑO!$Z$11)/DATOSAÑO!$Y$11</f>
        <v>0.59659790692307713</v>
      </c>
      <c r="Y65" s="9">
        <f ca="1">DATOSAÑO!AJ64</f>
        <v>9.9500000000116415</v>
      </c>
      <c r="Z65" s="11">
        <f ca="1">(Y65*DATOSAÑO!$Z$11)/DATOSAÑO!$Y$11</f>
        <v>0.17928568933525083</v>
      </c>
      <c r="AA65" s="9">
        <f ca="1">DATOSAÑO!AK64</f>
        <v>14.470000000001164</v>
      </c>
      <c r="AB65" s="11">
        <f ca="1">(AA65*DATOSAÑO!$Z$11)/DATOSAÑO!$Y$11</f>
        <v>0.2607300426812314</v>
      </c>
      <c r="AC65" s="9">
        <f ca="1">DATOSAÑO!AL64</f>
        <v>35.470000000050334</v>
      </c>
      <c r="AD65" s="11">
        <f ca="1">(AC65*DATOSAÑO!$Z$11)/DATOSAÑO!$Y$11</f>
        <v>0.63912194982140003</v>
      </c>
      <c r="AE65" s="9">
        <f ca="1">DATOSAÑO!AM64</f>
        <v>6.2340000000294262</v>
      </c>
      <c r="AF65" s="11">
        <f ca="1">(AE65*DATOSAÑO!$Z$11)/DATOSAÑO!$Y$11</f>
        <v>0.11232834043416295</v>
      </c>
      <c r="AG65" s="9">
        <f ca="1">DATOSAÑO!AN64</f>
        <v>3.2670000000004036</v>
      </c>
      <c r="AH65" s="11">
        <f ca="1">(AG65*DATOSAÑO!$Z$11)/DATOSAÑO!$Y$11</f>
        <v>5.8866969553532808E-2</v>
      </c>
      <c r="AI65" s="9">
        <f ca="1">DATOSAÑO!BJ64</f>
        <v>0</v>
      </c>
      <c r="AJ65" s="11">
        <f ca="1">(AI65*DATOSAÑO!$Z$11)/DATOSAÑO!$Y$11</f>
        <v>0</v>
      </c>
      <c r="AK65" s="9">
        <f ca="1">DATOSAÑO!BM64</f>
        <v>1.698</v>
      </c>
      <c r="AL65" s="11">
        <f ca="1">(AK65*DATOSAÑO!$Z$11)/DATOSAÑO!$Y$11</f>
        <v>3.0595688491547705E-2</v>
      </c>
      <c r="AM65" s="9">
        <f ca="1">DATOSAÑO!BP64</f>
        <v>4.3680000000000003</v>
      </c>
      <c r="AN65" s="11">
        <f ca="1">(AM65*DATOSAÑO!$Z$11)/DATOSAÑO!$Y$11</f>
        <v>7.8705516684970792E-2</v>
      </c>
      <c r="AO65" s="9">
        <f ca="1">DATOSAÑO!BW64</f>
        <v>10.527000000014567</v>
      </c>
      <c r="AP65" s="11">
        <f ca="1">(AO65*DATOSAÑO!$Z$11)/DATOSAÑO!$Y$11</f>
        <v>0.18968245745051143</v>
      </c>
      <c r="AQ65" s="9">
        <f ca="1">DATOSAÑO!CC64</f>
        <v>2.4398000000001616</v>
      </c>
      <c r="AR65" s="1348">
        <f ca="1">(AQ65*DATOSAÑO!$Z$11)/DATOSAÑO!$Y$11</f>
        <v>4.3961932144689658E-2</v>
      </c>
      <c r="AS65" s="1384">
        <f t="shared" si="2"/>
        <v>8</v>
      </c>
    </row>
    <row r="66" spans="1:45" ht="16.5" customHeight="1">
      <c r="A66" s="1408">
        <v>44981</v>
      </c>
      <c r="B66" s="1869">
        <v>44981</v>
      </c>
      <c r="C66" s="9">
        <f ca="1">DATOSAÑO!I65</f>
        <v>285.06999999994878</v>
      </c>
      <c r="D66" s="10">
        <f ca="1">DATOSAÑO!$D65</f>
        <v>4.8009711882788846</v>
      </c>
      <c r="E66" s="11">
        <f>DATOSAÑO!$G65</f>
        <v>0</v>
      </c>
      <c r="F66" s="9">
        <f ca="1">DATOSAÑO!P65</f>
        <v>149.68000000000029</v>
      </c>
      <c r="G66" s="10">
        <f ca="1">DATOSAÑO!K65</f>
        <v>3.6969180710723215</v>
      </c>
      <c r="H66" s="11">
        <f ca="1">DATOSAÑO!N65</f>
        <v>0</v>
      </c>
      <c r="I66" s="9">
        <f ca="1">DATOSAÑO!Q65</f>
        <v>0</v>
      </c>
      <c r="J66" s="11">
        <f ca="1">DATOSAÑO!R65</f>
        <v>0</v>
      </c>
      <c r="K66" s="9">
        <f ca="1">DATOSAÑO!T65</f>
        <v>0</v>
      </c>
      <c r="L66" s="11">
        <f t="shared" ca="1" si="0"/>
        <v>0</v>
      </c>
      <c r="M66" s="9"/>
      <c r="N66" s="11">
        <f t="shared" si="1"/>
        <v>0</v>
      </c>
      <c r="O66" s="9">
        <f>DATOSAÑO!CK65</f>
        <v>0</v>
      </c>
      <c r="P66" s="9">
        <f>DATOSAÑO!CL65</f>
        <v>0</v>
      </c>
      <c r="Q66" s="9">
        <f ca="1">DATOSAÑO!AD65</f>
        <v>164.5</v>
      </c>
      <c r="R66" s="11">
        <f ca="1">(Q66*DATOSAÑO!$Z$11)/DATOSAÑO!$Y$11</f>
        <v>2.9640699392577132</v>
      </c>
      <c r="S66" s="9">
        <f ca="1">DATOSAÑO!AF65</f>
        <v>142.28000000002794</v>
      </c>
      <c r="T66" s="11">
        <f ca="1">(S66*DATOSAÑO!$Z$11)/DATOSAÑO!$Y$11</f>
        <v>2.563695264180367</v>
      </c>
      <c r="U66" s="9">
        <f ca="1">DATOSAÑO!AH65</f>
        <v>6.7999999999956344</v>
      </c>
      <c r="V66" s="11">
        <f ca="1">(U66*DATOSAÑO!$Z$11)/DATOSAÑO!$Y$11</f>
        <v>0.12252690326406998</v>
      </c>
      <c r="W66" s="9">
        <f ca="1">DATOSAÑO!AI65</f>
        <v>29.959999999999127</v>
      </c>
      <c r="X66" s="11">
        <f ca="1">(W66*DATOSAÑO!$Z$11)/DATOSAÑO!$Y$11</f>
        <v>0.53983912085202745</v>
      </c>
      <c r="Y66" s="9">
        <f ca="1">DATOSAÑO!AJ65</f>
        <v>8.3099999999976717</v>
      </c>
      <c r="Z66" s="11">
        <f ca="1">(Y66*DATOSAÑO!$Z$11)/DATOSAÑO!$Y$11</f>
        <v>0.1497350832536456</v>
      </c>
      <c r="AA66" s="9">
        <f ca="1">DATOSAÑO!AK65</f>
        <v>16.529999999998836</v>
      </c>
      <c r="AB66" s="11">
        <f ca="1">(AA66*DATOSAÑO!$Z$11)/DATOSAÑO!$Y$11</f>
        <v>0.29784848690532861</v>
      </c>
      <c r="AC66" s="9">
        <f ca="1">DATOSAÑO!AL65</f>
        <v>39.349999999922147</v>
      </c>
      <c r="AD66" s="11">
        <f ca="1">(AC66*DATOSAÑO!$Z$11)/DATOSAÑO!$Y$11</f>
        <v>0.7090343593286339</v>
      </c>
      <c r="AE66" s="9">
        <f ca="1">DATOSAÑO!AM65</f>
        <v>9.4820000000073854</v>
      </c>
      <c r="AF66" s="11">
        <f ca="1">(AE66*DATOSAÑO!$Z$11)/DATOSAÑO!$Y$11</f>
        <v>0.17085295540464152</v>
      </c>
      <c r="AG66" s="9">
        <f ca="1">DATOSAÑO!AN65</f>
        <v>2.1709999999997818</v>
      </c>
      <c r="AH66" s="11">
        <f ca="1">(AG66*DATOSAÑO!$Z$11)/DATOSAÑO!$Y$11</f>
        <v>3.9118515733299997E-2</v>
      </c>
      <c r="AI66" s="9">
        <f ca="1">DATOSAÑO!BJ65</f>
        <v>0</v>
      </c>
      <c r="AJ66" s="11">
        <f ca="1">(AI66*DATOSAÑO!$Z$11)/DATOSAÑO!$Y$11</f>
        <v>0</v>
      </c>
      <c r="AK66" s="9">
        <f ca="1">DATOSAÑO!BM65</f>
        <v>5.8310000000000004</v>
      </c>
      <c r="AL66" s="11">
        <f ca="1">(AK66*DATOSAÑO!$Z$11)/DATOSAÑO!$Y$11</f>
        <v>0.10506681954900748</v>
      </c>
      <c r="AM66" s="9">
        <f ca="1">DATOSAÑO!BP65</f>
        <v>2.3170000000000002</v>
      </c>
      <c r="AN66" s="11">
        <f ca="1">(AM66*DATOSAÑO!$Z$11)/DATOSAÑO!$Y$11</f>
        <v>4.1749240421034187E-2</v>
      </c>
      <c r="AO66" s="9">
        <f ca="1">DATOSAÑO!BW65</f>
        <v>10.891000000004238</v>
      </c>
      <c r="AP66" s="11">
        <f ca="1">(AO66*DATOSAÑO!$Z$11)/DATOSAÑO!$Y$11</f>
        <v>0.19624125050740621</v>
      </c>
      <c r="AQ66" s="9">
        <f ca="1">DATOSAÑO!CC65</f>
        <v>1.9373999999999127</v>
      </c>
      <c r="AR66" s="1348">
        <f ca="1">(AQ66*DATOSAÑO!$Z$11)/DATOSAÑO!$Y$11</f>
        <v>3.4909356232933959E-2</v>
      </c>
      <c r="AS66" s="1384">
        <f t="shared" si="2"/>
        <v>8</v>
      </c>
    </row>
    <row r="67" spans="1:45">
      <c r="A67" s="1408">
        <v>44982</v>
      </c>
      <c r="B67" s="1869">
        <v>44982</v>
      </c>
      <c r="C67" s="9">
        <f ca="1">DATOSAÑO!I66</f>
        <v>281.48999999999069</v>
      </c>
      <c r="D67" s="10">
        <f ca="1">DATOSAÑO!$D66</f>
        <v>4.7717776720697493</v>
      </c>
      <c r="E67" s="11">
        <f ca="1">DATOSAÑO!$G66</f>
        <v>0</v>
      </c>
      <c r="F67" s="9">
        <f ca="1">DATOSAÑO!P66</f>
        <v>151.28999999999724</v>
      </c>
      <c r="G67" s="10">
        <f ca="1">DATOSAÑO!K66</f>
        <v>3.7100469987530946</v>
      </c>
      <c r="H67" s="11">
        <f ca="1">DATOSAÑO!N66</f>
        <v>0</v>
      </c>
      <c r="I67" s="9">
        <f ca="1">DATOSAÑO!Q66</f>
        <v>0</v>
      </c>
      <c r="J67" s="11">
        <f ca="1">DATOSAÑO!R66</f>
        <v>0</v>
      </c>
      <c r="K67" s="9">
        <f ca="1">DATOSAÑO!T66</f>
        <v>0</v>
      </c>
      <c r="L67" s="11">
        <f t="shared" ca="1" si="0"/>
        <v>0</v>
      </c>
      <c r="M67" s="9"/>
      <c r="N67" s="11">
        <f t="shared" si="1"/>
        <v>0</v>
      </c>
      <c r="O67" s="9">
        <f>DATOSAÑO!CK66</f>
        <v>0</v>
      </c>
      <c r="P67" s="9">
        <f>DATOSAÑO!CL66</f>
        <v>0</v>
      </c>
      <c r="Q67" s="9">
        <f ca="1">DATOSAÑO!AD66</f>
        <v>162.69999999995343</v>
      </c>
      <c r="R67" s="11">
        <f ca="1">(Q67*DATOSAÑO!$Z$11)/DATOSAÑO!$Y$11</f>
        <v>2.9316363472163642</v>
      </c>
      <c r="S67" s="9">
        <f ca="1">DATOSAÑO!AF66</f>
        <v>139.5800000000163</v>
      </c>
      <c r="T67" s="11">
        <f ca="1">(S67*DATOSAÑO!$Z$11)/DATOSAÑO!$Y$11</f>
        <v>2.5150448761193918</v>
      </c>
      <c r="U67" s="9">
        <f ca="1">DATOSAÑO!AH66</f>
        <v>17.600000000005821</v>
      </c>
      <c r="V67" s="11">
        <f ca="1">(U67*DATOSAÑO!$Z$11)/DATOSAÑO!$Y$11</f>
        <v>0.31712845550731317</v>
      </c>
      <c r="W67" s="9">
        <f ca="1">DATOSAÑO!AI66</f>
        <v>32.040000000000873</v>
      </c>
      <c r="X67" s="11">
        <f ca="1">(W67*DATOSAÑO!$Z$11)/DATOSAÑO!$Y$11</f>
        <v>0.57731793832109257</v>
      </c>
      <c r="Y67" s="9">
        <f ca="1">DATOSAÑO!AJ66</f>
        <v>8.9799999999959255</v>
      </c>
      <c r="Z67" s="11">
        <f ca="1">(Y67*DATOSAÑO!$Z$11)/DATOSAÑO!$Y$11</f>
        <v>0.16180758695758168</v>
      </c>
      <c r="AA67" s="9">
        <f ca="1">DATOSAÑO!AK66</f>
        <v>15.029999999998836</v>
      </c>
      <c r="AB67" s="11">
        <f ca="1">(AA67*DATOSAÑO!$Z$11)/DATOSAÑO!$Y$11</f>
        <v>0.27082049353823701</v>
      </c>
      <c r="AC67" s="9">
        <f ca="1">DATOSAÑO!AL66</f>
        <v>27.930000000022062</v>
      </c>
      <c r="AD67" s="11">
        <f ca="1">(AC67*DATOSAÑO!$Z$11)/DATOSAÑO!$Y$11</f>
        <v>0.50326123649564336</v>
      </c>
      <c r="AE67" s="9">
        <f ca="1">DATOSAÑO!AM66</f>
        <v>9.3029999999945971</v>
      </c>
      <c r="AF67" s="11">
        <f ca="1">(AE67*DATOSAÑO!$Z$11)/DATOSAÑO!$Y$11</f>
        <v>0.16762761486260483</v>
      </c>
      <c r="AG67" s="9">
        <f ca="1">DATOSAÑO!AN66</f>
        <v>3.4670000000002728</v>
      </c>
      <c r="AH67" s="11">
        <f ca="1">(AG67*DATOSAÑO!$Z$11)/DATOSAÑO!$Y$11</f>
        <v>6.2470702002476002E-2</v>
      </c>
      <c r="AI67" s="9">
        <f ca="1">DATOSAÑO!BJ66</f>
        <v>0</v>
      </c>
      <c r="AJ67" s="11">
        <f ca="1">(AI67*DATOSAÑO!$Z$11)/DATOSAÑO!$Y$11</f>
        <v>0</v>
      </c>
      <c r="AK67" s="9">
        <f ca="1">DATOSAÑO!BM66</f>
        <v>6.0270000000000001</v>
      </c>
      <c r="AL67" s="11">
        <f ca="1">(AK67*DATOSAÑO!$Z$11)/DATOSAÑO!$Y$11</f>
        <v>0.10859847734897411</v>
      </c>
      <c r="AM67" s="9">
        <f ca="1">DATOSAÑO!BP66</f>
        <v>2.36</v>
      </c>
      <c r="AN67" s="11">
        <f ca="1">(AM67*DATOSAÑO!$Z$11)/DATOSAÑO!$Y$11</f>
        <v>4.2524042897557471E-2</v>
      </c>
      <c r="AO67" s="9">
        <f ca="1">DATOSAÑO!BW66</f>
        <v>10.931499999997044</v>
      </c>
      <c r="AP67" s="11">
        <f ca="1">(AO67*DATOSAÑO!$Z$11)/DATOSAÑO!$Y$11</f>
        <v>0.19697100632818804</v>
      </c>
      <c r="AQ67" s="9">
        <f ca="1">DATOSAÑO!CC66</f>
        <v>2.8698000000001094</v>
      </c>
      <c r="AR67" s="1348">
        <f ca="1">(AQ67*DATOSAÑO!$Z$11)/DATOSAÑO!$Y$11</f>
        <v>5.1709956909921646E-2</v>
      </c>
      <c r="AS67" s="1384">
        <f t="shared" si="2"/>
        <v>8</v>
      </c>
    </row>
    <row r="68" spans="1:45" ht="16.5" customHeight="1">
      <c r="A68" s="1408">
        <v>44983</v>
      </c>
      <c r="B68" s="1869">
        <v>44983</v>
      </c>
      <c r="C68" s="9">
        <f ca="1">DATOSAÑO!I67</f>
        <v>276.72999999998137</v>
      </c>
      <c r="D68" s="10">
        <f ca="1">DATOSAÑO!$D67</f>
        <v>4.7329617119699225</v>
      </c>
      <c r="E68" s="11">
        <f ca="1">DATOSAÑO!$G67</f>
        <v>0</v>
      </c>
      <c r="F68" s="9">
        <f ca="1">DATOSAÑO!P67</f>
        <v>151.09000000000015</v>
      </c>
      <c r="G68" s="10">
        <f ca="1">DATOSAÑO!K67</f>
        <v>3.7084160760598515</v>
      </c>
      <c r="H68" s="11">
        <f ca="1">DATOSAÑO!N67</f>
        <v>0</v>
      </c>
      <c r="I68" s="9">
        <f ca="1">DATOSAÑO!Q67</f>
        <v>0</v>
      </c>
      <c r="J68" s="11">
        <f ca="1">DATOSAÑO!R67</f>
        <v>0</v>
      </c>
      <c r="K68" s="9">
        <f ca="1">DATOSAÑO!T67</f>
        <v>0</v>
      </c>
      <c r="L68" s="11">
        <f t="shared" ca="1" si="0"/>
        <v>0</v>
      </c>
      <c r="M68" s="9"/>
      <c r="N68" s="11">
        <f t="shared" si="1"/>
        <v>0</v>
      </c>
      <c r="O68" s="9">
        <f>DATOSAÑO!CK67</f>
        <v>0</v>
      </c>
      <c r="P68" s="9">
        <f>DATOSAÑO!CL67</f>
        <v>0</v>
      </c>
      <c r="Q68" s="9">
        <f ca="1">DATOSAÑO!AD67</f>
        <v>161.30000000004657</v>
      </c>
      <c r="R68" s="11">
        <f ca="1">(Q68*DATOSAÑO!$Z$11)/DATOSAÑO!$Y$11</f>
        <v>2.9064102200754238</v>
      </c>
      <c r="S68" s="9">
        <f ca="1">DATOSAÑO!AF67</f>
        <v>137.84999999997672</v>
      </c>
      <c r="T68" s="11">
        <f ca="1">(S68*DATOSAÑO!$Z$11)/DATOSAÑO!$Y$11</f>
        <v>2.4838725904352996</v>
      </c>
      <c r="U68" s="9">
        <f ca="1">DATOSAÑO!AH67</f>
        <v>10.199999999995271</v>
      </c>
      <c r="V68" s="11">
        <f ca="1">(U68*DATOSAÑO!$Z$11)/DATOSAÑO!$Y$11</f>
        <v>0.18379035489613776</v>
      </c>
      <c r="W68" s="9">
        <f ca="1">DATOSAÑO!AI67</f>
        <v>32.669999999998254</v>
      </c>
      <c r="X68" s="11">
        <f ca="1">(W68*DATOSAÑO!$Z$11)/DATOSAÑO!$Y$11</f>
        <v>0.58866969553522386</v>
      </c>
      <c r="Y68" s="9">
        <f ca="1">DATOSAÑO!AJ67</f>
        <v>8.6999999999970896</v>
      </c>
      <c r="Z68" s="11">
        <f ca="1">(Y68*DATOSAÑO!$Z$11)/DATOSAÑO!$Y$11</f>
        <v>0.15676236152907894</v>
      </c>
      <c r="AA68" s="9">
        <f ca="1">DATOSAÑO!AK67</f>
        <v>15.779999999998836</v>
      </c>
      <c r="AB68" s="11">
        <f ca="1">(AA68*DATOSAÑO!$Z$11)/DATOSAÑO!$Y$11</f>
        <v>0.28433449022178281</v>
      </c>
      <c r="AC68" s="9">
        <f ca="1">DATOSAÑO!AL67</f>
        <v>33.169999999967274</v>
      </c>
      <c r="AD68" s="11">
        <f ca="1">(AC68*DATOSAÑO!$Z$11)/DATOSAÑO!$Y$11</f>
        <v>0.59767902665702954</v>
      </c>
      <c r="AE68" s="9">
        <f ca="1">DATOSAÑO!AM67</f>
        <v>8.4150000000025269</v>
      </c>
      <c r="AF68" s="11">
        <f ca="1">(AE68*DATOSAÑO!$Z$11)/DATOSAÑO!$Y$11</f>
        <v>0.15162704278942948</v>
      </c>
      <c r="AG68" s="9">
        <f ca="1">DATOSAÑO!AN67</f>
        <v>3.8879999999992543</v>
      </c>
      <c r="AH68" s="11">
        <f ca="1">(AG68*DATOSAÑO!$Z$11)/DATOSAÑO!$Y$11</f>
        <v>7.0056558807488026E-2</v>
      </c>
      <c r="AI68" s="9">
        <f ca="1">DATOSAÑO!BJ67</f>
        <v>0</v>
      </c>
      <c r="AJ68" s="11">
        <f ca="1">(AI68*DATOSAÑO!$Z$11)/DATOSAÑO!$Y$11</f>
        <v>0</v>
      </c>
      <c r="AK68" s="9">
        <f ca="1">DATOSAÑO!BM67</f>
        <v>5.72</v>
      </c>
      <c r="AL68" s="11">
        <f ca="1">(AK68*DATOSAÑO!$Z$11)/DATOSAÑO!$Y$11</f>
        <v>0.10306674803984268</v>
      </c>
      <c r="AM68" s="9">
        <f ca="1">DATOSAÑO!BP67</f>
        <v>2.335</v>
      </c>
      <c r="AN68" s="11">
        <f ca="1">(AM68*DATOSAÑO!$Z$11)/DATOSAÑO!$Y$11</f>
        <v>4.2073576341439281E-2</v>
      </c>
      <c r="AO68" s="9">
        <f ca="1">DATOSAÑO!BW67</f>
        <v>10.567500000000937</v>
      </c>
      <c r="AP68" s="11">
        <f ca="1">(AO68*DATOSAÑO!$Z$11)/DATOSAÑO!$Y$11</f>
        <v>0.19041221327117727</v>
      </c>
      <c r="AQ68" s="9">
        <f ca="1">DATOSAÑO!CC67</f>
        <v>2.9871999999997016</v>
      </c>
      <c r="AR68" s="1348">
        <f ca="1">(AQ68*DATOSAÑO!$Z$11)/DATOSAÑO!$Y$11</f>
        <v>5.382534785744534E-2</v>
      </c>
      <c r="AS68" s="1384">
        <f t="shared" si="2"/>
        <v>9</v>
      </c>
    </row>
    <row r="69" spans="1:45">
      <c r="A69" s="1408">
        <v>44984</v>
      </c>
      <c r="B69" s="1869">
        <v>44984</v>
      </c>
      <c r="C69" s="9">
        <f ca="1">DATOSAÑO!I68</f>
        <v>283.84999999997672</v>
      </c>
      <c r="D69" s="10">
        <f ca="1">DATOSAÑO!$D68</f>
        <v>4.7910225598501839</v>
      </c>
      <c r="E69" s="11">
        <f ca="1">DATOSAÑO!$G68</f>
        <v>0</v>
      </c>
      <c r="F69" s="9">
        <f ca="1">DATOSAÑO!P68</f>
        <v>151.35000000000218</v>
      </c>
      <c r="G69" s="10">
        <f ca="1">DATOSAÑO!K68</f>
        <v>3.7105362755611146</v>
      </c>
      <c r="H69" s="11">
        <f ca="1">DATOSAÑO!N68</f>
        <v>0</v>
      </c>
      <c r="I69" s="9">
        <f ca="1">DATOSAÑO!Q68</f>
        <v>0</v>
      </c>
      <c r="J69" s="11">
        <f ca="1">DATOSAÑO!R68</f>
        <v>0</v>
      </c>
      <c r="K69" s="9">
        <f ca="1">DATOSAÑO!T68</f>
        <v>0</v>
      </c>
      <c r="L69" s="11">
        <f t="shared" ca="1" si="0"/>
        <v>0</v>
      </c>
      <c r="M69" s="9"/>
      <c r="N69" s="11">
        <f t="shared" si="1"/>
        <v>0</v>
      </c>
      <c r="O69" s="9">
        <f>DATOSAÑO!CK68</f>
        <v>0</v>
      </c>
      <c r="P69" s="9">
        <f>DATOSAÑO!CL68</f>
        <v>0</v>
      </c>
      <c r="Q69" s="9">
        <f ca="1">DATOSAÑO!AD68</f>
        <v>159.79999999993015</v>
      </c>
      <c r="R69" s="11">
        <f ca="1">(Q69*DATOSAÑO!$Z$11)/DATOSAÑO!$Y$11</f>
        <v>2.8793822267062348</v>
      </c>
      <c r="S69" s="9">
        <f ca="1">DATOSAÑO!AF68</f>
        <v>139.03000000002794</v>
      </c>
      <c r="T69" s="11">
        <f ca="1">(S69*DATOSAÑO!$Z$11)/DATOSAÑO!$Y$11</f>
        <v>2.5051346118850013</v>
      </c>
      <c r="U69" s="9">
        <f ca="1">DATOSAÑO!AH68</f>
        <v>13.80000000000291</v>
      </c>
      <c r="V69" s="11">
        <f ca="1">(U69*DATOSAÑO!$Z$11)/DATOSAÑO!$Y$11</f>
        <v>0.24865753897729528</v>
      </c>
      <c r="W69" s="9">
        <f ca="1">DATOSAÑO!AI68</f>
        <v>32.489999999997963</v>
      </c>
      <c r="X69" s="11">
        <f ca="1">(W69*DATOSAÑO!$Z$11)/DATOSAÑO!$Y$11</f>
        <v>0.58542633633116758</v>
      </c>
      <c r="Y69" s="9">
        <f ca="1">DATOSAÑO!AJ68</f>
        <v>8.8500000000058208</v>
      </c>
      <c r="Z69" s="11">
        <f ca="1">(Y69*DATOSAÑO!$Z$11)/DATOSAÑO!$Y$11</f>
        <v>0.15946516086594542</v>
      </c>
      <c r="AA69" s="9">
        <f ca="1">DATOSAÑO!AK68</f>
        <v>16.319999999977881</v>
      </c>
      <c r="AB69" s="11">
        <f ca="1">(AA69*DATOSAÑO!$Z$11)/DATOSAÑO!$Y$11</f>
        <v>0.29406456783355822</v>
      </c>
      <c r="AC69" s="9">
        <f ca="1">DATOSAÑO!AL68</f>
        <v>35.240000000088912</v>
      </c>
      <c r="AD69" s="11">
        <f ca="1">(AC69*DATOSAÑO!$Z$11)/DATOSAÑO!$Y$11</f>
        <v>0.63497765750580781</v>
      </c>
      <c r="AE69" s="9">
        <f ca="1">DATOSAÑO!AM68</f>
        <v>9.8549999999475215</v>
      </c>
      <c r="AF69" s="11">
        <f ca="1">(AE69*DATOSAÑO!$Z$11)/DATOSAÑO!$Y$11</f>
        <v>0.1775739164208463</v>
      </c>
      <c r="AG69" s="9">
        <f ca="1">DATOSAÑO!AN68</f>
        <v>3.7630000000000181</v>
      </c>
      <c r="AH69" s="11">
        <f ca="1">(AG69*DATOSAÑO!$Z$11)/DATOSAÑO!$Y$11</f>
        <v>6.7804226026910816E-2</v>
      </c>
      <c r="AI69" s="9">
        <f ca="1">DATOSAÑO!BJ68</f>
        <v>0</v>
      </c>
      <c r="AJ69" s="11">
        <f ca="1">(AI69*DATOSAÑO!$Z$11)/DATOSAÑO!$Y$11</f>
        <v>0</v>
      </c>
      <c r="AK69" s="9">
        <f ca="1">DATOSAÑO!BM68</f>
        <v>5.7350000000000003</v>
      </c>
      <c r="AL69" s="11">
        <f ca="1">(AK69*DATOSAÑO!$Z$11)/DATOSAÑO!$Y$11</f>
        <v>0.10333702797351361</v>
      </c>
      <c r="AM69" s="9">
        <f ca="1">DATOSAÑO!BP68</f>
        <v>2.36</v>
      </c>
      <c r="AN69" s="11">
        <f ca="1">(AM69*DATOSAÑO!$Z$11)/DATOSAÑO!$Y$11</f>
        <v>4.2524042897557471E-2</v>
      </c>
      <c r="AO69" s="9">
        <f ca="1">DATOSAÑO!BW68</f>
        <v>11.417499999973543</v>
      </c>
      <c r="AP69" s="11">
        <f ca="1">(AO69*DATOSAÑO!$Z$11)/DATOSAÑO!$Y$11</f>
        <v>0.20572807617870226</v>
      </c>
      <c r="AQ69" s="9">
        <f ca="1">DATOSAÑO!CC68</f>
        <v>2.9722000000000075</v>
      </c>
      <c r="AR69" s="1348">
        <f ca="1">(AQ69*DATOSAÑO!$Z$11)/DATOSAÑO!$Y$11</f>
        <v>5.3555067923779925E-2</v>
      </c>
      <c r="AS69" s="1384">
        <f t="shared" si="2"/>
        <v>9</v>
      </c>
    </row>
    <row r="70" spans="1:45" ht="16.5" customHeight="1" thickBot="1">
      <c r="A70" s="1408">
        <v>44985</v>
      </c>
      <c r="B70" s="1870">
        <v>44985</v>
      </c>
      <c r="C70" s="86">
        <f ca="1">DATOSAÑO!I69</f>
        <v>279.46000000007916</v>
      </c>
      <c r="D70" s="87">
        <f ca="1">DATOSAÑO!$D69</f>
        <v>4.7552238067338131</v>
      </c>
      <c r="E70" s="88">
        <f ca="1">DATOSAÑO!$G69</f>
        <v>0</v>
      </c>
      <c r="F70" s="86">
        <f ca="1">DATOSAÑO!P69</f>
        <v>152.43000000000029</v>
      </c>
      <c r="G70" s="87">
        <f ca="1">DATOSAÑO!K69</f>
        <v>3.7193432581047405</v>
      </c>
      <c r="H70" s="88">
        <f ca="1">DATOSAÑO!N69</f>
        <v>0</v>
      </c>
      <c r="I70" s="86">
        <f ca="1">DATOSAÑO!Q69</f>
        <v>7.0000000000618456E-3</v>
      </c>
      <c r="J70" s="88">
        <f ca="1">DATOSAÑO!R69</f>
        <v>0.84000000000742148</v>
      </c>
      <c r="K70" s="86">
        <f ca="1">DATOSAÑO!T69</f>
        <v>0.58799999999996544</v>
      </c>
      <c r="L70" s="88">
        <f t="shared" ca="1" si="0"/>
        <v>70.559999999995853</v>
      </c>
      <c r="M70" s="86"/>
      <c r="N70" s="88">
        <f t="shared" si="1"/>
        <v>0</v>
      </c>
      <c r="O70" s="63">
        <f>DATOSAÑO!CK69</f>
        <v>0</v>
      </c>
      <c r="P70" s="62">
        <f>DATOSAÑO!CL69</f>
        <v>0.6</v>
      </c>
      <c r="Q70" s="86">
        <f ca="1">DATOSAÑO!AD69</f>
        <v>165.40000000002328</v>
      </c>
      <c r="R70" s="88">
        <f ca="1">(Q70*DATOSAÑO!$Z$11)/DATOSAÑO!$Y$11</f>
        <v>2.9802867352783879</v>
      </c>
      <c r="S70" s="86">
        <f ca="1">DATOSAÑO!AF69</f>
        <v>139.46999999997206</v>
      </c>
      <c r="T70" s="88">
        <f ca="1">(S70*DATOSAÑO!$Z$11)/DATOSAÑO!$Y$11</f>
        <v>2.513062823271675</v>
      </c>
      <c r="U70" s="86">
        <f ca="1">DATOSAÑO!AH69</f>
        <v>8.5999999999985448</v>
      </c>
      <c r="V70" s="88">
        <f ca="1">(U70*DATOSAÑO!$Z$11)/DATOSAÑO!$Y$11</f>
        <v>0.15496049530463235</v>
      </c>
      <c r="W70" s="86">
        <f ca="1">DATOSAÑO!AI69</f>
        <v>32.190000000002328</v>
      </c>
      <c r="X70" s="88">
        <f ca="1">(W70*DATOSAÑO!$Z$11)/DATOSAÑO!$Y$11</f>
        <v>0.58002073765782802</v>
      </c>
      <c r="Y70" s="86">
        <f ca="1">DATOSAÑO!AJ69</f>
        <v>8.5999999999912689</v>
      </c>
      <c r="Z70" s="88">
        <f ca="1">(Y70*DATOSAÑO!$Z$11)/DATOSAÑO!$Y$11</f>
        <v>0.15496049530450123</v>
      </c>
      <c r="AA70" s="86">
        <f ca="1">DATOSAÑO!AK69</f>
        <v>15.170000000012806</v>
      </c>
      <c r="AB70" s="88">
        <f ca="1">(AA70*DATOSAÑO!$Z$11)/DATOSAÑO!$Y$11</f>
        <v>0.2733431062527506</v>
      </c>
      <c r="AC70" s="86">
        <f ca="1">DATOSAÑO!AL69</f>
        <v>33.025000000036698</v>
      </c>
      <c r="AD70" s="88">
        <f ca="1">(AC70*DATOSAÑO!$Z$11)/DATOSAÑO!$Y$11</f>
        <v>0.59506632063279497</v>
      </c>
      <c r="AE70" s="86">
        <f ca="1">DATOSAÑO!AM69</f>
        <v>9.8320000000413792</v>
      </c>
      <c r="AF70" s="88">
        <f ca="1">(AE70*DATOSAÑO!$Z$11)/DATOSAÑO!$Y$11</f>
        <v>0.17715948719090874</v>
      </c>
      <c r="AG70" s="86">
        <f ca="1">DATOSAÑO!AN69</f>
        <v>3.7370000000004922</v>
      </c>
      <c r="AH70" s="88">
        <f ca="1">(AG70*DATOSAÑO!$Z$11)/DATOSAÑO!$Y$11</f>
        <v>6.7335740808556435E-2</v>
      </c>
      <c r="AI70" s="1377">
        <f ca="1">DATOSAÑO!BJ69</f>
        <v>0</v>
      </c>
      <c r="AJ70" s="1378">
        <f ca="1">(AI70*DATOSAÑO!$Z$11)/DATOSAÑO!$Y$11</f>
        <v>0</v>
      </c>
      <c r="AK70" s="1377">
        <f ca="1">DATOSAÑO!BM69</f>
        <v>5.4770000000000003</v>
      </c>
      <c r="AL70" s="1378">
        <f ca="1">(AK70*DATOSAÑO!$Z$11)/DATOSAÑO!$Y$11</f>
        <v>9.8688213114373841E-2</v>
      </c>
      <c r="AM70" s="1377">
        <f ca="1">DATOSAÑO!BP69</f>
        <v>2.911</v>
      </c>
      <c r="AN70" s="1378">
        <f ca="1">(AM70*DATOSAÑO!$Z$11)/DATOSAÑO!$Y$11</f>
        <v>5.2452325794402462E-2</v>
      </c>
      <c r="AO70" s="1377">
        <f ca="1">DATOSAÑO!BW69</f>
        <v>11.486000000021308</v>
      </c>
      <c r="AP70" s="1378">
        <f ca="1">(AO70*DATOSAÑO!$Z$11)/DATOSAÑO!$Y$11</f>
        <v>0.20696235454332679</v>
      </c>
      <c r="AQ70" s="1377">
        <f ca="1">DATOSAÑO!CC69</f>
        <v>2.997800000000197</v>
      </c>
      <c r="AR70" s="1379">
        <f ca="1">(AQ70*DATOSAÑO!$Z$11)/DATOSAÑO!$Y$11</f>
        <v>5.4016345677248376E-2</v>
      </c>
      <c r="AS70" s="1385">
        <f t="shared" si="2"/>
        <v>9</v>
      </c>
    </row>
    <row r="71" spans="1:45">
      <c r="A71" s="1408">
        <v>44986</v>
      </c>
      <c r="B71" s="1871">
        <v>44986</v>
      </c>
      <c r="C71" s="178">
        <f ca="1">DATOSAÑO!I70</f>
        <v>277.73999999999069</v>
      </c>
      <c r="D71" s="179">
        <f ca="1">DATOSAÑO!$D70</f>
        <v>4.7411978715709964</v>
      </c>
      <c r="E71" s="180">
        <f ca="1">DATOSAÑO!$G70</f>
        <v>0</v>
      </c>
      <c r="F71" s="178">
        <f ca="1">DATOSAÑO!P70</f>
        <v>153.31999999999971</v>
      </c>
      <c r="G71" s="179">
        <f ca="1">DATOSAÑO!K70</f>
        <v>3.7266008640897734</v>
      </c>
      <c r="H71" s="180">
        <f ca="1">DATOSAÑO!N70</f>
        <v>0</v>
      </c>
      <c r="I71" s="178">
        <f ca="1">DATOSAÑO!Q70</f>
        <v>0</v>
      </c>
      <c r="J71" s="180">
        <f ca="1">DATOSAÑO!R70</f>
        <v>0</v>
      </c>
      <c r="K71" s="178">
        <f ca="1">DATOSAÑO!T70</f>
        <v>0</v>
      </c>
      <c r="L71" s="180">
        <f t="shared" ca="1" si="0"/>
        <v>0</v>
      </c>
      <c r="M71" s="178"/>
      <c r="N71" s="180">
        <f t="shared" si="1"/>
        <v>0</v>
      </c>
      <c r="O71" s="9">
        <f>DATOSAÑO!CK70</f>
        <v>0</v>
      </c>
      <c r="P71" s="9">
        <f>DATOSAÑO!CL70</f>
        <v>0</v>
      </c>
      <c r="Q71" s="178">
        <f ca="1">DATOSAÑO!AD70</f>
        <v>158.80000000004657</v>
      </c>
      <c r="R71" s="180">
        <f ca="1">(Q71*DATOSAÑO!$Z$11)/DATOSAÑO!$Y$11</f>
        <v>2.8613635644636042</v>
      </c>
      <c r="S71" s="178">
        <f ca="1">DATOSAÑO!AF70</f>
        <v>139.79999999998836</v>
      </c>
      <c r="T71" s="180">
        <f ca="1">(S71*DATOSAÑO!$Z$11)/DATOSAÑO!$Y$11</f>
        <v>2.5190089818127284</v>
      </c>
      <c r="U71" s="178">
        <f ca="1">DATOSAÑO!AH70</f>
        <v>9</v>
      </c>
      <c r="V71" s="180">
        <f ca="1">(U71*DATOSAÑO!$Z$11)/DATOSAÑO!$Y$11</f>
        <v>0.16216796020254967</v>
      </c>
      <c r="W71" s="178">
        <f ca="1">DATOSAÑO!AI70</f>
        <v>32.839999999996508</v>
      </c>
      <c r="X71" s="180">
        <f ca="1">(W71*DATOSAÑO!$Z$11)/DATOSAÑO!$Y$11</f>
        <v>0.59173286811679615</v>
      </c>
      <c r="Y71" s="178">
        <f ca="1">DATOSAÑO!AJ70</f>
        <v>6.4100000000034925</v>
      </c>
      <c r="Z71" s="180">
        <f ca="1">(Y71*DATOSAÑO!$Z$11)/DATOSAÑO!$Y$11</f>
        <v>0.11549962498876776</v>
      </c>
      <c r="AA71" s="178">
        <f ca="1">DATOSAÑO!AK70</f>
        <v>15.200000000011642</v>
      </c>
      <c r="AB71" s="180">
        <f ca="1">(AA71*DATOSAÑO!$Z$11)/DATOSAÑO!$Y$11</f>
        <v>0.27388366612007142</v>
      </c>
      <c r="AC71" s="178">
        <f ca="1">DATOSAÑO!AL70</f>
        <v>38.909999999897934</v>
      </c>
      <c r="AD71" s="180">
        <f ca="1">(AC71*DATOSAÑO!$Z$11)/DATOSAÑO!$Y$11</f>
        <v>0.7011061479405174</v>
      </c>
      <c r="AE71" s="178">
        <f ca="1">DATOSAÑO!AM70</f>
        <v>10.532000000046983</v>
      </c>
      <c r="AF71" s="180">
        <f ca="1">(AE71*DATOSAÑO!$Z$11)/DATOSAÑO!$Y$11</f>
        <v>0.18977255076231914</v>
      </c>
      <c r="AG71" s="178">
        <f ca="1">DATOSAÑO!AN70</f>
        <v>2.8869999999995088</v>
      </c>
      <c r="AH71" s="180">
        <f ca="1">(AG71*DATOSAÑO!$Z$11)/DATOSAÑO!$Y$11</f>
        <v>5.2019877900520144E-2</v>
      </c>
      <c r="AI71" s="9">
        <f ca="1">DATOSAÑO!BJ70</f>
        <v>0</v>
      </c>
      <c r="AJ71" s="11">
        <f ca="1">(AI71*DATOSAÑO!$Z$11)/DATOSAÑO!$Y$11</f>
        <v>0</v>
      </c>
      <c r="AK71" s="9">
        <f ca="1">DATOSAÑO!BM70</f>
        <v>2.4340000000000002</v>
      </c>
      <c r="AL71" s="11">
        <f ca="1">(AK71*DATOSAÑO!$Z$11)/DATOSAÑO!$Y$11</f>
        <v>4.3857423903667335E-2</v>
      </c>
      <c r="AM71" s="9">
        <f ca="1">DATOSAÑO!BP70</f>
        <v>6.3739999999999997</v>
      </c>
      <c r="AN71" s="11">
        <f ca="1">(AM71*DATOSAÑO!$Z$11)/DATOSAÑO!$Y$11</f>
        <v>0.11485095314789462</v>
      </c>
      <c r="AO71" s="9">
        <f ca="1">DATOSAÑO!BW70</f>
        <v>11.736000000022837</v>
      </c>
      <c r="AP71" s="11">
        <f ca="1">(AO71*DATOSAÑO!$Z$11)/DATOSAÑO!$Y$11</f>
        <v>0.2114670201045363</v>
      </c>
      <c r="AQ71" s="9">
        <f ca="1">DATOSAÑO!CC70</f>
        <v>2.5577999999998036</v>
      </c>
      <c r="AR71" s="1348">
        <f ca="1">(AQ71*DATOSAÑO!$Z$11)/DATOSAÑO!$Y$11</f>
        <v>4.6088134289561079E-2</v>
      </c>
      <c r="AS71" s="1406">
        <f t="shared" si="2"/>
        <v>9</v>
      </c>
    </row>
    <row r="72" spans="1:45" ht="16.5" customHeight="1">
      <c r="A72" s="1408">
        <v>44987</v>
      </c>
      <c r="B72" s="1869">
        <v>44987</v>
      </c>
      <c r="C72" s="9">
        <f ca="1">DATOSAÑO!I71</f>
        <v>281.19999999995343</v>
      </c>
      <c r="D72" s="10">
        <f ca="1">DATOSAÑO!$D71</f>
        <v>4.7694128341642088</v>
      </c>
      <c r="E72" s="11">
        <f ca="1">DATOSAÑO!$G71</f>
        <v>0</v>
      </c>
      <c r="F72" s="9">
        <f ca="1">DATOSAÑO!P71</f>
        <v>151.09999999999854</v>
      </c>
      <c r="G72" s="10">
        <f ca="1">DATOSAÑO!K71</f>
        <v>3.7084976221945016</v>
      </c>
      <c r="H72" s="11">
        <f ca="1">DATOSAÑO!N71</f>
        <v>0</v>
      </c>
      <c r="I72" s="9">
        <f ca="1">DATOSAÑO!Q71</f>
        <v>0</v>
      </c>
      <c r="J72" s="11">
        <f ca="1">DATOSAÑO!R71</f>
        <v>0</v>
      </c>
      <c r="K72" s="9">
        <f ca="1">DATOSAÑO!T71</f>
        <v>0</v>
      </c>
      <c r="L72" s="11">
        <f t="shared" ca="1" si="0"/>
        <v>0</v>
      </c>
      <c r="M72" s="9"/>
      <c r="N72" s="11">
        <f t="shared" si="1"/>
        <v>0</v>
      </c>
      <c r="O72" s="9">
        <f>DATOSAÑO!CK71</f>
        <v>0</v>
      </c>
      <c r="P72" s="9">
        <f>DATOSAÑO!CL71</f>
        <v>0</v>
      </c>
      <c r="Q72" s="9">
        <f ca="1">DATOSAÑO!AD71</f>
        <v>167.40000000002328</v>
      </c>
      <c r="R72" s="11">
        <f ca="1">(Q72*DATOSAÑO!$Z$11)/DATOSAÑO!$Y$11</f>
        <v>3.0163240597678436</v>
      </c>
      <c r="S72" s="9">
        <f ca="1">DATOSAÑO!AF71</f>
        <v>139.20000000001164</v>
      </c>
      <c r="T72" s="11">
        <f ca="1">(S72*DATOSAÑO!$Z$11)/DATOSAÑO!$Y$11</f>
        <v>2.5081977844663115</v>
      </c>
      <c r="U72" s="9">
        <f ca="1">DATOSAÑO!AH71</f>
        <v>9.1000000000003638</v>
      </c>
      <c r="V72" s="11">
        <f ca="1">(U72*DATOSAÑO!$Z$11)/DATOSAÑO!$Y$11</f>
        <v>0.16396982642702901</v>
      </c>
      <c r="W72" s="9">
        <f ca="1">DATOSAÑO!AI71</f>
        <v>36.969999999993888</v>
      </c>
      <c r="X72" s="11">
        <f ca="1">(W72*DATOSAÑO!$Z$11)/DATOSAÑO!$Y$11</f>
        <v>0.66614994318747456</v>
      </c>
      <c r="Y72" s="9">
        <f ca="1">DATOSAÑO!AJ71</f>
        <v>7.4000000000087311</v>
      </c>
      <c r="Z72" s="11">
        <f ca="1">(Y72*DATOSAÑO!$Z$11)/DATOSAÑO!$Y$11</f>
        <v>0.13333810061114262</v>
      </c>
      <c r="AA72" s="9">
        <f ca="1">DATOSAÑO!AK71</f>
        <v>15.399999999994179</v>
      </c>
      <c r="AB72" s="11">
        <f ca="1">(AA72*DATOSAÑO!$Z$11)/DATOSAÑO!$Y$11</f>
        <v>0.27748739856870236</v>
      </c>
      <c r="AC72" s="9">
        <f ca="1">DATOSAÑO!AL71</f>
        <v>29.429999999980282</v>
      </c>
      <c r="AD72" s="11">
        <f ca="1">(AC72*DATOSAÑO!$Z$11)/DATOSAÑO!$Y$11</f>
        <v>0.53028922986198213</v>
      </c>
      <c r="AE72" s="9">
        <f ca="1">DATOSAÑO!AM71</f>
        <v>8.2769999999392994</v>
      </c>
      <c r="AF72" s="11">
        <f ca="1">(AE72*DATOSAÑO!$Z$11)/DATOSAÑO!$Y$11</f>
        <v>0.14914046739851777</v>
      </c>
      <c r="AG72" s="9">
        <f ca="1">DATOSAÑO!AN71</f>
        <v>2.4980000000002001</v>
      </c>
      <c r="AH72" s="11">
        <f ca="1">(AG72*DATOSAÑO!$Z$11)/DATOSAÑO!$Y$11</f>
        <v>4.5010618287333506E-2</v>
      </c>
      <c r="AI72" s="9">
        <f ca="1">DATOSAÑO!BJ71</f>
        <v>0</v>
      </c>
      <c r="AJ72" s="11">
        <f ca="1">(AI72*DATOSAÑO!$Z$11)/DATOSAÑO!$Y$11</f>
        <v>0</v>
      </c>
      <c r="AK72" s="9">
        <f ca="1">DATOSAÑO!BM71</f>
        <v>2.431</v>
      </c>
      <c r="AL72" s="11">
        <f ca="1">(AK72*DATOSAÑO!$Z$11)/DATOSAÑO!$Y$11</f>
        <v>4.3803367916933143E-2</v>
      </c>
      <c r="AM72" s="9">
        <f ca="1">DATOSAÑO!BP71</f>
        <v>6.282</v>
      </c>
      <c r="AN72" s="11">
        <f ca="1">(AM72*DATOSAÑO!$Z$11)/DATOSAÑO!$Y$11</f>
        <v>0.11319323622137968</v>
      </c>
      <c r="AO72" s="9">
        <f ca="1">DATOSAÑO!BW71</f>
        <v>10.518499999969759</v>
      </c>
      <c r="AP72" s="11">
        <f ca="1">(AO72*DATOSAÑO!$Z$11)/DATOSAÑO!$Y$11</f>
        <v>0.18952929882062386</v>
      </c>
      <c r="AQ72" s="9">
        <f ca="1">DATOSAÑO!CC71</f>
        <v>2.5312000000000801</v>
      </c>
      <c r="AR72" s="1348">
        <f ca="1">(AQ72*DATOSAÑO!$Z$11)/DATOSAÑO!$Y$11</f>
        <v>4.5608837873856299E-2</v>
      </c>
      <c r="AS72" s="1384">
        <f t="shared" si="2"/>
        <v>9</v>
      </c>
    </row>
    <row r="73" spans="1:45">
      <c r="A73" s="1408">
        <v>44988</v>
      </c>
      <c r="B73" s="1869">
        <v>44988</v>
      </c>
      <c r="C73" s="9">
        <f ca="1">DATOSAÑO!I72</f>
        <v>280.03000000002794</v>
      </c>
      <c r="D73" s="10">
        <f ca="1">DATOSAÑO!$D72</f>
        <v>4.7598719364092057</v>
      </c>
      <c r="E73" s="11">
        <f ca="1">DATOSAÑO!$G72</f>
        <v>0</v>
      </c>
      <c r="F73" s="9">
        <f ca="1">DATOSAÑO!P72</f>
        <v>149.35000000000218</v>
      </c>
      <c r="G73" s="10">
        <f ca="1">DATOSAÑO!K72</f>
        <v>3.6942270486284468</v>
      </c>
      <c r="H73" s="11">
        <f ca="1">DATOSAÑO!N72</f>
        <v>0</v>
      </c>
      <c r="I73" s="9">
        <f ca="1">DATOSAÑO!Q72</f>
        <v>0</v>
      </c>
      <c r="J73" s="11">
        <f ca="1">DATOSAÑO!R72</f>
        <v>0</v>
      </c>
      <c r="K73" s="9">
        <f ca="1">DATOSAÑO!T72</f>
        <v>0</v>
      </c>
      <c r="L73" s="11">
        <f t="shared" ca="1" si="0"/>
        <v>0</v>
      </c>
      <c r="M73" s="9"/>
      <c r="N73" s="11">
        <f t="shared" si="1"/>
        <v>0</v>
      </c>
      <c r="O73" s="9">
        <f>DATOSAÑO!CK72</f>
        <v>0</v>
      </c>
      <c r="P73" s="9">
        <f>DATOSAÑO!CL72</f>
        <v>0</v>
      </c>
      <c r="Q73" s="9">
        <f ca="1">DATOSAÑO!AD72</f>
        <v>160.29999999993015</v>
      </c>
      <c r="R73" s="11">
        <f ca="1">(Q73*DATOSAÑO!$Z$11)/DATOSAÑO!$Y$11</f>
        <v>2.8883915578285984</v>
      </c>
      <c r="S73" s="9">
        <f ca="1">DATOSAÑO!AF72</f>
        <v>137.90000000002328</v>
      </c>
      <c r="T73" s="11">
        <f ca="1">(S73*DATOSAÑO!$Z$11)/DATOSAÑO!$Y$11</f>
        <v>2.4847735235483754</v>
      </c>
      <c r="U73" s="9">
        <f ca="1">DATOSAÑO!AH72</f>
        <v>10.599999999996726</v>
      </c>
      <c r="V73" s="11">
        <f ca="1">(U73*DATOSAÑO!$Z$11)/DATOSAÑO!$Y$11</f>
        <v>0.19099781979405508</v>
      </c>
      <c r="W73" s="9">
        <f ca="1">DATOSAÑO!AI72</f>
        <v>36.710000000006403</v>
      </c>
      <c r="X73" s="11">
        <f ca="1">(W73*DATOSAÑO!$Z$11)/DATOSAÑO!$Y$11</f>
        <v>0.66146509100407069</v>
      </c>
      <c r="Y73" s="9">
        <f ca="1">DATOSAÑO!AJ72</f>
        <v>7.1299999999901047</v>
      </c>
      <c r="Z73" s="11">
        <f ca="1">(Y73*DATOSAÑO!$Z$11)/DATOSAÑO!$Y$11</f>
        <v>0.1284730618047305</v>
      </c>
      <c r="AA73" s="9">
        <f ca="1">DATOSAÑO!AK72</f>
        <v>14.940000000002328</v>
      </c>
      <c r="AB73" s="11">
        <f ca="1">(AA73*DATOSAÑO!$Z$11)/DATOSAÑO!$Y$11</f>
        <v>0.26919881393627443</v>
      </c>
      <c r="AC73" s="9">
        <f ca="1">DATOSAÑO!AL72</f>
        <v>33.800000000066575</v>
      </c>
      <c r="AD73" s="11">
        <f ca="1">(AC73*DATOSAÑO!$Z$11)/DATOSAÑO!$Y$11</f>
        <v>0.60903078387299725</v>
      </c>
      <c r="AE73" s="9">
        <f ca="1">DATOSAÑO!AM72</f>
        <v>8.8450000000147515</v>
      </c>
      <c r="AF73" s="11">
        <f ca="1">(AE73*DATOSAÑO!$Z$11)/DATOSAÑO!$Y$11</f>
        <v>0.15937506755488268</v>
      </c>
      <c r="AG73" s="9">
        <f ca="1">DATOSAÑO!AN72</f>
        <v>2.6529999999998362</v>
      </c>
      <c r="AH73" s="11">
        <f ca="1">(AG73*DATOSAÑO!$Z$11)/DATOSAÑO!$Y$11</f>
        <v>4.7803510935259752E-2</v>
      </c>
      <c r="AI73" s="9">
        <f ca="1">DATOSAÑO!BJ72</f>
        <v>0</v>
      </c>
      <c r="AJ73" s="11">
        <f ca="1">(AI73*DATOSAÑO!$Z$11)/DATOSAÑO!$Y$11</f>
        <v>0</v>
      </c>
      <c r="AK73" s="9">
        <f ca="1">DATOSAÑO!BM72</f>
        <v>2.39</v>
      </c>
      <c r="AL73" s="11">
        <f ca="1">(AK73*DATOSAÑO!$Z$11)/DATOSAÑO!$Y$11</f>
        <v>4.3064602764899311E-2</v>
      </c>
      <c r="AM73" s="9">
        <f ca="1">DATOSAÑO!BP72</f>
        <v>6.2949999999999999</v>
      </c>
      <c r="AN73" s="11">
        <f ca="1">(AM73*DATOSAÑO!$Z$11)/DATOSAÑO!$Y$11</f>
        <v>0.11342747883056113</v>
      </c>
      <c r="AO73" s="9">
        <f ca="1">DATOSAÑO!BW72</f>
        <v>10.712500000007338</v>
      </c>
      <c r="AP73" s="11">
        <f ca="1">(AO73*DATOSAÑO!$Z$11)/DATOSAÑO!$Y$11</f>
        <v>0.19302491929677817</v>
      </c>
      <c r="AQ73" s="9">
        <f ca="1">DATOSAÑO!CC72</f>
        <v>2.5881999999999343</v>
      </c>
      <c r="AR73" s="1348">
        <f ca="1">(AQ73*DATOSAÑO!$Z$11)/DATOSAÑO!$Y$11</f>
        <v>4.6635901621803165E-2</v>
      </c>
      <c r="AS73" s="1384">
        <f t="shared" si="2"/>
        <v>9</v>
      </c>
    </row>
    <row r="74" spans="1:45" ht="16.5" customHeight="1">
      <c r="A74" s="1408">
        <v>44989</v>
      </c>
      <c r="B74" s="1869">
        <v>44989</v>
      </c>
      <c r="C74" s="9">
        <f ca="1">DATOSAÑO!I73</f>
        <v>290.34999999997672</v>
      </c>
      <c r="D74" s="10">
        <f ca="1">DATOSAÑO!$D73</f>
        <v>4.8440275473813568</v>
      </c>
      <c r="E74" s="11">
        <f ca="1">DATOSAÑO!$G73</f>
        <v>0</v>
      </c>
      <c r="F74" s="9">
        <f ca="1">DATOSAÑO!P73</f>
        <v>149.96999999999753</v>
      </c>
      <c r="G74" s="10">
        <f ca="1">DATOSAÑO!K73</f>
        <v>3.6992829089775361</v>
      </c>
      <c r="H74" s="11">
        <f ca="1">DATOSAÑO!N73</f>
        <v>0</v>
      </c>
      <c r="I74" s="9">
        <f ca="1">DATOSAÑO!Q73</f>
        <v>0</v>
      </c>
      <c r="J74" s="11">
        <f ca="1">DATOSAÑO!R73</f>
        <v>0</v>
      </c>
      <c r="K74" s="9">
        <f ca="1">DATOSAÑO!T73</f>
        <v>0</v>
      </c>
      <c r="L74" s="11">
        <f t="shared" ca="1" si="0"/>
        <v>0</v>
      </c>
      <c r="M74" s="9"/>
      <c r="N74" s="11">
        <f t="shared" si="1"/>
        <v>0</v>
      </c>
      <c r="O74" s="9">
        <f>DATOSAÑO!CK73</f>
        <v>0</v>
      </c>
      <c r="P74" s="9">
        <f>DATOSAÑO!CL73</f>
        <v>0</v>
      </c>
      <c r="Q74" s="9">
        <f ca="1">DATOSAÑO!AD73</f>
        <v>164.30000000004657</v>
      </c>
      <c r="R74" s="11">
        <f ca="1">(Q74*DATOSAÑO!$Z$11)/DATOSAÑO!$Y$11</f>
        <v>2.9604662068096075</v>
      </c>
      <c r="S74" s="9">
        <f ca="1">DATOSAÑO!AF73</f>
        <v>137.79999999998836</v>
      </c>
      <c r="T74" s="11">
        <f ca="1">(S74*DATOSAÑO!$Z$11)/DATOSAÑO!$Y$11</f>
        <v>2.4829716573232727</v>
      </c>
      <c r="U74" s="9">
        <f ca="1">DATOSAÑO!AH73</f>
        <v>11.900000000005093</v>
      </c>
      <c r="V74" s="11">
        <f ca="1">(U74*DATOSAÑO!$Z$11)/DATOSAÑO!$Y$11</f>
        <v>0.21442208071235191</v>
      </c>
      <c r="W74" s="9">
        <f ca="1">DATOSAÑO!AI73</f>
        <v>38.220000000001164</v>
      </c>
      <c r="X74" s="11">
        <f ca="1">(W74*DATOSAÑO!$Z$11)/DATOSAÑO!$Y$11</f>
        <v>0.68867327099351527</v>
      </c>
      <c r="Y74" s="9">
        <f ca="1">DATOSAÑO!AJ73</f>
        <v>8.4700000000011642</v>
      </c>
      <c r="Z74" s="11">
        <f ca="1">(Y74*DATOSAÑO!$Z$11)/DATOSAÑO!$Y$11</f>
        <v>0.15261806921286497</v>
      </c>
      <c r="AA74" s="9">
        <f ca="1">DATOSAÑO!AK73</f>
        <v>15.910000000003492</v>
      </c>
      <c r="AB74" s="11">
        <f ca="1">(AA74*DATOSAÑO!$Z$11)/DATOSAÑO!$Y$11</f>
        <v>0.28667691631368131</v>
      </c>
      <c r="AC74" s="9">
        <f ca="1">DATOSAÑO!AL73</f>
        <v>33.419999999929189</v>
      </c>
      <c r="AD74" s="11">
        <f ca="1">(AC74*DATOSAÑO!$Z$11)/DATOSAÑO!$Y$11</f>
        <v>0.60218369221752521</v>
      </c>
      <c r="AE74" s="9">
        <f ca="1">DATOSAÑO!AM73</f>
        <v>11.120999999999109</v>
      </c>
      <c r="AF74" s="11">
        <f ca="1">(AE74*DATOSAÑO!$Z$11)/DATOSAÑO!$Y$11</f>
        <v>0.20038554282360116</v>
      </c>
      <c r="AG74" s="9">
        <f ca="1">DATOSAÑO!AN73</f>
        <v>2.4979999999999452</v>
      </c>
      <c r="AH74" s="11">
        <f ca="1">(AG74*DATOSAÑO!$Z$11)/DATOSAÑO!$Y$11</f>
        <v>4.5010618287328913E-2</v>
      </c>
      <c r="AI74" s="9">
        <f ca="1">DATOSAÑO!BJ73</f>
        <v>0</v>
      </c>
      <c r="AJ74" s="11">
        <f ca="1">(AI74*DATOSAÑO!$Z$11)/DATOSAÑO!$Y$11</f>
        <v>0</v>
      </c>
      <c r="AK74" s="9">
        <f ca="1">DATOSAÑO!BM73</f>
        <v>2.3879999999999999</v>
      </c>
      <c r="AL74" s="11">
        <f ca="1">(AK74*DATOSAÑO!$Z$11)/DATOSAÑO!$Y$11</f>
        <v>4.3028565440409852E-2</v>
      </c>
      <c r="AM74" s="9">
        <f ca="1">DATOSAÑO!BP73</f>
        <v>6.2210000000000001</v>
      </c>
      <c r="AN74" s="11">
        <f ca="1">(AM74*DATOSAÑO!$Z$11)/DATOSAÑO!$Y$11</f>
        <v>0.11209409782445127</v>
      </c>
      <c r="AO74" s="9">
        <f ca="1">DATOSAÑO!BW73</f>
        <v>12.070499999999772</v>
      </c>
      <c r="AP74" s="11">
        <f ca="1">(AO74*DATOSAÑO!$Z$11)/DATOSAÑO!$Y$11</f>
        <v>0.21749426262498212</v>
      </c>
      <c r="AQ74" s="9">
        <f ca="1">DATOSAÑO!CC73</f>
        <v>2.5611999999999782</v>
      </c>
      <c r="AR74" s="1348">
        <f ca="1">(AQ74*DATOSAÑO!$Z$11)/DATOSAÑO!$Y$11</f>
        <v>4.6149397741196301E-2</v>
      </c>
      <c r="AS74" s="1384">
        <f t="shared" si="2"/>
        <v>9</v>
      </c>
    </row>
    <row r="75" spans="1:45">
      <c r="A75" s="1408">
        <v>44990</v>
      </c>
      <c r="B75" s="1869">
        <v>44990</v>
      </c>
      <c r="C75" s="9">
        <f ca="1">DATOSAÑO!I74</f>
        <v>278.21999999997206</v>
      </c>
      <c r="D75" s="10">
        <f ca="1">DATOSAÑO!$D74</f>
        <v>4.7451120860346849</v>
      </c>
      <c r="E75" s="11">
        <f ca="1">DATOSAÑO!$G74</f>
        <v>0</v>
      </c>
      <c r="F75" s="9">
        <f ca="1">DATOSAÑO!P74</f>
        <v>150.53000000000247</v>
      </c>
      <c r="G75" s="10">
        <f ca="1">DATOSAÑO!K74</f>
        <v>3.7038494925187235</v>
      </c>
      <c r="H75" s="11">
        <f ca="1">DATOSAÑO!N74</f>
        <v>0</v>
      </c>
      <c r="I75" s="9">
        <f ca="1">DATOSAÑO!Q74</f>
        <v>0</v>
      </c>
      <c r="J75" s="11">
        <f ca="1">DATOSAÑO!R74</f>
        <v>0</v>
      </c>
      <c r="K75" s="9">
        <f ca="1">DATOSAÑO!T74</f>
        <v>0</v>
      </c>
      <c r="L75" s="11">
        <f t="shared" ca="1" si="0"/>
        <v>0</v>
      </c>
      <c r="M75" s="9"/>
      <c r="N75" s="11">
        <f t="shared" si="1"/>
        <v>0</v>
      </c>
      <c r="O75" s="9">
        <f>DATOSAÑO!CK74</f>
        <v>0</v>
      </c>
      <c r="P75" s="9">
        <f>DATOSAÑO!CL74</f>
        <v>0</v>
      </c>
      <c r="Q75" s="9">
        <f ca="1">DATOSAÑO!AD74</f>
        <v>162.40000000002328</v>
      </c>
      <c r="R75" s="11">
        <f ca="1">(Q75*DATOSAÑO!$Z$11)/DATOSAÑO!$Y$11</f>
        <v>2.9262307485442052</v>
      </c>
      <c r="S75" s="9">
        <f ca="1">DATOSAÑO!AF74</f>
        <v>139.29999999998836</v>
      </c>
      <c r="T75" s="11">
        <f ca="1">(S75*DATOSAÑO!$Z$11)/DATOSAÑO!$Y$11</f>
        <v>2.5099996506903648</v>
      </c>
      <c r="U75" s="9">
        <f ca="1">DATOSAÑO!AH74</f>
        <v>7.3999999999996362</v>
      </c>
      <c r="V75" s="11">
        <f ca="1">(U75*DATOSAÑO!$Z$11)/DATOSAÑO!$Y$11</f>
        <v>0.13333810061097873</v>
      </c>
      <c r="W75" s="9">
        <f ca="1">DATOSAÑO!AI74</f>
        <v>38.229999999995925</v>
      </c>
      <c r="X75" s="11">
        <f ca="1">(W75*DATOSAÑO!$Z$11)/DATOSAÑO!$Y$11</f>
        <v>0.68885345761586825</v>
      </c>
      <c r="Y75" s="9">
        <f ca="1">DATOSAÑO!AJ74</f>
        <v>5.6699999999982538</v>
      </c>
      <c r="Z75" s="11">
        <f ca="1">(Y75*DATOSAÑO!$Z$11)/DATOSAÑO!$Y$11</f>
        <v>0.10216581492757483</v>
      </c>
      <c r="AA75" s="9">
        <f ca="1">DATOSAÑO!AK74</f>
        <v>14.379999999975553</v>
      </c>
      <c r="AB75" s="11">
        <f ca="1">(AA75*DATOSAÑO!$Z$11)/DATOSAÑO!$Y$11</f>
        <v>0.25910836307874446</v>
      </c>
      <c r="AC75" s="9">
        <f ca="1">DATOSAÑO!AL74</f>
        <v>32.969999999959384</v>
      </c>
      <c r="AD75" s="11">
        <f ca="1">(AC75*DATOSAÑO!$Z$11)/DATOSAÑO!$Y$11</f>
        <v>0.59407529420794181</v>
      </c>
      <c r="AE75" s="9">
        <f ca="1">DATOSAÑO!AM74</f>
        <v>9.3650000000341613</v>
      </c>
      <c r="AF75" s="11">
        <f ca="1">(AE75*DATOSAÑO!$Z$11)/DATOSAÑO!$Y$11</f>
        <v>0.16874477192249085</v>
      </c>
      <c r="AG75" s="9">
        <f ca="1">DATOSAÑO!AN74</f>
        <v>2.4660000000001818</v>
      </c>
      <c r="AH75" s="11">
        <f ca="1">(AG75*DATOSAÑO!$Z$11)/DATOSAÑO!$Y$11</f>
        <v>4.4434021095501888E-2</v>
      </c>
      <c r="AI75" s="9">
        <f ca="1">DATOSAÑO!BJ74</f>
        <v>0</v>
      </c>
      <c r="AJ75" s="11">
        <f ca="1">(AI75*DATOSAÑO!$Z$11)/DATOSAÑO!$Y$11</f>
        <v>0</v>
      </c>
      <c r="AK75" s="9">
        <f ca="1">DATOSAÑO!BM74</f>
        <v>2.4169999999999998</v>
      </c>
      <c r="AL75" s="11">
        <f ca="1">(AK75*DATOSAÑO!$Z$11)/DATOSAÑO!$Y$11</f>
        <v>4.3551106645506953E-2</v>
      </c>
      <c r="AM75" s="9">
        <f ca="1">DATOSAÑO!BP74</f>
        <v>6.1580000000000004</v>
      </c>
      <c r="AN75" s="11">
        <f ca="1">(AM75*DATOSAÑO!$Z$11)/DATOSAÑO!$Y$11</f>
        <v>0.11095892210303344</v>
      </c>
      <c r="AO75" s="9">
        <f ca="1">DATOSAÑO!BW74</f>
        <v>11.092500000016935</v>
      </c>
      <c r="AP75" s="11">
        <f ca="1">(AO75*DATOSAÑO!$Z$11)/DATOSAÑO!$Y$11</f>
        <v>0.19987201094994764</v>
      </c>
      <c r="AQ75" s="9">
        <f ca="1">DATOSAÑO!CC74</f>
        <v>2.5704000000000731</v>
      </c>
      <c r="AR75" s="1348">
        <f ca="1">(AQ75*DATOSAÑO!$Z$11)/DATOSAÑO!$Y$11</f>
        <v>4.6315169433849501E-2</v>
      </c>
      <c r="AS75" s="1384">
        <f t="shared" si="2"/>
        <v>10</v>
      </c>
    </row>
    <row r="76" spans="1:45" ht="16.5" customHeight="1">
      <c r="A76" s="1408">
        <v>44991</v>
      </c>
      <c r="B76" s="1869">
        <v>44991</v>
      </c>
      <c r="C76" s="9">
        <f ca="1">DATOSAÑO!I75</f>
        <v>285.30000000004657</v>
      </c>
      <c r="D76" s="10">
        <f ca="1">DATOSAÑO!$D75</f>
        <v>4.8028467493769389</v>
      </c>
      <c r="E76" s="11">
        <f ca="1">DATOSAÑO!$G75</f>
        <v>0</v>
      </c>
      <c r="F76" s="9">
        <f ca="1">DATOSAÑO!P75</f>
        <v>148.64999999999782</v>
      </c>
      <c r="G76" s="10">
        <f ca="1">DATOSAÑO!K75</f>
        <v>3.6885188192019771</v>
      </c>
      <c r="H76" s="11">
        <f ca="1">DATOSAÑO!N75</f>
        <v>0</v>
      </c>
      <c r="I76" s="9">
        <f ca="1">DATOSAÑO!Q75</f>
        <v>0</v>
      </c>
      <c r="J76" s="11">
        <f ca="1">DATOSAÑO!R75</f>
        <v>0</v>
      </c>
      <c r="K76" s="9">
        <f ca="1">DATOSAÑO!T75</f>
        <v>0</v>
      </c>
      <c r="L76" s="11">
        <f t="shared" ref="L76:L139" ca="1" si="3">K76*120</f>
        <v>0</v>
      </c>
      <c r="M76" s="9"/>
      <c r="N76" s="11">
        <f t="shared" ref="N76:N139" si="4">M76*120</f>
        <v>0</v>
      </c>
      <c r="O76" s="9">
        <f>DATOSAÑO!CK75</f>
        <v>0</v>
      </c>
      <c r="P76" s="9">
        <f>DATOSAÑO!CL75</f>
        <v>0</v>
      </c>
      <c r="Q76" s="9">
        <f ca="1">DATOSAÑO!AD75</f>
        <v>162.19999999995343</v>
      </c>
      <c r="R76" s="11">
        <f ca="1">(Q76*DATOSAÑO!$Z$11)/DATOSAÑO!$Y$11</f>
        <v>2.9226270160940007</v>
      </c>
      <c r="S76" s="9">
        <f ca="1">DATOSAÑO!AF75</f>
        <v>136</v>
      </c>
      <c r="T76" s="11">
        <f ca="1">(S76*DATOSAÑO!$Z$11)/DATOSAÑO!$Y$11</f>
        <v>2.4505380652829731</v>
      </c>
      <c r="U76" s="9">
        <f ca="1">DATOSAÑO!AH75</f>
        <v>10.600000000000364</v>
      </c>
      <c r="V76" s="11">
        <f ca="1">(U76*DATOSAÑO!$Z$11)/DATOSAÑO!$Y$11</f>
        <v>0.19099781979412062</v>
      </c>
      <c r="W76" s="9">
        <f ca="1">DATOSAÑO!AI75</f>
        <v>37.270000000004075</v>
      </c>
      <c r="X76" s="11">
        <f ca="1">(W76*DATOSAÑO!$Z$11)/DATOSAÑO!$Y$11</f>
        <v>0.67155554186107635</v>
      </c>
      <c r="Y76" s="9">
        <f ca="1">DATOSAÑO!AJ75</f>
        <v>8.6300000000046566</v>
      </c>
      <c r="Z76" s="11">
        <f ca="1">(Y76*DATOSAÑO!$Z$11)/DATOSAÑO!$Y$11</f>
        <v>0.15550105517208432</v>
      </c>
      <c r="AA76" s="9">
        <f ca="1">DATOSAÑO!AK75</f>
        <v>15.170000000012806</v>
      </c>
      <c r="AB76" s="11">
        <f ca="1">(AA76*DATOSAÑO!$Z$11)/DATOSAÑO!$Y$11</f>
        <v>0.2733431062527506</v>
      </c>
      <c r="AC76" s="9">
        <f ca="1">DATOSAÑO!AL75</f>
        <v>34.680000000093116</v>
      </c>
      <c r="AD76" s="11">
        <f ca="1">(AC76*DATOSAÑO!$Z$11)/DATOSAÑO!$Y$11</f>
        <v>0.6248872066488359</v>
      </c>
      <c r="AE76" s="9">
        <f ca="1">DATOSAÑO!AM75</f>
        <v>9.3289999999753181</v>
      </c>
      <c r="AF76" s="11">
        <f ca="1">(AE76*DATOSAÑO!$Z$11)/DATOSAÑO!$Y$11</f>
        <v>0.1680961000806204</v>
      </c>
      <c r="AG76" s="9">
        <f ca="1">DATOSAÑO!AN75</f>
        <v>2.5759999999996541</v>
      </c>
      <c r="AH76" s="11">
        <f ca="1">(AG76*DATOSAÑO!$Z$11)/DATOSAÑO!$Y$11</f>
        <v>4.6416073942412435E-2</v>
      </c>
      <c r="AI76" s="9">
        <f ca="1">DATOSAÑO!BJ75</f>
        <v>0</v>
      </c>
      <c r="AJ76" s="11">
        <f ca="1">(AI76*DATOSAÑO!$Z$11)/DATOSAÑO!$Y$11</f>
        <v>0</v>
      </c>
      <c r="AK76" s="9">
        <f ca="1">DATOSAÑO!BM75</f>
        <v>2.395</v>
      </c>
      <c r="AL76" s="11">
        <f ca="1">(AK76*DATOSAÑO!$Z$11)/DATOSAÑO!$Y$11</f>
        <v>4.3154696076122948E-2</v>
      </c>
      <c r="AM76" s="9">
        <f ca="1">DATOSAÑO!BP75</f>
        <v>6.1660000000000004</v>
      </c>
      <c r="AN76" s="11">
        <f ca="1">(AM76*DATOSAÑO!$Z$11)/DATOSAÑO!$Y$11</f>
        <v>0.11110307140099127</v>
      </c>
      <c r="AO76" s="9">
        <f ca="1">DATOSAÑO!BW75</f>
        <v>12.044499999988677</v>
      </c>
      <c r="AP76" s="11">
        <f ca="1">(AO76*DATOSAÑO!$Z$11)/DATOSAÑO!$Y$11</f>
        <v>0.21702577740641926</v>
      </c>
      <c r="AQ76" s="9">
        <f ca="1">DATOSAÑO!CC75</f>
        <v>2.5843999999998619</v>
      </c>
      <c r="AR76" s="1348">
        <f ca="1">(AQ76*DATOSAÑO!$Z$11)/DATOSAÑO!$Y$11</f>
        <v>4.6567430705271896E-2</v>
      </c>
      <c r="AS76" s="1384">
        <f t="shared" si="2"/>
        <v>10</v>
      </c>
    </row>
    <row r="77" spans="1:45">
      <c r="A77" s="1408">
        <v>44992</v>
      </c>
      <c r="B77" s="1869">
        <v>44992</v>
      </c>
      <c r="C77" s="9">
        <f ca="1">DATOSAÑO!I76</f>
        <v>299</v>
      </c>
      <c r="D77" s="10">
        <f ca="1">DATOSAÑO!$D76</f>
        <v>4.9145649538653373</v>
      </c>
      <c r="E77" s="11">
        <f ca="1">DATOSAÑO!$G76</f>
        <v>0</v>
      </c>
      <c r="F77" s="9">
        <f ca="1">DATOSAÑO!P76</f>
        <v>152.60000000000218</v>
      </c>
      <c r="G77" s="10">
        <f ca="1">DATOSAÑO!K76</f>
        <v>3.7207295423940328</v>
      </c>
      <c r="H77" s="11">
        <f ca="1">DATOSAÑO!N76</f>
        <v>0</v>
      </c>
      <c r="I77" s="9">
        <f ca="1">DATOSAÑO!Q76</f>
        <v>0</v>
      </c>
      <c r="J77" s="11">
        <f ca="1">DATOSAÑO!R76</f>
        <v>0</v>
      </c>
      <c r="K77" s="9">
        <f ca="1">DATOSAÑO!T76</f>
        <v>0</v>
      </c>
      <c r="L77" s="11">
        <f t="shared" ca="1" si="3"/>
        <v>0</v>
      </c>
      <c r="M77" s="9"/>
      <c r="N77" s="11">
        <f t="shared" si="4"/>
        <v>0</v>
      </c>
      <c r="O77" s="9">
        <f>DATOSAÑO!CK76</f>
        <v>0</v>
      </c>
      <c r="P77" s="9">
        <f>DATOSAÑO!CL76</f>
        <v>0</v>
      </c>
      <c r="Q77" s="9">
        <f ca="1">DATOSAÑO!AD76</f>
        <v>165</v>
      </c>
      <c r="R77" s="11">
        <f ca="1">(Q77*DATOSAÑO!$Z$11)/DATOSAÑO!$Y$11</f>
        <v>2.9730792703800777</v>
      </c>
      <c r="S77" s="9">
        <f ca="1">DATOSAÑO!AF76</f>
        <v>145</v>
      </c>
      <c r="T77" s="11">
        <f ca="1">(S77*DATOSAÑO!$Z$11)/DATOSAÑO!$Y$11</f>
        <v>2.6127060254855223</v>
      </c>
      <c r="U77" s="9">
        <f ca="1">DATOSAÑO!AH76</f>
        <v>10.600000000000364</v>
      </c>
      <c r="V77" s="11">
        <f ca="1">(U77*DATOSAÑO!$Z$11)/DATOSAÑO!$Y$11</f>
        <v>0.19099781979412062</v>
      </c>
      <c r="W77" s="9">
        <f ca="1">DATOSAÑO!AI76</f>
        <v>39</v>
      </c>
      <c r="X77" s="11">
        <f ca="1">(W77*DATOSAÑO!$Z$11)/DATOSAÑO!$Y$11</f>
        <v>0.7027278275443819</v>
      </c>
      <c r="Y77" s="9">
        <f ca="1">DATOSAÑO!AJ76</f>
        <v>9.8999999999941792</v>
      </c>
      <c r="Z77" s="11">
        <f ca="1">(Y77*DATOSAÑO!$Z$11)/DATOSAÑO!$Y$11</f>
        <v>0.17838475622269975</v>
      </c>
      <c r="AA77" s="9">
        <f ca="1">DATOSAÑO!AK76</f>
        <v>16</v>
      </c>
      <c r="AB77" s="11">
        <f ca="1">(AA77*DATOSAÑO!$Z$11)/DATOSAÑO!$Y$11</f>
        <v>0.28829859591564388</v>
      </c>
      <c r="AC77" s="9">
        <f ca="1">DATOSAÑO!AL76</f>
        <v>36.000000000005514</v>
      </c>
      <c r="AD77" s="11">
        <f ca="1">(AC77*DATOSAÑO!$Z$11)/DATOSAÑO!$Y$11</f>
        <v>0.64867184081029805</v>
      </c>
      <c r="AE77" s="9">
        <f ca="1">DATOSAÑO!AM76</f>
        <v>8.8180000000030923</v>
      </c>
      <c r="AF77" s="11">
        <f ca="1">(AE77*DATOSAÑO!$Z$11)/DATOSAÑO!$Y$11</f>
        <v>0.15888856367406495</v>
      </c>
      <c r="AG77" s="9">
        <f ca="1">DATOSAÑO!AN76</f>
        <v>2.5049999999998178</v>
      </c>
      <c r="AH77" s="11">
        <f ca="1">(AG77*DATOSAÑO!$Z$11)/DATOSAÑO!$Y$11</f>
        <v>4.5136748923039711E-2</v>
      </c>
      <c r="AI77" s="9">
        <f ca="1">DATOSAÑO!BJ76</f>
        <v>0</v>
      </c>
      <c r="AJ77" s="11">
        <f ca="1">(AI77*DATOSAÑO!$Z$11)/DATOSAÑO!$Y$11</f>
        <v>0</v>
      </c>
      <c r="AK77" s="9">
        <f ca="1">DATOSAÑO!BM76</f>
        <v>2.4620000000000002</v>
      </c>
      <c r="AL77" s="11">
        <f ca="1">(AK77*DATOSAÑO!$Z$11)/DATOSAÑO!$Y$11</f>
        <v>4.4361946446519702E-2</v>
      </c>
      <c r="AM77" s="9">
        <f ca="1">DATOSAÑO!BP76</f>
        <v>6.32</v>
      </c>
      <c r="AN77" s="11">
        <f ca="1">(AM77*DATOSAÑO!$Z$11)/DATOSAÑO!$Y$11</f>
        <v>0.11387794538667934</v>
      </c>
      <c r="AO77" s="9">
        <f ca="1">DATOSAÑO!BW76</f>
        <v>12.709000000000819</v>
      </c>
      <c r="AP77" s="11">
        <f ca="1">(AO77*DATOSAÑO!$Z$11)/DATOSAÑO!$Y$11</f>
        <v>0.22899917846825962</v>
      </c>
      <c r="AQ77" s="9">
        <f ca="1">DATOSAÑO!CC76</f>
        <v>2.6969999999999272</v>
      </c>
      <c r="AR77" s="1348">
        <f ca="1">(AQ77*DATOSAÑO!$Z$11)/DATOSAÑO!$Y$11</f>
        <v>4.8596332074029407E-2</v>
      </c>
      <c r="AS77" s="1384">
        <f t="shared" ref="AS77:AS140" si="5">WEEKNUM(B77,1)</f>
        <v>10</v>
      </c>
    </row>
    <row r="78" spans="1:45" ht="16.5" customHeight="1">
      <c r="A78" s="1408">
        <v>44993</v>
      </c>
      <c r="B78" s="1869">
        <v>44993</v>
      </c>
      <c r="C78" s="9">
        <f ca="1">DATOSAÑO!I77</f>
        <v>293</v>
      </c>
      <c r="D78" s="10">
        <f ca="1">DATOSAÑO!$D77</f>
        <v>4.8656372730673318</v>
      </c>
      <c r="E78" s="11">
        <f ca="1">DATOSAÑO!$G77</f>
        <v>0</v>
      </c>
      <c r="F78" s="9">
        <f ca="1">DATOSAÑO!P77</f>
        <v>151.89999999999782</v>
      </c>
      <c r="G78" s="10">
        <f ca="1">DATOSAÑO!K77</f>
        <v>3.7150213129675631</v>
      </c>
      <c r="H78" s="11">
        <f ca="1">DATOSAÑO!N77</f>
        <v>0</v>
      </c>
      <c r="I78" s="9">
        <f ca="1">DATOSAÑO!Q77</f>
        <v>0</v>
      </c>
      <c r="J78" s="11">
        <f ca="1">DATOSAÑO!R77</f>
        <v>0</v>
      </c>
      <c r="K78" s="9">
        <f ca="1">DATOSAÑO!T77</f>
        <v>0</v>
      </c>
      <c r="L78" s="11">
        <f t="shared" ca="1" si="3"/>
        <v>0</v>
      </c>
      <c r="M78" s="9"/>
      <c r="N78" s="11">
        <f t="shared" si="4"/>
        <v>0</v>
      </c>
      <c r="O78" s="9">
        <f>DATOSAÑO!CK77</f>
        <v>0</v>
      </c>
      <c r="P78" s="9">
        <f>DATOSAÑO!CL77</f>
        <v>0</v>
      </c>
      <c r="Q78" s="9">
        <f ca="1">DATOSAÑO!AD77</f>
        <v>152</v>
      </c>
      <c r="R78" s="11">
        <f ca="1">(Q78*DATOSAÑO!$Z$11)/DATOSAÑO!$Y$11</f>
        <v>2.7388366611986168</v>
      </c>
      <c r="S78" s="9">
        <f ca="1">DATOSAÑO!AF77</f>
        <v>147</v>
      </c>
      <c r="T78" s="11">
        <f ca="1">(S78*DATOSAÑO!$Z$11)/DATOSAÑO!$Y$11</f>
        <v>2.648743349974978</v>
      </c>
      <c r="U78" s="9">
        <f ca="1">DATOSAÑO!AH77</f>
        <v>11.599999999994907</v>
      </c>
      <c r="V78" s="11">
        <f ca="1">(U78*DATOSAÑO!$Z$11)/DATOSAÑO!$Y$11</f>
        <v>0.20901648203875006</v>
      </c>
      <c r="W78" s="9">
        <f ca="1">DATOSAÑO!AI77</f>
        <v>38.599999999998545</v>
      </c>
      <c r="X78" s="11">
        <f ca="1">(W78*DATOSAÑO!$Z$11)/DATOSAÑO!$Y$11</f>
        <v>0.69552036264646466</v>
      </c>
      <c r="Y78" s="9">
        <f ca="1">DATOSAÑO!AJ77</f>
        <v>9.5</v>
      </c>
      <c r="Z78" s="11">
        <f ca="1">(Y78*DATOSAÑO!$Z$11)/DATOSAÑO!$Y$11</f>
        <v>0.17117729132491355</v>
      </c>
      <c r="AA78" s="9">
        <f ca="1">DATOSAÑO!AK77</f>
        <v>17</v>
      </c>
      <c r="AB78" s="11">
        <f ca="1">(AA78*DATOSAÑO!$Z$11)/DATOSAÑO!$Y$11</f>
        <v>0.30631725816037164</v>
      </c>
      <c r="AC78" s="9">
        <f ca="1">DATOSAÑO!AL77</f>
        <v>38.200000000004366</v>
      </c>
      <c r="AD78" s="11">
        <f ca="1">(AC78*DATOSAÑO!$Z$11)/DATOSAÑO!$Y$11</f>
        <v>0.68831289774867843</v>
      </c>
      <c r="AE78" s="9">
        <f ca="1">DATOSAÑO!AM77</f>
        <v>9.2600000000000993</v>
      </c>
      <c r="AF78" s="11">
        <f ca="1">(AE78*DATOSAÑO!$Z$11)/DATOSAÑO!$Y$11</f>
        <v>0.16685281238618069</v>
      </c>
      <c r="AG78" s="9">
        <f ca="1">DATOSAÑO!AN77</f>
        <v>3.1760000000006254</v>
      </c>
      <c r="AH78" s="11">
        <f ca="1">(AG78*DATOSAÑO!$Z$11)/DATOSAÑO!$Y$11</f>
        <v>5.7227271289266579E-2</v>
      </c>
      <c r="AI78" s="9">
        <f ca="1">DATOSAÑO!BJ77</f>
        <v>0</v>
      </c>
      <c r="AJ78" s="11">
        <f ca="1">(AI78*DATOSAÑO!$Z$11)/DATOSAÑO!$Y$11</f>
        <v>0</v>
      </c>
      <c r="AK78" s="9">
        <f ca="1">DATOSAÑO!BM77</f>
        <v>2.4249999999999998</v>
      </c>
      <c r="AL78" s="11">
        <f ca="1">(AK78*DATOSAÑO!$Z$11)/DATOSAÑO!$Y$11</f>
        <v>4.3695255943464767E-2</v>
      </c>
      <c r="AM78" s="9">
        <f ca="1">DATOSAÑO!BP77</f>
        <v>6.2649999999999997</v>
      </c>
      <c r="AN78" s="11">
        <f ca="1">(AM78*DATOSAÑO!$Z$11)/DATOSAÑO!$Y$11</f>
        <v>0.1128869189632193</v>
      </c>
      <c r="AO78" s="9">
        <f ca="1">DATOSAÑO!BW77</f>
        <v>12.929999999999321</v>
      </c>
      <c r="AP78" s="11">
        <f ca="1">(AO78*DATOSAÑO!$Z$11)/DATOSAÑO!$Y$11</f>
        <v>0.2329813028243175</v>
      </c>
      <c r="AQ78" s="9">
        <f ca="1">DATOSAÑO!CC77</f>
        <v>2.8444000000002503</v>
      </c>
      <c r="AR78" s="1348">
        <f ca="1">(AQ78*DATOSAÑO!$Z$11)/DATOSAÑO!$Y$11</f>
        <v>5.1252282888908103E-2</v>
      </c>
      <c r="AS78" s="1384">
        <f t="shared" si="5"/>
        <v>10</v>
      </c>
    </row>
    <row r="79" spans="1:45">
      <c r="A79" s="1408">
        <v>44994</v>
      </c>
      <c r="B79" s="1869">
        <v>44994</v>
      </c>
      <c r="C79" s="9">
        <f ca="1">DATOSAÑO!I78</f>
        <v>288</v>
      </c>
      <c r="D79" s="10">
        <f ca="1">DATOSAÑO!$D78</f>
        <v>4.8248642057356612</v>
      </c>
      <c r="E79" s="11">
        <f ca="1">DATOSAÑO!$G78</f>
        <v>0</v>
      </c>
      <c r="F79" s="9">
        <f ca="1">DATOSAÑO!P78</f>
        <v>146.10000000000218</v>
      </c>
      <c r="G79" s="10">
        <f ca="1">DATOSAÑO!K78</f>
        <v>3.6677245548628603</v>
      </c>
      <c r="H79" s="11">
        <f ca="1">DATOSAÑO!N78</f>
        <v>0</v>
      </c>
      <c r="I79" s="9">
        <f ca="1">DATOSAÑO!Q78</f>
        <v>0</v>
      </c>
      <c r="J79" s="11">
        <f ca="1">DATOSAÑO!R78</f>
        <v>0</v>
      </c>
      <c r="K79" s="9">
        <f ca="1">DATOSAÑO!T78</f>
        <v>0</v>
      </c>
      <c r="L79" s="11">
        <f t="shared" ca="1" si="3"/>
        <v>0</v>
      </c>
      <c r="M79" s="9"/>
      <c r="N79" s="11">
        <f t="shared" si="4"/>
        <v>0</v>
      </c>
      <c r="O79" s="9">
        <f>DATOSAÑO!CK78</f>
        <v>0</v>
      </c>
      <c r="P79" s="9">
        <f>DATOSAÑO!CL78</f>
        <v>0</v>
      </c>
      <c r="Q79" s="9">
        <f ca="1">DATOSAÑO!AD78</f>
        <v>164</v>
      </c>
      <c r="R79" s="11">
        <f ca="1">(Q79*DATOSAÑO!$Z$11)/DATOSAÑO!$Y$11</f>
        <v>2.9550606081353497</v>
      </c>
      <c r="S79" s="9">
        <f ca="1">DATOSAÑO!AF78</f>
        <v>137</v>
      </c>
      <c r="T79" s="11">
        <f ca="1">(S79*DATOSAÑO!$Z$11)/DATOSAÑO!$Y$11</f>
        <v>2.4685567275277007</v>
      </c>
      <c r="U79" s="9">
        <f ca="1">DATOSAÑO!AH78</f>
        <v>11.30000000000291</v>
      </c>
      <c r="V79" s="11">
        <f ca="1">(U79*DATOSAÑO!$Z$11)/DATOSAÑO!$Y$11</f>
        <v>0.20361088336547592</v>
      </c>
      <c r="W79" s="9">
        <f ca="1">DATOSAÑO!AI78</f>
        <v>40</v>
      </c>
      <c r="X79" s="11">
        <f ca="1">(W79*DATOSAÑO!$Z$11)/DATOSAÑO!$Y$11</f>
        <v>0.72074648978910971</v>
      </c>
      <c r="Y79" s="9">
        <f ca="1">DATOSAÑO!AJ78</f>
        <v>7.4000000000087311</v>
      </c>
      <c r="Z79" s="11">
        <f ca="1">(Y79*DATOSAÑO!$Z$11)/DATOSAÑO!$Y$11</f>
        <v>0.13333810061114262</v>
      </c>
      <c r="AA79" s="9">
        <f ca="1">DATOSAÑO!AK78</f>
        <v>15</v>
      </c>
      <c r="AB79" s="11">
        <f ca="1">(AA79*DATOSAÑO!$Z$11)/DATOSAÑO!$Y$11</f>
        <v>0.27027993367091613</v>
      </c>
      <c r="AC79" s="9">
        <f ca="1">DATOSAÑO!AL78</f>
        <v>30.699999999993508</v>
      </c>
      <c r="AD79" s="11">
        <f ca="1">(AC79*DATOSAÑO!$Z$11)/DATOSAÑO!$Y$11</f>
        <v>0.55317293091302466</v>
      </c>
      <c r="AE79" s="9">
        <f ca="1">DATOSAÑO!AM78</f>
        <v>8.0249999999970711</v>
      </c>
      <c r="AF79" s="11">
        <f ca="1">(AE79*DATOSAÑO!$Z$11)/DATOSAÑO!$Y$11</f>
        <v>0.14459976451388737</v>
      </c>
      <c r="AG79" s="9">
        <f ca="1">DATOSAÑO!AN78</f>
        <v>2.7300000000000182</v>
      </c>
      <c r="AH79" s="11">
        <f ca="1">(AG79*DATOSAÑO!$Z$11)/DATOSAÑO!$Y$11</f>
        <v>4.9190947928107062E-2</v>
      </c>
      <c r="AI79" s="9">
        <f ca="1">DATOSAÑO!BJ78</f>
        <v>0</v>
      </c>
      <c r="AJ79" s="11">
        <f ca="1">(AI79*DATOSAÑO!$Z$11)/DATOSAÑO!$Y$11</f>
        <v>0</v>
      </c>
      <c r="AK79" s="9">
        <f ca="1">DATOSAÑO!BM78</f>
        <v>2.3769999999999998</v>
      </c>
      <c r="AL79" s="11">
        <f ca="1">(AK79*DATOSAÑO!$Z$11)/DATOSAÑO!$Y$11</f>
        <v>4.2830360155717832E-2</v>
      </c>
      <c r="AM79" s="9">
        <f ca="1">DATOSAÑO!BP78</f>
        <v>6.0679999999999996</v>
      </c>
      <c r="AN79" s="11">
        <f ca="1">(AM79*DATOSAÑO!$Z$11)/DATOSAÑO!$Y$11</f>
        <v>0.10933724250100793</v>
      </c>
      <c r="AO79" s="9">
        <f ca="1">DATOSAÑO!BW78</f>
        <v>12.012499999998536</v>
      </c>
      <c r="AP79" s="11">
        <f ca="1">(AO79*DATOSAÑO!$Z$11)/DATOSAÑO!$Y$11</f>
        <v>0.21644918021476561</v>
      </c>
      <c r="AQ79" s="9">
        <f ca="1">DATOSAÑO!CC78</f>
        <v>2.5920000000000076</v>
      </c>
      <c r="AR79" s="1348">
        <f ca="1">(AQ79*DATOSAÑO!$Z$11)/DATOSAÑO!$Y$11</f>
        <v>4.6704372538334447E-2</v>
      </c>
      <c r="AS79" s="1384">
        <f t="shared" si="5"/>
        <v>10</v>
      </c>
    </row>
    <row r="80" spans="1:45" ht="16.5" customHeight="1">
      <c r="A80" s="1408">
        <v>44995</v>
      </c>
      <c r="B80" s="1869">
        <v>44995</v>
      </c>
      <c r="C80" s="9">
        <f ca="1">DATOSAÑO!I79</f>
        <v>293</v>
      </c>
      <c r="D80" s="10">
        <f ca="1">DATOSAÑO!$D79</f>
        <v>4.8656372730673318</v>
      </c>
      <c r="E80" s="11">
        <f ca="1">DATOSAÑO!$G79</f>
        <v>0</v>
      </c>
      <c r="F80" s="9">
        <f ca="1">DATOSAÑO!P79</f>
        <v>150.09999999999854</v>
      </c>
      <c r="G80" s="10">
        <f ca="1">DATOSAÑO!K79</f>
        <v>3.7003430087281677</v>
      </c>
      <c r="H80" s="11">
        <f ca="1">DATOSAÑO!N79</f>
        <v>0</v>
      </c>
      <c r="I80" s="9">
        <f ca="1">DATOSAÑO!Q79</f>
        <v>0</v>
      </c>
      <c r="J80" s="11">
        <f ca="1">DATOSAÑO!R79</f>
        <v>0</v>
      </c>
      <c r="K80" s="9">
        <f ca="1">DATOSAÑO!T79</f>
        <v>0</v>
      </c>
      <c r="L80" s="11">
        <f t="shared" ca="1" si="3"/>
        <v>0</v>
      </c>
      <c r="M80" s="9"/>
      <c r="N80" s="11">
        <f t="shared" si="4"/>
        <v>0</v>
      </c>
      <c r="O80" s="9">
        <f>DATOSAÑO!CK79</f>
        <v>0</v>
      </c>
      <c r="P80" s="9">
        <f>DATOSAÑO!CL79</f>
        <v>0</v>
      </c>
      <c r="Q80" s="9">
        <f ca="1">DATOSAÑO!AD79</f>
        <v>163</v>
      </c>
      <c r="R80" s="11">
        <f ca="1">(Q80*DATOSAÑO!$Z$11)/DATOSAÑO!$Y$11</f>
        <v>2.9370419458906221</v>
      </c>
      <c r="S80" s="9">
        <f ca="1">DATOSAÑO!AF79</f>
        <v>145</v>
      </c>
      <c r="T80" s="11">
        <f ca="1">(S80*DATOSAÑO!$Z$11)/DATOSAÑO!$Y$11</f>
        <v>2.6127060254855223</v>
      </c>
      <c r="U80" s="9">
        <f ca="1">DATOSAÑO!AH79</f>
        <v>7.0999999999985448</v>
      </c>
      <c r="V80" s="11">
        <f ca="1">(U80*DATOSAÑO!$Z$11)/DATOSAÑO!$Y$11</f>
        <v>0.12793250193754074</v>
      </c>
      <c r="W80" s="9">
        <f ca="1">DATOSAÑO!AI79</f>
        <v>41.80000000000291</v>
      </c>
      <c r="X80" s="11">
        <f ca="1">(W80*DATOSAÑO!$Z$11)/DATOSAÑO!$Y$11</f>
        <v>0.75318008182967211</v>
      </c>
      <c r="Y80" s="9">
        <f ca="1">DATOSAÑO!AJ79</f>
        <v>5.5999999999912689</v>
      </c>
      <c r="Z80" s="11">
        <f ca="1">(Y80*DATOSAÑO!$Z$11)/DATOSAÑO!$Y$11</f>
        <v>0.10090450857031805</v>
      </c>
      <c r="AA80" s="9">
        <f ca="1">DATOSAÑO!AK79</f>
        <v>14</v>
      </c>
      <c r="AB80" s="11">
        <f ca="1">(AA80*DATOSAÑO!$Z$11)/DATOSAÑO!$Y$11</f>
        <v>0.25226127142618837</v>
      </c>
      <c r="AC80" s="9">
        <f ca="1">DATOSAÑO!AL79</f>
        <v>36.100000000005821</v>
      </c>
      <c r="AD80" s="11">
        <f ca="1">(AC80*DATOSAÑO!$Z$11)/DATOSAÑO!$Y$11</f>
        <v>0.65047370703477636</v>
      </c>
      <c r="AE80" s="9">
        <f ca="1">DATOSAÑO!AM79</f>
        <v>9.7729999999985431</v>
      </c>
      <c r="AF80" s="11">
        <f ca="1">(AE80*DATOSAÑO!$Z$11)/DATOSAÑO!$Y$11</f>
        <v>0.17609638611769796</v>
      </c>
      <c r="AG80" s="9">
        <f ca="1">DATOSAÑO!AN79</f>
        <v>2.5380000000000003</v>
      </c>
      <c r="AH80" s="11">
        <f ca="1">(AG80*DATOSAÑO!$Z$11)/DATOSAÑO!$Y$11</f>
        <v>4.5731364777119012E-2</v>
      </c>
      <c r="AI80" s="9">
        <f ca="1">DATOSAÑO!BJ79</f>
        <v>0</v>
      </c>
      <c r="AJ80" s="11">
        <f ca="1">(AI80*DATOSAÑO!$Z$11)/DATOSAÑO!$Y$11</f>
        <v>0</v>
      </c>
      <c r="AK80" s="9">
        <f ca="1">DATOSAÑO!BM79</f>
        <v>2.4369999999999998</v>
      </c>
      <c r="AL80" s="11">
        <f ca="1">(AK80*DATOSAÑO!$Z$11)/DATOSAÑO!$Y$11</f>
        <v>4.3911479890401506E-2</v>
      </c>
      <c r="AM80" s="9">
        <f ca="1">DATOSAÑO!BP79</f>
        <v>6.39</v>
      </c>
      <c r="AN80" s="11">
        <f ca="1">(AM80*DATOSAÑO!$Z$11)/DATOSAÑO!$Y$11</f>
        <v>0.11513925174381026</v>
      </c>
      <c r="AO80" s="9">
        <f ca="1">DATOSAÑO!BW79</f>
        <v>12.786500000000727</v>
      </c>
      <c r="AP80" s="11">
        <f ca="1">(AO80*DATOSAÑO!$Z$11)/DATOSAÑO!$Y$11</f>
        <v>0.23039562479222436</v>
      </c>
      <c r="AQ80" s="9">
        <f ca="1">DATOSAÑO!CC79</f>
        <v>2.4771999999999998</v>
      </c>
      <c r="AR80" s="1348">
        <f ca="1">(AQ80*DATOSAÑO!$Z$11)/DATOSAÑO!$Y$11</f>
        <v>4.4635830112639559E-2</v>
      </c>
      <c r="AS80" s="1384">
        <f t="shared" si="5"/>
        <v>10</v>
      </c>
    </row>
    <row r="81" spans="1:45">
      <c r="A81" s="1408">
        <v>44996</v>
      </c>
      <c r="B81" s="1869">
        <v>44996</v>
      </c>
      <c r="C81" s="9">
        <f ca="1">DATOSAÑO!I80</f>
        <v>259</v>
      </c>
      <c r="D81" s="10">
        <f ca="1">DATOSAÑO!$D80</f>
        <v>4.5883804152119705</v>
      </c>
      <c r="E81" s="11">
        <f ca="1">DATOSAÑO!$G80</f>
        <v>0</v>
      </c>
      <c r="F81" s="9">
        <f ca="1">DATOSAÑO!P80</f>
        <v>176.5</v>
      </c>
      <c r="G81" s="10">
        <f ca="1">DATOSAÑO!K80</f>
        <v>3.9156248042394015</v>
      </c>
      <c r="H81" s="11">
        <f ca="1">DATOSAÑO!N80</f>
        <v>0</v>
      </c>
      <c r="I81" s="9">
        <f ca="1">DATOSAÑO!Q80</f>
        <v>0</v>
      </c>
      <c r="J81" s="11">
        <f ca="1">DATOSAÑO!R80</f>
        <v>0</v>
      </c>
      <c r="K81" s="9">
        <f ca="1">DATOSAÑO!T80</f>
        <v>0</v>
      </c>
      <c r="L81" s="11">
        <f t="shared" ca="1" si="3"/>
        <v>0</v>
      </c>
      <c r="M81" s="9"/>
      <c r="N81" s="11">
        <f t="shared" si="4"/>
        <v>0</v>
      </c>
      <c r="O81" s="9">
        <f>DATOSAÑO!CK80</f>
        <v>0</v>
      </c>
      <c r="P81" s="9">
        <f>DATOSAÑO!CL80</f>
        <v>0</v>
      </c>
      <c r="Q81" s="9">
        <f ca="1">DATOSAÑO!AD80</f>
        <v>162</v>
      </c>
      <c r="R81" s="11">
        <f ca="1">(Q81*DATOSAÑO!$Z$11)/DATOSAÑO!$Y$11</f>
        <v>2.919023283645894</v>
      </c>
      <c r="S81" s="9">
        <f ca="1">DATOSAÑO!AF80</f>
        <v>145</v>
      </c>
      <c r="T81" s="11">
        <f ca="1">(S81*DATOSAÑO!$Z$11)/DATOSAÑO!$Y$11</f>
        <v>2.6127060254855223</v>
      </c>
      <c r="U81" s="9">
        <f ca="1">DATOSAÑO!AH80</f>
        <v>11.099999999998545</v>
      </c>
      <c r="V81" s="11">
        <f ca="1">(U81*DATOSAÑO!$Z$11)/DATOSAÑO!$Y$11</f>
        <v>0.20000715091645174</v>
      </c>
      <c r="W81" s="9">
        <f ca="1">DATOSAÑO!AI80</f>
        <v>36.5</v>
      </c>
      <c r="X81" s="11">
        <f ca="1">(W81*DATOSAÑO!$Z$11)/DATOSAÑO!$Y$11</f>
        <v>0.65768117193256259</v>
      </c>
      <c r="Y81" s="9">
        <f ca="1">DATOSAÑO!AJ80</f>
        <v>5.2000000000116415</v>
      </c>
      <c r="Z81" s="11">
        <f ca="1">(Y81*DATOSAÑO!$Z$11)/DATOSAÑO!$Y$11</f>
        <v>9.3697043672794023E-2</v>
      </c>
      <c r="AA81" s="9">
        <f ca="1">DATOSAÑO!AK80</f>
        <v>14</v>
      </c>
      <c r="AB81" s="11">
        <f ca="1">(AA81*DATOSAÑO!$Z$11)/DATOSAÑO!$Y$11</f>
        <v>0.25226127142618837</v>
      </c>
      <c r="AC81" s="9">
        <f ca="1">DATOSAÑO!AL80</f>
        <v>32.599999999987688</v>
      </c>
      <c r="AD81" s="11">
        <f ca="1">(AC81*DATOSAÑO!$Z$11)/DATOSAÑO!$Y$11</f>
        <v>0.5874083891779025</v>
      </c>
      <c r="AE81" s="9">
        <f ca="1">DATOSAÑO!AM80</f>
        <v>8.7120000000025346</v>
      </c>
      <c r="AF81" s="11">
        <f ca="1">(AE81*DATOSAÑO!$Z$11)/DATOSAÑO!$Y$11</f>
        <v>0.15697858547611376</v>
      </c>
      <c r="AG81" s="9">
        <f ca="1">DATOSAÑO!AN80</f>
        <v>2.621</v>
      </c>
      <c r="AH81" s="11">
        <f ca="1">(AG81*DATOSAÑO!$Z$11)/DATOSAÑO!$Y$11</f>
        <v>4.7226913743431416E-2</v>
      </c>
      <c r="AI81" s="9">
        <f ca="1">DATOSAÑO!BJ80</f>
        <v>0.34799999999999998</v>
      </c>
      <c r="AJ81" s="11">
        <f ca="1">(AI81*DATOSAÑO!$Z$11)/DATOSAÑO!$Y$11</f>
        <v>6.2704944611652533E-3</v>
      </c>
      <c r="AK81" s="9">
        <f ca="1">DATOSAÑO!BM80</f>
        <v>2.988</v>
      </c>
      <c r="AL81" s="11">
        <f ca="1">(AK81*DATOSAÑO!$Z$11)/DATOSAÑO!$Y$11</f>
        <v>5.3839762787246497E-2</v>
      </c>
      <c r="AM81" s="9">
        <f ca="1">DATOSAÑO!BP80</f>
        <v>5.1520000000000001</v>
      </c>
      <c r="AN81" s="11">
        <f ca="1">(AM81*DATOSAÑO!$Z$11)/DATOSAÑO!$Y$11</f>
        <v>9.2832147884837318E-2</v>
      </c>
      <c r="AO81" s="9">
        <f ca="1">DATOSAÑO!BW80</f>
        <v>12.256000000000903</v>
      </c>
      <c r="AP81" s="11">
        <f ca="1">(AO81*DATOSAÑO!$Z$11)/DATOSAÑO!$Y$11</f>
        <v>0.22083672447139949</v>
      </c>
      <c r="AQ81" s="9">
        <f ca="1">DATOSAÑO!CC80</f>
        <v>2.4274</v>
      </c>
      <c r="AR81" s="1348">
        <f ca="1">(AQ81*DATOSAÑO!$Z$11)/DATOSAÑO!$Y$11</f>
        <v>4.3738500732852126E-2</v>
      </c>
      <c r="AS81" s="1384">
        <f t="shared" si="5"/>
        <v>10</v>
      </c>
    </row>
    <row r="82" spans="1:45" ht="16.5" customHeight="1">
      <c r="A82" s="1408">
        <v>44997</v>
      </c>
      <c r="B82" s="1869">
        <v>44997</v>
      </c>
      <c r="C82" s="9">
        <f ca="1">DATOSAÑO!I81</f>
        <v>276</v>
      </c>
      <c r="D82" s="10">
        <f ca="1">DATOSAÑO!$D81</f>
        <v>4.7270088441396512</v>
      </c>
      <c r="E82" s="11">
        <f ca="1">DATOSAÑO!$G81</f>
        <v>0</v>
      </c>
      <c r="F82" s="9">
        <f ca="1">DATOSAÑO!P81</f>
        <v>155.5</v>
      </c>
      <c r="G82" s="10">
        <f ca="1">DATOSAÑO!K81</f>
        <v>3.7443779214463841</v>
      </c>
      <c r="H82" s="11">
        <f ca="1">DATOSAÑO!N81</f>
        <v>0</v>
      </c>
      <c r="I82" s="9">
        <f ca="1">DATOSAÑO!Q81</f>
        <v>0</v>
      </c>
      <c r="J82" s="11">
        <f ca="1">DATOSAÑO!R81</f>
        <v>0</v>
      </c>
      <c r="K82" s="9">
        <f ca="1">DATOSAÑO!T81</f>
        <v>0</v>
      </c>
      <c r="L82" s="11">
        <f t="shared" ca="1" si="3"/>
        <v>0</v>
      </c>
      <c r="M82" s="9"/>
      <c r="N82" s="11">
        <f t="shared" si="4"/>
        <v>0</v>
      </c>
      <c r="O82" s="9">
        <f>DATOSAÑO!CK81</f>
        <v>0</v>
      </c>
      <c r="P82" s="9">
        <f>DATOSAÑO!CL81</f>
        <v>0</v>
      </c>
      <c r="Q82" s="9">
        <f ca="1">DATOSAÑO!AD81</f>
        <v>161</v>
      </c>
      <c r="R82" s="11">
        <f ca="1">(Q82*DATOSAÑO!$Z$11)/DATOSAÑO!$Y$11</f>
        <v>2.9010046214011664</v>
      </c>
      <c r="S82" s="9">
        <f ca="1">DATOSAÑO!AF81</f>
        <v>144</v>
      </c>
      <c r="T82" s="11">
        <f ca="1">(S82*DATOSAÑO!$Z$11)/DATOSAÑO!$Y$11</f>
        <v>2.5946873632407947</v>
      </c>
      <c r="U82" s="9">
        <f ca="1">DATOSAÑO!AH81</f>
        <v>8.8000000000047294</v>
      </c>
      <c r="V82" s="11">
        <f ca="1">(U82*DATOSAÑO!$Z$11)/DATOSAÑO!$Y$11</f>
        <v>0.15856422775368936</v>
      </c>
      <c r="W82" s="9">
        <f ca="1">DATOSAÑO!AI81</f>
        <v>38.299999999995634</v>
      </c>
      <c r="X82" s="11">
        <f ca="1">(W82*DATOSAÑO!$Z$11)/DATOSAÑO!$Y$11</f>
        <v>0.69011476397299387</v>
      </c>
      <c r="Y82" s="9">
        <f ca="1">DATOSAÑO!AJ81</f>
        <v>5.1999999999970896</v>
      </c>
      <c r="Z82" s="11">
        <f ca="1">(Y82*DATOSAÑO!$Z$11)/DATOSAÑO!$Y$11</f>
        <v>9.369704367253183E-2</v>
      </c>
      <c r="AA82" s="9">
        <f ca="1">DATOSAÑO!AK81</f>
        <v>14</v>
      </c>
      <c r="AB82" s="11">
        <f ca="1">(AA82*DATOSAÑO!$Z$11)/DATOSAÑO!$Y$11</f>
        <v>0.25226127142618837</v>
      </c>
      <c r="AC82" s="9">
        <f ca="1">DATOSAÑO!AL81</f>
        <v>31.300000000004729</v>
      </c>
      <c r="AD82" s="11">
        <f ca="1">(AC82*DATOSAÑO!$Z$11)/DATOSAÑO!$Y$11</f>
        <v>0.56398412826006361</v>
      </c>
      <c r="AE82" s="9">
        <f ca="1">DATOSAÑO!AM81</f>
        <v>9.2669999999989159</v>
      </c>
      <c r="AF82" s="11">
        <f ca="1">(AE82*DATOSAÑO!$Z$11)/DATOSAÑO!$Y$11</f>
        <v>0.16697894302187247</v>
      </c>
      <c r="AG82" s="9">
        <f ca="1">DATOSAÑO!AN81</f>
        <v>2.1029999999996365</v>
      </c>
      <c r="AH82" s="11">
        <f ca="1">(AG82*DATOSAÑO!$Z$11)/DATOSAÑO!$Y$11</f>
        <v>3.7893246700655893E-2</v>
      </c>
      <c r="AI82" s="9">
        <f ca="1">DATOSAÑO!BJ81</f>
        <v>2.0640000000000001</v>
      </c>
      <c r="AJ82" s="11">
        <f ca="1">(AI82*DATOSAÑO!$Z$11)/DATOSAÑO!$Y$11</f>
        <v>3.7190518873118063E-2</v>
      </c>
      <c r="AK82" s="9">
        <f ca="1">DATOSAÑO!BM81</f>
        <v>5.8689999999999998</v>
      </c>
      <c r="AL82" s="11">
        <f ca="1">(AK82*DATOSAÑO!$Z$11)/DATOSAÑO!$Y$11</f>
        <v>0.10575152871430711</v>
      </c>
      <c r="AM82" s="9">
        <f ca="1">DATOSAÑO!BP81</f>
        <v>0</v>
      </c>
      <c r="AN82" s="11">
        <f ca="1">(AM82*DATOSAÑO!$Z$11)/DATOSAÑO!$Y$11</f>
        <v>0</v>
      </c>
      <c r="AO82" s="9">
        <f ca="1">DATOSAÑO!BW81</f>
        <v>12.43349999999873</v>
      </c>
      <c r="AP82" s="11">
        <f ca="1">(AO82*DATOSAÑO!$Z$11)/DATOSAÑO!$Y$11</f>
        <v>0.22403503701979952</v>
      </c>
      <c r="AQ82" s="9">
        <f ca="1">DATOSAÑO!CC81</f>
        <v>2.6381999999998547</v>
      </c>
      <c r="AR82" s="1348">
        <f ca="1">(AQ82*DATOSAÑO!$Z$11)/DATOSAÑO!$Y$11</f>
        <v>4.7536834734038108E-2</v>
      </c>
      <c r="AS82" s="1384">
        <f t="shared" si="5"/>
        <v>11</v>
      </c>
    </row>
    <row r="83" spans="1:45">
      <c r="A83" s="1408">
        <v>44998</v>
      </c>
      <c r="B83" s="1869">
        <v>44998</v>
      </c>
      <c r="C83" s="9">
        <f ca="1">DATOSAÑO!I82</f>
        <v>299</v>
      </c>
      <c r="D83" s="10">
        <f ca="1">DATOSAÑO!$D82</f>
        <v>4.9145649538653373</v>
      </c>
      <c r="E83" s="11">
        <f ca="1">DATOSAÑO!$G82</f>
        <v>0</v>
      </c>
      <c r="F83" s="9">
        <f ca="1">DATOSAÑO!P82</f>
        <v>151.29999999999927</v>
      </c>
      <c r="G83" s="10">
        <f ca="1">DATOSAÑO!K82</f>
        <v>3.7101285448877741</v>
      </c>
      <c r="H83" s="11">
        <f ca="1">DATOSAÑO!N82</f>
        <v>0</v>
      </c>
      <c r="I83" s="9">
        <f ca="1">DATOSAÑO!Q82</f>
        <v>8.3000000000083674E-2</v>
      </c>
      <c r="J83" s="11">
        <f ca="1">DATOSAÑO!R82</f>
        <v>9.9600000000100408</v>
      </c>
      <c r="K83" s="9">
        <f ca="1">DATOSAÑO!T82</f>
        <v>0.38499999999999091</v>
      </c>
      <c r="L83" s="11">
        <f t="shared" ca="1" si="3"/>
        <v>46.199999999998909</v>
      </c>
      <c r="M83" s="9"/>
      <c r="N83" s="11">
        <f t="shared" si="4"/>
        <v>0</v>
      </c>
      <c r="O83" s="9">
        <f>DATOSAÑO!CK82</f>
        <v>1</v>
      </c>
      <c r="P83" s="9">
        <f>DATOSAÑO!CL82</f>
        <v>1</v>
      </c>
      <c r="Q83" s="9">
        <f ca="1">DATOSAÑO!AD82</f>
        <v>162</v>
      </c>
      <c r="R83" s="11">
        <f ca="1">(Q83*DATOSAÑO!$Z$11)/DATOSAÑO!$Y$11</f>
        <v>2.919023283645894</v>
      </c>
      <c r="S83" s="9">
        <f ca="1">DATOSAÑO!AF82</f>
        <v>144</v>
      </c>
      <c r="T83" s="11">
        <f ca="1">(S83*DATOSAÑO!$Z$11)/DATOSAÑO!$Y$11</f>
        <v>2.5946873632407947</v>
      </c>
      <c r="U83" s="9">
        <f ca="1">DATOSAÑO!AH82</f>
        <v>17</v>
      </c>
      <c r="V83" s="11">
        <f ca="1">(U83*DATOSAÑO!$Z$11)/DATOSAÑO!$Y$11</f>
        <v>0.30631725816037164</v>
      </c>
      <c r="W83" s="9">
        <f ca="1">DATOSAÑO!AI82</f>
        <v>38.30000000000291</v>
      </c>
      <c r="X83" s="11">
        <f ca="1">(W83*DATOSAÑO!$Z$11)/DATOSAÑO!$Y$11</f>
        <v>0.69011476397312499</v>
      </c>
      <c r="Y83" s="9">
        <f ca="1">DATOSAÑO!AJ82</f>
        <v>8.1999999999970896</v>
      </c>
      <c r="Z83" s="11">
        <f ca="1">(Y83*DATOSAÑO!$Z$11)/DATOSAÑO!$Y$11</f>
        <v>0.14775303040671506</v>
      </c>
      <c r="AA83" s="9">
        <f ca="1">DATOSAÑO!AK82</f>
        <v>15</v>
      </c>
      <c r="AB83" s="11">
        <f ca="1">(AA83*DATOSAÑO!$Z$11)/DATOSAÑO!$Y$11</f>
        <v>0.27027993367091613</v>
      </c>
      <c r="AC83" s="9">
        <f ca="1">DATOSAÑO!AL82</f>
        <v>36.96799999999638</v>
      </c>
      <c r="AD83" s="11">
        <f ca="1">(AC83*DATOSAÑO!$Z$11)/DATOSAÑO!$Y$11</f>
        <v>0.66611390586302999</v>
      </c>
      <c r="AE83" s="9">
        <f ca="1">DATOSAÑO!AM82</f>
        <v>9.0250000000030024</v>
      </c>
      <c r="AF83" s="11">
        <f ca="1">(AE83*DATOSAÑO!$Z$11)/DATOSAÑO!$Y$11</f>
        <v>0.16261842675872198</v>
      </c>
      <c r="AG83" s="9">
        <f ca="1">DATOSAÑO!AN82</f>
        <v>2.4649999999999093</v>
      </c>
      <c r="AH83" s="11">
        <f ca="1">(AG83*DATOSAÑO!$Z$11)/DATOSAÑO!$Y$11</f>
        <v>4.441600243325225E-2</v>
      </c>
      <c r="AI83" s="9">
        <f ca="1">DATOSAÑO!BJ82</f>
        <v>2.1840000000000002</v>
      </c>
      <c r="AJ83" s="11">
        <f ca="1">(AI83*DATOSAÑO!$Z$11)/DATOSAÑO!$Y$11</f>
        <v>3.9352758342485396E-2</v>
      </c>
      <c r="AK83" s="9">
        <f ca="1">DATOSAÑO!BM82</f>
        <v>5.9909999999999997</v>
      </c>
      <c r="AL83" s="11">
        <f ca="1">(AK83*DATOSAÑO!$Z$11)/DATOSAÑO!$Y$11</f>
        <v>0.1079498055081639</v>
      </c>
      <c r="AM83" s="9">
        <f ca="1">DATOSAÑO!BP82</f>
        <v>0</v>
      </c>
      <c r="AN83" s="11">
        <f ca="1">(AM83*DATOSAÑO!$Z$11)/DATOSAÑO!$Y$11</f>
        <v>0</v>
      </c>
      <c r="AO83" s="9">
        <f ca="1">DATOSAÑO!BW82</f>
        <v>12.512500000001502</v>
      </c>
      <c r="AP83" s="11">
        <f ca="1">(AO83*DATOSAÑO!$Z$11)/DATOSAÑO!$Y$11</f>
        <v>0.22545851133718292</v>
      </c>
      <c r="AQ83" s="9">
        <f ca="1">DATOSAÑO!CC82</f>
        <v>2.620999999999964</v>
      </c>
      <c r="AR83" s="1348">
        <f ca="1">(AQ83*DATOSAÑO!$Z$11)/DATOSAÑO!$Y$11</f>
        <v>4.7226913743430764E-2</v>
      </c>
      <c r="AS83" s="1384">
        <f t="shared" si="5"/>
        <v>11</v>
      </c>
    </row>
    <row r="84" spans="1:45" ht="16.5" customHeight="1">
      <c r="A84" s="1408">
        <v>44999</v>
      </c>
      <c r="B84" s="1869">
        <v>44999</v>
      </c>
      <c r="C84" s="9">
        <f ca="1">DATOSAÑO!I83</f>
        <v>288.69999999995343</v>
      </c>
      <c r="D84" s="10">
        <f ca="1">DATOSAÑO!$D83</f>
        <v>4.8305724351617156</v>
      </c>
      <c r="E84" s="11">
        <f ca="1">DATOSAÑO!$G83</f>
        <v>0</v>
      </c>
      <c r="F84" s="9">
        <f ca="1">DATOSAÑO!P83</f>
        <v>145.60000000000218</v>
      </c>
      <c r="G84" s="10">
        <f ca="1">DATOSAÑO!K83</f>
        <v>3.6636472481296938</v>
      </c>
      <c r="H84" s="11">
        <f ca="1">DATOSAÑO!N83</f>
        <v>0</v>
      </c>
      <c r="I84" s="9">
        <f ca="1">DATOSAÑO!Q83</f>
        <v>0</v>
      </c>
      <c r="J84" s="11">
        <f ca="1">DATOSAÑO!R83</f>
        <v>0</v>
      </c>
      <c r="K84" s="9">
        <f ca="1">DATOSAÑO!T83</f>
        <v>0</v>
      </c>
      <c r="L84" s="11">
        <f t="shared" ca="1" si="3"/>
        <v>0</v>
      </c>
      <c r="M84" s="9"/>
      <c r="N84" s="11">
        <f t="shared" si="4"/>
        <v>0</v>
      </c>
      <c r="O84" s="9">
        <f>DATOSAÑO!CK83</f>
        <v>0</v>
      </c>
      <c r="P84" s="9">
        <f>DATOSAÑO!CL83</f>
        <v>0</v>
      </c>
      <c r="Q84" s="9">
        <f ca="1">DATOSAÑO!AD83</f>
        <v>157.40000000002328</v>
      </c>
      <c r="R84" s="11">
        <f ca="1">(Q84*DATOSAÑO!$Z$11)/DATOSAÑO!$Y$11</f>
        <v>2.8361374373205663</v>
      </c>
      <c r="S84" s="9">
        <f ca="1">DATOSAÑO!AF83</f>
        <v>143.40000000002328</v>
      </c>
      <c r="T84" s="11">
        <f ca="1">(S84*DATOSAÑO!$Z$11)/DATOSAÑO!$Y$11</f>
        <v>2.5838761658943779</v>
      </c>
      <c r="U84" s="9">
        <f ca="1">DATOSAÑO!AH83</f>
        <v>7.1999999999970896</v>
      </c>
      <c r="V84" s="11">
        <f ca="1">(U84*DATOSAÑO!$Z$11)/DATOSAÑO!$Y$11</f>
        <v>0.1297343681619873</v>
      </c>
      <c r="W84" s="9">
        <f ca="1">DATOSAÑO!AI83</f>
        <v>39</v>
      </c>
      <c r="X84" s="11">
        <f ca="1">(W84*DATOSAÑO!$Z$11)/DATOSAÑO!$Y$11</f>
        <v>0.7027278275443819</v>
      </c>
      <c r="Y84" s="9">
        <f ca="1">DATOSAÑO!AJ83</f>
        <v>8.1000000000058208</v>
      </c>
      <c r="Z84" s="11">
        <f ca="1">(Y84*DATOSAÑO!$Z$11)/DATOSAÑO!$Y$11</f>
        <v>0.14595116418239959</v>
      </c>
      <c r="AA84" s="9">
        <f ca="1">DATOSAÑO!AK83</f>
        <v>15.700000000011642</v>
      </c>
      <c r="AB84" s="11">
        <f ca="1">(AA84*DATOSAÑO!$Z$11)/DATOSAÑO!$Y$11</f>
        <v>0.28289299724243533</v>
      </c>
      <c r="AC84" s="9">
        <f ca="1">DATOSAÑO!AL83</f>
        <v>33.299999999908266</v>
      </c>
      <c r="AD84" s="11">
        <f ca="1">(AC84*DATOSAÑO!$Z$11)/DATOSAÑO!$Y$11</f>
        <v>0.60002145274778096</v>
      </c>
      <c r="AE84" s="9">
        <f ca="1">DATOSAÑO!AM83</f>
        <v>10.750999999985178</v>
      </c>
      <c r="AF84" s="11">
        <f ca="1">(AE84*DATOSAÑO!$Z$11)/DATOSAÑO!$Y$11</f>
        <v>0.19371863779280088</v>
      </c>
      <c r="AG84" s="9">
        <f ca="1">DATOSAÑO!AN83</f>
        <v>3.289999999999909</v>
      </c>
      <c r="AH84" s="11">
        <f ca="1">(AG84*DATOSAÑO!$Z$11)/DATOSAÑO!$Y$11</f>
        <v>5.9281398785152636E-2</v>
      </c>
      <c r="AI84" s="9">
        <f ca="1">DATOSAÑO!BJ83</f>
        <v>2.1840000000000002</v>
      </c>
      <c r="AJ84" s="11">
        <f ca="1">(AI84*DATOSAÑO!$Z$11)/DATOSAÑO!$Y$11</f>
        <v>3.9352758342485396E-2</v>
      </c>
      <c r="AK84" s="9">
        <f ca="1">DATOSAÑO!BM83</f>
        <v>5.8650000000000002</v>
      </c>
      <c r="AL84" s="11">
        <f ca="1">(AK84*DATOSAÑO!$Z$11)/DATOSAÑO!$Y$11</f>
        <v>0.10567945406532821</v>
      </c>
      <c r="AM84" s="9">
        <f ca="1">DATOSAÑO!BP83</f>
        <v>0</v>
      </c>
      <c r="AN84" s="11">
        <f ca="1">(AM84*DATOSAÑO!$Z$11)/DATOSAÑO!$Y$11</f>
        <v>0</v>
      </c>
      <c r="AO84" s="9">
        <f ca="1">DATOSAÑO!BW83</f>
        <v>12.675499999993679</v>
      </c>
      <c r="AP84" s="11">
        <f ca="1">(AO84*DATOSAÑO!$Z$11)/DATOSAÑO!$Y$11</f>
        <v>0.2283955532829326</v>
      </c>
      <c r="AQ84" s="9">
        <f ca="1">DATOSAÑO!CC83</f>
        <v>2.1259999999999639</v>
      </c>
      <c r="AR84" s="1348">
        <f ca="1">(AQ84*DATOSAÑO!$Z$11)/DATOSAÑO!$Y$11</f>
        <v>3.8307675932290529E-2</v>
      </c>
      <c r="AS84" s="1384">
        <f t="shared" si="5"/>
        <v>11</v>
      </c>
    </row>
    <row r="85" spans="1:45">
      <c r="A85" s="1408">
        <v>45000</v>
      </c>
      <c r="B85" s="1869">
        <v>45000</v>
      </c>
      <c r="C85" s="9">
        <f ca="1">DATOSAÑO!I84</f>
        <v>295.80000000004657</v>
      </c>
      <c r="D85" s="10">
        <f ca="1">DATOSAÑO!$D84</f>
        <v>4.8884701907734467</v>
      </c>
      <c r="E85" s="11">
        <f ca="1">DATOSAÑO!$G84</f>
        <v>0</v>
      </c>
      <c r="F85" s="9">
        <f ca="1">DATOSAÑO!P84</f>
        <v>148.59999999999854</v>
      </c>
      <c r="G85" s="10">
        <f ca="1">DATOSAÑO!K84</f>
        <v>3.6881110885286663</v>
      </c>
      <c r="H85" s="11">
        <f ca="1">DATOSAÑO!N84</f>
        <v>0</v>
      </c>
      <c r="I85" s="9">
        <f ca="1">DATOSAÑO!Q84</f>
        <v>0</v>
      </c>
      <c r="J85" s="11">
        <f ca="1">DATOSAÑO!R84</f>
        <v>0</v>
      </c>
      <c r="K85" s="9">
        <f ca="1">DATOSAÑO!T84</f>
        <v>0</v>
      </c>
      <c r="L85" s="11">
        <f t="shared" ca="1" si="3"/>
        <v>0</v>
      </c>
      <c r="M85" s="9"/>
      <c r="N85" s="11">
        <f t="shared" si="4"/>
        <v>0</v>
      </c>
      <c r="O85" s="9">
        <f>DATOSAÑO!CK84</f>
        <v>0</v>
      </c>
      <c r="P85" s="9">
        <f>DATOSAÑO!CL84</f>
        <v>0</v>
      </c>
      <c r="Q85" s="9">
        <f ca="1">DATOSAÑO!AD84</f>
        <v>170.69999999995343</v>
      </c>
      <c r="R85" s="11">
        <f ca="1">(Q85*DATOSAÑO!$Z$11)/DATOSAÑO!$Y$11</f>
        <v>3.0757856451741867</v>
      </c>
      <c r="S85" s="9">
        <f ca="1">DATOSAÑO!AF84</f>
        <v>143.79999999998836</v>
      </c>
      <c r="T85" s="11">
        <f ca="1">(S85*DATOSAÑO!$Z$11)/DATOSAÑO!$Y$11</f>
        <v>2.5910836307916396</v>
      </c>
      <c r="U85" s="9">
        <f ca="1">DATOSAÑO!AH84</f>
        <v>8.3000000000029104</v>
      </c>
      <c r="V85" s="11">
        <f ca="1">(U85*DATOSAÑO!$Z$11)/DATOSAÑO!$Y$11</f>
        <v>0.14955489663129271</v>
      </c>
      <c r="W85" s="9">
        <f ca="1">DATOSAÑO!AI84</f>
        <v>37.80000000000291</v>
      </c>
      <c r="X85" s="11">
        <f ca="1">(W85*DATOSAÑO!$Z$11)/DATOSAÑO!$Y$11</f>
        <v>0.68110543285076108</v>
      </c>
      <c r="Y85" s="9">
        <f ca="1">DATOSAÑO!AJ84</f>
        <v>6.6999999999970896</v>
      </c>
      <c r="Z85" s="11">
        <f ca="1">(Y85*DATOSAÑO!$Z$11)/DATOSAÑO!$Y$11</f>
        <v>0.12072503703962342</v>
      </c>
      <c r="AA85" s="9">
        <f ca="1">DATOSAÑO!AK84</f>
        <v>14.799999999988358</v>
      </c>
      <c r="AB85" s="11">
        <f ca="1">(AA85*DATOSAÑO!$Z$11)/DATOSAÑO!$Y$11</f>
        <v>0.26667620122176083</v>
      </c>
      <c r="AC85" s="9">
        <f ca="1">DATOSAÑO!AL84</f>
        <v>32.600000000122293</v>
      </c>
      <c r="AD85" s="11">
        <f ca="1">(AC85*DATOSAÑO!$Z$11)/DATOSAÑO!$Y$11</f>
        <v>0.58740838918032789</v>
      </c>
      <c r="AE85" s="9">
        <f ca="1">DATOSAÑO!AM84</f>
        <v>11.015999999989983</v>
      </c>
      <c r="AF85" s="11">
        <f ca="1">(AE85*DATOSAÑO!$Z$11)/DATOSAÑO!$Y$11</f>
        <v>0.19849358328774031</v>
      </c>
      <c r="AG85" s="9">
        <f ca="1">DATOSAÑO!AN84</f>
        <v>2.5200000000005458</v>
      </c>
      <c r="AH85" s="11">
        <f ca="1">(AG85*DATOSAÑO!$Z$11)/DATOSAÑO!$Y$11</f>
        <v>4.540702885672375E-2</v>
      </c>
      <c r="AI85" s="9">
        <f ca="1">DATOSAÑO!BJ84</f>
        <v>2.6160000000000001</v>
      </c>
      <c r="AJ85" s="11">
        <f ca="1">(AI85*DATOSAÑO!$Z$11)/DATOSAÑO!$Y$11</f>
        <v>4.7136820432207779E-2</v>
      </c>
      <c r="AK85" s="9">
        <f ca="1">DATOSAÑO!BM84</f>
        <v>5.8680000000000003</v>
      </c>
      <c r="AL85" s="11">
        <f ca="1">(AK85*DATOSAÑO!$Z$11)/DATOSAÑO!$Y$11</f>
        <v>0.1057335100520624</v>
      </c>
      <c r="AM85" s="9">
        <f ca="1">DATOSAÑO!BP84</f>
        <v>0</v>
      </c>
      <c r="AN85" s="11">
        <f ca="1">(AM85*DATOSAÑO!$Z$11)/DATOSAÑO!$Y$11</f>
        <v>0</v>
      </c>
      <c r="AO85" s="9">
        <f ca="1">DATOSAÑO!BW84</f>
        <v>11.807999999994264</v>
      </c>
      <c r="AP85" s="11">
        <f ca="1">(AO85*DATOSAÑO!$Z$11)/DATOSAÑO!$Y$11</f>
        <v>0.21276436378564181</v>
      </c>
      <c r="AQ85" s="9">
        <f ca="1">DATOSAÑO!CC84</f>
        <v>2.3880000000002184</v>
      </c>
      <c r="AR85" s="1348">
        <f ca="1">(AQ85*DATOSAÑO!$Z$11)/DATOSAÑO!$Y$11</f>
        <v>4.302856544041378E-2</v>
      </c>
      <c r="AS85" s="1384">
        <f t="shared" si="5"/>
        <v>11</v>
      </c>
    </row>
    <row r="86" spans="1:45" ht="16.5" customHeight="1">
      <c r="A86" s="1408">
        <v>45001</v>
      </c>
      <c r="B86" s="1869">
        <v>45001</v>
      </c>
      <c r="C86" s="9">
        <f ca="1">DATOSAÑO!I85</f>
        <v>290.5</v>
      </c>
      <c r="D86" s="10">
        <f ca="1">DATOSAÑO!$D85</f>
        <v>4.8452507394014965</v>
      </c>
      <c r="E86" s="11">
        <f ca="1">DATOSAÑO!$G85</f>
        <v>0</v>
      </c>
      <c r="F86" s="9">
        <f ca="1">DATOSAÑO!P85</f>
        <v>158.5</v>
      </c>
      <c r="G86" s="10">
        <f ca="1">DATOSAÑO!K85</f>
        <v>3.7688417618453864</v>
      </c>
      <c r="H86" s="11">
        <f ca="1">DATOSAÑO!N85</f>
        <v>0</v>
      </c>
      <c r="I86" s="9">
        <f ca="1">DATOSAÑO!Q85</f>
        <v>0</v>
      </c>
      <c r="J86" s="11">
        <f ca="1">DATOSAÑO!R85</f>
        <v>0</v>
      </c>
      <c r="K86" s="9">
        <f ca="1">DATOSAÑO!T85</f>
        <v>0</v>
      </c>
      <c r="L86" s="11">
        <f t="shared" ca="1" si="3"/>
        <v>0</v>
      </c>
      <c r="M86" s="9"/>
      <c r="N86" s="11">
        <f t="shared" si="4"/>
        <v>0</v>
      </c>
      <c r="O86" s="9">
        <f>DATOSAÑO!CK85</f>
        <v>0</v>
      </c>
      <c r="P86" s="9">
        <f>DATOSAÑO!CL85</f>
        <v>0</v>
      </c>
      <c r="Q86" s="9">
        <f ca="1">DATOSAÑO!AD85</f>
        <v>166.90000000002328</v>
      </c>
      <c r="R86" s="11">
        <f ca="1">(Q86*DATOSAÑO!$Z$11)/DATOSAÑO!$Y$11</f>
        <v>3.00731472864548</v>
      </c>
      <c r="S86" s="9">
        <f ca="1">DATOSAÑO!AF85</f>
        <v>144.79999999998836</v>
      </c>
      <c r="T86" s="11">
        <f ca="1">(S86*DATOSAÑO!$Z$11)/DATOSAÑO!$Y$11</f>
        <v>2.6091022930363672</v>
      </c>
      <c r="U86" s="9">
        <f ca="1">DATOSAÑO!AH85</f>
        <v>8.7999999999956344</v>
      </c>
      <c r="V86" s="11">
        <f ca="1">(U86*DATOSAÑO!$Z$11)/DATOSAÑO!$Y$11</f>
        <v>0.15856422775352547</v>
      </c>
      <c r="W86" s="9">
        <f ca="1">DATOSAÑO!AI85</f>
        <v>39.299999999995634</v>
      </c>
      <c r="X86" s="11">
        <f ca="1">(W86*DATOSAÑO!$Z$11)/DATOSAÑO!$Y$11</f>
        <v>0.70813342621772168</v>
      </c>
      <c r="Y86" s="9">
        <f ca="1">DATOSAÑO!AJ85</f>
        <v>6.8000000000029104</v>
      </c>
      <c r="Z86" s="11">
        <f ca="1">(Y86*DATOSAÑO!$Z$11)/DATOSAÑO!$Y$11</f>
        <v>0.12252690326420108</v>
      </c>
      <c r="AA86" s="9">
        <f ca="1">DATOSAÑO!AK85</f>
        <v>15.100000000005821</v>
      </c>
      <c r="AB86" s="11">
        <f ca="1">(AA86*DATOSAÑO!$Z$11)/DATOSAÑO!$Y$11</f>
        <v>0.2720817998954938</v>
      </c>
      <c r="AC86" s="9">
        <f ca="1">DATOSAÑO!AL85</f>
        <v>38.499999999967258</v>
      </c>
      <c r="AD86" s="11">
        <f ca="1">(AC86*DATOSAÑO!$Z$11)/DATOSAÑO!$Y$11</f>
        <v>0.69371849642142802</v>
      </c>
      <c r="AE86" s="9">
        <f ca="1">DATOSAÑO!AM85</f>
        <v>9.9215000000208207</v>
      </c>
      <c r="AF86" s="11">
        <f ca="1">(AE86*DATOSAÑO!$Z$11)/DATOSAÑO!$Y$11</f>
        <v>0.17877215746144146</v>
      </c>
      <c r="AG86" s="9">
        <f ca="1">DATOSAÑO!AN85</f>
        <v>2.6419999999995452</v>
      </c>
      <c r="AH86" s="11">
        <f ca="1">(AG86*DATOSAÑO!$Z$11)/DATOSAÑO!$Y$11</f>
        <v>4.76053056505625E-2</v>
      </c>
      <c r="AI86" s="9">
        <f ca="1">DATOSAÑO!BJ85</f>
        <v>2.2244999999999999</v>
      </c>
      <c r="AJ86" s="11">
        <f ca="1">(AI86*DATOSAÑO!$Z$11)/DATOSAÑO!$Y$11</f>
        <v>4.0082514163396858E-2</v>
      </c>
      <c r="AK86" s="9">
        <f ca="1">DATOSAÑO!BM85</f>
        <v>5.9539999999999997</v>
      </c>
      <c r="AL86" s="11">
        <f ca="1">(AK86*DATOSAÑO!$Z$11)/DATOSAÑO!$Y$11</f>
        <v>0.10728311500510898</v>
      </c>
      <c r="AM86" s="9">
        <f ca="1">DATOSAÑO!BP85</f>
        <v>0</v>
      </c>
      <c r="AN86" s="11">
        <f ca="1">(AM86*DATOSAÑO!$Z$11)/DATOSAÑO!$Y$11</f>
        <v>0</v>
      </c>
      <c r="AO86" s="9">
        <f ca="1">DATOSAÑO!BW85</f>
        <v>11.660750000011138</v>
      </c>
      <c r="AP86" s="11">
        <f ca="1">(AO86*DATOSAÑO!$Z$11)/DATOSAÑO!$Y$11</f>
        <v>0.21011111577040972</v>
      </c>
      <c r="AQ86" s="9">
        <f ca="1">DATOSAÑO!CC85</f>
        <v>2.4147999999998184</v>
      </c>
      <c r="AR86" s="1348">
        <f ca="1">(AQ86*DATOSAÑO!$Z$11)/DATOSAÑO!$Y$11</f>
        <v>4.3511465588565279E-2</v>
      </c>
      <c r="AS86" s="1384">
        <f t="shared" si="5"/>
        <v>11</v>
      </c>
    </row>
    <row r="87" spans="1:45">
      <c r="A87" s="1408">
        <v>45002</v>
      </c>
      <c r="B87" s="1869">
        <v>45002</v>
      </c>
      <c r="C87" s="9">
        <f ca="1">DATOSAÑO!I86</f>
        <v>283</v>
      </c>
      <c r="D87" s="10">
        <f ca="1">DATOSAÑO!$D86</f>
        <v>4.7840911384039906</v>
      </c>
      <c r="E87" s="11">
        <f ca="1">DATOSAÑO!$G86</f>
        <v>0</v>
      </c>
      <c r="F87" s="9">
        <f ca="1">DATOSAÑO!P86</f>
        <v>162</v>
      </c>
      <c r="G87" s="10">
        <f ca="1">DATOSAÑO!K86</f>
        <v>3.7973829089775561</v>
      </c>
      <c r="H87" s="11">
        <f ca="1">DATOSAÑO!N86</f>
        <v>0</v>
      </c>
      <c r="I87" s="9">
        <f ca="1">DATOSAÑO!Q86</f>
        <v>0</v>
      </c>
      <c r="J87" s="11">
        <f ca="1">DATOSAÑO!R86</f>
        <v>0</v>
      </c>
      <c r="K87" s="9">
        <f ca="1">DATOSAÑO!T86</f>
        <v>0</v>
      </c>
      <c r="L87" s="11">
        <f t="shared" ca="1" si="3"/>
        <v>0</v>
      </c>
      <c r="M87" s="9"/>
      <c r="N87" s="11">
        <f t="shared" si="4"/>
        <v>0</v>
      </c>
      <c r="O87" s="9">
        <f>DATOSAÑO!CK86</f>
        <v>0</v>
      </c>
      <c r="P87" s="9">
        <f>DATOSAÑO!CL86</f>
        <v>0</v>
      </c>
      <c r="Q87" s="9">
        <f ca="1">DATOSAÑO!AD86</f>
        <v>167</v>
      </c>
      <c r="R87" s="11">
        <f ca="1">(Q87*DATOSAÑO!$Z$11)/DATOSAÑO!$Y$11</f>
        <v>3.0091165948695329</v>
      </c>
      <c r="S87" s="9">
        <f ca="1">DATOSAÑO!AF86</f>
        <v>144</v>
      </c>
      <c r="T87" s="11">
        <f ca="1">(S87*DATOSAÑO!$Z$11)/DATOSAÑO!$Y$11</f>
        <v>2.5946873632407947</v>
      </c>
      <c r="U87" s="9">
        <f ca="1">DATOSAÑO!AH86</f>
        <v>8.2000000000043656</v>
      </c>
      <c r="V87" s="11">
        <f ca="1">(U87*DATOSAÑO!$Z$11)/DATOSAÑO!$Y$11</f>
        <v>0.14775303040684615</v>
      </c>
      <c r="W87" s="9">
        <f ca="1">DATOSAÑO!AI86</f>
        <v>38.5</v>
      </c>
      <c r="X87" s="11">
        <f ca="1">(W87*DATOSAÑO!$Z$11)/DATOSAÑO!$Y$11</f>
        <v>0.6937184964220181</v>
      </c>
      <c r="Y87" s="9">
        <f ca="1">DATOSAÑO!AJ86</f>
        <v>7.3999999999941792</v>
      </c>
      <c r="Z87" s="11">
        <f ca="1">(Y87*DATOSAÑO!$Z$11)/DATOSAÑO!$Y$11</f>
        <v>0.13333810061088042</v>
      </c>
      <c r="AA87" s="9">
        <f ca="1">DATOSAÑO!AK86</f>
        <v>14.899999999994179</v>
      </c>
      <c r="AB87" s="11">
        <f ca="1">(AA87*DATOSAÑO!$Z$11)/DATOSAÑO!$Y$11</f>
        <v>0.26847806744633845</v>
      </c>
      <c r="AC87" s="9">
        <f ca="1">DATOSAÑO!AL86</f>
        <v>34.800000000006548</v>
      </c>
      <c r="AD87" s="11">
        <f ca="1">(AC87*DATOSAÑO!$Z$11)/DATOSAÑO!$Y$11</f>
        <v>0.62704944611664337</v>
      </c>
      <c r="AE87" s="9">
        <f ca="1">DATOSAÑO!AM86</f>
        <v>11.642000000001284</v>
      </c>
      <c r="AF87" s="11">
        <f ca="1">(AE87*DATOSAÑO!$Z$11)/DATOSAÑO!$Y$11</f>
        <v>0.20977326585314351</v>
      </c>
      <c r="AG87" s="9">
        <f ca="1">DATOSAÑO!AN86</f>
        <v>2.5120000000005458</v>
      </c>
      <c r="AH87" s="11">
        <f ca="1">(AG87*DATOSAÑO!$Z$11)/DATOSAÑO!$Y$11</f>
        <v>4.5262879558765921E-2</v>
      </c>
      <c r="AI87" s="9">
        <f ca="1">DATOSAÑO!BJ86</f>
        <v>2.2000000000000002</v>
      </c>
      <c r="AJ87" s="11">
        <f ca="1">(AI87*DATOSAÑO!$Z$11)/DATOSAÑO!$Y$11</f>
        <v>3.9641056938401038E-2</v>
      </c>
      <c r="AK87" s="9">
        <f ca="1">DATOSAÑO!BM86</f>
        <v>5.758</v>
      </c>
      <c r="AL87" s="11">
        <f ca="1">(AK87*DATOSAÑO!$Z$11)/DATOSAÑO!$Y$11</f>
        <v>0.10375145720514234</v>
      </c>
      <c r="AM87" s="9">
        <f ca="1">DATOSAÑO!BP86</f>
        <v>0</v>
      </c>
      <c r="AN87" s="11">
        <f ca="1">(AM87*DATOSAÑO!$Z$11)/DATOSAÑO!$Y$11</f>
        <v>0</v>
      </c>
      <c r="AO87" s="9">
        <f ca="1">DATOSAÑO!BW86</f>
        <v>12.52099999999955</v>
      </c>
      <c r="AP87" s="11">
        <f ca="1">(AO87*DATOSAÑO!$Z$11)/DATOSAÑO!$Y$11</f>
        <v>0.22561166996622795</v>
      </c>
      <c r="AQ87" s="9">
        <f ca="1">DATOSAÑO!CC86</f>
        <v>2.3928000000002183</v>
      </c>
      <c r="AR87" s="1348">
        <f ca="1">(AQ87*DATOSAÑO!$Z$11)/DATOSAÑO!$Y$11</f>
        <v>4.3115055019188477E-2</v>
      </c>
      <c r="AS87" s="1384">
        <f t="shared" si="5"/>
        <v>11</v>
      </c>
    </row>
    <row r="88" spans="1:45" ht="16.5" customHeight="1">
      <c r="A88" s="1408">
        <v>45003</v>
      </c>
      <c r="B88" s="1869">
        <v>45003</v>
      </c>
      <c r="C88" s="9">
        <f ca="1">DATOSAÑO!I87</f>
        <v>298</v>
      </c>
      <c r="D88" s="10">
        <f ca="1">DATOSAÑO!$D87</f>
        <v>4.9064103403990025</v>
      </c>
      <c r="E88" s="11">
        <f ca="1">DATOSAÑO!$G87</f>
        <v>0</v>
      </c>
      <c r="F88" s="9">
        <f ca="1">DATOSAÑO!P87</f>
        <v>151</v>
      </c>
      <c r="G88" s="10">
        <f ca="1">DATOSAÑO!K87</f>
        <v>3.70768216084788</v>
      </c>
      <c r="H88" s="11">
        <f ca="1">DATOSAÑO!N87</f>
        <v>0</v>
      </c>
      <c r="I88" s="9">
        <f ca="1">DATOSAÑO!Q87</f>
        <v>0</v>
      </c>
      <c r="J88" s="11">
        <f ca="1">DATOSAÑO!R87</f>
        <v>0</v>
      </c>
      <c r="K88" s="9">
        <f ca="1">DATOSAÑO!T87</f>
        <v>0</v>
      </c>
      <c r="L88" s="11">
        <f t="shared" ca="1" si="3"/>
        <v>0</v>
      </c>
      <c r="M88" s="9"/>
      <c r="N88" s="11">
        <f t="shared" si="4"/>
        <v>0</v>
      </c>
      <c r="O88" s="9">
        <f>DATOSAÑO!CK87</f>
        <v>0</v>
      </c>
      <c r="P88" s="9">
        <f>DATOSAÑO!CL87</f>
        <v>0</v>
      </c>
      <c r="Q88" s="9">
        <f ca="1">DATOSAÑO!AD87</f>
        <v>168</v>
      </c>
      <c r="R88" s="11">
        <f ca="1">(Q88*DATOSAÑO!$Z$11)/DATOSAÑO!$Y$11</f>
        <v>3.0271352571142609</v>
      </c>
      <c r="S88" s="9">
        <f ca="1">DATOSAÑO!AF87</f>
        <v>145</v>
      </c>
      <c r="T88" s="11">
        <f ca="1">(S88*DATOSAÑO!$Z$11)/DATOSAÑO!$Y$11</f>
        <v>2.6127060254855223</v>
      </c>
      <c r="U88" s="9">
        <f ca="1">DATOSAÑO!AH87</f>
        <v>10.099999999998545</v>
      </c>
      <c r="V88" s="11">
        <f ca="1">(U88*DATOSAÑO!$Z$11)/DATOSAÑO!$Y$11</f>
        <v>0.18198848867172399</v>
      </c>
      <c r="W88" s="9">
        <f ca="1">DATOSAÑO!AI87</f>
        <v>38.700000000004366</v>
      </c>
      <c r="X88" s="11">
        <f ca="1">(W88*DATOSAÑO!$Z$11)/DATOSAÑO!$Y$11</f>
        <v>0.69732222887104223</v>
      </c>
      <c r="Y88" s="9">
        <f ca="1">DATOSAÑO!AJ87</f>
        <v>9.3999999999941792</v>
      </c>
      <c r="Z88" s="11">
        <f ca="1">(Y88*DATOSAÑO!$Z$11)/DATOSAÑO!$Y$11</f>
        <v>0.1693754251003359</v>
      </c>
      <c r="AA88" s="9">
        <f ca="1">DATOSAÑO!AK87</f>
        <v>15.899999999994179</v>
      </c>
      <c r="AB88" s="11">
        <f ca="1">(AA88*DATOSAÑO!$Z$11)/DATOSAÑO!$Y$11</f>
        <v>0.28649672969106621</v>
      </c>
      <c r="AC88" s="9">
        <f ca="1">DATOSAÑO!AL87</f>
        <v>32.400000000008674</v>
      </c>
      <c r="AD88" s="11">
        <f ca="1">(AC88*DATOSAÑO!$Z$11)/DATOSAÑO!$Y$11</f>
        <v>0.58380465672933524</v>
      </c>
      <c r="AE88" s="9">
        <f ca="1">DATOSAÑO!AM87</f>
        <v>10.969000000000456</v>
      </c>
      <c r="AF88" s="11">
        <f ca="1">(AE88*DATOSAÑO!$Z$11)/DATOSAÑO!$Y$11</f>
        <v>0.19764670616242683</v>
      </c>
      <c r="AG88" s="9">
        <f ca="1">DATOSAÑO!AN87</f>
        <v>2.616999999999909</v>
      </c>
      <c r="AH88" s="11">
        <f ca="1">(AG88*DATOSAÑO!$Z$11)/DATOSAÑO!$Y$11</f>
        <v>4.7154839094450861E-2</v>
      </c>
      <c r="AI88" s="9">
        <f ca="1">DATOSAÑO!BJ87</f>
        <v>2</v>
      </c>
      <c r="AJ88" s="11">
        <f ca="1">(AI88*DATOSAÑO!$Z$11)/DATOSAÑO!$Y$11</f>
        <v>3.6037324489455486E-2</v>
      </c>
      <c r="AK88" s="9">
        <f ca="1">DATOSAÑO!BM87</f>
        <v>6.0309999999999997</v>
      </c>
      <c r="AL88" s="11">
        <f ca="1">(AK88*DATOSAÑO!$Z$11)/DATOSAÑO!$Y$11</f>
        <v>0.108670551997953</v>
      </c>
      <c r="AM88" s="9">
        <f ca="1">DATOSAÑO!BP87</f>
        <v>0</v>
      </c>
      <c r="AN88" s="11">
        <f ca="1">(AM88*DATOSAÑO!$Z$11)/DATOSAÑO!$Y$11</f>
        <v>0</v>
      </c>
      <c r="AO88" s="9">
        <f ca="1">DATOSAÑO!BW87</f>
        <v>11.884499999999864</v>
      </c>
      <c r="AP88" s="11">
        <f ca="1">(AO88*DATOSAÑO!$Z$11)/DATOSAÑO!$Y$11</f>
        <v>0.2141427914474644</v>
      </c>
      <c r="AQ88" s="9">
        <f ca="1">DATOSAÑO!CC87</f>
        <v>2.5297999999999634</v>
      </c>
      <c r="AR88" s="1348">
        <f ca="1">(AQ88*DATOSAÑO!$Z$11)/DATOSAÑO!$Y$11</f>
        <v>4.5583611746711585E-2</v>
      </c>
      <c r="AS88" s="1384">
        <f t="shared" si="5"/>
        <v>11</v>
      </c>
    </row>
    <row r="89" spans="1:45">
      <c r="A89" s="1408">
        <v>45004</v>
      </c>
      <c r="B89" s="1869">
        <v>45004</v>
      </c>
      <c r="C89" s="9">
        <f ca="1">DATOSAÑO!I88</f>
        <v>290</v>
      </c>
      <c r="D89" s="10">
        <f ca="1">DATOSAÑO!$D88</f>
        <v>4.8411734326683291</v>
      </c>
      <c r="E89" s="11">
        <f ca="1">DATOSAÑO!$G88</f>
        <v>0</v>
      </c>
      <c r="F89" s="9">
        <f ca="1">DATOSAÑO!P88</f>
        <v>158</v>
      </c>
      <c r="G89" s="10">
        <f ca="1">DATOSAÑO!K88</f>
        <v>3.7647644551122195</v>
      </c>
      <c r="H89" s="11">
        <f ca="1">DATOSAÑO!N88</f>
        <v>0</v>
      </c>
      <c r="I89" s="9">
        <f ca="1">DATOSAÑO!Q88</f>
        <v>0</v>
      </c>
      <c r="J89" s="11">
        <f ca="1">DATOSAÑO!R88</f>
        <v>0</v>
      </c>
      <c r="K89" s="9">
        <f ca="1">DATOSAÑO!T88</f>
        <v>0</v>
      </c>
      <c r="L89" s="11">
        <f t="shared" ca="1" si="3"/>
        <v>0</v>
      </c>
      <c r="M89" s="9"/>
      <c r="N89" s="11">
        <f t="shared" si="4"/>
        <v>0</v>
      </c>
      <c r="O89" s="9">
        <f>DATOSAÑO!CK88</f>
        <v>0</v>
      </c>
      <c r="P89" s="9">
        <f>DATOSAÑO!CL88</f>
        <v>0</v>
      </c>
      <c r="Q89" s="9">
        <f ca="1">DATOSAÑO!AD88</f>
        <v>168</v>
      </c>
      <c r="R89" s="11">
        <f ca="1">(Q89*DATOSAÑO!$Z$11)/DATOSAÑO!$Y$11</f>
        <v>3.0271352571142609</v>
      </c>
      <c r="S89" s="9">
        <f ca="1">DATOSAÑO!AF88</f>
        <v>142</v>
      </c>
      <c r="T89" s="11">
        <f ca="1">(S89*DATOSAÑO!$Z$11)/DATOSAÑO!$Y$11</f>
        <v>2.5586500387513391</v>
      </c>
      <c r="U89" s="9">
        <f ca="1">DATOSAÑO!AH88</f>
        <v>7.9000000000014552</v>
      </c>
      <c r="V89" s="11">
        <f ca="1">(U89*DATOSAÑO!$Z$11)/DATOSAÑO!$Y$11</f>
        <v>0.14234743173337538</v>
      </c>
      <c r="W89" s="9">
        <f ca="1">DATOSAÑO!AI88</f>
        <v>38.899999999994179</v>
      </c>
      <c r="X89" s="11">
        <f ca="1">(W89*DATOSAÑO!$Z$11)/DATOSAÑO!$Y$11</f>
        <v>0.70092596131980434</v>
      </c>
      <c r="Y89" s="9">
        <f ca="1">DATOSAÑO!AJ88</f>
        <v>9</v>
      </c>
      <c r="Z89" s="11">
        <f ca="1">(Y89*DATOSAÑO!$Z$11)/DATOSAÑO!$Y$11</f>
        <v>0.16216796020254967</v>
      </c>
      <c r="AA89" s="9">
        <f ca="1">DATOSAÑO!AK88</f>
        <v>15.200000000011642</v>
      </c>
      <c r="AB89" s="11">
        <f ca="1">(AA89*DATOSAÑO!$Z$11)/DATOSAÑO!$Y$11</f>
        <v>0.27388366612007142</v>
      </c>
      <c r="AC89" s="9">
        <f ca="1">DATOSAÑO!AL88</f>
        <v>37.799999999991996</v>
      </c>
      <c r="AD89" s="11">
        <f ca="1">(AC89*DATOSAÑO!$Z$11)/DATOSAÑO!$Y$11</f>
        <v>0.68110543285056446</v>
      </c>
      <c r="AE89" s="9">
        <f ca="1">DATOSAÑO!AM88</f>
        <v>10.622999999999614</v>
      </c>
      <c r="AF89" s="11">
        <f ca="1">(AE89*DATOSAÑO!$Z$11)/DATOSAÑO!$Y$11</f>
        <v>0.19141224902573584</v>
      </c>
      <c r="AG89" s="9">
        <f ca="1">DATOSAÑO!AN88</f>
        <v>2.4969999999996473</v>
      </c>
      <c r="AH89" s="11">
        <f ca="1">(AG89*DATOSAÑO!$Z$11)/DATOSAÑO!$Y$11</f>
        <v>4.4992599625078816E-2</v>
      </c>
      <c r="AI89" s="9">
        <f ca="1">DATOSAÑO!BJ88</f>
        <v>2.2999999999999998</v>
      </c>
      <c r="AJ89" s="11">
        <f ca="1">(AI89*DATOSAÑO!$Z$11)/DATOSAÑO!$Y$11</f>
        <v>4.1442923162873804E-2</v>
      </c>
      <c r="AK89" s="9">
        <f ca="1">DATOSAÑO!BM88</f>
        <v>5.9269999999999996</v>
      </c>
      <c r="AL89" s="11">
        <f ca="1">(AK89*DATOSAÑO!$Z$11)/DATOSAÑO!$Y$11</f>
        <v>0.10679661112450133</v>
      </c>
      <c r="AM89" s="9">
        <f ca="1">DATOSAÑO!BP88</f>
        <v>0</v>
      </c>
      <c r="AN89" s="11">
        <f ca="1">(AM89*DATOSAÑO!$Z$11)/DATOSAÑO!$Y$11</f>
        <v>0</v>
      </c>
      <c r="AO89" s="9">
        <f ca="1">DATOSAÑO!BW88</f>
        <v>11.711500000001262</v>
      </c>
      <c r="AP89" s="11">
        <f ca="1">(AO89*DATOSAÑO!$Z$11)/DATOSAÑO!$Y$11</f>
        <v>0.2110255628791517</v>
      </c>
      <c r="AQ89" s="9">
        <f ca="1">DATOSAÑO!CC88</f>
        <v>2.4517999999998592</v>
      </c>
      <c r="AR89" s="1348">
        <f ca="1">(AQ89*DATOSAÑO!$Z$11)/DATOSAÑO!$Y$11</f>
        <v>4.4178156091620936E-2</v>
      </c>
      <c r="AS89" s="1384">
        <f t="shared" si="5"/>
        <v>12</v>
      </c>
    </row>
    <row r="90" spans="1:45" ht="16.5" customHeight="1">
      <c r="A90" s="1408">
        <v>45005</v>
      </c>
      <c r="B90" s="1869">
        <v>45005</v>
      </c>
      <c r="C90" s="9">
        <f ca="1">DATOSAÑO!I89</f>
        <v>300</v>
      </c>
      <c r="D90" s="10">
        <f ca="1">DATOSAÑO!$D89</f>
        <v>4.9227195673316713</v>
      </c>
      <c r="E90" s="11">
        <f ca="1">DATOSAÑO!$G89</f>
        <v>0</v>
      </c>
      <c r="F90" s="9">
        <f ca="1">DATOSAÑO!P89</f>
        <v>156</v>
      </c>
      <c r="G90" s="10">
        <f ca="1">DATOSAÑO!K89</f>
        <v>3.7484552281795511</v>
      </c>
      <c r="H90" s="11">
        <f ca="1">DATOSAÑO!N89</f>
        <v>0</v>
      </c>
      <c r="I90" s="9">
        <f ca="1">DATOSAÑO!Q89</f>
        <v>0</v>
      </c>
      <c r="J90" s="11">
        <f ca="1">DATOSAÑO!R89</f>
        <v>0</v>
      </c>
      <c r="K90" s="9">
        <f ca="1">DATOSAÑO!T89</f>
        <v>0</v>
      </c>
      <c r="L90" s="11">
        <f t="shared" ca="1" si="3"/>
        <v>0</v>
      </c>
      <c r="M90" s="9"/>
      <c r="N90" s="11">
        <f t="shared" si="4"/>
        <v>0</v>
      </c>
      <c r="O90" s="9">
        <f>DATOSAÑO!CK89</f>
        <v>0</v>
      </c>
      <c r="P90" s="9">
        <f>DATOSAÑO!CL89</f>
        <v>0</v>
      </c>
      <c r="Q90" s="9">
        <f ca="1">DATOSAÑO!AD89</f>
        <v>168</v>
      </c>
      <c r="R90" s="11">
        <f ca="1">(Q90*DATOSAÑO!$Z$11)/DATOSAÑO!$Y$11</f>
        <v>3.0271352571142609</v>
      </c>
      <c r="S90" s="9">
        <f ca="1">DATOSAÑO!AF89</f>
        <v>144</v>
      </c>
      <c r="T90" s="11">
        <f ca="1">(S90*DATOSAÑO!$Z$11)/DATOSAÑO!$Y$11</f>
        <v>2.5946873632407947</v>
      </c>
      <c r="U90" s="9">
        <f ca="1">DATOSAÑO!AH89</f>
        <v>11.5</v>
      </c>
      <c r="V90" s="11">
        <f ca="1">(U90*DATOSAÑO!$Z$11)/DATOSAÑO!$Y$11</f>
        <v>0.20721461581436901</v>
      </c>
      <c r="W90" s="9">
        <f ca="1">DATOSAÑO!AI89</f>
        <v>41.599999999998545</v>
      </c>
      <c r="X90" s="11">
        <f ca="1">(W90*DATOSAÑO!$Z$11)/DATOSAÑO!$Y$11</f>
        <v>0.74957634938064788</v>
      </c>
      <c r="Y90" s="9">
        <f ca="1">DATOSAÑO!AJ89</f>
        <v>8.8000000000029104</v>
      </c>
      <c r="Z90" s="11">
        <f ca="1">(Y90*DATOSAÑO!$Z$11)/DATOSAÑO!$Y$11</f>
        <v>0.15856422775365658</v>
      </c>
      <c r="AA90" s="9">
        <f ca="1">DATOSAÑO!AK89</f>
        <v>16.199999999982538</v>
      </c>
      <c r="AB90" s="11">
        <f ca="1">(AA90*DATOSAÑO!$Z$11)/DATOSAÑO!$Y$11</f>
        <v>0.29190232836427477</v>
      </c>
      <c r="AC90" s="9">
        <f ca="1">DATOSAÑO!AL89</f>
        <v>35.500000000014552</v>
      </c>
      <c r="AD90" s="11">
        <f ca="1">(AC90*DATOSAÑO!$Z$11)/DATOSAÑO!$Y$11</f>
        <v>0.63966250968809713</v>
      </c>
      <c r="AE90" s="9">
        <f ca="1">DATOSAÑO!AM89</f>
        <v>10.622000000002924</v>
      </c>
      <c r="AF90" s="11">
        <f ca="1">(AE90*DATOSAÑO!$Z$11)/DATOSAÑO!$Y$11</f>
        <v>0.19139423036355074</v>
      </c>
      <c r="AG90" s="9">
        <f ca="1">DATOSAÑO!AN89</f>
        <v>2.9349999999996363</v>
      </c>
      <c r="AH90" s="11">
        <f ca="1">(AG90*DATOSAÑO!$Z$11)/DATOSAÑO!$Y$11</f>
        <v>5.2884773688269375E-2</v>
      </c>
      <c r="AI90" s="9">
        <f ca="1">DATOSAÑO!BJ89</f>
        <v>2.2000000000000002</v>
      </c>
      <c r="AJ90" s="11">
        <f ca="1">(AI90*DATOSAÑO!$Z$11)/DATOSAÑO!$Y$11</f>
        <v>3.9641056938401038E-2</v>
      </c>
      <c r="AK90" s="9">
        <f ca="1">DATOSAÑO!BM89</f>
        <v>5.9779999999999998</v>
      </c>
      <c r="AL90" s="11">
        <f ca="1">(AK90*DATOSAÑO!$Z$11)/DATOSAÑO!$Y$11</f>
        <v>0.10771556289898244</v>
      </c>
      <c r="AM90" s="9">
        <f ca="1">DATOSAÑO!BP89</f>
        <v>0</v>
      </c>
      <c r="AN90" s="11">
        <f ca="1">(AM90*DATOSAÑO!$Z$11)/DATOSAÑO!$Y$11</f>
        <v>0</v>
      </c>
      <c r="AO90" s="9">
        <f ca="1">DATOSAÑO!BW89</f>
        <v>12.51100000000037</v>
      </c>
      <c r="AP90" s="11">
        <f ca="1">(AO90*DATOSAÑO!$Z$11)/DATOSAÑO!$Y$11</f>
        <v>0.22543148334379545</v>
      </c>
      <c r="AQ90" s="9">
        <f ca="1">DATOSAÑO!CC89</f>
        <v>2.6389999999998546</v>
      </c>
      <c r="AR90" s="1348">
        <f ca="1">(AQ90*DATOSAÑO!$Z$11)/DATOSAÑO!$Y$11</f>
        <v>4.7551249663833894E-2</v>
      </c>
      <c r="AS90" s="1384">
        <f t="shared" si="5"/>
        <v>12</v>
      </c>
    </row>
    <row r="91" spans="1:45">
      <c r="A91" s="1408">
        <v>45006</v>
      </c>
      <c r="B91" s="1869">
        <v>45006</v>
      </c>
      <c r="C91" s="9">
        <f ca="1">DATOSAÑO!I90</f>
        <v>303</v>
      </c>
      <c r="D91" s="10">
        <f ca="1">DATOSAÑO!$D90</f>
        <v>4.9471834077306731</v>
      </c>
      <c r="E91" s="11">
        <f ca="1">DATOSAÑO!$G90</f>
        <v>0</v>
      </c>
      <c r="F91" s="9">
        <f ca="1">DATOSAÑO!P90</f>
        <v>154</v>
      </c>
      <c r="G91" s="10">
        <f ca="1">DATOSAÑO!K90</f>
        <v>3.7321460012468828</v>
      </c>
      <c r="H91" s="11">
        <f ca="1">DATOSAÑO!N90</f>
        <v>0</v>
      </c>
      <c r="I91" s="9">
        <f ca="1">DATOSAÑO!Q90</f>
        <v>0.2419999999999618</v>
      </c>
      <c r="J91" s="11">
        <f ca="1">DATOSAÑO!R90</f>
        <v>29.039999999995416</v>
      </c>
      <c r="K91" s="9">
        <f ca="1">DATOSAÑO!T90</f>
        <v>0.31100000000003547</v>
      </c>
      <c r="L91" s="11">
        <f t="shared" ca="1" si="3"/>
        <v>37.320000000004256</v>
      </c>
      <c r="M91" s="9"/>
      <c r="N91" s="11">
        <f t="shared" si="4"/>
        <v>0</v>
      </c>
      <c r="O91" s="9">
        <f>DATOSAÑO!CK90</f>
        <v>0.2</v>
      </c>
      <c r="P91" s="9">
        <f>DATOSAÑO!CL90</f>
        <v>0.3</v>
      </c>
      <c r="Q91" s="9">
        <f ca="1">DATOSAÑO!AD90</f>
        <v>170</v>
      </c>
      <c r="R91" s="11">
        <f ca="1">(Q91*DATOSAÑO!$Z$11)/DATOSAÑO!$Y$11</f>
        <v>3.0631725816037165</v>
      </c>
      <c r="S91" s="9">
        <f ca="1">DATOSAÑO!AF90</f>
        <v>149</v>
      </c>
      <c r="T91" s="11">
        <f ca="1">(S91*DATOSAÑO!$Z$11)/DATOSAÑO!$Y$11</f>
        <v>2.6847806744644336</v>
      </c>
      <c r="U91" s="9">
        <f ca="1">DATOSAÑO!AH90</f>
        <v>11.399999999994179</v>
      </c>
      <c r="V91" s="11">
        <f ca="1">(U91*DATOSAÑO!$Z$11)/DATOSAÑO!$Y$11</f>
        <v>0.20541274958979139</v>
      </c>
      <c r="W91" s="9">
        <f ca="1">DATOSAÑO!AI90</f>
        <v>43.600000000005821</v>
      </c>
      <c r="X91" s="11">
        <f ca="1">(W91*DATOSAÑO!$Z$11)/DATOSAÑO!$Y$11</f>
        <v>0.78561367387023451</v>
      </c>
      <c r="Y91" s="9">
        <f ca="1">DATOSAÑO!AJ90</f>
        <v>8.5</v>
      </c>
      <c r="Z91" s="11">
        <f ca="1">(Y91*DATOSAÑO!$Z$11)/DATOSAÑO!$Y$11</f>
        <v>0.15315862908018582</v>
      </c>
      <c r="AA91" s="9">
        <f ca="1">DATOSAÑO!AK90</f>
        <v>16.5</v>
      </c>
      <c r="AB91" s="11">
        <f ca="1">(AA91*DATOSAÑO!$Z$11)/DATOSAÑO!$Y$11</f>
        <v>0.29730792703800774</v>
      </c>
      <c r="AC91" s="9">
        <f ca="1">DATOSAÑO!AL90</f>
        <v>31.052999999999884</v>
      </c>
      <c r="AD91" s="11">
        <f ca="1">(AC91*DATOSAÑO!$Z$11)/DATOSAÑO!$Y$11</f>
        <v>0.55953351868552847</v>
      </c>
      <c r="AE91" s="9">
        <f ca="1">DATOSAÑO!AM90</f>
        <v>7.8379999999991137</v>
      </c>
      <c r="AF91" s="11">
        <f ca="1">(AE91*DATOSAÑO!$Z$11)/DATOSAÑO!$Y$11</f>
        <v>0.14123027467416008</v>
      </c>
      <c r="AG91" s="9">
        <f ca="1">DATOSAÑO!AN90</f>
        <v>2.5640000000008927</v>
      </c>
      <c r="AH91" s="11">
        <f ca="1">(AG91*DATOSAÑO!$Z$11)/DATOSAÑO!$Y$11</f>
        <v>4.6199849995498019E-2</v>
      </c>
      <c r="AI91" s="9">
        <f ca="1">DATOSAÑO!BJ90</f>
        <v>2.1</v>
      </c>
      <c r="AJ91" s="11">
        <f ca="1">(AI91*DATOSAÑO!$Z$11)/DATOSAÑO!$Y$11</f>
        <v>3.7839190713928265E-2</v>
      </c>
      <c r="AK91" s="9">
        <f ca="1">DATOSAÑO!BM90</f>
        <v>6.0119999999999996</v>
      </c>
      <c r="AL91" s="11">
        <f ca="1">(AK91*DATOSAÑO!$Z$11)/DATOSAÑO!$Y$11</f>
        <v>0.10832819741530318</v>
      </c>
      <c r="AM91" s="9">
        <f ca="1">DATOSAÑO!BP90</f>
        <v>0</v>
      </c>
      <c r="AN91" s="11">
        <f ca="1">(AM91*DATOSAÑO!$Z$11)/DATOSAÑO!$Y$11</f>
        <v>0</v>
      </c>
      <c r="AO91" s="9">
        <f ca="1">DATOSAÑO!BW90</f>
        <v>11.418999999999556</v>
      </c>
      <c r="AP91" s="11">
        <f ca="1">(AO91*DATOSAÑO!$Z$11)/DATOSAÑO!$Y$11</f>
        <v>0.20575510417253812</v>
      </c>
      <c r="AQ91" s="9">
        <f ca="1">DATOSAÑO!CC90</f>
        <v>2.5116000000003571</v>
      </c>
      <c r="AR91" s="1348">
        <f ca="1">(AQ91*DATOSAÑO!$Z$11)/DATOSAÑO!$Y$11</f>
        <v>4.5255672093864628E-2</v>
      </c>
      <c r="AS91" s="1384">
        <f t="shared" si="5"/>
        <v>12</v>
      </c>
    </row>
    <row r="92" spans="1:45" ht="16.5" customHeight="1">
      <c r="A92" s="1408">
        <v>45007</v>
      </c>
      <c r="B92" s="1869">
        <v>45007</v>
      </c>
      <c r="C92" s="9">
        <f ca="1">DATOSAÑO!I91</f>
        <v>298</v>
      </c>
      <c r="D92" s="10">
        <f ca="1">DATOSAÑO!$D91</f>
        <v>4.9064103403990025</v>
      </c>
      <c r="E92" s="11">
        <f ca="1">DATOSAÑO!$G91</f>
        <v>0</v>
      </c>
      <c r="F92" s="9">
        <f ca="1">DATOSAÑO!P91</f>
        <v>154</v>
      </c>
      <c r="G92" s="10">
        <f ca="1">DATOSAÑO!K91</f>
        <v>3.7321460012468828</v>
      </c>
      <c r="H92" s="11">
        <f ca="1">DATOSAÑO!N91</f>
        <v>0</v>
      </c>
      <c r="I92" s="9">
        <f ca="1">DATOSAÑO!Q91</f>
        <v>0</v>
      </c>
      <c r="J92" s="11">
        <f ca="1">DATOSAÑO!R91</f>
        <v>0</v>
      </c>
      <c r="K92" s="9">
        <f ca="1">DATOSAÑO!T91</f>
        <v>0</v>
      </c>
      <c r="L92" s="11">
        <f t="shared" ca="1" si="3"/>
        <v>0</v>
      </c>
      <c r="M92" s="9"/>
      <c r="N92" s="11">
        <f t="shared" si="4"/>
        <v>0</v>
      </c>
      <c r="O92" s="9">
        <f>DATOSAÑO!CK91</f>
        <v>0</v>
      </c>
      <c r="P92" s="9">
        <f>DATOSAÑO!CL91</f>
        <v>0</v>
      </c>
      <c r="Q92" s="9">
        <f ca="1">DATOSAÑO!AD91</f>
        <v>166</v>
      </c>
      <c r="R92" s="11">
        <f ca="1">(Q92*DATOSAÑO!$Z$11)/DATOSAÑO!$Y$11</f>
        <v>2.9910979326248053</v>
      </c>
      <c r="S92" s="9">
        <f ca="1">DATOSAÑO!AF91</f>
        <v>139</v>
      </c>
      <c r="T92" s="11">
        <f ca="1">(S92*DATOSAÑO!$Z$11)/DATOSAÑO!$Y$11</f>
        <v>2.5045940520171563</v>
      </c>
      <c r="U92" s="9">
        <f ca="1">DATOSAÑO!AH91</f>
        <v>14.100000000005821</v>
      </c>
      <c r="V92" s="11">
        <f ca="1">(U92*DATOSAÑO!$Z$11)/DATOSAÑO!$Y$11</f>
        <v>0.25406313765076605</v>
      </c>
      <c r="W92" s="9">
        <f ca="1">DATOSAÑO!AI91</f>
        <v>39.19999999999709</v>
      </c>
      <c r="X92" s="11">
        <f ca="1">(W92*DATOSAÑO!$Z$11)/DATOSAÑO!$Y$11</f>
        <v>0.70633155999327502</v>
      </c>
      <c r="Y92" s="9">
        <f ca="1">DATOSAÑO!AJ91</f>
        <v>8</v>
      </c>
      <c r="Z92" s="11">
        <f ca="1">(Y92*DATOSAÑO!$Z$11)/DATOSAÑO!$Y$11</f>
        <v>0.14414929795782194</v>
      </c>
      <c r="AA92" s="9">
        <f ca="1">DATOSAÑO!AK91</f>
        <v>15.700000000011642</v>
      </c>
      <c r="AB92" s="11">
        <f ca="1">(AA92*DATOSAÑO!$Z$11)/DATOSAÑO!$Y$11</f>
        <v>0.28289299724243533</v>
      </c>
      <c r="AC92" s="9">
        <f ca="1">DATOSAÑO!AL91</f>
        <v>39.699999999986233</v>
      </c>
      <c r="AD92" s="11">
        <f ca="1">(AC92*DATOSAÑO!$Z$11)/DATOSAÑO!$Y$11</f>
        <v>0.7153408911154433</v>
      </c>
      <c r="AE92" s="9">
        <f ca="1">DATOSAÑO!AM91</f>
        <v>11.434999999998739</v>
      </c>
      <c r="AF92" s="11">
        <f ca="1">(AE92*DATOSAÑO!$Z$11)/DATOSAÑO!$Y$11</f>
        <v>0.20604340276843902</v>
      </c>
      <c r="AG92" s="9">
        <f ca="1">DATOSAÑO!AN91</f>
        <v>2.3209999999998181</v>
      </c>
      <c r="AH92" s="11">
        <f ca="1">(AG92*DATOSAÑO!$Z$11)/DATOSAÑO!$Y$11</f>
        <v>4.1821315070009815E-2</v>
      </c>
      <c r="AI92" s="9">
        <f ca="1">DATOSAÑO!BJ91</f>
        <v>2.2000000000000002</v>
      </c>
      <c r="AJ92" s="11">
        <f ca="1">(AI92*DATOSAÑO!$Z$11)/DATOSAÑO!$Y$11</f>
        <v>3.9641056938401038E-2</v>
      </c>
      <c r="AK92" s="9">
        <f ca="1">DATOSAÑO!BM91</f>
        <v>5.7649999999999997</v>
      </c>
      <c r="AL92" s="11">
        <f ca="1">(AK92*DATOSAÑO!$Z$11)/DATOSAÑO!$Y$11</f>
        <v>0.10387758784085542</v>
      </c>
      <c r="AM92" s="9">
        <f ca="1">DATOSAÑO!BP91</f>
        <v>0</v>
      </c>
      <c r="AN92" s="11">
        <f ca="1">(AM92*DATOSAÑO!$Z$11)/DATOSAÑO!$Y$11</f>
        <v>0</v>
      </c>
      <c r="AO92" s="9">
        <f ca="1">DATOSAÑO!BW91</f>
        <v>12.917500000000096</v>
      </c>
      <c r="AP92" s="11">
        <f ca="1">(AO92*DATOSAÑO!$Z$11)/DATOSAÑO!$Y$11</f>
        <v>0.23275606954627234</v>
      </c>
      <c r="AQ92" s="9">
        <f ca="1">DATOSAÑO!CC91</f>
        <v>2.3073999999999275</v>
      </c>
      <c r="AR92" s="1348">
        <f ca="1">(AQ92*DATOSAÑO!$Z$11)/DATOSAÑO!$Y$11</f>
        <v>4.1576261263483481E-2</v>
      </c>
      <c r="AS92" s="1384">
        <f t="shared" si="5"/>
        <v>12</v>
      </c>
    </row>
    <row r="93" spans="1:45">
      <c r="A93" s="1408">
        <v>45008</v>
      </c>
      <c r="B93" s="1869">
        <v>45008</v>
      </c>
      <c r="C93" s="9">
        <f ca="1">DATOSAÑO!I92</f>
        <v>300</v>
      </c>
      <c r="D93" s="10">
        <f ca="1">DATOSAÑO!$D92</f>
        <v>4.9227195673316713</v>
      </c>
      <c r="E93" s="11">
        <f ca="1">DATOSAÑO!$G92</f>
        <v>0</v>
      </c>
      <c r="F93" s="9">
        <f ca="1">DATOSAÑO!P92</f>
        <v>149</v>
      </c>
      <c r="G93" s="10">
        <f ca="1">DATOSAÑO!K92</f>
        <v>3.6913729339152122</v>
      </c>
      <c r="H93" s="11">
        <f ca="1">DATOSAÑO!N92</f>
        <v>0</v>
      </c>
      <c r="I93" s="9">
        <f ca="1">DATOSAÑO!Q92</f>
        <v>0</v>
      </c>
      <c r="J93" s="11">
        <f ca="1">DATOSAÑO!R92</f>
        <v>0</v>
      </c>
      <c r="K93" s="9">
        <f ca="1">DATOSAÑO!T92</f>
        <v>0</v>
      </c>
      <c r="L93" s="11">
        <f t="shared" ca="1" si="3"/>
        <v>0</v>
      </c>
      <c r="M93" s="9"/>
      <c r="N93" s="11">
        <f t="shared" si="4"/>
        <v>0</v>
      </c>
      <c r="O93" s="9">
        <f>DATOSAÑO!CK92</f>
        <v>0</v>
      </c>
      <c r="P93" s="9">
        <f>DATOSAÑO!CL92</f>
        <v>0</v>
      </c>
      <c r="Q93" s="9">
        <f ca="1">DATOSAÑO!AD92</f>
        <v>170</v>
      </c>
      <c r="R93" s="11">
        <f ca="1">(Q93*DATOSAÑO!$Z$11)/DATOSAÑO!$Y$11</f>
        <v>3.0631725816037165</v>
      </c>
      <c r="S93" s="9">
        <f ca="1">DATOSAÑO!AF92</f>
        <v>143</v>
      </c>
      <c r="T93" s="11">
        <f ca="1">(S93*DATOSAÑO!$Z$11)/DATOSAÑO!$Y$11</f>
        <v>2.5766687009960672</v>
      </c>
      <c r="U93" s="9">
        <f ca="1">DATOSAÑO!AH92</f>
        <v>11.599999999998545</v>
      </c>
      <c r="V93" s="11">
        <f ca="1">(U93*DATOSAÑO!$Z$11)/DATOSAÑO!$Y$11</f>
        <v>0.20901648203881559</v>
      </c>
      <c r="W93" s="9">
        <f ca="1">DATOSAÑO!AI92</f>
        <v>39.30000000000291</v>
      </c>
      <c r="X93" s="11">
        <f ca="1">(W93*DATOSAÑO!$Z$11)/DATOSAÑO!$Y$11</f>
        <v>0.7081334262178528</v>
      </c>
      <c r="Y93" s="9">
        <f ca="1">DATOSAÑO!AJ92</f>
        <v>8.3000000000029104</v>
      </c>
      <c r="Z93" s="11">
        <f ca="1">(Y93*DATOSAÑO!$Z$11)/DATOSAÑO!$Y$11</f>
        <v>0.14955489663129271</v>
      </c>
      <c r="AA93" s="9">
        <f ca="1">DATOSAÑO!AK92</f>
        <v>15.399999999994179</v>
      </c>
      <c r="AB93" s="11">
        <f ca="1">(AA93*DATOSAÑO!$Z$11)/DATOSAÑO!$Y$11</f>
        <v>0.27748739856870236</v>
      </c>
      <c r="AC93" s="9">
        <f ca="1">DATOSAÑO!AL92</f>
        <v>32.300000000002854</v>
      </c>
      <c r="AD93" s="11">
        <f ca="1">(AC93*DATOSAÑO!$Z$11)/DATOSAÑO!$Y$11</f>
        <v>0.58200279050475745</v>
      </c>
      <c r="AE93" s="9">
        <f ca="1">DATOSAÑO!AM92</f>
        <v>9.7559999999984548</v>
      </c>
      <c r="AF93" s="11">
        <f ca="1">(AE93*DATOSAÑO!$Z$11)/DATOSAÑO!$Y$11</f>
        <v>0.17579006885953602</v>
      </c>
      <c r="AG93" s="9">
        <f ca="1">DATOSAÑO!AN92</f>
        <v>2.4049999999997271</v>
      </c>
      <c r="AH93" s="11">
        <f ca="1">(AG93*DATOSAÑO!$Z$11)/DATOSAÑO!$Y$11</f>
        <v>4.3334882698565308E-2</v>
      </c>
      <c r="AI93" s="9">
        <f ca="1">DATOSAÑO!BJ92</f>
        <v>2</v>
      </c>
      <c r="AJ93" s="11">
        <f ca="1">(AI93*DATOSAÑO!$Z$11)/DATOSAÑO!$Y$11</f>
        <v>3.6037324489455486E-2</v>
      </c>
      <c r="AK93" s="9">
        <f ca="1">DATOSAÑO!BM92</f>
        <v>5.944</v>
      </c>
      <c r="AL93" s="11">
        <f ca="1">(AK93*DATOSAÑO!$Z$11)/DATOSAÑO!$Y$11</f>
        <v>0.10710292838266169</v>
      </c>
      <c r="AM93" s="9">
        <f ca="1">DATOSAÑO!BP92</f>
        <v>0</v>
      </c>
      <c r="AN93" s="11">
        <f ca="1">(AM93*DATOSAÑO!$Z$11)/DATOSAÑO!$Y$11</f>
        <v>0</v>
      </c>
      <c r="AO93" s="9">
        <f ca="1">DATOSAÑO!BW92</f>
        <v>12.477999999999591</v>
      </c>
      <c r="AP93" s="11">
        <f ca="1">(AO93*DATOSAÑO!$Z$11)/DATOSAÑO!$Y$11</f>
        <v>0.22483686748970538</v>
      </c>
      <c r="AQ93" s="9">
        <f ca="1">DATOSAÑO!CC92</f>
        <v>2.356999999999891</v>
      </c>
      <c r="AR93" s="1348">
        <f ca="1">(AQ93*DATOSAÑO!$Z$11)/DATOSAÑO!$Y$11</f>
        <v>4.2469986910821322E-2</v>
      </c>
      <c r="AS93" s="1384">
        <f t="shared" si="5"/>
        <v>12</v>
      </c>
    </row>
    <row r="94" spans="1:45" ht="16.5" customHeight="1">
      <c r="A94" s="1408">
        <v>45009</v>
      </c>
      <c r="B94" s="1869">
        <v>45009</v>
      </c>
      <c r="C94" s="9">
        <f ca="1">DATOSAÑO!I93</f>
        <v>299</v>
      </c>
      <c r="D94" s="10">
        <f ca="1">DATOSAÑO!$D93</f>
        <v>4.9145649538653373</v>
      </c>
      <c r="E94" s="11">
        <f ca="1">DATOSAÑO!$G93</f>
        <v>0</v>
      </c>
      <c r="F94" s="9">
        <f ca="1">DATOSAÑO!P93</f>
        <v>146</v>
      </c>
      <c r="G94" s="10">
        <f ca="1">DATOSAÑO!K93</f>
        <v>3.6669090935162094</v>
      </c>
      <c r="H94" s="11">
        <f ca="1">DATOSAÑO!N93</f>
        <v>0</v>
      </c>
      <c r="I94" s="9">
        <f ca="1">DATOSAÑO!Q93</f>
        <v>0</v>
      </c>
      <c r="J94" s="11">
        <f ca="1">DATOSAÑO!R93</f>
        <v>0</v>
      </c>
      <c r="K94" s="9">
        <f ca="1">DATOSAÑO!T93</f>
        <v>0</v>
      </c>
      <c r="L94" s="11">
        <f t="shared" ca="1" si="3"/>
        <v>0</v>
      </c>
      <c r="M94" s="9"/>
      <c r="N94" s="11">
        <f t="shared" si="4"/>
        <v>0</v>
      </c>
      <c r="O94" s="9">
        <f>DATOSAÑO!CK93</f>
        <v>0</v>
      </c>
      <c r="P94" s="9">
        <f>DATOSAÑO!CL93</f>
        <v>0</v>
      </c>
      <c r="Q94" s="9">
        <f ca="1">DATOSAÑO!AD93</f>
        <v>168</v>
      </c>
      <c r="R94" s="11">
        <f ca="1">(Q94*DATOSAÑO!$Z$11)/DATOSAÑO!$Y$11</f>
        <v>3.0271352571142609</v>
      </c>
      <c r="S94" s="9">
        <f ca="1">DATOSAÑO!AF93</f>
        <v>146</v>
      </c>
      <c r="T94" s="11">
        <f ca="1">(S94*DATOSAÑO!$Z$11)/DATOSAÑO!$Y$11</f>
        <v>2.6307246877302504</v>
      </c>
      <c r="U94" s="9">
        <f ca="1">DATOSAÑO!AH93</f>
        <v>4.2999999999956344</v>
      </c>
      <c r="V94" s="11">
        <f ca="1">(U94*DATOSAÑO!$Z$11)/DATOSAÑO!$Y$11</f>
        <v>7.7480247652250617E-2</v>
      </c>
      <c r="W94" s="9">
        <f ca="1">DATOSAÑO!AI93</f>
        <v>40.299999999995634</v>
      </c>
      <c r="X94" s="11">
        <f ca="1">(W94*DATOSAÑO!$Z$11)/DATOSAÑO!$Y$11</f>
        <v>0.72615208846244927</v>
      </c>
      <c r="Y94" s="9">
        <f ca="1">DATOSAÑO!AJ93</f>
        <v>8.3000000000029104</v>
      </c>
      <c r="Z94" s="11">
        <f ca="1">(Y94*DATOSAÑO!$Z$11)/DATOSAÑO!$Y$11</f>
        <v>0.14955489663129271</v>
      </c>
      <c r="AA94" s="9">
        <f ca="1">DATOSAÑO!AK93</f>
        <v>14.200000000011642</v>
      </c>
      <c r="AB94" s="11">
        <f ca="1">(AA94*DATOSAÑO!$Z$11)/DATOSAÑO!$Y$11</f>
        <v>0.25586500387534372</v>
      </c>
      <c r="AC94" s="9">
        <f ca="1">DATOSAÑO!AL93</f>
        <v>34.699999999993452</v>
      </c>
      <c r="AD94" s="11">
        <f ca="1">(AC94*DATOSAÑO!$Z$11)/DATOSAÑO!$Y$11</f>
        <v>0.62524757989193469</v>
      </c>
      <c r="AE94" s="9">
        <f ca="1">DATOSAÑO!AM93</f>
        <v>9.8540000000025465</v>
      </c>
      <c r="AF94" s="11">
        <f ca="1">(AE94*DATOSAÑO!$Z$11)/DATOSAÑO!$Y$11</f>
        <v>0.17755589775959307</v>
      </c>
      <c r="AG94" s="9">
        <f ca="1">DATOSAÑO!AN93</f>
        <v>2.4879999999996363</v>
      </c>
      <c r="AH94" s="11">
        <f ca="1">(AG94*DATOSAÑO!$Z$11)/DATOSAÑO!$Y$11</f>
        <v>4.4830431664876068E-2</v>
      </c>
      <c r="AI94" s="9">
        <f ca="1">DATOSAÑO!BJ93</f>
        <v>2</v>
      </c>
      <c r="AJ94" s="11">
        <f ca="1">(AI94*DATOSAÑO!$Z$11)/DATOSAÑO!$Y$11</f>
        <v>3.6037324489455486E-2</v>
      </c>
      <c r="AK94" s="9">
        <f ca="1">DATOSAÑO!BM93</f>
        <v>5.8460000000000001</v>
      </c>
      <c r="AL94" s="11">
        <f ca="1">(AK94*DATOSAÑO!$Z$11)/DATOSAÑO!$Y$11</f>
        <v>0.10533709948267837</v>
      </c>
      <c r="AM94" s="9">
        <f ca="1">DATOSAÑO!BP93</f>
        <v>0</v>
      </c>
      <c r="AN94" s="11">
        <f ca="1">(AM94*DATOSAÑO!$Z$11)/DATOSAÑO!$Y$11</f>
        <v>0</v>
      </c>
      <c r="AO94" s="9">
        <f ca="1">DATOSAÑO!BW93</f>
        <v>12.526999999999818</v>
      </c>
      <c r="AP94" s="11">
        <f ca="1">(AO94*DATOSAÑO!$Z$11)/DATOSAÑO!$Y$11</f>
        <v>0.22571978193970116</v>
      </c>
      <c r="AQ94" s="9">
        <f ca="1">DATOSAÑO!CC93</f>
        <v>2.4071999999998543</v>
      </c>
      <c r="AR94" s="1348">
        <f ca="1">(AQ94*DATOSAÑO!$Z$11)/DATOSAÑO!$Y$11</f>
        <v>4.3374523755506003E-2</v>
      </c>
      <c r="AS94" s="1384">
        <f t="shared" si="5"/>
        <v>12</v>
      </c>
    </row>
    <row r="95" spans="1:45">
      <c r="A95" s="1408">
        <v>45010</v>
      </c>
      <c r="B95" s="1869">
        <v>45010</v>
      </c>
      <c r="C95" s="9">
        <f ca="1">DATOSAÑO!I94</f>
        <v>300</v>
      </c>
      <c r="D95" s="10">
        <f ca="1">DATOSAÑO!$D94</f>
        <v>4.9227195673316713</v>
      </c>
      <c r="E95" s="11">
        <f ca="1">DATOSAÑO!$G94</f>
        <v>0</v>
      </c>
      <c r="F95" s="9">
        <f ca="1">DATOSAÑO!P94</f>
        <v>146</v>
      </c>
      <c r="G95" s="10">
        <f ca="1">DATOSAÑO!K94</f>
        <v>3.6669090935162094</v>
      </c>
      <c r="H95" s="11">
        <f ca="1">DATOSAÑO!N94</f>
        <v>0</v>
      </c>
      <c r="I95" s="9">
        <f ca="1">DATOSAÑO!Q94</f>
        <v>0</v>
      </c>
      <c r="J95" s="11">
        <f ca="1">DATOSAÑO!R94</f>
        <v>0</v>
      </c>
      <c r="K95" s="9">
        <f ca="1">DATOSAÑO!T94</f>
        <v>0</v>
      </c>
      <c r="L95" s="11">
        <f t="shared" ca="1" si="3"/>
        <v>0</v>
      </c>
      <c r="M95" s="9"/>
      <c r="N95" s="11">
        <f t="shared" si="4"/>
        <v>0</v>
      </c>
      <c r="O95" s="9">
        <f>DATOSAÑO!CK94</f>
        <v>0</v>
      </c>
      <c r="P95" s="9">
        <f>DATOSAÑO!CL94</f>
        <v>0</v>
      </c>
      <c r="Q95" s="9">
        <f ca="1">DATOSAÑO!AD94</f>
        <v>164</v>
      </c>
      <c r="R95" s="11">
        <f ca="1">(Q95*DATOSAÑO!$Z$11)/DATOSAÑO!$Y$11</f>
        <v>2.9550606081353497</v>
      </c>
      <c r="S95" s="9">
        <f ca="1">DATOSAÑO!AF94</f>
        <v>145</v>
      </c>
      <c r="T95" s="11">
        <f ca="1">(S95*DATOSAÑO!$Z$11)/DATOSAÑO!$Y$11</f>
        <v>2.6127060254855223</v>
      </c>
      <c r="U95" s="9">
        <f ca="1">DATOSAÑO!AH94</f>
        <v>11.100000000005821</v>
      </c>
      <c r="V95" s="11">
        <f ca="1">(U95*DATOSAÑO!$Z$11)/DATOSAÑO!$Y$11</f>
        <v>0.20000715091658283</v>
      </c>
      <c r="W95" s="9">
        <f ca="1">DATOSAÑO!AI94</f>
        <v>40.099999999998545</v>
      </c>
      <c r="X95" s="11">
        <f ca="1">(W95*DATOSAÑO!$Z$11)/DATOSAÑO!$Y$11</f>
        <v>0.72254835601355616</v>
      </c>
      <c r="Y95" s="9">
        <f ca="1">DATOSAÑO!AJ94</f>
        <v>7.6999999999970896</v>
      </c>
      <c r="Z95" s="11">
        <f ca="1">(Y95*DATOSAÑO!$Z$11)/DATOSAÑO!$Y$11</f>
        <v>0.13874369928435118</v>
      </c>
      <c r="AA95" s="9">
        <f ca="1">DATOSAÑO!AK94</f>
        <v>14.5</v>
      </c>
      <c r="AB95" s="11">
        <f ca="1">(AA95*DATOSAÑO!$Z$11)/DATOSAÑO!$Y$11</f>
        <v>0.26127060254855228</v>
      </c>
      <c r="AC95" s="9">
        <f ca="1">DATOSAÑO!AL94</f>
        <v>35.299999999999272</v>
      </c>
      <c r="AD95" s="11">
        <f ca="1">(AC95*DATOSAÑO!$Z$11)/DATOSAÑO!$Y$11</f>
        <v>0.63605877723887616</v>
      </c>
      <c r="AE95" s="9">
        <f ca="1">DATOSAÑO!AM94</f>
        <v>9.6349999999982696</v>
      </c>
      <c r="AF95" s="11">
        <f ca="1">(AE95*DATOSAÑO!$Z$11)/DATOSAÑO!$Y$11</f>
        <v>0.17360981072792062</v>
      </c>
      <c r="AG95" s="9">
        <f ca="1">DATOSAÑO!AN94</f>
        <v>2.394000000000637</v>
      </c>
      <c r="AH95" s="11">
        <f ca="1">(AG95*DATOSAÑO!$Z$11)/DATOSAÑO!$Y$11</f>
        <v>4.3136677413889692E-2</v>
      </c>
      <c r="AI95" s="9">
        <f ca="1">DATOSAÑO!BJ94</f>
        <v>2</v>
      </c>
      <c r="AJ95" s="11">
        <f ca="1">(AI95*DATOSAÑO!$Z$11)/DATOSAÑO!$Y$11</f>
        <v>3.6037324489455486E-2</v>
      </c>
      <c r="AK95" s="9">
        <f ca="1">DATOSAÑO!BM94</f>
        <v>5.7649999999999997</v>
      </c>
      <c r="AL95" s="11">
        <f ca="1">(AK95*DATOSAÑO!$Z$11)/DATOSAÑO!$Y$11</f>
        <v>0.10387758784085542</v>
      </c>
      <c r="AM95" s="9">
        <f ca="1">DATOSAÑO!BP94</f>
        <v>0</v>
      </c>
      <c r="AN95" s="11">
        <f ca="1">(AM95*DATOSAÑO!$Z$11)/DATOSAÑO!$Y$11</f>
        <v>0</v>
      </c>
      <c r="AO95" s="9">
        <f ca="1">DATOSAÑO!BW94</f>
        <v>11.917499999999499</v>
      </c>
      <c r="AP95" s="11">
        <f ca="1">(AO95*DATOSAÑO!$Z$11)/DATOSAÑO!$Y$11</f>
        <v>0.21473740730153387</v>
      </c>
      <c r="AQ95" s="9">
        <f ca="1">DATOSAÑO!CC94</f>
        <v>2.3636000000002548</v>
      </c>
      <c r="AR95" s="1348">
        <f ca="1">(AQ95*DATOSAÑO!$Z$11)/DATOSAÑO!$Y$11</f>
        <v>4.2588910081643082E-2</v>
      </c>
      <c r="AS95" s="1384">
        <f t="shared" si="5"/>
        <v>12</v>
      </c>
    </row>
    <row r="96" spans="1:45" ht="16.5" customHeight="1">
      <c r="A96" s="1408">
        <v>45011</v>
      </c>
      <c r="B96" s="1869">
        <v>45011</v>
      </c>
      <c r="C96" s="9">
        <f ca="1">DATOSAÑO!I95</f>
        <v>296</v>
      </c>
      <c r="D96" s="10">
        <f ca="1">DATOSAÑO!$D95</f>
        <v>4.8901011134663346</v>
      </c>
      <c r="E96" s="11">
        <f ca="1">DATOSAÑO!$G95</f>
        <v>0</v>
      </c>
      <c r="F96" s="9">
        <f ca="1">DATOSAÑO!P95</f>
        <v>146</v>
      </c>
      <c r="G96" s="10">
        <f ca="1">DATOSAÑO!K95</f>
        <v>3.6669090935162094</v>
      </c>
      <c r="H96" s="11">
        <f ca="1">DATOSAÑO!N95</f>
        <v>0</v>
      </c>
      <c r="I96" s="9">
        <f ca="1">DATOSAÑO!Q95</f>
        <v>0</v>
      </c>
      <c r="J96" s="11">
        <f ca="1">DATOSAÑO!R95</f>
        <v>0</v>
      </c>
      <c r="K96" s="9">
        <f ca="1">DATOSAÑO!T95</f>
        <v>0</v>
      </c>
      <c r="L96" s="11">
        <f t="shared" ca="1" si="3"/>
        <v>0</v>
      </c>
      <c r="M96" s="9"/>
      <c r="N96" s="11">
        <f t="shared" si="4"/>
        <v>0</v>
      </c>
      <c r="O96" s="9">
        <f>DATOSAÑO!CK95</f>
        <v>0</v>
      </c>
      <c r="P96" s="9">
        <f>DATOSAÑO!CL95</f>
        <v>0</v>
      </c>
      <c r="Q96" s="9">
        <f ca="1">DATOSAÑO!AD95</f>
        <v>160</v>
      </c>
      <c r="R96" s="11">
        <f ca="1">(Q96*DATOSAÑO!$Z$11)/DATOSAÑO!$Y$11</f>
        <v>2.8829859591564388</v>
      </c>
      <c r="S96" s="9">
        <f ca="1">DATOSAÑO!AF95</f>
        <v>146</v>
      </c>
      <c r="T96" s="11">
        <f ca="1">(S96*DATOSAÑO!$Z$11)/DATOSAÑO!$Y$11</f>
        <v>2.6307246877302504</v>
      </c>
      <c r="U96" s="9">
        <f ca="1">DATOSAÑO!AH95</f>
        <v>8</v>
      </c>
      <c r="V96" s="11">
        <f ca="1">(U96*DATOSAÑO!$Z$11)/DATOSAÑO!$Y$11</f>
        <v>0.14414929795782194</v>
      </c>
      <c r="W96" s="9">
        <f ca="1">DATOSAÑO!AI95</f>
        <v>40.900000000001455</v>
      </c>
      <c r="X96" s="11">
        <f ca="1">(W96*DATOSAÑO!$Z$11)/DATOSAÑO!$Y$11</f>
        <v>0.73696328580939097</v>
      </c>
      <c r="Y96" s="9">
        <f ca="1">DATOSAÑO!AJ95</f>
        <v>8.1000000000058208</v>
      </c>
      <c r="Z96" s="11">
        <f ca="1">(Y96*DATOSAÑO!$Z$11)/DATOSAÑO!$Y$11</f>
        <v>0.14595116418239959</v>
      </c>
      <c r="AA96" s="9">
        <f ca="1">DATOSAÑO!AK95</f>
        <v>14.199999999982538</v>
      </c>
      <c r="AB96" s="11">
        <f ca="1">(AA96*DATOSAÑO!$Z$11)/DATOSAÑO!$Y$11</f>
        <v>0.25586500387481931</v>
      </c>
      <c r="AC96" s="9">
        <f ca="1">DATOSAÑO!AL95</f>
        <v>35.500000000010857</v>
      </c>
      <c r="AD96" s="11">
        <f ca="1">(AC96*DATOSAÑO!$Z$11)/DATOSAÑO!$Y$11</f>
        <v>0.63966250968803051</v>
      </c>
      <c r="AE96" s="9">
        <f ca="1">DATOSAÑO!AM95</f>
        <v>10.921999999998269</v>
      </c>
      <c r="AF96" s="11">
        <f ca="1">(AE96*DATOSAÑO!$Z$11)/DATOSAÑO!$Y$11</f>
        <v>0.1967998290368852</v>
      </c>
      <c r="AG96" s="9">
        <f ca="1">DATOSAÑO!AN95</f>
        <v>2.8060000000002727</v>
      </c>
      <c r="AH96" s="11">
        <f ca="1">(AG96*DATOSAÑO!$Z$11)/DATOSAÑO!$Y$11</f>
        <v>5.0560366258710958E-2</v>
      </c>
      <c r="AI96" s="9">
        <f ca="1">DATOSAÑO!BJ95</f>
        <v>2</v>
      </c>
      <c r="AJ96" s="11">
        <f ca="1">(AI96*DATOSAÑO!$Z$11)/DATOSAÑO!$Y$11</f>
        <v>3.6037324489455486E-2</v>
      </c>
      <c r="AK96" s="9">
        <f ca="1">DATOSAÑO!BM95</f>
        <v>1.524</v>
      </c>
      <c r="AL96" s="11">
        <f ca="1">(AK96*DATOSAÑO!$Z$11)/DATOSAÑO!$Y$11</f>
        <v>2.7460441260965082E-2</v>
      </c>
      <c r="AM96" s="9">
        <f ca="1">DATOSAÑO!BP95</f>
        <v>4.4539999999999997</v>
      </c>
      <c r="AN96" s="11">
        <f ca="1">(AM96*DATOSAÑO!$Z$11)/DATOSAÑO!$Y$11</f>
        <v>8.025512163801736E-2</v>
      </c>
      <c r="AO96" s="9">
        <f ca="1">DATOSAÑO!BW95</f>
        <v>11.660999999999863</v>
      </c>
      <c r="AP96" s="11">
        <f ca="1">(AO96*DATOSAÑO!$Z$11)/DATOSAÑO!$Y$11</f>
        <v>0.21011562043576773</v>
      </c>
      <c r="AQ96" s="9">
        <f ca="1">DATOSAÑO!CC95</f>
        <v>2.5164000000001092</v>
      </c>
      <c r="AR96" s="1348">
        <f ca="1">(AQ96*DATOSAÑO!$Z$11)/DATOSAÑO!$Y$11</f>
        <v>4.5342161672634856E-2</v>
      </c>
      <c r="AS96" s="1384">
        <f t="shared" si="5"/>
        <v>13</v>
      </c>
    </row>
    <row r="97" spans="1:45">
      <c r="A97" s="1408">
        <v>45012</v>
      </c>
      <c r="B97" s="1869">
        <v>45012</v>
      </c>
      <c r="C97" s="9">
        <f ca="1">DATOSAÑO!I96</f>
        <v>294</v>
      </c>
      <c r="D97" s="10">
        <f ca="1">DATOSAÑO!$D96</f>
        <v>4.8737918865336667</v>
      </c>
      <c r="E97" s="11">
        <f ca="1">DATOSAÑO!$G96</f>
        <v>0</v>
      </c>
      <c r="F97" s="9">
        <f ca="1">DATOSAÑO!P96</f>
        <v>152</v>
      </c>
      <c r="G97" s="10">
        <f ca="1">DATOSAÑO!K96</f>
        <v>3.715836774314214</v>
      </c>
      <c r="H97" s="11">
        <f ca="1">DATOSAÑO!N96</f>
        <v>0</v>
      </c>
      <c r="I97" s="9">
        <f ca="1">DATOSAÑO!Q96</f>
        <v>0.32099999999991269</v>
      </c>
      <c r="J97" s="11">
        <f ca="1">DATOSAÑO!R96</f>
        <v>38.519999999989523</v>
      </c>
      <c r="K97" s="9">
        <f ca="1">DATOSAÑO!T96</f>
        <v>0</v>
      </c>
      <c r="L97" s="11">
        <f t="shared" ca="1" si="3"/>
        <v>0</v>
      </c>
      <c r="M97" s="9"/>
      <c r="N97" s="11">
        <f t="shared" si="4"/>
        <v>0</v>
      </c>
      <c r="O97" s="9">
        <f>DATOSAÑO!CK96</f>
        <v>0.3</v>
      </c>
      <c r="P97" s="9">
        <f>DATOSAÑO!CL96</f>
        <v>0</v>
      </c>
      <c r="Q97" s="9">
        <f ca="1">DATOSAÑO!AD96</f>
        <v>162</v>
      </c>
      <c r="R97" s="11">
        <f ca="1">(Q97*DATOSAÑO!$Z$11)/DATOSAÑO!$Y$11</f>
        <v>2.919023283645894</v>
      </c>
      <c r="S97" s="9">
        <f ca="1">DATOSAÑO!AF96</f>
        <v>146</v>
      </c>
      <c r="T97" s="11">
        <f ca="1">(S97*DATOSAÑO!$Z$11)/DATOSAÑO!$Y$11</f>
        <v>2.6307246877302504</v>
      </c>
      <c r="U97" s="9">
        <f ca="1">DATOSAÑO!AH96</f>
        <v>9</v>
      </c>
      <c r="V97" s="11">
        <f ca="1">(U97*DATOSAÑO!$Z$11)/DATOSAÑO!$Y$11</f>
        <v>0.16216796020254967</v>
      </c>
      <c r="W97" s="9">
        <f ca="1">DATOSAÑO!AI96</f>
        <v>42</v>
      </c>
      <c r="X97" s="11">
        <f ca="1">(W97*DATOSAÑO!$Z$11)/DATOSAÑO!$Y$11</f>
        <v>0.75678381427856523</v>
      </c>
      <c r="Y97" s="9">
        <f ca="1">DATOSAÑO!AJ96</f>
        <v>8</v>
      </c>
      <c r="Z97" s="11">
        <f ca="1">(Y97*DATOSAÑO!$Z$11)/DATOSAÑO!$Y$11</f>
        <v>0.14414929795782194</v>
      </c>
      <c r="AA97" s="9">
        <f ca="1">DATOSAÑO!AK96</f>
        <v>14.200000000011642</v>
      </c>
      <c r="AB97" s="11">
        <f ca="1">(AA97*DATOSAÑO!$Z$11)/DATOSAÑO!$Y$11</f>
        <v>0.25586500387534372</v>
      </c>
      <c r="AC97" s="9">
        <f ca="1">DATOSAÑO!AL96</f>
        <v>36.320999999985361</v>
      </c>
      <c r="AD97" s="11">
        <f ca="1">(AC97*DATOSAÑO!$Z$11)/DATOSAÑO!$Y$11</f>
        <v>0.65445583139049257</v>
      </c>
      <c r="AE97" s="9">
        <f ca="1">DATOSAÑO!AM96</f>
        <v>10.844000000003001</v>
      </c>
      <c r="AF97" s="11">
        <f ca="1">(AE97*DATOSAÑO!$Z$11)/DATOSAÑO!$Y$11</f>
        <v>0.1953943733818817</v>
      </c>
      <c r="AG97" s="9">
        <f ca="1">DATOSAÑO!AN96</f>
        <v>2.6379999999995452</v>
      </c>
      <c r="AH97" s="11">
        <f ca="1">(AG97*DATOSAÑO!$Z$11)/DATOSAÑO!$Y$11</f>
        <v>4.753323100158359E-2</v>
      </c>
      <c r="AI97" s="9">
        <f ca="1">DATOSAÑO!BJ96</f>
        <v>2</v>
      </c>
      <c r="AJ97" s="11">
        <f ca="1">(AI97*DATOSAÑO!$Z$11)/DATOSAÑO!$Y$11</f>
        <v>3.6037324489455486E-2</v>
      </c>
      <c r="AK97" s="9">
        <f ca="1">DATOSAÑO!BM96</f>
        <v>0</v>
      </c>
      <c r="AL97" s="11">
        <f ca="1">(AK97*DATOSAÑO!$Z$11)/DATOSAÑO!$Y$11</f>
        <v>0</v>
      </c>
      <c r="AM97" s="9">
        <f ca="1">DATOSAÑO!BP96</f>
        <v>6.3559999999999999</v>
      </c>
      <c r="AN97" s="11">
        <f ca="1">(AM97*DATOSAÑO!$Z$11)/DATOSAÑO!$Y$11</f>
        <v>0.11452661722748952</v>
      </c>
      <c r="AO97" s="9">
        <f ca="1">DATOSAÑO!BW96</f>
        <v>11.022000000001864</v>
      </c>
      <c r="AP97" s="11">
        <f ca="1">(AO97*DATOSAÑO!$Z$11)/DATOSAÑO!$Y$11</f>
        <v>0.19860169526142274</v>
      </c>
      <c r="AQ97" s="9">
        <f ca="1">DATOSAÑO!CC96</f>
        <v>2.4171999999998182</v>
      </c>
      <c r="AR97" s="1348">
        <f ca="1">(AQ97*DATOSAÑO!$Z$11)/DATOSAÑO!$Y$11</f>
        <v>4.3554710377952624E-2</v>
      </c>
      <c r="AS97" s="1384">
        <f t="shared" si="5"/>
        <v>13</v>
      </c>
    </row>
    <row r="98" spans="1:45" ht="16.5" customHeight="1">
      <c r="A98" s="1408">
        <v>45013</v>
      </c>
      <c r="B98" s="1869">
        <v>45013</v>
      </c>
      <c r="C98" s="9">
        <f ca="1">DATOSAÑO!I97</f>
        <v>297</v>
      </c>
      <c r="D98" s="10">
        <f ca="1">DATOSAÑO!$D97</f>
        <v>4.8982557269326685</v>
      </c>
      <c r="E98" s="11">
        <f ca="1">DATOSAÑO!$G97</f>
        <v>0</v>
      </c>
      <c r="F98" s="9">
        <f ca="1">DATOSAÑO!P97</f>
        <v>147</v>
      </c>
      <c r="G98" s="10">
        <f ca="1">DATOSAÑO!K97</f>
        <v>3.6750637069825434</v>
      </c>
      <c r="H98" s="11">
        <f ca="1">DATOSAÑO!N97</f>
        <v>0</v>
      </c>
      <c r="I98" s="9">
        <f ca="1">DATOSAÑO!Q97</f>
        <v>0</v>
      </c>
      <c r="J98" s="11">
        <f ca="1">DATOSAÑO!R97</f>
        <v>0</v>
      </c>
      <c r="K98" s="9">
        <f ca="1">DATOSAÑO!T97</f>
        <v>0.36199999999996635</v>
      </c>
      <c r="L98" s="11">
        <f t="shared" ca="1" si="3"/>
        <v>43.439999999995962</v>
      </c>
      <c r="M98" s="9"/>
      <c r="N98" s="11">
        <f t="shared" si="4"/>
        <v>0</v>
      </c>
      <c r="O98" s="9">
        <f>DATOSAÑO!CK97</f>
        <v>0</v>
      </c>
      <c r="P98" s="9">
        <f>DATOSAÑO!CL97</f>
        <v>0.4</v>
      </c>
      <c r="Q98" s="9">
        <f ca="1">DATOSAÑO!AD97</f>
        <v>165</v>
      </c>
      <c r="R98" s="11">
        <f ca="1">(Q98*DATOSAÑO!$Z$11)/DATOSAÑO!$Y$11</f>
        <v>2.9730792703800777</v>
      </c>
      <c r="S98" s="9">
        <f ca="1">DATOSAÑO!AF97</f>
        <v>148</v>
      </c>
      <c r="T98" s="11">
        <f ca="1">(S98*DATOSAÑO!$Z$11)/DATOSAÑO!$Y$11</f>
        <v>2.666762012219706</v>
      </c>
      <c r="U98" s="9">
        <f ca="1">DATOSAÑO!AH97</f>
        <v>6.6999999999970896</v>
      </c>
      <c r="V98" s="11">
        <f ca="1">(U98*DATOSAÑO!$Z$11)/DATOSAÑO!$Y$11</f>
        <v>0.12072503703962342</v>
      </c>
      <c r="W98" s="9">
        <f ca="1">DATOSAÑO!AI97</f>
        <v>41.30000000000291</v>
      </c>
      <c r="X98" s="11">
        <f ca="1">(W98*DATOSAÑO!$Z$11)/DATOSAÑO!$Y$11</f>
        <v>0.7441707507073082</v>
      </c>
      <c r="Y98" s="9">
        <f ca="1">DATOSAÑO!AJ97</f>
        <v>7.1999999999970896</v>
      </c>
      <c r="Z98" s="11">
        <f ca="1">(Y98*DATOSAÑO!$Z$11)/DATOSAÑO!$Y$11</f>
        <v>0.1297343681619873</v>
      </c>
      <c r="AA98" s="9">
        <f ca="1">DATOSAÑO!AK97</f>
        <v>13.5</v>
      </c>
      <c r="AB98" s="11">
        <f ca="1">(AA98*DATOSAÑO!$Z$11)/DATOSAÑO!$Y$11</f>
        <v>0.24325194030382452</v>
      </c>
      <c r="AC98" s="9">
        <f ca="1">DATOSAÑO!AL97</f>
        <v>32.062000000004275</v>
      </c>
      <c r="AD98" s="11">
        <f ca="1">(AC98*DATOSAÑO!$Z$11)/DATOSAÑO!$Y$11</f>
        <v>0.57771434889053785</v>
      </c>
      <c r="AE98" s="9">
        <f ca="1">DATOSAÑO!AM97</f>
        <v>11.491999999998908</v>
      </c>
      <c r="AF98" s="11">
        <f ca="1">(AE98*DATOSAÑO!$Z$11)/DATOSAÑO!$Y$11</f>
        <v>0.20707046651639155</v>
      </c>
      <c r="AG98" s="9">
        <f ca="1">DATOSAÑO!AN97</f>
        <v>2.9969999999996362</v>
      </c>
      <c r="AH98" s="11">
        <f ca="1">(AG98*DATOSAÑO!$Z$11)/DATOSAÑO!$Y$11</f>
        <v>5.4001930747442486E-2</v>
      </c>
      <c r="AI98" s="9">
        <f ca="1">DATOSAÑO!BJ97</f>
        <v>1</v>
      </c>
      <c r="AJ98" s="11">
        <f ca="1">(AI98*DATOSAÑO!$Z$11)/DATOSAÑO!$Y$11</f>
        <v>1.8018662244727743E-2</v>
      </c>
      <c r="AK98" s="9">
        <f ca="1">DATOSAÑO!BM97</f>
        <v>3.637</v>
      </c>
      <c r="AL98" s="11">
        <f ca="1">(AK98*DATOSAÑO!$Z$11)/DATOSAÑO!$Y$11</f>
        <v>6.5533874584074794E-2</v>
      </c>
      <c r="AM98" s="9">
        <f ca="1">DATOSAÑO!BP97</f>
        <v>4.5709999999999997</v>
      </c>
      <c r="AN98" s="11">
        <f ca="1">(AM98*DATOSAÑO!$Z$11)/DATOSAÑO!$Y$11</f>
        <v>8.2363305120650515E-2</v>
      </c>
      <c r="AO98" s="9">
        <f ca="1">DATOSAÑO!BW97</f>
        <v>11.245999999999455</v>
      </c>
      <c r="AP98" s="11">
        <f ca="1">(AO98*DATOSAÑO!$Z$11)/DATOSAÑO!$Y$11</f>
        <v>0.20263787560419838</v>
      </c>
      <c r="AQ98" s="9">
        <f ca="1">DATOSAÑO!CC97</f>
        <v>2.6017999999998542</v>
      </c>
      <c r="AR98" s="1348">
        <f ca="1">(AQ98*DATOSAÑO!$Z$11)/DATOSAÑO!$Y$11</f>
        <v>4.6880955428330012E-2</v>
      </c>
      <c r="AS98" s="1384">
        <f t="shared" si="5"/>
        <v>13</v>
      </c>
    </row>
    <row r="99" spans="1:45">
      <c r="A99" s="1408">
        <v>45014</v>
      </c>
      <c r="B99" s="1869">
        <v>45014</v>
      </c>
      <c r="C99" s="9">
        <f ca="1">DATOSAÑO!I98</f>
        <v>295</v>
      </c>
      <c r="D99" s="10">
        <f ca="1">DATOSAÑO!$D98</f>
        <v>4.8819464999999997</v>
      </c>
      <c r="E99" s="11">
        <f ca="1">DATOSAÑO!$G98</f>
        <v>0</v>
      </c>
      <c r="F99" s="9">
        <f ca="1">DATOSAÑO!P98</f>
        <v>151</v>
      </c>
      <c r="G99" s="10">
        <f ca="1">DATOSAÑO!K98</f>
        <v>3.70768216084788</v>
      </c>
      <c r="H99" s="11">
        <f ca="1">DATOSAÑO!N98</f>
        <v>0</v>
      </c>
      <c r="I99" s="9">
        <f ca="1">DATOSAÑO!Q98</f>
        <v>0</v>
      </c>
      <c r="J99" s="11">
        <f ca="1">DATOSAÑO!R98</f>
        <v>0</v>
      </c>
      <c r="K99" s="9">
        <f ca="1">DATOSAÑO!T98</f>
        <v>0</v>
      </c>
      <c r="L99" s="11">
        <f t="shared" ca="1" si="3"/>
        <v>0</v>
      </c>
      <c r="M99" s="9"/>
      <c r="N99" s="11">
        <f t="shared" si="4"/>
        <v>0</v>
      </c>
      <c r="O99" s="9">
        <f>DATOSAÑO!CK98</f>
        <v>0</v>
      </c>
      <c r="P99" s="9">
        <f>DATOSAÑO!CL98</f>
        <v>0</v>
      </c>
      <c r="Q99" s="9">
        <f ca="1">DATOSAÑO!AD98</f>
        <v>163</v>
      </c>
      <c r="R99" s="11">
        <f ca="1">(Q99*DATOSAÑO!$Z$11)/DATOSAÑO!$Y$11</f>
        <v>2.9370419458906221</v>
      </c>
      <c r="S99" s="9">
        <f ca="1">DATOSAÑO!AF98</f>
        <v>148</v>
      </c>
      <c r="T99" s="11">
        <f ca="1">(S99*DATOSAÑO!$Z$11)/DATOSAÑO!$Y$11</f>
        <v>2.666762012219706</v>
      </c>
      <c r="U99" s="9">
        <f ca="1">DATOSAÑO!AH98</f>
        <v>9</v>
      </c>
      <c r="V99" s="11">
        <f ca="1">(U99*DATOSAÑO!$Z$11)/DATOSAÑO!$Y$11</f>
        <v>0.16216796020254967</v>
      </c>
      <c r="W99" s="9">
        <f ca="1">DATOSAÑO!AI98</f>
        <v>40</v>
      </c>
      <c r="X99" s="11">
        <f ca="1">(W99*DATOSAÑO!$Z$11)/DATOSAÑO!$Y$11</f>
        <v>0.72074648978910971</v>
      </c>
      <c r="Y99" s="9">
        <f ca="1">DATOSAÑO!AJ98</f>
        <v>7.5999999999912689</v>
      </c>
      <c r="Z99" s="11">
        <f ca="1">(Y99*DATOSAÑO!$Z$11)/DATOSAÑO!$Y$11</f>
        <v>0.13694183305977353</v>
      </c>
      <c r="AA99" s="9">
        <f ca="1">DATOSAÑO!AK98</f>
        <v>14</v>
      </c>
      <c r="AB99" s="11">
        <f ca="1">(AA99*DATOSAÑO!$Z$11)/DATOSAÑO!$Y$11</f>
        <v>0.25226127142618837</v>
      </c>
      <c r="AC99" s="9">
        <f ca="1">DATOSAÑO!AL98</f>
        <v>36.000000000007333</v>
      </c>
      <c r="AD99" s="11">
        <f ca="1">(AC99*DATOSAÑO!$Z$11)/DATOSAÑO!$Y$11</f>
        <v>0.6486718408103308</v>
      </c>
      <c r="AE99" s="9">
        <f ca="1">DATOSAÑO!AM98</f>
        <v>10.322000000002546</v>
      </c>
      <c r="AF99" s="11">
        <f ca="1">(AE99*DATOSAÑO!$Z$11)/DATOSAÑO!$Y$11</f>
        <v>0.18598863169012564</v>
      </c>
      <c r="AG99" s="9">
        <f ca="1">DATOSAÑO!AN98</f>
        <v>3.231000000000364</v>
      </c>
      <c r="AH99" s="11">
        <f ca="1">(AG99*DATOSAÑO!$Z$11)/DATOSAÑO!$Y$11</f>
        <v>5.8218297712721891E-2</v>
      </c>
      <c r="AI99" s="9">
        <f ca="1">DATOSAÑO!BJ98</f>
        <v>3</v>
      </c>
      <c r="AJ99" s="11">
        <f ca="1">(AI99*DATOSAÑO!$Z$11)/DATOSAÑO!$Y$11</f>
        <v>5.4055986734183228E-2</v>
      </c>
      <c r="AK99" s="9">
        <f ca="1">DATOSAÑO!BM98</f>
        <v>0.151</v>
      </c>
      <c r="AL99" s="11">
        <f ca="1">(AK99*DATOSAÑO!$Z$11)/DATOSAÑO!$Y$11</f>
        <v>2.7208179989538887E-3</v>
      </c>
      <c r="AM99" s="9">
        <f ca="1">DATOSAÑO!BP98</f>
        <v>4.7270000000000003</v>
      </c>
      <c r="AN99" s="11">
        <f ca="1">(AM99*DATOSAÑO!$Z$11)/DATOSAÑO!$Y$11</f>
        <v>8.5174216430828037E-2</v>
      </c>
      <c r="AO99" s="9">
        <f ca="1">DATOSAÑO!BW98</f>
        <v>10.760999999999818</v>
      </c>
      <c r="AP99" s="11">
        <f ca="1">(AO99*DATOSAÑO!$Z$11)/DATOSAÑO!$Y$11</f>
        <v>0.19389882441551196</v>
      </c>
      <c r="AQ99" s="9">
        <f ca="1">DATOSAÑO!CC98</f>
        <v>2.6614000000001456</v>
      </c>
      <c r="AR99" s="1348">
        <f ca="1">(AQ99*DATOSAÑO!$Z$11)/DATOSAÑO!$Y$11</f>
        <v>4.7954867698121038E-2</v>
      </c>
      <c r="AS99" s="1384">
        <f t="shared" si="5"/>
        <v>13</v>
      </c>
    </row>
    <row r="100" spans="1:45" ht="16.5" customHeight="1">
      <c r="A100" s="1408">
        <v>45015</v>
      </c>
      <c r="B100" s="1869">
        <v>45015</v>
      </c>
      <c r="C100" s="9">
        <f ca="1">DATOSAÑO!I99</f>
        <v>285</v>
      </c>
      <c r="D100" s="10">
        <f ca="1">DATOSAÑO!$D99</f>
        <v>4.8004003653366585</v>
      </c>
      <c r="E100" s="11">
        <f ca="1">DATOSAÑO!$G99</f>
        <v>0</v>
      </c>
      <c r="F100" s="9">
        <f ca="1">DATOSAÑO!P99</f>
        <v>145.79999999999927</v>
      </c>
      <c r="G100" s="10">
        <f ca="1">DATOSAÑO!K99</f>
        <v>3.6652781708229365</v>
      </c>
      <c r="H100" s="11">
        <f ca="1">DATOSAÑO!N99</f>
        <v>0</v>
      </c>
      <c r="I100" s="9">
        <f ca="1">DATOSAÑO!Q99</f>
        <v>0</v>
      </c>
      <c r="J100" s="11">
        <f ca="1">DATOSAÑO!R99</f>
        <v>0</v>
      </c>
      <c r="K100" s="9">
        <f ca="1">DATOSAÑO!T99</f>
        <v>0</v>
      </c>
      <c r="L100" s="11">
        <f t="shared" ca="1" si="3"/>
        <v>0</v>
      </c>
      <c r="M100" s="9"/>
      <c r="N100" s="11">
        <f t="shared" si="4"/>
        <v>0</v>
      </c>
      <c r="O100" s="9">
        <f>DATOSAÑO!CK99</f>
        <v>0</v>
      </c>
      <c r="P100" s="9">
        <f>DATOSAÑO!CL99</f>
        <v>0</v>
      </c>
      <c r="Q100" s="9">
        <f ca="1">DATOSAÑO!AD99</f>
        <v>160</v>
      </c>
      <c r="R100" s="11">
        <f ca="1">(Q100*DATOSAÑO!$Z$11)/DATOSAÑO!$Y$11</f>
        <v>2.8829859591564388</v>
      </c>
      <c r="S100" s="9">
        <f ca="1">DATOSAÑO!AF99</f>
        <v>146</v>
      </c>
      <c r="T100" s="11">
        <f ca="1">(S100*DATOSAÑO!$Z$11)/DATOSAÑO!$Y$11</f>
        <v>2.6307246877302504</v>
      </c>
      <c r="U100" s="9">
        <f ca="1">DATOSAÑO!AH99</f>
        <v>0.69999999999708962</v>
      </c>
      <c r="V100" s="11">
        <f ca="1">(U100*DATOSAÑO!$Z$11)/DATOSAÑO!$Y$11</f>
        <v>1.2613063571256978E-2</v>
      </c>
      <c r="W100" s="9">
        <f ca="1">DATOSAÑO!AI99</f>
        <v>39.299999999995634</v>
      </c>
      <c r="X100" s="11">
        <f ca="1">(W100*DATOSAÑO!$Z$11)/DATOSAÑO!$Y$11</f>
        <v>0.70813342621772168</v>
      </c>
      <c r="Y100" s="9">
        <f ca="1">DATOSAÑO!AJ99</f>
        <v>7.9000000000087311</v>
      </c>
      <c r="Z100" s="11">
        <f ca="1">(Y100*DATOSAÑO!$Z$11)/DATOSAÑO!$Y$11</f>
        <v>0.1423474317335065</v>
      </c>
      <c r="AA100" s="9">
        <f ca="1">DATOSAÑO!AK99</f>
        <v>13</v>
      </c>
      <c r="AB100" s="11">
        <f ca="1">(AA100*DATOSAÑO!$Z$11)/DATOSAÑO!$Y$11</f>
        <v>0.23424260918146064</v>
      </c>
      <c r="AC100" s="9">
        <f ca="1">DATOSAÑO!AL99</f>
        <v>35.39999999999776</v>
      </c>
      <c r="AD100" s="11">
        <f ca="1">(AC100*DATOSAÑO!$Z$11)/DATOSAÑO!$Y$11</f>
        <v>0.63786064346332172</v>
      </c>
      <c r="AE100" s="9">
        <f ca="1">DATOSAÑO!AM99</f>
        <v>10.690999999998184</v>
      </c>
      <c r="AF100" s="11">
        <f ca="1">(AE100*DATOSAÑO!$Z$11)/DATOSAÑO!$Y$11</f>
        <v>0.19263751805835158</v>
      </c>
      <c r="AG100" s="9">
        <f ca="1">DATOSAÑO!AN99</f>
        <v>3.2220000000003637</v>
      </c>
      <c r="AH100" s="11">
        <f ca="1">(AG100*DATOSAÑO!$Z$11)/DATOSAÑO!$Y$11</f>
        <v>5.8056129752519336E-2</v>
      </c>
      <c r="AI100" s="9">
        <f ca="1">DATOSAÑO!BJ99</f>
        <v>2.952</v>
      </c>
      <c r="AJ100" s="11">
        <f ca="1">(AI100*DATOSAÑO!$Z$11)/DATOSAÑO!$Y$11</f>
        <v>5.3191090946436294E-2</v>
      </c>
      <c r="AK100" s="9">
        <f ca="1">DATOSAÑO!BM99</f>
        <v>0</v>
      </c>
      <c r="AL100" s="11">
        <f ca="1">(AK100*DATOSAÑO!$Z$11)/DATOSAÑO!$Y$11</f>
        <v>0</v>
      </c>
      <c r="AM100" s="9">
        <f ca="1">DATOSAÑO!BP99</f>
        <v>4.8570000000000002</v>
      </c>
      <c r="AN100" s="11">
        <f ca="1">(AM100*DATOSAÑO!$Z$11)/DATOSAÑO!$Y$11</f>
        <v>8.7516642522642643E-2</v>
      </c>
      <c r="AO100" s="9">
        <f ca="1">DATOSAÑO!BW99</f>
        <v>10.745500000000547</v>
      </c>
      <c r="AP100" s="11">
        <f ca="1">(AO100*DATOSAÑO!$Z$11)/DATOSAÑO!$Y$11</f>
        <v>0.1936195351507318</v>
      </c>
      <c r="AQ100" s="9">
        <f ca="1">DATOSAÑO!CC99</f>
        <v>2.6668000000001455</v>
      </c>
      <c r="AR100" s="1348">
        <f ca="1">(AQ100*DATOSAÑO!$Z$11)/DATOSAÑO!$Y$11</f>
        <v>4.8052168474242561E-2</v>
      </c>
      <c r="AS100" s="1384">
        <f t="shared" si="5"/>
        <v>13</v>
      </c>
    </row>
    <row r="101" spans="1:45" ht="15" thickBot="1">
      <c r="A101" s="1408">
        <v>45016</v>
      </c>
      <c r="B101" s="1870">
        <v>45016</v>
      </c>
      <c r="C101" s="63">
        <f ca="1">DATOSAÑO!I100</f>
        <v>310</v>
      </c>
      <c r="D101" s="64">
        <f ca="1">DATOSAÑO!$D100</f>
        <v>5.0042657019950134</v>
      </c>
      <c r="E101" s="65">
        <f ca="1">DATOSAÑO!$G100</f>
        <v>0</v>
      </c>
      <c r="F101" s="63">
        <f ca="1">DATOSAÑO!P100</f>
        <v>148</v>
      </c>
      <c r="G101" s="64">
        <f ca="1">DATOSAÑO!K100</f>
        <v>3.6832183204488778</v>
      </c>
      <c r="H101" s="65">
        <f ca="1">DATOSAÑO!N100</f>
        <v>0</v>
      </c>
      <c r="I101" s="63">
        <f ca="1">DATOSAÑO!Q100</f>
        <v>0</v>
      </c>
      <c r="J101" s="65">
        <f ca="1">DATOSAÑO!R100</f>
        <v>0</v>
      </c>
      <c r="K101" s="63">
        <f ca="1">DATOSAÑO!T100</f>
        <v>0</v>
      </c>
      <c r="L101" s="65">
        <f t="shared" ca="1" si="3"/>
        <v>0</v>
      </c>
      <c r="M101" s="63"/>
      <c r="N101" s="65">
        <f t="shared" si="4"/>
        <v>0</v>
      </c>
      <c r="O101" s="63">
        <f>DATOSAÑO!CK100</f>
        <v>0</v>
      </c>
      <c r="P101" s="62">
        <f>DATOSAÑO!CL100</f>
        <v>0</v>
      </c>
      <c r="Q101" s="9">
        <f ca="1">DATOSAÑO!AD100</f>
        <v>164</v>
      </c>
      <c r="R101" s="65">
        <f ca="1">(Q101*DATOSAÑO!$Z$11)/DATOSAÑO!$Y$11</f>
        <v>2.9550606081353497</v>
      </c>
      <c r="S101" s="9">
        <f ca="1">DATOSAÑO!AF100</f>
        <v>148</v>
      </c>
      <c r="T101" s="65">
        <f ca="1">(S101*DATOSAÑO!$Z$11)/DATOSAÑO!$Y$11</f>
        <v>2.666762012219706</v>
      </c>
      <c r="U101" s="9">
        <f ca="1">DATOSAÑO!AH100</f>
        <v>16.80000000000291</v>
      </c>
      <c r="V101" s="65">
        <f ca="1">(U101*DATOSAÑO!$Z$11)/DATOSAÑO!$Y$11</f>
        <v>0.30271352571147847</v>
      </c>
      <c r="W101" s="9">
        <f ca="1">DATOSAÑO!AI100</f>
        <v>40</v>
      </c>
      <c r="X101" s="65">
        <f ca="1">(W101*DATOSAÑO!$Z$11)/DATOSAÑO!$Y$11</f>
        <v>0.72074648978910971</v>
      </c>
      <c r="Y101" s="9">
        <f ca="1">DATOSAÑO!AJ100</f>
        <v>7.0999999999912689</v>
      </c>
      <c r="Z101" s="65">
        <f ca="1">(Y101*DATOSAÑO!$Z$11)/DATOSAÑO!$Y$11</f>
        <v>0.12793250193740965</v>
      </c>
      <c r="AA101" s="9">
        <f ca="1">DATOSAÑO!AK100</f>
        <v>6.6000000000058208</v>
      </c>
      <c r="AB101" s="65">
        <f ca="1">(AA101*DATOSAÑO!$Z$11)/DATOSAÑO!$Y$11</f>
        <v>0.11892317081530798</v>
      </c>
      <c r="AC101" s="9">
        <f ca="1">DATOSAÑO!AL100</f>
        <v>44.800000000002854</v>
      </c>
      <c r="AD101" s="65">
        <f ca="1">(AC101*DATOSAÑO!$Z$11)/DATOSAÑO!$Y$11</f>
        <v>0.80723606856385433</v>
      </c>
      <c r="AE101" s="9">
        <f ca="1">DATOSAÑO!AM100</f>
        <v>12.624999999998717</v>
      </c>
      <c r="AF101" s="65">
        <f ca="1">(AE101*DATOSAÑO!$Z$11)/DATOSAÑO!$Y$11</f>
        <v>0.22748561083966462</v>
      </c>
      <c r="AG101" s="63">
        <f ca="1">DATOSAÑO!AN100</f>
        <v>2.7729999999998181</v>
      </c>
      <c r="AH101" s="65">
        <f ca="1">(AG101*DATOSAÑO!$Z$11)/DATOSAÑO!$Y$11</f>
        <v>4.9965750404626752E-2</v>
      </c>
      <c r="AI101" s="63">
        <f ca="1">DATOSAÑO!BJ100</f>
        <v>3.2160000000000002</v>
      </c>
      <c r="AJ101" s="65">
        <f ca="1">(AI101*DATOSAÑO!$Z$11)/DATOSAÑO!$Y$11</f>
        <v>5.7948017779044424E-2</v>
      </c>
      <c r="AK101" s="63">
        <f ca="1">DATOSAÑO!BM100</f>
        <v>0</v>
      </c>
      <c r="AL101" s="65">
        <f ca="1">(AK101*DATOSAÑO!$Z$11)/DATOSAÑO!$Y$11</f>
        <v>0</v>
      </c>
      <c r="AM101" s="63">
        <f ca="1">DATOSAÑO!BP100</f>
        <v>5.0590000000000002</v>
      </c>
      <c r="AN101" s="65">
        <f ca="1">(AM101*DATOSAÑO!$Z$11)/DATOSAÑO!$Y$11</f>
        <v>9.1156412296077655E-2</v>
      </c>
      <c r="AO101" s="63">
        <f ca="1">DATOSAÑO!BW100</f>
        <v>11.912499999997904</v>
      </c>
      <c r="AP101" s="65">
        <f ca="1">(AO101*DATOSAÑO!$Z$11)/DATOSAÑO!$Y$11</f>
        <v>0.21464731399028147</v>
      </c>
      <c r="AQ101" s="63">
        <f ca="1">DATOSAÑO!CC100</f>
        <v>2.5361999999999272</v>
      </c>
      <c r="AR101" s="1109">
        <f ca="1">(AQ101*DATOSAÑO!$Z$11)/DATOSAÑO!$Y$11</f>
        <v>4.5698931185077188E-2</v>
      </c>
      <c r="AS101" s="1385">
        <f t="shared" si="5"/>
        <v>13</v>
      </c>
    </row>
    <row r="102" spans="1:45" ht="16.5" customHeight="1">
      <c r="A102" s="1408">
        <v>45017</v>
      </c>
      <c r="B102" s="1871">
        <v>45017</v>
      </c>
      <c r="C102" s="9">
        <f ca="1">DATOSAÑO!I101</f>
        <v>307</v>
      </c>
      <c r="D102" s="10">
        <f ca="1">DATOSAÑO!$D101</f>
        <v>5.1077563100802248</v>
      </c>
      <c r="E102" s="11">
        <f ca="1">DATOSAÑO!$G101</f>
        <v>0</v>
      </c>
      <c r="F102" s="9">
        <f ca="1">DATOSAÑO!P101</f>
        <v>147.20000000000073</v>
      </c>
      <c r="G102" s="10">
        <f ca="1">DATOSAÑO!K101</f>
        <v>3.7711661461458035</v>
      </c>
      <c r="H102" s="11">
        <f ca="1">DATOSAÑO!N101</f>
        <v>0</v>
      </c>
      <c r="I102" s="9">
        <f ca="1">DATOSAÑO!Q101</f>
        <v>0</v>
      </c>
      <c r="J102" s="11">
        <f ca="1">DATOSAÑO!R101</f>
        <v>0</v>
      </c>
      <c r="K102" s="9">
        <f ca="1">DATOSAÑO!T101</f>
        <v>0</v>
      </c>
      <c r="L102" s="11">
        <f t="shared" ca="1" si="3"/>
        <v>0</v>
      </c>
      <c r="M102" s="9"/>
      <c r="N102" s="11">
        <f t="shared" si="4"/>
        <v>0</v>
      </c>
      <c r="O102" s="9">
        <f>DATOSAÑO!CK101</f>
        <v>0</v>
      </c>
      <c r="P102" s="9">
        <f>DATOSAÑO!CL101</f>
        <v>0</v>
      </c>
      <c r="Q102" s="178">
        <f ca="1">DATOSAÑO!AD101</f>
        <v>166</v>
      </c>
      <c r="R102" s="11">
        <f ca="1">(Q102*DATOSAÑO!$Z$11)/DATOSAÑO!$Y$11</f>
        <v>2.9910979326248053</v>
      </c>
      <c r="S102" s="178">
        <f ca="1">DATOSAÑO!AF101</f>
        <v>153</v>
      </c>
      <c r="T102" s="11">
        <f ca="1">(S102*DATOSAÑO!$Z$11)/DATOSAÑO!$Y$11</f>
        <v>2.7568553234433448</v>
      </c>
      <c r="U102" s="178">
        <f ca="1">DATOSAÑO!AH101</f>
        <v>10.400000000001455</v>
      </c>
      <c r="V102" s="11">
        <f ca="1">(U102*DATOSAÑO!$Z$11)/DATOSAÑO!$Y$11</f>
        <v>0.18739408734519472</v>
      </c>
      <c r="W102" s="178">
        <f ca="1">DATOSAÑO!AI101</f>
        <v>39.100000000005821</v>
      </c>
      <c r="X102" s="11">
        <f ca="1">(W102*DATOSAÑO!$Z$11)/DATOSAÑO!$Y$11</f>
        <v>0.70452969376895958</v>
      </c>
      <c r="Y102" s="178">
        <f ca="1">DATOSAÑO!AJ101</f>
        <v>7</v>
      </c>
      <c r="Z102" s="11">
        <f ca="1">(Y102*DATOSAÑO!$Z$11)/DATOSAÑO!$Y$11</f>
        <v>0.12613063571309419</v>
      </c>
      <c r="AA102" s="178">
        <f ca="1">DATOSAÑO!AK101</f>
        <v>24.399999999994179</v>
      </c>
      <c r="AB102" s="11">
        <f ca="1">(AA102*DATOSAÑO!$Z$11)/DATOSAÑO!$Y$11</f>
        <v>0.43965535877125206</v>
      </c>
      <c r="AC102" s="178">
        <f ca="1">DATOSAÑO!AL101</f>
        <v>24.499999999996362</v>
      </c>
      <c r="AD102" s="11">
        <f ca="1">(AC102*DATOSAÑO!$Z$11)/DATOSAÑO!$Y$11</f>
        <v>0.44145722499576417</v>
      </c>
      <c r="AE102" s="178">
        <f ca="1">DATOSAÑO!AM101</f>
        <v>11.078000000002262</v>
      </c>
      <c r="AF102" s="11">
        <f ca="1">(AE102*DATOSAÑO!$Z$11)/DATOSAÑO!$Y$11</f>
        <v>0.19961074034713472</v>
      </c>
      <c r="AG102" s="9">
        <f ca="1">DATOSAÑO!AN101</f>
        <v>2.7820000000006369</v>
      </c>
      <c r="AH102" s="11">
        <f ca="1">(AG102*DATOSAÑO!$Z$11)/DATOSAÑO!$Y$11</f>
        <v>5.0127918364844051E-2</v>
      </c>
      <c r="AI102" s="9">
        <f ca="1">DATOSAÑO!BJ101</f>
        <v>3.3359999999999999</v>
      </c>
      <c r="AJ102" s="11">
        <f ca="1">(AI102*DATOSAÑO!$Z$11)/DATOSAÑO!$Y$11</f>
        <v>6.011025724841175E-2</v>
      </c>
      <c r="AK102" s="9">
        <f ca="1">DATOSAÑO!BM101</f>
        <v>0</v>
      </c>
      <c r="AL102" s="11">
        <f ca="1">(AK102*DATOSAÑO!$Z$11)/DATOSAÑO!$Y$11</f>
        <v>0</v>
      </c>
      <c r="AM102" s="9">
        <f ca="1">DATOSAÑO!BP101</f>
        <v>5.0860000000000003</v>
      </c>
      <c r="AN102" s="11">
        <f ca="1">(AM102*DATOSAÑO!$Z$11)/DATOSAÑO!$Y$11</f>
        <v>9.164291617668531E-2</v>
      </c>
      <c r="AO102" s="9">
        <f ca="1">DATOSAÑO!BW101</f>
        <v>11.039000000001131</v>
      </c>
      <c r="AP102" s="11">
        <f ca="1">(AO102*DATOSAÑO!$Z$11)/DATOSAÑO!$Y$11</f>
        <v>0.19890801251956994</v>
      </c>
      <c r="AQ102" s="9">
        <f ca="1">DATOSAÑO!CC101</f>
        <v>3.1308000000002547</v>
      </c>
      <c r="AR102" s="1348">
        <f ca="1">(AQ102*DATOSAÑO!$Z$11)/DATOSAÑO!$Y$11</f>
        <v>5.6412827755798201E-2</v>
      </c>
      <c r="AS102" s="1406">
        <f t="shared" si="5"/>
        <v>13</v>
      </c>
    </row>
    <row r="103" spans="1:45">
      <c r="A103" s="1408">
        <v>45018</v>
      </c>
      <c r="B103" s="1869">
        <v>45018</v>
      </c>
      <c r="C103" s="86">
        <f ca="1">DATOSAÑO!I102</f>
        <v>308</v>
      </c>
      <c r="D103" s="87">
        <f ca="1">DATOSAÑO!$D102</f>
        <v>5.1161204537844451</v>
      </c>
      <c r="E103" s="88">
        <f ca="1">DATOSAÑO!$G102</f>
        <v>0</v>
      </c>
      <c r="F103" s="9">
        <f ca="1">DATOSAÑO!P102</f>
        <v>147</v>
      </c>
      <c r="G103" s="10">
        <f ca="1">DATOSAÑO!K102</f>
        <v>3.7694933174049532</v>
      </c>
      <c r="H103" s="11">
        <f ca="1">DATOSAÑO!N102</f>
        <v>0</v>
      </c>
      <c r="I103" s="9">
        <f ca="1">DATOSAÑO!Q102</f>
        <v>0</v>
      </c>
      <c r="J103" s="11">
        <f ca="1">DATOSAÑO!R102</f>
        <v>0</v>
      </c>
      <c r="K103" s="9">
        <f ca="1">DATOSAÑO!T102</f>
        <v>0</v>
      </c>
      <c r="L103" s="11">
        <f t="shared" ca="1" si="3"/>
        <v>0</v>
      </c>
      <c r="M103" s="9"/>
      <c r="N103" s="11">
        <f t="shared" si="4"/>
        <v>0</v>
      </c>
      <c r="O103" s="9">
        <f>DATOSAÑO!CK102</f>
        <v>0</v>
      </c>
      <c r="P103" s="9">
        <f>DATOSAÑO!CL102</f>
        <v>0</v>
      </c>
      <c r="Q103" s="9">
        <f ca="1">DATOSAÑO!AD102</f>
        <v>165</v>
      </c>
      <c r="R103" s="11">
        <f ca="1">(Q103*DATOSAÑO!$Z$11)/DATOSAÑO!$Y$11</f>
        <v>2.9730792703800777</v>
      </c>
      <c r="S103" s="9">
        <f ca="1">DATOSAÑO!AF102</f>
        <v>153</v>
      </c>
      <c r="T103" s="11">
        <f ca="1">(S103*DATOSAÑO!$Z$11)/DATOSAÑO!$Y$11</f>
        <v>2.7568553234433448</v>
      </c>
      <c r="U103" s="9">
        <f ca="1">DATOSAÑO!AH102</f>
        <v>12.19999999999709</v>
      </c>
      <c r="V103" s="11">
        <f ca="1">(U103*DATOSAÑO!$Z$11)/DATOSAÑO!$Y$11</f>
        <v>0.21982767938562603</v>
      </c>
      <c r="W103" s="9">
        <f ca="1">DATOSAÑO!AI102</f>
        <v>39.099999999998545</v>
      </c>
      <c r="X103" s="11">
        <f ca="1">(W103*DATOSAÑO!$Z$11)/DATOSAÑO!$Y$11</f>
        <v>0.70452969376882857</v>
      </c>
      <c r="Y103" s="9">
        <f ca="1">DATOSAÑO!AJ102</f>
        <v>7</v>
      </c>
      <c r="Z103" s="11">
        <f ca="1">(Y103*DATOSAÑO!$Z$11)/DATOSAÑO!$Y$11</f>
        <v>0.12613063571309419</v>
      </c>
      <c r="AA103" s="9">
        <f ca="1">DATOSAÑO!AK102</f>
        <v>16</v>
      </c>
      <c r="AB103" s="11">
        <f ca="1">(AA103*DATOSAÑO!$Z$11)/DATOSAÑO!$Y$11</f>
        <v>0.28829859591564388</v>
      </c>
      <c r="AC103" s="9">
        <f ca="1">DATOSAÑO!AL102</f>
        <v>34.300000000006605</v>
      </c>
      <c r="AD103" s="11">
        <f ca="1">(AC103*DATOSAÑO!$Z$11)/DATOSAÑO!$Y$11</f>
        <v>0.61804011499428058</v>
      </c>
      <c r="AE103" s="9">
        <f ca="1">DATOSAÑO!AM102</f>
        <v>10.455399999997457</v>
      </c>
      <c r="AF103" s="11">
        <f ca="1">(AE103*DATOSAÑO!$Z$11)/DATOSAÑO!$Y$11</f>
        <v>0.18839232123348063</v>
      </c>
      <c r="AG103" s="9">
        <f ca="1">DATOSAÑO!AN102</f>
        <v>3.8970000000002729</v>
      </c>
      <c r="AH103" s="11">
        <f ca="1">(AG103*DATOSAÑO!$Z$11)/DATOSAÑO!$Y$11</f>
        <v>7.0218726767708933E-2</v>
      </c>
      <c r="AI103" s="9">
        <f ca="1">DATOSAÑO!BJ102</f>
        <v>1.8486000000000931</v>
      </c>
      <c r="AJ103" s="11">
        <f ca="1">(AI103*DATOSAÑO!$Z$11)/DATOSAÑO!$Y$11</f>
        <v>3.3309299025605379E-2</v>
      </c>
      <c r="AK103" s="9">
        <f ca="1">DATOSAÑO!BM102</f>
        <v>1.859</v>
      </c>
      <c r="AL103" s="11">
        <f ca="1">(AK103*DATOSAÑO!$Z$11)/DATOSAÑO!$Y$11</f>
        <v>3.3496693112948873E-2</v>
      </c>
      <c r="AM103" s="9">
        <f ca="1">DATOSAÑO!BP102</f>
        <v>4.0369999999999999</v>
      </c>
      <c r="AN103" s="11">
        <f ca="1">(AM103*DATOSAÑO!$Z$11)/DATOSAÑO!$Y$11</f>
        <v>7.27413394819659E-2</v>
      </c>
      <c r="AO103" s="9">
        <f ca="1">DATOSAÑO!BW102</f>
        <v>10.727699999998729</v>
      </c>
      <c r="AP103" s="11">
        <f ca="1">(AO103*DATOSAÑO!$Z$11)/DATOSAÑO!$Y$11</f>
        <v>0.1932988029627429</v>
      </c>
      <c r="AQ103" s="9">
        <f ca="1">DATOSAÑO!CC102</f>
        <v>2.3618000000001094</v>
      </c>
      <c r="AR103" s="1348">
        <f ca="1">(AQ103*DATOSAÑO!$Z$11)/DATOSAÑO!$Y$11</f>
        <v>4.2556476489599947E-2</v>
      </c>
      <c r="AS103" s="1384">
        <f t="shared" si="5"/>
        <v>14</v>
      </c>
    </row>
    <row r="104" spans="1:45" ht="16.5" customHeight="1">
      <c r="A104" s="1408">
        <v>45019</v>
      </c>
      <c r="B104" s="1869">
        <v>45019</v>
      </c>
      <c r="C104" s="86">
        <f ca="1">DATOSAÑO!I103</f>
        <v>303</v>
      </c>
      <c r="D104" s="87">
        <f ca="1">DATOSAÑO!$D103</f>
        <v>5.0742997352633425</v>
      </c>
      <c r="E104" s="88">
        <f ca="1">DATOSAÑO!$G103</f>
        <v>0</v>
      </c>
      <c r="F104" s="9">
        <f ca="1">DATOSAÑO!P103</f>
        <v>147.20000000000073</v>
      </c>
      <c r="G104" s="10">
        <f ca="1">DATOSAÑO!K103</f>
        <v>3.7711661461458035</v>
      </c>
      <c r="H104" s="11">
        <f ca="1">DATOSAÑO!N103</f>
        <v>0</v>
      </c>
      <c r="I104" s="9">
        <f ca="1">DATOSAÑO!Q103</f>
        <v>0.14499999999998181</v>
      </c>
      <c r="J104" s="11">
        <f ca="1">DATOSAÑO!R103</f>
        <v>17.399999999997817</v>
      </c>
      <c r="K104" s="9">
        <f ca="1">DATOSAÑO!T103</f>
        <v>0.28600000000005821</v>
      </c>
      <c r="L104" s="11">
        <f t="shared" ca="1" si="3"/>
        <v>34.320000000006985</v>
      </c>
      <c r="M104" s="9"/>
      <c r="N104" s="11">
        <f t="shared" si="4"/>
        <v>0</v>
      </c>
      <c r="O104" s="9">
        <f>DATOSAÑO!CK103</f>
        <v>0.6</v>
      </c>
      <c r="P104" s="9">
        <f>DATOSAÑO!CL103</f>
        <v>0.4</v>
      </c>
      <c r="Q104" s="9">
        <f ca="1">DATOSAÑO!AD103</f>
        <v>169</v>
      </c>
      <c r="R104" s="11">
        <f ca="1">(Q104*DATOSAÑO!$Z$11)/DATOSAÑO!$Y$11</f>
        <v>3.0451539193589885</v>
      </c>
      <c r="S104" s="9">
        <f ca="1">DATOSAÑO!AF103</f>
        <v>153</v>
      </c>
      <c r="T104" s="11">
        <f ca="1">(S104*DATOSAÑO!$Z$11)/DATOSAÑO!$Y$11</f>
        <v>2.7568553234433448</v>
      </c>
      <c r="U104" s="9">
        <f ca="1">DATOSAÑO!AH103</f>
        <v>5</v>
      </c>
      <c r="V104" s="11">
        <f ca="1">(U104*DATOSAÑO!$Z$11)/DATOSAÑO!$Y$11</f>
        <v>9.0093311223638714E-2</v>
      </c>
      <c r="W104" s="9">
        <f ca="1">DATOSAÑO!AI103</f>
        <v>38.400000000001455</v>
      </c>
      <c r="X104" s="11">
        <f ca="1">(W104*DATOSAÑO!$Z$11)/DATOSAÑO!$Y$11</f>
        <v>0.69191663019757155</v>
      </c>
      <c r="Y104" s="9">
        <f ca="1">DATOSAÑO!AJ103</f>
        <v>8.9000000000087311</v>
      </c>
      <c r="Z104" s="11">
        <f ca="1">(Y104*DATOSAÑO!$Z$11)/DATOSAÑO!$Y$11</f>
        <v>0.1603660939782342</v>
      </c>
      <c r="AA104" s="9">
        <f ca="1">DATOSAÑO!AK103</f>
        <v>15.100000000005821</v>
      </c>
      <c r="AB104" s="11">
        <f ca="1">(AA104*DATOSAÑO!$Z$11)/DATOSAÑO!$Y$11</f>
        <v>0.2720817998954938</v>
      </c>
      <c r="AC104" s="9">
        <f ca="1">DATOSAÑO!AL103</f>
        <v>32.930999999985431</v>
      </c>
      <c r="AD104" s="11">
        <f ca="1">(AC104*DATOSAÑO!$Z$11)/DATOSAÑO!$Y$11</f>
        <v>0.59337256638086677</v>
      </c>
      <c r="AE104" s="9">
        <f ca="1">DATOSAÑO!AM103</f>
        <v>8.1400000000002759</v>
      </c>
      <c r="AF104" s="11">
        <f ca="1">(AE104*DATOSAÑO!$Z$11)/DATOSAÑO!$Y$11</f>
        <v>0.14667191067208879</v>
      </c>
      <c r="AG104" s="9">
        <f ca="1">DATOSAÑO!AN103</f>
        <v>2.7589999999989994</v>
      </c>
      <c r="AH104" s="11">
        <f ca="1">(AG104*DATOSAÑO!$Z$11)/DATOSAÑO!$Y$11</f>
        <v>4.9713489133185816E-2</v>
      </c>
      <c r="AI104" s="9">
        <f ca="1">DATOSAÑO!BJ103</f>
        <v>0</v>
      </c>
      <c r="AJ104" s="11">
        <f ca="1">(AI104*DATOSAÑO!$Z$11)/DATOSAÑO!$Y$11</f>
        <v>0</v>
      </c>
      <c r="AK104" s="9">
        <f ca="1">DATOSAÑO!BM103</f>
        <v>5.9429999999999996</v>
      </c>
      <c r="AL104" s="11">
        <f ca="1">(AK104*DATOSAÑO!$Z$11)/DATOSAÑO!$Y$11</f>
        <v>0.10708490972041697</v>
      </c>
      <c r="AM104" s="9">
        <f ca="1">DATOSAÑO!BP103</f>
        <v>2.617</v>
      </c>
      <c r="AN104" s="11">
        <f ca="1">(AM104*DATOSAÑO!$Z$11)/DATOSAÑO!$Y$11</f>
        <v>4.7154839094452498E-2</v>
      </c>
      <c r="AO104" s="9">
        <f ca="1">DATOSAÑO!BW103</f>
        <v>11.570000000000139</v>
      </c>
      <c r="AP104" s="11">
        <f ca="1">(AO104*DATOSAÑO!$Z$11)/DATOSAÑO!$Y$11</f>
        <v>0.20847592217150246</v>
      </c>
      <c r="AQ104" s="9">
        <f ca="1">DATOSAÑO!CC103</f>
        <v>2.4445999999995998</v>
      </c>
      <c r="AR104" s="1348">
        <f ca="1">(AQ104*DATOSAÑO!$Z$11)/DATOSAÑO!$Y$11</f>
        <v>4.4048421723454224E-2</v>
      </c>
      <c r="AS104" s="1384">
        <f t="shared" si="5"/>
        <v>14</v>
      </c>
    </row>
    <row r="105" spans="1:45">
      <c r="A105" s="1408">
        <v>45020</v>
      </c>
      <c r="B105" s="1869">
        <v>45020</v>
      </c>
      <c r="C105" s="86">
        <f ca="1">DATOSAÑO!I104</f>
        <v>322.90000000002328</v>
      </c>
      <c r="D105" s="87">
        <f ca="1">DATOSAÑO!$D104</f>
        <v>5.2407461949775236</v>
      </c>
      <c r="E105" s="88">
        <f ca="1">DATOSAÑO!$G104</f>
        <v>0</v>
      </c>
      <c r="F105" s="9">
        <f ca="1">DATOSAÑO!P104</f>
        <v>148.09999999999854</v>
      </c>
      <c r="G105" s="10">
        <f ca="1">DATOSAÑO!K104</f>
        <v>3.7786938754795836</v>
      </c>
      <c r="H105" s="11">
        <f ca="1">DATOSAÑO!N104</f>
        <v>0</v>
      </c>
      <c r="I105" s="9">
        <f ca="1">DATOSAÑO!Q104</f>
        <v>0.25600000000008549</v>
      </c>
      <c r="J105" s="11">
        <f ca="1">DATOSAÑO!R104</f>
        <v>30.720000000010259</v>
      </c>
      <c r="K105" s="9">
        <f ca="1">DATOSAÑO!T104</f>
        <v>0</v>
      </c>
      <c r="L105" s="11">
        <f t="shared" ca="1" si="3"/>
        <v>0</v>
      </c>
      <c r="M105" s="9"/>
      <c r="N105" s="11">
        <f t="shared" si="4"/>
        <v>0</v>
      </c>
      <c r="O105" s="9">
        <f>DATOSAÑO!CK104</f>
        <v>1</v>
      </c>
      <c r="P105" s="9">
        <f>DATOSAÑO!CL104</f>
        <v>0</v>
      </c>
      <c r="Q105" s="9">
        <f ca="1">DATOSAÑO!AD104</f>
        <v>168.90000000002328</v>
      </c>
      <c r="R105" s="11">
        <f ca="1">(Q105*DATOSAÑO!$Z$11)/DATOSAÑO!$Y$11</f>
        <v>3.0433520531349352</v>
      </c>
      <c r="S105" s="9">
        <f ca="1">DATOSAÑO!AF104</f>
        <v>152.79999999998836</v>
      </c>
      <c r="T105" s="11">
        <f ca="1">(S105*DATOSAÑO!$Z$11)/DATOSAÑO!$Y$11</f>
        <v>2.7532515909941893</v>
      </c>
      <c r="U105" s="9">
        <f ca="1">DATOSAÑO!AH104</f>
        <v>18.900000000001455</v>
      </c>
      <c r="V105" s="11">
        <f ca="1">(U105*DATOSAÑO!$Z$11)/DATOSAÑO!$Y$11</f>
        <v>0.34055271642538054</v>
      </c>
      <c r="W105" s="9">
        <f ca="1">DATOSAÑO!AI104</f>
        <v>36.899999999994179</v>
      </c>
      <c r="X105" s="11">
        <f ca="1">(W105*DATOSAÑO!$Z$11)/DATOSAÑO!$Y$11</f>
        <v>0.66488863683034871</v>
      </c>
      <c r="Y105" s="9">
        <f ca="1">DATOSAÑO!AJ104</f>
        <v>9.8999999999941792</v>
      </c>
      <c r="Z105" s="11">
        <f ca="1">(Y105*DATOSAÑO!$Z$11)/DATOSAÑO!$Y$11</f>
        <v>0.17838475622269975</v>
      </c>
      <c r="AA105" s="9">
        <f ca="1">DATOSAÑO!AK104</f>
        <v>17.299999999988358</v>
      </c>
      <c r="AB105" s="11">
        <f ca="1">(AA105*DATOSAÑO!$Z$11)/DATOSAÑO!$Y$11</f>
        <v>0.3117228568335802</v>
      </c>
      <c r="AC105" s="9">
        <f ca="1">DATOSAÑO!AL104</f>
        <v>35.756000000007475</v>
      </c>
      <c r="AD105" s="11">
        <f ca="1">(AC105*DATOSAÑO!$Z$11)/DATOSAÑO!$Y$11</f>
        <v>0.64427528722261984</v>
      </c>
      <c r="AE105" s="9">
        <f ca="1">DATOSAÑO!AM104</f>
        <v>9.6510000000245597</v>
      </c>
      <c r="AF105" s="11">
        <f ca="1">(AE105*DATOSAÑO!$Z$11)/DATOSAÑO!$Y$11</f>
        <v>0.17389810932430996</v>
      </c>
      <c r="AG105" s="9">
        <f ca="1">DATOSAÑO!AN104</f>
        <v>2.9220000000001751</v>
      </c>
      <c r="AH105" s="11">
        <f ca="1">(AG105*DATOSAÑO!$Z$11)/DATOSAÑO!$Y$11</f>
        <v>5.2650531079097618E-2</v>
      </c>
      <c r="AI105" s="9">
        <f ca="1">DATOSAÑO!BJ104</f>
        <v>0.09</v>
      </c>
      <c r="AJ105" s="11">
        <f ca="1">(AI105*DATOSAÑO!$Z$11)/DATOSAÑO!$Y$11</f>
        <v>1.6216796020254967E-3</v>
      </c>
      <c r="AK105" s="9">
        <f ca="1">DATOSAÑO!BM104</f>
        <v>6.0389999999999997</v>
      </c>
      <c r="AL105" s="11">
        <f ca="1">(AK105*DATOSAÑO!$Z$11)/DATOSAÑO!$Y$11</f>
        <v>0.10881470129591082</v>
      </c>
      <c r="AM105" s="9">
        <f ca="1">DATOSAÑO!BP104</f>
        <v>2.65</v>
      </c>
      <c r="AN105" s="11">
        <f ca="1">(AM105*DATOSAÑO!$Z$11)/DATOSAÑO!$Y$11</f>
        <v>4.7749454948528516E-2</v>
      </c>
      <c r="AO105" s="9">
        <f ca="1">DATOSAÑO!BW104</f>
        <v>12.82550000001228</v>
      </c>
      <c r="AP105" s="11">
        <f ca="1">(AO105*DATOSAÑO!$Z$11)/DATOSAÑO!$Y$11</f>
        <v>0.23109835261997691</v>
      </c>
      <c r="AQ105" s="9">
        <f ca="1">DATOSAÑO!CC104</f>
        <v>2.6168000000000697</v>
      </c>
      <c r="AR105" s="1348">
        <f ca="1">(AQ105*DATOSAÑO!$Z$11)/DATOSAÑO!$Y$11</f>
        <v>4.7151235362004815E-2</v>
      </c>
      <c r="AS105" s="1384">
        <f t="shared" si="5"/>
        <v>14</v>
      </c>
    </row>
    <row r="106" spans="1:45" ht="16.5" customHeight="1">
      <c r="A106" s="1408">
        <v>45021</v>
      </c>
      <c r="B106" s="1869">
        <v>45021</v>
      </c>
      <c r="C106" s="86">
        <f ca="1">DATOSAÑO!I105</f>
        <v>302.40000000002328</v>
      </c>
      <c r="D106" s="87">
        <f ca="1">DATOSAÑO!$D105</f>
        <v>5.0692812490410049</v>
      </c>
      <c r="E106" s="88">
        <f ca="1">DATOSAÑO!$G105</f>
        <v>0</v>
      </c>
      <c r="F106" s="9">
        <f ca="1">DATOSAÑO!P105</f>
        <v>150.40000000000146</v>
      </c>
      <c r="G106" s="10">
        <f ca="1">DATOSAÑO!K105</f>
        <v>3.7979314059993148</v>
      </c>
      <c r="H106" s="11">
        <f ca="1">DATOSAÑO!N105</f>
        <v>0</v>
      </c>
      <c r="I106" s="9">
        <f ca="1">DATOSAÑO!Q105</f>
        <v>0</v>
      </c>
      <c r="J106" s="11">
        <f ca="1">DATOSAÑO!R105</f>
        <v>0</v>
      </c>
      <c r="K106" s="9">
        <f ca="1">DATOSAÑO!T105</f>
        <v>0</v>
      </c>
      <c r="L106" s="11">
        <f t="shared" ca="1" si="3"/>
        <v>0</v>
      </c>
      <c r="M106" s="9"/>
      <c r="N106" s="11">
        <f t="shared" si="4"/>
        <v>0</v>
      </c>
      <c r="O106" s="9">
        <f>DATOSAÑO!CK105</f>
        <v>0</v>
      </c>
      <c r="P106" s="9">
        <f>DATOSAÑO!CL105</f>
        <v>0</v>
      </c>
      <c r="Q106" s="9">
        <f ca="1">DATOSAÑO!AD105</f>
        <v>168.29999999993015</v>
      </c>
      <c r="R106" s="11">
        <f ca="1">(Q106*DATOSAÑO!$Z$11)/DATOSAÑO!$Y$11</f>
        <v>3.0325408557864209</v>
      </c>
      <c r="S106" s="9">
        <f ca="1">DATOSAÑO!AF105</f>
        <v>152.40000000002328</v>
      </c>
      <c r="T106" s="11">
        <f ca="1">(S106*DATOSAÑO!$Z$11)/DATOSAÑO!$Y$11</f>
        <v>2.7460441260969275</v>
      </c>
      <c r="U106" s="9">
        <f ca="1">DATOSAÑO!AH105</f>
        <v>7.3000000000029104</v>
      </c>
      <c r="V106" s="11">
        <f ca="1">(U106*DATOSAÑO!$Z$11)/DATOSAÑO!$Y$11</f>
        <v>0.13153623438656495</v>
      </c>
      <c r="W106" s="9">
        <f ca="1">DATOSAÑO!AI105</f>
        <v>37.30000000000291</v>
      </c>
      <c r="X106" s="11">
        <f ca="1">(W106*DATOSAÑO!$Z$11)/DATOSAÑO!$Y$11</f>
        <v>0.67209610172839718</v>
      </c>
      <c r="Y106" s="9">
        <f ca="1">DATOSAÑO!AJ105</f>
        <v>9.1000000000058208</v>
      </c>
      <c r="Z106" s="11">
        <f ca="1">(Y106*DATOSAÑO!$Z$11)/DATOSAÑO!$Y$11</f>
        <v>0.16396982642712732</v>
      </c>
      <c r="AA106" s="9">
        <f ca="1">DATOSAÑO!AK105</f>
        <v>15.100000000005821</v>
      </c>
      <c r="AB106" s="11">
        <f ca="1">(AA106*DATOSAÑO!$Z$11)/DATOSAÑO!$Y$11</f>
        <v>0.2720817998954938</v>
      </c>
      <c r="AC106" s="9">
        <f ca="1">DATOSAÑO!AL105</f>
        <v>34.700000000066154</v>
      </c>
      <c r="AD106" s="11">
        <f ca="1">(AC106*DATOSAÑO!$Z$11)/DATOSAÑO!$Y$11</f>
        <v>0.62524757989324464</v>
      </c>
      <c r="AE106" s="9">
        <f ca="1">DATOSAÑO!AM105</f>
        <v>8.9688999999871832</v>
      </c>
      <c r="AF106" s="11">
        <f ca="1">(AE106*DATOSAÑO!$Z$11)/DATOSAÑO!$Y$11</f>
        <v>0.1616075798065077</v>
      </c>
      <c r="AG106" s="9">
        <f ca="1">DATOSAÑO!AN105</f>
        <v>3.207000000000364</v>
      </c>
      <c r="AH106" s="11">
        <f ca="1">(AG106*DATOSAÑO!$Z$11)/DATOSAÑO!$Y$11</f>
        <v>5.7785849818848434E-2</v>
      </c>
      <c r="AI106" s="9">
        <f ca="1">DATOSAÑO!BJ105</f>
        <v>1.8921000000000932</v>
      </c>
      <c r="AJ106" s="11">
        <f ca="1">(AI106*DATOSAÑO!$Z$11)/DATOSAÑO!$Y$11</f>
        <v>3.409311083325104E-2</v>
      </c>
      <c r="AK106" s="9">
        <f ca="1">DATOSAÑO!BM105</f>
        <v>1.6679999999999999</v>
      </c>
      <c r="AL106" s="11">
        <f ca="1">(AK106*DATOSAÑO!$Z$11)/DATOSAÑO!$Y$11</f>
        <v>3.0055128624205875E-2</v>
      </c>
      <c r="AM106" s="9">
        <f ca="1">DATOSAÑO!BP105</f>
        <v>4.4710000000000001</v>
      </c>
      <c r="AN106" s="11">
        <f ca="1">(AM106*DATOSAÑO!$Z$11)/DATOSAÑO!$Y$11</f>
        <v>8.0561438896177728E-2</v>
      </c>
      <c r="AO106" s="9">
        <f ca="1">DATOSAÑO!BW105</f>
        <v>11.484449999993592</v>
      </c>
      <c r="AP106" s="11">
        <f ca="1">(AO106*DATOSAÑO!$Z$11)/DATOSAÑO!$Y$11</f>
        <v>0.20693442561634806</v>
      </c>
      <c r="AQ106" s="9">
        <f ca="1">DATOSAÑO!CC105</f>
        <v>2.6758000000001454</v>
      </c>
      <c r="AR106" s="1348">
        <f ca="1">(AQ106*DATOSAÑO!$Z$11)/DATOSAÑO!$Y$11</f>
        <v>4.8214336434445108E-2</v>
      </c>
      <c r="AS106" s="1384">
        <f t="shared" si="5"/>
        <v>14</v>
      </c>
    </row>
    <row r="107" spans="1:45">
      <c r="A107" s="1408">
        <v>45022</v>
      </c>
      <c r="B107" s="1869">
        <v>45022</v>
      </c>
      <c r="C107" s="86">
        <f ca="1">DATOSAÑO!I106</f>
        <v>308.69999999995343</v>
      </c>
      <c r="D107" s="87">
        <f ca="1">DATOSAÑO!$D106</f>
        <v>5.1219753543770095</v>
      </c>
      <c r="E107" s="88">
        <f ca="1">DATOSAÑO!$G106</f>
        <v>0</v>
      </c>
      <c r="F107" s="9">
        <f ca="1">DATOSAÑO!P106</f>
        <v>151.29999999999927</v>
      </c>
      <c r="G107" s="10">
        <f ca="1">DATOSAÑO!K106</f>
        <v>3.8054591353330949</v>
      </c>
      <c r="H107" s="11">
        <f ca="1">DATOSAÑO!N106</f>
        <v>0</v>
      </c>
      <c r="I107" s="9">
        <f ca="1">DATOSAÑO!Q106</f>
        <v>0</v>
      </c>
      <c r="J107" s="11">
        <f ca="1">DATOSAÑO!R106</f>
        <v>0</v>
      </c>
      <c r="K107" s="9">
        <f ca="1">DATOSAÑO!T106</f>
        <v>0</v>
      </c>
      <c r="L107" s="11">
        <f t="shared" ca="1" si="3"/>
        <v>0</v>
      </c>
      <c r="M107" s="9"/>
      <c r="N107" s="11">
        <f t="shared" si="4"/>
        <v>0</v>
      </c>
      <c r="O107" s="9">
        <f>DATOSAÑO!CK106</f>
        <v>0</v>
      </c>
      <c r="P107" s="9">
        <f>DATOSAÑO!CL106</f>
        <v>0</v>
      </c>
      <c r="Q107" s="9">
        <f ca="1">DATOSAÑO!AD106</f>
        <v>168.80000000004657</v>
      </c>
      <c r="R107" s="11">
        <f ca="1">(Q107*DATOSAÑO!$Z$11)/DATOSAÑO!$Y$11</f>
        <v>3.0415501869108823</v>
      </c>
      <c r="S107" s="9">
        <f ca="1">DATOSAÑO!AF106</f>
        <v>153.79999999998836</v>
      </c>
      <c r="T107" s="11">
        <f ca="1">(S107*DATOSAÑO!$Z$11)/DATOSAÑO!$Y$11</f>
        <v>2.7712702532389168</v>
      </c>
      <c r="U107" s="9">
        <f ca="1">DATOSAÑO!AH106</f>
        <v>10.099999999998545</v>
      </c>
      <c r="V107" s="11">
        <f ca="1">(U107*DATOSAÑO!$Z$11)/DATOSAÑO!$Y$11</f>
        <v>0.18198848867172399</v>
      </c>
      <c r="W107" s="9">
        <f ca="1">DATOSAÑO!AI106</f>
        <v>39.69999999999709</v>
      </c>
      <c r="X107" s="11">
        <f ca="1">(W107*DATOSAÑO!$Z$11)/DATOSAÑO!$Y$11</f>
        <v>0.71534089111563892</v>
      </c>
      <c r="Y107" s="9">
        <f ca="1">DATOSAÑO!AJ106</f>
        <v>9.1999999999970896</v>
      </c>
      <c r="Z107" s="11">
        <f ca="1">(Y107*DATOSAÑO!$Z$11)/DATOSAÑO!$Y$11</f>
        <v>0.16577169265144279</v>
      </c>
      <c r="AA107" s="9">
        <f ca="1">DATOSAÑO!AK106</f>
        <v>15.299999999988358</v>
      </c>
      <c r="AB107" s="11">
        <f ca="1">(AA107*DATOSAÑO!$Z$11)/DATOSAÑO!$Y$11</f>
        <v>0.27568553234412468</v>
      </c>
      <c r="AC107" s="9">
        <f ca="1">DATOSAÑO!AL106</f>
        <v>35.099999999947556</v>
      </c>
      <c r="AD107" s="11">
        <f ca="1">(AC107*DATOSAÑO!$Z$11)/DATOSAÑO!$Y$11</f>
        <v>0.63245504478899872</v>
      </c>
      <c r="AE107" s="9">
        <f ca="1">DATOSAÑO!AM106</f>
        <v>8.3826999999883505</v>
      </c>
      <c r="AF107" s="11">
        <f ca="1">(AE107*DATOSAÑO!$Z$11)/DATOSAÑO!$Y$11</f>
        <v>0.15104503999866933</v>
      </c>
      <c r="AG107" s="9">
        <f ca="1">DATOSAÑO!AN106</f>
        <v>3.1250000000002061</v>
      </c>
      <c r="AH107" s="11">
        <f ca="1">(AG107*DATOSAÑO!$Z$11)/DATOSAÑO!$Y$11</f>
        <v>5.630831951477791E-2</v>
      </c>
      <c r="AI107" s="9">
        <f ca="1">DATOSAÑO!BJ106</f>
        <v>2.1652999999998137</v>
      </c>
      <c r="AJ107" s="11">
        <f ca="1">(AI107*DATOSAÑO!$Z$11)/DATOSAÑO!$Y$11</f>
        <v>3.901580935850562E-2</v>
      </c>
      <c r="AK107" s="9">
        <f ca="1">DATOSAÑO!BM106</f>
        <v>0</v>
      </c>
      <c r="AL107" s="11">
        <f ca="1">(AK107*DATOSAÑO!$Z$11)/DATOSAÑO!$Y$11</f>
        <v>0</v>
      </c>
      <c r="AM107" s="9">
        <f ca="1">DATOSAÑO!BP106</f>
        <v>4.8220000000000001</v>
      </c>
      <c r="AN107" s="11">
        <f ca="1">(AM107*DATOSAÑO!$Z$11)/DATOSAÑO!$Y$11</f>
        <v>8.688598934407718E-2</v>
      </c>
      <c r="AO107" s="9">
        <f ca="1">DATOSAÑO!BW106</f>
        <v>12.391349999994903</v>
      </c>
      <c r="AP107" s="11">
        <f ca="1">(AO107*DATOSAÑO!$Z$11)/DATOSAÑO!$Y$11</f>
        <v>0.22327555040611524</v>
      </c>
      <c r="AQ107" s="9">
        <f ca="1">DATOSAÑO!CC106</f>
        <v>2.5550000000000823</v>
      </c>
      <c r="AR107" s="1348">
        <f ca="1">(AQ107*DATOSAÑO!$Z$11)/DATOSAÑO!$Y$11</f>
        <v>4.6037682035280872E-2</v>
      </c>
      <c r="AS107" s="1384">
        <f t="shared" si="5"/>
        <v>14</v>
      </c>
    </row>
    <row r="108" spans="1:45" ht="16.5" customHeight="1">
      <c r="A108" s="1408">
        <v>45023</v>
      </c>
      <c r="B108" s="1869">
        <v>45023</v>
      </c>
      <c r="C108" s="86">
        <f ca="1">DATOSAÑO!I107</f>
        <v>314</v>
      </c>
      <c r="D108" s="87">
        <f ca="1">DATOSAÑO!$D107</f>
        <v>5.1663053160097672</v>
      </c>
      <c r="E108" s="88">
        <f ca="1">DATOSAÑO!$G107</f>
        <v>0</v>
      </c>
      <c r="F108" s="9">
        <f ca="1">DATOSAÑO!P107</f>
        <v>148</v>
      </c>
      <c r="G108" s="10">
        <f ca="1">DATOSAÑO!K107</f>
        <v>3.777857461109174</v>
      </c>
      <c r="H108" s="11">
        <f ca="1">DATOSAÑO!N107</f>
        <v>0</v>
      </c>
      <c r="I108" s="9">
        <f ca="1">DATOSAÑO!Q107</f>
        <v>0</v>
      </c>
      <c r="J108" s="11">
        <f ca="1">DATOSAÑO!R107</f>
        <v>0</v>
      </c>
      <c r="K108" s="9">
        <f ca="1">DATOSAÑO!T107</f>
        <v>0</v>
      </c>
      <c r="L108" s="11">
        <f t="shared" ca="1" si="3"/>
        <v>0</v>
      </c>
      <c r="M108" s="9"/>
      <c r="N108" s="11">
        <f t="shared" si="4"/>
        <v>0</v>
      </c>
      <c r="O108" s="9">
        <f>DATOSAÑO!CK107</f>
        <v>0</v>
      </c>
      <c r="P108" s="9">
        <f>DATOSAÑO!CL107</f>
        <v>0</v>
      </c>
      <c r="Q108" s="9">
        <f ca="1">DATOSAÑO!AD107</f>
        <v>166</v>
      </c>
      <c r="R108" s="11">
        <f ca="1">(Q108*DATOSAÑO!$Z$11)/DATOSAÑO!$Y$11</f>
        <v>2.9910979326248053</v>
      </c>
      <c r="S108" s="9">
        <f ca="1">DATOSAÑO!AF107</f>
        <v>154</v>
      </c>
      <c r="T108" s="11">
        <f ca="1">(S108*DATOSAÑO!$Z$11)/DATOSAÑO!$Y$11</f>
        <v>2.7748739856880724</v>
      </c>
      <c r="U108" s="9">
        <f ca="1">DATOSAÑO!AH107</f>
        <v>12.399999999995998</v>
      </c>
      <c r="V108" s="11">
        <f ca="1">(U108*DATOSAÑO!$Z$11)/DATOSAÑO!$Y$11</f>
        <v>0.2234314118345519</v>
      </c>
      <c r="W108" s="9">
        <f ca="1">DATOSAÑO!AI107</f>
        <v>42.30000000000291</v>
      </c>
      <c r="X108" s="11">
        <f ca="1">(W108*DATOSAÑO!$Z$11)/DATOSAÑO!$Y$11</f>
        <v>0.76218941295203591</v>
      </c>
      <c r="Y108" s="9">
        <f ca="1">DATOSAÑO!AJ107</f>
        <v>10</v>
      </c>
      <c r="Z108" s="11">
        <f ca="1">(Y108*DATOSAÑO!$Z$11)/DATOSAÑO!$Y$11</f>
        <v>0.18018662244727743</v>
      </c>
      <c r="AA108" s="9">
        <f ca="1">DATOSAÑO!AK107</f>
        <v>14.900000000023283</v>
      </c>
      <c r="AB108" s="11">
        <f ca="1">(AA108*DATOSAÑO!$Z$11)/DATOSAÑO!$Y$11</f>
        <v>0.26847806744686287</v>
      </c>
      <c r="AC108" s="9">
        <f ca="1">DATOSAÑO!AL107</f>
        <v>33.799999999979264</v>
      </c>
      <c r="AD108" s="11">
        <f ca="1">(AC108*DATOSAÑO!$Z$11)/DATOSAÑO!$Y$11</f>
        <v>0.60903078387142395</v>
      </c>
      <c r="AE108" s="9">
        <f ca="1">DATOSAÑO!AM107</f>
        <v>9.1009999999980931</v>
      </c>
      <c r="AF108" s="11">
        <f ca="1">(AE108*DATOSAÑO!$Z$11)/DATOSAÑO!$Y$11</f>
        <v>0.16398784508923284</v>
      </c>
      <c r="AG108" s="9">
        <f ca="1">DATOSAÑO!AN107</f>
        <v>3.3859999999997275</v>
      </c>
      <c r="AH108" s="11">
        <f ca="1">(AG108*DATOSAÑO!$Z$11)/DATOSAÑO!$Y$11</f>
        <v>6.1011190360643223E-2</v>
      </c>
      <c r="AI108" s="9">
        <f ca="1">DATOSAÑO!BJ107</f>
        <v>2</v>
      </c>
      <c r="AJ108" s="11">
        <f ca="1">(AI108*DATOSAÑO!$Z$11)/DATOSAÑO!$Y$11</f>
        <v>3.6037324489455486E-2</v>
      </c>
      <c r="AK108" s="9">
        <f ca="1">DATOSAÑO!BM107</f>
        <v>0</v>
      </c>
      <c r="AL108" s="11">
        <f ca="1">(AK108*DATOSAÑO!$Z$11)/DATOSAÑO!$Y$11</f>
        <v>0</v>
      </c>
      <c r="AM108" s="9">
        <f ca="1">DATOSAÑO!BP107</f>
        <v>4.9989999999999997</v>
      </c>
      <c r="AN108" s="11">
        <f ca="1">(AM108*DATOSAÑO!$Z$11)/DATOSAÑO!$Y$11</f>
        <v>9.0075292561393974E-2</v>
      </c>
      <c r="AO108" s="9">
        <f ca="1">DATOSAÑO!BW107</f>
        <v>12.250499999999775</v>
      </c>
      <c r="AP108" s="11">
        <f ca="1">(AO108*DATOSAÑO!$Z$11)/DATOSAÑO!$Y$11</f>
        <v>0.22073762182903314</v>
      </c>
      <c r="AQ108" s="9">
        <f ca="1">DATOSAÑO!CC107</f>
        <v>2.7683999999998909</v>
      </c>
      <c r="AR108" s="1348">
        <f ca="1">(AQ108*DATOSAÑO!$Z$11)/DATOSAÑO!$Y$11</f>
        <v>4.9882864558302313E-2</v>
      </c>
      <c r="AS108" s="1384">
        <f t="shared" si="5"/>
        <v>14</v>
      </c>
    </row>
    <row r="109" spans="1:45">
      <c r="A109" s="1408">
        <v>45024</v>
      </c>
      <c r="B109" s="1869">
        <v>45024</v>
      </c>
      <c r="C109" s="86">
        <f ca="1">DATOSAÑO!I108</f>
        <v>308</v>
      </c>
      <c r="D109" s="87">
        <f ca="1">DATOSAÑO!$D108</f>
        <v>5.1161204537844451</v>
      </c>
      <c r="E109" s="88">
        <f ca="1">DATOSAÑO!$G108</f>
        <v>0</v>
      </c>
      <c r="F109" s="9">
        <f ca="1">DATOSAÑO!P108</f>
        <v>146</v>
      </c>
      <c r="G109" s="10">
        <f ca="1">DATOSAÑO!K108</f>
        <v>3.7611291737007324</v>
      </c>
      <c r="H109" s="11">
        <f ca="1">DATOSAÑO!N108</f>
        <v>0</v>
      </c>
      <c r="I109" s="9">
        <f ca="1">DATOSAÑO!Q108</f>
        <v>0</v>
      </c>
      <c r="J109" s="11">
        <f ca="1">DATOSAÑO!R108</f>
        <v>0</v>
      </c>
      <c r="K109" s="9">
        <f ca="1">DATOSAÑO!T108</f>
        <v>0</v>
      </c>
      <c r="L109" s="11">
        <f t="shared" ca="1" si="3"/>
        <v>0</v>
      </c>
      <c r="M109" s="9"/>
      <c r="N109" s="11">
        <f t="shared" si="4"/>
        <v>0</v>
      </c>
      <c r="O109" s="9">
        <f>DATOSAÑO!CK108</f>
        <v>0</v>
      </c>
      <c r="P109" s="9">
        <f>DATOSAÑO!CL108</f>
        <v>0</v>
      </c>
      <c r="Q109" s="9">
        <f ca="1">DATOSAÑO!AD108</f>
        <v>162</v>
      </c>
      <c r="R109" s="11">
        <f ca="1">(Q109*DATOSAÑO!$Z$11)/DATOSAÑO!$Y$11</f>
        <v>2.919023283645894</v>
      </c>
      <c r="S109" s="9">
        <f ca="1">DATOSAÑO!AF108</f>
        <v>150</v>
      </c>
      <c r="T109" s="11">
        <f ca="1">(S109*DATOSAÑO!$Z$11)/DATOSAÑO!$Y$11</f>
        <v>2.7027993367091616</v>
      </c>
      <c r="U109" s="9">
        <f ca="1">DATOSAÑO!AH108</f>
        <v>13.700000000004366</v>
      </c>
      <c r="V109" s="11">
        <f ca="1">(U109*DATOSAÑO!$Z$11)/DATOSAÑO!$Y$11</f>
        <v>0.24685567275284873</v>
      </c>
      <c r="W109" s="9">
        <f ca="1">DATOSAÑO!AI108</f>
        <v>41.69999999999709</v>
      </c>
      <c r="X109" s="11">
        <f ca="1">(W109*DATOSAÑO!$Z$11)/DATOSAÑO!$Y$11</f>
        <v>0.75137821560509432</v>
      </c>
      <c r="Y109" s="9">
        <f ca="1">DATOSAÑO!AJ108</f>
        <v>7.3000000000029104</v>
      </c>
      <c r="Z109" s="11">
        <f ca="1">(Y109*DATOSAÑO!$Z$11)/DATOSAÑO!$Y$11</f>
        <v>0.13153623438656495</v>
      </c>
      <c r="AA109" s="9">
        <f ca="1">DATOSAÑO!AK108</f>
        <v>14.599999999976717</v>
      </c>
      <c r="AB109" s="11">
        <f ca="1">(AA109*DATOSAÑO!$Z$11)/DATOSAÑO!$Y$11</f>
        <v>0.26307246877260548</v>
      </c>
      <c r="AC109" s="9">
        <f ca="1">DATOSAÑO!AL108</f>
        <v>36.600000000016621</v>
      </c>
      <c r="AD109" s="11">
        <f ca="1">(AC109*DATOSAÑO!$Z$11)/DATOSAÑO!$Y$11</f>
        <v>0.65948303815733478</v>
      </c>
      <c r="AE109" s="9">
        <f ca="1">DATOSAÑO!AM108</f>
        <v>8.6800000000018258</v>
      </c>
      <c r="AF109" s="11">
        <f ca="1">(AE109*DATOSAÑO!$Z$11)/DATOSAÑO!$Y$11</f>
        <v>0.15640198828426971</v>
      </c>
      <c r="AG109" s="9">
        <f ca="1">DATOSAÑO!AN108</f>
        <v>3.7250000000003638</v>
      </c>
      <c r="AH109" s="11">
        <f ca="1">(AG109*DATOSAÑO!$Z$11)/DATOSAÑO!$Y$11</f>
        <v>6.7119516861617393E-2</v>
      </c>
      <c r="AI109" s="9">
        <f ca="1">DATOSAÑO!BJ108</f>
        <v>2.1</v>
      </c>
      <c r="AJ109" s="11">
        <f ca="1">(AI109*DATOSAÑO!$Z$11)/DATOSAÑO!$Y$11</f>
        <v>3.7839190713928265E-2</v>
      </c>
      <c r="AK109" s="9">
        <f ca="1">DATOSAÑO!BM108</f>
        <v>0</v>
      </c>
      <c r="AL109" s="11">
        <f ca="1">(AK109*DATOSAÑO!$Z$11)/DATOSAÑO!$Y$11</f>
        <v>0</v>
      </c>
      <c r="AM109" s="9">
        <f ca="1">DATOSAÑO!BP108</f>
        <v>4.72</v>
      </c>
      <c r="AN109" s="11">
        <f ca="1">(AM109*DATOSAÑO!$Z$11)/DATOSAÑO!$Y$11</f>
        <v>8.5048085795114942E-2</v>
      </c>
      <c r="AO109" s="9">
        <f ca="1">DATOSAÑO!BW108</f>
        <v>11.840000000000913</v>
      </c>
      <c r="AP109" s="11">
        <f ca="1">(AO109*DATOSAÑO!$Z$11)/DATOSAÑO!$Y$11</f>
        <v>0.21334096097759292</v>
      </c>
      <c r="AQ109" s="9">
        <f ca="1">DATOSAÑO!CC108</f>
        <v>2.8650000000001459</v>
      </c>
      <c r="AR109" s="1348">
        <f ca="1">(AQ109*DATOSAÑO!$Z$11)/DATOSAÑO!$Y$11</f>
        <v>5.1623467331147616E-2</v>
      </c>
      <c r="AS109" s="1384">
        <f t="shared" si="5"/>
        <v>14</v>
      </c>
    </row>
    <row r="110" spans="1:45" ht="16.5" customHeight="1">
      <c r="A110" s="1408">
        <v>45025</v>
      </c>
      <c r="B110" s="1869">
        <v>45025</v>
      </c>
      <c r="C110" s="86">
        <f ca="1">DATOSAÑO!I109</f>
        <v>299</v>
      </c>
      <c r="D110" s="87">
        <f ca="1">DATOSAÑO!$D109</f>
        <v>5.0408431604464612</v>
      </c>
      <c r="E110" s="88">
        <f ca="1">DATOSAÑO!$G109</f>
        <v>0</v>
      </c>
      <c r="F110" s="9">
        <f ca="1">DATOSAÑO!P109</f>
        <v>149</v>
      </c>
      <c r="G110" s="10">
        <f ca="1">DATOSAÑO!K109</f>
        <v>3.7862216048133943</v>
      </c>
      <c r="H110" s="11">
        <f ca="1">DATOSAÑO!N109</f>
        <v>0</v>
      </c>
      <c r="I110" s="9">
        <f ca="1">DATOSAÑO!Q109</f>
        <v>0</v>
      </c>
      <c r="J110" s="11">
        <f ca="1">DATOSAÑO!R109</f>
        <v>0</v>
      </c>
      <c r="K110" s="9">
        <f ca="1">DATOSAÑO!T109</f>
        <v>0</v>
      </c>
      <c r="L110" s="11">
        <f t="shared" ca="1" si="3"/>
        <v>0</v>
      </c>
      <c r="M110" s="9"/>
      <c r="N110" s="11">
        <f t="shared" si="4"/>
        <v>0</v>
      </c>
      <c r="O110" s="9">
        <f>DATOSAÑO!CK109</f>
        <v>0</v>
      </c>
      <c r="P110" s="9">
        <f>DATOSAÑO!CL109</f>
        <v>0</v>
      </c>
      <c r="Q110" s="9">
        <f ca="1">DATOSAÑO!AD109</f>
        <v>166</v>
      </c>
      <c r="R110" s="11">
        <f ca="1">(Q110*DATOSAÑO!$Z$11)/DATOSAÑO!$Y$11</f>
        <v>2.9910979326248053</v>
      </c>
      <c r="S110" s="9">
        <f ca="1">DATOSAÑO!AF109</f>
        <v>149</v>
      </c>
      <c r="T110" s="11">
        <f ca="1">(S110*DATOSAÑO!$Z$11)/DATOSAÑO!$Y$11</f>
        <v>2.6847806744644336</v>
      </c>
      <c r="U110" s="9">
        <f ca="1">DATOSAÑO!AH109</f>
        <v>12.19999999999709</v>
      </c>
      <c r="V110" s="11">
        <f ca="1">(U110*DATOSAÑO!$Z$11)/DATOSAÑO!$Y$11</f>
        <v>0.21982767938562603</v>
      </c>
      <c r="W110" s="9">
        <f ca="1">DATOSAÑO!AI109</f>
        <v>40.400000000001455</v>
      </c>
      <c r="X110" s="11">
        <f ca="1">(W110*DATOSAÑO!$Z$11)/DATOSAÑO!$Y$11</f>
        <v>0.72795395468702706</v>
      </c>
      <c r="Y110" s="9">
        <f ca="1">DATOSAÑO!AJ109</f>
        <v>6.3000000000029104</v>
      </c>
      <c r="Z110" s="11">
        <f ca="1">(Y110*DATOSAÑO!$Z$11)/DATOSAÑO!$Y$11</f>
        <v>0.11351757214183721</v>
      </c>
      <c r="AA110" s="9">
        <f ca="1">DATOSAÑO!AK109</f>
        <v>14.5</v>
      </c>
      <c r="AB110" s="11">
        <f ca="1">(AA110*DATOSAÑO!$Z$11)/DATOSAÑO!$Y$11</f>
        <v>0.26127060254855228</v>
      </c>
      <c r="AC110" s="9">
        <f ca="1">DATOSAÑO!AL109</f>
        <v>34.299999999999272</v>
      </c>
      <c r="AD110" s="11">
        <f ca="1">(AC110*DATOSAÑO!$Z$11)/DATOSAÑO!$Y$11</f>
        <v>0.61804011499414857</v>
      </c>
      <c r="AE110" s="9">
        <f ca="1">DATOSAÑO!AM109</f>
        <v>5.4280000000011857</v>
      </c>
      <c r="AF110" s="11">
        <f ca="1">(AE110*DATOSAÑO!$Z$11)/DATOSAÑO!$Y$11</f>
        <v>9.7805298664403545E-2</v>
      </c>
      <c r="AG110" s="9">
        <f ca="1">DATOSAÑO!AN109</f>
        <v>3.6039999999995476</v>
      </c>
      <c r="AH110" s="11">
        <f ca="1">(AG110*DATOSAÑO!$Z$11)/DATOSAÑO!$Y$11</f>
        <v>6.4939258729990623E-2</v>
      </c>
      <c r="AI110" s="9">
        <f ca="1">DATOSAÑO!BJ109</f>
        <v>2.1</v>
      </c>
      <c r="AJ110" s="11">
        <f ca="1">(AI110*DATOSAÑO!$Z$11)/DATOSAÑO!$Y$11</f>
        <v>3.7839190713928265E-2</v>
      </c>
      <c r="AK110" s="9">
        <f ca="1">DATOSAÑO!BM109</f>
        <v>0</v>
      </c>
      <c r="AL110" s="11">
        <f ca="1">(AK110*DATOSAÑO!$Z$11)/DATOSAÑO!$Y$11</f>
        <v>0</v>
      </c>
      <c r="AM110" s="9">
        <f ca="1">DATOSAÑO!BP109</f>
        <v>4.8620000000000001</v>
      </c>
      <c r="AN110" s="11">
        <f ca="1">(AM110*DATOSAÑO!$Z$11)/DATOSAÑO!$Y$11</f>
        <v>8.7606735833866287E-2</v>
      </c>
      <c r="AO110" s="9">
        <f ca="1">DATOSAÑO!BW109</f>
        <v>10.313999999999137</v>
      </c>
      <c r="AP110" s="11">
        <f ca="1">(AO110*DATOSAÑO!$Z$11)/DATOSAÑO!$Y$11</f>
        <v>0.18584448239210638</v>
      </c>
      <c r="AQ110" s="9">
        <f ca="1">DATOSAÑO!CC109</f>
        <v>3.147599999999819</v>
      </c>
      <c r="AR110" s="1348">
        <f ca="1">(AQ110*DATOSAÑO!$Z$11)/DATOSAÑO!$Y$11</f>
        <v>5.6715541281501775E-2</v>
      </c>
      <c r="AS110" s="1384">
        <f t="shared" si="5"/>
        <v>15</v>
      </c>
    </row>
    <row r="111" spans="1:45">
      <c r="A111" s="1408">
        <v>45026</v>
      </c>
      <c r="B111" s="1869">
        <v>45026</v>
      </c>
      <c r="C111" s="86">
        <f ca="1">DATOSAÑO!I110</f>
        <v>303</v>
      </c>
      <c r="D111" s="87">
        <f ca="1">DATOSAÑO!$D110</f>
        <v>5.0742997352633425</v>
      </c>
      <c r="E111" s="88">
        <f ca="1">DATOSAÑO!$G110</f>
        <v>0</v>
      </c>
      <c r="F111" s="9">
        <f ca="1">DATOSAÑO!P110</f>
        <v>146</v>
      </c>
      <c r="G111" s="10">
        <f ca="1">DATOSAÑO!K110</f>
        <v>3.7611291737007324</v>
      </c>
      <c r="H111" s="11">
        <f ca="1">DATOSAÑO!N110</f>
        <v>0</v>
      </c>
      <c r="I111" s="9">
        <f ca="1">DATOSAÑO!Q110</f>
        <v>0</v>
      </c>
      <c r="J111" s="11">
        <f ca="1">DATOSAÑO!R110</f>
        <v>0</v>
      </c>
      <c r="K111" s="9">
        <f ca="1">DATOSAÑO!T110</f>
        <v>0</v>
      </c>
      <c r="L111" s="11">
        <f t="shared" ca="1" si="3"/>
        <v>0</v>
      </c>
      <c r="M111" s="9"/>
      <c r="N111" s="11">
        <f t="shared" si="4"/>
        <v>0</v>
      </c>
      <c r="O111" s="9">
        <f>DATOSAÑO!CK110</f>
        <v>0</v>
      </c>
      <c r="P111" s="9">
        <f>DATOSAÑO!CL110</f>
        <v>0</v>
      </c>
      <c r="Q111" s="9">
        <f ca="1">DATOSAÑO!AD110</f>
        <v>162</v>
      </c>
      <c r="R111" s="11">
        <f ca="1">(Q111*DATOSAÑO!$Z$11)/DATOSAÑO!$Y$11</f>
        <v>2.919023283645894</v>
      </c>
      <c r="S111" s="9">
        <f ca="1">DATOSAÑO!AF110</f>
        <v>150</v>
      </c>
      <c r="T111" s="11">
        <f ca="1">(S111*DATOSAÑO!$Z$11)/DATOSAÑO!$Y$11</f>
        <v>2.7027993367091616</v>
      </c>
      <c r="U111" s="9">
        <f ca="1">DATOSAÑO!AH110</f>
        <v>11.200000000004366</v>
      </c>
      <c r="V111" s="11">
        <f ca="1">(U111*DATOSAÑO!$Z$11)/DATOSAÑO!$Y$11</f>
        <v>0.20180901714102936</v>
      </c>
      <c r="W111" s="9">
        <f ca="1">DATOSAÑO!AI110</f>
        <v>40.099999999998545</v>
      </c>
      <c r="X111" s="11">
        <f ca="1">(W111*DATOSAÑO!$Z$11)/DATOSAÑO!$Y$11</f>
        <v>0.72254835601355616</v>
      </c>
      <c r="Y111" s="9">
        <f ca="1">DATOSAÑO!AJ110</f>
        <v>7.5999999999912689</v>
      </c>
      <c r="Z111" s="11">
        <f ca="1">(Y111*DATOSAÑO!$Z$11)/DATOSAÑO!$Y$11</f>
        <v>0.13694183305977353</v>
      </c>
      <c r="AA111" s="9">
        <f ca="1">DATOSAÑO!AK110</f>
        <v>14.600000000005821</v>
      </c>
      <c r="AB111" s="11">
        <f ca="1">(AA111*DATOSAÑO!$Z$11)/DATOSAÑO!$Y$11</f>
        <v>0.2630724687731299</v>
      </c>
      <c r="AC111" s="9">
        <f ca="1">DATOSAÑO!AL110</f>
        <v>33.299999999999216</v>
      </c>
      <c r="AD111" s="11">
        <f ca="1">(AC111*DATOSAÑO!$Z$11)/DATOSAÑO!$Y$11</f>
        <v>0.60002145274941965</v>
      </c>
      <c r="AE111" s="9">
        <f ca="1">DATOSAÑO!AM110</f>
        <v>10.845999999999625</v>
      </c>
      <c r="AF111" s="11">
        <f ca="1">(AE111*DATOSAÑO!$Z$11)/DATOSAÑO!$Y$11</f>
        <v>0.19543041070631034</v>
      </c>
      <c r="AG111" s="9">
        <f ca="1">DATOSAÑO!AN110</f>
        <v>3.7180000000003641</v>
      </c>
      <c r="AH111" s="11">
        <f ca="1">(AG111*DATOSAÑO!$Z$11)/DATOSAÑO!$Y$11</f>
        <v>6.6993386225904311E-2</v>
      </c>
      <c r="AI111" s="9">
        <f ca="1">DATOSAÑO!BJ110</f>
        <v>2.2999999999999998</v>
      </c>
      <c r="AJ111" s="11">
        <f ca="1">(AI111*DATOSAÑO!$Z$11)/DATOSAÑO!$Y$11</f>
        <v>4.1442923162873804E-2</v>
      </c>
      <c r="AK111" s="9">
        <f ca="1">DATOSAÑO!BM110</f>
        <v>0</v>
      </c>
      <c r="AL111" s="11">
        <f ca="1">(AK111*DATOSAÑO!$Z$11)/DATOSAÑO!$Y$11</f>
        <v>0</v>
      </c>
      <c r="AM111" s="9">
        <f ca="1">DATOSAÑO!BP110</f>
        <v>4.7539999999999996</v>
      </c>
      <c r="AN111" s="11">
        <f ca="1">(AM111*DATOSAÑO!$Z$11)/DATOSAÑO!$Y$11</f>
        <v>8.5660720311435665E-2</v>
      </c>
      <c r="AO111" s="9">
        <f ca="1">DATOSAÑO!BW110</f>
        <v>12.623000000000541</v>
      </c>
      <c r="AP111" s="11">
        <f ca="1">(AO111*DATOSAÑO!$Z$11)/DATOSAÑO!$Y$11</f>
        <v>0.22744957351520803</v>
      </c>
      <c r="AQ111" s="9">
        <f ca="1">DATOSAÑO!CC110</f>
        <v>2.8692000000001459</v>
      </c>
      <c r="AR111" s="1348">
        <f ca="1">(AQ111*DATOSAÑO!$Z$11)/DATOSAÑO!$Y$11</f>
        <v>5.1699145712575466E-2</v>
      </c>
      <c r="AS111" s="1384">
        <f t="shared" si="5"/>
        <v>15</v>
      </c>
    </row>
    <row r="112" spans="1:45" ht="16.5" customHeight="1">
      <c r="A112" s="1408">
        <v>45027</v>
      </c>
      <c r="B112" s="1869">
        <v>45027</v>
      </c>
      <c r="C112" s="86">
        <f ca="1">DATOSAÑO!I111</f>
        <v>296</v>
      </c>
      <c r="D112" s="87">
        <f ca="1">DATOSAÑO!$D111</f>
        <v>5.0157507293337993</v>
      </c>
      <c r="E112" s="88">
        <f ca="1">DATOSAÑO!$G111</f>
        <v>0</v>
      </c>
      <c r="F112" s="9">
        <f ca="1">DATOSAÑO!P111</f>
        <v>149</v>
      </c>
      <c r="G112" s="10">
        <f ca="1">DATOSAÑO!K111</f>
        <v>3.7862216048133943</v>
      </c>
      <c r="H112" s="11">
        <f ca="1">DATOSAÑO!N111</f>
        <v>0</v>
      </c>
      <c r="I112" s="9">
        <f ca="1">DATOSAÑO!Q111</f>
        <v>0.32999999999992724</v>
      </c>
      <c r="J112" s="11">
        <f ca="1">DATOSAÑO!R111</f>
        <v>39.599999999991269</v>
      </c>
      <c r="K112" s="9">
        <f ca="1">DATOSAÑO!T111</f>
        <v>0.40300000000002001</v>
      </c>
      <c r="L112" s="11">
        <f t="shared" ca="1" si="3"/>
        <v>48.360000000002401</v>
      </c>
      <c r="M112" s="9"/>
      <c r="N112" s="11">
        <f t="shared" si="4"/>
        <v>0</v>
      </c>
      <c r="O112" s="9">
        <f>DATOSAÑO!CK111</f>
        <v>0.6</v>
      </c>
      <c r="P112" s="9">
        <f>DATOSAÑO!CL111</f>
        <v>0.5</v>
      </c>
      <c r="Q112" s="9">
        <f ca="1">DATOSAÑO!AD111</f>
        <v>163</v>
      </c>
      <c r="R112" s="11">
        <f ca="1">(Q112*DATOSAÑO!$Z$11)/DATOSAÑO!$Y$11</f>
        <v>2.9370419458906221</v>
      </c>
      <c r="S112" s="9">
        <f ca="1">DATOSAÑO!AF111</f>
        <v>152</v>
      </c>
      <c r="T112" s="11">
        <f ca="1">(S112*DATOSAÑO!$Z$11)/DATOSAÑO!$Y$11</f>
        <v>2.7388366611986168</v>
      </c>
      <c r="U112" s="9">
        <f ca="1">DATOSAÑO!AH111</f>
        <v>8.0999999999985448</v>
      </c>
      <c r="V112" s="11">
        <f ca="1">(U112*DATOSAÑO!$Z$11)/DATOSAÑO!$Y$11</f>
        <v>0.1459511641822685</v>
      </c>
      <c r="W112" s="9">
        <f ca="1">DATOSAÑO!AI111</f>
        <v>40.30000000000291</v>
      </c>
      <c r="X112" s="11">
        <f ca="1">(W112*DATOSAÑO!$Z$11)/DATOSAÑO!$Y$11</f>
        <v>0.72615208846258039</v>
      </c>
      <c r="Y112" s="9">
        <f ca="1">DATOSAÑO!AJ111</f>
        <v>5.6000000000058208</v>
      </c>
      <c r="Z112" s="11">
        <f ca="1">(Y112*DATOSAÑO!$Z$11)/DATOSAÑO!$Y$11</f>
        <v>0.10090450857058024</v>
      </c>
      <c r="AA112" s="9">
        <f ca="1">DATOSAÑO!AK111</f>
        <v>14.200000000011642</v>
      </c>
      <c r="AB112" s="11">
        <f ca="1">(AA112*DATOSAÑO!$Z$11)/DATOSAÑO!$Y$11</f>
        <v>0.25586500387534372</v>
      </c>
      <c r="AC112" s="9">
        <f ca="1">DATOSAÑO!AL111</f>
        <v>34.232999999981757</v>
      </c>
      <c r="AD112" s="11">
        <f ca="1">(AC112*DATOSAÑO!$Z$11)/DATOSAÑO!$Y$11</f>
        <v>0.61683286462343612</v>
      </c>
      <c r="AE112" s="9">
        <f ca="1">DATOSAÑO!AM111</f>
        <v>8.6980000000002935</v>
      </c>
      <c r="AF112" s="11">
        <f ca="1">(AE112*DATOSAÑO!$Z$11)/DATOSAÑO!$Y$11</f>
        <v>0.15672632420464719</v>
      </c>
      <c r="AG112" s="9">
        <f ca="1">DATOSAÑO!AN111</f>
        <v>3.9379999999997191</v>
      </c>
      <c r="AH112" s="11">
        <f ca="1">(AG112*DATOSAÑO!$Z$11)/DATOSAÑO!$Y$11</f>
        <v>7.0957491919732787E-2</v>
      </c>
      <c r="AI112" s="9">
        <f ca="1">DATOSAÑO!BJ111</f>
        <v>2.2000000000000002</v>
      </c>
      <c r="AJ112" s="11">
        <f ca="1">(AI112*DATOSAÑO!$Z$11)/DATOSAÑO!$Y$11</f>
        <v>3.9641056938401038E-2</v>
      </c>
      <c r="AK112" s="9">
        <f ca="1">DATOSAÑO!BM111</f>
        <v>0</v>
      </c>
      <c r="AL112" s="11">
        <f ca="1">(AK112*DATOSAÑO!$Z$11)/DATOSAÑO!$Y$11</f>
        <v>0</v>
      </c>
      <c r="AM112" s="9">
        <f ca="1">DATOSAÑO!BP111</f>
        <v>4.7619999999999996</v>
      </c>
      <c r="AN112" s="11">
        <f ca="1">(AM112*DATOSAÑO!$Z$11)/DATOSAÑO!$Y$11</f>
        <v>8.58048696093935E-2</v>
      </c>
      <c r="AO112" s="9">
        <f ca="1">DATOSAÑO!BW111</f>
        <v>11.648999999999418</v>
      </c>
      <c r="AP112" s="11">
        <f ca="1">(AO112*DATOSAÑO!$Z$11)/DATOSAÑO!$Y$11</f>
        <v>0.209899396488823</v>
      </c>
      <c r="AQ112" s="9">
        <f ca="1">DATOSAÑO!CC111</f>
        <v>2.9771999999998879</v>
      </c>
      <c r="AR112" s="1348">
        <f ca="1">(AQ112*DATOSAÑO!$Z$11)/DATOSAÑO!$Y$11</f>
        <v>5.3645161235001418E-2</v>
      </c>
      <c r="AS112" s="1384">
        <f t="shared" si="5"/>
        <v>15</v>
      </c>
    </row>
    <row r="113" spans="1:45">
      <c r="A113" s="1408">
        <v>45028</v>
      </c>
      <c r="B113" s="1869">
        <v>45028</v>
      </c>
      <c r="C113" s="86">
        <f ca="1">DATOSAÑO!I112</f>
        <v>292</v>
      </c>
      <c r="D113" s="87">
        <f ca="1">DATOSAÑO!$D112</f>
        <v>4.9822941545169179</v>
      </c>
      <c r="E113" s="88">
        <f ca="1">DATOSAÑO!$G112</f>
        <v>0</v>
      </c>
      <c r="F113" s="9">
        <f ca="1">DATOSAÑO!P112</f>
        <v>148</v>
      </c>
      <c r="G113" s="10">
        <f ca="1">DATOSAÑO!K112</f>
        <v>3.777857461109174</v>
      </c>
      <c r="H113" s="11">
        <f ca="1">DATOSAÑO!N112</f>
        <v>0</v>
      </c>
      <c r="I113" s="9">
        <f ca="1">DATOSAÑO!Q112</f>
        <v>0</v>
      </c>
      <c r="J113" s="11">
        <f ca="1">DATOSAÑO!R112</f>
        <v>0</v>
      </c>
      <c r="K113" s="9">
        <f ca="1">DATOSAÑO!T112</f>
        <v>0</v>
      </c>
      <c r="L113" s="11">
        <f t="shared" ca="1" si="3"/>
        <v>0</v>
      </c>
      <c r="M113" s="9"/>
      <c r="N113" s="11">
        <f t="shared" si="4"/>
        <v>0</v>
      </c>
      <c r="O113" s="9">
        <f>DATOSAÑO!CK112</f>
        <v>0</v>
      </c>
      <c r="P113" s="9">
        <f>DATOSAÑO!CL112</f>
        <v>0</v>
      </c>
      <c r="Q113" s="9">
        <f ca="1">DATOSAÑO!AD112</f>
        <v>162</v>
      </c>
      <c r="R113" s="11">
        <f ca="1">(Q113*DATOSAÑO!$Z$11)/DATOSAÑO!$Y$11</f>
        <v>2.919023283645894</v>
      </c>
      <c r="S113" s="9">
        <f ca="1">DATOSAÑO!AF112</f>
        <v>150</v>
      </c>
      <c r="T113" s="11">
        <f ca="1">(S113*DATOSAÑO!$Z$11)/DATOSAÑO!$Y$11</f>
        <v>2.7027993367091616</v>
      </c>
      <c r="U113" s="9">
        <f ca="1">DATOSAÑO!AH112</f>
        <v>9.9000000000014552</v>
      </c>
      <c r="V113" s="11">
        <f ca="1">(U113*DATOSAÑO!$Z$11)/DATOSAÑO!$Y$11</f>
        <v>0.17838475622283087</v>
      </c>
      <c r="W113" s="9">
        <f ca="1">DATOSAÑO!AI112</f>
        <v>38.400000000001455</v>
      </c>
      <c r="X113" s="11">
        <f ca="1">(W113*DATOSAÑO!$Z$11)/DATOSAÑO!$Y$11</f>
        <v>0.69191663019757155</v>
      </c>
      <c r="Y113" s="9">
        <f ca="1">DATOSAÑO!AJ112</f>
        <v>5.6999999999970896</v>
      </c>
      <c r="Z113" s="11">
        <f ca="1">(Y113*DATOSAÑO!$Z$11)/DATOSAÑO!$Y$11</f>
        <v>0.10270637479489569</v>
      </c>
      <c r="AA113" s="9">
        <f ca="1">DATOSAÑO!AK112</f>
        <v>14.199999999982538</v>
      </c>
      <c r="AB113" s="11">
        <f ca="1">(AA113*DATOSAÑO!$Z$11)/DATOSAÑO!$Y$11</f>
        <v>0.25586500387481931</v>
      </c>
      <c r="AC113" s="9">
        <f ca="1">DATOSAÑO!AL112</f>
        <v>33.400000000016007</v>
      </c>
      <c r="AD113" s="11">
        <f ca="1">(AC113*DATOSAÑO!$Z$11)/DATOSAÑO!$Y$11</f>
        <v>0.60182331897419505</v>
      </c>
      <c r="AE113" s="9">
        <f ca="1">DATOSAÑO!AM112</f>
        <v>7.67900000000009</v>
      </c>
      <c r="AF113" s="11">
        <f ca="1">(AE113*DATOSAÑO!$Z$11)/DATOSAÑO!$Y$11</f>
        <v>0.13836530737726596</v>
      </c>
      <c r="AG113" s="9">
        <f ca="1">DATOSAÑO!AN112</f>
        <v>3.8790000000006364</v>
      </c>
      <c r="AH113" s="11">
        <f ca="1">(AG113*DATOSAÑO!$Z$11)/DATOSAÑO!$Y$11</f>
        <v>6.9894390847310375E-2</v>
      </c>
      <c r="AI113" s="9">
        <f ca="1">DATOSAÑO!BJ112</f>
        <v>2</v>
      </c>
      <c r="AJ113" s="11">
        <f ca="1">(AI113*DATOSAÑO!$Z$11)/DATOSAÑO!$Y$11</f>
        <v>3.6037324489455486E-2</v>
      </c>
      <c r="AK113" s="9">
        <f ca="1">DATOSAÑO!BM112</f>
        <v>0</v>
      </c>
      <c r="AL113" s="11">
        <f ca="1">(AK113*DATOSAÑO!$Z$11)/DATOSAÑO!$Y$11</f>
        <v>0</v>
      </c>
      <c r="AM113" s="9">
        <f ca="1">DATOSAÑO!BP112</f>
        <v>4.7210000000000001</v>
      </c>
      <c r="AN113" s="11">
        <f ca="1">(AM113*DATOSAÑO!$Z$11)/DATOSAÑO!$Y$11</f>
        <v>8.5066104457359681E-2</v>
      </c>
      <c r="AO113" s="9">
        <f ca="1">DATOSAÑO!BW112</f>
        <v>10.539500000000773</v>
      </c>
      <c r="AP113" s="11">
        <f ca="1">(AO113*DATOSAÑO!$Z$11)/DATOSAÑO!$Y$11</f>
        <v>0.18990769072832198</v>
      </c>
      <c r="AQ113" s="9">
        <f ca="1">DATOSAÑO!CC112</f>
        <v>2.9726000000002548</v>
      </c>
      <c r="AR113" s="1348">
        <f ca="1">(AQ113*DATOSAÑO!$Z$11)/DATOSAÑO!$Y$11</f>
        <v>5.356227538868228E-2</v>
      </c>
      <c r="AS113" s="1384">
        <f t="shared" si="5"/>
        <v>15</v>
      </c>
    </row>
    <row r="114" spans="1:45" ht="16.5" customHeight="1">
      <c r="A114" s="1408">
        <v>45029</v>
      </c>
      <c r="B114" s="1869">
        <v>45029</v>
      </c>
      <c r="C114" s="86">
        <f ca="1">DATOSAÑO!I113</f>
        <v>298</v>
      </c>
      <c r="D114" s="87">
        <f ca="1">DATOSAÑO!$D113</f>
        <v>5.03247901674224</v>
      </c>
      <c r="E114" s="88">
        <f ca="1">DATOSAÑO!$G113</f>
        <v>0</v>
      </c>
      <c r="F114" s="9">
        <f ca="1">DATOSAÑO!P113</f>
        <v>147</v>
      </c>
      <c r="G114" s="10">
        <f ca="1">DATOSAÑO!K113</f>
        <v>3.7694933174049532</v>
      </c>
      <c r="H114" s="11">
        <f ca="1">DATOSAÑO!N113</f>
        <v>0</v>
      </c>
      <c r="I114" s="9">
        <f ca="1">DATOSAÑO!Q113</f>
        <v>0</v>
      </c>
      <c r="J114" s="11">
        <f ca="1">DATOSAÑO!R113</f>
        <v>0</v>
      </c>
      <c r="K114" s="9">
        <f ca="1">DATOSAÑO!T113</f>
        <v>0</v>
      </c>
      <c r="L114" s="11">
        <f t="shared" ca="1" si="3"/>
        <v>0</v>
      </c>
      <c r="M114" s="9"/>
      <c r="N114" s="11">
        <f t="shared" si="4"/>
        <v>0</v>
      </c>
      <c r="O114" s="9">
        <f>DATOSAÑO!CK113</f>
        <v>0</v>
      </c>
      <c r="P114" s="9">
        <f>DATOSAÑO!CL113</f>
        <v>0</v>
      </c>
      <c r="Q114" s="9">
        <f ca="1">DATOSAÑO!AD113</f>
        <v>163</v>
      </c>
      <c r="R114" s="11">
        <f ca="1">(Q114*DATOSAÑO!$Z$11)/DATOSAÑO!$Y$11</f>
        <v>2.9370419458906221</v>
      </c>
      <c r="S114" s="9">
        <f ca="1">DATOSAÑO!AF113</f>
        <v>149</v>
      </c>
      <c r="T114" s="11">
        <f ca="1">(S114*DATOSAÑO!$Z$11)/DATOSAÑO!$Y$11</f>
        <v>2.6847806744644336</v>
      </c>
      <c r="U114" s="9">
        <f ca="1">DATOSAÑO!AH113</f>
        <v>12</v>
      </c>
      <c r="V114" s="11">
        <f ca="1">(U114*DATOSAÑO!$Z$11)/DATOSAÑO!$Y$11</f>
        <v>0.21622394693673291</v>
      </c>
      <c r="W114" s="9">
        <f ca="1">DATOSAÑO!AI113</f>
        <v>38</v>
      </c>
      <c r="X114" s="11">
        <f ca="1">(W114*DATOSAÑO!$Z$11)/DATOSAÑO!$Y$11</f>
        <v>0.6847091652996542</v>
      </c>
      <c r="Y114" s="9">
        <f ca="1">DATOSAÑO!AJ113</f>
        <v>7.3999999999941792</v>
      </c>
      <c r="Z114" s="11">
        <f ca="1">(Y114*DATOSAÑO!$Z$11)/DATOSAÑO!$Y$11</f>
        <v>0.13333810061088042</v>
      </c>
      <c r="AA114" s="9">
        <f ca="1">DATOSAÑO!AK113</f>
        <v>15</v>
      </c>
      <c r="AB114" s="11">
        <f ca="1">(AA114*DATOSAÑO!$Z$11)/DATOSAÑO!$Y$11</f>
        <v>0.27027993367091613</v>
      </c>
      <c r="AC114" s="9">
        <f ca="1">DATOSAÑO!AL113</f>
        <v>32.400000000008788</v>
      </c>
      <c r="AD114" s="11">
        <f ca="1">(AC114*DATOSAÑO!$Z$11)/DATOSAÑO!$Y$11</f>
        <v>0.58380465672933723</v>
      </c>
      <c r="AE114" s="9">
        <f ca="1">DATOSAÑO!AM113</f>
        <v>9.8479999999977235</v>
      </c>
      <c r="AF114" s="11">
        <f ca="1">(AE114*DATOSAÑO!$Z$11)/DATOSAÑO!$Y$11</f>
        <v>0.17744778578603779</v>
      </c>
      <c r="AG114" s="9">
        <f ca="1">DATOSAÑO!AN113</f>
        <v>3.7119999999989997</v>
      </c>
      <c r="AH114" s="11">
        <f ca="1">(AG114*DATOSAÑO!$Z$11)/DATOSAÑO!$Y$11</f>
        <v>6.6885274252411364E-2</v>
      </c>
      <c r="AI114" s="9">
        <f ca="1">DATOSAÑO!BJ113</f>
        <v>3</v>
      </c>
      <c r="AJ114" s="11">
        <f ca="1">(AI114*DATOSAÑO!$Z$11)/DATOSAÑO!$Y$11</f>
        <v>5.4055986734183228E-2</v>
      </c>
      <c r="AK114" s="9">
        <f ca="1">DATOSAÑO!BM113</f>
        <v>0</v>
      </c>
      <c r="AL114" s="11">
        <f ca="1">(AK114*DATOSAÑO!$Z$11)/DATOSAÑO!$Y$11</f>
        <v>0</v>
      </c>
      <c r="AM114" s="9">
        <f ca="1">DATOSAÑO!BP113</f>
        <v>4.6520000000000001</v>
      </c>
      <c r="AN114" s="11">
        <f ca="1">(AM114*DATOSAÑO!$Z$11)/DATOSAÑO!$Y$11</f>
        <v>8.3822816762473468E-2</v>
      </c>
      <c r="AO114" s="9">
        <f ca="1">DATOSAÑO!BW113</f>
        <v>10.523999999999226</v>
      </c>
      <c r="AP114" s="11">
        <f ca="1">(AO114*DATOSAÑO!$Z$11)/DATOSAÑO!$Y$11</f>
        <v>0.18962840146350082</v>
      </c>
      <c r="AQ114" s="9">
        <f ca="1">DATOSAÑO!CC113</f>
        <v>2.8727999999996001</v>
      </c>
      <c r="AR114" s="1348">
        <f ca="1">(AQ114*DATOSAÑO!$Z$11)/DATOSAÑO!$Y$11</f>
        <v>5.1764012896646651E-2</v>
      </c>
      <c r="AS114" s="1384">
        <f t="shared" si="5"/>
        <v>15</v>
      </c>
    </row>
    <row r="115" spans="1:45">
      <c r="A115" s="1408">
        <v>45030</v>
      </c>
      <c r="B115" s="1869">
        <v>45030</v>
      </c>
      <c r="C115" s="86">
        <f ca="1">DATOSAÑO!I114</f>
        <v>320</v>
      </c>
      <c r="D115" s="87">
        <f ca="1">DATOSAÑO!$D114</f>
        <v>5.216490178235091</v>
      </c>
      <c r="E115" s="88">
        <f ca="1">DATOSAÑO!$G114</f>
        <v>0</v>
      </c>
      <c r="F115" s="9">
        <f ca="1">DATOSAÑO!P114</f>
        <v>117</v>
      </c>
      <c r="G115" s="10">
        <f ca="1">DATOSAÑO!K114</f>
        <v>3.5185690062783399</v>
      </c>
      <c r="H115" s="11">
        <f ca="1">DATOSAÑO!N114</f>
        <v>0</v>
      </c>
      <c r="I115" s="9">
        <f ca="1">DATOSAÑO!Q114</f>
        <v>0</v>
      </c>
      <c r="J115" s="11">
        <f ca="1">DATOSAÑO!R114</f>
        <v>0</v>
      </c>
      <c r="K115" s="9">
        <f ca="1">DATOSAÑO!T114</f>
        <v>0</v>
      </c>
      <c r="L115" s="11">
        <f t="shared" ca="1" si="3"/>
        <v>0</v>
      </c>
      <c r="M115" s="9"/>
      <c r="N115" s="11">
        <f t="shared" si="4"/>
        <v>0</v>
      </c>
      <c r="O115" s="9">
        <f>DATOSAÑO!CK114</f>
        <v>0</v>
      </c>
      <c r="P115" s="9">
        <f>DATOSAÑO!CL114</f>
        <v>0</v>
      </c>
      <c r="Q115" s="9">
        <f ca="1">DATOSAÑO!AD114</f>
        <v>160</v>
      </c>
      <c r="R115" s="11">
        <f ca="1">(Q115*DATOSAÑO!$Z$11)/DATOSAÑO!$Y$11</f>
        <v>2.8829859591564388</v>
      </c>
      <c r="S115" s="9">
        <f ca="1">DATOSAÑO!AF114</f>
        <v>150</v>
      </c>
      <c r="T115" s="11">
        <f ca="1">(S115*DATOSAÑO!$Z$11)/DATOSAÑO!$Y$11</f>
        <v>2.7027993367091616</v>
      </c>
      <c r="U115" s="9">
        <f ca="1">DATOSAÑO!AH114</f>
        <v>5.8999999999941792</v>
      </c>
      <c r="V115" s="11">
        <f ca="1">(U115*DATOSAÑO!$Z$11)/DATOSAÑO!$Y$11</f>
        <v>0.1063101072437888</v>
      </c>
      <c r="W115" s="9">
        <f ca="1">DATOSAÑO!AI114</f>
        <v>39.69999999999709</v>
      </c>
      <c r="X115" s="11">
        <f ca="1">(W115*DATOSAÑO!$Z$11)/DATOSAÑO!$Y$11</f>
        <v>0.71534089111563892</v>
      </c>
      <c r="Y115" s="9">
        <f ca="1">DATOSAÑO!AJ114</f>
        <v>7.6000000000058208</v>
      </c>
      <c r="Z115" s="11">
        <f ca="1">(Y115*DATOSAÑO!$Z$11)/DATOSAÑO!$Y$11</f>
        <v>0.13694183306003571</v>
      </c>
      <c r="AA115" s="9">
        <f ca="1">DATOSAÑO!AK114</f>
        <v>14.300000000017462</v>
      </c>
      <c r="AB115" s="11">
        <f ca="1">(AA115*DATOSAÑO!$Z$11)/DATOSAÑO!$Y$11</f>
        <v>0.25766687009992134</v>
      </c>
      <c r="AC115" s="9">
        <f ca="1">DATOSAÑO!AL114</f>
        <v>31.199999999982538</v>
      </c>
      <c r="AD115" s="11">
        <f ca="1">(AC115*DATOSAÑO!$Z$11)/DATOSAÑO!$Y$11</f>
        <v>0.56218226203519084</v>
      </c>
      <c r="AE115" s="9">
        <f ca="1">DATOSAÑO!AM114</f>
        <v>10.83100000000208</v>
      </c>
      <c r="AF115" s="11">
        <f ca="1">(AE115*DATOSAÑO!$Z$11)/DATOSAÑO!$Y$11</f>
        <v>0.19516013077268365</v>
      </c>
      <c r="AG115" s="9">
        <f ca="1">DATOSAÑO!AN114</f>
        <v>3.7000000000008186</v>
      </c>
      <c r="AH115" s="11">
        <f ca="1">(AG115*DATOSAÑO!$Z$11)/DATOSAÑO!$Y$11</f>
        <v>6.6669050305507405E-2</v>
      </c>
      <c r="AI115" s="9">
        <f ca="1">DATOSAÑO!BJ114</f>
        <v>2.2999999999999998</v>
      </c>
      <c r="AJ115" s="11">
        <f ca="1">(AI115*DATOSAÑO!$Z$11)/DATOSAÑO!$Y$11</f>
        <v>4.1442923162873804E-2</v>
      </c>
      <c r="AK115" s="9">
        <f ca="1">DATOSAÑO!BM114</f>
        <v>0</v>
      </c>
      <c r="AL115" s="11">
        <f ca="1">(AK115*DATOSAÑO!$Z$11)/DATOSAÑO!$Y$11</f>
        <v>0</v>
      </c>
      <c r="AM115" s="9">
        <f ca="1">DATOSAÑO!BP114</f>
        <v>4.569</v>
      </c>
      <c r="AN115" s="11">
        <f ca="1">(AM115*DATOSAÑO!$Z$11)/DATOSAÑO!$Y$11</f>
        <v>8.2327267796161049E-2</v>
      </c>
      <c r="AO115" s="9">
        <f ca="1">DATOSAÑO!BW114</f>
        <v>10.915500000001039</v>
      </c>
      <c r="AP115" s="11">
        <f ca="1">(AO115*DATOSAÑO!$Z$11)/DATOSAÑO!$Y$11</f>
        <v>0.19668270773234439</v>
      </c>
      <c r="AQ115" s="9">
        <f ca="1">DATOSAÑO!CC114</f>
        <v>2.8800000000003276</v>
      </c>
      <c r="AR115" s="1348">
        <f ca="1">(AQ115*DATOSAÑO!$Z$11)/DATOSAÑO!$Y$11</f>
        <v>5.18937472648218E-2</v>
      </c>
      <c r="AS115" s="1384">
        <f t="shared" si="5"/>
        <v>15</v>
      </c>
    </row>
    <row r="116" spans="1:45" ht="16.5" customHeight="1">
      <c r="A116" s="1408">
        <v>45031</v>
      </c>
      <c r="B116" s="1869">
        <v>45031</v>
      </c>
      <c r="C116" s="86">
        <f ca="1">DATOSAÑO!I115</f>
        <v>364</v>
      </c>
      <c r="D116" s="87">
        <f ca="1">DATOSAÑO!$D115</f>
        <v>5.5845125012207895</v>
      </c>
      <c r="E116" s="88">
        <f ca="1">DATOSAÑO!$G115</f>
        <v>0</v>
      </c>
      <c r="F116" s="9">
        <f ca="1">DATOSAÑO!P115</f>
        <v>86</v>
      </c>
      <c r="G116" s="10">
        <f ca="1">DATOSAÑO!K115</f>
        <v>3.2592805514475058</v>
      </c>
      <c r="H116" s="11">
        <f ca="1">DATOSAÑO!N115</f>
        <v>0</v>
      </c>
      <c r="I116" s="9">
        <f ca="1">DATOSAÑO!Q115</f>
        <v>0</v>
      </c>
      <c r="J116" s="11">
        <f ca="1">DATOSAÑO!R115</f>
        <v>0</v>
      </c>
      <c r="K116" s="9">
        <f ca="1">DATOSAÑO!T115</f>
        <v>0</v>
      </c>
      <c r="L116" s="11">
        <f t="shared" ca="1" si="3"/>
        <v>0</v>
      </c>
      <c r="M116" s="9"/>
      <c r="N116" s="11">
        <f t="shared" si="4"/>
        <v>0</v>
      </c>
      <c r="O116" s="9">
        <f>DATOSAÑO!CK115</f>
        <v>0</v>
      </c>
      <c r="P116" s="9">
        <f>DATOSAÑO!CL115</f>
        <v>0</v>
      </c>
      <c r="Q116" s="9">
        <f ca="1">DATOSAÑO!AD115</f>
        <v>162</v>
      </c>
      <c r="R116" s="11">
        <f ca="1">(Q116*DATOSAÑO!$Z$11)/DATOSAÑO!$Y$11</f>
        <v>2.919023283645894</v>
      </c>
      <c r="S116" s="9">
        <f ca="1">DATOSAÑO!AF115</f>
        <v>150</v>
      </c>
      <c r="T116" s="11">
        <f ca="1">(S116*DATOSAÑO!$Z$11)/DATOSAÑO!$Y$11</f>
        <v>2.7027993367091616</v>
      </c>
      <c r="U116" s="9">
        <f ca="1">DATOSAÑO!AH115</f>
        <v>12.200000000004366</v>
      </c>
      <c r="V116" s="11">
        <f ca="1">(U116*DATOSAÑO!$Z$11)/DATOSAÑO!$Y$11</f>
        <v>0.21982767938575712</v>
      </c>
      <c r="W116" s="9">
        <f ca="1">DATOSAÑO!AI115</f>
        <v>41.099999999998545</v>
      </c>
      <c r="X116" s="11">
        <f ca="1">(W116*DATOSAÑO!$Z$11)/DATOSAÑO!$Y$11</f>
        <v>0.74056701825828397</v>
      </c>
      <c r="Y116" s="9">
        <f ca="1">DATOSAÑO!AJ115</f>
        <v>8</v>
      </c>
      <c r="Z116" s="11">
        <f ca="1">(Y116*DATOSAÑO!$Z$11)/DATOSAÑO!$Y$11</f>
        <v>0.14414929795782194</v>
      </c>
      <c r="AA116" s="9">
        <f ca="1">DATOSAÑO!AK115</f>
        <v>15.199999999982538</v>
      </c>
      <c r="AB116" s="11">
        <f ca="1">(AA116*DATOSAÑO!$Z$11)/DATOSAÑO!$Y$11</f>
        <v>0.27388366611954706</v>
      </c>
      <c r="AC116" s="9">
        <f ca="1">DATOSAÑO!AL115</f>
        <v>33.200000000015223</v>
      </c>
      <c r="AD116" s="11">
        <f ca="1">(AC116*DATOSAÑO!$Z$11)/DATOSAÑO!$Y$11</f>
        <v>0.59821958652523533</v>
      </c>
      <c r="AE116" s="9">
        <f ca="1">DATOSAÑO!AM115</f>
        <v>10.508999999999212</v>
      </c>
      <c r="AF116" s="11">
        <f ca="1">(AE116*DATOSAÑO!$Z$11)/DATOSAÑO!$Y$11</f>
        <v>0.18935812152982964</v>
      </c>
      <c r="AG116" s="9">
        <f ca="1">DATOSAÑO!AN115</f>
        <v>3.88699999999971</v>
      </c>
      <c r="AH116" s="11">
        <f ca="1">(AG116*DATOSAÑO!$Z$11)/DATOSAÑO!$Y$11</f>
        <v>7.0038540145251516E-2</v>
      </c>
      <c r="AI116" s="9">
        <f ca="1">DATOSAÑO!BJ115</f>
        <v>2.2000000000000002</v>
      </c>
      <c r="AJ116" s="11">
        <f ca="1">(AI116*DATOSAÑO!$Z$11)/DATOSAÑO!$Y$11</f>
        <v>3.9641056938401038E-2</v>
      </c>
      <c r="AK116" s="9">
        <f ca="1">DATOSAÑO!BM115</f>
        <v>0</v>
      </c>
      <c r="AL116" s="11">
        <f ca="1">(AK116*DATOSAÑO!$Z$11)/DATOSAÑO!$Y$11</f>
        <v>0</v>
      </c>
      <c r="AM116" s="9">
        <f ca="1">DATOSAÑO!BP115</f>
        <v>4.641</v>
      </c>
      <c r="AN116" s="11">
        <f ca="1">(AM116*DATOSAÑO!$Z$11)/DATOSAÑO!$Y$11</f>
        <v>8.3624611477781455E-2</v>
      </c>
      <c r="AO116" s="9">
        <f ca="1">DATOSAÑO!BW115</f>
        <v>10.85449999999997</v>
      </c>
      <c r="AP116" s="11">
        <f ca="1">(AO116*DATOSAÑO!$Z$11)/DATOSAÑO!$Y$11</f>
        <v>0.19558356933539672</v>
      </c>
      <c r="AQ116" s="9">
        <f ca="1">DATOSAÑO!CC115</f>
        <v>3.0177999999998839</v>
      </c>
      <c r="AR116" s="1348">
        <f ca="1">(AQ116*DATOSAÑO!$Z$11)/DATOSAÑO!$Y$11</f>
        <v>5.4376718922137288E-2</v>
      </c>
      <c r="AS116" s="1384">
        <f t="shared" si="5"/>
        <v>15</v>
      </c>
    </row>
    <row r="117" spans="1:45">
      <c r="A117" s="1408">
        <v>45032</v>
      </c>
      <c r="B117" s="1869">
        <v>45032</v>
      </c>
      <c r="C117" s="86">
        <f ca="1">DATOSAÑO!I116</f>
        <v>380</v>
      </c>
      <c r="D117" s="87">
        <f ca="1">DATOSAÑO!$D116</f>
        <v>5.7183388004883167</v>
      </c>
      <c r="E117" s="88">
        <f ca="1">DATOSAÑO!$G116</f>
        <v>0</v>
      </c>
      <c r="F117" s="9">
        <f ca="1">DATOSAÑO!P116</f>
        <v>62.599999999998545</v>
      </c>
      <c r="G117" s="10">
        <f ca="1">DATOSAÑO!K116</f>
        <v>3.0635595887687357</v>
      </c>
      <c r="H117" s="11">
        <f ca="1">DATOSAÑO!N116</f>
        <v>0</v>
      </c>
      <c r="I117" s="9">
        <f ca="1">DATOSAÑO!Q116</f>
        <v>0</v>
      </c>
      <c r="J117" s="11">
        <f ca="1">DATOSAÑO!R116</f>
        <v>0</v>
      </c>
      <c r="K117" s="9">
        <f ca="1">DATOSAÑO!T116</f>
        <v>3.6359999999999673</v>
      </c>
      <c r="L117" s="11">
        <f t="shared" ca="1" si="3"/>
        <v>436.31999999999607</v>
      </c>
      <c r="M117" s="9"/>
      <c r="N117" s="11">
        <f t="shared" si="4"/>
        <v>0</v>
      </c>
      <c r="O117" s="9">
        <f>DATOSAÑO!CK116</f>
        <v>0</v>
      </c>
      <c r="P117" s="9">
        <f>DATOSAÑO!CL116</f>
        <v>1</v>
      </c>
      <c r="Q117" s="9">
        <f ca="1">DATOSAÑO!AD116</f>
        <v>162</v>
      </c>
      <c r="R117" s="11">
        <f ca="1">(Q117*DATOSAÑO!$Z$11)/DATOSAÑO!$Y$11</f>
        <v>2.919023283645894</v>
      </c>
      <c r="S117" s="9">
        <f ca="1">DATOSAÑO!AF116</f>
        <v>150</v>
      </c>
      <c r="T117" s="11">
        <f ca="1">(S117*DATOSAÑO!$Z$11)/DATOSAÑO!$Y$11</f>
        <v>2.7027993367091616</v>
      </c>
      <c r="U117" s="9">
        <f ca="1">DATOSAÑO!AH116</f>
        <v>9.1999999999970896</v>
      </c>
      <c r="V117" s="11">
        <f ca="1">(U117*DATOSAÑO!$Z$11)/DATOSAÑO!$Y$11</f>
        <v>0.16577169265144279</v>
      </c>
      <c r="W117" s="9">
        <f ca="1">DATOSAÑO!AI116</f>
        <v>41.30000000000291</v>
      </c>
      <c r="X117" s="11">
        <f ca="1">(W117*DATOSAÑO!$Z$11)/DATOSAÑO!$Y$11</f>
        <v>0.7441707507073082</v>
      </c>
      <c r="Y117" s="9">
        <f ca="1">DATOSAÑO!AJ116</f>
        <v>7</v>
      </c>
      <c r="Z117" s="11">
        <f ca="1">(Y117*DATOSAÑO!$Z$11)/DATOSAÑO!$Y$11</f>
        <v>0.12613063571309419</v>
      </c>
      <c r="AA117" s="9">
        <f ca="1">DATOSAÑO!AK116</f>
        <v>14.5</v>
      </c>
      <c r="AB117" s="11">
        <f ca="1">(AA117*DATOSAÑO!$Z$11)/DATOSAÑO!$Y$11</f>
        <v>0.26127060254855228</v>
      </c>
      <c r="AC117" s="9">
        <f ca="1">DATOSAÑO!AL116</f>
        <v>36.935999999999183</v>
      </c>
      <c r="AD117" s="11">
        <f ca="1">(AC117*DATOSAÑO!$Z$11)/DATOSAÑO!$Y$11</f>
        <v>0.66553730867124916</v>
      </c>
      <c r="AE117" s="9">
        <f ca="1">DATOSAÑO!AM116</f>
        <v>7.2760000000002609</v>
      </c>
      <c r="AF117" s="11">
        <f ca="1">(AE117*DATOSAÑO!$Z$11)/DATOSAÑO!$Y$11</f>
        <v>0.13110378649264376</v>
      </c>
      <c r="AG117" s="9">
        <f ca="1">DATOSAÑO!AN116</f>
        <v>3.8579999999993633</v>
      </c>
      <c r="AH117" s="11">
        <f ca="1">(AG117*DATOSAÑO!$Z$11)/DATOSAÑO!$Y$11</f>
        <v>6.9515998940148149E-2</v>
      </c>
      <c r="AI117" s="9">
        <f ca="1">DATOSAÑO!BJ116</f>
        <v>2.2999999999999998</v>
      </c>
      <c r="AJ117" s="11">
        <f ca="1">(AI117*DATOSAÑO!$Z$11)/DATOSAÑO!$Y$11</f>
        <v>4.1442923162873804E-2</v>
      </c>
      <c r="AK117" s="9">
        <f ca="1">DATOSAÑO!BM116</f>
        <v>0</v>
      </c>
      <c r="AL117" s="11">
        <f ca="1">(AK117*DATOSAÑO!$Z$11)/DATOSAÑO!$Y$11</f>
        <v>0</v>
      </c>
      <c r="AM117" s="9">
        <f ca="1">DATOSAÑO!BP116</f>
        <v>4.6239999999999997</v>
      </c>
      <c r="AN117" s="11">
        <f ca="1">(AM117*DATOSAÑO!$Z$11)/DATOSAÑO!$Y$11</f>
        <v>8.3318294219621072E-2</v>
      </c>
      <c r="AO117" s="9">
        <f ca="1">DATOSAÑO!BW116</f>
        <v>9.5379999999997658</v>
      </c>
      <c r="AP117" s="11">
        <f ca="1">(AO117*DATOSAÑO!$Z$11)/DATOSAÑO!$Y$11</f>
        <v>0.171862000490209</v>
      </c>
      <c r="AQ117" s="9">
        <f ca="1">DATOSAÑO!CC116</f>
        <v>2.8851999999997453</v>
      </c>
      <c r="AR117" s="1348">
        <f ca="1">(AQ117*DATOSAÑO!$Z$11)/DATOSAÑO!$Y$11</f>
        <v>5.1987444308483892E-2</v>
      </c>
      <c r="AS117" s="1384">
        <f t="shared" si="5"/>
        <v>16</v>
      </c>
    </row>
    <row r="118" spans="1:45" ht="16.5" customHeight="1">
      <c r="A118" s="1408">
        <v>45033</v>
      </c>
      <c r="B118" s="1869">
        <v>45033</v>
      </c>
      <c r="C118" s="86">
        <f ca="1">DATOSAÑO!I117</f>
        <v>427</v>
      </c>
      <c r="D118" s="87">
        <f ca="1">DATOSAÑO!$D117</f>
        <v>6.1114535545866779</v>
      </c>
      <c r="E118" s="88">
        <f ca="1">DATOSAÑO!$G117</f>
        <v>0</v>
      </c>
      <c r="F118" s="9">
        <f ca="1">DATOSAÑO!P117</f>
        <v>0</v>
      </c>
      <c r="G118" s="10">
        <f ca="1">DATOSAÑO!K117</f>
        <v>0</v>
      </c>
      <c r="H118" s="11">
        <f ca="1">DATOSAÑO!N117</f>
        <v>0</v>
      </c>
      <c r="I118" s="9">
        <f ca="1">DATOSAÑO!Q117</f>
        <v>1.7300000000000182</v>
      </c>
      <c r="J118" s="11">
        <f ca="1">DATOSAÑO!R117</f>
        <v>207.60000000000218</v>
      </c>
      <c r="K118" s="9">
        <f ca="1">DATOSAÑO!T117</f>
        <v>7.9139999999999873</v>
      </c>
      <c r="L118" s="11">
        <f t="shared" ca="1" si="3"/>
        <v>949.67999999999847</v>
      </c>
      <c r="M118" s="9"/>
      <c r="N118" s="11">
        <f t="shared" si="4"/>
        <v>0</v>
      </c>
      <c r="O118" s="9">
        <f>DATOSAÑO!CK117</f>
        <v>0.4</v>
      </c>
      <c r="P118" s="9">
        <f>DATOSAÑO!CL117</f>
        <v>1</v>
      </c>
      <c r="Q118" s="9">
        <f ca="1">DATOSAÑO!AD117</f>
        <v>163</v>
      </c>
      <c r="R118" s="11">
        <f ca="1">(Q118*DATOSAÑO!$Z$11)/DATOSAÑO!$Y$11</f>
        <v>2.9370419458906221</v>
      </c>
      <c r="S118" s="9">
        <f ca="1">DATOSAÑO!AF117</f>
        <v>147</v>
      </c>
      <c r="T118" s="11">
        <f ca="1">(S118*DATOSAÑO!$Z$11)/DATOSAÑO!$Y$11</f>
        <v>2.648743349974978</v>
      </c>
      <c r="U118" s="9">
        <f ca="1">DATOSAÑO!AH117</f>
        <v>7.5999999999985448</v>
      </c>
      <c r="V118" s="11">
        <f ca="1">(U118*DATOSAÑO!$Z$11)/DATOSAÑO!$Y$11</f>
        <v>0.13694183305990462</v>
      </c>
      <c r="W118" s="9">
        <f ca="1">DATOSAÑO!AI117</f>
        <v>39.30000000000291</v>
      </c>
      <c r="X118" s="11">
        <f ca="1">(W118*DATOSAÑO!$Z$11)/DATOSAÑO!$Y$11</f>
        <v>0.7081334262178528</v>
      </c>
      <c r="Y118" s="9">
        <f ca="1">DATOSAÑO!AJ117</f>
        <v>7</v>
      </c>
      <c r="Z118" s="11">
        <f ca="1">(Y118*DATOSAÑO!$Z$11)/DATOSAÑO!$Y$11</f>
        <v>0.12613063571309419</v>
      </c>
      <c r="AA118" s="9">
        <f ca="1">DATOSAÑO!AK117</f>
        <v>13.800000000017462</v>
      </c>
      <c r="AB118" s="11">
        <f ca="1">(AA118*DATOSAÑO!$Z$11)/DATOSAÑO!$Y$11</f>
        <v>0.24865753897755752</v>
      </c>
      <c r="AC118" s="9">
        <f ca="1">DATOSAÑO!AL117</f>
        <v>38.543999999979633</v>
      </c>
      <c r="AD118" s="11">
        <f ca="1">(AC118*DATOSAÑO!$Z$11)/DATOSAÑO!$Y$11</f>
        <v>0.69451131756041906</v>
      </c>
      <c r="AE118" s="9">
        <f ca="1">DATOSAÑO!AM117</f>
        <v>3.0390000000022841</v>
      </c>
      <c r="AF118" s="11">
        <f ca="1">(AE118*DATOSAÑO!$Z$11)/DATOSAÑO!$Y$11</f>
        <v>5.4758714561768763E-2</v>
      </c>
      <c r="AG118" s="9">
        <f ca="1">DATOSAÑO!AN117</f>
        <v>3.844000000000273</v>
      </c>
      <c r="AH118" s="11">
        <f ca="1">(AG118*DATOSAÑO!$Z$11)/DATOSAÑO!$Y$11</f>
        <v>6.9263737668738362E-2</v>
      </c>
      <c r="AI118" s="9">
        <f ca="1">DATOSAÑO!BJ117</f>
        <v>2.2000000000000002</v>
      </c>
      <c r="AJ118" s="11">
        <f ca="1">(AI118*DATOSAÑO!$Z$11)/DATOSAÑO!$Y$11</f>
        <v>3.9641056938401038E-2</v>
      </c>
      <c r="AK118" s="9">
        <f ca="1">DATOSAÑO!BM117</f>
        <v>0</v>
      </c>
      <c r="AL118" s="11">
        <f ca="1">(AK118*DATOSAÑO!$Z$11)/DATOSAÑO!$Y$11</f>
        <v>0</v>
      </c>
      <c r="AM118" s="9">
        <f ca="1">DATOSAÑO!BP117</f>
        <v>4.7610000000000001</v>
      </c>
      <c r="AN118" s="11">
        <f ca="1">(AM118*DATOSAÑO!$Z$11)/DATOSAÑO!$Y$11</f>
        <v>8.5786850947148788E-2</v>
      </c>
      <c r="AO118" s="9">
        <f ca="1">DATOSAÑO!BW117</f>
        <v>6.7195000000000507</v>
      </c>
      <c r="AP118" s="11">
        <f ca="1">(AO118*DATOSAÑO!$Z$11)/DATOSAÑO!$Y$11</f>
        <v>0.12107640095344897</v>
      </c>
      <c r="AQ118" s="9">
        <f ca="1">DATOSAÑO!CC117</f>
        <v>2.8936000000001094</v>
      </c>
      <c r="AR118" s="1348">
        <f ca="1">(AQ118*DATOSAÑO!$Z$11)/DATOSAÑO!$Y$11</f>
        <v>5.2138801071346164E-2</v>
      </c>
      <c r="AS118" s="1384">
        <f t="shared" si="5"/>
        <v>16</v>
      </c>
    </row>
    <row r="119" spans="1:45">
      <c r="A119" s="1408">
        <v>45034</v>
      </c>
      <c r="B119" s="1869">
        <v>45034</v>
      </c>
      <c r="C119" s="86">
        <f ca="1">DATOSAÑO!I118</f>
        <v>438</v>
      </c>
      <c r="D119" s="87">
        <f ca="1">DATOSAÑO!$D118</f>
        <v>6.2034591353331034</v>
      </c>
      <c r="E119" s="88">
        <f ca="1">DATOSAÑO!$G118</f>
        <v>0</v>
      </c>
      <c r="F119" s="9">
        <f ca="1">DATOSAÑO!P118</f>
        <v>0</v>
      </c>
      <c r="G119" s="10">
        <f ca="1">DATOSAÑO!K118</f>
        <v>0</v>
      </c>
      <c r="H119" s="11">
        <f ca="1">DATOSAÑO!N118</f>
        <v>0</v>
      </c>
      <c r="I119" s="9">
        <f ca="1">DATOSAÑO!Q118</f>
        <v>0</v>
      </c>
      <c r="J119" s="11">
        <f ca="1">DATOSAÑO!R118</f>
        <v>0</v>
      </c>
      <c r="K119" s="9">
        <f ca="1">DATOSAÑO!T118</f>
        <v>10.381999999999948</v>
      </c>
      <c r="L119" s="11">
        <f t="shared" ca="1" si="3"/>
        <v>1245.8399999999938</v>
      </c>
      <c r="M119" s="9"/>
      <c r="N119" s="11">
        <f t="shared" si="4"/>
        <v>0</v>
      </c>
      <c r="O119" s="9">
        <f>DATOSAÑO!CK118</f>
        <v>0</v>
      </c>
      <c r="P119" s="9">
        <f>DATOSAÑO!CL118</f>
        <v>1</v>
      </c>
      <c r="Q119" s="9">
        <f ca="1">DATOSAÑO!AD118</f>
        <v>166</v>
      </c>
      <c r="R119" s="11">
        <f ca="1">(Q119*DATOSAÑO!$Z$11)/DATOSAÑO!$Y$11</f>
        <v>2.9910979326248053</v>
      </c>
      <c r="S119" s="9">
        <f ca="1">DATOSAÑO!AF118</f>
        <v>147</v>
      </c>
      <c r="T119" s="11">
        <f ca="1">(S119*DATOSAÑO!$Z$11)/DATOSAÑO!$Y$11</f>
        <v>2.648743349974978</v>
      </c>
      <c r="U119" s="9">
        <f ca="1">DATOSAÑO!AH118</f>
        <v>15.600000000005821</v>
      </c>
      <c r="V119" s="11">
        <f ca="1">(U119*DATOSAÑO!$Z$11)/DATOSAÑO!$Y$11</f>
        <v>0.28109113101785765</v>
      </c>
      <c r="W119" s="9">
        <f ca="1">DATOSAÑO!AI118</f>
        <v>39.799999999995634</v>
      </c>
      <c r="X119" s="11">
        <f ca="1">(W119*DATOSAÑO!$Z$11)/DATOSAÑO!$Y$11</f>
        <v>0.71714275734008548</v>
      </c>
      <c r="Y119" s="9">
        <f ca="1">DATOSAÑO!AJ118</f>
        <v>5.6000000000058208</v>
      </c>
      <c r="Z119" s="11">
        <f ca="1">(Y119*DATOSAÑO!$Z$11)/DATOSAÑO!$Y$11</f>
        <v>0.10090450857058024</v>
      </c>
      <c r="AA119" s="9">
        <f ca="1">DATOSAÑO!AK118</f>
        <v>14.399999999994179</v>
      </c>
      <c r="AB119" s="11">
        <f ca="1">(AA119*DATOSAÑO!$Z$11)/DATOSAÑO!$Y$11</f>
        <v>0.2594687363239746</v>
      </c>
      <c r="AC119" s="9">
        <f ca="1">DATOSAÑO!AL118</f>
        <v>41.78200000000146</v>
      </c>
      <c r="AD119" s="11">
        <f ca="1">(AC119*DATOSAÑO!$Z$11)/DATOSAÑO!$Y$11</f>
        <v>0.75285574590924087</v>
      </c>
      <c r="AE119" s="9">
        <f ca="1">DATOSAÑO!AM118</f>
        <v>0.56299999999673722</v>
      </c>
      <c r="AF119" s="11">
        <f ca="1">(AE119*DATOSAÑO!$Z$11)/DATOSAÑO!$Y$11</f>
        <v>1.0144506843722928E-2</v>
      </c>
      <c r="AG119" s="9">
        <f ca="1">DATOSAÑO!AN118</f>
        <v>3.7020000000003641</v>
      </c>
      <c r="AH119" s="11">
        <f ca="1">(AG119*DATOSAÑO!$Z$11)/DATOSAÑO!$Y$11</f>
        <v>6.6705087629988669E-2</v>
      </c>
      <c r="AI119" s="9">
        <f ca="1">DATOSAÑO!BJ118</f>
        <v>2.2000000000000002</v>
      </c>
      <c r="AJ119" s="11">
        <f ca="1">(AI119*DATOSAÑO!$Z$11)/DATOSAÑO!$Y$11</f>
        <v>3.9641056938401038E-2</v>
      </c>
      <c r="AK119" s="9">
        <f ca="1">DATOSAÑO!BM118</f>
        <v>0</v>
      </c>
      <c r="AL119" s="11">
        <f ca="1">(AK119*DATOSAÑO!$Z$11)/DATOSAÑO!$Y$11</f>
        <v>0</v>
      </c>
      <c r="AM119" s="9">
        <f ca="1">DATOSAÑO!BP118</f>
        <v>4.8369999999999997</v>
      </c>
      <c r="AN119" s="11">
        <f ca="1">(AM119*DATOSAÑO!$Z$11)/DATOSAÑO!$Y$11</f>
        <v>8.7156269277748083E-2</v>
      </c>
      <c r="AO119" s="9">
        <f ca="1">DATOSAÑO!BW118</f>
        <v>5.7814999999983687</v>
      </c>
      <c r="AP119" s="11">
        <f ca="1">(AO119*DATOSAÑO!$Z$11)/DATOSAÑO!$Y$11</f>
        <v>0.10417489576786405</v>
      </c>
      <c r="AQ119" s="9">
        <f ca="1">DATOSAÑO!CC118</f>
        <v>2.8788000000001457</v>
      </c>
      <c r="AR119" s="1348">
        <f ca="1">(AQ119*DATOSAÑO!$Z$11)/DATOSAÑO!$Y$11</f>
        <v>5.1872124870124846E-2</v>
      </c>
      <c r="AS119" s="1384">
        <f t="shared" si="5"/>
        <v>16</v>
      </c>
    </row>
    <row r="120" spans="1:45" ht="16.5" customHeight="1">
      <c r="A120" s="1408">
        <v>45035</v>
      </c>
      <c r="B120" s="1869">
        <v>45035</v>
      </c>
      <c r="C120" s="86">
        <f ca="1">DATOSAÑO!I119</f>
        <v>326</v>
      </c>
      <c r="D120" s="87">
        <f ca="1">DATOSAÑO!$D119</f>
        <v>5.266675040460413</v>
      </c>
      <c r="E120" s="88">
        <f ca="1">DATOSAÑO!$G119</f>
        <v>0</v>
      </c>
      <c r="F120" s="9">
        <f ca="1">DATOSAÑO!P119</f>
        <v>0</v>
      </c>
      <c r="G120" s="10">
        <f ca="1">DATOSAÑO!K119</f>
        <v>0</v>
      </c>
      <c r="H120" s="11">
        <f ca="1">DATOSAÑO!N119</f>
        <v>0</v>
      </c>
      <c r="I120" s="9">
        <f ca="1">DATOSAÑO!Q119</f>
        <v>0</v>
      </c>
      <c r="J120" s="11">
        <f ca="1">DATOSAÑO!R119</f>
        <v>0</v>
      </c>
      <c r="K120" s="9">
        <f ca="1">DATOSAÑO!T119</f>
        <v>2.94500000000005</v>
      </c>
      <c r="L120" s="11">
        <f t="shared" ca="1" si="3"/>
        <v>353.400000000006</v>
      </c>
      <c r="M120" s="9"/>
      <c r="N120" s="11">
        <f t="shared" si="4"/>
        <v>0</v>
      </c>
      <c r="O120" s="9">
        <f>DATOSAÑO!CK119</f>
        <v>0</v>
      </c>
      <c r="P120" s="9">
        <f>DATOSAÑO!CL119</f>
        <v>0</v>
      </c>
      <c r="Q120" s="9">
        <f ca="1">DATOSAÑO!AD119</f>
        <v>166</v>
      </c>
      <c r="R120" s="11">
        <f ca="1">(Q120*DATOSAÑO!$Z$11)/DATOSAÑO!$Y$11</f>
        <v>2.9910979326248053</v>
      </c>
      <c r="S120" s="9">
        <f ca="1">DATOSAÑO!AF119</f>
        <v>41</v>
      </c>
      <c r="T120" s="11">
        <f ca="1">(S120*DATOSAÑO!$Z$11)/DATOSAÑO!$Y$11</f>
        <v>0.73876515203383741</v>
      </c>
      <c r="U120" s="9">
        <f ca="1">DATOSAÑO!AH119</f>
        <v>7.1999999999970896</v>
      </c>
      <c r="V120" s="11">
        <f ca="1">(U120*DATOSAÑO!$Z$11)/DATOSAÑO!$Y$11</f>
        <v>0.1297343681619873</v>
      </c>
      <c r="W120" s="9">
        <f ca="1">DATOSAÑO!AI119</f>
        <v>40.5</v>
      </c>
      <c r="X120" s="11">
        <f ca="1">(W120*DATOSAÑO!$Z$11)/DATOSAÑO!$Y$11</f>
        <v>0.72975582091147351</v>
      </c>
      <c r="Y120" s="9">
        <f ca="1">DATOSAÑO!AJ119</f>
        <v>6.5999999999912689</v>
      </c>
      <c r="Z120" s="11">
        <f ca="1">(Y120*DATOSAÑO!$Z$11)/DATOSAÑO!$Y$11</f>
        <v>0.11892317081504578</v>
      </c>
      <c r="AA120" s="9">
        <f ca="1">DATOSAÑO!AK119</f>
        <v>10</v>
      </c>
      <c r="AB120" s="11">
        <f ca="1">(AA120*DATOSAÑO!$Z$11)/DATOSAÑO!$Y$11</f>
        <v>0.18018662244727743</v>
      </c>
      <c r="AC120" s="9">
        <f ca="1">DATOSAÑO!AL119</f>
        <v>35.645000000011692</v>
      </c>
      <c r="AD120" s="11">
        <f ca="1">(AC120*DATOSAÑO!$Z$11)/DATOSAÑO!$Y$11</f>
        <v>0.64227521571353097</v>
      </c>
      <c r="AE120" s="9">
        <f ca="1">DATOSAÑO!AM119</f>
        <v>4.6059999999995425</v>
      </c>
      <c r="AF120" s="11">
        <f ca="1">(AE120*DATOSAÑO!$Z$11)/DATOSAÑO!$Y$11</f>
        <v>8.2993958299207735E-2</v>
      </c>
      <c r="AG120" s="9">
        <f ca="1">DATOSAÑO!AN119</f>
        <v>3.5840000000000911</v>
      </c>
      <c r="AH120" s="11">
        <f ca="1">(AG120*DATOSAÑO!$Z$11)/DATOSAÑO!$Y$11</f>
        <v>6.4578885485105875E-2</v>
      </c>
      <c r="AI120" s="9">
        <f ca="1">DATOSAÑO!BJ119</f>
        <v>2.2000000000000002</v>
      </c>
      <c r="AJ120" s="11">
        <f ca="1">(AI120*DATOSAÑO!$Z$11)/DATOSAÑO!$Y$11</f>
        <v>3.9641056938401038E-2</v>
      </c>
      <c r="AK120" s="9">
        <f ca="1">DATOSAÑO!BM119</f>
        <v>0</v>
      </c>
      <c r="AL120" s="11">
        <f ca="1">(AK120*DATOSAÑO!$Z$11)/DATOSAÑO!$Y$11</f>
        <v>0</v>
      </c>
      <c r="AM120" s="9">
        <f ca="1">DATOSAÑO!BP119</f>
        <v>4.694</v>
      </c>
      <c r="AN120" s="11">
        <f ca="1">(AM120*DATOSAÑO!$Z$11)/DATOSAÑO!$Y$11</f>
        <v>8.4579600576752026E-2</v>
      </c>
      <c r="AO120" s="9">
        <f ca="1">DATOSAÑO!BW119</f>
        <v>7.9030000000001355</v>
      </c>
      <c r="AP120" s="11">
        <f ca="1">(AO120*DATOSAÑO!$Z$11)/DATOSAÑO!$Y$11</f>
        <v>0.14240148772008579</v>
      </c>
      <c r="AQ120" s="9">
        <f ca="1">DATOSAÑO!CC119</f>
        <v>2.7496000000000365</v>
      </c>
      <c r="AR120" s="1348">
        <f ca="1">(AQ120*DATOSAÑO!$Z$11)/DATOSAÑO!$Y$11</f>
        <v>4.9544113708104055E-2</v>
      </c>
      <c r="AS120" s="1384">
        <f t="shared" si="5"/>
        <v>16</v>
      </c>
    </row>
    <row r="121" spans="1:45">
      <c r="A121" s="1408">
        <v>45036</v>
      </c>
      <c r="B121" s="1869">
        <v>45036</v>
      </c>
      <c r="C121" s="86">
        <f ca="1">DATOSAÑO!I120</f>
        <v>265</v>
      </c>
      <c r="D121" s="87">
        <f ca="1">DATOSAÑO!$D120</f>
        <v>4.7564622745029652</v>
      </c>
      <c r="E121" s="88">
        <f ca="1">DATOSAÑO!$G120</f>
        <v>0</v>
      </c>
      <c r="F121" s="9">
        <f ca="1">DATOSAÑO!P120</f>
        <v>100.20000000000437</v>
      </c>
      <c r="G121" s="10">
        <f ca="1">DATOSAÑO!K120</f>
        <v>3.3780513920474728</v>
      </c>
      <c r="H121" s="11">
        <f ca="1">DATOSAÑO!N120</f>
        <v>0</v>
      </c>
      <c r="I121" s="9">
        <f ca="1">DATOSAÑO!Q120</f>
        <v>0</v>
      </c>
      <c r="J121" s="11">
        <f ca="1">DATOSAÑO!R120</f>
        <v>0</v>
      </c>
      <c r="K121" s="9">
        <f ca="1">DATOSAÑO!T120</f>
        <v>0</v>
      </c>
      <c r="L121" s="11">
        <f t="shared" ca="1" si="3"/>
        <v>0</v>
      </c>
      <c r="M121" s="9"/>
      <c r="N121" s="11">
        <f t="shared" si="4"/>
        <v>0</v>
      </c>
      <c r="O121" s="9">
        <f>DATOSAÑO!CK120</f>
        <v>0</v>
      </c>
      <c r="P121" s="9">
        <f>DATOSAÑO!CL120</f>
        <v>0</v>
      </c>
      <c r="Q121" s="9">
        <f ca="1">DATOSAÑO!AD120</f>
        <v>163.46900000004098</v>
      </c>
      <c r="R121" s="11">
        <f ca="1">(Q121*DATOSAÑO!$Z$11)/DATOSAÑO!$Y$11</f>
        <v>2.9454926984841374</v>
      </c>
      <c r="S121" s="9">
        <f ca="1">DATOSAÑO!AF120</f>
        <v>78</v>
      </c>
      <c r="T121" s="11">
        <f ca="1">(S121*DATOSAÑO!$Z$11)/DATOSAÑO!$Y$11</f>
        <v>1.4054556550887638</v>
      </c>
      <c r="U121" s="9">
        <f ca="1">DATOSAÑO!AH120</f>
        <v>7.1999999999970896</v>
      </c>
      <c r="V121" s="11">
        <f ca="1">(U121*DATOSAÑO!$Z$11)/DATOSAÑO!$Y$11</f>
        <v>0.1297343681619873</v>
      </c>
      <c r="W121" s="9">
        <f ca="1">DATOSAÑO!AI120</f>
        <v>39.400000000001455</v>
      </c>
      <c r="X121" s="11">
        <f ca="1">(W121*DATOSAÑO!$Z$11)/DATOSAÑO!$Y$11</f>
        <v>0.70993529244229925</v>
      </c>
      <c r="Y121" s="9">
        <f ca="1">DATOSAÑO!AJ120</f>
        <v>6.6000000000058208</v>
      </c>
      <c r="Z121" s="11">
        <f ca="1">(Y121*DATOSAÑO!$Z$11)/DATOSAÑO!$Y$11</f>
        <v>0.11892317081530798</v>
      </c>
      <c r="AA121" s="9">
        <f ca="1">DATOSAÑO!AK120</f>
        <v>10</v>
      </c>
      <c r="AB121" s="11">
        <f ca="1">(AA121*DATOSAÑO!$Z$11)/DATOSAÑO!$Y$11</f>
        <v>0.18018662244727743</v>
      </c>
      <c r="AC121" s="9">
        <f ca="1">DATOSAÑO!AL120</f>
        <v>32.330999999958294</v>
      </c>
      <c r="AD121" s="11">
        <f ca="1">(AC121*DATOSAÑO!$Z$11)/DATOSAÑO!$Y$11</f>
        <v>0.58256136903354117</v>
      </c>
      <c r="AE121" s="9">
        <f ca="1">DATOSAÑO!AM120</f>
        <v>12.005000000001733</v>
      </c>
      <c r="AF121" s="11">
        <f ca="1">(AE121*DATOSAÑO!$Z$11)/DATOSAÑO!$Y$11</f>
        <v>0.21631404024798778</v>
      </c>
      <c r="AG121" s="9">
        <f ca="1">DATOSAÑO!AN120</f>
        <v>2.7989999999993636</v>
      </c>
      <c r="AH121" s="11">
        <f ca="1">(AG121*DATOSAÑO!$Z$11)/DATOSAÑO!$Y$11</f>
        <v>5.0434235622981487E-2</v>
      </c>
      <c r="AI121" s="9">
        <f ca="1">DATOSAÑO!BJ120</f>
        <v>2.16</v>
      </c>
      <c r="AJ121" s="11">
        <f ca="1">(AI121*DATOSAÑO!$Z$11)/DATOSAÑO!$Y$11</f>
        <v>3.8920310448611925E-2</v>
      </c>
      <c r="AK121" s="9">
        <f ca="1">DATOSAÑO!BM120</f>
        <v>0</v>
      </c>
      <c r="AL121" s="11">
        <f ca="1">(AK121*DATOSAÑO!$Z$11)/DATOSAÑO!$Y$11</f>
        <v>0</v>
      </c>
      <c r="AM121" s="9">
        <f ca="1">DATOSAÑO!BP120</f>
        <v>4.4349999999999996</v>
      </c>
      <c r="AN121" s="11">
        <f ca="1">(AM121*DATOSAÑO!$Z$11)/DATOSAÑO!$Y$11</f>
        <v>7.9912767055367526E-2</v>
      </c>
      <c r="AO121" s="9">
        <f ca="1">DATOSAÑO!BW120</f>
        <v>11.402500000000503</v>
      </c>
      <c r="AP121" s="11">
        <f ca="1">(AO121*DATOSAÑO!$Z$11)/DATOSAÑO!$Y$11</f>
        <v>0.20545779624551713</v>
      </c>
      <c r="AQ121" s="9">
        <f ca="1">DATOSAÑO!CC120</f>
        <v>2.5205999999997455</v>
      </c>
      <c r="AR121" s="1348">
        <f ca="1">(AQ121*DATOSAÑO!$Z$11)/DATOSAÑO!$Y$11</f>
        <v>4.5417840054056163E-2</v>
      </c>
      <c r="AS121" s="1384">
        <f t="shared" si="5"/>
        <v>16</v>
      </c>
    </row>
    <row r="122" spans="1:45" ht="16.5" customHeight="1">
      <c r="A122" s="1408">
        <v>45037</v>
      </c>
      <c r="B122" s="1869">
        <v>45037</v>
      </c>
      <c r="C122" s="86">
        <f ca="1">DATOSAÑO!I121</f>
        <v>216</v>
      </c>
      <c r="D122" s="87">
        <f ca="1">DATOSAÑO!$D121</f>
        <v>4.3466192329961642</v>
      </c>
      <c r="E122" s="88">
        <f ca="1">DATOSAÑO!$G121</f>
        <v>0</v>
      </c>
      <c r="F122" s="9">
        <f ca="1">DATOSAÑO!P121</f>
        <v>113.79999999999563</v>
      </c>
      <c r="G122" s="10">
        <f ca="1">DATOSAÑO!K121</f>
        <v>3.491803746424798</v>
      </c>
      <c r="H122" s="11">
        <f ca="1">DATOSAÑO!N121</f>
        <v>0</v>
      </c>
      <c r="I122" s="9">
        <f ca="1">DATOSAÑO!Q121</f>
        <v>2.3489999999999327</v>
      </c>
      <c r="J122" s="11">
        <f ca="1">DATOSAÑO!R121</f>
        <v>281.87999999999192</v>
      </c>
      <c r="K122" s="9">
        <f ca="1">DATOSAÑO!T121</f>
        <v>0.24500000000000455</v>
      </c>
      <c r="L122" s="11">
        <f t="shared" ca="1" si="3"/>
        <v>29.400000000000546</v>
      </c>
      <c r="M122" s="9"/>
      <c r="N122" s="11">
        <f t="shared" si="4"/>
        <v>0</v>
      </c>
      <c r="O122" s="9">
        <f>DATOSAÑO!CK121</f>
        <v>2.2999999999999998</v>
      </c>
      <c r="P122" s="9">
        <f>DATOSAÑO!CL121</f>
        <v>0.2</v>
      </c>
      <c r="Q122" s="9">
        <f ca="1">DATOSAÑO!AD121</f>
        <v>125.53099999995902</v>
      </c>
      <c r="R122" s="11">
        <f ca="1">(Q122*DATOSAÑO!$Z$11)/DATOSAÑO!$Y$11</f>
        <v>2.2619006902421797</v>
      </c>
      <c r="S122" s="9">
        <f ca="1">DATOSAÑO!AF121</f>
        <v>84</v>
      </c>
      <c r="T122" s="11">
        <f ca="1">(S122*DATOSAÑO!$Z$11)/DATOSAÑO!$Y$11</f>
        <v>1.5135676285571305</v>
      </c>
      <c r="U122" s="9">
        <f ca="1">DATOSAÑO!AH121</f>
        <v>14.30000000000291</v>
      </c>
      <c r="V122" s="11">
        <f ca="1">(U122*DATOSAÑO!$Z$11)/DATOSAÑO!$Y$11</f>
        <v>0.25766687009965916</v>
      </c>
      <c r="W122" s="9">
        <f ca="1">DATOSAÑO!AI121</f>
        <v>37.900000000001455</v>
      </c>
      <c r="X122" s="11">
        <f ca="1">(W122*DATOSAÑO!$Z$11)/DATOSAÑO!$Y$11</f>
        <v>0.68290729907520764</v>
      </c>
      <c r="Y122" s="9">
        <f ca="1">DATOSAÑO!AJ121</f>
        <v>6.3000000000029104</v>
      </c>
      <c r="Z122" s="11">
        <f ca="1">(Y122*DATOSAÑO!$Z$11)/DATOSAÑO!$Y$11</f>
        <v>0.11351757214183721</v>
      </c>
      <c r="AA122" s="9">
        <f ca="1">DATOSAÑO!AK121</f>
        <v>12</v>
      </c>
      <c r="AB122" s="11">
        <f ca="1">(AA122*DATOSAÑO!$Z$11)/DATOSAÑO!$Y$11</f>
        <v>0.21622394693673291</v>
      </c>
      <c r="AC122" s="9">
        <f ca="1">DATOSAÑO!AL121</f>
        <v>33.263000000027091</v>
      </c>
      <c r="AD122" s="11">
        <f ca="1">(AC122*DATOSAÑO!$Z$11)/DATOSAÑO!$Y$11</f>
        <v>0.59935476224686701</v>
      </c>
      <c r="AE122" s="9">
        <f ca="1">DATOSAÑO!AM121</f>
        <v>8.8635000000006396</v>
      </c>
      <c r="AF122" s="11">
        <f ca="1">(AE122*DATOSAÑO!$Z$11)/DATOSAÑO!$Y$11</f>
        <v>0.15970841280615586</v>
      </c>
      <c r="AG122" s="9">
        <f ca="1">DATOSAÑO!AN121</f>
        <v>0.52400000000081848</v>
      </c>
      <c r="AH122" s="11">
        <f ca="1">(AG122*DATOSAÑO!$Z$11)/DATOSAÑO!$Y$11</f>
        <v>9.4417790162520856E-3</v>
      </c>
      <c r="AI122" s="9">
        <f ca="1">DATOSAÑO!BJ121</f>
        <v>1.8414999999999999</v>
      </c>
      <c r="AJ122" s="11">
        <f ca="1">(AI122*DATOSAÑO!$Z$11)/DATOSAÑO!$Y$11</f>
        <v>3.3181366523666135E-2</v>
      </c>
      <c r="AK122" s="9">
        <f ca="1">DATOSAÑO!BM121</f>
        <v>0</v>
      </c>
      <c r="AL122" s="11">
        <f ca="1">(AK122*DATOSAÑO!$Z$11)/DATOSAÑO!$Y$11</f>
        <v>0</v>
      </c>
      <c r="AM122" s="9">
        <f ca="1">DATOSAÑO!BP121</f>
        <v>2.5950000000000002</v>
      </c>
      <c r="AN122" s="11">
        <f ca="1">(AM122*DATOSAÑO!$Z$11)/DATOSAÑO!$Y$11</f>
        <v>4.6758428525068493E-2</v>
      </c>
      <c r="AO122" s="9">
        <f ca="1">DATOSAÑO!BW121</f>
        <v>8.6317500000010483</v>
      </c>
      <c r="AP122" s="11">
        <f ca="1">(AO122*DATOSAÑO!$Z$11)/DATOSAÑO!$Y$11</f>
        <v>0.15553258783094759</v>
      </c>
      <c r="AQ122" s="9">
        <f ca="1">DATOSAÑO!CC121</f>
        <v>1.2856000000003274</v>
      </c>
      <c r="AR122" s="1348">
        <f ca="1">(AQ122*DATOSAÑO!$Z$11)/DATOSAÑO!$Y$11</f>
        <v>2.3164792181827886E-2</v>
      </c>
      <c r="AS122" s="1384">
        <f t="shared" si="5"/>
        <v>16</v>
      </c>
    </row>
    <row r="123" spans="1:45">
      <c r="A123" s="1408">
        <v>45038</v>
      </c>
      <c r="B123" s="1869">
        <v>45038</v>
      </c>
      <c r="C123" s="86">
        <f ca="1">DATOSAÑO!I122</f>
        <v>288</v>
      </c>
      <c r="D123" s="87">
        <f ca="1">DATOSAÑO!$D122</f>
        <v>4.9488375797000357</v>
      </c>
      <c r="E123" s="88">
        <f ca="1">DATOSAÑO!$G122</f>
        <v>0</v>
      </c>
      <c r="F123" s="9">
        <f ca="1">DATOSAÑO!P122</f>
        <v>153</v>
      </c>
      <c r="G123" s="10">
        <f ca="1">DATOSAÑO!K122</f>
        <v>3.8196781796302757</v>
      </c>
      <c r="H123" s="11">
        <f ca="1">DATOSAÑO!N122</f>
        <v>0</v>
      </c>
      <c r="I123" s="9">
        <f ca="1">DATOSAÑO!Q122</f>
        <v>0</v>
      </c>
      <c r="J123" s="11">
        <f ca="1">DATOSAÑO!R122</f>
        <v>0</v>
      </c>
      <c r="K123" s="9">
        <f ca="1">DATOSAÑO!T122</f>
        <v>0</v>
      </c>
      <c r="L123" s="11">
        <f t="shared" ca="1" si="3"/>
        <v>0</v>
      </c>
      <c r="M123" s="9"/>
      <c r="N123" s="11">
        <f t="shared" si="4"/>
        <v>0</v>
      </c>
      <c r="O123" s="9">
        <f>DATOSAÑO!CK122</f>
        <v>0</v>
      </c>
      <c r="P123" s="9">
        <f>DATOSAÑO!CL122</f>
        <v>0</v>
      </c>
      <c r="Q123" s="9">
        <f ca="1">DATOSAÑO!AD122</f>
        <v>165.80000000004657</v>
      </c>
      <c r="R123" s="11">
        <f ca="1">(Q123*DATOSAÑO!$Z$11)/DATOSAÑO!$Y$11</f>
        <v>2.9874942001766986</v>
      </c>
      <c r="S123" s="9">
        <f ca="1">DATOSAÑO!AF122</f>
        <v>149</v>
      </c>
      <c r="T123" s="11">
        <f ca="1">(S123*DATOSAÑO!$Z$11)/DATOSAÑO!$Y$11</f>
        <v>2.6847806744644336</v>
      </c>
      <c r="U123" s="9">
        <f ca="1">DATOSAÑO!AH122</f>
        <v>10</v>
      </c>
      <c r="V123" s="11">
        <f ca="1">(U123*DATOSAÑO!$Z$11)/DATOSAÑO!$Y$11</f>
        <v>0.18018662244727743</v>
      </c>
      <c r="W123" s="9">
        <f ca="1">DATOSAÑO!AI122</f>
        <v>35.599999999998545</v>
      </c>
      <c r="X123" s="11">
        <f ca="1">(W123*DATOSAÑO!$Z$11)/DATOSAÑO!$Y$11</f>
        <v>0.64146437591228145</v>
      </c>
      <c r="Y123" s="9">
        <f ca="1">DATOSAÑO!AJ122</f>
        <v>6.2999999999883585</v>
      </c>
      <c r="Z123" s="11">
        <f ca="1">(Y123*DATOSAÑO!$Z$11)/DATOSAÑO!$Y$11</f>
        <v>0.11351757214157501</v>
      </c>
      <c r="AA123" s="9">
        <f ca="1">DATOSAÑO!AK122</f>
        <v>13</v>
      </c>
      <c r="AB123" s="11">
        <f ca="1">(AA123*DATOSAÑO!$Z$11)/DATOSAÑO!$Y$11</f>
        <v>0.23424260918146064</v>
      </c>
      <c r="AC123" s="9">
        <f ca="1">DATOSAÑO!AL122</f>
        <v>32.399999999943191</v>
      </c>
      <c r="AD123" s="11">
        <f ca="1">(AC123*DATOSAÑO!$Z$11)/DATOSAÑO!$Y$11</f>
        <v>0.58380465672815529</v>
      </c>
      <c r="AE123" s="9">
        <f ca="1">DATOSAÑO!AM122</f>
        <v>9.4140000000234778</v>
      </c>
      <c r="AF123" s="11">
        <f ca="1">(AE123*DATOSAÑO!$Z$11)/DATOSAÑO!$Y$11</f>
        <v>0.16962768637229</v>
      </c>
      <c r="AG123" s="9">
        <f ca="1">DATOSAÑO!AN122</f>
        <v>2.8039999999998182</v>
      </c>
      <c r="AH123" s="11">
        <f ca="1">(AG123*DATOSAÑO!$Z$11)/DATOSAÑO!$Y$11</f>
        <v>5.0524328934213311E-2</v>
      </c>
      <c r="AI123" s="9">
        <f ca="1">DATOSAÑO!BJ122</f>
        <v>3.3839999999999999</v>
      </c>
      <c r="AJ123" s="11">
        <f ca="1">(AI123*DATOSAÑO!$Z$11)/DATOSAÑO!$Y$11</f>
        <v>6.0975153036158677E-2</v>
      </c>
      <c r="AK123" s="9">
        <f ca="1">DATOSAÑO!BM122</f>
        <v>0</v>
      </c>
      <c r="AL123" s="11">
        <f ca="1">(AK123*DATOSAÑO!$Z$11)/DATOSAÑO!$Y$11</f>
        <v>0</v>
      </c>
      <c r="AM123" s="9">
        <f ca="1">DATOSAÑO!BP122</f>
        <v>4.9020000000000001</v>
      </c>
      <c r="AN123" s="11">
        <f ca="1">(AM123*DATOSAÑO!$Z$11)/DATOSAÑO!$Y$11</f>
        <v>8.8327482323655393E-2</v>
      </c>
      <c r="AO123" s="9">
        <f ca="1">DATOSAÑO!BW122</f>
        <v>11.707000000011739</v>
      </c>
      <c r="AP123" s="11">
        <f ca="1">(AO123*DATOSAÑO!$Z$11)/DATOSAÑO!$Y$11</f>
        <v>0.21094447889923917</v>
      </c>
      <c r="AQ123" s="9">
        <f ca="1">DATOSAÑO!CC122</f>
        <v>2.517599999999927</v>
      </c>
      <c r="AR123" s="1348">
        <f ca="1">(AQ123*DATOSAÑO!$Z$11)/DATOSAÑO!$Y$11</f>
        <v>4.5363784067325254E-2</v>
      </c>
      <c r="AS123" s="1384">
        <f t="shared" si="5"/>
        <v>16</v>
      </c>
    </row>
    <row r="124" spans="1:45" ht="16.5" customHeight="1">
      <c r="A124" s="1408">
        <v>45039</v>
      </c>
      <c r="B124" s="1869">
        <v>45039</v>
      </c>
      <c r="C124" s="86">
        <f ca="1">DATOSAÑO!I123</f>
        <v>295</v>
      </c>
      <c r="D124" s="87">
        <f ca="1">DATOSAÑO!$D123</f>
        <v>5.0073865856295789</v>
      </c>
      <c r="E124" s="88">
        <f ca="1">DATOSAÑO!$G123</f>
        <v>0</v>
      </c>
      <c r="F124" s="9">
        <f ca="1">DATOSAÑO!P123</f>
        <v>155.40000000000146</v>
      </c>
      <c r="G124" s="10">
        <f ca="1">DATOSAÑO!K123</f>
        <v>3.8397521245204169</v>
      </c>
      <c r="H124" s="11">
        <f ca="1">DATOSAÑO!N123</f>
        <v>0</v>
      </c>
      <c r="I124" s="9">
        <f ca="1">DATOSAÑO!Q123</f>
        <v>0</v>
      </c>
      <c r="J124" s="11">
        <f ca="1">DATOSAÑO!R123</f>
        <v>0</v>
      </c>
      <c r="K124" s="9">
        <f ca="1">DATOSAÑO!T123</f>
        <v>0</v>
      </c>
      <c r="L124" s="11">
        <f t="shared" ca="1" si="3"/>
        <v>0</v>
      </c>
      <c r="M124" s="9"/>
      <c r="N124" s="11">
        <f t="shared" si="4"/>
        <v>0</v>
      </c>
      <c r="O124" s="9">
        <f>DATOSAÑO!CK123</f>
        <v>0</v>
      </c>
      <c r="P124" s="9">
        <f>DATOSAÑO!CL123</f>
        <v>0</v>
      </c>
      <c r="Q124" s="9">
        <f ca="1">DATOSAÑO!AD123</f>
        <v>170.19999999995343</v>
      </c>
      <c r="R124" s="11">
        <f ca="1">(Q124*DATOSAÑO!$Z$11)/DATOSAÑO!$Y$11</f>
        <v>3.0667763140518223</v>
      </c>
      <c r="S124" s="9">
        <f ca="1">DATOSAÑO!AF123</f>
        <v>156.5</v>
      </c>
      <c r="T124" s="11">
        <f ca="1">(S124*DATOSAÑO!$Z$11)/DATOSAÑO!$Y$11</f>
        <v>2.8199206412998916</v>
      </c>
      <c r="U124" s="9">
        <f ca="1">DATOSAÑO!AH123</f>
        <v>6.6999999999970896</v>
      </c>
      <c r="V124" s="11">
        <f ca="1">(U124*DATOSAÑO!$Z$11)/DATOSAÑO!$Y$11</f>
        <v>0.12072503703962342</v>
      </c>
      <c r="W124" s="9">
        <f ca="1">DATOSAÑO!AI123</f>
        <v>35.400000000001455</v>
      </c>
      <c r="X124" s="11">
        <f ca="1">(W124*DATOSAÑO!$Z$11)/DATOSAÑO!$Y$11</f>
        <v>0.63786064346338833</v>
      </c>
      <c r="Y124" s="9">
        <f ca="1">DATOSAÑO!AJ123</f>
        <v>6.2000000000116415</v>
      </c>
      <c r="Z124" s="11">
        <f ca="1">(Y124*DATOSAÑO!$Z$11)/DATOSAÑO!$Y$11</f>
        <v>0.11171570591752177</v>
      </c>
      <c r="AA124" s="9">
        <f ca="1">DATOSAÑO!AK123</f>
        <v>13</v>
      </c>
      <c r="AB124" s="11">
        <f ca="1">(AA124*DATOSAÑO!$Z$11)/DATOSAÑO!$Y$11</f>
        <v>0.23424260918146064</v>
      </c>
      <c r="AC124" s="9">
        <f ca="1">DATOSAÑO!AL123</f>
        <v>33.900000000063301</v>
      </c>
      <c r="AD124" s="11">
        <f ca="1">(AC124*DATOSAÑO!$Z$11)/DATOSAÑO!$Y$11</f>
        <v>0.61083265009741106</v>
      </c>
      <c r="AE124" s="9">
        <f ca="1">DATOSAÑO!AM123</f>
        <v>9.6929999999750667</v>
      </c>
      <c r="AF124" s="11">
        <f ca="1">(AE124*DATOSAÑO!$Z$11)/DATOSAÑO!$Y$11</f>
        <v>0.17465489313769675</v>
      </c>
      <c r="AG124" s="9">
        <f ca="1">DATOSAÑO!AN123</f>
        <v>2.3940000000001822</v>
      </c>
      <c r="AH124" s="11">
        <f ca="1">(AG124*DATOSAÑO!$Z$11)/DATOSAÑO!$Y$11</f>
        <v>4.3136677413881497E-2</v>
      </c>
      <c r="AI124" s="9">
        <f ca="1">DATOSAÑO!BJ123</f>
        <v>3.2879999999999998</v>
      </c>
      <c r="AJ124" s="11">
        <f ca="1">(AI124*DATOSAÑO!$Z$11)/DATOSAÑO!$Y$11</f>
        <v>5.9245361460664815E-2</v>
      </c>
      <c r="AK124" s="9">
        <f ca="1">DATOSAÑO!BM123</f>
        <v>0</v>
      </c>
      <c r="AL124" s="11">
        <f ca="1">(AK124*DATOSAÑO!$Z$11)/DATOSAÑO!$Y$11</f>
        <v>0</v>
      </c>
      <c r="AM124" s="9">
        <f ca="1">DATOSAÑO!BP123</f>
        <v>4.9189999999999996</v>
      </c>
      <c r="AN124" s="11">
        <f ca="1">(AM124*DATOSAÑO!$Z$11)/DATOSAÑO!$Y$11</f>
        <v>8.8633799581815748E-2</v>
      </c>
      <c r="AO124" s="9">
        <f ca="1">DATOSAÑO!BW123</f>
        <v>11.646499999986805</v>
      </c>
      <c r="AP124" s="11">
        <f ca="1">(AO124*DATOSAÑO!$Z$11)/DATOSAÑO!$Y$11</f>
        <v>0.2098543498329839</v>
      </c>
      <c r="AQ124" s="9">
        <f ca="1">DATOSAÑO!CC123</f>
        <v>2.3636000000000728</v>
      </c>
      <c r="AR124" s="1348">
        <f ca="1">(AQ124*DATOSAÑO!$Z$11)/DATOSAÑO!$Y$11</f>
        <v>4.2588910081639807E-2</v>
      </c>
      <c r="AS124" s="1384">
        <f t="shared" si="5"/>
        <v>17</v>
      </c>
    </row>
    <row r="125" spans="1:45">
      <c r="A125" s="1408">
        <v>45040</v>
      </c>
      <c r="B125" s="1869">
        <v>45040</v>
      </c>
      <c r="C125" s="86">
        <f ca="1">DATOSAÑO!I124</f>
        <v>302</v>
      </c>
      <c r="D125" s="87">
        <f ca="1">DATOSAÑO!$D124</f>
        <v>5.0659355915591222</v>
      </c>
      <c r="E125" s="88">
        <f ca="1">DATOSAÑO!$G124</f>
        <v>0</v>
      </c>
      <c r="F125" s="9">
        <f ca="1">DATOSAÑO!P124</f>
        <v>153</v>
      </c>
      <c r="G125" s="10">
        <f ca="1">DATOSAÑO!K124</f>
        <v>3.8196781796302757</v>
      </c>
      <c r="H125" s="11">
        <f ca="1">DATOSAÑO!N124</f>
        <v>0</v>
      </c>
      <c r="I125" s="9">
        <f ca="1">DATOSAÑO!Q124</f>
        <v>0</v>
      </c>
      <c r="J125" s="11">
        <f ca="1">DATOSAÑO!R124</f>
        <v>0</v>
      </c>
      <c r="K125" s="9">
        <f ca="1">DATOSAÑO!T124</f>
        <v>0</v>
      </c>
      <c r="L125" s="11">
        <f t="shared" ca="1" si="3"/>
        <v>0</v>
      </c>
      <c r="M125" s="9"/>
      <c r="N125" s="11">
        <f t="shared" si="4"/>
        <v>0</v>
      </c>
      <c r="O125" s="9">
        <f>DATOSAÑO!CK124</f>
        <v>0</v>
      </c>
      <c r="P125" s="9">
        <f>DATOSAÑO!CL124</f>
        <v>0</v>
      </c>
      <c r="Q125" s="9">
        <f ca="1">DATOSAÑO!AD124</f>
        <v>163.09999999997672</v>
      </c>
      <c r="R125" s="11">
        <f ca="1">(Q125*DATOSAÑO!$Z$11)/DATOSAÑO!$Y$11</f>
        <v>2.9388438121146754</v>
      </c>
      <c r="S125" s="9">
        <f ca="1">DATOSAÑO!AF124</f>
        <v>154.5</v>
      </c>
      <c r="T125" s="11">
        <f ca="1">(S125*DATOSAÑO!$Z$11)/DATOSAÑO!$Y$11</f>
        <v>2.783883316810436</v>
      </c>
      <c r="U125" s="9">
        <f ca="1">DATOSAÑO!AH124</f>
        <v>18.80000000000291</v>
      </c>
      <c r="V125" s="11">
        <f ca="1">(U125*DATOSAÑO!$Z$11)/DATOSAÑO!$Y$11</f>
        <v>0.33875085020093398</v>
      </c>
      <c r="W125" s="9">
        <f ca="1">DATOSAÑO!AI124</f>
        <v>34.900000000001455</v>
      </c>
      <c r="X125" s="11">
        <f ca="1">(W125*DATOSAÑO!$Z$11)/DATOSAÑO!$Y$11</f>
        <v>0.62885131234102443</v>
      </c>
      <c r="Y125" s="9">
        <f ca="1">DATOSAÑO!AJ124</f>
        <v>5.8999999999941792</v>
      </c>
      <c r="Z125" s="11">
        <f ca="1">(Y125*DATOSAÑO!$Z$11)/DATOSAÑO!$Y$11</f>
        <v>0.1063101072437888</v>
      </c>
      <c r="AA125" s="9">
        <f ca="1">DATOSAÑO!AK124</f>
        <v>14.299999999988358</v>
      </c>
      <c r="AB125" s="11">
        <f ca="1">(AA125*DATOSAÑO!$Z$11)/DATOSAÑO!$Y$11</f>
        <v>0.25766687009939698</v>
      </c>
      <c r="AC125" s="9">
        <f ca="1">DATOSAÑO!AL124</f>
        <v>35.400000000034197</v>
      </c>
      <c r="AD125" s="11">
        <f ca="1">(AC125*DATOSAÑO!$Z$11)/DATOSAÑO!$Y$11</f>
        <v>0.63786064346397819</v>
      </c>
      <c r="AE125" s="9">
        <f ca="1">DATOSAÑO!AM124</f>
        <v>10.152000000002342</v>
      </c>
      <c r="AF125" s="11">
        <f ca="1">(AE125*DATOSAÑO!$Z$11)/DATOSAÑO!$Y$11</f>
        <v>0.18292545910851823</v>
      </c>
      <c r="AG125" s="9">
        <f ca="1">DATOSAÑO!AN124</f>
        <v>3.0119999999998361</v>
      </c>
      <c r="AH125" s="11">
        <f ca="1">(AG125*DATOSAÑO!$Z$11)/DATOSAÑO!$Y$11</f>
        <v>5.4272210681117004E-2</v>
      </c>
      <c r="AI125" s="9">
        <f ca="1">DATOSAÑO!BJ124</f>
        <v>3.12</v>
      </c>
      <c r="AJ125" s="11">
        <f ca="1">(AI125*DATOSAÑO!$Z$11)/DATOSAÑO!$Y$11</f>
        <v>5.6218226203550554E-2</v>
      </c>
      <c r="AK125" s="9">
        <f ca="1">DATOSAÑO!BM124</f>
        <v>0</v>
      </c>
      <c r="AL125" s="11">
        <f ca="1">(AK125*DATOSAÑO!$Z$11)/DATOSAÑO!$Y$11</f>
        <v>0</v>
      </c>
      <c r="AM125" s="9">
        <f ca="1">DATOSAÑO!BP124</f>
        <v>4.8979999999999997</v>
      </c>
      <c r="AN125" s="11">
        <f ca="1">(AM125*DATOSAÑO!$Z$11)/DATOSAÑO!$Y$11</f>
        <v>8.8255407674676475E-2</v>
      </c>
      <c r="AO125" s="9">
        <f ca="1">DATOSAÑO!BW124</f>
        <v>10.576000000001171</v>
      </c>
      <c r="AP125" s="11">
        <f ca="1">(AO125*DATOSAÑO!$Z$11)/DATOSAÑO!$Y$11</f>
        <v>0.19056537190026171</v>
      </c>
      <c r="AQ125" s="9">
        <f ca="1">DATOSAÑO!CC124</f>
        <v>2.6227999999999345</v>
      </c>
      <c r="AR125" s="1348">
        <f ca="1">(AQ125*DATOSAÑO!$Z$11)/DATOSAÑO!$Y$11</f>
        <v>4.7259347335470742E-2</v>
      </c>
      <c r="AS125" s="1384">
        <f t="shared" si="5"/>
        <v>17</v>
      </c>
    </row>
    <row r="126" spans="1:45" ht="16.5" customHeight="1">
      <c r="A126" s="1408">
        <v>45041</v>
      </c>
      <c r="B126" s="1869">
        <v>45041</v>
      </c>
      <c r="C126" s="86">
        <f ca="1">DATOSAÑO!I125</f>
        <v>291</v>
      </c>
      <c r="D126" s="87">
        <f ca="1">DATOSAÑO!$D125</f>
        <v>4.9739300108126976</v>
      </c>
      <c r="E126" s="88">
        <f ca="1">DATOSAÑO!$G125</f>
        <v>0</v>
      </c>
      <c r="F126" s="9">
        <f ca="1">DATOSAÑO!P125</f>
        <v>157</v>
      </c>
      <c r="G126" s="10">
        <f ca="1">DATOSAÑO!K125</f>
        <v>3.8531347544471579</v>
      </c>
      <c r="H126" s="11">
        <f ca="1">DATOSAÑO!N125</f>
        <v>0</v>
      </c>
      <c r="I126" s="9">
        <f ca="1">DATOSAÑO!Q125</f>
        <v>0.38200000000006185</v>
      </c>
      <c r="J126" s="11">
        <f ca="1">DATOSAÑO!R125</f>
        <v>45.840000000007421</v>
      </c>
      <c r="K126" s="9">
        <f ca="1">DATOSAÑO!T125</f>
        <v>0.69000000000005457</v>
      </c>
      <c r="L126" s="11">
        <f t="shared" ca="1" si="3"/>
        <v>82.800000000006548</v>
      </c>
      <c r="M126" s="9"/>
      <c r="N126" s="11">
        <f t="shared" si="4"/>
        <v>0</v>
      </c>
      <c r="O126" s="9">
        <f>DATOSAÑO!CK125</f>
        <v>0.4</v>
      </c>
      <c r="P126" s="9">
        <f>DATOSAÑO!CL125</f>
        <v>0.7</v>
      </c>
      <c r="Q126" s="9">
        <f ca="1">DATOSAÑO!AD125</f>
        <v>168.5</v>
      </c>
      <c r="R126" s="11">
        <f ca="1">(Q126*DATOSAÑO!$Z$11)/DATOSAÑO!$Y$11</f>
        <v>3.0361445882366245</v>
      </c>
      <c r="S126" s="9">
        <f ca="1">DATOSAÑO!AF125</f>
        <v>159</v>
      </c>
      <c r="T126" s="11">
        <f ca="1">(S126*DATOSAÑO!$Z$11)/DATOSAÑO!$Y$11</f>
        <v>2.8649672969117108</v>
      </c>
      <c r="U126" s="9">
        <f ca="1">DATOSAÑO!AH125</f>
        <v>5</v>
      </c>
      <c r="V126" s="11">
        <f ca="1">(U126*DATOSAÑO!$Z$11)/DATOSAÑO!$Y$11</f>
        <v>9.0093311223638714E-2</v>
      </c>
      <c r="W126" s="9">
        <f ca="1">DATOSAÑO!AI125</f>
        <v>36.099999999991269</v>
      </c>
      <c r="X126" s="11">
        <f ca="1">(W126*DATOSAÑO!$Z$11)/DATOSAÑO!$Y$11</f>
        <v>0.65047370703451413</v>
      </c>
      <c r="Y126" s="9">
        <f ca="1">DATOSAÑO!AJ125</f>
        <v>5.3000000000029104</v>
      </c>
      <c r="Z126" s="11">
        <f ca="1">(Y126*DATOSAÑO!$Z$11)/DATOSAÑO!$Y$11</f>
        <v>9.5498909897109477E-2</v>
      </c>
      <c r="AA126" s="9">
        <f ca="1">DATOSAÑO!AK125</f>
        <v>11.700000000011642</v>
      </c>
      <c r="AB126" s="11">
        <f ca="1">(AA126*DATOSAÑO!$Z$11)/DATOSAÑO!$Y$11</f>
        <v>0.21081834826352436</v>
      </c>
      <c r="AC126" s="9">
        <f ca="1">DATOSAÑO!AL125</f>
        <v>34.071999999996535</v>
      </c>
      <c r="AD126" s="11">
        <f ca="1">(AC126*DATOSAÑO!$Z$11)/DATOSAÑO!$Y$11</f>
        <v>0.61393186000230127</v>
      </c>
      <c r="AE126" s="9">
        <f ca="1">DATOSAÑO!AM125</f>
        <v>8.8559999999976515</v>
      </c>
      <c r="AF126" s="11">
        <f ca="1">(AE126*DATOSAÑO!$Z$11)/DATOSAÑO!$Y$11</f>
        <v>0.15957327283926656</v>
      </c>
      <c r="AG126" s="9">
        <f ca="1">DATOSAÑO!AN125</f>
        <v>3.3179999999998113</v>
      </c>
      <c r="AH126" s="11">
        <f ca="1">(AG126*DATOSAÑO!$Z$11)/DATOSAÑO!$Y$11</f>
        <v>5.9785921328003248E-2</v>
      </c>
      <c r="AI126" s="9">
        <f ca="1">DATOSAÑO!BJ125</f>
        <v>2.7360000000000002</v>
      </c>
      <c r="AJ126" s="11">
        <f ca="1">(AI126*DATOSAÑO!$Z$11)/DATOSAÑO!$Y$11</f>
        <v>4.9299059901575105E-2</v>
      </c>
      <c r="AK126" s="9">
        <f ca="1">DATOSAÑO!BM125</f>
        <v>0</v>
      </c>
      <c r="AL126" s="11">
        <f ca="1">(AK126*DATOSAÑO!$Z$11)/DATOSAÑO!$Y$11</f>
        <v>0</v>
      </c>
      <c r="AM126" s="9">
        <f ca="1">DATOSAÑO!BP125</f>
        <v>4.9379999999999997</v>
      </c>
      <c r="AN126" s="11">
        <f ca="1">(AM126*DATOSAÑO!$Z$11)/DATOSAÑO!$Y$11</f>
        <v>8.8976154164465582E-2</v>
      </c>
      <c r="AO126" s="9">
        <f ca="1">DATOSAÑO!BW125</f>
        <v>12.527999999999189</v>
      </c>
      <c r="AP126" s="11">
        <f ca="1">(AO126*DATOSAÑO!$Z$11)/DATOSAÑO!$Y$11</f>
        <v>0.22573780060193455</v>
      </c>
      <c r="AQ126" s="9">
        <f ca="1">DATOSAÑO!CC125</f>
        <v>2.7791999999999248</v>
      </c>
      <c r="AR126" s="1348">
        <f ca="1">(AQ126*DATOSAÑO!$Z$11)/DATOSAÑO!$Y$11</f>
        <v>5.007746611054599E-2</v>
      </c>
      <c r="AS126" s="1384">
        <f t="shared" si="5"/>
        <v>17</v>
      </c>
    </row>
    <row r="127" spans="1:45">
      <c r="A127" s="1408">
        <v>45042</v>
      </c>
      <c r="B127" s="1869">
        <v>45042</v>
      </c>
      <c r="C127" s="86">
        <f ca="1">DATOSAÑO!I126</f>
        <v>282.13000000000466</v>
      </c>
      <c r="D127" s="87">
        <f ca="1">DATOSAÑO!$D126</f>
        <v>4.8997400561563005</v>
      </c>
      <c r="E127" s="88">
        <f ca="1">DATOSAÑO!$G126</f>
        <v>0</v>
      </c>
      <c r="F127" s="9">
        <f ca="1">DATOSAÑO!P126</f>
        <v>148.91000000000349</v>
      </c>
      <c r="G127" s="10">
        <f ca="1">DATOSAÑO!K126</f>
        <v>3.7854688318800433</v>
      </c>
      <c r="H127" s="11">
        <f ca="1">DATOSAÑO!N126</f>
        <v>0</v>
      </c>
      <c r="I127" s="9">
        <f ca="1">DATOSAÑO!Q126</f>
        <v>0</v>
      </c>
      <c r="J127" s="11">
        <f ca="1">DATOSAÑO!R126</f>
        <v>0</v>
      </c>
      <c r="K127" s="9">
        <f ca="1">DATOSAÑO!T126</f>
        <v>0</v>
      </c>
      <c r="L127" s="11">
        <f t="shared" ca="1" si="3"/>
        <v>0</v>
      </c>
      <c r="M127" s="9"/>
      <c r="N127" s="11">
        <f t="shared" si="4"/>
        <v>0</v>
      </c>
      <c r="O127" s="9">
        <f>DATOSAÑO!CK126</f>
        <v>0</v>
      </c>
      <c r="P127" s="9">
        <f>DATOSAÑO!CL126</f>
        <v>0</v>
      </c>
      <c r="Q127" s="9">
        <f ca="1">DATOSAÑO!AD126</f>
        <v>160.40000000002328</v>
      </c>
      <c r="R127" s="11">
        <f ca="1">(Q127*DATOSAÑO!$Z$11)/DATOSAÑO!$Y$11</f>
        <v>2.8901934240547495</v>
      </c>
      <c r="S127" s="9">
        <f ca="1">DATOSAÑO!AF126</f>
        <v>151.01000000000931</v>
      </c>
      <c r="T127" s="11">
        <f ca="1">(S127*DATOSAÑO!$Z$11)/DATOSAÑO!$Y$11</f>
        <v>2.7209981855765042</v>
      </c>
      <c r="U127" s="9">
        <f ca="1">DATOSAÑO!AH126</f>
        <v>4.5999999999985448</v>
      </c>
      <c r="V127" s="11">
        <f ca="1">(U127*DATOSAÑO!$Z$11)/DATOSAÑO!$Y$11</f>
        <v>8.2885846325721393E-2</v>
      </c>
      <c r="W127" s="9">
        <f ca="1">DATOSAÑO!AI126</f>
        <v>34.660000000003492</v>
      </c>
      <c r="X127" s="11">
        <f ca="1">(W127*DATOSAÑO!$Z$11)/DATOSAÑO!$Y$11</f>
        <v>0.62452683340232651</v>
      </c>
      <c r="Y127" s="9">
        <f ca="1">DATOSAÑO!AJ126</f>
        <v>6.3499999999912689</v>
      </c>
      <c r="Z127" s="11">
        <f ca="1">(Y127*DATOSAÑO!$Z$11)/DATOSAÑO!$Y$11</f>
        <v>0.11441850525386384</v>
      </c>
      <c r="AA127" s="9">
        <f ca="1">DATOSAÑO!AK126</f>
        <v>11.260000000009313</v>
      </c>
      <c r="AB127" s="11">
        <f ca="1">(AA127*DATOSAÑO!$Z$11)/DATOSAÑO!$Y$11</f>
        <v>0.20289013687580218</v>
      </c>
      <c r="AC127" s="9">
        <f ca="1">DATOSAÑO!AL126</f>
        <v>33.769999999993161</v>
      </c>
      <c r="AD127" s="11">
        <f ca="1">(AC127*DATOSAÑO!$Z$11)/DATOSAÑO!$Y$11</f>
        <v>0.60849022400433261</v>
      </c>
      <c r="AE127" s="9">
        <f ca="1">DATOSAÑO!AM126</f>
        <v>8.1939999999792708</v>
      </c>
      <c r="AF127" s="11">
        <f ca="1">(AE127*DATOSAÑO!$Z$11)/DATOSAÑO!$Y$11</f>
        <v>0.1476449184329256</v>
      </c>
      <c r="AG127" s="9">
        <f ca="1">DATOSAÑO!AN126</f>
        <v>3.5460000000003635</v>
      </c>
      <c r="AH127" s="11">
        <f ca="1">(AG127*DATOSAÑO!$Z$11)/DATOSAÑO!$Y$11</f>
        <v>6.3894176319811119E-2</v>
      </c>
      <c r="AI127" s="9">
        <f ca="1">DATOSAÑO!BJ126</f>
        <v>2.8079999999999998</v>
      </c>
      <c r="AJ127" s="11">
        <f ca="1">(AI127*DATOSAÑO!$Z$11)/DATOSAÑO!$Y$11</f>
        <v>5.0596403583195497E-2</v>
      </c>
      <c r="AK127" s="9">
        <f ca="1">DATOSAÑO!BM126</f>
        <v>0</v>
      </c>
      <c r="AL127" s="11">
        <f ca="1">(AK127*DATOSAÑO!$Z$11)/DATOSAÑO!$Y$11</f>
        <v>0</v>
      </c>
      <c r="AM127" s="9">
        <f ca="1">DATOSAÑO!BP126</f>
        <v>4.798</v>
      </c>
      <c r="AN127" s="11">
        <f ca="1">(AM127*DATOSAÑO!$Z$11)/DATOSAÑO!$Y$11</f>
        <v>8.6453541450203716E-2</v>
      </c>
      <c r="AO127" s="9">
        <f ca="1">DATOSAÑO!BW126</f>
        <v>12.43699999998978</v>
      </c>
      <c r="AP127" s="11">
        <f ca="1">(AO127*DATOSAÑO!$Z$11)/DATOSAÑO!$Y$11</f>
        <v>0.22409810233749478</v>
      </c>
      <c r="AQ127" s="9">
        <f ca="1">DATOSAÑO!CC126</f>
        <v>2.7224000000001456</v>
      </c>
      <c r="AR127" s="1348">
        <f ca="1">(AQ127*DATOSAÑO!$Z$11)/DATOSAÑO!$Y$11</f>
        <v>4.9054006095049424E-2</v>
      </c>
      <c r="AS127" s="1384">
        <f t="shared" si="5"/>
        <v>17</v>
      </c>
    </row>
    <row r="128" spans="1:45" ht="16.5" customHeight="1">
      <c r="A128" s="1408">
        <v>45043</v>
      </c>
      <c r="B128" s="1869">
        <v>45043</v>
      </c>
      <c r="C128" s="86">
        <f ca="1">DATOSAÑO!I127</f>
        <v>307.51000000000931</v>
      </c>
      <c r="D128" s="87">
        <f ca="1">DATOSAÑO!$D127</f>
        <v>5.1120220233694544</v>
      </c>
      <c r="E128" s="88">
        <f ca="1">DATOSAÑO!$G127</f>
        <v>0</v>
      </c>
      <c r="F128" s="9">
        <f ca="1">DATOSAÑO!P127</f>
        <v>151.15999999999622</v>
      </c>
      <c r="G128" s="10">
        <f ca="1">DATOSAÑO!K127</f>
        <v>3.8042881552144783</v>
      </c>
      <c r="H128" s="11">
        <f ca="1">DATOSAÑO!N127</f>
        <v>0</v>
      </c>
      <c r="I128" s="9">
        <f ca="1">DATOSAÑO!Q127</f>
        <v>0</v>
      </c>
      <c r="J128" s="11">
        <f ca="1">DATOSAÑO!R127</f>
        <v>0</v>
      </c>
      <c r="K128" s="9">
        <f ca="1">DATOSAÑO!T127</f>
        <v>0</v>
      </c>
      <c r="L128" s="11">
        <f t="shared" ca="1" si="3"/>
        <v>0</v>
      </c>
      <c r="M128" s="9"/>
      <c r="N128" s="11">
        <f t="shared" si="4"/>
        <v>0</v>
      </c>
      <c r="O128" s="9">
        <f>DATOSAÑO!CK127</f>
        <v>0</v>
      </c>
      <c r="P128" s="9">
        <f>DATOSAÑO!CL127</f>
        <v>0</v>
      </c>
      <c r="Q128" s="9">
        <f ca="1">DATOSAÑO!AD127</f>
        <v>165.28000000002794</v>
      </c>
      <c r="R128" s="11">
        <f ca="1">(Q128*DATOSAÑO!$Z$11)/DATOSAÑO!$Y$11</f>
        <v>2.9781244958091047</v>
      </c>
      <c r="S128" s="9">
        <f ca="1">DATOSAÑO!AF127</f>
        <v>156.89000000001397</v>
      </c>
      <c r="T128" s="11">
        <f ca="1">(S128*DATOSAÑO!$Z$11)/DATOSAÑO!$Y$11</f>
        <v>2.8269479195755869</v>
      </c>
      <c r="U128" s="9">
        <f ca="1">DATOSAÑO!AH127</f>
        <v>13.400000000001455</v>
      </c>
      <c r="V128" s="11">
        <f ca="1">(U128*DATOSAÑO!$Z$11)/DATOSAÑO!$Y$11</f>
        <v>0.24145007407937796</v>
      </c>
      <c r="W128" s="9">
        <f ca="1">DATOSAÑO!AI127</f>
        <v>39.380000000004657</v>
      </c>
      <c r="X128" s="11">
        <f ca="1">(W128*DATOSAÑO!$Z$11)/DATOSAÑO!$Y$11</f>
        <v>0.70957491919746241</v>
      </c>
      <c r="Y128" s="9">
        <f ca="1">DATOSAÑO!AJ127</f>
        <v>6.5600000000122236</v>
      </c>
      <c r="Z128" s="11">
        <f ca="1">(Y128*DATOSAÑO!$Z$11)/DATOSAÑO!$Y$11</f>
        <v>0.11820242432563424</v>
      </c>
      <c r="AA128" s="9">
        <f ca="1">DATOSAÑO!AK127</f>
        <v>12.979999999981374</v>
      </c>
      <c r="AB128" s="11">
        <f ca="1">(AA128*DATOSAÑO!$Z$11)/DATOSAÑO!$Y$11</f>
        <v>0.23388223593623048</v>
      </c>
      <c r="AC128" s="9">
        <f ca="1">DATOSAÑO!AL127</f>
        <v>35.269999999953143</v>
      </c>
      <c r="AD128" s="11">
        <f ca="1">(AC128*DATOSAÑO!$Z$11)/DATOSAÑO!$Y$11</f>
        <v>0.63551821737070313</v>
      </c>
      <c r="AE128" s="9">
        <f ca="1">DATOSAÑO!AM127</f>
        <v>9.9250000000113072</v>
      </c>
      <c r="AF128" s="11">
        <f ca="1">(AE128*DATOSAÑO!$Z$11)/DATOSAÑO!$Y$11</f>
        <v>0.17883522277912658</v>
      </c>
      <c r="AG128" s="9">
        <f ca="1">DATOSAÑO!AN127</f>
        <v>0.79599999999923043</v>
      </c>
      <c r="AH128" s="11">
        <f ca="1">(AG128*DATOSAÑO!$Z$11)/DATOSAÑO!$Y$11</f>
        <v>1.4342855146789416E-2</v>
      </c>
      <c r="AI128" s="9">
        <f ca="1">DATOSAÑO!BJ127</f>
        <v>2.52</v>
      </c>
      <c r="AJ128" s="11">
        <f ca="1">(AI128*DATOSAÑO!$Z$11)/DATOSAÑO!$Y$11</f>
        <v>4.540702885671391E-2</v>
      </c>
      <c r="AK128" s="9">
        <f ca="1">DATOSAÑO!BM127</f>
        <v>0</v>
      </c>
      <c r="AL128" s="11">
        <f ca="1">(AK128*DATOSAÑO!$Z$11)/DATOSAÑO!$Y$11</f>
        <v>0</v>
      </c>
      <c r="AM128" s="9">
        <f ca="1">DATOSAÑO!BP127</f>
        <v>5.0149999999999997</v>
      </c>
      <c r="AN128" s="11">
        <f ca="1">(AM128*DATOSAÑO!$Z$11)/DATOSAÑO!$Y$11</f>
        <v>9.0363591157309617E-2</v>
      </c>
      <c r="AO128" s="9">
        <f ca="1">DATOSAÑO!BW127</f>
        <v>13.722500000005873</v>
      </c>
      <c r="AP128" s="11">
        <f ca="1">(AO128*DATOSAÑO!$Z$11)/DATOSAÑO!$Y$11</f>
        <v>0.24726109265338225</v>
      </c>
      <c r="AQ128" s="9">
        <f ca="1">DATOSAÑO!CC127</f>
        <v>2.2123999999996919</v>
      </c>
      <c r="AR128" s="1348">
        <f ca="1">(AQ128*DATOSAÑO!$Z$11)/DATOSAÑO!$Y$11</f>
        <v>3.9864488350230105E-2</v>
      </c>
      <c r="AS128" s="1384">
        <f t="shared" si="5"/>
        <v>17</v>
      </c>
    </row>
    <row r="129" spans="1:45">
      <c r="A129" s="1408">
        <v>45044</v>
      </c>
      <c r="B129" s="1869">
        <v>45044</v>
      </c>
      <c r="C129" s="86">
        <f ca="1">DATOSAÑO!I128</f>
        <v>298.85999999998603</v>
      </c>
      <c r="D129" s="87">
        <f ca="1">DATOSAÑO!$D128</f>
        <v>5.0396721803277522</v>
      </c>
      <c r="E129" s="88">
        <f ca="1">DATOSAÑO!$G128</f>
        <v>0</v>
      </c>
      <c r="F129" s="9">
        <f ca="1">DATOSAÑO!P128</f>
        <v>151.94000000000233</v>
      </c>
      <c r="G129" s="10">
        <f ca="1">DATOSAÑO!K128</f>
        <v>3.8108121873038217</v>
      </c>
      <c r="H129" s="11">
        <f ca="1">DATOSAÑO!N128</f>
        <v>0</v>
      </c>
      <c r="I129" s="9">
        <f ca="1">DATOSAÑO!Q128</f>
        <v>0</v>
      </c>
      <c r="J129" s="11">
        <f ca="1">DATOSAÑO!R128</f>
        <v>0</v>
      </c>
      <c r="K129" s="9">
        <f ca="1">DATOSAÑO!T128</f>
        <v>0</v>
      </c>
      <c r="L129" s="11">
        <f t="shared" ca="1" si="3"/>
        <v>0</v>
      </c>
      <c r="M129" s="9"/>
      <c r="N129" s="11">
        <f t="shared" si="4"/>
        <v>0</v>
      </c>
      <c r="O129" s="9">
        <f>DATOSAÑO!CK128</f>
        <v>0</v>
      </c>
      <c r="P129" s="9">
        <f>DATOSAÑO!CL128</f>
        <v>0</v>
      </c>
      <c r="Q129" s="9">
        <f ca="1">DATOSAÑO!AD128</f>
        <v>166.93000000005122</v>
      </c>
      <c r="R129" s="11">
        <f ca="1">(Q129*DATOSAÑO!$Z$11)/DATOSAÑO!$Y$11</f>
        <v>3.007855288513325</v>
      </c>
      <c r="S129" s="9">
        <f ca="1">DATOSAÑO!AF128</f>
        <v>154.79999999998836</v>
      </c>
      <c r="T129" s="11">
        <f ca="1">(S129*DATOSAÑO!$Z$11)/DATOSAÑO!$Y$11</f>
        <v>2.7892889154836444</v>
      </c>
      <c r="U129" s="9">
        <f ca="1">DATOSAÑO!AH128</f>
        <v>10.69999999999709</v>
      </c>
      <c r="V129" s="11">
        <f ca="1">(U129*DATOSAÑO!$Z$11)/DATOSAÑO!$Y$11</f>
        <v>0.19279968601853439</v>
      </c>
      <c r="W129" s="9">
        <f ca="1">DATOSAÑO!AI128</f>
        <v>38.209999999991851</v>
      </c>
      <c r="X129" s="11">
        <f ca="1">(W129*DATOSAÑO!$Z$11)/DATOSAÑO!$Y$11</f>
        <v>0.68849308437090018</v>
      </c>
      <c r="Y129" s="9">
        <f ca="1">DATOSAÑO!AJ128</f>
        <v>6.3899999999994179</v>
      </c>
      <c r="Z129" s="11">
        <f ca="1">(Y129*DATOSAÑO!$Z$11)/DATOSAÑO!$Y$11</f>
        <v>0.11513925174379978</v>
      </c>
      <c r="AA129" s="9">
        <f ca="1">DATOSAÑO!AK128</f>
        <v>10.930000000022119</v>
      </c>
      <c r="AB129" s="11">
        <f ca="1">(AA129*DATOSAÑO!$Z$11)/DATOSAÑO!$Y$11</f>
        <v>0.19694397833527277</v>
      </c>
      <c r="AC129" s="9">
        <f ca="1">DATOSAÑO!AL128</f>
        <v>34.439999999962367</v>
      </c>
      <c r="AD129" s="11">
        <f ca="1">(AC129*DATOSAÑO!$Z$11)/DATOSAÑO!$Y$11</f>
        <v>0.62056272770774534</v>
      </c>
      <c r="AE129" s="9">
        <f ca="1">DATOSAÑO!AM128</f>
        <v>4.6899999999754325</v>
      </c>
      <c r="AF129" s="11">
        <f ca="1">(AE129*DATOSAÑO!$Z$11)/DATOSAÑO!$Y$11</f>
        <v>8.4507525927330435E-2</v>
      </c>
      <c r="AG129" s="9">
        <f ca="1">DATOSAÑO!AN128</f>
        <v>5.4790000000006369</v>
      </c>
      <c r="AH129" s="11">
        <f ca="1">(AG129*DATOSAÑO!$Z$11)/DATOSAÑO!$Y$11</f>
        <v>9.8724250438874783E-2</v>
      </c>
      <c r="AI129" s="9">
        <f ca="1">DATOSAÑO!BJ128</f>
        <v>2.76</v>
      </c>
      <c r="AJ129" s="11">
        <f ca="1">(AI129*DATOSAÑO!$Z$11)/DATOSAÑO!$Y$11</f>
        <v>4.9731507795448569E-2</v>
      </c>
      <c r="AK129" s="9">
        <f ca="1">DATOSAÑO!BM128</f>
        <v>0</v>
      </c>
      <c r="AL129" s="11">
        <f ca="1">(AK129*DATOSAÑO!$Z$11)/DATOSAÑO!$Y$11</f>
        <v>0</v>
      </c>
      <c r="AM129" s="9">
        <f ca="1">DATOSAÑO!BP128</f>
        <v>5.07</v>
      </c>
      <c r="AN129" s="11">
        <f ca="1">(AM129*DATOSAÑO!$Z$11)/DATOSAÑO!$Y$11</f>
        <v>9.1354617580769654E-2</v>
      </c>
      <c r="AO129" s="9">
        <f ca="1">DATOSAÑO!BW128</f>
        <v>11.174999999987644</v>
      </c>
      <c r="AP129" s="11">
        <f ca="1">(AO129*DATOSAÑO!$Z$11)/DATOSAÑO!$Y$11</f>
        <v>0.20135855058460989</v>
      </c>
      <c r="AQ129" s="9">
        <f ca="1">DATOSAÑO!CC128</f>
        <v>3.7626000000002549</v>
      </c>
      <c r="AR129" s="1348">
        <f ca="1">(AQ129*DATOSAÑO!$Z$11)/DATOSAÑO!$Y$11</f>
        <v>6.7797018562017197E-2</v>
      </c>
      <c r="AS129" s="1384">
        <f t="shared" si="5"/>
        <v>17</v>
      </c>
    </row>
    <row r="130" spans="1:45" ht="16.5" customHeight="1">
      <c r="A130" s="1408">
        <v>45045</v>
      </c>
      <c r="B130" s="1869">
        <v>45045</v>
      </c>
      <c r="C130" s="86">
        <f ca="1">DATOSAÑO!I129</f>
        <v>291.6600000000326</v>
      </c>
      <c r="D130" s="87">
        <f ca="1">DATOSAÑO!$D129</f>
        <v>4.9794503456577548</v>
      </c>
      <c r="E130" s="88">
        <f ca="1">DATOSAÑO!$G129</f>
        <v>0</v>
      </c>
      <c r="F130" s="9">
        <f ca="1">DATOSAÑO!P129</f>
        <v>147.88999999999942</v>
      </c>
      <c r="G130" s="10">
        <f ca="1">DATOSAÑO!K129</f>
        <v>3.7769374053017044</v>
      </c>
      <c r="H130" s="11">
        <f ca="1">DATOSAÑO!N129</f>
        <v>0</v>
      </c>
      <c r="I130" s="9">
        <f ca="1">DATOSAÑO!Q129</f>
        <v>0</v>
      </c>
      <c r="J130" s="11">
        <f ca="1">DATOSAÑO!R129</f>
        <v>0</v>
      </c>
      <c r="K130" s="9">
        <f ca="1">DATOSAÑO!T129</f>
        <v>0</v>
      </c>
      <c r="L130" s="11">
        <f t="shared" ca="1" si="3"/>
        <v>0</v>
      </c>
      <c r="M130" s="9"/>
      <c r="N130" s="11">
        <f t="shared" si="4"/>
        <v>0</v>
      </c>
      <c r="O130" s="9">
        <f>DATOSAÑO!CK129</f>
        <v>0</v>
      </c>
      <c r="P130" s="9">
        <f>DATOSAÑO!CL129</f>
        <v>0</v>
      </c>
      <c r="Q130" s="9">
        <f ca="1">DATOSAÑO!AD129</f>
        <v>165.54000000003725</v>
      </c>
      <c r="R130" s="11">
        <f ca="1">(Q130*DATOSAÑO!$Z$11)/DATOSAÑO!$Y$11</f>
        <v>2.9828093479929016</v>
      </c>
      <c r="S130" s="9">
        <f ca="1">DATOSAÑO!AF129</f>
        <v>143.85999999998603</v>
      </c>
      <c r="T130" s="11">
        <f ca="1">(S130*DATOSAÑO!$Z$11)/DATOSAÑO!$Y$11</f>
        <v>2.5921647505262815</v>
      </c>
      <c r="U130" s="9">
        <f ca="1">DATOSAÑO!AH129</f>
        <v>9.2000000000043656</v>
      </c>
      <c r="V130" s="11">
        <f ca="1">(U130*DATOSAÑO!$Z$11)/DATOSAÑO!$Y$11</f>
        <v>0.1657716926515739</v>
      </c>
      <c r="W130" s="9">
        <f ca="1">DATOSAÑO!AI129</f>
        <v>38.160000000003492</v>
      </c>
      <c r="X130" s="11">
        <f ca="1">(W130*DATOSAÑO!$Z$11)/DATOSAÑO!$Y$11</f>
        <v>0.68759215125887363</v>
      </c>
      <c r="Y130" s="9">
        <f ca="1">DATOSAÑO!AJ129</f>
        <v>6.5299999999988358</v>
      </c>
      <c r="Z130" s="11">
        <f ca="1">(Y130*DATOSAÑO!$Z$11)/DATOSAÑO!$Y$11</f>
        <v>0.11766186445805117</v>
      </c>
      <c r="AA130" s="9">
        <f ca="1">DATOSAÑO!AK129</f>
        <v>12.5</v>
      </c>
      <c r="AB130" s="11">
        <f ca="1">(AA130*DATOSAÑO!$Z$11)/DATOSAÑO!$Y$11</f>
        <v>0.22523327805909676</v>
      </c>
      <c r="AC130" s="9">
        <f ca="1">DATOSAÑO!AL129</f>
        <v>33.81999999996691</v>
      </c>
      <c r="AD130" s="11">
        <f ca="1">(AC130*DATOSAÑO!$Z$11)/DATOSAÑO!$Y$11</f>
        <v>0.60939115711609604</v>
      </c>
      <c r="AE130" s="9">
        <f ca="1">DATOSAÑO!AM129</f>
        <v>9.1390000000349723</v>
      </c>
      <c r="AF130" s="11">
        <f ca="1">(AE130*DATOSAÑO!$Z$11)/DATOSAÑO!$Y$11</f>
        <v>0.164672554255197</v>
      </c>
      <c r="AG130" s="9">
        <f ca="1">DATOSAÑO!AN129</f>
        <v>3.5149999999997457</v>
      </c>
      <c r="AH130" s="11">
        <f ca="1">(AG130*DATOSAÑO!$Z$11)/DATOSAÑO!$Y$11</f>
        <v>6.333559779021343E-2</v>
      </c>
      <c r="AI130" s="9">
        <f ca="1">DATOSAÑO!BJ129</f>
        <v>1.968</v>
      </c>
      <c r="AJ130" s="11">
        <f ca="1">(AI130*DATOSAÑO!$Z$11)/DATOSAÑO!$Y$11</f>
        <v>3.5460727297624194E-2</v>
      </c>
      <c r="AK130" s="9">
        <f ca="1">DATOSAÑO!BM129</f>
        <v>0</v>
      </c>
      <c r="AL130" s="11">
        <f ca="1">(AK130*DATOSAÑO!$Z$11)/DATOSAÑO!$Y$11</f>
        <v>0</v>
      </c>
      <c r="AM130" s="9">
        <f ca="1">DATOSAÑO!BP129</f>
        <v>4.9530000000000003</v>
      </c>
      <c r="AN130" s="11">
        <f ca="1">(AM130*DATOSAÑO!$Z$11)/DATOSAÑO!$Y$11</f>
        <v>8.9246434098136512E-2</v>
      </c>
      <c r="AO130" s="9">
        <f ca="1">DATOSAÑO!BW129</f>
        <v>13.41950000001785</v>
      </c>
      <c r="AP130" s="11">
        <f ca="1">(AO130*DATOSAÑO!$Z$11)/DATOSAÑO!$Y$11</f>
        <v>0.24180143799344558</v>
      </c>
      <c r="AQ130" s="9">
        <f ca="1">DATOSAÑO!CC129</f>
        <v>2.9209999999998981</v>
      </c>
      <c r="AR130" s="1348">
        <f ca="1">(AQ130*DATOSAÑO!$Z$11)/DATOSAÑO!$Y$11</f>
        <v>5.2632512416847896E-2</v>
      </c>
      <c r="AS130" s="1384">
        <f t="shared" si="5"/>
        <v>17</v>
      </c>
    </row>
    <row r="131" spans="1:45" ht="15" thickBot="1">
      <c r="A131" s="1408">
        <v>45046</v>
      </c>
      <c r="B131" s="1870">
        <v>45046</v>
      </c>
      <c r="C131" s="63">
        <f ca="1">DATOSAÑO!I130</f>
        <v>302.98999999999069</v>
      </c>
      <c r="D131" s="64">
        <f ca="1">DATOSAÑO!$D130</f>
        <v>5.0742160938262222</v>
      </c>
      <c r="E131" s="65">
        <f ca="1">DATOSAÑO!$G130</f>
        <v>0</v>
      </c>
      <c r="F131" s="63">
        <f ca="1">DATOSAÑO!P130</f>
        <v>144</v>
      </c>
      <c r="G131" s="64">
        <f ca="1">DATOSAÑO!K130</f>
        <v>3.7444008862922917</v>
      </c>
      <c r="H131" s="65">
        <f ca="1">DATOSAÑO!N130</f>
        <v>0</v>
      </c>
      <c r="I131" s="63">
        <f ca="1">DATOSAÑO!Q130</f>
        <v>0</v>
      </c>
      <c r="J131" s="65">
        <f ca="1">DATOSAÑO!R130</f>
        <v>0</v>
      </c>
      <c r="K131" s="9">
        <f ca="1">DATOSAÑO!T130</f>
        <v>0</v>
      </c>
      <c r="L131" s="65">
        <f t="shared" ca="1" si="3"/>
        <v>0</v>
      </c>
      <c r="M131" s="63"/>
      <c r="N131" s="65">
        <f t="shared" si="4"/>
        <v>0</v>
      </c>
      <c r="O131" s="63">
        <f>DATOSAÑO!CK130</f>
        <v>0</v>
      </c>
      <c r="P131" s="62">
        <f>DATOSAÑO!CL130</f>
        <v>0</v>
      </c>
      <c r="Q131" s="9">
        <f ca="1">DATOSAÑO!AD130</f>
        <v>163.19999999995343</v>
      </c>
      <c r="R131" s="65">
        <f ca="1">(Q131*DATOSAÑO!$Z$11)/DATOSAÑO!$Y$11</f>
        <v>2.9406456783387287</v>
      </c>
      <c r="S131" s="9">
        <f ca="1">DATOSAÑO!AF130</f>
        <v>152.64000000001397</v>
      </c>
      <c r="T131" s="65">
        <f ca="1">(S131*DATOSAÑO!$Z$11)/DATOSAÑO!$Y$11</f>
        <v>2.7503686050354945</v>
      </c>
      <c r="U131" s="9">
        <f ca="1">DATOSAÑO!AH130</f>
        <v>13.19999999999709</v>
      </c>
      <c r="V131" s="65">
        <f ca="1">(U131*DATOSAÑO!$Z$11)/DATOSAÑO!$Y$11</f>
        <v>0.23784634163035376</v>
      </c>
      <c r="W131" s="9">
        <f ca="1">DATOSAÑO!AI130</f>
        <v>38.279999999998836</v>
      </c>
      <c r="X131" s="65">
        <f ca="1">(W131*DATOSAÑO!$Z$11)/DATOSAÑO!$Y$11</f>
        <v>0.68975439072815703</v>
      </c>
      <c r="Y131" s="9">
        <f ca="1">DATOSAÑO!AJ130</f>
        <v>6.6999999999970896</v>
      </c>
      <c r="Z131" s="65">
        <f ca="1">(Y131*DATOSAÑO!$Z$11)/DATOSAÑO!$Y$11</f>
        <v>0.12072503703962342</v>
      </c>
      <c r="AA131" s="9">
        <f ca="1">DATOSAÑO!AK130</f>
        <v>12.429999999993015</v>
      </c>
      <c r="AB131" s="65">
        <f ca="1">(AA131*DATOSAÑO!$Z$11)/DATOSAÑO!$Y$11</f>
        <v>0.22397197170183999</v>
      </c>
      <c r="AC131" s="9">
        <f ca="1">DATOSAÑO!AL130</f>
        <v>33.280000000071539</v>
      </c>
      <c r="AD131" s="65">
        <f ca="1">(AC131*DATOSAÑO!$Z$11)/DATOSAÑO!$Y$11</f>
        <v>0.59966107950582825</v>
      </c>
      <c r="AE131" s="9">
        <f ca="1">DATOSAÑO!AM130</f>
        <v>6.5129999999666826</v>
      </c>
      <c r="AF131" s="65">
        <f ca="1">(AE131*DATOSAÑO!$Z$11)/DATOSAÑO!$Y$11</f>
        <v>0.11735554719931145</v>
      </c>
      <c r="AG131" s="63">
        <f ca="1">DATOSAÑO!AN130</f>
        <v>2.6749999999996361</v>
      </c>
      <c r="AH131" s="65">
        <f ca="1">(AG131*DATOSAÑO!$Z$11)/DATOSAÑO!$Y$11</f>
        <v>4.8199921504640149E-2</v>
      </c>
      <c r="AI131" s="63">
        <f ca="1">DATOSAÑO!BJ130</f>
        <v>2.9039999999999999</v>
      </c>
      <c r="AJ131" s="65">
        <f ca="1">(AI131*DATOSAÑO!$Z$11)/DATOSAÑO!$Y$11</f>
        <v>5.2326195158689366E-2</v>
      </c>
      <c r="AK131" s="63">
        <f ca="1">DATOSAÑO!BM130</f>
        <v>0</v>
      </c>
      <c r="AL131" s="65">
        <f ca="1">(AK131*DATOSAÑO!$Z$11)/DATOSAÑO!$Y$11</f>
        <v>0</v>
      </c>
      <c r="AM131" s="63">
        <f ca="1">DATOSAÑO!BP130</f>
        <v>4.9729999999999999</v>
      </c>
      <c r="AN131" s="65">
        <f ca="1">(AM131*DATOSAÑO!$Z$11)/DATOSAÑO!$Y$11</f>
        <v>8.9606807343031072E-2</v>
      </c>
      <c r="AO131" s="63">
        <f ca="1">DATOSAÑO!BW130</f>
        <v>11.976499999982686</v>
      </c>
      <c r="AP131" s="65">
        <f ca="1">(AO131*DATOSAÑO!$Z$11)/DATOSAÑO!$Y$11</f>
        <v>0.21580050837366982</v>
      </c>
      <c r="AQ131" s="63">
        <f ca="1">DATOSAÑO!CC130</f>
        <v>2.5449999999998543</v>
      </c>
      <c r="AR131" s="1109">
        <f ca="1">(AQ131*DATOSAÑO!$Z$11)/DATOSAÑO!$Y$11</f>
        <v>4.5857495412829477E-2</v>
      </c>
      <c r="AS131" s="1385">
        <f t="shared" si="5"/>
        <v>18</v>
      </c>
    </row>
    <row r="132" spans="1:45" ht="16.5" customHeight="1">
      <c r="A132" s="1408">
        <v>45047</v>
      </c>
      <c r="B132" s="1871">
        <v>45047</v>
      </c>
      <c r="C132" s="9">
        <f ca="1">DATOSAÑO!I131</f>
        <v>307.15000000002328</v>
      </c>
      <c r="D132" s="10">
        <f ca="1">DATOSAÑO!$D131</f>
        <v>5.2262848504997255</v>
      </c>
      <c r="E132" s="11">
        <f ca="1">DATOSAÑO!$G131</f>
        <v>0</v>
      </c>
      <c r="F132" s="9">
        <f ca="1">DATOSAÑO!P131</f>
        <v>145.09999999999854</v>
      </c>
      <c r="G132" s="10">
        <f ca="1">DATOSAÑO!K131</f>
        <v>3.8397628476450887</v>
      </c>
      <c r="H132" s="180">
        <f ca="1">DATOSAÑO!N131</f>
        <v>0</v>
      </c>
      <c r="I132" s="178">
        <f ca="1">DATOSAÑO!Q131</f>
        <v>0</v>
      </c>
      <c r="J132" s="180">
        <f ca="1">DATOSAÑO!R131</f>
        <v>0</v>
      </c>
      <c r="K132" s="178">
        <f ca="1">DATOSAÑO!T131</f>
        <v>0</v>
      </c>
      <c r="L132" s="180">
        <f t="shared" ca="1" si="3"/>
        <v>0</v>
      </c>
      <c r="M132" s="178"/>
      <c r="N132" s="180">
        <f t="shared" si="4"/>
        <v>0</v>
      </c>
      <c r="O132" s="9">
        <f>DATOSAÑO!CK131</f>
        <v>0</v>
      </c>
      <c r="P132" s="9">
        <f>DATOSAÑO!CL131</f>
        <v>0</v>
      </c>
      <c r="Q132" s="178">
        <f ca="1">DATOSAÑO!AD131</f>
        <v>163.69999999999982</v>
      </c>
      <c r="R132" s="180">
        <f ca="1">(Q132*DATOSAÑO!$Z$11)/DATOSAÑO!$Y$11</f>
        <v>2.949655009461928</v>
      </c>
      <c r="S132" s="178">
        <f ca="1">DATOSAÑO!AF131</f>
        <v>153.05999999999767</v>
      </c>
      <c r="T132" s="180">
        <f ca="1">(S132*DATOSAÑO!$Z$11)/DATOSAÑO!$Y$11</f>
        <v>2.7579364431779863</v>
      </c>
      <c r="U132" s="178">
        <f ca="1">DATOSAÑO!AH131</f>
        <v>12.900000000001455</v>
      </c>
      <c r="V132" s="180">
        <f ca="1">(U132*DATOSAÑO!$Z$11)/DATOSAÑO!$Y$11</f>
        <v>0.23244074295701411</v>
      </c>
      <c r="W132" s="178">
        <f ca="1">DATOSAÑO!AI131</f>
        <v>38.180000000007567</v>
      </c>
      <c r="X132" s="180">
        <f ca="1">(W132*DATOSAÑO!$Z$11)/DATOSAÑO!$Y$11</f>
        <v>0.68795252450384159</v>
      </c>
      <c r="Y132" s="178">
        <f ca="1">DATOSAÑO!AJ131</f>
        <v>8.1699999999982538</v>
      </c>
      <c r="Z132" s="180">
        <f ca="1">(Y132*DATOSAÑO!$Z$11)/DATOSAÑO!$Y$11</f>
        <v>0.14721247053939418</v>
      </c>
      <c r="AA132" s="178">
        <f ca="1">DATOSAÑO!AK131</f>
        <v>13.619999999995343</v>
      </c>
      <c r="AB132" s="180">
        <f ca="1">(AA132*DATOSAÑO!$Z$11)/DATOSAÑO!$Y$11</f>
        <v>0.24541417977310795</v>
      </c>
      <c r="AC132" s="178">
        <f ca="1">DATOSAÑO!AL131</f>
        <v>34.080000000020846</v>
      </c>
      <c r="AD132" s="180">
        <f ca="1">(AC132*DATOSAÑO!$Z$11)/DATOSAÑO!$Y$11</f>
        <v>0.61407600930069706</v>
      </c>
      <c r="AE132" s="178">
        <f ca="1">DATOSAÑO!AM131</f>
        <v>7.1299999999998773</v>
      </c>
      <c r="AF132" s="180">
        <f ca="1">(AE132*DATOSAÑO!$Z$11)/DATOSAÑO!$Y$11</f>
        <v>0.12847306180490659</v>
      </c>
      <c r="AG132" s="178">
        <f ca="1">DATOSAÑO!AN131</f>
        <v>3.1980000000001274</v>
      </c>
      <c r="AH132" s="180">
        <f ca="1">(AG132*DATOSAÑO!$Z$11)/DATOSAÑO!$Y$11</f>
        <v>5.7623681858641619E-2</v>
      </c>
      <c r="AI132" s="9">
        <f ca="1">DATOSAÑO!BJ131</f>
        <v>2.8559999999999999</v>
      </c>
      <c r="AJ132" s="11">
        <f ca="1">(AI132*DATOSAÑO!$Z$11)/DATOSAÑO!$Y$11</f>
        <v>5.1461299370942432E-2</v>
      </c>
      <c r="AK132" s="9">
        <f ca="1">DATOSAÑO!BM131</f>
        <v>0</v>
      </c>
      <c r="AL132" s="11">
        <f ca="1">(AK132*DATOSAÑO!$Z$11)/DATOSAÑO!$Y$11</f>
        <v>0</v>
      </c>
      <c r="AM132" s="9">
        <f ca="1">DATOSAÑO!BP131</f>
        <v>5.1539999999999999</v>
      </c>
      <c r="AN132" s="11">
        <f ca="1">(AM132*DATOSAÑO!$Z$11)/DATOSAÑO!$Y$11</f>
        <v>9.2868185209326784E-2</v>
      </c>
      <c r="AO132" s="9">
        <f ca="1">DATOSAÑO!BW131</f>
        <v>12.355000000000812</v>
      </c>
      <c r="AP132" s="11">
        <f ca="1">(AO132*DATOSAÑO!$Z$11)/DATOSAÑO!$Y$11</f>
        <v>0.2226205720336259</v>
      </c>
      <c r="AQ132" s="9">
        <f ca="1">DATOSAÑO!CC131</f>
        <v>2.6912000000000509</v>
      </c>
      <c r="AR132" s="1348">
        <f ca="1">(AQ132*DATOSAÑO!$Z$11)/DATOSAÑO!$Y$11</f>
        <v>4.8491823833012218E-2</v>
      </c>
      <c r="AS132" s="1406">
        <f t="shared" si="5"/>
        <v>18</v>
      </c>
    </row>
    <row r="133" spans="1:45">
      <c r="A133" s="1408">
        <v>45048</v>
      </c>
      <c r="B133" s="1869">
        <v>45048</v>
      </c>
      <c r="C133" s="193">
        <f ca="1">DATOSAÑO!I132</f>
        <v>312.69999999995343</v>
      </c>
      <c r="D133" s="194">
        <f ca="1">DATOSAÑO!$D132</f>
        <v>5.2737714109177771</v>
      </c>
      <c r="E133" s="195">
        <f ca="1">DATOSAÑO!$G132</f>
        <v>0</v>
      </c>
      <c r="F133" s="86">
        <f ca="1">DATOSAÑO!P132</f>
        <v>148</v>
      </c>
      <c r="G133" s="10">
        <f ca="1">DATOSAÑO!K132</f>
        <v>3.8645756449809716</v>
      </c>
      <c r="H133" s="11">
        <f ca="1">DATOSAÑO!N132</f>
        <v>0</v>
      </c>
      <c r="I133" s="9">
        <f ca="1">DATOSAÑO!Q132</f>
        <v>0.17599999999993088</v>
      </c>
      <c r="J133" s="11">
        <f ca="1">DATOSAÑO!R132</f>
        <v>21.119999999991705</v>
      </c>
      <c r="K133" s="9">
        <f ca="1">DATOSAÑO!T132</f>
        <v>0.20299999999997453</v>
      </c>
      <c r="L133" s="11">
        <f t="shared" ca="1" si="3"/>
        <v>24.359999999996944</v>
      </c>
      <c r="M133" s="9"/>
      <c r="N133" s="11">
        <f t="shared" si="4"/>
        <v>0</v>
      </c>
      <c r="O133" s="9">
        <f>DATOSAÑO!CK132</f>
        <v>1</v>
      </c>
      <c r="P133" s="9">
        <f>DATOSAÑO!CL132</f>
        <v>1</v>
      </c>
      <c r="Q133" s="9">
        <f ca="1">DATOSAÑO!AD132</f>
        <v>167.59999999999991</v>
      </c>
      <c r="R133" s="11">
        <f ca="1">(Q133*DATOSAÑO!$Z$11)/DATOSAÑO!$Y$11</f>
        <v>3.0199277922163676</v>
      </c>
      <c r="S133" s="9">
        <f ca="1">DATOSAÑO!AF132</f>
        <v>153.73999999999069</v>
      </c>
      <c r="T133" s="11">
        <f ca="1">(S133*DATOSAÑO!$Z$11)/DATOSAÑO!$Y$11</f>
        <v>2.7701891335042754</v>
      </c>
      <c r="U133" s="9">
        <f ca="1">DATOSAÑO!AH132</f>
        <v>14.30000000000291</v>
      </c>
      <c r="V133" s="11">
        <f ca="1">(U133*DATOSAÑO!$Z$11)/DATOSAÑO!$Y$11</f>
        <v>0.25766687009965916</v>
      </c>
      <c r="W133" s="9">
        <f ca="1">DATOSAÑO!AI132</f>
        <v>38.529999999998836</v>
      </c>
      <c r="X133" s="11">
        <f ca="1">(W133*DATOSAÑO!$Z$11)/DATOSAÑO!$Y$11</f>
        <v>0.69425905628933893</v>
      </c>
      <c r="Y133" s="9">
        <f ca="1">DATOSAÑO!AJ132</f>
        <v>7.1000000000058208</v>
      </c>
      <c r="Z133" s="11">
        <f ca="1">(Y133*DATOSAÑO!$Z$11)/DATOSAÑO!$Y$11</f>
        <v>0.12793250193767186</v>
      </c>
      <c r="AA133" s="9">
        <f ca="1">DATOSAÑO!AK132</f>
        <v>14.880000000004657</v>
      </c>
      <c r="AB133" s="11">
        <f ca="1">(AA133*DATOSAÑO!$Z$11)/DATOSAÑO!$Y$11</f>
        <v>0.26811769420163273</v>
      </c>
      <c r="AC133" s="9">
        <f ca="1">DATOSAÑO!AL132</f>
        <v>36.068999999917196</v>
      </c>
      <c r="AD133" s="11">
        <f ca="1">(AC133*DATOSAÑO!$Z$11)/DATOSAÑO!$Y$11</f>
        <v>0.6499151285035929</v>
      </c>
      <c r="AE133" s="9">
        <f ca="1">DATOSAÑO!AM132</f>
        <v>7.4810000000343138</v>
      </c>
      <c r="AF133" s="11">
        <f ca="1">(AE133*DATOSAÑO!$Z$11)/DATOSAÑO!$Y$11</f>
        <v>0.13479761225342654</v>
      </c>
      <c r="AG133" s="9">
        <f ca="1">DATOSAÑO!AN132</f>
        <v>3.1139999999998906</v>
      </c>
      <c r="AH133" s="11">
        <f ca="1">(AG133*DATOSAÑO!$Z$11)/DATOSAÑO!$Y$11</f>
        <v>5.6110114230080214E-2</v>
      </c>
      <c r="AI133" s="9">
        <f ca="1">DATOSAÑO!BJ132</f>
        <v>2.8319999999999999</v>
      </c>
      <c r="AJ133" s="11">
        <f ca="1">(AI133*DATOSAÑO!$Z$11)/DATOSAÑO!$Y$11</f>
        <v>5.1028851477068961E-2</v>
      </c>
      <c r="AK133" s="9">
        <f ca="1">DATOSAÑO!BM132</f>
        <v>0</v>
      </c>
      <c r="AL133" s="11">
        <f ca="1">(AK133*DATOSAÑO!$Z$11)/DATOSAÑO!$Y$11</f>
        <v>0</v>
      </c>
      <c r="AM133" s="9">
        <f ca="1">DATOSAÑO!BP132</f>
        <v>5.2169999999999996</v>
      </c>
      <c r="AN133" s="11">
        <f ca="1">(AM133*DATOSAÑO!$Z$11)/DATOSAÑO!$Y$11</f>
        <v>9.4003360930744628E-2</v>
      </c>
      <c r="AO133" s="9">
        <f ca="1">DATOSAÑO!BW132</f>
        <v>12.450500000016284</v>
      </c>
      <c r="AP133" s="11">
        <f ca="1">(AO133*DATOSAÑO!$Z$11)/DATOSAÑO!$Y$11</f>
        <v>0.22434135427827617</v>
      </c>
      <c r="AQ133" s="9">
        <f ca="1">DATOSAÑO!CC132</f>
        <v>2.7515999999999563</v>
      </c>
      <c r="AR133" s="1348">
        <f ca="1">(AQ133*DATOSAÑO!$Z$11)/DATOSAÑO!$Y$11</f>
        <v>4.9580151032592064E-2</v>
      </c>
      <c r="AS133" s="1384">
        <f t="shared" si="5"/>
        <v>18</v>
      </c>
    </row>
    <row r="134" spans="1:45" ht="16.5" customHeight="1">
      <c r="A134" s="1408">
        <v>45049</v>
      </c>
      <c r="B134" s="1869">
        <v>45049</v>
      </c>
      <c r="C134" s="9">
        <f ca="1">DATOSAÑO!I133</f>
        <v>286</v>
      </c>
      <c r="D134" s="10">
        <f ca="1">DATOSAÑO!$D133</f>
        <v>5.0453225526879191</v>
      </c>
      <c r="E134" s="11">
        <f ca="1">DATOSAÑO!$G133</f>
        <v>0</v>
      </c>
      <c r="F134" s="86">
        <f ca="1">DATOSAÑO!P133</f>
        <v>146</v>
      </c>
      <c r="G134" s="10">
        <f ca="1">DATOSAÑO!K133</f>
        <v>3.8474633709562331</v>
      </c>
      <c r="H134" s="11">
        <f ca="1">DATOSAÑO!N133</f>
        <v>0</v>
      </c>
      <c r="I134" s="9">
        <f ca="1">DATOSAÑO!Q133</f>
        <v>0</v>
      </c>
      <c r="J134" s="11">
        <f ca="1">DATOSAÑO!R133</f>
        <v>0</v>
      </c>
      <c r="K134" s="9">
        <f ca="1">DATOSAÑO!T133</f>
        <v>0</v>
      </c>
      <c r="L134" s="11">
        <f t="shared" ca="1" si="3"/>
        <v>0</v>
      </c>
      <c r="M134" s="9"/>
      <c r="N134" s="11">
        <f t="shared" si="4"/>
        <v>0</v>
      </c>
      <c r="O134" s="9">
        <f>DATOSAÑO!CK133</f>
        <v>0</v>
      </c>
      <c r="P134" s="9">
        <f>DATOSAÑO!CL133</f>
        <v>0</v>
      </c>
      <c r="Q134" s="9">
        <f ca="1">DATOSAÑO!AD133</f>
        <v>155</v>
      </c>
      <c r="R134" s="11">
        <f ca="1">(Q134*DATOSAÑO!$Z$11)/DATOSAÑO!$Y$11</f>
        <v>2.7928926479328005</v>
      </c>
      <c r="S134" s="9">
        <f ca="1">DATOSAÑO!AF133</f>
        <v>152</v>
      </c>
      <c r="T134" s="11">
        <f ca="1">(S134*DATOSAÑO!$Z$11)/DATOSAÑO!$Y$11</f>
        <v>2.7388366611986168</v>
      </c>
      <c r="U134" s="9">
        <f ca="1">DATOSAÑO!AH133</f>
        <v>6.1999999999989086</v>
      </c>
      <c r="V134" s="11">
        <f ca="1">(U134*DATOSAÑO!$Z$11)/DATOSAÑO!$Y$11</f>
        <v>0.11171570591729234</v>
      </c>
      <c r="W134" s="9">
        <f ca="1">DATOSAÑO!AI133</f>
        <v>38.5</v>
      </c>
      <c r="X134" s="11">
        <f ca="1">(W134*DATOSAÑO!$Z$11)/DATOSAÑO!$Y$11</f>
        <v>0.6937184964220181</v>
      </c>
      <c r="Y134" s="9">
        <f ca="1">DATOSAÑO!AJ133</f>
        <v>4.1999999999970896</v>
      </c>
      <c r="Z134" s="11">
        <f ca="1">(Y134*DATOSAÑO!$Z$11)/DATOSAÑO!$Y$11</f>
        <v>7.5678381427804073E-2</v>
      </c>
      <c r="AA134" s="9">
        <f ca="1">DATOSAÑO!AK133</f>
        <v>13.399999999994179</v>
      </c>
      <c r="AB134" s="11">
        <f ca="1">(AA134*DATOSAÑO!$Z$11)/DATOSAÑO!$Y$11</f>
        <v>0.24145007407924685</v>
      </c>
      <c r="AC134" s="9">
        <f ca="1">DATOSAÑO!AL133</f>
        <v>33.000000000009095</v>
      </c>
      <c r="AD134" s="11">
        <f ca="1">(AC134*DATOSAÑO!$Z$11)/DATOSAÑO!$Y$11</f>
        <v>0.59461585407617945</v>
      </c>
      <c r="AE134" s="9">
        <f ca="1">DATOSAÑO!AM133</f>
        <v>7.9159999999999133</v>
      </c>
      <c r="AF134" s="11">
        <f ca="1">(AE134*DATOSAÑO!$Z$11)/DATOSAÑO!$Y$11</f>
        <v>0.14263573032926324</v>
      </c>
      <c r="AG134" s="9">
        <f ca="1">DATOSAÑO!AN133</f>
        <v>3.355000000000091</v>
      </c>
      <c r="AH134" s="11">
        <f ca="1">(AG134*DATOSAÑO!$Z$11)/DATOSAÑO!$Y$11</f>
        <v>6.0452611831063215E-2</v>
      </c>
      <c r="AI134" s="9">
        <f ca="1">DATOSAÑO!BJ133</f>
        <v>2.88</v>
      </c>
      <c r="AJ134" s="11">
        <f ca="1">(AI134*DATOSAÑO!$Z$11)/DATOSAÑO!$Y$11</f>
        <v>5.1893747264815895E-2</v>
      </c>
      <c r="AK134" s="9">
        <f ca="1">DATOSAÑO!BM133</f>
        <v>0</v>
      </c>
      <c r="AL134" s="11">
        <f ca="1">(AK134*DATOSAÑO!$Z$11)/DATOSAÑO!$Y$11</f>
        <v>0</v>
      </c>
      <c r="AM134" s="9">
        <f ca="1">DATOSAÑO!BP133</f>
        <v>5.3040000000000003</v>
      </c>
      <c r="AN134" s="11">
        <f ca="1">(AM134*DATOSAÑO!$Z$11)/DATOSAÑO!$Y$11</f>
        <v>9.557098454603595E-2</v>
      </c>
      <c r="AO134" s="9">
        <f ca="1">DATOSAÑO!BW133</f>
        <v>12.658000000000683</v>
      </c>
      <c r="AP134" s="11">
        <f ca="1">(AO134*DATOSAÑO!$Z$11)/DATOSAÑO!$Y$11</f>
        <v>0.22808022669377606</v>
      </c>
      <c r="AQ134" s="9">
        <f ca="1">DATOSAÑO!CC133</f>
        <v>2.8870000000000364</v>
      </c>
      <c r="AR134" s="1348">
        <f ca="1">(AQ134*DATOSAÑO!$Z$11)/DATOSAÑO!$Y$11</f>
        <v>5.201987790052965E-2</v>
      </c>
      <c r="AS134" s="1384">
        <f t="shared" si="5"/>
        <v>18</v>
      </c>
    </row>
    <row r="135" spans="1:45">
      <c r="A135" s="1408">
        <v>45050</v>
      </c>
      <c r="B135" s="1869">
        <v>45050</v>
      </c>
      <c r="C135" s="9">
        <f ca="1">DATOSAÑO!I134</f>
        <v>295</v>
      </c>
      <c r="D135" s="10">
        <f ca="1">DATOSAÑO!$D134</f>
        <v>5.1223277857992411</v>
      </c>
      <c r="E135" s="11">
        <f ca="1">DATOSAÑO!$G134</f>
        <v>0</v>
      </c>
      <c r="F135" s="86">
        <f ca="1">DATOSAÑO!P134</f>
        <v>150</v>
      </c>
      <c r="G135" s="10">
        <f ca="1">DATOSAÑO!K134</f>
        <v>3.8816879190057101</v>
      </c>
      <c r="H135" s="11">
        <f ca="1">DATOSAÑO!N134</f>
        <v>0</v>
      </c>
      <c r="I135" s="9">
        <f ca="1">DATOSAÑO!Q134</f>
        <v>0</v>
      </c>
      <c r="J135" s="11">
        <f ca="1">DATOSAÑO!R134</f>
        <v>0</v>
      </c>
      <c r="K135" s="9">
        <f ca="1">DATOSAÑO!T134</f>
        <v>0</v>
      </c>
      <c r="L135" s="11">
        <f t="shared" ca="1" si="3"/>
        <v>0</v>
      </c>
      <c r="M135" s="9"/>
      <c r="N135" s="11">
        <f t="shared" si="4"/>
        <v>0</v>
      </c>
      <c r="O135" s="9">
        <f>DATOSAÑO!CK134</f>
        <v>0</v>
      </c>
      <c r="P135" s="9">
        <f>DATOSAÑO!CL134</f>
        <v>0</v>
      </c>
      <c r="Q135" s="9">
        <f ca="1">DATOSAÑO!AD134</f>
        <v>165.40000000000009</v>
      </c>
      <c r="R135" s="11">
        <f ca="1">(Q135*DATOSAÑO!$Z$11)/DATOSAÑO!$Y$11</f>
        <v>2.9802867352779701</v>
      </c>
      <c r="S135" s="9">
        <f ca="1">DATOSAÑO!AF134</f>
        <v>154</v>
      </c>
      <c r="T135" s="11">
        <f ca="1">(S135*DATOSAÑO!$Z$11)/DATOSAÑO!$Y$11</f>
        <v>2.7748739856880724</v>
      </c>
      <c r="U135" s="9">
        <f ca="1">DATOSAÑO!AH134</f>
        <v>7.2999999999956344</v>
      </c>
      <c r="V135" s="11">
        <f ca="1">(U135*DATOSAÑO!$Z$11)/DATOSAÑO!$Y$11</f>
        <v>0.13153623438643386</v>
      </c>
      <c r="W135" s="9">
        <f ca="1">DATOSAÑO!AI134</f>
        <v>38.599999999991269</v>
      </c>
      <c r="X135" s="11">
        <f ca="1">(W135*DATOSAÑO!$Z$11)/DATOSAÑO!$Y$11</f>
        <v>0.69552036264633355</v>
      </c>
      <c r="Y135" s="9">
        <f ca="1">DATOSAÑO!AJ134</f>
        <v>4.8000000000029104</v>
      </c>
      <c r="Z135" s="11">
        <f ca="1">(Y135*DATOSAÑO!$Z$11)/DATOSAÑO!$Y$11</f>
        <v>8.6489578774745612E-2</v>
      </c>
      <c r="AA135" s="9">
        <f ca="1">DATOSAÑO!AK134</f>
        <v>12.700000000011642</v>
      </c>
      <c r="AB135" s="11">
        <f ca="1">(AA135*DATOSAÑO!$Z$11)/DATOSAÑO!$Y$11</f>
        <v>0.22883701050825211</v>
      </c>
      <c r="AC135" s="9">
        <f ca="1">DATOSAÑO!AL134</f>
        <v>34.099999999999966</v>
      </c>
      <c r="AD135" s="11">
        <f ca="1">(AC135*DATOSAÑO!$Z$11)/DATOSAÑO!$Y$11</f>
        <v>0.61443638254521538</v>
      </c>
      <c r="AE135" s="9">
        <f ca="1">DATOSAÑO!AM134</f>
        <v>5.9519999999990141</v>
      </c>
      <c r="AF135" s="11">
        <f ca="1">(AE135*DATOSAÑO!$Z$11)/DATOSAÑO!$Y$11</f>
        <v>0.10724707768060175</v>
      </c>
      <c r="AG135" s="9">
        <f ca="1">DATOSAÑO!AN134</f>
        <v>3.863999999999908</v>
      </c>
      <c r="AH135" s="11">
        <f ca="1">(AG135*DATOSAÑO!$Z$11)/DATOSAÑO!$Y$11</f>
        <v>6.962411091362633E-2</v>
      </c>
      <c r="AI135" s="9">
        <f ca="1">DATOSAÑO!BJ134</f>
        <v>2.64</v>
      </c>
      <c r="AJ135" s="11">
        <f ca="1">(AI135*DATOSAÑO!$Z$11)/DATOSAÑO!$Y$11</f>
        <v>4.7569268326081236E-2</v>
      </c>
      <c r="AK135" s="9">
        <f ca="1">DATOSAÑO!BM134</f>
        <v>0</v>
      </c>
      <c r="AL135" s="11">
        <f ca="1">(AK135*DATOSAÑO!$Z$11)/DATOSAÑO!$Y$11</f>
        <v>0</v>
      </c>
      <c r="AM135" s="9">
        <f ca="1">DATOSAÑO!BP134</f>
        <v>5.2880000000000003</v>
      </c>
      <c r="AN135" s="11">
        <f ca="1">(AM135*DATOSAÑO!$Z$11)/DATOSAÑO!$Y$11</f>
        <v>9.5282685950120308E-2</v>
      </c>
      <c r="AO135" s="9">
        <f ca="1">DATOSAÑO!BW134</f>
        <v>11.875999999999143</v>
      </c>
      <c r="AP135" s="11">
        <f ca="1">(AO135*DATOSAÑO!$Z$11)/DATOSAÑO!$Y$11</f>
        <v>0.21398963281837122</v>
      </c>
      <c r="AQ135" s="9">
        <f ca="1">DATOSAÑO!CC134</f>
        <v>3.0015999999999634</v>
      </c>
      <c r="AR135" s="1348">
        <f ca="1">(AQ135*DATOSAÑO!$Z$11)/DATOSAÑO!$Y$11</f>
        <v>5.4084816593774128E-2</v>
      </c>
      <c r="AS135" s="1384">
        <f t="shared" si="5"/>
        <v>18</v>
      </c>
    </row>
    <row r="136" spans="1:45" ht="16.5" customHeight="1">
      <c r="A136" s="1408">
        <v>45051</v>
      </c>
      <c r="B136" s="1869">
        <v>45051</v>
      </c>
      <c r="C136" s="9">
        <f ca="1">DATOSAÑO!I135</f>
        <v>314</v>
      </c>
      <c r="D136" s="10">
        <f ca="1">DATOSAÑO!$D135</f>
        <v>5.2848943890342559</v>
      </c>
      <c r="E136" s="11">
        <f ca="1">DATOSAÑO!$G135</f>
        <v>0</v>
      </c>
      <c r="F136" s="86">
        <f ca="1">DATOSAÑO!P135</f>
        <v>148</v>
      </c>
      <c r="G136" s="10">
        <f ca="1">DATOSAÑO!K135</f>
        <v>3.8645756449809716</v>
      </c>
      <c r="H136" s="11">
        <f ca="1">DATOSAÑO!N135</f>
        <v>0</v>
      </c>
      <c r="I136" s="9">
        <f ca="1">DATOSAÑO!Q135</f>
        <v>0</v>
      </c>
      <c r="J136" s="11">
        <f ca="1">DATOSAÑO!R135</f>
        <v>0</v>
      </c>
      <c r="K136" s="9">
        <f ca="1">DATOSAÑO!T135</f>
        <v>0</v>
      </c>
      <c r="L136" s="11">
        <f t="shared" ca="1" si="3"/>
        <v>0</v>
      </c>
      <c r="M136" s="9"/>
      <c r="N136" s="11">
        <f t="shared" si="4"/>
        <v>0</v>
      </c>
      <c r="O136" s="9">
        <f>DATOSAÑO!CK135</f>
        <v>0</v>
      </c>
      <c r="P136" s="9">
        <f>DATOSAÑO!CL135</f>
        <v>0</v>
      </c>
      <c r="Q136" s="9">
        <f ca="1">DATOSAÑO!AD135</f>
        <v>164</v>
      </c>
      <c r="R136" s="11">
        <f ca="1">(Q136*DATOSAÑO!$Z$11)/DATOSAÑO!$Y$11</f>
        <v>2.9550606081353497</v>
      </c>
      <c r="S136" s="9">
        <f ca="1">DATOSAÑO!AF135</f>
        <v>152</v>
      </c>
      <c r="T136" s="11">
        <f ca="1">(S136*DATOSAÑO!$Z$11)/DATOSAÑO!$Y$11</f>
        <v>2.7388366611986168</v>
      </c>
      <c r="U136" s="9">
        <f ca="1">DATOSAÑO!AH135</f>
        <v>20.100000000005821</v>
      </c>
      <c r="V136" s="11">
        <f ca="1">(U136*DATOSAÑO!$Z$11)/DATOSAÑO!$Y$11</f>
        <v>0.36217511111913248</v>
      </c>
      <c r="W136" s="9">
        <f ca="1">DATOSAÑO!AI135</f>
        <v>38.80000000000291</v>
      </c>
      <c r="X136" s="11">
        <f ca="1">(W136*DATOSAÑO!$Z$11)/DATOSAÑO!$Y$11</f>
        <v>0.6991240950954889</v>
      </c>
      <c r="Y136" s="9">
        <f ca="1">DATOSAÑO!AJ135</f>
        <v>8.0999999999912689</v>
      </c>
      <c r="Z136" s="11">
        <f ca="1">(Y136*DATOSAÑO!$Z$11)/DATOSAÑO!$Y$11</f>
        <v>0.14595116418213738</v>
      </c>
      <c r="AA136" s="9">
        <f ca="1">DATOSAÑO!AK135</f>
        <v>15.099999999976717</v>
      </c>
      <c r="AB136" s="11">
        <f ca="1">(AA136*DATOSAÑO!$Z$11)/DATOSAÑO!$Y$11</f>
        <v>0.27208179989496939</v>
      </c>
      <c r="AC136" s="9">
        <f ca="1">DATOSAÑO!AL135</f>
        <v>34.90000000002334</v>
      </c>
      <c r="AD136" s="11">
        <f ca="1">(AC136*DATOSAÑO!$Z$11)/DATOSAÑO!$Y$11</f>
        <v>0.62885131234141878</v>
      </c>
      <c r="AE136" s="9">
        <f ca="1">DATOSAÑO!AM135</f>
        <v>6.8239999999996446</v>
      </c>
      <c r="AF136" s="11">
        <f ca="1">(AE136*DATOSAÑO!$Z$11)/DATOSAÑO!$Y$11</f>
        <v>0.12295935115801572</v>
      </c>
      <c r="AG136" s="9">
        <f ca="1">DATOSAÑO!AN135</f>
        <v>3.5610000000003641</v>
      </c>
      <c r="AH136" s="11">
        <f ca="1">(AG136*DATOSAÑO!$Z$11)/DATOSAÑO!$Y$11</f>
        <v>6.416445625348205E-2</v>
      </c>
      <c r="AI136" s="9">
        <f ca="1">DATOSAÑO!BJ135</f>
        <v>2.8079999999999998</v>
      </c>
      <c r="AJ136" s="11">
        <f ca="1">(AI136*DATOSAÑO!$Z$11)/DATOSAÑO!$Y$11</f>
        <v>5.0596403583195497E-2</v>
      </c>
      <c r="AK136" s="9">
        <f ca="1">DATOSAÑO!BM135</f>
        <v>0</v>
      </c>
      <c r="AL136" s="11">
        <f ca="1">(AK136*DATOSAÑO!$Z$11)/DATOSAÑO!$Y$11</f>
        <v>0</v>
      </c>
      <c r="AM136" s="9">
        <f ca="1">DATOSAÑO!BP135</f>
        <v>5.2679999999999998</v>
      </c>
      <c r="AN136" s="11">
        <f ca="1">(AM136*DATOSAÑO!$Z$11)/DATOSAÑO!$Y$11</f>
        <v>9.4922312705225748E-2</v>
      </c>
      <c r="AO136" s="9">
        <f ca="1">DATOSAÑO!BW135</f>
        <v>12.411999999999821</v>
      </c>
      <c r="AP136" s="11">
        <f ca="1">(AO136*DATOSAÑO!$Z$11)/DATOSAÑO!$Y$11</f>
        <v>0.22364763578155752</v>
      </c>
      <c r="AQ136" s="9">
        <f ca="1">DATOSAÑO!CC135</f>
        <v>2.9634000000001457</v>
      </c>
      <c r="AR136" s="1348">
        <f ca="1">(AQ136*DATOSAÑO!$Z$11)/DATOSAÑO!$Y$11</f>
        <v>5.3396503696028816E-2</v>
      </c>
      <c r="AS136" s="1384">
        <f t="shared" si="5"/>
        <v>18</v>
      </c>
    </row>
    <row r="137" spans="1:45">
      <c r="A137" s="1408">
        <v>45052</v>
      </c>
      <c r="B137" s="1869">
        <v>45052</v>
      </c>
      <c r="C137" s="9">
        <f ca="1">DATOSAÑO!I136</f>
        <v>216</v>
      </c>
      <c r="D137" s="10">
        <f ca="1">DATOSAÑO!$D136</f>
        <v>4.4463929618220757</v>
      </c>
      <c r="E137" s="11">
        <f ca="1">DATOSAÑO!$G136</f>
        <v>0</v>
      </c>
      <c r="F137" s="86">
        <f ca="1">DATOSAÑO!P136</f>
        <v>238</v>
      </c>
      <c r="G137" s="10">
        <f ca="1">DATOSAÑO!K136</f>
        <v>4.6346279760941975</v>
      </c>
      <c r="H137" s="11">
        <f ca="1">DATOSAÑO!N136</f>
        <v>0</v>
      </c>
      <c r="I137" s="9">
        <f ca="1">DATOSAÑO!Q136</f>
        <v>0</v>
      </c>
      <c r="J137" s="11">
        <f ca="1">DATOSAÑO!R136</f>
        <v>0</v>
      </c>
      <c r="K137" s="9">
        <f ca="1">DATOSAÑO!T136</f>
        <v>0</v>
      </c>
      <c r="L137" s="11">
        <f t="shared" ca="1" si="3"/>
        <v>0</v>
      </c>
      <c r="M137" s="9"/>
      <c r="N137" s="11">
        <f t="shared" si="4"/>
        <v>0</v>
      </c>
      <c r="O137" s="9">
        <f>DATOSAÑO!CK136</f>
        <v>0</v>
      </c>
      <c r="P137" s="9">
        <f>DATOSAÑO!CL136</f>
        <v>0</v>
      </c>
      <c r="Q137" s="9">
        <f ca="1">DATOSAÑO!AD136</f>
        <v>165</v>
      </c>
      <c r="R137" s="11">
        <f ca="1">(Q137*DATOSAÑO!$Z$11)/DATOSAÑO!$Y$11</f>
        <v>2.9730792703800777</v>
      </c>
      <c r="S137" s="9">
        <f ca="1">DATOSAÑO!AF136</f>
        <v>152</v>
      </c>
      <c r="T137" s="11">
        <f ca="1">(S137*DATOSAÑO!$Z$11)/DATOSAÑO!$Y$11</f>
        <v>2.7388366611986168</v>
      </c>
      <c r="U137" s="9">
        <f ca="1">DATOSAÑO!AH136</f>
        <v>12.19999999999709</v>
      </c>
      <c r="V137" s="11">
        <f ca="1">(U137*DATOSAÑO!$Z$11)/DATOSAÑO!$Y$11</f>
        <v>0.21982767938562603</v>
      </c>
      <c r="W137" s="9">
        <f ca="1">DATOSAÑO!AI136</f>
        <v>40.5</v>
      </c>
      <c r="X137" s="11">
        <f ca="1">(W137*DATOSAÑO!$Z$11)/DATOSAÑO!$Y$11</f>
        <v>0.72975582091147351</v>
      </c>
      <c r="Y137" s="9">
        <f ca="1">DATOSAÑO!AJ136</f>
        <v>7.8000000000029104</v>
      </c>
      <c r="Z137" s="11">
        <f ca="1">(Y137*DATOSAÑO!$Z$11)/DATOSAÑO!$Y$11</f>
        <v>0.14054556550892883</v>
      </c>
      <c r="AA137" s="9">
        <f ca="1">DATOSAÑO!AK136</f>
        <v>13.5</v>
      </c>
      <c r="AB137" s="11">
        <f ca="1">(AA137*DATOSAÑO!$Z$11)/DATOSAÑO!$Y$11</f>
        <v>0.24325194030382452</v>
      </c>
      <c r="AC137" s="9">
        <f ca="1">DATOSAÑO!AL136</f>
        <v>34</v>
      </c>
      <c r="AD137" s="11">
        <f ca="1">(AC137*DATOSAÑO!$Z$11)/DATOSAÑO!$Y$11</f>
        <v>0.61263451632074328</v>
      </c>
      <c r="AE137" s="9">
        <f ca="1">DATOSAÑO!AM136</f>
        <v>7.0479999999999929</v>
      </c>
      <c r="AF137" s="11">
        <f ca="1">(AE137*DATOSAÑO!$Z$11)/DATOSAÑO!$Y$11</f>
        <v>0.126995531500841</v>
      </c>
      <c r="AG137" s="9">
        <f ca="1">DATOSAÑO!AN136</f>
        <v>3.090000000000364</v>
      </c>
      <c r="AH137" s="11">
        <f ca="1">(AG137*DATOSAÑO!$Z$11)/DATOSAÑO!$Y$11</f>
        <v>5.5677666336215285E-2</v>
      </c>
      <c r="AI137" s="9">
        <f ca="1">DATOSAÑO!BJ136</f>
        <v>3.12</v>
      </c>
      <c r="AJ137" s="11">
        <f ca="1">(AI137*DATOSAÑO!$Z$11)/DATOSAÑO!$Y$11</f>
        <v>5.6218226203550554E-2</v>
      </c>
      <c r="AK137" s="9">
        <f ca="1">DATOSAÑO!BM136</f>
        <v>0</v>
      </c>
      <c r="AL137" s="11">
        <f ca="1">(AK137*DATOSAÑO!$Z$11)/DATOSAÑO!$Y$11</f>
        <v>0</v>
      </c>
      <c r="AM137" s="9">
        <f ca="1">DATOSAÑO!BP136</f>
        <v>5.3319999999999999</v>
      </c>
      <c r="AN137" s="11">
        <f ca="1">(AM137*DATOSAÑO!$Z$11)/DATOSAÑO!$Y$11</f>
        <v>9.6075507088888318E-2</v>
      </c>
      <c r="AO137" s="9">
        <f ca="1">DATOSAÑO!BW136</f>
        <v>12.423999999999634</v>
      </c>
      <c r="AP137" s="11">
        <f ca="1">(AO137*DATOSAÑO!$Z$11)/DATOSAÑO!$Y$11</f>
        <v>0.22386385972849085</v>
      </c>
      <c r="AQ137" s="9">
        <f ca="1">DATOSAÑO!CC136</f>
        <v>2.7460000000001457</v>
      </c>
      <c r="AR137" s="1348">
        <f ca="1">(AQ137*DATOSAÑO!$Z$11)/DATOSAÑO!$Y$11</f>
        <v>4.9479246524025008E-2</v>
      </c>
      <c r="AS137" s="1384">
        <f t="shared" si="5"/>
        <v>18</v>
      </c>
    </row>
    <row r="138" spans="1:45" ht="16.5" customHeight="1">
      <c r="A138" s="1408">
        <v>45053</v>
      </c>
      <c r="B138" s="1869">
        <v>45053</v>
      </c>
      <c r="C138" s="9">
        <f ca="1">DATOSAÑO!I137</f>
        <v>149</v>
      </c>
      <c r="D138" s="10">
        <f ca="1">DATOSAÑO!$D137</f>
        <v>3.8731317819933411</v>
      </c>
      <c r="E138" s="11">
        <f ca="1">DATOSAÑO!$G137</f>
        <v>0</v>
      </c>
      <c r="F138" s="86">
        <f ca="1">DATOSAÑO!P137</f>
        <v>301</v>
      </c>
      <c r="G138" s="10">
        <f ca="1">DATOSAÑO!K137</f>
        <v>5.1736646078734561</v>
      </c>
      <c r="H138" s="11">
        <f ca="1">DATOSAÑO!N137</f>
        <v>0</v>
      </c>
      <c r="I138" s="9">
        <f ca="1">DATOSAÑO!Q137</f>
        <v>0</v>
      </c>
      <c r="J138" s="11">
        <f ca="1">DATOSAÑO!R137</f>
        <v>0</v>
      </c>
      <c r="K138" s="9">
        <f ca="1">DATOSAÑO!T137</f>
        <v>0</v>
      </c>
      <c r="L138" s="11">
        <f t="shared" ca="1" si="3"/>
        <v>0</v>
      </c>
      <c r="M138" s="9"/>
      <c r="N138" s="11">
        <f t="shared" si="4"/>
        <v>0</v>
      </c>
      <c r="O138" s="9">
        <f>DATOSAÑO!CK137</f>
        <v>0</v>
      </c>
      <c r="P138" s="9">
        <f>DATOSAÑO!CL137</f>
        <v>0</v>
      </c>
      <c r="Q138" s="9">
        <f ca="1">DATOSAÑO!AD137</f>
        <v>168</v>
      </c>
      <c r="R138" s="11">
        <f ca="1">(Q138*DATOSAÑO!$Z$11)/DATOSAÑO!$Y$11</f>
        <v>3.0271352571142609</v>
      </c>
      <c r="S138" s="9">
        <f ca="1">DATOSAÑO!AF137</f>
        <v>152</v>
      </c>
      <c r="T138" s="11">
        <f ca="1">(S138*DATOSAÑO!$Z$11)/DATOSAÑO!$Y$11</f>
        <v>2.7388366611986168</v>
      </c>
      <c r="U138" s="9">
        <f ca="1">DATOSAÑO!AH137</f>
        <v>7.4000000000014552</v>
      </c>
      <c r="V138" s="11">
        <f ca="1">(U138*DATOSAÑO!$Z$11)/DATOSAÑO!$Y$11</f>
        <v>0.13333810061101151</v>
      </c>
      <c r="W138" s="9">
        <f ca="1">DATOSAÑO!AI137</f>
        <v>40.30000000000291</v>
      </c>
      <c r="X138" s="11">
        <f ca="1">(W138*DATOSAÑO!$Z$11)/DATOSAÑO!$Y$11</f>
        <v>0.72615208846258039</v>
      </c>
      <c r="Y138" s="9">
        <f ca="1">DATOSAÑO!AJ137</f>
        <v>7.3000000000029104</v>
      </c>
      <c r="Z138" s="11">
        <f ca="1">(Y138*DATOSAÑO!$Z$11)/DATOSAÑO!$Y$11</f>
        <v>0.13153623438656495</v>
      </c>
      <c r="AA138" s="9">
        <f ca="1">DATOSAÑO!AK137</f>
        <v>12.5</v>
      </c>
      <c r="AB138" s="11">
        <f ca="1">(AA138*DATOSAÑO!$Z$11)/DATOSAÑO!$Y$11</f>
        <v>0.22523327805909676</v>
      </c>
      <c r="AC138" s="9">
        <f ca="1">DATOSAÑO!AL137</f>
        <v>32.499999999992781</v>
      </c>
      <c r="AD138" s="11">
        <f ca="1">(AC138*DATOSAÑO!$Z$11)/DATOSAÑO!$Y$11</f>
        <v>0.58560652295352156</v>
      </c>
      <c r="AE138" s="9">
        <f ca="1">DATOSAÑO!AM137</f>
        <v>9.1479999999989232</v>
      </c>
      <c r="AF138" s="11">
        <f ca="1">(AE138*DATOSAÑO!$Z$11)/DATOSAÑO!$Y$11</f>
        <v>0.16483472221474998</v>
      </c>
      <c r="AG138" s="9">
        <f ca="1">DATOSAÑO!AN137</f>
        <v>2.5060000000000002</v>
      </c>
      <c r="AH138" s="11">
        <f ca="1">(AG138*DATOSAÑO!$Z$11)/DATOSAÑO!$Y$11</f>
        <v>4.5154767585287726E-2</v>
      </c>
      <c r="AI138" s="9">
        <f ca="1">DATOSAÑO!BJ137</f>
        <v>2.64</v>
      </c>
      <c r="AJ138" s="11">
        <f ca="1">(AI138*DATOSAÑO!$Z$11)/DATOSAÑO!$Y$11</f>
        <v>4.7569268326081236E-2</v>
      </c>
      <c r="AK138" s="9">
        <f ca="1">DATOSAÑO!BM137</f>
        <v>0</v>
      </c>
      <c r="AL138" s="11">
        <f ca="1">(AK138*DATOSAÑO!$Z$11)/DATOSAÑO!$Y$11</f>
        <v>0</v>
      </c>
      <c r="AM138" s="9">
        <f ca="1">DATOSAÑO!BP137</f>
        <v>5.4119999999999999</v>
      </c>
      <c r="AN138" s="11">
        <f ca="1">(AM138*DATOSAÑO!$Z$11)/DATOSAÑO!$Y$11</f>
        <v>9.7517000068466531E-2</v>
      </c>
      <c r="AO138" s="9">
        <f ca="1">DATOSAÑO!BW137</f>
        <v>13.374000000000553</v>
      </c>
      <c r="AP138" s="11">
        <f ca="1">(AO138*DATOSAÑO!$Z$11)/DATOSAÑO!$Y$11</f>
        <v>0.2409815888609988</v>
      </c>
      <c r="AQ138" s="9">
        <f ca="1">DATOSAÑO!CC137</f>
        <v>2.4964000000000004</v>
      </c>
      <c r="AR138" s="1348">
        <f ca="1">(AQ138*DATOSAÑO!$Z$11)/DATOSAÑO!$Y$11</f>
        <v>4.4981788427738346E-2</v>
      </c>
      <c r="AS138" s="1384">
        <f t="shared" si="5"/>
        <v>19</v>
      </c>
    </row>
    <row r="139" spans="1:45">
      <c r="A139" s="1408">
        <v>45054</v>
      </c>
      <c r="B139" s="1869">
        <v>45054</v>
      </c>
      <c r="C139" s="9">
        <f ca="1">DATOSAÑO!I138</f>
        <v>148</v>
      </c>
      <c r="D139" s="10">
        <f ca="1">DATOSAÑO!$D138</f>
        <v>3.8645756449809716</v>
      </c>
      <c r="E139" s="11">
        <f ca="1">DATOSAÑO!$G138</f>
        <v>0</v>
      </c>
      <c r="F139" s="86">
        <f ca="1">DATOSAÑO!P138</f>
        <v>292</v>
      </c>
      <c r="G139" s="10">
        <f ca="1">DATOSAÑO!K138</f>
        <v>5.0966593747621332</v>
      </c>
      <c r="H139" s="11">
        <f ca="1">DATOSAÑO!N138</f>
        <v>0</v>
      </c>
      <c r="I139" s="9">
        <f ca="1">DATOSAÑO!Q138</f>
        <v>0.36800000000016553</v>
      </c>
      <c r="J139" s="11">
        <f ca="1">DATOSAÑO!R138</f>
        <v>44.160000000019863</v>
      </c>
      <c r="K139" s="9">
        <f ca="1">DATOSAÑO!T138</f>
        <v>0.32699999999999818</v>
      </c>
      <c r="L139" s="11">
        <f t="shared" ca="1" si="3"/>
        <v>39.239999999999782</v>
      </c>
      <c r="M139" s="9"/>
      <c r="N139" s="11">
        <f t="shared" si="4"/>
        <v>0</v>
      </c>
      <c r="O139" s="9">
        <f>DATOSAÑO!CK138</f>
        <v>1</v>
      </c>
      <c r="P139" s="9">
        <f>DATOSAÑO!CL138</f>
        <v>1</v>
      </c>
      <c r="Q139" s="9">
        <f ca="1">DATOSAÑO!AD138</f>
        <v>156</v>
      </c>
      <c r="R139" s="11">
        <f ca="1">(Q139*DATOSAÑO!$Z$11)/DATOSAÑO!$Y$11</f>
        <v>2.8109113101775276</v>
      </c>
      <c r="S139" s="9">
        <f ca="1">DATOSAÑO!AF138</f>
        <v>152</v>
      </c>
      <c r="T139" s="11">
        <f ca="1">(S139*DATOSAÑO!$Z$11)/DATOSAÑO!$Y$11</f>
        <v>2.7388366611986168</v>
      </c>
      <c r="U139" s="9">
        <f ca="1">DATOSAÑO!AH138</f>
        <v>12</v>
      </c>
      <c r="V139" s="11">
        <f ca="1">(U139*DATOSAÑO!$Z$11)/DATOSAÑO!$Y$11</f>
        <v>0.21622394693673291</v>
      </c>
      <c r="W139" s="9">
        <f ca="1">DATOSAÑO!AI138</f>
        <v>38.600000000005821</v>
      </c>
      <c r="X139" s="11">
        <f ca="1">(W139*DATOSAÑO!$Z$11)/DATOSAÑO!$Y$11</f>
        <v>0.69552036264659567</v>
      </c>
      <c r="Y139" s="9">
        <f ca="1">DATOSAÑO!AJ138</f>
        <v>6.5999999999912689</v>
      </c>
      <c r="Z139" s="11">
        <f ca="1">(Y139*DATOSAÑO!$Z$11)/DATOSAÑO!$Y$11</f>
        <v>0.11892317081504578</v>
      </c>
      <c r="AA139" s="9">
        <f ca="1">DATOSAÑO!AK138</f>
        <v>13.400000000023283</v>
      </c>
      <c r="AB139" s="11">
        <f ca="1">(AA139*DATOSAÑO!$Z$11)/DATOSAÑO!$Y$11</f>
        <v>0.24145007407977129</v>
      </c>
      <c r="AC139" s="9">
        <f ca="1">DATOSAÑO!AL138</f>
        <v>34.094999999979848</v>
      </c>
      <c r="AD139" s="11">
        <f ca="1">(AC139*DATOSAÑO!$Z$11)/DATOSAÑO!$Y$11</f>
        <v>0.61434628923362933</v>
      </c>
      <c r="AE139" s="9">
        <f ca="1">DATOSAÑO!AM138</f>
        <v>6.5360000000010912</v>
      </c>
      <c r="AF139" s="11">
        <f ca="1">(AE139*DATOSAÑO!$Z$11)/DATOSAÑO!$Y$11</f>
        <v>0.11776997643156017</v>
      </c>
      <c r="AG139" s="9">
        <f ca="1">DATOSAÑO!AN138</f>
        <v>3.2659999999992726</v>
      </c>
      <c r="AH139" s="11">
        <f ca="1">(AG139*DATOSAÑO!$Z$11)/DATOSAÑO!$Y$11</f>
        <v>5.8848950891267696E-2</v>
      </c>
      <c r="AI139" s="9">
        <f ca="1">DATOSAÑO!BJ138</f>
        <v>2.2559999999999998</v>
      </c>
      <c r="AJ139" s="11">
        <f ca="1">(AI139*DATOSAÑO!$Z$11)/DATOSAÑO!$Y$11</f>
        <v>4.065010202410578E-2</v>
      </c>
      <c r="AK139" s="9">
        <f ca="1">DATOSAÑO!BM138</f>
        <v>0</v>
      </c>
      <c r="AL139" s="11">
        <f ca="1">(AK139*DATOSAÑO!$Z$11)/DATOSAÑO!$Y$11</f>
        <v>0</v>
      </c>
      <c r="AM139" s="9">
        <f ca="1">DATOSAÑO!BP138</f>
        <v>5.508</v>
      </c>
      <c r="AN139" s="11">
        <f ca="1">(AM139*DATOSAÑO!$Z$11)/DATOSAÑO!$Y$11</f>
        <v>9.92467916439604E-2</v>
      </c>
      <c r="AO139" s="9">
        <f ca="1">DATOSAÑO!BW138</f>
        <v>12.168000000000182</v>
      </c>
      <c r="AP139" s="11">
        <f ca="1">(AO139*DATOSAÑO!$Z$11)/DATOSAÑO!$Y$11</f>
        <v>0.21925108219385045</v>
      </c>
      <c r="AQ139" s="9">
        <f ca="1">DATOSAÑO!CC138</f>
        <v>2.8403999999997094</v>
      </c>
      <c r="AR139" s="1348">
        <f ca="1">(AQ139*DATOSAÑO!$Z$11)/DATOSAÑO!$Y$11</f>
        <v>5.1180208239919443E-2</v>
      </c>
      <c r="AS139" s="1384">
        <f t="shared" si="5"/>
        <v>19</v>
      </c>
    </row>
    <row r="140" spans="1:45" ht="16.5" customHeight="1">
      <c r="A140" s="1408">
        <v>45055</v>
      </c>
      <c r="B140" s="1869">
        <v>45055</v>
      </c>
      <c r="C140" s="9">
        <f ca="1">DATOSAÑO!I139</f>
        <v>152.30000000004657</v>
      </c>
      <c r="D140" s="10">
        <f ca="1">DATOSAÑO!$D139</f>
        <v>3.9013670341345574</v>
      </c>
      <c r="E140" s="11">
        <f ca="1">DATOSAÑO!$G139</f>
        <v>0</v>
      </c>
      <c r="F140" s="86">
        <f ca="1">DATOSAÑO!P139</f>
        <v>295.90000000000146</v>
      </c>
      <c r="G140" s="10">
        <f ca="1">DATOSAÑO!K139</f>
        <v>5.1300283091103864</v>
      </c>
      <c r="H140" s="11">
        <f ca="1">DATOSAÑO!N139</f>
        <v>0</v>
      </c>
      <c r="I140" s="9">
        <f ca="1">DATOSAÑO!Q139</f>
        <v>0</v>
      </c>
      <c r="J140" s="11">
        <f ca="1">DATOSAÑO!R139</f>
        <v>0</v>
      </c>
      <c r="K140" s="9">
        <f ca="1">DATOSAÑO!T139</f>
        <v>0</v>
      </c>
      <c r="L140" s="11">
        <f t="shared" ref="L140:L203" ca="1" si="6">K140*120</f>
        <v>0</v>
      </c>
      <c r="M140" s="9"/>
      <c r="N140" s="11">
        <f t="shared" ref="N140:N203" si="7">M140*120</f>
        <v>0</v>
      </c>
      <c r="O140" s="9">
        <f>DATOSAÑO!CK139</f>
        <v>0</v>
      </c>
      <c r="P140" s="9">
        <f>DATOSAÑO!CL139</f>
        <v>0</v>
      </c>
      <c r="Q140" s="9">
        <f ca="1">DATOSAÑO!AD139</f>
        <v>167.80000000000018</v>
      </c>
      <c r="R140" s="11">
        <f ca="1">(Q140*DATOSAÑO!$Z$11)/DATOSAÑO!$Y$11</f>
        <v>3.0235315246653185</v>
      </c>
      <c r="S140" s="9">
        <f ca="1">DATOSAÑO!AF139</f>
        <v>152.20000000001164</v>
      </c>
      <c r="T140" s="11">
        <f ca="1">(S140*DATOSAÑO!$Z$11)/DATOSAÑO!$Y$11</f>
        <v>2.7424403936477724</v>
      </c>
      <c r="U140" s="9">
        <f ca="1">DATOSAÑO!AH139</f>
        <v>5.5</v>
      </c>
      <c r="V140" s="11">
        <f ca="1">(U140*DATOSAÑO!$Z$11)/DATOSAÑO!$Y$11</f>
        <v>9.9102642346002578E-2</v>
      </c>
      <c r="W140" s="9">
        <f ca="1">DATOSAÑO!AI139</f>
        <v>38.19999999999709</v>
      </c>
      <c r="X140" s="11">
        <f ca="1">(W140*DATOSAÑO!$Z$11)/DATOSAÑO!$Y$11</f>
        <v>0.68831289774854731</v>
      </c>
      <c r="Y140" s="9">
        <f ca="1">DATOSAÑO!AJ139</f>
        <v>5.3000000000029104</v>
      </c>
      <c r="Z140" s="11">
        <f ca="1">(Y140*DATOSAÑO!$Z$11)/DATOSAÑO!$Y$11</f>
        <v>9.5498909897109477E-2</v>
      </c>
      <c r="AA140" s="9">
        <f ca="1">DATOSAÑO!AK139</f>
        <v>12.099999999976717</v>
      </c>
      <c r="AB140" s="11">
        <f ca="1">(AA140*DATOSAÑO!$Z$11)/DATOSAÑO!$Y$11</f>
        <v>0.21802581316078615</v>
      </c>
      <c r="AC140" s="9">
        <f ca="1">DATOSAÑO!AL139</f>
        <v>36.400000000084219</v>
      </c>
      <c r="AD140" s="11">
        <f ca="1">(AC140*DATOSAÑO!$Z$11)/DATOSAÑO!$Y$11</f>
        <v>0.65587930570960729</v>
      </c>
      <c r="AE140" s="9">
        <f ca="1">DATOSAÑO!AM139</f>
        <v>10.635999999975702</v>
      </c>
      <c r="AF140" s="11">
        <f ca="1">(AE140*DATOSAÑO!$Z$11)/DATOSAÑO!$Y$11</f>
        <v>0.19164649163448647</v>
      </c>
      <c r="AG140" s="9">
        <f ca="1">DATOSAÑO!AN139</f>
        <v>3.2500000000002727</v>
      </c>
      <c r="AH140" s="11">
        <f ca="1">(AG140*DATOSAÑO!$Z$11)/DATOSAÑO!$Y$11</f>
        <v>5.856065229537008E-2</v>
      </c>
      <c r="AI140" s="9">
        <f ca="1">DATOSAÑO!BJ139</f>
        <v>2.6160000000000001</v>
      </c>
      <c r="AJ140" s="11">
        <f ca="1">(AI140*DATOSAÑO!$Z$11)/DATOSAÑO!$Y$11</f>
        <v>4.7136820432207779E-2</v>
      </c>
      <c r="AK140" s="9">
        <f ca="1">DATOSAÑO!BM139</f>
        <v>0</v>
      </c>
      <c r="AL140" s="11">
        <f ca="1">(AK140*DATOSAÑO!$Z$11)/DATOSAÑO!$Y$11</f>
        <v>0</v>
      </c>
      <c r="AM140" s="9">
        <f ca="1">DATOSAÑO!BP139</f>
        <v>5.4480000000000004</v>
      </c>
      <c r="AN140" s="11">
        <f ca="1">(AM140*DATOSAÑO!$Z$11)/DATOSAÑO!$Y$11</f>
        <v>9.8165671909276761E-2</v>
      </c>
      <c r="AO140" s="9">
        <f ca="1">DATOSAÑO!BW139</f>
        <v>12.617999999987124</v>
      </c>
      <c r="AP140" s="11">
        <f ca="1">(AO140*DATOSAÑO!$Z$11)/DATOSAÑO!$Y$11</f>
        <v>0.22735948020374264</v>
      </c>
      <c r="AQ140" s="9">
        <f ca="1">DATOSAÑO!CC139</f>
        <v>2.7500000000001092</v>
      </c>
      <c r="AR140" s="1348">
        <f ca="1">(AQ140*DATOSAÑO!$Z$11)/DATOSAÑO!$Y$11</f>
        <v>4.9551321173003267E-2</v>
      </c>
      <c r="AS140" s="1384">
        <f t="shared" si="5"/>
        <v>19</v>
      </c>
    </row>
    <row r="141" spans="1:45">
      <c r="A141" s="1408">
        <v>45056</v>
      </c>
      <c r="B141" s="1869">
        <v>45056</v>
      </c>
      <c r="C141" s="9">
        <f ca="1">DATOSAÑO!I140</f>
        <v>147.59999999997672</v>
      </c>
      <c r="D141" s="10">
        <f ca="1">DATOSAÑO!$D140</f>
        <v>3.8611531901758243</v>
      </c>
      <c r="E141" s="11">
        <f ca="1">DATOSAÑO!$G140</f>
        <v>0</v>
      </c>
      <c r="F141" s="86">
        <f ca="1">DATOSAÑO!P140</f>
        <v>291.90000000000146</v>
      </c>
      <c r="G141" s="10">
        <f ca="1">DATOSAÑO!K140</f>
        <v>5.0958037610609095</v>
      </c>
      <c r="H141" s="11">
        <f ca="1">DATOSAÑO!N140</f>
        <v>0</v>
      </c>
      <c r="I141" s="9">
        <f ca="1">DATOSAÑO!Q140</f>
        <v>0</v>
      </c>
      <c r="J141" s="11">
        <f ca="1">DATOSAÑO!R140</f>
        <v>0</v>
      </c>
      <c r="K141" s="9">
        <f ca="1">DATOSAÑO!T140</f>
        <v>0</v>
      </c>
      <c r="L141" s="11">
        <f t="shared" ca="1" si="6"/>
        <v>0</v>
      </c>
      <c r="M141" s="9"/>
      <c r="N141" s="11">
        <f t="shared" si="7"/>
        <v>0</v>
      </c>
      <c r="O141" s="9">
        <f>DATOSAÑO!CK140</f>
        <v>0</v>
      </c>
      <c r="P141" s="9">
        <f>DATOSAÑO!CL140</f>
        <v>0</v>
      </c>
      <c r="Q141" s="9">
        <f ca="1">DATOSAÑO!AD140</f>
        <v>165.39999999999964</v>
      </c>
      <c r="R141" s="11">
        <f ca="1">(Q141*DATOSAÑO!$Z$11)/DATOSAÑO!$Y$11</f>
        <v>2.9802867352779621</v>
      </c>
      <c r="S141" s="9">
        <f ca="1">DATOSAÑO!AF140</f>
        <v>147.5</v>
      </c>
      <c r="T141" s="11">
        <f ca="1">(S141*DATOSAÑO!$Z$11)/DATOSAÑO!$Y$11</f>
        <v>2.6577526810973415</v>
      </c>
      <c r="U141" s="9">
        <f ca="1">DATOSAÑO!AH140</f>
        <v>12.299999999995634</v>
      </c>
      <c r="V141" s="11">
        <f ca="1">(U141*DATOSAÑO!$Z$11)/DATOSAÑO!$Y$11</f>
        <v>0.22162954561007256</v>
      </c>
      <c r="W141" s="9">
        <f ca="1">DATOSAÑO!AI140</f>
        <v>37.099999999991269</v>
      </c>
      <c r="X141" s="11">
        <f ca="1">(W141*DATOSAÑO!$Z$11)/DATOSAÑO!$Y$11</f>
        <v>0.66849236927924194</v>
      </c>
      <c r="Y141" s="9">
        <f ca="1">DATOSAÑO!AJ140</f>
        <v>5.1999999999970896</v>
      </c>
      <c r="Z141" s="11">
        <f ca="1">(Y141*DATOSAÑO!$Z$11)/DATOSAÑO!$Y$11</f>
        <v>9.369704367253183E-2</v>
      </c>
      <c r="AA141" s="9">
        <f ca="1">DATOSAÑO!AK140</f>
        <v>10.800000000017462</v>
      </c>
      <c r="AB141" s="11">
        <f ca="1">(AA141*DATOSAÑO!$Z$11)/DATOSAÑO!$Y$11</f>
        <v>0.19460155224337428</v>
      </c>
      <c r="AC141" s="9">
        <f ca="1">DATOSAÑO!AL140</f>
        <v>33.499999999939917</v>
      </c>
      <c r="AD141" s="11">
        <f ca="1">(AC141*DATOSAÑO!$Z$11)/DATOSAÑO!$Y$11</f>
        <v>0.6036251851972968</v>
      </c>
      <c r="AE141" s="9">
        <f ca="1">DATOSAÑO!AM140</f>
        <v>8.5955000000369317</v>
      </c>
      <c r="AF141" s="11">
        <f ca="1">(AE141*DATOSAÑO!$Z$11)/DATOSAÑO!$Y$11</f>
        <v>0.15487941132522279</v>
      </c>
      <c r="AG141" s="9">
        <f ca="1">DATOSAÑO!AN140</f>
        <v>3.3189999999998179</v>
      </c>
      <c r="AH141" s="11">
        <f ca="1">(AG141*DATOSAÑO!$Z$11)/DATOSAÑO!$Y$11</f>
        <v>5.9803939990248099E-2</v>
      </c>
      <c r="AI141" s="9">
        <f ca="1">DATOSAÑO!BJ140</f>
        <v>0.34649999999999997</v>
      </c>
      <c r="AJ141" s="11">
        <f ca="1">(AI141*DATOSAÑO!$Z$11)/DATOSAÑO!$Y$11</f>
        <v>6.2434664677981627E-3</v>
      </c>
      <c r="AK141" s="9">
        <f ca="1">DATOSAÑO!BM140</f>
        <v>4.0330000000000004</v>
      </c>
      <c r="AL141" s="11">
        <f ca="1">(AK141*DATOSAÑO!$Z$11)/DATOSAÑO!$Y$11</f>
        <v>7.2669264832986996E-2</v>
      </c>
      <c r="AM141" s="9">
        <f ca="1">DATOSAÑO!BP140</f>
        <v>3.9249999999999998</v>
      </c>
      <c r="AN141" s="11">
        <f ca="1">(AM141*DATOSAÑO!$Z$11)/DATOSAÑO!$Y$11</f>
        <v>7.0723249310556388E-2</v>
      </c>
      <c r="AO141" s="9">
        <f ca="1">DATOSAÑO!BW140</f>
        <v>10.39775000001883</v>
      </c>
      <c r="AP141" s="11">
        <f ca="1">(AO141*DATOSAÑO!$Z$11)/DATOSAÑO!$Y$11</f>
        <v>0.18735354535545715</v>
      </c>
      <c r="AQ141" s="9">
        <f ca="1">DATOSAÑO!CC140</f>
        <v>2.7085999999999273</v>
      </c>
      <c r="AR141" s="1348">
        <f ca="1">(AQ141*DATOSAÑO!$Z$11)/DATOSAÑO!$Y$11</f>
        <v>4.8805348556068252E-2</v>
      </c>
      <c r="AS141" s="1384">
        <f t="shared" ref="AS141:AS204" si="8">WEEKNUM(B141,1)</f>
        <v>19</v>
      </c>
    </row>
    <row r="142" spans="1:45" ht="16.5" customHeight="1">
      <c r="A142" s="1408">
        <v>45057</v>
      </c>
      <c r="B142" s="1869">
        <v>45057</v>
      </c>
      <c r="C142" s="9">
        <f ca="1">DATOSAÑO!I141</f>
        <v>149.09999999997672</v>
      </c>
      <c r="D142" s="10">
        <f ca="1">DATOSAÑO!$D141</f>
        <v>3.8739873956943782</v>
      </c>
      <c r="E142" s="11">
        <f ca="1">DATOSAÑO!$G141</f>
        <v>0</v>
      </c>
      <c r="F142" s="86">
        <f ca="1">DATOSAÑO!P141</f>
        <v>306.09999999999854</v>
      </c>
      <c r="G142" s="10">
        <f ca="1">DATOSAÑO!K141</f>
        <v>5.2173009066365266</v>
      </c>
      <c r="H142" s="11">
        <f ca="1">DATOSAÑO!N141</f>
        <v>0</v>
      </c>
      <c r="I142" s="9">
        <f ca="1">DATOSAÑO!Q141</f>
        <v>0</v>
      </c>
      <c r="J142" s="11">
        <f ca="1">DATOSAÑO!R141</f>
        <v>0</v>
      </c>
      <c r="K142" s="9">
        <f ca="1">DATOSAÑO!T141</f>
        <v>0</v>
      </c>
      <c r="L142" s="11">
        <f t="shared" ca="1" si="6"/>
        <v>0</v>
      </c>
      <c r="M142" s="9"/>
      <c r="N142" s="11">
        <f t="shared" si="7"/>
        <v>0</v>
      </c>
      <c r="O142" s="9">
        <f>DATOSAÑO!CK141</f>
        <v>0</v>
      </c>
      <c r="P142" s="9">
        <f>DATOSAÑO!CL141</f>
        <v>0</v>
      </c>
      <c r="Q142" s="9">
        <f ca="1">DATOSAÑO!AD141</f>
        <v>168.40000000000055</v>
      </c>
      <c r="R142" s="11">
        <f ca="1">(Q142*DATOSAÑO!$Z$11)/DATOSAÑO!$Y$11</f>
        <v>3.0343427220121617</v>
      </c>
      <c r="S142" s="9">
        <f ca="1">DATOSAÑO!AF141</f>
        <v>147.39999999996508</v>
      </c>
      <c r="T142" s="11">
        <f ca="1">(S142*DATOSAÑO!$Z$11)/DATOSAÑO!$Y$11</f>
        <v>2.6559508148722397</v>
      </c>
      <c r="U142" s="9">
        <f ca="1">DATOSAÑO!AH141</f>
        <v>17.80000000000291</v>
      </c>
      <c r="V142" s="11">
        <f ca="1">(U142*DATOSAÑO!$Z$11)/DATOSAÑO!$Y$11</f>
        <v>0.32073218795620628</v>
      </c>
      <c r="W142" s="9">
        <f ca="1">DATOSAÑO!AI141</f>
        <v>37.900000000008731</v>
      </c>
      <c r="X142" s="11">
        <f ca="1">(W142*DATOSAÑO!$Z$11)/DATOSAÑO!$Y$11</f>
        <v>0.68290729907533865</v>
      </c>
      <c r="Y142" s="9">
        <f ca="1">DATOSAÑO!AJ141</f>
        <v>6.1000000000058208</v>
      </c>
      <c r="Z142" s="11">
        <f ca="1">(Y142*DATOSAÑO!$Z$11)/DATOSAÑO!$Y$11</f>
        <v>0.1099138396929441</v>
      </c>
      <c r="AA142" s="9">
        <f ca="1">DATOSAÑO!AK141</f>
        <v>13.399999999994179</v>
      </c>
      <c r="AB142" s="11">
        <f ca="1">(AA142*DATOSAÑO!$Z$11)/DATOSAÑO!$Y$11</f>
        <v>0.24145007407924685</v>
      </c>
      <c r="AC142" s="9">
        <f ca="1">DATOSAÑO!AL141</f>
        <v>35.100000000010368</v>
      </c>
      <c r="AD142" s="11">
        <f ca="1">(AC142*DATOSAÑO!$Z$11)/DATOSAÑO!$Y$11</f>
        <v>0.63245504479013059</v>
      </c>
      <c r="AE142" s="9">
        <f ca="1">DATOSAÑO!AM141</f>
        <v>9.4489999999878105</v>
      </c>
      <c r="AF142" s="11">
        <f ca="1">(AE142*DATOSAÑO!$Z$11)/DATOSAÑO!$Y$11</f>
        <v>0.1702583395502128</v>
      </c>
      <c r="AG142" s="9">
        <f ca="1">DATOSAÑO!AN141</f>
        <v>3.3720000000005457</v>
      </c>
      <c r="AH142" s="11">
        <f ca="1">(AG142*DATOSAÑO!$Z$11)/DATOSAÑO!$Y$11</f>
        <v>6.0758929089231778E-2</v>
      </c>
      <c r="AI142" s="9">
        <f ca="1">DATOSAÑO!BJ141</f>
        <v>0</v>
      </c>
      <c r="AJ142" s="11">
        <f ca="1">(AI142*DATOSAÑO!$Z$11)/DATOSAÑO!$Y$11</f>
        <v>0</v>
      </c>
      <c r="AK142" s="9">
        <f ca="1">DATOSAÑO!BM141</f>
        <v>4.7729999999999997</v>
      </c>
      <c r="AL142" s="11">
        <f ca="1">(AK142*DATOSAÑO!$Z$11)/DATOSAÑO!$Y$11</f>
        <v>8.6003074894085499E-2</v>
      </c>
      <c r="AM142" s="9">
        <f ca="1">DATOSAÑO!BP141</f>
        <v>3.6779999999999999</v>
      </c>
      <c r="AN142" s="11">
        <f ca="1">(AM142*DATOSAÑO!$Z$11)/DATOSAÑO!$Y$11</f>
        <v>6.6272639736108641E-2</v>
      </c>
      <c r="AO142" s="9">
        <f ca="1">DATOSAÑO!BW141</f>
        <v>11.024499999993179</v>
      </c>
      <c r="AP142" s="11">
        <f ca="1">(AO142*DATOSAÑO!$Z$11)/DATOSAÑO!$Y$11</f>
        <v>0.19864674191687809</v>
      </c>
      <c r="AQ142" s="9">
        <f ca="1">DATOSAÑO!CC141</f>
        <v>2.8768000000002183</v>
      </c>
      <c r="AR142" s="1348">
        <f ca="1">(AQ142*DATOSAÑO!$Z$11)/DATOSAÑO!$Y$11</f>
        <v>5.1836087545636698E-2</v>
      </c>
      <c r="AS142" s="1384">
        <f t="shared" si="8"/>
        <v>19</v>
      </c>
    </row>
    <row r="143" spans="1:45">
      <c r="A143" s="1408">
        <v>45058</v>
      </c>
      <c r="B143" s="1869">
        <v>45058</v>
      </c>
      <c r="C143" s="9">
        <f ca="1">DATOSAÑO!I142</f>
        <v>150</v>
      </c>
      <c r="D143" s="10">
        <f ca="1">DATOSAÑO!$D142</f>
        <v>3.8816879190057101</v>
      </c>
      <c r="E143" s="11">
        <f ca="1">DATOSAÑO!$G142</f>
        <v>0</v>
      </c>
      <c r="F143" s="86">
        <f ca="1">DATOSAÑO!P142</f>
        <v>296.09999999999854</v>
      </c>
      <c r="G143" s="10">
        <f ca="1">DATOSAÑO!K142</f>
        <v>5.1317395365128355</v>
      </c>
      <c r="H143" s="11">
        <f ca="1">DATOSAÑO!N142</f>
        <v>0</v>
      </c>
      <c r="I143" s="9">
        <f ca="1">DATOSAÑO!Q142</f>
        <v>0</v>
      </c>
      <c r="J143" s="11">
        <f ca="1">DATOSAÑO!R142</f>
        <v>0</v>
      </c>
      <c r="K143" s="9">
        <f ca="1">DATOSAÑO!T142</f>
        <v>0</v>
      </c>
      <c r="L143" s="11">
        <f t="shared" ca="1" si="6"/>
        <v>0</v>
      </c>
      <c r="M143" s="9"/>
      <c r="N143" s="11">
        <f t="shared" si="7"/>
        <v>0</v>
      </c>
      <c r="O143" s="9">
        <f>DATOSAÑO!CK142</f>
        <v>0</v>
      </c>
      <c r="P143" s="9">
        <f>DATOSAÑO!CL142</f>
        <v>0</v>
      </c>
      <c r="Q143" s="9">
        <f ca="1">DATOSAÑO!AD142</f>
        <v>169.39999999999964</v>
      </c>
      <c r="R143" s="11">
        <f ca="1">(Q143*DATOSAÑO!$Z$11)/DATOSAÑO!$Y$11</f>
        <v>3.0523613842568733</v>
      </c>
      <c r="S143" s="9">
        <f ca="1">DATOSAÑO!AF142</f>
        <v>146.90000000002328</v>
      </c>
      <c r="T143" s="11">
        <f ca="1">(S143*DATOSAÑO!$Z$11)/DATOSAÑO!$Y$11</f>
        <v>2.6469414837509246</v>
      </c>
      <c r="U143" s="9">
        <f ca="1">DATOSAÑO!AH142</f>
        <v>10.69999999999709</v>
      </c>
      <c r="V143" s="11">
        <f ca="1">(U143*DATOSAÑO!$Z$11)/DATOSAÑO!$Y$11</f>
        <v>0.19279968601853439</v>
      </c>
      <c r="W143" s="9">
        <f ca="1">DATOSAÑO!AI142</f>
        <v>36.899999999994179</v>
      </c>
      <c r="X143" s="11">
        <f ca="1">(W143*DATOSAÑO!$Z$11)/DATOSAÑO!$Y$11</f>
        <v>0.66488863683034871</v>
      </c>
      <c r="Y143" s="9">
        <f ca="1">DATOSAÑO!AJ142</f>
        <v>5.8999999999941792</v>
      </c>
      <c r="Z143" s="11">
        <f ca="1">(Y143*DATOSAÑO!$Z$11)/DATOSAÑO!$Y$11</f>
        <v>0.1063101072437888</v>
      </c>
      <c r="AA143" s="9">
        <f ca="1">DATOSAÑO!AK142</f>
        <v>12</v>
      </c>
      <c r="AB143" s="11">
        <f ca="1">(AA143*DATOSAÑO!$Z$11)/DATOSAÑO!$Y$11</f>
        <v>0.21622394693673291</v>
      </c>
      <c r="AC143" s="9">
        <f ca="1">DATOSAÑO!AL142</f>
        <v>34.099999999989507</v>
      </c>
      <c r="AD143" s="11">
        <f ca="1">(AC143*DATOSAÑO!$Z$11)/DATOSAÑO!$Y$11</f>
        <v>0.61443638254502686</v>
      </c>
      <c r="AE143" s="9">
        <f ca="1">DATOSAÑO!AM142</f>
        <v>10.684000000000003</v>
      </c>
      <c r="AF143" s="11">
        <f ca="1">(AE143*DATOSAÑO!$Z$11)/DATOSAÑO!$Y$11</f>
        <v>0.19251138742267127</v>
      </c>
      <c r="AG143" s="9">
        <f ca="1">DATOSAÑO!AN142</f>
        <v>3.3379999999996359</v>
      </c>
      <c r="AH143" s="11">
        <f ca="1">(AG143*DATOSAÑO!$Z$11)/DATOSAÑO!$Y$11</f>
        <v>6.0146294572894644E-2</v>
      </c>
      <c r="AI143" s="9">
        <f ca="1">DATOSAÑO!BJ142</f>
        <v>0</v>
      </c>
      <c r="AJ143" s="11">
        <f ca="1">(AI143*DATOSAÑO!$Z$11)/DATOSAÑO!$Y$11</f>
        <v>0</v>
      </c>
      <c r="AK143" s="9">
        <f ca="1">DATOSAÑO!BM142</f>
        <v>4.657</v>
      </c>
      <c r="AL143" s="11">
        <f ca="1">(AK143*DATOSAÑO!$Z$11)/DATOSAÑO!$Y$11</f>
        <v>8.3912910073697097E-2</v>
      </c>
      <c r="AM143" s="9">
        <f ca="1">DATOSAÑO!BP142</f>
        <v>3.6589999999999998</v>
      </c>
      <c r="AN143" s="11">
        <f ca="1">(AM143*DATOSAÑO!$Z$11)/DATOSAÑO!$Y$11</f>
        <v>6.5930285153458806E-2</v>
      </c>
      <c r="AO143" s="9">
        <f ca="1">DATOSAÑO!BW142</f>
        <v>11.642000000001094</v>
      </c>
      <c r="AP143" s="11">
        <f ca="1">(AO143*DATOSAÑO!$Z$11)/DATOSAÑO!$Y$11</f>
        <v>0.20977326585314007</v>
      </c>
      <c r="AQ143" s="9">
        <f ca="1">DATOSAÑO!CC142</f>
        <v>2.8971999999998546</v>
      </c>
      <c r="AR143" s="1348">
        <f ca="1">(AQ143*DATOSAÑO!$Z$11)/DATOSAÑO!$Y$11</f>
        <v>5.2203668255422594E-2</v>
      </c>
      <c r="AS143" s="1384">
        <f t="shared" si="8"/>
        <v>19</v>
      </c>
    </row>
    <row r="144" spans="1:45" ht="16.5" customHeight="1">
      <c r="A144" s="1408">
        <v>45059</v>
      </c>
      <c r="B144" s="1869">
        <v>45059</v>
      </c>
      <c r="C144" s="9">
        <f ca="1">DATOSAÑO!I143</f>
        <v>150</v>
      </c>
      <c r="D144" s="10">
        <f ca="1">DATOSAÑO!$D143</f>
        <v>3.8816879190057101</v>
      </c>
      <c r="E144" s="11">
        <f ca="1">DATOSAÑO!$G143</f>
        <v>0</v>
      </c>
      <c r="F144" s="86">
        <f ca="1">DATOSAÑO!P143</f>
        <v>280</v>
      </c>
      <c r="G144" s="10">
        <f ca="1">DATOSAÑO!K143</f>
        <v>4.9939857306137032</v>
      </c>
      <c r="H144" s="11">
        <f ca="1">DATOSAÑO!N143</f>
        <v>0</v>
      </c>
      <c r="I144" s="9">
        <f ca="1">DATOSAÑO!Q143</f>
        <v>0</v>
      </c>
      <c r="J144" s="11">
        <f ca="1">DATOSAÑO!R143</f>
        <v>0</v>
      </c>
      <c r="K144" s="9">
        <f ca="1">DATOSAÑO!T143</f>
        <v>0</v>
      </c>
      <c r="L144" s="11">
        <f t="shared" ca="1" si="6"/>
        <v>0</v>
      </c>
      <c r="M144" s="9"/>
      <c r="N144" s="11">
        <f t="shared" si="7"/>
        <v>0</v>
      </c>
      <c r="O144" s="9">
        <f>DATOSAÑO!CK143</f>
        <v>0</v>
      </c>
      <c r="P144" s="9">
        <f>DATOSAÑO!CL143</f>
        <v>0</v>
      </c>
      <c r="Q144" s="9">
        <f ca="1">DATOSAÑO!AD143</f>
        <v>168</v>
      </c>
      <c r="R144" s="11">
        <f ca="1">(Q144*DATOSAÑO!$Z$11)/DATOSAÑO!$Y$11</f>
        <v>3.0271352571142609</v>
      </c>
      <c r="S144" s="9">
        <f ca="1">DATOSAÑO!AF143</f>
        <v>148</v>
      </c>
      <c r="T144" s="11">
        <f ca="1">(S144*DATOSAÑO!$Z$11)/DATOSAÑO!$Y$11</f>
        <v>2.666762012219706</v>
      </c>
      <c r="U144" s="9">
        <f ca="1">DATOSAÑO!AH143</f>
        <v>0</v>
      </c>
      <c r="V144" s="11">
        <f ca="1">(U144*DATOSAÑO!$Z$11)/DATOSAÑO!$Y$11</f>
        <v>0</v>
      </c>
      <c r="W144" s="9">
        <f ca="1">DATOSAÑO!AI143</f>
        <v>36.900000000008731</v>
      </c>
      <c r="X144" s="11">
        <f ca="1">(W144*DATOSAÑO!$Z$11)/DATOSAÑO!$Y$11</f>
        <v>0.66488863683061106</v>
      </c>
      <c r="Y144" s="9">
        <f ca="1">DATOSAÑO!AJ143</f>
        <v>4.7000000000116415</v>
      </c>
      <c r="Z144" s="11">
        <f ca="1">(Y144*DATOSAÑO!$Z$11)/DATOSAÑO!$Y$11</f>
        <v>8.4687712550430144E-2</v>
      </c>
      <c r="AA144" s="9">
        <f ca="1">DATOSAÑO!AK143</f>
        <v>9.7999999999883585</v>
      </c>
      <c r="AB144" s="11">
        <f ca="1">(AA144*DATOSAÑO!$Z$11)/DATOSAÑO!$Y$11</f>
        <v>0.17658288999812211</v>
      </c>
      <c r="AC144" s="9">
        <f ca="1">DATOSAÑO!AL143</f>
        <v>35.199999999993452</v>
      </c>
      <c r="AD144" s="11">
        <f ca="1">(AC144*DATOSAÑO!$Z$11)/DATOSAÑO!$Y$11</f>
        <v>0.6342569110142986</v>
      </c>
      <c r="AE144" s="9">
        <f ca="1">DATOSAÑO!AM143</f>
        <v>8.2639999999984521</v>
      </c>
      <c r="AF144" s="11">
        <f ca="1">(AE144*DATOSAÑO!$Z$11)/DATOSAÑO!$Y$11</f>
        <v>0.14890622479040219</v>
      </c>
      <c r="AG144" s="9">
        <f ca="1">DATOSAÑO!AN143</f>
        <v>2.8370000000000912</v>
      </c>
      <c r="AH144" s="11">
        <f ca="1">(AG144*DATOSAÑO!$Z$11)/DATOSAÑO!$Y$11</f>
        <v>5.1118944788294249E-2</v>
      </c>
      <c r="AI144" s="9">
        <f ca="1">DATOSAÑO!BJ143</f>
        <v>0</v>
      </c>
      <c r="AJ144" s="11">
        <f ca="1">(AI144*DATOSAÑO!$Z$11)/DATOSAÑO!$Y$11</f>
        <v>0</v>
      </c>
      <c r="AK144" s="9">
        <f ca="1">DATOSAÑO!BM143</f>
        <v>4.6719999999999997</v>
      </c>
      <c r="AL144" s="11">
        <f ca="1">(AK144*DATOSAÑO!$Z$11)/DATOSAÑO!$Y$11</f>
        <v>8.4183190007368E-2</v>
      </c>
      <c r="AM144" s="9">
        <f ca="1">DATOSAÑO!BP143</f>
        <v>3.7639999999999998</v>
      </c>
      <c r="AN144" s="11">
        <f ca="1">(AM144*DATOSAÑO!$Z$11)/DATOSAÑO!$Y$11</f>
        <v>6.7822244689155209E-2</v>
      </c>
      <c r="AO144" s="9">
        <f ca="1">DATOSAÑO!BW143</f>
        <v>10.431999999998499</v>
      </c>
      <c r="AP144" s="11">
        <f ca="1">(AO144*DATOSAÑO!$Z$11)/DATOSAÑO!$Y$11</f>
        <v>0.18797068453697277</v>
      </c>
      <c r="AQ144" s="9">
        <f ca="1">DATOSAÑO!CC143</f>
        <v>2.6978000000000364</v>
      </c>
      <c r="AR144" s="1348">
        <f ca="1">(AQ144*DATOSAÑO!$Z$11)/DATOSAÑO!$Y$11</f>
        <v>4.8610747003827157E-2</v>
      </c>
      <c r="AS144" s="1384">
        <f t="shared" si="8"/>
        <v>19</v>
      </c>
    </row>
    <row r="145" spans="1:45">
      <c r="A145" s="1408">
        <v>45060</v>
      </c>
      <c r="B145" s="1869">
        <v>45060</v>
      </c>
      <c r="C145" s="9">
        <f ca="1">DATOSAÑO!I144</f>
        <v>32</v>
      </c>
      <c r="D145" s="10">
        <f ca="1">DATOSAÑO!$D144</f>
        <v>2.8720637515461465</v>
      </c>
      <c r="E145" s="11">
        <f ca="1">DATOSAÑO!$G144</f>
        <v>0</v>
      </c>
      <c r="F145" s="86">
        <f ca="1">DATOSAÑO!P144</f>
        <v>394</v>
      </c>
      <c r="G145" s="10">
        <f ca="1">DATOSAÑO!K144</f>
        <v>5.9693853500237903</v>
      </c>
      <c r="H145" s="11">
        <f ca="1">DATOSAÑO!N144</f>
        <v>0</v>
      </c>
      <c r="I145" s="9">
        <f ca="1">DATOSAÑO!Q144</f>
        <v>0</v>
      </c>
      <c r="J145" s="11">
        <f ca="1">DATOSAÑO!R144</f>
        <v>0</v>
      </c>
      <c r="K145" s="9">
        <f ca="1">DATOSAÑO!T144</f>
        <v>1.8809999999999718</v>
      </c>
      <c r="L145" s="11">
        <f t="shared" ca="1" si="6"/>
        <v>225.71999999999662</v>
      </c>
      <c r="M145" s="9"/>
      <c r="N145" s="11">
        <f t="shared" si="7"/>
        <v>0</v>
      </c>
      <c r="O145" s="9">
        <f>DATOSAÑO!CK144</f>
        <v>0</v>
      </c>
      <c r="P145" s="9">
        <f>DATOSAÑO!CL144</f>
        <v>1.88</v>
      </c>
      <c r="Q145" s="9">
        <f ca="1">DATOSAÑO!AD144</f>
        <v>156</v>
      </c>
      <c r="R145" s="11">
        <f ca="1">(Q145*DATOSAÑO!$Z$11)/DATOSAÑO!$Y$11</f>
        <v>2.8109113101775276</v>
      </c>
      <c r="S145" s="9">
        <f ca="1">DATOSAÑO!AF144</f>
        <v>150</v>
      </c>
      <c r="T145" s="11">
        <f ca="1">(S145*DATOSAÑO!$Z$11)/DATOSAÑO!$Y$11</f>
        <v>2.7027993367091616</v>
      </c>
      <c r="U145" s="9">
        <f ca="1">DATOSAÑO!AH144</f>
        <v>10.600000000000364</v>
      </c>
      <c r="V145" s="11">
        <f ca="1">(U145*DATOSAÑO!$Z$11)/DATOSAÑO!$Y$11</f>
        <v>0.19099781979412062</v>
      </c>
      <c r="W145" s="9">
        <f ca="1">DATOSAÑO!AI144</f>
        <v>35.899999999994179</v>
      </c>
      <c r="X145" s="11">
        <f ca="1">(W145*DATOSAÑO!$Z$11)/DATOSAÑO!$Y$11</f>
        <v>0.64686997458562112</v>
      </c>
      <c r="Y145" s="9">
        <f ca="1">DATOSAÑO!AJ144</f>
        <v>3.8999999999941792</v>
      </c>
      <c r="Z145" s="11">
        <f ca="1">(Y145*DATOSAÑO!$Z$11)/DATOSAÑO!$Y$11</f>
        <v>7.027278275433331E-2</v>
      </c>
      <c r="AA145" s="9">
        <f ca="1">DATOSAÑO!AK144</f>
        <v>11.900000000023283</v>
      </c>
      <c r="AB145" s="11">
        <f ca="1">(AA145*DATOSAÑO!$Z$11)/DATOSAÑO!$Y$11</f>
        <v>0.21442208071267968</v>
      </c>
      <c r="AC145" s="9">
        <f ca="1">DATOSAÑO!AL144</f>
        <v>31.58099999998791</v>
      </c>
      <c r="AD145" s="11">
        <f ca="1">(AC145*DATOSAÑO!$Z$11)/DATOSAÑO!$Y$11</f>
        <v>0.56904737235052893</v>
      </c>
      <c r="AE145" s="9">
        <f ca="1">DATOSAÑO!AM144</f>
        <v>8.666999999999998</v>
      </c>
      <c r="AF145" s="11">
        <f ca="1">(AE145*DATOSAÑO!$Z$11)/DATOSAÑO!$Y$11</f>
        <v>0.15616774567505531</v>
      </c>
      <c r="AG145" s="9">
        <f ca="1">DATOSAÑO!AN144</f>
        <v>2.5830000000003639</v>
      </c>
      <c r="AH145" s="11">
        <f ca="1">(AG145*DATOSAÑO!$Z$11)/DATOSAÑO!$Y$11</f>
        <v>4.6542204578138319E-2</v>
      </c>
      <c r="AI145" s="9">
        <f ca="1">DATOSAÑO!BJ144</f>
        <v>0</v>
      </c>
      <c r="AJ145" s="11">
        <f ca="1">(AI145*DATOSAÑO!$Z$11)/DATOSAÑO!$Y$11</f>
        <v>0</v>
      </c>
      <c r="AK145" s="9">
        <f ca="1">DATOSAÑO!BM144</f>
        <v>4.625</v>
      </c>
      <c r="AL145" s="11">
        <f ca="1">(AK145*DATOSAÑO!$Z$11)/DATOSAÑO!$Y$11</f>
        <v>8.3336312881865812E-2</v>
      </c>
      <c r="AM145" s="9">
        <f ca="1">DATOSAÑO!BP144</f>
        <v>3.7080000000000002</v>
      </c>
      <c r="AN145" s="11">
        <f ca="1">(AM145*DATOSAÑO!$Z$11)/DATOSAÑO!$Y$11</f>
        <v>6.6813199603450474E-2</v>
      </c>
      <c r="AO145" s="9">
        <f ca="1">DATOSAÑO!BW144</f>
        <v>10.733499999999635</v>
      </c>
      <c r="AP145" s="11">
        <f ca="1">(AO145*DATOSAÑO!$Z$11)/DATOSAÑO!$Y$11</f>
        <v>0.19340331120377866</v>
      </c>
      <c r="AQ145" s="9">
        <f ca="1">DATOSAÑO!CC144</f>
        <v>3.0502000000001455</v>
      </c>
      <c r="AR145" s="1348">
        <f ca="1">(AQ145*DATOSAÑO!$Z$11)/DATOSAÑO!$Y$11</f>
        <v>5.4960523578871184E-2</v>
      </c>
      <c r="AS145" s="1384">
        <f t="shared" si="8"/>
        <v>20</v>
      </c>
    </row>
    <row r="146" spans="1:45" ht="16.5" customHeight="1">
      <c r="A146" s="1408">
        <v>45061</v>
      </c>
      <c r="B146" s="1869">
        <v>45061</v>
      </c>
      <c r="C146" s="9">
        <f ca="1">DATOSAÑO!I145</f>
        <v>146</v>
      </c>
      <c r="D146" s="10">
        <f ca="1">DATOSAÑO!$D145</f>
        <v>3.8474633709562331</v>
      </c>
      <c r="E146" s="11">
        <f ca="1">DATOSAÑO!$G145</f>
        <v>0</v>
      </c>
      <c r="F146" s="86">
        <f ca="1">DATOSAÑO!P145</f>
        <v>302</v>
      </c>
      <c r="G146" s="10">
        <f ca="1">DATOSAÑO!K145</f>
        <v>5.1822207448858251</v>
      </c>
      <c r="H146" s="11">
        <f ca="1">DATOSAÑO!N145</f>
        <v>0</v>
      </c>
      <c r="I146" s="9">
        <f ca="1">DATOSAÑO!Q145</f>
        <v>0</v>
      </c>
      <c r="J146" s="11">
        <f ca="1">DATOSAÑO!R145</f>
        <v>0</v>
      </c>
      <c r="K146" s="9">
        <f ca="1">DATOSAÑO!T145</f>
        <v>0</v>
      </c>
      <c r="L146" s="11">
        <f t="shared" ca="1" si="6"/>
        <v>0</v>
      </c>
      <c r="M146" s="9"/>
      <c r="N146" s="11">
        <f t="shared" si="7"/>
        <v>0</v>
      </c>
      <c r="O146" s="9">
        <f>DATOSAÑO!CK145</f>
        <v>0</v>
      </c>
      <c r="P146" s="9">
        <f>DATOSAÑO!CL145</f>
        <v>0</v>
      </c>
      <c r="Q146" s="9">
        <f ca="1">DATOSAÑO!AD145</f>
        <v>163</v>
      </c>
      <c r="R146" s="11">
        <f ca="1">(Q146*DATOSAÑO!$Z$11)/DATOSAÑO!$Y$11</f>
        <v>2.9370419458906221</v>
      </c>
      <c r="S146" s="9">
        <f ca="1">DATOSAÑO!AF145</f>
        <v>146</v>
      </c>
      <c r="T146" s="11">
        <f ca="1">(S146*DATOSAÑO!$Z$11)/DATOSAÑO!$Y$11</f>
        <v>2.6307246877302504</v>
      </c>
      <c r="U146" s="9">
        <f ca="1">DATOSAÑO!AH145</f>
        <v>21.100000000005821</v>
      </c>
      <c r="V146" s="11">
        <f ca="1">(U146*DATOSAÑO!$Z$11)/DATOSAÑO!$Y$11</f>
        <v>0.38019377336386029</v>
      </c>
      <c r="W146" s="9">
        <f ca="1">DATOSAÑO!AI145</f>
        <v>34.899999999994179</v>
      </c>
      <c r="X146" s="11">
        <f ca="1">(W146*DATOSAÑO!$Z$11)/DATOSAÑO!$Y$11</f>
        <v>0.62885131234089331</v>
      </c>
      <c r="Y146" s="9">
        <f ca="1">DATOSAÑO!AJ145</f>
        <v>5.5</v>
      </c>
      <c r="Z146" s="11">
        <f ca="1">(Y146*DATOSAÑO!$Z$11)/DATOSAÑO!$Y$11</f>
        <v>9.9102642346002578E-2</v>
      </c>
      <c r="AA146" s="9">
        <f ca="1">DATOSAÑO!AK145</f>
        <v>13.799999999988358</v>
      </c>
      <c r="AB146" s="11">
        <f ca="1">(AA146*DATOSAÑO!$Z$11)/DATOSAÑO!$Y$11</f>
        <v>0.24865753897703308</v>
      </c>
      <c r="AC146" s="9">
        <f ca="1">DATOSAÑO!AL145</f>
        <v>35.900000000008731</v>
      </c>
      <c r="AD146" s="11">
        <f ca="1">(AC146*DATOSAÑO!$Z$11)/DATOSAÑO!$Y$11</f>
        <v>0.64686997458588325</v>
      </c>
      <c r="AE146" s="9">
        <f ca="1">DATOSAÑO!AM145</f>
        <v>8.7380000000019091</v>
      </c>
      <c r="AF146" s="11">
        <f ca="1">(AE146*DATOSAÑO!$Z$11)/DATOSAÑO!$Y$11</f>
        <v>0.1574470706944654</v>
      </c>
      <c r="AG146" s="9">
        <f ca="1">DATOSAÑO!AN145</f>
        <v>3.777999999999909</v>
      </c>
      <c r="AH146" s="11">
        <f ca="1">(AG146*DATOSAÑO!$Z$11)/DATOSAÑO!$Y$11</f>
        <v>6.8074505960579776E-2</v>
      </c>
      <c r="AI146" s="9">
        <f ca="1">DATOSAÑO!BJ145</f>
        <v>0</v>
      </c>
      <c r="AJ146" s="11">
        <f ca="1">(AI146*DATOSAÑO!$Z$11)/DATOSAÑO!$Y$11</f>
        <v>0</v>
      </c>
      <c r="AK146" s="9">
        <f ca="1">DATOSAÑO!BM145</f>
        <v>4.5910000000000002</v>
      </c>
      <c r="AL146" s="11">
        <f ca="1">(AK146*DATOSAÑO!$Z$11)/DATOSAÑO!$Y$11</f>
        <v>8.2723678365545061E-2</v>
      </c>
      <c r="AM146" s="9">
        <f ca="1">DATOSAÑO!BP145</f>
        <v>3.5710000000000002</v>
      </c>
      <c r="AN146" s="11">
        <f ca="1">(AM146*DATOSAÑO!$Z$11)/DATOSAÑO!$Y$11</f>
        <v>6.4344642875922772E-2</v>
      </c>
      <c r="AO146" s="9">
        <f ca="1">DATOSAÑO!BW145</f>
        <v>10.669000000002047</v>
      </c>
      <c r="AP146" s="11">
        <f ca="1">(AO146*DATOSAÑO!$Z$11)/DATOSAÑO!$Y$11</f>
        <v>0.19224110748903717</v>
      </c>
      <c r="AQ146" s="9">
        <f ca="1">DATOSAÑO!CC145</f>
        <v>2.3331999999999637</v>
      </c>
      <c r="AR146" s="1348">
        <f ca="1">(AQ146*DATOSAÑO!$Z$11)/DATOSAÑO!$Y$11</f>
        <v>4.204114274939811E-2</v>
      </c>
      <c r="AS146" s="1384">
        <f t="shared" si="8"/>
        <v>20</v>
      </c>
    </row>
    <row r="147" spans="1:45">
      <c r="A147" s="1408">
        <v>45062</v>
      </c>
      <c r="B147" s="1869">
        <v>45062</v>
      </c>
      <c r="C147" s="9">
        <f ca="1">DATOSAÑO!I146</f>
        <v>138</v>
      </c>
      <c r="D147" s="10">
        <f ca="1">DATOSAÑO!$D146</f>
        <v>3.7790142748572797</v>
      </c>
      <c r="E147" s="11">
        <f ca="1">DATOSAÑO!$G146</f>
        <v>0</v>
      </c>
      <c r="F147" s="86">
        <f ca="1">DATOSAÑO!P146</f>
        <v>298</v>
      </c>
      <c r="G147" s="10">
        <f ca="1">DATOSAÑO!K146</f>
        <v>5.147996196836349</v>
      </c>
      <c r="H147" s="11">
        <f ca="1">DATOSAÑO!N146</f>
        <v>0</v>
      </c>
      <c r="I147" s="9">
        <f ca="1">DATOSAÑO!Q146</f>
        <v>0.68799999999987449</v>
      </c>
      <c r="J147" s="11">
        <f ca="1">DATOSAÑO!R146</f>
        <v>82.559999999984939</v>
      </c>
      <c r="K147" s="9">
        <f ca="1">DATOSAÑO!T146</f>
        <v>0</v>
      </c>
      <c r="L147" s="11">
        <f t="shared" ca="1" si="6"/>
        <v>0</v>
      </c>
      <c r="M147" s="9"/>
      <c r="N147" s="11">
        <f t="shared" si="7"/>
        <v>0</v>
      </c>
      <c r="O147" s="9">
        <f>DATOSAÑO!CK146</f>
        <v>0.7</v>
      </c>
      <c r="P147" s="9">
        <f>DATOSAÑO!CL146</f>
        <v>0</v>
      </c>
      <c r="Q147" s="9">
        <f ca="1">DATOSAÑO!AD146</f>
        <v>166</v>
      </c>
      <c r="R147" s="11">
        <f ca="1">(Q147*DATOSAÑO!$Z$11)/DATOSAÑO!$Y$11</f>
        <v>2.9910979326248053</v>
      </c>
      <c r="S147" s="9">
        <f ca="1">DATOSAÑO!AF146</f>
        <v>147</v>
      </c>
      <c r="T147" s="11">
        <f ca="1">(S147*DATOSAÑO!$Z$11)/DATOSAÑO!$Y$11</f>
        <v>2.648743349974978</v>
      </c>
      <c r="U147" s="9">
        <f ca="1">DATOSAÑO!AH146</f>
        <v>6.5</v>
      </c>
      <c r="V147" s="11">
        <f ca="1">(U147*DATOSAÑO!$Z$11)/DATOSAÑO!$Y$11</f>
        <v>0.11712130459073032</v>
      </c>
      <c r="W147" s="9">
        <f ca="1">DATOSAÑO!AI146</f>
        <v>35.100000000005821</v>
      </c>
      <c r="X147" s="11">
        <f ca="1">(W147*DATOSAÑO!$Z$11)/DATOSAÑO!$Y$11</f>
        <v>0.63245504479004866</v>
      </c>
      <c r="Y147" s="9">
        <f ca="1">DATOSAÑO!AJ146</f>
        <v>6.6999999999970896</v>
      </c>
      <c r="Z147" s="11">
        <f ca="1">(Y147*DATOSAÑO!$Z$11)/DATOSAÑO!$Y$11</f>
        <v>0.12072503703962342</v>
      </c>
      <c r="AA147" s="9">
        <f ca="1">DATOSAÑO!AK146</f>
        <v>12.299999999988358</v>
      </c>
      <c r="AB147" s="11">
        <f ca="1">(AA147*DATOSAÑO!$Z$11)/DATOSAÑO!$Y$11</f>
        <v>0.22162954560994144</v>
      </c>
      <c r="AC147" s="9">
        <f ca="1">DATOSAÑO!AL146</f>
        <v>33.888000000011459</v>
      </c>
      <c r="AD147" s="11">
        <f ca="1">(AC147*DATOSAÑO!$Z$11)/DATOSAÑO!$Y$11</f>
        <v>0.61061642614954015</v>
      </c>
      <c r="AE147" s="9">
        <f ca="1">DATOSAÑO!AM146</f>
        <v>8.2869999999977164</v>
      </c>
      <c r="AF147" s="11">
        <f ca="1">(AE147*DATOSAÑO!$Z$11)/DATOSAÑO!$Y$11</f>
        <v>0.14932065402201763</v>
      </c>
      <c r="AG147" s="9">
        <f ca="1">DATOSAÑO!AN146</f>
        <v>4.0069999999997341</v>
      </c>
      <c r="AH147" s="11">
        <f ca="1">(AG147*DATOSAÑO!$Z$11)/DATOSAÑO!$Y$11</f>
        <v>7.2200779614619279E-2</v>
      </c>
      <c r="AI147" s="9">
        <f ca="1">DATOSAÑO!BJ146</f>
        <v>0</v>
      </c>
      <c r="AJ147" s="11">
        <f ca="1">(AI147*DATOSAÑO!$Z$11)/DATOSAÑO!$Y$11</f>
        <v>0</v>
      </c>
      <c r="AK147" s="9">
        <f ca="1">DATOSAÑO!BM146</f>
        <v>4.548</v>
      </c>
      <c r="AL147" s="11">
        <f ca="1">(AK147*DATOSAÑO!$Z$11)/DATOSAÑO!$Y$11</f>
        <v>8.1948875889021777E-2</v>
      </c>
      <c r="AM147" s="9">
        <f ca="1">DATOSAÑO!BP146</f>
        <v>3.4849999999999999</v>
      </c>
      <c r="AN147" s="11">
        <f ca="1">(AM147*DATOSAÑO!$Z$11)/DATOSAÑO!$Y$11</f>
        <v>6.2795037922876176E-2</v>
      </c>
      <c r="AO147" s="9">
        <f ca="1">DATOSAÑO!BW146</f>
        <v>11.543499999998495</v>
      </c>
      <c r="AP147" s="11">
        <f ca="1">(AO147*DATOSAÑO!$Z$11)/DATOSAÑO!$Y$11</f>
        <v>0.20799842762198759</v>
      </c>
      <c r="AQ147" s="9">
        <f ca="1">DATOSAÑO!CC146</f>
        <v>3.0757999999998935</v>
      </c>
      <c r="AR147" s="1348">
        <f ca="1">(AQ147*DATOSAÑO!$Z$11)/DATOSAÑO!$Y$11</f>
        <v>5.5421801332331676E-2</v>
      </c>
      <c r="AS147" s="1384">
        <f t="shared" si="8"/>
        <v>20</v>
      </c>
    </row>
    <row r="148" spans="1:45" ht="16.5" customHeight="1">
      <c r="A148" s="1408">
        <v>45063</v>
      </c>
      <c r="B148" s="1869">
        <v>45063</v>
      </c>
      <c r="C148" s="9">
        <f ca="1">DATOSAÑO!I147</f>
        <v>134.98999999999069</v>
      </c>
      <c r="D148" s="10">
        <f ca="1">DATOSAÑO!$D147</f>
        <v>3.7532603024499691</v>
      </c>
      <c r="E148" s="11">
        <f ca="1">DATOSAÑO!$G147</f>
        <v>0</v>
      </c>
      <c r="F148" s="86">
        <f ca="1">DATOSAÑO!P147</f>
        <v>304.44999999999709</v>
      </c>
      <c r="G148" s="10">
        <f ca="1">DATOSAÑO!K147</f>
        <v>5.2031832805661047</v>
      </c>
      <c r="H148" s="11">
        <f ca="1">DATOSAÑO!N147</f>
        <v>0</v>
      </c>
      <c r="I148" s="9">
        <f ca="1">DATOSAÑO!Q147</f>
        <v>0</v>
      </c>
      <c r="J148" s="11">
        <f ca="1">DATOSAÑO!R147</f>
        <v>0</v>
      </c>
      <c r="K148" s="9">
        <f ca="1">DATOSAÑO!T147</f>
        <v>0</v>
      </c>
      <c r="L148" s="11">
        <f t="shared" ca="1" si="6"/>
        <v>0</v>
      </c>
      <c r="M148" s="9"/>
      <c r="N148" s="11">
        <f t="shared" si="7"/>
        <v>0</v>
      </c>
      <c r="O148" s="9">
        <f>DATOSAÑO!CK147</f>
        <v>0</v>
      </c>
      <c r="P148" s="9">
        <f>DATOSAÑO!CL147</f>
        <v>0</v>
      </c>
      <c r="Q148" s="9">
        <f ca="1">DATOSAÑO!AD147</f>
        <v>165.77000000000044</v>
      </c>
      <c r="R148" s="11">
        <f ca="1">(Q148*DATOSAÑO!$Z$11)/DATOSAÑO!$Y$11</f>
        <v>2.9869536403085259</v>
      </c>
      <c r="S148" s="9">
        <f ca="1">DATOSAÑO!AF147</f>
        <v>146.95000000001164</v>
      </c>
      <c r="T148" s="11">
        <f ca="1">(S148*DATOSAÑO!$Z$11)/DATOSAÑO!$Y$11</f>
        <v>2.6478424168629515</v>
      </c>
      <c r="U148" s="9">
        <f ca="1">DATOSAÑO!AH147</f>
        <v>10</v>
      </c>
      <c r="V148" s="11">
        <f ca="1">(U148*DATOSAÑO!$Z$11)/DATOSAÑO!$Y$11</f>
        <v>0.18018662244727743</v>
      </c>
      <c r="W148" s="9">
        <f ca="1">DATOSAÑO!AI147</f>
        <v>35.600000000005821</v>
      </c>
      <c r="X148" s="11">
        <f ca="1">(W148*DATOSAÑO!$Z$11)/DATOSAÑO!$Y$11</f>
        <v>0.64146437591241257</v>
      </c>
      <c r="Y148" s="9">
        <f ca="1">DATOSAÑO!AJ147</f>
        <v>5.3700000000098953</v>
      </c>
      <c r="Z148" s="11">
        <f ca="1">(Y148*DATOSAÑO!$Z$11)/DATOSAÑO!$Y$11</f>
        <v>9.6760216254366274E-2</v>
      </c>
      <c r="AA148" s="9">
        <f ca="1">DATOSAÑO!AK147</f>
        <v>13.220000000001164</v>
      </c>
      <c r="AB148" s="11">
        <f ca="1">(AA148*DATOSAÑO!$Z$11)/DATOSAÑO!$Y$11</f>
        <v>0.23820671487532175</v>
      </c>
      <c r="AC148" s="9">
        <f ca="1">DATOSAÑO!AL147</f>
        <v>34.679999999982158</v>
      </c>
      <c r="AD148" s="11">
        <f ca="1">(AC148*DATOSAÑO!$Z$11)/DATOSAÑO!$Y$11</f>
        <v>0.62488720664683661</v>
      </c>
      <c r="AE148" s="9">
        <f ca="1">DATOSAÑO!AM147</f>
        <v>8.2939999999772667</v>
      </c>
      <c r="AF148" s="11">
        <f ca="1">(AE148*DATOSAÑO!$Z$11)/DATOSAÑO!$Y$11</f>
        <v>0.14944678465736227</v>
      </c>
      <c r="AG148" s="9">
        <f ca="1">DATOSAÑO!AN147</f>
        <v>3.3459999999997407</v>
      </c>
      <c r="AH148" s="11">
        <f ca="1">(AG148*DATOSAÑO!$Z$11)/DATOSAÑO!$Y$11</f>
        <v>6.029044387085436E-2</v>
      </c>
      <c r="AI148" s="9">
        <f ca="1">DATOSAÑO!BJ147</f>
        <v>0</v>
      </c>
      <c r="AJ148" s="11">
        <f ca="1">(AI148*DATOSAÑO!$Z$11)/DATOSAÑO!$Y$11</f>
        <v>0</v>
      </c>
      <c r="AK148" s="9">
        <f ca="1">DATOSAÑO!BM147</f>
        <v>4.5369999999999999</v>
      </c>
      <c r="AL148" s="11">
        <f ca="1">(AK148*DATOSAÑO!$Z$11)/DATOSAÑO!$Y$11</f>
        <v>8.1750670604329764E-2</v>
      </c>
      <c r="AM148" s="9">
        <f ca="1">DATOSAÑO!BP147</f>
        <v>3.5390000000000001</v>
      </c>
      <c r="AN148" s="11">
        <f ca="1">(AM148*DATOSAÑO!$Z$11)/DATOSAÑO!$Y$11</f>
        <v>6.3768045684091487E-2</v>
      </c>
      <c r="AO148" s="9">
        <f ca="1">DATOSAÑO!BW147</f>
        <v>11.216999999988342</v>
      </c>
      <c r="AP148" s="11">
        <f ca="1">(AO148*DATOSAÑO!$Z$11)/DATOSAÑO!$Y$11</f>
        <v>0.20211533439890103</v>
      </c>
      <c r="AQ148" s="9">
        <f ca="1">DATOSAÑO!CC147</f>
        <v>2.4023999999998962</v>
      </c>
      <c r="AR148" s="1348">
        <f ca="1">(AQ148*DATOSAÑO!$Z$11)/DATOSAÑO!$Y$11</f>
        <v>4.3288034176732056E-2</v>
      </c>
      <c r="AS148" s="1384">
        <f t="shared" si="8"/>
        <v>20</v>
      </c>
    </row>
    <row r="149" spans="1:45">
      <c r="A149" s="1408">
        <v>45064</v>
      </c>
      <c r="B149" s="1869">
        <v>45064</v>
      </c>
      <c r="C149" s="9">
        <f ca="1">DATOSAÑO!I148</f>
        <v>176.77500000002328</v>
      </c>
      <c r="D149" s="10">
        <f ca="1">DATOSAÑO!$D148</f>
        <v>4.1107784875120945</v>
      </c>
      <c r="E149" s="11">
        <f ca="1">DATOSAÑO!$G148</f>
        <v>0</v>
      </c>
      <c r="F149" s="86">
        <f ca="1">DATOSAÑO!P148</f>
        <v>268.37800000000425</v>
      </c>
      <c r="G149" s="10">
        <f ca="1">DATOSAÑO!K148</f>
        <v>4.894546306255986</v>
      </c>
      <c r="H149" s="11">
        <f ca="1">DATOSAÑO!N148</f>
        <v>0</v>
      </c>
      <c r="I149" s="9">
        <f ca="1">DATOSAÑO!Q148</f>
        <v>0</v>
      </c>
      <c r="J149" s="11">
        <f ca="1">DATOSAÑO!R148</f>
        <v>0</v>
      </c>
      <c r="K149" s="9">
        <f ca="1">DATOSAÑO!T148</f>
        <v>0</v>
      </c>
      <c r="L149" s="11">
        <f t="shared" ca="1" si="6"/>
        <v>0</v>
      </c>
      <c r="M149" s="9"/>
      <c r="N149" s="11">
        <f t="shared" si="7"/>
        <v>0</v>
      </c>
      <c r="O149" s="9">
        <f>DATOSAÑO!CK148</f>
        <v>0</v>
      </c>
      <c r="P149" s="9">
        <f>DATOSAÑO!CL148</f>
        <v>0</v>
      </c>
      <c r="Q149" s="9">
        <f ca="1">DATOSAÑO!AD148</f>
        <v>167.73199999999997</v>
      </c>
      <c r="R149" s="11">
        <f ca="1">(Q149*DATOSAÑO!$Z$11)/DATOSAÑO!$Y$11</f>
        <v>3.0223062556326727</v>
      </c>
      <c r="S149" s="9">
        <f ca="1">DATOSAÑO!AF148</f>
        <v>150.64999999996508</v>
      </c>
      <c r="T149" s="11">
        <f ca="1">(S149*DATOSAÑO!$Z$11)/DATOSAÑO!$Y$11</f>
        <v>2.7145114671676054</v>
      </c>
      <c r="U149" s="9">
        <f ca="1">DATOSAÑO!AH148</f>
        <v>10.399999999994179</v>
      </c>
      <c r="V149" s="11">
        <f ca="1">(U149*DATOSAÑO!$Z$11)/DATOSAÑO!$Y$11</f>
        <v>0.18739408734506366</v>
      </c>
      <c r="W149" s="9">
        <f ca="1">DATOSAÑO!AI148</f>
        <v>36.720000000001164</v>
      </c>
      <c r="X149" s="11">
        <f ca="1">(W149*DATOSAÑO!$Z$11)/DATOSAÑO!$Y$11</f>
        <v>0.66164527762642367</v>
      </c>
      <c r="Y149" s="9">
        <f ca="1">DATOSAÑO!AJ148</f>
        <v>4.8799999999901047</v>
      </c>
      <c r="Z149" s="11">
        <f ca="1">(Y149*DATOSAÑO!$Z$11)/DATOSAÑO!$Y$11</f>
        <v>8.7931071754093079E-2</v>
      </c>
      <c r="AA149" s="9">
        <f ca="1">DATOSAÑO!AK148</f>
        <v>12.550000000017462</v>
      </c>
      <c r="AB149" s="11">
        <f ca="1">(AA149*DATOSAÑO!$Z$11)/DATOSAÑO!$Y$11</f>
        <v>0.22613421117164781</v>
      </c>
      <c r="AC149" s="9">
        <f ca="1">DATOSAÑO!AL148</f>
        <v>35.570999999999913</v>
      </c>
      <c r="AD149" s="11">
        <f ca="1">(AC149*DATOSAÑO!$Z$11)/DATOSAÑO!$Y$11</f>
        <v>0.640941834707209</v>
      </c>
      <c r="AE149" s="9">
        <f ca="1">DATOSAÑO!AM148</f>
        <v>7.7509000000595369</v>
      </c>
      <c r="AF149" s="11">
        <f ca="1">(AE149*DATOSAÑO!$Z$11)/DATOSAÑO!$Y$11</f>
        <v>0.13966084919373303</v>
      </c>
      <c r="AG149" s="9">
        <f ca="1">DATOSAÑO!AN148</f>
        <v>3.0290000000003294</v>
      </c>
      <c r="AH149" s="11">
        <f ca="1">(AG149*DATOSAÑO!$Z$11)/DATOSAÑO!$Y$11</f>
        <v>5.4578527939286268E-2</v>
      </c>
      <c r="AI149" s="9">
        <f ca="1">DATOSAÑO!BJ148</f>
        <v>1.1541000000000932</v>
      </c>
      <c r="AJ149" s="11">
        <f ca="1">(AI149*DATOSAÑO!$Z$11)/DATOSAÑO!$Y$11</f>
        <v>2.0795338096641969E-2</v>
      </c>
      <c r="AK149" s="9">
        <f ca="1">DATOSAÑO!BM148</f>
        <v>2.0030000000000001</v>
      </c>
      <c r="AL149" s="11">
        <f ca="1">(AK149*DATOSAÑO!$Z$11)/DATOSAÑO!$Y$11</f>
        <v>3.609138047618967E-2</v>
      </c>
      <c r="AM149" s="9">
        <f ca="1">DATOSAÑO!BP148</f>
        <v>4.7220000000000004</v>
      </c>
      <c r="AN149" s="11">
        <f ca="1">(AM149*DATOSAÑO!$Z$11)/DATOSAÑO!$Y$11</f>
        <v>8.5084123119604393E-2</v>
      </c>
      <c r="AO149" s="9">
        <f ca="1">DATOSAÑO!BW148</f>
        <v>10.445450000029478</v>
      </c>
      <c r="AP149" s="11">
        <f ca="1">(AO149*DATOSAÑO!$Z$11)/DATOSAÑO!$Y$11</f>
        <v>0.18821303554472255</v>
      </c>
      <c r="AQ149" s="9">
        <f ca="1">DATOSAÑO!CC148</f>
        <v>2.6326000000001319</v>
      </c>
      <c r="AR149" s="1348">
        <f ca="1">(AQ149*DATOSAÑO!$Z$11)/DATOSAÑO!$Y$11</f>
        <v>4.7435930225472628E-2</v>
      </c>
      <c r="AS149" s="1384">
        <f t="shared" si="8"/>
        <v>20</v>
      </c>
    </row>
    <row r="150" spans="1:45" ht="16.5" customHeight="1">
      <c r="A150" s="1408">
        <v>45065</v>
      </c>
      <c r="B150" s="1869">
        <v>45065</v>
      </c>
      <c r="C150" s="9">
        <f ca="1">DATOSAÑO!I149</f>
        <v>291.56499999994412</v>
      </c>
      <c r="D150" s="10">
        <f ca="1">DATOSAÑO!$D149</f>
        <v>5.0929374551612749</v>
      </c>
      <c r="E150" s="11">
        <f ca="1">DATOSAÑO!$G149</f>
        <v>0</v>
      </c>
      <c r="F150" s="86">
        <f ca="1">DATOSAÑO!P149</f>
        <v>147.50299999999697</v>
      </c>
      <c r="G150" s="10">
        <f ca="1">DATOSAÑO!K149</f>
        <v>3.860323244885798</v>
      </c>
      <c r="H150" s="11">
        <f ca="1">DATOSAÑO!N149</f>
        <v>0</v>
      </c>
      <c r="I150" s="9">
        <f ca="1">DATOSAÑO!Q149</f>
        <v>0</v>
      </c>
      <c r="J150" s="11">
        <f ca="1">DATOSAÑO!R149</f>
        <v>0</v>
      </c>
      <c r="K150" s="9">
        <f ca="1">DATOSAÑO!T149</f>
        <v>0</v>
      </c>
      <c r="L150" s="11">
        <f t="shared" ca="1" si="6"/>
        <v>0</v>
      </c>
      <c r="M150" s="9"/>
      <c r="N150" s="11">
        <f t="shared" si="7"/>
        <v>0</v>
      </c>
      <c r="O150" s="9">
        <f>DATOSAÑO!CK149</f>
        <v>0</v>
      </c>
      <c r="P150" s="9">
        <f>DATOSAÑO!CL149</f>
        <v>0</v>
      </c>
      <c r="Q150" s="9">
        <f ca="1">DATOSAÑO!AD149</f>
        <v>165.33799999999974</v>
      </c>
      <c r="R150" s="11">
        <f ca="1">(Q150*DATOSAÑO!$Z$11)/DATOSAÑO!$Y$11</f>
        <v>2.9791695782187904</v>
      </c>
      <c r="S150" s="9">
        <f ca="1">DATOSAÑO!AF149</f>
        <v>145.50900000002002</v>
      </c>
      <c r="T150" s="11">
        <f ca="1">(S150*DATOSAÑO!$Z$11)/DATOSAÑO!$Y$11</f>
        <v>2.62187752456845</v>
      </c>
      <c r="U150" s="9">
        <f ca="1">DATOSAÑO!AH149</f>
        <v>10.400000000001455</v>
      </c>
      <c r="V150" s="11">
        <f ca="1">(U150*DATOSAÑO!$Z$11)/DATOSAÑO!$Y$11</f>
        <v>0.18739408734519472</v>
      </c>
      <c r="W150" s="9">
        <f ca="1">DATOSAÑO!AI149</f>
        <v>34.969999999986612</v>
      </c>
      <c r="X150" s="11">
        <f ca="1">(W150*DATOSAÑO!$Z$11)/DATOSAÑO!$Y$11</f>
        <v>0.63011261869788793</v>
      </c>
      <c r="Y150" s="9">
        <f ca="1">DATOSAÑO!AJ149</f>
        <v>6.8700000000098953</v>
      </c>
      <c r="Z150" s="11">
        <f ca="1">(Y150*DATOSAÑO!$Z$11)/DATOSAÑO!$Y$11</f>
        <v>0.12378820962145788</v>
      </c>
      <c r="AA150" s="9">
        <f ca="1">DATOSAÑO!AK149</f>
        <v>12.299999999988358</v>
      </c>
      <c r="AB150" s="11">
        <f ca="1">(AA150*DATOSAÑO!$Z$11)/DATOSAÑO!$Y$11</f>
        <v>0.22162954560994144</v>
      </c>
      <c r="AC150" s="9">
        <f ca="1">DATOSAÑO!AL149</f>
        <v>34.189999999976976</v>
      </c>
      <c r="AD150" s="11">
        <f ca="1">(AC150*DATOSAÑO!$Z$11)/DATOSAÑO!$Y$11</f>
        <v>0.61605806214682657</v>
      </c>
      <c r="AE150" s="9">
        <f ca="1">DATOSAÑO!AM149</f>
        <v>13.237999999957811</v>
      </c>
      <c r="AF150" s="11">
        <f ca="1">(AE150*DATOSAÑO!$Z$11)/DATOSAÑO!$Y$11</f>
        <v>0.23853105079494569</v>
      </c>
      <c r="AG150" s="9">
        <f ca="1">DATOSAÑO!AN149</f>
        <v>0.78299999999931891</v>
      </c>
      <c r="AH150" s="11">
        <f ca="1">(AG150*DATOSAÑO!$Z$11)/DATOSAÑO!$Y$11</f>
        <v>1.4108612537609548E-2</v>
      </c>
      <c r="AI150" s="9">
        <f ca="1">DATOSAÑO!BJ149</f>
        <v>2.2559999999999998</v>
      </c>
      <c r="AJ150" s="11">
        <f ca="1">(AI150*DATOSAÑO!$Z$11)/DATOSAÑO!$Y$11</f>
        <v>4.065010202410578E-2</v>
      </c>
      <c r="AK150" s="9">
        <f ca="1">DATOSAÑO!BM149</f>
        <v>0</v>
      </c>
      <c r="AL150" s="11">
        <f ca="1">(AK150*DATOSAÑO!$Z$11)/DATOSAÑO!$Y$11</f>
        <v>0</v>
      </c>
      <c r="AM150" s="9">
        <f ca="1">DATOSAÑO!BP149</f>
        <v>5.0869999999999997</v>
      </c>
      <c r="AN150" s="11">
        <f ca="1">(AM150*DATOSAÑO!$Z$11)/DATOSAÑO!$Y$11</f>
        <v>9.1660934838930022E-2</v>
      </c>
      <c r="AO150" s="9">
        <f ca="1">DATOSAÑO!BW149</f>
        <v>13.248999999979924</v>
      </c>
      <c r="AP150" s="11">
        <f ca="1">(AO150*DATOSAÑO!$Z$11)/DATOSAÑO!$Y$11</f>
        <v>0.23872925608003612</v>
      </c>
      <c r="AQ150" s="9">
        <f ca="1">DATOSAÑO!CC149</f>
        <v>1.8101999999997278</v>
      </c>
      <c r="AR150" s="1348">
        <f ca="1">(AQ150*DATOSAÑO!$Z$11)/DATOSAÑO!$Y$11</f>
        <v>3.2617382395401254E-2</v>
      </c>
      <c r="AS150" s="1384">
        <f t="shared" si="8"/>
        <v>20</v>
      </c>
    </row>
    <row r="151" spans="1:45">
      <c r="A151" s="1408">
        <v>45066</v>
      </c>
      <c r="B151" s="1869">
        <v>45066</v>
      </c>
      <c r="C151" s="9">
        <f ca="1">DATOSAÑO!I150</f>
        <v>307.67000000004191</v>
      </c>
      <c r="D151" s="10">
        <f ca="1">DATOSAÑO!$D150</f>
        <v>5.2307340417463175</v>
      </c>
      <c r="E151" s="11">
        <f ca="1">DATOSAÑO!$G150</f>
        <v>0</v>
      </c>
      <c r="F151" s="86">
        <f ca="1">DATOSAÑO!P150</f>
        <v>147.64199999999983</v>
      </c>
      <c r="G151" s="10">
        <f ca="1">DATOSAÑO!K150</f>
        <v>3.8615125479305421</v>
      </c>
      <c r="H151" s="11">
        <f ca="1">DATOSAÑO!N150</f>
        <v>0</v>
      </c>
      <c r="I151" s="9">
        <f ca="1">DATOSAÑO!Q150</f>
        <v>0</v>
      </c>
      <c r="J151" s="11">
        <f ca="1">DATOSAÑO!R150</f>
        <v>0</v>
      </c>
      <c r="K151" s="9">
        <f ca="1">DATOSAÑO!T150</f>
        <v>0</v>
      </c>
      <c r="L151" s="11">
        <f t="shared" ca="1" si="6"/>
        <v>0</v>
      </c>
      <c r="M151" s="9"/>
      <c r="N151" s="11">
        <f t="shared" si="7"/>
        <v>0</v>
      </c>
      <c r="O151" s="9">
        <f>DATOSAÑO!CK150</f>
        <v>0</v>
      </c>
      <c r="P151" s="9">
        <f>DATOSAÑO!CL150</f>
        <v>0</v>
      </c>
      <c r="Q151" s="9">
        <f ca="1">DATOSAÑO!AD150</f>
        <v>173.96000000000004</v>
      </c>
      <c r="R151" s="11">
        <f ca="1">(Q151*DATOSAÑO!$Z$11)/DATOSAÑO!$Y$11</f>
        <v>3.1345264840928384</v>
      </c>
      <c r="S151" s="9">
        <f ca="1">DATOSAÑO!AF150</f>
        <v>150.39100000000326</v>
      </c>
      <c r="T151" s="11">
        <f ca="1">(S151*DATOSAÑO!$Z$11)/DATOSAÑO!$Y$11</f>
        <v>2.7098446336469086</v>
      </c>
      <c r="U151" s="9">
        <f ca="1">DATOSAÑO!AH150</f>
        <v>13.30000000000291</v>
      </c>
      <c r="V151" s="11">
        <f ca="1">(U151*DATOSAÑO!$Z$11)/DATOSAÑO!$Y$11</f>
        <v>0.23964820785493143</v>
      </c>
      <c r="W151" s="9">
        <f ca="1">DATOSAÑO!AI150</f>
        <v>34.690000000002328</v>
      </c>
      <c r="X151" s="11">
        <f ca="1">(W151*DATOSAÑO!$Z$11)/DATOSAÑO!$Y$11</f>
        <v>0.62506739326964733</v>
      </c>
      <c r="Y151" s="9">
        <f ca="1">DATOSAÑO!AJ150</f>
        <v>10.369999999995343</v>
      </c>
      <c r="Z151" s="11">
        <f ca="1">(Y151*DATOSAÑO!$Z$11)/DATOSAÑO!$Y$11</f>
        <v>0.18685352747774281</v>
      </c>
      <c r="AA151" s="9">
        <f ca="1">DATOSAÑO!AK150</f>
        <v>14.540000000008149</v>
      </c>
      <c r="AB151" s="11">
        <f ca="1">(AA151*DATOSAÑO!$Z$11)/DATOSAÑO!$Y$11</f>
        <v>0.2619913490384882</v>
      </c>
      <c r="AC151" s="9">
        <f ca="1">DATOSAÑO!AL150</f>
        <v>35.052000000009684</v>
      </c>
      <c r="AD151" s="11">
        <f ca="1">(AC151*DATOSAÑO!$Z$11)/DATOSAÑO!$Y$11</f>
        <v>0.63159014900237143</v>
      </c>
      <c r="AE151" s="9">
        <f ca="1">DATOSAÑO!AM150</f>
        <v>9.887100000020272</v>
      </c>
      <c r="AF151" s="11">
        <f ca="1">(AE151*DATOSAÑO!$Z$11)/DATOSAÑO!$Y$11</f>
        <v>0.17815231548021296</v>
      </c>
      <c r="AG151" s="9">
        <f ca="1">DATOSAÑO!AN150</f>
        <v>0.2250000000003638</v>
      </c>
      <c r="AH151" s="11">
        <f ca="1">(AG151*DATOSAÑO!$Z$11)/DATOSAÑO!$Y$11</f>
        <v>4.0541990050702971E-3</v>
      </c>
      <c r="AI151" s="9">
        <f ca="1">DATOSAÑO!BJ150</f>
        <v>2.067899999999907</v>
      </c>
      <c r="AJ151" s="11">
        <f ca="1">(AI151*DATOSAÑO!$Z$11)/DATOSAÑO!$Y$11</f>
        <v>3.7260791655870824E-2</v>
      </c>
      <c r="AK151" s="9">
        <f ca="1">DATOSAÑO!BM150</f>
        <v>1.1399999999999999</v>
      </c>
      <c r="AL151" s="11">
        <f ca="1">(AK151*DATOSAÑO!$Z$11)/DATOSAÑO!$Y$11</f>
        <v>2.0541274958989626E-2</v>
      </c>
      <c r="AM151" s="9">
        <f ca="1">DATOSAÑO!BP150</f>
        <v>2.254</v>
      </c>
      <c r="AN151" s="11">
        <f ca="1">(AM151*DATOSAÑO!$Z$11)/DATOSAÑO!$Y$11</f>
        <v>4.0614064699616328E-2</v>
      </c>
      <c r="AO151" s="9">
        <f ca="1">DATOSAÑO!BW150</f>
        <v>11.503550000009627</v>
      </c>
      <c r="AP151" s="11">
        <f ca="1">(AO151*DATOSAÑO!$Z$11)/DATOSAÑO!$Y$11</f>
        <v>0.20727858206551128</v>
      </c>
      <c r="AQ151" s="9">
        <f ca="1">DATOSAÑO!CC150</f>
        <v>0.96500000000014552</v>
      </c>
      <c r="AR151" s="1348">
        <f ca="1">(AQ151*DATOSAÑO!$Z$11)/DATOSAÑO!$Y$11</f>
        <v>1.7388009066164896E-2</v>
      </c>
      <c r="AS151" s="1384">
        <f t="shared" si="8"/>
        <v>20</v>
      </c>
    </row>
    <row r="152" spans="1:45" ht="16.5" customHeight="1">
      <c r="A152" s="1408">
        <v>45067</v>
      </c>
      <c r="B152" s="1869">
        <v>45067</v>
      </c>
      <c r="C152" s="9">
        <f ca="1">DATOSAÑO!I151</f>
        <v>303.25</v>
      </c>
      <c r="D152" s="10">
        <f ca="1">DATOSAÑO!$D151</f>
        <v>5.1929159161512874</v>
      </c>
      <c r="E152" s="11">
        <f ca="1">DATOSAÑO!$G151</f>
        <v>0</v>
      </c>
      <c r="F152" s="86">
        <f ca="1">DATOSAÑO!P151</f>
        <v>147.62299999999959</v>
      </c>
      <c r="G152" s="10">
        <f ca="1">DATOSAÑO!K151</f>
        <v>3.8613499813273053</v>
      </c>
      <c r="H152" s="11">
        <f ca="1">DATOSAÑO!N151</f>
        <v>0</v>
      </c>
      <c r="I152" s="9">
        <f ca="1">DATOSAÑO!Q151</f>
        <v>0</v>
      </c>
      <c r="J152" s="11">
        <f ca="1">DATOSAÑO!R151</f>
        <v>0</v>
      </c>
      <c r="K152" s="9">
        <f ca="1">DATOSAÑO!T151</f>
        <v>0</v>
      </c>
      <c r="L152" s="11">
        <f t="shared" ca="1" si="6"/>
        <v>0</v>
      </c>
      <c r="M152" s="9"/>
      <c r="N152" s="11">
        <f t="shared" si="7"/>
        <v>0</v>
      </c>
      <c r="O152" s="9">
        <f>DATOSAÑO!CK151</f>
        <v>0</v>
      </c>
      <c r="P152" s="9">
        <f>DATOSAÑO!CL151</f>
        <v>0</v>
      </c>
      <c r="Q152" s="9">
        <f ca="1">DATOSAÑO!AD151</f>
        <v>177.59999999999945</v>
      </c>
      <c r="R152" s="11">
        <f ca="1">(Q152*DATOSAÑO!$Z$11)/DATOSAÑO!$Y$11</f>
        <v>3.2001144146636373</v>
      </c>
      <c r="S152" s="9">
        <f ca="1">DATOSAÑO!AF151</f>
        <v>147.09999999997672</v>
      </c>
      <c r="T152" s="11">
        <f ca="1">(S152*DATOSAÑO!$Z$11)/DATOSAÑO!$Y$11</f>
        <v>2.6505452161990313</v>
      </c>
      <c r="U152" s="9">
        <f ca="1">DATOSAÑO!AH151</f>
        <v>11</v>
      </c>
      <c r="V152" s="11">
        <f ca="1">(U152*DATOSAÑO!$Z$11)/DATOSAÑO!$Y$11</f>
        <v>0.19820528469200516</v>
      </c>
      <c r="W152" s="9">
        <f ca="1">DATOSAÑO!AI151</f>
        <v>34.669999999998254</v>
      </c>
      <c r="X152" s="11">
        <f ca="1">(W152*DATOSAÑO!$Z$11)/DATOSAÑO!$Y$11</f>
        <v>0.62470702002467937</v>
      </c>
      <c r="Y152" s="9">
        <f ca="1">DATOSAÑO!AJ151</f>
        <v>8.6499999999941792</v>
      </c>
      <c r="Z152" s="11">
        <f ca="1">(Y152*DATOSAÑO!$Z$11)/DATOSAÑO!$Y$11</f>
        <v>0.1558614284167901</v>
      </c>
      <c r="AA152" s="9">
        <f ca="1">DATOSAÑO!AK151</f>
        <v>14.049999999988358</v>
      </c>
      <c r="AB152" s="11">
        <f ca="1">(AA152*DATOSAÑO!$Z$11)/DATOSAÑO!$Y$11</f>
        <v>0.25316220453821503</v>
      </c>
      <c r="AC152" s="9">
        <f ca="1">DATOSAÑO!AL151</f>
        <v>31.303000000057239</v>
      </c>
      <c r="AD152" s="11">
        <f ca="1">(AC152*DATOSAÑO!$Z$11)/DATOSAÑO!$Y$11</f>
        <v>0.56403818424774388</v>
      </c>
      <c r="AE152" s="9">
        <f ca="1">DATOSAÑO!AM151</f>
        <v>10.589999999986318</v>
      </c>
      <c r="AF152" s="11">
        <f ca="1">(AE152*DATOSAÑO!$Z$11)/DATOSAÑO!$Y$11</f>
        <v>0.19081763317142025</v>
      </c>
      <c r="AG152" s="9">
        <f ca="1">DATOSAÑO!AN151</f>
        <v>1.2279999999997271</v>
      </c>
      <c r="AH152" s="11">
        <f ca="1">(AG152*DATOSAÑO!$Z$11)/DATOSAÑO!$Y$11</f>
        <v>2.212691723652075E-2</v>
      </c>
      <c r="AI152" s="9">
        <f ca="1">DATOSAÑO!BJ151</f>
        <v>2.6640000000000001</v>
      </c>
      <c r="AJ152" s="11">
        <f ca="1">(AI152*DATOSAÑO!$Z$11)/DATOSAÑO!$Y$11</f>
        <v>4.8001716219954707E-2</v>
      </c>
      <c r="AK152" s="9">
        <f ca="1">DATOSAÑO!BM151</f>
        <v>4.4109999999999996</v>
      </c>
      <c r="AL152" s="11">
        <f ca="1">(AK152*DATOSAÑO!$Z$11)/DATOSAÑO!$Y$11</f>
        <v>7.9480319161494076E-2</v>
      </c>
      <c r="AM152" s="9">
        <f ca="1">DATOSAÑO!BP151</f>
        <v>0.14499999999999999</v>
      </c>
      <c r="AN152" s="11">
        <f ca="1">(AM152*DATOSAÑO!$Z$11)/DATOSAÑO!$Y$11</f>
        <v>2.6127060254855223E-3</v>
      </c>
      <c r="AO152" s="9">
        <f ca="1">DATOSAÑO!BW151</f>
        <v>11.684999999992577</v>
      </c>
      <c r="AP152" s="11">
        <f ca="1">(AO152*DATOSAÑO!$Z$11)/DATOSAÑO!$Y$11</f>
        <v>0.2105480683295099</v>
      </c>
      <c r="AQ152" s="9">
        <f ca="1">DATOSAÑO!CC151</f>
        <v>1.5631999999998909</v>
      </c>
      <c r="AR152" s="1348">
        <f ca="1">(AQ152*DATOSAÑO!$Z$11)/DATOSAÑO!$Y$11</f>
        <v>2.8166772820956441E-2</v>
      </c>
      <c r="AS152" s="1384">
        <f t="shared" si="8"/>
        <v>21</v>
      </c>
    </row>
    <row r="153" spans="1:45">
      <c r="A153" s="1408">
        <v>45068</v>
      </c>
      <c r="B153" s="1869">
        <v>45068</v>
      </c>
      <c r="C153" s="9">
        <f ca="1">DATOSAÑO!I152</f>
        <v>306.81000000005588</v>
      </c>
      <c r="D153" s="10">
        <f ca="1">DATOSAÑO!$D152</f>
        <v>5.2233757639157989</v>
      </c>
      <c r="E153" s="11">
        <f ca="1">DATOSAÑO!$G152</f>
        <v>0</v>
      </c>
      <c r="F153" s="86">
        <f ca="1">DATOSAÑO!P152</f>
        <v>150.19400000000314</v>
      </c>
      <c r="G153" s="10">
        <f ca="1">DATOSAÑO!K152</f>
        <v>3.8833478095861365</v>
      </c>
      <c r="H153" s="11">
        <f ca="1">DATOSAÑO!N152</f>
        <v>0</v>
      </c>
      <c r="I153" s="9">
        <f ca="1">DATOSAÑO!Q152</f>
        <v>0.24500000000011823</v>
      </c>
      <c r="J153" s="11">
        <f ca="1">DATOSAÑO!R152</f>
        <v>29.400000000014188</v>
      </c>
      <c r="K153" s="9">
        <f ca="1">DATOSAÑO!T152</f>
        <v>0.40899999999999181</v>
      </c>
      <c r="L153" s="11">
        <f t="shared" ca="1" si="6"/>
        <v>49.079999999999018</v>
      </c>
      <c r="M153" s="9"/>
      <c r="N153" s="11">
        <f t="shared" si="7"/>
        <v>0</v>
      </c>
      <c r="O153" s="9">
        <f>DATOSAÑO!CK152</f>
        <v>0.2</v>
      </c>
      <c r="P153" s="9">
        <f>DATOSAÑO!CL152</f>
        <v>0.4</v>
      </c>
      <c r="Q153" s="9">
        <f ca="1">DATOSAÑO!AD152</f>
        <v>178</v>
      </c>
      <c r="R153" s="11">
        <f ca="1">(Q153*DATOSAÑO!$Z$11)/DATOSAÑO!$Y$11</f>
        <v>3.2073218795615381</v>
      </c>
      <c r="S153" s="9">
        <f ca="1">DATOSAÑO!AF152</f>
        <v>147.20000000001164</v>
      </c>
      <c r="T153" s="11">
        <f ca="1">(S153*DATOSAÑO!$Z$11)/DATOSAÑO!$Y$11</f>
        <v>2.6523470824241331</v>
      </c>
      <c r="U153" s="9">
        <f ca="1">DATOSAÑO!AH152</f>
        <v>14.099999999998545</v>
      </c>
      <c r="V153" s="11">
        <f ca="1">(U153*DATOSAÑO!$Z$11)/DATOSAÑO!$Y$11</f>
        <v>0.25406313765063493</v>
      </c>
      <c r="W153" s="9">
        <f ca="1">DATOSAÑO!AI152</f>
        <v>32.389999999999418</v>
      </c>
      <c r="X153" s="11">
        <f ca="1">(W153*DATOSAÑO!$Z$11)/DATOSAÑO!$Y$11</f>
        <v>0.58362447010672103</v>
      </c>
      <c r="Y153" s="9">
        <f ca="1">DATOSAÑO!AJ152</f>
        <v>8.6699999999982538</v>
      </c>
      <c r="Z153" s="11">
        <f ca="1">(Y153*DATOSAÑO!$Z$11)/DATOSAÑO!$Y$11</f>
        <v>0.15622180166175806</v>
      </c>
      <c r="AA153" s="9">
        <f ca="1">DATOSAÑO!AK152</f>
        <v>13.990000000019791</v>
      </c>
      <c r="AB153" s="11">
        <f ca="1">(AA153*DATOSAÑO!$Z$11)/DATOSAÑO!$Y$11</f>
        <v>0.25208108480409769</v>
      </c>
      <c r="AC153" s="9">
        <f ca="1">DATOSAÑO!AL152</f>
        <v>40.108000000030813</v>
      </c>
      <c r="AD153" s="11">
        <f ca="1">(AC153*DATOSAÑO!$Z$11)/DATOSAÑO!$Y$11</f>
        <v>0.7226925053120955</v>
      </c>
      <c r="AE153" s="9">
        <f ca="1">DATOSAÑO!AM152</f>
        <v>7.044000000000092</v>
      </c>
      <c r="AF153" s="11">
        <f ca="1">(AE153*DATOSAÑO!$Z$11)/DATOSAÑO!$Y$11</f>
        <v>0.12692345685186388</v>
      </c>
      <c r="AG153" s="9">
        <f ca="1">DATOSAÑO!AN152</f>
        <v>1.0220000000002729</v>
      </c>
      <c r="AH153" s="11">
        <f ca="1">(AG153*DATOSAÑO!$Z$11)/DATOSAÑO!$Y$11</f>
        <v>1.8415072814116671E-2</v>
      </c>
      <c r="AI153" s="9">
        <f ca="1">DATOSAÑO!BJ152</f>
        <v>2.2559999999999998</v>
      </c>
      <c r="AJ153" s="11">
        <f ca="1">(AI153*DATOSAÑO!$Z$11)/DATOSAÑO!$Y$11</f>
        <v>4.065010202410578E-2</v>
      </c>
      <c r="AK153" s="9">
        <f ca="1">DATOSAÑO!BM152</f>
        <v>4.3040000000000003</v>
      </c>
      <c r="AL153" s="11">
        <f ca="1">(AK153*DATOSAÑO!$Z$11)/DATOSAÑO!$Y$11</f>
        <v>7.7552322301308207E-2</v>
      </c>
      <c r="AM153" s="9">
        <f ca="1">DATOSAÑO!BP152</f>
        <v>1.046</v>
      </c>
      <c r="AN153" s="11">
        <f ca="1">(AM153*DATOSAÑO!$Z$11)/DATOSAÑO!$Y$11</f>
        <v>1.8847520707985219E-2</v>
      </c>
      <c r="AO153" s="9">
        <f ca="1">DATOSAÑO!BW152</f>
        <v>9.6220000000004102</v>
      </c>
      <c r="AP153" s="11">
        <f ca="1">(AO153*DATOSAÑO!$Z$11)/DATOSAÑO!$Y$11</f>
        <v>0.17337556811877772</v>
      </c>
      <c r="AQ153" s="9">
        <f ca="1">DATOSAÑO!CC152</f>
        <v>1.836800000000109</v>
      </c>
      <c r="AR153" s="1348">
        <f ca="1">(AQ153*DATOSAÑO!$Z$11)/DATOSAÑO!$Y$11</f>
        <v>3.3096678811117879E-2</v>
      </c>
      <c r="AS153" s="1384">
        <f t="shared" si="8"/>
        <v>21</v>
      </c>
    </row>
    <row r="154" spans="1:45" ht="16.5" customHeight="1">
      <c r="A154" s="1408">
        <v>45069</v>
      </c>
      <c r="B154" s="1869">
        <v>45069</v>
      </c>
      <c r="C154" s="9">
        <f ca="1">DATOSAÑO!I153</f>
        <v>246.93999999994412</v>
      </c>
      <c r="D154" s="10">
        <f ca="1">DATOSAÑO!$D153</f>
        <v>4.7111198409843</v>
      </c>
      <c r="E154" s="11">
        <f ca="1">DATOSAÑO!$G153</f>
        <v>0</v>
      </c>
      <c r="F154" s="86">
        <f ca="1">DATOSAÑO!P153</f>
        <v>127.20999999999913</v>
      </c>
      <c r="G154" s="10">
        <f ca="1">DATOSAÑO!K153</f>
        <v>3.6866935564938088</v>
      </c>
      <c r="H154" s="11">
        <f ca="1">DATOSAÑO!N153</f>
        <v>0</v>
      </c>
      <c r="I154" s="9">
        <f ca="1">DATOSAÑO!Q153</f>
        <v>0</v>
      </c>
      <c r="J154" s="11">
        <f ca="1">DATOSAÑO!R153</f>
        <v>0</v>
      </c>
      <c r="K154" s="9">
        <f ca="1">DATOSAÑO!T153</f>
        <v>0</v>
      </c>
      <c r="L154" s="11">
        <f t="shared" ca="1" si="6"/>
        <v>0</v>
      </c>
      <c r="M154" s="9"/>
      <c r="N154" s="11">
        <f t="shared" si="7"/>
        <v>0</v>
      </c>
      <c r="O154" s="9">
        <f>DATOSAÑO!CK153</f>
        <v>0</v>
      </c>
      <c r="P154" s="9">
        <f>DATOSAÑO!CL153</f>
        <v>0</v>
      </c>
      <c r="Q154" s="9">
        <f ca="1">DATOSAÑO!AD153</f>
        <v>103.10000000000036</v>
      </c>
      <c r="R154" s="11">
        <f ca="1">(Q154*DATOSAÑO!$Z$11)/DATOSAÑO!$Y$11</f>
        <v>1.8577240774314367</v>
      </c>
      <c r="S154" s="9">
        <f ca="1">DATOSAÑO!AF153</f>
        <v>143.20000000001164</v>
      </c>
      <c r="T154" s="11">
        <f ca="1">(S154*DATOSAÑO!$Z$11)/DATOSAÑO!$Y$11</f>
        <v>2.5802724334452227</v>
      </c>
      <c r="U154" s="9">
        <f ca="1">DATOSAÑO!AH153</f>
        <v>9.0999999999985448</v>
      </c>
      <c r="V154" s="11">
        <f ca="1">(U154*DATOSAÑO!$Z$11)/DATOSAÑO!$Y$11</f>
        <v>0.16396982642699626</v>
      </c>
      <c r="W154" s="9">
        <f ca="1">DATOSAÑO!AI153</f>
        <v>32.760000000009313</v>
      </c>
      <c r="X154" s="11">
        <f ca="1">(W154*DATOSAÑO!$Z$11)/DATOSAÑO!$Y$11</f>
        <v>0.59029137513744867</v>
      </c>
      <c r="Y154" s="9">
        <f ca="1">DATOSAÑO!AJ153</f>
        <v>7.9900000000052387</v>
      </c>
      <c r="Z154" s="11">
        <f ca="1">(Y154*DATOSAÑO!$Z$11)/DATOSAÑO!$Y$11</f>
        <v>0.14396911133546905</v>
      </c>
      <c r="AA154" s="9">
        <f ca="1">DATOSAÑO!AK153</f>
        <v>12.049999999988358</v>
      </c>
      <c r="AB154" s="11">
        <f ca="1">(AA154*DATOSAÑO!$Z$11)/DATOSAÑO!$Y$11</f>
        <v>0.21712488004875954</v>
      </c>
      <c r="AC154" s="9">
        <f ca="1">DATOSAÑO!AL153</f>
        <v>35.049999999928275</v>
      </c>
      <c r="AD154" s="11">
        <f ca="1">(AC154*DATOSAÑO!$Z$11)/DATOSAÑO!$Y$11</f>
        <v>0.63155411167641495</v>
      </c>
      <c r="AE154" s="9">
        <f ca="1">DATOSAÑO!AM153</f>
        <v>12.837000000001993</v>
      </c>
      <c r="AF154" s="11">
        <f ca="1">(AE154*DATOSAÑO!$Z$11)/DATOSAÑO!$Y$11</f>
        <v>0.23130556723560594</v>
      </c>
      <c r="AG154" s="9">
        <f ca="1">DATOSAÑO!AN153</f>
        <v>3.1339999999998942</v>
      </c>
      <c r="AH154" s="11">
        <f ca="1">(AG154*DATOSAÑO!$Z$11)/DATOSAÑO!$Y$11</f>
        <v>5.6470487474974837E-2</v>
      </c>
      <c r="AI154" s="9">
        <f ca="1">DATOSAÑO!BJ153</f>
        <v>2.4180000000000001</v>
      </c>
      <c r="AJ154" s="11">
        <f ca="1">(AI154*DATOSAÑO!$Z$11)/DATOSAÑO!$Y$11</f>
        <v>4.3569125307751685E-2</v>
      </c>
      <c r="AK154" s="9">
        <f ca="1">DATOSAÑO!BM153</f>
        <v>4.4550000000000001</v>
      </c>
      <c r="AL154" s="11">
        <f ca="1">(AK154*DATOSAÑO!$Z$11)/DATOSAÑO!$Y$11</f>
        <v>8.02731403002621E-2</v>
      </c>
      <c r="AM154" s="9">
        <f ca="1">DATOSAÑO!BP153</f>
        <v>0</v>
      </c>
      <c r="AN154" s="11">
        <f ca="1">(AM154*DATOSAÑO!$Z$11)/DATOSAÑO!$Y$11</f>
        <v>0</v>
      </c>
      <c r="AO154" s="9">
        <f ca="1">DATOSAÑO!BW153</f>
        <v>12.89850000000056</v>
      </c>
      <c r="AP154" s="11">
        <f ca="1">(AO154*DATOSAÑO!$Z$11)/DATOSAÑO!$Y$11</f>
        <v>0.23241371496363086</v>
      </c>
      <c r="AQ154" s="9">
        <f ca="1">DATOSAÑO!CC153</f>
        <v>2.8295999999999579</v>
      </c>
      <c r="AR154" s="1348">
        <f ca="1">(AQ154*DATOSAÑO!$Z$11)/DATOSAÑO!$Y$11</f>
        <v>5.0985606687680859E-2</v>
      </c>
      <c r="AS154" s="1384">
        <f t="shared" si="8"/>
        <v>21</v>
      </c>
    </row>
    <row r="155" spans="1:45">
      <c r="A155" s="1408">
        <v>45070</v>
      </c>
      <c r="B155" s="1869">
        <v>45070</v>
      </c>
      <c r="C155" s="9">
        <f ca="1">DATOSAÑO!I154</f>
        <v>166</v>
      </c>
      <c r="D155" s="10">
        <f ca="1">DATOSAÑO!$D154</f>
        <v>4.018586111203617</v>
      </c>
      <c r="E155" s="11">
        <f ca="1">DATOSAÑO!$G154</f>
        <v>0</v>
      </c>
      <c r="F155" s="86">
        <f ca="1">DATOSAÑO!P154</f>
        <v>84</v>
      </c>
      <c r="G155" s="10">
        <f ca="1">DATOSAÑO!K154</f>
        <v>3.3169828761893441</v>
      </c>
      <c r="H155" s="11">
        <f ca="1">DATOSAÑO!N154</f>
        <v>0</v>
      </c>
      <c r="I155" s="9">
        <f ca="1">DATOSAÑO!Q154</f>
        <v>0</v>
      </c>
      <c r="J155" s="11">
        <f ca="1">DATOSAÑO!R154</f>
        <v>0</v>
      </c>
      <c r="K155" s="9">
        <f ca="1">DATOSAÑO!T154</f>
        <v>0</v>
      </c>
      <c r="L155" s="11">
        <f t="shared" ca="1" si="6"/>
        <v>0</v>
      </c>
      <c r="M155" s="9"/>
      <c r="N155" s="11">
        <f t="shared" si="7"/>
        <v>0</v>
      </c>
      <c r="O155" s="9">
        <f>DATOSAÑO!CK154</f>
        <v>0</v>
      </c>
      <c r="P155" s="9">
        <f>DATOSAÑO!CL154</f>
        <v>0</v>
      </c>
      <c r="Q155" s="9">
        <f ca="1">DATOSAÑO!AD154</f>
        <v>0</v>
      </c>
      <c r="R155" s="11">
        <f ca="1">(Q155*DATOSAÑO!$Z$11)/DATOSAÑO!$Y$11</f>
        <v>0</v>
      </c>
      <c r="S155" s="9">
        <f ca="1">DATOSAÑO!AF154</f>
        <v>134</v>
      </c>
      <c r="T155" s="11">
        <f ca="1">(S155*DATOSAÑO!$Z$11)/DATOSAÑO!$Y$11</f>
        <v>2.4145007407935175</v>
      </c>
      <c r="U155" s="9">
        <f ca="1">DATOSAÑO!AH154</f>
        <v>5.2000000000043656</v>
      </c>
      <c r="V155" s="11">
        <f ca="1">(U155*DATOSAÑO!$Z$11)/DATOSAÑO!$Y$11</f>
        <v>9.3697043672662919E-2</v>
      </c>
      <c r="W155" s="9">
        <f ca="1">DATOSAÑO!AI154</f>
        <v>34.80000000000291</v>
      </c>
      <c r="X155" s="11">
        <f ca="1">(W155*DATOSAÑO!$Z$11)/DATOSAÑO!$Y$11</f>
        <v>0.62704944611657787</v>
      </c>
      <c r="Y155" s="9">
        <f ca="1">DATOSAÑO!AJ154</f>
        <v>5.3000000000029104</v>
      </c>
      <c r="Z155" s="11">
        <f ca="1">(Y155*DATOSAÑO!$Z$11)/DATOSAÑO!$Y$11</f>
        <v>9.5498909897109477E-2</v>
      </c>
      <c r="AA155" s="9">
        <f ca="1">DATOSAÑO!AK154</f>
        <v>12</v>
      </c>
      <c r="AB155" s="11">
        <f ca="1">(AA155*DATOSAÑO!$Z$11)/DATOSAÑO!$Y$11</f>
        <v>0.21622394693673291</v>
      </c>
      <c r="AC155" s="9">
        <f ca="1">DATOSAÑO!AL154</f>
        <v>31.599999999991297</v>
      </c>
      <c r="AD155" s="11">
        <f ca="1">(AC155*DATOSAÑO!$Z$11)/DATOSAÑO!$Y$11</f>
        <v>0.56938972693323986</v>
      </c>
      <c r="AE155" s="9">
        <f ca="1">DATOSAÑO!AM154</f>
        <v>9.7829999999969139</v>
      </c>
      <c r="AF155" s="11">
        <f ca="1">(AE155*DATOSAÑO!$Z$11)/DATOSAÑO!$Y$11</f>
        <v>0.17627657274011591</v>
      </c>
      <c r="AG155" s="9">
        <f ca="1">DATOSAÑO!AN154</f>
        <v>2.9560000000005457</v>
      </c>
      <c r="AH155" s="11">
        <f ca="1">(AG155*DATOSAÑO!$Z$11)/DATOSAÑO!$Y$11</f>
        <v>5.3263165595425044E-2</v>
      </c>
      <c r="AI155" s="9">
        <f ca="1">DATOSAÑO!BJ154</f>
        <v>2.1</v>
      </c>
      <c r="AJ155" s="11">
        <f ca="1">(AI155*DATOSAÑO!$Z$11)/DATOSAÑO!$Y$11</f>
        <v>3.7839190713928265E-2</v>
      </c>
      <c r="AK155" s="9">
        <f ca="1">DATOSAÑO!BM154</f>
        <v>4.0170000000000003</v>
      </c>
      <c r="AL155" s="11">
        <f ca="1">(AK155*DATOSAÑO!$Z$11)/DATOSAÑO!$Y$11</f>
        <v>7.2380966237071354E-2</v>
      </c>
      <c r="AM155" s="9">
        <f ca="1">DATOSAÑO!BP154</f>
        <v>0</v>
      </c>
      <c r="AN155" s="11">
        <f ca="1">(AM155*DATOSAÑO!$Z$11)/DATOSAÑO!$Y$11</f>
        <v>0</v>
      </c>
      <c r="AO155" s="9">
        <f ca="1">DATOSAÑO!BW154</f>
        <v>11.191499999999548</v>
      </c>
      <c r="AP155" s="11">
        <f ca="1">(AO155*DATOSAÑO!$Z$11)/DATOSAÑO!$Y$11</f>
        <v>0.20165585851186238</v>
      </c>
      <c r="AQ155" s="9">
        <f ca="1">DATOSAÑO!CC154</f>
        <v>3.1264000000002183</v>
      </c>
      <c r="AR155" s="1348">
        <f ca="1">(AQ155*DATOSAÑO!$Z$11)/DATOSAÑO!$Y$11</f>
        <v>5.6333545641920751E-2</v>
      </c>
      <c r="AS155" s="1384">
        <f t="shared" si="8"/>
        <v>21</v>
      </c>
    </row>
    <row r="156" spans="1:45" ht="16.5" customHeight="1">
      <c r="A156" s="1408">
        <v>45071</v>
      </c>
      <c r="B156" s="1869">
        <v>45071</v>
      </c>
      <c r="C156" s="9">
        <f ca="1">DATOSAÑO!I155</f>
        <v>188</v>
      </c>
      <c r="D156" s="10">
        <f ca="1">DATOSAÑO!$D155</f>
        <v>4.2068211254757388</v>
      </c>
      <c r="E156" s="11">
        <f ca="1">DATOSAÑO!$G155</f>
        <v>0</v>
      </c>
      <c r="F156" s="86">
        <f ca="1">DATOSAÑO!P155</f>
        <v>84</v>
      </c>
      <c r="G156" s="10">
        <f ca="1">DATOSAÑO!K155</f>
        <v>3.3169828761893441</v>
      </c>
      <c r="H156" s="11">
        <f ca="1">DATOSAÑO!N155</f>
        <v>0</v>
      </c>
      <c r="I156" s="9">
        <f ca="1">DATOSAÑO!Q155</f>
        <v>0</v>
      </c>
      <c r="J156" s="11">
        <f ca="1">DATOSAÑO!R155</f>
        <v>0</v>
      </c>
      <c r="K156" s="9">
        <f ca="1">DATOSAÑO!T155</f>
        <v>0</v>
      </c>
      <c r="L156" s="11">
        <f t="shared" ca="1" si="6"/>
        <v>0</v>
      </c>
      <c r="M156" s="9"/>
      <c r="N156" s="11">
        <f t="shared" si="7"/>
        <v>0</v>
      </c>
      <c r="O156" s="9">
        <f>DATOSAÑO!CK155</f>
        <v>0</v>
      </c>
      <c r="P156" s="9">
        <f>DATOSAÑO!CL155</f>
        <v>0</v>
      </c>
      <c r="Q156" s="9">
        <f ca="1">DATOSAÑO!AD155</f>
        <v>0</v>
      </c>
      <c r="R156" s="11">
        <f ca="1">(Q156*DATOSAÑO!$Z$11)/DATOSAÑO!$Y$11</f>
        <v>0</v>
      </c>
      <c r="S156" s="9">
        <f ca="1">DATOSAÑO!AF155</f>
        <v>147</v>
      </c>
      <c r="T156" s="11">
        <f ca="1">(S156*DATOSAÑO!$Z$11)/DATOSAÑO!$Y$11</f>
        <v>2.648743349974978</v>
      </c>
      <c r="U156" s="9">
        <f ca="1">DATOSAÑO!AH155</f>
        <v>9.0999999999985448</v>
      </c>
      <c r="V156" s="11">
        <f ca="1">(U156*DATOSAÑO!$Z$11)/DATOSAÑO!$Y$11</f>
        <v>0.16396982642699626</v>
      </c>
      <c r="W156" s="9">
        <f ca="1">DATOSAÑO!AI155</f>
        <v>36.399999999994179</v>
      </c>
      <c r="X156" s="11">
        <f ca="1">(W156*DATOSAÑO!$Z$11)/DATOSAÑO!$Y$11</f>
        <v>0.65587930570798503</v>
      </c>
      <c r="Y156" s="9">
        <f ca="1">DATOSAÑO!AJ155</f>
        <v>6.3000000000029104</v>
      </c>
      <c r="Z156" s="11">
        <f ca="1">(Y156*DATOSAÑO!$Z$11)/DATOSAÑO!$Y$11</f>
        <v>0.11351757214183721</v>
      </c>
      <c r="AA156" s="9">
        <f ca="1">DATOSAÑO!AK155</f>
        <v>11</v>
      </c>
      <c r="AB156" s="11">
        <f ca="1">(AA156*DATOSAÑO!$Z$11)/DATOSAÑO!$Y$11</f>
        <v>0.19820528469200516</v>
      </c>
      <c r="AC156" s="9">
        <f ca="1">DATOSAÑO!AL155</f>
        <v>33.600000000002183</v>
      </c>
      <c r="AD156" s="11">
        <f ca="1">(AC156*DATOSAÑO!$Z$11)/DATOSAÑO!$Y$11</f>
        <v>0.60542705142289144</v>
      </c>
      <c r="AE156" s="9">
        <f ca="1">DATOSAÑO!AM155</f>
        <v>10.510000000003453</v>
      </c>
      <c r="AF156" s="11">
        <f ca="1">(AE156*DATOSAÑO!$Z$11)/DATOSAÑO!$Y$11</f>
        <v>0.18937614019215079</v>
      </c>
      <c r="AG156" s="9">
        <f ca="1">DATOSAÑO!AN155</f>
        <v>4.1589999999994545</v>
      </c>
      <c r="AH156" s="11">
        <f ca="1">(AG156*DATOSAÑO!$Z$11)/DATOSAÑO!$Y$11</f>
        <v>7.4939616275812859E-2</v>
      </c>
      <c r="AI156" s="9">
        <f ca="1">DATOSAÑO!BJ155</f>
        <v>2</v>
      </c>
      <c r="AJ156" s="11">
        <f ca="1">(AI156*DATOSAÑO!$Z$11)/DATOSAÑO!$Y$11</f>
        <v>3.6037324489455486E-2</v>
      </c>
      <c r="AK156" s="9">
        <f ca="1">DATOSAÑO!BM155</f>
        <v>4.1900000000000004</v>
      </c>
      <c r="AL156" s="11">
        <f ca="1">(AK156*DATOSAÑO!$Z$11)/DATOSAÑO!$Y$11</f>
        <v>7.5498194805409244E-2</v>
      </c>
      <c r="AM156" s="9">
        <f ca="1">DATOSAÑO!BP155</f>
        <v>0</v>
      </c>
      <c r="AN156" s="11">
        <f ca="1">(AM156*DATOSAÑO!$Z$11)/DATOSAÑO!$Y$11</f>
        <v>0</v>
      </c>
      <c r="AO156" s="9">
        <f ca="1">DATOSAÑO!BW155</f>
        <v>11.555000000000998</v>
      </c>
      <c r="AP156" s="11">
        <f ca="1">(AO156*DATOSAÑO!$Z$11)/DATOSAÑO!$Y$11</f>
        <v>0.20820564223784704</v>
      </c>
      <c r="AQ156" s="9">
        <f ca="1">DATOSAÑO!CC155</f>
        <v>3.104599999999782</v>
      </c>
      <c r="AR156" s="1348">
        <f ca="1">(AQ156*DATOSAÑO!$Z$11)/DATOSAÑO!$Y$11</f>
        <v>5.5940738804977824E-2</v>
      </c>
      <c r="AS156" s="1384">
        <f t="shared" si="8"/>
        <v>21</v>
      </c>
    </row>
    <row r="157" spans="1:45">
      <c r="A157" s="1408">
        <v>45072</v>
      </c>
      <c r="B157" s="1869">
        <v>45072</v>
      </c>
      <c r="C157" s="9">
        <f ca="1">DATOSAÑO!I156</f>
        <v>194</v>
      </c>
      <c r="D157" s="10">
        <f ca="1">DATOSAÑO!$D156</f>
        <v>4.2581579475499538</v>
      </c>
      <c r="E157" s="11">
        <f ca="1">DATOSAÑO!$G156</f>
        <v>0</v>
      </c>
      <c r="F157" s="86">
        <f ca="1">DATOSAÑO!P156</f>
        <v>84</v>
      </c>
      <c r="G157" s="10">
        <f ca="1">DATOSAÑO!K156</f>
        <v>3.3169828761893441</v>
      </c>
      <c r="H157" s="11">
        <f ca="1">DATOSAÑO!N156</f>
        <v>0</v>
      </c>
      <c r="I157" s="9">
        <f ca="1">DATOSAÑO!Q156</f>
        <v>0</v>
      </c>
      <c r="J157" s="11">
        <f ca="1">DATOSAÑO!R156</f>
        <v>0</v>
      </c>
      <c r="K157" s="9">
        <f ca="1">DATOSAÑO!T156</f>
        <v>0</v>
      </c>
      <c r="L157" s="11">
        <f t="shared" ca="1" si="6"/>
        <v>0</v>
      </c>
      <c r="M157" s="9"/>
      <c r="N157" s="11">
        <f t="shared" si="7"/>
        <v>0</v>
      </c>
      <c r="O157" s="9">
        <f>DATOSAÑO!CK156</f>
        <v>0</v>
      </c>
      <c r="P157" s="9">
        <f>DATOSAÑO!CL156</f>
        <v>0</v>
      </c>
      <c r="Q157" s="9">
        <f ca="1">DATOSAÑO!AD156</f>
        <v>0</v>
      </c>
      <c r="R157" s="11">
        <f ca="1">(Q157*DATOSAÑO!$Z$11)/DATOSAÑO!$Y$11</f>
        <v>0</v>
      </c>
      <c r="S157" s="9">
        <f ca="1">DATOSAÑO!AF156</f>
        <v>153</v>
      </c>
      <c r="T157" s="11">
        <f ca="1">(S157*DATOSAÑO!$Z$11)/DATOSAÑO!$Y$11</f>
        <v>2.7568553234433448</v>
      </c>
      <c r="U157" s="9">
        <f ca="1">DATOSAÑO!AH156</f>
        <v>16.299999999995634</v>
      </c>
      <c r="V157" s="11">
        <f ca="1">(U157*DATOSAÑO!$Z$11)/DATOSAÑO!$Y$11</f>
        <v>0.2937041945889835</v>
      </c>
      <c r="W157" s="9">
        <f ca="1">DATOSAÑO!AI156</f>
        <v>34</v>
      </c>
      <c r="X157" s="11">
        <f ca="1">(W157*DATOSAÑO!$Z$11)/DATOSAÑO!$Y$11</f>
        <v>0.61263451632074328</v>
      </c>
      <c r="Y157" s="9">
        <f ca="1">DATOSAÑO!AJ156</f>
        <v>7.6999999999970896</v>
      </c>
      <c r="Z157" s="11">
        <f ca="1">(Y157*DATOSAÑO!$Z$11)/DATOSAÑO!$Y$11</f>
        <v>0.13874369928435118</v>
      </c>
      <c r="AA157" s="9">
        <f ca="1">DATOSAÑO!AK156</f>
        <v>12</v>
      </c>
      <c r="AB157" s="11">
        <f ca="1">(AA157*DATOSAÑO!$Z$11)/DATOSAÑO!$Y$11</f>
        <v>0.21622394693673291</v>
      </c>
      <c r="AC157" s="9">
        <f ca="1">DATOSAÑO!AL156</f>
        <v>27.500000000007276</v>
      </c>
      <c r="AD157" s="11">
        <f ca="1">(AC157*DATOSAÑO!$Z$11)/DATOSAÑO!$Y$11</f>
        <v>0.49551321173014407</v>
      </c>
      <c r="AE157" s="9">
        <f ca="1">DATOSAÑO!AM156</f>
        <v>9.6729999999989094</v>
      </c>
      <c r="AF157" s="11">
        <f ca="1">(AE157*DATOSAÑO!$Z$11)/DATOSAÑO!$Y$11</f>
        <v>0.17429451989323178</v>
      </c>
      <c r="AG157" s="9">
        <f ca="1">DATOSAÑO!AN156</f>
        <v>4.2280000000007281</v>
      </c>
      <c r="AH157" s="11">
        <f ca="1">(AG157*DATOSAÑO!$Z$11)/DATOSAÑO!$Y$11</f>
        <v>7.6182903970722013E-2</v>
      </c>
      <c r="AI157" s="9">
        <f ca="1">DATOSAÑO!BJ156</f>
        <v>2</v>
      </c>
      <c r="AJ157" s="11">
        <f ca="1">(AI157*DATOSAÑO!$Z$11)/DATOSAÑO!$Y$11</f>
        <v>3.6037324489455486E-2</v>
      </c>
      <c r="AK157" s="9">
        <f ca="1">DATOSAÑO!BM156</f>
        <v>4.0270000000000001</v>
      </c>
      <c r="AL157" s="11">
        <f ca="1">(AK157*DATOSAÑO!$Z$11)/DATOSAÑO!$Y$11</f>
        <v>7.2561152859518613E-2</v>
      </c>
      <c r="AM157" s="9">
        <f ca="1">DATOSAÑO!BP156</f>
        <v>0</v>
      </c>
      <c r="AN157" s="11">
        <f ca="1">(AM157*DATOSAÑO!$Z$11)/DATOSAÑO!$Y$11</f>
        <v>0</v>
      </c>
      <c r="AO157" s="9">
        <f ca="1">DATOSAÑO!BW156</f>
        <v>10.936499999999818</v>
      </c>
      <c r="AP157" s="11">
        <f ca="1">(AO157*DATOSAÑO!$Z$11)/DATOSAÑO!$Y$11</f>
        <v>0.19706109963946167</v>
      </c>
      <c r="AQ157" s="9">
        <f ca="1">DATOSAÑO!CC156</f>
        <v>3.1632000000002911</v>
      </c>
      <c r="AR157" s="1348">
        <f ca="1">(AQ157*DATOSAÑO!$Z$11)/DATOSAÑO!$Y$11</f>
        <v>5.6996632412528038E-2</v>
      </c>
      <c r="AS157" s="1384">
        <f t="shared" si="8"/>
        <v>21</v>
      </c>
    </row>
    <row r="158" spans="1:45" ht="16.5" customHeight="1">
      <c r="A158" s="1408">
        <v>45073</v>
      </c>
      <c r="B158" s="1869">
        <v>45073</v>
      </c>
      <c r="C158" s="9">
        <f ca="1">DATOSAÑO!I157</f>
        <v>222</v>
      </c>
      <c r="D158" s="10">
        <f ca="1">DATOSAÑO!$D157</f>
        <v>4.4977297838962915</v>
      </c>
      <c r="E158" s="11">
        <f ca="1">DATOSAÑO!$G157</f>
        <v>0</v>
      </c>
      <c r="F158" s="86">
        <f ca="1">DATOSAÑO!P157</f>
        <v>101</v>
      </c>
      <c r="G158" s="10">
        <f ca="1">DATOSAÑO!K157</f>
        <v>3.46243720539962</v>
      </c>
      <c r="H158" s="11">
        <f ca="1">DATOSAÑO!N157</f>
        <v>0</v>
      </c>
      <c r="I158" s="9">
        <f ca="1">DATOSAÑO!Q157</f>
        <v>0</v>
      </c>
      <c r="J158" s="11">
        <f ca="1">DATOSAÑO!R157</f>
        <v>0</v>
      </c>
      <c r="K158" s="9">
        <f ca="1">DATOSAÑO!T157</f>
        <v>0</v>
      </c>
      <c r="L158" s="11">
        <f t="shared" ca="1" si="6"/>
        <v>0</v>
      </c>
      <c r="M158" s="9"/>
      <c r="N158" s="11">
        <f t="shared" si="7"/>
        <v>0</v>
      </c>
      <c r="O158" s="9">
        <f>DATOSAÑO!CK157</f>
        <v>0</v>
      </c>
      <c r="P158" s="9">
        <f>DATOSAÑO!CL157</f>
        <v>0</v>
      </c>
      <c r="Q158" s="9">
        <f ca="1">DATOSAÑO!AD157</f>
        <v>43</v>
      </c>
      <c r="R158" s="11">
        <f ca="1">(Q158*DATOSAÑO!$Z$11)/DATOSAÑO!$Y$11</f>
        <v>0.77480247652329293</v>
      </c>
      <c r="S158" s="9">
        <f ca="1">DATOSAÑO!AF157</f>
        <v>158</v>
      </c>
      <c r="T158" s="11">
        <f ca="1">(S158*DATOSAÑO!$Z$11)/DATOSAÑO!$Y$11</f>
        <v>2.8469486346669832</v>
      </c>
      <c r="U158" s="9">
        <f ca="1">DATOSAÑO!AH157</f>
        <v>9.5</v>
      </c>
      <c r="V158" s="11">
        <f ca="1">(U158*DATOSAÑO!$Z$11)/DATOSAÑO!$Y$11</f>
        <v>0.17117729132491355</v>
      </c>
      <c r="W158" s="9">
        <f ca="1">DATOSAÑO!AI157</f>
        <v>34.19999999999709</v>
      </c>
      <c r="X158" s="11">
        <f ca="1">(W158*DATOSAÑO!$Z$11)/DATOSAÑO!$Y$11</f>
        <v>0.61623824876963629</v>
      </c>
      <c r="Y158" s="9">
        <f ca="1">DATOSAÑO!AJ157</f>
        <v>8.3999999999941792</v>
      </c>
      <c r="Z158" s="11">
        <f ca="1">(Y158*DATOSAÑO!$Z$11)/DATOSAÑO!$Y$11</f>
        <v>0.15135676285560815</v>
      </c>
      <c r="AA158" s="9">
        <f ca="1">DATOSAÑO!AK157</f>
        <v>9</v>
      </c>
      <c r="AB158" s="11">
        <f ca="1">(AA158*DATOSAÑO!$Z$11)/DATOSAÑO!$Y$11</f>
        <v>0.16216796020254967</v>
      </c>
      <c r="AC158" s="9">
        <f ca="1">DATOSAÑO!AL157</f>
        <v>32.500000000010914</v>
      </c>
      <c r="AD158" s="11">
        <f ca="1">(AC158*DATOSAÑO!$Z$11)/DATOSAÑO!$Y$11</f>
        <v>0.5856065229538483</v>
      </c>
      <c r="AE158" s="9">
        <f ca="1">DATOSAÑO!AM157</f>
        <v>8.2499999999991953</v>
      </c>
      <c r="AF158" s="11">
        <f ca="1">(AE158*DATOSAÑO!$Z$11)/DATOSAÑO!$Y$11</f>
        <v>0.14865396351898938</v>
      </c>
      <c r="AG158" s="9">
        <f ca="1">DATOSAÑO!AN157</f>
        <v>4.8189999999993471</v>
      </c>
      <c r="AH158" s="11">
        <f ca="1">(AG158*DATOSAÑO!$Z$11)/DATOSAÑO!$Y$11</f>
        <v>8.683193335733122E-2</v>
      </c>
      <c r="AI158" s="9">
        <f ca="1">DATOSAÑO!BJ157</f>
        <v>3</v>
      </c>
      <c r="AJ158" s="11">
        <f ca="1">(AI158*DATOSAÑO!$Z$11)/DATOSAÑO!$Y$11</f>
        <v>5.4055986734183228E-2</v>
      </c>
      <c r="AK158" s="9">
        <f ca="1">DATOSAÑO!BM157</f>
        <v>4.57</v>
      </c>
      <c r="AL158" s="11">
        <f ca="1">(AK158*DATOSAÑO!$Z$11)/DATOSAÑO!$Y$11</f>
        <v>8.2345286458405789E-2</v>
      </c>
      <c r="AM158" s="9">
        <f ca="1">DATOSAÑO!BP157</f>
        <v>0</v>
      </c>
      <c r="AN158" s="11">
        <f ca="1">(AM158*DATOSAÑO!$Z$11)/DATOSAÑO!$Y$11</f>
        <v>0</v>
      </c>
      <c r="AO158" s="9">
        <f ca="1">DATOSAÑO!BW157</f>
        <v>10.424999999998871</v>
      </c>
      <c r="AP158" s="11">
        <f ca="1">(AO158*DATOSAÑO!$Z$11)/DATOSAÑO!$Y$11</f>
        <v>0.18784455390126636</v>
      </c>
      <c r="AQ158" s="9">
        <f ca="1">DATOSAÑO!CC157</f>
        <v>3.3885999999997392</v>
      </c>
      <c r="AR158" s="1348">
        <f ca="1">(AQ158*DATOSAÑO!$Z$11)/DATOSAÑO!$Y$11</f>
        <v>6.105803888247973E-2</v>
      </c>
      <c r="AS158" s="1384">
        <f t="shared" si="8"/>
        <v>21</v>
      </c>
    </row>
    <row r="159" spans="1:45">
      <c r="A159" s="1408">
        <v>45074</v>
      </c>
      <c r="B159" s="1869">
        <v>45074</v>
      </c>
      <c r="C159" s="9">
        <f ca="1">DATOSAÑO!I158</f>
        <v>309</v>
      </c>
      <c r="D159" s="10">
        <f ca="1">DATOSAÑO!$D158</f>
        <v>5.2421137039724091</v>
      </c>
      <c r="E159" s="11">
        <f ca="1">DATOSAÑO!$G158</f>
        <v>0</v>
      </c>
      <c r="F159" s="86">
        <f ca="1">DATOSAÑO!P158</f>
        <v>144.59999999999854</v>
      </c>
      <c r="G159" s="10">
        <f ca="1">DATOSAÑO!K158</f>
        <v>3.8354847791389037</v>
      </c>
      <c r="H159" s="11">
        <f ca="1">DATOSAÑO!N158</f>
        <v>0</v>
      </c>
      <c r="I159" s="9">
        <f ca="1">DATOSAÑO!Q158</f>
        <v>0</v>
      </c>
      <c r="J159" s="11">
        <f ca="1">DATOSAÑO!R158</f>
        <v>0</v>
      </c>
      <c r="K159" s="9">
        <f ca="1">DATOSAÑO!T158</f>
        <v>0</v>
      </c>
      <c r="L159" s="11">
        <f t="shared" ca="1" si="6"/>
        <v>0</v>
      </c>
      <c r="M159" s="9"/>
      <c r="N159" s="11">
        <f t="shared" si="7"/>
        <v>0</v>
      </c>
      <c r="O159" s="9">
        <f>DATOSAÑO!CK158</f>
        <v>0</v>
      </c>
      <c r="P159" s="9">
        <f>DATOSAÑO!CL158</f>
        <v>0</v>
      </c>
      <c r="Q159" s="9">
        <f ca="1">DATOSAÑO!AD158</f>
        <v>166.16499999999996</v>
      </c>
      <c r="R159" s="11">
        <f ca="1">(Q159*DATOSAÑO!$Z$11)/DATOSAÑO!$Y$11</f>
        <v>2.9940710118951848</v>
      </c>
      <c r="S159" s="9">
        <f ca="1">DATOSAÑO!AF158</f>
        <v>155</v>
      </c>
      <c r="T159" s="11">
        <f ca="1">(S159*DATOSAÑO!$Z$11)/DATOSAÑO!$Y$11</f>
        <v>2.7928926479328005</v>
      </c>
      <c r="U159" s="9">
        <f ca="1">DATOSAÑO!AH158</f>
        <v>11.799999999999272</v>
      </c>
      <c r="V159" s="11">
        <f ca="1">(U159*DATOSAÑO!$Z$11)/DATOSAÑO!$Y$11</f>
        <v>0.21262021448777424</v>
      </c>
      <c r="W159" s="9">
        <f ca="1">DATOSAÑO!AI158</f>
        <v>35.19999999999709</v>
      </c>
      <c r="X159" s="11">
        <f ca="1">(W159*DATOSAÑO!$Z$11)/DATOSAÑO!$Y$11</f>
        <v>0.6342569110143641</v>
      </c>
      <c r="Y159" s="9">
        <f ca="1">DATOSAÑO!AJ158</f>
        <v>7.1000000000058208</v>
      </c>
      <c r="Z159" s="11">
        <f ca="1">(Y159*DATOSAÑO!$Z$11)/DATOSAÑO!$Y$11</f>
        <v>0.12793250193767186</v>
      </c>
      <c r="AA159" s="9">
        <f ca="1">DATOSAÑO!AK158</f>
        <v>13</v>
      </c>
      <c r="AB159" s="11">
        <f ca="1">(AA159*DATOSAÑO!$Z$11)/DATOSAÑO!$Y$11</f>
        <v>0.23424260918146064</v>
      </c>
      <c r="AC159" s="9">
        <f ca="1">DATOSAÑO!AL158</f>
        <v>34.834999999996398</v>
      </c>
      <c r="AD159" s="11">
        <f ca="1">(AC159*DATOSAÑO!$Z$11)/DATOSAÑO!$Y$11</f>
        <v>0.62768009929502599</v>
      </c>
      <c r="AE159" s="9">
        <f ca="1">DATOSAÑO!AM158</f>
        <v>11.207999999998286</v>
      </c>
      <c r="AF159" s="11">
        <f ca="1">(AE159*DATOSAÑO!$Z$11)/DATOSAÑO!$Y$11</f>
        <v>0.20195316643887765</v>
      </c>
      <c r="AG159" s="9">
        <f ca="1">DATOSAÑO!AN158</f>
        <v>4.4330000000002734</v>
      </c>
      <c r="AH159" s="11">
        <f ca="1">(AG159*DATOSAÑO!$Z$11)/DATOSAÑO!$Y$11</f>
        <v>7.9876729730883E-2</v>
      </c>
      <c r="AI159" s="9">
        <f ca="1">DATOSAÑO!BJ158</f>
        <v>2.64</v>
      </c>
      <c r="AJ159" s="11">
        <f ca="1">(AI159*DATOSAÑO!$Z$11)/DATOSAÑO!$Y$11</f>
        <v>4.7569268326081236E-2</v>
      </c>
      <c r="AK159" s="9">
        <f ca="1">DATOSAÑO!BM158</f>
        <v>4.5519999999999996</v>
      </c>
      <c r="AL159" s="11">
        <f ca="1">(AK159*DATOSAÑO!$Z$11)/DATOSAÑO!$Y$11</f>
        <v>8.2020950538000681E-2</v>
      </c>
      <c r="AM159" s="9">
        <f ca="1">DATOSAÑO!BP158</f>
        <v>0</v>
      </c>
      <c r="AN159" s="11">
        <f ca="1">(AM159*DATOSAÑO!$Z$11)/DATOSAÑO!$Y$11</f>
        <v>0</v>
      </c>
      <c r="AO159" s="9">
        <f ca="1">DATOSAÑO!BW158</f>
        <v>12.004000000000598</v>
      </c>
      <c r="AP159" s="11">
        <f ca="1">(AO159*DATOSAÑO!$Z$11)/DATOSAÑO!$Y$11</f>
        <v>0.21629602158572261</v>
      </c>
      <c r="AQ159" s="9">
        <f ca="1">DATOSAÑO!CC158</f>
        <v>3.0402000000001093</v>
      </c>
      <c r="AR159" s="1348">
        <f ca="1">(AQ159*DATOSAÑO!$Z$11)/DATOSAÑO!$Y$11</f>
        <v>5.4780336956423252E-2</v>
      </c>
      <c r="AS159" s="1384">
        <f t="shared" si="8"/>
        <v>22</v>
      </c>
    </row>
    <row r="160" spans="1:45" ht="16.5" customHeight="1">
      <c r="A160" s="1408">
        <v>45075</v>
      </c>
      <c r="B160" s="1869">
        <v>45075</v>
      </c>
      <c r="C160" s="9">
        <f ca="1">DATOSAÑO!I159</f>
        <v>302</v>
      </c>
      <c r="D160" s="10">
        <f ca="1">DATOSAÑO!$D159</f>
        <v>5.1822207448858251</v>
      </c>
      <c r="E160" s="11">
        <f ca="1">DATOSAÑO!$G159</f>
        <v>0</v>
      </c>
      <c r="F160" s="86">
        <f ca="1">DATOSAÑO!P159</f>
        <v>148.30000000000291</v>
      </c>
      <c r="G160" s="10">
        <f ca="1">DATOSAÑO!K159</f>
        <v>3.867142486084707</v>
      </c>
      <c r="H160" s="11">
        <f ca="1">DATOSAÑO!N159</f>
        <v>0</v>
      </c>
      <c r="I160" s="9">
        <f ca="1">DATOSAÑO!Q159</f>
        <v>0</v>
      </c>
      <c r="J160" s="11">
        <f ca="1">DATOSAÑO!R159</f>
        <v>0</v>
      </c>
      <c r="K160" s="9">
        <f ca="1">DATOSAÑO!T159</f>
        <v>0</v>
      </c>
      <c r="L160" s="11">
        <f t="shared" ca="1" si="6"/>
        <v>0</v>
      </c>
      <c r="M160" s="9"/>
      <c r="N160" s="11">
        <f t="shared" si="7"/>
        <v>0</v>
      </c>
      <c r="O160" s="9">
        <f>DATOSAÑO!CK159</f>
        <v>0</v>
      </c>
      <c r="P160" s="9">
        <f>DATOSAÑO!CL159</f>
        <v>0</v>
      </c>
      <c r="Q160" s="9">
        <f ca="1">DATOSAÑO!AD159</f>
        <v>164.55599999999959</v>
      </c>
      <c r="R160" s="11">
        <f ca="1">(Q160*DATOSAÑO!$Z$11)/DATOSAÑO!$Y$11</f>
        <v>2.9650789843434104</v>
      </c>
      <c r="S160" s="9">
        <f ca="1">DATOSAÑO!AF159</f>
        <v>154</v>
      </c>
      <c r="T160" s="11">
        <f ca="1">(S160*DATOSAÑO!$Z$11)/DATOSAÑO!$Y$11</f>
        <v>2.7748739856880724</v>
      </c>
      <c r="U160" s="9">
        <f ca="1">DATOSAÑO!AH159</f>
        <v>11</v>
      </c>
      <c r="V160" s="11">
        <f ca="1">(U160*DATOSAÑO!$Z$11)/DATOSAÑO!$Y$11</f>
        <v>0.19820528469200516</v>
      </c>
      <c r="W160" s="9">
        <f ca="1">DATOSAÑO!AI159</f>
        <v>35.400000000008731</v>
      </c>
      <c r="X160" s="11">
        <f ca="1">(W160*DATOSAÑO!$Z$11)/DATOSAÑO!$Y$11</f>
        <v>0.63786064346351934</v>
      </c>
      <c r="Y160" s="9">
        <f ca="1">DATOSAÑO!AJ159</f>
        <v>6.5</v>
      </c>
      <c r="Z160" s="11">
        <f ca="1">(Y160*DATOSAÑO!$Z$11)/DATOSAÑO!$Y$11</f>
        <v>0.11712130459073032</v>
      </c>
      <c r="AA160" s="9">
        <f ca="1">DATOSAÑO!AK159</f>
        <v>12</v>
      </c>
      <c r="AB160" s="11">
        <f ca="1">(AA160*DATOSAÑO!$Z$11)/DATOSAÑO!$Y$11</f>
        <v>0.21622394693673291</v>
      </c>
      <c r="AC160" s="9">
        <f ca="1">DATOSAÑO!AL159</f>
        <v>35.343999999994651</v>
      </c>
      <c r="AD160" s="11">
        <f ca="1">(AC160*DATOSAÑO!$Z$11)/DATOSAÑO!$Y$11</f>
        <v>0.636851598377561</v>
      </c>
      <c r="AE160" s="9">
        <f ca="1">DATOSAÑO!AM159</f>
        <v>13.812000000001275</v>
      </c>
      <c r="AF160" s="11">
        <f ca="1">(AE160*DATOSAÑO!$Z$11)/DATOSAÑO!$Y$11</f>
        <v>0.24887376292420255</v>
      </c>
      <c r="AG160" s="9">
        <f ca="1">DATOSAÑO!AN159</f>
        <v>4.2829999999998183</v>
      </c>
      <c r="AH160" s="11">
        <f ca="1">(AG160*DATOSAÑO!$Z$11)/DATOSAÑO!$Y$11</f>
        <v>7.7173930394165632E-2</v>
      </c>
      <c r="AI160" s="9">
        <f ca="1">DATOSAÑO!BJ159</f>
        <v>0</v>
      </c>
      <c r="AJ160" s="11">
        <f ca="1">(AI160*DATOSAÑO!$Z$11)/DATOSAÑO!$Y$11</f>
        <v>0</v>
      </c>
      <c r="AK160" s="9">
        <f ca="1">DATOSAÑO!BM159</f>
        <v>4.008</v>
      </c>
      <c r="AL160" s="11">
        <f ca="1">(AK160*DATOSAÑO!$Z$11)/DATOSAÑO!$Y$11</f>
        <v>7.2218798276868792E-2</v>
      </c>
      <c r="AM160" s="9">
        <f ca="1">DATOSAÑO!BP159</f>
        <v>1.78</v>
      </c>
      <c r="AN160" s="11">
        <f ca="1">(AM160*DATOSAÑO!$Z$11)/DATOSAÑO!$Y$11</f>
        <v>3.2073218795615387E-2</v>
      </c>
      <c r="AO160" s="9">
        <f ca="1">DATOSAÑO!BW159</f>
        <v>13.105999999999547</v>
      </c>
      <c r="AP160" s="11">
        <f ca="1">(AO160*DATOSAÑO!$Z$11)/DATOSAÑO!$Y$11</f>
        <v>0.23615258737939362</v>
      </c>
      <c r="AQ160" s="9">
        <f ca="1">DATOSAÑO!CC159</f>
        <v>3.1301999999999275</v>
      </c>
      <c r="AR160" s="1348">
        <f ca="1">(AQ160*DATOSAÑO!$Z$11)/DATOSAÑO!$Y$11</f>
        <v>5.640201655844547E-2</v>
      </c>
      <c r="AS160" s="1384">
        <f t="shared" si="8"/>
        <v>22</v>
      </c>
    </row>
    <row r="161" spans="1:45">
      <c r="A161" s="1408">
        <v>45076</v>
      </c>
      <c r="B161" s="1869">
        <v>45076</v>
      </c>
      <c r="C161" s="9">
        <f ca="1">DATOSAÑO!I160</f>
        <v>307.30000000004657</v>
      </c>
      <c r="D161" s="10">
        <f ca="1">DATOSAÑO!$D160</f>
        <v>5.2275682710517799</v>
      </c>
      <c r="E161" s="11">
        <f ca="1">DATOSAÑO!$G160</f>
        <v>0</v>
      </c>
      <c r="F161" s="86">
        <f ca="1">DATOSAÑO!P160</f>
        <v>151</v>
      </c>
      <c r="G161" s="10">
        <f ca="1">DATOSAÑO!K160</f>
        <v>3.8902440560180791</v>
      </c>
      <c r="H161" s="11">
        <f ca="1">DATOSAÑO!N160</f>
        <v>0</v>
      </c>
      <c r="I161" s="9">
        <f ca="1">DATOSAÑO!Q160</f>
        <v>0</v>
      </c>
      <c r="J161" s="11">
        <f ca="1">DATOSAÑO!R160</f>
        <v>0</v>
      </c>
      <c r="K161" s="9">
        <f ca="1">DATOSAÑO!T160</f>
        <v>0</v>
      </c>
      <c r="L161" s="11">
        <f t="shared" ca="1" si="6"/>
        <v>0</v>
      </c>
      <c r="M161" s="9"/>
      <c r="N161" s="11">
        <f t="shared" si="7"/>
        <v>0</v>
      </c>
      <c r="O161" s="9">
        <f>DATOSAÑO!CK160</f>
        <v>0</v>
      </c>
      <c r="P161" s="9">
        <f>DATOSAÑO!CL160</f>
        <v>0</v>
      </c>
      <c r="Q161" s="9">
        <f ca="1">DATOSAÑO!AD160</f>
        <v>163.8690000000006</v>
      </c>
      <c r="R161" s="11">
        <f ca="1">(Q161*DATOSAÑO!$Z$11)/DATOSAÑO!$Y$11</f>
        <v>2.9527001633813015</v>
      </c>
      <c r="S161" s="9">
        <f ca="1">DATOSAÑO!AF160</f>
        <v>160</v>
      </c>
      <c r="T161" s="11">
        <f ca="1">(S161*DATOSAÑO!$Z$11)/DATOSAÑO!$Y$11</f>
        <v>2.8829859591564388</v>
      </c>
      <c r="U161" s="9">
        <f ca="1">DATOSAÑO!AH160</f>
        <v>11.5</v>
      </c>
      <c r="V161" s="11">
        <f ca="1">(U161*DATOSAÑO!$Z$11)/DATOSAÑO!$Y$11</f>
        <v>0.20721461581436901</v>
      </c>
      <c r="W161" s="9">
        <f ca="1">DATOSAÑO!AI160</f>
        <v>35.5</v>
      </c>
      <c r="X161" s="11">
        <f ca="1">(W161*DATOSAÑO!$Z$11)/DATOSAÑO!$Y$11</f>
        <v>0.63966250968783478</v>
      </c>
      <c r="Y161" s="9">
        <f ca="1">DATOSAÑO!AJ160</f>
        <v>7.8000000000029104</v>
      </c>
      <c r="Z161" s="11">
        <f ca="1">(Y161*DATOSAÑO!$Z$11)/DATOSAÑO!$Y$11</f>
        <v>0.14054556550892883</v>
      </c>
      <c r="AA161" s="9">
        <f ca="1">DATOSAÑO!AK160</f>
        <v>14.399999999994179</v>
      </c>
      <c r="AB161" s="11">
        <f ca="1">(AA161*DATOSAÑO!$Z$11)/DATOSAÑO!$Y$11</f>
        <v>0.2594687363239746</v>
      </c>
      <c r="AC161" s="9">
        <f ca="1">DATOSAÑO!AL160</f>
        <v>35.431000000035056</v>
      </c>
      <c r="AD161" s="11">
        <f ca="1">(AC161*DATOSAÑO!$Z$11)/DATOSAÑO!$Y$11</f>
        <v>0.63841922199358025</v>
      </c>
      <c r="AE161" s="9">
        <f ca="1">DATOSAÑO!AM160</f>
        <v>9.6518000000130932</v>
      </c>
      <c r="AF161" s="11">
        <f ca="1">(AE161*DATOSAÑO!$Z$11)/DATOSAÑO!$Y$11</f>
        <v>0.17391252425389916</v>
      </c>
      <c r="AG161" s="9">
        <f ca="1">DATOSAÑO!AN160</f>
        <v>4.3470000000001816</v>
      </c>
      <c r="AH161" s="11">
        <f ca="1">(AG161*DATOSAÑO!$Z$11)/DATOSAÑO!$Y$11</f>
        <v>7.8327124777834767E-2</v>
      </c>
      <c r="AI161" s="9">
        <f ca="1">DATOSAÑO!BJ160</f>
        <v>0.83520000000018624</v>
      </c>
      <c r="AJ161" s="11">
        <f ca="1">(AI161*DATOSAÑO!$Z$11)/DATOSAÑO!$Y$11</f>
        <v>1.5049186706799967E-2</v>
      </c>
      <c r="AK161" s="9">
        <f ca="1">DATOSAÑO!BM160</f>
        <v>3.262</v>
      </c>
      <c r="AL161" s="11">
        <f ca="1">(AK161*DATOSAÑO!$Z$11)/DATOSAÑO!$Y$11</f>
        <v>5.8776876242301893E-2</v>
      </c>
      <c r="AM161" s="9">
        <f ca="1">DATOSAÑO!BP160</f>
        <v>3.6509999999999998</v>
      </c>
      <c r="AN161" s="11">
        <f ca="1">(AM161*DATOSAÑO!$Z$11)/DATOSAÑO!$Y$11</f>
        <v>6.5786135855500985E-2</v>
      </c>
      <c r="AO161" s="9">
        <f ca="1">DATOSAÑO!BW160</f>
        <v>11.42590000000691</v>
      </c>
      <c r="AP161" s="11">
        <f ca="1">(AO161*DATOSAÑO!$Z$11)/DATOSAÑO!$Y$11</f>
        <v>0.20587943294215924</v>
      </c>
      <c r="AQ161" s="9">
        <f ca="1">DATOSAÑO!CC160</f>
        <v>3.1918000000000726</v>
      </c>
      <c r="AR161" s="1348">
        <f ca="1">(AQ161*DATOSAÑO!$Z$11)/DATOSAÑO!$Y$11</f>
        <v>5.7511966152723318E-2</v>
      </c>
      <c r="AS161" s="1384">
        <f t="shared" si="8"/>
        <v>22</v>
      </c>
    </row>
    <row r="162" spans="1:45" ht="16.5" customHeight="1" thickBot="1">
      <c r="A162" s="1408">
        <v>45077</v>
      </c>
      <c r="B162" s="1870">
        <v>45077</v>
      </c>
      <c r="C162" s="63">
        <f ca="1">DATOSAÑO!I161</f>
        <v>301.69999999995343</v>
      </c>
      <c r="D162" s="64">
        <f ca="1">DATOSAÑO!$D161</f>
        <v>5.1796539037817162</v>
      </c>
      <c r="E162" s="65">
        <f ca="1">DATOSAÑO!$G161</f>
        <v>0</v>
      </c>
      <c r="F162" s="63">
        <f ca="1">DATOSAÑO!P161</f>
        <v>149.09999999999854</v>
      </c>
      <c r="G162" s="64">
        <f ca="1">DATOSAÑO!K161</f>
        <v>3.8739873956945652</v>
      </c>
      <c r="H162" s="65">
        <f ca="1">DATOSAÑO!N161</f>
        <v>0</v>
      </c>
      <c r="I162" s="63">
        <f ca="1">DATOSAÑO!Q161</f>
        <v>0</v>
      </c>
      <c r="J162" s="65">
        <f ca="1">DATOSAÑO!R161</f>
        <v>0</v>
      </c>
      <c r="K162" s="9">
        <f ca="1">DATOSAÑO!T161</f>
        <v>0</v>
      </c>
      <c r="L162" s="65">
        <f t="shared" ca="1" si="6"/>
        <v>0</v>
      </c>
      <c r="M162" s="63"/>
      <c r="N162" s="65">
        <f t="shared" si="7"/>
        <v>0</v>
      </c>
      <c r="O162" s="63">
        <f>DATOSAÑO!CK161</f>
        <v>0</v>
      </c>
      <c r="P162" s="62">
        <f>DATOSAÑO!CL161</f>
        <v>0</v>
      </c>
      <c r="Q162" s="9">
        <f ca="1">DATOSAÑO!AD161</f>
        <v>164.90999999999985</v>
      </c>
      <c r="R162" s="65">
        <f ca="1">(Q162*DATOSAÑO!$Z$11)/DATOSAÑO!$Y$11</f>
        <v>2.9714575907780496</v>
      </c>
      <c r="S162" s="9">
        <f ca="1">DATOSAÑO!AF161</f>
        <v>153</v>
      </c>
      <c r="T162" s="65">
        <f ca="1">(S162*DATOSAÑO!$Z$11)/DATOSAÑO!$Y$11</f>
        <v>2.7568553234433448</v>
      </c>
      <c r="U162" s="9">
        <f ca="1">DATOSAÑO!AH161</f>
        <v>11.100000000005821</v>
      </c>
      <c r="V162" s="65">
        <f ca="1">(U162*DATOSAÑO!$Z$11)/DATOSAÑO!$Y$11</f>
        <v>0.20000715091658283</v>
      </c>
      <c r="W162" s="9">
        <f ca="1">DATOSAÑO!AI161</f>
        <v>36.30000000000291</v>
      </c>
      <c r="X162" s="65">
        <f ca="1">(W162*DATOSAÑO!$Z$11)/DATOSAÑO!$Y$11</f>
        <v>0.65407743948366959</v>
      </c>
      <c r="Y162" s="9">
        <f ca="1">DATOSAÑO!AJ161</f>
        <v>6.7999999999883585</v>
      </c>
      <c r="Z162" s="65">
        <f ca="1">(Y162*DATOSAÑO!$Z$11)/DATOSAÑO!$Y$11</f>
        <v>0.12252690326393889</v>
      </c>
      <c r="AA162" s="9">
        <f ca="1">DATOSAÑO!AK161</f>
        <v>13.200000000011642</v>
      </c>
      <c r="AB162" s="65">
        <f ca="1">(AA162*DATOSAÑO!$Z$11)/DATOSAÑO!$Y$11</f>
        <v>0.23784634163061597</v>
      </c>
      <c r="AC162" s="9">
        <f ca="1">DATOSAÑO!AL161</f>
        <v>35.389999999955762</v>
      </c>
      <c r="AD162" s="65">
        <f ca="1">(AC162*DATOSAÑO!$Z$11)/DATOSAÑO!$Y$11</f>
        <v>0.63768045684011776</v>
      </c>
      <c r="AE162" s="9">
        <f ca="1">DATOSAÑO!AM161</f>
        <v>10.07019999998837</v>
      </c>
      <c r="AF162" s="65">
        <f ca="1">(AE162*DATOSAÑO!$Z$11)/DATOSAÑO!$Y$11</f>
        <v>0.18145153253664775</v>
      </c>
      <c r="AG162" s="63">
        <f ca="1">DATOSAÑO!AN161</f>
        <v>4.8339999999998104</v>
      </c>
      <c r="AH162" s="65">
        <f ca="1">(AG162*DATOSAÑO!$Z$11)/DATOSAÑO!$Y$11</f>
        <v>8.7102213291010491E-2</v>
      </c>
      <c r="AI162" s="63">
        <f ca="1">DATOSAÑO!BJ161</f>
        <v>2.8247999999998137</v>
      </c>
      <c r="AJ162" s="65">
        <f ca="1">(AI162*DATOSAÑO!$Z$11)/DATOSAÑO!$Y$11</f>
        <v>5.0899117108903567E-2</v>
      </c>
      <c r="AK162" s="63">
        <f ca="1">DATOSAÑO!BM161</f>
        <v>4.5650000000000004</v>
      </c>
      <c r="AL162" s="65">
        <f ca="1">(AK162*DATOSAÑO!$Z$11)/DATOSAÑO!$Y$11</f>
        <v>8.225519314718216E-2</v>
      </c>
      <c r="AM162" s="63">
        <f ca="1">DATOSAÑO!BP161</f>
        <v>0</v>
      </c>
      <c r="AN162" s="65">
        <f ca="1">(AM162*DATOSAÑO!$Z$11)/DATOSAÑO!$Y$11</f>
        <v>0</v>
      </c>
      <c r="AO162" s="63">
        <f ca="1">DATOSAÑO!BW161</f>
        <v>11.43509999999382</v>
      </c>
      <c r="AP162" s="65">
        <f ca="1">(AO162*DATOSAÑO!$Z$11)/DATOSAÑO!$Y$11</f>
        <v>0.20604520463457485</v>
      </c>
      <c r="AQ162" s="63">
        <f ca="1">DATOSAÑO!CC161</f>
        <v>3.3395999999999244</v>
      </c>
      <c r="AR162" s="1109">
        <f ca="1">(AQ162*DATOSAÑO!$Z$11)/DATOSAÑO!$Y$11</f>
        <v>6.0175124432491407E-2</v>
      </c>
      <c r="AS162" s="1385">
        <f t="shared" si="8"/>
        <v>22</v>
      </c>
    </row>
    <row r="163" spans="1:45">
      <c r="A163" s="1408">
        <v>45078</v>
      </c>
      <c r="B163" s="1871">
        <v>45078</v>
      </c>
      <c r="C163" s="9">
        <f ca="1">DATOSAÑO!I162</f>
        <v>296</v>
      </c>
      <c r="D163" s="10">
        <f ca="1">DATOSAÑO!$D162</f>
        <v>5.1013664174811186</v>
      </c>
      <c r="E163" s="11">
        <f ca="1">DATOSAÑO!$G162</f>
        <v>0</v>
      </c>
      <c r="F163" s="9">
        <f ca="1">DATOSAÑO!P162</f>
        <v>148</v>
      </c>
      <c r="G163" s="10">
        <f ca="1">DATOSAÑO!K162</f>
        <v>3.7362854756774766</v>
      </c>
      <c r="H163" s="180">
        <f ca="1">DATOSAÑO!N162</f>
        <v>0</v>
      </c>
      <c r="I163" s="178">
        <f ca="1">DATOSAÑO!Q162</f>
        <v>0</v>
      </c>
      <c r="J163" s="180">
        <f ca="1">DATOSAÑO!R162</f>
        <v>0</v>
      </c>
      <c r="K163" s="178">
        <f ca="1">DATOSAÑO!T162</f>
        <v>0</v>
      </c>
      <c r="L163" s="180">
        <f t="shared" ca="1" si="6"/>
        <v>0</v>
      </c>
      <c r="M163" s="178"/>
      <c r="N163" s="180">
        <f t="shared" si="7"/>
        <v>0</v>
      </c>
      <c r="O163" s="9">
        <f>DATOSAÑO!CK162</f>
        <v>0</v>
      </c>
      <c r="P163" s="9">
        <f>DATOSAÑO!CL162</f>
        <v>0</v>
      </c>
      <c r="Q163" s="178">
        <f ca="1">DATOSAÑO!AD162</f>
        <v>166</v>
      </c>
      <c r="R163" s="180">
        <f ca="1">(Q163*DATOSAÑO!$Z$11)/DATOSAÑO!$Y$11</f>
        <v>2.9910979326248053</v>
      </c>
      <c r="S163" s="178">
        <f ca="1">DATOSAÑO!AF162</f>
        <v>145</v>
      </c>
      <c r="T163" s="180">
        <f ca="1">(S163*DATOSAÑO!$Z$11)/DATOSAÑO!$Y$11</f>
        <v>2.6127060254855223</v>
      </c>
      <c r="U163" s="178">
        <f ca="1">DATOSAÑO!AH162</f>
        <v>12.599999999998545</v>
      </c>
      <c r="V163" s="180">
        <f ca="1">(U163*DATOSAÑO!$Z$11)/DATOSAÑO!$Y$11</f>
        <v>0.22703514428354335</v>
      </c>
      <c r="W163" s="178">
        <f ca="1">DATOSAÑO!AI162</f>
        <v>36.69999999999709</v>
      </c>
      <c r="X163" s="180">
        <f ca="1">(W163*DATOSAÑO!$Z$11)/DATOSAÑO!$Y$11</f>
        <v>0.66128490438145571</v>
      </c>
      <c r="Y163" s="178">
        <f ca="1">DATOSAÑO!AJ162</f>
        <v>5.4000000000087311</v>
      </c>
      <c r="Z163" s="180">
        <f ca="1">(Y163*DATOSAÑO!$Z$11)/DATOSAÑO!$Y$11</f>
        <v>9.7300776121687138E-2</v>
      </c>
      <c r="AA163" s="178">
        <f ca="1">DATOSAÑO!AK162</f>
        <v>13</v>
      </c>
      <c r="AB163" s="180">
        <f ca="1">(AA163*DATOSAÑO!$Z$11)/DATOSAÑO!$Y$11</f>
        <v>0.23424260918146064</v>
      </c>
      <c r="AC163" s="178">
        <f ca="1">DATOSAÑO!AL162</f>
        <v>34.999999999996362</v>
      </c>
      <c r="AD163" s="180">
        <f ca="1">(AC163*DATOSAÑO!$Z$11)/DATOSAÑO!$Y$11</f>
        <v>0.63065317856540548</v>
      </c>
      <c r="AE163" s="178">
        <f ca="1">DATOSAÑO!AM162</f>
        <v>11.255999999998364</v>
      </c>
      <c r="AF163" s="180">
        <f ca="1">(AE163*DATOSAÑO!$Z$11)/DATOSAÑO!$Y$11</f>
        <v>0.20281806222662599</v>
      </c>
      <c r="AG163" s="178">
        <f ca="1">DATOSAÑO!AN162</f>
        <v>4.3469999999998183</v>
      </c>
      <c r="AH163" s="180">
        <f ca="1">(AG163*DATOSAÑO!$Z$11)/DATOSAÑO!$Y$11</f>
        <v>7.8327124777828216E-2</v>
      </c>
      <c r="AI163" s="9">
        <f ca="1">DATOSAÑO!BJ162</f>
        <v>2.5</v>
      </c>
      <c r="AJ163" s="11">
        <f ca="1">(AI163*DATOSAÑO!$Z$11)/DATOSAÑO!$Y$11</f>
        <v>4.5046655611819357E-2</v>
      </c>
      <c r="AK163" s="9">
        <f ca="1">DATOSAÑO!BM162</f>
        <v>4.5439999999999996</v>
      </c>
      <c r="AL163" s="11">
        <f ca="1">(AK163*DATOSAÑO!$Z$11)/DATOSAÑO!$Y$11</f>
        <v>8.1876801240042846E-2</v>
      </c>
      <c r="AM163" s="9">
        <f ca="1">DATOSAÑO!BP162</f>
        <v>0</v>
      </c>
      <c r="AN163" s="11">
        <f ca="1">(AM163*DATOSAÑO!$Z$11)/DATOSAÑO!$Y$11</f>
        <v>0</v>
      </c>
      <c r="AO163" s="9">
        <f ca="1">DATOSAÑO!BW162</f>
        <v>11.928000000000274</v>
      </c>
      <c r="AP163" s="11">
        <f ca="1">(AO163*DATOSAÑO!$Z$11)/DATOSAÑO!$Y$11</f>
        <v>0.21492660325511745</v>
      </c>
      <c r="AQ163" s="9">
        <f ca="1">DATOSAÑO!CC162</f>
        <v>3.0917999999999273</v>
      </c>
      <c r="AR163" s="1348">
        <f ca="1">(AQ163*DATOSAÑO!$Z$11)/DATOSAÑO!$Y$11</f>
        <v>5.5710099928247922E-2</v>
      </c>
      <c r="AS163" s="1406">
        <f t="shared" si="8"/>
        <v>22</v>
      </c>
    </row>
    <row r="164" spans="1:45" ht="16.5" customHeight="1">
      <c r="A164" s="1408">
        <v>45079</v>
      </c>
      <c r="B164" s="1869">
        <v>45079</v>
      </c>
      <c r="C164" s="193">
        <f ca="1">DATOSAÑO!I163</f>
        <v>292</v>
      </c>
      <c r="D164" s="194">
        <f ca="1">DATOSAÑO!$D163</f>
        <v>5.064080766659262</v>
      </c>
      <c r="E164" s="195">
        <f ca="1">DATOSAÑO!$G163</f>
        <v>0</v>
      </c>
      <c r="F164" s="9">
        <f ca="1">DATOSAÑO!P163</f>
        <v>150</v>
      </c>
      <c r="G164" s="10">
        <f ca="1">DATOSAÑO!K163</f>
        <v>3.7562599314748999</v>
      </c>
      <c r="H164" s="11">
        <f ca="1">DATOSAÑO!N163</f>
        <v>0</v>
      </c>
      <c r="I164" s="9">
        <f ca="1">DATOSAÑO!Q163</f>
        <v>0</v>
      </c>
      <c r="J164" s="11">
        <f ca="1">DATOSAÑO!R163</f>
        <v>0</v>
      </c>
      <c r="K164" s="9">
        <f ca="1">DATOSAÑO!T163</f>
        <v>0</v>
      </c>
      <c r="L164" s="11">
        <f t="shared" ca="1" si="6"/>
        <v>0</v>
      </c>
      <c r="M164" s="9"/>
      <c r="N164" s="11">
        <f t="shared" si="7"/>
        <v>0</v>
      </c>
      <c r="O164" s="9">
        <f>DATOSAÑO!CK163</f>
        <v>0</v>
      </c>
      <c r="P164" s="9">
        <f>DATOSAÑO!CL163</f>
        <v>0</v>
      </c>
      <c r="Q164" s="9">
        <f ca="1">DATOSAÑO!AD163</f>
        <v>170</v>
      </c>
      <c r="R164" s="11">
        <f ca="1">(Q164*DATOSAÑO!$Z$11)/DATOSAÑO!$Y$11</f>
        <v>3.0631725816037165</v>
      </c>
      <c r="S164" s="9">
        <f ca="1">DATOSAÑO!AF163</f>
        <v>147</v>
      </c>
      <c r="T164" s="11">
        <f ca="1">(S164*DATOSAÑO!$Z$11)/DATOSAÑO!$Y$11</f>
        <v>2.648743349974978</v>
      </c>
      <c r="U164" s="9">
        <f ca="1">DATOSAÑO!AH163</f>
        <v>9.6999999999970896</v>
      </c>
      <c r="V164" s="11">
        <f ca="1">(U164*DATOSAÑO!$Z$11)/DATOSAÑO!$Y$11</f>
        <v>0.17478102377380664</v>
      </c>
      <c r="W164" s="9">
        <f ca="1">DATOSAÑO!AI163</f>
        <v>35.599999999991269</v>
      </c>
      <c r="X164" s="11">
        <f ca="1">(W164*DATOSAÑO!$Z$11)/DATOSAÑO!$Y$11</f>
        <v>0.64146437591215033</v>
      </c>
      <c r="Y164" s="9">
        <f ca="1">DATOSAÑO!AJ163</f>
        <v>5.5</v>
      </c>
      <c r="Z164" s="11">
        <f ca="1">(Y164*DATOSAÑO!$Z$11)/DATOSAÑO!$Y$11</f>
        <v>9.9102642346002578E-2</v>
      </c>
      <c r="AA164" s="9">
        <f ca="1">DATOSAÑO!AK163</f>
        <v>13</v>
      </c>
      <c r="AB164" s="11">
        <f ca="1">(AA164*DATOSAÑO!$Z$11)/DATOSAÑO!$Y$11</f>
        <v>0.23424260918146064</v>
      </c>
      <c r="AC164" s="9">
        <f ca="1">DATOSAÑO!AL163</f>
        <v>32.700000000011698</v>
      </c>
      <c r="AD164" s="11">
        <f ca="1">(AC164*DATOSAÑO!$Z$11)/DATOSAÑO!$Y$11</f>
        <v>0.58921025540280791</v>
      </c>
      <c r="AE164" s="9">
        <f ca="1">DATOSAÑO!AM163</f>
        <v>9.0070000000001045</v>
      </c>
      <c r="AF164" s="11">
        <f ca="1">(AE164*DATOSAÑO!$Z$11)/DATOSAÑO!$Y$11</f>
        <v>0.16229409083826465</v>
      </c>
      <c r="AG164" s="9">
        <f ca="1">DATOSAÑO!AN163</f>
        <v>4.8100000000002732</v>
      </c>
      <c r="AH164" s="11">
        <f ca="1">(AG164*DATOSAÑO!$Z$11)/DATOSAÑO!$Y$11</f>
        <v>8.6669765397145368E-2</v>
      </c>
      <c r="AI164" s="9">
        <f ca="1">DATOSAÑO!BJ163</f>
        <v>2.2000000000000002</v>
      </c>
      <c r="AJ164" s="11">
        <f ca="1">(AI164*DATOSAÑO!$Z$11)/DATOSAÑO!$Y$11</f>
        <v>3.9641056938401038E-2</v>
      </c>
      <c r="AK164" s="9">
        <f ca="1">DATOSAÑO!BM163</f>
        <v>4.6929999999999996</v>
      </c>
      <c r="AL164" s="11">
        <f ca="1">(AK164*DATOSAÑO!$Z$11)/DATOSAÑO!$Y$11</f>
        <v>8.4561581914507286E-2</v>
      </c>
      <c r="AM164" s="9">
        <f ca="1">DATOSAÑO!BP163</f>
        <v>0</v>
      </c>
      <c r="AN164" s="11">
        <f ca="1">(AM164*DATOSAÑO!$Z$11)/DATOSAÑO!$Y$11</f>
        <v>0</v>
      </c>
      <c r="AO164" s="9">
        <f ca="1">DATOSAÑO!BW163</f>
        <v>10.903499999999688</v>
      </c>
      <c r="AP164" s="11">
        <f ca="1">(AO164*DATOSAÑO!$Z$11)/DATOSAÑO!$Y$11</f>
        <v>0.19646648378538331</v>
      </c>
      <c r="AQ164" s="9">
        <f ca="1">DATOSAÑO!CC163</f>
        <v>3.3140000000001093</v>
      </c>
      <c r="AR164" s="1348">
        <f ca="1">(AQ164*DATOSAÑO!$Z$11)/DATOSAÑO!$Y$11</f>
        <v>5.9713846679029708E-2</v>
      </c>
      <c r="AS164" s="1384">
        <f t="shared" si="8"/>
        <v>22</v>
      </c>
    </row>
    <row r="165" spans="1:45">
      <c r="A165" s="1408">
        <v>45080</v>
      </c>
      <c r="B165" s="1869">
        <v>45080</v>
      </c>
      <c r="C165" s="9">
        <f ca="1">DATOSAÑO!I164</f>
        <v>290</v>
      </c>
      <c r="D165" s="10">
        <f ca="1">DATOSAÑO!$D164</f>
        <v>5.0454379412483341</v>
      </c>
      <c r="E165" s="11">
        <f ca="1">DATOSAÑO!$G164</f>
        <v>0</v>
      </c>
      <c r="F165" s="9">
        <f ca="1">DATOSAÑO!P164</f>
        <v>148</v>
      </c>
      <c r="G165" s="10">
        <f ca="1">DATOSAÑO!K164</f>
        <v>3.7362854756774766</v>
      </c>
      <c r="H165" s="11">
        <f ca="1">DATOSAÑO!N164</f>
        <v>0</v>
      </c>
      <c r="I165" s="9">
        <f ca="1">DATOSAÑO!Q164</f>
        <v>0</v>
      </c>
      <c r="J165" s="11">
        <f ca="1">DATOSAÑO!R164</f>
        <v>0</v>
      </c>
      <c r="K165" s="9">
        <f ca="1">DATOSAÑO!T164</f>
        <v>0</v>
      </c>
      <c r="L165" s="11">
        <f t="shared" ca="1" si="6"/>
        <v>0</v>
      </c>
      <c r="M165" s="9"/>
      <c r="N165" s="11">
        <f t="shared" si="7"/>
        <v>0</v>
      </c>
      <c r="O165" s="9">
        <f>DATOSAÑO!CK164</f>
        <v>0</v>
      </c>
      <c r="P165" s="9">
        <f>DATOSAÑO!CL164</f>
        <v>0</v>
      </c>
      <c r="Q165" s="9">
        <f ca="1">DATOSAÑO!AD164</f>
        <v>164</v>
      </c>
      <c r="R165" s="11">
        <f ca="1">(Q165*DATOSAÑO!$Z$11)/DATOSAÑO!$Y$11</f>
        <v>2.9550606081353497</v>
      </c>
      <c r="S165" s="9">
        <f ca="1">DATOSAÑO!AF164</f>
        <v>145</v>
      </c>
      <c r="T165" s="11">
        <f ca="1">(S165*DATOSAÑO!$Z$11)/DATOSAÑO!$Y$11</f>
        <v>2.6127060254855223</v>
      </c>
      <c r="U165" s="9">
        <f ca="1">DATOSAÑO!AH164</f>
        <v>9.8000000000047294</v>
      </c>
      <c r="V165" s="11">
        <f ca="1">(U165*DATOSAÑO!$Z$11)/DATOSAÑO!$Y$11</f>
        <v>0.17658288999841709</v>
      </c>
      <c r="W165" s="9">
        <f ca="1">DATOSAÑO!AI164</f>
        <v>35</v>
      </c>
      <c r="X165" s="11">
        <f ca="1">(W165*DATOSAÑO!$Z$11)/DATOSAÑO!$Y$11</f>
        <v>0.63065317856547087</v>
      </c>
      <c r="Y165" s="9">
        <f ca="1">DATOSAÑO!AJ164</f>
        <v>5.6999999999970896</v>
      </c>
      <c r="Z165" s="11">
        <f ca="1">(Y165*DATOSAÑO!$Z$11)/DATOSAÑO!$Y$11</f>
        <v>0.10270637479489569</v>
      </c>
      <c r="AA165" s="9">
        <f ca="1">DATOSAÑO!AK164</f>
        <v>13</v>
      </c>
      <c r="AB165" s="11">
        <f ca="1">(AA165*DATOSAÑO!$Z$11)/DATOSAÑO!$Y$11</f>
        <v>0.23424260918146064</v>
      </c>
      <c r="AC165" s="9">
        <f ca="1">DATOSAÑO!AL164</f>
        <v>36.399999999999636</v>
      </c>
      <c r="AD165" s="11">
        <f ca="1">(AC165*DATOSAÑO!$Z$11)/DATOSAÑO!$Y$11</f>
        <v>0.65587930570808317</v>
      </c>
      <c r="AE165" s="9">
        <f ca="1">DATOSAÑO!AM164</f>
        <v>10.273999999999633</v>
      </c>
      <c r="AF165" s="11">
        <f ca="1">(AE165*DATOSAÑO!$Z$11)/DATOSAÑO!$Y$11</f>
        <v>0.18512373590232623</v>
      </c>
      <c r="AG165" s="9">
        <f ca="1">DATOSAÑO!AN164</f>
        <v>4.6340000000000128</v>
      </c>
      <c r="AH165" s="11">
        <f ca="1">(AG165*DATOSAÑO!$Z$11)/DATOSAÑO!$Y$11</f>
        <v>8.3498480842068581E-2</v>
      </c>
      <c r="AI165" s="9">
        <f ca="1">DATOSAÑO!BJ164</f>
        <v>2.2000000000000002</v>
      </c>
      <c r="AJ165" s="11">
        <f ca="1">(AI165*DATOSAÑO!$Z$11)/DATOSAÑO!$Y$11</f>
        <v>3.9641056938401038E-2</v>
      </c>
      <c r="AK165" s="9">
        <f ca="1">DATOSAÑO!BM164</f>
        <v>4.3460000000000001</v>
      </c>
      <c r="AL165" s="11">
        <f ca="1">(AK165*DATOSAÑO!$Z$11)/DATOSAÑO!$Y$11</f>
        <v>7.830910611558678E-2</v>
      </c>
      <c r="AM165" s="9">
        <f ca="1">DATOSAÑO!BP164</f>
        <v>0</v>
      </c>
      <c r="AN165" s="11">
        <f ca="1">(AM165*DATOSAÑO!$Z$11)/DATOSAÑO!$Y$11</f>
        <v>0</v>
      </c>
      <c r="AO165" s="9">
        <f ca="1">DATOSAÑO!BW164</f>
        <v>11.336999999998724</v>
      </c>
      <c r="AP165" s="11">
        <f ca="1">(AO165*DATOSAÑO!$Z$11)/DATOSAÑO!$Y$11</f>
        <v>0.20427757386845544</v>
      </c>
      <c r="AQ165" s="9">
        <f ca="1">DATOSAÑO!CC164</f>
        <v>3.2996000000000052</v>
      </c>
      <c r="AR165" s="1348">
        <f ca="1">(AQ165*DATOSAÑO!$Z$11)/DATOSAÑO!$Y$11</f>
        <v>5.9454377942703758E-2</v>
      </c>
      <c r="AS165" s="1384">
        <f t="shared" si="8"/>
        <v>22</v>
      </c>
    </row>
    <row r="166" spans="1:45" ht="16.5" customHeight="1">
      <c r="A166" s="1408">
        <v>45081</v>
      </c>
      <c r="B166" s="1869">
        <v>45081</v>
      </c>
      <c r="C166" s="9">
        <f ca="1">DATOSAÑO!I165</f>
        <v>298</v>
      </c>
      <c r="D166" s="10">
        <f ca="1">DATOSAÑO!$D165</f>
        <v>5.1200092428920474</v>
      </c>
      <c r="E166" s="11">
        <f ca="1">DATOSAÑO!$G165</f>
        <v>0</v>
      </c>
      <c r="F166" s="9">
        <f ca="1">DATOSAÑO!P165</f>
        <v>150</v>
      </c>
      <c r="G166" s="10">
        <f ca="1">DATOSAÑO!K165</f>
        <v>3.7562599314748999</v>
      </c>
      <c r="H166" s="11">
        <f ca="1">DATOSAÑO!N165</f>
        <v>0</v>
      </c>
      <c r="I166" s="9">
        <f ca="1">DATOSAÑO!Q165</f>
        <v>0</v>
      </c>
      <c r="J166" s="11">
        <f ca="1">DATOSAÑO!R165</f>
        <v>0</v>
      </c>
      <c r="K166" s="9">
        <f ca="1">DATOSAÑO!T165</f>
        <v>0</v>
      </c>
      <c r="L166" s="11">
        <f t="shared" ca="1" si="6"/>
        <v>0</v>
      </c>
      <c r="M166" s="9"/>
      <c r="N166" s="11">
        <f t="shared" si="7"/>
        <v>0</v>
      </c>
      <c r="O166" s="9">
        <f>DATOSAÑO!CK165</f>
        <v>0</v>
      </c>
      <c r="P166" s="9">
        <f>DATOSAÑO!CL165</f>
        <v>0</v>
      </c>
      <c r="Q166" s="9">
        <f ca="1">DATOSAÑO!AD165</f>
        <v>164</v>
      </c>
      <c r="R166" s="11">
        <f ca="1">(Q166*DATOSAÑO!$Z$11)/DATOSAÑO!$Y$11</f>
        <v>2.9550606081353497</v>
      </c>
      <c r="S166" s="9">
        <f ca="1">DATOSAÑO!AF165</f>
        <v>152</v>
      </c>
      <c r="T166" s="11">
        <f ca="1">(S166*DATOSAÑO!$Z$11)/DATOSAÑO!$Y$11</f>
        <v>2.7388366611986168</v>
      </c>
      <c r="U166" s="9">
        <f ca="1">DATOSAÑO!AH165</f>
        <v>10.69999999999709</v>
      </c>
      <c r="V166" s="11">
        <f ca="1">(U166*DATOSAÑO!$Z$11)/DATOSAÑO!$Y$11</f>
        <v>0.19279968601853439</v>
      </c>
      <c r="W166" s="9">
        <f ca="1">DATOSAÑO!AI165</f>
        <v>37.30000000000291</v>
      </c>
      <c r="X166" s="11">
        <f ca="1">(W166*DATOSAÑO!$Z$11)/DATOSAÑO!$Y$11</f>
        <v>0.67209610172839718</v>
      </c>
      <c r="Y166" s="9">
        <f ca="1">DATOSAÑO!AJ165</f>
        <v>7.5</v>
      </c>
      <c r="Z166" s="11">
        <f ca="1">(Y166*DATOSAÑO!$Z$11)/DATOSAÑO!$Y$11</f>
        <v>0.13513996683545806</v>
      </c>
      <c r="AA166" s="9">
        <f ca="1">DATOSAÑO!AK165</f>
        <v>12.899999999994179</v>
      </c>
      <c r="AB166" s="11">
        <f ca="1">(AA166*DATOSAÑO!$Z$11)/DATOSAÑO!$Y$11</f>
        <v>0.232440742956883</v>
      </c>
      <c r="AC166" s="9">
        <f ca="1">DATOSAÑO!AL165</f>
        <v>32.600000000005878</v>
      </c>
      <c r="AD166" s="11">
        <f ca="1">(AC166*DATOSAÑO!$Z$11)/DATOSAÑO!$Y$11</f>
        <v>0.58740838917823035</v>
      </c>
      <c r="AE166" s="9">
        <f ca="1">DATOSAÑO!AM165</f>
        <v>11.238999999999727</v>
      </c>
      <c r="AF166" s="11">
        <f ca="1">(AE166*DATOSAÑO!$Z$11)/DATOSAÑO!$Y$11</f>
        <v>0.20251174496849017</v>
      </c>
      <c r="AG166" s="9">
        <f ca="1">DATOSAÑO!AN165</f>
        <v>4.7370000000002728</v>
      </c>
      <c r="AH166" s="11">
        <f ca="1">(AG166*DATOSAÑO!$Z$11)/DATOSAÑO!$Y$11</f>
        <v>8.5354403053280237E-2</v>
      </c>
      <c r="AI166" s="9">
        <f ca="1">DATOSAÑO!BJ165</f>
        <v>2</v>
      </c>
      <c r="AJ166" s="11">
        <f ca="1">(AI166*DATOSAÑO!$Z$11)/DATOSAÑO!$Y$11</f>
        <v>3.6037324489455486E-2</v>
      </c>
      <c r="AK166" s="9">
        <f ca="1">DATOSAÑO!BM165</f>
        <v>5.0609999999999999</v>
      </c>
      <c r="AL166" s="11">
        <f ca="1">(AK166*DATOSAÑO!$Z$11)/DATOSAÑO!$Y$11</f>
        <v>9.1192449620567093E-2</v>
      </c>
      <c r="AM166" s="9">
        <f ca="1">DATOSAÑO!BP165</f>
        <v>0</v>
      </c>
      <c r="AN166" s="11">
        <f ca="1">(AM166*DATOSAÑO!$Z$11)/DATOSAÑO!$Y$11</f>
        <v>0</v>
      </c>
      <c r="AO166" s="9">
        <f ca="1">DATOSAÑO!BW165</f>
        <v>12.119499999999864</v>
      </c>
      <c r="AP166" s="11">
        <f ca="1">(AO166*DATOSAÑO!$Z$11)/DATOSAÑO!$Y$11</f>
        <v>0.21837717707497542</v>
      </c>
      <c r="AQ166" s="9">
        <f ca="1">DATOSAÑO!CC165</f>
        <v>3.3578000000001094</v>
      </c>
      <c r="AR166" s="1348">
        <f ca="1">(AQ166*DATOSAÑO!$Z$11)/DATOSAÑO!$Y$11</f>
        <v>6.0503064085348779E-2</v>
      </c>
      <c r="AS166" s="1384">
        <f t="shared" si="8"/>
        <v>23</v>
      </c>
    </row>
    <row r="167" spans="1:45">
      <c r="A167" s="1408">
        <v>45082</v>
      </c>
      <c r="B167" s="1869">
        <v>45082</v>
      </c>
      <c r="C167" s="9">
        <f ca="1">DATOSAÑO!I166</f>
        <v>279</v>
      </c>
      <c r="D167" s="10">
        <f ca="1">DATOSAÑO!$D166</f>
        <v>4.9429024014882268</v>
      </c>
      <c r="E167" s="11">
        <f ca="1">DATOSAÑO!$G166</f>
        <v>0</v>
      </c>
      <c r="F167" s="9">
        <f ca="1">DATOSAÑO!P166</f>
        <v>146</v>
      </c>
      <c r="G167" s="10">
        <f ca="1">DATOSAÑO!K166</f>
        <v>3.7163110198800533</v>
      </c>
      <c r="H167" s="11">
        <f ca="1">DATOSAÑO!N166</f>
        <v>0</v>
      </c>
      <c r="I167" s="9">
        <f ca="1">DATOSAÑO!Q166</f>
        <v>0.25900000000001455</v>
      </c>
      <c r="J167" s="11">
        <f ca="1">DATOSAÑO!R166</f>
        <v>31.080000000001746</v>
      </c>
      <c r="K167" s="9">
        <f ca="1">DATOSAÑO!T166</f>
        <v>0.375</v>
      </c>
      <c r="L167" s="11">
        <f t="shared" ca="1" si="6"/>
        <v>45</v>
      </c>
      <c r="M167" s="9"/>
      <c r="N167" s="11">
        <f t="shared" si="7"/>
        <v>0</v>
      </c>
      <c r="O167" s="9">
        <f>DATOSAÑO!CK166</f>
        <v>1</v>
      </c>
      <c r="P167" s="9">
        <f>DATOSAÑO!CL166</f>
        <v>1</v>
      </c>
      <c r="Q167" s="9">
        <f ca="1">DATOSAÑO!AD166</f>
        <v>157</v>
      </c>
      <c r="R167" s="11">
        <f ca="1">(Q167*DATOSAÑO!$Z$11)/DATOSAÑO!$Y$11</f>
        <v>2.8289299724222552</v>
      </c>
      <c r="S167" s="9">
        <f ca="1">DATOSAÑO!AF166</f>
        <v>149</v>
      </c>
      <c r="T167" s="11">
        <f ca="1">(S167*DATOSAÑO!$Z$11)/DATOSAÑO!$Y$11</f>
        <v>2.6847806744644336</v>
      </c>
      <c r="U167" s="9">
        <f ca="1">DATOSAÑO!AH166</f>
        <v>0.80000000000291038</v>
      </c>
      <c r="V167" s="11">
        <f ca="1">(U167*DATOSAÑO!$Z$11)/DATOSAÑO!$Y$11</f>
        <v>1.4414929795834634E-2</v>
      </c>
      <c r="W167" s="9">
        <f ca="1">DATOSAÑO!AI166</f>
        <v>38.5</v>
      </c>
      <c r="X167" s="11">
        <f ca="1">(W167*DATOSAÑO!$Z$11)/DATOSAÑO!$Y$11</f>
        <v>0.6937184964220181</v>
      </c>
      <c r="Y167" s="9">
        <f ca="1">DATOSAÑO!AJ166</f>
        <v>6.6000000000058208</v>
      </c>
      <c r="Z167" s="11">
        <f ca="1">(Y167*DATOSAÑO!$Z$11)/DATOSAÑO!$Y$11</f>
        <v>0.11892317081530798</v>
      </c>
      <c r="AA167" s="9">
        <f ca="1">DATOSAÑO!AK166</f>
        <v>11.299999999988358</v>
      </c>
      <c r="AB167" s="11">
        <f ca="1">(AA167*DATOSAÑO!$Z$11)/DATOSAÑO!$Y$11</f>
        <v>0.20361088336521374</v>
      </c>
      <c r="AC167" s="9">
        <f ca="1">DATOSAÑO!AL166</f>
        <v>34.73400000000214</v>
      </c>
      <c r="AD167" s="11">
        <f ca="1">(AC167*DATOSAÑO!$Z$11)/DATOSAÑO!$Y$11</f>
        <v>0.62586021440841189</v>
      </c>
      <c r="AE167" s="9">
        <f ca="1">DATOSAÑO!AM166</f>
        <v>8.8950000000001932</v>
      </c>
      <c r="AF167" s="11">
        <f ca="1">(AE167*DATOSAÑO!$Z$11)/DATOSAÑO!$Y$11</f>
        <v>0.16027600066685674</v>
      </c>
      <c r="AG167" s="9">
        <f ca="1">DATOSAÑO!AN166</f>
        <v>4.2759999999994545</v>
      </c>
      <c r="AH167" s="11">
        <f ca="1">(AG167*DATOSAÑO!$Z$11)/DATOSAÑO!$Y$11</f>
        <v>7.7047799758446001E-2</v>
      </c>
      <c r="AI167" s="9">
        <f ca="1">DATOSAÑO!BJ166</f>
        <v>1.92</v>
      </c>
      <c r="AJ167" s="11">
        <f ca="1">(AI167*DATOSAÑO!$Z$11)/DATOSAÑO!$Y$11</f>
        <v>3.4595831509877266E-2</v>
      </c>
      <c r="AK167" s="9">
        <f ca="1">DATOSAÑO!BM166</f>
        <v>4.9850000000000003</v>
      </c>
      <c r="AL167" s="11">
        <f ca="1">(AK167*DATOSAÑO!$Z$11)/DATOSAÑO!$Y$11</f>
        <v>8.9823031289967797E-2</v>
      </c>
      <c r="AM167" s="9">
        <f ca="1">DATOSAÑO!BP166</f>
        <v>0</v>
      </c>
      <c r="AN167" s="11">
        <f ca="1">(AM167*DATOSAÑO!$Z$11)/DATOSAÑO!$Y$11</f>
        <v>0</v>
      </c>
      <c r="AO167" s="9">
        <f ca="1">DATOSAÑO!BW166</f>
        <v>10.747500000001189</v>
      </c>
      <c r="AP167" s="11">
        <f ca="1">(AO167*DATOSAÑO!$Z$11)/DATOSAÑO!$Y$11</f>
        <v>0.19365557247523285</v>
      </c>
      <c r="AQ167" s="9">
        <f ca="1">DATOSAÑO!CC166</f>
        <v>3.0343999999997822</v>
      </c>
      <c r="AR167" s="1348">
        <f ca="1">(AQ167*DATOSAÑO!$Z$11)/DATOSAÑO!$Y$11</f>
        <v>5.4675828715397931E-2</v>
      </c>
      <c r="AS167" s="1384">
        <f t="shared" si="8"/>
        <v>23</v>
      </c>
    </row>
    <row r="168" spans="1:45" ht="16.5" customHeight="1">
      <c r="A168" s="1408">
        <v>45083</v>
      </c>
      <c r="B168" s="1869">
        <v>45083</v>
      </c>
      <c r="C168" s="9">
        <f ca="1">DATOSAÑO!I167</f>
        <v>311.35999999998603</v>
      </c>
      <c r="D168" s="10">
        <f ca="1">DATOSAÑO!$D167</f>
        <v>5.2445433166369195</v>
      </c>
      <c r="E168" s="11">
        <f ca="1">DATOSAÑO!$G167</f>
        <v>0</v>
      </c>
      <c r="F168" s="9">
        <f ca="1">DATOSAÑO!P167</f>
        <v>153.44700000000012</v>
      </c>
      <c r="G168" s="10">
        <f ca="1">DATOSAÑO!K167</f>
        <v>3.7906859060417606</v>
      </c>
      <c r="H168" s="11">
        <f ca="1">DATOSAÑO!N167</f>
        <v>0</v>
      </c>
      <c r="I168" s="9">
        <f ca="1">DATOSAÑO!Q167</f>
        <v>0</v>
      </c>
      <c r="J168" s="11">
        <f ca="1">DATOSAÑO!R167</f>
        <v>0</v>
      </c>
      <c r="K168" s="9">
        <f ca="1">DATOSAÑO!T167</f>
        <v>0</v>
      </c>
      <c r="L168" s="11">
        <f t="shared" ca="1" si="6"/>
        <v>0</v>
      </c>
      <c r="M168" s="9"/>
      <c r="N168" s="11">
        <f t="shared" si="7"/>
        <v>0</v>
      </c>
      <c r="O168" s="9">
        <f>DATOSAÑO!CK167</f>
        <v>0</v>
      </c>
      <c r="P168" s="9">
        <f>DATOSAÑO!CL167</f>
        <v>0</v>
      </c>
      <c r="Q168" s="9">
        <f ca="1">DATOSAÑO!AD167</f>
        <v>164.48999999999978</v>
      </c>
      <c r="R168" s="11">
        <f ca="1">(Q168*DATOSAÑO!$Z$11)/DATOSAÑO!$Y$11</f>
        <v>2.9638897526352626</v>
      </c>
      <c r="S168" s="9">
        <f ca="1">DATOSAÑO!AF167</f>
        <v>151</v>
      </c>
      <c r="T168" s="11">
        <f ca="1">(S168*DATOSAÑO!$Z$11)/DATOSAÑO!$Y$11</f>
        <v>2.7208179989538892</v>
      </c>
      <c r="U168" s="9">
        <f ca="1">DATOSAÑO!AH167</f>
        <v>18.599999999998545</v>
      </c>
      <c r="V168" s="11">
        <f ca="1">(U168*DATOSAÑO!$Z$11)/DATOSAÑO!$Y$11</f>
        <v>0.33514711775190981</v>
      </c>
      <c r="W168" s="9">
        <f ca="1">DATOSAÑO!AI167</f>
        <v>39.470000000001164</v>
      </c>
      <c r="X168" s="11">
        <f ca="1">(W168*DATOSAÑO!$Z$11)/DATOSAÑO!$Y$11</f>
        <v>0.71119659879942498</v>
      </c>
      <c r="Y168" s="9">
        <f ca="1">DATOSAÑO!AJ167</f>
        <v>5.2999999999883585</v>
      </c>
      <c r="Z168" s="11">
        <f ca="1">(Y168*DATOSAÑO!$Z$11)/DATOSAÑO!$Y$11</f>
        <v>9.549890989684727E-2</v>
      </c>
      <c r="AA168" s="9">
        <f ca="1">DATOSAÑO!AK167</f>
        <v>14.25</v>
      </c>
      <c r="AB168" s="11">
        <f ca="1">(AA168*DATOSAÑO!$Z$11)/DATOSAÑO!$Y$11</f>
        <v>0.25676593698737032</v>
      </c>
      <c r="AC168" s="9">
        <f ca="1">DATOSAÑO!AL167</f>
        <v>36.597000000010667</v>
      </c>
      <c r="AD168" s="11">
        <f ca="1">(AC168*DATOSAÑO!$Z$11)/DATOSAÑO!$Y$11</f>
        <v>0.65942898217049328</v>
      </c>
      <c r="AE168" s="9">
        <f ca="1">DATOSAÑO!AM167</f>
        <v>15.199999999988005</v>
      </c>
      <c r="AF168" s="11">
        <f ca="1">(AE168*DATOSAÑO!$Z$11)/DATOSAÑO!$Y$11</f>
        <v>0.27388366611964554</v>
      </c>
      <c r="AG168" s="9">
        <f ca="1">DATOSAÑO!AN167</f>
        <v>4.5120000000005014</v>
      </c>
      <c r="AH168" s="11">
        <f ca="1">(AG168*DATOSAÑO!$Z$11)/DATOSAÑO!$Y$11</f>
        <v>8.1300204048220609E-2</v>
      </c>
      <c r="AI168" s="9">
        <f ca="1">DATOSAÑO!BJ167</f>
        <v>2.16</v>
      </c>
      <c r="AJ168" s="11">
        <f ca="1">(AI168*DATOSAÑO!$Z$11)/DATOSAÑO!$Y$11</f>
        <v>3.8920310448611925E-2</v>
      </c>
      <c r="AK168" s="9">
        <f ca="1">DATOSAÑO!BM167</f>
        <v>5.3</v>
      </c>
      <c r="AL168" s="11">
        <f ca="1">(AK168*DATOSAÑO!$Z$11)/DATOSAÑO!$Y$11</f>
        <v>9.5498909897057033E-2</v>
      </c>
      <c r="AM168" s="9">
        <f ca="1">DATOSAÑO!BP167</f>
        <v>0</v>
      </c>
      <c r="AN168" s="11">
        <f ca="1">(AM168*DATOSAÑO!$Z$11)/DATOSAÑO!$Y$11</f>
        <v>0</v>
      </c>
      <c r="AO168" s="9">
        <f ca="1">DATOSAÑO!BW167</f>
        <v>14.05999999999313</v>
      </c>
      <c r="AP168" s="11">
        <f ca="1">(AO168*DATOSAÑO!$Z$11)/DATOSAÑO!$Y$11</f>
        <v>0.25334239116074825</v>
      </c>
      <c r="AQ168" s="9">
        <f ca="1">DATOSAÑO!CC167</f>
        <v>3.2728000000002009</v>
      </c>
      <c r="AR168" s="1348">
        <f ca="1">(AQ168*DATOSAÑO!$Z$11)/DATOSAÑO!$Y$11</f>
        <v>5.8971477794548581E-2</v>
      </c>
      <c r="AS168" s="1384">
        <f t="shared" si="8"/>
        <v>23</v>
      </c>
    </row>
    <row r="169" spans="1:45">
      <c r="A169" s="1408">
        <v>45084</v>
      </c>
      <c r="B169" s="1869">
        <v>45084</v>
      </c>
      <c r="C169" s="9">
        <f ca="1">DATOSAÑO!I168</f>
        <v>293.0899999999674</v>
      </c>
      <c r="D169" s="10">
        <f ca="1">DATOSAÑO!$D168</f>
        <v>5.0742411065079143</v>
      </c>
      <c r="E169" s="11">
        <f ca="1">DATOSAÑO!$G168</f>
        <v>0</v>
      </c>
      <c r="F169" s="9">
        <f ca="1">DATOSAÑO!P168</f>
        <v>147.15299999999843</v>
      </c>
      <c r="G169" s="10">
        <f ca="1">DATOSAÑO!K168</f>
        <v>3.7278262936472522</v>
      </c>
      <c r="H169" s="11">
        <f ca="1">DATOSAÑO!N168</f>
        <v>0</v>
      </c>
      <c r="I169" s="9">
        <f ca="1">DATOSAÑO!Q168</f>
        <v>0</v>
      </c>
      <c r="J169" s="11">
        <f ca="1">DATOSAÑO!R168</f>
        <v>0</v>
      </c>
      <c r="K169" s="9">
        <f ca="1">DATOSAÑO!T168</f>
        <v>0</v>
      </c>
      <c r="L169" s="11">
        <f t="shared" ca="1" si="6"/>
        <v>0</v>
      </c>
      <c r="M169" s="9"/>
      <c r="N169" s="11">
        <f t="shared" si="7"/>
        <v>0</v>
      </c>
      <c r="O169" s="9">
        <f>DATOSAÑO!CK168</f>
        <v>0</v>
      </c>
      <c r="P169" s="9">
        <f>DATOSAÑO!CL168</f>
        <v>0</v>
      </c>
      <c r="Q169" s="9">
        <f ca="1">DATOSAÑO!AD168</f>
        <v>158.17699999999968</v>
      </c>
      <c r="R169" s="11">
        <f ca="1">(Q169*DATOSAÑO!$Z$11)/DATOSAÑO!$Y$11</f>
        <v>2.8501379378842944</v>
      </c>
      <c r="S169" s="9">
        <f ca="1">DATOSAÑO!AF168</f>
        <v>152</v>
      </c>
      <c r="T169" s="11">
        <f ca="1">(S169*DATOSAÑO!$Z$11)/DATOSAÑO!$Y$11</f>
        <v>2.7388366611986168</v>
      </c>
      <c r="U169" s="9">
        <f ca="1">DATOSAÑO!AH168</f>
        <v>11.69999999999709</v>
      </c>
      <c r="V169" s="11">
        <f ca="1">(U169*DATOSAÑO!$Z$11)/DATOSAÑO!$Y$11</f>
        <v>0.21081834826326212</v>
      </c>
      <c r="W169" s="9">
        <f ca="1">DATOSAÑO!AI168</f>
        <v>37.339999999996508</v>
      </c>
      <c r="X169" s="11">
        <f ca="1">(W169*DATOSAÑO!$Z$11)/DATOSAÑO!$Y$11</f>
        <v>0.67281684821807097</v>
      </c>
      <c r="Y169" s="9">
        <f ca="1">DATOSAÑO!AJ168</f>
        <v>6.8800000000046566</v>
      </c>
      <c r="Z169" s="11">
        <f ca="1">(Y169*DATOSAÑO!$Z$11)/DATOSAÑO!$Y$11</f>
        <v>0.12396839624381077</v>
      </c>
      <c r="AA169" s="9">
        <f ca="1">DATOSAÑO!AK168</f>
        <v>13.020000000018626</v>
      </c>
      <c r="AB169" s="11">
        <f ca="1">(AA169*DATOSAÑO!$Z$11)/DATOSAÑO!$Y$11</f>
        <v>0.23460298242669084</v>
      </c>
      <c r="AC169" s="9">
        <f ca="1">DATOSAÑO!AL168</f>
        <v>34.425999999923022</v>
      </c>
      <c r="AD169" s="11">
        <f ca="1">(AC169*DATOSAÑO!$Z$11)/DATOSAÑO!$Y$11</f>
        <v>0.62031046643561016</v>
      </c>
      <c r="AE169" s="9">
        <f ca="1">DATOSAÑO!AM168</f>
        <v>6.9160000000246784</v>
      </c>
      <c r="AF169" s="11">
        <f ca="1">(AE169*DATOSAÑO!$Z$11)/DATOSAÑO!$Y$11</f>
        <v>0.12461706808498173</v>
      </c>
      <c r="AG169" s="9">
        <f ca="1">DATOSAÑO!AN168</f>
        <v>4.6930000000002865</v>
      </c>
      <c r="AH169" s="11">
        <f ca="1">(AG169*DATOSAÑO!$Z$11)/DATOSAÑO!$Y$11</f>
        <v>8.4561581914512463E-2</v>
      </c>
      <c r="AI169" s="9">
        <f ca="1">DATOSAÑO!BJ168</f>
        <v>2.0640000000000001</v>
      </c>
      <c r="AJ169" s="11">
        <f ca="1">(AI169*DATOSAÑO!$Z$11)/DATOSAÑO!$Y$11</f>
        <v>3.7190518873118063E-2</v>
      </c>
      <c r="AK169" s="9">
        <f ca="1">DATOSAÑO!BM168</f>
        <v>5.27</v>
      </c>
      <c r="AL169" s="11">
        <f ca="1">(AK169*DATOSAÑO!$Z$11)/DATOSAÑO!$Y$11</f>
        <v>9.4958350029715199E-2</v>
      </c>
      <c r="AM169" s="9">
        <f ca="1">DATOSAÑO!BP168</f>
        <v>0</v>
      </c>
      <c r="AN169" s="11">
        <f ca="1">(AM169*DATOSAÑO!$Z$11)/DATOSAÑO!$Y$11</f>
        <v>0</v>
      </c>
      <c r="AO169" s="9">
        <f ca="1">DATOSAÑO!BW168</f>
        <v>9.8480000000135757</v>
      </c>
      <c r="AP169" s="11">
        <f ca="1">(AO169*DATOSAÑO!$Z$11)/DATOSAÑO!$Y$11</f>
        <v>0.17744778578632342</v>
      </c>
      <c r="AQ169" s="9">
        <f ca="1">DATOSAÑO!CC168</f>
        <v>3.2442000000001148</v>
      </c>
      <c r="AR169" s="1348">
        <f ca="1">(AQ169*DATOSAÑO!$Z$11)/DATOSAÑO!$Y$11</f>
        <v>5.8456144054347813E-2</v>
      </c>
      <c r="AS169" s="1384">
        <f t="shared" si="8"/>
        <v>23</v>
      </c>
    </row>
    <row r="170" spans="1:45" ht="16.5" customHeight="1">
      <c r="A170" s="1408">
        <v>45085</v>
      </c>
      <c r="B170" s="1869">
        <v>45085</v>
      </c>
      <c r="C170" s="9">
        <f ca="1">DATOSAÑO!I169</f>
        <v>282.60000000009313</v>
      </c>
      <c r="D170" s="10">
        <f ca="1">DATOSAÑO!$D169</f>
        <v>4.976459487228766</v>
      </c>
      <c r="E170" s="11">
        <f ca="1">DATOSAÑO!$G169</f>
        <v>0</v>
      </c>
      <c r="F170" s="9">
        <f ca="1">DATOSAÑO!P169</f>
        <v>146.57400000000052</v>
      </c>
      <c r="G170" s="10">
        <f ca="1">DATOSAÑO!K169</f>
        <v>3.722043688693919</v>
      </c>
      <c r="H170" s="11">
        <f ca="1">DATOSAÑO!N169</f>
        <v>0</v>
      </c>
      <c r="I170" s="9">
        <f ca="1">DATOSAÑO!Q169</f>
        <v>0</v>
      </c>
      <c r="J170" s="11">
        <f ca="1">DATOSAÑO!R169</f>
        <v>0</v>
      </c>
      <c r="K170" s="9">
        <f ca="1">DATOSAÑO!T169</f>
        <v>0</v>
      </c>
      <c r="L170" s="11">
        <f t="shared" ca="1" si="6"/>
        <v>0</v>
      </c>
      <c r="M170" s="9"/>
      <c r="N170" s="11">
        <f t="shared" si="7"/>
        <v>0</v>
      </c>
      <c r="O170" s="9">
        <f>DATOSAÑO!CK169</f>
        <v>0</v>
      </c>
      <c r="P170" s="9">
        <f>DATOSAÑO!CL169</f>
        <v>0</v>
      </c>
      <c r="Q170" s="9">
        <f ca="1">DATOSAÑO!AD169</f>
        <v>156.57300000000032</v>
      </c>
      <c r="R170" s="11">
        <f ca="1">(Q170*DATOSAÑO!$Z$11)/DATOSAÑO!$Y$11</f>
        <v>2.8212360036437625</v>
      </c>
      <c r="S170" s="9">
        <f ca="1">DATOSAÑO!AF169</f>
        <v>150.90000000002328</v>
      </c>
      <c r="T170" s="11">
        <f ca="1">(S170*DATOSAÑO!$Z$11)/DATOSAÑO!$Y$11</f>
        <v>2.7190161327298359</v>
      </c>
      <c r="U170" s="9">
        <f ca="1">DATOSAÑO!AH169</f>
        <v>6.8000000000029104</v>
      </c>
      <c r="V170" s="11">
        <f ca="1">(U170*DATOSAÑO!$Z$11)/DATOSAÑO!$Y$11</f>
        <v>0.12252690326420108</v>
      </c>
      <c r="W170" s="9">
        <f ca="1">DATOSAÑO!AI169</f>
        <v>39.169999999998254</v>
      </c>
      <c r="X170" s="11">
        <f ca="1">(W170*DATOSAÑO!$Z$11)/DATOSAÑO!$Y$11</f>
        <v>0.70579100012595419</v>
      </c>
      <c r="Y170" s="9">
        <f ca="1">DATOSAÑO!AJ169</f>
        <v>3.3200000000069849</v>
      </c>
      <c r="Z170" s="11">
        <f ca="1">(Y170*DATOSAÑO!$Z$11)/DATOSAÑO!$Y$11</f>
        <v>5.9821958652621958E-2</v>
      </c>
      <c r="AA170" s="9">
        <f ca="1">DATOSAÑO!AK169</f>
        <v>12.070000000006985</v>
      </c>
      <c r="AB170" s="11">
        <f ca="1">(AA170*DATOSAÑO!$Z$11)/DATOSAÑO!$Y$11</f>
        <v>0.21748525329398971</v>
      </c>
      <c r="AC170" s="9">
        <f ca="1">DATOSAÑO!AL169</f>
        <v>33.241000000067288</v>
      </c>
      <c r="AD170" s="11">
        <f ca="1">(AC170*DATOSAÑO!$Z$11)/DATOSAÑO!$Y$11</f>
        <v>0.59895835167820732</v>
      </c>
      <c r="AE170" s="9">
        <f ca="1">DATOSAÑO!AM169</f>
        <v>8.6399999999888912</v>
      </c>
      <c r="AF170" s="11">
        <f ca="1">(AE170*DATOSAÑO!$Z$11)/DATOSAÑO!$Y$11</f>
        <v>0.15568124179424753</v>
      </c>
      <c r="AG170" s="9">
        <f ca="1">DATOSAÑO!AN169</f>
        <v>3.6139999999996952</v>
      </c>
      <c r="AH170" s="11">
        <f ca="1">(AG170*DATOSAÑO!$Z$11)/DATOSAÑO!$Y$11</f>
        <v>6.5119445352440575E-2</v>
      </c>
      <c r="AI170" s="9">
        <f ca="1">DATOSAÑO!BJ169</f>
        <v>2.04</v>
      </c>
      <c r="AJ170" s="11">
        <f ca="1">(AI170*DATOSAÑO!$Z$11)/DATOSAÑO!$Y$11</f>
        <v>3.6758070979244592E-2</v>
      </c>
      <c r="AK170" s="9">
        <f ca="1">DATOSAÑO!BM169</f>
        <v>4.92</v>
      </c>
      <c r="AL170" s="11">
        <f ca="1">(AK170*DATOSAÑO!$Z$11)/DATOSAÑO!$Y$11</f>
        <v>8.8651818244060487E-2</v>
      </c>
      <c r="AM170" s="9">
        <f ca="1">DATOSAÑO!BP169</f>
        <v>0</v>
      </c>
      <c r="AN170" s="11">
        <f ca="1">(AM170*DATOSAÑO!$Z$11)/DATOSAÑO!$Y$11</f>
        <v>0</v>
      </c>
      <c r="AO170" s="9">
        <f ca="1">DATOSAÑO!BW169</f>
        <v>10.6099999999935</v>
      </c>
      <c r="AP170" s="11">
        <f ca="1">(AO170*DATOSAÑO!$Z$11)/DATOSAÑO!$Y$11</f>
        <v>0.19117800641644422</v>
      </c>
      <c r="AQ170" s="9">
        <f ca="1">DATOSAÑO!CC169</f>
        <v>3.0415999999998782</v>
      </c>
      <c r="AR170" s="1348">
        <f ca="1">(AQ170*DATOSAÑO!$Z$11)/DATOSAÑO!$Y$11</f>
        <v>5.4805563083561708E-2</v>
      </c>
      <c r="AS170" s="1384">
        <f t="shared" si="8"/>
        <v>23</v>
      </c>
    </row>
    <row r="171" spans="1:45">
      <c r="A171" s="1408">
        <v>45086</v>
      </c>
      <c r="B171" s="1869">
        <v>45086</v>
      </c>
      <c r="C171" s="9">
        <f ca="1">DATOSAÑO!I170</f>
        <v>285.46899999992456</v>
      </c>
      <c r="D171" s="10">
        <f ca="1">DATOSAÑO!$D170</f>
        <v>5.003202620279172</v>
      </c>
      <c r="E171" s="11">
        <f ca="1">DATOSAÑO!$G170</f>
        <v>0</v>
      </c>
      <c r="F171" s="9">
        <f ca="1">DATOSAÑO!P170</f>
        <v>153.79299999999785</v>
      </c>
      <c r="G171" s="10">
        <f ca="1">DATOSAÑO!K170</f>
        <v>3.7941414868946919</v>
      </c>
      <c r="H171" s="11">
        <f ca="1">DATOSAÑO!N170</f>
        <v>0</v>
      </c>
      <c r="I171" s="9">
        <f ca="1">DATOSAÑO!Q170</f>
        <v>0</v>
      </c>
      <c r="J171" s="11">
        <f ca="1">DATOSAÑO!R170</f>
        <v>0</v>
      </c>
      <c r="K171" s="9">
        <f ca="1">DATOSAÑO!T170</f>
        <v>0</v>
      </c>
      <c r="L171" s="11">
        <f t="shared" ca="1" si="6"/>
        <v>0</v>
      </c>
      <c r="M171" s="9"/>
      <c r="N171" s="11">
        <f t="shared" si="7"/>
        <v>0</v>
      </c>
      <c r="O171" s="9">
        <f>DATOSAÑO!CK170</f>
        <v>0</v>
      </c>
      <c r="P171" s="9">
        <f>DATOSAÑO!CL170</f>
        <v>0</v>
      </c>
      <c r="Q171" s="9">
        <f ca="1">DATOSAÑO!AD170</f>
        <v>168.76000000000022</v>
      </c>
      <c r="R171" s="11">
        <f ca="1">(Q171*DATOSAÑO!$Z$11)/DATOSAÑO!$Y$11</f>
        <v>3.0408294404202576</v>
      </c>
      <c r="S171" s="9">
        <f ca="1">DATOSAÑO!AF170</f>
        <v>143</v>
      </c>
      <c r="T171" s="11">
        <f ca="1">(S171*DATOSAÑO!$Z$11)/DATOSAÑO!$Y$11</f>
        <v>2.5766687009960672</v>
      </c>
      <c r="U171" s="9">
        <f ca="1">DATOSAÑO!AH170</f>
        <v>4.7099999999991269</v>
      </c>
      <c r="V171" s="11">
        <f ca="1">(U171*DATOSAÑO!$Z$11)/DATOSAÑO!$Y$11</f>
        <v>8.4867899172651945E-2</v>
      </c>
      <c r="W171" s="9">
        <f ca="1">DATOSAÑO!AI170</f>
        <v>40.160000000003492</v>
      </c>
      <c r="X171" s="11">
        <f ca="1">(W171*DATOSAÑO!$Z$11)/DATOSAÑO!$Y$11</f>
        <v>0.72362947574832903</v>
      </c>
      <c r="Y171" s="9">
        <f ca="1">DATOSAÑO!AJ170</f>
        <v>7.5799999999871943</v>
      </c>
      <c r="Z171" s="11">
        <f ca="1">(Y171*DATOSAÑO!$Z$11)/DATOSAÑO!$Y$11</f>
        <v>0.13658145981480554</v>
      </c>
      <c r="AA171" s="9">
        <f ca="1">DATOSAÑO!AK170</f>
        <v>12.119999999995343</v>
      </c>
      <c r="AB171" s="11">
        <f ca="1">(AA171*DATOSAÑO!$Z$11)/DATOSAÑO!$Y$11</f>
        <v>0.21838618640601634</v>
      </c>
      <c r="AC171" s="9">
        <f ca="1">DATOSAÑO!AL170</f>
        <v>35.931999999962557</v>
      </c>
      <c r="AD171" s="11">
        <f ca="1">(AC171*DATOSAÑO!$Z$11)/DATOSAÑO!$Y$11</f>
        <v>0.64744657177688247</v>
      </c>
      <c r="AE171" s="9">
        <f ca="1">DATOSAÑO!AM170</f>
        <v>10.019199999974965</v>
      </c>
      <c r="AF171" s="11">
        <f ca="1">(AE171*DATOSAÑO!$Z$11)/DATOSAÑO!$Y$11</f>
        <v>0.1805325807619251</v>
      </c>
      <c r="AG171" s="9">
        <f ca="1">DATOSAÑO!AN170</f>
        <v>3.0619999999998191</v>
      </c>
      <c r="AH171" s="11">
        <f ca="1">(AG171*DATOSAÑO!$Z$11)/DATOSAÑO!$Y$11</f>
        <v>5.5173143793353085E-2</v>
      </c>
      <c r="AI171" s="9">
        <f ca="1">DATOSAÑO!BJ170</f>
        <v>0.51679999999981374</v>
      </c>
      <c r="AJ171" s="11">
        <f ca="1">(AI171*DATOSAÑO!$Z$11)/DATOSAÑO!$Y$11</f>
        <v>9.3120446480719418E-3</v>
      </c>
      <c r="AK171" s="9">
        <f ca="1">DATOSAÑO!BM170</f>
        <v>4.42</v>
      </c>
      <c r="AL171" s="11">
        <f ca="1">(AK171*DATOSAÑO!$Z$11)/DATOSAÑO!$Y$11</f>
        <v>7.9642487121696623E-2</v>
      </c>
      <c r="AM171" s="9">
        <f ca="1">DATOSAÑO!BP170</f>
        <v>1.234</v>
      </c>
      <c r="AN171" s="11">
        <f ca="1">(AM171*DATOSAÑO!$Z$11)/DATOSAÑO!$Y$11</f>
        <v>2.2235029209994036E-2</v>
      </c>
      <c r="AO171" s="9">
        <f ca="1">DATOSAÑO!BW170</f>
        <v>11.33959999998741</v>
      </c>
      <c r="AP171" s="11">
        <f ca="1">(AO171*DATOSAÑO!$Z$11)/DATOSAÑO!$Y$11</f>
        <v>0.20432442239008786</v>
      </c>
      <c r="AQ171" s="9">
        <f ca="1">DATOSAÑO!CC170</f>
        <v>2.6427999999999274</v>
      </c>
      <c r="AR171" s="1348">
        <f ca="1">(AQ171*DATOSAÑO!$Z$11)/DATOSAÑO!$Y$11</f>
        <v>4.761972058036517E-2</v>
      </c>
      <c r="AS171" s="1384">
        <f t="shared" si="8"/>
        <v>23</v>
      </c>
    </row>
    <row r="172" spans="1:45" ht="16.5" customHeight="1">
      <c r="A172" s="1408">
        <v>45087</v>
      </c>
      <c r="B172" s="1869">
        <v>45087</v>
      </c>
      <c r="C172" s="9">
        <f ca="1">DATOSAÑO!I171</f>
        <v>279.38100000005215</v>
      </c>
      <c r="D172" s="10">
        <f ca="1">DATOSAÑO!$D171</f>
        <v>4.9464538597294956</v>
      </c>
      <c r="E172" s="11">
        <f ca="1">DATOSAÑO!$G171</f>
        <v>0</v>
      </c>
      <c r="F172" s="9">
        <f ca="1">DATOSAÑO!P171</f>
        <v>149.6730000000025</v>
      </c>
      <c r="G172" s="10">
        <f ca="1">DATOSAÑO!K171</f>
        <v>3.7529941079520466</v>
      </c>
      <c r="H172" s="11">
        <f ca="1">DATOSAÑO!N171</f>
        <v>0</v>
      </c>
      <c r="I172" s="9">
        <f ca="1">DATOSAÑO!Q171</f>
        <v>0</v>
      </c>
      <c r="J172" s="11">
        <f ca="1">DATOSAÑO!R171</f>
        <v>0</v>
      </c>
      <c r="K172" s="9">
        <f ca="1">DATOSAÑO!T171</f>
        <v>0</v>
      </c>
      <c r="L172" s="11">
        <f t="shared" ca="1" si="6"/>
        <v>0</v>
      </c>
      <c r="M172" s="9"/>
      <c r="N172" s="11">
        <f t="shared" si="7"/>
        <v>0</v>
      </c>
      <c r="O172" s="9">
        <f>DATOSAÑO!CK171</f>
        <v>0</v>
      </c>
      <c r="P172" s="9">
        <f>DATOSAÑO!CL171</f>
        <v>0</v>
      </c>
      <c r="Q172" s="9">
        <f ca="1">DATOSAÑO!AD171</f>
        <v>165.79999999999927</v>
      </c>
      <c r="R172" s="11">
        <f ca="1">(Q172*DATOSAÑO!$Z$11)/DATOSAÑO!$Y$11</f>
        <v>2.9874942001758464</v>
      </c>
      <c r="S172" s="9">
        <f ca="1">DATOSAÑO!AF171</f>
        <v>137.25999999995111</v>
      </c>
      <c r="T172" s="11">
        <f ca="1">(S172*DATOSAÑO!$Z$11)/DATOSAÑO!$Y$11</f>
        <v>2.4732415797104488</v>
      </c>
      <c r="U172" s="9">
        <f ca="1">DATOSAÑO!AH171</f>
        <v>10.389999999999418</v>
      </c>
      <c r="V172" s="11">
        <f ca="1">(U172*DATOSAÑO!$Z$11)/DATOSAÑO!$Y$11</f>
        <v>0.18721390072271074</v>
      </c>
      <c r="W172" s="9">
        <f ca="1">DATOSAÑO!AI171</f>
        <v>36.080000000001746</v>
      </c>
      <c r="X172" s="11">
        <f ca="1">(W172*DATOSAÑO!$Z$11)/DATOSAÑO!$Y$11</f>
        <v>0.6501133337898084</v>
      </c>
      <c r="Y172" s="9">
        <f ca="1">DATOSAÑO!AJ171</f>
        <v>8.9200000000128057</v>
      </c>
      <c r="Z172" s="11">
        <f ca="1">(Y172*DATOSAÑO!$Z$11)/DATOSAÑO!$Y$11</f>
        <v>0.16072646722320219</v>
      </c>
      <c r="AA172" s="9">
        <f ca="1">DATOSAÑO!AK171</f>
        <v>12.380000000004657</v>
      </c>
      <c r="AB172" s="11">
        <f ca="1">(AA172*DATOSAÑO!$Z$11)/DATOSAÑO!$Y$11</f>
        <v>0.22307103858981336</v>
      </c>
      <c r="AC172" s="9">
        <f ca="1">DATOSAÑO!AL171</f>
        <v>31.6840000000484</v>
      </c>
      <c r="AD172" s="11">
        <f ca="1">(AC172*DATOSAÑO!$Z$11)/DATOSAÑO!$Y$11</f>
        <v>0.57090329456282585</v>
      </c>
      <c r="AE172" s="9">
        <f ca="1">DATOSAÑO!AM171</f>
        <v>9.8360000000370729</v>
      </c>
      <c r="AF172" s="11">
        <f ca="1">(AE172*DATOSAÑO!$Z$11)/DATOSAÑO!$Y$11</f>
        <v>0.17723156183981009</v>
      </c>
      <c r="AG172" s="9">
        <f ca="1">DATOSAÑO!AN171</f>
        <v>2.2960000000000367</v>
      </c>
      <c r="AH172" s="11">
        <f ca="1">(AG172*DATOSAÑO!$Z$11)/DATOSAÑO!$Y$11</f>
        <v>4.1370848513895553E-2</v>
      </c>
      <c r="AI172" s="9">
        <f ca="1">DATOSAÑO!BJ171</f>
        <v>0</v>
      </c>
      <c r="AJ172" s="11">
        <f ca="1">(AI172*DATOSAÑO!$Z$11)/DATOSAÑO!$Y$11</f>
        <v>0</v>
      </c>
      <c r="AK172" s="9">
        <f ca="1">DATOSAÑO!BM171</f>
        <v>2.56</v>
      </c>
      <c r="AL172" s="11">
        <f ca="1">(AK172*DATOSAÑO!$Z$11)/DATOSAÑO!$Y$11</f>
        <v>4.6127775346503017E-2</v>
      </c>
      <c r="AM172" s="9">
        <f ca="1">DATOSAÑO!BP171</f>
        <v>4.0940000000000003</v>
      </c>
      <c r="AN172" s="11">
        <f ca="1">(AM172*DATOSAÑO!$Z$11)/DATOSAÑO!$Y$11</f>
        <v>7.3768403229915389E-2</v>
      </c>
      <c r="AO172" s="9">
        <f ca="1">DATOSAÑO!BW171</f>
        <v>11.258000000018683</v>
      </c>
      <c r="AP172" s="11">
        <f ca="1">(AO172*DATOSAÑO!$Z$11)/DATOSAÑO!$Y$11</f>
        <v>0.20285409955148156</v>
      </c>
      <c r="AQ172" s="9">
        <f ca="1">DATOSAÑO!CC171</f>
        <v>2.3324000000000149</v>
      </c>
      <c r="AR172" s="1348">
        <f ca="1">(AQ172*DATOSAÑO!$Z$11)/DATOSAÑO!$Y$11</f>
        <v>4.2026727819603253E-2</v>
      </c>
      <c r="AS172" s="1384">
        <f t="shared" si="8"/>
        <v>23</v>
      </c>
    </row>
    <row r="173" spans="1:45">
      <c r="A173" s="1408">
        <v>45088</v>
      </c>
      <c r="B173" s="1869">
        <v>45088</v>
      </c>
      <c r="C173" s="9">
        <f ca="1">DATOSAÑO!I172</f>
        <v>269.5</v>
      </c>
      <c r="D173" s="10">
        <f ca="1">DATOSAÑO!$D172</f>
        <v>4.8543489807863169</v>
      </c>
      <c r="E173" s="11">
        <f ca="1">DATOSAÑO!$G172</f>
        <v>0</v>
      </c>
      <c r="F173" s="9">
        <f ca="1">DATOSAÑO!P172</f>
        <v>151.20999999999913</v>
      </c>
      <c r="G173" s="10">
        <f ca="1">DATOSAÑO!K172</f>
        <v>3.7683444772323327</v>
      </c>
      <c r="H173" s="11">
        <f ca="1">DATOSAÑO!N172</f>
        <v>0</v>
      </c>
      <c r="I173" s="9">
        <f ca="1">DATOSAÑO!Q172</f>
        <v>0</v>
      </c>
      <c r="J173" s="11">
        <f ca="1">DATOSAÑO!R172</f>
        <v>0</v>
      </c>
      <c r="K173" s="9">
        <f ca="1">DATOSAÑO!T172</f>
        <v>0</v>
      </c>
      <c r="L173" s="11">
        <f t="shared" ca="1" si="6"/>
        <v>0</v>
      </c>
      <c r="M173" s="9"/>
      <c r="N173" s="11">
        <f t="shared" si="7"/>
        <v>0</v>
      </c>
      <c r="O173" s="9">
        <f>DATOSAÑO!CK172</f>
        <v>0</v>
      </c>
      <c r="P173" s="9">
        <f>DATOSAÑO!CL172</f>
        <v>0</v>
      </c>
      <c r="Q173" s="9">
        <f ca="1">DATOSAÑO!AD172</f>
        <v>162.30000000000109</v>
      </c>
      <c r="R173" s="11">
        <f ca="1">(Q173*DATOSAÑO!$Z$11)/DATOSAÑO!$Y$11</f>
        <v>2.9244288823193321</v>
      </c>
      <c r="S173" s="9">
        <f ca="1">DATOSAÑO!AF172</f>
        <v>135.04000000003725</v>
      </c>
      <c r="T173" s="11">
        <f ca="1">(S173*DATOSAÑO!$Z$11)/DATOSAÑO!$Y$11</f>
        <v>2.4332401495287059</v>
      </c>
      <c r="U173" s="9">
        <f ca="1">DATOSAÑO!AH172</f>
        <v>8.5</v>
      </c>
      <c r="V173" s="11">
        <f ca="1">(U173*DATOSAÑO!$Z$11)/DATOSAÑO!$Y$11</f>
        <v>0.15315862908018582</v>
      </c>
      <c r="W173" s="9">
        <f ca="1">DATOSAÑO!AI172</f>
        <v>36.619999999995343</v>
      </c>
      <c r="X173" s="11">
        <f ca="1">(W173*DATOSAÑO!$Z$11)/DATOSAÑO!$Y$11</f>
        <v>0.65984341140184599</v>
      </c>
      <c r="Y173" s="9">
        <f ca="1">DATOSAÑO!AJ172</f>
        <v>6.5099999999947613</v>
      </c>
      <c r="Z173" s="11">
        <f ca="1">(Y173*DATOSAÑO!$Z$11)/DATOSAÑO!$Y$11</f>
        <v>0.1173014912130832</v>
      </c>
      <c r="AA173" s="9">
        <f ca="1">DATOSAÑO!AK172</f>
        <v>12.569999999977881</v>
      </c>
      <c r="AB173" s="11">
        <f ca="1">(AA173*DATOSAÑO!$Z$11)/DATOSAÑO!$Y$11</f>
        <v>0.22649458441582918</v>
      </c>
      <c r="AC173" s="9">
        <f ca="1">DATOSAÑO!AL172</f>
        <v>31.210000000015441</v>
      </c>
      <c r="AD173" s="11">
        <f ca="1">(AC173*DATOSAÑO!$Z$11)/DATOSAÑO!$Y$11</f>
        <v>0.56236244865823104</v>
      </c>
      <c r="AE173" s="9">
        <f ca="1">DATOSAÑO!AM172</f>
        <v>10.786999999977242</v>
      </c>
      <c r="AF173" s="11">
        <f ca="1">(AE173*DATOSAÑO!$Z$11)/DATOSAÑO!$Y$11</f>
        <v>0.19436730963346807</v>
      </c>
      <c r="AG173" s="9">
        <f ca="1">DATOSAÑO!AN172</f>
        <v>2.2460000000003455</v>
      </c>
      <c r="AH173" s="11">
        <f ca="1">(AG173*DATOSAÑO!$Z$11)/DATOSAÑO!$Y$11</f>
        <v>4.0469915401664731E-2</v>
      </c>
      <c r="AI173" s="9">
        <f ca="1">DATOSAÑO!BJ172</f>
        <v>0</v>
      </c>
      <c r="AJ173" s="11">
        <f ca="1">(AI173*DATOSAÑO!$Z$11)/DATOSAÑO!$Y$11</f>
        <v>0</v>
      </c>
      <c r="AK173" s="9">
        <f ca="1">DATOSAÑO!BM172</f>
        <v>2.5920000000000001</v>
      </c>
      <c r="AL173" s="11">
        <f ca="1">(AK173*DATOSAÑO!$Z$11)/DATOSAÑO!$Y$11</f>
        <v>4.6704372538334309E-2</v>
      </c>
      <c r="AM173" s="9">
        <f ca="1">DATOSAÑO!BP172</f>
        <v>4.641</v>
      </c>
      <c r="AN173" s="11">
        <f ca="1">(AM173*DATOSAÑO!$Z$11)/DATOSAÑO!$Y$11</f>
        <v>8.3624611477781455E-2</v>
      </c>
      <c r="AO173" s="9">
        <f ca="1">DATOSAÑO!BW172</f>
        <v>11.713499999988329</v>
      </c>
      <c r="AP173" s="11">
        <f ca="1">(AO173*DATOSAÑO!$Z$11)/DATOSAÑO!$Y$11</f>
        <v>0.21106160020340811</v>
      </c>
      <c r="AQ173" s="9">
        <f ca="1">DATOSAÑO!CC172</f>
        <v>2.2724000000001383</v>
      </c>
      <c r="AR173" s="1348">
        <f ca="1">(AQ173*DATOSAÑO!$Z$11)/DATOSAÑO!$Y$11</f>
        <v>4.0945608084921814E-2</v>
      </c>
      <c r="AS173" s="1384">
        <f t="shared" si="8"/>
        <v>24</v>
      </c>
    </row>
    <row r="174" spans="1:45" ht="16.5" customHeight="1">
      <c r="A174" s="1408">
        <v>45089</v>
      </c>
      <c r="B174" s="1869">
        <v>45089</v>
      </c>
      <c r="C174" s="9">
        <f ca="1">DATOSAÑO!I173</f>
        <v>269.69999999995343</v>
      </c>
      <c r="D174" s="10">
        <f ca="1">DATOSAÑO!$D173</f>
        <v>4.8562132633269757</v>
      </c>
      <c r="E174" s="11">
        <f ca="1">DATOSAÑO!$G173</f>
        <v>0</v>
      </c>
      <c r="F174" s="9">
        <f ca="1">DATOSAÑO!P173</f>
        <v>152.48200000000361</v>
      </c>
      <c r="G174" s="10">
        <f ca="1">DATOSAÑO!K173</f>
        <v>3.7810482311195384</v>
      </c>
      <c r="H174" s="11">
        <f ca="1">DATOSAÑO!N173</f>
        <v>0</v>
      </c>
      <c r="I174" s="9">
        <f ca="1">DATOSAÑO!Q173</f>
        <v>0.33099999999990359</v>
      </c>
      <c r="J174" s="11">
        <f ca="1">DATOSAÑO!R173</f>
        <v>39.719999999988431</v>
      </c>
      <c r="K174" s="9">
        <f ca="1">DATOSAÑO!T173</f>
        <v>0.33199999999999363</v>
      </c>
      <c r="L174" s="11">
        <f t="shared" ca="1" si="6"/>
        <v>39.839999999999236</v>
      </c>
      <c r="M174" s="9"/>
      <c r="N174" s="11">
        <f t="shared" si="7"/>
        <v>0</v>
      </c>
      <c r="O174" s="9">
        <f>DATOSAÑO!CK173</f>
        <v>0.3</v>
      </c>
      <c r="P174" s="9">
        <f>DATOSAÑO!CL173</f>
        <v>0.3</v>
      </c>
      <c r="Q174" s="9">
        <f ca="1">DATOSAÑO!AD173</f>
        <v>164.19999999999891</v>
      </c>
      <c r="R174" s="11">
        <f ca="1">(Q174*DATOSAÑO!$Z$11)/DATOSAÑO!$Y$11</f>
        <v>2.9586643405842756</v>
      </c>
      <c r="S174" s="9">
        <f ca="1">DATOSAÑO!AF173</f>
        <v>134.59999999997672</v>
      </c>
      <c r="T174" s="11">
        <f ca="1">(S174*DATOSAÑO!$Z$11)/DATOSAÑO!$Y$11</f>
        <v>2.4253119381399344</v>
      </c>
      <c r="U174" s="9">
        <f ca="1">DATOSAÑO!AH173</f>
        <v>9.5</v>
      </c>
      <c r="V174" s="11">
        <f ca="1">(U174*DATOSAÑO!$Z$11)/DATOSAÑO!$Y$11</f>
        <v>0.17117729132491355</v>
      </c>
      <c r="W174" s="9">
        <f ca="1">DATOSAÑO!AI173</f>
        <v>34.460000000006403</v>
      </c>
      <c r="X174" s="11">
        <f ca="1">(W174*DATOSAÑO!$Z$11)/DATOSAÑO!$Y$11</f>
        <v>0.62092310095343339</v>
      </c>
      <c r="Y174" s="9">
        <f ca="1">DATOSAÑO!AJ173</f>
        <v>6.0099999999947613</v>
      </c>
      <c r="Z174" s="11">
        <f ca="1">(Y174*DATOSAÑO!$Z$11)/DATOSAÑO!$Y$11</f>
        <v>0.10829216009071935</v>
      </c>
      <c r="AA174" s="9">
        <f ca="1">DATOSAÑO!AK173</f>
        <v>12.360000000015134</v>
      </c>
      <c r="AB174" s="11">
        <f ca="1">(AA174*DATOSAÑO!$Z$11)/DATOSAÑO!$Y$11</f>
        <v>0.22271066534510758</v>
      </c>
      <c r="AC174" s="9">
        <f ca="1">DATOSAÑO!AL173</f>
        <v>36.514999999953375</v>
      </c>
      <c r="AD174" s="11">
        <f ca="1">(AC174*DATOSAÑO!$Z$11)/DATOSAÑO!$Y$11</f>
        <v>0.65795145186539339</v>
      </c>
      <c r="AE174" s="9">
        <f ca="1">DATOSAÑO!AM173</f>
        <v>8.9390000000121095</v>
      </c>
      <c r="AF174" s="11">
        <f ca="1">(AE174*DATOSAÑO!$Z$11)/DATOSAÑO!$Y$11</f>
        <v>0.16106882180583948</v>
      </c>
      <c r="AG174" s="9">
        <f ca="1">DATOSAÑO!AN173</f>
        <v>1.9739999999999636</v>
      </c>
      <c r="AH174" s="11">
        <f ca="1">(AG174*DATOSAÑO!$Z$11)/DATOSAÑO!$Y$11</f>
        <v>3.5568839271091911E-2</v>
      </c>
      <c r="AI174" s="9">
        <f ca="1">DATOSAÑO!BJ173</f>
        <v>0</v>
      </c>
      <c r="AJ174" s="11">
        <f ca="1">(AI174*DATOSAÑO!$Z$11)/DATOSAÑO!$Y$11</f>
        <v>0</v>
      </c>
      <c r="AK174" s="9">
        <f ca="1">DATOSAÑO!BM173</f>
        <v>2.5099999999999998</v>
      </c>
      <c r="AL174" s="11">
        <f ca="1">(AK174*DATOSAÑO!$Z$11)/DATOSAÑO!$Y$11</f>
        <v>4.522684223426663E-2</v>
      </c>
      <c r="AM174" s="9">
        <f ca="1">DATOSAÑO!BP173</f>
        <v>4.2309999999999999</v>
      </c>
      <c r="AN174" s="11">
        <f ca="1">(AM174*DATOSAÑO!$Z$11)/DATOSAÑO!$Y$11</f>
        <v>7.6236959957443076E-2</v>
      </c>
      <c r="AO174" s="9">
        <f ca="1">DATOSAÑO!BW173</f>
        <v>10.699500000005617</v>
      </c>
      <c r="AP174" s="11">
        <f ca="1">(AO174*DATOSAÑO!$Z$11)/DATOSAÑO!$Y$11</f>
        <v>0.19279067668756569</v>
      </c>
      <c r="AQ174" s="9">
        <f ca="1">DATOSAÑO!CC173</f>
        <v>2.1055999999999857</v>
      </c>
      <c r="AR174" s="1348">
        <f ca="1">(AQ174*DATOSAÑO!$Z$11)/DATOSAÑO!$Y$11</f>
        <v>3.7940095222498471E-2</v>
      </c>
      <c r="AS174" s="1384">
        <f t="shared" si="8"/>
        <v>24</v>
      </c>
    </row>
    <row r="175" spans="1:45">
      <c r="A175" s="1408">
        <v>45090</v>
      </c>
      <c r="B175" s="1869">
        <v>45090</v>
      </c>
      <c r="C175" s="9">
        <f ca="1">DATOSAÑO!I174</f>
        <v>284.3399999999674</v>
      </c>
      <c r="D175" s="10">
        <f ca="1">DATOSAÑO!$D174</f>
        <v>4.9926787453351018</v>
      </c>
      <c r="E175" s="11">
        <f ca="1">DATOSAÑO!$G174</f>
        <v>0</v>
      </c>
      <c r="F175" s="9">
        <f ca="1">DATOSAÑO!P174</f>
        <v>146.85599999999977</v>
      </c>
      <c r="G175" s="10">
        <f ca="1">DATOSAÑO!K174</f>
        <v>3.724860086961348</v>
      </c>
      <c r="H175" s="11">
        <f ca="1">DATOSAÑO!N174</f>
        <v>0</v>
      </c>
      <c r="I175" s="9">
        <f ca="1">DATOSAÑO!Q174</f>
        <v>0</v>
      </c>
      <c r="J175" s="11">
        <f ca="1">DATOSAÑO!R174</f>
        <v>0</v>
      </c>
      <c r="K175" s="9">
        <f ca="1">DATOSAÑO!T174</f>
        <v>0</v>
      </c>
      <c r="L175" s="11">
        <f t="shared" ca="1" si="6"/>
        <v>0</v>
      </c>
      <c r="M175" s="9"/>
      <c r="N175" s="11">
        <f t="shared" si="7"/>
        <v>0</v>
      </c>
      <c r="O175" s="9">
        <f>DATOSAÑO!CK174</f>
        <v>0</v>
      </c>
      <c r="P175" s="9">
        <f>DATOSAÑO!CL174</f>
        <v>0</v>
      </c>
      <c r="Q175" s="9">
        <f ca="1">DATOSAÑO!AD174</f>
        <v>159.90000000000146</v>
      </c>
      <c r="R175" s="11">
        <f ca="1">(Q175*DATOSAÑO!$Z$11)/DATOSAÑO!$Y$11</f>
        <v>2.8811840929319921</v>
      </c>
      <c r="S175" s="9">
        <f ca="1">DATOSAÑO!AF174</f>
        <v>142</v>
      </c>
      <c r="T175" s="11">
        <f ca="1">(S175*DATOSAÑO!$Z$11)/DATOSAÑO!$Y$11</f>
        <v>2.5586500387513391</v>
      </c>
      <c r="U175" s="9">
        <f ca="1">DATOSAÑO!AH174</f>
        <v>10.30000000000291</v>
      </c>
      <c r="V175" s="11">
        <f ca="1">(U175*DATOSAÑO!$Z$11)/DATOSAÑO!$Y$11</f>
        <v>0.18559222112074819</v>
      </c>
      <c r="W175" s="9">
        <f ca="1">DATOSAÑO!AI174</f>
        <v>35.5</v>
      </c>
      <c r="X175" s="11">
        <f ca="1">(W175*DATOSAÑO!$Z$11)/DATOSAÑO!$Y$11</f>
        <v>0.63966250968783478</v>
      </c>
      <c r="Y175" s="9">
        <f ca="1">DATOSAÑO!AJ174</f>
        <v>6.9800000000104774</v>
      </c>
      <c r="Z175" s="11">
        <f ca="1">(Y175*DATOSAÑO!$Z$11)/DATOSAÑO!$Y$11</f>
        <v>0.12577026246838843</v>
      </c>
      <c r="AA175" s="9">
        <f ca="1">DATOSAÑO!AK174</f>
        <v>11.429999999993015</v>
      </c>
      <c r="AB175" s="11">
        <f ca="1">(AA175*DATOSAÑO!$Z$11)/DATOSAÑO!$Y$11</f>
        <v>0.20595330945711224</v>
      </c>
      <c r="AC175" s="9">
        <f ca="1">DATOSAÑO!AL174</f>
        <v>37.585999999948342</v>
      </c>
      <c r="AD175" s="11">
        <f ca="1">(AC175*DATOSAÑO!$Z$11)/DATOSAÑO!$Y$11</f>
        <v>0.67724943912940605</v>
      </c>
      <c r="AE175" s="9">
        <f ca="1">DATOSAÑO!AM174</f>
        <v>9.5270000000106947</v>
      </c>
      <c r="AF175" s="11">
        <f ca="1">(AE175*DATOSAÑO!$Z$11)/DATOSAÑO!$Y$11</f>
        <v>0.1716637952057139</v>
      </c>
      <c r="AG175" s="9">
        <f ca="1">DATOSAÑO!AN174</f>
        <v>2.7550000000000727</v>
      </c>
      <c r="AH175" s="11">
        <f ca="1">(AG175*DATOSAÑO!$Z$11)/DATOSAÑO!$Y$11</f>
        <v>4.9641414484226244E-2</v>
      </c>
      <c r="AI175" s="9">
        <f ca="1">DATOSAÑO!BJ174</f>
        <v>0</v>
      </c>
      <c r="AJ175" s="11">
        <f ca="1">(AI175*DATOSAÑO!$Z$11)/DATOSAÑO!$Y$11</f>
        <v>0</v>
      </c>
      <c r="AK175" s="9">
        <f ca="1">DATOSAÑO!BM174</f>
        <v>2.3959999999999999</v>
      </c>
      <c r="AL175" s="11">
        <f ca="1">(AK175*DATOSAÑO!$Z$11)/DATOSAÑO!$Y$11</f>
        <v>4.3172714738367667E-2</v>
      </c>
      <c r="AM175" s="9">
        <f ca="1">DATOSAÑO!BP174</f>
        <v>5.0670000000000002</v>
      </c>
      <c r="AN175" s="11">
        <f ca="1">(AM175*DATOSAÑO!$Z$11)/DATOSAÑO!$Y$11</f>
        <v>9.1300561594035476E-2</v>
      </c>
      <c r="AO175" s="9">
        <f ca="1">DATOSAÑO!BW174</f>
        <v>11.103500000005493</v>
      </c>
      <c r="AP175" s="11">
        <f ca="1">(AO175*DATOSAÑO!$Z$11)/DATOSAÑO!$Y$11</f>
        <v>0.20007021623443347</v>
      </c>
      <c r="AQ175" s="9">
        <f ca="1">DATOSAÑO!CC174</f>
        <v>2.5170000000000292</v>
      </c>
      <c r="AR175" s="1348">
        <f ca="1">(AQ175*DATOSAÑO!$Z$11)/DATOSAÑO!$Y$11</f>
        <v>4.5352972869980253E-2</v>
      </c>
      <c r="AS175" s="1384">
        <f t="shared" si="8"/>
        <v>24</v>
      </c>
    </row>
    <row r="176" spans="1:45" ht="16.5" customHeight="1">
      <c r="A176" s="1408">
        <v>45091</v>
      </c>
      <c r="B176" s="1869">
        <v>45091</v>
      </c>
      <c r="C176" s="9">
        <f ca="1">DATOSAÑO!I175</f>
        <v>289.46000000007916</v>
      </c>
      <c r="D176" s="10">
        <f ca="1">DATOSAÑO!$D175</f>
        <v>5.0404043783881205</v>
      </c>
      <c r="E176" s="11">
        <f ca="1">DATOSAÑO!$G175</f>
        <v>0</v>
      </c>
      <c r="F176" s="9">
        <f ca="1">DATOSAÑO!P175</f>
        <v>146.79599999999482</v>
      </c>
      <c r="G176" s="10">
        <f ca="1">DATOSAÑO!K175</f>
        <v>3.724260853287376</v>
      </c>
      <c r="H176" s="11">
        <f ca="1">DATOSAÑO!N175</f>
        <v>0</v>
      </c>
      <c r="I176" s="9">
        <f ca="1">DATOSAÑO!Q175</f>
        <v>0</v>
      </c>
      <c r="J176" s="11">
        <f ca="1">DATOSAÑO!R175</f>
        <v>0</v>
      </c>
      <c r="K176" s="9">
        <f ca="1">DATOSAÑO!T175</f>
        <v>0</v>
      </c>
      <c r="L176" s="11">
        <f t="shared" ca="1" si="6"/>
        <v>0</v>
      </c>
      <c r="M176" s="9"/>
      <c r="N176" s="11">
        <f t="shared" si="7"/>
        <v>0</v>
      </c>
      <c r="O176" s="9">
        <f>DATOSAÑO!CK175</f>
        <v>0</v>
      </c>
      <c r="P176" s="9">
        <f>DATOSAÑO!CL175</f>
        <v>0</v>
      </c>
      <c r="Q176" s="9">
        <f ca="1">DATOSAÑO!AD175</f>
        <v>162.59999999999854</v>
      </c>
      <c r="R176" s="11">
        <f ca="1">(Q176*DATOSAÑO!$Z$11)/DATOSAÑO!$Y$11</f>
        <v>2.9298344809927044</v>
      </c>
      <c r="S176" s="9">
        <f ca="1">DATOSAÑO!AF175</f>
        <v>147.20000000001164</v>
      </c>
      <c r="T176" s="11">
        <f ca="1">(S176*DATOSAÑO!$Z$11)/DATOSAÑO!$Y$11</f>
        <v>2.6523470824241331</v>
      </c>
      <c r="U176" s="9">
        <f ca="1">DATOSAÑO!AH175</f>
        <v>10.69999999999709</v>
      </c>
      <c r="V176" s="11">
        <f ca="1">(U176*DATOSAÑO!$Z$11)/DATOSAÑO!$Y$11</f>
        <v>0.19279968601853439</v>
      </c>
      <c r="W176" s="9">
        <f ca="1">DATOSAÑO!AI175</f>
        <v>36.899999999994179</v>
      </c>
      <c r="X176" s="11">
        <f ca="1">(W176*DATOSAÑO!$Z$11)/DATOSAÑO!$Y$11</f>
        <v>0.66488863683034871</v>
      </c>
      <c r="Y176" s="9">
        <f ca="1">DATOSAÑO!AJ175</f>
        <v>4</v>
      </c>
      <c r="Z176" s="11">
        <f ca="1">(Y176*DATOSAÑO!$Z$11)/DATOSAÑO!$Y$11</f>
        <v>7.2074648978910971E-2</v>
      </c>
      <c r="AA176" s="9">
        <f ca="1">DATOSAÑO!AK175</f>
        <v>13</v>
      </c>
      <c r="AB176" s="11">
        <f ca="1">(AA176*DATOSAÑO!$Z$11)/DATOSAÑO!$Y$11</f>
        <v>0.23424260918146064</v>
      </c>
      <c r="AC176" s="9">
        <f ca="1">DATOSAÑO!AL175</f>
        <v>31.656000000086351</v>
      </c>
      <c r="AD176" s="11">
        <f ca="1">(AC176*DATOSAÑO!$Z$11)/DATOSAÑO!$Y$11</f>
        <v>0.57039877202065736</v>
      </c>
      <c r="AE176" s="9">
        <f ca="1">DATOSAÑO!AM175</f>
        <v>11.675999999984903</v>
      </c>
      <c r="AF176" s="11">
        <f ca="1">(AE176*DATOSAÑO!$Z$11)/DATOSAÑO!$Y$11</f>
        <v>0.2103859003691691</v>
      </c>
      <c r="AG176" s="9">
        <f ca="1">DATOSAÑO!AN175</f>
        <v>3.4800000000001816</v>
      </c>
      <c r="AH176" s="11">
        <f ca="1">(AG176*DATOSAÑO!$Z$11)/DATOSAÑO!$Y$11</f>
        <v>6.2704944611655822E-2</v>
      </c>
      <c r="AI176" s="9">
        <f ca="1">DATOSAÑO!BJ175</f>
        <v>0</v>
      </c>
      <c r="AJ176" s="11">
        <f ca="1">(AI176*DATOSAÑO!$Z$11)/DATOSAÑO!$Y$11</f>
        <v>0</v>
      </c>
      <c r="AK176" s="9">
        <f ca="1">DATOSAÑO!BM175</f>
        <v>2.3780000000000001</v>
      </c>
      <c r="AL176" s="11">
        <f ca="1">(AK176*DATOSAÑO!$Z$11)/DATOSAÑO!$Y$11</f>
        <v>4.2848378817962572E-2</v>
      </c>
      <c r="AM176" s="9">
        <f ca="1">DATOSAÑO!BP175</f>
        <v>5.0460000000000003</v>
      </c>
      <c r="AN176" s="11">
        <f ca="1">(AM176*DATOSAÑO!$Z$11)/DATOSAÑO!$Y$11</f>
        <v>9.0922169686896204E-2</v>
      </c>
      <c r="AO176" s="9">
        <f ca="1">DATOSAÑO!BW175</f>
        <v>12.137999999993543</v>
      </c>
      <c r="AP176" s="11">
        <f ca="1">(AO176*DATOSAÑO!$Z$11)/DATOSAÑO!$Y$11</f>
        <v>0.21871052232638899</v>
      </c>
      <c r="AQ176" s="9">
        <f ca="1">DATOSAÑO!CC175</f>
        <v>2.7120000000000726</v>
      </c>
      <c r="AR176" s="1348">
        <f ca="1">(AQ176*DATOSAÑO!$Z$11)/DATOSAÑO!$Y$11</f>
        <v>4.8866612007702946E-2</v>
      </c>
      <c r="AS176" s="1384">
        <f t="shared" si="8"/>
        <v>24</v>
      </c>
    </row>
    <row r="177" spans="1:45">
      <c r="A177" s="1408">
        <v>45092</v>
      </c>
      <c r="B177" s="1869">
        <v>45092</v>
      </c>
      <c r="C177" s="9">
        <f ca="1">DATOSAÑO!I176</f>
        <v>277.34999999997672</v>
      </c>
      <c r="D177" s="10">
        <f ca="1">DATOSAÑO!$D176</f>
        <v>4.9275220705239944</v>
      </c>
      <c r="E177" s="11">
        <f ca="1">DATOSAÑO!$G176</f>
        <v>0</v>
      </c>
      <c r="F177" s="9">
        <f ca="1">DATOSAÑO!P176</f>
        <v>167.1160000000018</v>
      </c>
      <c r="G177" s="10">
        <f ca="1">DATOSAÑO!K176</f>
        <v>3.9272013241892676</v>
      </c>
      <c r="H177" s="11">
        <f ca="1">DATOSAÑO!N176</f>
        <v>0</v>
      </c>
      <c r="I177" s="9">
        <f ca="1">DATOSAÑO!Q176</f>
        <v>0</v>
      </c>
      <c r="J177" s="11">
        <f ca="1">DATOSAÑO!R176</f>
        <v>0</v>
      </c>
      <c r="K177" s="9">
        <f ca="1">DATOSAÑO!T176</f>
        <v>0</v>
      </c>
      <c r="L177" s="11">
        <f t="shared" ca="1" si="6"/>
        <v>0</v>
      </c>
      <c r="M177" s="9"/>
      <c r="N177" s="11">
        <f t="shared" si="7"/>
        <v>0</v>
      </c>
      <c r="O177" s="9">
        <f>DATOSAÑO!CK176</f>
        <v>0</v>
      </c>
      <c r="P177" s="9">
        <f>DATOSAÑO!CL176</f>
        <v>0</v>
      </c>
      <c r="Q177" s="9">
        <f ca="1">DATOSAÑO!AD176</f>
        <v>165.70000000000073</v>
      </c>
      <c r="R177" s="11">
        <f ca="1">(Q177*DATOSAÑO!$Z$11)/DATOSAÑO!$Y$11</f>
        <v>2.9856923339514001</v>
      </c>
      <c r="S177" s="9">
        <f ca="1">DATOSAÑO!AF176</f>
        <v>151.70000000001164</v>
      </c>
      <c r="T177" s="11">
        <f ca="1">(S177*DATOSAÑO!$Z$11)/DATOSAÑO!$Y$11</f>
        <v>2.7334310625254079</v>
      </c>
      <c r="U177" s="9">
        <f ca="1">DATOSAÑO!AH176</f>
        <v>10.5</v>
      </c>
      <c r="V177" s="11">
        <f ca="1">(U177*DATOSAÑO!$Z$11)/DATOSAÑO!$Y$11</f>
        <v>0.18919595356964131</v>
      </c>
      <c r="W177" s="9">
        <f ca="1">DATOSAÑO!AI176</f>
        <v>36.80000000000291</v>
      </c>
      <c r="X177" s="11">
        <f ca="1">(W177*DATOSAÑO!$Z$11)/DATOSAÑO!$Y$11</f>
        <v>0.66308677060603327</v>
      </c>
      <c r="Y177" s="9">
        <f ca="1">DATOSAÑO!AJ176</f>
        <v>4.2999999999883585</v>
      </c>
      <c r="Z177" s="11">
        <f ca="1">(Y177*DATOSAÑO!$Z$11)/DATOSAÑO!$Y$11</f>
        <v>7.7480247652119527E-2</v>
      </c>
      <c r="AA177" s="9">
        <f ca="1">DATOSAÑO!AK176</f>
        <v>12</v>
      </c>
      <c r="AB177" s="11">
        <f ca="1">(AA177*DATOSAÑO!$Z$11)/DATOSAÑO!$Y$11</f>
        <v>0.21622394693673291</v>
      </c>
      <c r="AC177" s="9">
        <f ca="1">DATOSAÑO!AL176</f>
        <v>38.065999999984285</v>
      </c>
      <c r="AD177" s="11">
        <f ca="1">(AC177*DATOSAÑO!$Z$11)/DATOSAÑO!$Y$11</f>
        <v>0.68589839700752298</v>
      </c>
      <c r="AE177" s="9">
        <f ca="1">DATOSAÑO!AM176</f>
        <v>7.3109999999922675</v>
      </c>
      <c r="AF177" s="11">
        <f ca="1">(AE177*DATOSAÑO!$Z$11)/DATOSAÑO!$Y$11</f>
        <v>0.13173443967106518</v>
      </c>
      <c r="AG177" s="9">
        <f ca="1">DATOSAÑO!AN176</f>
        <v>3.3759999999993635</v>
      </c>
      <c r="AH177" s="11">
        <f ca="1">(AG177*DATOSAÑO!$Z$11)/DATOSAÑO!$Y$11</f>
        <v>6.0831003738189386E-2</v>
      </c>
      <c r="AI177" s="9">
        <f ca="1">DATOSAÑO!BJ176</f>
        <v>0</v>
      </c>
      <c r="AJ177" s="11">
        <f ca="1">(AI177*DATOSAÑO!$Z$11)/DATOSAÑO!$Y$11</f>
        <v>0</v>
      </c>
      <c r="AK177" s="9">
        <f ca="1">DATOSAÑO!BM176</f>
        <v>2.3029999999999999</v>
      </c>
      <c r="AL177" s="11">
        <f ca="1">(AK177*DATOSAÑO!$Z$11)/DATOSAÑO!$Y$11</f>
        <v>4.1496979149607989E-2</v>
      </c>
      <c r="AM177" s="9">
        <f ca="1">DATOSAÑO!BP176</f>
        <v>4.8860000000000001</v>
      </c>
      <c r="AN177" s="11">
        <f ca="1">(AM177*DATOSAÑO!$Z$11)/DATOSAÑO!$Y$11</f>
        <v>8.8039183727739764E-2</v>
      </c>
      <c r="AO177" s="9">
        <f ca="1">DATOSAÑO!BW176</f>
        <v>9.8554999999950432</v>
      </c>
      <c r="AP177" s="11">
        <f ca="1">(AO177*DATOSAÑO!$Z$11)/DATOSAÑO!$Y$11</f>
        <v>0.17758292575282494</v>
      </c>
      <c r="AQ177" s="9">
        <f ca="1">DATOSAÑO!CC176</f>
        <v>2.6743999999997454</v>
      </c>
      <c r="AR177" s="1348">
        <f ca="1">(AQ177*DATOSAÑO!$Z$11)/DATOSAÑO!$Y$11</f>
        <v>4.818911030729528E-2</v>
      </c>
      <c r="AS177" s="1384">
        <f t="shared" si="8"/>
        <v>24</v>
      </c>
    </row>
    <row r="178" spans="1:45" ht="16.5" customHeight="1">
      <c r="A178" s="1408">
        <v>45093</v>
      </c>
      <c r="B178" s="1869">
        <v>45093</v>
      </c>
      <c r="C178" s="9">
        <f ca="1">DATOSAÑO!I177</f>
        <v>104.75</v>
      </c>
      <c r="D178" s="10">
        <f ca="1">DATOSAÑO!$D177</f>
        <v>3.3186462375610875</v>
      </c>
      <c r="E178" s="11">
        <f ca="1">DATOSAÑO!$G177</f>
        <v>0</v>
      </c>
      <c r="F178" s="9">
        <f ca="1">DATOSAÑO!P177</f>
        <v>334.80000000000291</v>
      </c>
      <c r="G178" s="10">
        <f ca="1">DATOSAÑO!K177</f>
        <v>5.6018996471568503</v>
      </c>
      <c r="H178" s="11">
        <f ca="1">DATOSAÑO!N177</f>
        <v>0</v>
      </c>
      <c r="I178" s="9">
        <f ca="1">DATOSAÑO!Q177</f>
        <v>0</v>
      </c>
      <c r="J178" s="11">
        <f ca="1">DATOSAÑO!R177</f>
        <v>0</v>
      </c>
      <c r="K178" s="9">
        <f ca="1">DATOSAÑO!T177</f>
        <v>0</v>
      </c>
      <c r="L178" s="11">
        <f t="shared" ca="1" si="6"/>
        <v>0</v>
      </c>
      <c r="M178" s="9"/>
      <c r="N178" s="11">
        <f t="shared" si="7"/>
        <v>0</v>
      </c>
      <c r="O178" s="9">
        <f>DATOSAÑO!CK177</f>
        <v>0</v>
      </c>
      <c r="P178" s="9">
        <f>DATOSAÑO!CL177</f>
        <v>0</v>
      </c>
      <c r="Q178" s="9">
        <f ca="1">DATOSAÑO!AD177</f>
        <v>166.60000000000036</v>
      </c>
      <c r="R178" s="11">
        <f ca="1">(Q178*DATOSAÑO!$Z$11)/DATOSAÑO!$Y$11</f>
        <v>3.0019091299716485</v>
      </c>
      <c r="S178" s="9">
        <f ca="1">DATOSAÑO!AF177</f>
        <v>150.29999999998836</v>
      </c>
      <c r="T178" s="11">
        <f ca="1">(S178*DATOSAÑO!$Z$11)/DATOSAÑO!$Y$11</f>
        <v>2.7082049353823701</v>
      </c>
      <c r="U178" s="9">
        <f ca="1">DATOSAÑO!AH177</f>
        <v>6.1999999999970896</v>
      </c>
      <c r="V178" s="11">
        <f ca="1">(U178*DATOSAÑO!$Z$11)/DATOSAÑO!$Y$11</f>
        <v>0.11171570591725957</v>
      </c>
      <c r="W178" s="9">
        <f ca="1">DATOSAÑO!AI177</f>
        <v>37.400000000008731</v>
      </c>
      <c r="X178" s="11">
        <f ca="1">(W178*DATOSAÑO!$Z$11)/DATOSAÑO!$Y$11</f>
        <v>0.67389796795297496</v>
      </c>
      <c r="Y178" s="9">
        <f ca="1">DATOSAÑO!AJ177</f>
        <v>3.6000000000058208</v>
      </c>
      <c r="Z178" s="11">
        <f ca="1">(Y178*DATOSAÑO!$Z$11)/DATOSAÑO!$Y$11</f>
        <v>6.4867184081124754E-2</v>
      </c>
      <c r="AA178" s="9">
        <f ca="1">DATOSAÑO!AK177</f>
        <v>11</v>
      </c>
      <c r="AB178" s="11">
        <f ca="1">(AA178*DATOSAÑO!$Z$11)/DATOSAÑO!$Y$11</f>
        <v>0.19820528469200516</v>
      </c>
      <c r="AC178" s="9">
        <f ca="1">DATOSAÑO!AL177</f>
        <v>32.349999999993031</v>
      </c>
      <c r="AD178" s="11">
        <f ca="1">(AC178*DATOSAÑO!$Z$11)/DATOSAÑO!$Y$11</f>
        <v>0.58290372361681686</v>
      </c>
      <c r="AE178" s="9">
        <f ca="1">DATOSAÑO!AM177</f>
        <v>13.620000000008273</v>
      </c>
      <c r="AF178" s="11">
        <f ca="1">(AE178*DATOSAÑO!$Z$11)/DATOSAÑO!$Y$11</f>
        <v>0.24541417977334093</v>
      </c>
      <c r="AG178" s="9">
        <f ca="1">DATOSAÑO!AN177</f>
        <v>3.6220000000000909</v>
      </c>
      <c r="AH178" s="11">
        <f ca="1">(AG178*DATOSAÑO!$Z$11)/DATOSAÑO!$Y$11</f>
        <v>6.5263594650405529E-2</v>
      </c>
      <c r="AI178" s="9">
        <f ca="1">DATOSAÑO!BJ177</f>
        <v>0</v>
      </c>
      <c r="AJ178" s="11">
        <f ca="1">(AI178*DATOSAÑO!$Z$11)/DATOSAÑO!$Y$11</f>
        <v>0</v>
      </c>
      <c r="AK178" s="9">
        <f ca="1">DATOSAÑO!BM177</f>
        <v>2.3170000000000002</v>
      </c>
      <c r="AL178" s="11">
        <f ca="1">(AK178*DATOSAÑO!$Z$11)/DATOSAÑO!$Y$11</f>
        <v>4.1749240421034187E-2</v>
      </c>
      <c r="AM178" s="9">
        <f ca="1">DATOSAÑO!BP177</f>
        <v>4.9630000000000001</v>
      </c>
      <c r="AN178" s="11">
        <f ca="1">(AM178*DATOSAÑO!$Z$11)/DATOSAÑO!$Y$11</f>
        <v>8.9426620720583785E-2</v>
      </c>
      <c r="AO178" s="9">
        <f ca="1">DATOSAÑO!BW177</f>
        <v>13.110000000005229</v>
      </c>
      <c r="AP178" s="11">
        <f ca="1">(AO178*DATOSAÑO!$Z$11)/DATOSAÑO!$Y$11</f>
        <v>0.23622466202847492</v>
      </c>
      <c r="AQ178" s="9">
        <f ca="1">DATOSAÑO!CC177</f>
        <v>2.7268000000000363</v>
      </c>
      <c r="AR178" s="1348">
        <f ca="1">(AQ178*DATOSAÑO!$Z$11)/DATOSAÑO!$Y$11</f>
        <v>4.9133288208924264E-2</v>
      </c>
      <c r="AS178" s="1384">
        <f t="shared" si="8"/>
        <v>24</v>
      </c>
    </row>
    <row r="179" spans="1:45">
      <c r="A179" s="1408">
        <v>45094</v>
      </c>
      <c r="B179" s="1869">
        <v>45094</v>
      </c>
      <c r="C179" s="9">
        <f ca="1">DATOSAÑO!I178</f>
        <v>152</v>
      </c>
      <c r="D179" s="10">
        <f ca="1">DATOSAÑO!$D178</f>
        <v>3.7590829878942715</v>
      </c>
      <c r="E179" s="11">
        <f ca="1">DATOSAÑO!$G178</f>
        <v>0</v>
      </c>
      <c r="F179" s="9">
        <f ca="1">DATOSAÑO!P178</f>
        <v>288.90000000000146</v>
      </c>
      <c r="G179" s="10">
        <f ca="1">DATOSAÑO!K178</f>
        <v>5.1434858866059692</v>
      </c>
      <c r="H179" s="11">
        <f ca="1">DATOSAÑO!N178</f>
        <v>0</v>
      </c>
      <c r="I179" s="9">
        <f ca="1">DATOSAÑO!Q178</f>
        <v>0</v>
      </c>
      <c r="J179" s="11">
        <f ca="1">DATOSAÑO!R178</f>
        <v>0</v>
      </c>
      <c r="K179" s="9">
        <f ca="1">DATOSAÑO!T178</f>
        <v>0</v>
      </c>
      <c r="L179" s="11">
        <f t="shared" ca="1" si="6"/>
        <v>0</v>
      </c>
      <c r="M179" s="9"/>
      <c r="N179" s="11">
        <f t="shared" si="7"/>
        <v>0</v>
      </c>
      <c r="O179" s="9">
        <f>DATOSAÑO!CK178</f>
        <v>0</v>
      </c>
      <c r="P179" s="9">
        <f>DATOSAÑO!CL178</f>
        <v>0</v>
      </c>
      <c r="Q179" s="9">
        <f ca="1">DATOSAÑO!AD178</f>
        <v>164.69999999999891</v>
      </c>
      <c r="R179" s="11">
        <f ca="1">(Q179*DATOSAÑO!$Z$11)/DATOSAÑO!$Y$11</f>
        <v>2.9676736717066396</v>
      </c>
      <c r="S179" s="9">
        <f ca="1">DATOSAÑO!AF178</f>
        <v>153</v>
      </c>
      <c r="T179" s="11">
        <f ca="1">(S179*DATOSAÑO!$Z$11)/DATOSAÑO!$Y$11</f>
        <v>2.7568553234433448</v>
      </c>
      <c r="U179" s="9">
        <f ca="1">DATOSAÑO!AH178</f>
        <v>14.80000000000291</v>
      </c>
      <c r="V179" s="11">
        <f ca="1">(U179*DATOSAÑO!$Z$11)/DATOSAÑO!$Y$11</f>
        <v>0.26667620122202301</v>
      </c>
      <c r="W179" s="9">
        <f ca="1">DATOSAÑO!AI178</f>
        <v>35.69999999999709</v>
      </c>
      <c r="X179" s="11">
        <f ca="1">(W179*DATOSAÑO!$Z$11)/DATOSAÑO!$Y$11</f>
        <v>0.64326624213672789</v>
      </c>
      <c r="Y179" s="9">
        <f ca="1">DATOSAÑO!AJ178</f>
        <v>3.8999999999941792</v>
      </c>
      <c r="Z179" s="11">
        <f ca="1">(Y179*DATOSAÑO!$Z$11)/DATOSAÑO!$Y$11</f>
        <v>7.027278275433331E-2</v>
      </c>
      <c r="AA179" s="9">
        <f ca="1">DATOSAÑO!AK178</f>
        <v>12</v>
      </c>
      <c r="AB179" s="11">
        <f ca="1">(AA179*DATOSAÑO!$Z$11)/DATOSAÑO!$Y$11</f>
        <v>0.21622394693673291</v>
      </c>
      <c r="AC179" s="9">
        <f ca="1">DATOSAÑO!AL178</f>
        <v>31.700000000006185</v>
      </c>
      <c r="AD179" s="11">
        <f ca="1">(AC179*DATOSAÑO!$Z$11)/DATOSAÑO!$Y$11</f>
        <v>0.57119159315798085</v>
      </c>
      <c r="AE179" s="9">
        <f ca="1">DATOSAÑO!AM178</f>
        <v>6.9010000000029077</v>
      </c>
      <c r="AF179" s="11">
        <f ca="1">(AE179*DATOSAÑO!$Z$11)/DATOSAÑO!$Y$11</f>
        <v>0.12434678815091854</v>
      </c>
      <c r="AG179" s="9">
        <f ca="1">DATOSAÑO!AN178</f>
        <v>3.276000000000364</v>
      </c>
      <c r="AH179" s="11">
        <f ca="1">(AG179*DATOSAÑO!$Z$11)/DATOSAÑO!$Y$11</f>
        <v>5.9029137513734641E-2</v>
      </c>
      <c r="AI179" s="9">
        <f ca="1">DATOSAÑO!BJ178</f>
        <v>0</v>
      </c>
      <c r="AJ179" s="11">
        <f ca="1">(AI179*DATOSAÑO!$Z$11)/DATOSAÑO!$Y$11</f>
        <v>0</v>
      </c>
      <c r="AK179" s="9">
        <f ca="1">DATOSAÑO!BM178</f>
        <v>2.3380000000000001</v>
      </c>
      <c r="AL179" s="11">
        <f ca="1">(AK179*DATOSAÑO!$Z$11)/DATOSAÑO!$Y$11</f>
        <v>4.2127632328173466E-2</v>
      </c>
      <c r="AM179" s="9">
        <f ca="1">DATOSAÑO!BP178</f>
        <v>5.0609999999999999</v>
      </c>
      <c r="AN179" s="11">
        <f ca="1">(AM179*DATOSAÑO!$Z$11)/DATOSAÑO!$Y$11</f>
        <v>9.1192449620567093E-2</v>
      </c>
      <c r="AO179" s="9">
        <f ca="1">DATOSAÑO!BW178</f>
        <v>9.6505000000003633</v>
      </c>
      <c r="AP179" s="11">
        <f ca="1">(AO179*DATOSAÑO!$Z$11)/DATOSAÑO!$Y$11</f>
        <v>0.17388909999275162</v>
      </c>
      <c r="AQ179" s="9">
        <f ca="1">DATOSAÑO!CC178</f>
        <v>2.634400000000146</v>
      </c>
      <c r="AR179" s="1348">
        <f ca="1">(AQ179*DATOSAÑO!$Z$11)/DATOSAÑO!$Y$11</f>
        <v>4.7468363817513397E-2</v>
      </c>
      <c r="AS179" s="1384">
        <f t="shared" si="8"/>
        <v>24</v>
      </c>
    </row>
    <row r="180" spans="1:45" ht="16.5" customHeight="1">
      <c r="A180" s="1408">
        <v>45095</v>
      </c>
      <c r="B180" s="1869">
        <v>45095</v>
      </c>
      <c r="C180" s="9">
        <f ca="1">DATOSAÑO!I179</f>
        <v>152</v>
      </c>
      <c r="D180" s="10">
        <f ca="1">DATOSAÑO!$D179</f>
        <v>3.7590829878942715</v>
      </c>
      <c r="E180" s="11">
        <f ca="1">DATOSAÑO!$G179</f>
        <v>0</v>
      </c>
      <c r="F180" s="9">
        <f ca="1">DATOSAÑO!P179</f>
        <v>274.79999999999563</v>
      </c>
      <c r="G180" s="10">
        <f ca="1">DATOSAÑO!K179</f>
        <v>5.0026659732340759</v>
      </c>
      <c r="H180" s="11">
        <f ca="1">DATOSAÑO!N179</f>
        <v>0</v>
      </c>
      <c r="I180" s="9">
        <f ca="1">DATOSAÑO!Q179</f>
        <v>0</v>
      </c>
      <c r="J180" s="11">
        <f ca="1">DATOSAÑO!R179</f>
        <v>0</v>
      </c>
      <c r="K180" s="9">
        <f ca="1">DATOSAÑO!T179</f>
        <v>0</v>
      </c>
      <c r="L180" s="11">
        <f t="shared" ca="1" si="6"/>
        <v>0</v>
      </c>
      <c r="M180" s="9"/>
      <c r="N180" s="11">
        <f t="shared" si="7"/>
        <v>0</v>
      </c>
      <c r="O180" s="9">
        <f>DATOSAÑO!CK179</f>
        <v>0</v>
      </c>
      <c r="P180" s="9">
        <f>DATOSAÑO!CL179</f>
        <v>0</v>
      </c>
      <c r="Q180" s="9">
        <f ca="1">DATOSAÑO!AD179</f>
        <v>162.31000000000131</v>
      </c>
      <c r="R180" s="11">
        <f ca="1">(Q180*DATOSAÑO!$Z$11)/DATOSAÑO!$Y$11</f>
        <v>2.9246090689417836</v>
      </c>
      <c r="S180" s="9">
        <f ca="1">DATOSAÑO!AF179</f>
        <v>152</v>
      </c>
      <c r="T180" s="11">
        <f ca="1">(S180*DATOSAÑO!$Z$11)/DATOSAÑO!$Y$11</f>
        <v>2.7388366611986168</v>
      </c>
      <c r="U180" s="9">
        <f ca="1">DATOSAÑO!AH179</f>
        <v>0</v>
      </c>
      <c r="V180" s="11">
        <f ca="1">(U180*DATOSAÑO!$Z$11)/DATOSAÑO!$Y$11</f>
        <v>0</v>
      </c>
      <c r="W180" s="9">
        <f ca="1">DATOSAÑO!AI179</f>
        <v>35.69999999999709</v>
      </c>
      <c r="X180" s="11">
        <f ca="1">(W180*DATOSAÑO!$Z$11)/DATOSAÑO!$Y$11</f>
        <v>0.64326624213672789</v>
      </c>
      <c r="Y180" s="9">
        <f ca="1">DATOSAÑO!AJ179</f>
        <v>5.4000000000087311</v>
      </c>
      <c r="Z180" s="11">
        <f ca="1">(Y180*DATOSAÑO!$Z$11)/DATOSAÑO!$Y$11</f>
        <v>9.7300776121687138E-2</v>
      </c>
      <c r="AA180" s="9">
        <f ca="1">DATOSAÑO!AK179</f>
        <v>10</v>
      </c>
      <c r="AB180" s="11">
        <f ca="1">(AA180*DATOSAÑO!$Z$11)/DATOSAÑO!$Y$11</f>
        <v>0.18018662244727743</v>
      </c>
      <c r="AC180" s="9">
        <f ca="1">DATOSAÑO!AL179</f>
        <v>32.289999999989959</v>
      </c>
      <c r="AD180" s="11">
        <f ca="1">(AC180*DATOSAÑO!$Z$11)/DATOSAÑO!$Y$11</f>
        <v>0.58182260388207785</v>
      </c>
      <c r="AE180" s="9">
        <f ca="1">DATOSAÑO!AM179</f>
        <v>10.959999999998091</v>
      </c>
      <c r="AF180" s="11">
        <f ca="1">(AE180*DATOSAÑO!$Z$11)/DATOSAÑO!$Y$11</f>
        <v>0.19748453820218165</v>
      </c>
      <c r="AG180" s="9">
        <f ca="1">DATOSAÑO!AN179</f>
        <v>3.4319999999997268</v>
      </c>
      <c r="AH180" s="11">
        <f ca="1">(AG180*DATOSAÑO!$Z$11)/DATOSAÑO!$Y$11</f>
        <v>6.1840048823900685E-2</v>
      </c>
      <c r="AI180" s="9">
        <f ca="1">DATOSAÑO!BJ179</f>
        <v>0</v>
      </c>
      <c r="AJ180" s="11">
        <f ca="1">(AI180*DATOSAÑO!$Z$11)/DATOSAÑO!$Y$11</f>
        <v>0</v>
      </c>
      <c r="AK180" s="9">
        <f ca="1">DATOSAÑO!BM179</f>
        <v>2.3119999999999998</v>
      </c>
      <c r="AL180" s="11">
        <f ca="1">(AK180*DATOSAÑO!$Z$11)/DATOSAÑO!$Y$11</f>
        <v>4.1659147109810536E-2</v>
      </c>
      <c r="AM180" s="9">
        <f ca="1">DATOSAÑO!BP179</f>
        <v>4.8280000000000003</v>
      </c>
      <c r="AN180" s="11">
        <f ca="1">(AM180*DATOSAÑO!$Z$11)/DATOSAÑO!$Y$11</f>
        <v>8.6994101317545536E-2</v>
      </c>
      <c r="AO180" s="9">
        <f ca="1">DATOSAÑO!BW179</f>
        <v>11.679999999999772</v>
      </c>
      <c r="AP180" s="11">
        <f ca="1">(AO180*DATOSAÑO!$Z$11)/DATOSAÑO!$Y$11</f>
        <v>0.21045797501841593</v>
      </c>
      <c r="AQ180" s="9">
        <f ca="1">DATOSAÑO!CC179</f>
        <v>2.7407999999998909</v>
      </c>
      <c r="AR180" s="1348">
        <f ca="1">(AQ180*DATOSAÑO!$Z$11)/DATOSAÑO!$Y$11</f>
        <v>4.9385549480347832E-2</v>
      </c>
      <c r="AS180" s="1384">
        <f t="shared" si="8"/>
        <v>25</v>
      </c>
    </row>
    <row r="181" spans="1:45">
      <c r="A181" s="1408">
        <v>45096</v>
      </c>
      <c r="B181" s="1869">
        <v>45096</v>
      </c>
      <c r="C181" s="9">
        <f ca="1">DATOSAÑO!I180</f>
        <v>151</v>
      </c>
      <c r="D181" s="10">
        <f ca="1">DATOSAÑO!$D180</f>
        <v>3.7497615751888076</v>
      </c>
      <c r="E181" s="11">
        <f ca="1">DATOSAÑO!$G180</f>
        <v>0</v>
      </c>
      <c r="F181" s="9">
        <f ca="1">DATOSAÑO!P180</f>
        <v>295</v>
      </c>
      <c r="G181" s="10">
        <f ca="1">DATOSAÑO!K180</f>
        <v>5.2044079767880955</v>
      </c>
      <c r="H181" s="11">
        <f ca="1">DATOSAÑO!N180</f>
        <v>0</v>
      </c>
      <c r="I181" s="9">
        <f ca="1">DATOSAÑO!Q180</f>
        <v>0</v>
      </c>
      <c r="J181" s="11">
        <f ca="1">DATOSAÑO!R180</f>
        <v>0</v>
      </c>
      <c r="K181" s="9">
        <f ca="1">DATOSAÑO!T180</f>
        <v>0</v>
      </c>
      <c r="L181" s="11">
        <f t="shared" ca="1" si="6"/>
        <v>0</v>
      </c>
      <c r="M181" s="9"/>
      <c r="N181" s="11">
        <f t="shared" si="7"/>
        <v>0</v>
      </c>
      <c r="O181" s="9">
        <f>DATOSAÑO!CK180</f>
        <v>0</v>
      </c>
      <c r="P181" s="9">
        <f>DATOSAÑO!CL180</f>
        <v>0</v>
      </c>
      <c r="Q181" s="9">
        <f ca="1">DATOSAÑO!AD180</f>
        <v>163.56599999999889</v>
      </c>
      <c r="R181" s="11">
        <f ca="1">(Q181*DATOSAÑO!$Z$11)/DATOSAÑO!$Y$11</f>
        <v>2.947240508721118</v>
      </c>
      <c r="S181" s="9">
        <f ca="1">DATOSAÑO!AF180</f>
        <v>153</v>
      </c>
      <c r="T181" s="11">
        <f ca="1">(S181*DATOSAÑO!$Z$11)/DATOSAÑO!$Y$11</f>
        <v>2.7568553234433448</v>
      </c>
      <c r="U181" s="9">
        <f ca="1">DATOSAÑO!AH180</f>
        <v>12.099999999998545</v>
      </c>
      <c r="V181" s="11">
        <f ca="1">(U181*DATOSAÑO!$Z$11)/DATOSAÑO!$Y$11</f>
        <v>0.21802581316117944</v>
      </c>
      <c r="W181" s="9">
        <f ca="1">DATOSAÑO!AI180</f>
        <v>36.19999999999709</v>
      </c>
      <c r="X181" s="11">
        <f ca="1">(W181*DATOSAÑO!$Z$11)/DATOSAÑO!$Y$11</f>
        <v>0.6522755732590918</v>
      </c>
      <c r="Y181" s="9">
        <f ca="1">DATOSAÑO!AJ180</f>
        <v>7.8999999999941792</v>
      </c>
      <c r="Z181" s="11">
        <f ca="1">(Y181*DATOSAÑO!$Z$11)/DATOSAÑO!$Y$11</f>
        <v>0.14234743173324427</v>
      </c>
      <c r="AA181" s="9">
        <f ca="1">DATOSAÑO!AK180</f>
        <v>11</v>
      </c>
      <c r="AB181" s="11">
        <f ca="1">(AA181*DATOSAÑO!$Z$11)/DATOSAÑO!$Y$11</f>
        <v>0.19820528469200516</v>
      </c>
      <c r="AC181" s="9">
        <f ca="1">DATOSAÑO!AL180</f>
        <v>34.834000000009837</v>
      </c>
      <c r="AD181" s="11">
        <f ca="1">(AC181*DATOSAÑO!$Z$11)/DATOSAÑO!$Y$11</f>
        <v>0.62766208063302342</v>
      </c>
      <c r="AE181" s="9">
        <f ca="1">DATOSAÑO!AM180</f>
        <v>8.9990000000017254</v>
      </c>
      <c r="AF181" s="11">
        <f ca="1">(AE181*DATOSAÑO!$Z$11)/DATOSAÑO!$Y$11</f>
        <v>0.16214994154033605</v>
      </c>
      <c r="AG181" s="9">
        <f ca="1">DATOSAÑO!AN180</f>
        <v>3.1010000000004547</v>
      </c>
      <c r="AH181" s="11">
        <f ca="1">(AG181*DATOSAÑO!$Z$11)/DATOSAÑO!$Y$11</f>
        <v>5.5875871620908922E-2</v>
      </c>
      <c r="AI181" s="9">
        <f ca="1">DATOSAÑO!BJ180</f>
        <v>0</v>
      </c>
      <c r="AJ181" s="11">
        <f ca="1">(AI181*DATOSAÑO!$Z$11)/DATOSAÑO!$Y$11</f>
        <v>0</v>
      </c>
      <c r="AK181" s="9">
        <f ca="1">DATOSAÑO!BM180</f>
        <v>2.3820000000000001</v>
      </c>
      <c r="AL181" s="11">
        <f ca="1">(AK181*DATOSAÑO!$Z$11)/DATOSAÑO!$Y$11</f>
        <v>4.2920453466941483E-2</v>
      </c>
      <c r="AM181" s="9">
        <f ca="1">DATOSAÑO!BP180</f>
        <v>5.2190000000000003</v>
      </c>
      <c r="AN181" s="11">
        <f ca="1">(AM181*DATOSAÑO!$Z$11)/DATOSAÑO!$Y$11</f>
        <v>9.4039398255234094E-2</v>
      </c>
      <c r="AO181" s="9">
        <f ca="1">DATOSAÑO!BW180</f>
        <v>10.799500000000135</v>
      </c>
      <c r="AP181" s="11">
        <f ca="1">(AO181*DATOSAÑO!$Z$11)/DATOSAÑO!$Y$11</f>
        <v>0.1945925429119397</v>
      </c>
      <c r="AQ181" s="9">
        <f ca="1">DATOSAÑO!CC180</f>
        <v>2.6394000000001823</v>
      </c>
      <c r="AR181" s="1348">
        <f ca="1">(AQ181*DATOSAÑO!$Z$11)/DATOSAÑO!$Y$11</f>
        <v>4.7558457128737686E-2</v>
      </c>
      <c r="AS181" s="1384">
        <f t="shared" si="8"/>
        <v>25</v>
      </c>
    </row>
    <row r="182" spans="1:45" ht="16.5" customHeight="1">
      <c r="A182" s="1408">
        <v>45097</v>
      </c>
      <c r="B182" s="1869">
        <v>45097</v>
      </c>
      <c r="C182" s="9">
        <f ca="1">DATOSAÑO!I181</f>
        <v>188</v>
      </c>
      <c r="D182" s="10">
        <f ca="1">DATOSAÑO!$D181</f>
        <v>4.0946538452909831</v>
      </c>
      <c r="E182" s="11">
        <f ca="1">DATOSAÑO!$G181</f>
        <v>0</v>
      </c>
      <c r="F182" s="9">
        <f ca="1">DATOSAÑO!P181</f>
        <v>255.40000000000146</v>
      </c>
      <c r="G182" s="10">
        <f ca="1">DATOSAÑO!K181</f>
        <v>4.8089137519991274</v>
      </c>
      <c r="H182" s="11">
        <f ca="1">DATOSAÑO!N181</f>
        <v>0</v>
      </c>
      <c r="I182" s="9">
        <f ca="1">DATOSAÑO!Q181</f>
        <v>0</v>
      </c>
      <c r="J182" s="11">
        <f ca="1">DATOSAÑO!R181</f>
        <v>0</v>
      </c>
      <c r="K182" s="9">
        <f ca="1">DATOSAÑO!T181</f>
        <v>0.34199999999998454</v>
      </c>
      <c r="L182" s="11">
        <f t="shared" ca="1" si="6"/>
        <v>41.039999999998145</v>
      </c>
      <c r="M182" s="9"/>
      <c r="N182" s="11">
        <f t="shared" si="7"/>
        <v>0</v>
      </c>
      <c r="O182" s="9">
        <f>DATOSAÑO!CK181</f>
        <v>0</v>
      </c>
      <c r="P182" s="9">
        <f>DATOSAÑO!CL181</f>
        <v>0</v>
      </c>
      <c r="Q182" s="9">
        <f ca="1">DATOSAÑO!AD181</f>
        <v>161.32400000000052</v>
      </c>
      <c r="R182" s="11">
        <f ca="1">(Q182*DATOSAÑO!$Z$11)/DATOSAÑO!$Y$11</f>
        <v>2.9068426679684678</v>
      </c>
      <c r="S182" s="9">
        <f ca="1">DATOSAÑO!AF181</f>
        <v>153</v>
      </c>
      <c r="T182" s="11">
        <f ca="1">(S182*DATOSAÑO!$Z$11)/DATOSAÑO!$Y$11</f>
        <v>2.7568553234433448</v>
      </c>
      <c r="U182" s="9">
        <f ca="1">DATOSAÑO!AH181</f>
        <v>9.9000000000014552</v>
      </c>
      <c r="V182" s="11">
        <f ca="1">(U182*DATOSAÑO!$Z$11)/DATOSAÑO!$Y$11</f>
        <v>0.17838475622283087</v>
      </c>
      <c r="W182" s="9">
        <f ca="1">DATOSAÑO!AI181</f>
        <v>36</v>
      </c>
      <c r="X182" s="11">
        <f ca="1">(W182*DATOSAÑO!$Z$11)/DATOSAÑO!$Y$11</f>
        <v>0.64867184081019869</v>
      </c>
      <c r="Y182" s="9">
        <f ca="1">DATOSAÑO!AJ181</f>
        <v>7.6999999999970896</v>
      </c>
      <c r="Z182" s="11">
        <f ca="1">(Y182*DATOSAÑO!$Z$11)/DATOSAÑO!$Y$11</f>
        <v>0.13874369928435118</v>
      </c>
      <c r="AA182" s="9">
        <f ca="1">DATOSAÑO!AK181</f>
        <v>12</v>
      </c>
      <c r="AB182" s="11">
        <f ca="1">(AA182*DATOSAÑO!$Z$11)/DATOSAÑO!$Y$11</f>
        <v>0.21622394693673291</v>
      </c>
      <c r="AC182" s="9">
        <f ca="1">DATOSAÑO!AL181</f>
        <v>34.218000000003769</v>
      </c>
      <c r="AD182" s="11">
        <f ca="1">(AC182*DATOSAÑO!$Z$11)/DATOSAÑO!$Y$11</f>
        <v>0.61656258469016179</v>
      </c>
      <c r="AE182" s="9">
        <f ca="1">DATOSAÑO!AM181</f>
        <v>10.423999999999365</v>
      </c>
      <c r="AF182" s="11">
        <f ca="1">(AE182*DATOSAÑO!$Z$11)/DATOSAÑO!$Y$11</f>
        <v>0.18782653523903056</v>
      </c>
      <c r="AG182" s="9">
        <f ca="1">DATOSAÑO!AN181</f>
        <v>3.4339999999991813</v>
      </c>
      <c r="AH182" s="11">
        <f ca="1">(AG182*DATOSAÑO!$Z$11)/DATOSAÑO!$Y$11</f>
        <v>6.1876086148380319E-2</v>
      </c>
      <c r="AI182" s="9">
        <f ca="1">DATOSAÑO!BJ181</f>
        <v>0</v>
      </c>
      <c r="AJ182" s="11">
        <f ca="1">(AI182*DATOSAÑO!$Z$11)/DATOSAÑO!$Y$11</f>
        <v>0</v>
      </c>
      <c r="AK182" s="9">
        <f ca="1">DATOSAÑO!BM181</f>
        <v>2.4020000000000001</v>
      </c>
      <c r="AL182" s="11">
        <f ca="1">(AK182*DATOSAÑO!$Z$11)/DATOSAÑO!$Y$11</f>
        <v>4.3280826711836043E-2</v>
      </c>
      <c r="AM182" s="9">
        <f ca="1">DATOSAÑO!BP181</f>
        <v>5.3739999999999997</v>
      </c>
      <c r="AN182" s="11">
        <f ca="1">(AM182*DATOSAÑO!$Z$11)/DATOSAÑO!$Y$11</f>
        <v>9.683229090316689E-2</v>
      </c>
      <c r="AO182" s="9">
        <f ca="1">DATOSAÑO!BW181</f>
        <v>11.711999999999684</v>
      </c>
      <c r="AP182" s="11">
        <f ca="1">(AO182*DATOSAÑO!$Z$11)/DATOSAÑO!$Y$11</f>
        <v>0.21103457221024563</v>
      </c>
      <c r="AQ182" s="9">
        <f ca="1">DATOSAÑO!CC181</f>
        <v>2.8395999999996726</v>
      </c>
      <c r="AR182" s="1348">
        <f ca="1">(AQ182*DATOSAÑO!$Z$11)/DATOSAÑO!$Y$11</f>
        <v>5.1165793310122991E-2</v>
      </c>
      <c r="AS182" s="1384">
        <f t="shared" si="8"/>
        <v>25</v>
      </c>
    </row>
    <row r="183" spans="1:45">
      <c r="A183" s="1408">
        <v>45098</v>
      </c>
      <c r="B183" s="1869">
        <v>45098</v>
      </c>
      <c r="C183" s="9">
        <f ca="1">DATOSAÑO!I182</f>
        <v>289</v>
      </c>
      <c r="D183" s="10">
        <f ca="1">DATOSAÑO!$D182</f>
        <v>5.0361165285428688</v>
      </c>
      <c r="E183" s="11">
        <f ca="1">DATOSAÑO!$G182</f>
        <v>0</v>
      </c>
      <c r="F183" s="9">
        <f ca="1">DATOSAÑO!P182</f>
        <v>150</v>
      </c>
      <c r="G183" s="10">
        <f ca="1">DATOSAÑO!K182</f>
        <v>3.7562599314748999</v>
      </c>
      <c r="H183" s="11">
        <f ca="1">DATOSAÑO!N182</f>
        <v>0</v>
      </c>
      <c r="I183" s="9">
        <f ca="1">DATOSAÑO!Q182</f>
        <v>0</v>
      </c>
      <c r="J183" s="11">
        <f ca="1">DATOSAÑO!R182</f>
        <v>0</v>
      </c>
      <c r="K183" s="9">
        <f ca="1">DATOSAÑO!T182</f>
        <v>0</v>
      </c>
      <c r="L183" s="11">
        <f t="shared" ca="1" si="6"/>
        <v>0</v>
      </c>
      <c r="M183" s="9"/>
      <c r="N183" s="11">
        <f t="shared" si="7"/>
        <v>0</v>
      </c>
      <c r="O183" s="9">
        <f>DATOSAÑO!CK182</f>
        <v>0</v>
      </c>
      <c r="P183" s="9">
        <f>DATOSAÑO!CL182</f>
        <v>0</v>
      </c>
      <c r="Q183" s="9">
        <f ca="1">DATOSAÑO!AD182</f>
        <v>162</v>
      </c>
      <c r="R183" s="11">
        <f ca="1">(Q183*DATOSAÑO!$Z$11)/DATOSAÑO!$Y$11</f>
        <v>2.919023283645894</v>
      </c>
      <c r="S183" s="9">
        <f ca="1">DATOSAÑO!AF182</f>
        <v>152</v>
      </c>
      <c r="T183" s="11">
        <f ca="1">(S183*DATOSAÑO!$Z$11)/DATOSAÑO!$Y$11</f>
        <v>2.7388366611986168</v>
      </c>
      <c r="U183" s="9">
        <f ca="1">DATOSAÑO!AH182</f>
        <v>9.5999999999985448</v>
      </c>
      <c r="V183" s="11">
        <f ca="1">(U183*DATOSAÑO!$Z$11)/DATOSAÑO!$Y$11</f>
        <v>0.17297915754936011</v>
      </c>
      <c r="W183" s="9">
        <f ca="1">DATOSAÑO!AI182</f>
        <v>35.30000000000291</v>
      </c>
      <c r="X183" s="11">
        <f ca="1">(W183*DATOSAÑO!$Z$11)/DATOSAÑO!$Y$11</f>
        <v>0.63605877723894177</v>
      </c>
      <c r="Y183" s="9">
        <f ca="1">DATOSAÑO!AJ182</f>
        <v>6.8000000000029104</v>
      </c>
      <c r="Z183" s="11">
        <f ca="1">(Y183*DATOSAÑO!$Z$11)/DATOSAÑO!$Y$11</f>
        <v>0.12252690326420108</v>
      </c>
      <c r="AA183" s="9">
        <f ca="1">DATOSAÑO!AK182</f>
        <v>11</v>
      </c>
      <c r="AB183" s="11">
        <f ca="1">(AA183*DATOSAÑO!$Z$11)/DATOSAÑO!$Y$11</f>
        <v>0.19820528469200516</v>
      </c>
      <c r="AC183" s="9">
        <f ca="1">DATOSAÑO!AL182</f>
        <v>33.299999999995634</v>
      </c>
      <c r="AD183" s="11">
        <f ca="1">(AC183*DATOSAÑO!$Z$11)/DATOSAÑO!$Y$11</f>
        <v>0.60002145274935514</v>
      </c>
      <c r="AE183" s="9">
        <f ca="1">DATOSAÑO!AM182</f>
        <v>9.5543999999992817</v>
      </c>
      <c r="AF183" s="11">
        <f ca="1">(AE183*DATOSAÑO!$Z$11)/DATOSAÑO!$Y$11</f>
        <v>0.17215750655101378</v>
      </c>
      <c r="AG183" s="9">
        <f ca="1">DATOSAÑO!AN182</f>
        <v>4.1379999999999999</v>
      </c>
      <c r="AH183" s="11">
        <f ca="1">(AG183*DATOSAÑO!$Z$11)/DATOSAÑO!$Y$11</f>
        <v>7.4561224368683399E-2</v>
      </c>
      <c r="AI183" s="9">
        <f ca="1">DATOSAÑO!BJ182</f>
        <v>0.28159999999962748</v>
      </c>
      <c r="AJ183" s="11">
        <f ca="1">(AI183*DATOSAÑO!$Z$11)/DATOSAÑO!$Y$11</f>
        <v>5.0740552881086204E-3</v>
      </c>
      <c r="AK183" s="9">
        <f ca="1">DATOSAÑO!BM182</f>
        <v>2.1859999999999999</v>
      </c>
      <c r="AL183" s="11">
        <f ca="1">(AK183*DATOSAÑO!$Z$11)/DATOSAÑO!$Y$11</f>
        <v>3.9388795666974841E-2</v>
      </c>
      <c r="AM183" s="9">
        <f ca="1">DATOSAÑO!BP182</f>
        <v>5.1779999999999999</v>
      </c>
      <c r="AN183" s="11">
        <f ca="1">(AM183*DATOSAÑO!$Z$11)/DATOSAÑO!$Y$11</f>
        <v>9.3300633103200248E-2</v>
      </c>
      <c r="AO183" s="9">
        <f ca="1">DATOSAÑO!BW182</f>
        <v>11.077200000000733</v>
      </c>
      <c r="AP183" s="11">
        <f ca="1">(AO183*DATOSAÑO!$Z$11)/DATOSAÑO!$Y$11</f>
        <v>0.19959632541731137</v>
      </c>
      <c r="AQ183" s="9">
        <f ca="1">DATOSAÑO!CC182</f>
        <v>3.0171999999999999</v>
      </c>
      <c r="AR183" s="1348">
        <f ca="1">(AQ183*DATOSAÑO!$Z$11)/DATOSAÑO!$Y$11</f>
        <v>5.4365907724792537E-2</v>
      </c>
      <c r="AS183" s="1384">
        <f t="shared" si="8"/>
        <v>25</v>
      </c>
    </row>
    <row r="184" spans="1:45" ht="16.5" customHeight="1">
      <c r="A184" s="1408">
        <v>45099</v>
      </c>
      <c r="B184" s="1869">
        <v>45099</v>
      </c>
      <c r="C184" s="9">
        <f ca="1">DATOSAÑO!I183</f>
        <v>290</v>
      </c>
      <c r="D184" s="10">
        <f ca="1">DATOSAÑO!$D183</f>
        <v>5.0454379412483341</v>
      </c>
      <c r="E184" s="11">
        <f ca="1">DATOSAÑO!$G183</f>
        <v>0</v>
      </c>
      <c r="F184" s="9">
        <f ca="1">DATOSAÑO!P183</f>
        <v>154</v>
      </c>
      <c r="G184" s="10">
        <f ca="1">DATOSAÑO!K183</f>
        <v>3.7962088430697469</v>
      </c>
      <c r="H184" s="11">
        <f ca="1">DATOSAÑO!N183</f>
        <v>0</v>
      </c>
      <c r="I184" s="9">
        <f ca="1">DATOSAÑO!Q183</f>
        <v>8.0000000000381988E-3</v>
      </c>
      <c r="J184" s="11">
        <f ca="1">DATOSAÑO!R183</f>
        <v>0.96000000000458385</v>
      </c>
      <c r="K184" s="9">
        <f ca="1">DATOSAÑO!T183</f>
        <v>0</v>
      </c>
      <c r="L184" s="11">
        <f t="shared" ca="1" si="6"/>
        <v>0</v>
      </c>
      <c r="M184" s="9"/>
      <c r="N184" s="11">
        <f t="shared" si="7"/>
        <v>0</v>
      </c>
      <c r="O184" s="9">
        <f>DATOSAÑO!CK183</f>
        <v>0</v>
      </c>
      <c r="P184" s="9">
        <f>DATOSAÑO!CL183</f>
        <v>0</v>
      </c>
      <c r="Q184" s="9">
        <f ca="1">DATOSAÑO!AD183</f>
        <v>163</v>
      </c>
      <c r="R184" s="11">
        <f ca="1">(Q184*DATOSAÑO!$Z$11)/DATOSAÑO!$Y$11</f>
        <v>2.9370419458906221</v>
      </c>
      <c r="S184" s="9">
        <f ca="1">DATOSAÑO!AF183</f>
        <v>154</v>
      </c>
      <c r="T184" s="11">
        <f ca="1">(S184*DATOSAÑO!$Z$11)/DATOSAÑO!$Y$11</f>
        <v>2.7748739856880724</v>
      </c>
      <c r="U184" s="9">
        <f ca="1">DATOSAÑO!AH183</f>
        <v>11.200000000004366</v>
      </c>
      <c r="V184" s="11">
        <f ca="1">(U184*DATOSAÑO!$Z$11)/DATOSAÑO!$Y$11</f>
        <v>0.20180901714102936</v>
      </c>
      <c r="W184" s="9">
        <f ca="1">DATOSAÑO!AI183</f>
        <v>35.80000000000291</v>
      </c>
      <c r="X184" s="11">
        <f ca="1">(W184*DATOSAÑO!$Z$11)/DATOSAÑO!$Y$11</f>
        <v>0.64506810836130568</v>
      </c>
      <c r="Y184" s="9">
        <f ca="1">DATOSAÑO!AJ183</f>
        <v>6.3000000000029104</v>
      </c>
      <c r="Z184" s="11">
        <f ca="1">(Y184*DATOSAÑO!$Z$11)/DATOSAÑO!$Y$11</f>
        <v>0.11351757214183721</v>
      </c>
      <c r="AA184" s="9">
        <f ca="1">DATOSAÑO!AK183</f>
        <v>11</v>
      </c>
      <c r="AB184" s="11">
        <f ca="1">(AA184*DATOSAÑO!$Z$11)/DATOSAÑO!$Y$11</f>
        <v>0.19820528469200516</v>
      </c>
      <c r="AC184" s="9">
        <f ca="1">DATOSAÑO!AL183</f>
        <v>34.807999999988454</v>
      </c>
      <c r="AD184" s="11">
        <f ca="1">(AC184*DATOSAÑO!$Z$11)/DATOSAÑO!$Y$11</f>
        <v>0.62719359541427522</v>
      </c>
      <c r="AE184" s="9">
        <f ca="1">DATOSAÑO!AM183</f>
        <v>9.6330000000016192</v>
      </c>
      <c r="AF184" s="11">
        <f ca="1">(AE184*DATOSAÑO!$Z$11)/DATOSAÑO!$Y$11</f>
        <v>0.17357377340349153</v>
      </c>
      <c r="AG184" s="9">
        <f ca="1">DATOSAÑO!AN183</f>
        <v>3.9270000000001941</v>
      </c>
      <c r="AH184" s="11">
        <f ca="1">(AG184*DATOSAÑO!$Z$11)/DATOSAÑO!$Y$11</f>
        <v>7.0759286635049337E-2</v>
      </c>
      <c r="AI184" s="9">
        <f ca="1">DATOSAÑO!BJ183</f>
        <v>3.12</v>
      </c>
      <c r="AJ184" s="11">
        <f ca="1">(AI184*DATOSAÑO!$Z$11)/DATOSAÑO!$Y$11</f>
        <v>5.6218226203550554E-2</v>
      </c>
      <c r="AK184" s="9">
        <f ca="1">DATOSAÑO!BM183</f>
        <v>0.378</v>
      </c>
      <c r="AL184" s="11">
        <f ca="1">(AK184*DATOSAÑO!$Z$11)/DATOSAÑO!$Y$11</f>
        <v>6.8110543285070865E-3</v>
      </c>
      <c r="AM184" s="9">
        <f ca="1">DATOSAÑO!BP183</f>
        <v>2.9889999999999999</v>
      </c>
      <c r="AN184" s="11">
        <f ca="1">(AM184*DATOSAÑO!$Z$11)/DATOSAÑO!$Y$11</f>
        <v>5.3857781449491222E-2</v>
      </c>
      <c r="AO184" s="9">
        <f ca="1">DATOSAÑO!BW183</f>
        <v>11.216500000000446</v>
      </c>
      <c r="AP184" s="11">
        <f ca="1">(AO184*DATOSAÑO!$Z$11)/DATOSAÑO!$Y$11</f>
        <v>0.20210632506799675</v>
      </c>
      <c r="AQ184" s="9">
        <f ca="1">DATOSAÑO!CC183</f>
        <v>3.0238000000000778</v>
      </c>
      <c r="AR184" s="1348">
        <f ca="1">(AQ184*DATOSAÑO!$Z$11)/DATOSAÑO!$Y$11</f>
        <v>5.4484830895609154E-2</v>
      </c>
      <c r="AS184" s="1384">
        <f t="shared" si="8"/>
        <v>25</v>
      </c>
    </row>
    <row r="185" spans="1:45">
      <c r="A185" s="1408">
        <v>45100</v>
      </c>
      <c r="B185" s="1869">
        <v>45100</v>
      </c>
      <c r="C185" s="9">
        <f ca="1">DATOSAÑO!I184</f>
        <v>292</v>
      </c>
      <c r="D185" s="10">
        <f ca="1">DATOSAÑO!$D184</f>
        <v>5.064080766659262</v>
      </c>
      <c r="E185" s="11">
        <f ca="1">DATOSAÑO!$G184</f>
        <v>0</v>
      </c>
      <c r="F185" s="9">
        <f ca="1">DATOSAÑO!P184</f>
        <v>144</v>
      </c>
      <c r="G185" s="10">
        <f ca="1">DATOSAÑO!K184</f>
        <v>3.69633656408263</v>
      </c>
      <c r="H185" s="11">
        <f ca="1">DATOSAÑO!N184</f>
        <v>0</v>
      </c>
      <c r="I185" s="9">
        <f ca="1">DATOSAÑO!Q184</f>
        <v>0</v>
      </c>
      <c r="J185" s="11">
        <f ca="1">DATOSAÑO!R184</f>
        <v>0</v>
      </c>
      <c r="K185" s="9">
        <f ca="1">DATOSAÑO!T184</f>
        <v>0</v>
      </c>
      <c r="L185" s="11">
        <f t="shared" ca="1" si="6"/>
        <v>0</v>
      </c>
      <c r="M185" s="9"/>
      <c r="N185" s="11">
        <f t="shared" si="7"/>
        <v>0</v>
      </c>
      <c r="O185" s="9">
        <f>DATOSAÑO!CK184</f>
        <v>0</v>
      </c>
      <c r="P185" s="9">
        <f>DATOSAÑO!CL184</f>
        <v>0</v>
      </c>
      <c r="Q185" s="9">
        <f ca="1">DATOSAÑO!AD184</f>
        <v>161</v>
      </c>
      <c r="R185" s="11">
        <f ca="1">(Q185*DATOSAÑO!$Z$11)/DATOSAÑO!$Y$11</f>
        <v>2.9010046214011664</v>
      </c>
      <c r="S185" s="9">
        <f ca="1">DATOSAÑO!AF184</f>
        <v>152</v>
      </c>
      <c r="T185" s="11">
        <f ca="1">(S185*DATOSAÑO!$Z$11)/DATOSAÑO!$Y$11</f>
        <v>2.7388366611986168</v>
      </c>
      <c r="U185" s="9">
        <f ca="1">DATOSAÑO!AH184</f>
        <v>8</v>
      </c>
      <c r="V185" s="11">
        <f ca="1">(U185*DATOSAÑO!$Z$11)/DATOSAÑO!$Y$11</f>
        <v>0.14414929795782194</v>
      </c>
      <c r="W185" s="9">
        <f ca="1">DATOSAÑO!AI184</f>
        <v>36.19999999999709</v>
      </c>
      <c r="X185" s="11">
        <f ca="1">(W185*DATOSAÑO!$Z$11)/DATOSAÑO!$Y$11</f>
        <v>0.6522755732590918</v>
      </c>
      <c r="Y185" s="9">
        <f ca="1">DATOSAÑO!AJ184</f>
        <v>6.8000000000029104</v>
      </c>
      <c r="Z185" s="11">
        <f ca="1">(Y185*DATOSAÑO!$Z$11)/DATOSAÑO!$Y$11</f>
        <v>0.12252690326420108</v>
      </c>
      <c r="AA185" s="9">
        <f ca="1">DATOSAÑO!AK184</f>
        <v>11</v>
      </c>
      <c r="AB185" s="11">
        <f ca="1">(AA185*DATOSAÑO!$Z$11)/DATOSAÑO!$Y$11</f>
        <v>0.19820528469200516</v>
      </c>
      <c r="AC185" s="9">
        <f ca="1">DATOSAÑO!AL184</f>
        <v>33.799999999999329</v>
      </c>
      <c r="AD185" s="11">
        <f ca="1">(AC185*DATOSAÑO!$Z$11)/DATOSAÑO!$Y$11</f>
        <v>0.60903078387178555</v>
      </c>
      <c r="AE185" s="9">
        <f ca="1">DATOSAÑO!AM184</f>
        <v>8.5300000000012695</v>
      </c>
      <c r="AF185" s="11">
        <f ca="1">(AE185*DATOSAÑO!$Z$11)/DATOSAÑO!$Y$11</f>
        <v>0.15369918894755052</v>
      </c>
      <c r="AG185" s="9">
        <f ca="1">DATOSAÑO!AN184</f>
        <v>3.9020000000001822</v>
      </c>
      <c r="AH185" s="11">
        <f ca="1">(AG185*DATOSAÑO!$Z$11)/DATOSAÑO!$Y$11</f>
        <v>7.0308820078930939E-2</v>
      </c>
      <c r="AI185" s="9">
        <f ca="1">DATOSAÑO!BJ184</f>
        <v>3.12</v>
      </c>
      <c r="AJ185" s="11">
        <f ca="1">(AI185*DATOSAÑO!$Z$11)/DATOSAÑO!$Y$11</f>
        <v>5.6218226203550554E-2</v>
      </c>
      <c r="AK185" s="9">
        <f ca="1">DATOSAÑO!BM184</f>
        <v>3.95</v>
      </c>
      <c r="AL185" s="11">
        <f ca="1">(AK185*DATOSAÑO!$Z$11)/DATOSAÑO!$Y$11</f>
        <v>7.1173715866674592E-2</v>
      </c>
      <c r="AM185" s="9">
        <f ca="1">DATOSAÑO!BP184</f>
        <v>0</v>
      </c>
      <c r="AN185" s="11">
        <f ca="1">(AM185*DATOSAÑO!$Z$11)/DATOSAÑO!$Y$11</f>
        <v>0</v>
      </c>
      <c r="AO185" s="9">
        <f ca="1">DATOSAÑO!BW184</f>
        <v>10.564999999999907</v>
      </c>
      <c r="AP185" s="11">
        <f ca="1">(AO185*DATOSAÑO!$Z$11)/DATOSAÑO!$Y$11</f>
        <v>0.19036716661554695</v>
      </c>
      <c r="AQ185" s="9">
        <f ca="1">DATOSAÑO!CC184</f>
        <v>2.9588000000000729</v>
      </c>
      <c r="AR185" s="1348">
        <f ca="1">(AQ185*DATOSAÑO!$Z$11)/DATOSAÑO!$Y$11</f>
        <v>5.3313617849701754E-2</v>
      </c>
      <c r="AS185" s="1384">
        <f t="shared" si="8"/>
        <v>25</v>
      </c>
    </row>
    <row r="186" spans="1:45" ht="16.5" customHeight="1">
      <c r="A186" s="1408">
        <v>45101</v>
      </c>
      <c r="B186" s="1869">
        <v>45101</v>
      </c>
      <c r="C186" s="9">
        <f ca="1">DATOSAÑO!I185</f>
        <v>296</v>
      </c>
      <c r="D186" s="10">
        <f ca="1">DATOSAÑO!$D185</f>
        <v>5.1013664174811186</v>
      </c>
      <c r="E186" s="11">
        <f ca="1">DATOSAÑO!$G185</f>
        <v>0</v>
      </c>
      <c r="F186" s="9">
        <f ca="1">DATOSAÑO!P185</f>
        <v>146</v>
      </c>
      <c r="G186" s="10">
        <f ca="1">DATOSAÑO!K185</f>
        <v>3.7163110198800533</v>
      </c>
      <c r="H186" s="11">
        <f ca="1">DATOSAÑO!N185</f>
        <v>0</v>
      </c>
      <c r="I186" s="9">
        <f ca="1">DATOSAÑO!Q185</f>
        <v>0</v>
      </c>
      <c r="J186" s="11">
        <f ca="1">DATOSAÑO!R185</f>
        <v>0</v>
      </c>
      <c r="K186" s="9">
        <f ca="1">DATOSAÑO!T185</f>
        <v>0</v>
      </c>
      <c r="L186" s="11">
        <f t="shared" ca="1" si="6"/>
        <v>0</v>
      </c>
      <c r="M186" s="9"/>
      <c r="N186" s="11">
        <f t="shared" si="7"/>
        <v>0</v>
      </c>
      <c r="O186" s="9">
        <f>DATOSAÑO!CK185</f>
        <v>0</v>
      </c>
      <c r="P186" s="9">
        <f>DATOSAÑO!CL185</f>
        <v>0</v>
      </c>
      <c r="Q186" s="9">
        <f ca="1">DATOSAÑO!AD185</f>
        <v>164</v>
      </c>
      <c r="R186" s="11">
        <f ca="1">(Q186*DATOSAÑO!$Z$11)/DATOSAÑO!$Y$11</f>
        <v>2.9550606081353497</v>
      </c>
      <c r="S186" s="9">
        <f ca="1">DATOSAÑO!AF185</f>
        <v>152</v>
      </c>
      <c r="T186" s="11">
        <f ca="1">(S186*DATOSAÑO!$Z$11)/DATOSAÑO!$Y$11</f>
        <v>2.7388366611986168</v>
      </c>
      <c r="U186" s="9">
        <f ca="1">DATOSAÑO!AH185</f>
        <v>9.1999999999989086</v>
      </c>
      <c r="V186" s="11">
        <f ca="1">(U186*DATOSAÑO!$Z$11)/DATOSAÑO!$Y$11</f>
        <v>0.16577169265147557</v>
      </c>
      <c r="W186" s="9">
        <f ca="1">DATOSAÑO!AI185</f>
        <v>37.399999999994179</v>
      </c>
      <c r="X186" s="11">
        <f ca="1">(W186*DATOSAÑO!$Z$11)/DATOSAÑO!$Y$11</f>
        <v>0.67389796795271262</v>
      </c>
      <c r="Y186" s="9">
        <f ca="1">DATOSAÑO!AJ185</f>
        <v>6.5999999999912689</v>
      </c>
      <c r="Z186" s="11">
        <f ca="1">(Y186*DATOSAÑO!$Z$11)/DATOSAÑO!$Y$11</f>
        <v>0.11892317081504578</v>
      </c>
      <c r="AA186" s="9">
        <f ca="1">DATOSAÑO!AK185</f>
        <v>10</v>
      </c>
      <c r="AB186" s="11">
        <f ca="1">(AA186*DATOSAÑO!$Z$11)/DATOSAÑO!$Y$11</f>
        <v>0.18018662244727743</v>
      </c>
      <c r="AC186" s="9">
        <f ca="1">DATOSAÑO!AL185</f>
        <v>34.3000000000157</v>
      </c>
      <c r="AD186" s="11">
        <f ca="1">(AC186*DATOSAÑO!$Z$11)/DATOSAÑO!$Y$11</f>
        <v>0.61804011499444433</v>
      </c>
      <c r="AE186" s="9">
        <f ca="1">DATOSAÑO!AM185</f>
        <v>10.740000000000174</v>
      </c>
      <c r="AF186" s="11">
        <f ca="1">(AE186*DATOSAÑO!$Z$11)/DATOSAÑO!$Y$11</f>
        <v>0.19352043250837908</v>
      </c>
      <c r="AG186" s="9">
        <f ca="1">DATOSAÑO!AN185</f>
        <v>3.825999999999818</v>
      </c>
      <c r="AH186" s="11">
        <f ca="1">(AG186*DATOSAÑO!$Z$11)/DATOSAÑO!$Y$11</f>
        <v>6.8939401748325066E-2</v>
      </c>
      <c r="AI186" s="9">
        <f ca="1">DATOSAÑO!BJ185</f>
        <v>3.1680000000000001</v>
      </c>
      <c r="AJ186" s="11">
        <f ca="1">(AI186*DATOSAÑO!$Z$11)/DATOSAÑO!$Y$11</f>
        <v>5.7083121991297489E-2</v>
      </c>
      <c r="AK186" s="9">
        <f ca="1">DATOSAÑO!BM185</f>
        <v>3.8919999999999999</v>
      </c>
      <c r="AL186" s="11">
        <f ca="1">(AK186*DATOSAÑO!$Z$11)/DATOSAÑO!$Y$11</f>
        <v>7.0128633456480363E-2</v>
      </c>
      <c r="AM186" s="9">
        <f ca="1">DATOSAÑO!BP185</f>
        <v>0</v>
      </c>
      <c r="AN186" s="11">
        <f ca="1">(AM186*DATOSAÑO!$Z$11)/DATOSAÑO!$Y$11</f>
        <v>0</v>
      </c>
      <c r="AO186" s="9">
        <f ca="1">DATOSAÑO!BW185</f>
        <v>10.870000000000086</v>
      </c>
      <c r="AP186" s="11">
        <f ca="1">(AO186*DATOSAÑO!$Z$11)/DATOSAÑO!$Y$11</f>
        <v>0.19586285860019209</v>
      </c>
      <c r="AQ186" s="9">
        <f ca="1">DATOSAÑO!CC185</f>
        <v>2.9043999999999275</v>
      </c>
      <c r="AR186" s="1348">
        <f ca="1">(AQ186*DATOSAÑO!$Z$11)/DATOSAÑO!$Y$11</f>
        <v>5.2333402623585948E-2</v>
      </c>
      <c r="AS186" s="1384">
        <f t="shared" si="8"/>
        <v>25</v>
      </c>
    </row>
    <row r="187" spans="1:45">
      <c r="A187" s="1408">
        <v>45102</v>
      </c>
      <c r="B187" s="1869">
        <v>45102</v>
      </c>
      <c r="C187" s="9">
        <f ca="1">DATOSAÑO!I186</f>
        <v>293</v>
      </c>
      <c r="D187" s="10">
        <f ca="1">DATOSAÑO!$D186</f>
        <v>5.0734021793647264</v>
      </c>
      <c r="E187" s="11">
        <f ca="1">DATOSAÑO!$G186</f>
        <v>0</v>
      </c>
      <c r="F187" s="9">
        <f ca="1">DATOSAÑO!P186</f>
        <v>151</v>
      </c>
      <c r="G187" s="10">
        <f ca="1">DATOSAÑO!K186</f>
        <v>3.766247159373612</v>
      </c>
      <c r="H187" s="11">
        <f ca="1">DATOSAÑO!N186</f>
        <v>0</v>
      </c>
      <c r="I187" s="9">
        <f ca="1">DATOSAÑO!Q186</f>
        <v>0</v>
      </c>
      <c r="J187" s="11">
        <f ca="1">DATOSAÑO!R186</f>
        <v>0</v>
      </c>
      <c r="K187" s="9">
        <f ca="1">DATOSAÑO!T186</f>
        <v>0</v>
      </c>
      <c r="L187" s="11">
        <f t="shared" ca="1" si="6"/>
        <v>0</v>
      </c>
      <c r="M187" s="9"/>
      <c r="N187" s="11">
        <f t="shared" si="7"/>
        <v>0</v>
      </c>
      <c r="O187" s="9">
        <f>DATOSAÑO!CK186</f>
        <v>0</v>
      </c>
      <c r="P187" s="9">
        <f>DATOSAÑO!CL186</f>
        <v>0</v>
      </c>
      <c r="Q187" s="9">
        <f ca="1">DATOSAÑO!AD186</f>
        <v>162</v>
      </c>
      <c r="R187" s="11">
        <f ca="1">(Q187*DATOSAÑO!$Z$11)/DATOSAÑO!$Y$11</f>
        <v>2.919023283645894</v>
      </c>
      <c r="S187" s="9">
        <f ca="1">DATOSAÑO!AF186</f>
        <v>154</v>
      </c>
      <c r="T187" s="11">
        <f ca="1">(S187*DATOSAÑO!$Z$11)/DATOSAÑO!$Y$11</f>
        <v>2.7748739856880724</v>
      </c>
      <c r="U187" s="9">
        <f ca="1">DATOSAÑO!AH186</f>
        <v>11.69999999999709</v>
      </c>
      <c r="V187" s="11">
        <f ca="1">(U187*DATOSAÑO!$Z$11)/DATOSAÑO!$Y$11</f>
        <v>0.21081834826326212</v>
      </c>
      <c r="W187" s="9">
        <f ca="1">DATOSAÑO!AI186</f>
        <v>37.200000000011642</v>
      </c>
      <c r="X187" s="11">
        <f ca="1">(W187*DATOSAÑO!$Z$11)/DATOSAÑO!$Y$11</f>
        <v>0.67029423550408174</v>
      </c>
      <c r="Y187" s="9">
        <f ca="1">DATOSAÑO!AJ186</f>
        <v>7.1000000000058208</v>
      </c>
      <c r="Z187" s="11">
        <f ca="1">(Y187*DATOSAÑO!$Z$11)/DATOSAÑO!$Y$11</f>
        <v>0.12793250193767186</v>
      </c>
      <c r="AA187" s="9">
        <f ca="1">DATOSAÑO!AK186</f>
        <v>11</v>
      </c>
      <c r="AB187" s="11">
        <f ca="1">(AA187*DATOSAÑO!$Z$11)/DATOSAÑO!$Y$11</f>
        <v>0.19820528469200516</v>
      </c>
      <c r="AC187" s="9">
        <f ca="1">DATOSAÑO!AL186</f>
        <v>33.399999999986846</v>
      </c>
      <c r="AD187" s="11">
        <f ca="1">(AC187*DATOSAÑO!$Z$11)/DATOSAÑO!$Y$11</f>
        <v>0.60182331897366959</v>
      </c>
      <c r="AE187" s="9">
        <f ca="1">DATOSAÑO!AM186</f>
        <v>10.818399999996432</v>
      </c>
      <c r="AF187" s="11">
        <f ca="1">(AE187*DATOSAÑO!$Z$11)/DATOSAÑO!$Y$11</f>
        <v>0.19493309562829833</v>
      </c>
      <c r="AG187" s="9">
        <f ca="1">DATOSAÑO!AN186</f>
        <v>4.1260000000004542</v>
      </c>
      <c r="AH187" s="11">
        <f ca="1">(AG187*DATOSAÑO!$Z$11)/DATOSAÑO!$Y$11</f>
        <v>7.4345000421754848E-2</v>
      </c>
      <c r="AI187" s="9">
        <f ca="1">DATOSAÑO!BJ186</f>
        <v>3.1096000000005586</v>
      </c>
      <c r="AJ187" s="11">
        <f ca="1">(AI187*DATOSAÑO!$Z$11)/DATOSAÑO!$Y$11</f>
        <v>5.603083211621545E-2</v>
      </c>
      <c r="AK187" s="9">
        <f ca="1">DATOSAÑO!BM186</f>
        <v>3.8719999999999999</v>
      </c>
      <c r="AL187" s="11">
        <f ca="1">(AK187*DATOSAÑO!$Z$11)/DATOSAÑO!$Y$11</f>
        <v>6.9768260211585817E-2</v>
      </c>
      <c r="AM187" s="9">
        <f ca="1">DATOSAÑO!BP186</f>
        <v>0</v>
      </c>
      <c r="AN187" s="11">
        <f ca="1">(AM187*DATOSAÑO!$Z$11)/DATOSAÑO!$Y$11</f>
        <v>0</v>
      </c>
      <c r="AO187" s="9">
        <f ca="1">DATOSAÑO!BW186</f>
        <v>9.7091999999993064</v>
      </c>
      <c r="AP187" s="11">
        <f ca="1">(AO187*DATOSAÑO!$Z$11)/DATOSAÑO!$Y$11</f>
        <v>0.17494679546649811</v>
      </c>
      <c r="AQ187" s="9">
        <f ca="1">DATOSAÑO!CC186</f>
        <v>3.0244000000001821</v>
      </c>
      <c r="AR187" s="1348">
        <f ca="1">(AQ187*DATOSAÑO!$Z$11)/DATOSAÑO!$Y$11</f>
        <v>5.4495642092957867E-2</v>
      </c>
      <c r="AS187" s="1384">
        <f t="shared" si="8"/>
        <v>26</v>
      </c>
    </row>
    <row r="188" spans="1:45" ht="16.5" customHeight="1">
      <c r="A188" s="1408">
        <v>45103</v>
      </c>
      <c r="B188" s="1869">
        <v>45103</v>
      </c>
      <c r="C188" s="9">
        <f ca="1">DATOSAÑO!I187</f>
        <v>294</v>
      </c>
      <c r="D188" s="10">
        <f ca="1">DATOSAÑO!$D187</f>
        <v>5.0827235920701908</v>
      </c>
      <c r="E188" s="11">
        <f ca="1">DATOSAÑO!$G187</f>
        <v>0</v>
      </c>
      <c r="F188" s="9">
        <f ca="1">DATOSAÑO!P187</f>
        <v>146</v>
      </c>
      <c r="G188" s="10">
        <f ca="1">DATOSAÑO!K187</f>
        <v>3.7163110198800533</v>
      </c>
      <c r="H188" s="11">
        <f ca="1">DATOSAÑO!N187</f>
        <v>0</v>
      </c>
      <c r="I188" s="9">
        <f ca="1">DATOSAÑO!Q187</f>
        <v>0</v>
      </c>
      <c r="J188" s="11">
        <f ca="1">DATOSAÑO!R187</f>
        <v>0</v>
      </c>
      <c r="K188" s="9">
        <f ca="1">DATOSAÑO!T187</f>
        <v>0</v>
      </c>
      <c r="L188" s="11">
        <f t="shared" ca="1" si="6"/>
        <v>0</v>
      </c>
      <c r="M188" s="9"/>
      <c r="N188" s="11">
        <f t="shared" si="7"/>
        <v>0</v>
      </c>
      <c r="O188" s="9">
        <f>DATOSAÑO!CK187</f>
        <v>0</v>
      </c>
      <c r="P188" s="9">
        <f>DATOSAÑO!CL187</f>
        <v>0</v>
      </c>
      <c r="Q188" s="9">
        <f ca="1">DATOSAÑO!AD187</f>
        <v>162</v>
      </c>
      <c r="R188" s="11">
        <f ca="1">(Q188*DATOSAÑO!$Z$11)/DATOSAÑO!$Y$11</f>
        <v>2.919023283645894</v>
      </c>
      <c r="S188" s="9">
        <f ca="1">DATOSAÑO!AF187</f>
        <v>152</v>
      </c>
      <c r="T188" s="11">
        <f ca="1">(S188*DATOSAÑO!$Z$11)/DATOSAÑO!$Y$11</f>
        <v>2.7388366611986168</v>
      </c>
      <c r="U188" s="9">
        <f ca="1">DATOSAÑO!AH187</f>
        <v>11</v>
      </c>
      <c r="V188" s="11">
        <f ca="1">(U188*DATOSAÑO!$Z$11)/DATOSAÑO!$Y$11</f>
        <v>0.19820528469200516</v>
      </c>
      <c r="W188" s="9">
        <f ca="1">DATOSAÑO!AI187</f>
        <v>36.899999999994179</v>
      </c>
      <c r="X188" s="11">
        <f ca="1">(W188*DATOSAÑO!$Z$11)/DATOSAÑO!$Y$11</f>
        <v>0.66488863683034871</v>
      </c>
      <c r="Y188" s="9">
        <f ca="1">DATOSAÑO!AJ187</f>
        <v>5.5</v>
      </c>
      <c r="Z188" s="11">
        <f ca="1">(Y188*DATOSAÑO!$Z$11)/DATOSAÑO!$Y$11</f>
        <v>9.9102642346002578E-2</v>
      </c>
      <c r="AA188" s="9">
        <f ca="1">DATOSAÑO!AK187</f>
        <v>10</v>
      </c>
      <c r="AB188" s="11">
        <f ca="1">(AA188*DATOSAÑO!$Z$11)/DATOSAÑO!$Y$11</f>
        <v>0.18018662244727743</v>
      </c>
      <c r="AC188" s="9">
        <f ca="1">DATOSAÑO!AL187</f>
        <v>33.800000000006492</v>
      </c>
      <c r="AD188" s="11">
        <f ca="1">(AC188*DATOSAÑO!$Z$11)/DATOSAÑO!$Y$11</f>
        <v>0.60903078387191467</v>
      </c>
      <c r="AE188" s="9">
        <f ca="1">DATOSAÑO!AM187</f>
        <v>12.732000000000369</v>
      </c>
      <c r="AF188" s="11">
        <f ca="1">(AE188*DATOSAÑO!$Z$11)/DATOSAÑO!$Y$11</f>
        <v>0.22941360769988028</v>
      </c>
      <c r="AG188" s="9">
        <f ca="1">DATOSAÑO!AN187</f>
        <v>3.6039999999996359</v>
      </c>
      <c r="AH188" s="11">
        <f ca="1">(AG188*DATOSAÑO!$Z$11)/DATOSAÑO!$Y$11</f>
        <v>6.4939258729992219E-2</v>
      </c>
      <c r="AI188" s="9">
        <f ca="1">DATOSAÑO!BJ187</f>
        <v>3.1</v>
      </c>
      <c r="AJ188" s="11">
        <f ca="1">(AI188*DATOSAÑO!$Z$11)/DATOSAÑO!$Y$11</f>
        <v>5.5857852958656001E-2</v>
      </c>
      <c r="AK188" s="9">
        <f ca="1">DATOSAÑO!BM187</f>
        <v>3.7679999999999998</v>
      </c>
      <c r="AL188" s="11">
        <f ca="1">(AK188*DATOSAÑO!$Z$11)/DATOSAÑO!$Y$11</f>
        <v>6.7894319338134126E-2</v>
      </c>
      <c r="AM188" s="9">
        <f ca="1">DATOSAÑO!BP187</f>
        <v>0</v>
      </c>
      <c r="AN188" s="11">
        <f ca="1">(AM188*DATOSAÑO!$Z$11)/DATOSAÑO!$Y$11</f>
        <v>0</v>
      </c>
      <c r="AO188" s="9">
        <f ca="1">DATOSAÑO!BW187</f>
        <v>10.665999999999457</v>
      </c>
      <c r="AP188" s="11">
        <f ca="1">(AO188*DATOSAÑO!$Z$11)/DATOSAÑO!$Y$11</f>
        <v>0.19218705150225632</v>
      </c>
      <c r="AQ188" s="9">
        <f ca="1">DATOSAÑO!CC187</f>
        <v>2.7375999999998548</v>
      </c>
      <c r="AR188" s="1348">
        <f ca="1">(AQ188*DATOSAÑO!$Z$11)/DATOSAÑO!$Y$11</f>
        <v>4.9327889761164048E-2</v>
      </c>
      <c r="AS188" s="1384">
        <f t="shared" si="8"/>
        <v>26</v>
      </c>
    </row>
    <row r="189" spans="1:45">
      <c r="A189" s="1408">
        <v>45104</v>
      </c>
      <c r="B189" s="1869">
        <v>45104</v>
      </c>
      <c r="C189" s="9">
        <f ca="1">DATOSAÑO!I188</f>
        <v>289.06000000005588</v>
      </c>
      <c r="D189" s="10">
        <f ca="1">DATOSAÑO!$D188</f>
        <v>5.0366758133057177</v>
      </c>
      <c r="E189" s="11">
        <f ca="1">DATOSAÑO!$G188</f>
        <v>0</v>
      </c>
      <c r="F189" s="9">
        <f ca="1">DATOSAÑO!P188</f>
        <v>145.9800000000032</v>
      </c>
      <c r="G189" s="10">
        <f ca="1">DATOSAÑO!K188</f>
        <v>3.7161112753221111</v>
      </c>
      <c r="H189" s="11">
        <f ca="1">DATOSAÑO!N188</f>
        <v>0</v>
      </c>
      <c r="I189" s="9">
        <f ca="1">DATOSAÑO!Q188</f>
        <v>0.18599999999992178</v>
      </c>
      <c r="J189" s="11">
        <f ca="1">DATOSAÑO!R188</f>
        <v>22.319999999990614</v>
      </c>
      <c r="K189" s="9">
        <f ca="1">DATOSAÑO!T188</f>
        <v>0.25300000000004275</v>
      </c>
      <c r="L189" s="11">
        <f t="shared" ca="1" si="6"/>
        <v>30.36000000000513</v>
      </c>
      <c r="M189" s="9"/>
      <c r="N189" s="11">
        <f t="shared" si="7"/>
        <v>0</v>
      </c>
      <c r="O189" s="9">
        <f>DATOSAÑO!CK188</f>
        <v>0</v>
      </c>
      <c r="P189" s="9">
        <f>DATOSAÑO!CL188</f>
        <v>0</v>
      </c>
      <c r="Q189" s="9">
        <f ca="1">DATOSAÑO!AD188</f>
        <v>161.60000000000036</v>
      </c>
      <c r="R189" s="11">
        <f ca="1">(Q189*DATOSAÑO!$Z$11)/DATOSAÑO!$Y$11</f>
        <v>2.9118158187480097</v>
      </c>
      <c r="S189" s="9">
        <f ca="1">DATOSAÑO!AF188</f>
        <v>150.70000000001164</v>
      </c>
      <c r="T189" s="11">
        <f ca="1">(S189*DATOSAÑO!$Z$11)/DATOSAÑO!$Y$11</f>
        <v>2.7154124002806808</v>
      </c>
      <c r="U189" s="9">
        <f ca="1">DATOSAÑO!AH188</f>
        <v>12.700000000004366</v>
      </c>
      <c r="V189" s="11">
        <f ca="1">(U189*DATOSAÑO!$Z$11)/DATOSAÑO!$Y$11</f>
        <v>0.228837010508121</v>
      </c>
      <c r="W189" s="9">
        <f ca="1">DATOSAÑO!AI188</f>
        <v>34.350000000005821</v>
      </c>
      <c r="X189" s="11">
        <f ca="1">(W189*DATOSAÑO!$Z$11)/DATOSAÑO!$Y$11</f>
        <v>0.61894104810650286</v>
      </c>
      <c r="Y189" s="9">
        <f ca="1">DATOSAÑO!AJ188</f>
        <v>6.1799999999930151</v>
      </c>
      <c r="Z189" s="11">
        <f ca="1">(Y189*DATOSAÑO!$Z$11)/DATOSAÑO!$Y$11</f>
        <v>0.1113553326722916</v>
      </c>
      <c r="AA189" s="9">
        <f ca="1">DATOSAÑO!AK188</f>
        <v>9.6799999999930151</v>
      </c>
      <c r="AB189" s="11">
        <f ca="1">(AA189*DATOSAÑO!$Z$11)/DATOSAÑO!$Y$11</f>
        <v>0.17442065052883871</v>
      </c>
      <c r="AC189" s="9">
        <f ca="1">DATOSAÑO!AL188</f>
        <v>31.969000000037113</v>
      </c>
      <c r="AD189" s="11">
        <f ca="1">(AC189*DATOSAÑO!$Z$11)/DATOSAÑO!$Y$11</f>
        <v>0.57603861330236994</v>
      </c>
      <c r="AE189" s="9">
        <f ca="1">DATOSAÑO!AM188</f>
        <v>13.560000000013289</v>
      </c>
      <c r="AF189" s="11">
        <f ca="1">(AE189*DATOSAÑO!$Z$11)/DATOSAÑO!$Y$11</f>
        <v>0.24433306003874763</v>
      </c>
      <c r="AG189" s="9">
        <f ca="1">DATOSAÑO!AN188</f>
        <v>2.240000000000606</v>
      </c>
      <c r="AH189" s="11">
        <f ca="1">(AG189*DATOSAÑO!$Z$11)/DATOSAÑO!$Y$11</f>
        <v>4.036180342820106E-2</v>
      </c>
      <c r="AI189" s="9">
        <f ca="1">DATOSAÑO!BJ188</f>
        <v>2.2799999999999998</v>
      </c>
      <c r="AJ189" s="11">
        <f ca="1">(AI189*DATOSAÑO!$Z$11)/DATOSAÑO!$Y$11</f>
        <v>4.1082549917979251E-2</v>
      </c>
      <c r="AK189" s="9">
        <f ca="1">DATOSAÑO!BM188</f>
        <v>3.7839999999999998</v>
      </c>
      <c r="AL189" s="11">
        <f ca="1">(AK189*DATOSAÑO!$Z$11)/DATOSAÑO!$Y$11</f>
        <v>6.8182617934049783E-2</v>
      </c>
      <c r="AM189" s="9">
        <f ca="1">DATOSAÑO!BP188</f>
        <v>0.35599999999999998</v>
      </c>
      <c r="AN189" s="11">
        <f ca="1">(AM189*DATOSAÑO!$Z$11)/DATOSAÑO!$Y$11</f>
        <v>6.4146437591230754E-3</v>
      </c>
      <c r="AO189" s="9">
        <f ca="1">DATOSAÑO!BW188</f>
        <v>11.360000000006572</v>
      </c>
      <c r="AP189" s="11">
        <f ca="1">(AO189*DATOSAÑO!$Z$11)/DATOSAÑO!$Y$11</f>
        <v>0.20469200310022559</v>
      </c>
      <c r="AQ189" s="9">
        <f ca="1">DATOSAÑO!CC188</f>
        <v>2.3960000000002424</v>
      </c>
      <c r="AR189" s="1348">
        <f ca="1">(AQ189*DATOSAÑO!$Z$11)/DATOSAÑO!$Y$11</f>
        <v>4.3172714738372045E-2</v>
      </c>
      <c r="AS189" s="1384">
        <f t="shared" si="8"/>
        <v>26</v>
      </c>
    </row>
    <row r="190" spans="1:45" ht="16.5" customHeight="1">
      <c r="A190" s="1408">
        <v>45105</v>
      </c>
      <c r="B190" s="1869">
        <v>45105</v>
      </c>
      <c r="C190" s="9">
        <f ca="1">DATOSAÑO!I189</f>
        <v>283.39999999990687</v>
      </c>
      <c r="D190" s="10">
        <f ca="1">DATOSAÑO!$D189</f>
        <v>4.9839166173914018</v>
      </c>
      <c r="E190" s="11">
        <f ca="1">DATOSAÑO!$G189</f>
        <v>0</v>
      </c>
      <c r="F190" s="9">
        <f ca="1">DATOSAÑO!P189</f>
        <v>146.56999999999971</v>
      </c>
      <c r="G190" s="10">
        <f ca="1">DATOSAÑO!K189</f>
        <v>3.7220037397823162</v>
      </c>
      <c r="H190" s="11">
        <f ca="1">DATOSAÑO!N189</f>
        <v>0</v>
      </c>
      <c r="I190" s="9">
        <f ca="1">DATOSAÑO!Q189</f>
        <v>0</v>
      </c>
      <c r="J190" s="11">
        <f ca="1">DATOSAÑO!R189</f>
        <v>0</v>
      </c>
      <c r="K190" s="9">
        <f ca="1">DATOSAÑO!T189</f>
        <v>0</v>
      </c>
      <c r="L190" s="11">
        <f t="shared" ca="1" si="6"/>
        <v>0</v>
      </c>
      <c r="M190" s="9"/>
      <c r="N190" s="11">
        <f t="shared" si="7"/>
        <v>0</v>
      </c>
      <c r="O190" s="9">
        <f>DATOSAÑO!CK189</f>
        <v>0</v>
      </c>
      <c r="P190" s="9">
        <f>DATOSAÑO!CL189</f>
        <v>0</v>
      </c>
      <c r="Q190" s="9">
        <f ca="1">DATOSAÑO!AD189</f>
        <v>160.77999999999884</v>
      </c>
      <c r="R190" s="11">
        <f ca="1">(Q190*DATOSAÑO!$Z$11)/DATOSAÑO!$Y$11</f>
        <v>2.8970405157073054</v>
      </c>
      <c r="S190" s="9">
        <f ca="1">DATOSAÑO!AF189</f>
        <v>150.32000000000698</v>
      </c>
      <c r="T190" s="11">
        <f ca="1">(S190*DATOSAÑO!$Z$11)/DATOSAÑO!$Y$11</f>
        <v>2.7085653086276</v>
      </c>
      <c r="U190" s="9">
        <f ca="1">DATOSAÑO!AH189</f>
        <v>6.0999999999985448</v>
      </c>
      <c r="V190" s="11">
        <f ca="1">(U190*DATOSAÑO!$Z$11)/DATOSAÑO!$Y$11</f>
        <v>0.10991383969281301</v>
      </c>
      <c r="W190" s="9">
        <f ca="1">DATOSAÑO!AI189</f>
        <v>35.819999999992433</v>
      </c>
      <c r="X190" s="11">
        <f ca="1">(W190*DATOSAÑO!$Z$11)/DATOSAÑO!$Y$11</f>
        <v>0.64542848160601141</v>
      </c>
      <c r="Y190" s="9">
        <f ca="1">DATOSAÑO!AJ189</f>
        <v>6.1400000000139698</v>
      </c>
      <c r="Z190" s="11">
        <f ca="1">(Y190*DATOSAÑO!$Z$11)/DATOSAÑO!$Y$11</f>
        <v>0.11063458618288007</v>
      </c>
      <c r="AA190" s="9">
        <f ca="1">DATOSAÑO!AK189</f>
        <v>8.4299999999930151</v>
      </c>
      <c r="AB190" s="11">
        <f ca="1">(AA190*DATOSAÑO!$Z$11)/DATOSAÑO!$Y$11</f>
        <v>0.15189732272292902</v>
      </c>
      <c r="AC190" s="9">
        <f ca="1">DATOSAÑO!AL189</f>
        <v>32.699999999957015</v>
      </c>
      <c r="AD190" s="11">
        <f ca="1">(AC190*DATOSAÑO!$Z$11)/DATOSAÑO!$Y$11</f>
        <v>0.58921025540182259</v>
      </c>
      <c r="AE190" s="9">
        <f ca="1">DATOSAÑO!AM189</f>
        <v>13.675999999945228</v>
      </c>
      <c r="AF190" s="11">
        <f ca="1">(AE190*DATOSAÑO!$Z$11)/DATOSAÑO!$Y$11</f>
        <v>0.24642322485790968</v>
      </c>
      <c r="AG190" s="9">
        <f ca="1">DATOSAÑO!AN189</f>
        <v>2.403999999999693</v>
      </c>
      <c r="AH190" s="11">
        <f ca="1">(AG190*DATOSAÑO!$Z$11)/DATOSAÑO!$Y$11</f>
        <v>4.3316864036319964E-2</v>
      </c>
      <c r="AI190" s="9">
        <f ca="1">DATOSAÑO!BJ189</f>
        <v>0</v>
      </c>
      <c r="AJ190" s="11">
        <f ca="1">(AI190*DATOSAÑO!$Z$11)/DATOSAÑO!$Y$11</f>
        <v>0</v>
      </c>
      <c r="AK190" s="9">
        <f ca="1">DATOSAÑO!BM189</f>
        <v>4.17</v>
      </c>
      <c r="AL190" s="11">
        <f ca="1">(AK190*DATOSAÑO!$Z$11)/DATOSAÑO!$Y$11</f>
        <v>7.5137821560514684E-2</v>
      </c>
      <c r="AM190" s="9">
        <f ca="1">DATOSAÑO!BP189</f>
        <v>3.3140000000000001</v>
      </c>
      <c r="AN190" s="11">
        <f ca="1">(AM190*DATOSAÑO!$Z$11)/DATOSAÑO!$Y$11</f>
        <v>5.9713846679027738E-2</v>
      </c>
      <c r="AO190" s="9">
        <f ca="1">DATOSAÑO!BW189</f>
        <v>11.457999999973413</v>
      </c>
      <c r="AP190" s="11">
        <f ca="1">(AO190*DATOSAÑO!$Z$11)/DATOSAÑO!$Y$11</f>
        <v>0.2064578319996114</v>
      </c>
      <c r="AQ190" s="9">
        <f ca="1">DATOSAÑO!CC189</f>
        <v>2.4575999999998772</v>
      </c>
      <c r="AR190" s="1348">
        <f ca="1">(AQ190*DATOSAÑO!$Z$11)/DATOSAÑO!$Y$11</f>
        <v>4.4282664332640692E-2</v>
      </c>
      <c r="AS190" s="1384">
        <f t="shared" si="8"/>
        <v>26</v>
      </c>
    </row>
    <row r="191" spans="1:45">
      <c r="A191" s="1408">
        <v>45106</v>
      </c>
      <c r="B191" s="1869">
        <v>45106</v>
      </c>
      <c r="C191" s="9">
        <f ca="1">DATOSAÑO!I190</f>
        <v>290.79000000003725</v>
      </c>
      <c r="D191" s="10">
        <f ca="1">DATOSAÑO!$D190</f>
        <v>5.0528018572859974</v>
      </c>
      <c r="E191" s="11">
        <f ca="1">DATOSAÑO!$G190</f>
        <v>0</v>
      </c>
      <c r="F191" s="9">
        <f ca="1">DATOSAÑO!P190</f>
        <v>147.78600000000006</v>
      </c>
      <c r="G191" s="10">
        <f ca="1">DATOSAÑO!K190</f>
        <v>3.7341482089071532</v>
      </c>
      <c r="H191" s="11">
        <f ca="1">DATOSAÑO!N190</f>
        <v>0</v>
      </c>
      <c r="I191" s="9">
        <f ca="1">DATOSAÑO!Q190</f>
        <v>0</v>
      </c>
      <c r="J191" s="11">
        <f ca="1">DATOSAÑO!R190</f>
        <v>0</v>
      </c>
      <c r="K191" s="9">
        <f ca="1">DATOSAÑO!T190</f>
        <v>0</v>
      </c>
      <c r="L191" s="11">
        <f t="shared" ca="1" si="6"/>
        <v>0</v>
      </c>
      <c r="M191" s="9"/>
      <c r="N191" s="11">
        <f t="shared" si="7"/>
        <v>0</v>
      </c>
      <c r="O191" s="9">
        <f>DATOSAÑO!CK190</f>
        <v>0</v>
      </c>
      <c r="P191" s="9">
        <f>DATOSAÑO!CL190</f>
        <v>0</v>
      </c>
      <c r="Q191" s="9">
        <f ca="1">DATOSAÑO!AD190</f>
        <v>161.6200000000008</v>
      </c>
      <c r="R191" s="11">
        <f ca="1">(Q191*DATOSAÑO!$Z$11)/DATOSAÑO!$Y$11</f>
        <v>2.9121761919929123</v>
      </c>
      <c r="S191" s="9">
        <f ca="1">DATOSAÑO!AF190</f>
        <v>156.07999999995809</v>
      </c>
      <c r="T191" s="11">
        <f ca="1">(S191*DATOSAÑO!$Z$11)/DATOSAÑO!$Y$11</f>
        <v>2.8123528031563509</v>
      </c>
      <c r="U191" s="9">
        <f ca="1">DATOSAÑO!AH190</f>
        <v>12.900000000001455</v>
      </c>
      <c r="V191" s="11">
        <f ca="1">(U191*DATOSAÑO!$Z$11)/DATOSAÑO!$Y$11</f>
        <v>0.23244074295701411</v>
      </c>
      <c r="W191" s="9">
        <f ca="1">DATOSAÑO!AI190</f>
        <v>35.44999999999709</v>
      </c>
      <c r="X191" s="11">
        <f ca="1">(W191*DATOSAÑO!$Z$11)/DATOSAÑO!$Y$11</f>
        <v>0.638761576575546</v>
      </c>
      <c r="Y191" s="9">
        <f ca="1">DATOSAÑO!AJ190</f>
        <v>5.7799999999988358</v>
      </c>
      <c r="Z191" s="11">
        <f ca="1">(Y191*DATOSAÑO!$Z$11)/DATOSAÑO!$Y$11</f>
        <v>0.10414786777450538</v>
      </c>
      <c r="AA191" s="9">
        <f ca="1">DATOSAÑO!AK190</f>
        <v>8.4100000000034925</v>
      </c>
      <c r="AB191" s="11">
        <f ca="1">(AA191*DATOSAÑO!$Z$11)/DATOSAÑO!$Y$11</f>
        <v>0.15153694947822324</v>
      </c>
      <c r="AC191" s="9">
        <f ca="1">DATOSAÑO!AL190</f>
        <v>32.915999999988401</v>
      </c>
      <c r="AD191" s="11">
        <f ca="1">(AC191*DATOSAÑO!$Z$11)/DATOSAÑO!$Y$11</f>
        <v>0.59310228644724938</v>
      </c>
      <c r="AE191" s="9">
        <f ca="1">DATOSAÑO!AM190</f>
        <v>8.3430000000899316</v>
      </c>
      <c r="AF191" s="11">
        <f ca="1">(AE191*DATOSAÑO!$Z$11)/DATOSAÑO!$Y$11</f>
        <v>0.15032969910938399</v>
      </c>
      <c r="AG191" s="9">
        <f ca="1">DATOSAÑO!AN190</f>
        <v>2.4219999999997093</v>
      </c>
      <c r="AH191" s="11">
        <f ca="1">(AG191*DATOSAÑO!$Z$11)/DATOSAÑO!$Y$11</f>
        <v>4.364119995672535E-2</v>
      </c>
      <c r="AI191" s="9">
        <f ca="1">DATOSAÑO!BJ190</f>
        <v>0</v>
      </c>
      <c r="AJ191" s="11">
        <f ca="1">(AI191*DATOSAÑO!$Z$11)/DATOSAÑO!$Y$11</f>
        <v>0</v>
      </c>
      <c r="AK191" s="9">
        <f ca="1">DATOSAÑO!BM190</f>
        <v>4.351</v>
      </c>
      <c r="AL191" s="11">
        <f ca="1">(AK191*DATOSAÑO!$Z$11)/DATOSAÑO!$Y$11</f>
        <v>7.8399199426810409E-2</v>
      </c>
      <c r="AM191" s="9">
        <f ca="1">DATOSAÑO!BP190</f>
        <v>3.4260000000000002</v>
      </c>
      <c r="AN191" s="11">
        <f ca="1">(AM191*DATOSAÑO!$Z$11)/DATOSAÑO!$Y$11</f>
        <v>6.1731936850437243E-2</v>
      </c>
      <c r="AO191" s="9">
        <f ca="1">DATOSAÑO!BW190</f>
        <v>9.6515000000445283</v>
      </c>
      <c r="AP191" s="11">
        <f ca="1">(AO191*DATOSAÑO!$Z$11)/DATOSAÑO!$Y$11</f>
        <v>0.17390711865579214</v>
      </c>
      <c r="AQ191" s="9">
        <f ca="1">DATOSAÑO!CC190</f>
        <v>2.3667999999998837</v>
      </c>
      <c r="AR191" s="1348">
        <f ca="1">(AQ191*DATOSAÑO!$Z$11)/DATOSAÑO!$Y$11</f>
        <v>4.2646569800819524E-2</v>
      </c>
      <c r="AS191" s="1384">
        <f t="shared" si="8"/>
        <v>26</v>
      </c>
    </row>
    <row r="192" spans="1:45" ht="16.5" customHeight="1" thickBot="1">
      <c r="A192" s="1408">
        <v>45107</v>
      </c>
      <c r="B192" s="1870">
        <v>45107</v>
      </c>
      <c r="C192" s="63">
        <f ca="1">DATOSAÑO!I191</f>
        <v>282.07600000000093</v>
      </c>
      <c r="D192" s="64">
        <f ca="1">DATOSAÑO!$D191</f>
        <v>4.9715750669702441</v>
      </c>
      <c r="E192" s="65">
        <f ca="1">DATOSAÑO!$G191</f>
        <v>0</v>
      </c>
      <c r="F192" s="63">
        <f ca="1">DATOSAÑO!P191</f>
        <v>147.90399999999499</v>
      </c>
      <c r="G192" s="64">
        <f ca="1">DATOSAÑO!K191</f>
        <v>3.7353267017991501</v>
      </c>
      <c r="H192" s="65">
        <f ca="1">DATOSAÑO!N191</f>
        <v>0</v>
      </c>
      <c r="I192" s="63">
        <f ca="1">DATOSAÑO!Q191</f>
        <v>0</v>
      </c>
      <c r="J192" s="65">
        <f ca="1">DATOSAÑO!R191</f>
        <v>0</v>
      </c>
      <c r="K192" s="9">
        <f ca="1">DATOSAÑO!T191</f>
        <v>0</v>
      </c>
      <c r="L192" s="65">
        <f t="shared" ca="1" si="6"/>
        <v>0</v>
      </c>
      <c r="M192" s="63"/>
      <c r="N192" s="65">
        <f t="shared" si="7"/>
        <v>0</v>
      </c>
      <c r="O192" s="63">
        <f>DATOSAÑO!CK191</f>
        <v>0</v>
      </c>
      <c r="P192" s="62">
        <f>DATOSAÑO!CL191</f>
        <v>0</v>
      </c>
      <c r="Q192" s="9">
        <f ca="1">DATOSAÑO!AD191</f>
        <v>162.12299999999959</v>
      </c>
      <c r="R192" s="65">
        <f ca="1">(Q192*DATOSAÑO!$Z$11)/DATOSAÑO!$Y$11</f>
        <v>2.9212395791019885</v>
      </c>
      <c r="S192" s="9">
        <f ca="1">DATOSAÑO!AF191</f>
        <v>151.30999999999767</v>
      </c>
      <c r="T192" s="65">
        <f ca="1">(S192*DATOSAÑO!$Z$11)/DATOSAÑO!$Y$11</f>
        <v>2.7264037842497126</v>
      </c>
      <c r="U192" s="9">
        <f ca="1">DATOSAÑO!AH191</f>
        <v>3.7999999999956344</v>
      </c>
      <c r="V192" s="65">
        <f ca="1">(U192*DATOSAÑO!$Z$11)/DATOSAÑO!$Y$11</f>
        <v>6.8470916529886766E-2</v>
      </c>
      <c r="W192" s="9">
        <f ca="1">DATOSAÑO!AI191</f>
        <v>36.360000000000582</v>
      </c>
      <c r="X192" s="65">
        <f ca="1">(W192*DATOSAÑO!$Z$11)/DATOSAÑO!$Y$11</f>
        <v>0.65515855921831123</v>
      </c>
      <c r="Y192" s="9">
        <f ca="1">DATOSAÑO!AJ191</f>
        <v>5.3699999999953434</v>
      </c>
      <c r="Z192" s="65">
        <f ca="1">(Y192*DATOSAÑO!$Z$11)/DATOSAÑO!$Y$11</f>
        <v>9.6760216254104067E-2</v>
      </c>
      <c r="AA192" s="9">
        <f ca="1">DATOSAÑO!AK191</f>
        <v>7.9600000000209548</v>
      </c>
      <c r="AB192" s="65">
        <f ca="1">(AA192*DATOSAÑO!$Z$11)/DATOSAÑO!$Y$11</f>
        <v>0.14342855146841041</v>
      </c>
      <c r="AC192" s="9">
        <f ca="1">DATOSAÑO!AL191</f>
        <v>33.367000000031055</v>
      </c>
      <c r="AD192" s="65">
        <f ca="1">(AC192*DATOSAÑO!$Z$11)/DATOSAÑO!$Y$11</f>
        <v>0.60122870312039012</v>
      </c>
      <c r="AE192" s="9">
        <f ca="1">DATOSAÑO!AM191</f>
        <v>11.792999999955398</v>
      </c>
      <c r="AF192" s="65">
        <f ca="1">(AE192*DATOSAÑO!$Z$11)/DATOSAÑO!$Y$11</f>
        <v>0.21249408385127061</v>
      </c>
      <c r="AG192" s="63">
        <f ca="1">DATOSAÑO!AN191</f>
        <v>2.0930000000004365</v>
      </c>
      <c r="AH192" s="65">
        <f ca="1">(AG192*DATOSAÑO!$Z$11)/DATOSAÑO!$Y$11</f>
        <v>3.7713060078223025E-2</v>
      </c>
      <c r="AI192" s="63">
        <f ca="1">DATOSAÑO!BJ191</f>
        <v>0</v>
      </c>
      <c r="AJ192" s="65">
        <f ca="1">(AI192*DATOSAÑO!$Z$11)/DATOSAÑO!$Y$11</f>
        <v>0</v>
      </c>
      <c r="AK192" s="63">
        <f ca="1">DATOSAÑO!BM191</f>
        <v>4.3120000000000003</v>
      </c>
      <c r="AL192" s="65">
        <f ca="1">(AK192*DATOSAÑO!$Z$11)/DATOSAÑO!$Y$11</f>
        <v>7.7696471599266029E-2</v>
      </c>
      <c r="AM192" s="63">
        <f ca="1">DATOSAÑO!BP191</f>
        <v>3.4350000000000001</v>
      </c>
      <c r="AN192" s="65">
        <f ca="1">(AM192*DATOSAÑO!$Z$11)/DATOSAÑO!$Y$11</f>
        <v>6.189410481063979E-2</v>
      </c>
      <c r="AO192" s="63">
        <f ca="1">DATOSAÑO!BW191</f>
        <v>12.526499999976899</v>
      </c>
      <c r="AP192" s="65">
        <f ca="1">(AO192*DATOSAÑO!$Z$11)/DATOSAÑO!$Y$11</f>
        <v>0.22571077260816583</v>
      </c>
      <c r="AQ192" s="63">
        <f ca="1">DATOSAÑO!CC191</f>
        <v>2.2642000000001747</v>
      </c>
      <c r="AR192" s="1109">
        <f ca="1">(AQ192*DATOSAÑO!$Z$11)/DATOSAÑO!$Y$11</f>
        <v>4.0797855054515705E-2</v>
      </c>
      <c r="AS192" s="1385">
        <f t="shared" si="8"/>
        <v>26</v>
      </c>
    </row>
    <row r="193" spans="1:45">
      <c r="A193" s="1408">
        <v>45108</v>
      </c>
      <c r="B193" s="1871">
        <v>45108</v>
      </c>
      <c r="C193" s="9">
        <f ca="1">DATOSAÑO!I192</f>
        <v>282.68400000000838</v>
      </c>
      <c r="D193" s="10">
        <f ca="1">DATOSAÑO!$D192</f>
        <v>5.1582747862569871</v>
      </c>
      <c r="E193" s="11">
        <f ca="1">DATOSAÑO!$G192</f>
        <v>0</v>
      </c>
      <c r="F193" s="9">
        <f ca="1">DATOSAÑO!P192</f>
        <v>147.49000000000524</v>
      </c>
      <c r="G193" s="10">
        <f ca="1">DATOSAÑO!K192</f>
        <v>3.8669029319751922</v>
      </c>
      <c r="H193" s="180">
        <f ca="1">DATOSAÑO!N192</f>
        <v>0</v>
      </c>
      <c r="I193" s="178">
        <f ca="1">DATOSAÑO!Q192</f>
        <v>0</v>
      </c>
      <c r="J193" s="180">
        <f ca="1">DATOSAÑO!R192</f>
        <v>0</v>
      </c>
      <c r="K193" s="178">
        <f ca="1">DATOSAÑO!T192</f>
        <v>0</v>
      </c>
      <c r="L193" s="180">
        <f t="shared" ca="1" si="6"/>
        <v>0</v>
      </c>
      <c r="M193" s="178"/>
      <c r="N193" s="180">
        <f t="shared" si="7"/>
        <v>0</v>
      </c>
      <c r="O193" s="9">
        <f>DATOSAÑO!CK192</f>
        <v>0</v>
      </c>
      <c r="P193" s="9">
        <f>DATOSAÑO!CL192</f>
        <v>0</v>
      </c>
      <c r="Q193" s="178">
        <f ca="1">DATOSAÑO!AD192</f>
        <v>161.72700000000077</v>
      </c>
      <c r="R193" s="180">
        <f ca="1">(Q193*DATOSAÑO!$Z$11)/DATOSAÑO!$Y$11</f>
        <v>2.9141041888530976</v>
      </c>
      <c r="S193" s="178">
        <f ca="1">DATOSAÑO!AF192</f>
        <v>145.29000000003725</v>
      </c>
      <c r="T193" s="180">
        <f ca="1">(S193*DATOSAÑO!$Z$11)/DATOSAÑO!$Y$11</f>
        <v>2.6179314375371652</v>
      </c>
      <c r="U193" s="178">
        <f ca="1">DATOSAÑO!AH192</f>
        <v>13.400000000001455</v>
      </c>
      <c r="V193" s="180">
        <f ca="1">(U193*DATOSAÑO!$Z$11)/DATOSAÑO!$Y$11</f>
        <v>0.24145007407937796</v>
      </c>
      <c r="W193" s="178">
        <f ca="1">DATOSAÑO!AI192</f>
        <v>33.570000000006985</v>
      </c>
      <c r="X193" s="180">
        <f ca="1">(W193*DATOSAÑO!$Z$11)/DATOSAÑO!$Y$11</f>
        <v>0.60488649155563612</v>
      </c>
      <c r="Y193" s="178">
        <f ca="1">DATOSAÑO!AJ192</f>
        <v>5.9100000000034925</v>
      </c>
      <c r="Z193" s="180">
        <f ca="1">(Y193*DATOSAÑO!$Z$11)/DATOSAÑO!$Y$11</f>
        <v>0.10649029386640388</v>
      </c>
      <c r="AA193" s="178">
        <f ca="1">DATOSAÑO!AK192</f>
        <v>9.9599999999918509</v>
      </c>
      <c r="AB193" s="180">
        <f ca="1">(AA193*DATOSAÑO!$Z$11)/DATOSAÑO!$Y$11</f>
        <v>0.17946587595734145</v>
      </c>
      <c r="AC193" s="178">
        <f ca="1">DATOSAÑO!AL192</f>
        <v>32.006999999985112</v>
      </c>
      <c r="AD193" s="180">
        <f ca="1">(AC193*DATOSAÑO!$Z$11)/DATOSAÑO!$Y$11</f>
        <v>0.57672332246673264</v>
      </c>
      <c r="AE193" s="178">
        <f ca="1">DATOSAÑO!AM192</f>
        <v>9.9069999999861942</v>
      </c>
      <c r="AF193" s="180">
        <f ca="1">(AE193*DATOSAÑO!$Z$11)/DATOSAÑO!$Y$11</f>
        <v>0.17851088685826896</v>
      </c>
      <c r="AG193" s="178">
        <f ca="1">DATOSAÑO!AN192</f>
        <v>2.397999999999036</v>
      </c>
      <c r="AH193" s="180">
        <f ca="1">(AG193*DATOSAÑO!$Z$11)/DATOSAÑO!$Y$11</f>
        <v>4.3208752062839757E-2</v>
      </c>
      <c r="AI193" s="9">
        <f ca="1">DATOSAÑO!BJ192</f>
        <v>0</v>
      </c>
      <c r="AJ193" s="11">
        <f ca="1">(AI193*DATOSAÑO!$Z$11)/DATOSAÑO!$Y$11</f>
        <v>0</v>
      </c>
      <c r="AK193" s="9">
        <f ca="1">DATOSAÑO!BM192</f>
        <v>4.1879999999999997</v>
      </c>
      <c r="AL193" s="11">
        <f ca="1">(AK193*DATOSAÑO!$Z$11)/DATOSAÑO!$Y$11</f>
        <v>7.5462157480919778E-2</v>
      </c>
      <c r="AM193" s="9">
        <f ca="1">DATOSAÑO!BP192</f>
        <v>3.085</v>
      </c>
      <c r="AN193" s="11">
        <f ca="1">(AM193*DATOSAÑO!$Z$11)/DATOSAÑO!$Y$11</f>
        <v>5.5587573024985085E-2</v>
      </c>
      <c r="AO193" s="9">
        <f ca="1">DATOSAÑO!BW192</f>
        <v>12.273499999994625</v>
      </c>
      <c r="AP193" s="11">
        <f ca="1">(AO193*DATOSAÑO!$Z$11)/DATOSAÑO!$Y$11</f>
        <v>0.22115205106056909</v>
      </c>
      <c r="AQ193" s="9">
        <f ca="1">DATOSAÑO!CC192</f>
        <v>2.3711999999996145</v>
      </c>
      <c r="AR193" s="1348">
        <f ca="1">(AQ193*DATOSAÑO!$Z$11)/DATOSAÑO!$Y$11</f>
        <v>4.2725851914691478E-2</v>
      </c>
      <c r="AS193" s="1406">
        <f t="shared" si="8"/>
        <v>26</v>
      </c>
    </row>
    <row r="194" spans="1:45" ht="16.5" customHeight="1">
      <c r="A194" s="1408">
        <v>45109</v>
      </c>
      <c r="B194" s="1869">
        <v>45109</v>
      </c>
      <c r="C194" s="9">
        <f ca="1">DATOSAÑO!I193</f>
        <v>289.42999999993481</v>
      </c>
      <c r="D194" s="10">
        <f ca="1">DATOSAÑO!$D193</f>
        <v>5.0746701026397876</v>
      </c>
      <c r="E194" s="195">
        <f ca="1">DATOSAÑO!$G193</f>
        <v>0</v>
      </c>
      <c r="F194" s="9">
        <f ca="1">DATOSAÑO!P193</f>
        <v>147.07999999999447</v>
      </c>
      <c r="G194" s="10">
        <f ca="1">DATOSAÑO!K193</f>
        <v>3.8567039989295449</v>
      </c>
      <c r="H194" s="11">
        <f ca="1">DATOSAÑO!N193</f>
        <v>0</v>
      </c>
      <c r="I194" s="9">
        <f ca="1">DATOSAÑO!Q193</f>
        <v>0</v>
      </c>
      <c r="J194" s="11">
        <f ca="1">DATOSAÑO!R193</f>
        <v>0</v>
      </c>
      <c r="K194" s="9">
        <f ca="1">DATOSAÑO!T193</f>
        <v>0</v>
      </c>
      <c r="L194" s="11">
        <f t="shared" ca="1" si="6"/>
        <v>0</v>
      </c>
      <c r="M194" s="9"/>
      <c r="N194" s="11">
        <f t="shared" si="7"/>
        <v>0</v>
      </c>
      <c r="O194" s="9">
        <f>DATOSAÑO!CK193</f>
        <v>0</v>
      </c>
      <c r="P194" s="9">
        <f>DATOSAÑO!CL193</f>
        <v>0</v>
      </c>
      <c r="Q194" s="9">
        <f ca="1">DATOSAÑO!AD193</f>
        <v>163.14999999999964</v>
      </c>
      <c r="R194" s="11">
        <f ca="1">(Q194*DATOSAÑO!$Z$11)/DATOSAÑO!$Y$11</f>
        <v>2.9397447452273244</v>
      </c>
      <c r="S194" s="9">
        <f ca="1">DATOSAÑO!AF193</f>
        <v>154.29999999998836</v>
      </c>
      <c r="T194" s="11">
        <f ca="1">(S194*DATOSAÑO!$Z$11)/DATOSAÑO!$Y$11</f>
        <v>2.7802795843612809</v>
      </c>
      <c r="U194" s="9">
        <f ca="1">DATOSAÑO!AH193</f>
        <v>10.900000000001455</v>
      </c>
      <c r="V194" s="11">
        <f ca="1">(U194*DATOSAÑO!$Z$11)/DATOSAÑO!$Y$11</f>
        <v>0.19640341846755863</v>
      </c>
      <c r="W194" s="9">
        <f ca="1">DATOSAÑO!AI193</f>
        <v>32.869999999995343</v>
      </c>
      <c r="X194" s="11">
        <f ca="1">(W194*DATOSAÑO!$Z$11)/DATOSAÑO!$Y$11</f>
        <v>0.59227342798411697</v>
      </c>
      <c r="Y194" s="9">
        <f ca="1">DATOSAÑO!AJ193</f>
        <v>5.4700000000011642</v>
      </c>
      <c r="Z194" s="11">
        <f ca="1">(Y194*DATOSAÑO!$Z$11)/DATOSAÑO!$Y$11</f>
        <v>9.8562082478681728E-2</v>
      </c>
      <c r="AA194" s="9">
        <f ca="1">DATOSAÑO!AK193</f>
        <v>9.9800000000104774</v>
      </c>
      <c r="AB194" s="11">
        <f ca="1">(AA194*DATOSAÑO!$Z$11)/DATOSAÑO!$Y$11</f>
        <v>0.17982624920257168</v>
      </c>
      <c r="AC194" s="9">
        <f ca="1">DATOSAÑO!AL193</f>
        <v>34.039999999944484</v>
      </c>
      <c r="AD194" s="11">
        <f ca="1">(AC194*DATOSAÑO!$Z$11)/DATOSAÑO!$Y$11</f>
        <v>0.61335526280953212</v>
      </c>
      <c r="AE194" s="9">
        <f ca="1">DATOSAÑO!AM193</f>
        <v>7.3279999999890837</v>
      </c>
      <c r="AF194" s="11">
        <f ca="1">(AE194*DATOSAÑO!$Z$11)/DATOSAÑO!$Y$11</f>
        <v>0.1320407569291682</v>
      </c>
      <c r="AG194" s="9">
        <f ca="1">DATOSAÑO!AN193</f>
        <v>1.3280000000006549</v>
      </c>
      <c r="AH194" s="11">
        <f ca="1">(AG194*DATOSAÑO!$Z$11)/DATOSAÑO!$Y$11</f>
        <v>2.3928783461010242E-2</v>
      </c>
      <c r="AI194" s="9">
        <f ca="1">DATOSAÑO!BJ193</f>
        <v>0</v>
      </c>
      <c r="AJ194" s="11">
        <f ca="1">(AI194*DATOSAÑO!$Z$11)/DATOSAÑO!$Y$11</f>
        <v>0</v>
      </c>
      <c r="AK194" s="9">
        <f ca="1">DATOSAÑO!BM193</f>
        <v>4.2830000000000004</v>
      </c>
      <c r="AL194" s="11">
        <f ca="1">(AK194*DATOSAÑO!$Z$11)/DATOSAÑO!$Y$11</f>
        <v>7.7173930394168935E-2</v>
      </c>
      <c r="AM194" s="9">
        <f ca="1">DATOSAÑO!BP193</f>
        <v>3.3889999999999998</v>
      </c>
      <c r="AN194" s="11">
        <f ca="1">(AM194*DATOSAÑO!$Z$11)/DATOSAÑO!$Y$11</f>
        <v>6.1065246347382314E-2</v>
      </c>
      <c r="AO194" s="9">
        <f ca="1">DATOSAÑO!BW193</f>
        <v>10.933999999993159</v>
      </c>
      <c r="AP194" s="11">
        <f ca="1">(AO194*DATOSAÑO!$Z$11)/DATOSAÑO!$Y$11</f>
        <v>0.19701605298372987</v>
      </c>
      <c r="AQ194" s="9">
        <f ca="1">DATOSAÑO!CC193</f>
        <v>2.7332000000002621</v>
      </c>
      <c r="AR194" s="1348">
        <f ca="1">(AQ194*DATOSAÑO!$Z$11)/DATOSAÑO!$Y$11</f>
        <v>4.9248607647294586E-2</v>
      </c>
      <c r="AS194" s="1384">
        <f t="shared" si="8"/>
        <v>27</v>
      </c>
    </row>
    <row r="195" spans="1:45">
      <c r="A195" s="1408">
        <v>45110</v>
      </c>
      <c r="B195" s="1869">
        <v>45110</v>
      </c>
      <c r="C195" s="9">
        <f ca="1">DATOSAÑO!I194</f>
        <v>287.56000000005588</v>
      </c>
      <c r="D195" s="10">
        <f ca="1">DATOSAÑO!$D194</f>
        <v>5.0586701264276925</v>
      </c>
      <c r="E195" s="11">
        <f ca="1">DATOSAÑO!$G194</f>
        <v>0</v>
      </c>
      <c r="F195" s="9">
        <f ca="1">DATOSAÑO!P194</f>
        <v>145.20000000000437</v>
      </c>
      <c r="G195" s="10">
        <f ca="1">DATOSAÑO!K194</f>
        <v>3.8406184613463754</v>
      </c>
      <c r="H195" s="11">
        <f ca="1">DATOSAÑO!N194</f>
        <v>0</v>
      </c>
      <c r="I195" s="9">
        <f ca="1">DATOSAÑO!Q194</f>
        <v>0</v>
      </c>
      <c r="J195" s="11">
        <f ca="1">DATOSAÑO!R194</f>
        <v>0</v>
      </c>
      <c r="K195" s="9">
        <f ca="1">DATOSAÑO!T194</f>
        <v>0</v>
      </c>
      <c r="L195" s="11">
        <f t="shared" ca="1" si="6"/>
        <v>0</v>
      </c>
      <c r="M195" s="9"/>
      <c r="N195" s="11">
        <f t="shared" si="7"/>
        <v>0</v>
      </c>
      <c r="O195" s="9">
        <f>DATOSAÑO!CK194</f>
        <v>0</v>
      </c>
      <c r="P195" s="9">
        <f>DATOSAÑO!CL194</f>
        <v>0</v>
      </c>
      <c r="Q195" s="9">
        <f ca="1">DATOSAÑO!AD194</f>
        <v>161.82999999999993</v>
      </c>
      <c r="R195" s="11">
        <f ca="1">(Q195*DATOSAÑO!$Z$11)/DATOSAÑO!$Y$11</f>
        <v>2.915960111064289</v>
      </c>
      <c r="S195" s="9">
        <f ca="1">DATOSAÑO!AF194</f>
        <v>149.75</v>
      </c>
      <c r="T195" s="11">
        <f ca="1">(S195*DATOSAÑO!$Z$11)/DATOSAÑO!$Y$11</f>
        <v>2.6982946711479792</v>
      </c>
      <c r="U195" s="9">
        <f ca="1">DATOSAÑO!AH194</f>
        <v>12.599999999998545</v>
      </c>
      <c r="V195" s="11">
        <f ca="1">(U195*DATOSAÑO!$Z$11)/DATOSAÑO!$Y$11</f>
        <v>0.22703514428354335</v>
      </c>
      <c r="W195" s="9">
        <f ca="1">DATOSAÑO!AI194</f>
        <v>32.900000000008731</v>
      </c>
      <c r="X195" s="11">
        <f ca="1">(W195*DATOSAÑO!$Z$11)/DATOSAÑO!$Y$11</f>
        <v>0.59281398785170003</v>
      </c>
      <c r="Y195" s="9">
        <f ca="1">DATOSAÑO!AJ194</f>
        <v>5.4399999999877764</v>
      </c>
      <c r="Z195" s="11">
        <f ca="1">(Y195*DATOSAÑO!$Z$11)/DATOSAÑO!$Y$11</f>
        <v>9.8021522611098671E-2</v>
      </c>
      <c r="AA195" s="9">
        <f ca="1">DATOSAÑO!AK194</f>
        <v>10.189999999973224</v>
      </c>
      <c r="AB195" s="11">
        <f ca="1">(AA195*DATOSAÑO!$Z$11)/DATOSAÑO!$Y$11</f>
        <v>0.18361016827329324</v>
      </c>
      <c r="AC195" s="9">
        <f ca="1">DATOSAÑO!AL194</f>
        <v>30.600000000058571</v>
      </c>
      <c r="AD195" s="11">
        <f ca="1">(AC195*DATOSAÑO!$Z$11)/DATOSAÑO!$Y$11</f>
        <v>0.5513710646897243</v>
      </c>
      <c r="AE195" s="9">
        <f ca="1">DATOSAÑO!AM194</f>
        <v>9.9850000000330645</v>
      </c>
      <c r="AF195" s="11">
        <f ca="1">(AE195*DATOSAÑO!$Z$11)/DATOSAÑO!$Y$11</f>
        <v>0.1799163425142023</v>
      </c>
      <c r="AG195" s="9">
        <f ca="1">DATOSAÑO!AN194</f>
        <v>3.2589999999994568</v>
      </c>
      <c r="AH195" s="11">
        <f ca="1">(AG195*DATOSAÑO!$Z$11)/DATOSAÑO!$Y$11</f>
        <v>5.8722820255557924E-2</v>
      </c>
      <c r="AI195" s="9">
        <f ca="1">DATOSAÑO!BJ194</f>
        <v>0</v>
      </c>
      <c r="AJ195" s="11">
        <f ca="1">(AI195*DATOSAÑO!$Z$11)/DATOSAÑO!$Y$11</f>
        <v>0</v>
      </c>
      <c r="AK195" s="9">
        <f ca="1">DATOSAÑO!BM194</f>
        <v>4.335</v>
      </c>
      <c r="AL195" s="11">
        <f ca="1">(AK195*DATOSAÑO!$Z$11)/DATOSAÑO!$Y$11</f>
        <v>7.8110900830894753E-2</v>
      </c>
      <c r="AM195" s="9">
        <f ca="1">DATOSAÑO!BP194</f>
        <v>3.26</v>
      </c>
      <c r="AN195" s="11">
        <f ca="1">(AM195*DATOSAÑO!$Z$11)/DATOSAÑO!$Y$11</f>
        <v>5.8740838917812434E-2</v>
      </c>
      <c r="AO195" s="9">
        <f ca="1">DATOSAÑO!BW194</f>
        <v>12.202500000017478</v>
      </c>
      <c r="AP195" s="11">
        <f ca="1">(AO195*DATOSAÑO!$Z$11)/DATOSAÑO!$Y$11</f>
        <v>0.21987272604160521</v>
      </c>
      <c r="AQ195" s="9">
        <f ca="1">DATOSAÑO!CC194</f>
        <v>2.7045999999997825</v>
      </c>
      <c r="AR195" s="1348">
        <f ca="1">(AQ195*DATOSAÑO!$Z$11)/DATOSAÑO!$Y$11</f>
        <v>4.8733273907086733E-2</v>
      </c>
      <c r="AS195" s="1384">
        <f t="shared" si="8"/>
        <v>27</v>
      </c>
    </row>
    <row r="196" spans="1:45" ht="16.5" customHeight="1">
      <c r="A196" s="1408">
        <v>45111</v>
      </c>
      <c r="B196" s="1869">
        <v>45111</v>
      </c>
      <c r="C196" s="9">
        <f ca="1">DATOSAÑO!I195</f>
        <v>289</v>
      </c>
      <c r="D196" s="10">
        <f ca="1">DATOSAÑO!$D195</f>
        <v>5.0709909637250252</v>
      </c>
      <c r="E196" s="11">
        <f ca="1">DATOSAÑO!$G195</f>
        <v>0</v>
      </c>
      <c r="F196" s="9">
        <f ca="1">DATOSAÑO!P195</f>
        <v>150.98999999999796</v>
      </c>
      <c r="G196" s="10">
        <f ca="1">DATOSAÑO!K195</f>
        <v>3.8901584946479382</v>
      </c>
      <c r="H196" s="11">
        <f ca="1">DATOSAÑO!N195</f>
        <v>0</v>
      </c>
      <c r="I196" s="9">
        <f ca="1">DATOSAÑO!Q195</f>
        <v>0</v>
      </c>
      <c r="J196" s="11">
        <f ca="1">DATOSAÑO!R195</f>
        <v>0</v>
      </c>
      <c r="K196" s="9">
        <f ca="1">DATOSAÑO!T195</f>
        <v>0.20299999999997453</v>
      </c>
      <c r="L196" s="11">
        <f t="shared" ca="1" si="6"/>
        <v>24.359999999996944</v>
      </c>
      <c r="M196" s="9"/>
      <c r="N196" s="11">
        <f t="shared" si="7"/>
        <v>0</v>
      </c>
      <c r="O196" s="9">
        <f>DATOSAÑO!CK195</f>
        <v>0</v>
      </c>
      <c r="P196" s="9">
        <f>DATOSAÑO!CL195</f>
        <v>0.2</v>
      </c>
      <c r="Q196" s="9">
        <f ca="1">DATOSAÑO!AD195</f>
        <v>165.46000000000095</v>
      </c>
      <c r="R196" s="11">
        <f ca="1">(Q196*DATOSAÑO!$Z$11)/DATOSAÑO!$Y$11</f>
        <v>2.9813678550126692</v>
      </c>
      <c r="S196" s="9">
        <f ca="1">DATOSAÑO!AF195</f>
        <v>154.25</v>
      </c>
      <c r="T196" s="11">
        <f ca="1">(S196*DATOSAÑO!$Z$11)/DATOSAÑO!$Y$11</f>
        <v>2.779378651249254</v>
      </c>
      <c r="U196" s="9">
        <f ca="1">DATOSAÑO!AH195</f>
        <v>4.2000000000007276</v>
      </c>
      <c r="V196" s="11">
        <f ca="1">(U196*DATOSAÑO!$Z$11)/DATOSAÑO!$Y$11</f>
        <v>7.5678381427869618E-2</v>
      </c>
      <c r="W196" s="9">
        <f ca="1">DATOSAÑO!AI195</f>
        <v>34.079999999987194</v>
      </c>
      <c r="X196" s="11">
        <f ca="1">(W196*DATOSAÑO!$Z$11)/DATOSAÑO!$Y$11</f>
        <v>0.61407600930009076</v>
      </c>
      <c r="Y196" s="9">
        <f ca="1">DATOSAÑO!AJ195</f>
        <v>8.2100000000064028</v>
      </c>
      <c r="Z196" s="11">
        <f ca="1">(Y196*DATOSAÑO!$Z$11)/DATOSAÑO!$Y$11</f>
        <v>0.14793321702933013</v>
      </c>
      <c r="AA196" s="9">
        <f ca="1">DATOSAÑO!AK195</f>
        <v>9.3900000000139698</v>
      </c>
      <c r="AB196" s="11">
        <f ca="1">(AA196*DATOSAÑO!$Z$11)/DATOSAÑO!$Y$11</f>
        <v>0.16919523847824522</v>
      </c>
      <c r="AC196" s="9">
        <f ca="1">DATOSAÑO!AL195</f>
        <v>36.253000000001009</v>
      </c>
      <c r="AD196" s="11">
        <f ca="1">(AC196*DATOSAÑO!$Z$11)/DATOSAÑO!$Y$11</f>
        <v>0.65323056235813304</v>
      </c>
      <c r="AE196" s="9">
        <f ca="1">DATOSAÑO!AM195</f>
        <v>9.2109999999870187</v>
      </c>
      <c r="AF196" s="11">
        <f ca="1">(AE196*DATOSAÑO!$Z$11)/DATOSAÑO!$Y$11</f>
        <v>0.16596989793595335</v>
      </c>
      <c r="AG196" s="9">
        <f ca="1">DATOSAÑO!AN195</f>
        <v>2.4430000000001026</v>
      </c>
      <c r="AH196" s="11">
        <f ca="1">(AG196*DATOSAÑO!$Z$11)/DATOSAÑO!$Y$11</f>
        <v>4.4019591863871728E-2</v>
      </c>
      <c r="AI196" s="9">
        <f ca="1">DATOSAÑO!BJ195</f>
        <v>0</v>
      </c>
      <c r="AJ196" s="11">
        <f ca="1">(AI196*DATOSAÑO!$Z$11)/DATOSAÑO!$Y$11</f>
        <v>0</v>
      </c>
      <c r="AK196" s="9">
        <f ca="1">DATOSAÑO!BM195</f>
        <v>4.3449999999999998</v>
      </c>
      <c r="AL196" s="11">
        <f ca="1">(AK196*DATOSAÑO!$Z$11)/DATOSAÑO!$Y$11</f>
        <v>7.829108745334204E-2</v>
      </c>
      <c r="AM196" s="9">
        <f ca="1">DATOSAÑO!BP195</f>
        <v>3.1539999999999999</v>
      </c>
      <c r="AN196" s="11">
        <f ca="1">(AM196*DATOSAÑO!$Z$11)/DATOSAÑO!$Y$11</f>
        <v>5.6830860719871291E-2</v>
      </c>
      <c r="AO196" s="9">
        <f ca="1">DATOSAÑO!BW195</f>
        <v>12.295499999994018</v>
      </c>
      <c r="AP196" s="11">
        <f ca="1">(AO196*DATOSAÑO!$Z$11)/DATOSAÑO!$Y$11</f>
        <v>0.22154846162994216</v>
      </c>
      <c r="AQ196" s="9">
        <f ca="1">DATOSAÑO!CC195</f>
        <v>2.4842000000000413</v>
      </c>
      <c r="AR196" s="1348">
        <f ca="1">(AQ196*DATOSAÑO!$Z$11)/DATOSAÑO!$Y$11</f>
        <v>4.4761960748353403E-2</v>
      </c>
      <c r="AS196" s="1384">
        <f t="shared" si="8"/>
        <v>27</v>
      </c>
    </row>
    <row r="197" spans="1:45">
      <c r="A197" s="1408">
        <v>45112</v>
      </c>
      <c r="B197" s="1869">
        <v>45112</v>
      </c>
      <c r="C197" s="9">
        <f ca="1">DATOSAÑO!I196</f>
        <v>298.5</v>
      </c>
      <c r="D197" s="10">
        <f ca="1">DATOSAÑO!$D196</f>
        <v>5.152274265342534</v>
      </c>
      <c r="E197" s="11">
        <f ca="1">DATOSAÑO!$G196</f>
        <v>0</v>
      </c>
      <c r="F197" s="9">
        <f ca="1">DATOSAÑO!P196</f>
        <v>145.5</v>
      </c>
      <c r="G197" s="10">
        <f ca="1">DATOSAÑO!K196</f>
        <v>3.8431853024500486</v>
      </c>
      <c r="H197" s="11">
        <f ca="1">DATOSAÑO!N196</f>
        <v>0</v>
      </c>
      <c r="I197" s="9">
        <f ca="1">DATOSAÑO!Q196</f>
        <v>0</v>
      </c>
      <c r="J197" s="11">
        <f ca="1">DATOSAÑO!R196</f>
        <v>0</v>
      </c>
      <c r="K197" s="9">
        <f ca="1">DATOSAÑO!T196</f>
        <v>0</v>
      </c>
      <c r="L197" s="11">
        <f t="shared" ca="1" si="6"/>
        <v>0</v>
      </c>
      <c r="M197" s="9"/>
      <c r="N197" s="11">
        <f t="shared" si="7"/>
        <v>0</v>
      </c>
      <c r="O197" s="9">
        <f>DATOSAÑO!CK196</f>
        <v>0</v>
      </c>
      <c r="P197" s="9">
        <f>DATOSAÑO!CL196</f>
        <v>0</v>
      </c>
      <c r="Q197" s="9">
        <f ca="1">DATOSAÑO!AD196</f>
        <v>167.5099999999984</v>
      </c>
      <c r="R197" s="11">
        <f ca="1">(Q197*DATOSAÑO!$Z$11)/DATOSAÑO!$Y$11</f>
        <v>3.0183061126143151</v>
      </c>
      <c r="S197" s="9">
        <f ca="1">DATOSAÑO!AF196</f>
        <v>152.70000000001164</v>
      </c>
      <c r="T197" s="11">
        <f ca="1">(S197*DATOSAÑO!$Z$11)/DATOSAÑO!$Y$11</f>
        <v>2.7514497247701364</v>
      </c>
      <c r="U197" s="9">
        <f ca="1">DATOSAÑO!AH196</f>
        <v>10.599999999998545</v>
      </c>
      <c r="V197" s="11">
        <f ca="1">(U197*DATOSAÑO!$Z$11)/DATOSAÑO!$Y$11</f>
        <v>0.19099781979408784</v>
      </c>
      <c r="W197" s="9">
        <f ca="1">DATOSAÑO!AI196</f>
        <v>33.30000000000291</v>
      </c>
      <c r="X197" s="11">
        <f ca="1">(W197*DATOSAÑO!$Z$11)/DATOSAÑO!$Y$11</f>
        <v>0.60002145274948626</v>
      </c>
      <c r="Y197" s="9">
        <f ca="1">DATOSAÑO!AJ196</f>
        <v>10.30000000000291</v>
      </c>
      <c r="Z197" s="11">
        <f ca="1">(Y197*DATOSAÑO!$Z$11)/DATOSAÑO!$Y$11</f>
        <v>0.18559222112074819</v>
      </c>
      <c r="AA197" s="9">
        <f ca="1">DATOSAÑO!AK196</f>
        <v>11</v>
      </c>
      <c r="AB197" s="11">
        <f ca="1">(AA197*DATOSAÑO!$Z$11)/DATOSAÑO!$Y$11</f>
        <v>0.19820528469200516</v>
      </c>
      <c r="AC197" s="9">
        <f ca="1">DATOSAÑO!AL196</f>
        <v>33.489999999997963</v>
      </c>
      <c r="AD197" s="11">
        <f ca="1">(AC197*DATOSAÑO!$Z$11)/DATOSAÑO!$Y$11</f>
        <v>0.60344499857589529</v>
      </c>
      <c r="AE197" s="9">
        <f ca="1">DATOSAÑO!AM196</f>
        <v>6.4509999999875021</v>
      </c>
      <c r="AF197" s="11">
        <f ca="1">(AE197*DATOSAÑO!$Z$11)/DATOSAÑO!$Y$11</f>
        <v>0.11623839014051347</v>
      </c>
      <c r="AG197" s="9">
        <f ca="1">DATOSAÑO!AN196</f>
        <v>2.4910000000001276</v>
      </c>
      <c r="AH197" s="11">
        <f ca="1">(AG197*DATOSAÑO!$Z$11)/DATOSAÑO!$Y$11</f>
        <v>4.4884487651619107E-2</v>
      </c>
      <c r="AI197" s="9">
        <f ca="1">DATOSAÑO!BJ196</f>
        <v>0</v>
      </c>
      <c r="AJ197" s="11">
        <f ca="1">(AI197*DATOSAÑO!$Z$11)/DATOSAÑO!$Y$11</f>
        <v>0</v>
      </c>
      <c r="AK197" s="9">
        <f ca="1">DATOSAÑO!BM196</f>
        <v>3.782</v>
      </c>
      <c r="AL197" s="11">
        <f ca="1">(AK197*DATOSAÑO!$Z$11)/DATOSAÑO!$Y$11</f>
        <v>6.8146580609560317E-2</v>
      </c>
      <c r="AM197" s="9">
        <f ca="1">DATOSAÑO!BP196</f>
        <v>2.5070000000000001</v>
      </c>
      <c r="AN197" s="11">
        <f ca="1">(AM197*DATOSAÑO!$Z$11)/DATOSAÑO!$Y$11</f>
        <v>4.5172786247532452E-2</v>
      </c>
      <c r="AO197" s="9">
        <f ca="1">DATOSAÑO!BW196</f>
        <v>11.725499999993751</v>
      </c>
      <c r="AP197" s="11">
        <f ca="1">(AO197*DATOSAÑO!$Z$11)/DATOSAÑO!$Y$11</f>
        <v>0.21127782415044255</v>
      </c>
      <c r="AQ197" s="9">
        <f ca="1">DATOSAÑO!CC196</f>
        <v>2.3654000000000508</v>
      </c>
      <c r="AR197" s="1348">
        <f ca="1">(AQ197*DATOSAÑO!$Z$11)/DATOSAÑO!$Y$11</f>
        <v>4.2621343673679916E-2</v>
      </c>
      <c r="AS197" s="1384">
        <f t="shared" si="8"/>
        <v>27</v>
      </c>
    </row>
    <row r="198" spans="1:45" ht="16.5" customHeight="1">
      <c r="A198" s="1408">
        <v>45113</v>
      </c>
      <c r="B198" s="1869">
        <v>45113</v>
      </c>
      <c r="C198" s="9">
        <f ca="1">DATOSAÑO!I197</f>
        <v>298.5</v>
      </c>
      <c r="D198" s="10">
        <f ca="1">DATOSAÑO!$D197</f>
        <v>5.152274265342534</v>
      </c>
      <c r="E198" s="11">
        <f ca="1">DATOSAÑO!$G197</f>
        <v>0</v>
      </c>
      <c r="F198" s="9">
        <f ca="1">DATOSAÑO!P197</f>
        <v>148.90000000000146</v>
      </c>
      <c r="G198" s="10">
        <f ca="1">DATOSAÑO!K197</f>
        <v>3.8722761682921161</v>
      </c>
      <c r="H198" s="11">
        <f ca="1">DATOSAÑO!N197</f>
        <v>0</v>
      </c>
      <c r="I198" s="9">
        <f ca="1">DATOSAÑO!Q197</f>
        <v>0</v>
      </c>
      <c r="J198" s="11">
        <f ca="1">DATOSAÑO!R197</f>
        <v>0</v>
      </c>
      <c r="K198" s="9">
        <f ca="1">DATOSAÑO!T197</f>
        <v>0</v>
      </c>
      <c r="L198" s="11">
        <f t="shared" ca="1" si="6"/>
        <v>0</v>
      </c>
      <c r="M198" s="9"/>
      <c r="N198" s="11">
        <f t="shared" si="7"/>
        <v>0</v>
      </c>
      <c r="O198" s="9">
        <f>DATOSAÑO!CK197</f>
        <v>0</v>
      </c>
      <c r="P198" s="9">
        <f>DATOSAÑO!CL197</f>
        <v>0</v>
      </c>
      <c r="Q198" s="9">
        <f ca="1">DATOSAÑO!AD197</f>
        <v>167.82300000000032</v>
      </c>
      <c r="R198" s="11">
        <f ca="1">(Q198*DATOSAÑO!$Z$11)/DATOSAÑO!$Y$11</f>
        <v>3.0239459538969498</v>
      </c>
      <c r="S198" s="9">
        <f ca="1">DATOSAÑO!AF197</f>
        <v>150.29999999998836</v>
      </c>
      <c r="T198" s="11">
        <f ca="1">(S198*DATOSAÑO!$Z$11)/DATOSAÑO!$Y$11</f>
        <v>2.7082049353823701</v>
      </c>
      <c r="U198" s="9">
        <f ca="1">DATOSAÑO!AH197</f>
        <v>7.0999999999985448</v>
      </c>
      <c r="V198" s="11">
        <f ca="1">(U198*DATOSAÑO!$Z$11)/DATOSAÑO!$Y$11</f>
        <v>0.12793250193754074</v>
      </c>
      <c r="W198" s="9">
        <f ca="1">DATOSAÑO!AI197</f>
        <v>36.400000000008731</v>
      </c>
      <c r="X198" s="11">
        <f ca="1">(W198*DATOSAÑO!$Z$11)/DATOSAÑO!$Y$11</f>
        <v>0.65587930570824715</v>
      </c>
      <c r="Y198" s="9">
        <f ca="1">DATOSAÑO!AJ197</f>
        <v>10.30000000000291</v>
      </c>
      <c r="Z198" s="11">
        <f ca="1">(Y198*DATOSAÑO!$Z$11)/DATOSAÑO!$Y$11</f>
        <v>0.18559222112074819</v>
      </c>
      <c r="AA198" s="9">
        <f ca="1">DATOSAÑO!AK197</f>
        <v>11</v>
      </c>
      <c r="AB198" s="11">
        <f ca="1">(AA198*DATOSAÑO!$Z$11)/DATOSAÑO!$Y$11</f>
        <v>0.19820528469200516</v>
      </c>
      <c r="AC198" s="9">
        <f ca="1">DATOSAÑO!AL197</f>
        <v>34.976999999987981</v>
      </c>
      <c r="AD198" s="11">
        <f ca="1">(AC198*DATOSAÑO!$Z$11)/DATOSAÑO!$Y$11</f>
        <v>0.63023874933362567</v>
      </c>
      <c r="AE198" s="9">
        <f ca="1">DATOSAÑO!AM197</f>
        <v>8.6910000000145509</v>
      </c>
      <c r="AF198" s="11">
        <f ca="1">(AE198*DATOSAÑO!$Z$11)/DATOSAÑO!$Y$11</f>
        <v>0.156600193569191</v>
      </c>
      <c r="AG198" s="9">
        <f ca="1">DATOSAÑO!AN197</f>
        <v>2.7220000000003637</v>
      </c>
      <c r="AH198" s="11">
        <f ca="1">(AG198*DATOSAÑO!$Z$11)/DATOSAÑO!$Y$11</f>
        <v>4.9046798630155465E-2</v>
      </c>
      <c r="AI198" s="9">
        <f ca="1">DATOSAÑO!BJ197</f>
        <v>0</v>
      </c>
      <c r="AJ198" s="11">
        <f ca="1">(AI198*DATOSAÑO!$Z$11)/DATOSAÑO!$Y$11</f>
        <v>0</v>
      </c>
      <c r="AK198" s="9">
        <f ca="1">DATOSAÑO!BM197</f>
        <v>4.4080000000000004</v>
      </c>
      <c r="AL198" s="11">
        <f ca="1">(AK198*DATOSAÑO!$Z$11)/DATOSAÑO!$Y$11</f>
        <v>7.9426263174759898E-2</v>
      </c>
      <c r="AM198" s="9">
        <f ca="1">DATOSAÑO!BP197</f>
        <v>3.4009999999999998</v>
      </c>
      <c r="AN198" s="11">
        <f ca="1">(AM198*DATOSAÑO!$Z$11)/DATOSAÑO!$Y$11</f>
        <v>6.1281470294319046E-2</v>
      </c>
      <c r="AO198" s="9">
        <f ca="1">DATOSAÑO!BW197</f>
        <v>13.245500000006912</v>
      </c>
      <c r="AP198" s="11">
        <f ca="1">(AO198*DATOSAÑO!$Z$11)/DATOSAÑO!$Y$11</f>
        <v>0.23866619076266585</v>
      </c>
      <c r="AQ198" s="9">
        <f ca="1">DATOSAÑO!CC197</f>
        <v>2.4668000000001453</v>
      </c>
      <c r="AR198" s="1348">
        <f ca="1">(AQ198*DATOSAÑO!$Z$11)/DATOSAÑO!$Y$11</f>
        <v>4.4448436025297015E-2</v>
      </c>
      <c r="AS198" s="1384">
        <f t="shared" si="8"/>
        <v>27</v>
      </c>
    </row>
    <row r="199" spans="1:45">
      <c r="A199" s="1408">
        <v>45114</v>
      </c>
      <c r="B199" s="1869">
        <v>45114</v>
      </c>
      <c r="C199" s="9">
        <f ca="1">DATOSAÑO!I198</f>
        <v>289</v>
      </c>
      <c r="D199" s="10">
        <f ca="1">DATOSAÑO!$D198</f>
        <v>5.0709909637250252</v>
      </c>
      <c r="E199" s="11">
        <f ca="1">DATOSAÑO!$G198</f>
        <v>0</v>
      </c>
      <c r="F199" s="9">
        <f ca="1">DATOSAÑO!P198</f>
        <v>142.59999999999854</v>
      </c>
      <c r="G199" s="10">
        <f ca="1">DATOSAÑO!K198</f>
        <v>3.8183725051141657</v>
      </c>
      <c r="H199" s="11">
        <f ca="1">DATOSAÑO!N198</f>
        <v>0</v>
      </c>
      <c r="I199" s="9">
        <f ca="1">DATOSAÑO!Q198</f>
        <v>0.23400000000015098</v>
      </c>
      <c r="J199" s="11">
        <f ca="1">DATOSAÑO!R198</f>
        <v>28.080000000018117</v>
      </c>
      <c r="K199" s="9">
        <f ca="1">DATOSAÑO!T198</f>
        <v>0</v>
      </c>
      <c r="L199" s="11">
        <f t="shared" ca="1" si="6"/>
        <v>0</v>
      </c>
      <c r="M199" s="9"/>
      <c r="N199" s="11">
        <f t="shared" si="7"/>
        <v>0</v>
      </c>
      <c r="O199" s="9">
        <f>DATOSAÑO!CK198</f>
        <v>1</v>
      </c>
      <c r="P199" s="9">
        <f>DATOSAÑO!CL198</f>
        <v>0</v>
      </c>
      <c r="Q199" s="9">
        <f ca="1">DATOSAÑO!AD198</f>
        <v>146.97700000000077</v>
      </c>
      <c r="R199" s="11">
        <f ca="1">(Q199*DATOSAÑO!$Z$11)/DATOSAÑO!$Y$11</f>
        <v>2.6483289207433631</v>
      </c>
      <c r="S199" s="9">
        <f ca="1">DATOSAÑO!AF198</f>
        <v>151</v>
      </c>
      <c r="T199" s="11">
        <f ca="1">(S199*DATOSAÑO!$Z$11)/DATOSAÑO!$Y$11</f>
        <v>2.7208179989538892</v>
      </c>
      <c r="U199" s="9">
        <f ca="1">DATOSAÑO!AH198</f>
        <v>13</v>
      </c>
      <c r="V199" s="11">
        <f ca="1">(U199*DATOSAÑO!$Z$11)/DATOSAÑO!$Y$11</f>
        <v>0.23424260918146064</v>
      </c>
      <c r="W199" s="9">
        <f ca="1">DATOSAÑO!AI198</f>
        <v>37.5</v>
      </c>
      <c r="X199" s="11">
        <f ca="1">(W199*DATOSAÑO!$Z$11)/DATOSAÑO!$Y$11</f>
        <v>0.6756998341772904</v>
      </c>
      <c r="Y199" s="9">
        <f ca="1">DATOSAÑO!AJ198</f>
        <v>10.69999999999709</v>
      </c>
      <c r="Z199" s="11">
        <f ca="1">(Y199*DATOSAÑO!$Z$11)/DATOSAÑO!$Y$11</f>
        <v>0.19279968601853439</v>
      </c>
      <c r="AA199" s="9">
        <f ca="1">DATOSAÑO!AK198</f>
        <v>10</v>
      </c>
      <c r="AB199" s="11">
        <f ca="1">(AA199*DATOSAÑO!$Z$11)/DATOSAÑO!$Y$11</f>
        <v>0.18018662244727743</v>
      </c>
      <c r="AC199" s="9">
        <f ca="1">DATOSAÑO!AL198</f>
        <v>33.05700000000229</v>
      </c>
      <c r="AD199" s="11">
        <f ca="1">(AC199*DATOSAÑO!$Z$11)/DATOSAÑO!$Y$11</f>
        <v>0.59564291782400625</v>
      </c>
      <c r="AE199" s="9">
        <f ca="1">DATOSAÑO!AM198</f>
        <v>8.5929999999995665</v>
      </c>
      <c r="AF199" s="11">
        <f ca="1">(AE199*DATOSAÑO!$Z$11)/DATOSAÑO!$Y$11</f>
        <v>0.15483436466893769</v>
      </c>
      <c r="AG199" s="9">
        <f ca="1">DATOSAÑO!AN198</f>
        <v>2.4730000000000691</v>
      </c>
      <c r="AH199" s="11">
        <f ca="1">(AG199*DATOSAÑO!$Z$11)/DATOSAÑO!$Y$11</f>
        <v>4.4560151731212957E-2</v>
      </c>
      <c r="AI199" s="9">
        <f ca="1">DATOSAÑO!BJ198</f>
        <v>0</v>
      </c>
      <c r="AJ199" s="11">
        <f ca="1">(AI199*DATOSAÑO!$Z$11)/DATOSAÑO!$Y$11</f>
        <v>0</v>
      </c>
      <c r="AK199" s="9">
        <f ca="1">DATOSAÑO!BM198</f>
        <v>4.2119999999999997</v>
      </c>
      <c r="AL199" s="11">
        <f ca="1">(AK199*DATOSAÑO!$Z$11)/DATOSAÑO!$Y$11</f>
        <v>7.5894605374793242E-2</v>
      </c>
      <c r="AM199" s="9">
        <f ca="1">DATOSAÑO!BP198</f>
        <v>3.2650000000000001</v>
      </c>
      <c r="AN199" s="11">
        <f ca="1">(AM199*DATOSAÑO!$Z$11)/DATOSAÑO!$Y$11</f>
        <v>5.8830932229036084E-2</v>
      </c>
      <c r="AO199" s="9">
        <f ca="1">DATOSAÑO!BW198</f>
        <v>12.996499999998692</v>
      </c>
      <c r="AP199" s="11">
        <f ca="1">(AO199*DATOSAÑO!$Z$11)/DATOSAÑO!$Y$11</f>
        <v>0.23417954386358053</v>
      </c>
      <c r="AQ199" s="9">
        <f ca="1">DATOSAÑO!CC198</f>
        <v>3.346200000000028</v>
      </c>
      <c r="AR199" s="1348">
        <f ca="1">(AQ199*DATOSAÑO!$Z$11)/DATOSAÑO!$Y$11</f>
        <v>6.0294047603308476E-2</v>
      </c>
      <c r="AS199" s="1384">
        <f t="shared" si="8"/>
        <v>27</v>
      </c>
    </row>
    <row r="200" spans="1:45" ht="16.5" customHeight="1">
      <c r="A200" s="1408">
        <v>45115</v>
      </c>
      <c r="B200" s="1869">
        <v>45115</v>
      </c>
      <c r="C200" s="9">
        <f ca="1">DATOSAÑO!I199</f>
        <v>174</v>
      </c>
      <c r="D200" s="10">
        <f ca="1">DATOSAÑO!$D199</f>
        <v>4.08703520730257</v>
      </c>
      <c r="E200" s="11">
        <f ca="1">DATOSAÑO!$G199</f>
        <v>0</v>
      </c>
      <c r="F200" s="9">
        <f ca="1">DATOSAÑO!P199</f>
        <v>271.69999999999709</v>
      </c>
      <c r="G200" s="10">
        <f ca="1">DATOSAÑO!K199</f>
        <v>4.9229697934110144</v>
      </c>
      <c r="H200" s="11">
        <f ca="1">DATOSAÑO!N199</f>
        <v>0</v>
      </c>
      <c r="I200" s="9">
        <f ca="1">DATOSAÑO!Q199</f>
        <v>0</v>
      </c>
      <c r="J200" s="11">
        <f ca="1">DATOSAÑO!R199</f>
        <v>0</v>
      </c>
      <c r="K200" s="9">
        <f ca="1">DATOSAÑO!T199</f>
        <v>0</v>
      </c>
      <c r="L200" s="11">
        <f t="shared" ca="1" si="6"/>
        <v>0</v>
      </c>
      <c r="M200" s="9"/>
      <c r="N200" s="11">
        <f t="shared" si="7"/>
        <v>0</v>
      </c>
      <c r="O200" s="9">
        <f>DATOSAÑO!CK199</f>
        <v>0</v>
      </c>
      <c r="P200" s="9">
        <f>DATOSAÑO!CL199</f>
        <v>0</v>
      </c>
      <c r="Q200" s="9">
        <f ca="1">DATOSAÑO!AD199</f>
        <v>159.29999999999927</v>
      </c>
      <c r="R200" s="11">
        <f ca="1">(Q200*DATOSAÑO!$Z$11)/DATOSAÑO!$Y$11</f>
        <v>2.8703728955851164</v>
      </c>
      <c r="S200" s="9">
        <f ca="1">DATOSAÑO!AF199</f>
        <v>155</v>
      </c>
      <c r="T200" s="11">
        <f ca="1">(S200*DATOSAÑO!$Z$11)/DATOSAÑO!$Y$11</f>
        <v>2.7928926479328005</v>
      </c>
      <c r="U200" s="9">
        <f ca="1">DATOSAÑO!AH199</f>
        <v>13.599999999998545</v>
      </c>
      <c r="V200" s="11">
        <f ca="1">(U200*DATOSAÑO!$Z$11)/DATOSAÑO!$Y$11</f>
        <v>0.24505380652827108</v>
      </c>
      <c r="W200" s="9">
        <f ca="1">DATOSAÑO!AI199</f>
        <v>37.399999999994179</v>
      </c>
      <c r="X200" s="11">
        <f ca="1">(W200*DATOSAÑO!$Z$11)/DATOSAÑO!$Y$11</f>
        <v>0.67389796795271262</v>
      </c>
      <c r="Y200" s="9">
        <f ca="1">DATOSAÑO!AJ199</f>
        <v>8.8000000000029104</v>
      </c>
      <c r="Z200" s="11">
        <f ca="1">(Y200*DATOSAÑO!$Z$11)/DATOSAÑO!$Y$11</f>
        <v>0.15856422775365658</v>
      </c>
      <c r="AA200" s="9">
        <f ca="1">DATOSAÑO!AK199</f>
        <v>11</v>
      </c>
      <c r="AB200" s="11">
        <f ca="1">(AA200*DATOSAÑO!$Z$11)/DATOSAÑO!$Y$11</f>
        <v>0.19820528469200516</v>
      </c>
      <c r="AC200" s="9">
        <f ca="1">DATOSAÑO!AL199</f>
        <v>33.30000000000291</v>
      </c>
      <c r="AD200" s="11">
        <f ca="1">(AC200*DATOSAÑO!$Z$11)/DATOSAÑO!$Y$11</f>
        <v>0.60002145274948626</v>
      </c>
      <c r="AE200" s="9">
        <f ca="1">DATOSAÑO!AM199</f>
        <v>6.7897999999983689</v>
      </c>
      <c r="AF200" s="11">
        <f ca="1">(AE200*DATOSAÑO!$Z$11)/DATOSAÑO!$Y$11</f>
        <v>0.12234311290922303</v>
      </c>
      <c r="AG200" s="9">
        <f ca="1">DATOSAÑO!AN199</f>
        <v>2.1699999999996362</v>
      </c>
      <c r="AH200" s="11">
        <f ca="1">(AG200*DATOSAÑO!$Z$11)/DATOSAÑO!$Y$11</f>
        <v>3.9100497071052648E-2</v>
      </c>
      <c r="AI200" s="9">
        <f ca="1">DATOSAÑO!BJ199</f>
        <v>0.85120000000018625</v>
      </c>
      <c r="AJ200" s="11">
        <f ca="1">(AI200*DATOSAÑO!$Z$11)/DATOSAÑO!$Y$11</f>
        <v>1.5337485302715611E-2</v>
      </c>
      <c r="AK200" s="9">
        <f ca="1">DATOSAÑO!BM199</f>
        <v>4.5419999999999998</v>
      </c>
      <c r="AL200" s="11">
        <f ca="1">(AK200*DATOSAÑO!$Z$11)/DATOSAÑO!$Y$11</f>
        <v>8.1840763915553408E-2</v>
      </c>
      <c r="AM200" s="9">
        <f ca="1">DATOSAÑO!BP199</f>
        <v>2.4169999999999998</v>
      </c>
      <c r="AN200" s="11">
        <f ca="1">(AM200*DATOSAÑO!$Z$11)/DATOSAÑO!$Y$11</f>
        <v>4.3551106645506953E-2</v>
      </c>
      <c r="AO200" s="9">
        <f ca="1">DATOSAÑO!BW199</f>
        <v>12.194900000000276</v>
      </c>
      <c r="AP200" s="11">
        <f ca="1">(AO200*DATOSAÑO!$Z$11)/DATOSAÑO!$Y$11</f>
        <v>0.21973578420823534</v>
      </c>
      <c r="AQ200" s="9">
        <f ca="1">DATOSAÑO!CC199</f>
        <v>2.5979999999998546</v>
      </c>
      <c r="AR200" s="1348">
        <f ca="1">(AQ200*DATOSAÑO!$Z$11)/DATOSAÑO!$Y$11</f>
        <v>4.6812484511800055E-2</v>
      </c>
      <c r="AS200" s="1384">
        <f t="shared" si="8"/>
        <v>27</v>
      </c>
    </row>
    <row r="201" spans="1:45">
      <c r="A201" s="1408">
        <v>45116</v>
      </c>
      <c r="B201" s="1869">
        <v>45116</v>
      </c>
      <c r="C201" s="9">
        <f ca="1">DATOSAÑO!I200</f>
        <v>144</v>
      </c>
      <c r="D201" s="10">
        <f ca="1">DATOSAÑO!$D200</f>
        <v>3.8303510969314951</v>
      </c>
      <c r="E201" s="11">
        <f ca="1">DATOSAÑO!$G200</f>
        <v>0</v>
      </c>
      <c r="F201" s="9">
        <f ca="1">DATOSAÑO!P200</f>
        <v>301.5</v>
      </c>
      <c r="G201" s="10">
        <f ca="1">DATOSAÑO!K200</f>
        <v>5.1779426763796401</v>
      </c>
      <c r="H201" s="11">
        <f ca="1">DATOSAÑO!N200</f>
        <v>0</v>
      </c>
      <c r="I201" s="9">
        <f ca="1">DATOSAÑO!Q200</f>
        <v>0</v>
      </c>
      <c r="J201" s="11">
        <f ca="1">DATOSAÑO!R200</f>
        <v>0</v>
      </c>
      <c r="K201" s="9">
        <f ca="1">DATOSAÑO!T200</f>
        <v>0</v>
      </c>
      <c r="L201" s="11">
        <f t="shared" ca="1" si="6"/>
        <v>0</v>
      </c>
      <c r="M201" s="9"/>
      <c r="N201" s="11">
        <f t="shared" si="7"/>
        <v>0</v>
      </c>
      <c r="O201" s="9">
        <f>DATOSAÑO!CK200</f>
        <v>0</v>
      </c>
      <c r="P201" s="9">
        <f>DATOSAÑO!CL200</f>
        <v>0</v>
      </c>
      <c r="Q201" s="9">
        <f ca="1">DATOSAÑO!AD200</f>
        <v>162.70000000000073</v>
      </c>
      <c r="R201" s="11">
        <f ca="1">(Q201*DATOSAÑO!$Z$11)/DATOSAÑO!$Y$11</f>
        <v>2.9316363472172164</v>
      </c>
      <c r="S201" s="9">
        <f ca="1">DATOSAÑO!AF200</f>
        <v>150</v>
      </c>
      <c r="T201" s="11">
        <f ca="1">(S201*DATOSAÑO!$Z$11)/DATOSAÑO!$Y$11</f>
        <v>2.7027993367091616</v>
      </c>
      <c r="U201" s="9">
        <f ca="1">DATOSAÑO!AH200</f>
        <v>14.80000000000291</v>
      </c>
      <c r="V201" s="11">
        <f ca="1">(U201*DATOSAÑO!$Z$11)/DATOSAÑO!$Y$11</f>
        <v>0.26667620122202301</v>
      </c>
      <c r="W201" s="9">
        <f ca="1">DATOSAÑO!AI200</f>
        <v>37.5</v>
      </c>
      <c r="X201" s="11">
        <f ca="1">(W201*DATOSAÑO!$Z$11)/DATOSAÑO!$Y$11</f>
        <v>0.6756998341772904</v>
      </c>
      <c r="Y201" s="9">
        <f ca="1">DATOSAÑO!AJ200</f>
        <v>9.5</v>
      </c>
      <c r="Z201" s="11">
        <f ca="1">(Y201*DATOSAÑO!$Z$11)/DATOSAÑO!$Y$11</f>
        <v>0.17117729132491355</v>
      </c>
      <c r="AA201" s="9">
        <f ca="1">DATOSAÑO!AK200</f>
        <v>10</v>
      </c>
      <c r="AB201" s="11">
        <f ca="1">(AA201*DATOSAÑO!$Z$11)/DATOSAÑO!$Y$11</f>
        <v>0.18018662244727743</v>
      </c>
      <c r="AC201" s="9">
        <f ca="1">DATOSAÑO!AL200</f>
        <v>32.299999999995691</v>
      </c>
      <c r="AD201" s="11">
        <f ca="1">(AC201*DATOSAÑO!$Z$11)/DATOSAÑO!$Y$11</f>
        <v>0.58200279050462844</v>
      </c>
      <c r="AE201" s="9">
        <f ca="1">DATOSAÑO!AM200</f>
        <v>8.6764000000004309</v>
      </c>
      <c r="AF201" s="11">
        <f ca="1">(AE201*DATOSAÑO!$Z$11)/DATOSAÑO!$Y$11</f>
        <v>0.15633712110016357</v>
      </c>
      <c r="AG201" s="9">
        <f ca="1">DATOSAÑO!AN200</f>
        <v>2.5709999999998385</v>
      </c>
      <c r="AH201" s="11">
        <f ca="1">(AG201*DATOSAÑO!$Z$11)/DATOSAÑO!$Y$11</f>
        <v>4.6325980631192115E-2</v>
      </c>
      <c r="AI201" s="9">
        <f ca="1">DATOSAÑO!BJ200</f>
        <v>2.7246000000000929</v>
      </c>
      <c r="AJ201" s="11">
        <f ca="1">(AI201*DATOSAÑO!$Z$11)/DATOSAÑO!$Y$11</f>
        <v>4.9093647151986886E-2</v>
      </c>
      <c r="AK201" s="9">
        <f ca="1">DATOSAÑO!BM200</f>
        <v>4.7089999999999996</v>
      </c>
      <c r="AL201" s="11">
        <f ca="1">(AK201*DATOSAÑO!$Z$11)/DATOSAÑO!$Y$11</f>
        <v>8.4849880510422929E-2</v>
      </c>
      <c r="AM201" s="9">
        <f ca="1">DATOSAÑO!BP200</f>
        <v>0</v>
      </c>
      <c r="AN201" s="11">
        <f ca="1">(AM201*DATOSAÑO!$Z$11)/DATOSAÑO!$Y$11</f>
        <v>0</v>
      </c>
      <c r="AO201" s="9">
        <f ca="1">DATOSAÑO!BW200</f>
        <v>12.938200000000579</v>
      </c>
      <c r="AP201" s="11">
        <f ca="1">(AO201*DATOSAÑO!$Z$11)/DATOSAÑO!$Y$11</f>
        <v>0.23312905585474691</v>
      </c>
      <c r="AQ201" s="9">
        <f ca="1">DATOSAÑO!CC200</f>
        <v>2.4473999999999352</v>
      </c>
      <c r="AR201" s="1348">
        <f ca="1">(AQ201*DATOSAÑO!$Z$11)/DATOSAÑO!$Y$11</f>
        <v>4.4098873977745506E-2</v>
      </c>
      <c r="AS201" s="1384">
        <f t="shared" si="8"/>
        <v>28</v>
      </c>
    </row>
    <row r="202" spans="1:45" ht="16.5" customHeight="1">
      <c r="A202" s="1408">
        <v>45117</v>
      </c>
      <c r="B202" s="1869">
        <v>45117</v>
      </c>
      <c r="C202" s="9">
        <f ca="1">DATOSAÑO!I201</f>
        <v>150</v>
      </c>
      <c r="D202" s="10">
        <f ca="1">DATOSAÑO!$D201</f>
        <v>3.8816879190057101</v>
      </c>
      <c r="E202" s="11">
        <f ca="1">DATOSAÑO!$G201</f>
        <v>0</v>
      </c>
      <c r="F202" s="9">
        <f ca="1">DATOSAÑO!P201</f>
        <v>283.90000000000146</v>
      </c>
      <c r="G202" s="10">
        <f ca="1">DATOSAÑO!K201</f>
        <v>5.0273546649619556</v>
      </c>
      <c r="H202" s="11">
        <f ca="1">DATOSAÑO!N201</f>
        <v>0</v>
      </c>
      <c r="I202" s="9">
        <f ca="1">DATOSAÑO!Q201</f>
        <v>0</v>
      </c>
      <c r="J202" s="11">
        <f ca="1">DATOSAÑO!R201</f>
        <v>0</v>
      </c>
      <c r="K202" s="9">
        <f ca="1">DATOSAÑO!T201</f>
        <v>0</v>
      </c>
      <c r="L202" s="11">
        <f t="shared" ca="1" si="6"/>
        <v>0</v>
      </c>
      <c r="M202" s="9"/>
      <c r="N202" s="11">
        <f t="shared" si="7"/>
        <v>0</v>
      </c>
      <c r="O202" s="9">
        <f>DATOSAÑO!CK201</f>
        <v>0</v>
      </c>
      <c r="P202" s="9">
        <f>DATOSAÑO!CL201</f>
        <v>1</v>
      </c>
      <c r="Q202" s="9">
        <f ca="1">DATOSAÑO!AD201</f>
        <v>164</v>
      </c>
      <c r="R202" s="11">
        <f ca="1">(Q202*DATOSAÑO!$Z$11)/DATOSAÑO!$Y$11</f>
        <v>2.9550606081353497</v>
      </c>
      <c r="S202" s="9">
        <f ca="1">DATOSAÑO!AF201</f>
        <v>152</v>
      </c>
      <c r="T202" s="11">
        <f ca="1">(S202*DATOSAÑO!$Z$11)/DATOSAÑO!$Y$11</f>
        <v>2.7388366611986168</v>
      </c>
      <c r="U202" s="9">
        <f ca="1">DATOSAÑO!AH201</f>
        <v>3.9000000000014552</v>
      </c>
      <c r="V202" s="11">
        <f ca="1">(U202*DATOSAÑO!$Z$11)/DATOSAÑO!$Y$11</f>
        <v>7.0272782754464413E-2</v>
      </c>
      <c r="W202" s="9">
        <f ca="1">DATOSAÑO!AI201</f>
        <v>37.19999999999709</v>
      </c>
      <c r="X202" s="11">
        <f ca="1">(W202*DATOSAÑO!$Z$11)/DATOSAÑO!$Y$11</f>
        <v>0.67029423550381961</v>
      </c>
      <c r="Y202" s="9">
        <f ca="1">DATOSAÑO!AJ201</f>
        <v>7.2999999999883585</v>
      </c>
      <c r="Z202" s="11">
        <f ca="1">(Y202*DATOSAÑO!$Z$11)/DATOSAÑO!$Y$11</f>
        <v>0.13153623438630274</v>
      </c>
      <c r="AA202" s="9">
        <f ca="1">DATOSAÑO!AK201</f>
        <v>9</v>
      </c>
      <c r="AB202" s="11">
        <f ca="1">(AA202*DATOSAÑO!$Z$11)/DATOSAÑO!$Y$11</f>
        <v>0.16216796020254967</v>
      </c>
      <c r="AC202" s="9">
        <f ca="1">DATOSAÑO!AL201</f>
        <v>33.000000000014552</v>
      </c>
      <c r="AD202" s="11">
        <f ca="1">(AC202*DATOSAÑO!$Z$11)/DATOSAÑO!$Y$11</f>
        <v>0.59461585407627771</v>
      </c>
      <c r="AE202" s="9">
        <f ca="1">DATOSAÑO!AM201</f>
        <v>8.7030000000005483</v>
      </c>
      <c r="AF202" s="11">
        <f ca="1">(AE202*DATOSAÑO!$Z$11)/DATOSAÑO!$Y$11</f>
        <v>0.15681641751587544</v>
      </c>
      <c r="AG202" s="9">
        <f ca="1">DATOSAÑO!AN201</f>
        <v>2.0290000000005457</v>
      </c>
      <c r="AH202" s="11">
        <f ca="1">(AG202*DATOSAÑO!$Z$11)/DATOSAÑO!$Y$11</f>
        <v>3.6559865694562418E-2</v>
      </c>
      <c r="AI202" s="9">
        <f ca="1">DATOSAÑO!BJ201</f>
        <v>2.1360000000000001</v>
      </c>
      <c r="AJ202" s="11">
        <f ca="1">(AI202*DATOSAÑO!$Z$11)/DATOSAÑO!$Y$11</f>
        <v>3.8487862554738461E-2</v>
      </c>
      <c r="AK202" s="9">
        <f ca="1">DATOSAÑO!BM201</f>
        <v>4.5609999999999999</v>
      </c>
      <c r="AL202" s="11">
        <f ca="1">(AK202*DATOSAÑO!$Z$11)/DATOSAÑO!$Y$11</f>
        <v>8.2183118498203242E-2</v>
      </c>
      <c r="AM202" s="9">
        <f ca="1">DATOSAÑO!BP201</f>
        <v>0</v>
      </c>
      <c r="AN202" s="11">
        <f ca="1">(AM202*DATOSAÑO!$Z$11)/DATOSAÑO!$Y$11</f>
        <v>0</v>
      </c>
      <c r="AO202" s="9">
        <f ca="1">DATOSAÑO!BW201</f>
        <v>13.051499999999184</v>
      </c>
      <c r="AP202" s="11">
        <f ca="1">(AO202*DATOSAÑO!$Z$11)/DATOSAÑO!$Y$11</f>
        <v>0.23517057028704941</v>
      </c>
      <c r="AQ202" s="9">
        <f ca="1">DATOSAÑO!CC201</f>
        <v>2.1826000000002184</v>
      </c>
      <c r="AR202" s="1348">
        <f ca="1">(AQ202*DATOSAÑO!$Z$11)/DATOSAÑO!$Y$11</f>
        <v>3.9327532215346704E-2</v>
      </c>
      <c r="AS202" s="1384">
        <f t="shared" si="8"/>
        <v>28</v>
      </c>
    </row>
    <row r="203" spans="1:45">
      <c r="A203" s="1408">
        <v>45118</v>
      </c>
      <c r="B203" s="1869">
        <v>45118</v>
      </c>
      <c r="C203" s="9">
        <f ca="1">DATOSAÑO!I202</f>
        <v>149</v>
      </c>
      <c r="D203" s="10">
        <f ca="1">DATOSAÑO!$D202</f>
        <v>3.8731317819933411</v>
      </c>
      <c r="E203" s="11">
        <f ca="1">DATOSAÑO!$G202</f>
        <v>0</v>
      </c>
      <c r="F203" s="9">
        <f ca="1">DATOSAÑO!P202</f>
        <v>289.90000000000146</v>
      </c>
      <c r="G203" s="10">
        <f ca="1">DATOSAÑO!K202</f>
        <v>5.0786914870361706</v>
      </c>
      <c r="H203" s="11">
        <f ca="1">DATOSAÑO!N202</f>
        <v>0</v>
      </c>
      <c r="I203" s="9">
        <f ca="1">DATOSAÑO!Q202</f>
        <v>0.48099999999999454</v>
      </c>
      <c r="J203" s="11">
        <f ca="1">DATOSAÑO!R202</f>
        <v>57.719999999999345</v>
      </c>
      <c r="K203" s="9">
        <f ca="1">DATOSAÑO!T202</f>
        <v>0.28200000000003911</v>
      </c>
      <c r="L203" s="11">
        <f t="shared" ca="1" si="6"/>
        <v>33.840000000004693</v>
      </c>
      <c r="M203" s="9"/>
      <c r="N203" s="11">
        <f t="shared" si="7"/>
        <v>0</v>
      </c>
      <c r="O203" s="9">
        <f>DATOSAÑO!CK202</f>
        <v>1</v>
      </c>
      <c r="P203" s="9">
        <f>DATOSAÑO!CL202</f>
        <v>0</v>
      </c>
      <c r="Q203" s="9">
        <f ca="1">DATOSAÑO!AD202</f>
        <v>165.39999999999964</v>
      </c>
      <c r="R203" s="11">
        <f ca="1">(Q203*DATOSAÑO!$Z$11)/DATOSAÑO!$Y$11</f>
        <v>2.9802867352779621</v>
      </c>
      <c r="S203" s="9">
        <f ca="1">DATOSAÑO!AF202</f>
        <v>153</v>
      </c>
      <c r="T203" s="11">
        <f ca="1">(S203*DATOSAÑO!$Z$11)/DATOSAÑO!$Y$11</f>
        <v>2.7568553234433448</v>
      </c>
      <c r="U203" s="9">
        <f ca="1">DATOSAÑO!AH202</f>
        <v>7.1999999999970896</v>
      </c>
      <c r="V203" s="11">
        <f ca="1">(U203*DATOSAÑO!$Z$11)/DATOSAÑO!$Y$11</f>
        <v>0.1297343681619873</v>
      </c>
      <c r="W203" s="9">
        <f ca="1">DATOSAÑO!AI202</f>
        <v>36</v>
      </c>
      <c r="X203" s="11">
        <f ca="1">(W203*DATOSAÑO!$Z$11)/DATOSAÑO!$Y$11</f>
        <v>0.64867184081019869</v>
      </c>
      <c r="Y203" s="9">
        <f ca="1">DATOSAÑO!AJ202</f>
        <v>7.6000000000058208</v>
      </c>
      <c r="Z203" s="11">
        <f ca="1">(Y203*DATOSAÑO!$Z$11)/DATOSAÑO!$Y$11</f>
        <v>0.13694183306003571</v>
      </c>
      <c r="AA203" s="9">
        <f ca="1">DATOSAÑO!AK202</f>
        <v>9</v>
      </c>
      <c r="AB203" s="11">
        <f ca="1">(AA203*DATOSAÑO!$Z$11)/DATOSAÑO!$Y$11</f>
        <v>0.16216796020254967</v>
      </c>
      <c r="AC203" s="9">
        <f ca="1">DATOSAÑO!AL202</f>
        <v>32.562999999997487</v>
      </c>
      <c r="AD203" s="11">
        <f ca="1">(AC203*DATOSAÑO!$Z$11)/DATOSAÑO!$Y$11</f>
        <v>0.58674169867502424</v>
      </c>
      <c r="AE203" s="9">
        <f ca="1">DATOSAÑO!AM202</f>
        <v>8.3090000000006601</v>
      </c>
      <c r="AF203" s="11">
        <f ca="1">(AE203*DATOSAÑO!$Z$11)/DATOSAÑO!$Y$11</f>
        <v>0.1497170645914547</v>
      </c>
      <c r="AG203" s="9">
        <f ca="1">DATOSAÑO!AN202</f>
        <v>3.038999999999719</v>
      </c>
      <c r="AH203" s="11">
        <f ca="1">(AG203*DATOSAÑO!$Z$11)/DATOSAÑO!$Y$11</f>
        <v>5.4758714561722543E-2</v>
      </c>
      <c r="AI203" s="9">
        <f ca="1">DATOSAÑO!BJ202</f>
        <v>0.78300000000000003</v>
      </c>
      <c r="AJ203" s="11">
        <f ca="1">(AI203*DATOSAÑO!$Z$11)/DATOSAÑO!$Y$11</f>
        <v>1.4108612537621823E-2</v>
      </c>
      <c r="AK203" s="9">
        <f ca="1">DATOSAÑO!BM202</f>
        <v>4.4800000000000004</v>
      </c>
      <c r="AL203" s="11">
        <f ca="1">(AK203*DATOSAÑO!$Z$11)/DATOSAÑO!$Y$11</f>
        <v>8.0723606856380289E-2</v>
      </c>
      <c r="AM203" s="9">
        <f ca="1">DATOSAÑO!BP202</f>
        <v>2.1880000000000002</v>
      </c>
      <c r="AN203" s="11">
        <f ca="1">(AM203*DATOSAÑO!$Z$11)/DATOSAÑO!$Y$11</f>
        <v>3.9424832991464299E-2</v>
      </c>
      <c r="AO203" s="9">
        <f ca="1">DATOSAÑO!BW202</f>
        <v>12.954500000001421</v>
      </c>
      <c r="AP203" s="11">
        <f ca="1">(AO203*DATOSAÑO!$Z$11)/DATOSAÑO!$Y$11</f>
        <v>0.23342276004935114</v>
      </c>
      <c r="AQ203" s="9">
        <f ca="1">DATOSAÑO!CC202</f>
        <v>2.5165999999998876</v>
      </c>
      <c r="AR203" s="1348">
        <f ca="1">(AQ203*DATOSAÑO!$Z$11)/DATOSAÑO!$Y$11</f>
        <v>4.5345765405079813E-2</v>
      </c>
      <c r="AS203" s="1384">
        <f t="shared" si="8"/>
        <v>28</v>
      </c>
    </row>
    <row r="204" spans="1:45" ht="16.5" customHeight="1">
      <c r="A204" s="1408">
        <v>45119</v>
      </c>
      <c r="B204" s="1869">
        <v>45119</v>
      </c>
      <c r="C204" s="9">
        <f ca="1">DATOSAÑO!I203</f>
        <v>149</v>
      </c>
      <c r="D204" s="10">
        <f ca="1">DATOSAÑO!$D203</f>
        <v>3.8731317819933411</v>
      </c>
      <c r="E204" s="11">
        <f ca="1">DATOSAÑO!$G203</f>
        <v>0</v>
      </c>
      <c r="F204" s="9">
        <f ca="1">DATOSAÑO!P203</f>
        <v>297</v>
      </c>
      <c r="G204" s="10">
        <f ca="1">DATOSAÑO!K203</f>
        <v>5.1394400598239791</v>
      </c>
      <c r="H204" s="11">
        <f ca="1">DATOSAÑO!N203</f>
        <v>0</v>
      </c>
      <c r="I204" s="9">
        <f ca="1">DATOSAÑO!Q203</f>
        <v>0</v>
      </c>
      <c r="J204" s="11">
        <f ca="1">DATOSAÑO!R203</f>
        <v>0</v>
      </c>
      <c r="K204" s="9">
        <f ca="1">DATOSAÑO!T203</f>
        <v>0</v>
      </c>
      <c r="L204" s="11">
        <f t="shared" ref="L204:L267" ca="1" si="9">K204*120</f>
        <v>0</v>
      </c>
      <c r="M204" s="9"/>
      <c r="N204" s="11">
        <f t="shared" ref="N204:N267" si="10">M204*120</f>
        <v>0</v>
      </c>
      <c r="O204" s="9">
        <f>DATOSAÑO!CK203</f>
        <v>0</v>
      </c>
      <c r="P204" s="9">
        <f>DATOSAÑO!CL203</f>
        <v>0</v>
      </c>
      <c r="Q204" s="9">
        <f ca="1">DATOSAÑO!AD203</f>
        <v>164</v>
      </c>
      <c r="R204" s="11">
        <f ca="1">(Q204*DATOSAÑO!$Z$11)/DATOSAÑO!$Y$11</f>
        <v>2.9550606081353497</v>
      </c>
      <c r="S204" s="9">
        <f ca="1">DATOSAÑO!AF203</f>
        <v>152</v>
      </c>
      <c r="T204" s="11">
        <f ca="1">(S204*DATOSAÑO!$Z$11)/DATOSAÑO!$Y$11</f>
        <v>2.7388366611986168</v>
      </c>
      <c r="U204" s="9">
        <f ca="1">DATOSAÑO!AH203</f>
        <v>13.400000000001455</v>
      </c>
      <c r="V204" s="11">
        <f ca="1">(U204*DATOSAÑO!$Z$11)/DATOSAÑO!$Y$11</f>
        <v>0.24145007407937796</v>
      </c>
      <c r="W204" s="9">
        <f ca="1">DATOSAÑO!AI203</f>
        <v>37.30000000000291</v>
      </c>
      <c r="X204" s="11">
        <f ca="1">(W204*DATOSAÑO!$Z$11)/DATOSAÑO!$Y$11</f>
        <v>0.67209610172839718</v>
      </c>
      <c r="Y204" s="9">
        <f ca="1">DATOSAÑO!AJ203</f>
        <v>6.1000000000058208</v>
      </c>
      <c r="Z204" s="11">
        <f ca="1">(Y204*DATOSAÑO!$Z$11)/DATOSAÑO!$Y$11</f>
        <v>0.1099138396929441</v>
      </c>
      <c r="AA204" s="9">
        <f ca="1">DATOSAÑO!AK203</f>
        <v>10</v>
      </c>
      <c r="AB204" s="11">
        <f ca="1">(AA204*DATOSAÑO!$Z$11)/DATOSAÑO!$Y$11</f>
        <v>0.18018662244727743</v>
      </c>
      <c r="AC204" s="9">
        <f ca="1">DATOSAÑO!AL203</f>
        <v>34.899999999990541</v>
      </c>
      <c r="AD204" s="11">
        <f ca="1">(AC204*DATOSAÑO!$Z$11)/DATOSAÑO!$Y$11</f>
        <v>0.6288513123408277</v>
      </c>
      <c r="AE204" s="9">
        <f ca="1">DATOSAÑO!AM203</f>
        <v>7.2439999999994562</v>
      </c>
      <c r="AF204" s="11">
        <f ca="1">(AE204*DATOSAÑO!$Z$11)/DATOSAÑO!$Y$11</f>
        <v>0.13052718930079796</v>
      </c>
      <c r="AG204" s="9">
        <f ca="1">DATOSAÑO!AN203</f>
        <v>2.8560000000005457</v>
      </c>
      <c r="AH204" s="11">
        <f ca="1">(AG204*DATOSAÑO!$Z$11)/DATOSAÑO!$Y$11</f>
        <v>5.1461299370952264E-2</v>
      </c>
      <c r="AI204" s="9">
        <f ca="1">DATOSAÑO!BJ203</f>
        <v>0</v>
      </c>
      <c r="AJ204" s="11">
        <f ca="1">(AI204*DATOSAÑO!$Z$11)/DATOSAÑO!$Y$11</f>
        <v>0</v>
      </c>
      <c r="AK204" s="9">
        <f ca="1">DATOSAÑO!BM203</f>
        <v>4.4619999999999997</v>
      </c>
      <c r="AL204" s="11">
        <f ca="1">(AK204*DATOSAÑO!$Z$11)/DATOSAÑO!$Y$11</f>
        <v>8.0399270935975181E-2</v>
      </c>
      <c r="AM204" s="9">
        <f ca="1">DATOSAÑO!BP203</f>
        <v>3.3940000000000001</v>
      </c>
      <c r="AN204" s="11">
        <f ca="1">(AM204*DATOSAÑO!$Z$11)/DATOSAÑO!$Y$11</f>
        <v>6.1155339658605957E-2</v>
      </c>
      <c r="AO204" s="9">
        <f ca="1">DATOSAÑO!BW203</f>
        <v>12.421999999999001</v>
      </c>
      <c r="AP204" s="11">
        <f ca="1">(AO204*DATOSAÑO!$Z$11)/DATOSAÑO!$Y$11</f>
        <v>0.22382782240399002</v>
      </c>
      <c r="AQ204" s="9">
        <f ca="1">DATOSAÑO!CC203</f>
        <v>2.6864000000002184</v>
      </c>
      <c r="AR204" s="1348">
        <f ca="1">(AQ204*DATOSAÑO!$Z$11)/DATOSAÑO!$Y$11</f>
        <v>4.840533425424054E-2</v>
      </c>
      <c r="AS204" s="1384">
        <f t="shared" si="8"/>
        <v>28</v>
      </c>
    </row>
    <row r="205" spans="1:45">
      <c r="A205" s="1408">
        <v>45120</v>
      </c>
      <c r="B205" s="1869">
        <v>45120</v>
      </c>
      <c r="C205" s="9">
        <f ca="1">DATOSAÑO!I204</f>
        <v>148</v>
      </c>
      <c r="D205" s="10">
        <f ca="1">DATOSAÑO!$D204</f>
        <v>3.8645756449809716</v>
      </c>
      <c r="E205" s="11">
        <f ca="1">DATOSAÑO!$G204</f>
        <v>0</v>
      </c>
      <c r="F205" s="9">
        <f ca="1">DATOSAÑO!P204</f>
        <v>300</v>
      </c>
      <c r="G205" s="10">
        <f ca="1">DATOSAÑO!K204</f>
        <v>5.165108470861087</v>
      </c>
      <c r="H205" s="11">
        <f ca="1">DATOSAÑO!N204</f>
        <v>0</v>
      </c>
      <c r="I205" s="9">
        <f ca="1">DATOSAÑO!Q204</f>
        <v>0</v>
      </c>
      <c r="J205" s="11">
        <f ca="1">DATOSAÑO!R204</f>
        <v>0</v>
      </c>
      <c r="K205" s="9">
        <f ca="1">DATOSAÑO!T204</f>
        <v>0</v>
      </c>
      <c r="L205" s="11">
        <f t="shared" ca="1" si="9"/>
        <v>0</v>
      </c>
      <c r="M205" s="9"/>
      <c r="N205" s="11">
        <f t="shared" si="10"/>
        <v>0</v>
      </c>
      <c r="O205" s="9">
        <f>DATOSAÑO!CK204</f>
        <v>0</v>
      </c>
      <c r="P205" s="9">
        <f>DATOSAÑO!CL204</f>
        <v>0</v>
      </c>
      <c r="Q205" s="9">
        <f ca="1">DATOSAÑO!AD204</f>
        <v>163</v>
      </c>
      <c r="R205" s="11">
        <f ca="1">(Q205*DATOSAÑO!$Z$11)/DATOSAÑO!$Y$11</f>
        <v>2.9370419458906221</v>
      </c>
      <c r="S205" s="9">
        <f ca="1">DATOSAÑO!AF204</f>
        <v>152</v>
      </c>
      <c r="T205" s="11">
        <f ca="1">(S205*DATOSAÑO!$Z$11)/DATOSAÑO!$Y$11</f>
        <v>2.7388366611986168</v>
      </c>
      <c r="U205" s="9">
        <f ca="1">DATOSAÑO!AH204</f>
        <v>13.799999999999272</v>
      </c>
      <c r="V205" s="11">
        <f ca="1">(U205*DATOSAÑO!$Z$11)/DATOSAÑO!$Y$11</f>
        <v>0.24865753897722973</v>
      </c>
      <c r="W205" s="9">
        <f ca="1">DATOSAÑO!AI204</f>
        <v>37.30000000000291</v>
      </c>
      <c r="X205" s="11">
        <f ca="1">(W205*DATOSAÑO!$Z$11)/DATOSAÑO!$Y$11</f>
        <v>0.67209610172839718</v>
      </c>
      <c r="Y205" s="9">
        <f ca="1">DATOSAÑO!AJ204</f>
        <v>8.1999999999970896</v>
      </c>
      <c r="Z205" s="11">
        <f ca="1">(Y205*DATOSAÑO!$Z$11)/DATOSAÑO!$Y$11</f>
        <v>0.14775303040671506</v>
      </c>
      <c r="AA205" s="9">
        <f ca="1">DATOSAÑO!AK204</f>
        <v>10</v>
      </c>
      <c r="AB205" s="11">
        <f ca="1">(AA205*DATOSAÑO!$Z$11)/DATOSAÑO!$Y$11</f>
        <v>0.18018662244727743</v>
      </c>
      <c r="AC205" s="9">
        <f ca="1">DATOSAÑO!AL204</f>
        <v>35.300000000002854</v>
      </c>
      <c r="AD205" s="11">
        <f ca="1">(AC205*DATOSAÑO!$Z$11)/DATOSAÑO!$Y$11</f>
        <v>0.63605877723894066</v>
      </c>
      <c r="AE205" s="9">
        <f ca="1">DATOSAÑO!AM204</f>
        <v>6.7899999999984519</v>
      </c>
      <c r="AF205" s="11">
        <f ca="1">(AE205*DATOSAÑO!$Z$11)/DATOSAÑO!$Y$11</f>
        <v>0.12234671664167347</v>
      </c>
      <c r="AG205" s="9">
        <f ca="1">DATOSAÑO!AN204</f>
        <v>3.2259999999997273</v>
      </c>
      <c r="AH205" s="11">
        <f ca="1">(AG205*DATOSAÑO!$Z$11)/DATOSAÑO!$Y$11</f>
        <v>5.8128204401486777E-2</v>
      </c>
      <c r="AI205" s="9">
        <f ca="1">DATOSAÑO!BJ204</f>
        <v>0</v>
      </c>
      <c r="AJ205" s="11">
        <f ca="1">(AI205*DATOSAÑO!$Z$11)/DATOSAÑO!$Y$11</f>
        <v>0</v>
      </c>
      <c r="AK205" s="9">
        <f ca="1">DATOSAÑO!BM204</f>
        <v>4.5140000000000002</v>
      </c>
      <c r="AL205" s="11">
        <f ca="1">(AK205*DATOSAÑO!$Z$11)/DATOSAÑO!$Y$11</f>
        <v>8.1336241372701026E-2</v>
      </c>
      <c r="AM205" s="9">
        <f ca="1">DATOSAÑO!BP204</f>
        <v>3.3959999999999999</v>
      </c>
      <c r="AN205" s="11">
        <f ca="1">(AM205*DATOSAÑO!$Z$11)/DATOSAÑO!$Y$11</f>
        <v>6.1191376983095409E-2</v>
      </c>
      <c r="AO205" s="9">
        <f ca="1">DATOSAÑO!BW204</f>
        <v>12.294999999998861</v>
      </c>
      <c r="AP205" s="11">
        <f ca="1">(AO205*DATOSAÑO!$Z$11)/DATOSAÑO!$Y$11</f>
        <v>0.22153945229890709</v>
      </c>
      <c r="AQ205" s="9">
        <f ca="1">DATOSAÑO!CC204</f>
        <v>2.864399999999891</v>
      </c>
      <c r="AR205" s="1348">
        <f ca="1">(AQ205*DATOSAÑO!$Z$11)/DATOSAÑO!$Y$11</f>
        <v>5.1612656133796182E-2</v>
      </c>
      <c r="AS205" s="1384">
        <f t="shared" ref="AS205:AS268" si="11">WEEKNUM(B205,1)</f>
        <v>28</v>
      </c>
    </row>
    <row r="206" spans="1:45" ht="16.5" customHeight="1">
      <c r="A206" s="1408">
        <v>45121</v>
      </c>
      <c r="B206" s="1869">
        <v>45121</v>
      </c>
      <c r="C206" s="9">
        <f ca="1">DATOSAÑO!I205</f>
        <v>148</v>
      </c>
      <c r="D206" s="10">
        <f ca="1">DATOSAÑO!$D205</f>
        <v>3.8645756449809716</v>
      </c>
      <c r="E206" s="11">
        <f ca="1">DATOSAÑO!$G205</f>
        <v>0</v>
      </c>
      <c r="F206" s="9">
        <f ca="1">DATOSAÑO!P205</f>
        <v>280</v>
      </c>
      <c r="G206" s="10">
        <f ca="1">DATOSAÑO!K205</f>
        <v>4.9939857306137032</v>
      </c>
      <c r="H206" s="11">
        <f ca="1">DATOSAÑO!N205</f>
        <v>0</v>
      </c>
      <c r="I206" s="9">
        <f ca="1">DATOSAÑO!Q205</f>
        <v>0</v>
      </c>
      <c r="J206" s="11">
        <f ca="1">DATOSAÑO!R205</f>
        <v>0</v>
      </c>
      <c r="K206" s="9">
        <f ca="1">DATOSAÑO!T205</f>
        <v>0</v>
      </c>
      <c r="L206" s="11">
        <f t="shared" ca="1" si="9"/>
        <v>0</v>
      </c>
      <c r="M206" s="9"/>
      <c r="N206" s="11">
        <f t="shared" si="10"/>
        <v>0</v>
      </c>
      <c r="O206" s="9">
        <f>DATOSAÑO!CK205</f>
        <v>0</v>
      </c>
      <c r="P206" s="9">
        <f>DATOSAÑO!CL205</f>
        <v>0</v>
      </c>
      <c r="Q206" s="9">
        <f ca="1">DATOSAÑO!AD205</f>
        <v>163</v>
      </c>
      <c r="R206" s="11">
        <f ca="1">(Q206*DATOSAÑO!$Z$11)/DATOSAÑO!$Y$11</f>
        <v>2.9370419458906221</v>
      </c>
      <c r="S206" s="9">
        <f ca="1">DATOSAÑO!AF205</f>
        <v>150</v>
      </c>
      <c r="T206" s="11">
        <f ca="1">(S206*DATOSAÑO!$Z$11)/DATOSAÑO!$Y$11</f>
        <v>2.7027993367091616</v>
      </c>
      <c r="U206" s="9">
        <f ca="1">DATOSAÑO!AH205</f>
        <v>4.5999999999985448</v>
      </c>
      <c r="V206" s="11">
        <f ca="1">(U206*DATOSAÑO!$Z$11)/DATOSAÑO!$Y$11</f>
        <v>8.2885846325721393E-2</v>
      </c>
      <c r="W206" s="9">
        <f ca="1">DATOSAÑO!AI205</f>
        <v>35.899999999994179</v>
      </c>
      <c r="X206" s="11">
        <f ca="1">(W206*DATOSAÑO!$Z$11)/DATOSAÑO!$Y$11</f>
        <v>0.64686997458562112</v>
      </c>
      <c r="Y206" s="9">
        <f ca="1">DATOSAÑO!AJ205</f>
        <v>5.6999999999970896</v>
      </c>
      <c r="Z206" s="11">
        <f ca="1">(Y206*DATOSAÑO!$Z$11)/DATOSAÑO!$Y$11</f>
        <v>0.10270637479489569</v>
      </c>
      <c r="AA206" s="9">
        <f ca="1">DATOSAÑO!AK205</f>
        <v>9</v>
      </c>
      <c r="AB206" s="11">
        <f ca="1">(AA206*DATOSAÑO!$Z$11)/DATOSAÑO!$Y$11</f>
        <v>0.16216796020254967</v>
      </c>
      <c r="AC206" s="9">
        <f ca="1">DATOSAÑO!AL205</f>
        <v>31.900000000008788</v>
      </c>
      <c r="AD206" s="11">
        <f ca="1">(AC206*DATOSAÑO!$Z$11)/DATOSAÑO!$Y$11</f>
        <v>0.57479532560697333</v>
      </c>
      <c r="AE206" s="9">
        <f ca="1">DATOSAÑO!AM205</f>
        <v>8.0850000000005409</v>
      </c>
      <c r="AF206" s="11">
        <f ca="1">(AE206*DATOSAÑO!$Z$11)/DATOSAÑO!$Y$11</f>
        <v>0.14568088424863354</v>
      </c>
      <c r="AG206" s="9">
        <f ca="1">DATOSAÑO!AN205</f>
        <v>3.1939999999998179</v>
      </c>
      <c r="AH206" s="11">
        <f ca="1">(AG206*DATOSAÑO!$Z$11)/DATOSAÑO!$Y$11</f>
        <v>5.755160720965713E-2</v>
      </c>
      <c r="AI206" s="9">
        <f ca="1">DATOSAÑO!BJ205</f>
        <v>1.0069999999999999</v>
      </c>
      <c r="AJ206" s="11">
        <f ca="1">(AI206*DATOSAÑO!$Z$11)/DATOSAÑO!$Y$11</f>
        <v>1.8144792880440835E-2</v>
      </c>
      <c r="AK206" s="9">
        <f ca="1">DATOSAÑO!BM205</f>
        <v>3.5139999999999998</v>
      </c>
      <c r="AL206" s="11">
        <f ca="1">(AK206*DATOSAÑO!$Z$11)/DATOSAÑO!$Y$11</f>
        <v>6.3317579127973284E-2</v>
      </c>
      <c r="AM206" s="9">
        <f ca="1">DATOSAÑO!BP205</f>
        <v>3.294</v>
      </c>
      <c r="AN206" s="11">
        <f ca="1">(AM206*DATOSAÑO!$Z$11)/DATOSAÑO!$Y$11</f>
        <v>5.9353473434133185E-2</v>
      </c>
      <c r="AO206" s="9">
        <f ca="1">DATOSAÑO!BW205</f>
        <v>11.342500000001362</v>
      </c>
      <c r="AP206" s="11">
        <f ca="1">(AO206*DATOSAÑO!$Z$11)/DATOSAÑO!$Y$11</f>
        <v>0.20437667651084895</v>
      </c>
      <c r="AQ206" s="9">
        <f ca="1">DATOSAÑO!CC205</f>
        <v>2.783599999999927</v>
      </c>
      <c r="AR206" s="1348">
        <f ca="1">(AQ206*DATOSAÑO!$Z$11)/DATOSAÑO!$Y$11</f>
        <v>5.0156748224422829E-2</v>
      </c>
      <c r="AS206" s="1384">
        <f t="shared" si="11"/>
        <v>28</v>
      </c>
    </row>
    <row r="207" spans="1:45">
      <c r="A207" s="1408">
        <v>45122</v>
      </c>
      <c r="B207" s="1869">
        <v>45122</v>
      </c>
      <c r="C207" s="9">
        <f ca="1">DATOSAÑO!I206</f>
        <v>148</v>
      </c>
      <c r="D207" s="10">
        <f ca="1">DATOSAÑO!$D206</f>
        <v>3.8645756449809716</v>
      </c>
      <c r="E207" s="11">
        <f ca="1">DATOSAÑO!$G206</f>
        <v>0</v>
      </c>
      <c r="F207" s="9">
        <f ca="1">DATOSAÑO!P206</f>
        <v>290</v>
      </c>
      <c r="G207" s="10">
        <f ca="1">DATOSAÑO!K206</f>
        <v>5.0795471007373951</v>
      </c>
      <c r="H207" s="11">
        <f ca="1">DATOSAÑO!N206</f>
        <v>0</v>
      </c>
      <c r="I207" s="9">
        <f ca="1">DATOSAÑO!Q206</f>
        <v>0</v>
      </c>
      <c r="J207" s="11">
        <f ca="1">DATOSAÑO!R206</f>
        <v>0</v>
      </c>
      <c r="K207" s="9">
        <f ca="1">DATOSAÑO!T206</f>
        <v>0</v>
      </c>
      <c r="L207" s="11">
        <f t="shared" ca="1" si="9"/>
        <v>0</v>
      </c>
      <c r="M207" s="9"/>
      <c r="N207" s="11">
        <f t="shared" si="10"/>
        <v>0</v>
      </c>
      <c r="O207" s="9">
        <f>DATOSAÑO!CK206</f>
        <v>0</v>
      </c>
      <c r="P207" s="9">
        <f>DATOSAÑO!CL206</f>
        <v>0</v>
      </c>
      <c r="Q207" s="9">
        <f ca="1">DATOSAÑO!AD206</f>
        <v>164</v>
      </c>
      <c r="R207" s="11">
        <f ca="1">(Q207*DATOSAÑO!$Z$11)/DATOSAÑO!$Y$11</f>
        <v>2.9550606081353497</v>
      </c>
      <c r="S207" s="9">
        <f ca="1">DATOSAÑO!AF206</f>
        <v>152</v>
      </c>
      <c r="T207" s="11">
        <f ca="1">(S207*DATOSAÑO!$Z$11)/DATOSAÑO!$Y$11</f>
        <v>2.7388366611986168</v>
      </c>
      <c r="U207" s="9">
        <f ca="1">DATOSAÑO!AH206</f>
        <v>8.5</v>
      </c>
      <c r="V207" s="11">
        <f ca="1">(U207*DATOSAÑO!$Z$11)/DATOSAÑO!$Y$11</f>
        <v>0.15315862908018582</v>
      </c>
      <c r="W207" s="9">
        <f ca="1">DATOSAÑO!AI206</f>
        <v>35.30000000000291</v>
      </c>
      <c r="X207" s="11">
        <f ca="1">(W207*DATOSAÑO!$Z$11)/DATOSAÑO!$Y$11</f>
        <v>0.63605877723894177</v>
      </c>
      <c r="Y207" s="9">
        <f ca="1">DATOSAÑO!AJ206</f>
        <v>6.6999999999970896</v>
      </c>
      <c r="Z207" s="11">
        <f ca="1">(Y207*DATOSAÑO!$Z$11)/DATOSAÑO!$Y$11</f>
        <v>0.12072503703962342</v>
      </c>
      <c r="AA207" s="9">
        <f ca="1">DATOSAÑO!AK206</f>
        <v>9</v>
      </c>
      <c r="AB207" s="11">
        <f ca="1">(AA207*DATOSAÑO!$Z$11)/DATOSAÑO!$Y$11</f>
        <v>0.16216796020254967</v>
      </c>
      <c r="AC207" s="9">
        <f ca="1">DATOSAÑO!AL206</f>
        <v>33.799999999999272</v>
      </c>
      <c r="AD207" s="11">
        <f ca="1">(AC207*DATOSAÑO!$Z$11)/DATOSAÑO!$Y$11</f>
        <v>0.60903078387178466</v>
      </c>
      <c r="AE207" s="9">
        <f ca="1">DATOSAÑO!AM206</f>
        <v>9.0380000000017162</v>
      </c>
      <c r="AF207" s="11">
        <f ca="1">(AE207*DATOSAÑO!$Z$11)/DATOSAÑO!$Y$11</f>
        <v>0.16285266936788026</v>
      </c>
      <c r="AG207" s="9">
        <f ca="1">DATOSAÑO!AN206</f>
        <v>3.4620000000004545</v>
      </c>
      <c r="AH207" s="11">
        <f ca="1">(AG207*DATOSAÑO!$Z$11)/DATOSAÑO!$Y$11</f>
        <v>6.2380608691255633E-2</v>
      </c>
      <c r="AI207" s="9">
        <f ca="1">DATOSAÑO!BJ206</f>
        <v>4.08</v>
      </c>
      <c r="AJ207" s="11">
        <f ca="1">(AI207*DATOSAÑO!$Z$11)/DATOSAÑO!$Y$11</f>
        <v>7.3516141958489184E-2</v>
      </c>
      <c r="AK207" s="9">
        <f ca="1">DATOSAÑO!BM206</f>
        <v>0</v>
      </c>
      <c r="AL207" s="11">
        <f ca="1">(AK207*DATOSAÑO!$Z$11)/DATOSAÑO!$Y$11</f>
        <v>0</v>
      </c>
      <c r="AM207" s="9">
        <f ca="1">DATOSAÑO!BP206</f>
        <v>3.4820000000000002</v>
      </c>
      <c r="AN207" s="11">
        <f ca="1">(AM207*DATOSAÑO!$Z$11)/DATOSAÑO!$Y$11</f>
        <v>6.2740981936141998E-2</v>
      </c>
      <c r="AO207" s="9">
        <f ca="1">DATOSAÑO!BW206</f>
        <v>11.618999999999403</v>
      </c>
      <c r="AP207" s="11">
        <f ca="1">(AO207*DATOSAÑO!$Z$11)/DATOSAÑO!$Y$11</f>
        <v>0.20935883662148086</v>
      </c>
      <c r="AQ207" s="9">
        <f ca="1">DATOSAÑO!CC206</f>
        <v>2.9228000000001817</v>
      </c>
      <c r="AR207" s="1348">
        <f ca="1">(AQ207*DATOSAÑO!$Z$11)/DATOSAÑO!$Y$11</f>
        <v>5.2664946008893522E-2</v>
      </c>
      <c r="AS207" s="1384">
        <f t="shared" si="11"/>
        <v>28</v>
      </c>
    </row>
    <row r="208" spans="1:45" ht="16.5" customHeight="1">
      <c r="A208" s="1408">
        <v>45123</v>
      </c>
      <c r="B208" s="1869">
        <v>45123</v>
      </c>
      <c r="C208" s="9">
        <f ca="1">DATOSAÑO!I207</f>
        <v>148</v>
      </c>
      <c r="D208" s="10">
        <f ca="1">DATOSAÑO!$D207</f>
        <v>3.8645756449809716</v>
      </c>
      <c r="E208" s="11">
        <f ca="1">DATOSAÑO!$G207</f>
        <v>0</v>
      </c>
      <c r="F208" s="9">
        <f ca="1">DATOSAÑO!P207</f>
        <v>296</v>
      </c>
      <c r="G208" s="10">
        <f ca="1">DATOSAÑO!K207</f>
        <v>5.130883922811611</v>
      </c>
      <c r="H208" s="11">
        <f ca="1">DATOSAÑO!N207</f>
        <v>0</v>
      </c>
      <c r="I208" s="9">
        <f ca="1">DATOSAÑO!Q207</f>
        <v>0</v>
      </c>
      <c r="J208" s="11">
        <f ca="1">DATOSAÑO!R207</f>
        <v>0</v>
      </c>
      <c r="K208" s="9">
        <f ca="1">DATOSAÑO!T207</f>
        <v>0</v>
      </c>
      <c r="L208" s="11">
        <f t="shared" ca="1" si="9"/>
        <v>0</v>
      </c>
      <c r="M208" s="9"/>
      <c r="N208" s="11">
        <f t="shared" si="10"/>
        <v>0</v>
      </c>
      <c r="O208" s="9">
        <f>DATOSAÑO!CK207</f>
        <v>0</v>
      </c>
      <c r="P208" s="9">
        <f>DATOSAÑO!CL207</f>
        <v>0</v>
      </c>
      <c r="Q208" s="9">
        <f ca="1">DATOSAÑO!AD207</f>
        <v>166</v>
      </c>
      <c r="R208" s="11">
        <f ca="1">(Q208*DATOSAÑO!$Z$11)/DATOSAÑO!$Y$11</f>
        <v>2.9910979326248053</v>
      </c>
      <c r="S208" s="9">
        <f ca="1">DATOSAÑO!AF207</f>
        <v>152</v>
      </c>
      <c r="T208" s="11">
        <f ca="1">(S208*DATOSAÑO!$Z$11)/DATOSAÑO!$Y$11</f>
        <v>2.7388366611986168</v>
      </c>
      <c r="U208" s="9">
        <f ca="1">DATOSAÑO!AH207</f>
        <v>13.000000000001819</v>
      </c>
      <c r="V208" s="11">
        <f ca="1">(U208*DATOSAÑO!$Z$11)/DATOSAÑO!$Y$11</f>
        <v>0.23424260918149342</v>
      </c>
      <c r="W208" s="9">
        <f ca="1">DATOSAÑO!AI207</f>
        <v>35.19999999999709</v>
      </c>
      <c r="X208" s="11">
        <f ca="1">(W208*DATOSAÑO!$Z$11)/DATOSAÑO!$Y$11</f>
        <v>0.6342569110143641</v>
      </c>
      <c r="Y208" s="9">
        <f ca="1">DATOSAÑO!AJ207</f>
        <v>6.6999999999970896</v>
      </c>
      <c r="Z208" s="11">
        <f ca="1">(Y208*DATOSAÑO!$Z$11)/DATOSAÑO!$Y$11</f>
        <v>0.12072503703962342</v>
      </c>
      <c r="AA208" s="9">
        <f ca="1">DATOSAÑO!AK207</f>
        <v>10</v>
      </c>
      <c r="AB208" s="11">
        <f ca="1">(AA208*DATOSAÑO!$Z$11)/DATOSAÑO!$Y$11</f>
        <v>0.18018662244727743</v>
      </c>
      <c r="AC208" s="9">
        <f ca="1">DATOSAÑO!AL207</f>
        <v>33.300000000004673</v>
      </c>
      <c r="AD208" s="11">
        <f ca="1">(AC208*DATOSAÑO!$Z$11)/DATOSAÑO!$Y$11</f>
        <v>0.60002145274951801</v>
      </c>
      <c r="AE208" s="9">
        <f ca="1">DATOSAÑO!AM207</f>
        <v>7.6459999999985495</v>
      </c>
      <c r="AF208" s="11">
        <f ca="1">(AE208*DATOSAÑO!$Z$11)/DATOSAÑO!$Y$11</f>
        <v>0.13777069152316218</v>
      </c>
      <c r="AG208" s="9">
        <f ca="1">DATOSAÑO!AN207</f>
        <v>3.3199999999996361</v>
      </c>
      <c r="AH208" s="11">
        <f ca="1">(AG208*DATOSAÑO!$Z$11)/DATOSAÑO!$Y$11</f>
        <v>5.982195865248955E-2</v>
      </c>
      <c r="AI208" s="9">
        <f ca="1">DATOSAÑO!BJ207</f>
        <v>4.32</v>
      </c>
      <c r="AJ208" s="11">
        <f ca="1">(AI208*DATOSAÑO!$Z$11)/DATOSAÑO!$Y$11</f>
        <v>7.784062089722385E-2</v>
      </c>
      <c r="AK208" s="9">
        <f ca="1">DATOSAÑO!BM207</f>
        <v>0</v>
      </c>
      <c r="AL208" s="11">
        <f ca="1">(AK208*DATOSAÑO!$Z$11)/DATOSAÑO!$Y$11</f>
        <v>0</v>
      </c>
      <c r="AM208" s="9">
        <f ca="1">DATOSAÑO!BP207</f>
        <v>3.6339999999999999</v>
      </c>
      <c r="AN208" s="11">
        <f ca="1">(AM208*DATOSAÑO!$Z$11)/DATOSAÑO!$Y$11</f>
        <v>6.5479818597340617E-2</v>
      </c>
      <c r="AO208" s="9">
        <f ca="1">DATOSAÑO!BW207</f>
        <v>11.123000000000367</v>
      </c>
      <c r="AP208" s="11">
        <f ca="1">(AO208*DATOSAÑO!$Z$11)/DATOSAÑO!$Y$11</f>
        <v>0.20042158014811329</v>
      </c>
      <c r="AQ208" s="9">
        <f ca="1">DATOSAÑO!CC207</f>
        <v>2.9079999999998547</v>
      </c>
      <c r="AR208" s="1348">
        <f ca="1">(AQ208*DATOSAÑO!$Z$11)/DATOSAÑO!$Y$11</f>
        <v>5.2398269807665654E-2</v>
      </c>
      <c r="AS208" s="1384">
        <f t="shared" si="11"/>
        <v>29</v>
      </c>
    </row>
    <row r="209" spans="1:45">
      <c r="A209" s="1408">
        <v>45124</v>
      </c>
      <c r="B209" s="1869">
        <v>45124</v>
      </c>
      <c r="C209" s="9">
        <f ca="1">DATOSAÑO!I208</f>
        <v>148</v>
      </c>
      <c r="D209" s="10">
        <f ca="1">DATOSAÑO!$D208</f>
        <v>3.8645756449809716</v>
      </c>
      <c r="E209" s="11">
        <f ca="1">DATOSAÑO!$G208</f>
        <v>0</v>
      </c>
      <c r="F209" s="9">
        <f ca="1">DATOSAÑO!P208</f>
        <v>292</v>
      </c>
      <c r="G209" s="10">
        <f ca="1">DATOSAÑO!K208</f>
        <v>5.0966593747621332</v>
      </c>
      <c r="H209" s="11">
        <f ca="1">DATOSAÑO!N208</f>
        <v>0</v>
      </c>
      <c r="I209" s="9">
        <f ca="1">DATOSAÑO!Q208</f>
        <v>0</v>
      </c>
      <c r="J209" s="11">
        <f ca="1">DATOSAÑO!R208</f>
        <v>0</v>
      </c>
      <c r="K209" s="9">
        <f ca="1">DATOSAÑO!T208</f>
        <v>0</v>
      </c>
      <c r="L209" s="11">
        <f t="shared" ca="1" si="9"/>
        <v>0</v>
      </c>
      <c r="M209" s="9"/>
      <c r="N209" s="11">
        <f t="shared" si="10"/>
        <v>0</v>
      </c>
      <c r="O209" s="9">
        <f>DATOSAÑO!CK208</f>
        <v>0</v>
      </c>
      <c r="P209" s="9">
        <f>DATOSAÑO!CL208</f>
        <v>0</v>
      </c>
      <c r="Q209" s="9">
        <f ca="1">DATOSAÑO!AD208</f>
        <v>166</v>
      </c>
      <c r="R209" s="11">
        <f ca="1">(Q209*DATOSAÑO!$Z$11)/DATOSAÑO!$Y$11</f>
        <v>2.9910979326248053</v>
      </c>
      <c r="S209" s="9">
        <f ca="1">DATOSAÑO!AF208</f>
        <v>150</v>
      </c>
      <c r="T209" s="11">
        <f ca="1">(S209*DATOSAÑO!$Z$11)/DATOSAÑO!$Y$11</f>
        <v>2.7027993367091616</v>
      </c>
      <c r="U209" s="9">
        <f ca="1">DATOSAÑO!AH208</f>
        <v>12.80000000000291</v>
      </c>
      <c r="V209" s="11">
        <f ca="1">(U209*DATOSAÑO!$Z$11)/DATOSAÑO!$Y$11</f>
        <v>0.23063887673256753</v>
      </c>
      <c r="W209" s="9">
        <f ca="1">DATOSAÑO!AI208</f>
        <v>35.400000000008731</v>
      </c>
      <c r="X209" s="11">
        <f ca="1">(W209*DATOSAÑO!$Z$11)/DATOSAÑO!$Y$11</f>
        <v>0.63786064346351934</v>
      </c>
      <c r="Y209" s="9">
        <f ca="1">DATOSAÑO!AJ208</f>
        <v>4.3000000000029104</v>
      </c>
      <c r="Z209" s="11">
        <f ca="1">(Y209*DATOSAÑO!$Z$11)/DATOSAÑO!$Y$11</f>
        <v>7.7480247652381734E-2</v>
      </c>
      <c r="AA209" s="9">
        <f ca="1">DATOSAÑO!AK208</f>
        <v>10</v>
      </c>
      <c r="AB209" s="11">
        <f ca="1">(AA209*DATOSAÑO!$Z$11)/DATOSAÑO!$Y$11</f>
        <v>0.18018662244727743</v>
      </c>
      <c r="AC209" s="9">
        <f ca="1">DATOSAÑO!AL208</f>
        <v>31.599999999983936</v>
      </c>
      <c r="AD209" s="11">
        <f ca="1">(AC209*DATOSAÑO!$Z$11)/DATOSAÑO!$Y$11</f>
        <v>0.56938972693310719</v>
      </c>
      <c r="AE209" s="9">
        <f ca="1">DATOSAÑO!AM208</f>
        <v>10.129800000002653</v>
      </c>
      <c r="AF209" s="11">
        <f ca="1">(AE209*DATOSAÑO!$Z$11)/DATOSAÑO!$Y$11</f>
        <v>0.18252544480669092</v>
      </c>
      <c r="AG209" s="9">
        <f ca="1">DATOSAÑO!AN208</f>
        <v>3.2800000000001819</v>
      </c>
      <c r="AH209" s="11">
        <f ca="1">(AG209*DATOSAÑO!$Z$11)/DATOSAÑO!$Y$11</f>
        <v>5.9101212162710269E-2</v>
      </c>
      <c r="AI209" s="9">
        <f ca="1">DATOSAÑO!BJ208</f>
        <v>4.2181999999997206</v>
      </c>
      <c r="AJ209" s="11">
        <f ca="1">(AI209*DATOSAÑO!$Z$11)/DATOSAÑO!$Y$11</f>
        <v>7.6006321080705527E-2</v>
      </c>
      <c r="AK209" s="9">
        <f ca="1">DATOSAÑO!BM208</f>
        <v>0</v>
      </c>
      <c r="AL209" s="11">
        <f ca="1">(AK209*DATOSAÑO!$Z$11)/DATOSAÑO!$Y$11</f>
        <v>0</v>
      </c>
      <c r="AM209" s="9">
        <f ca="1">DATOSAÑO!BP208</f>
        <v>3.552</v>
      </c>
      <c r="AN209" s="11">
        <f ca="1">(AM209*DATOSAÑO!$Z$11)/DATOSAÑO!$Y$11</f>
        <v>6.4002288293272938E-2</v>
      </c>
      <c r="AO209" s="9">
        <f ca="1">DATOSAÑO!BW208</f>
        <v>12.264900000000235</v>
      </c>
      <c r="AP209" s="11">
        <f ca="1">(AO209*DATOSAÑO!$Z$11)/DATOSAÑO!$Y$11</f>
        <v>0.22099709056536554</v>
      </c>
      <c r="AQ209" s="9">
        <f ca="1">DATOSAÑO!CC208</f>
        <v>2.8320000000000727</v>
      </c>
      <c r="AR209" s="1348">
        <f ca="1">(AQ209*DATOSAÑO!$Z$11)/DATOSAÑO!$Y$11</f>
        <v>5.1028851477070272E-2</v>
      </c>
      <c r="AS209" s="1384">
        <f t="shared" si="11"/>
        <v>29</v>
      </c>
    </row>
    <row r="210" spans="1:45" ht="16.5" customHeight="1">
      <c r="A210" s="1408">
        <v>45125</v>
      </c>
      <c r="B210" s="1869">
        <v>45125</v>
      </c>
      <c r="C210" s="9">
        <f ca="1">DATOSAÑO!I209</f>
        <v>139</v>
      </c>
      <c r="D210" s="10">
        <f ca="1">DATOSAÑO!$D209</f>
        <v>3.7875704118696492</v>
      </c>
      <c r="E210" s="11">
        <f ca="1">DATOSAÑO!$G209</f>
        <v>0</v>
      </c>
      <c r="F210" s="9">
        <f ca="1">DATOSAÑO!P209</f>
        <v>273</v>
      </c>
      <c r="G210" s="10">
        <f ca="1">DATOSAÑO!K209</f>
        <v>4.9340927715271192</v>
      </c>
      <c r="H210" s="11">
        <f ca="1">DATOSAÑO!N209</f>
        <v>0</v>
      </c>
      <c r="I210" s="9">
        <f ca="1">DATOSAÑO!Q209</f>
        <v>0</v>
      </c>
      <c r="J210" s="11">
        <f ca="1">DATOSAÑO!R209</f>
        <v>0</v>
      </c>
      <c r="K210" s="9">
        <f ca="1">DATOSAÑO!T209</f>
        <v>0.40899999999999181</v>
      </c>
      <c r="L210" s="11">
        <f t="shared" ca="1" si="9"/>
        <v>49.079999999999018</v>
      </c>
      <c r="M210" s="9"/>
      <c r="N210" s="11">
        <f t="shared" si="10"/>
        <v>0</v>
      </c>
      <c r="O210" s="9">
        <f>DATOSAÑO!CK209</f>
        <v>0</v>
      </c>
      <c r="P210" s="9">
        <f>DATOSAÑO!CL209</f>
        <v>1</v>
      </c>
      <c r="Q210" s="9">
        <f ca="1">DATOSAÑO!AD209</f>
        <v>166</v>
      </c>
      <c r="R210" s="11">
        <f ca="1">(Q210*DATOSAÑO!$Z$11)/DATOSAÑO!$Y$11</f>
        <v>2.9910979326248053</v>
      </c>
      <c r="S210" s="9">
        <f ca="1">DATOSAÑO!AF209</f>
        <v>124</v>
      </c>
      <c r="T210" s="11">
        <f ca="1">(S210*DATOSAÑO!$Z$11)/DATOSAÑO!$Y$11</f>
        <v>2.2343141183462403</v>
      </c>
      <c r="U210" s="9">
        <f ca="1">DATOSAÑO!AH209</f>
        <v>12.099999999998545</v>
      </c>
      <c r="V210" s="11">
        <f ca="1">(U210*DATOSAÑO!$Z$11)/DATOSAÑO!$Y$11</f>
        <v>0.21802581316117944</v>
      </c>
      <c r="W210" s="9">
        <f ca="1">DATOSAÑO!AI209</f>
        <v>38.099999999991269</v>
      </c>
      <c r="X210" s="11">
        <f ca="1">(W210*DATOSAÑO!$Z$11)/DATOSAÑO!$Y$11</f>
        <v>0.68651103152396964</v>
      </c>
      <c r="Y210" s="9">
        <f ca="1">DATOSAÑO!AJ209</f>
        <v>4.3000000000029104</v>
      </c>
      <c r="Z210" s="11">
        <f ca="1">(Y210*DATOSAÑO!$Z$11)/DATOSAÑO!$Y$11</f>
        <v>7.7480247652381734E-2</v>
      </c>
      <c r="AA210" s="9">
        <f ca="1">DATOSAÑO!AK209</f>
        <v>10</v>
      </c>
      <c r="AB210" s="11">
        <f ca="1">(AA210*DATOSAÑO!$Z$11)/DATOSAÑO!$Y$11</f>
        <v>0.18018662244727743</v>
      </c>
      <c r="AC210" s="9">
        <f ca="1">DATOSAÑO!AL209</f>
        <v>35.909000000007268</v>
      </c>
      <c r="AD210" s="11">
        <f ca="1">(AC210*DATOSAÑO!$Z$11)/DATOSAÑO!$Y$11</f>
        <v>0.64703214254605945</v>
      </c>
      <c r="AE210" s="9">
        <f ca="1">DATOSAÑO!AM209</f>
        <v>5.2019999999995505</v>
      </c>
      <c r="AF210" s="11">
        <f ca="1">(AE210*DATOSAÑO!$Z$11)/DATOSAÑO!$Y$11</f>
        <v>9.3733080997065607E-2</v>
      </c>
      <c r="AG210" s="9">
        <f ca="1">DATOSAÑO!AN209</f>
        <v>3.2119999999993634</v>
      </c>
      <c r="AH210" s="11">
        <f ca="1">(AG210*DATOSAÑO!$Z$11)/DATOSAÑO!$Y$11</f>
        <v>5.7875943130054036E-2</v>
      </c>
      <c r="AI210" s="9">
        <f ca="1">DATOSAÑO!BJ209</f>
        <v>2.6</v>
      </c>
      <c r="AJ210" s="11">
        <f ca="1">(AI210*DATOSAÑO!$Z$11)/DATOSAÑO!$Y$11</f>
        <v>4.684852183629213E-2</v>
      </c>
      <c r="AK210" s="9">
        <f ca="1">DATOSAÑO!BM209</f>
        <v>0</v>
      </c>
      <c r="AL210" s="11">
        <f ca="1">(AK210*DATOSAÑO!$Z$11)/DATOSAÑO!$Y$11</f>
        <v>0</v>
      </c>
      <c r="AM210" s="9">
        <f ca="1">DATOSAÑO!BP209</f>
        <v>2.448</v>
      </c>
      <c r="AN210" s="11">
        <f ca="1">(AM210*DATOSAÑO!$Z$11)/DATOSAÑO!$Y$11</f>
        <v>4.4109685175093512E-2</v>
      </c>
      <c r="AO210" s="9">
        <f ca="1">DATOSAÑO!BW209</f>
        <v>9.4010000000008667</v>
      </c>
      <c r="AP210" s="11">
        <f ca="1">(AO210*DATOSAÑO!$Z$11)/DATOSAÑO!$Y$11</f>
        <v>0.16939344376270113</v>
      </c>
      <c r="AQ210" s="9">
        <f ca="1">DATOSAÑO!CC209</f>
        <v>3.0227999999997452</v>
      </c>
      <c r="AR210" s="1348">
        <f ca="1">(AQ210*DATOSAÑO!$Z$11)/DATOSAÑO!$Y$11</f>
        <v>5.4466812233358426E-2</v>
      </c>
      <c r="AS210" s="1384">
        <f t="shared" si="11"/>
        <v>29</v>
      </c>
    </row>
    <row r="211" spans="1:45">
      <c r="A211" s="1408">
        <v>45126</v>
      </c>
      <c r="B211" s="1869">
        <v>45126</v>
      </c>
      <c r="C211" s="9">
        <f ca="1">DATOSAÑO!I210</f>
        <v>150</v>
      </c>
      <c r="D211" s="10">
        <f ca="1">DATOSAÑO!$D210</f>
        <v>3.8816879190057101</v>
      </c>
      <c r="E211" s="11">
        <f ca="1">DATOSAÑO!$G210</f>
        <v>0</v>
      </c>
      <c r="F211" s="9">
        <f ca="1">DATOSAÑO!P210</f>
        <v>284</v>
      </c>
      <c r="G211" s="10">
        <f ca="1">DATOSAÑO!K210</f>
        <v>5.028210278663181</v>
      </c>
      <c r="H211" s="11">
        <f ca="1">DATOSAÑO!N210</f>
        <v>0</v>
      </c>
      <c r="I211" s="9">
        <f ca="1">DATOSAÑO!Q210</f>
        <v>0.23900000000003274</v>
      </c>
      <c r="J211" s="11">
        <f ca="1">DATOSAÑO!R210</f>
        <v>28.680000000003929</v>
      </c>
      <c r="K211" s="9">
        <f ca="1">DATOSAÑO!T210</f>
        <v>0</v>
      </c>
      <c r="L211" s="11">
        <f t="shared" ca="1" si="9"/>
        <v>0</v>
      </c>
      <c r="M211" s="9"/>
      <c r="N211" s="11">
        <f t="shared" si="10"/>
        <v>0</v>
      </c>
      <c r="O211" s="9">
        <f>DATOSAÑO!CK210</f>
        <v>0.2</v>
      </c>
      <c r="P211" s="9">
        <f>DATOSAÑO!CL210</f>
        <v>0</v>
      </c>
      <c r="Q211" s="9">
        <f ca="1">DATOSAÑO!AD210</f>
        <v>170</v>
      </c>
      <c r="R211" s="11">
        <f ca="1">(Q211*DATOSAÑO!$Z$11)/DATOSAÑO!$Y$11</f>
        <v>3.0631725816037165</v>
      </c>
      <c r="S211" s="9">
        <f ca="1">DATOSAÑO!AF210</f>
        <v>148</v>
      </c>
      <c r="T211" s="11">
        <f ca="1">(S211*DATOSAÑO!$Z$11)/DATOSAÑO!$Y$11</f>
        <v>2.666762012219706</v>
      </c>
      <c r="U211" s="9">
        <f ca="1">DATOSAÑO!AH210</f>
        <v>3.1999999999989086</v>
      </c>
      <c r="V211" s="11">
        <f ca="1">(U211*DATOSAÑO!$Z$11)/DATOSAÑO!$Y$11</f>
        <v>5.7659719183109116E-2</v>
      </c>
      <c r="W211" s="9">
        <f ca="1">DATOSAÑO!AI210</f>
        <v>38.900000000008731</v>
      </c>
      <c r="X211" s="11">
        <f ca="1">(W211*DATOSAÑO!$Z$11)/DATOSAÑO!$Y$11</f>
        <v>0.70092596132006646</v>
      </c>
      <c r="Y211" s="9">
        <f ca="1">DATOSAÑO!AJ210</f>
        <v>4.6000000000058208</v>
      </c>
      <c r="Z211" s="11">
        <f ca="1">(Y211*DATOSAÑO!$Z$11)/DATOSAÑO!$Y$11</f>
        <v>8.2885846325852497E-2</v>
      </c>
      <c r="AA211" s="9">
        <f ca="1">DATOSAÑO!AK210</f>
        <v>9</v>
      </c>
      <c r="AB211" s="11">
        <f ca="1">(AA211*DATOSAÑO!$Z$11)/DATOSAÑO!$Y$11</f>
        <v>0.16216796020254967</v>
      </c>
      <c r="AC211" s="9">
        <f ca="1">DATOSAÑO!AL210</f>
        <v>32.538999999986572</v>
      </c>
      <c r="AD211" s="11">
        <f ca="1">(AC211*DATOSAÑO!$Z$11)/DATOSAÑO!$Y$11</f>
        <v>0.58630925078095408</v>
      </c>
      <c r="AE211" s="9">
        <f ca="1">DATOSAÑO!AM210</f>
        <v>9.4980000000001912</v>
      </c>
      <c r="AF211" s="11">
        <f ca="1">(AE211*DATOSAÑO!$Z$11)/DATOSAÑO!$Y$11</f>
        <v>0.17114125400042754</v>
      </c>
      <c r="AG211" s="9">
        <f ca="1">DATOSAÑO!AN210</f>
        <v>2.3580000000005459</v>
      </c>
      <c r="AH211" s="11">
        <f ca="1">(AG211*DATOSAÑO!$Z$11)/DATOSAÑO!$Y$11</f>
        <v>4.2488005573077858E-2</v>
      </c>
      <c r="AI211" s="9">
        <f ca="1">DATOSAÑO!BJ210</f>
        <v>3.6</v>
      </c>
      <c r="AJ211" s="11">
        <f ca="1">(AI211*DATOSAÑO!$Z$11)/DATOSAÑO!$Y$11</f>
        <v>6.486718408101988E-2</v>
      </c>
      <c r="AK211" s="9">
        <f ca="1">DATOSAÑO!BM210</f>
        <v>0</v>
      </c>
      <c r="AL211" s="11">
        <f ca="1">(AK211*DATOSAÑO!$Z$11)/DATOSAÑO!$Y$11</f>
        <v>0</v>
      </c>
      <c r="AM211" s="9">
        <f ca="1">DATOSAÑO!BP210</f>
        <v>2.702</v>
      </c>
      <c r="AN211" s="11">
        <f ca="1">(AM211*DATOSAÑO!$Z$11)/DATOSAÑO!$Y$11</f>
        <v>4.8686425385254355E-2</v>
      </c>
      <c r="AO211" s="9">
        <f ca="1">DATOSAÑO!BW210</f>
        <v>13.048999999999367</v>
      </c>
      <c r="AP211" s="11">
        <f ca="1">(AO211*DATOSAÑO!$Z$11)/DATOSAÑO!$Y$11</f>
        <v>0.2351255236314409</v>
      </c>
      <c r="AQ211" s="9">
        <f ca="1">DATOSAÑO!CC210</f>
        <v>2.4852000000002183</v>
      </c>
      <c r="AR211" s="1348">
        <f ca="1">(AQ211*DATOSAÑO!$Z$11)/DATOSAÑO!$Y$11</f>
        <v>4.4779979410601321E-2</v>
      </c>
      <c r="AS211" s="1384">
        <f t="shared" si="11"/>
        <v>29</v>
      </c>
    </row>
    <row r="212" spans="1:45" ht="16.5" customHeight="1">
      <c r="A212" s="1408">
        <v>45127</v>
      </c>
      <c r="B212" s="1869">
        <v>45127</v>
      </c>
      <c r="C212" s="9">
        <f ca="1">DATOSAÑO!I211</f>
        <v>148.77000000001863</v>
      </c>
      <c r="D212" s="10">
        <f ca="1">DATOSAÑO!$D211</f>
        <v>3.8711638704806552</v>
      </c>
      <c r="E212" s="11">
        <f ca="1">DATOSAÑO!$G211</f>
        <v>0</v>
      </c>
      <c r="F212" s="9">
        <f ca="1">DATOSAÑO!P211</f>
        <v>301.2699999999968</v>
      </c>
      <c r="G212" s="10">
        <f ca="1">DATOSAÑO!K211</f>
        <v>5.1759747648667691</v>
      </c>
      <c r="H212" s="11">
        <f ca="1">DATOSAÑO!N211</f>
        <v>0</v>
      </c>
      <c r="I212" s="9">
        <f ca="1">DATOSAÑO!Q211</f>
        <v>0</v>
      </c>
      <c r="J212" s="11">
        <f ca="1">DATOSAÑO!R211</f>
        <v>0</v>
      </c>
      <c r="K212" s="9">
        <f ca="1">DATOSAÑO!T211</f>
        <v>0</v>
      </c>
      <c r="L212" s="11">
        <f t="shared" ca="1" si="9"/>
        <v>0</v>
      </c>
      <c r="M212" s="9"/>
      <c r="N212" s="11">
        <f t="shared" si="10"/>
        <v>0</v>
      </c>
      <c r="O212" s="9">
        <f>DATOSAÑO!CK211</f>
        <v>0</v>
      </c>
      <c r="P212" s="9">
        <f>DATOSAÑO!CL211</f>
        <v>0</v>
      </c>
      <c r="Q212" s="9">
        <f ca="1">DATOSAÑO!AD211</f>
        <v>165.68000000000029</v>
      </c>
      <c r="R212" s="11">
        <f ca="1">(Q212*DATOSAÑO!$Z$11)/DATOSAÑO!$Y$11</f>
        <v>2.9853319607064979</v>
      </c>
      <c r="S212" s="9">
        <f ca="1">DATOSAÑO!AF211</f>
        <v>153.05999999999767</v>
      </c>
      <c r="T212" s="11">
        <f ca="1">(S212*DATOSAÑO!$Z$11)/DATOSAÑO!$Y$11</f>
        <v>2.7579364431779863</v>
      </c>
      <c r="U212" s="9">
        <f ca="1">DATOSAÑO!AH211</f>
        <v>11.900000000003274</v>
      </c>
      <c r="V212" s="11">
        <f ca="1">(U212*DATOSAÑO!$Z$11)/DATOSAÑO!$Y$11</f>
        <v>0.21442208071231914</v>
      </c>
      <c r="W212" s="9">
        <f ca="1">DATOSAÑO!AI211</f>
        <v>40.399999999994179</v>
      </c>
      <c r="X212" s="11">
        <f ca="1">(W212*DATOSAÑO!$Z$11)/DATOSAÑO!$Y$11</f>
        <v>0.72795395468689594</v>
      </c>
      <c r="Y212" s="9">
        <f ca="1">DATOSAÑO!AJ211</f>
        <v>7.569999999992433</v>
      </c>
      <c r="Z212" s="11">
        <f ca="1">(Y212*DATOSAÑO!$Z$11)/DATOSAÑO!$Y$11</f>
        <v>0.13640127319245265</v>
      </c>
      <c r="AA212" s="9">
        <f ca="1">DATOSAÑO!AK211</f>
        <v>9.8999999999941792</v>
      </c>
      <c r="AB212" s="11">
        <f ca="1">(AA212*DATOSAÑO!$Z$11)/DATOSAÑO!$Y$11</f>
        <v>0.17838475622269975</v>
      </c>
      <c r="AC212" s="9">
        <f ca="1">DATOSAÑO!AL211</f>
        <v>33.090000000020154</v>
      </c>
      <c r="AD212" s="11">
        <f ca="1">(AC212*DATOSAÑO!$Z$11)/DATOSAÑO!$Y$11</f>
        <v>0.59623753367840415</v>
      </c>
      <c r="AE212" s="9">
        <f ca="1">DATOSAÑO!AM211</f>
        <v>8.3380000000127605</v>
      </c>
      <c r="AF212" s="11">
        <f ca="1">(AE212*DATOSAÑO!$Z$11)/DATOSAÑO!$Y$11</f>
        <v>0.15023960579676984</v>
      </c>
      <c r="AG212" s="9">
        <f ca="1">DATOSAÑO!AN211</f>
        <v>3.4369999999995269</v>
      </c>
      <c r="AH212" s="11">
        <f ca="1">(AG212*DATOSAÑO!$Z$11)/DATOSAÑO!$Y$11</f>
        <v>6.1930142135120728E-2</v>
      </c>
      <c r="AI212" s="9">
        <f ca="1">DATOSAÑO!BJ211</f>
        <v>3.8879999999999999</v>
      </c>
      <c r="AJ212" s="11">
        <f ca="1">(AI212*DATOSAÑO!$Z$11)/DATOSAÑO!$Y$11</f>
        <v>7.0056558807501459E-2</v>
      </c>
      <c r="AK212" s="9">
        <f ca="1">DATOSAÑO!BM211</f>
        <v>9.6000000000000002E-2</v>
      </c>
      <c r="AL212" s="11">
        <f ca="1">(AK212*DATOSAÑO!$Z$11)/DATOSAÑO!$Y$11</f>
        <v>1.7297915754938633E-3</v>
      </c>
      <c r="AM212" s="9">
        <f ca="1">DATOSAÑO!BP211</f>
        <v>2.6379999999999999</v>
      </c>
      <c r="AN212" s="11">
        <f ca="1">(AM212*DATOSAÑO!$Z$11)/DATOSAÑO!$Y$11</f>
        <v>4.7533231001591777E-2</v>
      </c>
      <c r="AO212" s="9">
        <f ca="1">DATOSAÑO!BW211</f>
        <v>12.629000000007327</v>
      </c>
      <c r="AP212" s="11">
        <f ca="1">(AO212*DATOSAÑO!$Z$11)/DATOSAÑO!$Y$11</f>
        <v>0.22755768548879868</v>
      </c>
      <c r="AQ212" s="9">
        <f ca="1">DATOSAÑO!CC211</f>
        <v>2.9577999999998106</v>
      </c>
      <c r="AR212" s="1348">
        <f ca="1">(AQ212*DATOSAÑO!$Z$11)/DATOSAÑO!$Y$11</f>
        <v>5.3295599187452296E-2</v>
      </c>
      <c r="AS212" s="1384">
        <f t="shared" si="11"/>
        <v>29</v>
      </c>
    </row>
    <row r="213" spans="1:45">
      <c r="A213" s="1408">
        <v>45128</v>
      </c>
      <c r="B213" s="1869">
        <v>45128</v>
      </c>
      <c r="C213" s="9">
        <f ca="1">DATOSAÑO!I212</f>
        <v>243.53000000002794</v>
      </c>
      <c r="D213" s="10">
        <f ca="1">DATOSAÑO!$D212</f>
        <v>4.6819434137728386</v>
      </c>
      <c r="E213" s="11">
        <f ca="1">DATOSAÑO!$G212</f>
        <v>0</v>
      </c>
      <c r="F213" s="9">
        <f ca="1">DATOSAÑO!P212</f>
        <v>191.2300000000032</v>
      </c>
      <c r="G213" s="10">
        <f ca="1">DATOSAÑO!K212</f>
        <v>4.2344574480257187</v>
      </c>
      <c r="H213" s="11">
        <f ca="1">DATOSAÑO!N212</f>
        <v>0</v>
      </c>
      <c r="I213" s="9">
        <f ca="1">DATOSAÑO!Q212</f>
        <v>0</v>
      </c>
      <c r="J213" s="11">
        <f ca="1">DATOSAÑO!R212</f>
        <v>0</v>
      </c>
      <c r="K213" s="9">
        <f ca="1">DATOSAÑO!T212</f>
        <v>0</v>
      </c>
      <c r="L213" s="11">
        <f t="shared" ca="1" si="9"/>
        <v>0</v>
      </c>
      <c r="M213" s="9"/>
      <c r="N213" s="11">
        <f t="shared" si="10"/>
        <v>0</v>
      </c>
      <c r="O213" s="9">
        <f>DATOSAÑO!CK212</f>
        <v>0</v>
      </c>
      <c r="P213" s="9">
        <f>DATOSAÑO!CL212</f>
        <v>0</v>
      </c>
      <c r="Q213" s="9">
        <f ca="1">DATOSAÑO!AD212</f>
        <v>162.42000000000007</v>
      </c>
      <c r="R213" s="11">
        <f ca="1">(Q213*DATOSAÑO!$Z$11)/DATOSAÑO!$Y$11</f>
        <v>2.9265911217886815</v>
      </c>
      <c r="S213" s="9">
        <f ca="1">DATOSAÑO!AF212</f>
        <v>147.94000000000233</v>
      </c>
      <c r="T213" s="11">
        <f ca="1">(S213*DATOSAÑO!$Z$11)/DATOSAÑO!$Y$11</f>
        <v>2.6656808924850641</v>
      </c>
      <c r="U213" s="9">
        <f ca="1">DATOSAÑO!AH212</f>
        <v>11.299999999997453</v>
      </c>
      <c r="V213" s="11">
        <f ca="1">(U213*DATOSAÑO!$Z$11)/DATOSAÑO!$Y$11</f>
        <v>0.20361088336537758</v>
      </c>
      <c r="W213" s="9">
        <f ca="1">DATOSAÑO!AI212</f>
        <v>38.5</v>
      </c>
      <c r="X213" s="11">
        <f ca="1">(W213*DATOSAÑO!$Z$11)/DATOSAÑO!$Y$11</f>
        <v>0.6937184964220181</v>
      </c>
      <c r="Y213" s="9">
        <f ca="1">DATOSAÑO!AJ212</f>
        <v>7.0299999999988358</v>
      </c>
      <c r="Z213" s="11">
        <f ca="1">(Y213*DATOSAÑO!$Z$11)/DATOSAÑO!$Y$11</f>
        <v>0.12667119558041506</v>
      </c>
      <c r="AA213" s="9">
        <f ca="1">DATOSAÑO!AK212</f>
        <v>9.7000000000116415</v>
      </c>
      <c r="AB213" s="11">
        <f ca="1">(AA213*DATOSAÑO!$Z$11)/DATOSAÑO!$Y$11</f>
        <v>0.17478102377406887</v>
      </c>
      <c r="AC213" s="9">
        <f ca="1">DATOSAÑO!AL212</f>
        <v>33.310000000059517</v>
      </c>
      <c r="AD213" s="11">
        <f ca="1">(AC213*DATOSAÑO!$Z$11)/DATOSAÑO!$Y$11</f>
        <v>0.60020163937295345</v>
      </c>
      <c r="AE213" s="9">
        <f ca="1">DATOSAÑO!AM212</f>
        <v>5.4619999999617583</v>
      </c>
      <c r="AF213" s="11">
        <f ca="1">(AE213*DATOSAÑO!$Z$11)/DATOSAÑO!$Y$11</f>
        <v>9.8417933180013864E-2</v>
      </c>
      <c r="AG213" s="9">
        <f ca="1">DATOSAÑO!AN212</f>
        <v>2.8040000000001091</v>
      </c>
      <c r="AH213" s="11">
        <f ca="1">(AG213*DATOSAÑO!$Z$11)/DATOSAÑO!$Y$11</f>
        <v>5.0524328934218557E-2</v>
      </c>
      <c r="AI213" s="9">
        <f ca="1">DATOSAÑO!BJ212</f>
        <v>2.448</v>
      </c>
      <c r="AJ213" s="11">
        <f ca="1">(AI213*DATOSAÑO!$Z$11)/DATOSAÑO!$Y$11</f>
        <v>4.4109685175093512E-2</v>
      </c>
      <c r="AK213" s="9">
        <f ca="1">DATOSAÑO!BM212</f>
        <v>0.77600000000000002</v>
      </c>
      <c r="AL213" s="11">
        <f ca="1">(AK213*DATOSAÑO!$Z$11)/DATOSAÑO!$Y$11</f>
        <v>1.3982481901908728E-2</v>
      </c>
      <c r="AM213" s="9">
        <f ca="1">DATOSAÑO!BP212</f>
        <v>2.8540000000000001</v>
      </c>
      <c r="AN213" s="11">
        <f ca="1">(AM213*DATOSAÑO!$Z$11)/DATOSAÑO!$Y$11</f>
        <v>5.142526204645298E-2</v>
      </c>
      <c r="AO213" s="9">
        <f ca="1">DATOSAÑO!BW212</f>
        <v>11.370999999980297</v>
      </c>
      <c r="AP213" s="11">
        <f ca="1">(AO213*DATOSAÑO!$Z$11)/DATOSAÑO!$Y$11</f>
        <v>0.20489020838444413</v>
      </c>
      <c r="AQ213" s="9">
        <f ca="1">DATOSAÑO!CC212</f>
        <v>2.697600000000044</v>
      </c>
      <c r="AR213" s="1348">
        <f ca="1">(AQ213*DATOSAÑO!$Z$11)/DATOSAÑO!$Y$11</f>
        <v>4.8607143271378349E-2</v>
      </c>
      <c r="AS213" s="1384">
        <f t="shared" si="11"/>
        <v>29</v>
      </c>
    </row>
    <row r="214" spans="1:45" ht="16.5" customHeight="1">
      <c r="A214" s="1408">
        <v>45129</v>
      </c>
      <c r="B214" s="1869">
        <v>45129</v>
      </c>
      <c r="C214" s="9">
        <f ca="1">DATOSAÑO!I213</f>
        <v>290.26000000000931</v>
      </c>
      <c r="D214" s="10">
        <f ca="1">DATOSAÑO!$D213</f>
        <v>5.0817716963606916</v>
      </c>
      <c r="E214" s="11">
        <f ca="1">DATOSAÑO!$G213</f>
        <v>0</v>
      </c>
      <c r="F214" s="9">
        <f ca="1">DATOSAÑO!P213</f>
        <v>149.77300000000105</v>
      </c>
      <c r="G214" s="10">
        <f ca="1">DATOSAÑO!K213</f>
        <v>3.8797456759039113</v>
      </c>
      <c r="H214" s="11">
        <f ca="1">DATOSAÑO!N213</f>
        <v>0</v>
      </c>
      <c r="I214" s="9">
        <f ca="1">DATOSAÑO!Q213</f>
        <v>0</v>
      </c>
      <c r="J214" s="11">
        <f ca="1">DATOSAÑO!R213</f>
        <v>0</v>
      </c>
      <c r="K214" s="9">
        <f ca="1">DATOSAÑO!T213</f>
        <v>0</v>
      </c>
      <c r="L214" s="11">
        <f t="shared" ca="1" si="9"/>
        <v>0</v>
      </c>
      <c r="M214" s="9"/>
      <c r="N214" s="11">
        <f t="shared" si="10"/>
        <v>0</v>
      </c>
      <c r="O214" s="9">
        <f>DATOSAÑO!CK213</f>
        <v>0</v>
      </c>
      <c r="P214" s="9">
        <f>DATOSAÑO!CL213</f>
        <v>0</v>
      </c>
      <c r="Q214" s="9">
        <f ca="1">DATOSAÑO!AD213</f>
        <v>166.79999999999927</v>
      </c>
      <c r="R214" s="11">
        <f ca="1">(Q214*DATOSAÑO!$Z$11)/DATOSAÑO!$Y$11</f>
        <v>3.0055128624205745</v>
      </c>
      <c r="S214" s="9">
        <f ca="1">DATOSAÑO!AF213</f>
        <v>146.29999999998836</v>
      </c>
      <c r="T214" s="11">
        <f ca="1">(S214*DATOSAÑO!$Z$11)/DATOSAÑO!$Y$11</f>
        <v>2.6361302864034588</v>
      </c>
      <c r="U214" s="9">
        <f ca="1">DATOSAÑO!AH213</f>
        <v>6.6999999999970896</v>
      </c>
      <c r="V214" s="11">
        <f ca="1">(U214*DATOSAÑO!$Z$11)/DATOSAÑO!$Y$11</f>
        <v>0.12072503703962342</v>
      </c>
      <c r="W214" s="9">
        <f ca="1">DATOSAÑO!AI213</f>
        <v>39.940000000002328</v>
      </c>
      <c r="X214" s="11">
        <f ca="1">(W214*DATOSAÑO!$Z$11)/DATOSAÑO!$Y$11</f>
        <v>0.71966537005446807</v>
      </c>
      <c r="Y214" s="9">
        <f ca="1">DATOSAÑO!AJ213</f>
        <v>8.3300000000017462</v>
      </c>
      <c r="Z214" s="11">
        <f ca="1">(Y214*DATOSAÑO!$Z$11)/DATOSAÑO!$Y$11</f>
        <v>0.15009545649861356</v>
      </c>
      <c r="AA214" s="9">
        <f ca="1">DATOSAÑO!AK213</f>
        <v>9.4499999999825377</v>
      </c>
      <c r="AB214" s="11">
        <f ca="1">(AA214*DATOSAÑO!$Z$11)/DATOSAÑO!$Y$11</f>
        <v>0.17027635821236251</v>
      </c>
      <c r="AC214" s="9">
        <f ca="1">DATOSAÑO!AL213</f>
        <v>33.113000000026659</v>
      </c>
      <c r="AD214" s="11">
        <f ca="1">(AC214*DATOSAÑO!$Z$11)/DATOSAÑO!$Y$11</f>
        <v>0.5966519629101501</v>
      </c>
      <c r="AE214" s="9">
        <f ca="1">DATOSAÑO!AM213</f>
        <v>8.7750000000132715</v>
      </c>
      <c r="AF214" s="11">
        <f ca="1">(AE214*DATOSAÑO!$Z$11)/DATOSAÑO!$Y$11</f>
        <v>0.15811376119772508</v>
      </c>
      <c r="AG214" s="9">
        <f ca="1">DATOSAÑO!AN213</f>
        <v>3.3079999999996907</v>
      </c>
      <c r="AH214" s="11">
        <f ca="1">(AG214*DATOSAÑO!$Z$11)/DATOSAÑO!$Y$11</f>
        <v>5.9605734705553796E-2</v>
      </c>
      <c r="AI214" s="9">
        <f ca="1">DATOSAÑO!BJ213</f>
        <v>3.48</v>
      </c>
      <c r="AJ214" s="11">
        <f ca="1">(AI214*DATOSAÑO!$Z$11)/DATOSAÑO!$Y$11</f>
        <v>6.2704944611652547E-2</v>
      </c>
      <c r="AK214" s="9">
        <f ca="1">DATOSAÑO!BM213</f>
        <v>2.84</v>
      </c>
      <c r="AL214" s="11">
        <f ca="1">(AK214*DATOSAÑO!$Z$11)/DATOSAÑO!$Y$11</f>
        <v>5.1173000775026789E-2</v>
      </c>
      <c r="AM214" s="9">
        <f ca="1">DATOSAÑO!BP213</f>
        <v>0.82499999999999996</v>
      </c>
      <c r="AN214" s="11">
        <f ca="1">(AM214*DATOSAÑO!$Z$11)/DATOSAÑO!$Y$11</f>
        <v>1.4865396351900385E-2</v>
      </c>
      <c r="AO214" s="9">
        <f ca="1">DATOSAÑO!BW213</f>
        <v>13.027500000006054</v>
      </c>
      <c r="AP214" s="11">
        <f ca="1">(AO214*DATOSAÑO!$Z$11)/DATOSAÑO!$Y$11</f>
        <v>0.23473812239329975</v>
      </c>
      <c r="AQ214" s="9">
        <f ca="1">DATOSAÑO!CC213</f>
        <v>2.8551999999998765</v>
      </c>
      <c r="AR214" s="1348">
        <f ca="1">(AQ214*DATOSAÑO!$Z$11)/DATOSAÑO!$Y$11</f>
        <v>5.1446884441144425E-2</v>
      </c>
      <c r="AS214" s="1384">
        <f t="shared" si="11"/>
        <v>29</v>
      </c>
    </row>
    <row r="215" spans="1:45">
      <c r="A215" s="1408">
        <v>45130</v>
      </c>
      <c r="B215" s="1869">
        <v>45130</v>
      </c>
      <c r="C215" s="9">
        <f ca="1">DATOSAÑO!I214</f>
        <v>291.23999999999069</v>
      </c>
      <c r="D215" s="10">
        <f ca="1">DATOSAÑO!$D214</f>
        <v>5.0901567106326535</v>
      </c>
      <c r="E215" s="11">
        <f ca="1">DATOSAÑO!$G214</f>
        <v>0</v>
      </c>
      <c r="F215" s="9">
        <f ca="1">DATOSAÑO!P214</f>
        <v>147.53199999999924</v>
      </c>
      <c r="G215" s="10">
        <f ca="1">DATOSAÑO!K214</f>
        <v>3.8605713728591766</v>
      </c>
      <c r="H215" s="11">
        <f ca="1">DATOSAÑO!N214</f>
        <v>0</v>
      </c>
      <c r="I215" s="9">
        <f ca="1">DATOSAÑO!Q214</f>
        <v>0</v>
      </c>
      <c r="J215" s="11">
        <f ca="1">DATOSAÑO!R214</f>
        <v>0</v>
      </c>
      <c r="K215" s="9">
        <f ca="1">DATOSAÑO!T214</f>
        <v>0</v>
      </c>
      <c r="L215" s="11">
        <f t="shared" ca="1" si="9"/>
        <v>0</v>
      </c>
      <c r="M215" s="9"/>
      <c r="N215" s="11">
        <f t="shared" si="10"/>
        <v>0</v>
      </c>
      <c r="O215" s="9">
        <f>DATOSAÑO!CK214</f>
        <v>0</v>
      </c>
      <c r="P215" s="9">
        <f>DATOSAÑO!CL214</f>
        <v>0</v>
      </c>
      <c r="Q215" s="9">
        <f ca="1">DATOSAÑO!AD214</f>
        <v>164.39999999999964</v>
      </c>
      <c r="R215" s="11">
        <f ca="1">(Q215*DATOSAÑO!$Z$11)/DATOSAÑO!$Y$11</f>
        <v>2.9622680730332345</v>
      </c>
      <c r="S215" s="9">
        <f ca="1">DATOSAÑO!AF214</f>
        <v>143.70000000001164</v>
      </c>
      <c r="T215" s="11">
        <f ca="1">(S215*DATOSAÑO!$Z$11)/DATOSAÑO!$Y$11</f>
        <v>2.5892817645675863</v>
      </c>
      <c r="U215" s="9">
        <f ca="1">DATOSAÑO!AH214</f>
        <v>13.400000000001455</v>
      </c>
      <c r="V215" s="11">
        <f ca="1">(U215*DATOSAÑO!$Z$11)/DATOSAÑO!$Y$11</f>
        <v>0.24145007407937796</v>
      </c>
      <c r="W215" s="9">
        <f ca="1">DATOSAÑO!AI214</f>
        <v>39.05000000000291</v>
      </c>
      <c r="X215" s="11">
        <f ca="1">(W215*DATOSAÑO!$Z$11)/DATOSAÑO!$Y$11</f>
        <v>0.70362876065667079</v>
      </c>
      <c r="Y215" s="9">
        <f ca="1">DATOSAÑO!AJ214</f>
        <v>7.3600000000005821</v>
      </c>
      <c r="Z215" s="11">
        <f ca="1">(Y215*DATOSAÑO!$Z$11)/DATOSAÑO!$Y$11</f>
        <v>0.13261735412120668</v>
      </c>
      <c r="AA215" s="9">
        <f ca="1">DATOSAÑO!AK214</f>
        <v>10.14000000001397</v>
      </c>
      <c r="AB215" s="11">
        <f ca="1">(AA215*DATOSAÑO!$Z$11)/DATOSAÑO!$Y$11</f>
        <v>0.18270923516179102</v>
      </c>
      <c r="AC215" s="9">
        <f ca="1">DATOSAÑO!AL214</f>
        <v>33.521999999948093</v>
      </c>
      <c r="AD215" s="11">
        <f ca="1">(AC215*DATOSAÑO!$Z$11)/DATOSAÑO!$Y$11</f>
        <v>0.60402159576682812</v>
      </c>
      <c r="AE215" s="9">
        <f ca="1">DATOSAÑO!AM214</f>
        <v>7.1400000000104988</v>
      </c>
      <c r="AF215" s="11">
        <f ca="1">(AE215*DATOSAÑO!$Z$11)/DATOSAÑO!$Y$11</f>
        <v>0.12865324842754525</v>
      </c>
      <c r="AG215" s="9">
        <f ca="1">DATOSAÑO!AN214</f>
        <v>3.3720000000001273</v>
      </c>
      <c r="AH215" s="11">
        <f ca="1">(AG215*DATOSAÑO!$Z$11)/DATOSAÑO!$Y$11</f>
        <v>6.0758929089224242E-2</v>
      </c>
      <c r="AI215" s="9">
        <f ca="1">DATOSAÑO!BJ214</f>
        <v>3.6480000000000001</v>
      </c>
      <c r="AJ215" s="11">
        <f ca="1">(AI215*DATOSAÑO!$Z$11)/DATOSAÑO!$Y$11</f>
        <v>6.5732079868766807E-2</v>
      </c>
      <c r="AK215" s="9">
        <f ca="1">DATOSAÑO!BM214</f>
        <v>2.9220000000000002</v>
      </c>
      <c r="AL215" s="11">
        <f ca="1">(AK215*DATOSAÑO!$Z$11)/DATOSAÑO!$Y$11</f>
        <v>5.2650531079094468E-2</v>
      </c>
      <c r="AM215" s="9">
        <f ca="1">DATOSAÑO!BP214</f>
        <v>0</v>
      </c>
      <c r="AN215" s="11">
        <f ca="1">(AM215*DATOSAÑO!$Z$11)/DATOSAÑO!$Y$11</f>
        <v>0</v>
      </c>
      <c r="AO215" s="9">
        <f ca="1">DATOSAÑO!BW214</f>
        <v>12.200000000006268</v>
      </c>
      <c r="AP215" s="11">
        <f ca="1">(AO215*DATOSAÑO!$Z$11)/DATOSAÑO!$Y$11</f>
        <v>0.2198276793857914</v>
      </c>
      <c r="AQ215" s="9">
        <f ca="1">DATOSAÑO!CC214</f>
        <v>2.8368000000000508</v>
      </c>
      <c r="AR215" s="1348">
        <f ca="1">(AQ215*DATOSAÑO!$Z$11)/DATOSAÑO!$Y$11</f>
        <v>5.1115341055844574E-2</v>
      </c>
      <c r="AS215" s="1384">
        <f t="shared" si="11"/>
        <v>30</v>
      </c>
    </row>
    <row r="216" spans="1:45" ht="16.5" customHeight="1">
      <c r="A216" s="1408">
        <v>45131</v>
      </c>
      <c r="B216" s="1869">
        <v>45131</v>
      </c>
      <c r="C216" s="9">
        <f ca="1">DATOSAÑO!I215</f>
        <v>295.13999999989755</v>
      </c>
      <c r="D216" s="10">
        <f ca="1">DATOSAÑO!$D215</f>
        <v>5.1235256449800968</v>
      </c>
      <c r="E216" s="11">
        <f ca="1">DATOSAÑO!$G215</f>
        <v>0</v>
      </c>
      <c r="F216" s="9">
        <f ca="1">DATOSAÑO!P215</f>
        <v>148.08200000000215</v>
      </c>
      <c r="G216" s="10">
        <f ca="1">DATOSAÑO!K215</f>
        <v>3.865277248216004</v>
      </c>
      <c r="H216" s="11">
        <f ca="1">DATOSAÑO!N215</f>
        <v>0</v>
      </c>
      <c r="I216" s="9">
        <f ca="1">DATOSAÑO!Q215</f>
        <v>0</v>
      </c>
      <c r="J216" s="11">
        <f ca="1">DATOSAÑO!R215</f>
        <v>0</v>
      </c>
      <c r="K216" s="9">
        <f ca="1">DATOSAÑO!T215</f>
        <v>0</v>
      </c>
      <c r="L216" s="11">
        <f t="shared" ca="1" si="9"/>
        <v>0</v>
      </c>
      <c r="M216" s="9"/>
      <c r="N216" s="11">
        <f t="shared" si="10"/>
        <v>0</v>
      </c>
      <c r="O216" s="9">
        <f>DATOSAÑO!CK215</f>
        <v>0</v>
      </c>
      <c r="P216" s="9">
        <f>DATOSAÑO!CL215</f>
        <v>0</v>
      </c>
      <c r="Q216" s="9">
        <f ca="1">DATOSAÑO!AD215</f>
        <v>164.90000000000146</v>
      </c>
      <c r="R216" s="11">
        <f ca="1">(Q216*DATOSAÑO!$Z$11)/DATOSAÑO!$Y$11</f>
        <v>2.9712774041556309</v>
      </c>
      <c r="S216" s="9">
        <f ca="1">DATOSAÑO!AF215</f>
        <v>145.79999999998836</v>
      </c>
      <c r="T216" s="11">
        <f ca="1">(S216*DATOSAÑO!$Z$11)/DATOSAÑO!$Y$11</f>
        <v>2.6271209552810952</v>
      </c>
      <c r="U216" s="9">
        <f ca="1">DATOSAÑO!AH215</f>
        <v>13.30000000000291</v>
      </c>
      <c r="V216" s="11">
        <f ca="1">(U216*DATOSAÑO!$Z$11)/DATOSAÑO!$Y$11</f>
        <v>0.23964820785493143</v>
      </c>
      <c r="W216" s="9">
        <f ca="1">DATOSAÑO!AI215</f>
        <v>39.039999999993597</v>
      </c>
      <c r="X216" s="11">
        <f ca="1">(W216*DATOSAÑO!$Z$11)/DATOSAÑO!$Y$11</f>
        <v>0.7034485740340557</v>
      </c>
      <c r="Y216" s="9">
        <f ca="1">DATOSAÑO!AJ215</f>
        <v>8.3600000000005821</v>
      </c>
      <c r="Z216" s="11">
        <f ca="1">(Y216*DATOSAÑO!$Z$11)/DATOSAÑO!$Y$11</f>
        <v>0.15063601636593441</v>
      </c>
      <c r="AA216" s="9">
        <f ca="1">DATOSAÑO!AK215</f>
        <v>10</v>
      </c>
      <c r="AB216" s="11">
        <f ca="1">(AA216*DATOSAÑO!$Z$11)/DATOSAÑO!$Y$11</f>
        <v>0.18018662244727743</v>
      </c>
      <c r="AC216" s="9">
        <f ca="1">DATOSAÑO!AL215</f>
        <v>33.521999999877153</v>
      </c>
      <c r="AD216" s="11">
        <f ca="1">(AC216*DATOSAÑO!$Z$11)/DATOSAÑO!$Y$11</f>
        <v>0.60402159576554981</v>
      </c>
      <c r="AE216" s="9">
        <f ca="1">DATOSAÑO!AM215</f>
        <v>9.1460000000360946</v>
      </c>
      <c r="AF216" s="11">
        <f ca="1">(AE216*DATOSAÑO!$Z$11)/DATOSAÑO!$Y$11</f>
        <v>0.1647986848909303</v>
      </c>
      <c r="AG216" s="9">
        <f ca="1">DATOSAÑO!AN215</f>
        <v>3.5180000000005638</v>
      </c>
      <c r="AH216" s="11">
        <f ca="1">(AG216*DATOSAÑO!$Z$11)/DATOSAÑO!$Y$11</f>
        <v>6.338965377696236E-2</v>
      </c>
      <c r="AI216" s="9">
        <f ca="1">DATOSAÑO!BJ215</f>
        <v>3.36</v>
      </c>
      <c r="AJ216" s="11">
        <f ca="1">(AI216*DATOSAÑO!$Z$11)/DATOSAÑO!$Y$11</f>
        <v>6.0542705142285214E-2</v>
      </c>
      <c r="AK216" s="9">
        <f ca="1">DATOSAÑO!BM215</f>
        <v>3.044</v>
      </c>
      <c r="AL216" s="11">
        <f ca="1">(AK216*DATOSAÑO!$Z$11)/DATOSAÑO!$Y$11</f>
        <v>5.4848807872951245E-2</v>
      </c>
      <c r="AM216" s="9">
        <f ca="1">DATOSAÑO!BP215</f>
        <v>0</v>
      </c>
      <c r="AN216" s="11">
        <f ca="1">(AM216*DATOSAÑO!$Z$11)/DATOSAÑO!$Y$11</f>
        <v>0</v>
      </c>
      <c r="AO216" s="9">
        <f ca="1">DATOSAÑO!BW215</f>
        <v>12.44300000001703</v>
      </c>
      <c r="AP216" s="11">
        <f ca="1">(AO216*DATOSAÑO!$Z$11)/DATOSAÑO!$Y$11</f>
        <v>0.22420621431145416</v>
      </c>
      <c r="AQ216" s="9">
        <f ca="1">DATOSAÑO!CC215</f>
        <v>2.7692000000002257</v>
      </c>
      <c r="AR216" s="1348">
        <f ca="1">(AQ216*DATOSAÑO!$Z$11)/DATOSAÑO!$Y$11</f>
        <v>4.9897279488104129E-2</v>
      </c>
      <c r="AS216" s="1384">
        <f t="shared" si="11"/>
        <v>30</v>
      </c>
    </row>
    <row r="217" spans="1:45">
      <c r="A217" s="1408">
        <v>45132</v>
      </c>
      <c r="B217" s="1869">
        <v>45132</v>
      </c>
      <c r="C217" s="9">
        <f ca="1">DATOSAÑO!I216</f>
        <v>289.09000000008382</v>
      </c>
      <c r="D217" s="10">
        <f ca="1">DATOSAÑO!$D216</f>
        <v>5.0717610160568558</v>
      </c>
      <c r="E217" s="11">
        <f ca="1">DATOSAÑO!$G216</f>
        <v>0</v>
      </c>
      <c r="F217" s="9">
        <f ca="1">DATOSAÑO!P216</f>
        <v>146.70299999999406</v>
      </c>
      <c r="G217" s="10">
        <f ca="1">DATOSAÑO!K216</f>
        <v>3.8534783352758781</v>
      </c>
      <c r="H217" s="11">
        <f ca="1">DATOSAÑO!N216</f>
        <v>0</v>
      </c>
      <c r="I217" s="9">
        <f ca="1">DATOSAÑO!Q216</f>
        <v>0.45399999999995089</v>
      </c>
      <c r="J217" s="11">
        <f ca="1">DATOSAÑO!R216</f>
        <v>54.479999999994106</v>
      </c>
      <c r="K217" s="9">
        <f ca="1">DATOSAÑO!T216</f>
        <v>0.40999999999996817</v>
      </c>
      <c r="L217" s="11">
        <f t="shared" ca="1" si="9"/>
        <v>49.19999999999618</v>
      </c>
      <c r="M217" s="9"/>
      <c r="N217" s="11">
        <f t="shared" si="10"/>
        <v>0</v>
      </c>
      <c r="O217" s="9">
        <f>DATOSAÑO!CK216</f>
        <v>0.5</v>
      </c>
      <c r="P217" s="9">
        <f>DATOSAÑO!CL216</f>
        <v>0.4</v>
      </c>
      <c r="Q217" s="9">
        <f ca="1">DATOSAÑO!AD216</f>
        <v>163.73499999999876</v>
      </c>
      <c r="R217" s="11">
        <f ca="1">(Q217*DATOSAÑO!$Z$11)/DATOSAÑO!$Y$11</f>
        <v>2.9502856626404745</v>
      </c>
      <c r="S217" s="9">
        <f ca="1">DATOSAÑO!AF216</f>
        <v>142.51000000000931</v>
      </c>
      <c r="T217" s="11">
        <f ca="1">(S217*DATOSAÑO!$Z$11)/DATOSAÑO!$Y$11</f>
        <v>2.5678395564963186</v>
      </c>
      <c r="U217" s="9">
        <f ca="1">DATOSAÑO!AH216</f>
        <v>11.299999999995634</v>
      </c>
      <c r="V217" s="11">
        <f ca="1">(U217*DATOSAÑO!$Z$11)/DATOSAÑO!$Y$11</f>
        <v>0.20361088336534483</v>
      </c>
      <c r="W217" s="9">
        <f ca="1">DATOSAÑO!AI216</f>
        <v>37.540000000008149</v>
      </c>
      <c r="X217" s="11">
        <f ca="1">(W217*DATOSAÑO!$Z$11)/DATOSAÑO!$Y$11</f>
        <v>0.67642058066722632</v>
      </c>
      <c r="Y217" s="9">
        <f ca="1">DATOSAÑO!AJ216</f>
        <v>9.1000000000058208</v>
      </c>
      <c r="Z217" s="11">
        <f ca="1">(Y217*DATOSAÑO!$Z$11)/DATOSAÑO!$Y$11</f>
        <v>0.16396982642712732</v>
      </c>
      <c r="AA217" s="9">
        <f ca="1">DATOSAÑO!AK216</f>
        <v>9.5599999999976717</v>
      </c>
      <c r="AB217" s="11">
        <f ca="1">(AA217*DATOSAÑO!$Z$11)/DATOSAÑO!$Y$11</f>
        <v>0.17225841105955525</v>
      </c>
      <c r="AC217" s="9">
        <f ca="1">DATOSAÑO!AL216</f>
        <v>33.422000000108198</v>
      </c>
      <c r="AD217" s="11">
        <f ca="1">(AC217*DATOSAÑO!$Z$11)/DATOSAÑO!$Y$11</f>
        <v>0.60221972954524017</v>
      </c>
      <c r="AE217" s="9">
        <f ca="1">DATOSAÑO!AM216</f>
        <v>10.788999999953525</v>
      </c>
      <c r="AF217" s="11">
        <f ca="1">(AE217*DATOSAÑO!$Z$11)/DATOSAÑO!$Y$11</f>
        <v>0.19440334695753017</v>
      </c>
      <c r="AG217" s="9">
        <f ca="1">DATOSAÑO!AN216</f>
        <v>3.3350000000000479</v>
      </c>
      <c r="AH217" s="11">
        <f ca="1">(AG217*DATOSAÑO!$Z$11)/DATOSAÑO!$Y$11</f>
        <v>6.0092238586167877E-2</v>
      </c>
      <c r="AI217" s="9">
        <f ca="1">DATOSAÑO!BJ216</f>
        <v>3.8879999999999999</v>
      </c>
      <c r="AJ217" s="11">
        <f ca="1">(AI217*DATOSAÑO!$Z$11)/DATOSAÑO!$Y$11</f>
        <v>7.0056558807501459E-2</v>
      </c>
      <c r="AK217" s="9">
        <f ca="1">DATOSAÑO!BM216</f>
        <v>3.3530000000000002</v>
      </c>
      <c r="AL217" s="11">
        <f ca="1">(AK217*DATOSAÑO!$Z$11)/DATOSAÑO!$Y$11</f>
        <v>6.0416574506572125E-2</v>
      </c>
      <c r="AM217" s="9">
        <f ca="1">DATOSAÑO!BP216</f>
        <v>0</v>
      </c>
      <c r="AN217" s="11">
        <f ca="1">(AM217*DATOSAÑO!$Z$11)/DATOSAÑO!$Y$11</f>
        <v>0</v>
      </c>
      <c r="AO217" s="9">
        <f ca="1">DATOSAÑO!BW216</f>
        <v>12.09449999997749</v>
      </c>
      <c r="AP217" s="11">
        <f ca="1">(AO217*DATOSAÑO!$Z$11)/DATOSAÑO!$Y$11</f>
        <v>0.21792671051845408</v>
      </c>
      <c r="AQ217" s="9">
        <f ca="1">DATOSAÑO!CC216</f>
        <v>2.759000000000019</v>
      </c>
      <c r="AR217" s="1348">
        <f ca="1">(AQ217*DATOSAÑO!$Z$11)/DATOSAÑO!$Y$11</f>
        <v>4.9713489133204176E-2</v>
      </c>
      <c r="AS217" s="1384">
        <f t="shared" si="11"/>
        <v>30</v>
      </c>
    </row>
    <row r="218" spans="1:45" ht="16.5" customHeight="1">
      <c r="A218" s="1408">
        <v>45133</v>
      </c>
      <c r="B218" s="1869">
        <v>45133</v>
      </c>
      <c r="C218" s="9">
        <f ca="1">DATOSAÑO!I217</f>
        <v>286.53000000002794</v>
      </c>
      <c r="D218" s="10">
        <f ca="1">DATOSAÑO!$D217</f>
        <v>5.0498573053047133</v>
      </c>
      <c r="E218" s="11">
        <f ca="1">DATOSAÑO!$G217</f>
        <v>0</v>
      </c>
      <c r="F218" s="9">
        <f ca="1">DATOSAÑO!P217</f>
        <v>147.97600000000239</v>
      </c>
      <c r="G218" s="10">
        <f ca="1">DATOSAÑO!K217</f>
        <v>3.8643702976926955</v>
      </c>
      <c r="H218" s="11">
        <f ca="1">DATOSAÑO!N217</f>
        <v>0</v>
      </c>
      <c r="I218" s="9">
        <f ca="1">DATOSAÑO!Q217</f>
        <v>0</v>
      </c>
      <c r="J218" s="11">
        <f ca="1">DATOSAÑO!R217</f>
        <v>0</v>
      </c>
      <c r="K218" s="9">
        <f ca="1">DATOSAÑO!T217</f>
        <v>0</v>
      </c>
      <c r="L218" s="11">
        <f t="shared" ca="1" si="9"/>
        <v>0</v>
      </c>
      <c r="M218" s="9"/>
      <c r="N218" s="11">
        <f t="shared" si="10"/>
        <v>0</v>
      </c>
      <c r="O218" s="9">
        <f>DATOSAÑO!CK217</f>
        <v>0</v>
      </c>
      <c r="P218" s="9">
        <f>DATOSAÑO!CL217</f>
        <v>0</v>
      </c>
      <c r="Q218" s="9">
        <f ca="1">DATOSAÑO!AD217</f>
        <v>164.86499999999978</v>
      </c>
      <c r="R218" s="11">
        <f ca="1">(Q218*DATOSAÑO!$Z$11)/DATOSAÑO!$Y$11</f>
        <v>2.9706467509770351</v>
      </c>
      <c r="S218" s="9">
        <f ca="1">DATOSAÑO!AF217</f>
        <v>146.89000000001397</v>
      </c>
      <c r="T218" s="11">
        <f ca="1">(S218*DATOSAÑO!$Z$11)/DATOSAÑO!$Y$11</f>
        <v>2.6467612971283097</v>
      </c>
      <c r="U218" s="9">
        <f ca="1">DATOSAÑO!AH217</f>
        <v>6.2000000000007276</v>
      </c>
      <c r="V218" s="11">
        <f ca="1">(U218*DATOSAÑO!$Z$11)/DATOSAÑO!$Y$11</f>
        <v>0.11171570591732512</v>
      </c>
      <c r="W218" s="9">
        <f ca="1">DATOSAÑO!AI217</f>
        <v>39.029999999998836</v>
      </c>
      <c r="X218" s="11">
        <f ca="1">(W218*DATOSAÑO!$Z$11)/DATOSAÑO!$Y$11</f>
        <v>0.70326838741170283</v>
      </c>
      <c r="Y218" s="9">
        <f ca="1">DATOSAÑO!AJ217</f>
        <v>8.0499999999883585</v>
      </c>
      <c r="Z218" s="11">
        <f ca="1">(Y218*DATOSAÑO!$Z$11)/DATOSAÑO!$Y$11</f>
        <v>0.14505023106984857</v>
      </c>
      <c r="AA218" s="9">
        <f ca="1">DATOSAÑO!AK217</f>
        <v>9.25</v>
      </c>
      <c r="AB218" s="11">
        <f ca="1">(AA218*DATOSAÑO!$Z$11)/DATOSAÑO!$Y$11</f>
        <v>0.16667262576373162</v>
      </c>
      <c r="AC218" s="9">
        <f ca="1">DATOSAÑO!AL217</f>
        <v>32.011000000029526</v>
      </c>
      <c r="AD218" s="11">
        <f ca="1">(AC218*DATOSAÑO!$Z$11)/DATOSAÑO!$Y$11</f>
        <v>0.57679539711651184</v>
      </c>
      <c r="AE218" s="9">
        <f ca="1">DATOSAÑO!AM217</f>
        <v>9.1229999999997045</v>
      </c>
      <c r="AF218" s="11">
        <f ca="1">(AE218*DATOSAÑO!$Z$11)/DATOSAÑO!$Y$11</f>
        <v>0.16438425565864587</v>
      </c>
      <c r="AG218" s="9">
        <f ca="1">DATOSAÑO!AN217</f>
        <v>3.128999999999218</v>
      </c>
      <c r="AH218" s="11">
        <f ca="1">(AG218*DATOSAÑO!$Z$11)/DATOSAÑO!$Y$11</f>
        <v>5.6380394163739009E-2</v>
      </c>
      <c r="AI218" s="9">
        <f ca="1">DATOSAÑO!BJ217</f>
        <v>4.2240000000000002</v>
      </c>
      <c r="AJ218" s="11">
        <f ca="1">(AI218*DATOSAÑO!$Z$11)/DATOSAÑO!$Y$11</f>
        <v>7.6110829321729981E-2</v>
      </c>
      <c r="AK218" s="9">
        <f ca="1">DATOSAÑO!BM217</f>
        <v>3.4929999999999999</v>
      </c>
      <c r="AL218" s="11">
        <f ca="1">(AK218*DATOSAÑO!$Z$11)/DATOSAÑO!$Y$11</f>
        <v>6.2939187220833998E-2</v>
      </c>
      <c r="AM218" s="9">
        <f ca="1">DATOSAÑO!BP217</f>
        <v>0</v>
      </c>
      <c r="AN218" s="11">
        <f ca="1">(AM218*DATOSAÑO!$Z$11)/DATOSAÑO!$Y$11</f>
        <v>0</v>
      </c>
      <c r="AO218" s="9">
        <f ca="1">DATOSAÑO!BW217</f>
        <v>11.321500000000071</v>
      </c>
      <c r="AP218" s="11">
        <f ca="1">(AO218*DATOSAÑO!$Z$11)/DATOSAÑO!$Y$11</f>
        <v>0.20399828460368641</v>
      </c>
      <c r="AQ218" s="9">
        <f ca="1">DATOSAÑO!CC217</f>
        <v>2.7325999999996871</v>
      </c>
      <c r="AR218" s="1348">
        <f ca="1">(AQ218*DATOSAÑO!$Z$11)/DATOSAÑO!$Y$11</f>
        <v>4.9237796449937393E-2</v>
      </c>
      <c r="AS218" s="1384">
        <f t="shared" si="11"/>
        <v>30</v>
      </c>
    </row>
    <row r="219" spans="1:45">
      <c r="A219" s="1408">
        <v>45134</v>
      </c>
      <c r="B219" s="1869">
        <v>45134</v>
      </c>
      <c r="C219" s="9">
        <f ca="1">DATOSAÑO!I218</f>
        <v>291.43999999994412</v>
      </c>
      <c r="D219" s="10">
        <f ca="1">DATOSAÑO!$D218</f>
        <v>5.0918679380347296</v>
      </c>
      <c r="E219" s="11">
        <f ca="1">DATOSAÑO!$G218</f>
        <v>0</v>
      </c>
      <c r="F219" s="9">
        <f ca="1">DATOSAÑO!P218</f>
        <v>149.43400000000111</v>
      </c>
      <c r="G219" s="10">
        <f ca="1">DATOSAÑO!K218</f>
        <v>3.8768451454567185</v>
      </c>
      <c r="H219" s="11">
        <f ca="1">DATOSAÑO!N218</f>
        <v>0</v>
      </c>
      <c r="I219" s="9">
        <f ca="1">DATOSAÑO!Q218</f>
        <v>0</v>
      </c>
      <c r="J219" s="11">
        <f ca="1">DATOSAÑO!R218</f>
        <v>0</v>
      </c>
      <c r="K219" s="9">
        <f ca="1">DATOSAÑO!T218</f>
        <v>0</v>
      </c>
      <c r="L219" s="11">
        <f t="shared" ca="1" si="9"/>
        <v>0</v>
      </c>
      <c r="M219" s="9"/>
      <c r="N219" s="11">
        <f t="shared" si="10"/>
        <v>0</v>
      </c>
      <c r="O219" s="9">
        <f>DATOSAÑO!CK218</f>
        <v>0</v>
      </c>
      <c r="P219" s="9">
        <f>DATOSAÑO!CL218</f>
        <v>0</v>
      </c>
      <c r="Q219" s="9">
        <f ca="1">DATOSAÑO!AD218</f>
        <v>168.20000000000073</v>
      </c>
      <c r="R219" s="11">
        <f ca="1">(Q219*DATOSAÑO!$Z$11)/DATOSAÑO!$Y$11</f>
        <v>3.0307389895632197</v>
      </c>
      <c r="S219" s="9">
        <f ca="1">DATOSAÑO!AF218</f>
        <v>143.79999999998836</v>
      </c>
      <c r="T219" s="11">
        <f ca="1">(S219*DATOSAÑO!$Z$11)/DATOSAÑO!$Y$11</f>
        <v>2.5910836307916396</v>
      </c>
      <c r="U219" s="9">
        <f ca="1">DATOSAÑO!AH218</f>
        <v>8.4000000000014552</v>
      </c>
      <c r="V219" s="11">
        <f ca="1">(U219*DATOSAÑO!$Z$11)/DATOSAÑO!$Y$11</f>
        <v>0.15135676285573924</v>
      </c>
      <c r="W219" s="9">
        <f ca="1">DATOSAÑO!AI218</f>
        <v>40.599999999991269</v>
      </c>
      <c r="X219" s="11">
        <f ca="1">(W219*DATOSAÑO!$Z$11)/DATOSAÑO!$Y$11</f>
        <v>0.73155768713578895</v>
      </c>
      <c r="Y219" s="9">
        <f ca="1">DATOSAÑO!AJ218</f>
        <v>5.4000000000087311</v>
      </c>
      <c r="Z219" s="11">
        <f ca="1">(Y219*DATOSAÑO!$Z$11)/DATOSAÑO!$Y$11</f>
        <v>9.7300776121687138E-2</v>
      </c>
      <c r="AA219" s="9">
        <f ca="1">DATOSAÑO!AK218</f>
        <v>9</v>
      </c>
      <c r="AB219" s="11">
        <f ca="1">(AA219*DATOSAÑO!$Z$11)/DATOSAÑO!$Y$11</f>
        <v>0.16216796020254967</v>
      </c>
      <c r="AC219" s="9">
        <f ca="1">DATOSAÑO!AL218</f>
        <v>35.973999999943771</v>
      </c>
      <c r="AD219" s="11">
        <f ca="1">(AC219*DATOSAÑO!$Z$11)/DATOSAÑO!$Y$11</f>
        <v>0.64820335559082265</v>
      </c>
      <c r="AE219" s="9">
        <f ca="1">DATOSAÑO!AM218</f>
        <v>10.666000000011197</v>
      </c>
      <c r="AF219" s="11">
        <f ca="1">(AE219*DATOSAÑO!$Z$11)/DATOSAÑO!$Y$11</f>
        <v>0.19218705150246784</v>
      </c>
      <c r="AG219" s="9">
        <f ca="1">DATOSAÑO!AN218</f>
        <v>3.5580000000000909</v>
      </c>
      <c r="AH219" s="11">
        <f ca="1">(AG219*DATOSAÑO!$Z$11)/DATOSAÑO!$Y$11</f>
        <v>6.4110400266742945E-2</v>
      </c>
      <c r="AI219" s="9">
        <f ca="1">DATOSAÑO!BJ218</f>
        <v>3.6640000000000001</v>
      </c>
      <c r="AJ219" s="11">
        <f ca="1">(AI219*DATOSAÑO!$Z$11)/DATOSAÑO!$Y$11</f>
        <v>6.602037846468245E-2</v>
      </c>
      <c r="AK219" s="9">
        <f ca="1">DATOSAÑO!BM218</f>
        <v>3.37</v>
      </c>
      <c r="AL219" s="11">
        <f ca="1">(AK219*DATOSAÑO!$Z$11)/DATOSAÑO!$Y$11</f>
        <v>6.0722891764732494E-2</v>
      </c>
      <c r="AM219" s="9">
        <f ca="1">DATOSAÑO!BP218</f>
        <v>0</v>
      </c>
      <c r="AN219" s="11">
        <f ca="1">(AM219*DATOSAÑO!$Z$11)/DATOSAÑO!$Y$11</f>
        <v>0</v>
      </c>
      <c r="AO219" s="9">
        <f ca="1">DATOSAÑO!BW218</f>
        <v>12.233000000005234</v>
      </c>
      <c r="AP219" s="11">
        <f ca="1">(AO219*DATOSAÑO!$Z$11)/DATOSAÑO!$Y$11</f>
        <v>0.22042229523984877</v>
      </c>
      <c r="AQ219" s="9">
        <f ca="1">DATOSAÑO!CC218</f>
        <v>2.7652000000000365</v>
      </c>
      <c r="AR219" s="1348">
        <f ca="1">(AQ219*DATOSAÑO!$Z$11)/DATOSAÑO!$Y$11</f>
        <v>4.9825204839121812E-2</v>
      </c>
      <c r="AS219" s="1384">
        <f t="shared" si="11"/>
        <v>30</v>
      </c>
    </row>
    <row r="220" spans="1:45" ht="16.5" customHeight="1">
      <c r="A220" s="1408">
        <v>45135</v>
      </c>
      <c r="B220" s="1869">
        <v>45135</v>
      </c>
      <c r="C220" s="9">
        <f ca="1">DATOSAÑO!I219</f>
        <v>277</v>
      </c>
      <c r="D220" s="10">
        <f ca="1">DATOSAÑO!$D219</f>
        <v>4.9683173195765953</v>
      </c>
      <c r="E220" s="11">
        <f ca="1">DATOSAÑO!$G219</f>
        <v>0</v>
      </c>
      <c r="F220" s="9">
        <f ca="1">DATOSAÑO!P219</f>
        <v>147</v>
      </c>
      <c r="G220" s="10">
        <f ca="1">DATOSAÑO!K219</f>
        <v>3.8560195079686026</v>
      </c>
      <c r="H220" s="11">
        <f ca="1">DATOSAÑO!N219</f>
        <v>0</v>
      </c>
      <c r="I220" s="9">
        <f ca="1">DATOSAÑO!Q219</f>
        <v>0</v>
      </c>
      <c r="J220" s="11">
        <f ca="1">DATOSAÑO!R219</f>
        <v>0</v>
      </c>
      <c r="K220" s="9">
        <f ca="1">DATOSAÑO!T219</f>
        <v>0</v>
      </c>
      <c r="L220" s="11">
        <f t="shared" ca="1" si="9"/>
        <v>0</v>
      </c>
      <c r="M220" s="9"/>
      <c r="N220" s="11">
        <f t="shared" si="10"/>
        <v>0</v>
      </c>
      <c r="O220" s="9">
        <f>DATOSAÑO!CK219</f>
        <v>0</v>
      </c>
      <c r="P220" s="9">
        <f>DATOSAÑO!CL219</f>
        <v>0</v>
      </c>
      <c r="Q220" s="9">
        <f ca="1">DATOSAÑO!AD219</f>
        <v>164</v>
      </c>
      <c r="R220" s="11">
        <f ca="1">(Q220*DATOSAÑO!$Z$11)/DATOSAÑO!$Y$11</f>
        <v>2.9550606081353497</v>
      </c>
      <c r="S220" s="9">
        <f ca="1">DATOSAÑO!AF219</f>
        <v>129</v>
      </c>
      <c r="T220" s="11">
        <f ca="1">(S220*DATOSAÑO!$Z$11)/DATOSAÑO!$Y$11</f>
        <v>2.3244074295698787</v>
      </c>
      <c r="U220" s="9">
        <f ca="1">DATOSAÑO!AH219</f>
        <v>12.900000000003274</v>
      </c>
      <c r="V220" s="11">
        <f ca="1">(U220*DATOSAÑO!$Z$11)/DATOSAÑO!$Y$11</f>
        <v>0.23244074295704689</v>
      </c>
      <c r="W220" s="9">
        <f ca="1">DATOSAÑO!AI219</f>
        <v>38.400000000008731</v>
      </c>
      <c r="X220" s="11">
        <f ca="1">(W220*DATOSAÑO!$Z$11)/DATOSAÑO!$Y$11</f>
        <v>0.69191663019770255</v>
      </c>
      <c r="Y220" s="9">
        <f ca="1">DATOSAÑO!AJ219</f>
        <v>7.1999999999970896</v>
      </c>
      <c r="Z220" s="11">
        <f ca="1">(Y220*DATOSAÑO!$Z$11)/DATOSAÑO!$Y$11</f>
        <v>0.1297343681619873</v>
      </c>
      <c r="AA220" s="9">
        <f ca="1">DATOSAÑO!AK219</f>
        <v>10</v>
      </c>
      <c r="AB220" s="11">
        <f ca="1">(AA220*DATOSAÑO!$Z$11)/DATOSAÑO!$Y$11</f>
        <v>0.18018662244727743</v>
      </c>
      <c r="AC220" s="9">
        <f ca="1">DATOSAÑO!AL219</f>
        <v>34.299999999990177</v>
      </c>
      <c r="AD220" s="11">
        <f ca="1">(AC220*DATOSAÑO!$Z$11)/DATOSAÑO!$Y$11</f>
        <v>0.61804011499398459</v>
      </c>
      <c r="AE220" s="9">
        <f ca="1">DATOSAÑO!AM219</f>
        <v>9.5079999999993774</v>
      </c>
      <c r="AF220" s="11">
        <f ca="1">(AE220*DATOSAÑO!$Z$11)/DATOSAÑO!$Y$11</f>
        <v>0.17132144062286017</v>
      </c>
      <c r="AG220" s="9">
        <f ca="1">DATOSAÑO!AN219</f>
        <v>3.4360000000006119</v>
      </c>
      <c r="AH220" s="11">
        <f ca="1">(AG220*DATOSAÑO!$Z$11)/DATOSAÑO!$Y$11</f>
        <v>6.1912123472895549E-2</v>
      </c>
      <c r="AI220" s="9">
        <f ca="1">DATOSAÑO!BJ219</f>
        <v>3.8</v>
      </c>
      <c r="AJ220" s="11">
        <f ca="1">(AI220*DATOSAÑO!$Z$11)/DATOSAÑO!$Y$11</f>
        <v>6.8470916529965425E-2</v>
      </c>
      <c r="AK220" s="9">
        <f ca="1">DATOSAÑO!BM219</f>
        <v>3.302</v>
      </c>
      <c r="AL220" s="11">
        <f ca="1">(AK220*DATOSAÑO!$Z$11)/DATOSAÑO!$Y$11</f>
        <v>5.9497622732091013E-2</v>
      </c>
      <c r="AM220" s="9">
        <f ca="1">DATOSAÑO!BP219</f>
        <v>0</v>
      </c>
      <c r="AN220" s="11">
        <f ca="1">(AM220*DATOSAÑO!$Z$11)/DATOSAÑO!$Y$11</f>
        <v>0</v>
      </c>
      <c r="AO220" s="9">
        <f ca="1">DATOSAÑO!BW219</f>
        <v>11.454000000000416</v>
      </c>
      <c r="AP220" s="11">
        <f ca="1">(AO220*DATOSAÑO!$Z$11)/DATOSAÑO!$Y$11</f>
        <v>0.20638575735111905</v>
      </c>
      <c r="AQ220" s="9">
        <f ca="1">DATOSAÑO!CC219</f>
        <v>2.8284000000002445</v>
      </c>
      <c r="AR220" s="1348">
        <f ca="1">(AQ220*DATOSAÑO!$Z$11)/DATOSAÑO!$Y$11</f>
        <v>5.096398429299235E-2</v>
      </c>
      <c r="AS220" s="1384">
        <f t="shared" si="11"/>
        <v>30</v>
      </c>
    </row>
    <row r="221" spans="1:45">
      <c r="A221" s="1408">
        <v>45136</v>
      </c>
      <c r="B221" s="1869">
        <v>45136</v>
      </c>
      <c r="C221" s="9">
        <f ca="1">DATOSAÑO!I220</f>
        <v>295</v>
      </c>
      <c r="D221" s="10">
        <f ca="1">DATOSAÑO!$D220</f>
        <v>5.1223277857992411</v>
      </c>
      <c r="E221" s="11">
        <f ca="1">DATOSAÑO!$G220</f>
        <v>0</v>
      </c>
      <c r="F221" s="9">
        <f ca="1">DATOSAÑO!P220</f>
        <v>147</v>
      </c>
      <c r="G221" s="10">
        <f ca="1">DATOSAÑO!K220</f>
        <v>3.8560195079686026</v>
      </c>
      <c r="H221" s="11">
        <f ca="1">DATOSAÑO!N220</f>
        <v>0</v>
      </c>
      <c r="I221" s="9">
        <f ca="1">DATOSAÑO!Q220</f>
        <v>0</v>
      </c>
      <c r="J221" s="11">
        <f ca="1">DATOSAÑO!R220</f>
        <v>0</v>
      </c>
      <c r="K221" s="9">
        <f ca="1">DATOSAÑO!T220</f>
        <v>0</v>
      </c>
      <c r="L221" s="11">
        <f t="shared" ca="1" si="9"/>
        <v>0</v>
      </c>
      <c r="M221" s="9"/>
      <c r="N221" s="11">
        <f t="shared" si="10"/>
        <v>0</v>
      </c>
      <c r="O221" s="9">
        <f>DATOSAÑO!CK220</f>
        <v>0</v>
      </c>
      <c r="P221" s="9">
        <f>DATOSAÑO!CL220</f>
        <v>0</v>
      </c>
      <c r="Q221" s="9">
        <f ca="1">DATOSAÑO!AD220</f>
        <v>166</v>
      </c>
      <c r="R221" s="11">
        <f ca="1">(Q221*DATOSAÑO!$Z$11)/DATOSAÑO!$Y$11</f>
        <v>2.9910979326248053</v>
      </c>
      <c r="S221" s="9">
        <f ca="1">DATOSAÑO!AF220</f>
        <v>146</v>
      </c>
      <c r="T221" s="11">
        <f ca="1">(S221*DATOSAÑO!$Z$11)/DATOSAÑO!$Y$11</f>
        <v>2.6307246877302504</v>
      </c>
      <c r="U221" s="9">
        <f ca="1">DATOSAÑO!AH220</f>
        <v>13.799999999995634</v>
      </c>
      <c r="V221" s="11">
        <f ca="1">(U221*DATOSAÑO!$Z$11)/DATOSAÑO!$Y$11</f>
        <v>0.24865753897716417</v>
      </c>
      <c r="W221" s="9">
        <f ca="1">DATOSAÑO!AI220</f>
        <v>37.299999999988358</v>
      </c>
      <c r="X221" s="11">
        <f ca="1">(W221*DATOSAÑO!$Z$11)/DATOSAÑO!$Y$11</f>
        <v>0.67209610172813505</v>
      </c>
      <c r="Y221" s="9">
        <f ca="1">DATOSAÑO!AJ220</f>
        <v>8.8000000000029104</v>
      </c>
      <c r="Z221" s="11">
        <f ca="1">(Y221*DATOSAÑO!$Z$11)/DATOSAÑO!$Y$11</f>
        <v>0.15856422775365658</v>
      </c>
      <c r="AA221" s="9">
        <f ca="1">DATOSAÑO!AK220</f>
        <v>10</v>
      </c>
      <c r="AB221" s="11">
        <f ca="1">(AA221*DATOSAÑO!$Z$11)/DATOSAÑO!$Y$11</f>
        <v>0.18018662244727743</v>
      </c>
      <c r="AC221" s="9">
        <f ca="1">DATOSAÑO!AL220</f>
        <v>29.900000000012369</v>
      </c>
      <c r="AD221" s="11">
        <f ca="1">(AC221*DATOSAÑO!$Z$11)/DATOSAÑO!$Y$11</f>
        <v>0.53875800111758232</v>
      </c>
      <c r="AE221" s="9">
        <f ca="1">DATOSAÑO!AM220</f>
        <v>13.065000000001548</v>
      </c>
      <c r="AF221" s="11">
        <f ca="1">(AE221*DATOSAÑO!$Z$11)/DATOSAÑO!$Y$11</f>
        <v>0.23541382222739585</v>
      </c>
      <c r="AG221" s="9">
        <f ca="1">DATOSAÑO!AN220</f>
        <v>3.2529999999999091</v>
      </c>
      <c r="AH221" s="11">
        <f ca="1">(AG221*DATOSAÑO!$Z$11)/DATOSAÑO!$Y$11</f>
        <v>5.8614708282097708E-2</v>
      </c>
      <c r="AI221" s="9">
        <f ca="1">DATOSAÑO!BJ220</f>
        <v>4</v>
      </c>
      <c r="AJ221" s="11">
        <f ca="1">(AI221*DATOSAÑO!$Z$11)/DATOSAÑO!$Y$11</f>
        <v>7.2074648978910971E-2</v>
      </c>
      <c r="AK221" s="9">
        <f ca="1">DATOSAÑO!BM220</f>
        <v>3.2349999999999999</v>
      </c>
      <c r="AL221" s="11">
        <f ca="1">(AK221*DATOSAÑO!$Z$11)/DATOSAÑO!$Y$11</f>
        <v>5.8290372361694244E-2</v>
      </c>
      <c r="AM221" s="9">
        <f ca="1">DATOSAÑO!BP220</f>
        <v>0</v>
      </c>
      <c r="AN221" s="11">
        <f ca="1">(AM221*DATOSAÑO!$Z$11)/DATOSAÑO!$Y$11</f>
        <v>0</v>
      </c>
      <c r="AO221" s="9">
        <f ca="1">DATOSAÑO!BW220</f>
        <v>11.832500000000046</v>
      </c>
      <c r="AP221" s="11">
        <f ca="1">(AO221*DATOSAÑO!$Z$11)/DATOSAÑO!$Y$11</f>
        <v>0.21320582101074184</v>
      </c>
      <c r="AQ221" s="9">
        <f ca="1">DATOSAÑO!CC220</f>
        <v>2.6481999999999637</v>
      </c>
      <c r="AR221" s="1348">
        <f ca="1">(AQ221*DATOSAÑO!$Z$11)/DATOSAÑO!$Y$11</f>
        <v>4.7717021356487352E-2</v>
      </c>
      <c r="AS221" s="1384">
        <f t="shared" si="11"/>
        <v>30</v>
      </c>
    </row>
    <row r="222" spans="1:45" ht="16.5" customHeight="1">
      <c r="A222" s="1408">
        <v>45137</v>
      </c>
      <c r="B222" s="1869">
        <v>45137</v>
      </c>
      <c r="C222" s="9">
        <f ca="1">DATOSAÑO!I221</f>
        <v>294</v>
      </c>
      <c r="D222" s="10">
        <f ca="1">DATOSAÑO!$D221</f>
        <v>5.113771648786873</v>
      </c>
      <c r="E222" s="11">
        <f ca="1">DATOSAÑO!$G221</f>
        <v>0</v>
      </c>
      <c r="F222" s="9">
        <f ca="1">DATOSAÑO!P221</f>
        <v>150</v>
      </c>
      <c r="G222" s="10">
        <f ca="1">DATOSAÑO!K221</f>
        <v>3.8816879190057101</v>
      </c>
      <c r="H222" s="11">
        <f ca="1">DATOSAÑO!N221</f>
        <v>0</v>
      </c>
      <c r="I222" s="9">
        <f ca="1">DATOSAÑO!Q221</f>
        <v>0</v>
      </c>
      <c r="J222" s="11">
        <f ca="1">DATOSAÑO!R221</f>
        <v>0</v>
      </c>
      <c r="K222" s="9">
        <f ca="1">DATOSAÑO!T221</f>
        <v>0</v>
      </c>
      <c r="L222" s="11">
        <f t="shared" ca="1" si="9"/>
        <v>0</v>
      </c>
      <c r="M222" s="9"/>
      <c r="N222" s="11">
        <f t="shared" si="10"/>
        <v>0</v>
      </c>
      <c r="O222" s="9">
        <f>DATOSAÑO!CK221</f>
        <v>0</v>
      </c>
      <c r="P222" s="9">
        <f>DATOSAÑO!CL221</f>
        <v>0</v>
      </c>
      <c r="Q222" s="9">
        <f ca="1">DATOSAÑO!AD221</f>
        <v>166</v>
      </c>
      <c r="R222" s="11">
        <f ca="1">(Q222*DATOSAÑO!$Z$11)/DATOSAÑO!$Y$11</f>
        <v>2.9910979326248053</v>
      </c>
      <c r="S222" s="9">
        <f ca="1">DATOSAÑO!AF221</f>
        <v>147</v>
      </c>
      <c r="T222" s="11">
        <f ca="1">(S222*DATOSAÑO!$Z$11)/DATOSAÑO!$Y$11</f>
        <v>2.648743349974978</v>
      </c>
      <c r="U222" s="9">
        <f ca="1">DATOSAÑO!AH221</f>
        <v>12.300000000004729</v>
      </c>
      <c r="V222" s="11">
        <f ca="1">(U222*DATOSAÑO!$Z$11)/DATOSAÑO!$Y$11</f>
        <v>0.22162954561023646</v>
      </c>
      <c r="W222" s="9">
        <f ca="1">DATOSAÑO!AI221</f>
        <v>37.900000000008731</v>
      </c>
      <c r="X222" s="11">
        <f ca="1">(W222*DATOSAÑO!$Z$11)/DATOSAÑO!$Y$11</f>
        <v>0.68290729907533865</v>
      </c>
      <c r="Y222" s="9">
        <f ca="1">DATOSAÑO!AJ221</f>
        <v>8.8999999999941792</v>
      </c>
      <c r="Z222" s="11">
        <f ca="1">(Y222*DATOSAÑO!$Z$11)/DATOSAÑO!$Y$11</f>
        <v>0.16036609397797202</v>
      </c>
      <c r="AA222" s="9">
        <f ca="1">DATOSAÑO!AK221</f>
        <v>10</v>
      </c>
      <c r="AB222" s="11">
        <f ca="1">(AA222*DATOSAÑO!$Z$11)/DATOSAÑO!$Y$11</f>
        <v>0.18018662244727743</v>
      </c>
      <c r="AC222" s="9">
        <f ca="1">DATOSAÑO!AL221</f>
        <v>33.499999999994486</v>
      </c>
      <c r="AD222" s="11">
        <f ca="1">(AC222*DATOSAÑO!$Z$11)/DATOSAÑO!$Y$11</f>
        <v>0.60362518519828012</v>
      </c>
      <c r="AE222" s="9">
        <f ca="1">DATOSAÑO!AM221</f>
        <v>11.140999999998098</v>
      </c>
      <c r="AF222" s="11">
        <f ca="1">(AE222*DATOSAÑO!$Z$11)/DATOSAÑO!$Y$11</f>
        <v>0.2007459160684775</v>
      </c>
      <c r="AG222" s="9">
        <f ca="1">DATOSAÑO!AN221</f>
        <v>3.5020000000000913</v>
      </c>
      <c r="AH222" s="11">
        <f ca="1">(AG222*DATOSAÑO!$Z$11)/DATOSAÑO!$Y$11</f>
        <v>6.3101355181038196E-2</v>
      </c>
      <c r="AI222" s="9">
        <f ca="1">DATOSAÑO!BJ221</f>
        <v>3.6</v>
      </c>
      <c r="AJ222" s="11">
        <f ca="1">(AI222*DATOSAÑO!$Z$11)/DATOSAÑO!$Y$11</f>
        <v>6.486718408101988E-2</v>
      </c>
      <c r="AK222" s="9">
        <f ca="1">DATOSAÑO!BM221</f>
        <v>3.359</v>
      </c>
      <c r="AL222" s="11">
        <f ca="1">(AK222*DATOSAÑO!$Z$11)/DATOSAÑO!$Y$11</f>
        <v>6.0524686480040488E-2</v>
      </c>
      <c r="AM222" s="9">
        <f ca="1">DATOSAÑO!BP221</f>
        <v>0</v>
      </c>
      <c r="AN222" s="11">
        <f ca="1">(AM222*DATOSAÑO!$Z$11)/DATOSAÑO!$Y$11</f>
        <v>0</v>
      </c>
      <c r="AO222" s="9">
        <f ca="1">DATOSAÑO!BW221</f>
        <v>10.970499999998685</v>
      </c>
      <c r="AP222" s="11">
        <f ca="1">(AO222*DATOSAÑO!$Z$11)/DATOSAÑO!$Y$11</f>
        <v>0.197673734155762</v>
      </c>
      <c r="AQ222" s="9">
        <f ca="1">DATOSAÑO!CC221</f>
        <v>2.7988000000000364</v>
      </c>
      <c r="AR222" s="1348">
        <f ca="1">(AQ222*DATOSAÑO!$Z$11)/DATOSAÑO!$Y$11</f>
        <v>5.0430631890544662E-2</v>
      </c>
      <c r="AS222" s="1384">
        <f t="shared" si="11"/>
        <v>31</v>
      </c>
    </row>
    <row r="223" spans="1:45" ht="15" thickBot="1">
      <c r="A223" s="1408">
        <v>45138</v>
      </c>
      <c r="B223" s="1870">
        <v>45138</v>
      </c>
      <c r="C223" s="63">
        <f ca="1">DATOSAÑO!I222</f>
        <v>274</v>
      </c>
      <c r="D223" s="64">
        <f ca="1">DATOSAÑO!$D222</f>
        <v>4.9426489085394882</v>
      </c>
      <c r="E223" s="65">
        <f ca="1">DATOSAÑO!$G222</f>
        <v>0</v>
      </c>
      <c r="F223" s="63">
        <f ca="1">DATOSAÑO!P222</f>
        <v>146</v>
      </c>
      <c r="G223" s="64">
        <f ca="1">DATOSAÑO!K222</f>
        <v>3.8474633709562331</v>
      </c>
      <c r="H223" s="65">
        <f ca="1">DATOSAÑO!N222</f>
        <v>0</v>
      </c>
      <c r="I223" s="63">
        <f ca="1">DATOSAÑO!Q222</f>
        <v>0.41300000000001091</v>
      </c>
      <c r="J223" s="65">
        <f ca="1">DATOSAÑO!R222</f>
        <v>49.56000000000131</v>
      </c>
      <c r="K223" s="9">
        <f ca="1">DATOSAÑO!T222</f>
        <v>0.40899999999999181</v>
      </c>
      <c r="L223" s="65">
        <f t="shared" ca="1" si="9"/>
        <v>49.079999999999018</v>
      </c>
      <c r="M223" s="63"/>
      <c r="N223" s="65">
        <f t="shared" si="10"/>
        <v>0</v>
      </c>
      <c r="O223" s="63">
        <f>DATOSAÑO!CK222</f>
        <v>1</v>
      </c>
      <c r="P223" s="62">
        <f>DATOSAÑO!CL222</f>
        <v>1</v>
      </c>
      <c r="Q223" s="9">
        <f ca="1">DATOSAÑO!AD222</f>
        <v>162</v>
      </c>
      <c r="R223" s="65">
        <f ca="1">(Q223*DATOSAÑO!$Z$11)/DATOSAÑO!$Y$11</f>
        <v>2.919023283645894</v>
      </c>
      <c r="S223" s="9">
        <f ca="1">DATOSAÑO!AF222</f>
        <v>145</v>
      </c>
      <c r="T223" s="65">
        <f ca="1">(S223*DATOSAÑO!$Z$11)/DATOSAÑO!$Y$11</f>
        <v>2.6127060254855223</v>
      </c>
      <c r="U223" s="9">
        <f ca="1">DATOSAÑO!AH222</f>
        <v>1.499999999994543</v>
      </c>
      <c r="V223" s="65">
        <f ca="1">(U223*DATOSAÑO!$Z$11)/DATOSAÑO!$Y$11</f>
        <v>2.7027993366993287E-2</v>
      </c>
      <c r="W223" s="9">
        <f ca="1">DATOSAÑO!AI222</f>
        <v>36.599999999991269</v>
      </c>
      <c r="X223" s="65">
        <f ca="1">(W223*DATOSAÑO!$Z$11)/DATOSAÑO!$Y$11</f>
        <v>0.65948303815687803</v>
      </c>
      <c r="Y223" s="9">
        <f ca="1">DATOSAÑO!AJ222</f>
        <v>7.3000000000029104</v>
      </c>
      <c r="Z223" s="65">
        <f ca="1">(Y223*DATOSAÑO!$Z$11)/DATOSAÑO!$Y$11</f>
        <v>0.13153623438656495</v>
      </c>
      <c r="AA223" s="9">
        <f ca="1">DATOSAÑO!AK222</f>
        <v>8</v>
      </c>
      <c r="AB223" s="65">
        <f ca="1">(AA223*DATOSAÑO!$Z$11)/DATOSAÑO!$Y$11</f>
        <v>0.14414929795782194</v>
      </c>
      <c r="AC223" s="9">
        <f ca="1">DATOSAÑO!AL222</f>
        <v>33.422000000011337</v>
      </c>
      <c r="AD223" s="65">
        <f ca="1">(AC223*DATOSAÑO!$Z$11)/DATOSAÑO!$Y$11</f>
        <v>0.6022197295434949</v>
      </c>
      <c r="AE223" s="9">
        <f ca="1">DATOSAÑO!AM222</f>
        <v>10.681000000000086</v>
      </c>
      <c r="AF223" s="65">
        <f ca="1">(AE223*DATOSAÑO!$Z$11)/DATOSAÑO!$Y$11</f>
        <v>0.19245733143593854</v>
      </c>
      <c r="AG223" s="63">
        <f ca="1">DATOSAÑO!AN222</f>
        <v>2.7960000000002729</v>
      </c>
      <c r="AH223" s="65">
        <f ca="1">(AG223*DATOSAÑO!$Z$11)/DATOSAÑO!$Y$11</f>
        <v>5.0380179636263685E-2</v>
      </c>
      <c r="AI223" s="63">
        <f ca="1">DATOSAÑO!BJ222</f>
        <v>3.4</v>
      </c>
      <c r="AJ223" s="65">
        <f ca="1">(AI223*DATOSAÑO!$Z$11)/DATOSAÑO!$Y$11</f>
        <v>6.1263451632074327E-2</v>
      </c>
      <c r="AK223" s="63">
        <f ca="1">DATOSAÑO!BM222</f>
        <v>3.319</v>
      </c>
      <c r="AL223" s="65">
        <f ca="1">(AK223*DATOSAÑO!$Z$11)/DATOSAÑO!$Y$11</f>
        <v>5.9803939990251374E-2</v>
      </c>
      <c r="AM223" s="63">
        <f ca="1">DATOSAÑO!BP222</f>
        <v>0</v>
      </c>
      <c r="AN223" s="65">
        <f ca="1">(AM223*DATOSAÑO!$Z$11)/DATOSAÑO!$Y$11</f>
        <v>0</v>
      </c>
      <c r="AO223" s="63">
        <f ca="1">DATOSAÑO!BW222</f>
        <v>10.740499999999679</v>
      </c>
      <c r="AP223" s="65">
        <f ca="1">(AO223*DATOSAÑO!$Z$11)/DATOSAÑO!$Y$11</f>
        <v>0.19352944183949256</v>
      </c>
      <c r="AQ223" s="63">
        <f ca="1">DATOSAÑO!CC222</f>
        <v>2.5224000000001094</v>
      </c>
      <c r="AR223" s="1109">
        <f ca="1">(AQ223*DATOSAÑO!$Z$11)/DATOSAÑO!$Y$11</f>
        <v>4.5450273646103233E-2</v>
      </c>
      <c r="AS223" s="1385">
        <f t="shared" si="11"/>
        <v>31</v>
      </c>
    </row>
    <row r="224" spans="1:45" ht="16.5" customHeight="1">
      <c r="A224" s="1408">
        <v>45139</v>
      </c>
      <c r="B224" s="1871">
        <v>45139</v>
      </c>
      <c r="C224" s="9">
        <f ca="1">DATOSAÑO!I223</f>
        <v>295</v>
      </c>
      <c r="D224" s="10">
        <f ca="1">DATOSAÑO!$D223</f>
        <v>5.3624296167251453</v>
      </c>
      <c r="E224" s="11">
        <f ca="1">DATOSAÑO!$G223</f>
        <v>0</v>
      </c>
      <c r="F224" s="9">
        <f ca="1">DATOSAÑO!P223</f>
        <v>149</v>
      </c>
      <c r="G224" s="10">
        <f ca="1">DATOSAÑO!K223</f>
        <v>3.945197593333333</v>
      </c>
      <c r="H224" s="180">
        <f ca="1">DATOSAÑO!N223</f>
        <v>0</v>
      </c>
      <c r="I224" s="178">
        <f ca="1">DATOSAÑO!Q223</f>
        <v>0</v>
      </c>
      <c r="J224" s="180">
        <f ca="1">DATOSAÑO!R223</f>
        <v>0</v>
      </c>
      <c r="K224" s="178">
        <f ca="1">DATOSAÑO!T223</f>
        <v>0</v>
      </c>
      <c r="L224" s="180">
        <f t="shared" ca="1" si="9"/>
        <v>0</v>
      </c>
      <c r="M224" s="178"/>
      <c r="N224" s="180">
        <f t="shared" si="10"/>
        <v>0</v>
      </c>
      <c r="O224" s="9">
        <f>DATOSAÑO!CK223</f>
        <v>0</v>
      </c>
      <c r="P224" s="9">
        <f>DATOSAÑO!CL223</f>
        <v>0</v>
      </c>
      <c r="Q224" s="178">
        <f ca="1">DATOSAÑO!AD223</f>
        <v>166</v>
      </c>
      <c r="R224" s="180">
        <f ca="1">(Q224*DATOSAÑO!$Z$11)/DATOSAÑO!$Y$11</f>
        <v>2.9910979326248053</v>
      </c>
      <c r="S224" s="178">
        <f ca="1">DATOSAÑO!AF223</f>
        <v>149</v>
      </c>
      <c r="T224" s="180">
        <f ca="1">(S224*DATOSAÑO!$Z$11)/DATOSAÑO!$Y$11</f>
        <v>2.6847806744644336</v>
      </c>
      <c r="U224" s="178">
        <f ca="1">DATOSAÑO!AH223</f>
        <v>16.300000000004729</v>
      </c>
      <c r="V224" s="180">
        <f ca="1">(U224*DATOSAÑO!$Z$11)/DATOSAÑO!$Y$11</f>
        <v>0.29370419458914743</v>
      </c>
      <c r="W224" s="178">
        <f ca="1">DATOSAÑO!AI223</f>
        <v>37.100000000005821</v>
      </c>
      <c r="X224" s="180">
        <f ca="1">(W224*DATOSAÑO!$Z$11)/DATOSAÑO!$Y$11</f>
        <v>0.66849236927950406</v>
      </c>
      <c r="Y224" s="178">
        <f ca="1">DATOSAÑO!AJ223</f>
        <v>4.3000000000029104</v>
      </c>
      <c r="Z224" s="180">
        <f ca="1">(Y224*DATOSAÑO!$Z$11)/DATOSAÑO!$Y$11</f>
        <v>7.7480247652381734E-2</v>
      </c>
      <c r="AA224" s="178">
        <f ca="1">DATOSAÑO!AK223</f>
        <v>12</v>
      </c>
      <c r="AB224" s="180">
        <f ca="1">(AA224*DATOSAÑO!$Z$11)/DATOSAÑO!$Y$11</f>
        <v>0.21622394693673291</v>
      </c>
      <c r="AC224" s="178">
        <f ca="1">DATOSAÑO!AL223</f>
        <v>30.999999999987267</v>
      </c>
      <c r="AD224" s="180">
        <f ca="1">(AC224*DATOSAÑO!$Z$11)/DATOSAÑO!$Y$11</f>
        <v>0.55857852958633059</v>
      </c>
      <c r="AE224" s="178">
        <f ca="1">DATOSAÑO!AM223</f>
        <v>11.671999999999978</v>
      </c>
      <c r="AF224" s="180">
        <f ca="1">(AE224*DATOSAÑO!$Z$11)/DATOSAÑO!$Y$11</f>
        <v>0.21031382572046178</v>
      </c>
      <c r="AG224" s="178">
        <f ca="1">DATOSAÑO!AN223</f>
        <v>2.9229999999992931</v>
      </c>
      <c r="AH224" s="180">
        <f ca="1">(AG224*DATOSAÑO!$Z$11)/DATOSAÑO!$Y$11</f>
        <v>5.2668549741326447E-2</v>
      </c>
      <c r="AI224" s="9">
        <f ca="1">DATOSAÑO!BJ223</f>
        <v>3.4</v>
      </c>
      <c r="AJ224" s="11">
        <f ca="1">(AI224*DATOSAÑO!$Z$11)/DATOSAÑO!$Y$11</f>
        <v>6.1263451632074327E-2</v>
      </c>
      <c r="AK224" s="9">
        <f ca="1">DATOSAÑO!BM223</f>
        <v>3.3879999999999999</v>
      </c>
      <c r="AL224" s="11">
        <f ca="1">(AK224*DATOSAÑO!$Z$11)/DATOSAÑO!$Y$11</f>
        <v>6.1047227685137588E-2</v>
      </c>
      <c r="AM224" s="9">
        <f ca="1">DATOSAÑO!BP223</f>
        <v>0</v>
      </c>
      <c r="AN224" s="11">
        <f ca="1">(AM224*DATOSAÑO!$Z$11)/DATOSAÑO!$Y$11</f>
        <v>0</v>
      </c>
      <c r="AO224" s="9">
        <f ca="1">DATOSAÑO!BW223</f>
        <v>11.335999999999988</v>
      </c>
      <c r="AP224" s="11">
        <f ca="1">(AO224*DATOSAÑO!$Z$11)/DATOSAÑO!$Y$11</f>
        <v>0.20425955520623348</v>
      </c>
      <c r="AQ224" s="9">
        <f ca="1">DATOSAÑO!CC223</f>
        <v>2.5861999999997174</v>
      </c>
      <c r="AR224" s="1348">
        <f ca="1">(AQ224*DATOSAÑO!$Z$11)/DATOSAÑO!$Y$11</f>
        <v>4.65998642973098E-2</v>
      </c>
      <c r="AS224" s="1406">
        <f t="shared" si="11"/>
        <v>31</v>
      </c>
    </row>
    <row r="225" spans="1:45">
      <c r="A225" s="1408">
        <v>45140</v>
      </c>
      <c r="B225" s="1869">
        <v>45140</v>
      </c>
      <c r="C225" s="9">
        <f ca="1">DATOSAÑO!I224</f>
        <v>282</v>
      </c>
      <c r="D225" s="10">
        <f ca="1">DATOSAÑO!$D224</f>
        <v>5.2348167512280694</v>
      </c>
      <c r="E225" s="195">
        <f ca="1">DATOSAÑO!$G224</f>
        <v>0</v>
      </c>
      <c r="F225" s="9">
        <f ca="1">DATOSAÑO!P224</f>
        <v>148</v>
      </c>
      <c r="G225" s="10">
        <f ca="1">DATOSAÑO!K224</f>
        <v>3.934680049473684</v>
      </c>
      <c r="H225" s="11">
        <f ca="1">DATOSAÑO!N224</f>
        <v>0</v>
      </c>
      <c r="I225" s="9">
        <f ca="1">DATOSAÑO!Q224</f>
        <v>0</v>
      </c>
      <c r="J225" s="11">
        <f ca="1">DATOSAÑO!R224</f>
        <v>0</v>
      </c>
      <c r="K225" s="9">
        <f ca="1">DATOSAÑO!T224</f>
        <v>0</v>
      </c>
      <c r="L225" s="11">
        <f t="shared" ca="1" si="9"/>
        <v>0</v>
      </c>
      <c r="M225" s="9"/>
      <c r="N225" s="11">
        <f t="shared" si="10"/>
        <v>0</v>
      </c>
      <c r="O225" s="9">
        <f>DATOSAÑO!CK224</f>
        <v>0</v>
      </c>
      <c r="P225" s="9">
        <f>DATOSAÑO!CL224</f>
        <v>0</v>
      </c>
      <c r="Q225" s="9">
        <f ca="1">DATOSAÑO!AD224</f>
        <v>164</v>
      </c>
      <c r="R225" s="11">
        <f ca="1">(Q225*DATOSAÑO!$Z$11)/DATOSAÑO!$Y$11</f>
        <v>2.9550606081353497</v>
      </c>
      <c r="S225" s="9">
        <f ca="1">DATOSAÑO!AF224</f>
        <v>147</v>
      </c>
      <c r="T225" s="11">
        <f ca="1">(S225*DATOSAÑO!$Z$11)/DATOSAÑO!$Y$11</f>
        <v>2.648743349974978</v>
      </c>
      <c r="U225" s="9">
        <f ca="1">DATOSAÑO!AH224</f>
        <v>7.999999999996362</v>
      </c>
      <c r="V225" s="11">
        <f ca="1">(U225*DATOSAÑO!$Z$11)/DATOSAÑO!$Y$11</f>
        <v>0.14414929795775638</v>
      </c>
      <c r="W225" s="9">
        <f ca="1">DATOSAÑO!AI224</f>
        <v>36.80000000000291</v>
      </c>
      <c r="X225" s="11">
        <f ca="1">(W225*DATOSAÑO!$Z$11)/DATOSAÑO!$Y$11</f>
        <v>0.66308677060603327</v>
      </c>
      <c r="Y225" s="9">
        <f ca="1">DATOSAÑO!AJ224</f>
        <v>4.0999999999912689</v>
      </c>
      <c r="Z225" s="11">
        <f ca="1">(Y225*DATOSAÑO!$Z$11)/DATOSAÑO!$Y$11</f>
        <v>7.3876515203226426E-2</v>
      </c>
      <c r="AA225" s="9">
        <f ca="1">DATOSAÑO!AK224</f>
        <v>9</v>
      </c>
      <c r="AB225" s="11">
        <f ca="1">(AA225*DATOSAÑO!$Z$11)/DATOSAÑO!$Y$11</f>
        <v>0.16216796020254967</v>
      </c>
      <c r="AC225" s="9">
        <f ca="1">DATOSAÑO!AL224</f>
        <v>33.200000000007947</v>
      </c>
      <c r="AD225" s="11">
        <f ca="1">(AC225*DATOSAÑO!$Z$11)/DATOSAÑO!$Y$11</f>
        <v>0.59821958652510421</v>
      </c>
      <c r="AE225" s="9">
        <f ca="1">DATOSAÑO!AM224</f>
        <v>11.027000000000371</v>
      </c>
      <c r="AF225" s="11">
        <f ca="1">(AE225*DATOSAÑO!$Z$11)/DATOSAÑO!$Y$11</f>
        <v>0.19869178857261949</v>
      </c>
      <c r="AG225" s="9">
        <f ca="1">DATOSAÑO!AN224</f>
        <v>2.4289999999996361</v>
      </c>
      <c r="AH225" s="11">
        <f ca="1">(AG225*DATOSAÑO!$Z$11)/DATOSAÑO!$Y$11</f>
        <v>4.3767330592437127E-2</v>
      </c>
      <c r="AI225" s="9">
        <f ca="1">DATOSAÑO!BJ224</f>
        <v>1.6</v>
      </c>
      <c r="AJ225" s="11">
        <f ca="1">(AI225*DATOSAÑO!$Z$11)/DATOSAÑO!$Y$11</f>
        <v>2.8829859591564387E-2</v>
      </c>
      <c r="AK225" s="9">
        <f ca="1">DATOSAÑO!BM224</f>
        <v>4.5019999999999998</v>
      </c>
      <c r="AL225" s="11">
        <f ca="1">(AK225*DATOSAÑO!$Z$11)/DATOSAÑO!$Y$11</f>
        <v>8.1120017425764301E-2</v>
      </c>
      <c r="AM225" s="9">
        <f ca="1">DATOSAÑO!BP224</f>
        <v>1.4710000000000001</v>
      </c>
      <c r="AN225" s="11">
        <f ca="1">(AM225*DATOSAÑO!$Z$11)/DATOSAÑO!$Y$11</f>
        <v>2.650545216199451E-2</v>
      </c>
      <c r="AO225" s="9">
        <f ca="1">DATOSAÑO!BW224</f>
        <v>10.91350000000164</v>
      </c>
      <c r="AP225" s="11">
        <f ca="1">(AO225*DATOSAÑO!$Z$11)/DATOSAÑO!$Y$11</f>
        <v>0.19664667040786576</v>
      </c>
      <c r="AQ225" s="9">
        <f ca="1">DATOSAÑO!CC224</f>
        <v>2.4425999999998544</v>
      </c>
      <c r="AR225" s="1348">
        <f ca="1">(AQ225*DATOSAÑO!$Z$11)/DATOSAÑO!$Y$11</f>
        <v>4.4012384398969366E-2</v>
      </c>
      <c r="AS225" s="1384">
        <f t="shared" si="11"/>
        <v>31</v>
      </c>
    </row>
    <row r="226" spans="1:45" ht="16.5" customHeight="1">
      <c r="A226" s="1408">
        <v>45141</v>
      </c>
      <c r="B226" s="1869">
        <v>45141</v>
      </c>
      <c r="C226" s="9">
        <f ca="1">DATOSAÑO!I225</f>
        <v>279</v>
      </c>
      <c r="D226" s="10">
        <f ca="1">DATOSAÑO!$D225</f>
        <v>5.2053676284210519</v>
      </c>
      <c r="E226" s="11">
        <f ca="1">DATOSAÑO!$G225</f>
        <v>0</v>
      </c>
      <c r="F226" s="9">
        <f ca="1">DATOSAÑO!P225</f>
        <v>150</v>
      </c>
      <c r="G226" s="10">
        <f ca="1">DATOSAÑO!K225</f>
        <v>3.9557151371929824</v>
      </c>
      <c r="H226" s="11">
        <f ca="1">DATOSAÑO!N225</f>
        <v>0</v>
      </c>
      <c r="I226" s="9">
        <f ca="1">DATOSAÑO!Q225</f>
        <v>0</v>
      </c>
      <c r="J226" s="11">
        <f ca="1">DATOSAÑO!R225</f>
        <v>0</v>
      </c>
      <c r="K226" s="9">
        <f ca="1">DATOSAÑO!T225</f>
        <v>0</v>
      </c>
      <c r="L226" s="11">
        <f t="shared" ca="1" si="9"/>
        <v>0</v>
      </c>
      <c r="M226" s="9"/>
      <c r="N226" s="11">
        <f t="shared" si="10"/>
        <v>0</v>
      </c>
      <c r="O226" s="9">
        <f>DATOSAÑO!CK225</f>
        <v>0</v>
      </c>
      <c r="P226" s="9">
        <f>DATOSAÑO!CL225</f>
        <v>0</v>
      </c>
      <c r="Q226" s="9">
        <f ca="1">DATOSAÑO!AD225</f>
        <v>163</v>
      </c>
      <c r="R226" s="11">
        <f ca="1">(Q226*DATOSAÑO!$Z$11)/DATOSAÑO!$Y$11</f>
        <v>2.9370419458906221</v>
      </c>
      <c r="S226" s="9">
        <f ca="1">DATOSAÑO!AF225</f>
        <v>146</v>
      </c>
      <c r="T226" s="11">
        <f ca="1">(S226*DATOSAÑO!$Z$11)/DATOSAÑO!$Y$11</f>
        <v>2.6307246877302504</v>
      </c>
      <c r="U226" s="9">
        <f ca="1">DATOSAÑO!AH225</f>
        <v>9.6000000000003638</v>
      </c>
      <c r="V226" s="11">
        <f ca="1">(U226*DATOSAÑO!$Z$11)/DATOSAÑO!$Y$11</f>
        <v>0.17297915754939289</v>
      </c>
      <c r="W226" s="9">
        <f ca="1">DATOSAÑO!AI225</f>
        <v>36.099999999991269</v>
      </c>
      <c r="X226" s="11">
        <f ca="1">(W226*DATOSAÑO!$Z$11)/DATOSAÑO!$Y$11</f>
        <v>0.65047370703451413</v>
      </c>
      <c r="Y226" s="9">
        <f ca="1">DATOSAÑO!AJ225</f>
        <v>3.9000000000087311</v>
      </c>
      <c r="Z226" s="11">
        <f ca="1">(Y226*DATOSAÑO!$Z$11)/DATOSAÑO!$Y$11</f>
        <v>7.0272782754595517E-2</v>
      </c>
      <c r="AA226" s="9">
        <f ca="1">DATOSAÑO!AK225</f>
        <v>9</v>
      </c>
      <c r="AB226" s="11">
        <f ca="1">(AA226*DATOSAÑO!$Z$11)/DATOSAÑO!$Y$11</f>
        <v>0.16216796020254967</v>
      </c>
      <c r="AC226" s="9">
        <f ca="1">DATOSAÑO!AL225</f>
        <v>32.999999999998181</v>
      </c>
      <c r="AD226" s="11">
        <f ca="1">(AC226*DATOSAÑO!$Z$11)/DATOSAÑO!$Y$11</f>
        <v>0.59461585407598272</v>
      </c>
      <c r="AE226" s="9">
        <f ca="1">DATOSAÑO!AM225</f>
        <v>11.34300000000073</v>
      </c>
      <c r="AF226" s="11">
        <f ca="1">(AE226*DATOSAÑO!$Z$11)/DATOSAÑO!$Y$11</f>
        <v>0.20438568584195993</v>
      </c>
      <c r="AG226" s="9">
        <f ca="1">DATOSAÑO!AN225</f>
        <v>2.6990000000007277</v>
      </c>
      <c r="AH226" s="11">
        <f ca="1">(AG226*DATOSAÑO!$Z$11)/DATOSAÑO!$Y$11</f>
        <v>4.8632369398533291E-2</v>
      </c>
      <c r="AI226" s="9">
        <f ca="1">DATOSAÑO!BJ225</f>
        <v>0</v>
      </c>
      <c r="AJ226" s="11">
        <f ca="1">(AI226*DATOSAÑO!$Z$11)/DATOSAÑO!$Y$11</f>
        <v>0</v>
      </c>
      <c r="AK226" s="9">
        <f ca="1">DATOSAÑO!BM225</f>
        <v>4.9889999999999999</v>
      </c>
      <c r="AL226" s="11">
        <f ca="1">(AK226*DATOSAÑO!$Z$11)/DATOSAÑO!$Y$11</f>
        <v>8.9895105938946701E-2</v>
      </c>
      <c r="AM226" s="9">
        <f ca="1">DATOSAÑO!BP225</f>
        <v>2.3679999999999999</v>
      </c>
      <c r="AN226" s="11">
        <f ca="1">(AM226*DATOSAÑO!$Z$11)/DATOSAÑO!$Y$11</f>
        <v>4.2668192195515285E-2</v>
      </c>
      <c r="AO226" s="9">
        <f ca="1">DATOSAÑO!BW225</f>
        <v>11.171500000000364</v>
      </c>
      <c r="AP226" s="11">
        <f ca="1">(AO226*DATOSAÑO!$Z$11)/DATOSAÑO!$Y$11</f>
        <v>0.20129548526698252</v>
      </c>
      <c r="AQ226" s="9">
        <f ca="1">DATOSAÑO!CC225</f>
        <v>2.5806000000002909</v>
      </c>
      <c r="AR226" s="1348">
        <f ca="1">(AQ226*DATOSAÑO!$Z$11)/DATOSAÑO!$Y$11</f>
        <v>4.6498959788749655E-2</v>
      </c>
      <c r="AS226" s="1384">
        <f t="shared" si="11"/>
        <v>31</v>
      </c>
    </row>
    <row r="227" spans="1:45">
      <c r="A227" s="1408">
        <v>45142</v>
      </c>
      <c r="B227" s="1869">
        <v>45142</v>
      </c>
      <c r="C227" s="9">
        <f ca="1">DATOSAÑO!I226</f>
        <v>291</v>
      </c>
      <c r="D227" s="10">
        <f ca="1">DATOSAÑO!$D226</f>
        <v>5.323164119649122</v>
      </c>
      <c r="E227" s="11">
        <f ca="1">DATOSAÑO!$G226</f>
        <v>0</v>
      </c>
      <c r="F227" s="9">
        <f ca="1">DATOSAÑO!P226</f>
        <v>147</v>
      </c>
      <c r="G227" s="10">
        <f ca="1">DATOSAÑO!K226</f>
        <v>3.924162505614035</v>
      </c>
      <c r="H227" s="11">
        <f ca="1">DATOSAÑO!N226</f>
        <v>0</v>
      </c>
      <c r="I227" s="9">
        <f ca="1">DATOSAÑO!Q226</f>
        <v>0.43499999999994543</v>
      </c>
      <c r="J227" s="11">
        <f ca="1">DATOSAÑO!R226</f>
        <v>52.199999999993452</v>
      </c>
      <c r="K227" s="9">
        <f ca="1">DATOSAÑO!T226</f>
        <v>0</v>
      </c>
      <c r="L227" s="11">
        <f t="shared" ca="1" si="9"/>
        <v>0</v>
      </c>
      <c r="M227" s="9"/>
      <c r="N227" s="11">
        <f t="shared" si="10"/>
        <v>0</v>
      </c>
      <c r="O227" s="9">
        <f>DATOSAÑO!CK226</f>
        <v>1</v>
      </c>
      <c r="P227" s="9">
        <f>DATOSAÑO!CL226</f>
        <v>0</v>
      </c>
      <c r="Q227" s="9">
        <f ca="1">DATOSAÑO!AD226</f>
        <v>159</v>
      </c>
      <c r="R227" s="11">
        <f ca="1">(Q227*DATOSAÑO!$Z$11)/DATOSAÑO!$Y$11</f>
        <v>2.8649672969117108</v>
      </c>
      <c r="S227" s="9">
        <f ca="1">DATOSAÑO!AF226</f>
        <v>151</v>
      </c>
      <c r="T227" s="11">
        <f ca="1">(S227*DATOSAÑO!$Z$11)/DATOSAÑO!$Y$11</f>
        <v>2.7208179989538892</v>
      </c>
      <c r="U227" s="9">
        <f ca="1">DATOSAÑO!AH226</f>
        <v>11.500000000001819</v>
      </c>
      <c r="V227" s="11">
        <f ca="1">(U227*DATOSAÑO!$Z$11)/DATOSAÑO!$Y$11</f>
        <v>0.20721461581440181</v>
      </c>
      <c r="W227" s="9">
        <f ca="1">DATOSAÑO!AI226</f>
        <v>36.700000000011642</v>
      </c>
      <c r="X227" s="11">
        <f ca="1">(W227*DATOSAÑO!$Z$11)/DATOSAÑO!$Y$11</f>
        <v>0.66128490438171794</v>
      </c>
      <c r="Y227" s="9">
        <f ca="1">DATOSAÑO!AJ226</f>
        <v>7.3999999999941792</v>
      </c>
      <c r="Z227" s="11">
        <f ca="1">(Y227*DATOSAÑO!$Z$11)/DATOSAÑO!$Y$11</f>
        <v>0.13333810061088042</v>
      </c>
      <c r="AA227" s="9">
        <f ca="1">DATOSAÑO!AK226</f>
        <v>10</v>
      </c>
      <c r="AB227" s="11">
        <f ca="1">(AA227*DATOSAÑO!$Z$11)/DATOSAÑO!$Y$11</f>
        <v>0.18018662244727743</v>
      </c>
      <c r="AC227" s="9">
        <f ca="1">DATOSAÑO!AL226</f>
        <v>33.03499999999309</v>
      </c>
      <c r="AD227" s="11">
        <f ca="1">(AC227*DATOSAÑO!$Z$11)/DATOSAÑO!$Y$11</f>
        <v>0.59524650725445649</v>
      </c>
      <c r="AE227" s="9">
        <f ca="1">DATOSAÑO!AM226</f>
        <v>11.221999999998999</v>
      </c>
      <c r="AF227" s="11">
        <f ca="1">(AE227*DATOSAÑO!$Z$11)/DATOSAÑO!$Y$11</f>
        <v>0.20220542771031669</v>
      </c>
      <c r="AG227" s="9">
        <f ca="1">DATOSAÑO!AN226</f>
        <v>2.7960000000002729</v>
      </c>
      <c r="AH227" s="11">
        <f ca="1">(AG227*DATOSAÑO!$Z$11)/DATOSAÑO!$Y$11</f>
        <v>5.0380179636263685E-2</v>
      </c>
      <c r="AI227" s="9">
        <f ca="1">DATOSAÑO!BJ226</f>
        <v>0</v>
      </c>
      <c r="AJ227" s="11">
        <f ca="1">(AI227*DATOSAÑO!$Z$11)/DATOSAÑO!$Y$11</f>
        <v>0</v>
      </c>
      <c r="AK227" s="9">
        <f ca="1">DATOSAÑO!BM226</f>
        <v>4.7160000000000002</v>
      </c>
      <c r="AL227" s="11">
        <f ca="1">(AK227*DATOSAÑO!$Z$11)/DATOSAÑO!$Y$11</f>
        <v>8.4976011146136038E-2</v>
      </c>
      <c r="AM227" s="9">
        <f ca="1">DATOSAÑO!BP226</f>
        <v>3.1619999999999999</v>
      </c>
      <c r="AN227" s="11">
        <f ca="1">(AM227*DATOSAÑO!$Z$11)/DATOSAÑO!$Y$11</f>
        <v>5.697501001782912E-2</v>
      </c>
      <c r="AO227" s="9">
        <f ca="1">DATOSAÑO!BW226</f>
        <v>11.1109999999995</v>
      </c>
      <c r="AP227" s="11">
        <f ca="1">(AO227*DATOSAÑO!$Z$11)/DATOSAÑO!$Y$11</f>
        <v>0.20020535620116095</v>
      </c>
      <c r="AQ227" s="9">
        <f ca="1">DATOSAÑO!CC226</f>
        <v>3.5224000000001094</v>
      </c>
      <c r="AR227" s="1348">
        <f ca="1">(AQ227*DATOSAÑO!$Z$11)/DATOSAÑO!$Y$11</f>
        <v>6.3468935890830969E-2</v>
      </c>
      <c r="AS227" s="1384">
        <f t="shared" si="11"/>
        <v>31</v>
      </c>
    </row>
    <row r="228" spans="1:45" ht="16.5" customHeight="1">
      <c r="A228" s="1408">
        <v>45143</v>
      </c>
      <c r="B228" s="1869">
        <v>45143</v>
      </c>
      <c r="C228" s="9">
        <f ca="1">DATOSAÑO!I227</f>
        <v>287</v>
      </c>
      <c r="D228" s="10">
        <f ca="1">DATOSAÑO!$D227</f>
        <v>5.2838986225730986</v>
      </c>
      <c r="E228" s="11">
        <f ca="1">DATOSAÑO!$G227</f>
        <v>0</v>
      </c>
      <c r="F228" s="9">
        <f ca="1">DATOSAÑO!P227</f>
        <v>150</v>
      </c>
      <c r="G228" s="10">
        <f ca="1">DATOSAÑO!K227</f>
        <v>3.9557151371929824</v>
      </c>
      <c r="H228" s="11">
        <f ca="1">DATOSAÑO!N227</f>
        <v>0</v>
      </c>
      <c r="I228" s="9">
        <f ca="1">DATOSAÑO!Q227</f>
        <v>0</v>
      </c>
      <c r="J228" s="11">
        <f ca="1">DATOSAÑO!R227</f>
        <v>0</v>
      </c>
      <c r="K228" s="9">
        <f ca="1">DATOSAÑO!T227</f>
        <v>0</v>
      </c>
      <c r="L228" s="11">
        <f t="shared" ca="1" si="9"/>
        <v>0</v>
      </c>
      <c r="M228" s="9"/>
      <c r="N228" s="11">
        <f t="shared" si="10"/>
        <v>0</v>
      </c>
      <c r="O228" s="9">
        <f>DATOSAÑO!CK227</f>
        <v>0</v>
      </c>
      <c r="P228" s="9">
        <f>DATOSAÑO!CL227</f>
        <v>0</v>
      </c>
      <c r="Q228" s="9">
        <f ca="1">DATOSAÑO!AD227</f>
        <v>160</v>
      </c>
      <c r="R228" s="11">
        <f ca="1">(Q228*DATOSAÑO!$Z$11)/DATOSAÑO!$Y$11</f>
        <v>2.8829859591564388</v>
      </c>
      <c r="S228" s="9">
        <f ca="1">DATOSAÑO!AF227</f>
        <v>150</v>
      </c>
      <c r="T228" s="11">
        <f ca="1">(S228*DATOSAÑO!$Z$11)/DATOSAÑO!$Y$11</f>
        <v>2.7027993367091616</v>
      </c>
      <c r="U228" s="9">
        <f ca="1">DATOSAÑO!AH227</f>
        <v>9.7999999999974534</v>
      </c>
      <c r="V228" s="11">
        <f ca="1">(U228*DATOSAÑO!$Z$11)/DATOSAÑO!$Y$11</f>
        <v>0.176582889998286</v>
      </c>
      <c r="W228" s="9">
        <f ca="1">DATOSAÑO!AI227</f>
        <v>35.5</v>
      </c>
      <c r="X228" s="11">
        <f ca="1">(W228*DATOSAÑO!$Z$11)/DATOSAÑO!$Y$11</f>
        <v>0.63966250968783478</v>
      </c>
      <c r="Y228" s="9">
        <f ca="1">DATOSAÑO!AJ227</f>
        <v>7</v>
      </c>
      <c r="Z228" s="11">
        <f ca="1">(Y228*DATOSAÑO!$Z$11)/DATOSAÑO!$Y$11</f>
        <v>0.12613063571309419</v>
      </c>
      <c r="AA228" s="9">
        <f ca="1">DATOSAÑO!AK227</f>
        <v>10</v>
      </c>
      <c r="AB228" s="11">
        <f ca="1">(AA228*DATOSAÑO!$Z$11)/DATOSAÑO!$Y$11</f>
        <v>0.18018662244727743</v>
      </c>
      <c r="AC228" s="9">
        <f ca="1">DATOSAÑO!AL227</f>
        <v>33.200000000002603</v>
      </c>
      <c r="AD228" s="11">
        <f ca="1">(AC228*DATOSAÑO!$Z$11)/DATOSAÑO!$Y$11</f>
        <v>0.59821958652500795</v>
      </c>
      <c r="AE228" s="9">
        <f ca="1">DATOSAÑO!AM227</f>
        <v>13.720000000000271</v>
      </c>
      <c r="AF228" s="11">
        <f ca="1">(AE228*DATOSAÑO!$Z$11)/DATOSAÑO!$Y$11</f>
        <v>0.2472160459976695</v>
      </c>
      <c r="AG228" s="9">
        <f ca="1">DATOSAÑO!AN227</f>
        <v>3.3900000000000912</v>
      </c>
      <c r="AH228" s="11">
        <f ca="1">(AG228*DATOSAÑO!$Z$11)/DATOSAÑO!$Y$11</f>
        <v>6.1083265009628684E-2</v>
      </c>
      <c r="AI228" s="9">
        <f ca="1">DATOSAÑO!BJ227</f>
        <v>0</v>
      </c>
      <c r="AJ228" s="11">
        <f ca="1">(AI228*DATOSAÑO!$Z$11)/DATOSAÑO!$Y$11</f>
        <v>0</v>
      </c>
      <c r="AK228" s="9">
        <f ca="1">DATOSAÑO!BM227</f>
        <v>4.5659999999999998</v>
      </c>
      <c r="AL228" s="11">
        <f ca="1">(AK228*DATOSAÑO!$Z$11)/DATOSAÑO!$Y$11</f>
        <v>8.2273211809426872E-2</v>
      </c>
      <c r="AM228" s="9">
        <f ca="1">DATOSAÑO!BP227</f>
        <v>2.9140000000000001</v>
      </c>
      <c r="AN228" s="11">
        <f ca="1">(AM228*DATOSAÑO!$Z$11)/DATOSAÑO!$Y$11</f>
        <v>5.2506381781136639E-2</v>
      </c>
      <c r="AO228" s="9">
        <f ca="1">DATOSAÑO!BW227</f>
        <v>12.259999999999771</v>
      </c>
      <c r="AP228" s="11">
        <f ca="1">(AO228*DATOSAÑO!$Z$11)/DATOSAÑO!$Y$11</f>
        <v>0.22090879912035799</v>
      </c>
      <c r="AQ228" s="9">
        <f ca="1">DATOSAÑO!CC227</f>
        <v>2.8660000000000365</v>
      </c>
      <c r="AR228" s="1348">
        <f ca="1">(AQ228*DATOSAÑO!$Z$11)/DATOSAÑO!$Y$11</f>
        <v>5.1641485993390371E-2</v>
      </c>
      <c r="AS228" s="1384">
        <f t="shared" si="11"/>
        <v>31</v>
      </c>
    </row>
    <row r="229" spans="1:45">
      <c r="A229" s="1408">
        <v>45144</v>
      </c>
      <c r="B229" s="1869">
        <v>45144</v>
      </c>
      <c r="C229" s="9">
        <f ca="1">DATOSAÑO!I228</f>
        <v>298</v>
      </c>
      <c r="D229" s="10">
        <f ca="1">DATOSAÑO!$D228</f>
        <v>5.3918787395321628</v>
      </c>
      <c r="E229" s="11">
        <f ca="1">DATOSAÑO!$G228</f>
        <v>0</v>
      </c>
      <c r="F229" s="9">
        <f ca="1">DATOSAÑO!P228</f>
        <v>150</v>
      </c>
      <c r="G229" s="10">
        <f ca="1">DATOSAÑO!K228</f>
        <v>3.9557151371929824</v>
      </c>
      <c r="H229" s="11">
        <f ca="1">DATOSAÑO!N228</f>
        <v>0</v>
      </c>
      <c r="I229" s="9">
        <f ca="1">DATOSAÑO!Q228</f>
        <v>0</v>
      </c>
      <c r="J229" s="11">
        <f ca="1">DATOSAÑO!R228</f>
        <v>0</v>
      </c>
      <c r="K229" s="9">
        <f ca="1">DATOSAÑO!T228</f>
        <v>0</v>
      </c>
      <c r="L229" s="11">
        <f t="shared" ca="1" si="9"/>
        <v>0</v>
      </c>
      <c r="M229" s="9"/>
      <c r="N229" s="11">
        <f t="shared" si="10"/>
        <v>0</v>
      </c>
      <c r="O229" s="9">
        <f>DATOSAÑO!CK228</f>
        <v>0</v>
      </c>
      <c r="P229" s="9">
        <f>DATOSAÑO!CL228</f>
        <v>0</v>
      </c>
      <c r="Q229" s="9">
        <f ca="1">DATOSAÑO!AD228</f>
        <v>164</v>
      </c>
      <c r="R229" s="11">
        <f ca="1">(Q229*DATOSAÑO!$Z$11)/DATOSAÑO!$Y$11</f>
        <v>2.9550606081353497</v>
      </c>
      <c r="S229" s="9">
        <f ca="1">DATOSAÑO!AF228</f>
        <v>156</v>
      </c>
      <c r="T229" s="11">
        <f ca="1">(S229*DATOSAÑO!$Z$11)/DATOSAÑO!$Y$11</f>
        <v>2.8109113101775276</v>
      </c>
      <c r="U229" s="9">
        <f ca="1">DATOSAÑO!AH228</f>
        <v>12.299999999997453</v>
      </c>
      <c r="V229" s="11">
        <f ca="1">(U229*DATOSAÑO!$Z$11)/DATOSAÑO!$Y$11</f>
        <v>0.22162954561010534</v>
      </c>
      <c r="W229" s="9">
        <f ca="1">DATOSAÑO!AI228</f>
        <v>36.399999999994179</v>
      </c>
      <c r="X229" s="11">
        <f ca="1">(W229*DATOSAÑO!$Z$11)/DATOSAÑO!$Y$11</f>
        <v>0.65587930570798503</v>
      </c>
      <c r="Y229" s="9">
        <f ca="1">DATOSAÑO!AJ228</f>
        <v>8.6000000000058208</v>
      </c>
      <c r="Z229" s="11">
        <f ca="1">(Y229*DATOSAÑO!$Z$11)/DATOSAÑO!$Y$11</f>
        <v>0.15496049530476347</v>
      </c>
      <c r="AA229" s="9">
        <f ca="1">DATOSAÑO!AK228</f>
        <v>10</v>
      </c>
      <c r="AB229" s="11">
        <f ca="1">(AA229*DATOSAÑO!$Z$11)/DATOSAÑO!$Y$11</f>
        <v>0.18018662244727743</v>
      </c>
      <c r="AC229" s="9">
        <f ca="1">DATOSAÑO!AL228</f>
        <v>34.300000000004673</v>
      </c>
      <c r="AD229" s="11">
        <f ca="1">(AC229*DATOSAÑO!$Z$11)/DATOSAÑO!$Y$11</f>
        <v>0.61804011499424583</v>
      </c>
      <c r="AE229" s="9">
        <f ca="1">DATOSAÑO!AM228</f>
        <v>9.2919999999978291</v>
      </c>
      <c r="AF229" s="11">
        <f ca="1">(AE229*DATOSAÑO!$Z$11)/DATOSAÑO!$Y$11</f>
        <v>0.16742940957797106</v>
      </c>
      <c r="AG229" s="9">
        <f ca="1">DATOSAÑO!AN228</f>
        <v>3.3029999999996362</v>
      </c>
      <c r="AH229" s="11">
        <f ca="1">(AG229*DATOSAÑO!$Z$11)/DATOSAÑO!$Y$11</f>
        <v>5.9515641394329181E-2</v>
      </c>
      <c r="AI229" s="9">
        <f ca="1">DATOSAÑO!BJ228</f>
        <v>3.2</v>
      </c>
      <c r="AJ229" s="11">
        <f ca="1">(AI229*DATOSAÑO!$Z$11)/DATOSAÑO!$Y$11</f>
        <v>5.7659719183128774E-2</v>
      </c>
      <c r="AK229" s="9">
        <f ca="1">DATOSAÑO!BM228</f>
        <v>0</v>
      </c>
      <c r="AL229" s="11">
        <f ca="1">(AK229*DATOSAÑO!$Z$11)/DATOSAÑO!$Y$11</f>
        <v>0</v>
      </c>
      <c r="AM229" s="9">
        <f ca="1">DATOSAÑO!BP228</f>
        <v>3.4079999999999999</v>
      </c>
      <c r="AN229" s="11">
        <f ca="1">(AM229*DATOSAÑO!$Z$11)/DATOSAÑO!$Y$11</f>
        <v>6.1407600930032141E-2</v>
      </c>
      <c r="AO229" s="9">
        <f ca="1">DATOSAÑO!BW228</f>
        <v>10.245999999999277</v>
      </c>
      <c r="AP229" s="11">
        <f ca="1">(AO229*DATOSAÑO!$Z$11)/DATOSAÑO!$Y$11</f>
        <v>0.18461921335946743</v>
      </c>
      <c r="AQ229" s="9">
        <f ca="1">DATOSAÑO!CC228</f>
        <v>2.9181999999998545</v>
      </c>
      <c r="AR229" s="1348">
        <f ca="1">(AQ229*DATOSAÑO!$Z$11)/DATOSAÑO!$Y$11</f>
        <v>5.2582060162561874E-2</v>
      </c>
      <c r="AS229" s="1384">
        <f t="shared" si="11"/>
        <v>32</v>
      </c>
    </row>
    <row r="230" spans="1:45" ht="16.5" customHeight="1">
      <c r="A230" s="1408">
        <v>45145</v>
      </c>
      <c r="B230" s="1869">
        <v>45145</v>
      </c>
      <c r="C230" s="9">
        <f ca="1">DATOSAÑO!I229</f>
        <v>286</v>
      </c>
      <c r="D230" s="10">
        <f ca="1">DATOSAÑO!$D229</f>
        <v>5.2740822483040928</v>
      </c>
      <c r="E230" s="11">
        <f ca="1">DATOSAÑO!$G229</f>
        <v>0</v>
      </c>
      <c r="F230" s="9">
        <f ca="1">DATOSAÑO!P229</f>
        <v>148</v>
      </c>
      <c r="G230" s="10">
        <f ca="1">DATOSAÑO!K229</f>
        <v>3.934680049473684</v>
      </c>
      <c r="H230" s="11">
        <f ca="1">DATOSAÑO!N229</f>
        <v>0</v>
      </c>
      <c r="I230" s="9">
        <f ca="1">DATOSAÑO!Q229</f>
        <v>0</v>
      </c>
      <c r="J230" s="11">
        <f ca="1">DATOSAÑO!R229</f>
        <v>0</v>
      </c>
      <c r="K230" s="9">
        <f ca="1">DATOSAÑO!T229</f>
        <v>0</v>
      </c>
      <c r="L230" s="11">
        <f t="shared" ca="1" si="9"/>
        <v>0</v>
      </c>
      <c r="M230" s="9"/>
      <c r="N230" s="11">
        <f t="shared" si="10"/>
        <v>0</v>
      </c>
      <c r="O230" s="9">
        <f>DATOSAÑO!CK229</f>
        <v>0</v>
      </c>
      <c r="P230" s="9">
        <f>DATOSAÑO!CL229</f>
        <v>0</v>
      </c>
      <c r="Q230" s="9">
        <f ca="1">DATOSAÑO!AD229</f>
        <v>160</v>
      </c>
      <c r="R230" s="11">
        <f ca="1">(Q230*DATOSAÑO!$Z$11)/DATOSAÑO!$Y$11</f>
        <v>2.8829859591564388</v>
      </c>
      <c r="S230" s="9">
        <f ca="1">DATOSAÑO!AF229</f>
        <v>151</v>
      </c>
      <c r="T230" s="11">
        <f ca="1">(S230*DATOSAÑO!$Z$11)/DATOSAÑO!$Y$11</f>
        <v>2.7208179989538892</v>
      </c>
      <c r="U230" s="9">
        <f ca="1">DATOSAÑO!AH229</f>
        <v>7.500000000001819</v>
      </c>
      <c r="V230" s="11">
        <f ca="1">(U230*DATOSAÑO!$Z$11)/DATOSAÑO!$Y$11</f>
        <v>0.13513996683549084</v>
      </c>
      <c r="W230" s="9">
        <f ca="1">DATOSAÑO!AI229</f>
        <v>36.399999999994179</v>
      </c>
      <c r="X230" s="11">
        <f ca="1">(W230*DATOSAÑO!$Z$11)/DATOSAÑO!$Y$11</f>
        <v>0.65587930570798503</v>
      </c>
      <c r="Y230" s="9">
        <f ca="1">DATOSAÑO!AJ229</f>
        <v>8</v>
      </c>
      <c r="Z230" s="11">
        <f ca="1">(Y230*DATOSAÑO!$Z$11)/DATOSAÑO!$Y$11</f>
        <v>0.14414929795782194</v>
      </c>
      <c r="AA230" s="9">
        <f ca="1">DATOSAÑO!AK229</f>
        <v>10</v>
      </c>
      <c r="AB230" s="11">
        <f ca="1">(AA230*DATOSAÑO!$Z$11)/DATOSAÑO!$Y$11</f>
        <v>0.18018662244727743</v>
      </c>
      <c r="AC230" s="9">
        <f ca="1">DATOSAÑO!AL229</f>
        <v>31.800000000001091</v>
      </c>
      <c r="AD230" s="11">
        <f ca="1">(AC230*DATOSAÑO!$Z$11)/DATOSAÑO!$Y$11</f>
        <v>0.5729934593823619</v>
      </c>
      <c r="AE230" s="9">
        <f ca="1">DATOSAÑO!AM229</f>
        <v>12.172000000003553</v>
      </c>
      <c r="AF230" s="11">
        <f ca="1">(AE230*DATOSAÑO!$Z$11)/DATOSAÑO!$Y$11</f>
        <v>0.21932315684289008</v>
      </c>
      <c r="AG230" s="9">
        <f ca="1">DATOSAÑO!AN229</f>
        <v>3.3079999999997272</v>
      </c>
      <c r="AH230" s="11">
        <f ca="1">(AG230*DATOSAÑO!$Z$11)/DATOSAÑO!$Y$11</f>
        <v>5.9605734705554449E-2</v>
      </c>
      <c r="AI230" s="9">
        <f ca="1">DATOSAÑO!BJ229</f>
        <v>3.6</v>
      </c>
      <c r="AJ230" s="11">
        <f ca="1">(AI230*DATOSAÑO!$Z$11)/DATOSAÑO!$Y$11</f>
        <v>6.486718408101988E-2</v>
      </c>
      <c r="AK230" s="9">
        <f ca="1">DATOSAÑO!BM229</f>
        <v>0</v>
      </c>
      <c r="AL230" s="11">
        <f ca="1">(AK230*DATOSAÑO!$Z$11)/DATOSAÑO!$Y$11</f>
        <v>0</v>
      </c>
      <c r="AM230" s="9">
        <f ca="1">DATOSAÑO!BP229</f>
        <v>3.3279999999999998</v>
      </c>
      <c r="AN230" s="11">
        <f ca="1">(AM230*DATOSAÑO!$Z$11)/DATOSAÑO!$Y$11</f>
        <v>5.9966107950453922E-2</v>
      </c>
      <c r="AO230" s="9">
        <f ca="1">DATOSAÑO!BW229</f>
        <v>11.486000000001413</v>
      </c>
      <c r="AP230" s="11">
        <f ca="1">(AO230*DATOSAÑO!$Z$11)/DATOSAÑO!$Y$11</f>
        <v>0.20696235454296832</v>
      </c>
      <c r="AQ230" s="9">
        <f ca="1">DATOSAÑO!CC229</f>
        <v>2.8151999999998907</v>
      </c>
      <c r="AR230" s="1348">
        <f ca="1">(AQ230*DATOSAÑO!$Z$11)/DATOSAÑO!$Y$11</f>
        <v>5.0726137951355568E-2</v>
      </c>
      <c r="AS230" s="1384">
        <f t="shared" si="11"/>
        <v>32</v>
      </c>
    </row>
    <row r="231" spans="1:45">
      <c r="A231" s="1408">
        <v>45146</v>
      </c>
      <c r="B231" s="1869">
        <v>45146</v>
      </c>
      <c r="C231" s="9">
        <f ca="1">DATOSAÑO!I230</f>
        <v>290</v>
      </c>
      <c r="D231" s="10">
        <f ca="1">DATOSAÑO!$D230</f>
        <v>5.3133477453801161</v>
      </c>
      <c r="E231" s="11">
        <f ca="1">DATOSAÑO!$G230</f>
        <v>0</v>
      </c>
      <c r="F231" s="9">
        <f ca="1">DATOSAÑO!P230</f>
        <v>148</v>
      </c>
      <c r="G231" s="10">
        <f ca="1">DATOSAÑO!K230</f>
        <v>3.934680049473684</v>
      </c>
      <c r="H231" s="11">
        <f ca="1">DATOSAÑO!N230</f>
        <v>0</v>
      </c>
      <c r="I231" s="9">
        <f ca="1">DATOSAÑO!Q230</f>
        <v>2.9970000000000709</v>
      </c>
      <c r="J231" s="11">
        <f ca="1">DATOSAÑO!R230</f>
        <v>359.64000000000851</v>
      </c>
      <c r="K231" s="9">
        <f ca="1">DATOSAÑO!T230</f>
        <v>0.37999999999999545</v>
      </c>
      <c r="L231" s="11">
        <f t="shared" ca="1" si="9"/>
        <v>45.599999999999454</v>
      </c>
      <c r="M231" s="9"/>
      <c r="N231" s="11">
        <f t="shared" si="10"/>
        <v>0</v>
      </c>
      <c r="O231" s="9">
        <f>DATOSAÑO!CK230</f>
        <v>3</v>
      </c>
      <c r="P231" s="9">
        <f>DATOSAÑO!CL230</f>
        <v>1</v>
      </c>
      <c r="Q231" s="9">
        <f ca="1">DATOSAÑO!AD230</f>
        <v>162</v>
      </c>
      <c r="R231" s="11">
        <f ca="1">(Q231*DATOSAÑO!$Z$11)/DATOSAÑO!$Y$11</f>
        <v>2.919023283645894</v>
      </c>
      <c r="S231" s="9">
        <f ca="1">DATOSAÑO!AF230</f>
        <v>150</v>
      </c>
      <c r="T231" s="11">
        <f ca="1">(S231*DATOSAÑO!$Z$11)/DATOSAÑO!$Y$11</f>
        <v>2.7027993367091616</v>
      </c>
      <c r="U231" s="9">
        <f ca="1">DATOSAÑO!AH230</f>
        <v>12.699999999998909</v>
      </c>
      <c r="V231" s="11">
        <f ca="1">(U231*DATOSAÑO!$Z$11)/DATOSAÑO!$Y$11</f>
        <v>0.22883701050802266</v>
      </c>
      <c r="W231" s="9">
        <f ca="1">DATOSAÑO!AI230</f>
        <v>36.200000000011642</v>
      </c>
      <c r="X231" s="11">
        <f ca="1">(W231*DATOSAÑO!$Z$11)/DATOSAÑO!$Y$11</f>
        <v>0.65227557325935404</v>
      </c>
      <c r="Y231" s="9">
        <f ca="1">DATOSAÑO!AJ230</f>
        <v>8.5999999999912689</v>
      </c>
      <c r="Z231" s="11">
        <f ca="1">(Y231*DATOSAÑO!$Z$11)/DATOSAÑO!$Y$11</f>
        <v>0.15496049530450123</v>
      </c>
      <c r="AA231" s="9">
        <f ca="1">DATOSAÑO!AK230</f>
        <v>10</v>
      </c>
      <c r="AB231" s="11">
        <f ca="1">(AA231*DATOSAÑO!$Z$11)/DATOSAÑO!$Y$11</f>
        <v>0.18018662244727743</v>
      </c>
      <c r="AC231" s="9">
        <f ca="1">DATOSAÑO!AL230</f>
        <v>32.977000000000487</v>
      </c>
      <c r="AD231" s="11">
        <f ca="1">(AC231*DATOSAÑO!$Z$11)/DATOSAÑO!$Y$11</f>
        <v>0.59420142484439553</v>
      </c>
      <c r="AE231" s="9">
        <f ca="1">DATOSAÑO!AM230</f>
        <v>10.967999999997623</v>
      </c>
      <c r="AF231" s="11">
        <f ca="1">(AE231*DATOSAÑO!$Z$11)/DATOSAÑO!$Y$11</f>
        <v>0.19762868750013107</v>
      </c>
      <c r="AG231" s="9">
        <f ca="1">DATOSAÑO!AN230</f>
        <v>4.6099999999998253</v>
      </c>
      <c r="AH231" s="11">
        <f ca="1">(AG231*DATOSAÑO!$Z$11)/DATOSAÑO!$Y$11</f>
        <v>8.3066032948191731E-2</v>
      </c>
      <c r="AI231" s="9">
        <f ca="1">DATOSAÑO!BJ230</f>
        <v>3.4</v>
      </c>
      <c r="AJ231" s="11">
        <f ca="1">(AI231*DATOSAÑO!$Z$11)/DATOSAÑO!$Y$11</f>
        <v>6.1263451632074327E-2</v>
      </c>
      <c r="AK231" s="9">
        <f ca="1">DATOSAÑO!BM230</f>
        <v>0</v>
      </c>
      <c r="AL231" s="11">
        <f ca="1">(AK231*DATOSAÑO!$Z$11)/DATOSAÑO!$Y$11</f>
        <v>0</v>
      </c>
      <c r="AM231" s="9">
        <f ca="1">DATOSAÑO!BP230</f>
        <v>3.302</v>
      </c>
      <c r="AN231" s="11">
        <f ca="1">(AM231*DATOSAÑO!$Z$11)/DATOSAÑO!$Y$11</f>
        <v>5.9497622732091013E-2</v>
      </c>
      <c r="AO231" s="9">
        <f ca="1">DATOSAÑO!BW230</f>
        <v>10.583999999999175</v>
      </c>
      <c r="AP231" s="11">
        <f ca="1">(AO231*DATOSAÑO!$Z$11)/DATOSAÑO!$Y$11</f>
        <v>0.19070952119818357</v>
      </c>
      <c r="AQ231" s="9">
        <f ca="1">DATOSAÑO!CC230</f>
        <v>3.3639999999999302</v>
      </c>
      <c r="AR231" s="1348">
        <f ca="1">(AQ231*DATOSAÑO!$Z$11)/DATOSAÑO!$Y$11</f>
        <v>6.0614779791262861E-2</v>
      </c>
      <c r="AS231" s="1384">
        <f t="shared" si="11"/>
        <v>32</v>
      </c>
    </row>
    <row r="232" spans="1:45" ht="16.5" customHeight="1">
      <c r="A232" s="1408">
        <v>45147</v>
      </c>
      <c r="B232" s="1869">
        <v>45147</v>
      </c>
      <c r="C232" s="9">
        <f ca="1">DATOSAÑO!I231</f>
        <v>297</v>
      </c>
      <c r="D232" s="10">
        <f ca="1">DATOSAÑO!$D231</f>
        <v>5.382062365263157</v>
      </c>
      <c r="E232" s="11">
        <f ca="1">DATOSAÑO!$G231</f>
        <v>0</v>
      </c>
      <c r="F232" s="9">
        <f ca="1">DATOSAÑO!P231</f>
        <v>149</v>
      </c>
      <c r="G232" s="10">
        <f ca="1">DATOSAÑO!K231</f>
        <v>3.945197593333333</v>
      </c>
      <c r="H232" s="11">
        <f ca="1">DATOSAÑO!N231</f>
        <v>0</v>
      </c>
      <c r="I232" s="9">
        <f ca="1">DATOSAÑO!Q231</f>
        <v>0</v>
      </c>
      <c r="J232" s="11">
        <f ca="1">DATOSAÑO!R231</f>
        <v>0</v>
      </c>
      <c r="K232" s="9">
        <f ca="1">DATOSAÑO!T231</f>
        <v>0</v>
      </c>
      <c r="L232" s="11">
        <f t="shared" ca="1" si="9"/>
        <v>0</v>
      </c>
      <c r="M232" s="9"/>
      <c r="N232" s="11">
        <f t="shared" si="10"/>
        <v>0</v>
      </c>
      <c r="O232" s="9">
        <f>DATOSAÑO!CK231</f>
        <v>0</v>
      </c>
      <c r="P232" s="9">
        <f>DATOSAÑO!CL231</f>
        <v>0</v>
      </c>
      <c r="Q232" s="9">
        <f ca="1">DATOSAÑO!AD231</f>
        <v>160</v>
      </c>
      <c r="R232" s="11">
        <f ca="1">(Q232*DATOSAÑO!$Z$11)/DATOSAÑO!$Y$11</f>
        <v>2.8829859591564388</v>
      </c>
      <c r="S232" s="9">
        <f ca="1">DATOSAÑO!AF231</f>
        <v>152</v>
      </c>
      <c r="T232" s="11">
        <f ca="1">(S232*DATOSAÑO!$Z$11)/DATOSAÑO!$Y$11</f>
        <v>2.7388366611986168</v>
      </c>
      <c r="U232" s="9">
        <f ca="1">DATOSAÑO!AH231</f>
        <v>15.600000000000364</v>
      </c>
      <c r="V232" s="11">
        <f ca="1">(U232*DATOSAÑO!$Z$11)/DATOSAÑO!$Y$11</f>
        <v>0.28109113101775934</v>
      </c>
      <c r="W232" s="9">
        <f ca="1">DATOSAÑO!AI231</f>
        <v>36.19999999999709</v>
      </c>
      <c r="X232" s="11">
        <f ca="1">(W232*DATOSAÑO!$Z$11)/DATOSAÑO!$Y$11</f>
        <v>0.6522755732590918</v>
      </c>
      <c r="Y232" s="9">
        <f ca="1">DATOSAÑO!AJ231</f>
        <v>8.6000000000058208</v>
      </c>
      <c r="Z232" s="11">
        <f ca="1">(Y232*DATOSAÑO!$Z$11)/DATOSAÑO!$Y$11</f>
        <v>0.15496049530476347</v>
      </c>
      <c r="AA232" s="9">
        <f ca="1">DATOSAÑO!AK231</f>
        <v>10</v>
      </c>
      <c r="AB232" s="11">
        <f ca="1">(AA232*DATOSAÑO!$Z$11)/DATOSAÑO!$Y$11</f>
        <v>0.18018662244727743</v>
      </c>
      <c r="AC232" s="9">
        <f ca="1">DATOSAÑO!AL231</f>
        <v>35.699999999995271</v>
      </c>
      <c r="AD232" s="11">
        <f ca="1">(AC232*DATOSAÑO!$Z$11)/DATOSAÑO!$Y$11</f>
        <v>0.64326624213669525</v>
      </c>
      <c r="AE232" s="9">
        <f ca="1">DATOSAÑO!AM231</f>
        <v>11.106000000002812</v>
      </c>
      <c r="AF232" s="11">
        <f ca="1">(AE232*DATOSAÑO!$Z$11)/DATOSAÑO!$Y$11</f>
        <v>0.20011526288999698</v>
      </c>
      <c r="AG232" s="9">
        <f ca="1">DATOSAÑO!AN231</f>
        <v>3.4290000000000909</v>
      </c>
      <c r="AH232" s="11">
        <f ca="1">(AG232*DATOSAÑO!$Z$11)/DATOSAÑO!$Y$11</f>
        <v>6.1785992837173065E-2</v>
      </c>
      <c r="AI232" s="9">
        <f ca="1">DATOSAÑO!BJ231</f>
        <v>3.4</v>
      </c>
      <c r="AJ232" s="11">
        <f ca="1">(AI232*DATOSAÑO!$Z$11)/DATOSAÑO!$Y$11</f>
        <v>6.1263451632074327E-2</v>
      </c>
      <c r="AK232" s="9">
        <f ca="1">DATOSAÑO!BM231</f>
        <v>2.1</v>
      </c>
      <c r="AL232" s="11">
        <f ca="1">(AK232*DATOSAÑO!$Z$11)/DATOSAÑO!$Y$11</f>
        <v>3.7839190713928265E-2</v>
      </c>
      <c r="AM232" s="9">
        <f ca="1">DATOSAÑO!BP231</f>
        <v>1.294</v>
      </c>
      <c r="AN232" s="11">
        <f ca="1">(AM232*DATOSAÑO!$Z$11)/DATOSAÑO!$Y$11</f>
        <v>2.3316148944677699E-2</v>
      </c>
      <c r="AO232" s="9">
        <f ca="1">DATOSAÑO!BW231</f>
        <v>10.652999999999951</v>
      </c>
      <c r="AP232" s="11">
        <f ca="1">(AO232*DATOSAÑO!$Z$11)/DATOSAÑO!$Y$11</f>
        <v>0.19195280889308375</v>
      </c>
      <c r="AQ232" s="9">
        <f ca="1">DATOSAÑO!CC231</f>
        <v>2.8426000000000364</v>
      </c>
      <c r="AR232" s="1348">
        <f ca="1">(AQ232*DATOSAÑO!$Z$11)/DATOSAÑO!$Y$11</f>
        <v>5.121984929686374E-2</v>
      </c>
      <c r="AS232" s="1384">
        <f t="shared" si="11"/>
        <v>32</v>
      </c>
    </row>
    <row r="233" spans="1:45">
      <c r="A233" s="1408">
        <v>45148</v>
      </c>
      <c r="B233" s="1869">
        <v>45148</v>
      </c>
      <c r="C233" s="9">
        <f ca="1">DATOSAÑO!I232</f>
        <v>285.19999999995343</v>
      </c>
      <c r="D233" s="10">
        <f ca="1">DATOSAÑO!$D232</f>
        <v>5.2662291488884314</v>
      </c>
      <c r="E233" s="11">
        <f ca="1">DATOSAÑO!$G232</f>
        <v>0</v>
      </c>
      <c r="F233" s="9">
        <f ca="1">DATOSAÑO!P232</f>
        <v>149.52300000000105</v>
      </c>
      <c r="G233" s="10">
        <f ca="1">DATOSAÑO!K232</f>
        <v>3.9506982687719407</v>
      </c>
      <c r="H233" s="11">
        <f ca="1">DATOSAÑO!N232</f>
        <v>0</v>
      </c>
      <c r="I233" s="9">
        <f ca="1">DATOSAÑO!Q232</f>
        <v>0</v>
      </c>
      <c r="J233" s="11">
        <f ca="1">DATOSAÑO!R232</f>
        <v>0</v>
      </c>
      <c r="K233" s="9">
        <f ca="1">DATOSAÑO!T232</f>
        <v>0</v>
      </c>
      <c r="L233" s="11">
        <f t="shared" ca="1" si="9"/>
        <v>0</v>
      </c>
      <c r="M233" s="9"/>
      <c r="N233" s="11">
        <f t="shared" si="10"/>
        <v>0</v>
      </c>
      <c r="O233" s="9">
        <f>DATOSAÑO!CK232</f>
        <v>0</v>
      </c>
      <c r="P233" s="9">
        <f>DATOSAÑO!CL232</f>
        <v>0</v>
      </c>
      <c r="Q233" s="9">
        <f ca="1">DATOSAÑO!AD232</f>
        <v>162.79999999999927</v>
      </c>
      <c r="R233" s="11">
        <f ca="1">(Q233*DATOSAÑO!$Z$11)/DATOSAÑO!$Y$11</f>
        <v>2.9334382134416632</v>
      </c>
      <c r="S233" s="9">
        <f ca="1">DATOSAÑO!AF232</f>
        <v>153.79999999998836</v>
      </c>
      <c r="T233" s="11">
        <f ca="1">(S233*DATOSAÑO!$Z$11)/DATOSAÑO!$Y$11</f>
        <v>2.7712702532389168</v>
      </c>
      <c r="U233" s="9">
        <f ca="1">DATOSAÑO!AH232</f>
        <v>6.000000000001819</v>
      </c>
      <c r="V233" s="11">
        <f ca="1">(U233*DATOSAÑO!$Z$11)/DATOSAÑO!$Y$11</f>
        <v>0.10811197346839922</v>
      </c>
      <c r="W233" s="9">
        <f ca="1">DATOSAÑO!AI232</f>
        <v>34.399999999994179</v>
      </c>
      <c r="X233" s="11">
        <f ca="1">(W233*DATOSAÑO!$Z$11)/DATOSAÑO!$Y$11</f>
        <v>0.6198419812185294</v>
      </c>
      <c r="Y233" s="9">
        <f ca="1">DATOSAÑO!AJ232</f>
        <v>8.8999999999941792</v>
      </c>
      <c r="Z233" s="11">
        <f ca="1">(Y233*DATOSAÑO!$Z$11)/DATOSAÑO!$Y$11</f>
        <v>0.16036609397797202</v>
      </c>
      <c r="AA233" s="9">
        <f ca="1">DATOSAÑO!AK232</f>
        <v>9.7000000000116415</v>
      </c>
      <c r="AB233" s="11">
        <f ca="1">(AA233*DATOSAÑO!$Z$11)/DATOSAÑO!$Y$11</f>
        <v>0.17478102377406887</v>
      </c>
      <c r="AC233" s="9">
        <f ca="1">DATOSAÑO!AL232</f>
        <v>31.622999999964975</v>
      </c>
      <c r="AD233" s="11">
        <f ca="1">(AC233*DATOSAÑO!$Z$11)/DATOSAÑO!$Y$11</f>
        <v>0.56980415616439428</v>
      </c>
      <c r="AE233" s="9">
        <f ca="1">DATOSAÑO!AM232</f>
        <v>10.66199999999942</v>
      </c>
      <c r="AF233" s="11">
        <f ca="1">(AE233*DATOSAÑO!$Z$11)/DATOSAÑO!$Y$11</f>
        <v>0.19211497685327672</v>
      </c>
      <c r="AG233" s="9">
        <f ca="1">DATOSAÑO!AN232</f>
        <v>3.4090000000004368</v>
      </c>
      <c r="AH233" s="11">
        <f ca="1">(AG233*DATOSAÑO!$Z$11)/DATOSAÑO!$Y$11</f>
        <v>6.1425619592284743E-2</v>
      </c>
      <c r="AI233" s="9">
        <f ca="1">DATOSAÑO!BJ232</f>
        <v>3.6720000000000002</v>
      </c>
      <c r="AJ233" s="11">
        <f ca="1">(AI233*DATOSAÑO!$Z$11)/DATOSAÑO!$Y$11</f>
        <v>6.6164527762640271E-2</v>
      </c>
      <c r="AK233" s="9">
        <f ca="1">DATOSAÑO!BM232</f>
        <v>3.306</v>
      </c>
      <c r="AL233" s="11">
        <f ca="1">(AK233*DATOSAÑO!$Z$11)/DATOSAÑO!$Y$11</f>
        <v>5.9569697381069917E-2</v>
      </c>
      <c r="AM233" s="9">
        <f ca="1">DATOSAÑO!BP232</f>
        <v>0</v>
      </c>
      <c r="AN233" s="11">
        <f ca="1">(AM233*DATOSAÑO!$Z$11)/DATOSAÑO!$Y$11</f>
        <v>0</v>
      </c>
      <c r="AO233" s="9">
        <f ca="1">DATOSAÑO!BW232</f>
        <v>10.420999999999855</v>
      </c>
      <c r="AP233" s="11">
        <f ca="1">(AO233*DATOSAÑO!$Z$11)/DATOSAÑO!$Y$11</f>
        <v>0.18777247925230522</v>
      </c>
      <c r="AQ233" s="9">
        <f ca="1">DATOSAÑO!CC232</f>
        <v>2.7246000000001747</v>
      </c>
      <c r="AR233" s="1348">
        <f ca="1">(AQ233*DATOSAÑO!$Z$11)/DATOSAÑO!$Y$11</f>
        <v>4.9093647151988357E-2</v>
      </c>
      <c r="AS233" s="1384">
        <f t="shared" si="11"/>
        <v>32</v>
      </c>
    </row>
    <row r="234" spans="1:45" ht="16.5" customHeight="1">
      <c r="A234" s="1408">
        <v>45149</v>
      </c>
      <c r="B234" s="1869">
        <v>45149</v>
      </c>
      <c r="C234" s="9">
        <f ca="1">DATOSAÑO!I233</f>
        <v>289.70000000006985</v>
      </c>
      <c r="D234" s="10">
        <f ca="1">DATOSAÑO!$D233</f>
        <v>5.3104028331001008</v>
      </c>
      <c r="E234" s="11">
        <f ca="1">DATOSAÑO!$G233</f>
        <v>0</v>
      </c>
      <c r="F234" s="9">
        <f ca="1">DATOSAÑO!P233</f>
        <v>152.16500000000087</v>
      </c>
      <c r="G234" s="10">
        <f ca="1">DATOSAÑO!K233</f>
        <v>3.9784856196491316</v>
      </c>
      <c r="H234" s="11">
        <f ca="1">DATOSAÑO!N233</f>
        <v>0</v>
      </c>
      <c r="I234" s="9">
        <f ca="1">DATOSAÑO!Q233</f>
        <v>0</v>
      </c>
      <c r="J234" s="11">
        <f ca="1">DATOSAÑO!R233</f>
        <v>0</v>
      </c>
      <c r="K234" s="9">
        <f ca="1">DATOSAÑO!T233</f>
        <v>0</v>
      </c>
      <c r="L234" s="11">
        <f t="shared" ca="1" si="9"/>
        <v>0</v>
      </c>
      <c r="M234" s="9"/>
      <c r="N234" s="11">
        <f t="shared" si="10"/>
        <v>0</v>
      </c>
      <c r="O234" s="9">
        <f>DATOSAÑO!CK233</f>
        <v>0</v>
      </c>
      <c r="P234" s="9">
        <f>DATOSAÑO!CL233</f>
        <v>0</v>
      </c>
      <c r="Q234" s="9">
        <f ca="1">DATOSAÑO!AD233</f>
        <v>164.90000000000146</v>
      </c>
      <c r="R234" s="11">
        <f ca="1">(Q234*DATOSAÑO!$Z$11)/DATOSAÑO!$Y$11</f>
        <v>2.9712774041556309</v>
      </c>
      <c r="S234" s="9">
        <f ca="1">DATOSAÑO!AF233</f>
        <v>150.90000000002328</v>
      </c>
      <c r="T234" s="11">
        <f ca="1">(S234*DATOSAÑO!$Z$11)/DATOSAÑO!$Y$11</f>
        <v>2.7190161327298359</v>
      </c>
      <c r="U234" s="9">
        <f ca="1">DATOSAÑO!AH233</f>
        <v>6.5999999999985448</v>
      </c>
      <c r="V234" s="11">
        <f ca="1">(U234*DATOSAÑO!$Z$11)/DATOSAÑO!$Y$11</f>
        <v>0.11892317081517688</v>
      </c>
      <c r="W234" s="9">
        <f ca="1">DATOSAÑO!AI233</f>
        <v>35.30000000000291</v>
      </c>
      <c r="X234" s="11">
        <f ca="1">(W234*DATOSAÑO!$Z$11)/DATOSAÑO!$Y$11</f>
        <v>0.63605877723894177</v>
      </c>
      <c r="Y234" s="9">
        <f ca="1">DATOSAÑO!AJ233</f>
        <v>8.5200000000040745</v>
      </c>
      <c r="Z234" s="11">
        <f ca="1">(Y234*DATOSAÑO!$Z$11)/DATOSAÑO!$Y$11</f>
        <v>0.15351900232515378</v>
      </c>
      <c r="AA234" s="9">
        <f ca="1">DATOSAÑO!AK233</f>
        <v>8.5</v>
      </c>
      <c r="AB234" s="11">
        <f ca="1">(AA234*DATOSAÑO!$Z$11)/DATOSAÑO!$Y$11</f>
        <v>0.15315862908018582</v>
      </c>
      <c r="AC234" s="9">
        <f ca="1">DATOSAÑO!AL233</f>
        <v>36.745000000075322</v>
      </c>
      <c r="AD234" s="11">
        <f ca="1">(AC234*DATOSAÑO!$Z$11)/DATOSAÑO!$Y$11</f>
        <v>0.66209574418387807</v>
      </c>
      <c r="AE234" s="9">
        <f ca="1">DATOSAÑO!AM233</f>
        <v>12.995999999964118</v>
      </c>
      <c r="AF234" s="11">
        <f ca="1">(AE234*DATOSAÑO!$Z$11)/DATOSAÑO!$Y$11</f>
        <v>0.23417053453183517</v>
      </c>
      <c r="AG234" s="9">
        <f ca="1">DATOSAÑO!AN233</f>
        <v>3.5109999999998727</v>
      </c>
      <c r="AH234" s="11">
        <f ca="1">(AG234*DATOSAÑO!$Z$11)/DATOSAÑO!$Y$11</f>
        <v>6.3263523141236802E-2</v>
      </c>
      <c r="AI234" s="9">
        <f ca="1">DATOSAÑO!BJ233</f>
        <v>2.1419999999999999</v>
      </c>
      <c r="AJ234" s="11">
        <f ca="1">(AI234*DATOSAÑO!$Z$11)/DATOSAÑO!$Y$11</f>
        <v>3.8595974528206817E-2</v>
      </c>
      <c r="AK234" s="9">
        <f ca="1">DATOSAÑO!BM233</f>
        <v>3.4620000000000002</v>
      </c>
      <c r="AL234" s="11">
        <f ca="1">(AK234*DATOSAÑO!$Z$11)/DATOSAÑO!$Y$11</f>
        <v>6.2380608691247445E-2</v>
      </c>
      <c r="AM234" s="9">
        <f ca="1">DATOSAÑO!BP233</f>
        <v>1.86</v>
      </c>
      <c r="AN234" s="11">
        <f ca="1">(AM234*DATOSAÑO!$Z$11)/DATOSAÑO!$Y$11</f>
        <v>3.3514711775193606E-2</v>
      </c>
      <c r="AO234" s="9">
        <f ca="1">DATOSAÑO!BW233</f>
        <v>11.547999999983151</v>
      </c>
      <c r="AP234" s="11">
        <f ca="1">(AO234*DATOSAÑO!$Z$11)/DATOSAÑO!$Y$11</f>
        <v>0.20807951160181237</v>
      </c>
      <c r="AQ234" s="9">
        <f ca="1">DATOSAÑO!CC233</f>
        <v>2.7833999999999492</v>
      </c>
      <c r="AR234" s="1348">
        <f ca="1">(AQ234*DATOSAÑO!$Z$11)/DATOSAÑO!$Y$11</f>
        <v>5.0153144491974284E-2</v>
      </c>
      <c r="AS234" s="1384">
        <f t="shared" si="11"/>
        <v>32</v>
      </c>
    </row>
    <row r="235" spans="1:45">
      <c r="A235" s="1408">
        <v>45150</v>
      </c>
      <c r="B235" s="1869">
        <v>45150</v>
      </c>
      <c r="C235" s="9">
        <f ca="1">DATOSAÑO!I234</f>
        <v>207.53999999992084</v>
      </c>
      <c r="D235" s="10">
        <f ca="1">DATOSAÑO!$D234</f>
        <v>4.5038895231571177</v>
      </c>
      <c r="E235" s="11">
        <f ca="1">DATOSAÑO!$G234</f>
        <v>0</v>
      </c>
      <c r="F235" s="9">
        <f ca="1">DATOSAÑO!P234</f>
        <v>230.51499999999942</v>
      </c>
      <c r="G235" s="10">
        <f ca="1">DATOSAÑO!K234</f>
        <v>4.802535181052626</v>
      </c>
      <c r="H235" s="11">
        <f ca="1">DATOSAÑO!N234</f>
        <v>0</v>
      </c>
      <c r="I235" s="9">
        <f ca="1">DATOSAÑO!Q234</f>
        <v>0</v>
      </c>
      <c r="J235" s="11">
        <f ca="1">DATOSAÑO!R234</f>
        <v>0</v>
      </c>
      <c r="K235" s="9">
        <f ca="1">DATOSAÑO!T234</f>
        <v>0</v>
      </c>
      <c r="L235" s="11">
        <f t="shared" ca="1" si="9"/>
        <v>0</v>
      </c>
      <c r="M235" s="9"/>
      <c r="N235" s="11">
        <f t="shared" si="10"/>
        <v>0</v>
      </c>
      <c r="O235" s="9">
        <f>DATOSAÑO!CK234</f>
        <v>0</v>
      </c>
      <c r="P235" s="9">
        <f>DATOSAÑO!CL234</f>
        <v>0</v>
      </c>
      <c r="Q235" s="9">
        <f ca="1">DATOSAÑO!AD234</f>
        <v>162.59999999999854</v>
      </c>
      <c r="R235" s="11">
        <f ca="1">(Q235*DATOSAÑO!$Z$11)/DATOSAÑO!$Y$11</f>
        <v>2.9298344809927044</v>
      </c>
      <c r="S235" s="9">
        <f ca="1">DATOSAÑO!AF234</f>
        <v>151.20000000001164</v>
      </c>
      <c r="T235" s="11">
        <f ca="1">(S235*DATOSAÑO!$Z$11)/DATOSAÑO!$Y$11</f>
        <v>2.7244217314030443</v>
      </c>
      <c r="U235" s="9">
        <f ca="1">DATOSAÑO!AH234</f>
        <v>11.300000000004729</v>
      </c>
      <c r="V235" s="11">
        <f ca="1">(U235*DATOSAÑO!$Z$11)/DATOSAÑO!$Y$11</f>
        <v>0.2036108833655087</v>
      </c>
      <c r="W235" s="9">
        <f ca="1">DATOSAÑO!AI234</f>
        <v>37.19999999999709</v>
      </c>
      <c r="X235" s="11">
        <f ca="1">(W235*DATOSAÑO!$Z$11)/DATOSAÑO!$Y$11</f>
        <v>0.67029423550381961</v>
      </c>
      <c r="Y235" s="9">
        <f ca="1">DATOSAÑO!AJ234</f>
        <v>7.6999999999970896</v>
      </c>
      <c r="Z235" s="11">
        <f ca="1">(Y235*DATOSAÑO!$Z$11)/DATOSAÑO!$Y$11</f>
        <v>0.13874369928435118</v>
      </c>
      <c r="AA235" s="9">
        <f ca="1">DATOSAÑO!AK234</f>
        <v>9.6099999999860302</v>
      </c>
      <c r="AB235" s="11">
        <f ca="1">(AA235*DATOSAÑO!$Z$11)/DATOSAÑO!$Y$11</f>
        <v>0.17315934417158188</v>
      </c>
      <c r="AC235" s="9">
        <f ca="1">DATOSAÑO!AL234</f>
        <v>30.944999999892389</v>
      </c>
      <c r="AD235" s="11">
        <f ca="1">(AC235*DATOSAÑO!$Z$11)/DATOSAÑO!$Y$11</f>
        <v>0.55758750316116101</v>
      </c>
      <c r="AE235" s="9">
        <f ca="1">DATOSAÑO!AM234</f>
        <v>10.219000000032926</v>
      </c>
      <c r="AF235" s="11">
        <f ca="1">(AE235*DATOSAÑO!$Z$11)/DATOSAÑO!$Y$11</f>
        <v>0.18413270947946606</v>
      </c>
      <c r="AG235" s="9">
        <f ca="1">DATOSAÑO!AN234</f>
        <v>2.8779999999997452</v>
      </c>
      <c r="AH235" s="11">
        <f ca="1">(AG235*DATOSAÑO!$Z$11)/DATOSAÑO!$Y$11</f>
        <v>5.185770994032185E-2</v>
      </c>
      <c r="AI235" s="9">
        <f ca="1">DATOSAÑO!BJ234</f>
        <v>0</v>
      </c>
      <c r="AJ235" s="11">
        <f ca="1">(AI235*DATOSAÑO!$Z$11)/DATOSAÑO!$Y$11</f>
        <v>0</v>
      </c>
      <c r="AK235" s="9">
        <f ca="1">DATOSAÑO!BM234</f>
        <v>3.8140000000000001</v>
      </c>
      <c r="AL235" s="11">
        <f ca="1">(AK235*DATOSAÑO!$Z$11)/DATOSAÑO!$Y$11</f>
        <v>6.8723177801391602E-2</v>
      </c>
      <c r="AM235" s="9">
        <f ca="1">DATOSAÑO!BP234</f>
        <v>4.0170000000000003</v>
      </c>
      <c r="AN235" s="11">
        <f ca="1">(AM235*DATOSAÑO!$Z$11)/DATOSAÑO!$Y$11</f>
        <v>7.2380966237071354E-2</v>
      </c>
      <c r="AO235" s="9">
        <f ca="1">DATOSAÑO!BW234</f>
        <v>10.279500000016537</v>
      </c>
      <c r="AP235" s="11">
        <f ca="1">(AO235*DATOSAÑO!$Z$11)/DATOSAÑO!$Y$11</f>
        <v>0.18522283854497679</v>
      </c>
      <c r="AQ235" s="9">
        <f ca="1">DATOSAÑO!CC234</f>
        <v>2.5531999999998982</v>
      </c>
      <c r="AR235" s="1348">
        <f ca="1">(AQ235*DATOSAÑO!$Z$11)/DATOSAÑO!$Y$11</f>
        <v>4.6005248443237036E-2</v>
      </c>
      <c r="AS235" s="1384">
        <f t="shared" si="11"/>
        <v>32</v>
      </c>
    </row>
    <row r="236" spans="1:45" ht="16.5" customHeight="1">
      <c r="A236" s="1408">
        <v>45151</v>
      </c>
      <c r="B236" s="1869">
        <v>45151</v>
      </c>
      <c r="C236" s="9">
        <f ca="1">DATOSAÑO!I235</f>
        <v>146.21000000007916</v>
      </c>
      <c r="D236" s="10">
        <f ca="1">DATOSAÑO!$D235</f>
        <v>3.9018512892405441</v>
      </c>
      <c r="E236" s="11">
        <f ca="1">DATOSAÑO!$G235</f>
        <v>0</v>
      </c>
      <c r="F236" s="9">
        <f ca="1">DATOSAÑO!P235</f>
        <v>296.00400000000081</v>
      </c>
      <c r="G236" s="10">
        <f ca="1">DATOSAÑO!K235</f>
        <v>5.4913186108772027</v>
      </c>
      <c r="H236" s="11">
        <f ca="1">DATOSAÑO!N235</f>
        <v>0</v>
      </c>
      <c r="I236" s="9">
        <f ca="1">DATOSAÑO!Q235</f>
        <v>0</v>
      </c>
      <c r="J236" s="11">
        <f ca="1">DATOSAÑO!R235</f>
        <v>0</v>
      </c>
      <c r="K236" s="9">
        <f ca="1">DATOSAÑO!T235</f>
        <v>0</v>
      </c>
      <c r="L236" s="11">
        <f t="shared" ca="1" si="9"/>
        <v>0</v>
      </c>
      <c r="M236" s="9"/>
      <c r="N236" s="11">
        <f t="shared" si="10"/>
        <v>0</v>
      </c>
      <c r="O236" s="9">
        <f>DATOSAÑO!CK235</f>
        <v>0</v>
      </c>
      <c r="P236" s="9">
        <f>DATOSAÑO!CL235</f>
        <v>0</v>
      </c>
      <c r="Q236" s="9">
        <f ca="1">DATOSAÑO!AD235</f>
        <v>164.70000000000073</v>
      </c>
      <c r="R236" s="11">
        <f ca="1">(Q236*DATOSAÑO!$Z$11)/DATOSAÑO!$Y$11</f>
        <v>2.9676736717066721</v>
      </c>
      <c r="S236" s="9">
        <f ca="1">DATOSAÑO!AF235</f>
        <v>149.09999999997672</v>
      </c>
      <c r="T236" s="11">
        <f ca="1">(S236*DATOSAÑO!$Z$11)/DATOSAÑO!$Y$11</f>
        <v>2.6865825406884869</v>
      </c>
      <c r="U236" s="9">
        <f ca="1">DATOSAÑO!AH235</f>
        <v>10.199999999998909</v>
      </c>
      <c r="V236" s="11">
        <f ca="1">(U236*DATOSAÑO!$Z$11)/DATOSAÑO!$Y$11</f>
        <v>0.1837903548962033</v>
      </c>
      <c r="W236" s="9">
        <f ca="1">DATOSAÑO!AI235</f>
        <v>36.600000000005821</v>
      </c>
      <c r="X236" s="11">
        <f ca="1">(W236*DATOSAÑO!$Z$11)/DATOSAÑO!$Y$11</f>
        <v>0.65948303815714027</v>
      </c>
      <c r="Y236" s="9">
        <f ca="1">DATOSAÑO!AJ235</f>
        <v>9.2900000000081491</v>
      </c>
      <c r="Z236" s="11">
        <f ca="1">(Y236*DATOSAÑO!$Z$11)/DATOSAÑO!$Y$11</f>
        <v>0.16739337225366757</v>
      </c>
      <c r="AA236" s="9">
        <f ca="1">DATOSAÑO!AK235</f>
        <v>9.7399999999906868</v>
      </c>
      <c r="AB236" s="11">
        <f ca="1">(AA236*DATOSAÑO!$Z$11)/DATOSAÑO!$Y$11</f>
        <v>0.17550177026348041</v>
      </c>
      <c r="AC236" s="9">
        <f ca="1">DATOSAÑO!AL235</f>
        <v>33.984000000085871</v>
      </c>
      <c r="AD236" s="11">
        <f ca="1">(AC236*DATOSAÑO!$Z$11)/DATOSAÑO!$Y$11</f>
        <v>0.61234621772637476</v>
      </c>
      <c r="AE236" s="9">
        <f ca="1">DATOSAÑO!AM235</f>
        <v>10.087000000012754</v>
      </c>
      <c r="AF236" s="11">
        <f ca="1">(AE236*DATOSAÑO!$Z$11)/DATOSAÑO!$Y$11</f>
        <v>0.18175424606279855</v>
      </c>
      <c r="AG236" s="9">
        <f ca="1">DATOSAÑO!AN235</f>
        <v>3.4590000000001275</v>
      </c>
      <c r="AH236" s="11">
        <f ca="1">(AG236*DATOSAÑO!$Z$11)/DATOSAÑO!$Y$11</f>
        <v>6.2326552704515557E-2</v>
      </c>
      <c r="AI236" s="9">
        <f ca="1">DATOSAÑO!BJ235</f>
        <v>0</v>
      </c>
      <c r="AJ236" s="11">
        <f ca="1">(AI236*DATOSAÑO!$Z$11)/DATOSAÑO!$Y$11</f>
        <v>0</v>
      </c>
      <c r="AK236" s="9">
        <f ca="1">DATOSAÑO!BM235</f>
        <v>5.5019999999999998</v>
      </c>
      <c r="AL236" s="11">
        <f ca="1">(AK236*DATOSAÑO!$Z$11)/DATOSAÑO!$Y$11</f>
        <v>9.9138679670492044E-2</v>
      </c>
      <c r="AM236" s="9">
        <f ca="1">DATOSAÑO!BP235</f>
        <v>2.891</v>
      </c>
      <c r="AN236" s="11">
        <f ca="1">(AM236*DATOSAÑO!$Z$11)/DATOSAÑO!$Y$11</f>
        <v>5.2091952549507901E-2</v>
      </c>
      <c r="AO236" s="9">
        <f ca="1">DATOSAÑO!BW235</f>
        <v>10.303500000006595</v>
      </c>
      <c r="AP236" s="11">
        <f ca="1">(AO236*DATOSAÑO!$Z$11)/DATOSAÑO!$Y$11</f>
        <v>0.18565528643867116</v>
      </c>
      <c r="AQ236" s="9">
        <f ca="1">DATOSAÑO!CC235</f>
        <v>2.7846000000000508</v>
      </c>
      <c r="AR236" s="1348">
        <f ca="1">(AQ236*DATOSAÑO!$Z$11)/DATOSAÑO!$Y$11</f>
        <v>5.0174766886669789E-2</v>
      </c>
      <c r="AS236" s="1384">
        <f t="shared" si="11"/>
        <v>33</v>
      </c>
    </row>
    <row r="237" spans="1:45">
      <c r="A237" s="1408">
        <v>45152</v>
      </c>
      <c r="B237" s="1869">
        <v>45152</v>
      </c>
      <c r="C237" s="9">
        <f ca="1">DATOSAÑO!I236</f>
        <v>147.09999999997672</v>
      </c>
      <c r="D237" s="10">
        <f ca="1">DATOSAÑO!$D236</f>
        <v>3.9105878623389536</v>
      </c>
      <c r="E237" s="11">
        <f ca="1">DATOSAÑO!$G236</f>
        <v>0</v>
      </c>
      <c r="F237" s="9">
        <f ca="1">DATOSAÑO!P236</f>
        <v>295.46099999999569</v>
      </c>
      <c r="G237" s="10">
        <f ca="1">DATOSAÑO!K236</f>
        <v>5.4856075845613583</v>
      </c>
      <c r="H237" s="11">
        <f ca="1">DATOSAÑO!N236</f>
        <v>0</v>
      </c>
      <c r="I237" s="9">
        <f ca="1">DATOSAÑO!Q236</f>
        <v>0.34399999999982356</v>
      </c>
      <c r="J237" s="11">
        <f ca="1">DATOSAÑO!R236</f>
        <v>41.279999999978827</v>
      </c>
      <c r="K237" s="9">
        <f ca="1">DATOSAÑO!T236</f>
        <v>0.39600000000007185</v>
      </c>
      <c r="L237" s="11">
        <f t="shared" ca="1" si="9"/>
        <v>47.520000000008622</v>
      </c>
      <c r="M237" s="9"/>
      <c r="N237" s="11">
        <f t="shared" si="10"/>
        <v>0</v>
      </c>
      <c r="O237" s="9">
        <f>DATOSAÑO!CK236</f>
        <v>0.3</v>
      </c>
      <c r="P237" s="9">
        <f>DATOSAÑO!CL236</f>
        <v>0.4</v>
      </c>
      <c r="Q237" s="9">
        <f ca="1">DATOSAÑO!AD236</f>
        <v>166.29999999999927</v>
      </c>
      <c r="R237" s="11">
        <f ca="1">(Q237*DATOSAÑO!$Z$11)/DATOSAÑO!$Y$11</f>
        <v>2.9965035312982109</v>
      </c>
      <c r="S237" s="9">
        <f ca="1">DATOSAÑO!AF236</f>
        <v>146.59999999997672</v>
      </c>
      <c r="T237" s="11">
        <f ca="1">(S237*DATOSAÑO!$Z$11)/DATOSAÑO!$Y$11</f>
        <v>2.6415358850766677</v>
      </c>
      <c r="U237" s="9">
        <f ca="1">DATOSAÑO!AH236</f>
        <v>11.600000000000364</v>
      </c>
      <c r="V237" s="11">
        <f ca="1">(U237*DATOSAÑO!$Z$11)/DATOSAÑO!$Y$11</f>
        <v>0.20901648203884837</v>
      </c>
      <c r="W237" s="9">
        <f ca="1">DATOSAÑO!AI236</f>
        <v>34.440000000002328</v>
      </c>
      <c r="X237" s="11">
        <f ca="1">(W237*DATOSAÑO!$Z$11)/DATOSAÑO!$Y$11</f>
        <v>0.62056272770846543</v>
      </c>
      <c r="Y237" s="9">
        <f ca="1">DATOSAÑO!AJ236</f>
        <v>8.1900000000023283</v>
      </c>
      <c r="Z237" s="11">
        <f ca="1">(Y237*DATOSAÑO!$Z$11)/DATOSAÑO!$Y$11</f>
        <v>0.14757284378436217</v>
      </c>
      <c r="AA237" s="9">
        <f ca="1">DATOSAÑO!AK236</f>
        <v>11.580000000016298</v>
      </c>
      <c r="AB237" s="11">
        <f ca="1">(AA237*DATOSAÑO!$Z$11)/DATOSAÑO!$Y$11</f>
        <v>0.20865610879424093</v>
      </c>
      <c r="AC237" s="9">
        <f ca="1">DATOSAÑO!AL236</f>
        <v>36.290999999950259</v>
      </c>
      <c r="AD237" s="11">
        <f ca="1">(AC237*DATOSAÑO!$Z$11)/DATOSAÑO!$Y$11</f>
        <v>0.65391527152251816</v>
      </c>
      <c r="AE237" s="9">
        <f ca="1">DATOSAÑO!AM236</f>
        <v>10.167000000024739</v>
      </c>
      <c r="AF237" s="11">
        <f ca="1">(AE237*DATOSAÑO!$Z$11)/DATOSAÑO!$Y$11</f>
        <v>0.1831957390425927</v>
      </c>
      <c r="AG237" s="9">
        <f ca="1">DATOSAÑO!AN236</f>
        <v>3.4500000000001458</v>
      </c>
      <c r="AH237" s="11">
        <f ca="1">(AG237*DATOSAÑO!$Z$11)/DATOSAÑO!$Y$11</f>
        <v>6.2164384744313343E-2</v>
      </c>
      <c r="AI237" s="9">
        <f ca="1">DATOSAÑO!BJ236</f>
        <v>0</v>
      </c>
      <c r="AJ237" s="11">
        <f ca="1">(AI237*DATOSAÑO!$Z$11)/DATOSAÑO!$Y$11</f>
        <v>0</v>
      </c>
      <c r="AK237" s="9">
        <f ca="1">DATOSAÑO!BM236</f>
        <v>3.2490000000000001</v>
      </c>
      <c r="AL237" s="11">
        <f ca="1">(AK237*DATOSAÑO!$Z$11)/DATOSAÑO!$Y$11</f>
        <v>5.8542633633120442E-2</v>
      </c>
      <c r="AM237" s="9">
        <f ca="1">DATOSAÑO!BP236</f>
        <v>4.8840000000000003</v>
      </c>
      <c r="AN237" s="11">
        <f ca="1">(AM237*DATOSAÑO!$Z$11)/DATOSAÑO!$Y$11</f>
        <v>8.8003146403250299E-2</v>
      </c>
      <c r="AO237" s="9">
        <f ca="1">DATOSAÑO!BW236</f>
        <v>10.243500000012224</v>
      </c>
      <c r="AP237" s="11">
        <f ca="1">(AO237*DATOSAÑO!$Z$11)/DATOSAÑO!$Y$11</f>
        <v>0.18457416670408888</v>
      </c>
      <c r="AQ237" s="9">
        <f ca="1">DATOSAÑO!CC236</f>
        <v>2.7700000000000582</v>
      </c>
      <c r="AR237" s="1348">
        <f ca="1">(AQ237*DATOSAÑO!$Z$11)/DATOSAÑO!$Y$11</f>
        <v>4.9911694417896897E-2</v>
      </c>
      <c r="AS237" s="1384">
        <f t="shared" si="11"/>
        <v>33</v>
      </c>
    </row>
    <row r="238" spans="1:45" ht="16.5" customHeight="1">
      <c r="A238" s="1408">
        <v>45153</v>
      </c>
      <c r="B238" s="1869">
        <v>45153</v>
      </c>
      <c r="C238" s="9">
        <f ca="1">DATOSAÑO!I237</f>
        <v>146.84999999997672</v>
      </c>
      <c r="D238" s="10">
        <f ca="1">DATOSAÑO!$D237</f>
        <v>3.9081337687717017</v>
      </c>
      <c r="E238" s="11">
        <f ca="1">DATOSAÑO!$G237</f>
        <v>0</v>
      </c>
      <c r="F238" s="9">
        <f ca="1">DATOSAÑO!P237</f>
        <v>294.55500000000029</v>
      </c>
      <c r="G238" s="10">
        <f ca="1">DATOSAÑO!K237</f>
        <v>5.4760786898245648</v>
      </c>
      <c r="H238" s="11">
        <f ca="1">DATOSAÑO!N237</f>
        <v>0</v>
      </c>
      <c r="I238" s="9">
        <f ca="1">DATOSAÑO!Q237</f>
        <v>0</v>
      </c>
      <c r="J238" s="11">
        <f ca="1">DATOSAÑO!R237</f>
        <v>0</v>
      </c>
      <c r="K238" s="9">
        <f ca="1">DATOSAÑO!T237</f>
        <v>0</v>
      </c>
      <c r="L238" s="11">
        <f t="shared" ca="1" si="9"/>
        <v>0</v>
      </c>
      <c r="M238" s="9"/>
      <c r="N238" s="11">
        <f t="shared" si="10"/>
        <v>0</v>
      </c>
      <c r="O238" s="9">
        <f>DATOSAÑO!CK237</f>
        <v>0</v>
      </c>
      <c r="P238" s="9">
        <f>DATOSAÑO!CL237</f>
        <v>0</v>
      </c>
      <c r="Q238" s="9">
        <f ca="1">DATOSAÑO!AD237</f>
        <v>166.29999999999927</v>
      </c>
      <c r="R238" s="11">
        <f ca="1">(Q238*DATOSAÑO!$Z$11)/DATOSAÑO!$Y$11</f>
        <v>2.9965035312982109</v>
      </c>
      <c r="S238" s="9">
        <f ca="1">DATOSAÑO!AF237</f>
        <v>146.10000000003492</v>
      </c>
      <c r="T238" s="11">
        <f ca="1">(S238*DATOSAÑO!$Z$11)/DATOSAÑO!$Y$11</f>
        <v>2.6325265539553522</v>
      </c>
      <c r="U238" s="9">
        <f ca="1">DATOSAÑO!AH237</f>
        <v>11.699999999998909</v>
      </c>
      <c r="V238" s="11">
        <f ca="1">(U238*DATOSAÑO!$Z$11)/DATOSAÑO!$Y$11</f>
        <v>0.2108183482632949</v>
      </c>
      <c r="W238" s="9">
        <f ca="1">DATOSAÑO!AI237</f>
        <v>32.759999999994761</v>
      </c>
      <c r="X238" s="11">
        <f ca="1">(W238*DATOSAÑO!$Z$11)/DATOSAÑO!$Y$11</f>
        <v>0.59029137513718644</v>
      </c>
      <c r="Y238" s="9">
        <f ca="1">DATOSAÑO!AJ237</f>
        <v>8.3999999999941792</v>
      </c>
      <c r="Z238" s="11">
        <f ca="1">(Y238*DATOSAÑO!$Z$11)/DATOSAÑO!$Y$11</f>
        <v>0.15135676285560815</v>
      </c>
      <c r="AA238" s="9">
        <f ca="1">DATOSAÑO!AK237</f>
        <v>11.869999999995343</v>
      </c>
      <c r="AB238" s="11">
        <f ca="1">(AA238*DATOSAÑO!$Z$11)/DATOSAÑO!$Y$11</f>
        <v>0.21388152084483439</v>
      </c>
      <c r="AC238" s="9">
        <f ca="1">DATOSAÑO!AL237</f>
        <v>33.875000000009095</v>
      </c>
      <c r="AD238" s="11">
        <f ca="1">(AC238*DATOSAÑO!$Z$11)/DATOSAÑO!$Y$11</f>
        <v>0.61038218354031615</v>
      </c>
      <c r="AE238" s="9">
        <f ca="1">DATOSAÑO!AM237</f>
        <v>11.952999999950542</v>
      </c>
      <c r="AF238" s="11">
        <f ca="1">(AE238*DATOSAÑO!$Z$11)/DATOSAÑO!$Y$11</f>
        <v>0.21537706981033955</v>
      </c>
      <c r="AG238" s="9">
        <f ca="1">DATOSAÑO!AN237</f>
        <v>3.415000000000127</v>
      </c>
      <c r="AH238" s="11">
        <f ca="1">(AG238*DATOSAÑO!$Z$11)/DATOSAÑO!$Y$11</f>
        <v>6.1533731565747533E-2</v>
      </c>
      <c r="AI238" s="9">
        <f ca="1">DATOSAÑO!BJ237</f>
        <v>0</v>
      </c>
      <c r="AJ238" s="11">
        <f ca="1">(AI238*DATOSAÑO!$Z$11)/DATOSAÑO!$Y$11</f>
        <v>0</v>
      </c>
      <c r="AK238" s="9">
        <f ca="1">DATOSAÑO!BM237</f>
        <v>3.7949999999999999</v>
      </c>
      <c r="AL238" s="11">
        <f ca="1">(AK238*DATOSAÑO!$Z$11)/DATOSAÑO!$Y$11</f>
        <v>6.8380823218741782E-2</v>
      </c>
      <c r="AM238" s="9">
        <f ca="1">DATOSAÑO!BP237</f>
        <v>4.6319999999999997</v>
      </c>
      <c r="AN238" s="11">
        <f ca="1">(AM238*DATOSAÑO!$Z$11)/DATOSAÑO!$Y$11</f>
        <v>8.3462443517578894E-2</v>
      </c>
      <c r="AO238" s="9">
        <f ca="1">DATOSAÑO!BW237</f>
        <v>11.136499999975126</v>
      </c>
      <c r="AP238" s="11">
        <f ca="1">(AO238*DATOSAÑO!$Z$11)/DATOSAÑO!$Y$11</f>
        <v>0.20066483208796229</v>
      </c>
      <c r="AQ238" s="9">
        <f ca="1">DATOSAÑO!CC237</f>
        <v>2.811000000000051</v>
      </c>
      <c r="AR238" s="1348">
        <f ca="1">(AQ238*DATOSAÑO!$Z$11)/DATOSAÑO!$Y$11</f>
        <v>5.0650459569930605E-2</v>
      </c>
      <c r="AS238" s="1384">
        <f t="shared" si="11"/>
        <v>33</v>
      </c>
    </row>
    <row r="239" spans="1:45">
      <c r="A239" s="1408">
        <v>45154</v>
      </c>
      <c r="B239" s="1869">
        <v>45154</v>
      </c>
      <c r="C239" s="9">
        <f ca="1">DATOSAÑO!I238</f>
        <v>146.70000000006985</v>
      </c>
      <c r="D239" s="10">
        <f ca="1">DATOSAÑO!$D238</f>
        <v>3.9066613126322656</v>
      </c>
      <c r="E239" s="11">
        <f ca="1">DATOSAÑO!$G238</f>
        <v>0</v>
      </c>
      <c r="F239" s="9">
        <f ca="1">DATOSAÑO!P238</f>
        <v>292.66000000000349</v>
      </c>
      <c r="G239" s="10">
        <f ca="1">DATOSAÑO!K238</f>
        <v>5.4561479442105636</v>
      </c>
      <c r="H239" s="11">
        <f ca="1">DATOSAÑO!N238</f>
        <v>0</v>
      </c>
      <c r="I239" s="9">
        <f ca="1">DATOSAÑO!Q238</f>
        <v>0</v>
      </c>
      <c r="J239" s="11">
        <f ca="1">DATOSAÑO!R238</f>
        <v>0</v>
      </c>
      <c r="K239" s="9">
        <f ca="1">DATOSAÑO!T238</f>
        <v>0</v>
      </c>
      <c r="L239" s="11">
        <f t="shared" ca="1" si="9"/>
        <v>0</v>
      </c>
      <c r="M239" s="9"/>
      <c r="N239" s="11">
        <f t="shared" si="10"/>
        <v>0</v>
      </c>
      <c r="O239" s="9">
        <f>DATOSAÑO!CK238</f>
        <v>0</v>
      </c>
      <c r="P239" s="9">
        <f>DATOSAÑO!CL238</f>
        <v>0</v>
      </c>
      <c r="Q239" s="9">
        <f ca="1">DATOSAÑO!AD238</f>
        <v>166.10000000000218</v>
      </c>
      <c r="R239" s="11">
        <f ca="1">(Q239*DATOSAÑO!$Z$11)/DATOSAÑO!$Y$11</f>
        <v>2.9928997988493173</v>
      </c>
      <c r="S239" s="9">
        <f ca="1">DATOSAÑO!AF238</f>
        <v>146.09999999997672</v>
      </c>
      <c r="T239" s="11">
        <f ca="1">(S239*DATOSAÑO!$Z$11)/DATOSAÑO!$Y$11</f>
        <v>2.6325265539543037</v>
      </c>
      <c r="U239" s="9">
        <f ca="1">DATOSAÑO!AH238</f>
        <v>10.400000000001455</v>
      </c>
      <c r="V239" s="11">
        <f ca="1">(U239*DATOSAÑO!$Z$11)/DATOSAÑO!$Y$11</f>
        <v>0.18739408734519472</v>
      </c>
      <c r="W239" s="9">
        <f ca="1">DATOSAÑO!AI238</f>
        <v>31</v>
      </c>
      <c r="X239" s="11">
        <f ca="1">(W239*DATOSAÑO!$Z$11)/DATOSAÑO!$Y$11</f>
        <v>0.55857852958656007</v>
      </c>
      <c r="Y239" s="9">
        <f ca="1">DATOSAÑO!AJ238</f>
        <v>7.6000000000058208</v>
      </c>
      <c r="Z239" s="11">
        <f ca="1">(Y239*DATOSAÑO!$Z$11)/DATOSAÑO!$Y$11</f>
        <v>0.13694183306003571</v>
      </c>
      <c r="AA239" s="9">
        <f ca="1">DATOSAÑO!AK238</f>
        <v>13</v>
      </c>
      <c r="AB239" s="11">
        <f ca="1">(AA239*DATOSAÑO!$Z$11)/DATOSAÑO!$Y$11</f>
        <v>0.23424260918146064</v>
      </c>
      <c r="AC239" s="9">
        <f ca="1">DATOSAÑO!AL238</f>
        <v>37.360000000062485</v>
      </c>
      <c r="AD239" s="11">
        <f ca="1">(AC239*DATOSAÑO!$Z$11)/DATOSAÑO!$Y$11</f>
        <v>0.67317722146415426</v>
      </c>
      <c r="AE239" s="9">
        <f ca="1">DATOSAÑO!AM238</f>
        <v>9.971000000025068</v>
      </c>
      <c r="AF239" s="11">
        <f ca="1">(AE239*DATOSAÑO!$Z$11)/DATOSAÑO!$Y$11</f>
        <v>0.179664081242632</v>
      </c>
      <c r="AG239" s="9">
        <f ca="1">DATOSAÑO!AN238</f>
        <v>3.1959999999994544</v>
      </c>
      <c r="AH239" s="11">
        <f ca="1">(AG239*DATOSAÑO!$Z$11)/DATOSAÑO!$Y$11</f>
        <v>5.7587644534140031E-2</v>
      </c>
      <c r="AI239" s="9">
        <f ca="1">DATOSAÑO!BJ238</f>
        <v>0</v>
      </c>
      <c r="AJ239" s="11">
        <f ca="1">(AI239*DATOSAÑO!$Z$11)/DATOSAÑO!$Y$11</f>
        <v>0</v>
      </c>
      <c r="AK239" s="9">
        <f ca="1">DATOSAÑO!BM238</f>
        <v>4.0810000000000004</v>
      </c>
      <c r="AL239" s="11">
        <f ca="1">(AK239*DATOSAÑO!$Z$11)/DATOSAÑO!$Y$11</f>
        <v>7.3534160620733924E-2</v>
      </c>
      <c r="AM239" s="9">
        <f ca="1">DATOSAÑO!BP238</f>
        <v>4.1379999999999999</v>
      </c>
      <c r="AN239" s="11">
        <f ca="1">(AM239*DATOSAÑO!$Z$11)/DATOSAÑO!$Y$11</f>
        <v>7.4561224368683399E-2</v>
      </c>
      <c r="AO239" s="9">
        <f ca="1">DATOSAÑO!BW238</f>
        <v>9.9955000000127523</v>
      </c>
      <c r="AP239" s="11">
        <f ca="1">(AO239*DATOSAÑO!$Z$11)/DATOSAÑO!$Y$11</f>
        <v>0.18010553846740593</v>
      </c>
      <c r="AQ239" s="9">
        <f ca="1">DATOSAÑO!CC238</f>
        <v>2.6823999999997818</v>
      </c>
      <c r="AR239" s="1348">
        <f ca="1">(AQ239*DATOSAÑO!$Z$11)/DATOSAÑO!$Y$11</f>
        <v>4.833325960525376E-2</v>
      </c>
      <c r="AS239" s="1384">
        <f t="shared" si="11"/>
        <v>33</v>
      </c>
    </row>
    <row r="240" spans="1:45">
      <c r="A240" s="1408">
        <v>45155</v>
      </c>
      <c r="B240" s="1869">
        <v>45155</v>
      </c>
      <c r="C240" s="9">
        <f ca="1">DATOSAÑO!I239</f>
        <v>145.69999999995343</v>
      </c>
      <c r="D240" s="10">
        <f ca="1">DATOSAÑO!$D239</f>
        <v>3.8968449383621167</v>
      </c>
      <c r="E240" s="11">
        <f ca="1">DATOSAÑO!$G239</f>
        <v>0</v>
      </c>
      <c r="F240" s="9">
        <f ca="1">DATOSAÑO!P239</f>
        <v>290.11699999999837</v>
      </c>
      <c r="G240" s="10">
        <f ca="1">DATOSAÑO!K239</f>
        <v>5.4294018301754221</v>
      </c>
      <c r="H240" s="11">
        <f ca="1">DATOSAÑO!N239</f>
        <v>0</v>
      </c>
      <c r="I240" s="9">
        <f ca="1">DATOSAÑO!Q239</f>
        <v>0</v>
      </c>
      <c r="J240" s="11">
        <f ca="1">DATOSAÑO!R239</f>
        <v>0</v>
      </c>
      <c r="K240" s="9">
        <f ca="1">DATOSAÑO!T239</f>
        <v>0</v>
      </c>
      <c r="L240" s="11">
        <f t="shared" ca="1" si="9"/>
        <v>0</v>
      </c>
      <c r="M240" s="9"/>
      <c r="N240" s="11">
        <f t="shared" si="10"/>
        <v>0</v>
      </c>
      <c r="O240" s="9">
        <f>DATOSAÑO!CK239</f>
        <v>0</v>
      </c>
      <c r="P240" s="9">
        <f>DATOSAÑO!CL239</f>
        <v>0</v>
      </c>
      <c r="Q240" s="9">
        <f ca="1">DATOSAÑO!AD239</f>
        <v>169.29999999999927</v>
      </c>
      <c r="R240" s="11">
        <f ca="1">(Q240*DATOSAÑO!$Z$11)/DATOSAÑO!$Y$11</f>
        <v>3.0505595180323937</v>
      </c>
      <c r="S240" s="9">
        <f ca="1">DATOSAÑO!AF239</f>
        <v>144.20000000001164</v>
      </c>
      <c r="T240" s="11">
        <f ca="1">(S240*DATOSAÑO!$Z$11)/DATOSAÑO!$Y$11</f>
        <v>2.5982910956899499</v>
      </c>
      <c r="U240" s="9">
        <f ca="1">DATOSAÑO!AH239</f>
        <v>5.0999999999985448</v>
      </c>
      <c r="V240" s="11">
        <f ca="1">(U240*DATOSAÑO!$Z$11)/DATOSAÑO!$Y$11</f>
        <v>9.1895177448085272E-2</v>
      </c>
      <c r="W240" s="9">
        <f ca="1">DATOSAÑO!AI239</f>
        <v>30.80000000000291</v>
      </c>
      <c r="X240" s="11">
        <f ca="1">(W240*DATOSAÑO!$Z$11)/DATOSAÑO!$Y$11</f>
        <v>0.55497479713766684</v>
      </c>
      <c r="Y240" s="9">
        <f ca="1">DATOSAÑO!AJ239</f>
        <v>8.6999999999970896</v>
      </c>
      <c r="Z240" s="11">
        <f ca="1">(Y240*DATOSAÑO!$Z$11)/DATOSAÑO!$Y$11</f>
        <v>0.15676236152907894</v>
      </c>
      <c r="AA240" s="9">
        <f ca="1">DATOSAÑO!AK239</f>
        <v>13</v>
      </c>
      <c r="AB240" s="11">
        <f ca="1">(AA240*DATOSAÑO!$Z$11)/DATOSAÑO!$Y$11</f>
        <v>0.23424260918146064</v>
      </c>
      <c r="AC240" s="9">
        <f ca="1">DATOSAÑO!AL239</f>
        <v>33.816999999955385</v>
      </c>
      <c r="AD240" s="11">
        <f ca="1">(AC240*DATOSAÑO!$Z$11)/DATOSAÑO!$Y$11</f>
        <v>0.60933710112915418</v>
      </c>
      <c r="AE240" s="9">
        <f ca="1">DATOSAÑO!AM239</f>
        <v>12.455999999987377</v>
      </c>
      <c r="AF240" s="11">
        <f ca="1">(AE240*DATOSAÑO!$Z$11)/DATOSAÑO!$Y$11</f>
        <v>0.22444045692010128</v>
      </c>
      <c r="AG240" s="9">
        <f ca="1">DATOSAÑO!AN239</f>
        <v>3.3510000000002558</v>
      </c>
      <c r="AH240" s="11">
        <f ca="1">(AG240*DATOSAÑO!$Z$11)/DATOSAÑO!$Y$11</f>
        <v>6.0380537182087274E-2</v>
      </c>
      <c r="AI240" s="9">
        <f ca="1">DATOSAÑO!BJ239</f>
        <v>0</v>
      </c>
      <c r="AJ240" s="11">
        <f ca="1">(AI240*DATOSAÑO!$Z$11)/DATOSAÑO!$Y$11</f>
        <v>0</v>
      </c>
      <c r="AK240" s="9">
        <f ca="1">DATOSAÑO!BM239</f>
        <v>4.7930000000000001</v>
      </c>
      <c r="AL240" s="11">
        <f ca="1">(AK240*DATOSAÑO!$Z$11)/DATOSAÑO!$Y$11</f>
        <v>8.6363448138980073E-2</v>
      </c>
      <c r="AM240" s="9">
        <f ca="1">DATOSAÑO!BP239</f>
        <v>3.601</v>
      </c>
      <c r="AN240" s="11">
        <f ca="1">(AM240*DATOSAÑO!$Z$11)/DATOSAÑO!$Y$11</f>
        <v>6.4885202743264606E-2</v>
      </c>
      <c r="AO240" s="9">
        <f ca="1">DATOSAÑO!BW239</f>
        <v>11.527999999992961</v>
      </c>
      <c r="AP240" s="11">
        <f ca="1">(AO240*DATOSAÑO!$Z$11)/DATOSAÑO!$Y$11</f>
        <v>0.20771913835709457</v>
      </c>
      <c r="AQ240" s="9">
        <f ca="1">DATOSAÑO!CC239</f>
        <v>2.7394000000001024</v>
      </c>
      <c r="AR240" s="1348">
        <f ca="1">(AQ240*DATOSAÑO!$Z$11)/DATOSAÑO!$Y$11</f>
        <v>4.9360323353209022E-2</v>
      </c>
      <c r="AS240" s="1384">
        <f t="shared" si="11"/>
        <v>33</v>
      </c>
    </row>
    <row r="241" spans="1:45">
      <c r="A241" s="1408">
        <v>45156</v>
      </c>
      <c r="B241" s="1869">
        <v>45156</v>
      </c>
      <c r="C241" s="9">
        <f ca="1">DATOSAÑO!I240</f>
        <v>148</v>
      </c>
      <c r="D241" s="10">
        <f ca="1">DATOSAÑO!$D240</f>
        <v>3.9194225991812877</v>
      </c>
      <c r="E241" s="11">
        <f ca="1">DATOSAÑO!$G240</f>
        <v>0</v>
      </c>
      <c r="F241" s="9">
        <f ca="1">DATOSAÑO!P240</f>
        <v>297</v>
      </c>
      <c r="G241" s="10">
        <f ca="1">DATOSAÑO!K240</f>
        <v>5.5017940845614044</v>
      </c>
      <c r="H241" s="11">
        <f ca="1">DATOSAÑO!N240</f>
        <v>0</v>
      </c>
      <c r="I241" s="9">
        <f ca="1">DATOSAÑO!Q240</f>
        <v>0</v>
      </c>
      <c r="J241" s="11">
        <f ca="1">DATOSAÑO!R240</f>
        <v>0</v>
      </c>
      <c r="K241" s="9">
        <f ca="1">DATOSAÑO!T240</f>
        <v>0</v>
      </c>
      <c r="L241" s="11">
        <f t="shared" ca="1" si="9"/>
        <v>0</v>
      </c>
      <c r="M241" s="9"/>
      <c r="N241" s="11">
        <f t="shared" si="10"/>
        <v>0</v>
      </c>
      <c r="O241" s="9">
        <f>DATOSAÑO!CK240</f>
        <v>0</v>
      </c>
      <c r="P241" s="9">
        <f>DATOSAÑO!CL240</f>
        <v>0</v>
      </c>
      <c r="Q241" s="9">
        <f ca="1">DATOSAÑO!AD240</f>
        <v>168</v>
      </c>
      <c r="R241" s="11">
        <f ca="1">(Q241*DATOSAÑO!$Z$11)/DATOSAÑO!$Y$11</f>
        <v>3.0271352571142609</v>
      </c>
      <c r="S241" s="9">
        <f ca="1">DATOSAÑO!AF240</f>
        <v>147</v>
      </c>
      <c r="T241" s="11">
        <f ca="1">(S241*DATOSAÑO!$Z$11)/DATOSAÑO!$Y$11</f>
        <v>2.648743349974978</v>
      </c>
      <c r="U241" s="9">
        <f ca="1">DATOSAÑO!AH240</f>
        <v>11.399999999997817</v>
      </c>
      <c r="V241" s="11">
        <f ca="1">(U241*DATOSAÑO!$Z$11)/DATOSAÑO!$Y$11</f>
        <v>0.20541274958985695</v>
      </c>
      <c r="W241" s="9">
        <f ca="1">DATOSAÑO!AI240</f>
        <v>33.30000000000291</v>
      </c>
      <c r="X241" s="11">
        <f ca="1">(W241*DATOSAÑO!$Z$11)/DATOSAÑO!$Y$11</f>
        <v>0.60002145274948626</v>
      </c>
      <c r="Y241" s="9">
        <f ca="1">DATOSAÑO!AJ240</f>
        <v>7.3999999999941792</v>
      </c>
      <c r="Z241" s="11">
        <f ca="1">(Y241*DATOSAÑO!$Z$11)/DATOSAÑO!$Y$11</f>
        <v>0.13333810061088042</v>
      </c>
      <c r="AA241" s="9">
        <f ca="1">DATOSAÑO!AK240</f>
        <v>12</v>
      </c>
      <c r="AB241" s="11">
        <f ca="1">(AA241*DATOSAÑO!$Z$11)/DATOSAÑO!$Y$11</f>
        <v>0.21622394693673291</v>
      </c>
      <c r="AC241" s="9">
        <f ca="1">DATOSAÑO!AL240</f>
        <v>35.500000000003581</v>
      </c>
      <c r="AD241" s="11">
        <f ca="1">(AC241*DATOSAÑO!$Z$11)/DATOSAÑO!$Y$11</f>
        <v>0.63966250968789928</v>
      </c>
      <c r="AE241" s="9">
        <f ca="1">DATOSAÑO!AM240</f>
        <v>12.256000000002</v>
      </c>
      <c r="AF241" s="11">
        <f ca="1">(AE241*DATOSAÑO!$Z$11)/DATOSAÑO!$Y$11</f>
        <v>0.22083672447141925</v>
      </c>
      <c r="AG241" s="9">
        <f ca="1">DATOSAÑO!AN240</f>
        <v>2.8870000000001816</v>
      </c>
      <c r="AH241" s="11">
        <f ca="1">(AG241*DATOSAÑO!$Z$11)/DATOSAÑO!$Y$11</f>
        <v>5.2019877900532266E-2</v>
      </c>
      <c r="AI241" s="9">
        <f ca="1">DATOSAÑO!BJ240</f>
        <v>0</v>
      </c>
      <c r="AJ241" s="11">
        <f ca="1">(AI241*DATOSAÑO!$Z$11)/DATOSAÑO!$Y$11</f>
        <v>0</v>
      </c>
      <c r="AK241" s="9">
        <f ca="1">DATOSAÑO!BM240</f>
        <v>4.9320000000000004</v>
      </c>
      <c r="AL241" s="11">
        <f ca="1">(AK241*DATOSAÑO!$Z$11)/DATOSAÑO!$Y$11</f>
        <v>8.8868042190997226E-2</v>
      </c>
      <c r="AM241" s="9">
        <f ca="1">DATOSAÑO!BP240</f>
        <v>3.6120000000000001</v>
      </c>
      <c r="AN241" s="11">
        <f ca="1">(AM241*DATOSAÑO!$Z$11)/DATOSAÑO!$Y$11</f>
        <v>6.5083408027956605E-2</v>
      </c>
      <c r="AO241" s="9">
        <f ca="1">DATOSAÑO!BW240</f>
        <v>11.428000000000273</v>
      </c>
      <c r="AP241" s="11">
        <f ca="1">(AO241*DATOSAÑO!$Z$11)/DATOSAÑO!$Y$11</f>
        <v>0.20591727213275357</v>
      </c>
      <c r="AQ241" s="9">
        <f ca="1">DATOSAÑO!CC240</f>
        <v>2.5678000000000729</v>
      </c>
      <c r="AR241" s="1348">
        <f ca="1">(AQ241*DATOSAÑO!$Z$11)/DATOSAÑO!$Y$11</f>
        <v>4.6268320912013217E-2</v>
      </c>
      <c r="AS241" s="1384">
        <f t="shared" si="11"/>
        <v>33</v>
      </c>
    </row>
    <row r="242" spans="1:45">
      <c r="A242" s="1408">
        <v>45157</v>
      </c>
      <c r="B242" s="1869">
        <v>45157</v>
      </c>
      <c r="C242" s="9">
        <f ca="1">DATOSAÑO!I241</f>
        <v>148</v>
      </c>
      <c r="D242" s="10">
        <f ca="1">DATOSAÑO!$D241</f>
        <v>3.9194225991812877</v>
      </c>
      <c r="E242" s="11">
        <f ca="1">DATOSAÑO!$G241</f>
        <v>0</v>
      </c>
      <c r="F242" s="9">
        <f ca="1">DATOSAÑO!P241</f>
        <v>314</v>
      </c>
      <c r="G242" s="10">
        <f ca="1">DATOSAÑO!K241</f>
        <v>5.6805923301754397</v>
      </c>
      <c r="H242" s="11">
        <f ca="1">DATOSAÑO!N241</f>
        <v>0</v>
      </c>
      <c r="I242" s="9">
        <f ca="1">DATOSAÑO!Q241</f>
        <v>0</v>
      </c>
      <c r="J242" s="11">
        <f ca="1">DATOSAÑO!R241</f>
        <v>0</v>
      </c>
      <c r="K242" s="9">
        <f ca="1">DATOSAÑO!T241</f>
        <v>0</v>
      </c>
      <c r="L242" s="11">
        <f t="shared" ca="1" si="9"/>
        <v>0</v>
      </c>
      <c r="M242" s="9"/>
      <c r="N242" s="11">
        <f t="shared" si="10"/>
        <v>0</v>
      </c>
      <c r="O242" s="9">
        <f>DATOSAÑO!CK241</f>
        <v>0</v>
      </c>
      <c r="P242" s="9">
        <f>DATOSAÑO!CL241</f>
        <v>0</v>
      </c>
      <c r="Q242" s="9">
        <f ca="1">DATOSAÑO!AD241</f>
        <v>173</v>
      </c>
      <c r="R242" s="11">
        <f ca="1">(Q242*DATOSAÑO!$Z$11)/DATOSAÑO!$Y$11</f>
        <v>3.1172285683378993</v>
      </c>
      <c r="S242" s="9">
        <f ca="1">DATOSAÑO!AF241</f>
        <v>147</v>
      </c>
      <c r="T242" s="11">
        <f ca="1">(S242*DATOSAÑO!$Z$11)/DATOSAÑO!$Y$11</f>
        <v>2.648743349974978</v>
      </c>
      <c r="U242" s="9">
        <f ca="1">DATOSAÑO!AH241</f>
        <v>14.100000000000364</v>
      </c>
      <c r="V242" s="11">
        <f ca="1">(U242*DATOSAÑO!$Z$11)/DATOSAÑO!$Y$11</f>
        <v>0.25406313765066774</v>
      </c>
      <c r="W242" s="9">
        <f ca="1">DATOSAÑO!AI241</f>
        <v>38.799999999988358</v>
      </c>
      <c r="X242" s="11">
        <f ca="1">(W242*DATOSAÑO!$Z$11)/DATOSAÑO!$Y$11</f>
        <v>0.69912409509522655</v>
      </c>
      <c r="Y242" s="9">
        <f ca="1">DATOSAÑO!AJ241</f>
        <v>9.3000000000029104</v>
      </c>
      <c r="Z242" s="11">
        <f ca="1">(Y242*DATOSAÑO!$Z$11)/DATOSAÑO!$Y$11</f>
        <v>0.16757355887602043</v>
      </c>
      <c r="AA242" s="9">
        <f ca="1">DATOSAÑO!AK241</f>
        <v>14</v>
      </c>
      <c r="AB242" s="11">
        <f ca="1">(AA242*DATOSAÑO!$Z$11)/DATOSAÑO!$Y$11</f>
        <v>0.25226127142618837</v>
      </c>
      <c r="AC242" s="9">
        <f ca="1">DATOSAÑO!AL241</f>
        <v>35.800000000008367</v>
      </c>
      <c r="AD242" s="11">
        <f ca="1">(AC242*DATOSAÑO!$Z$11)/DATOSAÑO!$Y$11</f>
        <v>0.64506810836140405</v>
      </c>
      <c r="AE242" s="9">
        <f ca="1">DATOSAÑO!AM241</f>
        <v>12.581999999999548</v>
      </c>
      <c r="AF242" s="11">
        <f ca="1">(AE242*DATOSAÑO!$Z$11)/DATOSAÑO!$Y$11</f>
        <v>0.2267108083631563</v>
      </c>
      <c r="AG242" s="9">
        <f ca="1">DATOSAÑO!AN241</f>
        <v>2.3599999999997272</v>
      </c>
      <c r="AH242" s="11">
        <f ca="1">(AG242*DATOSAÑO!$Z$11)/DATOSAÑO!$Y$11</f>
        <v>4.2524042897552551E-2</v>
      </c>
      <c r="AI242" s="9">
        <f ca="1">DATOSAÑO!BJ241</f>
        <v>0</v>
      </c>
      <c r="AJ242" s="11">
        <f ca="1">(AI242*DATOSAÑO!$Z$11)/DATOSAÑO!$Y$11</f>
        <v>0</v>
      </c>
      <c r="AK242" s="9">
        <f ca="1">DATOSAÑO!BM241</f>
        <v>4.8079999999999998</v>
      </c>
      <c r="AL242" s="11">
        <f ca="1">(AK242*DATOSAÑO!$Z$11)/DATOSAÑO!$Y$11</f>
        <v>8.663372807265099E-2</v>
      </c>
      <c r="AM242" s="9">
        <f ca="1">DATOSAÑO!BP241</f>
        <v>3.61</v>
      </c>
      <c r="AN242" s="11">
        <f ca="1">(AM242*DATOSAÑO!$Z$11)/DATOSAÑO!$Y$11</f>
        <v>6.5047370703467153E-2</v>
      </c>
      <c r="AO242" s="9">
        <f ca="1">DATOSAÑO!BW241</f>
        <v>11.491000000000501</v>
      </c>
      <c r="AP242" s="11">
        <f ca="1">(AO242*DATOSAÑO!$Z$11)/DATOSAÑO!$Y$11</f>
        <v>0.20705244785417551</v>
      </c>
      <c r="AQ242" s="9">
        <f ca="1">DATOSAÑO!CC241</f>
        <v>2.3839999999998911</v>
      </c>
      <c r="AR242" s="1348">
        <f ca="1">(AQ242*DATOSAÑO!$Z$11)/DATOSAÑO!$Y$11</f>
        <v>4.2956490791428978E-2</v>
      </c>
      <c r="AS242" s="1384">
        <f t="shared" si="11"/>
        <v>33</v>
      </c>
    </row>
    <row r="243" spans="1:45">
      <c r="A243" s="1408">
        <v>45158</v>
      </c>
      <c r="B243" s="1869">
        <v>45158</v>
      </c>
      <c r="C243" s="9">
        <f ca="1">DATOSAÑO!I242</f>
        <v>146</v>
      </c>
      <c r="D243" s="10">
        <f ca="1">DATOSAÑO!$D242</f>
        <v>3.8997898506432755</v>
      </c>
      <c r="E243" s="11">
        <f ca="1">DATOSAÑO!$G242</f>
        <v>0</v>
      </c>
      <c r="F243" s="9">
        <f ca="1">DATOSAÑO!P242</f>
        <v>300</v>
      </c>
      <c r="G243" s="10">
        <f ca="1">DATOSAÑO!K242</f>
        <v>5.5333467161403513</v>
      </c>
      <c r="H243" s="11">
        <f ca="1">DATOSAÑO!N242</f>
        <v>0</v>
      </c>
      <c r="I243" s="9">
        <f ca="1">DATOSAÑO!Q242</f>
        <v>0</v>
      </c>
      <c r="J243" s="11">
        <f ca="1">DATOSAÑO!R242</f>
        <v>0</v>
      </c>
      <c r="K243" s="9">
        <f ca="1">DATOSAÑO!T242</f>
        <v>0</v>
      </c>
      <c r="L243" s="11">
        <f t="shared" ca="1" si="9"/>
        <v>0</v>
      </c>
      <c r="M243" s="9"/>
      <c r="N243" s="11">
        <f t="shared" si="10"/>
        <v>0</v>
      </c>
      <c r="O243" s="9">
        <f>DATOSAÑO!CK242</f>
        <v>0</v>
      </c>
      <c r="P243" s="9">
        <f>DATOSAÑO!CL242</f>
        <v>0</v>
      </c>
      <c r="Q243" s="9">
        <f ca="1">DATOSAÑO!AD242</f>
        <v>168</v>
      </c>
      <c r="R243" s="11">
        <f ca="1">(Q243*DATOSAÑO!$Z$11)/DATOSAÑO!$Y$11</f>
        <v>3.0271352571142609</v>
      </c>
      <c r="S243" s="9">
        <f ca="1">DATOSAÑO!AF242</f>
        <v>143</v>
      </c>
      <c r="T243" s="11">
        <f ca="1">(S243*DATOSAÑO!$Z$11)/DATOSAÑO!$Y$11</f>
        <v>2.5766687009960672</v>
      </c>
      <c r="U243" s="9">
        <f ca="1">DATOSAÑO!AH242</f>
        <v>9.500000000001819</v>
      </c>
      <c r="V243" s="11">
        <f ca="1">(U243*DATOSAÑO!$Z$11)/DATOSAÑO!$Y$11</f>
        <v>0.17117729132494633</v>
      </c>
      <c r="W243" s="9">
        <f ca="1">DATOSAÑO!AI242</f>
        <v>37.200000000011642</v>
      </c>
      <c r="X243" s="11">
        <f ca="1">(W243*DATOSAÑO!$Z$11)/DATOSAÑO!$Y$11</f>
        <v>0.67029423550408174</v>
      </c>
      <c r="Y243" s="9">
        <f ca="1">DATOSAÑO!AJ242</f>
        <v>10.80000000000291</v>
      </c>
      <c r="Z243" s="11">
        <f ca="1">(Y243*DATOSAÑO!$Z$11)/DATOSAÑO!$Y$11</f>
        <v>0.19460155224311204</v>
      </c>
      <c r="AA243" s="9">
        <f ca="1">DATOSAÑO!AK242</f>
        <v>14</v>
      </c>
      <c r="AB243" s="11">
        <f ca="1">(AA243*DATOSAÑO!$Z$11)/DATOSAÑO!$Y$11</f>
        <v>0.25226127142618837</v>
      </c>
      <c r="AC243" s="9">
        <f ca="1">DATOSAÑO!AL242</f>
        <v>35.899999999985084</v>
      </c>
      <c r="AD243" s="11">
        <f ca="1">(AC243*DATOSAÑO!$Z$11)/DATOSAÑO!$Y$11</f>
        <v>0.64686997458545714</v>
      </c>
      <c r="AE243" s="9">
        <f ca="1">DATOSAÑO!AM242</f>
        <v>11.341999999999087</v>
      </c>
      <c r="AF243" s="11">
        <f ca="1">(AE243*DATOSAÑO!$Z$11)/DATOSAÑO!$Y$11</f>
        <v>0.2043676671796856</v>
      </c>
      <c r="AG243" s="9">
        <f ca="1">DATOSAÑO!AN242</f>
        <v>1.4580000000001818</v>
      </c>
      <c r="AH243" s="11">
        <f ca="1">(AG243*DATOSAÑO!$Z$11)/DATOSAÑO!$Y$11</f>
        <v>2.6271209552816324E-2</v>
      </c>
      <c r="AI243" s="9">
        <f ca="1">DATOSAÑO!BJ242</f>
        <v>0</v>
      </c>
      <c r="AJ243" s="11">
        <f ca="1">(AI243*DATOSAÑO!$Z$11)/DATOSAÑO!$Y$11</f>
        <v>0</v>
      </c>
      <c r="AK243" s="9">
        <f ca="1">DATOSAÑO!BM242</f>
        <v>4.43</v>
      </c>
      <c r="AL243" s="11">
        <f ca="1">(AK243*DATOSAÑO!$Z$11)/DATOSAÑO!$Y$11</f>
        <v>7.9822673744143882E-2</v>
      </c>
      <c r="AM243" s="9">
        <f ca="1">DATOSAÑO!BP242</f>
        <v>4.2279999999999998</v>
      </c>
      <c r="AN243" s="11">
        <f ca="1">(AM243*DATOSAÑO!$Z$11)/DATOSAÑO!$Y$11</f>
        <v>7.6182903970708898E-2</v>
      </c>
      <c r="AO243" s="9">
        <f ca="1">DATOSAÑO!BW242</f>
        <v>10.470999999998817</v>
      </c>
      <c r="AP243" s="11">
        <f ca="1">(AO243*DATOSAÑO!$Z$11)/DATOSAÑO!$Y$11</f>
        <v>0.18867341236452287</v>
      </c>
      <c r="AQ243" s="9">
        <f ca="1">DATOSAÑO!CC242</f>
        <v>1.9252000000000729</v>
      </c>
      <c r="AR243" s="1348">
        <f ca="1">(AQ243*DATOSAÑO!$Z$11)/DATOSAÑO!$Y$11</f>
        <v>3.468952855355116E-2</v>
      </c>
      <c r="AS243" s="1384">
        <f t="shared" si="11"/>
        <v>34</v>
      </c>
    </row>
    <row r="244" spans="1:45">
      <c r="A244" s="1408">
        <v>45159</v>
      </c>
      <c r="B244" s="1869">
        <v>45159</v>
      </c>
      <c r="C244" s="9">
        <f ca="1">DATOSAÑO!I243</f>
        <v>149</v>
      </c>
      <c r="D244" s="10">
        <f ca="1">DATOSAÑO!$D243</f>
        <v>3.929238973450293</v>
      </c>
      <c r="E244" s="11">
        <f ca="1">DATOSAÑO!$G243</f>
        <v>0</v>
      </c>
      <c r="F244" s="9">
        <f ca="1">DATOSAÑO!P243</f>
        <v>313</v>
      </c>
      <c r="G244" s="10">
        <f ca="1">DATOSAÑO!K243</f>
        <v>5.6700747863157899</v>
      </c>
      <c r="H244" s="11">
        <f ca="1">DATOSAÑO!N243</f>
        <v>0</v>
      </c>
      <c r="I244" s="9">
        <f ca="1">DATOSAÑO!Q243</f>
        <v>0</v>
      </c>
      <c r="J244" s="11">
        <f ca="1">DATOSAÑO!R243</f>
        <v>0</v>
      </c>
      <c r="K244" s="9">
        <f ca="1">DATOSAÑO!T243</f>
        <v>0</v>
      </c>
      <c r="L244" s="11">
        <f t="shared" ca="1" si="9"/>
        <v>0</v>
      </c>
      <c r="M244" s="9"/>
      <c r="N244" s="11">
        <f t="shared" si="10"/>
        <v>0</v>
      </c>
      <c r="O244" s="9">
        <f>DATOSAÑO!CK243</f>
        <v>0</v>
      </c>
      <c r="P244" s="9">
        <f>DATOSAÑO!CL243</f>
        <v>0</v>
      </c>
      <c r="Q244" s="9">
        <f ca="1">DATOSAÑO!AD243</f>
        <v>172</v>
      </c>
      <c r="R244" s="11">
        <f ca="1">(Q244*DATOSAÑO!$Z$11)/DATOSAÑO!$Y$11</f>
        <v>3.0992099060931717</v>
      </c>
      <c r="S244" s="9">
        <f ca="1">DATOSAÑO!AF243</f>
        <v>149</v>
      </c>
      <c r="T244" s="11">
        <f ca="1">(S244*DATOSAÑO!$Z$11)/DATOSAÑO!$Y$11</f>
        <v>2.6847806744644336</v>
      </c>
      <c r="U244" s="9">
        <f ca="1">DATOSAÑO!AH243</f>
        <v>11.599999999998545</v>
      </c>
      <c r="V244" s="11">
        <f ca="1">(U244*DATOSAÑO!$Z$11)/DATOSAÑO!$Y$11</f>
        <v>0.20901648203881559</v>
      </c>
      <c r="W244" s="9">
        <f ca="1">DATOSAÑO!AI243</f>
        <v>37.799999999988358</v>
      </c>
      <c r="X244" s="11">
        <f ca="1">(W244*DATOSAÑO!$Z$11)/DATOSAÑO!$Y$11</f>
        <v>0.68110543285049896</v>
      </c>
      <c r="Y244" s="9">
        <f ca="1">DATOSAÑO!AJ243</f>
        <v>11.099999999991269</v>
      </c>
      <c r="Z244" s="11">
        <f ca="1">(Y244*DATOSAÑO!$Z$11)/DATOSAÑO!$Y$11</f>
        <v>0.20000715091632063</v>
      </c>
      <c r="AA244" s="9">
        <f ca="1">DATOSAÑO!AK243</f>
        <v>13</v>
      </c>
      <c r="AB244" s="11">
        <f ca="1">(AA244*DATOSAÑO!$Z$11)/DATOSAÑO!$Y$11</f>
        <v>0.23424260918146064</v>
      </c>
      <c r="AC244" s="9">
        <f ca="1">DATOSAÑO!AL243</f>
        <v>36.000000000021828</v>
      </c>
      <c r="AD244" s="11">
        <f ca="1">(AC244*DATOSAÑO!$Z$11)/DATOSAÑO!$Y$11</f>
        <v>0.64867184081059204</v>
      </c>
      <c r="AE244" s="9">
        <f ca="1">DATOSAÑO!AM243</f>
        <v>11.559999999999828</v>
      </c>
      <c r="AF244" s="11">
        <f ca="1">(AE244*DATOSAÑO!$Z$11)/DATOSAÑO!$Y$11</f>
        <v>0.20829573554904959</v>
      </c>
      <c r="AG244" s="9">
        <f ca="1">DATOSAÑO!AN243</f>
        <v>1.372000000000182</v>
      </c>
      <c r="AH244" s="11">
        <f ca="1">(AG244*DATOSAÑO!$Z$11)/DATOSAÑO!$Y$11</f>
        <v>2.4721604599769739E-2</v>
      </c>
      <c r="AI244" s="9">
        <f ca="1">DATOSAÑO!BJ243</f>
        <v>1.986</v>
      </c>
      <c r="AJ244" s="11">
        <f ca="1">(AI244*DATOSAÑO!$Z$11)/DATOSAÑO!$Y$11</f>
        <v>3.5785063218029295E-2</v>
      </c>
      <c r="AK244" s="9">
        <f ca="1">DATOSAÑO!BM243</f>
        <v>4.5869999999999997</v>
      </c>
      <c r="AL244" s="11">
        <f ca="1">(AK244*DATOSAÑO!$Z$11)/DATOSAÑO!$Y$11</f>
        <v>8.2651603716566144E-2</v>
      </c>
      <c r="AM244" s="9">
        <f ca="1">DATOSAÑO!BP243</f>
        <v>5.5670000000000002</v>
      </c>
      <c r="AN244" s="11">
        <f ca="1">(AM244*DATOSAÑO!$Z$11)/DATOSAÑO!$Y$11</f>
        <v>0.10030989271639935</v>
      </c>
      <c r="AO244" s="9">
        <f ca="1">DATOSAÑO!BW243</f>
        <v>10.779999999999914</v>
      </c>
      <c r="AP244" s="11">
        <f ca="1">(AO244*DATOSAÑO!$Z$11)/DATOSAÑO!$Y$11</f>
        <v>0.19424117899816351</v>
      </c>
      <c r="AQ244" s="9">
        <f ca="1">DATOSAÑO!CC243</f>
        <v>1.9768000000000727</v>
      </c>
      <c r="AR244" s="1348">
        <f ca="1">(AQ244*DATOSAÑO!$Z$11)/DATOSAÑO!$Y$11</f>
        <v>3.5619291525379113E-2</v>
      </c>
      <c r="AS244" s="1384">
        <f t="shared" si="11"/>
        <v>34</v>
      </c>
    </row>
    <row r="245" spans="1:45">
      <c r="A245" s="1408">
        <v>45160</v>
      </c>
      <c r="B245" s="1869">
        <v>45160</v>
      </c>
      <c r="C245" s="9">
        <f ca="1">DATOSAÑO!I244</f>
        <v>148</v>
      </c>
      <c r="D245" s="10">
        <f ca="1">DATOSAÑO!$D244</f>
        <v>3.9194225991812877</v>
      </c>
      <c r="E245" s="11">
        <f ca="1">DATOSAÑO!$G244</f>
        <v>0</v>
      </c>
      <c r="F245" s="9">
        <f ca="1">DATOSAÑO!P244</f>
        <v>322</v>
      </c>
      <c r="G245" s="10">
        <f ca="1">DATOSAÑO!K244</f>
        <v>5.7647326810526316</v>
      </c>
      <c r="H245" s="11">
        <f ca="1">DATOSAÑO!N244</f>
        <v>0</v>
      </c>
      <c r="I245" s="9">
        <f ca="1">DATOSAÑO!Q244</f>
        <v>0</v>
      </c>
      <c r="J245" s="11">
        <f ca="1">DATOSAÑO!R244</f>
        <v>0</v>
      </c>
      <c r="K245" s="9">
        <f ca="1">DATOSAÑO!T244</f>
        <v>0</v>
      </c>
      <c r="L245" s="11">
        <f t="shared" ca="1" si="9"/>
        <v>0</v>
      </c>
      <c r="M245" s="9"/>
      <c r="N245" s="11">
        <f t="shared" si="10"/>
        <v>0</v>
      </c>
      <c r="O245" s="9">
        <f>DATOSAÑO!CK244</f>
        <v>0</v>
      </c>
      <c r="P245" s="9">
        <f>DATOSAÑO!CL244</f>
        <v>0</v>
      </c>
      <c r="Q245" s="9">
        <f ca="1">DATOSAÑO!AD244</f>
        <v>175</v>
      </c>
      <c r="R245" s="11">
        <f ca="1">(Q245*DATOSAÑO!$Z$11)/DATOSAÑO!$Y$11</f>
        <v>3.1532658928273549</v>
      </c>
      <c r="S245" s="9">
        <f ca="1">DATOSAÑO!AF244</f>
        <v>152</v>
      </c>
      <c r="T245" s="11">
        <f ca="1">(S245*DATOSAÑO!$Z$11)/DATOSAÑO!$Y$11</f>
        <v>2.7388366611986168</v>
      </c>
      <c r="U245" s="9">
        <f ca="1">DATOSAÑO!AH244</f>
        <v>12.5</v>
      </c>
      <c r="V245" s="11">
        <f ca="1">(U245*DATOSAÑO!$Z$11)/DATOSAÑO!$Y$11</f>
        <v>0.22523327805909676</v>
      </c>
      <c r="W245" s="9">
        <f ca="1">DATOSAÑO!AI244</f>
        <v>37.5</v>
      </c>
      <c r="X245" s="11">
        <f ca="1">(W245*DATOSAÑO!$Z$11)/DATOSAÑO!$Y$11</f>
        <v>0.6756998341772904</v>
      </c>
      <c r="Y245" s="9">
        <f ca="1">DATOSAÑO!AJ244</f>
        <v>10.900000000008731</v>
      </c>
      <c r="Z245" s="11">
        <f ca="1">(Y245*DATOSAÑO!$Z$11)/DATOSAÑO!$Y$11</f>
        <v>0.19640341846768972</v>
      </c>
      <c r="AA245" s="9">
        <f ca="1">DATOSAÑO!AK244</f>
        <v>14</v>
      </c>
      <c r="AB245" s="11">
        <f ca="1">(AA245*DATOSAÑO!$Z$11)/DATOSAÑO!$Y$11</f>
        <v>0.25226127142618837</v>
      </c>
      <c r="AC245" s="9">
        <f ca="1">DATOSAÑO!AL244</f>
        <v>35.999999999989029</v>
      </c>
      <c r="AD245" s="11">
        <f ca="1">(AC245*DATOSAÑO!$Z$11)/DATOSAÑO!$Y$11</f>
        <v>0.64867184081000107</v>
      </c>
      <c r="AE245" s="9">
        <f ca="1">DATOSAÑO!AM244</f>
        <v>11.974000000000794</v>
      </c>
      <c r="AF245" s="11">
        <f ca="1">(AE245*DATOSAÑO!$Z$11)/DATOSAÑO!$Y$11</f>
        <v>0.21575546171838428</v>
      </c>
      <c r="AG245" s="9">
        <f ca="1">DATOSAÑO!AN244</f>
        <v>3.1349999999999216</v>
      </c>
      <c r="AH245" s="11">
        <f ca="1">(AG245*DATOSAÑO!$Z$11)/DATOSAÑO!$Y$11</f>
        <v>5.6488506137220056E-2</v>
      </c>
      <c r="AI245" s="9">
        <f ca="1">DATOSAÑO!BJ244</f>
        <v>2.8</v>
      </c>
      <c r="AJ245" s="11">
        <f ca="1">(AI245*DATOSAÑO!$Z$11)/DATOSAÑO!$Y$11</f>
        <v>5.0452254285237676E-2</v>
      </c>
      <c r="AK245" s="9">
        <f ca="1">DATOSAÑO!BM244</f>
        <v>3.5510000000000002</v>
      </c>
      <c r="AL245" s="11">
        <f ca="1">(AK245*DATOSAÑO!$Z$11)/DATOSAÑO!$Y$11</f>
        <v>6.3984269631028226E-2</v>
      </c>
      <c r="AM245" s="9">
        <f ca="1">DATOSAÑO!BP244</f>
        <v>4.6950000000000003</v>
      </c>
      <c r="AN245" s="11">
        <f ca="1">(AM245*DATOSAÑO!$Z$11)/DATOSAÑO!$Y$11</f>
        <v>8.4597619238996752E-2</v>
      </c>
      <c r="AO245" s="9">
        <f ca="1">DATOSAÑO!BW244</f>
        <v>10.387000000001851</v>
      </c>
      <c r="AP245" s="11">
        <f ca="1">(AO245*DATOSAÑO!$Z$11)/DATOSAÑO!$Y$11</f>
        <v>0.18715984473602043</v>
      </c>
      <c r="AQ245" s="9">
        <f ca="1">DATOSAÑO!CC244</f>
        <v>2.7989999999999684</v>
      </c>
      <c r="AR245" s="1348">
        <f ca="1">(AQ245*DATOSAÑO!$Z$11)/DATOSAÑO!$Y$11</f>
        <v>5.0434235622992381E-2</v>
      </c>
      <c r="AS245" s="1384">
        <f t="shared" si="11"/>
        <v>34</v>
      </c>
    </row>
    <row r="246" spans="1:45">
      <c r="A246" s="1408">
        <v>45161</v>
      </c>
      <c r="B246" s="1869">
        <v>45161</v>
      </c>
      <c r="C246" s="9">
        <f ca="1">DATOSAÑO!I245</f>
        <v>148</v>
      </c>
      <c r="D246" s="10">
        <f ca="1">DATOSAÑO!$D245</f>
        <v>3.9194225991812877</v>
      </c>
      <c r="E246" s="11">
        <f ca="1">DATOSAÑO!$G245</f>
        <v>0</v>
      </c>
      <c r="F246" s="9">
        <f ca="1">DATOSAÑO!P245</f>
        <v>315</v>
      </c>
      <c r="G246" s="10">
        <f ca="1">DATOSAÑO!K245</f>
        <v>5.6911098740350887</v>
      </c>
      <c r="H246" s="11">
        <f ca="1">DATOSAÑO!N245</f>
        <v>0</v>
      </c>
      <c r="I246" s="9">
        <f ca="1">DATOSAÑO!Q245</f>
        <v>0</v>
      </c>
      <c r="J246" s="11">
        <f ca="1">DATOSAÑO!R245</f>
        <v>0</v>
      </c>
      <c r="K246" s="9">
        <f ca="1">DATOSAÑO!T245</f>
        <v>0.59799999999995634</v>
      </c>
      <c r="L246" s="11">
        <f t="shared" ca="1" si="9"/>
        <v>71.759999999994761</v>
      </c>
      <c r="M246" s="9"/>
      <c r="N246" s="11">
        <f t="shared" si="10"/>
        <v>0</v>
      </c>
      <c r="O246" s="9">
        <f>DATOSAÑO!CK245</f>
        <v>0</v>
      </c>
      <c r="P246" s="9">
        <f>DATOSAÑO!CL245</f>
        <v>1</v>
      </c>
      <c r="Q246" s="9">
        <f ca="1">DATOSAÑO!AD245</f>
        <v>170</v>
      </c>
      <c r="R246" s="11">
        <f ca="1">(Q246*DATOSAÑO!$Z$11)/DATOSAÑO!$Y$11</f>
        <v>3.0631725816037165</v>
      </c>
      <c r="S246" s="9">
        <f ca="1">DATOSAÑO!AF245</f>
        <v>150</v>
      </c>
      <c r="T246" s="11">
        <f ca="1">(S246*DATOSAÑO!$Z$11)/DATOSAÑO!$Y$11</f>
        <v>2.7027993367091616</v>
      </c>
      <c r="U246" s="9">
        <f ca="1">DATOSAÑO!AH245</f>
        <v>12.500000000003638</v>
      </c>
      <c r="V246" s="11">
        <f ca="1">(U246*DATOSAÑO!$Z$11)/DATOSAÑO!$Y$11</f>
        <v>0.22523327805916232</v>
      </c>
      <c r="W246" s="9">
        <f ca="1">DATOSAÑO!AI245</f>
        <v>37.30000000000291</v>
      </c>
      <c r="X246" s="11">
        <f ca="1">(W246*DATOSAÑO!$Z$11)/DATOSAÑO!$Y$11</f>
        <v>0.67209610172839718</v>
      </c>
      <c r="Y246" s="9">
        <f ca="1">DATOSAÑO!AJ245</f>
        <v>10.69999999999709</v>
      </c>
      <c r="Z246" s="11">
        <f ca="1">(Y246*DATOSAÑO!$Z$11)/DATOSAÑO!$Y$11</f>
        <v>0.19279968601853439</v>
      </c>
      <c r="AA246" s="9">
        <f ca="1">DATOSAÑO!AK245</f>
        <v>15</v>
      </c>
      <c r="AB246" s="11">
        <f ca="1">(AA246*DATOSAÑO!$Z$11)/DATOSAÑO!$Y$11</f>
        <v>0.27027993367091613</v>
      </c>
      <c r="AC246" s="9">
        <f ca="1">DATOSAÑO!AL245</f>
        <v>37.397999999995591</v>
      </c>
      <c r="AD246" s="11">
        <f ca="1">(AC246*DATOSAÑO!$Z$11)/DATOSAÑO!$Y$11</f>
        <v>0.67386193062824862</v>
      </c>
      <c r="AE246" s="9">
        <f ca="1">DATOSAÑO!AM245</f>
        <v>11.844000000001998</v>
      </c>
      <c r="AF246" s="11">
        <f ca="1">(AE246*DATOSAÑO!$Z$11)/DATOSAÑO!$Y$11</f>
        <v>0.21341303562659136</v>
      </c>
      <c r="AG246" s="9">
        <f ca="1">DATOSAÑO!AN245</f>
        <v>1.9430000000001819</v>
      </c>
      <c r="AH246" s="11">
        <f ca="1">(AG246*DATOSAÑO!$Z$11)/DATOSAÑO!$Y$11</f>
        <v>3.5010260741509279E-2</v>
      </c>
      <c r="AI246" s="9">
        <f ca="1">DATOSAÑO!BJ245</f>
        <v>3</v>
      </c>
      <c r="AJ246" s="11">
        <f ca="1">(AI246*DATOSAÑO!$Z$11)/DATOSAÑO!$Y$11</f>
        <v>5.4055986734183228E-2</v>
      </c>
      <c r="AK246" s="9">
        <f ca="1">DATOSAÑO!BM245</f>
        <v>3.7829999999999999</v>
      </c>
      <c r="AL246" s="11">
        <f ca="1">(AK246*DATOSAÑO!$Z$11)/DATOSAÑO!$Y$11</f>
        <v>6.8164599271805043E-2</v>
      </c>
      <c r="AM246" s="9">
        <f ca="1">DATOSAÑO!BP245</f>
        <v>4.673</v>
      </c>
      <c r="AN246" s="11">
        <f ca="1">(AM246*DATOSAÑO!$Z$11)/DATOSAÑO!$Y$11</f>
        <v>8.420120866961274E-2</v>
      </c>
      <c r="AO246" s="9">
        <f ca="1">DATOSAÑO!BW245</f>
        <v>10.021999999999544</v>
      </c>
      <c r="AP246" s="11">
        <f ca="1">(AO246*DATOSAÑO!$Z$11)/DATOSAÑO!$Y$11</f>
        <v>0.18058303301665321</v>
      </c>
      <c r="AQ246" s="9">
        <f ca="1">DATOSAÑO!CC245</f>
        <v>2.1342000000000727</v>
      </c>
      <c r="AR246" s="1348">
        <f ca="1">(AQ246*DATOSAÑO!$Z$11)/DATOSAÑO!$Y$11</f>
        <v>3.845542896269926E-2</v>
      </c>
      <c r="AS246" s="1384">
        <f t="shared" si="11"/>
        <v>34</v>
      </c>
    </row>
    <row r="247" spans="1:45">
      <c r="A247" s="1408">
        <v>45162</v>
      </c>
      <c r="B247" s="1869">
        <v>45162</v>
      </c>
      <c r="C247" s="9">
        <f ca="1">DATOSAÑO!I246</f>
        <v>151</v>
      </c>
      <c r="D247" s="10">
        <f ca="1">DATOSAÑO!$D246</f>
        <v>3.9488717219883052</v>
      </c>
      <c r="E247" s="11">
        <f ca="1">DATOSAÑO!$G246</f>
        <v>0</v>
      </c>
      <c r="F247" s="9">
        <f ca="1">DATOSAÑO!P246</f>
        <v>309</v>
      </c>
      <c r="G247" s="10">
        <f ca="1">DATOSAÑO!K246</f>
        <v>5.6280046108771931</v>
      </c>
      <c r="H247" s="11">
        <f ca="1">DATOSAÑO!N246</f>
        <v>0</v>
      </c>
      <c r="I247" s="9">
        <f ca="1">DATOSAÑO!Q246</f>
        <v>0</v>
      </c>
      <c r="J247" s="11">
        <f ca="1">DATOSAÑO!R246</f>
        <v>0</v>
      </c>
      <c r="K247" s="9">
        <f ca="1">DATOSAÑO!T246</f>
        <v>0</v>
      </c>
      <c r="L247" s="11">
        <f t="shared" ca="1" si="9"/>
        <v>0</v>
      </c>
      <c r="M247" s="9"/>
      <c r="N247" s="11">
        <f t="shared" si="10"/>
        <v>0</v>
      </c>
      <c r="O247" s="9">
        <f>DATOSAÑO!CK246</f>
        <v>0</v>
      </c>
      <c r="P247" s="9">
        <f>DATOSAÑO!CL246</f>
        <v>0</v>
      </c>
      <c r="Q247" s="9">
        <f ca="1">DATOSAÑO!AD246</f>
        <v>174</v>
      </c>
      <c r="R247" s="11">
        <f ca="1">(Q247*DATOSAÑO!$Z$11)/DATOSAÑO!$Y$11</f>
        <v>3.1352472305826269</v>
      </c>
      <c r="S247" s="9">
        <f ca="1">DATOSAÑO!AF246</f>
        <v>152</v>
      </c>
      <c r="T247" s="11">
        <f ca="1">(S247*DATOSAÑO!$Z$11)/DATOSAÑO!$Y$11</f>
        <v>2.7388366611986168</v>
      </c>
      <c r="U247" s="9">
        <f ca="1">DATOSAÑO!AH246</f>
        <v>1.1000000000003638</v>
      </c>
      <c r="V247" s="11">
        <f ca="1">(U247*DATOSAÑO!$Z$11)/DATOSAÑO!$Y$11</f>
        <v>1.9820528469207073E-2</v>
      </c>
      <c r="W247" s="9">
        <f ca="1">DATOSAÑO!AI246</f>
        <v>38</v>
      </c>
      <c r="X247" s="11">
        <f ca="1">(W247*DATOSAÑO!$Z$11)/DATOSAÑO!$Y$11</f>
        <v>0.6847091652996542</v>
      </c>
      <c r="Y247" s="9">
        <f ca="1">DATOSAÑO!AJ246</f>
        <v>10.80000000000291</v>
      </c>
      <c r="Z247" s="11">
        <f ca="1">(Y247*DATOSAÑO!$Z$11)/DATOSAÑO!$Y$11</f>
        <v>0.19460155224311204</v>
      </c>
      <c r="AA247" s="9">
        <f ca="1">DATOSAÑO!AK246</f>
        <v>12</v>
      </c>
      <c r="AB247" s="11">
        <f ca="1">(AA247*DATOSAÑO!$Z$11)/DATOSAÑO!$Y$11</f>
        <v>0.21622394693673291</v>
      </c>
      <c r="AC247" s="9">
        <f ca="1">DATOSAÑO!AL246</f>
        <v>38.399999999999636</v>
      </c>
      <c r="AD247" s="11">
        <f ca="1">(AC247*DATOSAÑO!$Z$11)/DATOSAÑO!$Y$11</f>
        <v>0.6919166301975388</v>
      </c>
      <c r="AE247" s="9">
        <f ca="1">DATOSAÑO!AM246</f>
        <v>12.601999999996817</v>
      </c>
      <c r="AF247" s="11">
        <f ca="1">(AE247*DATOSAÑO!$Z$11)/DATOSAÑO!$Y$11</f>
        <v>0.22707118160800163</v>
      </c>
      <c r="AG247" s="9">
        <f ca="1">DATOSAÑO!AN246</f>
        <v>2.591999999999909</v>
      </c>
      <c r="AH247" s="11">
        <f ca="1">(AG247*DATOSAÑO!$Z$11)/DATOSAÑO!$Y$11</f>
        <v>4.6704372538332664E-2</v>
      </c>
      <c r="AI247" s="9">
        <f ca="1">DATOSAÑO!BJ246</f>
        <v>3.5</v>
      </c>
      <c r="AJ247" s="11">
        <f ca="1">(AI247*DATOSAÑO!$Z$11)/DATOSAÑO!$Y$11</f>
        <v>6.3065317856547093E-2</v>
      </c>
      <c r="AK247" s="9">
        <f ca="1">DATOSAÑO!BM246</f>
        <v>4.1100000000000003</v>
      </c>
      <c r="AL247" s="11">
        <f ca="1">(AK247*DATOSAÑO!$Z$11)/DATOSAÑO!$Y$11</f>
        <v>7.4056701825831031E-2</v>
      </c>
      <c r="AM247" s="9">
        <f ca="1">DATOSAÑO!BP246</f>
        <v>5.2880000000000003</v>
      </c>
      <c r="AN247" s="11">
        <f ca="1">(AM247*DATOSAÑO!$Z$11)/DATOSAÑO!$Y$11</f>
        <v>9.5282685950120308E-2</v>
      </c>
      <c r="AO247" s="9">
        <f ca="1">DATOSAÑO!BW246</f>
        <v>10.400999999998772</v>
      </c>
      <c r="AP247" s="11">
        <f ca="1">(AO247*DATOSAÑO!$Z$11)/DATOSAÑO!$Y$11</f>
        <v>0.18741210600739111</v>
      </c>
      <c r="AQ247" s="9">
        <f ca="1">DATOSAÑO!CC246</f>
        <v>2.544799999999964</v>
      </c>
      <c r="AR247" s="1348">
        <f ca="1">(AQ247*DATOSAÑO!$Z$11)/DATOSAÑO!$Y$11</f>
        <v>4.5853891680382508E-2</v>
      </c>
      <c r="AS247" s="1384">
        <f t="shared" si="11"/>
        <v>34</v>
      </c>
    </row>
    <row r="248" spans="1:45">
      <c r="A248" s="1408">
        <v>45163</v>
      </c>
      <c r="B248" s="1869">
        <v>45163</v>
      </c>
      <c r="C248" s="9">
        <f ca="1">DATOSAÑO!I247</f>
        <v>150</v>
      </c>
      <c r="D248" s="10">
        <f ca="1">DATOSAÑO!$D247</f>
        <v>3.9390553477192993</v>
      </c>
      <c r="E248" s="11">
        <f ca="1">DATOSAÑO!$G247</f>
        <v>0</v>
      </c>
      <c r="F248" s="9">
        <f ca="1">DATOSAÑO!P247</f>
        <v>316</v>
      </c>
      <c r="G248" s="10">
        <f ca="1">DATOSAÑO!K247</f>
        <v>5.7016274178947377</v>
      </c>
      <c r="H248" s="11">
        <f ca="1">DATOSAÑO!N247</f>
        <v>0</v>
      </c>
      <c r="I248" s="9">
        <f ca="1">DATOSAÑO!Q247</f>
        <v>0</v>
      </c>
      <c r="J248" s="11">
        <f ca="1">DATOSAÑO!R247</f>
        <v>0</v>
      </c>
      <c r="K248" s="9">
        <f ca="1">DATOSAÑO!T247</f>
        <v>0</v>
      </c>
      <c r="L248" s="11">
        <f t="shared" ca="1" si="9"/>
        <v>0</v>
      </c>
      <c r="M248" s="9"/>
      <c r="N248" s="11">
        <f t="shared" si="10"/>
        <v>0</v>
      </c>
      <c r="O248" s="9">
        <f>DATOSAÑO!CK247</f>
        <v>0</v>
      </c>
      <c r="P248" s="9">
        <f>DATOSAÑO!CL247</f>
        <v>0</v>
      </c>
      <c r="Q248" s="9">
        <f ca="1">DATOSAÑO!AD247</f>
        <v>176</v>
      </c>
      <c r="R248" s="11">
        <f ca="1">(Q248*DATOSAÑO!$Z$11)/DATOSAÑO!$Y$11</f>
        <v>3.1712845550720825</v>
      </c>
      <c r="S248" s="9">
        <f ca="1">DATOSAÑO!AF247</f>
        <v>152</v>
      </c>
      <c r="T248" s="11">
        <f ca="1">(S248*DATOSAÑO!$Z$11)/DATOSAÑO!$Y$11</f>
        <v>2.7388366611986168</v>
      </c>
      <c r="U248" s="9">
        <f ca="1">DATOSAÑO!AH247</f>
        <v>14.19999999999709</v>
      </c>
      <c r="V248" s="11">
        <f ca="1">(U248*DATOSAÑO!$Z$11)/DATOSAÑO!$Y$11</f>
        <v>0.25586500387508149</v>
      </c>
      <c r="W248" s="9">
        <f ca="1">DATOSAÑO!AI247</f>
        <v>37.19999999999709</v>
      </c>
      <c r="X248" s="11">
        <f ca="1">(W248*DATOSAÑO!$Z$11)/DATOSAÑO!$Y$11</f>
        <v>0.67029423550381961</v>
      </c>
      <c r="Y248" s="9">
        <f ca="1">DATOSAÑO!AJ247</f>
        <v>10.099999999991269</v>
      </c>
      <c r="Z248" s="11">
        <f ca="1">(Y248*DATOSAÑO!$Z$11)/DATOSAÑO!$Y$11</f>
        <v>0.18198848867159287</v>
      </c>
      <c r="AA248" s="9">
        <f ca="1">DATOSAÑO!AK247</f>
        <v>13</v>
      </c>
      <c r="AB248" s="11">
        <f ca="1">(AA248*DATOSAÑO!$Z$11)/DATOSAÑO!$Y$11</f>
        <v>0.23424260918146064</v>
      </c>
      <c r="AC248" s="9">
        <f ca="1">DATOSAÑO!AL247</f>
        <v>37.800000000013767</v>
      </c>
      <c r="AD248" s="11">
        <f ca="1">(AC248*DATOSAÑO!$Z$11)/DATOSAÑO!$Y$11</f>
        <v>0.6811054328509567</v>
      </c>
      <c r="AE248" s="9">
        <f ca="1">DATOSAÑO!AM247</f>
        <v>8.7570000000003745</v>
      </c>
      <c r="AF248" s="11">
        <f ca="1">(AE248*DATOSAÑO!$Z$11)/DATOSAÑO!$Y$11</f>
        <v>0.15778942527708759</v>
      </c>
      <c r="AG248" s="9">
        <f ca="1">DATOSAÑO!AN247</f>
        <v>3.3200000000000003</v>
      </c>
      <c r="AH248" s="11">
        <f ca="1">(AG248*DATOSAÑO!$Z$11)/DATOSAÑO!$Y$11</f>
        <v>5.9821958652496114E-2</v>
      </c>
      <c r="AI248" s="9">
        <f ca="1">DATOSAÑO!BJ247</f>
        <v>0.7</v>
      </c>
      <c r="AJ248" s="11">
        <f ca="1">(AI248*DATOSAÑO!$Z$11)/DATOSAÑO!$Y$11</f>
        <v>1.2613063571309419E-2</v>
      </c>
      <c r="AK248" s="9">
        <f ca="1">DATOSAÑO!BM247</f>
        <v>3.16</v>
      </c>
      <c r="AL248" s="11">
        <f ca="1">(AK248*DATOSAÑO!$Z$11)/DATOSAÑO!$Y$11</f>
        <v>5.6938972693339668E-2</v>
      </c>
      <c r="AM248" s="9">
        <f ca="1">DATOSAÑO!BP247</f>
        <v>3.4830000000000001</v>
      </c>
      <c r="AN248" s="11">
        <f ca="1">(AM248*DATOSAÑO!$Z$11)/DATOSAÑO!$Y$11</f>
        <v>6.2759000598386724E-2</v>
      </c>
      <c r="AO248" s="9">
        <f ca="1">DATOSAÑO!BW247</f>
        <v>9.478500000000551</v>
      </c>
      <c r="AP248" s="11">
        <f ca="1">(AO248*DATOSAÑO!$Z$11)/DATOSAÑO!$Y$11</f>
        <v>0.17078989008666184</v>
      </c>
      <c r="AQ248" s="9">
        <f ca="1">DATOSAÑO!CC247</f>
        <v>2.508</v>
      </c>
      <c r="AR248" s="1348">
        <f ca="1">(AQ248*DATOSAÑO!$Z$11)/DATOSAÑO!$Y$11</f>
        <v>4.5190804909777178E-2</v>
      </c>
      <c r="AS248" s="1384">
        <f t="shared" si="11"/>
        <v>34</v>
      </c>
    </row>
    <row r="249" spans="1:45">
      <c r="A249" s="1408">
        <v>45164</v>
      </c>
      <c r="B249" s="1869">
        <v>45164</v>
      </c>
      <c r="C249" s="9">
        <f ca="1">DATOSAÑO!I248</f>
        <v>335</v>
      </c>
      <c r="D249" s="10">
        <f ca="1">DATOSAÑO!$D248</f>
        <v>5.7550845874853795</v>
      </c>
      <c r="E249" s="11">
        <f ca="1">DATOSAÑO!$G248</f>
        <v>0</v>
      </c>
      <c r="F249" s="9">
        <f ca="1">DATOSAÑO!P248</f>
        <v>103</v>
      </c>
      <c r="G249" s="10">
        <f ca="1">DATOSAÑO!K248</f>
        <v>3.4613905757894732</v>
      </c>
      <c r="H249" s="11">
        <f ca="1">DATOSAÑO!N248</f>
        <v>0</v>
      </c>
      <c r="I249" s="9">
        <f ca="1">DATOSAÑO!Q248</f>
        <v>0</v>
      </c>
      <c r="J249" s="11">
        <f ca="1">DATOSAÑO!R248</f>
        <v>0</v>
      </c>
      <c r="K249" s="9">
        <f ca="1">DATOSAÑO!T248</f>
        <v>8.1820000000000164</v>
      </c>
      <c r="L249" s="11">
        <f t="shared" ca="1" si="9"/>
        <v>981.84000000000196</v>
      </c>
      <c r="M249" s="9"/>
      <c r="N249" s="11">
        <f t="shared" si="10"/>
        <v>0</v>
      </c>
      <c r="O249" s="9">
        <f>DATOSAÑO!CK248</f>
        <v>0</v>
      </c>
      <c r="P249" s="9">
        <f>DATOSAÑO!CL248</f>
        <v>8</v>
      </c>
      <c r="Q249" s="9">
        <f ca="1">DATOSAÑO!AD248</f>
        <v>155</v>
      </c>
      <c r="R249" s="11">
        <f ca="1">(Q249*DATOSAÑO!$Z$11)/DATOSAÑO!$Y$11</f>
        <v>2.7928926479328005</v>
      </c>
      <c r="S249" s="9">
        <f ca="1">DATOSAÑO!AF248</f>
        <v>155</v>
      </c>
      <c r="T249" s="11">
        <f ca="1">(S249*DATOSAÑO!$Z$11)/DATOSAÑO!$Y$11</f>
        <v>2.7928926479328005</v>
      </c>
      <c r="U249" s="9">
        <f ca="1">DATOSAÑO!AH248</f>
        <v>11.5</v>
      </c>
      <c r="V249" s="11">
        <f ca="1">(U249*DATOSAÑO!$Z$11)/DATOSAÑO!$Y$11</f>
        <v>0.20721461581436901</v>
      </c>
      <c r="W249" s="9">
        <f ca="1">DATOSAÑO!AI248</f>
        <v>36.700000000011642</v>
      </c>
      <c r="X249" s="11">
        <f ca="1">(W249*DATOSAÑO!$Z$11)/DATOSAÑO!$Y$11</f>
        <v>0.66128490438171794</v>
      </c>
      <c r="Y249" s="9">
        <f ca="1">DATOSAÑO!AJ248</f>
        <v>10.80000000000291</v>
      </c>
      <c r="Z249" s="11">
        <f ca="1">(Y249*DATOSAÑO!$Z$11)/DATOSAÑO!$Y$11</f>
        <v>0.19460155224311204</v>
      </c>
      <c r="AA249" s="9">
        <f ca="1">DATOSAÑO!AK248</f>
        <v>13</v>
      </c>
      <c r="AB249" s="11">
        <f ca="1">(AA249*DATOSAÑO!$Z$11)/DATOSAÑO!$Y$11</f>
        <v>0.23424260918146064</v>
      </c>
      <c r="AC249" s="9">
        <f ca="1">DATOSAÑO!AL248</f>
        <v>42.681999999985408</v>
      </c>
      <c r="AD249" s="11">
        <f ca="1">(AC249*DATOSAÑO!$Z$11)/DATOSAÑO!$Y$11</f>
        <v>0.76907254192920649</v>
      </c>
      <c r="AE249" s="9">
        <f ca="1">DATOSAÑO!AM248</f>
        <v>1.9940000000004505</v>
      </c>
      <c r="AF249" s="11">
        <f ca="1">(AE249*DATOSAÑO!$Z$11)/DATOSAÑO!$Y$11</f>
        <v>3.5929212515995235E-2</v>
      </c>
      <c r="AG249" s="9">
        <f ca="1">DATOSAÑO!AN248</f>
        <v>3.5449999999999124</v>
      </c>
      <c r="AH249" s="11">
        <f ca="1">(AG249*DATOSAÑO!$Z$11)/DATOSAÑO!$Y$11</f>
        <v>6.3876157657558275E-2</v>
      </c>
      <c r="AI249" s="9">
        <f ca="1">DATOSAÑO!BJ248</f>
        <v>0</v>
      </c>
      <c r="AJ249" s="11">
        <f ca="1">(AI249*DATOSAÑO!$Z$11)/DATOSAÑO!$Y$11</f>
        <v>0</v>
      </c>
      <c r="AK249" s="9">
        <f ca="1">DATOSAÑO!BM248</f>
        <v>3.81</v>
      </c>
      <c r="AL249" s="11">
        <f ca="1">(AK249*DATOSAÑO!$Z$11)/DATOSAÑO!$Y$11</f>
        <v>6.8651103152412699E-2</v>
      </c>
      <c r="AM249" s="9">
        <f ca="1">DATOSAÑO!BP248</f>
        <v>4.6059999999999999</v>
      </c>
      <c r="AN249" s="11">
        <f ca="1">(AM249*DATOSAÑO!$Z$11)/DATOSAÑO!$Y$11</f>
        <v>8.2993958299215978E-2</v>
      </c>
      <c r="AO249" s="9">
        <f ca="1">DATOSAÑO!BW248</f>
        <v>6.8969999999998617</v>
      </c>
      <c r="AP249" s="11">
        <f ca="1">(AO249*DATOSAÑO!$Z$11)/DATOSAÑO!$Y$11</f>
        <v>0.12427471350188474</v>
      </c>
      <c r="AQ249" s="9">
        <f ca="1">DATOSAÑO!CC248</f>
        <v>3.0629999999999651</v>
      </c>
      <c r="AR249" s="1348">
        <f ca="1">(AQ249*DATOSAÑO!$Z$11)/DATOSAÑO!$Y$11</f>
        <v>5.5191162455600448E-2</v>
      </c>
      <c r="AS249" s="1384">
        <f t="shared" si="11"/>
        <v>34</v>
      </c>
    </row>
    <row r="250" spans="1:45">
      <c r="A250" s="1408">
        <v>45165</v>
      </c>
      <c r="B250" s="1869">
        <v>45165</v>
      </c>
      <c r="C250" s="9">
        <f ca="1">DATOSAÑO!I249</f>
        <v>213</v>
      </c>
      <c r="D250" s="10">
        <f ca="1">DATOSAÑO!$D249</f>
        <v>4.5574869266666669</v>
      </c>
      <c r="E250" s="11">
        <f ca="1">DATOSAÑO!$G249</f>
        <v>0</v>
      </c>
      <c r="F250" s="9">
        <f ca="1">DATOSAÑO!P249</f>
        <v>230</v>
      </c>
      <c r="G250" s="10">
        <f ca="1">DATOSAÑO!K249</f>
        <v>4.7971186459649129</v>
      </c>
      <c r="H250" s="11">
        <f ca="1">DATOSAÑO!N249</f>
        <v>0</v>
      </c>
      <c r="I250" s="9">
        <f ca="1">DATOSAÑO!Q249</f>
        <v>0</v>
      </c>
      <c r="J250" s="11">
        <f ca="1">DATOSAÑO!R249</f>
        <v>0</v>
      </c>
      <c r="K250" s="9">
        <f ca="1">DATOSAÑO!T249</f>
        <v>0</v>
      </c>
      <c r="L250" s="11">
        <f t="shared" ca="1" si="9"/>
        <v>0</v>
      </c>
      <c r="M250" s="9"/>
      <c r="N250" s="11">
        <f t="shared" si="10"/>
        <v>0</v>
      </c>
      <c r="O250" s="9">
        <f>DATOSAÑO!CK249</f>
        <v>0</v>
      </c>
      <c r="P250" s="9">
        <f>DATOSAÑO!CL249</f>
        <v>0</v>
      </c>
      <c r="Q250" s="9">
        <f ca="1">DATOSAÑO!AD249</f>
        <v>161</v>
      </c>
      <c r="R250" s="11">
        <f ca="1">(Q250*DATOSAÑO!$Z$11)/DATOSAÑO!$Y$11</f>
        <v>2.9010046214011664</v>
      </c>
      <c r="S250" s="9">
        <f ca="1">DATOSAÑO!AF249</f>
        <v>152</v>
      </c>
      <c r="T250" s="11">
        <f ca="1">(S250*DATOSAÑO!$Z$11)/DATOSAÑO!$Y$11</f>
        <v>2.7388366611986168</v>
      </c>
      <c r="U250" s="9">
        <f ca="1">DATOSAÑO!AH249</f>
        <v>6.3000000000029104</v>
      </c>
      <c r="V250" s="11">
        <f ca="1">(U250*DATOSAÑO!$Z$11)/DATOSAÑO!$Y$11</f>
        <v>0.11351757214183721</v>
      </c>
      <c r="W250" s="9">
        <f ca="1">DATOSAÑO!AI249</f>
        <v>37.399999999994179</v>
      </c>
      <c r="X250" s="11">
        <f ca="1">(W250*DATOSAÑO!$Z$11)/DATOSAÑO!$Y$11</f>
        <v>0.67389796795271262</v>
      </c>
      <c r="Y250" s="9">
        <f ca="1">DATOSAÑO!AJ249</f>
        <v>8.6999999999970896</v>
      </c>
      <c r="Z250" s="11">
        <f ca="1">(Y250*DATOSAÑO!$Z$11)/DATOSAÑO!$Y$11</f>
        <v>0.15676236152907894</v>
      </c>
      <c r="AA250" s="9">
        <f ca="1">DATOSAÑO!AK249</f>
        <v>12</v>
      </c>
      <c r="AB250" s="11">
        <f ca="1">(AA250*DATOSAÑO!$Z$11)/DATOSAÑO!$Y$11</f>
        <v>0.21622394693673291</v>
      </c>
      <c r="AC250" s="9">
        <f ca="1">DATOSAÑO!AL249</f>
        <v>37.100000000005821</v>
      </c>
      <c r="AD250" s="11">
        <f ca="1">(AC250*DATOSAÑO!$Z$11)/DATOSAÑO!$Y$11</f>
        <v>0.66849236927950406</v>
      </c>
      <c r="AE250" s="9">
        <f ca="1">DATOSAÑO!AM249</f>
        <v>8.6210000000004552</v>
      </c>
      <c r="AF250" s="11">
        <f ca="1">(AE250*DATOSAÑO!$Z$11)/DATOSAÑO!$Y$11</f>
        <v>0.15533888721180608</v>
      </c>
      <c r="AG250" s="9">
        <f ca="1">DATOSAÑO!AN249</f>
        <v>4.0329999999995447</v>
      </c>
      <c r="AH250" s="11">
        <f ca="1">(AG250*DATOSAÑO!$Z$11)/DATOSAÑO!$Y$11</f>
        <v>7.266926483297878E-2</v>
      </c>
      <c r="AI250" s="9">
        <f ca="1">DATOSAÑO!BJ249</f>
        <v>0</v>
      </c>
      <c r="AJ250" s="11">
        <f ca="1">(AI250*DATOSAÑO!$Z$11)/DATOSAÑO!$Y$11</f>
        <v>0</v>
      </c>
      <c r="AK250" s="9">
        <f ca="1">DATOSAÑO!BM249</f>
        <v>3.766</v>
      </c>
      <c r="AL250" s="11">
        <f ca="1">(AK250*DATOSAÑO!$Z$11)/DATOSAÑO!$Y$11</f>
        <v>6.7858282013644675E-2</v>
      </c>
      <c r="AM250" s="9">
        <f ca="1">DATOSAÑO!BP249</f>
        <v>4.6130000000000004</v>
      </c>
      <c r="AN250" s="11">
        <f ca="1">(AM250*DATOSAÑO!$Z$11)/DATOSAÑO!$Y$11</f>
        <v>8.3120088934929073E-2</v>
      </c>
      <c r="AO250" s="9">
        <f ca="1">DATOSAÑO!BW249</f>
        <v>10.310500000000228</v>
      </c>
      <c r="AP250" s="11">
        <f ca="1">(AO250*DATOSAÑO!$Z$11)/DATOSAÑO!$Y$11</f>
        <v>0.18578141707426948</v>
      </c>
      <c r="AQ250" s="9">
        <f ca="1">DATOSAÑO!CC249</f>
        <v>3.080199999999818</v>
      </c>
      <c r="AR250" s="1348">
        <f ca="1">(AQ250*DATOSAÑO!$Z$11)/DATOSAÑO!$Y$11</f>
        <v>5.5501083446207113E-2</v>
      </c>
      <c r="AS250" s="1384">
        <f t="shared" si="11"/>
        <v>35</v>
      </c>
    </row>
    <row r="251" spans="1:45">
      <c r="A251" s="1408">
        <v>45166</v>
      </c>
      <c r="B251" s="1869">
        <v>45166</v>
      </c>
      <c r="C251" s="9">
        <f ca="1">DATOSAÑO!I250</f>
        <v>150</v>
      </c>
      <c r="D251" s="10">
        <f ca="1">DATOSAÑO!$D250</f>
        <v>3.9390553477192993</v>
      </c>
      <c r="E251" s="11">
        <f ca="1">DATOSAÑO!$G250</f>
        <v>0</v>
      </c>
      <c r="F251" s="9">
        <f ca="1">DATOSAÑO!P250</f>
        <v>300</v>
      </c>
      <c r="G251" s="10">
        <f ca="1">DATOSAÑO!K250</f>
        <v>5.5333467161403513</v>
      </c>
      <c r="H251" s="11">
        <f ca="1">DATOSAÑO!N250</f>
        <v>0</v>
      </c>
      <c r="I251" s="9">
        <f ca="1">DATOSAÑO!Q250</f>
        <v>0</v>
      </c>
      <c r="J251" s="11">
        <f ca="1">DATOSAÑO!R250</f>
        <v>0</v>
      </c>
      <c r="K251" s="9">
        <f ca="1">DATOSAÑO!T250</f>
        <v>0</v>
      </c>
      <c r="L251" s="11">
        <f t="shared" ca="1" si="9"/>
        <v>0</v>
      </c>
      <c r="M251" s="9"/>
      <c r="N251" s="11">
        <f t="shared" si="10"/>
        <v>0</v>
      </c>
      <c r="O251" s="9">
        <f>DATOSAÑO!CK250</f>
        <v>0</v>
      </c>
      <c r="P251" s="9">
        <f>DATOSAÑO!CL250</f>
        <v>0</v>
      </c>
      <c r="Q251" s="9">
        <f ca="1">DATOSAÑO!AD250</f>
        <v>166</v>
      </c>
      <c r="R251" s="11">
        <f ca="1">(Q251*DATOSAÑO!$Z$11)/DATOSAÑO!$Y$11</f>
        <v>2.9910979326248053</v>
      </c>
      <c r="S251" s="9">
        <f ca="1">DATOSAÑO!AF250</f>
        <v>150</v>
      </c>
      <c r="T251" s="11">
        <f ca="1">(S251*DATOSAÑO!$Z$11)/DATOSAÑO!$Y$11</f>
        <v>2.7027993367091616</v>
      </c>
      <c r="U251" s="9">
        <f ca="1">DATOSAÑO!AH250</f>
        <v>10.599999999998545</v>
      </c>
      <c r="V251" s="11">
        <f ca="1">(U251*DATOSAÑO!$Z$11)/DATOSAÑO!$Y$11</f>
        <v>0.19099781979408784</v>
      </c>
      <c r="W251" s="9">
        <f ca="1">DATOSAÑO!AI250</f>
        <v>38.899999999994179</v>
      </c>
      <c r="X251" s="11">
        <f ca="1">(W251*DATOSAÑO!$Z$11)/DATOSAÑO!$Y$11</f>
        <v>0.70092596131980434</v>
      </c>
      <c r="Y251" s="9">
        <f ca="1">DATOSAÑO!AJ250</f>
        <v>7.1000000000058208</v>
      </c>
      <c r="Z251" s="11">
        <f ca="1">(Y251*DATOSAÑO!$Z$11)/DATOSAÑO!$Y$11</f>
        <v>0.12793250193767186</v>
      </c>
      <c r="AA251" s="9">
        <f ca="1">DATOSAÑO!AK250</f>
        <v>11</v>
      </c>
      <c r="AB251" s="11">
        <f ca="1">(AA251*DATOSAÑO!$Z$11)/DATOSAÑO!$Y$11</f>
        <v>0.19820528469200516</v>
      </c>
      <c r="AC251" s="9">
        <f ca="1">DATOSAÑO!AL250</f>
        <v>35.799999999999272</v>
      </c>
      <c r="AD251" s="11">
        <f ca="1">(AC251*DATOSAÑO!$Z$11)/DATOSAÑO!$Y$11</f>
        <v>0.64506810836124007</v>
      </c>
      <c r="AE251" s="9">
        <f ca="1">DATOSAÑO!AM250</f>
        <v>10.50400000000109</v>
      </c>
      <c r="AF251" s="11">
        <f ca="1">(AE251*DATOSAÑO!$Z$11)/DATOSAÑO!$Y$11</f>
        <v>0.18926802821863986</v>
      </c>
      <c r="AG251" s="9">
        <f ca="1">DATOSAÑO!AN250</f>
        <v>4.2480000000007276</v>
      </c>
      <c r="AH251" s="11">
        <f ca="1">(AG251*DATOSAÑO!$Z$11)/DATOSAÑO!$Y$11</f>
        <v>7.6543277215616559E-2</v>
      </c>
      <c r="AI251" s="9">
        <f ca="1">DATOSAÑO!BJ250</f>
        <v>0</v>
      </c>
      <c r="AJ251" s="11">
        <f ca="1">(AI251*DATOSAÑO!$Z$11)/DATOSAÑO!$Y$11</f>
        <v>0</v>
      </c>
      <c r="AK251" s="9">
        <f ca="1">DATOSAÑO!BM250</f>
        <v>3.7010000000000001</v>
      </c>
      <c r="AL251" s="11">
        <f ca="1">(AK251*DATOSAÑO!$Z$11)/DATOSAÑO!$Y$11</f>
        <v>6.6687068967737378E-2</v>
      </c>
      <c r="AM251" s="9">
        <f ca="1">DATOSAÑO!BP250</f>
        <v>4.5949999999999998</v>
      </c>
      <c r="AN251" s="11">
        <f ca="1">(AM251*DATOSAÑO!$Z$11)/DATOSAÑO!$Y$11</f>
        <v>8.2795753014523965E-2</v>
      </c>
      <c r="AO251" s="9">
        <f ca="1">DATOSAÑO!BW250</f>
        <v>11.35200000000091</v>
      </c>
      <c r="AP251" s="11">
        <f ca="1">(AO251*DATOSAÑO!$Z$11)/DATOSAÑO!$Y$11</f>
        <v>0.20454785380216575</v>
      </c>
      <c r="AQ251" s="9">
        <f ca="1">DATOSAÑO!CC250</f>
        <v>3.1512000000002911</v>
      </c>
      <c r="AR251" s="1348">
        <f ca="1">(AQ251*DATOSAÑO!$Z$11)/DATOSAÑO!$Y$11</f>
        <v>5.6780408465591306E-2</v>
      </c>
      <c r="AS251" s="1384">
        <f t="shared" si="11"/>
        <v>35</v>
      </c>
    </row>
    <row r="252" spans="1:45">
      <c r="A252" s="1408">
        <v>45167</v>
      </c>
      <c r="B252" s="1869">
        <v>45167</v>
      </c>
      <c r="C252" s="9">
        <f ca="1">DATOSAÑO!I251</f>
        <v>150</v>
      </c>
      <c r="D252" s="10">
        <f ca="1">DATOSAÑO!$D251</f>
        <v>3.9390553477192993</v>
      </c>
      <c r="E252" s="11">
        <f ca="1">DATOSAÑO!$G251</f>
        <v>0</v>
      </c>
      <c r="F252" s="9">
        <f ca="1">DATOSAÑO!P251</f>
        <v>309</v>
      </c>
      <c r="G252" s="10">
        <f ca="1">DATOSAÑO!K251</f>
        <v>5.6280046108771931</v>
      </c>
      <c r="H252" s="11">
        <f ca="1">DATOSAÑO!N251</f>
        <v>0</v>
      </c>
      <c r="I252" s="9">
        <f ca="1">DATOSAÑO!Q251</f>
        <v>0.22400000000016007</v>
      </c>
      <c r="J252" s="11">
        <f ca="1">DATOSAÑO!R251</f>
        <v>26.880000000019209</v>
      </c>
      <c r="K252" s="9">
        <f ca="1">DATOSAÑO!T251</f>
        <v>0.41200000000003456</v>
      </c>
      <c r="L252" s="11">
        <f t="shared" ca="1" si="9"/>
        <v>49.440000000004147</v>
      </c>
      <c r="M252" s="9"/>
      <c r="N252" s="11">
        <f t="shared" si="10"/>
        <v>0</v>
      </c>
      <c r="O252" s="9">
        <f>DATOSAÑO!CK251</f>
        <v>0.5</v>
      </c>
      <c r="P252" s="9">
        <f>DATOSAÑO!CL251</f>
        <v>0.5</v>
      </c>
      <c r="Q252" s="9">
        <f ca="1">DATOSAÑO!AD251</f>
        <v>166</v>
      </c>
      <c r="R252" s="11">
        <f ca="1">(Q252*DATOSAÑO!$Z$11)/DATOSAÑO!$Y$11</f>
        <v>2.9910979326248053</v>
      </c>
      <c r="S252" s="9">
        <f ca="1">DATOSAÑO!AF251</f>
        <v>155</v>
      </c>
      <c r="T252" s="11">
        <f ca="1">(S252*DATOSAÑO!$Z$11)/DATOSAÑO!$Y$11</f>
        <v>2.7928926479328005</v>
      </c>
      <c r="U252" s="9">
        <f ca="1">DATOSAÑO!AH251</f>
        <v>14.799999999995634</v>
      </c>
      <c r="V252" s="11">
        <f ca="1">(U252*DATOSAÑO!$Z$11)/DATOSAÑO!$Y$11</f>
        <v>0.26667620122189195</v>
      </c>
      <c r="W252" s="9">
        <f ca="1">DATOSAÑO!AI251</f>
        <v>39.100000000005821</v>
      </c>
      <c r="X252" s="11">
        <f ca="1">(W252*DATOSAÑO!$Z$11)/DATOSAÑO!$Y$11</f>
        <v>0.70452969376895958</v>
      </c>
      <c r="Y252" s="9">
        <f ca="1">DATOSAÑO!AJ251</f>
        <v>8</v>
      </c>
      <c r="Z252" s="11">
        <f ca="1">(Y252*DATOSAÑO!$Z$11)/DATOSAÑO!$Y$11</f>
        <v>0.14414929795782194</v>
      </c>
      <c r="AA252" s="9">
        <f ca="1">DATOSAÑO!AK251</f>
        <v>13</v>
      </c>
      <c r="AB252" s="11">
        <f ca="1">(AA252*DATOSAÑO!$Z$11)/DATOSAÑO!$Y$11</f>
        <v>0.23424260918146064</v>
      </c>
      <c r="AC252" s="9">
        <f ca="1">DATOSAÑO!AL251</f>
        <v>35.536000000001707</v>
      </c>
      <c r="AD252" s="11">
        <f ca="1">(AC252*DATOSAÑO!$Z$11)/DATOSAÑO!$Y$11</f>
        <v>0.64031118152867572</v>
      </c>
      <c r="AE252" s="9">
        <f ca="1">DATOSAÑO!AM251</f>
        <v>8.9379999999971886</v>
      </c>
      <c r="AF252" s="11">
        <f ca="1">(AE252*DATOSAÑO!$Z$11)/DATOSAÑO!$Y$11</f>
        <v>0.1610508031433259</v>
      </c>
      <c r="AG252" s="9">
        <f ca="1">DATOSAÑO!AN251</f>
        <v>4.0939999999999008</v>
      </c>
      <c r="AH252" s="11">
        <f ca="1">(AG252*DATOSAÑO!$Z$11)/DATOSAÑO!$Y$11</f>
        <v>7.3768403229913598E-2</v>
      </c>
      <c r="AI252" s="9">
        <f ca="1">DATOSAÑO!BJ251</f>
        <v>0</v>
      </c>
      <c r="AJ252" s="11">
        <f ca="1">(AI252*DATOSAÑO!$Z$11)/DATOSAÑO!$Y$11</f>
        <v>0</v>
      </c>
      <c r="AK252" s="9">
        <f ca="1">DATOSAÑO!BM251</f>
        <v>3.37</v>
      </c>
      <c r="AL252" s="11">
        <f ca="1">(AK252*DATOSAÑO!$Z$11)/DATOSAÑO!$Y$11</f>
        <v>6.0722891764732494E-2</v>
      </c>
      <c r="AM252" s="9">
        <f ca="1">DATOSAÑO!BP251</f>
        <v>4.2519999999999998</v>
      </c>
      <c r="AN252" s="11">
        <f ca="1">(AM252*DATOSAÑO!$Z$11)/DATOSAÑO!$Y$11</f>
        <v>7.6615351864582348E-2</v>
      </c>
      <c r="AO252" s="9">
        <f ca="1">DATOSAÑO!BW251</f>
        <v>10.468999999998594</v>
      </c>
      <c r="AP252" s="11">
        <f ca="1">(AO252*DATOSAÑO!$Z$11)/DATOSAÑO!$Y$11</f>
        <v>0.18863737504002939</v>
      </c>
      <c r="AQ252" s="9">
        <f ca="1">DATOSAÑO!CC251</f>
        <v>3.1835999999999602</v>
      </c>
      <c r="AR252" s="1348">
        <f ca="1">(AQ252*DATOSAÑO!$Z$11)/DATOSAÑO!$Y$11</f>
        <v>5.7364213122314524E-2</v>
      </c>
      <c r="AS252" s="1384">
        <f t="shared" si="11"/>
        <v>35</v>
      </c>
    </row>
    <row r="253" spans="1:45">
      <c r="A253" s="1408">
        <v>45168</v>
      </c>
      <c r="B253" s="1869">
        <v>45168</v>
      </c>
      <c r="C253" s="9">
        <f ca="1">DATOSAÑO!I252</f>
        <v>150</v>
      </c>
      <c r="D253" s="10">
        <f ca="1">DATOSAÑO!$D252</f>
        <v>3.9390553477192993</v>
      </c>
      <c r="E253" s="11">
        <f ca="1">DATOSAÑO!$G252</f>
        <v>0</v>
      </c>
      <c r="F253" s="9">
        <f ca="1">DATOSAÑO!P252</f>
        <v>296</v>
      </c>
      <c r="G253" s="10">
        <f ca="1">DATOSAÑO!K252</f>
        <v>5.4912765407017554</v>
      </c>
      <c r="H253" s="11">
        <f ca="1">DATOSAÑO!N252</f>
        <v>0</v>
      </c>
      <c r="I253" s="9">
        <f ca="1">DATOSAÑO!Q252</f>
        <v>0</v>
      </c>
      <c r="J253" s="11">
        <f ca="1">DATOSAÑO!R252</f>
        <v>0</v>
      </c>
      <c r="K253" s="9">
        <f ca="1">DATOSAÑO!T252</f>
        <v>0</v>
      </c>
      <c r="L253" s="11">
        <f t="shared" ca="1" si="9"/>
        <v>0</v>
      </c>
      <c r="M253" s="9"/>
      <c r="N253" s="11">
        <f t="shared" si="10"/>
        <v>0</v>
      </c>
      <c r="O253" s="9">
        <f>DATOSAÑO!CK252</f>
        <v>0</v>
      </c>
      <c r="P253" s="9">
        <f>DATOSAÑO!CL252</f>
        <v>0</v>
      </c>
      <c r="Q253" s="9">
        <f ca="1">DATOSAÑO!AD252</f>
        <v>164</v>
      </c>
      <c r="R253" s="11">
        <f ca="1">(Q253*DATOSAÑO!$Z$11)/DATOSAÑO!$Y$11</f>
        <v>2.9550606081353497</v>
      </c>
      <c r="S253" s="9">
        <f ca="1">DATOSAÑO!AF252</f>
        <v>151</v>
      </c>
      <c r="T253" s="11">
        <f ca="1">(S253*DATOSAÑO!$Z$11)/DATOSAÑO!$Y$11</f>
        <v>2.7208179989538892</v>
      </c>
      <c r="U253" s="9">
        <f ca="1">DATOSAÑO!AH252</f>
        <v>8.7000000000061846</v>
      </c>
      <c r="V253" s="11">
        <f ca="1">(U253*DATOSAÑO!$Z$11)/DATOSAÑO!$Y$11</f>
        <v>0.15676236152924278</v>
      </c>
      <c r="W253" s="9">
        <f ca="1">DATOSAÑO!AI252</f>
        <v>38</v>
      </c>
      <c r="X253" s="11">
        <f ca="1">(W253*DATOSAÑO!$Z$11)/DATOSAÑO!$Y$11</f>
        <v>0.6847091652996542</v>
      </c>
      <c r="Y253" s="9">
        <f ca="1">DATOSAÑO!AJ252</f>
        <v>8.6000000000058208</v>
      </c>
      <c r="Z253" s="11">
        <f ca="1">(Y253*DATOSAÑO!$Z$11)/DATOSAÑO!$Y$11</f>
        <v>0.15496049530476347</v>
      </c>
      <c r="AA253" s="9">
        <f ca="1">DATOSAÑO!AK252</f>
        <v>12</v>
      </c>
      <c r="AB253" s="11">
        <f ca="1">(AA253*DATOSAÑO!$Z$11)/DATOSAÑO!$Y$11</f>
        <v>0.21622394693673291</v>
      </c>
      <c r="AC253" s="9">
        <f ca="1">DATOSAÑO!AL252</f>
        <v>34.399999999985084</v>
      </c>
      <c r="AD253" s="11">
        <f ca="1">(AC253*DATOSAÑO!$Z$11)/DATOSAÑO!$Y$11</f>
        <v>0.61984198121836565</v>
      </c>
      <c r="AE253" s="9">
        <f ca="1">DATOSAÑO!AM252</f>
        <v>10.240000000003002</v>
      </c>
      <c r="AF253" s="11">
        <f ca="1">(AE253*DATOSAÑO!$Z$11)/DATOSAÑO!$Y$11</f>
        <v>0.18451110138606616</v>
      </c>
      <c r="AG253" s="9">
        <f ca="1">DATOSAÑO!AN252</f>
        <v>3.6219999999999093</v>
      </c>
      <c r="AH253" s="11">
        <f ca="1">(AG253*DATOSAÑO!$Z$11)/DATOSAÑO!$Y$11</f>
        <v>6.526359465040224E-2</v>
      </c>
      <c r="AI253" s="9">
        <f ca="1">DATOSAÑO!BJ252</f>
        <v>0</v>
      </c>
      <c r="AJ253" s="11">
        <f ca="1">(AI253*DATOSAÑO!$Z$11)/DATOSAÑO!$Y$11</f>
        <v>0</v>
      </c>
      <c r="AK253" s="9">
        <f ca="1">DATOSAÑO!BM252</f>
        <v>3.5760000000000001</v>
      </c>
      <c r="AL253" s="11">
        <f ca="1">(AK253*DATOSAÑO!$Z$11)/DATOSAÑO!$Y$11</f>
        <v>6.4434736187146416E-2</v>
      </c>
      <c r="AM253" s="9">
        <f ca="1">DATOSAÑO!BP252</f>
        <v>4.3840000000000003</v>
      </c>
      <c r="AN253" s="11">
        <f ca="1">(AM253*DATOSAÑO!$Z$11)/DATOSAÑO!$Y$11</f>
        <v>7.899381528088642E-2</v>
      </c>
      <c r="AO253" s="9">
        <f ca="1">DATOSAÑO!BW252</f>
        <v>11.1200000000015</v>
      </c>
      <c r="AP253" s="11">
        <f ca="1">(AO253*DATOSAÑO!$Z$11)/DATOSAÑO!$Y$11</f>
        <v>0.20036752416139955</v>
      </c>
      <c r="AQ253" s="9">
        <f ca="1">DATOSAÑO!CC252</f>
        <v>2.9267999999999637</v>
      </c>
      <c r="AR253" s="1348">
        <f ca="1">(AQ253*DATOSAÑO!$Z$11)/DATOSAÑO!$Y$11</f>
        <v>5.2737020657868498E-2</v>
      </c>
      <c r="AS253" s="1384">
        <f t="shared" si="11"/>
        <v>35</v>
      </c>
    </row>
    <row r="254" spans="1:45" ht="15" thickBot="1">
      <c r="A254" s="1408">
        <v>45169</v>
      </c>
      <c r="B254" s="1870">
        <v>45169</v>
      </c>
      <c r="C254" s="63">
        <f ca="1">DATOSAÑO!I253</f>
        <v>147.30000000004657</v>
      </c>
      <c r="D254" s="64">
        <f ca="1">DATOSAÑO!$D253</f>
        <v>3.9125511371934403</v>
      </c>
      <c r="E254" s="65">
        <f ca="1">DATOSAÑO!$G253</f>
        <v>0</v>
      </c>
      <c r="F254" s="63">
        <f ca="1">DATOSAÑO!P253</f>
        <v>298.40000000000146</v>
      </c>
      <c r="G254" s="64">
        <f ca="1">DATOSAÑO!K253</f>
        <v>5.5165186459649282</v>
      </c>
      <c r="H254" s="65">
        <f ca="1">DATOSAÑO!N253</f>
        <v>0</v>
      </c>
      <c r="I254" s="63">
        <f ca="1">DATOSAÑO!Q253</f>
        <v>0</v>
      </c>
      <c r="J254" s="65">
        <f ca="1">DATOSAÑO!R253</f>
        <v>0</v>
      </c>
      <c r="K254" s="9">
        <f ca="1">DATOSAÑO!T253</f>
        <v>0</v>
      </c>
      <c r="L254" s="65">
        <f t="shared" ca="1" si="9"/>
        <v>0</v>
      </c>
      <c r="M254" s="63"/>
      <c r="N254" s="65">
        <f t="shared" si="10"/>
        <v>0</v>
      </c>
      <c r="O254" s="63">
        <f>DATOSAÑO!CK253</f>
        <v>0</v>
      </c>
      <c r="P254" s="62">
        <f>DATOSAÑO!CL253</f>
        <v>0</v>
      </c>
      <c r="Q254" s="9">
        <f ca="1">DATOSAÑO!AD253</f>
        <v>161.70000000000073</v>
      </c>
      <c r="R254" s="65">
        <f ca="1">(Q254*DATOSAÑO!$Z$11)/DATOSAÑO!$Y$11</f>
        <v>2.9136176849724889</v>
      </c>
      <c r="S254" s="9">
        <f ca="1">DATOSAÑO!AF253</f>
        <v>151.70000000001164</v>
      </c>
      <c r="T254" s="65">
        <f ca="1">(S254*DATOSAÑO!$Z$11)/DATOSAÑO!$Y$11</f>
        <v>2.7334310625254079</v>
      </c>
      <c r="U254" s="9">
        <f ca="1">DATOSAÑO!AH253</f>
        <v>12</v>
      </c>
      <c r="V254" s="65">
        <f ca="1">(U254*DATOSAÑO!$Z$11)/DATOSAÑO!$Y$11</f>
        <v>0.21622394693673291</v>
      </c>
      <c r="W254" s="9">
        <f ca="1">DATOSAÑO!AI253</f>
        <v>38.100000000005821</v>
      </c>
      <c r="X254" s="65">
        <f ca="1">(W254*DATOSAÑO!$Z$11)/DATOSAÑO!$Y$11</f>
        <v>0.68651103152423187</v>
      </c>
      <c r="Y254" s="9">
        <f ca="1">DATOSAÑO!AJ253</f>
        <v>9</v>
      </c>
      <c r="Z254" s="65">
        <f ca="1">(Y254*DATOSAÑO!$Z$11)/DATOSAÑO!$Y$11</f>
        <v>0.16216796020254967</v>
      </c>
      <c r="AA254" s="9">
        <f ca="1">DATOSAÑO!AK253</f>
        <v>11.299999999988358</v>
      </c>
      <c r="AB254" s="65">
        <f ca="1">(AA254*DATOSAÑO!$Z$11)/DATOSAÑO!$Y$11</f>
        <v>0.20361088336521374</v>
      </c>
      <c r="AC254" s="9">
        <f ca="1">DATOSAÑO!AL253</f>
        <v>36.700000000029831</v>
      </c>
      <c r="AD254" s="65">
        <f ca="1">(AC254*DATOSAÑO!$Z$11)/DATOSAÑO!$Y$11</f>
        <v>0.66128490438204568</v>
      </c>
      <c r="AE254" s="9">
        <f ca="1">DATOSAÑO!AM253</f>
        <v>7.0490000000122759</v>
      </c>
      <c r="AF254" s="65">
        <f ca="1">(AE254*DATOSAÑO!$Z$11)/DATOSAÑO!$Y$11</f>
        <v>0.12701355016330704</v>
      </c>
      <c r="AG254" s="63">
        <f ca="1">DATOSAÑO!AN253</f>
        <v>2.7899999999997274</v>
      </c>
      <c r="AH254" s="65">
        <f ca="1">(AG254*DATOSAÑO!$Z$11)/DATOSAÑO!$Y$11</f>
        <v>5.027206766278549E-2</v>
      </c>
      <c r="AI254" s="63">
        <f ca="1">DATOSAÑO!BJ253</f>
        <v>0</v>
      </c>
      <c r="AJ254" s="65">
        <f ca="1">(AI254*DATOSAÑO!$Z$11)/DATOSAÑO!$Y$11</f>
        <v>0</v>
      </c>
      <c r="AK254" s="63">
        <f ca="1">DATOSAÑO!BM253</f>
        <v>3.605</v>
      </c>
      <c r="AL254" s="65">
        <f ca="1">(AK254*DATOSAÑO!$Z$11)/DATOSAÑO!$Y$11</f>
        <v>6.4957277392243509E-2</v>
      </c>
      <c r="AM254" s="63">
        <f ca="1">DATOSAÑO!BP253</f>
        <v>4.3460000000000001</v>
      </c>
      <c r="AN254" s="65">
        <f ca="1">(AM254*DATOSAÑO!$Z$11)/DATOSAÑO!$Y$11</f>
        <v>7.830910611558678E-2</v>
      </c>
      <c r="AO254" s="63">
        <f ca="1">DATOSAÑO!BW253</f>
        <v>9.424500000005775</v>
      </c>
      <c r="AP254" s="65">
        <f ca="1">(AO254*DATOSAÑO!$Z$11)/DATOSAÑO!$Y$11</f>
        <v>0.16981688232554065</v>
      </c>
      <c r="AQ254" s="63">
        <f ca="1">DATOSAÑO!CC253</f>
        <v>2.6259999999998911</v>
      </c>
      <c r="AR254" s="1109">
        <f ca="1">(AQ254*DATOSAÑO!$Z$11)/DATOSAÑO!$Y$11</f>
        <v>4.7317007054653089E-2</v>
      </c>
      <c r="AS254" s="1385">
        <f t="shared" si="11"/>
        <v>35</v>
      </c>
    </row>
    <row r="255" spans="1:45">
      <c r="A255" s="1408">
        <v>45170</v>
      </c>
      <c r="B255" s="1871">
        <v>45170</v>
      </c>
      <c r="C255" s="9">
        <f ca="1">DATOSAÑO!I254</f>
        <v>153.45999999996275</v>
      </c>
      <c r="D255" s="10">
        <f ca="1">DATOSAÑO!$D254</f>
        <v>3.7925005469996274</v>
      </c>
      <c r="E255" s="11">
        <f ca="1">DATOSAÑO!$G254</f>
        <v>0</v>
      </c>
      <c r="F255" s="9">
        <f ca="1">DATOSAÑO!P254</f>
        <v>305.05999999999767</v>
      </c>
      <c r="G255" s="10">
        <f ca="1">DATOSAÑO!K254</f>
        <v>5.1881232247777547</v>
      </c>
      <c r="H255" s="180">
        <f ca="1">DATOSAÑO!N254</f>
        <v>0</v>
      </c>
      <c r="I255" s="178">
        <f ca="1">DATOSAÑO!Q254</f>
        <v>0</v>
      </c>
      <c r="J255" s="180">
        <f ca="1">DATOSAÑO!R254</f>
        <v>0</v>
      </c>
      <c r="K255" s="178">
        <f ca="1">DATOSAÑO!T254</f>
        <v>0</v>
      </c>
      <c r="L255" s="180">
        <f t="shared" ca="1" si="9"/>
        <v>0</v>
      </c>
      <c r="M255" s="178"/>
      <c r="N255" s="180">
        <f t="shared" si="10"/>
        <v>0</v>
      </c>
      <c r="O255" s="9">
        <f>DATOSAÑO!CK254</f>
        <v>0</v>
      </c>
      <c r="P255" s="9">
        <f>DATOSAÑO!CL254</f>
        <v>0</v>
      </c>
      <c r="Q255" s="178">
        <f ca="1">DATOSAÑO!AD254</f>
        <v>165.68699999999808</v>
      </c>
      <c r="R255" s="180">
        <f ca="1">(Q255*DATOSAÑO!$Z$11)/DATOSAÑO!$Y$11</f>
        <v>2.9854580913421711</v>
      </c>
      <c r="S255" s="178">
        <f ca="1">DATOSAÑO!AF254</f>
        <v>151.09999999997672</v>
      </c>
      <c r="T255" s="180">
        <f ca="1">(S255*DATOSAÑO!$Z$11)/DATOSAÑO!$Y$11</f>
        <v>2.7226198651779425</v>
      </c>
      <c r="U255" s="178">
        <f ca="1">DATOSAÑO!AH254</f>
        <v>11.399999999994179</v>
      </c>
      <c r="V255" s="180">
        <f ca="1">(U255*DATOSAÑO!$Z$11)/DATOSAÑO!$Y$11</f>
        <v>0.20541274958979139</v>
      </c>
      <c r="W255" s="178">
        <f ca="1">DATOSAÑO!AI254</f>
        <v>39.819999999992433</v>
      </c>
      <c r="X255" s="180">
        <f ca="1">(W255*DATOSAÑO!$Z$11)/DATOSAÑO!$Y$11</f>
        <v>0.71750313058492232</v>
      </c>
      <c r="Y255" s="178">
        <f ca="1">DATOSAÑO!AJ254</f>
        <v>11.139999999999418</v>
      </c>
      <c r="Z255" s="180">
        <f ca="1">(Y255*DATOSAÑO!$Z$11)/DATOSAÑO!$Y$11</f>
        <v>0.20072789740625657</v>
      </c>
      <c r="AA255" s="178">
        <f ca="1">DATOSAÑO!AK254</f>
        <v>12.080000000016298</v>
      </c>
      <c r="AB255" s="180">
        <f ca="1">(AA255*DATOSAÑO!$Z$11)/DATOSAÑO!$Y$11</f>
        <v>0.21766543991660478</v>
      </c>
      <c r="AC255" s="178">
        <f ca="1">DATOSAÑO!AL254</f>
        <v>36.692999999962922</v>
      </c>
      <c r="AD255" s="180">
        <f ca="1">(AC255*DATOSAÑO!$Z$11)/DATOSAÑO!$Y$11</f>
        <v>0.66115877374512688</v>
      </c>
      <c r="AE255" s="178">
        <f ca="1">DATOSAÑO!AM254</f>
        <v>12.719000000019737</v>
      </c>
      <c r="AF255" s="180">
        <f ca="1">(AE255*DATOSAÑO!$Z$11)/DATOSAÑO!$Y$11</f>
        <v>0.22917936509104778</v>
      </c>
      <c r="AG255" s="178">
        <f ca="1">DATOSAÑO!AN254</f>
        <v>2.419999999999618</v>
      </c>
      <c r="AH255" s="180">
        <f ca="1">(AG255*DATOSAÑO!$Z$11)/DATOSAÑO!$Y$11</f>
        <v>4.3605162632234254E-2</v>
      </c>
      <c r="AI255" s="9">
        <f ca="1">DATOSAÑO!BJ254</f>
        <v>0</v>
      </c>
      <c r="AJ255" s="11">
        <f ca="1">(AI255*DATOSAÑO!$Z$11)/DATOSAÑO!$Y$11</f>
        <v>0</v>
      </c>
      <c r="AK255" s="9">
        <f ca="1">DATOSAÑO!BM254</f>
        <v>3.4670000000000001</v>
      </c>
      <c r="AL255" s="11">
        <f ca="1">(AK255*DATOSAÑO!$Z$11)/DATOSAÑO!$Y$11</f>
        <v>6.2470702002471082E-2</v>
      </c>
      <c r="AM255" s="9">
        <f ca="1">DATOSAÑO!BP254</f>
        <v>4.3719999999999999</v>
      </c>
      <c r="AN255" s="11">
        <f ca="1">(AM255*DATOSAÑO!$Z$11)/DATOSAÑO!$Y$11</f>
        <v>7.8777591333949681E-2</v>
      </c>
      <c r="AO255" s="9">
        <f ca="1">DATOSAÑO!BW254</f>
        <v>12.489500000010887</v>
      </c>
      <c r="AP255" s="11">
        <f ca="1">(AO255*DATOSAÑO!$Z$11)/DATOSAÑO!$Y$11</f>
        <v>0.2250440821057233</v>
      </c>
      <c r="AQ255" s="9">
        <f ca="1">DATOSAÑO!CC254</f>
        <v>2.4599999999998472</v>
      </c>
      <c r="AR255" s="1348">
        <f ca="1">(AQ255*DATOSAÑO!$Z$11)/DATOSAÑO!$Y$11</f>
        <v>4.4325909122027496E-2</v>
      </c>
      <c r="AS255" s="1406">
        <f t="shared" si="11"/>
        <v>35</v>
      </c>
    </row>
    <row r="256" spans="1:45">
      <c r="A256" s="1408">
        <v>45171</v>
      </c>
      <c r="B256" s="1869">
        <v>45171</v>
      </c>
      <c r="C256" s="9">
        <f ca="1">DATOSAÑO!I255</f>
        <v>147.04000000003725</v>
      </c>
      <c r="D256" s="10">
        <f ca="1">DATOSAÑO!$D255</f>
        <v>3.7283540470003715</v>
      </c>
      <c r="E256" s="195">
        <f ca="1">DATOSAÑO!$G255</f>
        <v>0</v>
      </c>
      <c r="F256" s="9">
        <f ca="1">DATOSAÑO!P255</f>
        <v>293.87000000000262</v>
      </c>
      <c r="G256" s="10">
        <f ca="1">DATOSAÑO!K255</f>
        <v>5.0837702581111346</v>
      </c>
      <c r="H256" s="11">
        <f ca="1">DATOSAÑO!N255</f>
        <v>0</v>
      </c>
      <c r="I256" s="9">
        <f ca="1">DATOSAÑO!Q255</f>
        <v>0</v>
      </c>
      <c r="J256" s="11">
        <f ca="1">DATOSAÑO!R255</f>
        <v>0</v>
      </c>
      <c r="K256" s="9">
        <f ca="1">DATOSAÑO!T255</f>
        <v>0</v>
      </c>
      <c r="L256" s="11">
        <f t="shared" ca="1" si="9"/>
        <v>0</v>
      </c>
      <c r="M256" s="9"/>
      <c r="N256" s="11">
        <f t="shared" si="10"/>
        <v>0</v>
      </c>
      <c r="O256" s="9">
        <f>DATOSAÑO!CK255</f>
        <v>0</v>
      </c>
      <c r="P256" s="9">
        <f>DATOSAÑO!CL255</f>
        <v>0</v>
      </c>
      <c r="Q256" s="9">
        <f ca="1">DATOSAÑO!AD255</f>
        <v>162.91300000000047</v>
      </c>
      <c r="R256" s="11">
        <f ca="1">(Q256*DATOSAÑO!$Z$11)/DATOSAÑO!$Y$11</f>
        <v>2.9354743222753394</v>
      </c>
      <c r="S256" s="9">
        <f ca="1">DATOSAÑO!AF255</f>
        <v>149.90000000002328</v>
      </c>
      <c r="T256" s="11">
        <f ca="1">(S256*DATOSAÑO!$Z$11)/DATOSAÑO!$Y$11</f>
        <v>2.7009974704851083</v>
      </c>
      <c r="U256" s="9">
        <f ca="1">DATOSAÑO!AH255</f>
        <v>8.7000000000043656</v>
      </c>
      <c r="V256" s="11">
        <f ca="1">(U256*DATOSAÑO!$Z$11)/DATOSAÑO!$Y$11</f>
        <v>0.15676236152921003</v>
      </c>
      <c r="W256" s="9">
        <f ca="1">DATOSAÑO!AI255</f>
        <v>37.850000000005821</v>
      </c>
      <c r="X256" s="11">
        <f ca="1">(W256*DATOSAÑO!$Z$11)/DATOSAÑO!$Y$11</f>
        <v>0.68200636596304987</v>
      </c>
      <c r="Y256" s="9">
        <f ca="1">DATOSAÑO!AJ255</f>
        <v>10</v>
      </c>
      <c r="Z256" s="11">
        <f ca="1">(Y256*DATOSAÑO!$Z$11)/DATOSAÑO!$Y$11</f>
        <v>0.18018662244727743</v>
      </c>
      <c r="AA256" s="9">
        <f ca="1">DATOSAÑO!AK255</f>
        <v>11.820000000006985</v>
      </c>
      <c r="AB256" s="11">
        <f ca="1">(AA256*DATOSAÑO!$Z$11)/DATOSAÑO!$Y$11</f>
        <v>0.21298058773280776</v>
      </c>
      <c r="AC256" s="9">
        <f ca="1">DATOSAÑO!AL255</f>
        <v>33.92700000005425</v>
      </c>
      <c r="AD256" s="11">
        <f ca="1">(AC256*DATOSAÑO!$Z$11)/DATOSAÑO!$Y$11</f>
        <v>0.61131915397785552</v>
      </c>
      <c r="AE256" s="9">
        <f ca="1">DATOSAÑO!AM255</f>
        <v>8.2479999999449216</v>
      </c>
      <c r="AF256" s="11">
        <f ca="1">(AE256*DATOSAÑO!$Z$11)/DATOSAÑO!$Y$11</f>
        <v>0.14861792619352199</v>
      </c>
      <c r="AG256" s="9">
        <f ca="1">DATOSAÑO!AN255</f>
        <v>3</v>
      </c>
      <c r="AH256" s="11">
        <f ca="1">(AG256*DATOSAÑO!$Z$11)/DATOSAÑO!$Y$11</f>
        <v>5.4055986734183228E-2</v>
      </c>
      <c r="AI256" s="9">
        <f ca="1">DATOSAÑO!BJ255</f>
        <v>0</v>
      </c>
      <c r="AJ256" s="11">
        <f ca="1">(AI256*DATOSAÑO!$Z$11)/DATOSAÑO!$Y$11</f>
        <v>0</v>
      </c>
      <c r="AK256" s="9">
        <f ca="1">DATOSAÑO!BM255</f>
        <v>3.2810000000000001</v>
      </c>
      <c r="AL256" s="11">
        <f ca="1">(AK256*DATOSAÑO!$Z$11)/DATOSAÑO!$Y$11</f>
        <v>5.9119230824951727E-2</v>
      </c>
      <c r="AM256" s="9">
        <f ca="1">DATOSAÑO!BP255</f>
        <v>3.931</v>
      </c>
      <c r="AN256" s="11">
        <f ca="1">(AM256*DATOSAÑO!$Z$11)/DATOSAÑO!$Y$11</f>
        <v>7.0831361284024758E-2</v>
      </c>
      <c r="AO256" s="9">
        <f ca="1">DATOSAÑO!BW255</f>
        <v>10.113999999972243</v>
      </c>
      <c r="AP256" s="11">
        <f ca="1">(AO256*DATOSAÑO!$Z$11)/DATOSAÑO!$Y$11</f>
        <v>0.18224074994267625</v>
      </c>
      <c r="AQ256" s="9">
        <f ca="1">DATOSAÑO!CC255</f>
        <v>2.5500000000000003</v>
      </c>
      <c r="AR256" s="1348">
        <f ca="1">(AQ256*DATOSAÑO!$Z$11)/DATOSAÑO!$Y$11</f>
        <v>4.594758872405575E-2</v>
      </c>
      <c r="AS256" s="1384">
        <f t="shared" si="11"/>
        <v>35</v>
      </c>
    </row>
    <row r="257" spans="1:45">
      <c r="A257" s="1408">
        <v>45172</v>
      </c>
      <c r="B257" s="1869">
        <v>45172</v>
      </c>
      <c r="C257" s="9">
        <f ca="1">DATOSAÑO!I256</f>
        <v>152.26000000000931</v>
      </c>
      <c r="D257" s="10">
        <f ca="1">DATOSAÑO!$D256</f>
        <v>3.7805105470000928</v>
      </c>
      <c r="E257" s="11">
        <f ca="1">DATOSAÑO!$G256</f>
        <v>0</v>
      </c>
      <c r="F257" s="9">
        <f ca="1">DATOSAÑO!P256</f>
        <v>291.16999999999825</v>
      </c>
      <c r="G257" s="10">
        <f ca="1">DATOSAÑO!K256</f>
        <v>5.0585912581110941</v>
      </c>
      <c r="H257" s="11">
        <f ca="1">DATOSAÑO!N256</f>
        <v>0</v>
      </c>
      <c r="I257" s="9">
        <f ca="1">DATOSAÑO!Q256</f>
        <v>0</v>
      </c>
      <c r="J257" s="11">
        <f ca="1">DATOSAÑO!R256</f>
        <v>0</v>
      </c>
      <c r="K257" s="9">
        <f ca="1">DATOSAÑO!T256</f>
        <v>0</v>
      </c>
      <c r="L257" s="11">
        <f t="shared" ca="1" si="9"/>
        <v>0</v>
      </c>
      <c r="M257" s="9"/>
      <c r="N257" s="11">
        <f t="shared" si="10"/>
        <v>0</v>
      </c>
      <c r="O257" s="9">
        <f>DATOSAÑO!CK256</f>
        <v>0</v>
      </c>
      <c r="P257" s="9">
        <f>DATOSAÑO!CL256</f>
        <v>0</v>
      </c>
      <c r="Q257" s="9">
        <f ca="1">DATOSAÑO!AD256</f>
        <v>161.70000000000073</v>
      </c>
      <c r="R257" s="11">
        <f ca="1">(Q257*DATOSAÑO!$Z$11)/DATOSAÑO!$Y$11</f>
        <v>2.9136176849724889</v>
      </c>
      <c r="S257" s="9">
        <f ca="1">DATOSAÑO!AF256</f>
        <v>148.70000000001164</v>
      </c>
      <c r="T257" s="11">
        <f ca="1">(S257*DATOSAÑO!$Z$11)/DATOSAÑO!$Y$11</f>
        <v>2.6793750757912251</v>
      </c>
      <c r="U257" s="9">
        <f ca="1">DATOSAÑO!AH256</f>
        <v>10</v>
      </c>
      <c r="V257" s="11">
        <f ca="1">(U257*DATOSAÑO!$Z$11)/DATOSAÑO!$Y$11</f>
        <v>0.18018662244727743</v>
      </c>
      <c r="W257" s="9">
        <f ca="1">DATOSAÑO!AI256</f>
        <v>38.059999999997672</v>
      </c>
      <c r="X257" s="11">
        <f ca="1">(W257*DATOSAÑO!$Z$11)/DATOSAÑO!$Y$11</f>
        <v>0.68579028503429584</v>
      </c>
      <c r="Y257" s="9">
        <f ca="1">DATOSAÑO!AJ256</f>
        <v>8.6199999999953434</v>
      </c>
      <c r="Z257" s="11">
        <f ca="1">(Y257*DATOSAÑO!$Z$11)/DATOSAÑO!$Y$11</f>
        <v>0.15532086854946922</v>
      </c>
      <c r="AA257" s="9">
        <f ca="1">DATOSAÑO!AK256</f>
        <v>11.349999999976717</v>
      </c>
      <c r="AB257" s="11">
        <f ca="1">(AA257*DATOSAÑO!$Z$11)/DATOSAÑO!$Y$11</f>
        <v>0.20451181647724034</v>
      </c>
      <c r="AC257" s="9">
        <f ca="1">DATOSAÑO!AL256</f>
        <v>35.900000000005093</v>
      </c>
      <c r="AD257" s="11">
        <f ca="1">(AC257*DATOSAÑO!$Z$11)/DATOSAÑO!$Y$11</f>
        <v>0.64686997458581763</v>
      </c>
      <c r="AE257" s="9">
        <f ca="1">DATOSAÑO!AM256</f>
        <v>9.2020000000206661</v>
      </c>
      <c r="AF257" s="11">
        <f ca="1">(AE257*DATOSAÑO!$Z$11)/DATOSAÑO!$Y$11</f>
        <v>0.16580772997635707</v>
      </c>
      <c r="AG257" s="9">
        <f ca="1">DATOSAÑO!AN256</f>
        <v>4.3600000000005821</v>
      </c>
      <c r="AH257" s="11">
        <f ca="1">(AG257*DATOSAÑO!$Z$11)/DATOSAÑO!$Y$11</f>
        <v>7.8561367387023434E-2</v>
      </c>
      <c r="AI257" s="9">
        <f ca="1">DATOSAÑO!BJ256</f>
        <v>0</v>
      </c>
      <c r="AJ257" s="11">
        <f ca="1">(AI257*DATOSAÑO!$Z$11)/DATOSAÑO!$Y$11</f>
        <v>0</v>
      </c>
      <c r="AK257" s="9">
        <f ca="1">DATOSAÑO!BM256</f>
        <v>3.5950000000000002</v>
      </c>
      <c r="AL257" s="11">
        <f ca="1">(AK257*DATOSAÑO!$Z$11)/DATOSAÑO!$Y$11</f>
        <v>6.4777090769796236E-2</v>
      </c>
      <c r="AM257" s="9">
        <f ca="1">DATOSAÑO!BP256</f>
        <v>4.2290000000000001</v>
      </c>
      <c r="AN257" s="11">
        <f ca="1">(AM257*DATOSAÑO!$Z$11)/DATOSAÑO!$Y$11</f>
        <v>7.6200922632953624E-2</v>
      </c>
      <c r="AO257" s="9">
        <f ca="1">DATOSAÑO!BW256</f>
        <v>10.811000000009461</v>
      </c>
      <c r="AP257" s="11">
        <f ca="1">(AO257*DATOSAÑO!$Z$11)/DATOSAÑO!$Y$11</f>
        <v>0.19479975752792208</v>
      </c>
      <c r="AQ257" s="9">
        <f ca="1">DATOSAÑO!CC256</f>
        <v>3.2480000000002329</v>
      </c>
      <c r="AR257" s="1348">
        <f ca="1">(AQ257*DATOSAÑO!$Z$11)/DATOSAÑO!$Y$11</f>
        <v>5.8524614970879907E-2</v>
      </c>
      <c r="AS257" s="1384">
        <f t="shared" si="11"/>
        <v>36</v>
      </c>
    </row>
    <row r="258" spans="1:45">
      <c r="A258" s="1408">
        <v>45173</v>
      </c>
      <c r="B258" s="1869">
        <v>45173</v>
      </c>
      <c r="C258" s="9">
        <f ca="1">DATOSAÑO!I257</f>
        <v>158.18999999994412</v>
      </c>
      <c r="D258" s="10">
        <f ca="1">DATOSAÑO!$D257</f>
        <v>3.8397611303327746</v>
      </c>
      <c r="E258" s="11">
        <f ca="1">DATOSAÑO!$G257</f>
        <v>0</v>
      </c>
      <c r="F258" s="9">
        <f ca="1">DATOSAÑO!P257</f>
        <v>286.94999999999709</v>
      </c>
      <c r="G258" s="10">
        <f ca="1">DATOSAÑO!K257</f>
        <v>5.0192280881110838</v>
      </c>
      <c r="H258" s="11">
        <f ca="1">DATOSAÑO!N257</f>
        <v>0</v>
      </c>
      <c r="I258" s="9">
        <f ca="1">DATOSAÑO!Q257</f>
        <v>0.21299999999996544</v>
      </c>
      <c r="J258" s="11">
        <f ca="1">DATOSAÑO!R257</f>
        <v>25.559999999995853</v>
      </c>
      <c r="K258" s="9">
        <f ca="1">DATOSAÑO!T257</f>
        <v>0.34299999999996089</v>
      </c>
      <c r="L258" s="11">
        <f t="shared" ca="1" si="9"/>
        <v>41.159999999995307</v>
      </c>
      <c r="M258" s="9"/>
      <c r="N258" s="11">
        <f t="shared" si="10"/>
        <v>0</v>
      </c>
      <c r="O258" s="9">
        <f>DATOSAÑO!CK257</f>
        <v>0</v>
      </c>
      <c r="P258" s="9">
        <f>DATOSAÑO!CL257</f>
        <v>0</v>
      </c>
      <c r="Q258" s="9">
        <f ca="1">DATOSAÑO!AD257</f>
        <v>161.40000000000146</v>
      </c>
      <c r="R258" s="11">
        <f ca="1">(Q258*DATOSAÑO!$Z$11)/DATOSAÑO!$Y$11</f>
        <v>2.9082120862990841</v>
      </c>
      <c r="S258" s="9">
        <f ca="1">DATOSAÑO!AF257</f>
        <v>150.29999999998836</v>
      </c>
      <c r="T258" s="11">
        <f ca="1">(S258*DATOSAÑO!$Z$11)/DATOSAÑO!$Y$11</f>
        <v>2.7082049353823701</v>
      </c>
      <c r="U258" s="9">
        <f ca="1">DATOSAÑO!AH257</f>
        <v>11.19999999999709</v>
      </c>
      <c r="V258" s="11">
        <f ca="1">(U258*DATOSAÑO!$Z$11)/DATOSAÑO!$Y$11</f>
        <v>0.20180901714089827</v>
      </c>
      <c r="W258" s="9">
        <f ca="1">DATOSAÑO!AI257</f>
        <v>38.440000000002328</v>
      </c>
      <c r="X258" s="11">
        <f ca="1">(W258*DATOSAÑO!$Z$11)/DATOSAÑO!$Y$11</f>
        <v>0.69263737668737635</v>
      </c>
      <c r="Y258" s="9">
        <f ca="1">DATOSAÑO!AJ257</f>
        <v>8.7700000000040745</v>
      </c>
      <c r="Z258" s="11">
        <f ca="1">(Y258*DATOSAÑO!$Z$11)/DATOSAÑO!$Y$11</f>
        <v>0.15802366788633571</v>
      </c>
      <c r="AA258" s="9">
        <f ca="1">DATOSAÑO!AK257</f>
        <v>11.400000000023283</v>
      </c>
      <c r="AB258" s="11">
        <f ca="1">(AA258*DATOSAÑO!$Z$11)/DATOSAÑO!$Y$11</f>
        <v>0.20541274959031577</v>
      </c>
      <c r="AC258" s="9">
        <f ca="1">DATOSAÑO!AL257</f>
        <v>34.785999999933949</v>
      </c>
      <c r="AD258" s="11">
        <f ca="1">(AC258*DATOSAÑO!$Z$11)/DATOSAÑO!$Y$11</f>
        <v>0.62679718484390912</v>
      </c>
      <c r="AE258" s="9">
        <f ca="1">DATOSAÑO!AM257</f>
        <v>10.530999999989907</v>
      </c>
      <c r="AF258" s="11">
        <f ca="1">(AE258*DATOSAÑO!$Z$11)/DATOSAÑO!$Y$11</f>
        <v>0.189754532099046</v>
      </c>
      <c r="AG258" s="9">
        <f ca="1">DATOSAÑO!AN257</f>
        <v>4.3299999999994725</v>
      </c>
      <c r="AH258" s="11">
        <f ca="1">(AG258*DATOSAÑO!$Z$11)/DATOSAÑO!$Y$11</f>
        <v>7.8020807519661617E-2</v>
      </c>
      <c r="AI258" s="9">
        <f ca="1">DATOSAÑO!BJ257</f>
        <v>0</v>
      </c>
      <c r="AJ258" s="11">
        <f ca="1">(AI258*DATOSAÑO!$Z$11)/DATOSAÑO!$Y$11</f>
        <v>0</v>
      </c>
      <c r="AK258" s="9">
        <f ca="1">DATOSAÑO!BM257</f>
        <v>3.6179999999999999</v>
      </c>
      <c r="AL258" s="11">
        <f ca="1">(AK258*DATOSAÑO!$Z$11)/DATOSAÑO!$Y$11</f>
        <v>6.5191520001424974E-2</v>
      </c>
      <c r="AM258" s="9">
        <f ca="1">DATOSAÑO!BP257</f>
        <v>4.2949999999999999</v>
      </c>
      <c r="AN258" s="11">
        <f ca="1">(AM258*DATOSAÑO!$Z$11)/DATOSAÑO!$Y$11</f>
        <v>7.7390154341105646E-2</v>
      </c>
      <c r="AO258" s="9">
        <f ca="1">DATOSAÑO!BW257</f>
        <v>10.485499999996119</v>
      </c>
      <c r="AP258" s="11">
        <f ca="1">(AO258*DATOSAÑO!$Z$11)/DATOSAÑO!$Y$11</f>
        <v>0.18893468296702282</v>
      </c>
      <c r="AQ258" s="9">
        <f ca="1">DATOSAÑO!CC257</f>
        <v>3.137999999999789</v>
      </c>
      <c r="AR258" s="1348">
        <f ca="1">(AQ258*DATOSAÑO!$Z$11)/DATOSAÑO!$Y$11</f>
        <v>5.6542562123951853E-2</v>
      </c>
      <c r="AS258" s="1384">
        <f t="shared" si="11"/>
        <v>36</v>
      </c>
    </row>
    <row r="259" spans="1:45">
      <c r="A259" s="1408">
        <v>45174</v>
      </c>
      <c r="B259" s="1869">
        <v>45174</v>
      </c>
      <c r="C259" s="9">
        <f ca="1">DATOSAÑO!I258</f>
        <v>153.05000000004657</v>
      </c>
      <c r="D259" s="10">
        <f ca="1">DATOSAÑO!$D258</f>
        <v>3.7884039636671316</v>
      </c>
      <c r="E259" s="11">
        <f ca="1">DATOSAÑO!$G258</f>
        <v>0</v>
      </c>
      <c r="F259" s="9">
        <f ca="1">DATOSAÑO!P258</f>
        <v>293.31999999999971</v>
      </c>
      <c r="G259" s="10">
        <f ca="1">DATOSAÑO!K258</f>
        <v>5.0786412025555521</v>
      </c>
      <c r="H259" s="11">
        <f ca="1">DATOSAÑO!N258</f>
        <v>0</v>
      </c>
      <c r="I259" s="9">
        <f ca="1">DATOSAÑO!Q258</f>
        <v>0</v>
      </c>
      <c r="J259" s="11">
        <f ca="1">DATOSAÑO!R258</f>
        <v>0</v>
      </c>
      <c r="K259" s="9">
        <f ca="1">DATOSAÑO!T258</f>
        <v>0</v>
      </c>
      <c r="L259" s="11">
        <f t="shared" ca="1" si="9"/>
        <v>0</v>
      </c>
      <c r="M259" s="9"/>
      <c r="N259" s="11">
        <f t="shared" si="10"/>
        <v>0</v>
      </c>
      <c r="O259" s="9">
        <f>DATOSAÑO!CK258</f>
        <v>0</v>
      </c>
      <c r="P259" s="9">
        <f>DATOSAÑO!CL258</f>
        <v>0</v>
      </c>
      <c r="Q259" s="9">
        <f ca="1">DATOSAÑO!AD258</f>
        <v>161.79999999999927</v>
      </c>
      <c r="R259" s="11">
        <f ca="1">(Q259*DATOSAÑO!$Z$11)/DATOSAÑO!$Y$11</f>
        <v>2.9154195511969356</v>
      </c>
      <c r="S259" s="9">
        <f ca="1">DATOSAÑO!AF258</f>
        <v>150</v>
      </c>
      <c r="T259" s="11">
        <f ca="1">(S259*DATOSAÑO!$Z$11)/DATOSAÑO!$Y$11</f>
        <v>2.7027993367091616</v>
      </c>
      <c r="U259" s="9">
        <f ca="1">DATOSAÑO!AH258</f>
        <v>10.700000000004366</v>
      </c>
      <c r="V259" s="11">
        <f ca="1">(U259*DATOSAÑO!$Z$11)/DATOSAÑO!$Y$11</f>
        <v>0.19279968601866551</v>
      </c>
      <c r="W259" s="9">
        <f ca="1">DATOSAÑO!AI258</f>
        <v>37.830000000001746</v>
      </c>
      <c r="X259" s="11">
        <f ca="1">(W259*DATOSAÑO!$Z$11)/DATOSAÑO!$Y$11</f>
        <v>0.68164599271808191</v>
      </c>
      <c r="Y259" s="9">
        <f ca="1">DATOSAÑO!AJ258</f>
        <v>8.2699999999895226</v>
      </c>
      <c r="Z259" s="11">
        <f ca="1">(Y259*DATOSAÑO!$Z$11)/DATOSAÑO!$Y$11</f>
        <v>0.14901433676370965</v>
      </c>
      <c r="AA259" s="9">
        <f ca="1">DATOSAÑO!AK258</f>
        <v>11.049999999988358</v>
      </c>
      <c r="AB259" s="11">
        <f ca="1">(AA259*DATOSAÑO!$Z$11)/DATOSAÑO!$Y$11</f>
        <v>0.19910621780403179</v>
      </c>
      <c r="AC259" s="9">
        <f ca="1">DATOSAÑO!AL258</f>
        <v>37.520000000062282</v>
      </c>
      <c r="AD259" s="11">
        <f ca="1">(AC259*DATOSAÑO!$Z$11)/DATOSAÑO!$Y$11</f>
        <v>0.67606020742330708</v>
      </c>
      <c r="AE259" s="9">
        <f ca="1">DATOSAÑO!AM258</f>
        <v>8.9670000000014944</v>
      </c>
      <c r="AF259" s="11">
        <f ca="1">(AE259*DATOSAÑO!$Z$11)/DATOSAÑO!$Y$11</f>
        <v>0.1615733443485006</v>
      </c>
      <c r="AG259" s="9">
        <f ca="1">DATOSAÑO!AN258</f>
        <v>4.4200000000006128</v>
      </c>
      <c r="AH259" s="11">
        <f ca="1">(AG259*DATOSAÑO!$Z$11)/DATOSAÑO!$Y$11</f>
        <v>7.964248712170767E-2</v>
      </c>
      <c r="AI259" s="9">
        <f ca="1">DATOSAÑO!BJ258</f>
        <v>0</v>
      </c>
      <c r="AJ259" s="11">
        <f ca="1">(AI259*DATOSAÑO!$Z$11)/DATOSAÑO!$Y$11</f>
        <v>0</v>
      </c>
      <c r="AK259" s="9">
        <f ca="1">DATOSAÑO!BM258</f>
        <v>3.8639999999999999</v>
      </c>
      <c r="AL259" s="11">
        <f ca="1">(AK259*DATOSAÑO!$Z$11)/DATOSAÑO!$Y$11</f>
        <v>6.9624110913627996E-2</v>
      </c>
      <c r="AM259" s="9">
        <f ca="1">DATOSAÑO!BP258</f>
        <v>4.7080000000000002</v>
      </c>
      <c r="AN259" s="11">
        <f ca="1">(AM259*DATOSAÑO!$Z$11)/DATOSAÑO!$Y$11</f>
        <v>8.4831861848178217E-2</v>
      </c>
      <c r="AO259" s="9">
        <f ca="1">DATOSAÑO!BW258</f>
        <v>10.253499999999365</v>
      </c>
      <c r="AP259" s="11">
        <f ca="1">(AO259*DATOSAÑO!$Z$11)/DATOSAÑO!$Y$11</f>
        <v>0.18475435332630447</v>
      </c>
      <c r="AQ259" s="9">
        <f ca="1">DATOSAÑO!CC258</f>
        <v>3.239000000000245</v>
      </c>
      <c r="AR259" s="1348">
        <f ca="1">(AQ259*DATOSAÑO!$Z$11)/DATOSAÑO!$Y$11</f>
        <v>5.8362447010677568E-2</v>
      </c>
      <c r="AS259" s="1384">
        <f t="shared" si="11"/>
        <v>36</v>
      </c>
    </row>
    <row r="260" spans="1:45">
      <c r="A260" s="1408">
        <v>45175</v>
      </c>
      <c r="B260" s="1869">
        <v>45175</v>
      </c>
      <c r="C260" s="9">
        <f ca="1">DATOSAÑO!I259</f>
        <v>147.69999999995343</v>
      </c>
      <c r="D260" s="10">
        <f ca="1">DATOSAÑO!$D259</f>
        <v>3.7349485469995343</v>
      </c>
      <c r="E260" s="11">
        <f ca="1">DATOSAÑO!$G259</f>
        <v>0</v>
      </c>
      <c r="F260" s="9">
        <f ca="1">DATOSAÑO!P259</f>
        <v>283.93000000000029</v>
      </c>
      <c r="G260" s="10">
        <f ca="1">DATOSAÑO!K259</f>
        <v>4.9910742358888909</v>
      </c>
      <c r="H260" s="11">
        <f ca="1">DATOSAÑO!N259</f>
        <v>0</v>
      </c>
      <c r="I260" s="9">
        <f ca="1">DATOSAÑO!Q259</f>
        <v>0</v>
      </c>
      <c r="J260" s="11">
        <f ca="1">DATOSAÑO!R259</f>
        <v>0</v>
      </c>
      <c r="K260" s="9">
        <f ca="1">DATOSAÑO!T259</f>
        <v>0</v>
      </c>
      <c r="L260" s="11">
        <f t="shared" ca="1" si="9"/>
        <v>0</v>
      </c>
      <c r="M260" s="9"/>
      <c r="N260" s="11">
        <f t="shared" si="10"/>
        <v>0</v>
      </c>
      <c r="O260" s="9">
        <f>DATOSAÑO!CK259</f>
        <v>0</v>
      </c>
      <c r="P260" s="9">
        <f>DATOSAÑO!CL259</f>
        <v>0</v>
      </c>
      <c r="Q260" s="9">
        <f ca="1">DATOSAÑO!AD259</f>
        <v>159.22999999999956</v>
      </c>
      <c r="R260" s="11">
        <f ca="1">(Q260*DATOSAÑO!$Z$11)/DATOSAÑO!$Y$11</f>
        <v>2.8691115892279901</v>
      </c>
      <c r="S260" s="9">
        <f ca="1">DATOSAÑO!AF259</f>
        <v>146.29999999998836</v>
      </c>
      <c r="T260" s="11">
        <f ca="1">(S260*DATOSAÑO!$Z$11)/DATOSAÑO!$Y$11</f>
        <v>2.6361302864034588</v>
      </c>
      <c r="U260" s="9">
        <f ca="1">DATOSAÑO!AH259</f>
        <v>3.2999999999956344</v>
      </c>
      <c r="V260" s="11">
        <f ca="1">(U260*DATOSAÑO!$Z$11)/DATOSAÑO!$Y$11</f>
        <v>5.9461585407522888E-2</v>
      </c>
      <c r="W260" s="9">
        <f ca="1">DATOSAÑO!AI259</f>
        <v>37.19999999999709</v>
      </c>
      <c r="X260" s="11">
        <f ca="1">(W260*DATOSAÑO!$Z$11)/DATOSAÑO!$Y$11</f>
        <v>0.67029423550381961</v>
      </c>
      <c r="Y260" s="9">
        <f ca="1">DATOSAÑO!AJ259</f>
        <v>8.9000000000087311</v>
      </c>
      <c r="Z260" s="11">
        <f ca="1">(Y260*DATOSAÑO!$Z$11)/DATOSAÑO!$Y$11</f>
        <v>0.1603660939782342</v>
      </c>
      <c r="AA260" s="9">
        <f ca="1">DATOSAÑO!AK259</f>
        <v>11</v>
      </c>
      <c r="AB260" s="11">
        <f ca="1">(AA260*DATOSAÑO!$Z$11)/DATOSAÑO!$Y$11</f>
        <v>0.19820528469200516</v>
      </c>
      <c r="AC260" s="9">
        <f ca="1">DATOSAÑO!AL259</f>
        <v>33.399999999954161</v>
      </c>
      <c r="AD260" s="11">
        <f ca="1">(AC260*DATOSAÑO!$Z$11)/DATOSAÑO!$Y$11</f>
        <v>0.60182331897308061</v>
      </c>
      <c r="AE260" s="9">
        <f ca="1">DATOSAÑO!AM259</f>
        <v>11.291000000010424</v>
      </c>
      <c r="AF260" s="11">
        <f ca="1">(AE260*DATOSAÑO!$Z$11)/DATOSAÑO!$Y$11</f>
        <v>0.20344871540540876</v>
      </c>
      <c r="AG260" s="9">
        <f ca="1">DATOSAÑO!AN259</f>
        <v>4.0999999999999091</v>
      </c>
      <c r="AH260" s="11">
        <f ca="1">(AG260*DATOSAÑO!$Z$11)/DATOSAÑO!$Y$11</f>
        <v>7.3876515203382107E-2</v>
      </c>
      <c r="AI260" s="9">
        <f ca="1">DATOSAÑO!BJ259</f>
        <v>0</v>
      </c>
      <c r="AJ260" s="11">
        <f ca="1">(AI260*DATOSAÑO!$Z$11)/DATOSAÑO!$Y$11</f>
        <v>0</v>
      </c>
      <c r="AK260" s="9">
        <f ca="1">DATOSAÑO!BM259</f>
        <v>4.7229999999999999</v>
      </c>
      <c r="AL260" s="11">
        <f ca="1">(AK260*DATOSAÑO!$Z$11)/DATOSAÑO!$Y$11</f>
        <v>8.5102141781849119E-2</v>
      </c>
      <c r="AM260" s="9">
        <f ca="1">DATOSAÑO!BP259</f>
        <v>3.8050000000000002</v>
      </c>
      <c r="AN260" s="11">
        <f ca="1">(AM260*DATOSAÑO!$Z$11)/DATOSAÑO!$Y$11</f>
        <v>6.8561009841189055E-2</v>
      </c>
      <c r="AO260" s="9">
        <f ca="1">DATOSAÑO!BW259</f>
        <v>12.555500000005066</v>
      </c>
      <c r="AP260" s="11">
        <f ca="1">(AO260*DATOSAÑO!$Z$11)/DATOSAÑO!$Y$11</f>
        <v>0.22623331381377046</v>
      </c>
      <c r="AQ260" s="9">
        <f ca="1">DATOSAÑO!CC259</f>
        <v>3.1109999999999638</v>
      </c>
      <c r="AR260" s="1348">
        <f ca="1">(AQ260*DATOSAÑO!$Z$11)/DATOSAÑO!$Y$11</f>
        <v>5.6056058243347355E-2</v>
      </c>
      <c r="AS260" s="1384">
        <f t="shared" si="11"/>
        <v>36</v>
      </c>
    </row>
    <row r="261" spans="1:45">
      <c r="A261" s="1408">
        <v>45176</v>
      </c>
      <c r="B261" s="1869">
        <v>45176</v>
      </c>
      <c r="C261" s="9">
        <f ca="1">DATOSAÑO!I260</f>
        <v>152</v>
      </c>
      <c r="D261" s="10">
        <f ca="1">DATOSAÑO!$D260</f>
        <v>3.7779127136666664</v>
      </c>
      <c r="E261" s="11">
        <f ca="1">DATOSAÑO!$G260</f>
        <v>0</v>
      </c>
      <c r="F261" s="9">
        <f ca="1">DATOSAÑO!P260</f>
        <v>297.30000000000291</v>
      </c>
      <c r="G261" s="10">
        <f ca="1">DATOSAÑO!K260</f>
        <v>5.1157569136666927</v>
      </c>
      <c r="H261" s="11">
        <f ca="1">DATOSAÑO!N260</f>
        <v>0</v>
      </c>
      <c r="I261" s="9">
        <f ca="1">DATOSAÑO!Q260</f>
        <v>0</v>
      </c>
      <c r="J261" s="11">
        <f ca="1">DATOSAÑO!R260</f>
        <v>0</v>
      </c>
      <c r="K261" s="9">
        <f ca="1">DATOSAÑO!T260</f>
        <v>0</v>
      </c>
      <c r="L261" s="11">
        <f t="shared" ca="1" si="9"/>
        <v>0</v>
      </c>
      <c r="M261" s="9"/>
      <c r="N261" s="11">
        <f t="shared" si="10"/>
        <v>0</v>
      </c>
      <c r="O261" s="9">
        <f>DATOSAÑO!CK260</f>
        <v>0</v>
      </c>
      <c r="P261" s="9">
        <f>DATOSAÑO!CL260</f>
        <v>0</v>
      </c>
      <c r="Q261" s="9">
        <f ca="1">DATOSAÑO!AD260</f>
        <v>163.56999999999971</v>
      </c>
      <c r="R261" s="11">
        <f ca="1">(Q261*DATOSAÑO!$Z$11)/DATOSAÑO!$Y$11</f>
        <v>2.9473125833701115</v>
      </c>
      <c r="S261" s="9">
        <f ca="1">DATOSAÑO!AF260</f>
        <v>151</v>
      </c>
      <c r="T261" s="11">
        <f ca="1">(S261*DATOSAÑO!$Z$11)/DATOSAÑO!$Y$11</f>
        <v>2.7208179989538892</v>
      </c>
      <c r="U261" s="9">
        <f ca="1">DATOSAÑO!AH260</f>
        <v>12.099999999998545</v>
      </c>
      <c r="V261" s="11">
        <f ca="1">(U261*DATOSAÑO!$Z$11)/DATOSAÑO!$Y$11</f>
        <v>0.21802581316117944</v>
      </c>
      <c r="W261" s="9">
        <f ca="1">DATOSAÑO!AI260</f>
        <v>36.599999999991269</v>
      </c>
      <c r="X261" s="11">
        <f ca="1">(W261*DATOSAÑO!$Z$11)/DATOSAÑO!$Y$11</f>
        <v>0.65948303815687803</v>
      </c>
      <c r="Y261" s="9">
        <f ca="1">DATOSAÑO!AJ260</f>
        <v>8</v>
      </c>
      <c r="Z261" s="11">
        <f ca="1">(Y261*DATOSAÑO!$Z$11)/DATOSAÑO!$Y$11</f>
        <v>0.14414929795782194</v>
      </c>
      <c r="AA261" s="9">
        <f ca="1">DATOSAÑO!AK260</f>
        <v>11</v>
      </c>
      <c r="AB261" s="11">
        <f ca="1">(AA261*DATOSAÑO!$Z$11)/DATOSAÑO!$Y$11</f>
        <v>0.19820528469200516</v>
      </c>
      <c r="AC261" s="9">
        <f ca="1">DATOSAÑO!AL260</f>
        <v>36.030000000013331</v>
      </c>
      <c r="AD261" s="11">
        <f ca="1">(AC261*DATOSAÑO!$Z$11)/DATOSAÑO!$Y$11</f>
        <v>0.64921240067778074</v>
      </c>
      <c r="AE261" s="9">
        <f ca="1">DATOSAÑO!AM260</f>
        <v>9.2900000000000347</v>
      </c>
      <c r="AF261" s="11">
        <f ca="1">(AE261*DATOSAÑO!$Z$11)/DATOSAÑO!$Y$11</f>
        <v>0.16739337225352133</v>
      </c>
      <c r="AG261" s="9">
        <f ca="1">DATOSAÑO!AN260</f>
        <v>4.2699999999995271</v>
      </c>
      <c r="AH261" s="11">
        <f ca="1">(AG261*DATOSAÑO!$Z$11)/DATOSAÑO!$Y$11</f>
        <v>7.6939687784978936E-2</v>
      </c>
      <c r="AI261" s="9">
        <f ca="1">DATOSAÑO!BJ260</f>
        <v>0</v>
      </c>
      <c r="AJ261" s="11">
        <f ca="1">(AI261*DATOSAÑO!$Z$11)/DATOSAÑO!$Y$11</f>
        <v>0</v>
      </c>
      <c r="AK261" s="9">
        <f ca="1">DATOSAÑO!BM260</f>
        <v>4.9939999999999998</v>
      </c>
      <c r="AL261" s="11">
        <f ca="1">(AK261*DATOSAÑO!$Z$11)/DATOSAÑO!$Y$11</f>
        <v>8.9985199250170345E-2</v>
      </c>
      <c r="AM261" s="9">
        <f ca="1">DATOSAÑO!BP260</f>
        <v>3.681</v>
      </c>
      <c r="AN261" s="11">
        <f ca="1">(AM261*DATOSAÑO!$Z$11)/DATOSAÑO!$Y$11</f>
        <v>6.6326695722842818E-2</v>
      </c>
      <c r="AO261" s="9">
        <f ca="1">DATOSAÑO!BW260</f>
        <v>11.915000000000454</v>
      </c>
      <c r="AP261" s="11">
        <f ca="1">(AO261*DATOSAÑO!$Z$11)/DATOSAÑO!$Y$11</f>
        <v>0.21469236064593922</v>
      </c>
      <c r="AQ261" s="9">
        <f ca="1">DATOSAÑO!CC260</f>
        <v>3.2029999999998111</v>
      </c>
      <c r="AR261" s="1348">
        <f ca="1">(AQ261*DATOSAÑO!$Z$11)/DATOSAÑO!$Y$11</f>
        <v>5.7713775169859552E-2</v>
      </c>
      <c r="AS261" s="1384">
        <f t="shared" si="11"/>
        <v>36</v>
      </c>
    </row>
    <row r="262" spans="1:45">
      <c r="A262" s="1408">
        <v>45177</v>
      </c>
      <c r="B262" s="1869">
        <v>45177</v>
      </c>
      <c r="C262" s="9">
        <f ca="1">DATOSAÑO!I261</f>
        <v>148</v>
      </c>
      <c r="D262" s="10">
        <f ca="1">DATOSAÑO!$D261</f>
        <v>3.7379460469999999</v>
      </c>
      <c r="E262" s="11">
        <f ca="1">DATOSAÑO!$G261</f>
        <v>0</v>
      </c>
      <c r="F262" s="9">
        <f ca="1">DATOSAÑO!P261</f>
        <v>286</v>
      </c>
      <c r="G262" s="10">
        <f ca="1">DATOSAÑO!K261</f>
        <v>5.0103781358888879</v>
      </c>
      <c r="H262" s="11">
        <f ca="1">DATOSAÑO!N261</f>
        <v>0</v>
      </c>
      <c r="I262" s="9">
        <f ca="1">DATOSAÑO!Q261</f>
        <v>0.3569999999999709</v>
      </c>
      <c r="J262" s="11">
        <f ca="1">DATOSAÑO!R261</f>
        <v>42.839999999996508</v>
      </c>
      <c r="K262" s="9">
        <f ca="1">DATOSAÑO!T261</f>
        <v>0</v>
      </c>
      <c r="L262" s="11">
        <f t="shared" ca="1" si="9"/>
        <v>0</v>
      </c>
      <c r="M262" s="9"/>
      <c r="N262" s="11">
        <f t="shared" si="10"/>
        <v>0</v>
      </c>
      <c r="O262" s="9">
        <f>DATOSAÑO!CK261</f>
        <v>1</v>
      </c>
      <c r="P262" s="9">
        <f>DATOSAÑO!CL261</f>
        <v>0</v>
      </c>
      <c r="Q262" s="9">
        <f ca="1">DATOSAÑO!AD261</f>
        <v>158</v>
      </c>
      <c r="R262" s="11">
        <f ca="1">(Q262*DATOSAÑO!$Z$11)/DATOSAÑO!$Y$11</f>
        <v>2.8469486346669832</v>
      </c>
      <c r="S262" s="9">
        <f ca="1">DATOSAÑO!AF261</f>
        <v>147</v>
      </c>
      <c r="T262" s="11">
        <f ca="1">(S262*DATOSAÑO!$Z$11)/DATOSAÑO!$Y$11</f>
        <v>2.648743349974978</v>
      </c>
      <c r="U262" s="9">
        <f ca="1">DATOSAÑO!AH261</f>
        <v>9.5999999999985448</v>
      </c>
      <c r="V262" s="11">
        <f ca="1">(U262*DATOSAÑO!$Z$11)/DATOSAÑO!$Y$11</f>
        <v>0.17297915754936011</v>
      </c>
      <c r="W262" s="9">
        <f ca="1">DATOSAÑO!AI261</f>
        <v>36.100000000005821</v>
      </c>
      <c r="X262" s="11">
        <f ca="1">(W262*DATOSAÑO!$Z$11)/DATOSAÑO!$Y$11</f>
        <v>0.65047370703477636</v>
      </c>
      <c r="Y262" s="9">
        <f ca="1">DATOSAÑO!AJ261</f>
        <v>7.1999999999970896</v>
      </c>
      <c r="Z262" s="11">
        <f ca="1">(Y262*DATOSAÑO!$Z$11)/DATOSAÑO!$Y$11</f>
        <v>0.1297343681619873</v>
      </c>
      <c r="AA262" s="9">
        <f ca="1">DATOSAÑO!AK261</f>
        <v>11</v>
      </c>
      <c r="AB262" s="11">
        <f ca="1">(AA262*DATOSAÑO!$Z$11)/DATOSAÑO!$Y$11</f>
        <v>0.19820528469200516</v>
      </c>
      <c r="AC262" s="9">
        <f ca="1">DATOSAÑO!AL261</f>
        <v>35.756999999997731</v>
      </c>
      <c r="AD262" s="11">
        <f ca="1">(AC262*DATOSAÑO!$Z$11)/DATOSAÑO!$Y$11</f>
        <v>0.64429330588468903</v>
      </c>
      <c r="AE262" s="9">
        <f ca="1">DATOSAÑO!AM261</f>
        <v>10.096999999999818</v>
      </c>
      <c r="AF262" s="11">
        <f ca="1">(AE262*DATOSAÑO!$Z$11)/DATOSAÑO!$Y$11</f>
        <v>0.18193443268501275</v>
      </c>
      <c r="AG262" s="9">
        <f ca="1">DATOSAÑO!AN261</f>
        <v>4.3000000000001819</v>
      </c>
      <c r="AH262" s="11">
        <f ca="1">(AG262*DATOSAÑO!$Z$11)/DATOSAÑO!$Y$11</f>
        <v>7.7480247652332565E-2</v>
      </c>
      <c r="AI262" s="9">
        <f ca="1">DATOSAÑO!BJ261</f>
        <v>0</v>
      </c>
      <c r="AJ262" s="11">
        <f ca="1">(AI262*DATOSAÑO!$Z$11)/DATOSAÑO!$Y$11</f>
        <v>0</v>
      </c>
      <c r="AK262" s="9">
        <f ca="1">DATOSAÑO!BM261</f>
        <v>4.7140000000000004</v>
      </c>
      <c r="AL262" s="11">
        <f ca="1">(AK262*DATOSAÑO!$Z$11)/DATOSAÑO!$Y$11</f>
        <v>8.4939973821646586E-2</v>
      </c>
      <c r="AM262" s="9">
        <f ca="1">DATOSAÑO!BP261</f>
        <v>3.5409999999999999</v>
      </c>
      <c r="AN262" s="11">
        <f ca="1">(AM262*DATOSAÑO!$Z$11)/DATOSAÑO!$Y$11</f>
        <v>6.3804083008580939E-2</v>
      </c>
      <c r="AO262" s="9">
        <f ca="1">DATOSAÑO!BW261</f>
        <v>10.748500000000636</v>
      </c>
      <c r="AP262" s="11">
        <f ca="1">(AO262*DATOSAÑO!$Z$11)/DATOSAÑO!$Y$11</f>
        <v>0.19367359113746757</v>
      </c>
      <c r="AQ262" s="9">
        <f ca="1">DATOSAÑO!CC261</f>
        <v>3.0680000000000729</v>
      </c>
      <c r="AR262" s="1348">
        <f ca="1">(AQ262*DATOSAÑO!$Z$11)/DATOSAÑO!$Y$11</f>
        <v>5.5281255766826028E-2</v>
      </c>
      <c r="AS262" s="1384">
        <f t="shared" si="11"/>
        <v>36</v>
      </c>
    </row>
    <row r="263" spans="1:45">
      <c r="A263" s="1408">
        <v>45178</v>
      </c>
      <c r="B263" s="1869">
        <v>45178</v>
      </c>
      <c r="C263" s="9">
        <f ca="1">DATOSAÑO!I262</f>
        <v>150</v>
      </c>
      <c r="D263" s="10">
        <f ca="1">DATOSAÑO!$D262</f>
        <v>3.7579293803333331</v>
      </c>
      <c r="E263" s="11">
        <f ca="1">DATOSAÑO!$G262</f>
        <v>0</v>
      </c>
      <c r="F263" s="9">
        <f ca="1">DATOSAÑO!P262</f>
        <v>296</v>
      </c>
      <c r="G263" s="10">
        <f ca="1">DATOSAÑO!K262</f>
        <v>5.1036336914444433</v>
      </c>
      <c r="H263" s="11">
        <f ca="1">DATOSAÑO!N262</f>
        <v>0</v>
      </c>
      <c r="I263" s="9">
        <f ca="1">DATOSAÑO!Q262</f>
        <v>0</v>
      </c>
      <c r="J263" s="11">
        <f ca="1">DATOSAÑO!R262</f>
        <v>0</v>
      </c>
      <c r="K263" s="9">
        <f ca="1">DATOSAÑO!T262</f>
        <v>0</v>
      </c>
      <c r="L263" s="11">
        <f t="shared" ca="1" si="9"/>
        <v>0</v>
      </c>
      <c r="M263" s="9"/>
      <c r="N263" s="11">
        <f t="shared" si="10"/>
        <v>0</v>
      </c>
      <c r="O263" s="9">
        <f>DATOSAÑO!CK262</f>
        <v>0</v>
      </c>
      <c r="P263" s="9">
        <f>DATOSAÑO!CL262</f>
        <v>0</v>
      </c>
      <c r="Q263" s="9">
        <f ca="1">DATOSAÑO!AD262</f>
        <v>162</v>
      </c>
      <c r="R263" s="11">
        <f ca="1">(Q263*DATOSAÑO!$Z$11)/DATOSAÑO!$Y$11</f>
        <v>2.919023283645894</v>
      </c>
      <c r="S263" s="9">
        <f ca="1">DATOSAÑO!AF262</f>
        <v>151</v>
      </c>
      <c r="T263" s="11">
        <f ca="1">(S263*DATOSAÑO!$Z$11)/DATOSAÑO!$Y$11</f>
        <v>2.7208179989538892</v>
      </c>
      <c r="U263" s="9">
        <f ca="1">DATOSAÑO!AH262</f>
        <v>10.200000000004366</v>
      </c>
      <c r="V263" s="11">
        <f ca="1">(U263*DATOSAÑO!$Z$11)/DATOSAÑO!$Y$11</f>
        <v>0.18379035489630161</v>
      </c>
      <c r="W263" s="9">
        <f ca="1">DATOSAÑO!AI262</f>
        <v>38.30000000000291</v>
      </c>
      <c r="X263" s="11">
        <f ca="1">(W263*DATOSAÑO!$Z$11)/DATOSAÑO!$Y$11</f>
        <v>0.69011476397312499</v>
      </c>
      <c r="Y263" s="9">
        <f ca="1">DATOSAÑO!AJ262</f>
        <v>10.30000000000291</v>
      </c>
      <c r="Z263" s="11">
        <f ca="1">(Y263*DATOSAÑO!$Z$11)/DATOSAÑO!$Y$11</f>
        <v>0.18559222112074819</v>
      </c>
      <c r="AA263" s="9">
        <f ca="1">DATOSAÑO!AK262</f>
        <v>12</v>
      </c>
      <c r="AB263" s="11">
        <f ca="1">(AA263*DATOSAÑO!$Z$11)/DATOSAÑO!$Y$11</f>
        <v>0.21622394693673291</v>
      </c>
      <c r="AC263" s="9">
        <f ca="1">DATOSAÑO!AL262</f>
        <v>33.199999999989757</v>
      </c>
      <c r="AD263" s="11">
        <f ca="1">(AC263*DATOSAÑO!$Z$11)/DATOSAÑO!$Y$11</f>
        <v>0.59821958652477647</v>
      </c>
      <c r="AE263" s="9">
        <f ca="1">DATOSAÑO!AM262</f>
        <v>8.5709999999998061</v>
      </c>
      <c r="AF263" s="11">
        <f ca="1">(AE263*DATOSAÑO!$Z$11)/DATOSAÑO!$Y$11</f>
        <v>0.15443795409955799</v>
      </c>
      <c r="AG263" s="9">
        <f ca="1">DATOSAÑO!AN262</f>
        <v>4.7300000000005582</v>
      </c>
      <c r="AH263" s="11">
        <f ca="1">(AG263*DATOSAÑO!$Z$11)/DATOSAÑO!$Y$11</f>
        <v>8.522827241757229E-2</v>
      </c>
      <c r="AI263" s="9">
        <f ca="1">DATOSAÑO!BJ262</f>
        <v>0</v>
      </c>
      <c r="AJ263" s="11">
        <f ca="1">(AI263*DATOSAÑO!$Z$11)/DATOSAÑO!$Y$11</f>
        <v>0</v>
      </c>
      <c r="AK263" s="9">
        <f ca="1">DATOSAÑO!BM262</f>
        <v>4.8860000000000001</v>
      </c>
      <c r="AL263" s="11">
        <f ca="1">(AK263*DATOSAÑO!$Z$11)/DATOSAÑO!$Y$11</f>
        <v>8.8039183727739764E-2</v>
      </c>
      <c r="AM263" s="9">
        <f ca="1">DATOSAÑO!BP262</f>
        <v>3.66</v>
      </c>
      <c r="AN263" s="11">
        <f ca="1">(AM263*DATOSAÑO!$Z$11)/DATOSAÑO!$Y$11</f>
        <v>6.5948303815703546E-2</v>
      </c>
      <c r="AO263" s="9">
        <f ca="1">DATOSAÑO!BW262</f>
        <v>9.6854999999995393</v>
      </c>
      <c r="AP263" s="11">
        <f ca="1">(AO263*DATOSAÑO!$Z$11)/DATOSAÑO!$Y$11</f>
        <v>0.17451975317130225</v>
      </c>
      <c r="AQ263" s="9">
        <f ca="1">DATOSAÑO!CC262</f>
        <v>3.6450000000002234</v>
      </c>
      <c r="AR263" s="1348">
        <f ca="1">(AQ263*DATOSAÑO!$Z$11)/DATOSAÑO!$Y$11</f>
        <v>6.5678023882036654E-2</v>
      </c>
      <c r="AS263" s="1384">
        <f t="shared" si="11"/>
        <v>36</v>
      </c>
    </row>
    <row r="264" spans="1:45">
      <c r="A264" s="1408">
        <v>45179</v>
      </c>
      <c r="B264" s="1869">
        <v>45179</v>
      </c>
      <c r="C264" s="9">
        <f ca="1">DATOSAÑO!I263</f>
        <v>151</v>
      </c>
      <c r="D264" s="10">
        <f ca="1">DATOSAÑO!$D263</f>
        <v>3.7679210469999997</v>
      </c>
      <c r="E264" s="11">
        <f ca="1">DATOSAÑO!$G263</f>
        <v>0</v>
      </c>
      <c r="F264" s="9">
        <f ca="1">DATOSAÑO!P263</f>
        <v>289</v>
      </c>
      <c r="G264" s="10">
        <f ca="1">DATOSAÑO!K263</f>
        <v>5.0383548025555545</v>
      </c>
      <c r="H264" s="11">
        <f ca="1">DATOSAÑO!N263</f>
        <v>0</v>
      </c>
      <c r="I264" s="9">
        <f ca="1">DATOSAÑO!Q263</f>
        <v>0.1009999999998854</v>
      </c>
      <c r="J264" s="11">
        <f ca="1">DATOSAÑO!R263</f>
        <v>12.119999999986248</v>
      </c>
      <c r="K264" s="9">
        <f ca="1">DATOSAÑO!T263</f>
        <v>0</v>
      </c>
      <c r="L264" s="11">
        <f t="shared" ca="1" si="9"/>
        <v>0</v>
      </c>
      <c r="M264" s="9"/>
      <c r="N264" s="11">
        <f t="shared" si="10"/>
        <v>0</v>
      </c>
      <c r="O264" s="9">
        <f>DATOSAÑO!CK263</f>
        <v>0.2</v>
      </c>
      <c r="P264" s="9">
        <f>DATOSAÑO!CL263</f>
        <v>0</v>
      </c>
      <c r="Q264" s="9">
        <f ca="1">DATOSAÑO!AD263</f>
        <v>164</v>
      </c>
      <c r="R264" s="11">
        <f ca="1">(Q264*DATOSAÑO!$Z$11)/DATOSAÑO!$Y$11</f>
        <v>2.9550606081353497</v>
      </c>
      <c r="S264" s="9">
        <f ca="1">DATOSAÑO!AF263</f>
        <v>149</v>
      </c>
      <c r="T264" s="11">
        <f ca="1">(S264*DATOSAÑO!$Z$11)/DATOSAÑO!$Y$11</f>
        <v>2.6847806744644336</v>
      </c>
      <c r="U264" s="9">
        <f ca="1">DATOSAÑO!AH263</f>
        <v>7.1999999999970896</v>
      </c>
      <c r="V264" s="11">
        <f ca="1">(U264*DATOSAÑO!$Z$11)/DATOSAÑO!$Y$11</f>
        <v>0.1297343681619873</v>
      </c>
      <c r="W264" s="9">
        <f ca="1">DATOSAÑO!AI263</f>
        <v>36.69999999999709</v>
      </c>
      <c r="X264" s="11">
        <f ca="1">(W264*DATOSAÑO!$Z$11)/DATOSAÑO!$Y$11</f>
        <v>0.66128490438145571</v>
      </c>
      <c r="Y264" s="9">
        <f ca="1">DATOSAÑO!AJ263</f>
        <v>6.6999999999970896</v>
      </c>
      <c r="Z264" s="11">
        <f ca="1">(Y264*DATOSAÑO!$Z$11)/DATOSAÑO!$Y$11</f>
        <v>0.12072503703962342</v>
      </c>
      <c r="AA264" s="9">
        <f ca="1">DATOSAÑO!AK263</f>
        <v>10</v>
      </c>
      <c r="AB264" s="11">
        <f ca="1">(AA264*DATOSAÑO!$Z$11)/DATOSAÑO!$Y$11</f>
        <v>0.18018662244727743</v>
      </c>
      <c r="AC264" s="9">
        <f ca="1">DATOSAÑO!AL263</f>
        <v>36.901000000010015</v>
      </c>
      <c r="AD264" s="11">
        <f ca="1">(AC264*DATOSAÑO!$Z$11)/DATOSAÑO!$Y$11</f>
        <v>0.66490665549287886</v>
      </c>
      <c r="AE264" s="9">
        <f ca="1">DATOSAÑO!AM263</f>
        <v>10.094999999999182</v>
      </c>
      <c r="AF264" s="11">
        <f ca="1">(AE264*DATOSAÑO!$Z$11)/DATOSAÑO!$Y$11</f>
        <v>0.18189839536051183</v>
      </c>
      <c r="AG264" s="9">
        <f ca="1">DATOSAÑO!AN263</f>
        <v>4.1999999999993634</v>
      </c>
      <c r="AH264" s="11">
        <f ca="1">(AG264*DATOSAÑO!$Z$11)/DATOSAÑO!$Y$11</f>
        <v>7.5678381427845054E-2</v>
      </c>
      <c r="AI264" s="9">
        <f ca="1">DATOSAÑO!BJ263</f>
        <v>0</v>
      </c>
      <c r="AJ264" s="11">
        <f ca="1">(AI264*DATOSAÑO!$Z$11)/DATOSAÑO!$Y$11</f>
        <v>0</v>
      </c>
      <c r="AK264" s="9">
        <f ca="1">DATOSAÑO!BM263</f>
        <v>4.7969999999999997</v>
      </c>
      <c r="AL264" s="11">
        <f ca="1">(AK264*DATOSAÑO!$Z$11)/DATOSAÑO!$Y$11</f>
        <v>8.6435522787958977E-2</v>
      </c>
      <c r="AM264" s="9">
        <f ca="1">DATOSAÑO!BP263</f>
        <v>3.5539999999999998</v>
      </c>
      <c r="AN264" s="11">
        <f ca="1">(AM264*DATOSAÑO!$Z$11)/DATOSAÑO!$Y$11</f>
        <v>6.403832561776239E-2</v>
      </c>
      <c r="AO264" s="9">
        <f ca="1">DATOSAÑO!BW263</f>
        <v>10.547499999999591</v>
      </c>
      <c r="AP264" s="11">
        <f ca="1">(AO264*DATOSAÑO!$Z$11)/DATOSAÑO!$Y$11</f>
        <v>0.19005184002625847</v>
      </c>
      <c r="AQ264" s="9">
        <f ca="1">DATOSAÑO!CC263</f>
        <v>3.1339999999997454</v>
      </c>
      <c r="AR264" s="1348">
        <f ca="1">(AQ264*DATOSAÑO!$Z$11)/DATOSAÑO!$Y$11</f>
        <v>5.6470487474972159E-2</v>
      </c>
      <c r="AS264" s="1384">
        <f t="shared" si="11"/>
        <v>37</v>
      </c>
    </row>
    <row r="265" spans="1:45">
      <c r="A265" s="1408">
        <v>45180</v>
      </c>
      <c r="B265" s="1869">
        <v>45180</v>
      </c>
      <c r="C265" s="9">
        <f ca="1">DATOSAÑO!I264</f>
        <v>148</v>
      </c>
      <c r="D265" s="10">
        <f ca="1">DATOSAÑO!$D264</f>
        <v>3.7379460469999999</v>
      </c>
      <c r="E265" s="11">
        <f ca="1">DATOSAÑO!$G264</f>
        <v>0</v>
      </c>
      <c r="F265" s="9">
        <f ca="1">DATOSAÑO!P264</f>
        <v>302</v>
      </c>
      <c r="G265" s="10">
        <f ca="1">DATOSAÑO!K264</f>
        <v>5.1595870247777773</v>
      </c>
      <c r="H265" s="11">
        <f ca="1">DATOSAÑO!N264</f>
        <v>0</v>
      </c>
      <c r="I265" s="9">
        <f ca="1">DATOSAÑO!Q264</f>
        <v>0.44000000000005457</v>
      </c>
      <c r="J265" s="11">
        <f ca="1">DATOSAÑO!R264</f>
        <v>52.800000000006548</v>
      </c>
      <c r="K265" s="9">
        <f ca="1">DATOSAÑO!T264</f>
        <v>0</v>
      </c>
      <c r="L265" s="11">
        <f t="shared" ca="1" si="9"/>
        <v>0</v>
      </c>
      <c r="M265" s="9"/>
      <c r="N265" s="11">
        <f t="shared" si="10"/>
        <v>0</v>
      </c>
      <c r="O265" s="9">
        <f>DATOSAÑO!CK264</f>
        <v>0.6</v>
      </c>
      <c r="P265" s="9">
        <f>DATOSAÑO!CL264</f>
        <v>0</v>
      </c>
      <c r="Q265" s="9">
        <f ca="1">DATOSAÑO!AD264</f>
        <v>162</v>
      </c>
      <c r="R265" s="11">
        <f ca="1">(Q265*DATOSAÑO!$Z$11)/DATOSAÑO!$Y$11</f>
        <v>2.919023283645894</v>
      </c>
      <c r="S265" s="9">
        <f ca="1">DATOSAÑO!AF264</f>
        <v>149</v>
      </c>
      <c r="T265" s="11">
        <f ca="1">(S265*DATOSAÑO!$Z$11)/DATOSAÑO!$Y$11</f>
        <v>2.6847806744644336</v>
      </c>
      <c r="U265" s="9">
        <f ca="1">DATOSAÑO!AH264</f>
        <v>15.700000000004366</v>
      </c>
      <c r="V265" s="11">
        <f ca="1">(U265*DATOSAÑO!$Z$11)/DATOSAÑO!$Y$11</f>
        <v>0.28289299724230421</v>
      </c>
      <c r="W265" s="9">
        <f ca="1">DATOSAÑO!AI264</f>
        <v>37.69999999999709</v>
      </c>
      <c r="X265" s="11">
        <f ca="1">(W265*DATOSAÑO!$Z$11)/DATOSAÑO!$Y$11</f>
        <v>0.67930356662618352</v>
      </c>
      <c r="Y265" s="9">
        <f ca="1">DATOSAÑO!AJ264</f>
        <v>9.5</v>
      </c>
      <c r="Z265" s="11">
        <f ca="1">(Y265*DATOSAÑO!$Z$11)/DATOSAÑO!$Y$11</f>
        <v>0.17117729132491355</v>
      </c>
      <c r="AA265" s="9">
        <f ca="1">DATOSAÑO!AK264</f>
        <v>12</v>
      </c>
      <c r="AB265" s="11">
        <f ca="1">(AA265*DATOSAÑO!$Z$11)/DATOSAÑO!$Y$11</f>
        <v>0.21622394693673291</v>
      </c>
      <c r="AC265" s="9">
        <f ca="1">DATOSAÑO!AL264</f>
        <v>35.239999999999327</v>
      </c>
      <c r="AD265" s="11">
        <f ca="1">(AC265*DATOSAÑO!$Z$11)/DATOSAÑO!$Y$11</f>
        <v>0.63497765750419355</v>
      </c>
      <c r="AE265" s="9">
        <f ca="1">DATOSAÑO!AM264</f>
        <v>11.031999999999908</v>
      </c>
      <c r="AF265" s="11">
        <f ca="1">(AE265*DATOSAÑO!$Z$11)/DATOSAÑO!$Y$11</f>
        <v>0.1987818818838348</v>
      </c>
      <c r="AG265" s="9">
        <f ca="1">DATOSAÑO!AN264</f>
        <v>3.4000000000000909</v>
      </c>
      <c r="AH265" s="11">
        <f ca="1">(AG265*DATOSAÑO!$Z$11)/DATOSAÑO!$Y$11</f>
        <v>6.1263451632075965E-2</v>
      </c>
      <c r="AI265" s="9">
        <f ca="1">DATOSAÑO!BJ264</f>
        <v>0</v>
      </c>
      <c r="AJ265" s="11">
        <f ca="1">(AI265*DATOSAÑO!$Z$11)/DATOSAÑO!$Y$11</f>
        <v>0</v>
      </c>
      <c r="AK265" s="9">
        <f ca="1">DATOSAÑO!BM264</f>
        <v>4.5789999999999997</v>
      </c>
      <c r="AL265" s="11">
        <f ca="1">(AK265*DATOSAÑO!$Z$11)/DATOSAÑO!$Y$11</f>
        <v>8.2507454418608336E-2</v>
      </c>
      <c r="AM265" s="9">
        <f ca="1">DATOSAÑO!BP264</f>
        <v>3.5059999999999998</v>
      </c>
      <c r="AN265" s="11">
        <f ca="1">(AM265*DATOSAÑO!$Z$11)/DATOSAÑO!$Y$11</f>
        <v>6.3173429830015462E-2</v>
      </c>
      <c r="AO265" s="9">
        <f ca="1">DATOSAÑO!BW264</f>
        <v>10.815999999999226</v>
      </c>
      <c r="AP265" s="11">
        <f ca="1">(AO265*DATOSAÑO!$Z$11)/DATOSAÑO!$Y$11</f>
        <v>0.19488985083896132</v>
      </c>
      <c r="AQ265" s="9">
        <f ca="1">DATOSAÑO!CC264</f>
        <v>2.8430000000000364</v>
      </c>
      <c r="AR265" s="1348">
        <f ca="1">(AQ265*DATOSAÑO!$Z$11)/DATOSAÑO!$Y$11</f>
        <v>5.1227056761761626E-2</v>
      </c>
      <c r="AS265" s="1384">
        <f t="shared" si="11"/>
        <v>37</v>
      </c>
    </row>
    <row r="266" spans="1:45">
      <c r="A266" s="1408">
        <v>45181</v>
      </c>
      <c r="B266" s="1869">
        <v>45181</v>
      </c>
      <c r="C266" s="9">
        <f ca="1">DATOSAÑO!I265</f>
        <v>150</v>
      </c>
      <c r="D266" s="10">
        <f ca="1">DATOSAÑO!$D265</f>
        <v>3.7579293803333331</v>
      </c>
      <c r="E266" s="11">
        <f ca="1">DATOSAÑO!$G265</f>
        <v>0</v>
      </c>
      <c r="F266" s="9">
        <f ca="1">DATOSAÑO!P265</f>
        <v>293</v>
      </c>
      <c r="G266" s="10">
        <f ca="1">DATOSAÑO!K265</f>
        <v>5.0756570247777768</v>
      </c>
      <c r="H266" s="11">
        <f ca="1">DATOSAÑO!N265</f>
        <v>0</v>
      </c>
      <c r="I266" s="9">
        <f ca="1">DATOSAÑO!Q265</f>
        <v>0.16100000000005821</v>
      </c>
      <c r="J266" s="11">
        <f ca="1">DATOSAÑO!R265</f>
        <v>19.320000000006985</v>
      </c>
      <c r="K266" s="9">
        <f ca="1">DATOSAÑO!T265</f>
        <v>0.41800000000000637</v>
      </c>
      <c r="L266" s="11">
        <f t="shared" ca="1" si="9"/>
        <v>50.160000000000764</v>
      </c>
      <c r="M266" s="9"/>
      <c r="N266" s="11">
        <f t="shared" si="10"/>
        <v>0</v>
      </c>
      <c r="O266" s="9">
        <f>DATOSAÑO!CK265</f>
        <v>0.6</v>
      </c>
      <c r="P266" s="9">
        <f>DATOSAÑO!CL265</f>
        <v>0.6</v>
      </c>
      <c r="Q266" s="9">
        <f ca="1">DATOSAÑO!AD265</f>
        <v>164</v>
      </c>
      <c r="R266" s="11">
        <f ca="1">(Q266*DATOSAÑO!$Z$11)/DATOSAÑO!$Y$11</f>
        <v>2.9550606081353497</v>
      </c>
      <c r="S266" s="9">
        <f ca="1">DATOSAÑO!AF265</f>
        <v>148</v>
      </c>
      <c r="T266" s="11">
        <f ca="1">(S266*DATOSAÑO!$Z$11)/DATOSAÑO!$Y$11</f>
        <v>2.666762012219706</v>
      </c>
      <c r="U266" s="9">
        <f ca="1">DATOSAÑO!AH265</f>
        <v>7.1999999999989086</v>
      </c>
      <c r="V266" s="11">
        <f ca="1">(U266*DATOSAÑO!$Z$11)/DATOSAÑO!$Y$11</f>
        <v>0.12973436816202008</v>
      </c>
      <c r="W266" s="9">
        <f ca="1">DATOSAÑO!AI265</f>
        <v>39.80000000000291</v>
      </c>
      <c r="X266" s="11">
        <f ca="1">(W266*DATOSAÑO!$Z$11)/DATOSAÑO!$Y$11</f>
        <v>0.71714275734021649</v>
      </c>
      <c r="Y266" s="9">
        <f ca="1">DATOSAÑO!AJ265</f>
        <v>10</v>
      </c>
      <c r="Z266" s="11">
        <f ca="1">(Y266*DATOSAÑO!$Z$11)/DATOSAÑO!$Y$11</f>
        <v>0.18018662244727743</v>
      </c>
      <c r="AA266" s="9">
        <f ca="1">DATOSAÑO!AK265</f>
        <v>12</v>
      </c>
      <c r="AB266" s="11">
        <f ca="1">(AA266*DATOSAÑO!$Z$11)/DATOSAÑO!$Y$11</f>
        <v>0.21622394693673291</v>
      </c>
      <c r="AC266" s="9">
        <f ca="1">DATOSAÑO!AL265</f>
        <v>33.178999999996734</v>
      </c>
      <c r="AD266" s="11">
        <f ca="1">(AC266*DATOSAÑO!$Z$11)/DATOSAÑO!$Y$11</f>
        <v>0.59784119461776286</v>
      </c>
      <c r="AE266" s="9">
        <f ca="1">DATOSAÑO!AM265</f>
        <v>8.9780000000008187</v>
      </c>
      <c r="AF266" s="11">
        <f ca="1">(AE266*DATOSAÑO!$Z$11)/DATOSAÑO!$Y$11</f>
        <v>0.16177154963318044</v>
      </c>
      <c r="AG266" s="9">
        <f ca="1">DATOSAÑO!AN265</f>
        <v>5.5999999999999091</v>
      </c>
      <c r="AH266" s="11">
        <f ca="1">(AG266*DATOSAÑO!$Z$11)/DATOSAÑO!$Y$11</f>
        <v>0.10090450857047373</v>
      </c>
      <c r="AI266" s="9">
        <f ca="1">DATOSAÑO!BJ265</f>
        <v>0</v>
      </c>
      <c r="AJ266" s="11">
        <f ca="1">(AI266*DATOSAÑO!$Z$11)/DATOSAÑO!$Y$11</f>
        <v>0</v>
      </c>
      <c r="AK266" s="9">
        <f ca="1">DATOSAÑO!BM265</f>
        <v>4.7039999999999997</v>
      </c>
      <c r="AL266" s="11">
        <f ca="1">(AK266*DATOSAÑO!$Z$11)/DATOSAÑO!$Y$11</f>
        <v>8.4759787199199285E-2</v>
      </c>
      <c r="AM266" s="9">
        <f ca="1">DATOSAÑO!BP265</f>
        <v>3.476</v>
      </c>
      <c r="AN266" s="11">
        <f ca="1">(AM266*DATOSAÑO!$Z$11)/DATOSAÑO!$Y$11</f>
        <v>6.2632869962673629E-2</v>
      </c>
      <c r="AO266" s="9">
        <f ca="1">DATOSAÑO!BW265</f>
        <v>9.6890000000011369</v>
      </c>
      <c r="AP266" s="11">
        <f ca="1">(AO266*DATOSAÑO!$Z$11)/DATOSAÑO!$Y$11</f>
        <v>0.17458281848918755</v>
      </c>
      <c r="AQ266" s="9">
        <f ca="1">DATOSAÑO!CC265</f>
        <v>3.681999999999964</v>
      </c>
      <c r="AR266" s="1348">
        <f ca="1">(AQ266*DATOSAÑO!$Z$11)/DATOSAÑO!$Y$11</f>
        <v>6.6344714385086906E-2</v>
      </c>
      <c r="AS266" s="1384">
        <f t="shared" si="11"/>
        <v>37</v>
      </c>
    </row>
    <row r="267" spans="1:45">
      <c r="A267" s="1408">
        <v>45182</v>
      </c>
      <c r="B267" s="1869">
        <v>45182</v>
      </c>
      <c r="C267" s="9">
        <f ca="1">DATOSAÑO!I266</f>
        <v>150</v>
      </c>
      <c r="D267" s="10">
        <f ca="1">DATOSAÑO!$D266</f>
        <v>3.7579293803333331</v>
      </c>
      <c r="E267" s="11">
        <f ca="1">DATOSAÑO!$G266</f>
        <v>0</v>
      </c>
      <c r="F267" s="9">
        <f ca="1">DATOSAÑO!P266</f>
        <v>306</v>
      </c>
      <c r="G267" s="10">
        <f ca="1">DATOSAÑO!K266</f>
        <v>5.1968892469999988</v>
      </c>
      <c r="H267" s="11">
        <f ca="1">DATOSAÑO!N266</f>
        <v>0</v>
      </c>
      <c r="I267" s="9">
        <f ca="1">DATOSAÑO!Q266</f>
        <v>0</v>
      </c>
      <c r="J267" s="11">
        <f ca="1">DATOSAÑO!R266</f>
        <v>0</v>
      </c>
      <c r="K267" s="9">
        <f ca="1">DATOSAÑO!T266</f>
        <v>0</v>
      </c>
      <c r="L267" s="11">
        <f t="shared" ca="1" si="9"/>
        <v>0</v>
      </c>
      <c r="M267" s="9"/>
      <c r="N267" s="11">
        <f t="shared" si="10"/>
        <v>0</v>
      </c>
      <c r="O267" s="9">
        <f>DATOSAÑO!CK266</f>
        <v>0</v>
      </c>
      <c r="P267" s="9">
        <f>DATOSAÑO!CL266</f>
        <v>0</v>
      </c>
      <c r="Q267" s="9">
        <f ca="1">DATOSAÑO!AD266</f>
        <v>164</v>
      </c>
      <c r="R267" s="11">
        <f ca="1">(Q267*DATOSAÑO!$Z$11)/DATOSAÑO!$Y$11</f>
        <v>2.9550606081353497</v>
      </c>
      <c r="S267" s="9">
        <f ca="1">DATOSAÑO!AF266</f>
        <v>150</v>
      </c>
      <c r="T267" s="11">
        <f ca="1">(S267*DATOSAÑO!$Z$11)/DATOSAÑO!$Y$11</f>
        <v>2.7027993367091616</v>
      </c>
      <c r="U267" s="9">
        <f ca="1">DATOSAÑO!AH266</f>
        <v>12.19999999999709</v>
      </c>
      <c r="V267" s="11">
        <f ca="1">(U267*DATOSAÑO!$Z$11)/DATOSAÑO!$Y$11</f>
        <v>0.21982767938562603</v>
      </c>
      <c r="W267" s="9">
        <f ca="1">DATOSAÑO!AI266</f>
        <v>39.899999999994179</v>
      </c>
      <c r="X267" s="11">
        <f ca="1">(W267*DATOSAÑO!$Z$11)/DATOSAÑO!$Y$11</f>
        <v>0.71894462356453204</v>
      </c>
      <c r="Y267" s="9">
        <f ca="1">DATOSAÑO!AJ266</f>
        <v>10.19999999999709</v>
      </c>
      <c r="Z267" s="11">
        <f ca="1">(Y267*DATOSAÑO!$Z$11)/DATOSAÑO!$Y$11</f>
        <v>0.18379035489617054</v>
      </c>
      <c r="AA267" s="9">
        <f ca="1">DATOSAÑO!AK266</f>
        <v>12</v>
      </c>
      <c r="AB267" s="11">
        <f ca="1">(AA267*DATOSAÑO!$Z$11)/DATOSAÑO!$Y$11</f>
        <v>0.21622394693673291</v>
      </c>
      <c r="AC267" s="9">
        <f ca="1">DATOSAÑO!AL266</f>
        <v>38.200000000011698</v>
      </c>
      <c r="AD267" s="11">
        <f ca="1">(AC267*DATOSAÑO!$Z$11)/DATOSAÑO!$Y$11</f>
        <v>0.68831289774881055</v>
      </c>
      <c r="AE267" s="9">
        <f ca="1">DATOSAÑO!AM266</f>
        <v>10.384000000000727</v>
      </c>
      <c r="AF267" s="11">
        <f ca="1">(AE267*DATOSAÑO!$Z$11)/DATOSAÑO!$Y$11</f>
        <v>0.18710578874926598</v>
      </c>
      <c r="AG267" s="9">
        <f ca="1">DATOSAÑO!AN266</f>
        <v>4</v>
      </c>
      <c r="AH267" s="11">
        <f ca="1">(AG267*DATOSAÑO!$Z$11)/DATOSAÑO!$Y$11</f>
        <v>7.2074648978910971E-2</v>
      </c>
      <c r="AI267" s="9">
        <f ca="1">DATOSAÑO!BJ266</f>
        <v>0</v>
      </c>
      <c r="AJ267" s="11">
        <f ca="1">(AI267*DATOSAÑO!$Z$11)/DATOSAÑO!$Y$11</f>
        <v>0</v>
      </c>
      <c r="AK267" s="9">
        <f ca="1">DATOSAÑO!BM266</f>
        <v>4.7859999999999996</v>
      </c>
      <c r="AL267" s="11">
        <f ca="1">(AK267*DATOSAÑO!$Z$11)/DATOSAÑO!$Y$11</f>
        <v>8.6237317503266964E-2</v>
      </c>
      <c r="AM267" s="9">
        <f ca="1">DATOSAÑO!BP266</f>
        <v>3.5579999999999998</v>
      </c>
      <c r="AN267" s="11">
        <f ca="1">(AM267*DATOSAÑO!$Z$11)/DATOSAÑO!$Y$11</f>
        <v>6.4110400266741308E-2</v>
      </c>
      <c r="AO267" s="9">
        <f ca="1">DATOSAÑO!BW266</f>
        <v>10.491999999999635</v>
      </c>
      <c r="AP267" s="11">
        <f ca="1">(AO267*DATOSAÑO!$Z$11)/DATOSAÑO!$Y$11</f>
        <v>0.18905180427167689</v>
      </c>
      <c r="AQ267" s="9">
        <f ca="1">DATOSAÑO!CC266</f>
        <v>3.0720000000000001</v>
      </c>
      <c r="AR267" s="1348">
        <f ca="1">(AQ267*DATOSAÑO!$Z$11)/DATOSAÑO!$Y$11</f>
        <v>5.5353330415803627E-2</v>
      </c>
      <c r="AS267" s="1384">
        <f t="shared" si="11"/>
        <v>37</v>
      </c>
    </row>
    <row r="268" spans="1:45">
      <c r="A268" s="1408">
        <v>45183</v>
      </c>
      <c r="B268" s="1869">
        <v>45183</v>
      </c>
      <c r="C268" s="9">
        <f ca="1">DATOSAÑO!I267</f>
        <v>149</v>
      </c>
      <c r="D268" s="10">
        <f ca="1">DATOSAÑO!$D267</f>
        <v>3.7479377136666661</v>
      </c>
      <c r="E268" s="11">
        <f ca="1">DATOSAÑO!$G267</f>
        <v>0</v>
      </c>
      <c r="F268" s="9">
        <f ca="1">DATOSAÑO!P267</f>
        <v>302</v>
      </c>
      <c r="G268" s="10">
        <f ca="1">DATOSAÑO!K267</f>
        <v>5.1595870247777773</v>
      </c>
      <c r="H268" s="11">
        <f ca="1">DATOSAÑO!N267</f>
        <v>0</v>
      </c>
      <c r="I268" s="9">
        <f ca="1">DATOSAÑO!Q267</f>
        <v>0</v>
      </c>
      <c r="J268" s="11">
        <f ca="1">DATOSAÑO!R267</f>
        <v>0</v>
      </c>
      <c r="K268" s="9">
        <f ca="1">DATOSAÑO!T267</f>
        <v>0.17300000000000182</v>
      </c>
      <c r="L268" s="11">
        <f t="shared" ref="L268:L331" ca="1" si="12">K268*120</f>
        <v>20.760000000000218</v>
      </c>
      <c r="M268" s="9"/>
      <c r="N268" s="11">
        <f t="shared" ref="N268:N331" si="13">M268*120</f>
        <v>0</v>
      </c>
      <c r="O268" s="9">
        <f>DATOSAÑO!CK267</f>
        <v>0</v>
      </c>
      <c r="P268" s="9">
        <f>DATOSAÑO!CL267</f>
        <v>0.4</v>
      </c>
      <c r="Q268" s="9">
        <f ca="1">DATOSAÑO!AD267</f>
        <v>163</v>
      </c>
      <c r="R268" s="11">
        <f ca="1">(Q268*DATOSAÑO!$Z$11)/DATOSAÑO!$Y$11</f>
        <v>2.9370419458906221</v>
      </c>
      <c r="S268" s="9">
        <f ca="1">DATOSAÑO!AF267</f>
        <v>150</v>
      </c>
      <c r="T268" s="11">
        <f ca="1">(S268*DATOSAÑO!$Z$11)/DATOSAÑO!$Y$11</f>
        <v>2.7027993367091616</v>
      </c>
      <c r="U268" s="9">
        <f ca="1">DATOSAÑO!AH267</f>
        <v>15.400000000003274</v>
      </c>
      <c r="V268" s="11">
        <f ca="1">(U268*DATOSAÑO!$Z$11)/DATOSAÑO!$Y$11</f>
        <v>0.27748739856886623</v>
      </c>
      <c r="W268" s="9">
        <f ca="1">DATOSAÑO!AI267</f>
        <v>38.600000000005821</v>
      </c>
      <c r="X268" s="11">
        <f ca="1">(W268*DATOSAÑO!$Z$11)/DATOSAÑO!$Y$11</f>
        <v>0.69552036264659567</v>
      </c>
      <c r="Y268" s="9">
        <f ca="1">DATOSAÑO!AJ267</f>
        <v>9.5</v>
      </c>
      <c r="Z268" s="11">
        <f ca="1">(Y268*DATOSAÑO!$Z$11)/DATOSAÑO!$Y$11</f>
        <v>0.17117729132491355</v>
      </c>
      <c r="AA268" s="9">
        <f ca="1">DATOSAÑO!AK267</f>
        <v>12</v>
      </c>
      <c r="AB268" s="11">
        <f ca="1">(AA268*DATOSAÑO!$Z$11)/DATOSAÑO!$Y$11</f>
        <v>0.21622394693673291</v>
      </c>
      <c r="AC268" s="9">
        <f ca="1">DATOSAÑO!AL267</f>
        <v>34.272999999989509</v>
      </c>
      <c r="AD268" s="11">
        <f ca="1">(AC268*DATOSAÑO!$Z$11)/DATOSAÑO!$Y$11</f>
        <v>0.61755361111336482</v>
      </c>
      <c r="AE268" s="9">
        <f ca="1">DATOSAÑO!AM267</f>
        <v>9.1080000000005654</v>
      </c>
      <c r="AF268" s="11">
        <f ca="1">(AE268*DATOSAÑO!$Z$11)/DATOSAÑO!$Y$11</f>
        <v>0.16411397572499045</v>
      </c>
      <c r="AG268" s="9">
        <f ca="1">DATOSAÑO!AN267</f>
        <v>4.249999999999801</v>
      </c>
      <c r="AH268" s="11">
        <f ca="1">(AG268*DATOSAÑO!$Z$11)/DATOSAÑO!$Y$11</f>
        <v>7.6579314540089316E-2</v>
      </c>
      <c r="AI268" s="9">
        <f ca="1">DATOSAÑO!BJ267</f>
        <v>0</v>
      </c>
      <c r="AJ268" s="11">
        <f ca="1">(AI268*DATOSAÑO!$Z$11)/DATOSAÑO!$Y$11</f>
        <v>0</v>
      </c>
      <c r="AK268" s="9">
        <f ca="1">DATOSAÑO!BM267</f>
        <v>4.6929999999999996</v>
      </c>
      <c r="AL268" s="11">
        <f ca="1">(AK268*DATOSAÑO!$Z$11)/DATOSAÑO!$Y$11</f>
        <v>8.4561581914507286E-2</v>
      </c>
      <c r="AM268" s="9">
        <f ca="1">DATOSAÑO!BP267</f>
        <v>3.5739999999999998</v>
      </c>
      <c r="AN268" s="11">
        <f ca="1">(AM268*DATOSAÑO!$Z$11)/DATOSAÑO!$Y$11</f>
        <v>6.439869886265695E-2</v>
      </c>
      <c r="AO268" s="9">
        <f ca="1">DATOSAÑO!BW267</f>
        <v>9.8540000000013741</v>
      </c>
      <c r="AP268" s="11">
        <f ca="1">(AO268*DATOSAÑO!$Z$11)/DATOSAÑO!$Y$11</f>
        <v>0.17755589775957192</v>
      </c>
      <c r="AQ268" s="9">
        <f ca="1">DATOSAÑO!CC267</f>
        <v>3.1749999999999208</v>
      </c>
      <c r="AR268" s="1348">
        <f ca="1">(AQ268*DATOSAÑO!$Z$11)/DATOSAÑO!$Y$11</f>
        <v>5.7209252627009155E-2</v>
      </c>
      <c r="AS268" s="1384">
        <f t="shared" si="11"/>
        <v>37</v>
      </c>
    </row>
    <row r="269" spans="1:45">
      <c r="A269" s="1408">
        <v>45184</v>
      </c>
      <c r="B269" s="1869">
        <v>45184</v>
      </c>
      <c r="C269" s="9">
        <f ca="1">DATOSAÑO!I268</f>
        <v>150</v>
      </c>
      <c r="D269" s="10">
        <f ca="1">DATOSAÑO!$D268</f>
        <v>3.7579293803333331</v>
      </c>
      <c r="E269" s="11">
        <f ca="1">DATOSAÑO!$G268</f>
        <v>0</v>
      </c>
      <c r="F269" s="9">
        <f ca="1">DATOSAÑO!P268</f>
        <v>298</v>
      </c>
      <c r="G269" s="10">
        <f ca="1">DATOSAÑO!K268</f>
        <v>5.122284802555555</v>
      </c>
      <c r="H269" s="11">
        <f ca="1">DATOSAÑO!N268</f>
        <v>0</v>
      </c>
      <c r="I269" s="9">
        <f ca="1">DATOSAÑO!Q268</f>
        <v>0</v>
      </c>
      <c r="J269" s="11">
        <f ca="1">DATOSAÑO!R268</f>
        <v>0</v>
      </c>
      <c r="K269" s="9">
        <f ca="1">DATOSAÑO!T268</f>
        <v>0</v>
      </c>
      <c r="L269" s="11">
        <f t="shared" ca="1" si="12"/>
        <v>0</v>
      </c>
      <c r="M269" s="9"/>
      <c r="N269" s="11">
        <f t="shared" si="13"/>
        <v>0</v>
      </c>
      <c r="O269" s="9">
        <f>DATOSAÑO!CK268</f>
        <v>0</v>
      </c>
      <c r="P269" s="9">
        <f>DATOSAÑO!CL268</f>
        <v>0</v>
      </c>
      <c r="Q269" s="9">
        <f ca="1">DATOSAÑO!AD268</f>
        <v>163</v>
      </c>
      <c r="R269" s="11">
        <f ca="1">(Q269*DATOSAÑO!$Z$11)/DATOSAÑO!$Y$11</f>
        <v>2.9370419458906221</v>
      </c>
      <c r="S269" s="9">
        <f ca="1">DATOSAÑO!AF268</f>
        <v>150</v>
      </c>
      <c r="T269" s="11">
        <f ca="1">(S269*DATOSAÑO!$Z$11)/DATOSAÑO!$Y$11</f>
        <v>2.7027993367091616</v>
      </c>
      <c r="U269" s="9">
        <f ca="1">DATOSAÑO!AH268</f>
        <v>7.1999999999970896</v>
      </c>
      <c r="V269" s="11">
        <f ca="1">(U269*DATOSAÑO!$Z$11)/DATOSAÑO!$Y$11</f>
        <v>0.1297343681619873</v>
      </c>
      <c r="W269" s="9">
        <f ca="1">DATOSAÑO!AI268</f>
        <v>39.30000000000291</v>
      </c>
      <c r="X269" s="11">
        <f ca="1">(W269*DATOSAÑO!$Z$11)/DATOSAÑO!$Y$11</f>
        <v>0.7081334262178528</v>
      </c>
      <c r="Y269" s="9">
        <f ca="1">DATOSAÑO!AJ268</f>
        <v>9.6999999999970896</v>
      </c>
      <c r="Z269" s="11">
        <f ca="1">(Y269*DATOSAÑO!$Z$11)/DATOSAÑO!$Y$11</f>
        <v>0.17478102377380664</v>
      </c>
      <c r="AA269" s="9">
        <f ca="1">DATOSAÑO!AK268</f>
        <v>12</v>
      </c>
      <c r="AB269" s="11">
        <f ca="1">(AA269*DATOSAÑO!$Z$11)/DATOSAÑO!$Y$11</f>
        <v>0.21622394693673291</v>
      </c>
      <c r="AC269" s="9">
        <f ca="1">DATOSAÑO!AL268</f>
        <v>37.700000000004366</v>
      </c>
      <c r="AD269" s="11">
        <f ca="1">(AC269*DATOSAÑO!$Z$11)/DATOSAÑO!$Y$11</f>
        <v>0.67930356662631453</v>
      </c>
      <c r="AE269" s="9">
        <f ca="1">DATOSAÑO!AM268</f>
        <v>9.2439999999987741</v>
      </c>
      <c r="AF269" s="11">
        <f ca="1">(AE269*DATOSAÑO!$Z$11)/DATOSAÑO!$Y$11</f>
        <v>0.16656451379024115</v>
      </c>
      <c r="AG269" s="9">
        <f ca="1">DATOSAÑO!AN268</f>
        <v>3.8400000000001455</v>
      </c>
      <c r="AH269" s="11">
        <f ca="1">(AG269*DATOSAÑO!$Z$11)/DATOSAÑO!$Y$11</f>
        <v>6.9191663019757155E-2</v>
      </c>
      <c r="AI269" s="9">
        <f ca="1">DATOSAÑO!BJ268</f>
        <v>2.2000000000000002</v>
      </c>
      <c r="AJ269" s="11">
        <f ca="1">(AI269*DATOSAÑO!$Z$11)/DATOSAÑO!$Y$11</f>
        <v>3.9641056938401038E-2</v>
      </c>
      <c r="AK269" s="9">
        <f ca="1">DATOSAÑO!BM268</f>
        <v>3.3220000000000001</v>
      </c>
      <c r="AL269" s="11">
        <f ca="1">(AK269*DATOSAÑO!$Z$11)/DATOSAÑO!$Y$11</f>
        <v>5.9857995976985566E-2</v>
      </c>
      <c r="AM269" s="9">
        <f ca="1">DATOSAÑO!BP268</f>
        <v>3.5619999999999998</v>
      </c>
      <c r="AN269" s="11">
        <f ca="1">(AM269*DATOSAÑO!$Z$11)/DATOSAÑO!$Y$11</f>
        <v>6.4182474915720211E-2</v>
      </c>
      <c r="AO269" s="9">
        <f ca="1">DATOSAÑO!BW268</f>
        <v>10.021999999999023</v>
      </c>
      <c r="AP269" s="11">
        <f ca="1">(AO269*DATOSAÑO!$Z$11)/DATOSAÑO!$Y$11</f>
        <v>0.18058303301664383</v>
      </c>
      <c r="AQ269" s="9">
        <f ca="1">DATOSAÑO!CC268</f>
        <v>3.0680000000000582</v>
      </c>
      <c r="AR269" s="1348">
        <f ca="1">(AQ269*DATOSAÑO!$Z$11)/DATOSAÑO!$Y$11</f>
        <v>5.5281255766825757E-2</v>
      </c>
      <c r="AS269" s="1384">
        <f t="shared" ref="AS269:AS332" si="14">WEEKNUM(B269,1)</f>
        <v>37</v>
      </c>
    </row>
    <row r="270" spans="1:45">
      <c r="A270" s="1408">
        <v>45185</v>
      </c>
      <c r="B270" s="1869">
        <v>45185</v>
      </c>
      <c r="C270" s="9">
        <f ca="1">DATOSAÑO!I269</f>
        <v>150</v>
      </c>
      <c r="D270" s="10">
        <f ca="1">DATOSAÑO!$D269</f>
        <v>3.7579293803333331</v>
      </c>
      <c r="E270" s="11">
        <f ca="1">DATOSAÑO!$G269</f>
        <v>0</v>
      </c>
      <c r="F270" s="9">
        <f ca="1">DATOSAÑO!P269</f>
        <v>298</v>
      </c>
      <c r="G270" s="10">
        <f ca="1">DATOSAÑO!K269</f>
        <v>5.122284802555555</v>
      </c>
      <c r="H270" s="11">
        <f ca="1">DATOSAÑO!N269</f>
        <v>0</v>
      </c>
      <c r="I270" s="9">
        <f ca="1">DATOSAÑO!Q269</f>
        <v>0</v>
      </c>
      <c r="J270" s="11">
        <f ca="1">DATOSAÑO!R269</f>
        <v>0</v>
      </c>
      <c r="K270" s="9">
        <f ca="1">DATOSAÑO!T269</f>
        <v>0</v>
      </c>
      <c r="L270" s="11">
        <f t="shared" ca="1" si="12"/>
        <v>0</v>
      </c>
      <c r="M270" s="9"/>
      <c r="N270" s="11">
        <f t="shared" si="13"/>
        <v>0</v>
      </c>
      <c r="O270" s="9">
        <f>DATOSAÑO!CK269</f>
        <v>0</v>
      </c>
      <c r="P270" s="9">
        <f>DATOSAÑO!CL269</f>
        <v>0</v>
      </c>
      <c r="Q270" s="9">
        <f ca="1">DATOSAÑO!AD269</f>
        <v>169</v>
      </c>
      <c r="R270" s="11">
        <f ca="1">(Q270*DATOSAÑO!$Z$11)/DATOSAÑO!$Y$11</f>
        <v>3.0451539193589885</v>
      </c>
      <c r="S270" s="9">
        <f ca="1">DATOSAÑO!AF269</f>
        <v>151</v>
      </c>
      <c r="T270" s="11">
        <f ca="1">(S270*DATOSAÑO!$Z$11)/DATOSAÑO!$Y$11</f>
        <v>2.7208179989538892</v>
      </c>
      <c r="U270" s="9">
        <f ca="1">DATOSAÑO!AH269</f>
        <v>4.0999999999985448</v>
      </c>
      <c r="V270" s="11">
        <f ca="1">(U270*DATOSAÑO!$Z$11)/DATOSAÑO!$Y$11</f>
        <v>7.3876515203357529E-2</v>
      </c>
      <c r="W270" s="9">
        <f ca="1">DATOSAÑO!AI269</f>
        <v>37.099999999991269</v>
      </c>
      <c r="X270" s="11">
        <f ca="1">(W270*DATOSAÑO!$Z$11)/DATOSAÑO!$Y$11</f>
        <v>0.66849236927924194</v>
      </c>
      <c r="Y270" s="9">
        <f ca="1">DATOSAÑO!AJ269</f>
        <v>11.100000000005821</v>
      </c>
      <c r="Z270" s="11">
        <f ca="1">(Y270*DATOSAÑO!$Z$11)/DATOSAÑO!$Y$11</f>
        <v>0.20000715091658283</v>
      </c>
      <c r="AA270" s="9">
        <f ca="1">DATOSAÑO!AK269</f>
        <v>12</v>
      </c>
      <c r="AB270" s="11">
        <f ca="1">(AA270*DATOSAÑO!$Z$11)/DATOSAÑO!$Y$11</f>
        <v>0.21622394693673291</v>
      </c>
      <c r="AC270" s="9">
        <f ca="1">DATOSAÑO!AL269</f>
        <v>35.000000000003638</v>
      </c>
      <c r="AD270" s="11">
        <f ca="1">(AC270*DATOSAÑO!$Z$11)/DATOSAÑO!$Y$11</f>
        <v>0.63065317856553649</v>
      </c>
      <c r="AE270" s="9">
        <f ca="1">DATOSAÑO!AM269</f>
        <v>11.242000000001823</v>
      </c>
      <c r="AF270" s="11">
        <f ca="1">(AE270*DATOSAÑO!$Z$11)/DATOSAÑO!$Y$11</f>
        <v>0.20256580095526214</v>
      </c>
      <c r="AG270" s="9">
        <f ca="1">DATOSAÑO!AN269</f>
        <v>2.3999999999996362</v>
      </c>
      <c r="AH270" s="11">
        <f ca="1">(AG270*DATOSAÑO!$Z$11)/DATOSAÑO!$Y$11</f>
        <v>4.3244789387340027E-2</v>
      </c>
      <c r="AI270" s="9">
        <f ca="1">DATOSAÑO!BJ269</f>
        <v>4.5999999999999996</v>
      </c>
      <c r="AJ270" s="11">
        <f ca="1">(AI270*DATOSAÑO!$Z$11)/DATOSAÑO!$Y$11</f>
        <v>8.2885846325747609E-2</v>
      </c>
      <c r="AK270" s="9">
        <f ca="1">DATOSAÑO!BM269</f>
        <v>0</v>
      </c>
      <c r="AL270" s="11">
        <f ca="1">(AK270*DATOSAÑO!$Z$11)/DATOSAÑO!$Y$11</f>
        <v>0</v>
      </c>
      <c r="AM270" s="9">
        <f ca="1">DATOSAÑO!BP269</f>
        <v>4.7300000000000004</v>
      </c>
      <c r="AN270" s="11">
        <f ca="1">(AM270*DATOSAÑO!$Z$11)/DATOSAÑO!$Y$11</f>
        <v>8.5228272417562229E-2</v>
      </c>
      <c r="AO270" s="9">
        <f ca="1">DATOSAÑO!BW269</f>
        <v>9.9210000000001841</v>
      </c>
      <c r="AP270" s="11">
        <f ca="1">(AO270*DATOSAÑO!$Z$11)/DATOSAÑO!$Y$11</f>
        <v>0.17876314812994723</v>
      </c>
      <c r="AQ270" s="9">
        <f ca="1">DATOSAÑO!CC269</f>
        <v>2.3879999999998542</v>
      </c>
      <c r="AR270" s="1348">
        <f ca="1">(AQ270*DATOSAÑO!$Z$11)/DATOSAÑO!$Y$11</f>
        <v>4.3028565440407222E-2</v>
      </c>
      <c r="AS270" s="1384">
        <f t="shared" si="14"/>
        <v>37</v>
      </c>
    </row>
    <row r="271" spans="1:45">
      <c r="A271" s="1408">
        <v>45186</v>
      </c>
      <c r="B271" s="1869">
        <v>45186</v>
      </c>
      <c r="C271" s="9">
        <f ca="1">DATOSAÑO!I270</f>
        <v>148</v>
      </c>
      <c r="D271" s="10">
        <f ca="1">DATOSAÑO!$D270</f>
        <v>3.7379460469999999</v>
      </c>
      <c r="E271" s="11">
        <f ca="1">DATOSAÑO!$G270</f>
        <v>0</v>
      </c>
      <c r="F271" s="9">
        <f ca="1">DATOSAÑO!P270</f>
        <v>304</v>
      </c>
      <c r="G271" s="10">
        <f ca="1">DATOSAÑO!K270</f>
        <v>5.178238135888888</v>
      </c>
      <c r="H271" s="11">
        <f ca="1">DATOSAÑO!N270</f>
        <v>0</v>
      </c>
      <c r="I271" s="9">
        <f ca="1">DATOSAÑO!Q270</f>
        <v>0</v>
      </c>
      <c r="J271" s="11">
        <f ca="1">DATOSAÑO!R270</f>
        <v>0</v>
      </c>
      <c r="K271" s="9">
        <f ca="1">DATOSAÑO!T270</f>
        <v>0</v>
      </c>
      <c r="L271" s="11">
        <f t="shared" ca="1" si="12"/>
        <v>0</v>
      </c>
      <c r="M271" s="9"/>
      <c r="N271" s="11">
        <f t="shared" si="13"/>
        <v>0</v>
      </c>
      <c r="O271" s="9">
        <f>DATOSAÑO!CK270</f>
        <v>0</v>
      </c>
      <c r="P271" s="9">
        <f>DATOSAÑO!CL270</f>
        <v>0</v>
      </c>
      <c r="Q271" s="9">
        <f ca="1">DATOSAÑO!AD270</f>
        <v>168</v>
      </c>
      <c r="R271" s="11">
        <f ca="1">(Q271*DATOSAÑO!$Z$11)/DATOSAÑO!$Y$11</f>
        <v>3.0271352571142609</v>
      </c>
      <c r="S271" s="9">
        <f ca="1">DATOSAÑO!AF270</f>
        <v>152</v>
      </c>
      <c r="T271" s="11">
        <f ca="1">(S271*DATOSAÑO!$Z$11)/DATOSAÑO!$Y$11</f>
        <v>2.7388366611986168</v>
      </c>
      <c r="U271" s="9">
        <f ca="1">DATOSAÑO!AH270</f>
        <v>12</v>
      </c>
      <c r="V271" s="11">
        <f ca="1">(U271*DATOSAÑO!$Z$11)/DATOSAÑO!$Y$11</f>
        <v>0.21622394693673291</v>
      </c>
      <c r="W271" s="9">
        <f ca="1">DATOSAÑO!AI270</f>
        <v>35.5</v>
      </c>
      <c r="X271" s="11">
        <f ca="1">(W271*DATOSAÑO!$Z$11)/DATOSAÑO!$Y$11</f>
        <v>0.63966250968783478</v>
      </c>
      <c r="Y271" s="9">
        <f ca="1">DATOSAÑO!AJ270</f>
        <v>10.399999999994179</v>
      </c>
      <c r="Z271" s="11">
        <f ca="1">(Y271*DATOSAÑO!$Z$11)/DATOSAÑO!$Y$11</f>
        <v>0.18739408734506366</v>
      </c>
      <c r="AA271" s="9">
        <f ca="1">DATOSAÑO!AK270</f>
        <v>13</v>
      </c>
      <c r="AB271" s="11">
        <f ca="1">(AA271*DATOSAÑO!$Z$11)/DATOSAÑO!$Y$11</f>
        <v>0.23424260918146064</v>
      </c>
      <c r="AC271" s="9">
        <f ca="1">DATOSAÑO!AL270</f>
        <v>34.100000000005821</v>
      </c>
      <c r="AD271" s="11">
        <f ca="1">(AC271*DATOSAÑO!$Z$11)/DATOSAÑO!$Y$11</f>
        <v>0.61443638254532085</v>
      </c>
      <c r="AE271" s="9">
        <f ca="1">DATOSAÑO!AM270</f>
        <v>9.379999999999459</v>
      </c>
      <c r="AF271" s="11">
        <f ca="1">(AE271*DATOSAÑO!$Z$11)/DATOSAÑO!$Y$11</f>
        <v>0.16901505185553647</v>
      </c>
      <c r="AG271" s="9">
        <f ca="1">DATOSAÑO!AN270</f>
        <v>2.3000000000001819</v>
      </c>
      <c r="AH271" s="11">
        <f ca="1">(AG271*DATOSAÑO!$Z$11)/DATOSAÑO!$Y$11</f>
        <v>4.1442923162877079E-2</v>
      </c>
      <c r="AI271" s="9">
        <f ca="1">DATOSAÑO!BJ270</f>
        <v>4.5999999999999996</v>
      </c>
      <c r="AJ271" s="11">
        <f ca="1">(AI271*DATOSAÑO!$Z$11)/DATOSAÑO!$Y$11</f>
        <v>8.2885846325747609E-2</v>
      </c>
      <c r="AK271" s="9">
        <f ca="1">DATOSAÑO!BM270</f>
        <v>0</v>
      </c>
      <c r="AL271" s="11">
        <f ca="1">(AK271*DATOSAÑO!$Z$11)/DATOSAÑO!$Y$11</f>
        <v>0</v>
      </c>
      <c r="AM271" s="9">
        <f ca="1">DATOSAÑO!BP270</f>
        <v>5.2709999999999999</v>
      </c>
      <c r="AN271" s="11">
        <f ca="1">(AM271*DATOSAÑO!$Z$11)/DATOSAÑO!$Y$11</f>
        <v>9.4976368691959925E-2</v>
      </c>
      <c r="AO271" s="9">
        <f ca="1">DATOSAÑO!BW270</f>
        <v>8.7900000000000933</v>
      </c>
      <c r="AP271" s="11">
        <f ca="1">(AO271*DATOSAÑO!$Z$11)/DATOSAÑO!$Y$11</f>
        <v>0.15838404113115853</v>
      </c>
      <c r="AQ271" s="9">
        <f ca="1">DATOSAÑO!CC270</f>
        <v>2.269000000000073</v>
      </c>
      <c r="AR271" s="1348">
        <f ca="1">(AQ271*DATOSAÑO!$Z$11)/DATOSAÑO!$Y$11</f>
        <v>4.0884344633288563E-2</v>
      </c>
      <c r="AS271" s="1384">
        <f t="shared" si="14"/>
        <v>38</v>
      </c>
    </row>
    <row r="272" spans="1:45">
      <c r="A272" s="1408">
        <v>45187</v>
      </c>
      <c r="B272" s="1869">
        <v>45187</v>
      </c>
      <c r="C272" s="9">
        <f ca="1">DATOSAÑO!I271</f>
        <v>148</v>
      </c>
      <c r="D272" s="10">
        <f ca="1">DATOSAÑO!$D271</f>
        <v>3.7379460469999999</v>
      </c>
      <c r="E272" s="11">
        <f ca="1">DATOSAÑO!$G271</f>
        <v>0</v>
      </c>
      <c r="F272" s="9">
        <f ca="1">DATOSAÑO!P271</f>
        <v>317</v>
      </c>
      <c r="G272" s="10">
        <f ca="1">DATOSAÑO!K271</f>
        <v>5.29947035811111</v>
      </c>
      <c r="H272" s="11">
        <f ca="1">DATOSAÑO!N271</f>
        <v>0</v>
      </c>
      <c r="I272" s="9">
        <f ca="1">DATOSAÑO!Q271</f>
        <v>0</v>
      </c>
      <c r="J272" s="11">
        <f ca="1">DATOSAÑO!R271</f>
        <v>0</v>
      </c>
      <c r="K272" s="9">
        <f ca="1">DATOSAÑO!T271</f>
        <v>0</v>
      </c>
      <c r="L272" s="11">
        <f t="shared" ca="1" si="12"/>
        <v>0</v>
      </c>
      <c r="M272" s="9"/>
      <c r="N272" s="11">
        <f t="shared" si="13"/>
        <v>0</v>
      </c>
      <c r="O272" s="9">
        <f>DATOSAÑO!CK271</f>
        <v>0</v>
      </c>
      <c r="P272" s="9">
        <f>DATOSAÑO!CL271</f>
        <v>0</v>
      </c>
      <c r="Q272" s="9">
        <f ca="1">DATOSAÑO!AD271</f>
        <v>174</v>
      </c>
      <c r="R272" s="11">
        <f ca="1">(Q272*DATOSAÑO!$Z$11)/DATOSAÑO!$Y$11</f>
        <v>3.1352472305826269</v>
      </c>
      <c r="S272" s="9">
        <f ca="1">DATOSAÑO!AF271</f>
        <v>153</v>
      </c>
      <c r="T272" s="11">
        <f ca="1">(S272*DATOSAÑO!$Z$11)/DATOSAÑO!$Y$11</f>
        <v>2.7568553234433448</v>
      </c>
      <c r="U272" s="9">
        <f ca="1">DATOSAÑO!AH271</f>
        <v>10.400000000003274</v>
      </c>
      <c r="V272" s="11">
        <f ca="1">(U272*DATOSAÑO!$Z$11)/DATOSAÑO!$Y$11</f>
        <v>0.1873940873452275</v>
      </c>
      <c r="W272" s="9">
        <f ca="1">DATOSAÑO!AI271</f>
        <v>38.100000000005821</v>
      </c>
      <c r="X272" s="11">
        <f ca="1">(W272*DATOSAÑO!$Z$11)/DATOSAÑO!$Y$11</f>
        <v>0.68651103152423187</v>
      </c>
      <c r="Y272" s="9">
        <f ca="1">DATOSAÑO!AJ271</f>
        <v>11.100000000005821</v>
      </c>
      <c r="Z272" s="11">
        <f ca="1">(Y272*DATOSAÑO!$Z$11)/DATOSAÑO!$Y$11</f>
        <v>0.20000715091658283</v>
      </c>
      <c r="AA272" s="9">
        <f ca="1">DATOSAÑO!AK271</f>
        <v>13</v>
      </c>
      <c r="AB272" s="11">
        <f ca="1">(AA272*DATOSAÑO!$Z$11)/DATOSAÑO!$Y$11</f>
        <v>0.23424260918146064</v>
      </c>
      <c r="AC272" s="9">
        <f ca="1">DATOSAÑO!AL271</f>
        <v>37.299999999986539</v>
      </c>
      <c r="AD272" s="11">
        <f ca="1">(AC272*DATOSAÑO!$Z$11)/DATOSAÑO!$Y$11</f>
        <v>0.6720961017281023</v>
      </c>
      <c r="AE272" s="9">
        <f ca="1">DATOSAÑO!AM271</f>
        <v>10.993999999997792</v>
      </c>
      <c r="AF272" s="11">
        <f ca="1">(AE272*DATOSAÑO!$Z$11)/DATOSAÑO!$Y$11</f>
        <v>0.19809717271849703</v>
      </c>
      <c r="AG272" s="9">
        <f ca="1">DATOSAÑO!AN271</f>
        <v>2.410000000000764</v>
      </c>
      <c r="AH272" s="11">
        <f ca="1">(AG272*DATOSAÑO!$Z$11)/DATOSAÑO!$Y$11</f>
        <v>4.3424976009807631E-2</v>
      </c>
      <c r="AI272" s="9">
        <f ca="1">DATOSAÑO!BJ271</f>
        <v>3.2</v>
      </c>
      <c r="AJ272" s="11">
        <f ca="1">(AI272*DATOSAÑO!$Z$11)/DATOSAÑO!$Y$11</f>
        <v>5.7659719183128774E-2</v>
      </c>
      <c r="AK272" s="9">
        <f ca="1">DATOSAÑO!BM271</f>
        <v>0</v>
      </c>
      <c r="AL272" s="11">
        <f ca="1">(AK272*DATOSAÑO!$Z$11)/DATOSAÑO!$Y$11</f>
        <v>0</v>
      </c>
      <c r="AM272" s="9">
        <f ca="1">DATOSAÑO!BP271</f>
        <v>5.0620000000000003</v>
      </c>
      <c r="AN272" s="11">
        <f ca="1">(AM272*DATOSAÑO!$Z$11)/DATOSAÑO!$Y$11</f>
        <v>9.1210468282811832E-2</v>
      </c>
      <c r="AO272" s="9">
        <f ca="1">DATOSAÑO!BW271</f>
        <v>10.496999999998895</v>
      </c>
      <c r="AP272" s="11">
        <f ca="1">(AO272*DATOSAÑO!$Z$11)/DATOSAÑO!$Y$11</f>
        <v>0.18914189758288721</v>
      </c>
      <c r="AQ272" s="9">
        <f ca="1">DATOSAÑO!CC271</f>
        <v>2.3980000000003057</v>
      </c>
      <c r="AR272" s="1348">
        <f ca="1">(AQ272*DATOSAÑO!$Z$11)/DATOSAÑO!$Y$11</f>
        <v>4.3208752062862635E-2</v>
      </c>
      <c r="AS272" s="1384">
        <f t="shared" si="14"/>
        <v>38</v>
      </c>
    </row>
    <row r="273" spans="1:45">
      <c r="A273" s="1408">
        <v>45188</v>
      </c>
      <c r="B273" s="1869">
        <v>45188</v>
      </c>
      <c r="C273" s="9">
        <f ca="1">DATOSAÑO!I272</f>
        <v>140</v>
      </c>
      <c r="D273" s="10">
        <f ca="1">DATOSAÑO!$D272</f>
        <v>3.658012713666666</v>
      </c>
      <c r="E273" s="11">
        <f ca="1">DATOSAÑO!$G272</f>
        <v>0</v>
      </c>
      <c r="F273" s="9">
        <f ca="1">DATOSAÑO!P272</f>
        <v>280</v>
      </c>
      <c r="G273" s="10">
        <f ca="1">DATOSAÑO!K272</f>
        <v>4.9544248025555548</v>
      </c>
      <c r="H273" s="11">
        <f ca="1">DATOSAÑO!N272</f>
        <v>0</v>
      </c>
      <c r="I273" s="9">
        <f ca="1">DATOSAÑO!Q272</f>
        <v>0</v>
      </c>
      <c r="J273" s="11">
        <f ca="1">DATOSAÑO!R272</f>
        <v>0</v>
      </c>
      <c r="K273" s="9">
        <f ca="1">DATOSAÑO!T272</f>
        <v>0</v>
      </c>
      <c r="L273" s="11">
        <f t="shared" ca="1" si="12"/>
        <v>0</v>
      </c>
      <c r="M273" s="9"/>
      <c r="N273" s="11">
        <f t="shared" si="13"/>
        <v>0</v>
      </c>
      <c r="O273" s="9">
        <f>DATOSAÑO!CK272</f>
        <v>0</v>
      </c>
      <c r="P273" s="9">
        <f>DATOSAÑO!CL272</f>
        <v>0</v>
      </c>
      <c r="Q273" s="9">
        <f ca="1">DATOSAÑO!AD272</f>
        <v>165</v>
      </c>
      <c r="R273" s="11">
        <f ca="1">(Q273*DATOSAÑO!$Z$11)/DATOSAÑO!$Y$11</f>
        <v>2.9730792703800777</v>
      </c>
      <c r="S273" s="9">
        <f ca="1">DATOSAÑO!AF272</f>
        <v>124</v>
      </c>
      <c r="T273" s="11">
        <f ca="1">(S273*DATOSAÑO!$Z$11)/DATOSAÑO!$Y$11</f>
        <v>2.2343141183462403</v>
      </c>
      <c r="U273" s="9">
        <f ca="1">DATOSAÑO!AH272</f>
        <v>11.400000000001455</v>
      </c>
      <c r="V273" s="11">
        <f ca="1">(U273*DATOSAÑO!$Z$11)/DATOSAÑO!$Y$11</f>
        <v>0.20541274958992248</v>
      </c>
      <c r="W273" s="9">
        <f ca="1">DATOSAÑO!AI272</f>
        <v>40.30000000000291</v>
      </c>
      <c r="X273" s="11">
        <f ca="1">(W273*DATOSAÑO!$Z$11)/DATOSAÑO!$Y$11</f>
        <v>0.72615208846258039</v>
      </c>
      <c r="Y273" s="9">
        <f ca="1">DATOSAÑO!AJ272</f>
        <v>6.8000000000029104</v>
      </c>
      <c r="Z273" s="11">
        <f ca="1">(Y273*DATOSAÑO!$Z$11)/DATOSAÑO!$Y$11</f>
        <v>0.12252690326420108</v>
      </c>
      <c r="AA273" s="9">
        <f ca="1">DATOSAÑO!AK272</f>
        <v>12</v>
      </c>
      <c r="AB273" s="11">
        <f ca="1">(AA273*DATOSAÑO!$Z$11)/DATOSAÑO!$Y$11</f>
        <v>0.21622394693673291</v>
      </c>
      <c r="AC273" s="9">
        <f ca="1">DATOSAÑO!AL272</f>
        <v>33.399999999990541</v>
      </c>
      <c r="AD273" s="11">
        <f ca="1">(AC273*DATOSAÑO!$Z$11)/DATOSAÑO!$Y$11</f>
        <v>0.6018233189737362</v>
      </c>
      <c r="AE273" s="9">
        <f ca="1">DATOSAÑO!AM272</f>
        <v>8.7660000000028191</v>
      </c>
      <c r="AF273" s="11">
        <f ca="1">(AE273*DATOSAÑO!$Z$11)/DATOSAÑO!$Y$11</f>
        <v>0.15795159323733418</v>
      </c>
      <c r="AG273" s="9">
        <f ca="1">DATOSAÑO!AN272</f>
        <v>4.7599999999997351</v>
      </c>
      <c r="AH273" s="11">
        <f ca="1">(AG273*DATOSAÑO!$Z$11)/DATOSAÑO!$Y$11</f>
        <v>8.5768832284899274E-2</v>
      </c>
      <c r="AI273" s="9">
        <f ca="1">DATOSAÑO!BJ272</f>
        <v>1.6</v>
      </c>
      <c r="AJ273" s="11">
        <f ca="1">(AI273*DATOSAÑO!$Z$11)/DATOSAÑO!$Y$11</f>
        <v>2.8829859591564387E-2</v>
      </c>
      <c r="AK273" s="9">
        <f ca="1">DATOSAÑO!BM272</f>
        <v>2.0139999999999998</v>
      </c>
      <c r="AL273" s="11">
        <f ca="1">(AK273*DATOSAÑO!$Z$11)/DATOSAÑO!$Y$11</f>
        <v>3.6289585760881669E-2</v>
      </c>
      <c r="AM273" s="9">
        <f ca="1">DATOSAÑO!BP272</f>
        <v>3.1680000000000001</v>
      </c>
      <c r="AN273" s="11">
        <f ca="1">(AM273*DATOSAÑO!$Z$11)/DATOSAÑO!$Y$11</f>
        <v>5.7083121991297489E-2</v>
      </c>
      <c r="AO273" s="9">
        <f ca="1">DATOSAÑO!BW272</f>
        <v>9.7830000000010457</v>
      </c>
      <c r="AP273" s="11">
        <f ca="1">(AO273*DATOSAÑO!$Z$11)/DATOSAÑO!$Y$11</f>
        <v>0.17627657274019035</v>
      </c>
      <c r="AQ273" s="9">
        <f ca="1">DATOSAÑO!CC272</f>
        <v>3.2959999999998941</v>
      </c>
      <c r="AR273" s="1348">
        <f ca="1">(AQ273*DATOSAÑO!$Z$11)/DATOSAÑO!$Y$11</f>
        <v>5.9389510758620728E-2</v>
      </c>
      <c r="AS273" s="1384">
        <f t="shared" si="14"/>
        <v>38</v>
      </c>
    </row>
    <row r="274" spans="1:45">
      <c r="A274" s="1408">
        <v>45189</v>
      </c>
      <c r="B274" s="1869">
        <v>45189</v>
      </c>
      <c r="C274" s="9">
        <f ca="1">DATOSAÑO!I273</f>
        <v>150</v>
      </c>
      <c r="D274" s="10">
        <f ca="1">DATOSAÑO!$D273</f>
        <v>3.7579293803333331</v>
      </c>
      <c r="E274" s="11">
        <f ca="1">DATOSAÑO!$G273</f>
        <v>0</v>
      </c>
      <c r="F274" s="9">
        <f ca="1">DATOSAÑO!P273</f>
        <v>294</v>
      </c>
      <c r="G274" s="10">
        <f ca="1">DATOSAÑO!K273</f>
        <v>5.0849825803333326</v>
      </c>
      <c r="H274" s="11">
        <f ca="1">DATOSAÑO!N273</f>
        <v>0</v>
      </c>
      <c r="I274" s="9">
        <f ca="1">DATOSAÑO!Q273</f>
        <v>0.28199999999992542</v>
      </c>
      <c r="J274" s="11">
        <f ca="1">DATOSAÑO!R273</f>
        <v>33.839999999991051</v>
      </c>
      <c r="K274" s="9">
        <f ca="1">DATOSAÑO!T273</f>
        <v>0.44799999999997908</v>
      </c>
      <c r="L274" s="11">
        <f t="shared" ca="1" si="12"/>
        <v>53.75999999999749</v>
      </c>
      <c r="M274" s="9"/>
      <c r="N274" s="11">
        <f t="shared" si="13"/>
        <v>0</v>
      </c>
      <c r="O274" s="9">
        <f>DATOSAÑO!CK273</f>
        <v>0.6</v>
      </c>
      <c r="P274" s="9">
        <f>DATOSAÑO!CL273</f>
        <v>0.6</v>
      </c>
      <c r="Q274" s="9">
        <f ca="1">DATOSAÑO!AD273</f>
        <v>162</v>
      </c>
      <c r="R274" s="11">
        <f ca="1">(Q274*DATOSAÑO!$Z$11)/DATOSAÑO!$Y$11</f>
        <v>2.919023283645894</v>
      </c>
      <c r="S274" s="9">
        <f ca="1">DATOSAÑO!AF273</f>
        <v>150</v>
      </c>
      <c r="T274" s="11">
        <f ca="1">(S274*DATOSAÑO!$Z$11)/DATOSAÑO!$Y$11</f>
        <v>2.7027993367091616</v>
      </c>
      <c r="U274" s="9">
        <f ca="1">DATOSAÑO!AH273</f>
        <v>10.5</v>
      </c>
      <c r="V274" s="11">
        <f ca="1">(U274*DATOSAÑO!$Z$11)/DATOSAÑO!$Y$11</f>
        <v>0.18919595356964131</v>
      </c>
      <c r="W274" s="9">
        <f ca="1">DATOSAÑO!AI273</f>
        <v>39.19999999999709</v>
      </c>
      <c r="X274" s="11">
        <f ca="1">(W274*DATOSAÑO!$Z$11)/DATOSAÑO!$Y$11</f>
        <v>0.70633155999327502</v>
      </c>
      <c r="Y274" s="9">
        <f ca="1">DATOSAÑO!AJ273</f>
        <v>4.5999999999912689</v>
      </c>
      <c r="Z274" s="11">
        <f ca="1">(Y274*DATOSAÑO!$Z$11)/DATOSAÑO!$Y$11</f>
        <v>8.288584632559029E-2</v>
      </c>
      <c r="AA274" s="9">
        <f ca="1">DATOSAÑO!AK273</f>
        <v>11</v>
      </c>
      <c r="AB274" s="11">
        <f ca="1">(AA274*DATOSAÑO!$Z$11)/DATOSAÑO!$Y$11</f>
        <v>0.19820528469200516</v>
      </c>
      <c r="AC274" s="9">
        <f ca="1">DATOSAÑO!AL273</f>
        <v>37.830000000013001</v>
      </c>
      <c r="AD274" s="11">
        <f ca="1">(AC274*DATOSAÑO!$Z$11)/DATOSAÑO!$Y$11</f>
        <v>0.68164599271828485</v>
      </c>
      <c r="AE274" s="9">
        <f ca="1">DATOSAÑO!AM273</f>
        <v>9.1339999999982773</v>
      </c>
      <c r="AF274" s="11">
        <f ca="1">(AE274*DATOSAÑO!$Z$11)/DATOSAÑO!$Y$11</f>
        <v>0.16458246094331214</v>
      </c>
      <c r="AG274" s="9">
        <f ca="1">DATOSAÑO!AN273</f>
        <v>4.0999999999999091</v>
      </c>
      <c r="AH274" s="11">
        <f ca="1">(AG274*DATOSAÑO!$Z$11)/DATOSAÑO!$Y$11</f>
        <v>7.3876515203382107E-2</v>
      </c>
      <c r="AI274" s="9">
        <f ca="1">DATOSAÑO!BJ273</f>
        <v>1.6</v>
      </c>
      <c r="AJ274" s="11">
        <f ca="1">(AI274*DATOSAÑO!$Z$11)/DATOSAÑO!$Y$11</f>
        <v>2.8829859591564387E-2</v>
      </c>
      <c r="AK274" s="9">
        <f ca="1">DATOSAÑO!BM273</f>
        <v>1.877</v>
      </c>
      <c r="AL274" s="11">
        <f ca="1">(AK274*DATOSAÑO!$Z$11)/DATOSAÑO!$Y$11</f>
        <v>3.3821029033353975E-2</v>
      </c>
      <c r="AM274" s="9">
        <f ca="1">DATOSAÑO!BP273</f>
        <v>5.3639999999999999</v>
      </c>
      <c r="AN274" s="11">
        <f ca="1">(AM274*DATOSAÑO!$Z$11)/DATOSAÑO!$Y$11</f>
        <v>9.6652104280719603E-2</v>
      </c>
      <c r="AO274" s="9">
        <f ca="1">DATOSAÑO!BW273</f>
        <v>10.666999999999502</v>
      </c>
      <c r="AP274" s="11">
        <f ca="1">(AO274*DATOSAÑO!$Z$11)/DATOSAÑO!$Y$11</f>
        <v>0.19220507016450186</v>
      </c>
      <c r="AQ274" s="9">
        <f ca="1">DATOSAÑO!CC273</f>
        <v>3.064999999999964</v>
      </c>
      <c r="AR274" s="1348">
        <f ca="1">(AQ274*DATOSAÑO!$Z$11)/DATOSAÑO!$Y$11</f>
        <v>5.5227199780089879E-2</v>
      </c>
      <c r="AS274" s="1384">
        <f t="shared" si="14"/>
        <v>38</v>
      </c>
    </row>
    <row r="275" spans="1:45">
      <c r="A275" s="1408">
        <v>45190</v>
      </c>
      <c r="B275" s="1869">
        <v>45190</v>
      </c>
      <c r="C275" s="9">
        <f ca="1">DATOSAÑO!I274</f>
        <v>147.92000000004191</v>
      </c>
      <c r="D275" s="10">
        <f ca="1">DATOSAÑO!$D274</f>
        <v>3.7371467136670851</v>
      </c>
      <c r="E275" s="11">
        <f ca="1">DATOSAÑO!$G274</f>
        <v>0</v>
      </c>
      <c r="F275" s="9">
        <f ca="1">DATOSAÑO!P274</f>
        <v>294.67999999999302</v>
      </c>
      <c r="G275" s="10">
        <f ca="1">DATOSAÑO!K274</f>
        <v>5.0913239581110457</v>
      </c>
      <c r="H275" s="11">
        <f ca="1">DATOSAÑO!N274</f>
        <v>0</v>
      </c>
      <c r="I275" s="9">
        <f ca="1">DATOSAÑO!Q274</f>
        <v>0</v>
      </c>
      <c r="J275" s="11">
        <f ca="1">DATOSAÑO!R274</f>
        <v>0</v>
      </c>
      <c r="K275" s="9">
        <f ca="1">DATOSAÑO!T274</f>
        <v>0</v>
      </c>
      <c r="L275" s="11">
        <f t="shared" ca="1" si="12"/>
        <v>0</v>
      </c>
      <c r="M275" s="9"/>
      <c r="N275" s="11">
        <f t="shared" si="13"/>
        <v>0</v>
      </c>
      <c r="O275" s="9">
        <f>DATOSAÑO!CK274</f>
        <v>0</v>
      </c>
      <c r="P275" s="9">
        <f>DATOSAÑO!CL274</f>
        <v>0</v>
      </c>
      <c r="Q275" s="9">
        <f ca="1">DATOSAÑO!AD274</f>
        <v>160.79999999999927</v>
      </c>
      <c r="R275" s="11">
        <f ca="1">(Q275*DATOSAÑO!$Z$11)/DATOSAÑO!$Y$11</f>
        <v>2.8974008889522076</v>
      </c>
      <c r="S275" s="9">
        <f ca="1">DATOSAÑO!AF274</f>
        <v>149.69000000000233</v>
      </c>
      <c r="T275" s="11">
        <f ca="1">(S275*DATOSAÑO!$Z$11)/DATOSAÑO!$Y$11</f>
        <v>2.6972135514133373</v>
      </c>
      <c r="U275" s="9">
        <f ca="1">DATOSAÑO!AH274</f>
        <v>10.899999999995998</v>
      </c>
      <c r="V275" s="11">
        <f ca="1">(U275*DATOSAÑO!$Z$11)/DATOSAÑO!$Y$11</f>
        <v>0.19640341846746029</v>
      </c>
      <c r="W275" s="9">
        <f ca="1">DATOSAÑO!AI274</f>
        <v>38.070000000006985</v>
      </c>
      <c r="X275" s="11">
        <f ca="1">(W275*DATOSAÑO!$Z$11)/DATOSAÑO!$Y$11</f>
        <v>0.68597047165691105</v>
      </c>
      <c r="Y275" s="9">
        <f ca="1">DATOSAÑO!AJ274</f>
        <v>7.9000000000087311</v>
      </c>
      <c r="Z275" s="11">
        <f ca="1">(Y275*DATOSAÑO!$Z$11)/DATOSAÑO!$Y$11</f>
        <v>0.1423474317335065</v>
      </c>
      <c r="AA275" s="9">
        <f ca="1">DATOSAÑO!AK274</f>
        <v>11.119999999995343</v>
      </c>
      <c r="AB275" s="11">
        <f ca="1">(AA275*DATOSAÑO!$Z$11)/DATOSAÑO!$Y$11</f>
        <v>0.20036752416128858</v>
      </c>
      <c r="AC275" s="9">
        <f ca="1">DATOSAÑO!AL274</f>
        <v>37.010000000029322</v>
      </c>
      <c r="AD275" s="11">
        <f ca="1">(AC275*DATOSAÑO!$Z$11)/DATOSAÑO!$Y$11</f>
        <v>0.66687068967790208</v>
      </c>
      <c r="AE275" s="9">
        <f ca="1">DATOSAÑO!AM274</f>
        <v>6.6749999999977137</v>
      </c>
      <c r="AF275" s="11">
        <f ca="1">(AE275*DATOSAÑO!$Z$11)/DATOSAÑO!$Y$11</f>
        <v>0.12027457048351647</v>
      </c>
      <c r="AG275" s="9">
        <f ca="1">DATOSAÑO!AN274</f>
        <v>4.3499999999994543</v>
      </c>
      <c r="AH275" s="11">
        <f ca="1">(AG275*DATOSAÑO!$Z$11)/DATOSAÑO!$Y$11</f>
        <v>7.8381180764555844E-2</v>
      </c>
      <c r="AI275" s="9">
        <f ca="1">DATOSAÑO!BJ274</f>
        <v>2.35</v>
      </c>
      <c r="AJ275" s="11">
        <f ca="1">(AI275*DATOSAÑO!$Z$11)/DATOSAÑO!$Y$11</f>
        <v>4.2343856275110191E-2</v>
      </c>
      <c r="AK275" s="9">
        <f ca="1">DATOSAÑO!BM274</f>
        <v>0</v>
      </c>
      <c r="AL275" s="11">
        <f ca="1">(AK275*DATOSAÑO!$Z$11)/DATOSAÑO!$Y$11</f>
        <v>0</v>
      </c>
      <c r="AM275" s="9">
        <f ca="1">DATOSAÑO!BP274</f>
        <v>6</v>
      </c>
      <c r="AN275" s="11">
        <f ca="1">(AM275*DATOSAÑO!$Z$11)/DATOSAÑO!$Y$11</f>
        <v>0.10811197346836646</v>
      </c>
      <c r="AO275" s="9">
        <f ca="1">DATOSAÑO!BW274</f>
        <v>9.5774999999986381</v>
      </c>
      <c r="AP275" s="11">
        <f ca="1">(AO275*DATOSAÑO!$Z$11)/DATOSAÑO!$Y$11</f>
        <v>0.17257373764885542</v>
      </c>
      <c r="AQ275" s="9">
        <f ca="1">DATOSAÑO!CC274</f>
        <v>3.2349999999997818</v>
      </c>
      <c r="AR275" s="1348">
        <f ca="1">(AQ275*DATOSAÑO!$Z$11)/DATOSAÑO!$Y$11</f>
        <v>5.8290372361690317E-2</v>
      </c>
      <c r="AS275" s="1384">
        <f t="shared" si="14"/>
        <v>38</v>
      </c>
    </row>
    <row r="276" spans="1:45">
      <c r="A276" s="1408">
        <v>45191</v>
      </c>
      <c r="B276" s="1869">
        <v>45191</v>
      </c>
      <c r="C276" s="9">
        <f ca="1">DATOSAÑO!I275</f>
        <v>150.78999999992084</v>
      </c>
      <c r="D276" s="10">
        <f ca="1">DATOSAÑO!$D275</f>
        <v>3.7658227969992089</v>
      </c>
      <c r="E276" s="11">
        <f ca="1">DATOSAÑO!$G275</f>
        <v>0</v>
      </c>
      <c r="F276" s="9">
        <f ca="1">DATOSAÑO!P275</f>
        <v>291.77000000000407</v>
      </c>
      <c r="G276" s="10">
        <f ca="1">DATOSAÑO!K275</f>
        <v>5.0641865914444812</v>
      </c>
      <c r="H276" s="11">
        <f ca="1">DATOSAÑO!N275</f>
        <v>0</v>
      </c>
      <c r="I276" s="9">
        <f ca="1">DATOSAÑO!Q275</f>
        <v>0</v>
      </c>
      <c r="J276" s="11">
        <f ca="1">DATOSAÑO!R275</f>
        <v>0</v>
      </c>
      <c r="K276" s="9">
        <f ca="1">DATOSAÑO!T275</f>
        <v>0</v>
      </c>
      <c r="L276" s="11">
        <f t="shared" ca="1" si="12"/>
        <v>0</v>
      </c>
      <c r="M276" s="9"/>
      <c r="N276" s="11">
        <f t="shared" si="13"/>
        <v>0</v>
      </c>
      <c r="O276" s="9">
        <f>DATOSAÑO!CK275</f>
        <v>0</v>
      </c>
      <c r="P276" s="9">
        <f>DATOSAÑO!CL275</f>
        <v>0</v>
      </c>
      <c r="Q276" s="9">
        <f ca="1">DATOSAÑO!AD275</f>
        <v>163.97000000000116</v>
      </c>
      <c r="R276" s="11">
        <f ca="1">(Q276*DATOSAÑO!$Z$11)/DATOSAÑO!$Y$11</f>
        <v>2.9545200482680292</v>
      </c>
      <c r="S276" s="9">
        <f ca="1">DATOSAÑO!AF275</f>
        <v>151.73999999999069</v>
      </c>
      <c r="T276" s="11">
        <f ca="1">(S276*DATOSAÑO!$Z$11)/DATOSAÑO!$Y$11</f>
        <v>2.7341518090148198</v>
      </c>
      <c r="U276" s="9">
        <f ca="1">DATOSAÑO!AH275</f>
        <v>3.3000000000029104</v>
      </c>
      <c r="V276" s="11">
        <f ca="1">(U276*DATOSAÑO!$Z$11)/DATOSAÑO!$Y$11</f>
        <v>5.9461585407653991E-2</v>
      </c>
      <c r="W276" s="9">
        <f ca="1">DATOSAÑO!AI275</f>
        <v>39.629999999990105</v>
      </c>
      <c r="X276" s="11">
        <f ca="1">(W276*DATOSAÑO!$Z$11)/DATOSAÑO!$Y$11</f>
        <v>0.71407958475838218</v>
      </c>
      <c r="Y276" s="9">
        <f ca="1">DATOSAÑO!AJ275</f>
        <v>6.8699999999953434</v>
      </c>
      <c r="Z276" s="11">
        <f ca="1">(Y276*DATOSAÑO!$Z$11)/DATOSAÑO!$Y$11</f>
        <v>0.12378820962119569</v>
      </c>
      <c r="AA276" s="9">
        <f ca="1">DATOSAÑO!AK275</f>
        <v>10.980000000010477</v>
      </c>
      <c r="AB276" s="11">
        <f ca="1">(AA276*DATOSAÑO!$Z$11)/DATOSAÑO!$Y$11</f>
        <v>0.19784491144729938</v>
      </c>
      <c r="AC276" s="9">
        <f ca="1">DATOSAÑO!AL275</f>
        <v>34.509999999936554</v>
      </c>
      <c r="AD276" s="11">
        <f ca="1">(AC276*DATOSAÑO!$Z$11)/DATOSAÑO!$Y$11</f>
        <v>0.62182403406441122</v>
      </c>
      <c r="AE276" s="9">
        <f ca="1">DATOSAÑO!AM275</f>
        <v>12.17239999999765</v>
      </c>
      <c r="AF276" s="11">
        <f ca="1">(AE276*DATOSAÑO!$Z$11)/DATOSAÑO!$Y$11</f>
        <v>0.21933036430768163</v>
      </c>
      <c r="AG276" s="9">
        <f ca="1">DATOSAÑO!AN275</f>
        <v>4.5100000000002183</v>
      </c>
      <c r="AH276" s="11">
        <f ca="1">(AG276*DATOSAÑO!$Z$11)/DATOSAÑO!$Y$11</f>
        <v>8.126416672372605E-2</v>
      </c>
      <c r="AI276" s="9">
        <f ca="1">DATOSAÑO!BJ275</f>
        <v>2.2426000000000932</v>
      </c>
      <c r="AJ276" s="11">
        <f ca="1">(AI276*DATOSAÑO!$Z$11)/DATOSAÑO!$Y$11</f>
        <v>4.0408651950028115E-2</v>
      </c>
      <c r="AK276" s="9">
        <f ca="1">DATOSAÑO!BM275</f>
        <v>1.907</v>
      </c>
      <c r="AL276" s="11">
        <f ca="1">(AK276*DATOSAÑO!$Z$11)/DATOSAÑO!$Y$11</f>
        <v>3.4361588900695801E-2</v>
      </c>
      <c r="AM276" s="9">
        <f ca="1">DATOSAÑO!BP275</f>
        <v>3.6480000000000001</v>
      </c>
      <c r="AN276" s="11">
        <f ca="1">(AM276*DATOSAÑO!$Z$11)/DATOSAÑO!$Y$11</f>
        <v>6.5732079868766807E-2</v>
      </c>
      <c r="AO276" s="9">
        <f ca="1">DATOSAÑO!BW275</f>
        <v>11.656199999998535</v>
      </c>
      <c r="AP276" s="11">
        <f ca="1">(AO276*DATOSAÑO!$Z$11)/DATOSAÑO!$Y$11</f>
        <v>0.21002913085696909</v>
      </c>
      <c r="AQ276" s="9">
        <f ca="1">DATOSAÑO!CC275</f>
        <v>3.3140000000000871</v>
      </c>
      <c r="AR276" s="1348">
        <f ca="1">(AQ276*DATOSAÑO!$Z$11)/DATOSAÑO!$Y$11</f>
        <v>5.9713846679029306E-2</v>
      </c>
      <c r="AS276" s="1384">
        <f t="shared" si="14"/>
        <v>38</v>
      </c>
    </row>
    <row r="277" spans="1:45">
      <c r="A277" s="1408">
        <v>45192</v>
      </c>
      <c r="B277" s="1869">
        <v>45192</v>
      </c>
      <c r="C277" s="9">
        <f ca="1">DATOSAÑO!I276</f>
        <v>119.04000000003725</v>
      </c>
      <c r="D277" s="10">
        <f ca="1">DATOSAÑO!$D276</f>
        <v>3.4485873803337048</v>
      </c>
      <c r="E277" s="11">
        <f ca="1">DATOSAÑO!$G276</f>
        <v>0</v>
      </c>
      <c r="F277" s="9">
        <f ca="1">DATOSAÑO!P276</f>
        <v>323.74000000000524</v>
      </c>
      <c r="G277" s="10">
        <f ca="1">DATOSAÑO!K276</f>
        <v>5.3623246025556028</v>
      </c>
      <c r="H277" s="11">
        <f ca="1">DATOSAÑO!N276</f>
        <v>0</v>
      </c>
      <c r="I277" s="9">
        <f ca="1">DATOSAÑO!Q276</f>
        <v>0</v>
      </c>
      <c r="J277" s="11">
        <f ca="1">DATOSAÑO!R276</f>
        <v>0</v>
      </c>
      <c r="K277" s="9">
        <f ca="1">DATOSAÑO!T276</f>
        <v>0</v>
      </c>
      <c r="L277" s="11">
        <f t="shared" ca="1" si="12"/>
        <v>0</v>
      </c>
      <c r="M277" s="9"/>
      <c r="N277" s="11">
        <f t="shared" si="13"/>
        <v>0</v>
      </c>
      <c r="O277" s="9">
        <f>DATOSAÑO!CK276</f>
        <v>0</v>
      </c>
      <c r="P277" s="9">
        <f>DATOSAÑO!CL276</f>
        <v>0</v>
      </c>
      <c r="Q277" s="9">
        <f ca="1">DATOSAÑO!AD276</f>
        <v>164.63000000000102</v>
      </c>
      <c r="R277" s="11">
        <f ca="1">(Q277*DATOSAÑO!$Z$11)/DATOSAÑO!$Y$11</f>
        <v>2.9664123653495467</v>
      </c>
      <c r="S277" s="9">
        <f ca="1">DATOSAÑO!AF276</f>
        <v>150.36999999999534</v>
      </c>
      <c r="T277" s="11">
        <f ca="1">(S277*DATOSAÑO!$Z$11)/DATOSAÑO!$Y$11</f>
        <v>2.7094662417396269</v>
      </c>
      <c r="U277" s="9">
        <f ca="1">DATOSAÑO!AH276</f>
        <v>9.0999999999985448</v>
      </c>
      <c r="V277" s="11">
        <f ca="1">(U277*DATOSAÑO!$Z$11)/DATOSAÑO!$Y$11</f>
        <v>0.16396982642699626</v>
      </c>
      <c r="W277" s="9">
        <f ca="1">DATOSAÑO!AI276</f>
        <v>37.69999999999709</v>
      </c>
      <c r="X277" s="11">
        <f ca="1">(W277*DATOSAÑO!$Z$11)/DATOSAÑO!$Y$11</f>
        <v>0.67930356662618352</v>
      </c>
      <c r="Y277" s="9">
        <f ca="1">DATOSAÑO!AJ276</f>
        <v>6.8500000000058208</v>
      </c>
      <c r="Z277" s="11">
        <f ca="1">(Y277*DATOSAÑO!$Z$11)/DATOSAÑO!$Y$11</f>
        <v>0.12342783637648991</v>
      </c>
      <c r="AA277" s="9">
        <f ca="1">DATOSAÑO!AK276</f>
        <v>12.579999999987194</v>
      </c>
      <c r="AB277" s="11">
        <f ca="1">(AA277*DATOSAÑO!$Z$11)/DATOSAÑO!$Y$11</f>
        <v>0.22667477103844424</v>
      </c>
      <c r="AC277" s="9">
        <f ca="1">DATOSAÑO!AL276</f>
        <v>35.220000000030268</v>
      </c>
      <c r="AD277" s="11">
        <f ca="1">(AC277*DATOSAÑO!$Z$11)/DATOSAÑO!$Y$11</f>
        <v>0.63461728425985653</v>
      </c>
      <c r="AE277" s="9">
        <f ca="1">DATOSAÑO!AM276</f>
        <v>8.5410000000254023</v>
      </c>
      <c r="AF277" s="11">
        <f ca="1">(AE277*DATOSAÑO!$Z$11)/DATOSAÑO!$Y$11</f>
        <v>0.15389739423267734</v>
      </c>
      <c r="AG277" s="9">
        <f ca="1">DATOSAÑO!AN276</f>
        <v>4.5800000000002115</v>
      </c>
      <c r="AH277" s="11">
        <f ca="1">(AG277*DATOSAÑO!$Z$11)/DATOSAÑO!$Y$11</f>
        <v>8.2525473080856865E-2</v>
      </c>
      <c r="AI277" s="9">
        <f ca="1">DATOSAÑO!BJ276</f>
        <v>2.1840000000000002</v>
      </c>
      <c r="AJ277" s="11">
        <f ca="1">(AI277*DATOSAÑO!$Z$11)/DATOSAÑO!$Y$11</f>
        <v>3.9352758342485396E-2</v>
      </c>
      <c r="AK277" s="9">
        <f ca="1">DATOSAÑO!BM276</f>
        <v>5.0720000000000001</v>
      </c>
      <c r="AL277" s="11">
        <f ca="1">(AK277*DATOSAÑO!$Z$11)/DATOSAÑO!$Y$11</f>
        <v>9.1390654905259106E-2</v>
      </c>
      <c r="AM277" s="9">
        <f ca="1">DATOSAÑO!BP276</f>
        <v>0</v>
      </c>
      <c r="AN277" s="11">
        <f ca="1">(AM277*DATOSAÑO!$Z$11)/DATOSAÑO!$Y$11</f>
        <v>0</v>
      </c>
      <c r="AO277" s="9">
        <f ca="1">DATOSAÑO!BW276</f>
        <v>8.7605000000143018</v>
      </c>
      <c r="AP277" s="11">
        <f ca="1">(AO277*DATOSAÑO!$Z$11)/DATOSAÑO!$Y$11</f>
        <v>0.15785249059519507</v>
      </c>
      <c r="AQ277" s="9">
        <f ca="1">DATOSAÑO!CC276</f>
        <v>3.2950000000000847</v>
      </c>
      <c r="AR277" s="1348">
        <f ca="1">(AQ277*DATOSAÑO!$Z$11)/DATOSAÑO!$Y$11</f>
        <v>5.9371492096379437E-2</v>
      </c>
      <c r="AS277" s="1384">
        <f t="shared" si="14"/>
        <v>38</v>
      </c>
    </row>
    <row r="278" spans="1:45">
      <c r="A278" s="1408">
        <v>45193</v>
      </c>
      <c r="B278" s="1869">
        <v>45193</v>
      </c>
      <c r="C278" s="9">
        <f ca="1">DATOSAÑO!I277</f>
        <v>63.75</v>
      </c>
      <c r="D278" s="10">
        <f ca="1">DATOSAÑO!$D277</f>
        <v>2.8961481303333323</v>
      </c>
      <c r="E278" s="11">
        <f ca="1">DATOSAÑO!$G277</f>
        <v>0</v>
      </c>
      <c r="F278" s="9">
        <f ca="1">DATOSAÑO!P277</f>
        <v>386.05000000000291</v>
      </c>
      <c r="G278" s="10">
        <f ca="1">DATOSAÑO!K277</f>
        <v>5.9433999692222477</v>
      </c>
      <c r="H278" s="11">
        <f ca="1">DATOSAÑO!N277</f>
        <v>0</v>
      </c>
      <c r="I278" s="9">
        <f ca="1">DATOSAÑO!Q277</f>
        <v>0</v>
      </c>
      <c r="J278" s="11">
        <f ca="1">DATOSAÑO!R277</f>
        <v>0</v>
      </c>
      <c r="K278" s="9">
        <f ca="1">DATOSAÑO!T277</f>
        <v>0</v>
      </c>
      <c r="L278" s="11">
        <f t="shared" ca="1" si="12"/>
        <v>0</v>
      </c>
      <c r="M278" s="9"/>
      <c r="N278" s="11">
        <f t="shared" si="13"/>
        <v>0</v>
      </c>
      <c r="O278" s="9">
        <f>DATOSAÑO!CK277</f>
        <v>0</v>
      </c>
      <c r="P278" s="9">
        <f>DATOSAÑO!CL277</f>
        <v>0</v>
      </c>
      <c r="Q278" s="9">
        <f ca="1">DATOSAÑO!AD277</f>
        <v>166.69999999999709</v>
      </c>
      <c r="R278" s="11">
        <f ca="1">(Q278*DATOSAÑO!$Z$11)/DATOSAÑO!$Y$11</f>
        <v>3.0037109961960624</v>
      </c>
      <c r="S278" s="9">
        <f ca="1">DATOSAÑO!AF277</f>
        <v>150.5</v>
      </c>
      <c r="T278" s="11">
        <f ca="1">(S278*DATOSAÑO!$Z$11)/DATOSAÑO!$Y$11</f>
        <v>2.7118086678315252</v>
      </c>
      <c r="U278" s="9">
        <f ca="1">DATOSAÑO!AH277</f>
        <v>11.099999999998545</v>
      </c>
      <c r="V278" s="11">
        <f ca="1">(U278*DATOSAÑO!$Z$11)/DATOSAÑO!$Y$11</f>
        <v>0.20000715091645174</v>
      </c>
      <c r="W278" s="9">
        <f ca="1">DATOSAÑO!AI277</f>
        <v>37.639999999999418</v>
      </c>
      <c r="X278" s="11">
        <f ca="1">(W278*DATOSAÑO!$Z$11)/DATOSAÑO!$Y$11</f>
        <v>0.67822244689154176</v>
      </c>
      <c r="Y278" s="9">
        <f ca="1">DATOSAÑO!AJ277</f>
        <v>6.2799999999988358</v>
      </c>
      <c r="Z278" s="11">
        <f ca="1">(Y278*DATOSAÑO!$Z$11)/DATOSAÑO!$Y$11</f>
        <v>0.11315719889686925</v>
      </c>
      <c r="AA278" s="9">
        <f ca="1">DATOSAÑO!AK277</f>
        <v>12.660000000003492</v>
      </c>
      <c r="AB278" s="11">
        <f ca="1">(AA278*DATOSAÑO!$Z$11)/DATOSAÑO!$Y$11</f>
        <v>0.22811626401831614</v>
      </c>
      <c r="AC278" s="9">
        <f ca="1">DATOSAÑO!AL277</f>
        <v>35.320000000039727</v>
      </c>
      <c r="AD278" s="11">
        <f ca="1">(AC278*DATOSAÑO!$Z$11)/DATOSAÑO!$Y$11</f>
        <v>0.63641915048449971</v>
      </c>
      <c r="AE278" s="9">
        <f ca="1">DATOSAÑO!AM277</f>
        <v>10.394999999966709</v>
      </c>
      <c r="AF278" s="11">
        <f ca="1">(AE278*DATOSAÑO!$Z$11)/DATOSAÑO!$Y$11</f>
        <v>0.18730399403334502</v>
      </c>
      <c r="AG278" s="9">
        <f ca="1">DATOSAÑO!AN277</f>
        <v>4.5600000000001728</v>
      </c>
      <c r="AH278" s="11">
        <f ca="1">(AG278*DATOSAÑO!$Z$11)/DATOSAÑO!$Y$11</f>
        <v>8.2165099835961625E-2</v>
      </c>
      <c r="AI278" s="9">
        <f ca="1">DATOSAÑO!BJ277</f>
        <v>3.2879999999999998</v>
      </c>
      <c r="AJ278" s="11">
        <f ca="1">(AI278*DATOSAÑO!$Z$11)/DATOSAÑO!$Y$11</f>
        <v>5.9245361460664815E-2</v>
      </c>
      <c r="AK278" s="9">
        <f ca="1">DATOSAÑO!BM277</f>
        <v>5.4370000000000003</v>
      </c>
      <c r="AL278" s="11">
        <f ca="1">(AK278*DATOSAÑO!$Z$11)/DATOSAÑO!$Y$11</f>
        <v>9.7967466624584734E-2</v>
      </c>
      <c r="AM278" s="9">
        <f ca="1">DATOSAÑO!BP277</f>
        <v>0</v>
      </c>
      <c r="AN278" s="11">
        <f ca="1">(AM278*DATOSAÑO!$Z$11)/DATOSAÑO!$Y$11</f>
        <v>0</v>
      </c>
      <c r="AO278" s="9">
        <f ca="1">DATOSAÑO!BW277</f>
        <v>9.6474999999822622</v>
      </c>
      <c r="AP278" s="11">
        <f ca="1">(AO278*DATOSAÑO!$Z$11)/DATOSAÑO!$Y$11</f>
        <v>0.17383504400569127</v>
      </c>
      <c r="AQ278" s="9">
        <f ca="1">DATOSAÑO!CC277</f>
        <v>3.2940000000000689</v>
      </c>
      <c r="AR278" s="1348">
        <f ca="1">(AQ278*DATOSAÑO!$Z$11)/DATOSAÑO!$Y$11</f>
        <v>5.935347343413442E-2</v>
      </c>
      <c r="AS278" s="1384">
        <f t="shared" si="14"/>
        <v>39</v>
      </c>
    </row>
    <row r="279" spans="1:45">
      <c r="A279" s="1408">
        <v>45194</v>
      </c>
      <c r="B279" s="1869">
        <v>45194</v>
      </c>
      <c r="C279" s="9">
        <f ca="1">DATOSAÑO!I278</f>
        <v>198.19999999995343</v>
      </c>
      <c r="D279" s="10">
        <f ca="1">DATOSAÑO!$D278</f>
        <v>4.2395277136662015</v>
      </c>
      <c r="E279" s="11">
        <f ca="1">DATOSAÑO!$G278</f>
        <v>0</v>
      </c>
      <c r="F279" s="9">
        <f ca="1">DATOSAÑO!P278</f>
        <v>244.31999999999243</v>
      </c>
      <c r="G279" s="10">
        <f ca="1">DATOSAÑO!K278</f>
        <v>4.6216889803332624</v>
      </c>
      <c r="H279" s="11">
        <f ca="1">DATOSAÑO!N278</f>
        <v>0</v>
      </c>
      <c r="I279" s="9">
        <f ca="1">DATOSAÑO!Q278</f>
        <v>0.3000000000001819</v>
      </c>
      <c r="J279" s="11">
        <f ca="1">DATOSAÑO!R278</f>
        <v>36.000000000021828</v>
      </c>
      <c r="K279" s="9">
        <f ca="1">DATOSAÑO!T278</f>
        <v>0.33199999999999363</v>
      </c>
      <c r="L279" s="11">
        <f t="shared" ca="1" si="12"/>
        <v>39.839999999999236</v>
      </c>
      <c r="M279" s="9"/>
      <c r="N279" s="11">
        <f t="shared" si="13"/>
        <v>0</v>
      </c>
      <c r="O279" s="9">
        <f>DATOSAÑO!CK278</f>
        <v>0.3</v>
      </c>
      <c r="P279" s="9">
        <f>DATOSAÑO!CL278</f>
        <v>0.3</v>
      </c>
      <c r="Q279" s="9">
        <f ca="1">DATOSAÑO!AD278</f>
        <v>161.30000000000291</v>
      </c>
      <c r="R279" s="11">
        <f ca="1">(Q279*DATOSAÑO!$Z$11)/DATOSAÑO!$Y$11</f>
        <v>2.9064102200746373</v>
      </c>
      <c r="S279" s="9">
        <f ca="1">DATOSAÑO!AF278</f>
        <v>148.89000000001397</v>
      </c>
      <c r="T279" s="11">
        <f ca="1">(S279*DATOSAÑO!$Z$11)/DATOSAÑO!$Y$11</f>
        <v>2.6827986216177653</v>
      </c>
      <c r="U279" s="9">
        <f ca="1">DATOSAÑO!AH278</f>
        <v>10.100000000000364</v>
      </c>
      <c r="V279" s="11">
        <f ca="1">(U279*DATOSAÑO!$Z$11)/DATOSAÑO!$Y$11</f>
        <v>0.18198848867175677</v>
      </c>
      <c r="W279" s="9">
        <f ca="1">DATOSAÑO!AI278</f>
        <v>37.280000000013388</v>
      </c>
      <c r="X279" s="11">
        <f ca="1">(W279*DATOSAÑO!$Z$11)/DATOSAÑO!$Y$11</f>
        <v>0.67173572848369156</v>
      </c>
      <c r="Y279" s="9">
        <f ca="1">DATOSAÑO!AJ278</f>
        <v>7.8099999999976717</v>
      </c>
      <c r="Z279" s="11">
        <f ca="1">(Y279*DATOSAÑO!$Z$11)/DATOSAÑO!$Y$11</f>
        <v>0.14072575213128172</v>
      </c>
      <c r="AA279" s="9">
        <f ca="1">DATOSAÑO!AK278</f>
        <v>12.309999999997672</v>
      </c>
      <c r="AB279" s="11">
        <f ca="1">(AA279*DATOSAÑO!$Z$11)/DATOSAÑO!$Y$11</f>
        <v>0.22180973223255657</v>
      </c>
      <c r="AC279" s="9">
        <f ca="1">DATOSAÑO!AL278</f>
        <v>35.551999999909299</v>
      </c>
      <c r="AD279" s="11">
        <f ca="1">(AC279*DATOSAÑO!$Z$11)/DATOSAÑO!$Y$11</f>
        <v>0.64059948012292633</v>
      </c>
      <c r="AE279" s="9">
        <f ca="1">DATOSAÑO!AM278</f>
        <v>12.067000000010651</v>
      </c>
      <c r="AF279" s="11">
        <f ca="1">(AE279*DATOSAÑO!$Z$11)/DATOSAÑO!$Y$11</f>
        <v>0.21743119730732161</v>
      </c>
      <c r="AG279" s="9">
        <f ca="1">DATOSAÑO!AN278</f>
        <v>4.5500000000001819</v>
      </c>
      <c r="AH279" s="11">
        <f ca="1">(AG279*DATOSAÑO!$Z$11)/DATOSAÑO!$Y$11</f>
        <v>8.1984913213514504E-2</v>
      </c>
      <c r="AI279" s="9">
        <f ca="1">DATOSAÑO!BJ278</f>
        <v>2.472</v>
      </c>
      <c r="AJ279" s="11">
        <f ca="1">(AI279*DATOSAÑO!$Z$11)/DATOSAÑO!$Y$11</f>
        <v>4.4542133068966983E-2</v>
      </c>
      <c r="AK279" s="9">
        <f ca="1">DATOSAÑO!BM278</f>
        <v>5.0629999999999997</v>
      </c>
      <c r="AL279" s="11">
        <f ca="1">(AK279*DATOSAÑO!$Z$11)/DATOSAÑO!$Y$11</f>
        <v>9.1228486945056558E-2</v>
      </c>
      <c r="AM279" s="9">
        <f ca="1">DATOSAÑO!BP278</f>
        <v>0</v>
      </c>
      <c r="AN279" s="11">
        <f ca="1">(AM279*DATOSAÑO!$Z$11)/DATOSAÑO!$Y$11</f>
        <v>0</v>
      </c>
      <c r="AO279" s="9">
        <f ca="1">DATOSAÑO!BW278</f>
        <v>10.363500000005253</v>
      </c>
      <c r="AP279" s="11">
        <f ca="1">(AO279*DATOSAÑO!$Z$11)/DATOSAÑO!$Y$11</f>
        <v>0.18673640617333062</v>
      </c>
      <c r="AQ279" s="9">
        <f ca="1">DATOSAÑO!CC278</f>
        <v>3.2480000000000731</v>
      </c>
      <c r="AR279" s="1348">
        <f ca="1">(AQ279*DATOSAÑO!$Z$11)/DATOSAÑO!$Y$11</f>
        <v>5.852461497087702E-2</v>
      </c>
      <c r="AS279" s="1384">
        <f t="shared" si="14"/>
        <v>39</v>
      </c>
    </row>
    <row r="280" spans="1:45">
      <c r="A280" s="1408">
        <v>45195</v>
      </c>
      <c r="B280" s="1869">
        <v>45195</v>
      </c>
      <c r="C280" s="9">
        <f ca="1">DATOSAÑO!I279</f>
        <v>69.800000000046566</v>
      </c>
      <c r="D280" s="10">
        <f ca="1">DATOSAÑO!$D279</f>
        <v>2.9565977136671311</v>
      </c>
      <c r="E280" s="11">
        <f ca="1">DATOSAÑO!$G279</f>
        <v>0</v>
      </c>
      <c r="F280" s="9">
        <f ca="1">DATOSAÑO!P279</f>
        <v>375.24499999999534</v>
      </c>
      <c r="G280" s="10">
        <f ca="1">DATOSAÑO!K279</f>
        <v>5.8426373414443997</v>
      </c>
      <c r="H280" s="11">
        <f ca="1">DATOSAÑO!N279</f>
        <v>0</v>
      </c>
      <c r="I280" s="9">
        <f ca="1">DATOSAÑO!Q279</f>
        <v>0</v>
      </c>
      <c r="J280" s="11">
        <f ca="1">DATOSAÑO!R279</f>
        <v>0</v>
      </c>
      <c r="K280" s="9">
        <f ca="1">DATOSAÑO!T279</f>
        <v>2.5499999999999545</v>
      </c>
      <c r="L280" s="11">
        <f t="shared" ca="1" si="12"/>
        <v>305.99999999999454</v>
      </c>
      <c r="M280" s="9"/>
      <c r="N280" s="11">
        <f t="shared" si="13"/>
        <v>0</v>
      </c>
      <c r="O280" s="9">
        <f>DATOSAÑO!CK279</f>
        <v>0</v>
      </c>
      <c r="P280" s="9">
        <f>DATOSAÑO!CL279</f>
        <v>2.5</v>
      </c>
      <c r="Q280" s="9">
        <f ca="1">DATOSAÑO!AD279</f>
        <v>163.71999999999753</v>
      </c>
      <c r="R280" s="11">
        <f ca="1">(Q280*DATOSAÑO!$Z$11)/DATOSAÑO!$Y$11</f>
        <v>2.9500153827067814</v>
      </c>
      <c r="S280" s="9">
        <f ca="1">DATOSAÑO!AF279</f>
        <v>150.20000000001164</v>
      </c>
      <c r="T280" s="11">
        <f ca="1">(S280*DATOSAÑO!$Z$11)/DATOSAÑO!$Y$11</f>
        <v>2.7064030691583167</v>
      </c>
      <c r="U280" s="9">
        <f ca="1">DATOSAÑO!AH279</f>
        <v>6.0999999999985448</v>
      </c>
      <c r="V280" s="11">
        <f ca="1">(U280*DATOSAÑO!$Z$11)/DATOSAÑO!$Y$11</f>
        <v>0.10991383969281301</v>
      </c>
      <c r="W280" s="9">
        <f ca="1">DATOSAÑO!AI279</f>
        <v>38.879999999990105</v>
      </c>
      <c r="X280" s="11">
        <f ca="1">(W280*DATOSAÑO!$Z$11)/DATOSAÑO!$Y$11</f>
        <v>0.70056558807483638</v>
      </c>
      <c r="Y280" s="9">
        <f ca="1">DATOSAÑO!AJ279</f>
        <v>8.5599999999976717</v>
      </c>
      <c r="Z280" s="11">
        <f ca="1">(Y280*DATOSAÑO!$Z$11)/DATOSAÑO!$Y$11</f>
        <v>0.15423974881482752</v>
      </c>
      <c r="AA280" s="9">
        <f ca="1">DATOSAÑO!AK279</f>
        <v>12.14000000001397</v>
      </c>
      <c r="AB280" s="11">
        <f ca="1">(AA280*DATOSAÑO!$Z$11)/DATOSAÑO!$Y$11</f>
        <v>0.21874655965124651</v>
      </c>
      <c r="AC280" s="9">
        <f ca="1">DATOSAÑO!AL279</f>
        <v>41.195000000033133</v>
      </c>
      <c r="AD280" s="11">
        <f ca="1">(AC280*DATOSAÑO!$Z$11)/DATOSAÑO!$Y$11</f>
        <v>0.74227879117215645</v>
      </c>
      <c r="AE280" s="9">
        <f ca="1">DATOSAÑO!AM279</f>
        <v>8.497999999999422</v>
      </c>
      <c r="AF280" s="11">
        <f ca="1">(AE280*DATOSAÑO!$Z$11)/DATOSAÑO!$Y$11</f>
        <v>0.15312259175568593</v>
      </c>
      <c r="AG280" s="9">
        <f ca="1">DATOSAÑO!AN279</f>
        <v>4.6299999999992565</v>
      </c>
      <c r="AH280" s="11">
        <f ca="1">(AG280*DATOSAÑO!$Z$11)/DATOSAÑO!$Y$11</f>
        <v>8.342640619307605E-2</v>
      </c>
      <c r="AI280" s="9">
        <f ca="1">DATOSAÑO!BJ279</f>
        <v>2.5680000000000001</v>
      </c>
      <c r="AJ280" s="11">
        <f ca="1">(AI280*DATOSAÑO!$Z$11)/DATOSAÑO!$Y$11</f>
        <v>4.6271924644460845E-2</v>
      </c>
      <c r="AK280" s="9">
        <f ca="1">DATOSAÑO!BM279</f>
        <v>5.1890000000000001</v>
      </c>
      <c r="AL280" s="11">
        <f ca="1">(AK280*DATOSAÑO!$Z$11)/DATOSAÑO!$Y$11</f>
        <v>9.3498838387892247E-2</v>
      </c>
      <c r="AM280" s="9">
        <f ca="1">DATOSAÑO!BP279</f>
        <v>0</v>
      </c>
      <c r="AN280" s="11">
        <f ca="1">(AM280*DATOSAÑO!$Z$11)/DATOSAÑO!$Y$11</f>
        <v>0</v>
      </c>
      <c r="AO280" s="9">
        <f ca="1">DATOSAÑO!BW279</f>
        <v>8.6090000000002931</v>
      </c>
      <c r="AP280" s="11">
        <f ca="1">(AO280*DATOSAÑO!$Z$11)/DATOSAÑO!$Y$11</f>
        <v>0.1551226632648664</v>
      </c>
      <c r="AQ280" s="9">
        <f ca="1">DATOSAÑO!CC279</f>
        <v>3.4069999999997025</v>
      </c>
      <c r="AR280" s="1348">
        <f ca="1">(AQ280*DATOSAÑO!$Z$11)/DATOSAÑO!$Y$11</f>
        <v>6.1389582267782059E-2</v>
      </c>
      <c r="AS280" s="1384">
        <f t="shared" si="14"/>
        <v>39</v>
      </c>
    </row>
    <row r="281" spans="1:45">
      <c r="A281" s="1408">
        <v>45196</v>
      </c>
      <c r="B281" s="1869">
        <v>45196</v>
      </c>
      <c r="C281" s="9">
        <f ca="1">DATOSAÑO!I280</f>
        <v>0</v>
      </c>
      <c r="D281" s="10">
        <f ca="1">DATOSAÑO!$D280</f>
        <v>0</v>
      </c>
      <c r="E281" s="11">
        <f ca="1">DATOSAÑO!$G280</f>
        <v>0</v>
      </c>
      <c r="F281" s="9">
        <f ca="1">DATOSAÑO!P280</f>
        <v>433.14000000001397</v>
      </c>
      <c r="G281" s="10">
        <f ca="1">DATOSAÑO!K280</f>
        <v>6.3825403803334613</v>
      </c>
      <c r="H281" s="11">
        <f ca="1">DATOSAÑO!N280</f>
        <v>0</v>
      </c>
      <c r="I281" s="9">
        <f ca="1">DATOSAÑO!Q280</f>
        <v>0</v>
      </c>
      <c r="J281" s="11">
        <f ca="1">DATOSAÑO!R280</f>
        <v>0</v>
      </c>
      <c r="K281" s="9">
        <f ca="1">DATOSAÑO!T280</f>
        <v>9.3230000000000928</v>
      </c>
      <c r="L281" s="11">
        <f t="shared" ca="1" si="12"/>
        <v>1118.7600000000111</v>
      </c>
      <c r="M281" s="9"/>
      <c r="N281" s="11">
        <f t="shared" si="13"/>
        <v>0</v>
      </c>
      <c r="O281" s="9">
        <f>DATOSAÑO!CK280</f>
        <v>0</v>
      </c>
      <c r="P281" s="9">
        <f>DATOSAÑO!CL280</f>
        <v>9.3000000000000007</v>
      </c>
      <c r="Q281" s="9">
        <f ca="1">DATOSAÑO!AD280</f>
        <v>162.46900000000096</v>
      </c>
      <c r="R281" s="11">
        <f ca="1">(Q281*DATOSAÑO!$Z$11)/DATOSAÑO!$Y$11</f>
        <v>2.9274740362386891</v>
      </c>
      <c r="S281" s="9">
        <f ca="1">DATOSAÑO!AF280</f>
        <v>145.60999999998603</v>
      </c>
      <c r="T281" s="11">
        <f ca="1">(S281*DATOSAÑO!$Z$11)/DATOSAÑO!$Y$11</f>
        <v>2.6236974094545551</v>
      </c>
      <c r="U281" s="9">
        <f ca="1">DATOSAÑO!AH280</f>
        <v>13.80000000000291</v>
      </c>
      <c r="V281" s="11">
        <f ca="1">(U281*DATOSAÑO!$Z$11)/DATOSAÑO!$Y$11</f>
        <v>0.24865753897729528</v>
      </c>
      <c r="W281" s="9">
        <f ca="1">DATOSAÑO!AI280</f>
        <v>38.900000000008731</v>
      </c>
      <c r="X281" s="11">
        <f ca="1">(W281*DATOSAÑO!$Z$11)/DATOSAÑO!$Y$11</f>
        <v>0.70092596132006646</v>
      </c>
      <c r="Y281" s="9">
        <f ca="1">DATOSAÑO!AJ280</f>
        <v>9.7299999999959255</v>
      </c>
      <c r="Z281" s="11">
        <f ca="1">(Y281*DATOSAÑO!$Z$11)/DATOSAÑO!$Y$11</f>
        <v>0.17532158364112752</v>
      </c>
      <c r="AA281" s="9">
        <f ca="1">DATOSAÑO!AK280</f>
        <v>12.209999999991851</v>
      </c>
      <c r="AB281" s="11">
        <f ca="1">(AA281*DATOSAÑO!$Z$11)/DATOSAÑO!$Y$11</f>
        <v>0.22000786600797889</v>
      </c>
      <c r="AC281" s="9">
        <f ca="1">DATOSAÑO!AL280</f>
        <v>38.554000000025326</v>
      </c>
      <c r="AD281" s="11">
        <f ca="1">(AC281*DATOSAÑO!$Z$11)/DATOSAÑO!$Y$11</f>
        <v>0.69469150418368963</v>
      </c>
      <c r="AE281" s="9">
        <f ca="1">DATOSAÑO!AM280</f>
        <v>2.2030000000017025</v>
      </c>
      <c r="AF281" s="11">
        <f ca="1">(AE281*DATOSAÑO!$Z$11)/DATOSAÑO!$Y$11</f>
        <v>3.9695112925165893E-2</v>
      </c>
      <c r="AG281" s="9">
        <f ca="1">DATOSAÑO!AN280</f>
        <v>4.4400000000000546</v>
      </c>
      <c r="AH281" s="11">
        <f ca="1">(AG281*DATOSAÑO!$Z$11)/DATOSAÑO!$Y$11</f>
        <v>8.0002860366592168E-2</v>
      </c>
      <c r="AI281" s="9">
        <f ca="1">DATOSAÑO!BJ280</f>
        <v>3.48</v>
      </c>
      <c r="AJ281" s="11">
        <f ca="1">(AI281*DATOSAÑO!$Z$11)/DATOSAÑO!$Y$11</f>
        <v>6.2704944611652547E-2</v>
      </c>
      <c r="AK281" s="9">
        <f ca="1">DATOSAÑO!BM280</f>
        <v>5.2030000000000003</v>
      </c>
      <c r="AL281" s="11">
        <f ca="1">(AK281*DATOSAÑO!$Z$11)/DATOSAÑO!$Y$11</f>
        <v>9.3751099659318451E-2</v>
      </c>
      <c r="AM281" s="9">
        <f ca="1">DATOSAÑO!BP280</f>
        <v>0</v>
      </c>
      <c r="AN281" s="11">
        <f ca="1">(AM281*DATOSAÑO!$Z$11)/DATOSAÑO!$Y$11</f>
        <v>0</v>
      </c>
      <c r="AO281" s="9">
        <f ca="1">DATOSAÑO!BW280</f>
        <v>5.4615000000014335</v>
      </c>
      <c r="AP281" s="11">
        <f ca="1">(AO281*DATOSAÑO!$Z$11)/DATOSAÑO!$Y$11</f>
        <v>9.8408923849606394E-2</v>
      </c>
      <c r="AQ281" s="9">
        <f ca="1">DATOSAÑO!CC280</f>
        <v>3.280000000000022</v>
      </c>
      <c r="AR281" s="1348">
        <f ca="1">(AQ281*DATOSAÑO!$Z$11)/DATOSAÑO!$Y$11</f>
        <v>5.9101212162707389E-2</v>
      </c>
      <c r="AS281" s="1384">
        <f t="shared" si="14"/>
        <v>39</v>
      </c>
    </row>
    <row r="282" spans="1:45">
      <c r="A282" s="1408">
        <v>45197</v>
      </c>
      <c r="B282" s="1869">
        <v>45197</v>
      </c>
      <c r="C282" s="9">
        <f ca="1">DATOSAÑO!I281</f>
        <v>0</v>
      </c>
      <c r="D282" s="10">
        <f ca="1">DATOSAÑO!$D281</f>
        <v>0</v>
      </c>
      <c r="E282" s="11">
        <f ca="1">DATOSAÑO!$G281</f>
        <v>0</v>
      </c>
      <c r="F282" s="9">
        <f ca="1">DATOSAÑO!P281</f>
        <v>436.05499999999302</v>
      </c>
      <c r="G282" s="10">
        <f ca="1">DATOSAÑO!K281</f>
        <v>6.40972437477771</v>
      </c>
      <c r="H282" s="11">
        <f ca="1">DATOSAÑO!N281</f>
        <v>0</v>
      </c>
      <c r="I282" s="9">
        <f ca="1">DATOSAÑO!Q281</f>
        <v>0</v>
      </c>
      <c r="J282" s="11">
        <f ca="1">DATOSAÑO!R281</f>
        <v>0</v>
      </c>
      <c r="K282" s="9">
        <f ca="1">DATOSAÑO!T281</f>
        <v>10.178999999999974</v>
      </c>
      <c r="L282" s="11">
        <f t="shared" ca="1" si="12"/>
        <v>1221.4799999999968</v>
      </c>
      <c r="M282" s="9"/>
      <c r="N282" s="11">
        <f t="shared" si="13"/>
        <v>0</v>
      </c>
      <c r="O282" s="9">
        <f>DATOSAÑO!CK281</f>
        <v>0</v>
      </c>
      <c r="P282" s="9">
        <f>DATOSAÑO!CL281</f>
        <v>10</v>
      </c>
      <c r="Q282" s="9">
        <f ca="1">DATOSAÑO!AD281</f>
        <v>160.41100000000006</v>
      </c>
      <c r="R282" s="11">
        <f ca="1">(Q282*DATOSAÑO!$Z$11)/DATOSAÑO!$Y$11</f>
        <v>2.8903916293390228</v>
      </c>
      <c r="S282" s="9">
        <f ca="1">DATOSAÑO!AF281</f>
        <v>151</v>
      </c>
      <c r="T282" s="11">
        <f ca="1">(S282*DATOSAÑO!$Z$11)/DATOSAÑO!$Y$11</f>
        <v>2.7208179989538892</v>
      </c>
      <c r="U282" s="9">
        <f ca="1">DATOSAÑO!AH281</f>
        <v>7.9000000000014552</v>
      </c>
      <c r="V282" s="11">
        <f ca="1">(U282*DATOSAÑO!$Z$11)/DATOSAÑO!$Y$11</f>
        <v>0.14234743173337538</v>
      </c>
      <c r="W282" s="9">
        <f ca="1">DATOSAÑO!AI281</f>
        <v>40.299999999988358</v>
      </c>
      <c r="X282" s="11">
        <f ca="1">(W282*DATOSAÑO!$Z$11)/DATOSAÑO!$Y$11</f>
        <v>0.72615208846231827</v>
      </c>
      <c r="Y282" s="9">
        <f ca="1">DATOSAÑO!AJ281</f>
        <v>9.1000000000058208</v>
      </c>
      <c r="Z282" s="11">
        <f ca="1">(Y282*DATOSAÑO!$Z$11)/DATOSAÑO!$Y$11</f>
        <v>0.16396982642712732</v>
      </c>
      <c r="AA282" s="9">
        <f ca="1">DATOSAÑO!AK281</f>
        <v>10</v>
      </c>
      <c r="AB282" s="11">
        <f ca="1">(AA282*DATOSAÑO!$Z$11)/DATOSAÑO!$Y$11</f>
        <v>0.18018662244727743</v>
      </c>
      <c r="AC282" s="9">
        <f ca="1">DATOSAÑO!AL281</f>
        <v>47.922999999998808</v>
      </c>
      <c r="AD282" s="11">
        <f ca="1">(AC282*DATOSAÑO!$Z$11)/DATOSAÑO!$Y$11</f>
        <v>0.86350835075406607</v>
      </c>
      <c r="AE282" s="9">
        <f ca="1">DATOSAÑO!AM281</f>
        <v>1.5285999999979876</v>
      </c>
      <c r="AF282" s="11">
        <f ca="1">(AE282*DATOSAÑO!$Z$11)/DATOSAÑO!$Y$11</f>
        <v>2.7543327107254566E-2</v>
      </c>
      <c r="AG282" s="9">
        <f ca="1">DATOSAÑO!AN281</f>
        <v>4.3000000000006366</v>
      </c>
      <c r="AH282" s="11">
        <f ca="1">(AG282*DATOSAÑO!$Z$11)/DATOSAÑO!$Y$11</f>
        <v>7.7480247652340767E-2</v>
      </c>
      <c r="AI282" s="9">
        <f ca="1">DATOSAÑO!BJ281</f>
        <v>2.4153999999999067</v>
      </c>
      <c r="AJ282" s="11">
        <f ca="1">(AI282*DATOSAÑO!$Z$11)/DATOSAÑO!$Y$11</f>
        <v>4.3522276785913708E-2</v>
      </c>
      <c r="AK282" s="9">
        <f ca="1">DATOSAÑO!BM281</f>
        <v>5.3630000000000004</v>
      </c>
      <c r="AL282" s="11">
        <f ca="1">(AK282*DATOSAÑO!$Z$11)/DATOSAÑO!$Y$11</f>
        <v>9.6634085618474891E-2</v>
      </c>
      <c r="AM282" s="9">
        <f ca="1">DATOSAÑO!BP281</f>
        <v>0</v>
      </c>
      <c r="AN282" s="11">
        <f ca="1">(AM282*DATOSAÑO!$Z$11)/DATOSAÑO!$Y$11</f>
        <v>0</v>
      </c>
      <c r="AO282" s="9">
        <f ca="1">DATOSAÑO!BW281</f>
        <v>5.2642999999989941</v>
      </c>
      <c r="AP282" s="11">
        <f ca="1">(AO282*DATOSAÑO!$Z$11)/DATOSAÑO!$Y$11</f>
        <v>9.4855643654902136E-2</v>
      </c>
      <c r="AQ282" s="9">
        <f ca="1">DATOSAÑO!CC281</f>
        <v>3.213000000000255</v>
      </c>
      <c r="AR282" s="1348">
        <f ca="1">(AQ282*DATOSAÑO!$Z$11)/DATOSAÑO!$Y$11</f>
        <v>5.7893961792314833E-2</v>
      </c>
      <c r="AS282" s="1384">
        <f t="shared" si="14"/>
        <v>39</v>
      </c>
    </row>
    <row r="283" spans="1:45">
      <c r="A283" s="1408">
        <v>45198</v>
      </c>
      <c r="B283" s="1869">
        <v>45198</v>
      </c>
      <c r="C283" s="9">
        <f ca="1">DATOSAÑO!I282</f>
        <v>0</v>
      </c>
      <c r="D283" s="10">
        <f ca="1">DATOSAÑO!$D282</f>
        <v>0</v>
      </c>
      <c r="E283" s="11">
        <f ca="1">DATOSAÑO!$G282</f>
        <v>0</v>
      </c>
      <c r="F283" s="9">
        <f ca="1">DATOSAÑO!P282</f>
        <v>434</v>
      </c>
      <c r="G283" s="10">
        <f ca="1">DATOSAÑO!K282</f>
        <v>6.3905603581111086</v>
      </c>
      <c r="H283" s="11">
        <f ca="1">DATOSAÑO!N282</f>
        <v>0</v>
      </c>
      <c r="I283" s="9">
        <f ca="1">DATOSAÑO!Q282</f>
        <v>0</v>
      </c>
      <c r="J283" s="11">
        <f ca="1">DATOSAÑO!R282</f>
        <v>0</v>
      </c>
      <c r="K283" s="9">
        <f ca="1">DATOSAÑO!T282</f>
        <v>9.9950000000000045</v>
      </c>
      <c r="L283" s="11">
        <f t="shared" ca="1" si="12"/>
        <v>1199.4000000000005</v>
      </c>
      <c r="M283" s="9"/>
      <c r="N283" s="11">
        <f t="shared" si="13"/>
        <v>0</v>
      </c>
      <c r="O283" s="9">
        <f>DATOSAÑO!CK282</f>
        <v>0</v>
      </c>
      <c r="P283" s="9">
        <f>DATOSAÑO!CL282</f>
        <v>10</v>
      </c>
      <c r="Q283" s="9">
        <f ca="1">DATOSAÑO!AD282</f>
        <v>166</v>
      </c>
      <c r="R283" s="11">
        <f ca="1">(Q283*DATOSAÑO!$Z$11)/DATOSAÑO!$Y$11</f>
        <v>2.9910979326248053</v>
      </c>
      <c r="S283" s="9">
        <f ca="1">DATOSAÑO!AF282</f>
        <v>150</v>
      </c>
      <c r="T283" s="11">
        <f ca="1">(S283*DATOSAÑO!$Z$11)/DATOSAÑO!$Y$11</f>
        <v>2.7027993367091616</v>
      </c>
      <c r="U283" s="9">
        <f ca="1">DATOSAÑO!AH282</f>
        <v>6.5999999999985448</v>
      </c>
      <c r="V283" s="11">
        <f ca="1">(U283*DATOSAÑO!$Z$11)/DATOSAÑO!$Y$11</f>
        <v>0.11892317081517688</v>
      </c>
      <c r="W283" s="9">
        <f ca="1">DATOSAÑO!AI282</f>
        <v>40.80000000000291</v>
      </c>
      <c r="X283" s="11">
        <f ca="1">(W283*DATOSAÑO!$Z$11)/DATOSAÑO!$Y$11</f>
        <v>0.7351614195849443</v>
      </c>
      <c r="Y283" s="9">
        <f ca="1">DATOSAÑO!AJ282</f>
        <v>8.5</v>
      </c>
      <c r="Z283" s="11">
        <f ca="1">(Y283*DATOSAÑO!$Z$11)/DATOSAÑO!$Y$11</f>
        <v>0.15315862908018582</v>
      </c>
      <c r="AA283" s="9">
        <f ca="1">DATOSAÑO!AK282</f>
        <v>9</v>
      </c>
      <c r="AB283" s="11">
        <f ca="1">(AA283*DATOSAÑO!$Z$11)/DATOSAÑO!$Y$11</f>
        <v>0.16216796020254967</v>
      </c>
      <c r="AC283" s="9">
        <f ca="1">DATOSAÑO!AL282</f>
        <v>43.994999999996367</v>
      </c>
      <c r="AD283" s="11">
        <f ca="1">(AC283*DATOSAÑO!$Z$11)/DATOSAÑO!$Y$11</f>
        <v>0.79273104545673156</v>
      </c>
      <c r="AE283" s="9">
        <f ca="1">DATOSAÑO!AM282</f>
        <v>0.98400000000300158</v>
      </c>
      <c r="AF283" s="11">
        <f ca="1">(AE283*DATOSAÑO!$Z$11)/DATOSAÑO!$Y$11</f>
        <v>1.7730363648866185E-2</v>
      </c>
      <c r="AG283" s="9">
        <f ca="1">DATOSAÑO!AN282</f>
        <v>4.2000000000002728</v>
      </c>
      <c r="AH283" s="11">
        <f ca="1">(AG283*DATOSAÑO!$Z$11)/DATOSAÑO!$Y$11</f>
        <v>7.567838142786143E-2</v>
      </c>
      <c r="AI283" s="9">
        <f ca="1">DATOSAÑO!BJ282</f>
        <v>2</v>
      </c>
      <c r="AJ283" s="11">
        <f ca="1">(AI283*DATOSAÑO!$Z$11)/DATOSAÑO!$Y$11</f>
        <v>3.6037324489455486E-2</v>
      </c>
      <c r="AK283" s="9">
        <f ca="1">DATOSAÑO!BM282</f>
        <v>5.1319999999999997</v>
      </c>
      <c r="AL283" s="11">
        <f ca="1">(AK283*DATOSAÑO!$Z$11)/DATOSAÑO!$Y$11</f>
        <v>9.2471774639942772E-2</v>
      </c>
      <c r="AM283" s="9">
        <f ca="1">DATOSAÑO!BP282</f>
        <v>0</v>
      </c>
      <c r="AN283" s="11">
        <f ca="1">(AM283*DATOSAÑO!$Z$11)/DATOSAÑO!$Y$11</f>
        <v>0</v>
      </c>
      <c r="AO283" s="9">
        <f ca="1">DATOSAÑO!BW282</f>
        <v>5.6920000000004096</v>
      </c>
      <c r="AP283" s="11">
        <f ca="1">(AO283*DATOSAÑO!$Z$11)/DATOSAÑO!$Y$11</f>
        <v>0.10256222549699769</v>
      </c>
      <c r="AQ283" s="9">
        <f ca="1">DATOSAÑO!CC282</f>
        <v>3.2640000000001095</v>
      </c>
      <c r="AR283" s="1348">
        <f ca="1">(AQ283*DATOSAÑO!$Z$11)/DATOSAÑO!$Y$11</f>
        <v>5.8812913566793329E-2</v>
      </c>
      <c r="AS283" s="1384">
        <f t="shared" si="14"/>
        <v>39</v>
      </c>
    </row>
    <row r="284" spans="1:45" ht="15" thickBot="1">
      <c r="A284" s="1408">
        <v>45199</v>
      </c>
      <c r="B284" s="1870">
        <v>45199</v>
      </c>
      <c r="C284" s="63">
        <f ca="1">DATOSAÑO!I283</f>
        <v>0</v>
      </c>
      <c r="D284" s="64">
        <f ca="1">DATOSAÑO!$D283</f>
        <v>0</v>
      </c>
      <c r="E284" s="65">
        <f ca="1">DATOSAÑO!$G283</f>
        <v>0</v>
      </c>
      <c r="F284" s="63">
        <f ca="1">DATOSAÑO!P283</f>
        <v>428</v>
      </c>
      <c r="G284" s="64">
        <f ca="1">DATOSAÑO!K283</f>
        <v>6.3346070247777755</v>
      </c>
      <c r="H284" s="65">
        <f ca="1">DATOSAÑO!N283</f>
        <v>0</v>
      </c>
      <c r="I284" s="63">
        <f ca="1">DATOSAÑO!Q283</f>
        <v>0</v>
      </c>
      <c r="J284" s="65">
        <f ca="1">DATOSAÑO!R283</f>
        <v>0</v>
      </c>
      <c r="K284" s="9">
        <f ca="1">DATOSAÑO!T283</f>
        <v>13.634000000000015</v>
      </c>
      <c r="L284" s="65">
        <f t="shared" ca="1" si="12"/>
        <v>1636.0800000000017</v>
      </c>
      <c r="M284" s="63"/>
      <c r="N284" s="65">
        <f t="shared" si="13"/>
        <v>0</v>
      </c>
      <c r="O284" s="63">
        <f>DATOSAÑO!CK283</f>
        <v>0</v>
      </c>
      <c r="P284" s="62">
        <f>DATOSAÑO!CL283</f>
        <v>13</v>
      </c>
      <c r="Q284" s="9">
        <f ca="1">DATOSAÑO!AD283</f>
        <v>162</v>
      </c>
      <c r="R284" s="65">
        <f ca="1">(Q284*DATOSAÑO!$Z$11)/DATOSAÑO!$Y$11</f>
        <v>2.919023283645894</v>
      </c>
      <c r="S284" s="9">
        <f ca="1">DATOSAÑO!AF283</f>
        <v>148</v>
      </c>
      <c r="T284" s="65">
        <f ca="1">(S284*DATOSAÑO!$Z$11)/DATOSAÑO!$Y$11</f>
        <v>2.666762012219706</v>
      </c>
      <c r="U284" s="9">
        <f ca="1">DATOSAÑO!AH283</f>
        <v>10.800000000001091</v>
      </c>
      <c r="V284" s="65">
        <f ca="1">(U284*DATOSAÑO!$Z$11)/DATOSAÑO!$Y$11</f>
        <v>0.19460155224307926</v>
      </c>
      <c r="W284" s="9">
        <f ca="1">DATOSAÑO!AI283</f>
        <v>39.600000000005821</v>
      </c>
      <c r="X284" s="65">
        <f ca="1">(W284*DATOSAÑO!$Z$11)/DATOSAÑO!$Y$11</f>
        <v>0.71353902489132348</v>
      </c>
      <c r="Y284" s="9">
        <f ca="1">DATOSAÑO!AJ283</f>
        <v>8.8999999999941792</v>
      </c>
      <c r="Z284" s="65">
        <f ca="1">(Y284*DATOSAÑO!$Z$11)/DATOSAÑO!$Y$11</f>
        <v>0.16036609397797202</v>
      </c>
      <c r="AA284" s="9">
        <f ca="1">DATOSAÑO!AK283</f>
        <v>10</v>
      </c>
      <c r="AB284" s="65">
        <f ca="1">(AA284*DATOSAÑO!$Z$11)/DATOSAÑO!$Y$11</f>
        <v>0.18018662244727743</v>
      </c>
      <c r="AC284" s="9">
        <f ca="1">DATOSAÑO!AL283</f>
        <v>44.434000000001049</v>
      </c>
      <c r="AD284" s="65">
        <f ca="1">(AC284*DATOSAÑO!$Z$11)/DATOSAÑO!$Y$11</f>
        <v>0.80064123818225141</v>
      </c>
      <c r="AE284" s="9">
        <f ca="1">DATOSAÑO!AM283</f>
        <v>0.18499999999845951</v>
      </c>
      <c r="AF284" s="65">
        <f ca="1">(AE284*DATOSAÑO!$Z$11)/DATOSAÑO!$Y$11</f>
        <v>3.3334525152468749E-3</v>
      </c>
      <c r="AG284" s="63">
        <f ca="1">DATOSAÑO!AN283</f>
        <v>4.7999999999997272</v>
      </c>
      <c r="AH284" s="65">
        <f ca="1">(AG284*DATOSAÑO!$Z$11)/DATOSAÑO!$Y$11</f>
        <v>8.6489578774688256E-2</v>
      </c>
      <c r="AI284" s="9">
        <f ca="1">DATOSAÑO!BJ283</f>
        <v>0.1</v>
      </c>
      <c r="AJ284" s="11">
        <f ca="1">(AI284*DATOSAÑO!$Z$11)/DATOSAÑO!$Y$11</f>
        <v>1.8018662244727742E-3</v>
      </c>
      <c r="AK284" s="9">
        <f ca="1">DATOSAÑO!BM283</f>
        <v>4.9870000000000001</v>
      </c>
      <c r="AL284" s="11">
        <f ca="1">(AK284*DATOSAÑO!$Z$11)/DATOSAÑO!$Y$11</f>
        <v>8.9859068614457249E-2</v>
      </c>
      <c r="AM284" s="9">
        <f ca="1">DATOSAÑO!BP283</f>
        <v>0</v>
      </c>
      <c r="AN284" s="11">
        <f ca="1">(AM284*DATOSAÑO!$Z$11)/DATOSAÑO!$Y$11</f>
        <v>0</v>
      </c>
      <c r="AO284" s="9">
        <f ca="1">DATOSAÑO!BW283</f>
        <v>6.4924999999988664</v>
      </c>
      <c r="AP284" s="11">
        <f ca="1">(AO284*DATOSAÑO!$Z$11)/DATOSAÑO!$Y$11</f>
        <v>0.11698616462387444</v>
      </c>
      <c r="AQ284" s="9">
        <f ca="1">DATOSAÑO!CC283</f>
        <v>3.3479999999998906</v>
      </c>
      <c r="AR284" s="1348">
        <f ca="1">(AQ284*DATOSAÑO!$Z$11)/DATOSAÑO!$Y$11</f>
        <v>6.0326481195346511E-2</v>
      </c>
      <c r="AS284" s="1385">
        <f t="shared" si="14"/>
        <v>39</v>
      </c>
    </row>
    <row r="285" spans="1:45">
      <c r="A285" s="1408">
        <v>45200</v>
      </c>
      <c r="B285" s="1871">
        <v>45200</v>
      </c>
      <c r="C285" s="9">
        <f ca="1">DATOSAÑO!I284</f>
        <v>0</v>
      </c>
      <c r="D285" s="10">
        <f ca="1">DATOSAÑO!$D284</f>
        <v>0</v>
      </c>
      <c r="E285" s="11">
        <f ca="1">DATOSAÑO!$G284</f>
        <v>0</v>
      </c>
      <c r="F285" s="9">
        <f ca="1">DATOSAÑO!P284</f>
        <v>440</v>
      </c>
      <c r="G285" s="10">
        <f ca="1">DATOSAÑO!K284</f>
        <v>7.0371553427557654</v>
      </c>
      <c r="H285" s="180">
        <f ca="1">DATOSAÑO!N284</f>
        <v>0</v>
      </c>
      <c r="I285" s="178">
        <f ca="1">DATOSAÑO!Q284</f>
        <v>0</v>
      </c>
      <c r="J285" s="180">
        <f ca="1">DATOSAÑO!R284</f>
        <v>0</v>
      </c>
      <c r="K285" s="178">
        <f ca="1">DATOSAÑO!T284</f>
        <v>8.5620000000000118</v>
      </c>
      <c r="L285" s="180">
        <f t="shared" ca="1" si="12"/>
        <v>1027.4400000000014</v>
      </c>
      <c r="M285" s="178"/>
      <c r="N285" s="180">
        <f t="shared" si="13"/>
        <v>0</v>
      </c>
      <c r="O285" s="9">
        <f>DATOSAÑO!CK284</f>
        <v>0</v>
      </c>
      <c r="P285" s="9">
        <f>DATOSAÑO!CL284</f>
        <v>9</v>
      </c>
      <c r="Q285" s="178">
        <f ca="1">DATOSAÑO!AD284</f>
        <v>166</v>
      </c>
      <c r="R285" s="180">
        <f ca="1">(Q285*DATOSAÑO!$Z$11)/DATOSAÑO!$Y$11</f>
        <v>2.9910979326248053</v>
      </c>
      <c r="S285" s="178">
        <f ca="1">DATOSAÑO!AF284</f>
        <v>150</v>
      </c>
      <c r="T285" s="180">
        <f ca="1">(S285*DATOSAÑO!$Z$11)/DATOSAÑO!$Y$11</f>
        <v>2.7027993367091616</v>
      </c>
      <c r="U285" s="178">
        <f ca="1">DATOSAÑO!AH284</f>
        <v>11.19999999999709</v>
      </c>
      <c r="V285" s="180">
        <f ca="1">(U285*DATOSAÑO!$Z$11)/DATOSAÑO!$Y$11</f>
        <v>0.20180901714089827</v>
      </c>
      <c r="W285" s="178">
        <f ca="1">DATOSAÑO!AI284</f>
        <v>39.80000000000291</v>
      </c>
      <c r="X285" s="180">
        <f ca="1">(W285*DATOSAÑO!$Z$11)/DATOSAÑO!$Y$11</f>
        <v>0.71714275734021649</v>
      </c>
      <c r="Y285" s="178">
        <f ca="1">DATOSAÑO!AJ284</f>
        <v>8.8000000000029104</v>
      </c>
      <c r="Z285" s="180">
        <f ca="1">(Y285*DATOSAÑO!$Z$11)/DATOSAÑO!$Y$11</f>
        <v>0.15856422775365658</v>
      </c>
      <c r="AA285" s="178">
        <f ca="1">DATOSAÑO!AK284</f>
        <v>10</v>
      </c>
      <c r="AB285" s="180">
        <f ca="1">(AA285*DATOSAÑO!$Z$11)/DATOSAÑO!$Y$11</f>
        <v>0.18018662244727743</v>
      </c>
      <c r="AC285" s="178">
        <f ca="1">DATOSAÑO!AL284</f>
        <v>36.799999999995634</v>
      </c>
      <c r="AD285" s="180">
        <f ca="1">(AC285*DATOSAÑO!$Z$11)/DATOSAÑO!$Y$11</f>
        <v>0.66308677060590226</v>
      </c>
      <c r="AE285" s="178">
        <f ca="1">DATOSAÑO!CA284</f>
        <v>3.2500000000004605</v>
      </c>
      <c r="AF285" s="180">
        <f ca="1">(AE285*DATOSAÑO!$Z$11)/DATOSAÑO!$Y$11</f>
        <v>5.856065229537346E-2</v>
      </c>
      <c r="AG285" s="178">
        <f ca="1">DATOSAÑO!CB284</f>
        <v>2.308800000000109</v>
      </c>
      <c r="AH285" s="180">
        <f ca="1">(AG285*DATOSAÑO!$Z$11)/DATOSAÑO!$Y$11</f>
        <v>4.1601487390629383E-2</v>
      </c>
      <c r="AI285" s="178">
        <f ca="1">DATOSAÑO!BJ284</f>
        <v>2</v>
      </c>
      <c r="AJ285" s="180">
        <f ca="1">(AI285*DATOSAÑO!$Z$11)/DATOSAÑO!$Y$11</f>
        <v>3.6037324489455486E-2</v>
      </c>
      <c r="AK285" s="178">
        <f ca="1">DATOSAÑO!BM284</f>
        <v>5.0620000000000003</v>
      </c>
      <c r="AL285" s="180">
        <f ca="1">(AK285*DATOSAÑO!$Z$11)/DATOSAÑO!$Y$11</f>
        <v>9.1210468282811832E-2</v>
      </c>
      <c r="AM285" s="178">
        <f ca="1">DATOSAÑO!BP284</f>
        <v>0</v>
      </c>
      <c r="AN285" s="180">
        <f ca="1">(AM285*DATOSAÑO!$Z$11)/DATOSAÑO!$Y$11</f>
        <v>0</v>
      </c>
      <c r="AO285" s="178">
        <f ca="1">DATOSAÑO!BW284</f>
        <v>10.850000000000824</v>
      </c>
      <c r="AP285" s="180">
        <f ca="1">(AO285*DATOSAÑO!$Z$11)/DATOSAÑO!$Y$11</f>
        <v>0.19550248535531087</v>
      </c>
      <c r="AQ285" s="178">
        <f ca="1">DATOSAÑO!CC284</f>
        <v>2.4912000000000729</v>
      </c>
      <c r="AR285" s="1349">
        <f ca="1">(AQ285*DATOSAÑO!$Z$11)/DATOSAÑO!$Y$11</f>
        <v>4.4888091384067068E-2</v>
      </c>
      <c r="AS285" s="1406">
        <f t="shared" si="14"/>
        <v>40</v>
      </c>
    </row>
    <row r="286" spans="1:45">
      <c r="A286" s="1408">
        <v>45201</v>
      </c>
      <c r="B286" s="1869">
        <v>45201</v>
      </c>
      <c r="C286" s="9">
        <f ca="1">DATOSAÑO!I285</f>
        <v>0</v>
      </c>
      <c r="D286" s="10">
        <f ca="1">DATOSAÑO!$D285</f>
        <v>0</v>
      </c>
      <c r="E286" s="195">
        <f ca="1">DATOSAÑO!$G285</f>
        <v>0</v>
      </c>
      <c r="F286" s="9">
        <f ca="1">DATOSAÑO!P285</f>
        <v>437</v>
      </c>
      <c r="G286" s="10">
        <f ca="1">DATOSAÑO!K285</f>
        <v>7.0009938998225891</v>
      </c>
      <c r="H286" s="11">
        <f ca="1">DATOSAÑO!N285</f>
        <v>0</v>
      </c>
      <c r="I286" s="9">
        <f ca="1">DATOSAÑO!Q285</f>
        <v>0.39199999999982538</v>
      </c>
      <c r="J286" s="11">
        <f ca="1">DATOSAÑO!R285</f>
        <v>47.039999999979045</v>
      </c>
      <c r="K286" s="9">
        <f ca="1">DATOSAÑO!T285</f>
        <v>13.410999999999945</v>
      </c>
      <c r="L286" s="11">
        <f t="shared" ca="1" si="12"/>
        <v>1609.3199999999933</v>
      </c>
      <c r="M286" s="9"/>
      <c r="N286" s="11">
        <f t="shared" si="13"/>
        <v>0</v>
      </c>
      <c r="O286" s="9">
        <f>DATOSAÑO!CK285</f>
        <v>0.6</v>
      </c>
      <c r="P286" s="9">
        <f>DATOSAÑO!CL285</f>
        <v>13</v>
      </c>
      <c r="Q286" s="9">
        <f ca="1">DATOSAÑO!AD285</f>
        <v>167</v>
      </c>
      <c r="R286" s="11">
        <f ca="1">(Q286*DATOSAÑO!$Z$11)/DATOSAÑO!$Y$11</f>
        <v>3.0091165948695329</v>
      </c>
      <c r="S286" s="9">
        <f ca="1">DATOSAÑO!AF285</f>
        <v>151</v>
      </c>
      <c r="T286" s="11">
        <f ca="1">(S286*DATOSAÑO!$Z$11)/DATOSAÑO!$Y$11</f>
        <v>2.7208179989538892</v>
      </c>
      <c r="U286" s="9">
        <f ca="1">DATOSAÑO!AH285</f>
        <v>11.599999999998545</v>
      </c>
      <c r="V286" s="11">
        <f ca="1">(U286*DATOSAÑO!$Z$11)/DATOSAÑO!$Y$11</f>
        <v>0.20901648203881559</v>
      </c>
      <c r="W286" s="9">
        <f ca="1">DATOSAÑO!AI285</f>
        <v>39.599999999991269</v>
      </c>
      <c r="X286" s="11">
        <f ca="1">(W286*DATOSAÑO!$Z$11)/DATOSAÑO!$Y$11</f>
        <v>0.71353902489106136</v>
      </c>
      <c r="Y286" s="9">
        <f ca="1">DATOSAÑO!AJ285</f>
        <v>9</v>
      </c>
      <c r="Z286" s="11">
        <f ca="1">(Y286*DATOSAÑO!$Z$11)/DATOSAÑO!$Y$11</f>
        <v>0.16216796020254967</v>
      </c>
      <c r="AA286" s="9">
        <f ca="1">DATOSAÑO!AK285</f>
        <v>10</v>
      </c>
      <c r="AB286" s="11">
        <f ca="1">(AA286*DATOSAÑO!$Z$11)/DATOSAÑO!$Y$11</f>
        <v>0.18018662244727743</v>
      </c>
      <c r="AC286" s="9">
        <f ca="1">DATOSAÑO!AL285</f>
        <v>31.792000000008557</v>
      </c>
      <c r="AD286" s="11">
        <f ca="1">(AC286*DATOSAÑO!$Z$11)/DATOSAÑO!$Y$11</f>
        <v>0.57284931008453854</v>
      </c>
      <c r="AE286" s="9">
        <f ca="1">DATOSAÑO!CA285</f>
        <v>5.1810000000006511</v>
      </c>
      <c r="AF286" s="11">
        <f ca="1">(AE286*DATOSAÑO!$Z$11)/DATOSAÑO!$Y$11</f>
        <v>9.3354689089946166E-2</v>
      </c>
      <c r="AG286" s="9">
        <f ca="1">DATOSAÑO!CB285</f>
        <v>2.0418000000000545</v>
      </c>
      <c r="AH286" s="11">
        <f ca="1">(AG286*DATOSAÑO!$Z$11)/DATOSAÑO!$Y$11</f>
        <v>3.6790504571286083E-2</v>
      </c>
      <c r="AI286" s="9">
        <f ca="1">DATOSAÑO!BJ285</f>
        <v>2.4</v>
      </c>
      <c r="AJ286" s="11">
        <f ca="1">(AI286*DATOSAÑO!$Z$11)/DATOSAÑO!$Y$11</f>
        <v>4.3244789387346577E-2</v>
      </c>
      <c r="AK286" s="9">
        <f ca="1">DATOSAÑO!BM285</f>
        <v>5.149</v>
      </c>
      <c r="AL286" s="11">
        <f ca="1">(AK286*DATOSAÑO!$Z$11)/DATOSAÑO!$Y$11</f>
        <v>9.2778091898103141E-2</v>
      </c>
      <c r="AM286" s="9">
        <f ca="1">DATOSAÑO!BP285</f>
        <v>0</v>
      </c>
      <c r="AN286" s="11">
        <f ca="1">(AM286*DATOSAÑO!$Z$11)/DATOSAÑO!$Y$11</f>
        <v>0</v>
      </c>
      <c r="AO286" s="9">
        <f ca="1">DATOSAÑO!BW285</f>
        <v>13.181000000000651</v>
      </c>
      <c r="AP286" s="11">
        <f ca="1">(AO286*DATOSAÑO!$Z$11)/DATOSAÑO!$Y$11</f>
        <v>0.23750398704776809</v>
      </c>
      <c r="AQ286" s="9">
        <f ca="1">DATOSAÑO!CC285</f>
        <v>2.8582000000000365</v>
      </c>
      <c r="AR286" s="1348">
        <f ca="1">(AQ286*DATOSAÑO!$Z$11)/DATOSAÑO!$Y$11</f>
        <v>5.1500940427881489E-2</v>
      </c>
      <c r="AS286" s="1384">
        <f t="shared" si="14"/>
        <v>40</v>
      </c>
    </row>
    <row r="287" spans="1:45">
      <c r="A287" s="1408">
        <v>45202</v>
      </c>
      <c r="B287" s="1869">
        <v>45202</v>
      </c>
      <c r="C287" s="9">
        <f ca="1">DATOSAÑO!I286</f>
        <v>0</v>
      </c>
      <c r="D287" s="10">
        <f ca="1">DATOSAÑO!$D286</f>
        <v>0</v>
      </c>
      <c r="E287" s="11">
        <f ca="1">DATOSAÑO!$G286</f>
        <v>0</v>
      </c>
      <c r="F287" s="9">
        <f ca="1">DATOSAÑO!P286</f>
        <v>436</v>
      </c>
      <c r="G287" s="10">
        <f ca="1">DATOSAÑO!K286</f>
        <v>6.9889400855115316</v>
      </c>
      <c r="H287" s="11">
        <f ca="1">DATOSAÑO!N286</f>
        <v>0</v>
      </c>
      <c r="I287" s="9">
        <f ca="1">DATOSAÑO!Q286</f>
        <v>0</v>
      </c>
      <c r="J287" s="11">
        <f ca="1">DATOSAÑO!R286</f>
        <v>0</v>
      </c>
      <c r="K287" s="9">
        <f ca="1">DATOSAÑO!T286</f>
        <v>13.547000000000025</v>
      </c>
      <c r="L287" s="11">
        <f t="shared" ca="1" si="12"/>
        <v>1625.6400000000031</v>
      </c>
      <c r="M287" s="9"/>
      <c r="N287" s="11">
        <f t="shared" si="13"/>
        <v>0</v>
      </c>
      <c r="O287" s="9">
        <f>DATOSAÑO!CK286</f>
        <v>0</v>
      </c>
      <c r="P287" s="9">
        <f>DATOSAÑO!CL286</f>
        <v>13.5</v>
      </c>
      <c r="Q287" s="9">
        <f ca="1">DATOSAÑO!AD286</f>
        <v>165</v>
      </c>
      <c r="R287" s="11">
        <f ca="1">(Q287*DATOSAÑO!$Z$11)/DATOSAÑO!$Y$11</f>
        <v>2.9730792703800777</v>
      </c>
      <c r="S287" s="9">
        <f ca="1">DATOSAÑO!AF286</f>
        <v>150</v>
      </c>
      <c r="T287" s="11">
        <f ca="1">(S287*DATOSAÑO!$Z$11)/DATOSAÑO!$Y$11</f>
        <v>2.7027993367091616</v>
      </c>
      <c r="U287" s="9">
        <f ca="1">DATOSAÑO!AH286</f>
        <v>13.300000000004729</v>
      </c>
      <c r="V287" s="11">
        <f ca="1">(U287*DATOSAÑO!$Z$11)/DATOSAÑO!$Y$11</f>
        <v>0.23964820785496418</v>
      </c>
      <c r="W287" s="9">
        <f ca="1">DATOSAÑO!AI286</f>
        <v>38.900000000008731</v>
      </c>
      <c r="X287" s="11">
        <f ca="1">(W287*DATOSAÑO!$Z$11)/DATOSAÑO!$Y$11</f>
        <v>0.70092596132006646</v>
      </c>
      <c r="Y287" s="9">
        <f ca="1">DATOSAÑO!AJ286</f>
        <v>9</v>
      </c>
      <c r="Z287" s="11">
        <f ca="1">(Y287*DATOSAÑO!$Z$11)/DATOSAÑO!$Y$11</f>
        <v>0.16216796020254967</v>
      </c>
      <c r="AA287" s="9">
        <f ca="1">DATOSAÑO!AK286</f>
        <v>11</v>
      </c>
      <c r="AB287" s="11">
        <f ca="1">(AA287*DATOSAÑO!$Z$11)/DATOSAÑO!$Y$11</f>
        <v>0.19820528469200516</v>
      </c>
      <c r="AC287" s="9">
        <f ca="1">DATOSAÑO!AL286</f>
        <v>33.199999999987938</v>
      </c>
      <c r="AD287" s="11">
        <f ca="1">(AC287*DATOSAÑO!$Z$11)/DATOSAÑO!$Y$11</f>
        <v>0.59821958652474372</v>
      </c>
      <c r="AE287" s="9">
        <f ca="1">DATOSAÑO!CA286</f>
        <v>4.5279999999986931</v>
      </c>
      <c r="AF287" s="11">
        <f ca="1">(AE287*DATOSAÑO!$Z$11)/DATOSAÑO!$Y$11</f>
        <v>8.158850264410368E-2</v>
      </c>
      <c r="AG287" s="9">
        <f ca="1">DATOSAÑO!CB286</f>
        <v>2.4348000000000489</v>
      </c>
      <c r="AH287" s="11">
        <f ca="1">(AG287*DATOSAÑO!$Z$11)/DATOSAÑO!$Y$11</f>
        <v>4.3871838833463989E-2</v>
      </c>
      <c r="AI287" s="9">
        <f ca="1">DATOSAÑO!BJ286</f>
        <v>2.2999999999999998</v>
      </c>
      <c r="AJ287" s="11">
        <f ca="1">(AI287*DATOSAÑO!$Z$11)/DATOSAÑO!$Y$11</f>
        <v>4.1442923162873804E-2</v>
      </c>
      <c r="AK287" s="9">
        <f ca="1">DATOSAÑO!BM286</f>
        <v>5.0810000000000004</v>
      </c>
      <c r="AL287" s="11">
        <f ca="1">(AK287*DATOSAÑO!$Z$11)/DATOSAÑO!$Y$11</f>
        <v>9.1552822865461667E-2</v>
      </c>
      <c r="AM287" s="9">
        <f ca="1">DATOSAÑO!BP286</f>
        <v>0</v>
      </c>
      <c r="AN287" s="11">
        <f ca="1">(AM287*DATOSAÑO!$Z$11)/DATOSAÑO!$Y$11</f>
        <v>0</v>
      </c>
      <c r="AO287" s="9">
        <f ca="1">DATOSAÑO!BW286</f>
        <v>12.327999999999784</v>
      </c>
      <c r="AP287" s="11">
        <f ca="1">(AO287*DATOSAÑO!$Z$11)/DATOSAÑO!$Y$11</f>
        <v>0.22213406815299971</v>
      </c>
      <c r="AQ287" s="9">
        <f ca="1">DATOSAÑO!CC286</f>
        <v>2.4752000000000325</v>
      </c>
      <c r="AR287" s="1348">
        <f ca="1">(AQ287*DATOSAÑO!$Z$11)/DATOSAÑO!$Y$11</f>
        <v>4.4599792788150697E-2</v>
      </c>
      <c r="AS287" s="1384">
        <f t="shared" si="14"/>
        <v>40</v>
      </c>
    </row>
    <row r="288" spans="1:45">
      <c r="A288" s="1408">
        <v>45203</v>
      </c>
      <c r="B288" s="1869">
        <v>45203</v>
      </c>
      <c r="C288" s="9">
        <f ca="1">DATOSAÑO!I287</f>
        <v>0</v>
      </c>
      <c r="D288" s="10">
        <f ca="1">DATOSAÑO!$D287</f>
        <v>0</v>
      </c>
      <c r="E288" s="11">
        <f ca="1">DATOSAÑO!$G287</f>
        <v>0</v>
      </c>
      <c r="F288" s="9">
        <f ca="1">DATOSAÑO!P287</f>
        <v>428</v>
      </c>
      <c r="G288" s="10">
        <f ca="1">DATOSAÑO!K287</f>
        <v>6.8925095710230622</v>
      </c>
      <c r="H288" s="11">
        <f ca="1">DATOSAÑO!N287</f>
        <v>0</v>
      </c>
      <c r="I288" s="9">
        <f ca="1">DATOSAÑO!Q287</f>
        <v>0</v>
      </c>
      <c r="J288" s="11">
        <f ca="1">DATOSAÑO!R287</f>
        <v>0</v>
      </c>
      <c r="K288" s="9">
        <f ca="1">DATOSAÑO!T287</f>
        <v>10.004000000000019</v>
      </c>
      <c r="L288" s="11">
        <f t="shared" ca="1" si="12"/>
        <v>1200.4800000000023</v>
      </c>
      <c r="M288" s="9"/>
      <c r="N288" s="11">
        <f t="shared" si="13"/>
        <v>0</v>
      </c>
      <c r="O288" s="9">
        <f>DATOSAÑO!CK287</f>
        <v>0</v>
      </c>
      <c r="P288" s="9">
        <f>DATOSAÑO!CL287</f>
        <v>10</v>
      </c>
      <c r="Q288" s="9">
        <f ca="1">DATOSAÑO!AD287</f>
        <v>164</v>
      </c>
      <c r="R288" s="11">
        <f ca="1">(Q288*DATOSAÑO!$Z$11)/DATOSAÑO!$Y$11</f>
        <v>2.9550606081353497</v>
      </c>
      <c r="S288" s="9">
        <f ca="1">DATOSAÑO!AF287</f>
        <v>148</v>
      </c>
      <c r="T288" s="11">
        <f ca="1">(S288*DATOSAÑO!$Z$11)/DATOSAÑO!$Y$11</f>
        <v>2.666762012219706</v>
      </c>
      <c r="U288" s="9">
        <f ca="1">DATOSAÑO!AH287</f>
        <v>7.5</v>
      </c>
      <c r="V288" s="11">
        <f ca="1">(U288*DATOSAÑO!$Z$11)/DATOSAÑO!$Y$11</f>
        <v>0.13513996683545806</v>
      </c>
      <c r="W288" s="9">
        <f ca="1">DATOSAÑO!AI287</f>
        <v>39.19999999999709</v>
      </c>
      <c r="X288" s="11">
        <f ca="1">(W288*DATOSAÑO!$Z$11)/DATOSAÑO!$Y$11</f>
        <v>0.70633155999327502</v>
      </c>
      <c r="Y288" s="9">
        <f ca="1">DATOSAÑO!AJ287</f>
        <v>8.9000000000087311</v>
      </c>
      <c r="Z288" s="11">
        <f ca="1">(Y288*DATOSAÑO!$Z$11)/DATOSAÑO!$Y$11</f>
        <v>0.1603660939782342</v>
      </c>
      <c r="AA288" s="9">
        <f ca="1">DATOSAÑO!AK287</f>
        <v>9</v>
      </c>
      <c r="AB288" s="11">
        <f ca="1">(AA288*DATOSAÑO!$Z$11)/DATOSAÑO!$Y$11</f>
        <v>0.16216796020254967</v>
      </c>
      <c r="AC288" s="9">
        <f ca="1">DATOSAÑO!AL287</f>
        <v>31.999999999992724</v>
      </c>
      <c r="AD288" s="11">
        <f ca="1">(AC288*DATOSAÑO!$Z$11)/DATOSAÑO!$Y$11</f>
        <v>0.57659719183115665</v>
      </c>
      <c r="AE288" s="9">
        <f ca="1">DATOSAÑO!CA287</f>
        <v>5.5975000000012773</v>
      </c>
      <c r="AF288" s="11">
        <f ca="1">(AE288*DATOSAÑO!$Z$11)/DATOSAÑO!$Y$11</f>
        <v>0.10085946191488655</v>
      </c>
      <c r="AG288" s="9">
        <f ca="1">DATOSAÑO!CB287</f>
        <v>2.0897999999995633</v>
      </c>
      <c r="AH288" s="11">
        <f ca="1">(AG288*DATOSAÑO!$Z$11)/DATOSAÑO!$Y$11</f>
        <v>3.765540035902417E-2</v>
      </c>
      <c r="AI288" s="9">
        <f ca="1">DATOSAÑO!BJ287</f>
        <v>2.8</v>
      </c>
      <c r="AJ288" s="11">
        <f ca="1">(AI288*DATOSAÑO!$Z$11)/DATOSAÑO!$Y$11</f>
        <v>5.0452254285237676E-2</v>
      </c>
      <c r="AK288" s="9">
        <f ca="1">DATOSAÑO!BM287</f>
        <v>5.2089999999999996</v>
      </c>
      <c r="AL288" s="11">
        <f ca="1">(AK288*DATOSAÑO!$Z$11)/DATOSAÑO!$Y$11</f>
        <v>9.3859211632786807E-2</v>
      </c>
      <c r="AM288" s="9">
        <f ca="1">DATOSAÑO!BP287</f>
        <v>0</v>
      </c>
      <c r="AN288" s="11">
        <f ca="1">(AM288*DATOSAÑO!$Z$11)/DATOSAÑO!$Y$11</f>
        <v>0</v>
      </c>
      <c r="AO288" s="9">
        <f ca="1">DATOSAÑO!BW287</f>
        <v>11.497500000000914</v>
      </c>
      <c r="AP288" s="11">
        <f ca="1">(AO288*DATOSAÑO!$Z$11)/DATOSAÑO!$Y$11</f>
        <v>0.20716956915877366</v>
      </c>
      <c r="AQ288" s="9">
        <f ca="1">DATOSAÑO!CC287</f>
        <v>2.2101999999997091</v>
      </c>
      <c r="AR288" s="1348">
        <f ca="1">(AQ288*DATOSAÑO!$Z$11)/DATOSAÑO!$Y$11</f>
        <v>3.9824847293292012E-2</v>
      </c>
      <c r="AS288" s="1384">
        <f t="shared" si="14"/>
        <v>40</v>
      </c>
    </row>
    <row r="289" spans="1:45">
      <c r="A289" s="1408">
        <v>45204</v>
      </c>
      <c r="B289" s="1869">
        <v>45204</v>
      </c>
      <c r="C289" s="9">
        <f ca="1">DATOSAÑO!I288</f>
        <v>0</v>
      </c>
      <c r="D289" s="10">
        <f ca="1">DATOSAÑO!$D288</f>
        <v>0</v>
      </c>
      <c r="E289" s="11">
        <f ca="1">DATOSAÑO!$G288</f>
        <v>0</v>
      </c>
      <c r="F289" s="9">
        <f ca="1">DATOSAÑO!P288</f>
        <v>430</v>
      </c>
      <c r="G289" s="10">
        <f ca="1">DATOSAÑO!K288</f>
        <v>6.91661719964518</v>
      </c>
      <c r="H289" s="11">
        <f ca="1">DATOSAÑO!N288</f>
        <v>0</v>
      </c>
      <c r="I289" s="9">
        <f ca="1">DATOSAÑO!Q288</f>
        <v>0</v>
      </c>
      <c r="J289" s="11">
        <f ca="1">DATOSAÑO!R288</f>
        <v>0</v>
      </c>
      <c r="K289" s="9">
        <f ca="1">DATOSAÑO!T288</f>
        <v>7.2289999999999281</v>
      </c>
      <c r="L289" s="11">
        <f t="shared" ca="1" si="12"/>
        <v>867.47999999999138</v>
      </c>
      <c r="M289" s="9"/>
      <c r="N289" s="11">
        <f t="shared" si="13"/>
        <v>0</v>
      </c>
      <c r="O289" s="9">
        <f>DATOSAÑO!CK288</f>
        <v>0</v>
      </c>
      <c r="P289" s="9">
        <f>DATOSAÑO!CL288</f>
        <v>7</v>
      </c>
      <c r="Q289" s="9">
        <f ca="1">DATOSAÑO!AD288</f>
        <v>162</v>
      </c>
      <c r="R289" s="11">
        <f ca="1">(Q289*DATOSAÑO!$Z$11)/DATOSAÑO!$Y$11</f>
        <v>2.919023283645894</v>
      </c>
      <c r="S289" s="9">
        <f ca="1">DATOSAÑO!AF288</f>
        <v>147</v>
      </c>
      <c r="T289" s="11">
        <f ca="1">(S289*DATOSAÑO!$Z$11)/DATOSAÑO!$Y$11</f>
        <v>2.648743349974978</v>
      </c>
      <c r="U289" s="9">
        <f ca="1">DATOSAÑO!AH288</f>
        <v>7.6999999999989086</v>
      </c>
      <c r="V289" s="11">
        <f ca="1">(U289*DATOSAÑO!$Z$11)/DATOSAÑO!$Y$11</f>
        <v>0.13874369928438396</v>
      </c>
      <c r="W289" s="9">
        <f ca="1">DATOSAÑO!AI288</f>
        <v>39.19999999999709</v>
      </c>
      <c r="X289" s="11">
        <f ca="1">(W289*DATOSAÑO!$Z$11)/DATOSAÑO!$Y$11</f>
        <v>0.70633155999327502</v>
      </c>
      <c r="Y289" s="9">
        <f ca="1">DATOSAÑO!AJ288</f>
        <v>9.1999999999970896</v>
      </c>
      <c r="Z289" s="11">
        <f ca="1">(Y289*DATOSAÑO!$Z$11)/DATOSAÑO!$Y$11</f>
        <v>0.16577169265144279</v>
      </c>
      <c r="AA289" s="9">
        <f ca="1">DATOSAÑO!AK288</f>
        <v>9</v>
      </c>
      <c r="AB289" s="11">
        <f ca="1">(AA289*DATOSAÑO!$Z$11)/DATOSAÑO!$Y$11</f>
        <v>0.16216796020254967</v>
      </c>
      <c r="AC289" s="9">
        <f ca="1">DATOSAÑO!AL288</f>
        <v>34.400000000006969</v>
      </c>
      <c r="AD289" s="11">
        <f ca="1">(AC289*DATOSAÑO!$Z$11)/DATOSAÑO!$Y$11</f>
        <v>0.61984198121875989</v>
      </c>
      <c r="AE289" s="9">
        <f ca="1">DATOSAÑO!CA288</f>
        <v>5.7595000000004619</v>
      </c>
      <c r="AF289" s="11">
        <f ca="1">(AE289*DATOSAÑO!$Z$11)/DATOSAÑO!$Y$11</f>
        <v>0.10377848519851775</v>
      </c>
      <c r="AG289" s="9">
        <f ca="1">DATOSAÑO!CB288</f>
        <v>2.1768000000000542</v>
      </c>
      <c r="AH289" s="11">
        <f ca="1">(AG289*DATOSAÑO!$Z$11)/DATOSAÑO!$Y$11</f>
        <v>3.9223023974324332E-2</v>
      </c>
      <c r="AI289" s="9">
        <f ca="1">DATOSAÑO!BJ288</f>
        <v>2.4</v>
      </c>
      <c r="AJ289" s="11">
        <f ca="1">(AI289*DATOSAÑO!$Z$11)/DATOSAÑO!$Y$11</f>
        <v>4.3244789387346577E-2</v>
      </c>
      <c r="AK289" s="9">
        <f ca="1">DATOSAÑO!BM288</f>
        <v>5.21</v>
      </c>
      <c r="AL289" s="11">
        <f ca="1">(AK289*DATOSAÑO!$Z$11)/DATOSAÑO!$Y$11</f>
        <v>9.3877230295031547E-2</v>
      </c>
      <c r="AM289" s="9">
        <f ca="1">DATOSAÑO!BP288</f>
        <v>0</v>
      </c>
      <c r="AN289" s="11">
        <f ca="1">(AM289*DATOSAÑO!$Z$11)/DATOSAÑO!$Y$11</f>
        <v>0</v>
      </c>
      <c r="AO289" s="9">
        <f ca="1">DATOSAÑO!BW288</f>
        <v>10.45949999999937</v>
      </c>
      <c r="AP289" s="11">
        <f ca="1">(AO289*DATOSAÑO!$Z$11)/DATOSAÑO!$Y$11</f>
        <v>0.18846619774871845</v>
      </c>
      <c r="AQ289" s="9">
        <f ca="1">DATOSAÑO!CC288</f>
        <v>2.7232000000000367</v>
      </c>
      <c r="AR289" s="1348">
        <f ca="1">(AQ289*DATOSAÑO!$Z$11)/DATOSAÑO!$Y$11</f>
        <v>4.9068421024843253E-2</v>
      </c>
      <c r="AS289" s="1384">
        <f t="shared" si="14"/>
        <v>40</v>
      </c>
    </row>
    <row r="290" spans="1:45">
      <c r="A290" s="1408">
        <v>45205</v>
      </c>
      <c r="B290" s="1869">
        <v>45205</v>
      </c>
      <c r="C290" s="9">
        <f ca="1">DATOSAÑO!I289</f>
        <v>0</v>
      </c>
      <c r="D290" s="10">
        <f ca="1">DATOSAÑO!$D289</f>
        <v>0</v>
      </c>
      <c r="E290" s="11">
        <f ca="1">DATOSAÑO!$G289</f>
        <v>0</v>
      </c>
      <c r="F290" s="9">
        <f ca="1">DATOSAÑO!P289</f>
        <v>438</v>
      </c>
      <c r="G290" s="10">
        <f ca="1">DATOSAÑO!K289</f>
        <v>7.0130477141336485</v>
      </c>
      <c r="H290" s="11">
        <f ca="1">DATOSAÑO!N289</f>
        <v>0</v>
      </c>
      <c r="I290" s="9">
        <f ca="1">DATOSAÑO!Q289</f>
        <v>0</v>
      </c>
      <c r="J290" s="11">
        <f ca="1">DATOSAÑO!R289</f>
        <v>0</v>
      </c>
      <c r="K290" s="9">
        <f ca="1">DATOSAÑO!T289</f>
        <v>10.633000000000038</v>
      </c>
      <c r="L290" s="11">
        <f t="shared" ca="1" si="12"/>
        <v>1275.9600000000046</v>
      </c>
      <c r="M290" s="9"/>
      <c r="N290" s="11">
        <f t="shared" si="13"/>
        <v>0</v>
      </c>
      <c r="O290" s="9">
        <f>DATOSAÑO!CK289</f>
        <v>0</v>
      </c>
      <c r="P290" s="9">
        <f>DATOSAÑO!CL289</f>
        <v>10.63</v>
      </c>
      <c r="Q290" s="9">
        <f ca="1">DATOSAÑO!AD289</f>
        <v>166</v>
      </c>
      <c r="R290" s="11">
        <f ca="1">(Q290*DATOSAÑO!$Z$11)/DATOSAÑO!$Y$11</f>
        <v>2.9910979326248053</v>
      </c>
      <c r="S290" s="9">
        <f ca="1">DATOSAÑO!AF289</f>
        <v>150</v>
      </c>
      <c r="T290" s="11">
        <f ca="1">(S290*DATOSAÑO!$Z$11)/DATOSAÑO!$Y$11</f>
        <v>2.7027993367091616</v>
      </c>
      <c r="U290" s="9">
        <f ca="1">DATOSAÑO!AH289</f>
        <v>9.8000000000029104</v>
      </c>
      <c r="V290" s="11">
        <f ca="1">(U290*DATOSAÑO!$Z$11)/DATOSAÑO!$Y$11</f>
        <v>0.17658288999838434</v>
      </c>
      <c r="W290" s="9">
        <f ca="1">DATOSAÑO!AI289</f>
        <v>38.899999999994179</v>
      </c>
      <c r="X290" s="11">
        <f ca="1">(W290*DATOSAÑO!$Z$11)/DATOSAÑO!$Y$11</f>
        <v>0.70092596131980434</v>
      </c>
      <c r="Y290" s="9">
        <f ca="1">DATOSAÑO!AJ289</f>
        <v>8.5</v>
      </c>
      <c r="Z290" s="11">
        <f ca="1">(Y290*DATOSAÑO!$Z$11)/DATOSAÑO!$Y$11</f>
        <v>0.15315862908018582</v>
      </c>
      <c r="AA290" s="9">
        <f ca="1">DATOSAÑO!AK289</f>
        <v>9</v>
      </c>
      <c r="AB290" s="11">
        <f ca="1">(AA290*DATOSAÑO!$Z$11)/DATOSAÑO!$Y$11</f>
        <v>0.16216796020254967</v>
      </c>
      <c r="AC290" s="9">
        <f ca="1">DATOSAÑO!AL289</f>
        <v>35.400000000005093</v>
      </c>
      <c r="AD290" s="11">
        <f ca="1">(AC290*DATOSAÑO!$Z$11)/DATOSAÑO!$Y$11</f>
        <v>0.63786064346345384</v>
      </c>
      <c r="AE290" s="9">
        <f ca="1">DATOSAÑO!CA289</f>
        <v>6.6959999999982429</v>
      </c>
      <c r="AF290" s="11">
        <f ca="1">(AE290*DATOSAÑO!$Z$11)/DATOSAÑO!$Y$11</f>
        <v>0.12065296239066531</v>
      </c>
      <c r="AG290" s="9">
        <f ca="1">DATOSAÑO!CB289</f>
        <v>1.9194000000001636</v>
      </c>
      <c r="AH290" s="11">
        <f ca="1">(AG290*DATOSAÑO!$Z$11)/DATOSAÑO!$Y$11</f>
        <v>3.4585020312533375E-2</v>
      </c>
      <c r="AI290" s="9">
        <f ca="1">DATOSAÑO!BJ289</f>
        <v>2.4</v>
      </c>
      <c r="AJ290" s="11">
        <f ca="1">(AI290*DATOSAÑO!$Z$11)/DATOSAÑO!$Y$11</f>
        <v>4.3244789387346577E-2</v>
      </c>
      <c r="AK290" s="9">
        <f ca="1">DATOSAÑO!BM289</f>
        <v>5.2409999999999997</v>
      </c>
      <c r="AL290" s="11">
        <f ca="1">(AK290*DATOSAÑO!$Z$11)/DATOSAÑO!$Y$11</f>
        <v>9.4435808824618092E-2</v>
      </c>
      <c r="AM290" s="9">
        <f ca="1">DATOSAÑO!BP289</f>
        <v>0</v>
      </c>
      <c r="AN290" s="11">
        <f ca="1">(AM290*DATOSAÑO!$Z$11)/DATOSAÑO!$Y$11</f>
        <v>0</v>
      </c>
      <c r="AO290" s="9">
        <f ca="1">DATOSAÑO!BW289</f>
        <v>11.995999999999334</v>
      </c>
      <c r="AP290" s="11">
        <f ca="1">(AO290*DATOSAÑO!$Z$11)/DATOSAÑO!$Y$11</f>
        <v>0.21615187228774199</v>
      </c>
      <c r="AQ290" s="9">
        <f ca="1">DATOSAÑO!CC289</f>
        <v>2.780600000000109</v>
      </c>
      <c r="AR290" s="1348">
        <f ca="1">(AQ290*DATOSAÑO!$Z$11)/DATOSAÑO!$Y$11</f>
        <v>5.0102692237691926E-2</v>
      </c>
      <c r="AS290" s="1384">
        <f t="shared" si="14"/>
        <v>40</v>
      </c>
    </row>
    <row r="291" spans="1:45">
      <c r="A291" s="1408">
        <v>45206</v>
      </c>
      <c r="B291" s="1869">
        <v>45206</v>
      </c>
      <c r="C291" s="9">
        <f ca="1">DATOSAÑO!I290</f>
        <v>0</v>
      </c>
      <c r="D291" s="10">
        <f ca="1">DATOSAÑO!$D290</f>
        <v>0</v>
      </c>
      <c r="E291" s="11">
        <f ca="1">DATOSAÑO!$G290</f>
        <v>0</v>
      </c>
      <c r="F291" s="9">
        <f ca="1">DATOSAÑO!P290</f>
        <v>420</v>
      </c>
      <c r="G291" s="10">
        <f ca="1">DATOSAÑO!K290</f>
        <v>6.7960790565345945</v>
      </c>
      <c r="H291" s="11">
        <f ca="1">DATOSAÑO!N290</f>
        <v>0</v>
      </c>
      <c r="I291" s="9">
        <f ca="1">DATOSAÑO!Q290</f>
        <v>0</v>
      </c>
      <c r="J291" s="11">
        <f ca="1">DATOSAÑO!R290</f>
        <v>0</v>
      </c>
      <c r="K291" s="9">
        <f ca="1">DATOSAÑO!T290</f>
        <v>7.6079999999999472</v>
      </c>
      <c r="L291" s="11">
        <f t="shared" ca="1" si="12"/>
        <v>912.95999999999367</v>
      </c>
      <c r="M291" s="9"/>
      <c r="N291" s="11">
        <f t="shared" si="13"/>
        <v>0</v>
      </c>
      <c r="O291" s="9">
        <f>DATOSAÑO!CK290</f>
        <v>0</v>
      </c>
      <c r="P291" s="9">
        <f>DATOSAÑO!CL290</f>
        <v>7.6</v>
      </c>
      <c r="Q291" s="9">
        <f ca="1">DATOSAÑO!AD290</f>
        <v>162</v>
      </c>
      <c r="R291" s="11">
        <f ca="1">(Q291*DATOSAÑO!$Z$11)/DATOSAÑO!$Y$11</f>
        <v>2.919023283645894</v>
      </c>
      <c r="S291" s="9">
        <f ca="1">DATOSAÑO!AF290</f>
        <v>145</v>
      </c>
      <c r="T291" s="11">
        <f ca="1">(S291*DATOSAÑO!$Z$11)/DATOSAÑO!$Y$11</f>
        <v>2.6127060254855223</v>
      </c>
      <c r="U291" s="9">
        <f ca="1">DATOSAÑO!AH290</f>
        <v>10.600000000000364</v>
      </c>
      <c r="V291" s="11">
        <f ca="1">(U291*DATOSAÑO!$Z$11)/DATOSAÑO!$Y$11</f>
        <v>0.19099781979412062</v>
      </c>
      <c r="W291" s="9">
        <f ca="1">DATOSAÑO!AI290</f>
        <v>36.30000000000291</v>
      </c>
      <c r="X291" s="11">
        <f ca="1">(W291*DATOSAÑO!$Z$11)/DATOSAÑO!$Y$11</f>
        <v>0.65407743948366959</v>
      </c>
      <c r="Y291" s="9">
        <f ca="1">DATOSAÑO!AJ290</f>
        <v>5</v>
      </c>
      <c r="Z291" s="11">
        <f ca="1">(Y291*DATOSAÑO!$Z$11)/DATOSAÑO!$Y$11</f>
        <v>9.0093311223638714E-2</v>
      </c>
      <c r="AA291" s="9">
        <f ca="1">DATOSAÑO!AK290</f>
        <v>9</v>
      </c>
      <c r="AB291" s="11">
        <f ca="1">(AA291*DATOSAÑO!$Z$11)/DATOSAÑO!$Y$11</f>
        <v>0.16216796020254967</v>
      </c>
      <c r="AC291" s="9">
        <f ca="1">DATOSAÑO!AL290</f>
        <v>31.499999999994543</v>
      </c>
      <c r="AD291" s="11">
        <f ca="1">(AC291*DATOSAÑO!$Z$11)/DATOSAÑO!$Y$11</f>
        <v>0.56758786070882561</v>
      </c>
      <c r="AE291" s="9">
        <f ca="1">DATOSAÑO!CA290</f>
        <v>5.2305000000011983</v>
      </c>
      <c r="AF291" s="11">
        <f ca="1">(AE291*DATOSAÑO!$Z$11)/DATOSAÑO!$Y$11</f>
        <v>9.4246612871070043E-2</v>
      </c>
      <c r="AG291" s="9">
        <f ca="1">DATOSAÑO!CB290</f>
        <v>1.7976000000000545</v>
      </c>
      <c r="AH291" s="11">
        <f ca="1">(AG291*DATOSAÑO!$Z$11)/DATOSAÑO!$Y$11</f>
        <v>3.2390347251123573E-2</v>
      </c>
      <c r="AI291" s="9">
        <f ca="1">DATOSAÑO!BJ290</f>
        <v>2.4</v>
      </c>
      <c r="AJ291" s="11">
        <f ca="1">(AI291*DATOSAÑO!$Z$11)/DATOSAÑO!$Y$11</f>
        <v>4.3244789387346577E-2</v>
      </c>
      <c r="AK291" s="9">
        <f ca="1">DATOSAÑO!BM290</f>
        <v>5.0469999999999997</v>
      </c>
      <c r="AL291" s="11">
        <f ca="1">(AK291*DATOSAÑO!$Z$11)/DATOSAÑO!$Y$11</f>
        <v>9.0940188349140902E-2</v>
      </c>
      <c r="AM291" s="9">
        <f ca="1">DATOSAÑO!BP290</f>
        <v>0</v>
      </c>
      <c r="AN291" s="11">
        <f ca="1">(AM291*DATOSAÑO!$Z$11)/DATOSAÑO!$Y$11</f>
        <v>0</v>
      </c>
      <c r="AO291" s="9">
        <f ca="1">DATOSAÑO!BW290</f>
        <v>11.130500000000835</v>
      </c>
      <c r="AP291" s="11">
        <f ca="1">(AO291*DATOSAÑO!$Z$11)/DATOSAÑO!$Y$11</f>
        <v>0.20055672011495718</v>
      </c>
      <c r="AQ291" s="9">
        <f ca="1">DATOSAÑO!CC290</f>
        <v>2.6024000000000367</v>
      </c>
      <c r="AR291" s="1348">
        <f ca="1">(AQ291*DATOSAÑO!$Z$11)/DATOSAÑO!$Y$11</f>
        <v>4.6891766625680141E-2</v>
      </c>
      <c r="AS291" s="1384">
        <f t="shared" si="14"/>
        <v>40</v>
      </c>
    </row>
    <row r="292" spans="1:45">
      <c r="A292" s="1408">
        <v>45207</v>
      </c>
      <c r="B292" s="1869">
        <v>45207</v>
      </c>
      <c r="C292" s="9">
        <f ca="1">DATOSAÑO!I291</f>
        <v>0</v>
      </c>
      <c r="D292" s="10">
        <f ca="1">DATOSAÑO!$D291</f>
        <v>0</v>
      </c>
      <c r="E292" s="11">
        <f ca="1">DATOSAÑO!$G291</f>
        <v>0</v>
      </c>
      <c r="F292" s="9">
        <f ca="1">DATOSAÑO!P291</f>
        <v>427</v>
      </c>
      <c r="G292" s="10">
        <f ca="1">DATOSAÑO!K291</f>
        <v>6.8804557567120046</v>
      </c>
      <c r="H292" s="11">
        <f ca="1">DATOSAÑO!N291</f>
        <v>0</v>
      </c>
      <c r="I292" s="9">
        <f ca="1">DATOSAÑO!Q291</f>
        <v>0</v>
      </c>
      <c r="J292" s="11">
        <f ca="1">DATOSAÑO!R291</f>
        <v>0</v>
      </c>
      <c r="K292" s="9">
        <f ca="1">DATOSAÑO!T291</f>
        <v>6.25100000000009</v>
      </c>
      <c r="L292" s="11">
        <f t="shared" ca="1" si="12"/>
        <v>750.1200000000108</v>
      </c>
      <c r="M292" s="9"/>
      <c r="N292" s="11">
        <f t="shared" si="13"/>
        <v>0</v>
      </c>
      <c r="O292" s="9">
        <f>DATOSAÑO!CK291</f>
        <v>0</v>
      </c>
      <c r="P292" s="9">
        <f>DATOSAÑO!CL291</f>
        <v>6.3</v>
      </c>
      <c r="Q292" s="9">
        <f ca="1">DATOSAÑO!AD291</f>
        <v>165</v>
      </c>
      <c r="R292" s="11">
        <f ca="1">(Q292*DATOSAÑO!$Z$11)/DATOSAÑO!$Y$11</f>
        <v>2.9730792703800777</v>
      </c>
      <c r="S292" s="9">
        <f ca="1">DATOSAÑO!AF291</f>
        <v>150</v>
      </c>
      <c r="T292" s="11">
        <f ca="1">(S292*DATOSAÑO!$Z$11)/DATOSAÑO!$Y$11</f>
        <v>2.7027993367091616</v>
      </c>
      <c r="U292" s="9">
        <f ca="1">DATOSAÑO!AH291</f>
        <v>6</v>
      </c>
      <c r="V292" s="11">
        <f ca="1">(U292*DATOSAÑO!$Z$11)/DATOSAÑO!$Y$11</f>
        <v>0.10811197346836646</v>
      </c>
      <c r="W292" s="9">
        <f ca="1">DATOSAÑO!AI291</f>
        <v>38.80000000000291</v>
      </c>
      <c r="X292" s="11">
        <f ca="1">(W292*DATOSAÑO!$Z$11)/DATOSAÑO!$Y$11</f>
        <v>0.6991240950954889</v>
      </c>
      <c r="Y292" s="9">
        <f ca="1">DATOSAÑO!AJ291</f>
        <v>5.6999999999970896</v>
      </c>
      <c r="Z292" s="11">
        <f ca="1">(Y292*DATOSAÑO!$Z$11)/DATOSAÑO!$Y$11</f>
        <v>0.10270637479489569</v>
      </c>
      <c r="AA292" s="9">
        <f ca="1">DATOSAÑO!AK291</f>
        <v>9</v>
      </c>
      <c r="AB292" s="11">
        <f ca="1">(AA292*DATOSAÑO!$Z$11)/DATOSAÑO!$Y$11</f>
        <v>0.16216796020254967</v>
      </c>
      <c r="AC292" s="9">
        <f ca="1">DATOSAÑO!AL291</f>
        <v>28.300000000002967</v>
      </c>
      <c r="AD292" s="11">
        <f ca="1">(AC292*DATOSAÑO!$Z$11)/DATOSAÑO!$Y$11</f>
        <v>0.50992814152584853</v>
      </c>
      <c r="AE292" s="9">
        <f ca="1">DATOSAÑO!CA291</f>
        <v>6.0204999999987221</v>
      </c>
      <c r="AF292" s="11">
        <f ca="1">(AE292*DATOSAÑO!$Z$11)/DATOSAÑO!$Y$11</f>
        <v>0.10848135604436035</v>
      </c>
      <c r="AG292" s="9">
        <f ca="1">DATOSAÑO!CB291</f>
        <v>2.0652000000000541</v>
      </c>
      <c r="AH292" s="11">
        <f ca="1">(AG292*DATOSAÑO!$Z$11)/DATOSAÑO!$Y$11</f>
        <v>3.7212141267812707E-2</v>
      </c>
      <c r="AI292" s="9">
        <f ca="1">DATOSAÑO!BJ291</f>
        <v>2.4</v>
      </c>
      <c r="AJ292" s="11">
        <f ca="1">(AI292*DATOSAÑO!$Z$11)/DATOSAÑO!$Y$11</f>
        <v>4.3244789387346577E-2</v>
      </c>
      <c r="AK292" s="9">
        <f ca="1">DATOSAÑO!BM291</f>
        <v>5.21</v>
      </c>
      <c r="AL292" s="11">
        <f ca="1">(AK292*DATOSAÑO!$Z$11)/DATOSAÑO!$Y$11</f>
        <v>9.3877230295031547E-2</v>
      </c>
      <c r="AM292" s="9">
        <f ca="1">DATOSAÑO!BP291</f>
        <v>0</v>
      </c>
      <c r="AN292" s="11">
        <f ca="1">(AM292*DATOSAÑO!$Z$11)/DATOSAÑO!$Y$11</f>
        <v>0</v>
      </c>
      <c r="AO292" s="9">
        <f ca="1">DATOSAÑO!BW291</f>
        <v>11.920499999998359</v>
      </c>
      <c r="AP292" s="11">
        <f ca="1">(AO292*DATOSAÑO!$Z$11)/DATOSAÑO!$Y$11</f>
        <v>0.2147914632882475</v>
      </c>
      <c r="AQ292" s="9">
        <f ca="1">DATOSAÑO!CC291</f>
        <v>2.8348000000000364</v>
      </c>
      <c r="AR292" s="1348">
        <f ca="1">(AQ292*DATOSAÑO!$Z$11)/DATOSAÑO!$Y$11</f>
        <v>5.1079303731354858E-2</v>
      </c>
      <c r="AS292" s="1384">
        <f t="shared" si="14"/>
        <v>41</v>
      </c>
    </row>
    <row r="293" spans="1:45">
      <c r="A293" s="1408">
        <v>45208</v>
      </c>
      <c r="B293" s="1869">
        <v>45208</v>
      </c>
      <c r="C293" s="9">
        <f ca="1">DATOSAÑO!I292</f>
        <v>0</v>
      </c>
      <c r="D293" s="10">
        <f ca="1">DATOSAÑO!$D292</f>
        <v>0</v>
      </c>
      <c r="E293" s="11">
        <f ca="1">DATOSAÑO!$G292</f>
        <v>0</v>
      </c>
      <c r="F293" s="9">
        <f ca="1">DATOSAÑO!P292</f>
        <v>424</v>
      </c>
      <c r="G293" s="10">
        <f ca="1">DATOSAÑO!K292</f>
        <v>6.8442943137788292</v>
      </c>
      <c r="H293" s="11">
        <f ca="1">DATOSAÑO!N292</f>
        <v>0</v>
      </c>
      <c r="I293" s="9">
        <f ca="1">DATOSAÑO!Q292</f>
        <v>0</v>
      </c>
      <c r="J293" s="11">
        <f ca="1">DATOSAÑO!R292</f>
        <v>0</v>
      </c>
      <c r="K293" s="9">
        <f ca="1">DATOSAÑO!T292</f>
        <v>12.947000000000003</v>
      </c>
      <c r="L293" s="11">
        <f t="shared" ca="1" si="12"/>
        <v>1553.6400000000003</v>
      </c>
      <c r="M293" s="9"/>
      <c r="N293" s="11">
        <f t="shared" si="13"/>
        <v>0</v>
      </c>
      <c r="O293" s="9">
        <f>DATOSAÑO!CK292</f>
        <v>0</v>
      </c>
      <c r="P293" s="9">
        <f>DATOSAÑO!CL292</f>
        <v>12.9</v>
      </c>
      <c r="Q293" s="9">
        <f ca="1">DATOSAÑO!AD292</f>
        <v>163</v>
      </c>
      <c r="R293" s="11">
        <f ca="1">(Q293*DATOSAÑO!$Z$11)/DATOSAÑO!$Y$11</f>
        <v>2.9370419458906221</v>
      </c>
      <c r="S293" s="9">
        <f ca="1">DATOSAÑO!AF292</f>
        <v>149</v>
      </c>
      <c r="T293" s="11">
        <f ca="1">(S293*DATOSAÑO!$Z$11)/DATOSAÑO!$Y$11</f>
        <v>2.6847806744644336</v>
      </c>
      <c r="U293" s="9">
        <f ca="1">DATOSAÑO!AH292</f>
        <v>8.7999999999974534</v>
      </c>
      <c r="V293" s="11">
        <f ca="1">(U293*DATOSAÑO!$Z$11)/DATOSAÑO!$Y$11</f>
        <v>0.15856422775355825</v>
      </c>
      <c r="W293" s="9">
        <f ca="1">DATOSAÑO!AI292</f>
        <v>39.30000000000291</v>
      </c>
      <c r="X293" s="11">
        <f ca="1">(W293*DATOSAÑO!$Z$11)/DATOSAÑO!$Y$11</f>
        <v>0.7081334262178528</v>
      </c>
      <c r="Y293" s="9">
        <f ca="1">DATOSAÑO!AJ292</f>
        <v>5.5</v>
      </c>
      <c r="Z293" s="11">
        <f ca="1">(Y293*DATOSAÑO!$Z$11)/DATOSAÑO!$Y$11</f>
        <v>9.9102642346002578E-2</v>
      </c>
      <c r="AA293" s="9">
        <f ca="1">DATOSAÑO!AK292</f>
        <v>9</v>
      </c>
      <c r="AB293" s="11">
        <f ca="1">(AA293*DATOSAÑO!$Z$11)/DATOSAÑO!$Y$11</f>
        <v>0.16216796020254967</v>
      </c>
      <c r="AC293" s="9">
        <f ca="1">DATOSAÑO!AL292</f>
        <v>32.499999999998238</v>
      </c>
      <c r="AD293" s="11">
        <f ca="1">(AC293*DATOSAÑO!$Z$11)/DATOSAÑO!$Y$11</f>
        <v>0.58560652295361981</v>
      </c>
      <c r="AE293" s="9">
        <f ca="1">DATOSAÑO!CA292</f>
        <v>5.7815000000003627</v>
      </c>
      <c r="AF293" s="11">
        <f ca="1">(AE293*DATOSAÑO!$Z$11)/DATOSAÑO!$Y$11</f>
        <v>0.10417489576789997</v>
      </c>
      <c r="AG293" s="9">
        <f ca="1">DATOSAÑO!CB292</f>
        <v>2.0423999999997817</v>
      </c>
      <c r="AH293" s="11">
        <f ca="1">(AG293*DATOSAÑO!$Z$11)/DATOSAÑO!$Y$11</f>
        <v>3.680131576862801E-2</v>
      </c>
      <c r="AI293" s="9">
        <f ca="1">DATOSAÑO!BJ292</f>
        <v>2.4</v>
      </c>
      <c r="AJ293" s="11">
        <f ca="1">(AI293*DATOSAÑO!$Z$11)/DATOSAÑO!$Y$11</f>
        <v>4.3244789387346577E-2</v>
      </c>
      <c r="AK293" s="9">
        <f ca="1">DATOSAÑO!BM292</f>
        <v>5.1840000000000002</v>
      </c>
      <c r="AL293" s="11">
        <f ca="1">(AK293*DATOSAÑO!$Z$11)/DATOSAÑO!$Y$11</f>
        <v>9.3408745076668617E-2</v>
      </c>
      <c r="AM293" s="9">
        <f ca="1">DATOSAÑO!BP292</f>
        <v>0</v>
      </c>
      <c r="AN293" s="11">
        <f ca="1">(AM293*DATOSAÑO!$Z$11)/DATOSAÑO!$Y$11</f>
        <v>0</v>
      </c>
      <c r="AO293" s="9">
        <f ca="1">DATOSAÑO!BW292</f>
        <v>11.581500000001455</v>
      </c>
      <c r="AP293" s="11">
        <f ca="1">(AO293*DATOSAÑO!$Z$11)/DATOSAÑO!$Y$11</f>
        <v>0.20868313678734057</v>
      </c>
      <c r="AQ293" s="9">
        <f ca="1">DATOSAÑO!CC292</f>
        <v>2.8575999999998545</v>
      </c>
      <c r="AR293" s="1348">
        <f ca="1">(AQ293*DATOSAÑO!$Z$11)/DATOSAÑO!$Y$11</f>
        <v>5.1490129230531374E-2</v>
      </c>
      <c r="AS293" s="1384">
        <f t="shared" si="14"/>
        <v>41</v>
      </c>
    </row>
    <row r="294" spans="1:45">
      <c r="A294" s="1408">
        <v>45209</v>
      </c>
      <c r="B294" s="1869">
        <v>45209</v>
      </c>
      <c r="C294" s="9">
        <f ca="1">DATOSAÑO!I293</f>
        <v>0</v>
      </c>
      <c r="D294" s="10">
        <f ca="1">DATOSAÑO!$D293</f>
        <v>0</v>
      </c>
      <c r="E294" s="11">
        <f ca="1">DATOSAÑO!$G293</f>
        <v>0</v>
      </c>
      <c r="F294" s="9">
        <f ca="1">DATOSAÑO!P293</f>
        <v>428</v>
      </c>
      <c r="G294" s="10">
        <f ca="1">DATOSAÑO!K293</f>
        <v>6.8925095710230622</v>
      </c>
      <c r="H294" s="11">
        <f ca="1">DATOSAÑO!N293</f>
        <v>0</v>
      </c>
      <c r="I294" s="9">
        <f ca="1">DATOSAÑO!Q293</f>
        <v>0</v>
      </c>
      <c r="J294" s="11">
        <f ca="1">DATOSAÑO!R293</f>
        <v>0</v>
      </c>
      <c r="K294" s="9">
        <f ca="1">DATOSAÑO!T293</f>
        <v>13.312999999999988</v>
      </c>
      <c r="L294" s="11">
        <f t="shared" ca="1" si="12"/>
        <v>1597.5599999999986</v>
      </c>
      <c r="M294" s="9"/>
      <c r="N294" s="11">
        <f t="shared" si="13"/>
        <v>0</v>
      </c>
      <c r="O294" s="9">
        <f>DATOSAÑO!CK293</f>
        <v>0</v>
      </c>
      <c r="P294" s="9">
        <f>DATOSAÑO!CL293</f>
        <v>13.3</v>
      </c>
      <c r="Q294" s="9">
        <f ca="1">DATOSAÑO!AD293</f>
        <v>164</v>
      </c>
      <c r="R294" s="11">
        <f ca="1">(Q294*DATOSAÑO!$Z$11)/DATOSAÑO!$Y$11</f>
        <v>2.9550606081353497</v>
      </c>
      <c r="S294" s="9">
        <f ca="1">DATOSAÑO!AF293</f>
        <v>150</v>
      </c>
      <c r="T294" s="11">
        <f ca="1">(S294*DATOSAÑO!$Z$11)/DATOSAÑO!$Y$11</f>
        <v>2.7027993367091616</v>
      </c>
      <c r="U294" s="9">
        <f ca="1">DATOSAÑO!AH293</f>
        <v>11.5</v>
      </c>
      <c r="V294" s="11">
        <f ca="1">(U294*DATOSAÑO!$Z$11)/DATOSAÑO!$Y$11</f>
        <v>0.20721461581436901</v>
      </c>
      <c r="W294" s="9">
        <f ca="1">DATOSAÑO!AI293</f>
        <v>38.599999999991269</v>
      </c>
      <c r="X294" s="11">
        <f ca="1">(W294*DATOSAÑO!$Z$11)/DATOSAÑO!$Y$11</f>
        <v>0.69552036264633355</v>
      </c>
      <c r="Y294" s="9">
        <f ca="1">DATOSAÑO!AJ293</f>
        <v>5.6999999999970896</v>
      </c>
      <c r="Z294" s="11">
        <f ca="1">(Y294*DATOSAÑO!$Z$11)/DATOSAÑO!$Y$11</f>
        <v>0.10270637479489569</v>
      </c>
      <c r="AA294" s="9">
        <f ca="1">DATOSAÑO!AK293</f>
        <v>10</v>
      </c>
      <c r="AB294" s="11">
        <f ca="1">(AA294*DATOSAÑO!$Z$11)/DATOSAÑO!$Y$11</f>
        <v>0.18018662244727743</v>
      </c>
      <c r="AC294" s="9">
        <f ca="1">DATOSAÑO!AL293</f>
        <v>32.300000000010186</v>
      </c>
      <c r="AD294" s="11">
        <f ca="1">(AC294*DATOSAÑO!$Z$11)/DATOSAÑO!$Y$11</f>
        <v>0.58200279050488968</v>
      </c>
      <c r="AE294" s="9">
        <f ca="1">DATOSAÑO!CA293</f>
        <v>5.4720000000012643</v>
      </c>
      <c r="AF294" s="11">
        <f ca="1">(AE294*DATOSAÑO!$Z$11)/DATOSAÑO!$Y$11</f>
        <v>9.8598119803172984E-2</v>
      </c>
      <c r="AG294" s="9">
        <f ca="1">DATOSAÑO!CB293</f>
        <v>2.1738</v>
      </c>
      <c r="AH294" s="11">
        <f ca="1">(AG294*DATOSAÑO!$Z$11)/DATOSAÑO!$Y$11</f>
        <v>3.9168967987589162E-2</v>
      </c>
      <c r="AI294" s="9">
        <f ca="1">DATOSAÑO!BJ293</f>
        <v>2.4</v>
      </c>
      <c r="AJ294" s="11">
        <f ca="1">(AI294*DATOSAÑO!$Z$11)/DATOSAÑO!$Y$11</f>
        <v>4.3244789387346577E-2</v>
      </c>
      <c r="AK294" s="9">
        <f ca="1">DATOSAÑO!BM293</f>
        <v>5.1689999999999996</v>
      </c>
      <c r="AL294" s="11">
        <f ca="1">(AK294*DATOSAÑO!$Z$11)/DATOSAÑO!$Y$11</f>
        <v>9.3138465142997701E-2</v>
      </c>
      <c r="AM294" s="9">
        <f ca="1">DATOSAÑO!BP293</f>
        <v>0</v>
      </c>
      <c r="AN294" s="11">
        <f ca="1">(AM294*DATOSAÑO!$Z$11)/DATOSAÑO!$Y$11</f>
        <v>0</v>
      </c>
      <c r="AO294" s="9">
        <f ca="1">DATOSAÑO!BW293</f>
        <v>11.172000000000173</v>
      </c>
      <c r="AP294" s="11">
        <f ca="1">(AO294*DATOSAÑO!$Z$11)/DATOSAÑO!$Y$11</f>
        <v>0.20130449459810146</v>
      </c>
      <c r="AQ294" s="9">
        <f ca="1">DATOSAÑO!CC293</f>
        <v>2.8262</v>
      </c>
      <c r="AR294" s="1348">
        <f ca="1">(AQ294*DATOSAÑO!$Z$11)/DATOSAÑO!$Y$11</f>
        <v>5.0924343236049545E-2</v>
      </c>
      <c r="AS294" s="1384">
        <f t="shared" si="14"/>
        <v>41</v>
      </c>
    </row>
    <row r="295" spans="1:45">
      <c r="A295" s="1408">
        <v>45210</v>
      </c>
      <c r="B295" s="1869">
        <v>45210</v>
      </c>
      <c r="C295" s="9">
        <f ca="1">DATOSAÑO!I294</f>
        <v>61.5</v>
      </c>
      <c r="D295" s="10">
        <f ca="1">DATOSAÑO!$D294</f>
        <v>3.1071013628622119</v>
      </c>
      <c r="E295" s="11">
        <f ca="1">DATOSAÑO!$G294</f>
        <v>734</v>
      </c>
      <c r="F295" s="9">
        <f ca="1">DATOSAÑO!P294</f>
        <v>386</v>
      </c>
      <c r="G295" s="10">
        <f ca="1">DATOSAÑO!K294</f>
        <v>6.3862493699586045</v>
      </c>
      <c r="H295" s="11">
        <f ca="1">DATOSAÑO!N294</f>
        <v>0</v>
      </c>
      <c r="I295" s="9">
        <f ca="1">DATOSAÑO!Q294</f>
        <v>0.24900000000002365</v>
      </c>
      <c r="J295" s="11">
        <f ca="1">DATOSAÑO!R294</f>
        <v>29.880000000002838</v>
      </c>
      <c r="K295" s="9">
        <f ca="1">DATOSAÑO!T294</f>
        <v>3.6139999999999191</v>
      </c>
      <c r="L295" s="11">
        <f t="shared" ca="1" si="12"/>
        <v>433.67999999999029</v>
      </c>
      <c r="M295" s="9"/>
      <c r="N295" s="11">
        <f t="shared" si="13"/>
        <v>0</v>
      </c>
      <c r="O295" s="9">
        <f>DATOSAÑO!CK294</f>
        <v>0.2</v>
      </c>
      <c r="P295" s="9">
        <f>DATOSAÑO!CL294</f>
        <v>3.6</v>
      </c>
      <c r="Q295" s="9">
        <f ca="1">DATOSAÑO!AD294</f>
        <v>166</v>
      </c>
      <c r="R295" s="11">
        <f ca="1">(Q295*DATOSAÑO!$Z$11)/DATOSAÑO!$Y$11</f>
        <v>2.9910979326248053</v>
      </c>
      <c r="S295" s="9">
        <f ca="1">DATOSAÑO!AF294</f>
        <v>150</v>
      </c>
      <c r="T295" s="11">
        <f ca="1">(S295*DATOSAÑO!$Z$11)/DATOSAÑO!$Y$11</f>
        <v>2.7027993367091616</v>
      </c>
      <c r="U295" s="9">
        <f ca="1">DATOSAÑO!AH294</f>
        <v>14.19999999999709</v>
      </c>
      <c r="V295" s="11">
        <f ca="1">(U295*DATOSAÑO!$Z$11)/DATOSAÑO!$Y$11</f>
        <v>0.25586500387508149</v>
      </c>
      <c r="W295" s="9">
        <f ca="1">DATOSAÑO!AI294</f>
        <v>39.600000000005821</v>
      </c>
      <c r="X295" s="11">
        <f ca="1">(W295*DATOSAÑO!$Z$11)/DATOSAÑO!$Y$11</f>
        <v>0.71353902489132348</v>
      </c>
      <c r="Y295" s="9">
        <f ca="1">DATOSAÑO!AJ294</f>
        <v>8.1000000000058208</v>
      </c>
      <c r="Z295" s="11">
        <f ca="1">(Y295*DATOSAÑO!$Z$11)/DATOSAÑO!$Y$11</f>
        <v>0.14595116418239959</v>
      </c>
      <c r="AA295" s="9">
        <f ca="1">DATOSAÑO!AK294</f>
        <v>10</v>
      </c>
      <c r="AB295" s="11">
        <f ca="1">(AA295*DATOSAÑO!$Z$11)/DATOSAÑO!$Y$11</f>
        <v>0.18018662244727743</v>
      </c>
      <c r="AC295" s="9">
        <f ca="1">DATOSAÑO!AL294</f>
        <v>32.648999999994203</v>
      </c>
      <c r="AD295" s="11">
        <f ca="1">(AC295*DATOSAÑO!$Z$11)/DATOSAÑO!$Y$11</f>
        <v>0.58829130362801163</v>
      </c>
      <c r="AE295" s="9">
        <f ca="1">DATOSAÑO!CA294</f>
        <v>6.79399999999832</v>
      </c>
      <c r="AF295" s="11">
        <f ca="1">(AE295*DATOSAÑO!$Z$11)/DATOSAÑO!$Y$11</f>
        <v>0.12241879129065002</v>
      </c>
      <c r="AG295" s="9">
        <f ca="1">DATOSAÑO!CB294</f>
        <v>1.524</v>
      </c>
      <c r="AH295" s="11">
        <f ca="1">(AG295*DATOSAÑO!$Z$11)/DATOSAÑO!$Y$11</f>
        <v>2.7460441260965082E-2</v>
      </c>
      <c r="AI295" s="9">
        <f ca="1">DATOSAÑO!BJ294</f>
        <v>2.4</v>
      </c>
      <c r="AJ295" s="11">
        <f ca="1">(AI295*DATOSAÑO!$Z$11)/DATOSAÑO!$Y$11</f>
        <v>4.3244789387346577E-2</v>
      </c>
      <c r="AK295" s="9">
        <f ca="1">DATOSAÑO!BM294</f>
        <v>5.226</v>
      </c>
      <c r="AL295" s="11">
        <f ca="1">(AK295*DATOSAÑO!$Z$11)/DATOSAÑO!$Y$11</f>
        <v>9.4165528890947175E-2</v>
      </c>
      <c r="AM295" s="9">
        <f ca="1">DATOSAÑO!BP294</f>
        <v>0</v>
      </c>
      <c r="AN295" s="11">
        <f ca="1">(AM295*DATOSAÑO!$Z$11)/DATOSAÑO!$Y$11</f>
        <v>0</v>
      </c>
      <c r="AO295" s="9">
        <f ca="1">DATOSAÑO!BW294</f>
        <v>12.393999999998684</v>
      </c>
      <c r="AP295" s="11">
        <f ca="1">(AO295*DATOSAÑO!$Z$11)/DATOSAÑO!$Y$11</f>
        <v>0.22332329986113195</v>
      </c>
      <c r="AQ295" s="9">
        <f ca="1">DATOSAÑO!CC294</f>
        <v>2.476</v>
      </c>
      <c r="AR295" s="1348">
        <f ca="1">(AQ295*DATOSAÑO!$Z$11)/DATOSAÑO!$Y$11</f>
        <v>4.4614207717945886E-2</v>
      </c>
      <c r="AS295" s="1384">
        <f t="shared" si="14"/>
        <v>41</v>
      </c>
    </row>
    <row r="296" spans="1:45">
      <c r="A296" s="1408">
        <v>45211</v>
      </c>
      <c r="B296" s="1869">
        <v>45211</v>
      </c>
      <c r="C296" s="9">
        <f ca="1">DATOSAÑO!I295</f>
        <v>199.69999999995343</v>
      </c>
      <c r="D296" s="10">
        <f ca="1">DATOSAÑO!$D295</f>
        <v>4.2829864013006098</v>
      </c>
      <c r="E296" s="11">
        <f ca="1">DATOSAÑO!$G295</f>
        <v>0</v>
      </c>
      <c r="F296" s="9">
        <f ca="1">DATOSAÑO!P295</f>
        <v>239.86999999999534</v>
      </c>
      <c r="G296" s="10">
        <f ca="1">DATOSAÑO!K295</f>
        <v>4.6248254846835648</v>
      </c>
      <c r="H296" s="11">
        <f ca="1">DATOSAÑO!N295</f>
        <v>0</v>
      </c>
      <c r="I296" s="9">
        <f ca="1">DATOSAÑO!Q295</f>
        <v>0</v>
      </c>
      <c r="J296" s="11">
        <f ca="1">DATOSAÑO!R295</f>
        <v>0</v>
      </c>
      <c r="K296" s="9">
        <f ca="1">DATOSAÑO!T295</f>
        <v>0</v>
      </c>
      <c r="L296" s="11">
        <f t="shared" ca="1" si="12"/>
        <v>0</v>
      </c>
      <c r="M296" s="9"/>
      <c r="N296" s="11">
        <f t="shared" si="13"/>
        <v>0</v>
      </c>
      <c r="O296" s="9">
        <f>DATOSAÑO!CK295</f>
        <v>0</v>
      </c>
      <c r="P296" s="9">
        <f>DATOSAÑO!CL295</f>
        <v>0</v>
      </c>
      <c r="Q296" s="9">
        <f ca="1">DATOSAÑO!AD295</f>
        <v>167.79999999999927</v>
      </c>
      <c r="R296" s="11">
        <f ca="1">(Q296*DATOSAÑO!$Z$11)/DATOSAÑO!$Y$11</f>
        <v>3.0235315246653021</v>
      </c>
      <c r="S296" s="9">
        <f ca="1">DATOSAÑO!AF295</f>
        <v>151.20000000001164</v>
      </c>
      <c r="T296" s="11">
        <f ca="1">(S296*DATOSAÑO!$Z$11)/DATOSAÑO!$Y$11</f>
        <v>2.7244217314030443</v>
      </c>
      <c r="U296" s="9">
        <f ca="1">DATOSAÑO!AH295</f>
        <v>3</v>
      </c>
      <c r="V296" s="11">
        <f ca="1">(U296*DATOSAÑO!$Z$11)/DATOSAÑO!$Y$11</f>
        <v>5.4055986734183228E-2</v>
      </c>
      <c r="W296" s="9">
        <f ca="1">DATOSAÑO!AI295</f>
        <v>39.169999999998254</v>
      </c>
      <c r="X296" s="11">
        <f ca="1">(W296*DATOSAÑO!$Z$11)/DATOSAÑO!$Y$11</f>
        <v>0.70579100012595419</v>
      </c>
      <c r="Y296" s="9">
        <f ca="1">DATOSAÑO!AJ295</f>
        <v>8.5500000000029104</v>
      </c>
      <c r="Z296" s="11">
        <f ca="1">(Y296*DATOSAÑO!$Z$11)/DATOSAÑO!$Y$11</f>
        <v>0.15405956219247463</v>
      </c>
      <c r="AA296" s="9">
        <f ca="1">DATOSAÑO!AK295</f>
        <v>8.4299999999930151</v>
      </c>
      <c r="AB296" s="11">
        <f ca="1">(AA296*DATOSAÑO!$Z$11)/DATOSAÑO!$Y$11</f>
        <v>0.15189732272292902</v>
      </c>
      <c r="AC296" s="9">
        <f ca="1">DATOSAÑO!AL295</f>
        <v>34.719999999932099</v>
      </c>
      <c r="AD296" s="11">
        <f ca="1">(AC296*DATOSAÑO!$Z$11)/DATOSAÑO!$Y$11</f>
        <v>0.6256079531357237</v>
      </c>
      <c r="AE296" s="9">
        <f ca="1">DATOSAÑO!CA295</f>
        <v>4.7485000000052802</v>
      </c>
      <c r="AF296" s="11">
        <f ca="1">(AE296*DATOSAÑO!$Z$11)/DATOSAÑO!$Y$11</f>
        <v>8.5561617669184825E-2</v>
      </c>
      <c r="AG296" s="9">
        <f ca="1">DATOSAÑO!CB295</f>
        <v>1.2924000000002183</v>
      </c>
      <c r="AH296" s="11">
        <f ca="1">(AG296*DATOSAÑO!$Z$11)/DATOSAÑO!$Y$11</f>
        <v>2.3287319085090068E-2</v>
      </c>
      <c r="AI296" s="9">
        <f ca="1">DATOSAÑO!BJ295</f>
        <v>2.6640000000000001</v>
      </c>
      <c r="AJ296" s="11">
        <f ca="1">(AI296*DATOSAÑO!$Z$11)/DATOSAÑO!$Y$11</f>
        <v>4.8001716219954707E-2</v>
      </c>
      <c r="AK296" s="9">
        <f ca="1">DATOSAÑO!BM295</f>
        <v>5.2389999999999999</v>
      </c>
      <c r="AL296" s="11">
        <f ca="1">(AK296*DATOSAÑO!$Z$11)/DATOSAÑO!$Y$11</f>
        <v>9.439977150012864E-2</v>
      </c>
      <c r="AM296" s="9">
        <f ca="1">DATOSAÑO!BP295</f>
        <v>0</v>
      </c>
      <c r="AN296" s="11">
        <f ca="1">(AM296*DATOSAÑO!$Z$11)/DATOSAÑO!$Y$11</f>
        <v>0</v>
      </c>
      <c r="AO296" s="9">
        <f ca="1">DATOSAÑO!BW295</f>
        <v>10.448500000006007</v>
      </c>
      <c r="AP296" s="11">
        <f ca="1">(AO296*DATOSAÑO!$Z$11)/DATOSAÑO!$Y$11</f>
        <v>0.18826799246414608</v>
      </c>
      <c r="AQ296" s="9">
        <f ca="1">DATOSAÑO!CC295</f>
        <v>2.3076000000001455</v>
      </c>
      <c r="AR296" s="1348">
        <f ca="1">(AQ296*DATOSAÑO!$Z$11)/DATOSAÑO!$Y$11</f>
        <v>4.1579864995936355E-2</v>
      </c>
      <c r="AS296" s="1384">
        <f t="shared" si="14"/>
        <v>41</v>
      </c>
    </row>
    <row r="297" spans="1:45">
      <c r="A297" s="1408">
        <v>45212</v>
      </c>
      <c r="B297" s="1869">
        <v>45212</v>
      </c>
      <c r="C297" s="9">
        <f ca="1">DATOSAÑO!I296</f>
        <v>140.90000000002328</v>
      </c>
      <c r="D297" s="10">
        <f ca="1">DATOSAÑO!$D296</f>
        <v>3.7826822026022091</v>
      </c>
      <c r="E297" s="11">
        <f ca="1">DATOSAÑO!$G296</f>
        <v>0</v>
      </c>
      <c r="F297" s="9">
        <f ca="1">DATOSAÑO!P296</f>
        <v>294.99000000000524</v>
      </c>
      <c r="G297" s="10">
        <f ca="1">DATOSAÑO!K296</f>
        <v>5.2892317295092308</v>
      </c>
      <c r="H297" s="11">
        <f ca="1">DATOSAÑO!N296</f>
        <v>0</v>
      </c>
      <c r="I297" s="9">
        <f ca="1">DATOSAÑO!Q296</f>
        <v>0.16499999999996362</v>
      </c>
      <c r="J297" s="11">
        <f ca="1">DATOSAÑO!R296</f>
        <v>19.799999999995634</v>
      </c>
      <c r="K297" s="9">
        <f ca="1">DATOSAÑO!T296</f>
        <v>0</v>
      </c>
      <c r="L297" s="11">
        <f t="shared" ca="1" si="12"/>
        <v>0</v>
      </c>
      <c r="M297" s="9"/>
      <c r="N297" s="11">
        <f t="shared" si="13"/>
        <v>0</v>
      </c>
      <c r="O297" s="9">
        <f>DATOSAÑO!CK296</f>
        <v>0.2</v>
      </c>
      <c r="P297" s="9">
        <f>DATOSAÑO!CL296</f>
        <v>0</v>
      </c>
      <c r="Q297" s="9">
        <f ca="1">DATOSAÑO!AD296</f>
        <v>162.7400000000016</v>
      </c>
      <c r="R297" s="11">
        <f ca="1">(Q297*DATOSAÑO!$Z$11)/DATOSAÑO!$Y$11</f>
        <v>2.9323570937070218</v>
      </c>
      <c r="S297" s="9">
        <f ca="1">DATOSAÑO!AF296</f>
        <v>148</v>
      </c>
      <c r="T297" s="11">
        <f ca="1">(S297*DATOSAÑO!$Z$11)/DATOSAÑO!$Y$11</f>
        <v>2.666762012219706</v>
      </c>
      <c r="U297" s="9">
        <f ca="1">DATOSAÑO!AH296</f>
        <v>9.4000000000014552</v>
      </c>
      <c r="V297" s="11">
        <f ca="1">(U297*DATOSAÑO!$Z$11)/DATOSAÑO!$Y$11</f>
        <v>0.16937542510046699</v>
      </c>
      <c r="W297" s="9">
        <f ca="1">DATOSAÑO!AI296</f>
        <v>38.130000000004657</v>
      </c>
      <c r="X297" s="11">
        <f ca="1">(W297*DATOSAÑO!$Z$11)/DATOSAÑO!$Y$11</f>
        <v>0.68705159139155281</v>
      </c>
      <c r="Y297" s="9">
        <f ca="1">DATOSAÑO!AJ296</f>
        <v>8.3799999999901047</v>
      </c>
      <c r="Z297" s="11">
        <f ca="1">(Y297*DATOSAÑO!$Z$11)/DATOSAÑO!$Y$11</f>
        <v>0.15099638961064019</v>
      </c>
      <c r="AA297" s="9">
        <f ca="1">DATOSAÑO!AK296</f>
        <v>8.7300000000104774</v>
      </c>
      <c r="AB297" s="11">
        <f ca="1">(AA297*DATOSAÑO!$Z$11)/DATOSAÑO!$Y$11</f>
        <v>0.15730292139666197</v>
      </c>
      <c r="AC297" s="9">
        <f ca="1">DATOSAÑO!AL296</f>
        <v>34.575000000018008</v>
      </c>
      <c r="AD297" s="11">
        <f ca="1">(AC297*DATOSAÑO!$Z$11)/DATOSAÑO!$Y$11</f>
        <v>0.62299524711178611</v>
      </c>
      <c r="AE297" s="9">
        <f ca="1">DATOSAÑO!CA296</f>
        <v>4.082000000001516</v>
      </c>
      <c r="AF297" s="11">
        <f ca="1">(AE297*DATOSAÑO!$Z$11)/DATOSAÑO!$Y$11</f>
        <v>7.3552179283005961E-2</v>
      </c>
      <c r="AG297" s="9">
        <f ca="1">DATOSAÑO!CB296</f>
        <v>1.8209999999999344</v>
      </c>
      <c r="AH297" s="11">
        <f ca="1">(AG297*DATOSAÑO!$Z$11)/DATOSAÑO!$Y$11</f>
        <v>3.2811983947648032E-2</v>
      </c>
      <c r="AI297" s="9">
        <f ca="1">DATOSAÑO!BJ296</f>
        <v>2.64</v>
      </c>
      <c r="AJ297" s="11">
        <f ca="1">(AI297*DATOSAÑO!$Z$11)/DATOSAÑO!$Y$11</f>
        <v>4.7569268326081236E-2</v>
      </c>
      <c r="AK297" s="9">
        <f ca="1">DATOSAÑO!BM296</f>
        <v>5.1260000000000003</v>
      </c>
      <c r="AL297" s="11">
        <f ca="1">(AK297*DATOSAÑO!$Z$11)/DATOSAÑO!$Y$11</f>
        <v>9.2363662666474416E-2</v>
      </c>
      <c r="AM297" s="9">
        <f ca="1">DATOSAÑO!BP296</f>
        <v>0</v>
      </c>
      <c r="AN297" s="11">
        <f ca="1">(AM297*DATOSAÑO!$Z$11)/DATOSAÑO!$Y$11</f>
        <v>0</v>
      </c>
      <c r="AO297" s="9">
        <f ca="1">DATOSAÑO!BW296</f>
        <v>9.8820000000007884</v>
      </c>
      <c r="AP297" s="11">
        <f ca="1">(AO297*DATOSAÑO!$Z$11)/DATOSAÑO!$Y$11</f>
        <v>0.17806042030241373</v>
      </c>
      <c r="AQ297" s="9">
        <f ca="1">DATOSAÑO!CC296</f>
        <v>2.5489999999999564</v>
      </c>
      <c r="AR297" s="1348">
        <f ca="1">(AQ297*DATOSAÑO!$Z$11)/DATOSAÑO!$Y$11</f>
        <v>4.5929570061810227E-2</v>
      </c>
      <c r="AS297" s="1384">
        <f t="shared" si="14"/>
        <v>41</v>
      </c>
    </row>
    <row r="298" spans="1:45">
      <c r="A298" s="1408">
        <v>45213</v>
      </c>
      <c r="B298" s="1869">
        <v>45213</v>
      </c>
      <c r="C298" s="9">
        <f ca="1">DATOSAÑO!I297</f>
        <v>148.40000000002328</v>
      </c>
      <c r="D298" s="10">
        <f ca="1">DATOSAÑO!$D297</f>
        <v>3.8464965136607545</v>
      </c>
      <c r="E298" s="11">
        <f ca="1">DATOSAÑO!$G297</f>
        <v>0</v>
      </c>
      <c r="F298" s="9">
        <f ca="1">DATOSAÑO!P297</f>
        <v>302.24000000000524</v>
      </c>
      <c r="G298" s="10">
        <f ca="1">DATOSAÑO!K297</f>
        <v>5.3766218832644048</v>
      </c>
      <c r="H298" s="11">
        <f ca="1">DATOSAÑO!N297</f>
        <v>0</v>
      </c>
      <c r="I298" s="9">
        <f ca="1">DATOSAÑO!Q297</f>
        <v>0</v>
      </c>
      <c r="J298" s="11">
        <f ca="1">DATOSAÑO!R297</f>
        <v>0</v>
      </c>
      <c r="K298" s="9">
        <f ca="1">DATOSAÑO!T297</f>
        <v>0</v>
      </c>
      <c r="L298" s="11">
        <f t="shared" ca="1" si="12"/>
        <v>0</v>
      </c>
      <c r="M298" s="9"/>
      <c r="N298" s="11">
        <f t="shared" si="13"/>
        <v>0</v>
      </c>
      <c r="O298" s="9">
        <f>DATOSAÑO!CK297</f>
        <v>0</v>
      </c>
      <c r="P298" s="9">
        <f>DATOSAÑO!CL297</f>
        <v>0</v>
      </c>
      <c r="Q298" s="9">
        <f ca="1">DATOSAÑO!AD297</f>
        <v>170.05999999999767</v>
      </c>
      <c r="R298" s="11">
        <f ca="1">(Q298*DATOSAÑO!$Z$11)/DATOSAÑO!$Y$11</f>
        <v>3.0642537013383579</v>
      </c>
      <c r="S298" s="9">
        <f ca="1">DATOSAÑO!AF297</f>
        <v>147.09999999997672</v>
      </c>
      <c r="T298" s="11">
        <f ca="1">(S298*DATOSAÑO!$Z$11)/DATOSAÑO!$Y$11</f>
        <v>2.6505452161990313</v>
      </c>
      <c r="U298" s="9">
        <f ca="1">DATOSAÑO!AH297</f>
        <v>12.199999999998909</v>
      </c>
      <c r="V298" s="11">
        <f ca="1">(U298*DATOSAÑO!$Z$11)/DATOSAÑO!$Y$11</f>
        <v>0.21982767938565878</v>
      </c>
      <c r="W298" s="9">
        <f ca="1">DATOSAÑO!AI297</f>
        <v>36.599999999991269</v>
      </c>
      <c r="X298" s="11">
        <f ca="1">(W298*DATOSAÑO!$Z$11)/DATOSAÑO!$Y$11</f>
        <v>0.65948303815687803</v>
      </c>
      <c r="Y298" s="9">
        <f ca="1">DATOSAÑO!AJ297</f>
        <v>8.7700000000040745</v>
      </c>
      <c r="Z298" s="11">
        <f ca="1">(Y298*DATOSAÑO!$Z$11)/DATOSAÑO!$Y$11</f>
        <v>0.15802366788633571</v>
      </c>
      <c r="AA298" s="9">
        <f ca="1">DATOSAÑO!AK297</f>
        <v>9.2399999999906868</v>
      </c>
      <c r="AB298" s="11">
        <f ca="1">(AA298*DATOSAÑO!$Z$11)/DATOSAÑO!$Y$11</f>
        <v>0.16649243914111655</v>
      </c>
      <c r="AC298" s="9">
        <f ca="1">DATOSAÑO!AL297</f>
        <v>33.970000000093989</v>
      </c>
      <c r="AD298" s="11">
        <f ca="1">(AC298*DATOSAÑO!$Z$11)/DATOSAÑO!$Y$11</f>
        <v>0.61209395645509501</v>
      </c>
      <c r="AE298" s="9">
        <f ca="1">DATOSAÑO!CA297</f>
        <v>7.8724999999878493</v>
      </c>
      <c r="AF298" s="11">
        <f ca="1">(AE298*DATOSAÑO!$Z$11)/DATOSAÑO!$Y$11</f>
        <v>0.14185191852140022</v>
      </c>
      <c r="AG298" s="9">
        <f ca="1">DATOSAÑO!CB297</f>
        <v>1.7873999999997381</v>
      </c>
      <c r="AH298" s="11">
        <f ca="1">(AG298*DATOSAÑO!$Z$11)/DATOSAÑO!$Y$11</f>
        <v>3.220655689622165E-2</v>
      </c>
      <c r="AI298" s="9">
        <f ca="1">DATOSAÑO!BJ297</f>
        <v>2.6909999999999998</v>
      </c>
      <c r="AJ298" s="11">
        <f ca="1">(AI298*DATOSAÑO!$Z$11)/DATOSAÑO!$Y$11</f>
        <v>4.8488220100562349E-2</v>
      </c>
      <c r="AK298" s="9">
        <f ca="1">DATOSAÑO!BM297</f>
        <v>5.0339999999999998</v>
      </c>
      <c r="AL298" s="11">
        <f ca="1">(AK298*DATOSAÑO!$Z$11)/DATOSAÑO!$Y$11</f>
        <v>9.0705945739959451E-2</v>
      </c>
      <c r="AM298" s="9">
        <f ca="1">DATOSAÑO!BP297</f>
        <v>0</v>
      </c>
      <c r="AN298" s="11">
        <f ca="1">(AM298*DATOSAÑO!$Z$11)/DATOSAÑO!$Y$11</f>
        <v>0</v>
      </c>
      <c r="AO298" s="9">
        <f ca="1">DATOSAÑO!BW297</f>
        <v>12.872499999987848</v>
      </c>
      <c r="AP298" s="11">
        <f ca="1">(AO298*DATOSAÑO!$Z$11)/DATOSAÑO!$Y$11</f>
        <v>0.23194522974503889</v>
      </c>
      <c r="AQ298" s="9">
        <f ca="1">DATOSAÑO!CC297</f>
        <v>2.4425999999998256</v>
      </c>
      <c r="AR298" s="1348">
        <f ca="1">(AQ298*DATOSAÑO!$Z$11)/DATOSAÑO!$Y$11</f>
        <v>4.4012384398968839E-2</v>
      </c>
      <c r="AS298" s="1384">
        <f t="shared" si="14"/>
        <v>41</v>
      </c>
    </row>
    <row r="299" spans="1:45">
      <c r="A299" s="1408">
        <v>45214</v>
      </c>
      <c r="B299" s="1869">
        <v>45214</v>
      </c>
      <c r="C299" s="9">
        <f ca="1">DATOSAÑO!I298</f>
        <v>148</v>
      </c>
      <c r="D299" s="10">
        <f ca="1">DATOSAÑO!$D298</f>
        <v>3.8430930837374344</v>
      </c>
      <c r="E299" s="11">
        <f ca="1">DATOSAÑO!$G298</f>
        <v>0</v>
      </c>
      <c r="F299" s="9">
        <f ca="1">DATOSAÑO!P298</f>
        <v>289.89999999999418</v>
      </c>
      <c r="G299" s="10">
        <f ca="1">DATOSAÑO!K298</f>
        <v>5.2278778146658089</v>
      </c>
      <c r="H299" s="11">
        <f ca="1">DATOSAÑO!N298</f>
        <v>0</v>
      </c>
      <c r="I299" s="9">
        <f ca="1">DATOSAÑO!Q298</f>
        <v>5.7999999999992724E-2</v>
      </c>
      <c r="J299" s="11">
        <f ca="1">DATOSAÑO!R298</f>
        <v>6.9599999999991269</v>
      </c>
      <c r="K299" s="9">
        <f ca="1">DATOSAÑO!T298</f>
        <v>0</v>
      </c>
      <c r="L299" s="11">
        <f t="shared" ca="1" si="12"/>
        <v>0</v>
      </c>
      <c r="M299" s="9"/>
      <c r="N299" s="11">
        <f t="shared" si="13"/>
        <v>0</v>
      </c>
      <c r="O299" s="9">
        <f>DATOSAÑO!CK298</f>
        <v>0.1</v>
      </c>
      <c r="P299" s="9">
        <f>DATOSAÑO!CL298</f>
        <v>0</v>
      </c>
      <c r="Q299" s="9">
        <f ca="1">DATOSAÑO!AD298</f>
        <v>163.40000000000146</v>
      </c>
      <c r="R299" s="11">
        <f ca="1">(Q299*DATOSAÑO!$Z$11)/DATOSAÑO!$Y$11</f>
        <v>2.9442494107885393</v>
      </c>
      <c r="S299" s="9">
        <f ca="1">DATOSAÑO!AF298</f>
        <v>150.70000000001164</v>
      </c>
      <c r="T299" s="11">
        <f ca="1">(S299*DATOSAÑO!$Z$11)/DATOSAÑO!$Y$11</f>
        <v>2.7154124002806808</v>
      </c>
      <c r="U299" s="9">
        <f ca="1">DATOSAÑO!AH298</f>
        <v>11.599999999998545</v>
      </c>
      <c r="V299" s="11">
        <f ca="1">(U299*DATOSAÑO!$Z$11)/DATOSAÑO!$Y$11</f>
        <v>0.20901648203881559</v>
      </c>
      <c r="W299" s="9">
        <f ca="1">DATOSAÑO!AI298</f>
        <v>36.5</v>
      </c>
      <c r="X299" s="11">
        <f ca="1">(W299*DATOSAÑO!$Z$11)/DATOSAÑO!$Y$11</f>
        <v>0.65768117193256259</v>
      </c>
      <c r="Y299" s="9">
        <f ca="1">DATOSAÑO!AJ298</f>
        <v>7.1000000000058208</v>
      </c>
      <c r="Z299" s="11">
        <f ca="1">(Y299*DATOSAÑO!$Z$11)/DATOSAÑO!$Y$11</f>
        <v>0.12793250193767186</v>
      </c>
      <c r="AA299" s="9">
        <f ca="1">DATOSAÑO!AK298</f>
        <v>9.6000000000058208</v>
      </c>
      <c r="AB299" s="11">
        <f ca="1">(AA299*DATOSAÑO!$Z$11)/DATOSAÑO!$Y$11</f>
        <v>0.17297915754949122</v>
      </c>
      <c r="AC299" s="9">
        <f ca="1">DATOSAÑO!AL298</f>
        <v>29.857999999959247</v>
      </c>
      <c r="AD299" s="11">
        <f ca="1">(AC299*DATOSAÑO!$Z$11)/DATOSAÑO!$Y$11</f>
        <v>0.53800121730234662</v>
      </c>
      <c r="AE299" s="9">
        <f ca="1">DATOSAÑO!CA298</f>
        <v>5.2415000000060932</v>
      </c>
      <c r="AF299" s="11">
        <f ca="1">(AE299*DATOSAÑO!$Z$11)/DATOSAÑO!$Y$11</f>
        <v>9.4444818155850263E-2</v>
      </c>
      <c r="AG299" s="9">
        <f ca="1">DATOSAÑO!CB298</f>
        <v>1.9020000000001092</v>
      </c>
      <c r="AH299" s="11">
        <f ca="1">(AG299*DATOSAÑO!$Z$11)/DATOSAÑO!$Y$11</f>
        <v>3.4271495589474135E-2</v>
      </c>
      <c r="AI299" s="9">
        <f ca="1">DATOSAÑO!BJ298</f>
        <v>2.4049999999999998</v>
      </c>
      <c r="AJ299" s="11">
        <f ca="1">(AI299*DATOSAÑO!$Z$11)/DATOSAÑO!$Y$11</f>
        <v>4.3334882698570214E-2</v>
      </c>
      <c r="AK299" s="9">
        <f ca="1">DATOSAÑO!BM298</f>
        <v>5.2119999999999997</v>
      </c>
      <c r="AL299" s="11">
        <f ca="1">(AK299*DATOSAÑO!$Z$11)/DATOSAÑO!$Y$11</f>
        <v>9.3913267619520985E-2</v>
      </c>
      <c r="AM299" s="9">
        <f ca="1">DATOSAÑO!BP298</f>
        <v>0</v>
      </c>
      <c r="AN299" s="11">
        <f ca="1">(AM299*DATOSAÑO!$Z$11)/DATOSAÑO!$Y$11</f>
        <v>0</v>
      </c>
      <c r="AO299" s="9">
        <f ca="1">DATOSAÑO!BW298</f>
        <v>12.041500000005366</v>
      </c>
      <c r="AP299" s="11">
        <f ca="1">(AO299*DATOSAÑO!$Z$11)/DATOSAÑO!$Y$11</f>
        <v>0.21697172141998577</v>
      </c>
      <c r="AQ299" s="9">
        <f ca="1">DATOSAÑO!CC298</f>
        <v>2.3980000000000725</v>
      </c>
      <c r="AR299" s="1348">
        <f ca="1">(AQ299*DATOSAÑO!$Z$11)/DATOSAÑO!$Y$11</f>
        <v>4.320875206285843E-2</v>
      </c>
      <c r="AS299" s="1384">
        <f t="shared" si="14"/>
        <v>42</v>
      </c>
    </row>
    <row r="300" spans="1:45">
      <c r="A300" s="1408">
        <v>45215</v>
      </c>
      <c r="B300" s="1869">
        <v>45215</v>
      </c>
      <c r="C300" s="9">
        <f ca="1">DATOSAÑO!I299</f>
        <v>148</v>
      </c>
      <c r="D300" s="10">
        <f ca="1">DATOSAÑO!$D299</f>
        <v>3.8430930837374344</v>
      </c>
      <c r="E300" s="11">
        <f ca="1">DATOSAÑO!$G299</f>
        <v>0</v>
      </c>
      <c r="F300" s="9">
        <f ca="1">DATOSAÑO!P299</f>
        <v>285</v>
      </c>
      <c r="G300" s="10">
        <f ca="1">DATOSAÑO!K299</f>
        <v>5.1688141245416928</v>
      </c>
      <c r="H300" s="11">
        <f ca="1">DATOSAÑO!N299</f>
        <v>0</v>
      </c>
      <c r="I300" s="9">
        <f ca="1">DATOSAÑO!Q299</f>
        <v>0</v>
      </c>
      <c r="J300" s="11">
        <f ca="1">DATOSAÑO!R299</f>
        <v>0</v>
      </c>
      <c r="K300" s="9">
        <f ca="1">DATOSAÑO!T299</f>
        <v>0.56800000000009732</v>
      </c>
      <c r="L300" s="11">
        <f t="shared" ca="1" si="12"/>
        <v>68.160000000011678</v>
      </c>
      <c r="M300" s="9"/>
      <c r="N300" s="11">
        <f t="shared" si="13"/>
        <v>0</v>
      </c>
      <c r="O300" s="9">
        <f>DATOSAÑO!CK299</f>
        <v>0</v>
      </c>
      <c r="P300" s="9">
        <f>DATOSAÑO!CL299</f>
        <v>0.6</v>
      </c>
      <c r="Q300" s="9">
        <f ca="1">DATOSAÑO!AD299</f>
        <v>165</v>
      </c>
      <c r="R300" s="11">
        <f ca="1">(Q300*DATOSAÑO!$Z$11)/DATOSAÑO!$Y$11</f>
        <v>2.9730792703800777</v>
      </c>
      <c r="S300" s="9">
        <f ca="1">DATOSAÑO!AF299</f>
        <v>150</v>
      </c>
      <c r="T300" s="11">
        <f ca="1">(S300*DATOSAÑO!$Z$11)/DATOSAÑO!$Y$11</f>
        <v>2.7027993367091616</v>
      </c>
      <c r="U300" s="9">
        <f ca="1">DATOSAÑO!AH299</f>
        <v>6.9000000000014552</v>
      </c>
      <c r="V300" s="11">
        <f ca="1">(U300*DATOSAÑO!$Z$11)/DATOSAÑO!$Y$11</f>
        <v>0.12432876948864764</v>
      </c>
      <c r="W300" s="9">
        <f ca="1">DATOSAÑO!AI299</f>
        <v>34</v>
      </c>
      <c r="X300" s="11">
        <f ca="1">(W300*DATOSAÑO!$Z$11)/DATOSAÑO!$Y$11</f>
        <v>0.61263451632074328</v>
      </c>
      <c r="Y300" s="9">
        <f ca="1">DATOSAÑO!AJ299</f>
        <v>5.7999999999883585</v>
      </c>
      <c r="Z300" s="11">
        <f ca="1">(Y300*DATOSAÑO!$Z$11)/DATOSAÑO!$Y$11</f>
        <v>0.10450824101921113</v>
      </c>
      <c r="AA300" s="9">
        <f ca="1">DATOSAÑO!AK299</f>
        <v>8</v>
      </c>
      <c r="AB300" s="11">
        <f ca="1">(AA300*DATOSAÑO!$Z$11)/DATOSAÑO!$Y$11</f>
        <v>0.14414929795782194</v>
      </c>
      <c r="AC300" s="9">
        <f ca="1">DATOSAÑO!AL299</f>
        <v>36.600000000009459</v>
      </c>
      <c r="AD300" s="11">
        <f ca="1">(AC300*DATOSAÑO!$Z$11)/DATOSAÑO!$Y$11</f>
        <v>0.65948303815720577</v>
      </c>
      <c r="AE300" s="9">
        <f ca="1">DATOSAÑO!CA299</f>
        <v>5.0609999999996909</v>
      </c>
      <c r="AF300" s="11">
        <f ca="1">(AE300*DATOSAÑO!$Z$11)/DATOSAÑO!$Y$11</f>
        <v>9.1192449620561528E-2</v>
      </c>
      <c r="AG300" s="9">
        <f ca="1">DATOSAÑO!CB299</f>
        <v>1.723800000000218</v>
      </c>
      <c r="AH300" s="11">
        <f ca="1">(AG300*DATOSAÑO!$Z$11)/DATOSAÑO!$Y$11</f>
        <v>3.1060569977465612E-2</v>
      </c>
      <c r="AI300" s="9">
        <f ca="1">DATOSAÑO!BJ299</f>
        <v>2.2000000000000002</v>
      </c>
      <c r="AJ300" s="11">
        <f ca="1">(AI300*DATOSAÑO!$Z$11)/DATOSAÑO!$Y$11</f>
        <v>3.9641056938401038E-2</v>
      </c>
      <c r="AK300" s="9">
        <f ca="1">DATOSAÑO!BM299</f>
        <v>5.0460000000000003</v>
      </c>
      <c r="AL300" s="11">
        <f ca="1">(AK300*DATOSAÑO!$Z$11)/DATOSAÑO!$Y$11</f>
        <v>9.0922169686896204E-2</v>
      </c>
      <c r="AM300" s="9">
        <f ca="1">DATOSAÑO!BP299</f>
        <v>0</v>
      </c>
      <c r="AN300" s="11">
        <f ca="1">(AM300*DATOSAÑO!$Z$11)/DATOSAÑO!$Y$11</f>
        <v>0</v>
      </c>
      <c r="AO300" s="9">
        <f ca="1">DATOSAÑO!BW299</f>
        <v>10.861000000000782</v>
      </c>
      <c r="AP300" s="11">
        <f ca="1">(AO300*DATOSAÑO!$Z$11)/DATOSAÑO!$Y$11</f>
        <v>0.19570069064000212</v>
      </c>
      <c r="AQ300" s="9">
        <f ca="1">DATOSAÑO!CC299</f>
        <v>2.3762000000001455</v>
      </c>
      <c r="AR300" s="1348">
        <f ca="1">(AQ300*DATOSAÑO!$Z$11)/DATOSAÑO!$Y$11</f>
        <v>4.2815945225924683E-2</v>
      </c>
      <c r="AS300" s="1384">
        <f t="shared" si="14"/>
        <v>42</v>
      </c>
    </row>
    <row r="301" spans="1:45">
      <c r="A301" s="1408">
        <v>45216</v>
      </c>
      <c r="B301" s="1869">
        <v>45216</v>
      </c>
      <c r="C301" s="9">
        <f ca="1">DATOSAÑO!I300</f>
        <v>232</v>
      </c>
      <c r="D301" s="10">
        <f ca="1">DATOSAÑO!$D300</f>
        <v>4.5578133675931412</v>
      </c>
      <c r="E301" s="11">
        <f ca="1">DATOSAÑO!$G300</f>
        <v>0</v>
      </c>
      <c r="F301" s="9">
        <f ca="1">DATOSAÑO!P300</f>
        <v>200</v>
      </c>
      <c r="G301" s="10">
        <f ca="1">DATOSAÑO!K300</f>
        <v>4.1442399081017172</v>
      </c>
      <c r="H301" s="11">
        <f ca="1">DATOSAÑO!N300</f>
        <v>0</v>
      </c>
      <c r="I301" s="9">
        <f ca="1">DATOSAÑO!Q300</f>
        <v>0.66600000000016735</v>
      </c>
      <c r="J301" s="11">
        <f ca="1">DATOSAÑO!R300</f>
        <v>79.920000000020082</v>
      </c>
      <c r="K301" s="9">
        <f ca="1">DATOSAÑO!T300</f>
        <v>0</v>
      </c>
      <c r="L301" s="11">
        <f t="shared" ca="1" si="12"/>
        <v>0</v>
      </c>
      <c r="M301" s="9"/>
      <c r="N301" s="11">
        <f t="shared" si="13"/>
        <v>0</v>
      </c>
      <c r="O301" s="9">
        <f>DATOSAÑO!CK300</f>
        <v>0.7</v>
      </c>
      <c r="P301" s="9">
        <f>DATOSAÑO!CL300</f>
        <v>0</v>
      </c>
      <c r="Q301" s="9">
        <f ca="1">DATOSAÑO!AD300</f>
        <v>166</v>
      </c>
      <c r="R301" s="11">
        <f ca="1">(Q301*DATOSAÑO!$Z$11)/DATOSAÑO!$Y$11</f>
        <v>2.9910979326248053</v>
      </c>
      <c r="S301" s="9">
        <f ca="1">DATOSAÑO!AF300</f>
        <v>149</v>
      </c>
      <c r="T301" s="11">
        <f ca="1">(S301*DATOSAÑO!$Z$11)/DATOSAÑO!$Y$11</f>
        <v>2.6847806744644336</v>
      </c>
      <c r="U301" s="9">
        <f ca="1">DATOSAÑO!AH300</f>
        <v>7.8000000000047294</v>
      </c>
      <c r="V301" s="11">
        <f ca="1">(U301*DATOSAÑO!$Z$11)/DATOSAÑO!$Y$11</f>
        <v>0.14054556550896161</v>
      </c>
      <c r="W301" s="9">
        <f ca="1">DATOSAÑO!AI300</f>
        <v>33.700000000011642</v>
      </c>
      <c r="X301" s="11">
        <f ca="1">(W301*DATOSAÑO!$Z$11)/DATOSAÑO!$Y$11</f>
        <v>0.60722891764753473</v>
      </c>
      <c r="Y301" s="9">
        <f ca="1">DATOSAÑO!AJ300</f>
        <v>7.8000000000029104</v>
      </c>
      <c r="Z301" s="11">
        <f ca="1">(Y301*DATOSAÑO!$Z$11)/DATOSAÑO!$Y$11</f>
        <v>0.14054556550892883</v>
      </c>
      <c r="AA301" s="9">
        <f ca="1">DATOSAÑO!AK300</f>
        <v>8</v>
      </c>
      <c r="AB301" s="11">
        <f ca="1">(AA301*DATOSAÑO!$Z$11)/DATOSAÑO!$Y$11</f>
        <v>0.14414929795782194</v>
      </c>
      <c r="AC301" s="9">
        <f ca="1">DATOSAÑO!AL300</f>
        <v>29.765999999982341</v>
      </c>
      <c r="AD301" s="11">
        <f ca="1">(AC301*DATOSAÑO!$Z$11)/DATOSAÑO!$Y$11</f>
        <v>0.53634350037624778</v>
      </c>
      <c r="AE301" s="9">
        <f ca="1">DATOSAÑO!CA300</f>
        <v>6.1964999999999506</v>
      </c>
      <c r="AF301" s="11">
        <f ca="1">(AE301*DATOSAÑO!$Z$11)/DATOSAÑO!$Y$11</f>
        <v>0.11165264059945457</v>
      </c>
      <c r="AG301" s="9">
        <f ca="1">DATOSAÑO!CB300</f>
        <v>2.1149999999998439</v>
      </c>
      <c r="AH301" s="11">
        <f ca="1">(AG301*DATOSAÑO!$Z$11)/DATOSAÑO!$Y$11</f>
        <v>3.8109470647596358E-2</v>
      </c>
      <c r="AI301" s="9">
        <f ca="1">DATOSAÑO!BJ300</f>
        <v>2.6</v>
      </c>
      <c r="AJ301" s="11">
        <f ca="1">(AI301*DATOSAÑO!$Z$11)/DATOSAÑO!$Y$11</f>
        <v>4.684852183629213E-2</v>
      </c>
      <c r="AK301" s="9">
        <f ca="1">DATOSAÑO!BM300</f>
        <v>5.0270000000000001</v>
      </c>
      <c r="AL301" s="11">
        <f ca="1">(AK301*DATOSAÑO!$Z$11)/DATOSAÑO!$Y$11</f>
        <v>9.057981510424637E-2</v>
      </c>
      <c r="AM301" s="9">
        <f ca="1">DATOSAÑO!BP300</f>
        <v>0</v>
      </c>
      <c r="AN301" s="11">
        <f ca="1">(AM301*DATOSAÑO!$Z$11)/DATOSAÑO!$Y$11</f>
        <v>0</v>
      </c>
      <c r="AO301" s="9">
        <f ca="1">DATOSAÑO!BW300</f>
        <v>11.896499999998859</v>
      </c>
      <c r="AP301" s="11">
        <f ca="1">(AO301*DATOSAÑO!$Z$11)/DATOSAÑO!$Y$11</f>
        <v>0.21435901539438304</v>
      </c>
      <c r="AQ301" s="9">
        <f ca="1">DATOSAÑO!CC300</f>
        <v>2.7649999999998958</v>
      </c>
      <c r="AR301" s="1348">
        <f ca="1">(AQ301*DATOSAÑO!$Z$11)/DATOSAÑO!$Y$11</f>
        <v>4.9821601106670332E-2</v>
      </c>
      <c r="AS301" s="1384">
        <f t="shared" si="14"/>
        <v>42</v>
      </c>
    </row>
    <row r="302" spans="1:45">
      <c r="A302" s="1408">
        <v>45217</v>
      </c>
      <c r="B302" s="1869">
        <v>45217</v>
      </c>
      <c r="C302" s="9">
        <f ca="1">DATOSAÑO!I301</f>
        <v>290</v>
      </c>
      <c r="D302" s="10">
        <f ca="1">DATOSAÑO!$D301</f>
        <v>5.0513107064458911</v>
      </c>
      <c r="E302" s="11">
        <f ca="1">DATOSAÑO!$G301</f>
        <v>0</v>
      </c>
      <c r="F302" s="9">
        <f ca="1">DATOSAÑO!P301</f>
        <v>150</v>
      </c>
      <c r="G302" s="10">
        <f ca="1">DATOSAÑO!K301</f>
        <v>3.5415491925487905</v>
      </c>
      <c r="H302" s="11">
        <f ca="1">DATOSAÑO!N301</f>
        <v>0</v>
      </c>
      <c r="I302" s="9">
        <f ca="1">DATOSAÑO!Q301</f>
        <v>0</v>
      </c>
      <c r="J302" s="11">
        <f ca="1">DATOSAÑO!R301</f>
        <v>0</v>
      </c>
      <c r="K302" s="9">
        <f ca="1">DATOSAÑO!T301</f>
        <v>0</v>
      </c>
      <c r="L302" s="11">
        <f t="shared" ca="1" si="12"/>
        <v>0</v>
      </c>
      <c r="M302" s="9"/>
      <c r="N302" s="11">
        <f t="shared" si="13"/>
        <v>0</v>
      </c>
      <c r="O302" s="9">
        <f>DATOSAÑO!CK301</f>
        <v>0</v>
      </c>
      <c r="P302" s="9">
        <f>DATOSAÑO!CL301</f>
        <v>0</v>
      </c>
      <c r="Q302" s="9">
        <f ca="1">DATOSAÑO!AD301</f>
        <v>164</v>
      </c>
      <c r="R302" s="11">
        <f ca="1">(Q302*DATOSAÑO!$Z$11)/DATOSAÑO!$Y$11</f>
        <v>2.9550606081353497</v>
      </c>
      <c r="S302" s="9">
        <f ca="1">DATOSAÑO!AF301</f>
        <v>150</v>
      </c>
      <c r="T302" s="11">
        <f ca="1">(S302*DATOSAÑO!$Z$11)/DATOSAÑO!$Y$11</f>
        <v>2.7027993367091616</v>
      </c>
      <c r="U302" s="9">
        <f ca="1">DATOSAÑO!AH301</f>
        <v>11.399999999994179</v>
      </c>
      <c r="V302" s="11">
        <f ca="1">(U302*DATOSAÑO!$Z$11)/DATOSAÑO!$Y$11</f>
        <v>0.20541274958979139</v>
      </c>
      <c r="W302" s="9">
        <f ca="1">DATOSAÑO!AI301</f>
        <v>36.899999999994179</v>
      </c>
      <c r="X302" s="11">
        <f ca="1">(W302*DATOSAÑO!$Z$11)/DATOSAÑO!$Y$11</f>
        <v>0.66488863683034871</v>
      </c>
      <c r="Y302" s="9">
        <f ca="1">DATOSAÑO!AJ301</f>
        <v>7.1999999999970896</v>
      </c>
      <c r="Z302" s="11">
        <f ca="1">(Y302*DATOSAÑO!$Z$11)/DATOSAÑO!$Y$11</f>
        <v>0.1297343681619873</v>
      </c>
      <c r="AA302" s="9">
        <f ca="1">DATOSAÑO!AK301</f>
        <v>10</v>
      </c>
      <c r="AB302" s="11">
        <f ca="1">(AA302*DATOSAÑO!$Z$11)/DATOSAÑO!$Y$11</f>
        <v>0.18018662244727743</v>
      </c>
      <c r="AC302" s="9">
        <f ca="1">DATOSAÑO!AL301</f>
        <v>31.000000000014552</v>
      </c>
      <c r="AD302" s="11">
        <f ca="1">(AC302*DATOSAÑO!$Z$11)/DATOSAÑO!$Y$11</f>
        <v>0.55857852958682219</v>
      </c>
      <c r="AE302" s="9">
        <f ca="1">DATOSAÑO!CA301</f>
        <v>5.2679999999999518</v>
      </c>
      <c r="AF302" s="11">
        <f ca="1">(AE302*DATOSAÑO!$Z$11)/DATOSAÑO!$Y$11</f>
        <v>9.4922312705224873E-2</v>
      </c>
      <c r="AG302" s="9">
        <f ca="1">DATOSAÑO!CB301</f>
        <v>2.4720000000000546</v>
      </c>
      <c r="AH302" s="11">
        <f ca="1">(AG302*DATOSAÑO!$Z$11)/DATOSAÑO!$Y$11</f>
        <v>4.4542133068967968E-2</v>
      </c>
      <c r="AI302" s="9">
        <f ca="1">DATOSAÑO!BJ301</f>
        <v>2.4</v>
      </c>
      <c r="AJ302" s="11">
        <f ca="1">(AI302*DATOSAÑO!$Z$11)/DATOSAÑO!$Y$11</f>
        <v>4.3244789387346577E-2</v>
      </c>
      <c r="AK302" s="9">
        <f ca="1">DATOSAÑO!BM301</f>
        <v>5.1639999999999997</v>
      </c>
      <c r="AL302" s="11">
        <f ca="1">(AK302*DATOSAÑO!$Z$11)/DATOSAÑO!$Y$11</f>
        <v>9.3048371831774057E-2</v>
      </c>
      <c r="AM302" s="9">
        <f ca="1">DATOSAÑO!BP301</f>
        <v>0</v>
      </c>
      <c r="AN302" s="11">
        <f ca="1">(AM302*DATOSAÑO!$Z$11)/DATOSAÑO!$Y$11</f>
        <v>0</v>
      </c>
      <c r="AO302" s="9">
        <f ca="1">DATOSAÑO!BW301</f>
        <v>11.267999999999951</v>
      </c>
      <c r="AP302" s="11">
        <f ca="1">(AO302*DATOSAÑO!$Z$11)/DATOSAÑO!$Y$11</f>
        <v>0.20303428617359132</v>
      </c>
      <c r="AQ302" s="9">
        <f ca="1">DATOSAÑO!CC301</f>
        <v>2.9280000000000364</v>
      </c>
      <c r="AR302" s="1348">
        <f ca="1">(AQ302*DATOSAÑO!$Z$11)/DATOSAÑO!$Y$11</f>
        <v>5.2758643052563489E-2</v>
      </c>
      <c r="AS302" s="1384">
        <f t="shared" si="14"/>
        <v>42</v>
      </c>
    </row>
    <row r="303" spans="1:45">
      <c r="A303" s="1408">
        <v>45218</v>
      </c>
      <c r="B303" s="1869">
        <v>45218</v>
      </c>
      <c r="C303" s="9">
        <f ca="1">DATOSAÑO!I302</f>
        <v>148</v>
      </c>
      <c r="D303" s="10">
        <f ca="1">DATOSAÑO!$D302</f>
        <v>3.8430930837374344</v>
      </c>
      <c r="E303" s="11">
        <f ca="1">DATOSAÑO!$G302</f>
        <v>0</v>
      </c>
      <c r="F303" s="9">
        <f ca="1">DATOSAÑO!P302</f>
        <v>288</v>
      </c>
      <c r="G303" s="10">
        <f ca="1">DATOSAÑO!K302</f>
        <v>5.2049755674748681</v>
      </c>
      <c r="H303" s="11">
        <f ca="1">DATOSAÑO!N302</f>
        <v>0</v>
      </c>
      <c r="I303" s="9">
        <f ca="1">DATOSAÑO!Q302</f>
        <v>0</v>
      </c>
      <c r="J303" s="11">
        <f ca="1">DATOSAÑO!R302</f>
        <v>0</v>
      </c>
      <c r="K303" s="9">
        <f ca="1">DATOSAÑO!T302</f>
        <v>0</v>
      </c>
      <c r="L303" s="11">
        <f t="shared" ca="1" si="12"/>
        <v>0</v>
      </c>
      <c r="M303" s="9"/>
      <c r="N303" s="11">
        <f t="shared" si="13"/>
        <v>0</v>
      </c>
      <c r="O303" s="9">
        <f>DATOSAÑO!CK302</f>
        <v>0</v>
      </c>
      <c r="P303" s="9">
        <f>DATOSAÑO!CL302</f>
        <v>0</v>
      </c>
      <c r="Q303" s="9">
        <f ca="1">DATOSAÑO!AD302</f>
        <v>164</v>
      </c>
      <c r="R303" s="11">
        <f ca="1">(Q303*DATOSAÑO!$Z$11)/DATOSAÑO!$Y$11</f>
        <v>2.9550606081353497</v>
      </c>
      <c r="S303" s="9">
        <f ca="1">DATOSAÑO!AF302</f>
        <v>147</v>
      </c>
      <c r="T303" s="11">
        <f ca="1">(S303*DATOSAÑO!$Z$11)/DATOSAÑO!$Y$11</f>
        <v>2.648743349974978</v>
      </c>
      <c r="U303" s="9">
        <f ca="1">DATOSAÑO!AH302</f>
        <v>9.4000000000014552</v>
      </c>
      <c r="V303" s="11">
        <f ca="1">(U303*DATOSAÑO!$Z$11)/DATOSAÑO!$Y$11</f>
        <v>0.16937542510046699</v>
      </c>
      <c r="W303" s="9">
        <f ca="1">DATOSAÑO!AI302</f>
        <v>36.5</v>
      </c>
      <c r="X303" s="11">
        <f ca="1">(W303*DATOSAÑO!$Z$11)/DATOSAÑO!$Y$11</f>
        <v>0.65768117193256259</v>
      </c>
      <c r="Y303" s="9">
        <f ca="1">DATOSAÑO!AJ302</f>
        <v>4.8000000000029104</v>
      </c>
      <c r="Z303" s="11">
        <f ca="1">(Y303*DATOSAÑO!$Z$11)/DATOSAÑO!$Y$11</f>
        <v>8.6489578774745612E-2</v>
      </c>
      <c r="AA303" s="9">
        <f ca="1">DATOSAÑO!AK302</f>
        <v>8</v>
      </c>
      <c r="AB303" s="11">
        <f ca="1">(AA303*DATOSAÑO!$Z$11)/DATOSAÑO!$Y$11</f>
        <v>0.14414929795782194</v>
      </c>
      <c r="AC303" s="9">
        <f ca="1">DATOSAÑO!AL302</f>
        <v>36.999999999992724</v>
      </c>
      <c r="AD303" s="11">
        <f ca="1">(AC303*DATOSAÑO!$Z$11)/DATOSAÑO!$Y$11</f>
        <v>0.66669050305479538</v>
      </c>
      <c r="AE303" s="9">
        <f ca="1">DATOSAÑO!CA302</f>
        <v>5.1890000000008145</v>
      </c>
      <c r="AF303" s="11">
        <f ca="1">(AE303*DATOSAÑO!$Z$11)/DATOSAÑO!$Y$11</f>
        <v>9.3498838387906943E-2</v>
      </c>
      <c r="AG303" s="9">
        <f ca="1">DATOSAÑO!CB302</f>
        <v>2.3316000000001091</v>
      </c>
      <c r="AH303" s="11">
        <f ca="1">(AG303*DATOSAÑO!$Z$11)/DATOSAÑO!$Y$11</f>
        <v>4.2012312889809167E-2</v>
      </c>
      <c r="AI303" s="9">
        <f ca="1">DATOSAÑO!BJ302</f>
        <v>2.8</v>
      </c>
      <c r="AJ303" s="11">
        <f ca="1">(AI303*DATOSAÑO!$Z$11)/DATOSAÑO!$Y$11</f>
        <v>5.0452254285237676E-2</v>
      </c>
      <c r="AK303" s="9">
        <f ca="1">DATOSAÑO!BM302</f>
        <v>5.0220000000000002</v>
      </c>
      <c r="AL303" s="11">
        <f ca="1">(AK303*DATOSAÑO!$Z$11)/DATOSAÑO!$Y$11</f>
        <v>9.0489721793022726E-2</v>
      </c>
      <c r="AM303" s="9">
        <f ca="1">DATOSAÑO!BP302</f>
        <v>0</v>
      </c>
      <c r="AN303" s="11">
        <f ca="1">(AM303*DATOSAÑO!$Z$11)/DATOSAÑO!$Y$11</f>
        <v>0</v>
      </c>
      <c r="AO303" s="9">
        <f ca="1">DATOSAÑO!BW302</f>
        <v>10.989000000001905</v>
      </c>
      <c r="AP303" s="11">
        <f ca="1">(AO303*DATOSAÑO!$Z$11)/DATOSAÑO!$Y$11</f>
        <v>0.19800707940734749</v>
      </c>
      <c r="AQ303" s="9">
        <f ca="1">DATOSAÑO!CC302</f>
        <v>2.9684000000000728</v>
      </c>
      <c r="AR303" s="1348">
        <f ca="1">(AQ303*DATOSAÑO!$Z$11)/DATOSAÑO!$Y$11</f>
        <v>5.3486597007251141E-2</v>
      </c>
      <c r="AS303" s="1384">
        <f t="shared" si="14"/>
        <v>42</v>
      </c>
    </row>
    <row r="304" spans="1:45">
      <c r="A304" s="1408">
        <v>45219</v>
      </c>
      <c r="B304" s="1869">
        <v>45219</v>
      </c>
      <c r="C304" s="9">
        <f ca="1">DATOSAÑO!I303</f>
        <v>143</v>
      </c>
      <c r="D304" s="10">
        <f ca="1">DATOSAÑO!$D303</f>
        <v>3.8005502096984038</v>
      </c>
      <c r="E304" s="11">
        <f ca="1">DATOSAÑO!$G303</f>
        <v>0</v>
      </c>
      <c r="F304" s="9">
        <f ca="1">DATOSAÑO!P303</f>
        <v>297</v>
      </c>
      <c r="G304" s="10">
        <f ca="1">DATOSAÑO!K303</f>
        <v>5.3134598962743951</v>
      </c>
      <c r="H304" s="11">
        <f ca="1">DATOSAÑO!N303</f>
        <v>0</v>
      </c>
      <c r="I304" s="9">
        <f ca="1">DATOSAÑO!Q303</f>
        <v>0</v>
      </c>
      <c r="J304" s="11">
        <f ca="1">DATOSAÑO!R303</f>
        <v>0</v>
      </c>
      <c r="K304" s="9">
        <f ca="1">DATOSAÑO!T303</f>
        <v>0</v>
      </c>
      <c r="L304" s="11">
        <f t="shared" ca="1" si="12"/>
        <v>0</v>
      </c>
      <c r="M304" s="9"/>
      <c r="N304" s="11">
        <f t="shared" si="13"/>
        <v>0</v>
      </c>
      <c r="O304" s="9">
        <f>DATOSAÑO!CK303</f>
        <v>0</v>
      </c>
      <c r="P304" s="9">
        <f>DATOSAÑO!CL303</f>
        <v>0</v>
      </c>
      <c r="Q304" s="9">
        <f ca="1">DATOSAÑO!AD303</f>
        <v>164</v>
      </c>
      <c r="R304" s="11">
        <f ca="1">(Q304*DATOSAÑO!$Z$11)/DATOSAÑO!$Y$11</f>
        <v>2.9550606081353497</v>
      </c>
      <c r="S304" s="9">
        <f ca="1">DATOSAÑO!AF303</f>
        <v>148</v>
      </c>
      <c r="T304" s="11">
        <f ca="1">(S304*DATOSAÑO!$Z$11)/DATOSAÑO!$Y$11</f>
        <v>2.666762012219706</v>
      </c>
      <c r="U304" s="9">
        <f ca="1">DATOSAÑO!AH303</f>
        <v>9.9000000000032742</v>
      </c>
      <c r="V304" s="11">
        <f ca="1">(U304*DATOSAÑO!$Z$11)/DATOSAÑO!$Y$11</f>
        <v>0.17838475622286365</v>
      </c>
      <c r="W304" s="9">
        <f ca="1">DATOSAÑO!AI303</f>
        <v>38.5</v>
      </c>
      <c r="X304" s="11">
        <f ca="1">(W304*DATOSAÑO!$Z$11)/DATOSAÑO!$Y$11</f>
        <v>0.6937184964220181</v>
      </c>
      <c r="Y304" s="9">
        <f ca="1">DATOSAÑO!AJ303</f>
        <v>5.6000000000058208</v>
      </c>
      <c r="Z304" s="11">
        <f ca="1">(Y304*DATOSAÑO!$Z$11)/DATOSAÑO!$Y$11</f>
        <v>0.10090450857058024</v>
      </c>
      <c r="AA304" s="9">
        <f ca="1">DATOSAÑO!AK303</f>
        <v>10</v>
      </c>
      <c r="AB304" s="11">
        <f ca="1">(AA304*DATOSAÑO!$Z$11)/DATOSAÑO!$Y$11</f>
        <v>0.18018662244727743</v>
      </c>
      <c r="AC304" s="9">
        <f ca="1">DATOSAÑO!AL303</f>
        <v>32.099999999993088</v>
      </c>
      <c r="AD304" s="11">
        <f ca="1">(AC304*DATOSAÑO!$Z$11)/DATOSAÑO!$Y$11</f>
        <v>0.57839905805563596</v>
      </c>
      <c r="AE304" s="9">
        <f ca="1">DATOSAÑO!CA303</f>
        <v>6.1209999999993627</v>
      </c>
      <c r="AF304" s="11">
        <f ca="1">(AE304*DATOSAÑO!$Z$11)/DATOSAÑO!$Y$11</f>
        <v>0.11029223159996702</v>
      </c>
      <c r="AG304" s="9">
        <f ca="1">DATOSAÑO!CB303</f>
        <v>2.1755999999996725</v>
      </c>
      <c r="AH304" s="11">
        <f ca="1">(AG304*DATOSAÑO!$Z$11)/DATOSAÑO!$Y$11</f>
        <v>3.9201401579623776E-2</v>
      </c>
      <c r="AI304" s="9">
        <f ca="1">DATOSAÑO!BJ303</f>
        <v>3</v>
      </c>
      <c r="AJ304" s="11">
        <f ca="1">(AI304*DATOSAÑO!$Z$11)/DATOSAÑO!$Y$11</f>
        <v>5.4055986734183228E-2</v>
      </c>
      <c r="AK304" s="9">
        <f ca="1">DATOSAÑO!BM303</f>
        <v>5.1580000000000004</v>
      </c>
      <c r="AL304" s="11">
        <f ca="1">(AK304*DATOSAÑO!$Z$11)/DATOSAÑO!$Y$11</f>
        <v>9.2940259858305702E-2</v>
      </c>
      <c r="AM304" s="9">
        <f ca="1">DATOSAÑO!BP303</f>
        <v>0</v>
      </c>
      <c r="AN304" s="11">
        <f ca="1">(AM304*DATOSAÑO!$Z$11)/DATOSAÑO!$Y$11</f>
        <v>0</v>
      </c>
      <c r="AO304" s="9">
        <f ca="1">DATOSAÑO!BW303</f>
        <v>12.520999999998999</v>
      </c>
      <c r="AP304" s="11">
        <f ca="1">(AO304*DATOSAÑO!$Z$11)/DATOSAÑO!$Y$11</f>
        <v>0.22561166996621804</v>
      </c>
      <c r="AQ304" s="9">
        <f ca="1">DATOSAÑO!CC303</f>
        <v>2.9243999999997818</v>
      </c>
      <c r="AR304" s="1348">
        <f ca="1">(AQ304*DATOSAÑO!$Z$11)/DATOSAÑO!$Y$11</f>
        <v>5.2693775868477871E-2</v>
      </c>
      <c r="AS304" s="1384">
        <f t="shared" si="14"/>
        <v>42</v>
      </c>
    </row>
    <row r="305" spans="1:45">
      <c r="A305" s="1408">
        <v>45220</v>
      </c>
      <c r="B305" s="1869">
        <v>45220</v>
      </c>
      <c r="C305" s="9">
        <f ca="1">DATOSAÑO!I304</f>
        <v>129</v>
      </c>
      <c r="D305" s="10">
        <f ca="1">DATOSAÑO!$D304</f>
        <v>3.6814301623891197</v>
      </c>
      <c r="E305" s="11">
        <f ca="1">DATOSAÑO!$G304</f>
        <v>0</v>
      </c>
      <c r="F305" s="9">
        <f ca="1">DATOSAÑO!P304</f>
        <v>321</v>
      </c>
      <c r="G305" s="10">
        <f ca="1">DATOSAÑO!K304</f>
        <v>5.6027514397397997</v>
      </c>
      <c r="H305" s="11">
        <f ca="1">DATOSAÑO!N304</f>
        <v>0</v>
      </c>
      <c r="I305" s="9">
        <f ca="1">DATOSAÑO!Q304</f>
        <v>0</v>
      </c>
      <c r="J305" s="11">
        <f ca="1">DATOSAÑO!R304</f>
        <v>0</v>
      </c>
      <c r="K305" s="9">
        <f ca="1">DATOSAÑO!T304</f>
        <v>0</v>
      </c>
      <c r="L305" s="11">
        <f t="shared" ca="1" si="12"/>
        <v>0</v>
      </c>
      <c r="M305" s="9"/>
      <c r="N305" s="11">
        <f t="shared" si="13"/>
        <v>0</v>
      </c>
      <c r="O305" s="9">
        <f>DATOSAÑO!CK304</f>
        <v>0</v>
      </c>
      <c r="P305" s="9">
        <f>DATOSAÑO!CL304</f>
        <v>0</v>
      </c>
      <c r="Q305" s="9">
        <f ca="1">DATOSAÑO!AD304</f>
        <v>167</v>
      </c>
      <c r="R305" s="11">
        <f ca="1">(Q305*DATOSAÑO!$Z$11)/DATOSAÑO!$Y$11</f>
        <v>3.0091165948695329</v>
      </c>
      <c r="S305" s="9">
        <f ca="1">DATOSAÑO!AF304</f>
        <v>151</v>
      </c>
      <c r="T305" s="11">
        <f ca="1">(S305*DATOSAÑO!$Z$11)/DATOSAÑO!$Y$11</f>
        <v>2.7208179989538892</v>
      </c>
      <c r="U305" s="9">
        <f ca="1">DATOSAÑO!AH304</f>
        <v>10.600000000000364</v>
      </c>
      <c r="V305" s="11">
        <f ca="1">(U305*DATOSAÑO!$Z$11)/DATOSAÑO!$Y$11</f>
        <v>0.19099781979412062</v>
      </c>
      <c r="W305" s="9">
        <f ca="1">DATOSAÑO!AI304</f>
        <v>40.30000000000291</v>
      </c>
      <c r="X305" s="11">
        <f ca="1">(W305*DATOSAÑO!$Z$11)/DATOSAÑO!$Y$11</f>
        <v>0.72615208846258039</v>
      </c>
      <c r="Y305" s="9">
        <f ca="1">DATOSAÑO!AJ304</f>
        <v>6.5</v>
      </c>
      <c r="Z305" s="11">
        <f ca="1">(Y305*DATOSAÑO!$Z$11)/DATOSAÑO!$Y$11</f>
        <v>0.11712130459073032</v>
      </c>
      <c r="AA305" s="9">
        <f ca="1">DATOSAÑO!AK304</f>
        <v>9</v>
      </c>
      <c r="AB305" s="11">
        <f ca="1">(AA305*DATOSAÑO!$Z$11)/DATOSAÑO!$Y$11</f>
        <v>0.16216796020254967</v>
      </c>
      <c r="AC305" s="9">
        <f ca="1">DATOSAÑO!AL304</f>
        <v>34.399999999995941</v>
      </c>
      <c r="AD305" s="11">
        <f ca="1">(AC305*DATOSAÑO!$Z$11)/DATOSAÑO!$Y$11</f>
        <v>0.61984198121856127</v>
      </c>
      <c r="AE305" s="9">
        <f ca="1">DATOSAÑO!CA304</f>
        <v>5.9210000000008218</v>
      </c>
      <c r="AF305" s="11">
        <f ca="1">(AE305*DATOSAÑO!$Z$11)/DATOSAÑO!$Y$11</f>
        <v>0.10668849915104776</v>
      </c>
      <c r="AG305" s="9">
        <f ca="1">DATOSAÑO!CB304</f>
        <v>1.9271999999998908</v>
      </c>
      <c r="AH305" s="11">
        <f ca="1">(AG305*DATOSAÑO!$Z$11)/DATOSAÑO!$Y$11</f>
        <v>3.4725565878037337E-2</v>
      </c>
      <c r="AI305" s="9">
        <f ca="1">DATOSAÑO!BJ304</f>
        <v>2.6</v>
      </c>
      <c r="AJ305" s="11">
        <f ca="1">(AI305*DATOSAÑO!$Z$11)/DATOSAÑO!$Y$11</f>
        <v>4.684852183629213E-2</v>
      </c>
      <c r="AK305" s="9">
        <f ca="1">DATOSAÑO!BM304</f>
        <v>5.258</v>
      </c>
      <c r="AL305" s="11">
        <f ca="1">(AK305*DATOSAÑO!$Z$11)/DATOSAÑO!$Y$11</f>
        <v>9.4742126082778461E-2</v>
      </c>
      <c r="AM305" s="9">
        <f ca="1">DATOSAÑO!BP304</f>
        <v>0</v>
      </c>
      <c r="AN305" s="11">
        <f ca="1">(AM305*DATOSAÑO!$Z$11)/DATOSAÑO!$Y$11</f>
        <v>0</v>
      </c>
      <c r="AO305" s="9">
        <f ca="1">DATOSAÑO!BW304</f>
        <v>12.721000000000094</v>
      </c>
      <c r="AP305" s="11">
        <f ca="1">(AO305*DATOSAÑO!$Z$11)/DATOSAÑO!$Y$11</f>
        <v>0.22921540241518332</v>
      </c>
      <c r="AQ305" s="9">
        <f ca="1">DATOSAÑO!CC304</f>
        <v>2.7727999999999273</v>
      </c>
      <c r="AR305" s="1348">
        <f ca="1">(AQ305*DATOSAÑO!$Z$11)/DATOSAÑO!$Y$11</f>
        <v>4.9962146672179776E-2</v>
      </c>
      <c r="AS305" s="1384">
        <f t="shared" si="14"/>
        <v>42</v>
      </c>
    </row>
    <row r="306" spans="1:45">
      <c r="A306" s="1408">
        <v>45221</v>
      </c>
      <c r="B306" s="1869">
        <v>45221</v>
      </c>
      <c r="C306" s="9">
        <f ca="1">DATOSAÑO!I305</f>
        <v>73</v>
      </c>
      <c r="D306" s="10">
        <f ca="1">DATOSAÑO!$D305</f>
        <v>3.2049499731519813</v>
      </c>
      <c r="E306" s="11">
        <f ca="1">DATOSAÑO!$G305</f>
        <v>0</v>
      </c>
      <c r="F306" s="9">
        <f ca="1">DATOSAÑO!P305</f>
        <v>368</v>
      </c>
      <c r="G306" s="10">
        <f ca="1">DATOSAÑO!K305</f>
        <v>6.1692807123595514</v>
      </c>
      <c r="H306" s="11">
        <f ca="1">DATOSAÑO!N305</f>
        <v>0</v>
      </c>
      <c r="I306" s="9">
        <f ca="1">DATOSAÑO!Q305</f>
        <v>0</v>
      </c>
      <c r="J306" s="11">
        <f ca="1">DATOSAÑO!R305</f>
        <v>0</v>
      </c>
      <c r="K306" s="9">
        <f ca="1">DATOSAÑO!T305</f>
        <v>0.45899999999994634</v>
      </c>
      <c r="L306" s="11">
        <f t="shared" ca="1" si="12"/>
        <v>55.079999999993561</v>
      </c>
      <c r="M306" s="9"/>
      <c r="N306" s="11">
        <f t="shared" si="13"/>
        <v>0</v>
      </c>
      <c r="O306" s="9">
        <f>DATOSAÑO!CK305</f>
        <v>0</v>
      </c>
      <c r="P306" s="9">
        <f>DATOSAÑO!CL305</f>
        <v>0.5</v>
      </c>
      <c r="Q306" s="9">
        <f ca="1">DATOSAÑO!AD305</f>
        <v>168</v>
      </c>
      <c r="R306" s="11">
        <f ca="1">(Q306*DATOSAÑO!$Z$11)/DATOSAÑO!$Y$11</f>
        <v>3.0271352571142609</v>
      </c>
      <c r="S306" s="9">
        <f ca="1">DATOSAÑO!AF305</f>
        <v>153</v>
      </c>
      <c r="T306" s="11">
        <f ca="1">(S306*DATOSAÑO!$Z$11)/DATOSAÑO!$Y$11</f>
        <v>2.7568553234433448</v>
      </c>
      <c r="U306" s="9">
        <f ca="1">DATOSAÑO!AH305</f>
        <v>8</v>
      </c>
      <c r="V306" s="11">
        <f ca="1">(U306*DATOSAÑO!$Z$11)/DATOSAÑO!$Y$11</f>
        <v>0.14414929795782194</v>
      </c>
      <c r="W306" s="9">
        <f ca="1">DATOSAÑO!AI305</f>
        <v>38.599999999991269</v>
      </c>
      <c r="X306" s="11">
        <f ca="1">(W306*DATOSAÑO!$Z$11)/DATOSAÑO!$Y$11</f>
        <v>0.69552036264633355</v>
      </c>
      <c r="Y306" s="9">
        <f ca="1">DATOSAÑO!AJ305</f>
        <v>5.1999999999970896</v>
      </c>
      <c r="Z306" s="11">
        <f ca="1">(Y306*DATOSAÑO!$Z$11)/DATOSAÑO!$Y$11</f>
        <v>9.369704367253183E-2</v>
      </c>
      <c r="AA306" s="9">
        <f ca="1">DATOSAÑO!AK305</f>
        <v>9</v>
      </c>
      <c r="AB306" s="11">
        <f ca="1">(AA306*DATOSAÑO!$Z$11)/DATOSAÑO!$Y$11</f>
        <v>0.16216796020254967</v>
      </c>
      <c r="AC306" s="9">
        <f ca="1">DATOSAÑO!AL305</f>
        <v>28.900000000012369</v>
      </c>
      <c r="AD306" s="11">
        <f ca="1">(AC306*DATOSAÑO!$Z$11)/DATOSAÑO!$Y$11</f>
        <v>0.52073933887285462</v>
      </c>
      <c r="AE306" s="9">
        <f ca="1">DATOSAÑO!CA305</f>
        <v>5.949499999999242</v>
      </c>
      <c r="AF306" s="11">
        <f ca="1">(AE306*DATOSAÑO!$Z$11)/DATOSAÑO!$Y$11</f>
        <v>0.10720203102499404</v>
      </c>
      <c r="AG306" s="9">
        <f ca="1">DATOSAÑO!CB305</f>
        <v>2.4539999999999997</v>
      </c>
      <c r="AH306" s="11">
        <f ca="1">(AG306*DATOSAÑO!$Z$11)/DATOSAÑO!$Y$11</f>
        <v>4.4217797148561874E-2</v>
      </c>
      <c r="AI306" s="9">
        <f ca="1">DATOSAÑO!BJ305</f>
        <v>2.4</v>
      </c>
      <c r="AJ306" s="11">
        <f ca="1">(AI306*DATOSAÑO!$Z$11)/DATOSAÑO!$Y$11</f>
        <v>4.3244789387346577E-2</v>
      </c>
      <c r="AK306" s="9">
        <f ca="1">DATOSAÑO!BM305</f>
        <v>4.26</v>
      </c>
      <c r="AL306" s="11">
        <f ca="1">(AK306*DATOSAÑO!$Z$11)/DATOSAÑO!$Y$11</f>
        <v>7.6759501162540184E-2</v>
      </c>
      <c r="AM306" s="9">
        <f ca="1">DATOSAÑO!BP305</f>
        <v>0</v>
      </c>
      <c r="AN306" s="11">
        <f ca="1">(AM306*DATOSAÑO!$Z$11)/DATOSAÑO!$Y$11</f>
        <v>0</v>
      </c>
      <c r="AO306" s="9">
        <f ca="1">DATOSAÑO!BW305</f>
        <v>12.64949999999997</v>
      </c>
      <c r="AP306" s="11">
        <f ca="1">(AO306*DATOSAÑO!$Z$11)/DATOSAÑO!$Y$11</f>
        <v>0.22792706806468302</v>
      </c>
      <c r="AQ306" s="9">
        <f ca="1">DATOSAÑO!CC305</f>
        <v>3.0460000000000003</v>
      </c>
      <c r="AR306" s="1348">
        <f ca="1">(AQ306*DATOSAÑO!$Z$11)/DATOSAÑO!$Y$11</f>
        <v>5.4884845197440711E-2</v>
      </c>
      <c r="AS306" s="1384">
        <f t="shared" si="14"/>
        <v>43</v>
      </c>
    </row>
    <row r="307" spans="1:45">
      <c r="A307" s="1408">
        <v>45222</v>
      </c>
      <c r="B307" s="1869">
        <v>45222</v>
      </c>
      <c r="C307" s="9">
        <f ca="1">DATOSAÑO!I306</f>
        <v>0</v>
      </c>
      <c r="D307" s="10">
        <f ca="1">DATOSAÑO!$D306</f>
        <v>0</v>
      </c>
      <c r="E307" s="11">
        <f ca="1">DATOSAÑO!$G306</f>
        <v>0</v>
      </c>
      <c r="F307" s="9">
        <f ca="1">DATOSAÑO!P306</f>
        <v>380</v>
      </c>
      <c r="G307" s="10">
        <f ca="1">DATOSAÑO!K306</f>
        <v>6.3139264840922538</v>
      </c>
      <c r="H307" s="11">
        <f ca="1">DATOSAÑO!N306</f>
        <v>0</v>
      </c>
      <c r="I307" s="9">
        <f ca="1">DATOSAÑO!Q306</f>
        <v>0</v>
      </c>
      <c r="J307" s="11">
        <f ca="1">DATOSAÑO!R306</f>
        <v>0</v>
      </c>
      <c r="K307" s="9">
        <f ca="1">DATOSAÑO!T306</f>
        <v>0</v>
      </c>
      <c r="L307" s="11">
        <f t="shared" ca="1" si="12"/>
        <v>0</v>
      </c>
      <c r="M307" s="9"/>
      <c r="N307" s="11">
        <f t="shared" si="13"/>
        <v>0</v>
      </c>
      <c r="O307" s="9">
        <f>DATOSAÑO!CK306</f>
        <v>0</v>
      </c>
      <c r="P307" s="9">
        <f>DATOSAÑO!CL306</f>
        <v>0</v>
      </c>
      <c r="Q307" s="9">
        <f ca="1">DATOSAÑO!AD306</f>
        <v>163</v>
      </c>
      <c r="R307" s="11">
        <f ca="1">(Q307*DATOSAÑO!$Z$11)/DATOSAÑO!$Y$11</f>
        <v>2.9370419458906221</v>
      </c>
      <c r="S307" s="9">
        <f ca="1">DATOSAÑO!AF306</f>
        <v>98</v>
      </c>
      <c r="T307" s="11">
        <f ca="1">(S307*DATOSAÑO!$Z$11)/DATOSAÑO!$Y$11</f>
        <v>1.7658288999833187</v>
      </c>
      <c r="U307" s="9">
        <f ca="1">DATOSAÑO!AH306</f>
        <v>6.2999999999956344</v>
      </c>
      <c r="V307" s="11">
        <f ca="1">(U307*DATOSAÑO!$Z$11)/DATOSAÑO!$Y$11</f>
        <v>0.11351757214170612</v>
      </c>
      <c r="W307" s="9">
        <f ca="1">DATOSAÑO!AI306</f>
        <v>34.600000000005821</v>
      </c>
      <c r="X307" s="11">
        <f ca="1">(W307*DATOSAÑO!$Z$11)/DATOSAÑO!$Y$11</f>
        <v>0.62344571366768475</v>
      </c>
      <c r="Y307" s="9">
        <f ca="1">DATOSAÑO!AJ306</f>
        <v>6.1999999999970896</v>
      </c>
      <c r="Z307" s="11">
        <f ca="1">(Y307*DATOSAÑO!$Z$11)/DATOSAÑO!$Y$11</f>
        <v>0.11171570591725957</v>
      </c>
      <c r="AA307" s="9">
        <f ca="1">DATOSAÑO!AK306</f>
        <v>9</v>
      </c>
      <c r="AB307" s="11">
        <f ca="1">(AA307*DATOSAÑO!$Z$11)/DATOSAÑO!$Y$11</f>
        <v>0.16216796020254967</v>
      </c>
      <c r="AC307" s="9">
        <f ca="1">DATOSAÑO!AL306</f>
        <v>38.100000000002183</v>
      </c>
      <c r="AD307" s="11">
        <f ca="1">(AC307*DATOSAÑO!$Z$11)/DATOSAÑO!$Y$11</f>
        <v>0.68651103152416637</v>
      </c>
      <c r="AE307" s="9">
        <f ca="1">DATOSAÑO!CA306</f>
        <v>3.7324999999997255</v>
      </c>
      <c r="AF307" s="11">
        <f ca="1">(AE307*DATOSAÑO!$Z$11)/DATOSAÑO!$Y$11</f>
        <v>6.7254656828441353E-2</v>
      </c>
      <c r="AG307" s="9">
        <f ca="1">DATOSAÑO!CB306</f>
        <v>2.3988000000001088</v>
      </c>
      <c r="AH307" s="11">
        <f ca="1">(AG307*DATOSAÑO!$Z$11)/DATOSAÑO!$Y$11</f>
        <v>4.3223166992654868E-2</v>
      </c>
      <c r="AI307" s="9">
        <f ca="1">DATOSAÑO!BJ306</f>
        <v>1.2</v>
      </c>
      <c r="AJ307" s="11">
        <f ca="1">(AI307*DATOSAÑO!$Z$11)/DATOSAÑO!$Y$11</f>
        <v>2.1622394693673289E-2</v>
      </c>
      <c r="AK307" s="9">
        <f ca="1">DATOSAÑO!BM306</f>
        <v>3.1190000000000002</v>
      </c>
      <c r="AL307" s="11">
        <f ca="1">(AK307*DATOSAÑO!$Z$11)/DATOSAÑO!$Y$11</f>
        <v>5.6200207541305836E-2</v>
      </c>
      <c r="AM307" s="9">
        <f ca="1">DATOSAÑO!BP306</f>
        <v>1.3160000000000001</v>
      </c>
      <c r="AN307" s="11">
        <f ca="1">(AM307*DATOSAÑO!$Z$11)/DATOSAÑO!$Y$11</f>
        <v>2.3712559514061711E-2</v>
      </c>
      <c r="AO307" s="9">
        <f ca="1">DATOSAÑO!BW306</f>
        <v>10.132499999999361</v>
      </c>
      <c r="AP307" s="11">
        <f ca="1">(AO307*DATOSAÑO!$Z$11)/DATOSAÑO!$Y$11</f>
        <v>0.18257409519469234</v>
      </c>
      <c r="AQ307" s="9">
        <f ca="1">DATOSAÑO!CC306</f>
        <v>2.9012000000000731</v>
      </c>
      <c r="AR307" s="1348">
        <f ca="1">(AQ307*DATOSAÑO!$Z$11)/DATOSAÑO!$Y$11</f>
        <v>5.2275742904405439E-2</v>
      </c>
      <c r="AS307" s="1384">
        <f t="shared" si="14"/>
        <v>43</v>
      </c>
    </row>
    <row r="308" spans="1:45">
      <c r="A308" s="1408">
        <v>45223</v>
      </c>
      <c r="B308" s="1869">
        <v>45223</v>
      </c>
      <c r="C308" s="9">
        <f ca="1">DATOSAÑO!I307</f>
        <v>172</v>
      </c>
      <c r="D308" s="10">
        <f ca="1">DATOSAÑO!$D307</f>
        <v>4.0472988791247788</v>
      </c>
      <c r="E308" s="11">
        <f ca="1">DATOSAÑO!$G307</f>
        <v>0</v>
      </c>
      <c r="F308" s="9">
        <f ca="1">DATOSAÑO!P307</f>
        <v>230</v>
      </c>
      <c r="G308" s="10">
        <f ca="1">DATOSAÑO!K307</f>
        <v>4.5058543374334734</v>
      </c>
      <c r="H308" s="11">
        <f ca="1">DATOSAÑO!N307</f>
        <v>0</v>
      </c>
      <c r="I308" s="9">
        <f ca="1">DATOSAÑO!Q307</f>
        <v>0</v>
      </c>
      <c r="J308" s="11">
        <f ca="1">DATOSAÑO!R307</f>
        <v>0</v>
      </c>
      <c r="K308" s="9">
        <f ca="1">DATOSAÑO!T307</f>
        <v>0</v>
      </c>
      <c r="L308" s="11">
        <f t="shared" ca="1" si="12"/>
        <v>0</v>
      </c>
      <c r="M308" s="9"/>
      <c r="N308" s="11">
        <f t="shared" si="13"/>
        <v>0</v>
      </c>
      <c r="O308" s="9">
        <f>DATOSAÑO!CK307</f>
        <v>0</v>
      </c>
      <c r="P308" s="9">
        <f>DATOSAÑO!CL307</f>
        <v>0</v>
      </c>
      <c r="Q308" s="9">
        <f ca="1">DATOSAÑO!AD307</f>
        <v>166</v>
      </c>
      <c r="R308" s="11">
        <f ca="1">(Q308*DATOSAÑO!$Z$11)/DATOSAÑO!$Y$11</f>
        <v>2.9910979326248053</v>
      </c>
      <c r="S308" s="9">
        <f ca="1">DATOSAÑO!AF307</f>
        <v>110</v>
      </c>
      <c r="T308" s="11">
        <f ca="1">(S308*DATOSAÑO!$Z$11)/DATOSAÑO!$Y$11</f>
        <v>1.9820528469200516</v>
      </c>
      <c r="U308" s="9">
        <f ca="1">DATOSAÑO!AH307</f>
        <v>7.3000000000029104</v>
      </c>
      <c r="V308" s="11">
        <f ca="1">(U308*DATOSAÑO!$Z$11)/DATOSAÑO!$Y$11</f>
        <v>0.13153623438656495</v>
      </c>
      <c r="W308" s="9">
        <f ca="1">DATOSAÑO!AI307</f>
        <v>40.30000000000291</v>
      </c>
      <c r="X308" s="11">
        <f ca="1">(W308*DATOSAÑO!$Z$11)/DATOSAÑO!$Y$11</f>
        <v>0.72615208846258039</v>
      </c>
      <c r="Y308" s="9">
        <f ca="1">DATOSAÑO!AJ307</f>
        <v>6.4000000000087311</v>
      </c>
      <c r="Z308" s="11">
        <f ca="1">(Y308*DATOSAÑO!$Z$11)/DATOSAÑO!$Y$11</f>
        <v>0.11531943836641488</v>
      </c>
      <c r="AA308" s="9">
        <f ca="1">DATOSAÑO!AK307</f>
        <v>9</v>
      </c>
      <c r="AB308" s="11">
        <f ca="1">(AA308*DATOSAÑO!$Z$11)/DATOSAÑO!$Y$11</f>
        <v>0.16216796020254967</v>
      </c>
      <c r="AC308" s="9">
        <f ca="1">DATOSAÑO!AL307</f>
        <v>30.899999999983265</v>
      </c>
      <c r="AD308" s="11">
        <f ca="1">(AC308*DATOSAÑO!$Z$11)/DATOSAÑO!$Y$11</f>
        <v>0.55677666336178566</v>
      </c>
      <c r="AE308" s="9">
        <f ca="1">DATOSAÑO!CA307</f>
        <v>5.5135000000007279</v>
      </c>
      <c r="AF308" s="11">
        <f ca="1">(AE308*DATOSAÑO!$Z$11)/DATOSAÑO!$Y$11</f>
        <v>9.9345894286319514E-2</v>
      </c>
      <c r="AG308" s="9">
        <f ca="1">DATOSAÑO!CB307</f>
        <v>2.3237999999997818</v>
      </c>
      <c r="AH308" s="11">
        <f ca="1">(AG308*DATOSAÑO!$Z$11)/DATOSAÑO!$Y$11</f>
        <v>4.1871767324294401E-2</v>
      </c>
      <c r="AI308" s="9">
        <f ca="1">DATOSAÑO!BJ307</f>
        <v>0</v>
      </c>
      <c r="AJ308" s="11">
        <f ca="1">(AI308*DATOSAÑO!$Z$11)/DATOSAÑO!$Y$11</f>
        <v>0</v>
      </c>
      <c r="AK308" s="9">
        <f ca="1">DATOSAÑO!BM307</f>
        <v>2.91</v>
      </c>
      <c r="AL308" s="11">
        <f ca="1">(AK308*DATOSAÑO!$Z$11)/DATOSAÑO!$Y$11</f>
        <v>5.2434307132157729E-2</v>
      </c>
      <c r="AM308" s="9">
        <f ca="1">DATOSAÑO!BP307</f>
        <v>5.9630000000000001</v>
      </c>
      <c r="AN308" s="11">
        <f ca="1">(AM308*DATOSAÑO!$Z$11)/DATOSAÑO!$Y$11</f>
        <v>0.10744528296531153</v>
      </c>
      <c r="AO308" s="9">
        <f ca="1">DATOSAÑO!BW307</f>
        <v>12.31350000000182</v>
      </c>
      <c r="AP308" s="11">
        <f ca="1">(AO308*DATOSAÑO!$Z$11)/DATOSAÑO!$Y$11</f>
        <v>0.22187279755048786</v>
      </c>
      <c r="AQ308" s="9">
        <f ca="1">DATOSAÑO!CC307</f>
        <v>3.0761999999998544</v>
      </c>
      <c r="AR308" s="1348">
        <f ca="1">(AQ308*DATOSAÑO!$Z$11)/DATOSAÑO!$Y$11</f>
        <v>5.5429008797228861E-2</v>
      </c>
      <c r="AS308" s="1384">
        <f t="shared" si="14"/>
        <v>43</v>
      </c>
    </row>
    <row r="309" spans="1:45">
      <c r="A309" s="1408">
        <v>45224</v>
      </c>
      <c r="B309" s="1869">
        <v>45224</v>
      </c>
      <c r="C309" s="9">
        <f ca="1">DATOSAÑO!I308</f>
        <v>148</v>
      </c>
      <c r="D309" s="10">
        <f ca="1">DATOSAÑO!$D308</f>
        <v>3.8430930837374344</v>
      </c>
      <c r="E309" s="11">
        <f ca="1">DATOSAÑO!$G308</f>
        <v>0</v>
      </c>
      <c r="F309" s="9">
        <f ca="1">DATOSAÑO!P308</f>
        <v>302</v>
      </c>
      <c r="G309" s="10">
        <f ca="1">DATOSAÑO!K308</f>
        <v>5.3737289678296882</v>
      </c>
      <c r="H309" s="11">
        <f ca="1">DATOSAÑO!N308</f>
        <v>0</v>
      </c>
      <c r="I309" s="9">
        <f ca="1">DATOSAÑO!Q308</f>
        <v>0</v>
      </c>
      <c r="J309" s="11">
        <f ca="1">DATOSAÑO!R308</f>
        <v>0</v>
      </c>
      <c r="K309" s="9">
        <f ca="1">DATOSAÑO!T308</f>
        <v>0</v>
      </c>
      <c r="L309" s="11">
        <f t="shared" ca="1" si="12"/>
        <v>0</v>
      </c>
      <c r="M309" s="9"/>
      <c r="N309" s="11">
        <f t="shared" si="13"/>
        <v>0</v>
      </c>
      <c r="O309" s="9">
        <f>DATOSAÑO!CK308</f>
        <v>0</v>
      </c>
      <c r="P309" s="9">
        <f>DATOSAÑO!CL308</f>
        <v>0</v>
      </c>
      <c r="Q309" s="9">
        <f ca="1">DATOSAÑO!AD308</f>
        <v>167</v>
      </c>
      <c r="R309" s="11">
        <f ca="1">(Q309*DATOSAÑO!$Z$11)/DATOSAÑO!$Y$11</f>
        <v>3.0091165948695329</v>
      </c>
      <c r="S309" s="9">
        <f ca="1">DATOSAÑO!AF308</f>
        <v>150</v>
      </c>
      <c r="T309" s="11">
        <f ca="1">(S309*DATOSAÑO!$Z$11)/DATOSAÑO!$Y$11</f>
        <v>2.7027993367091616</v>
      </c>
      <c r="U309" s="9">
        <f ca="1">DATOSAÑO!AH308</f>
        <v>14.19999999999709</v>
      </c>
      <c r="V309" s="11">
        <f ca="1">(U309*DATOSAÑO!$Z$11)/DATOSAÑO!$Y$11</f>
        <v>0.25586500387508149</v>
      </c>
      <c r="W309" s="9">
        <f ca="1">DATOSAÑO!AI308</f>
        <v>38.69999999999709</v>
      </c>
      <c r="X309" s="11">
        <f ca="1">(W309*DATOSAÑO!$Z$11)/DATOSAÑO!$Y$11</f>
        <v>0.69732222887091111</v>
      </c>
      <c r="Y309" s="9">
        <f ca="1">DATOSAÑO!AJ308</f>
        <v>6.3999999999941792</v>
      </c>
      <c r="Z309" s="11">
        <f ca="1">(Y309*DATOSAÑO!$Z$11)/DATOSAÑO!$Y$11</f>
        <v>0.11531943836615267</v>
      </c>
      <c r="AA309" s="9">
        <f ca="1">DATOSAÑO!AK308</f>
        <v>10</v>
      </c>
      <c r="AB309" s="11">
        <f ca="1">(AA309*DATOSAÑO!$Z$11)/DATOSAÑO!$Y$11</f>
        <v>0.18018662244727743</v>
      </c>
      <c r="AC309" s="9">
        <f ca="1">DATOSAÑO!AL308</f>
        <v>32.700000000011642</v>
      </c>
      <c r="AD309" s="11">
        <f ca="1">(AC309*DATOSAÑO!$Z$11)/DATOSAÑO!$Y$11</f>
        <v>0.58921025540280692</v>
      </c>
      <c r="AE309" s="9">
        <f ca="1">DATOSAÑO!CA308</f>
        <v>4.6505000000005898</v>
      </c>
      <c r="AF309" s="11">
        <f ca="1">(AE309*DATOSAÑO!$Z$11)/DATOSAÑO!$Y$11</f>
        <v>8.3795788769116988E-2</v>
      </c>
      <c r="AG309" s="9">
        <f ca="1">DATOSAÑO!CB308</f>
        <v>2.8470000000001638</v>
      </c>
      <c r="AH309" s="11">
        <f ca="1">(AG309*DATOSAÑO!$Z$11)/DATOSAÑO!$Y$11</f>
        <v>5.1299131410742833E-2</v>
      </c>
      <c r="AI309" s="9">
        <f ca="1">DATOSAÑO!BJ308</f>
        <v>0</v>
      </c>
      <c r="AJ309" s="11">
        <f ca="1">(AI309*DATOSAÑO!$Z$11)/DATOSAÑO!$Y$11</f>
        <v>0</v>
      </c>
      <c r="AK309" s="9">
        <f ca="1">DATOSAÑO!BM308</f>
        <v>4.1980000000000004</v>
      </c>
      <c r="AL309" s="11">
        <f ca="1">(AK309*DATOSAÑO!$Z$11)/DATOSAÑO!$Y$11</f>
        <v>7.5642344103367065E-2</v>
      </c>
      <c r="AM309" s="9">
        <f ca="1">DATOSAÑO!BP308</f>
        <v>4.7009999999999996</v>
      </c>
      <c r="AN309" s="11">
        <f ca="1">(AM309*DATOSAÑO!$Z$11)/DATOSAÑO!$Y$11</f>
        <v>8.4705731212465107E-2</v>
      </c>
      <c r="AO309" s="9">
        <f ca="1">DATOSAÑO!BW308</f>
        <v>11.250499999999136</v>
      </c>
      <c r="AP309" s="11">
        <f ca="1">(AO309*DATOSAÑO!$Z$11)/DATOSAÑO!$Y$11</f>
        <v>0.2027189595842939</v>
      </c>
      <c r="AQ309" s="9">
        <f ca="1">DATOSAÑO!CC308</f>
        <v>3.353000000000109</v>
      </c>
      <c r="AR309" s="1348">
        <f ca="1">(AQ309*DATOSAÑO!$Z$11)/DATOSAÑO!$Y$11</f>
        <v>6.0416574506574089E-2</v>
      </c>
      <c r="AS309" s="1384">
        <f t="shared" si="14"/>
        <v>43</v>
      </c>
    </row>
    <row r="310" spans="1:45">
      <c r="A310" s="1408">
        <v>45225</v>
      </c>
      <c r="B310" s="1869">
        <v>45225</v>
      </c>
      <c r="C310" s="9">
        <f ca="1">DATOSAÑO!I309</f>
        <v>150</v>
      </c>
      <c r="D310" s="10">
        <f ca="1">DATOSAÑO!$D309</f>
        <v>3.8601102333530459</v>
      </c>
      <c r="E310" s="11">
        <f ca="1">DATOSAÑO!$G309</f>
        <v>0</v>
      </c>
      <c r="F310" s="9">
        <f ca="1">DATOSAÑO!P309</f>
        <v>294</v>
      </c>
      <c r="G310" s="10">
        <f ca="1">DATOSAÑO!K309</f>
        <v>5.2772984533412188</v>
      </c>
      <c r="H310" s="11">
        <f ca="1">DATOSAÑO!N309</f>
        <v>0</v>
      </c>
      <c r="I310" s="9">
        <f ca="1">DATOSAÑO!Q309</f>
        <v>0</v>
      </c>
      <c r="J310" s="11">
        <f ca="1">DATOSAÑO!R309</f>
        <v>0</v>
      </c>
      <c r="K310" s="9">
        <f ca="1">DATOSAÑO!T309</f>
        <v>0</v>
      </c>
      <c r="L310" s="11">
        <f t="shared" ca="1" si="12"/>
        <v>0</v>
      </c>
      <c r="M310" s="9"/>
      <c r="N310" s="11">
        <f t="shared" si="13"/>
        <v>0</v>
      </c>
      <c r="O310" s="9">
        <f>DATOSAÑO!CK309</f>
        <v>0</v>
      </c>
      <c r="P310" s="9">
        <f>DATOSAÑO!CL309</f>
        <v>0</v>
      </c>
      <c r="Q310" s="9">
        <f ca="1">DATOSAÑO!AD309</f>
        <v>168</v>
      </c>
      <c r="R310" s="11">
        <f ca="1">(Q310*DATOSAÑO!$Z$11)/DATOSAÑO!$Y$11</f>
        <v>3.0271352571142609</v>
      </c>
      <c r="S310" s="9">
        <f ca="1">DATOSAÑO!AF309</f>
        <v>152</v>
      </c>
      <c r="T310" s="11">
        <f ca="1">(S310*DATOSAÑO!$Z$11)/DATOSAÑO!$Y$11</f>
        <v>2.7388366611986168</v>
      </c>
      <c r="U310" s="9">
        <f ca="1">DATOSAÑO!AH309</f>
        <v>6.1999999999989086</v>
      </c>
      <c r="V310" s="11">
        <f ca="1">(U310*DATOSAÑO!$Z$11)/DATOSAÑO!$Y$11</f>
        <v>0.11171570591729234</v>
      </c>
      <c r="W310" s="9">
        <f ca="1">DATOSAÑO!AI309</f>
        <v>37.600000000005821</v>
      </c>
      <c r="X310" s="11">
        <f ca="1">(W310*DATOSAÑO!$Z$11)/DATOSAÑO!$Y$11</f>
        <v>0.67750170040186797</v>
      </c>
      <c r="Y310" s="9">
        <f ca="1">DATOSAÑO!AJ309</f>
        <v>6</v>
      </c>
      <c r="Z310" s="11">
        <f ca="1">(Y310*DATOSAÑO!$Z$11)/DATOSAÑO!$Y$11</f>
        <v>0.10811197346836646</v>
      </c>
      <c r="AA310" s="9">
        <f ca="1">DATOSAÑO!AK309</f>
        <v>9</v>
      </c>
      <c r="AB310" s="11">
        <f ca="1">(AA310*DATOSAÑO!$Z$11)/DATOSAÑO!$Y$11</f>
        <v>0.16216796020254967</v>
      </c>
      <c r="AC310" s="9">
        <f ca="1">DATOSAÑO!AL309</f>
        <v>34.599999999996726</v>
      </c>
      <c r="AD310" s="11">
        <f ca="1">(AC310*DATOSAÑO!$Z$11)/DATOSAÑO!$Y$11</f>
        <v>0.62344571366752088</v>
      </c>
      <c r="AE310" s="9">
        <f ca="1">DATOSAÑO!CA309</f>
        <v>4.2554999999987277</v>
      </c>
      <c r="AF310" s="11">
        <f ca="1">(AE310*DATOSAÑO!$Z$11)/DATOSAÑO!$Y$11</f>
        <v>7.6678417182415984E-2</v>
      </c>
      <c r="AG310" s="9">
        <f ca="1">DATOSAÑO!CB309</f>
        <v>2.6892</v>
      </c>
      <c r="AH310" s="11">
        <f ca="1">(AG310*DATOSAÑO!$Z$11)/DATOSAÑO!$Y$11</f>
        <v>4.8455786508521843E-2</v>
      </c>
      <c r="AI310" s="9">
        <f ca="1">DATOSAÑO!BJ309</f>
        <v>0</v>
      </c>
      <c r="AJ310" s="11">
        <f ca="1">(AI310*DATOSAÑO!$Z$11)/DATOSAÑO!$Y$11</f>
        <v>0</v>
      </c>
      <c r="AK310" s="9">
        <f ca="1">DATOSAÑO!BM309</f>
        <v>6.3540000000000001</v>
      </c>
      <c r="AL310" s="11">
        <f ca="1">(AK310*DATOSAÑO!$Z$11)/DATOSAÑO!$Y$11</f>
        <v>0.11449057990300007</v>
      </c>
      <c r="AM310" s="9">
        <f ca="1">DATOSAÑO!BP309</f>
        <v>2.9350000000000001</v>
      </c>
      <c r="AN310" s="11">
        <f ca="1">(AM310*DATOSAÑO!$Z$11)/DATOSAÑO!$Y$11</f>
        <v>5.2884773688275925E-2</v>
      </c>
      <c r="AO310" s="9">
        <f ca="1">DATOSAÑO!BW309</f>
        <v>11.055499999999819</v>
      </c>
      <c r="AP310" s="11">
        <f ca="1">(AO310*DATOSAÑO!$Z$11)/DATOSAÑO!$Y$11</f>
        <v>0.19920532044658429</v>
      </c>
      <c r="AQ310" s="9">
        <f ca="1">DATOSAÑO!CC309</f>
        <v>3.3108000000000004</v>
      </c>
      <c r="AR310" s="1348">
        <f ca="1">(AQ310*DATOSAÑO!$Z$11)/DATOSAÑO!$Y$11</f>
        <v>5.9656186959844613E-2</v>
      </c>
      <c r="AS310" s="1384">
        <f t="shared" si="14"/>
        <v>43</v>
      </c>
    </row>
    <row r="311" spans="1:45">
      <c r="A311" s="1408">
        <v>45226</v>
      </c>
      <c r="B311" s="1869">
        <v>45226</v>
      </c>
      <c r="C311" s="9">
        <f ca="1">DATOSAÑO!I310</f>
        <v>226</v>
      </c>
      <c r="D311" s="10">
        <f ca="1">DATOSAÑO!$D310</f>
        <v>4.5067619187463048</v>
      </c>
      <c r="E311" s="11">
        <f ca="1">DATOSAÑO!$G310</f>
        <v>0</v>
      </c>
      <c r="F311" s="9">
        <f ca="1">DATOSAÑO!P310</f>
        <v>214</v>
      </c>
      <c r="G311" s="10">
        <f ca="1">DATOSAÑO!K310</f>
        <v>4.3129933084565364</v>
      </c>
      <c r="H311" s="11">
        <f ca="1">DATOSAÑO!N310</f>
        <v>0</v>
      </c>
      <c r="I311" s="9">
        <f ca="1">DATOSAÑO!Q310</f>
        <v>0</v>
      </c>
      <c r="J311" s="11">
        <f ca="1">DATOSAÑO!R310</f>
        <v>0</v>
      </c>
      <c r="K311" s="9">
        <f ca="1">DATOSAÑO!T310</f>
        <v>0</v>
      </c>
      <c r="L311" s="11">
        <f t="shared" ca="1" si="12"/>
        <v>0</v>
      </c>
      <c r="M311" s="9"/>
      <c r="N311" s="11">
        <f t="shared" si="13"/>
        <v>0</v>
      </c>
      <c r="O311" s="9">
        <f>DATOSAÑO!CK310</f>
        <v>0</v>
      </c>
      <c r="P311" s="9">
        <f>DATOSAÑO!CL310</f>
        <v>0</v>
      </c>
      <c r="Q311" s="9">
        <f ca="1">DATOSAÑO!AD310</f>
        <v>166</v>
      </c>
      <c r="R311" s="11">
        <f ca="1">(Q311*DATOSAÑO!$Z$11)/DATOSAÑO!$Y$11</f>
        <v>2.9910979326248053</v>
      </c>
      <c r="S311" s="9">
        <f ca="1">DATOSAÑO!AF310</f>
        <v>150</v>
      </c>
      <c r="T311" s="11">
        <f ca="1">(S311*DATOSAÑO!$Z$11)/DATOSAÑO!$Y$11</f>
        <v>2.7027993367091616</v>
      </c>
      <c r="U311" s="9">
        <f ca="1">DATOSAÑO!AH310</f>
        <v>9.6000000000003638</v>
      </c>
      <c r="V311" s="11">
        <f ca="1">(U311*DATOSAÑO!$Z$11)/DATOSAÑO!$Y$11</f>
        <v>0.17297915754939289</v>
      </c>
      <c r="W311" s="9">
        <f ca="1">DATOSAÑO!AI310</f>
        <v>37</v>
      </c>
      <c r="X311" s="11">
        <f ca="1">(W311*DATOSAÑO!$Z$11)/DATOSAÑO!$Y$11</f>
        <v>0.6666905030549265</v>
      </c>
      <c r="Y311" s="9">
        <f ca="1">DATOSAÑO!AJ310</f>
        <v>7.1000000000058208</v>
      </c>
      <c r="Z311" s="11">
        <f ca="1">(Y311*DATOSAÑO!$Z$11)/DATOSAÑO!$Y$11</f>
        <v>0.12793250193767186</v>
      </c>
      <c r="AA311" s="9">
        <f ca="1">DATOSAÑO!AK310</f>
        <v>9</v>
      </c>
      <c r="AB311" s="11">
        <f ca="1">(AA311*DATOSAÑO!$Z$11)/DATOSAÑO!$Y$11</f>
        <v>0.16216796020254967</v>
      </c>
      <c r="AC311" s="9">
        <f ca="1">DATOSAÑO!AL310</f>
        <v>31.099999999993088</v>
      </c>
      <c r="AD311" s="11">
        <f ca="1">(AC311*DATOSAÑO!$Z$11)/DATOSAÑO!$Y$11</f>
        <v>0.56038039581090826</v>
      </c>
      <c r="AE311" s="9">
        <f ca="1">DATOSAÑO!CA310</f>
        <v>5.1530000000000467</v>
      </c>
      <c r="AF311" s="11">
        <f ca="1">(AE311*DATOSAÑO!$Z$11)/DATOSAÑO!$Y$11</f>
        <v>9.2850166547082905E-2</v>
      </c>
      <c r="AG311" s="9">
        <f ca="1">DATOSAÑO!CB310</f>
        <v>2.007600000000382</v>
      </c>
      <c r="AH311" s="11">
        <f ca="1">(AG311*DATOSAÑO!$Z$11)/DATOSAÑO!$Y$11</f>
        <v>3.6174266322522297E-2</v>
      </c>
      <c r="AI311" s="9">
        <f ca="1">DATOSAÑO!BJ310</f>
        <v>0</v>
      </c>
      <c r="AJ311" s="11">
        <f ca="1">(AI311*DATOSAÑO!$Z$11)/DATOSAÑO!$Y$11</f>
        <v>0</v>
      </c>
      <c r="AK311" s="9">
        <f ca="1">DATOSAÑO!BM310</f>
        <v>5.8209999999999997</v>
      </c>
      <c r="AL311" s="11">
        <f ca="1">(AK311*DATOSAÑO!$Z$11)/DATOSAÑO!$Y$11</f>
        <v>0.10488663292656018</v>
      </c>
      <c r="AM311" s="9">
        <f ca="1">DATOSAÑO!BP310</f>
        <v>2.7730000000000001</v>
      </c>
      <c r="AN311" s="11">
        <f ca="1">(AM311*DATOSAÑO!$Z$11)/DATOSAÑO!$Y$11</f>
        <v>4.9965750404630034E-2</v>
      </c>
      <c r="AO311" s="9">
        <f ca="1">DATOSAÑO!BW310</f>
        <v>11.653000000000047</v>
      </c>
      <c r="AP311" s="11">
        <f ca="1">(AO311*DATOSAÑO!$Z$11)/DATOSAÑO!$Y$11</f>
        <v>0.20997147113781323</v>
      </c>
      <c r="AQ311" s="9">
        <f ca="1">DATOSAÑO!CC310</f>
        <v>2.7924000000002547</v>
      </c>
      <c r="AR311" s="1348">
        <f ca="1">(AQ311*DATOSAÑO!$Z$11)/DATOSAÑO!$Y$11</f>
        <v>5.0315312452182334E-2</v>
      </c>
      <c r="AS311" s="1384">
        <f t="shared" si="14"/>
        <v>43</v>
      </c>
    </row>
    <row r="312" spans="1:45">
      <c r="A312" s="1408">
        <v>45227</v>
      </c>
      <c r="B312" s="1869">
        <v>45227</v>
      </c>
      <c r="C312" s="9">
        <f ca="1">DATOSAÑO!I311</f>
        <v>294</v>
      </c>
      <c r="D312" s="10">
        <f ca="1">DATOSAÑO!$D311</f>
        <v>5.0853450056771159</v>
      </c>
      <c r="E312" s="11">
        <f ca="1">DATOSAÑO!$G311</f>
        <v>0</v>
      </c>
      <c r="F312" s="9">
        <f ca="1">DATOSAÑO!P311</f>
        <v>150</v>
      </c>
      <c r="G312" s="10">
        <f ca="1">DATOSAÑO!K311</f>
        <v>3.5415491925487905</v>
      </c>
      <c r="H312" s="11">
        <f ca="1">DATOSAÑO!N311</f>
        <v>0</v>
      </c>
      <c r="I312" s="9">
        <f ca="1">DATOSAÑO!Q311</f>
        <v>0</v>
      </c>
      <c r="J312" s="11">
        <f ca="1">DATOSAÑO!R311</f>
        <v>0</v>
      </c>
      <c r="K312" s="9">
        <f ca="1">DATOSAÑO!T311</f>
        <v>0</v>
      </c>
      <c r="L312" s="11">
        <f t="shared" ca="1" si="12"/>
        <v>0</v>
      </c>
      <c r="M312" s="9"/>
      <c r="N312" s="11">
        <f t="shared" si="13"/>
        <v>0</v>
      </c>
      <c r="O312" s="9">
        <f>DATOSAÑO!CK311</f>
        <v>0</v>
      </c>
      <c r="P312" s="9">
        <f>DATOSAÑO!CL311</f>
        <v>0</v>
      </c>
      <c r="Q312" s="9">
        <f ca="1">DATOSAÑO!AD311</f>
        <v>166</v>
      </c>
      <c r="R312" s="11">
        <f ca="1">(Q312*DATOSAÑO!$Z$11)/DATOSAÑO!$Y$11</f>
        <v>2.9910979326248053</v>
      </c>
      <c r="S312" s="9">
        <f ca="1">DATOSAÑO!AF311</f>
        <v>151</v>
      </c>
      <c r="T312" s="11">
        <f ca="1">(S312*DATOSAÑO!$Z$11)/DATOSAÑO!$Y$11</f>
        <v>2.7208179989538892</v>
      </c>
      <c r="U312" s="9">
        <f ca="1">DATOSAÑO!AH311</f>
        <v>5.7000000000043656</v>
      </c>
      <c r="V312" s="11">
        <f ca="1">(U312*DATOSAÑO!$Z$11)/DATOSAÑO!$Y$11</f>
        <v>0.1027063747950268</v>
      </c>
      <c r="W312" s="9">
        <f ca="1">DATOSAÑO!AI311</f>
        <v>40.19999999999709</v>
      </c>
      <c r="X312" s="11">
        <f ca="1">(W312*DATOSAÑO!$Z$11)/DATOSAÑO!$Y$11</f>
        <v>0.72435022223800283</v>
      </c>
      <c r="Y312" s="9">
        <f ca="1">DATOSAÑO!AJ311</f>
        <v>8</v>
      </c>
      <c r="Z312" s="11">
        <f ca="1">(Y312*DATOSAÑO!$Z$11)/DATOSAÑO!$Y$11</f>
        <v>0.14414929795782194</v>
      </c>
      <c r="AA312" s="9">
        <f ca="1">DATOSAÑO!AK311</f>
        <v>8</v>
      </c>
      <c r="AB312" s="11">
        <f ca="1">(AA312*DATOSAÑO!$Z$11)/DATOSAÑO!$Y$11</f>
        <v>0.14414929795782194</v>
      </c>
      <c r="AC312" s="9">
        <f ca="1">DATOSAÑO!AL311</f>
        <v>34.69999999999709</v>
      </c>
      <c r="AD312" s="11">
        <f ca="1">(AC312*DATOSAÑO!$Z$11)/DATOSAÑO!$Y$11</f>
        <v>0.62524757989200019</v>
      </c>
      <c r="AE312" s="9">
        <f ca="1">DATOSAÑO!CA311</f>
        <v>5.1825000000016468</v>
      </c>
      <c r="AF312" s="11">
        <f ca="1">(AE312*DATOSAÑO!$Z$11)/DATOSAÑO!$Y$11</f>
        <v>9.3381717083331192E-2</v>
      </c>
      <c r="AG312" s="9">
        <f ca="1">DATOSAÑO!CB311</f>
        <v>2.0111999999995529</v>
      </c>
      <c r="AH312" s="11">
        <f ca="1">(AG312*DATOSAÑO!$Z$11)/DATOSAÑO!$Y$11</f>
        <v>3.6239133506588382E-2</v>
      </c>
      <c r="AI312" s="9">
        <f ca="1">DATOSAÑO!BJ311</f>
        <v>0</v>
      </c>
      <c r="AJ312" s="11">
        <f ca="1">(AI312*DATOSAÑO!$Z$11)/DATOSAÑO!$Y$11</f>
        <v>0</v>
      </c>
      <c r="AK312" s="9">
        <f ca="1">DATOSAÑO!BM311</f>
        <v>5.4119999999999999</v>
      </c>
      <c r="AL312" s="11">
        <f ca="1">(AK312*DATOSAÑO!$Z$11)/DATOSAÑO!$Y$11</f>
        <v>9.7517000068466531E-2</v>
      </c>
      <c r="AM312" s="9">
        <f ca="1">DATOSAÑO!BP311</f>
        <v>3.073</v>
      </c>
      <c r="AN312" s="11">
        <f ca="1">(AM312*DATOSAÑO!$Z$11)/DATOSAÑO!$Y$11</f>
        <v>5.5371349078048353E-2</v>
      </c>
      <c r="AO312" s="9">
        <f ca="1">DATOSAÑO!BW311</f>
        <v>11.882500000000555</v>
      </c>
      <c r="AP312" s="11">
        <f ca="1">(AO312*DATOSAÑO!$Z$11)/DATOSAÑO!$Y$11</f>
        <v>0.21410675412298738</v>
      </c>
      <c r="AQ312" s="9">
        <f ca="1">DATOSAÑO!CC311</f>
        <v>2.8387999999997025</v>
      </c>
      <c r="AR312" s="1348">
        <f ca="1">(AQ312*DATOSAÑO!$Z$11)/DATOSAÑO!$Y$11</f>
        <v>5.1151378380327753E-2</v>
      </c>
      <c r="AS312" s="1384">
        <f t="shared" si="14"/>
        <v>43</v>
      </c>
    </row>
    <row r="313" spans="1:45">
      <c r="A313" s="1408">
        <v>45228</v>
      </c>
      <c r="B313" s="1869">
        <v>45228</v>
      </c>
      <c r="C313" s="9">
        <f ca="1">DATOSAÑO!I312</f>
        <v>290</v>
      </c>
      <c r="D313" s="10">
        <f ca="1">DATOSAÑO!$D312</f>
        <v>5.0513107064458911</v>
      </c>
      <c r="E313" s="11">
        <f ca="1">DATOSAÑO!$G312</f>
        <v>0</v>
      </c>
      <c r="F313" s="9">
        <f ca="1">DATOSAÑO!P312</f>
        <v>150</v>
      </c>
      <c r="G313" s="10">
        <f ca="1">DATOSAÑO!K312</f>
        <v>3.5415491925487905</v>
      </c>
      <c r="H313" s="11">
        <f ca="1">DATOSAÑO!N312</f>
        <v>0</v>
      </c>
      <c r="I313" s="9">
        <f ca="1">DATOSAÑO!Q312</f>
        <v>0</v>
      </c>
      <c r="J313" s="11">
        <f ca="1">DATOSAÑO!R312</f>
        <v>0</v>
      </c>
      <c r="K313" s="9">
        <f ca="1">DATOSAÑO!T312</f>
        <v>0</v>
      </c>
      <c r="L313" s="11">
        <f t="shared" ca="1" si="12"/>
        <v>0</v>
      </c>
      <c r="M313" s="9"/>
      <c r="N313" s="11">
        <f t="shared" si="13"/>
        <v>0</v>
      </c>
      <c r="O313" s="9">
        <f>DATOSAÑO!CK312</f>
        <v>0</v>
      </c>
      <c r="P313" s="9">
        <f>DATOSAÑO!CL312</f>
        <v>0</v>
      </c>
      <c r="Q313" s="9">
        <f ca="1">DATOSAÑO!AD312</f>
        <v>164</v>
      </c>
      <c r="R313" s="11">
        <f ca="1">(Q313*DATOSAÑO!$Z$11)/DATOSAÑO!$Y$11</f>
        <v>2.9550606081353497</v>
      </c>
      <c r="S313" s="9">
        <f ca="1">DATOSAÑO!AF312</f>
        <v>151</v>
      </c>
      <c r="T313" s="11">
        <f ca="1">(S313*DATOSAÑO!$Z$11)/DATOSAÑO!$Y$11</f>
        <v>2.7208179989538892</v>
      </c>
      <c r="U313" s="9">
        <f ca="1">DATOSAÑO!AH312</f>
        <v>9.0999999999985448</v>
      </c>
      <c r="V313" s="11">
        <f ca="1">(U313*DATOSAÑO!$Z$11)/DATOSAÑO!$Y$11</f>
        <v>0.16396982642699626</v>
      </c>
      <c r="W313" s="9">
        <f ca="1">DATOSAÑO!AI312</f>
        <v>40.19999999999709</v>
      </c>
      <c r="X313" s="11">
        <f ca="1">(W313*DATOSAÑO!$Z$11)/DATOSAÑO!$Y$11</f>
        <v>0.72435022223800283</v>
      </c>
      <c r="Y313" s="9">
        <f ca="1">DATOSAÑO!AJ312</f>
        <v>6.1999999999970896</v>
      </c>
      <c r="Z313" s="11">
        <f ca="1">(Y313*DATOSAÑO!$Z$11)/DATOSAÑO!$Y$11</f>
        <v>0.11171570591725957</v>
      </c>
      <c r="AA313" s="9">
        <f ca="1">DATOSAÑO!AK312</f>
        <v>8</v>
      </c>
      <c r="AB313" s="11">
        <f ca="1">(AA313*DATOSAÑO!$Z$11)/DATOSAÑO!$Y$11</f>
        <v>0.14414929795782194</v>
      </c>
      <c r="AC313" s="9">
        <f ca="1">DATOSAÑO!AL312</f>
        <v>31.200000000008004</v>
      </c>
      <c r="AD313" s="11">
        <f ca="1">(AC313*DATOSAÑO!$Z$11)/DATOSAÑO!$Y$11</f>
        <v>0.5621822620356498</v>
      </c>
      <c r="AE313" s="9">
        <f ca="1">DATOSAÑO!CA312</f>
        <v>6.2444999999987729</v>
      </c>
      <c r="AF313" s="11">
        <f ca="1">(AE313*DATOSAÑO!$Z$11)/DATOSAÑO!$Y$11</f>
        <v>0.11251753638718026</v>
      </c>
      <c r="AG313" s="9">
        <f ca="1">DATOSAÑO!CB312</f>
        <v>2.0268000000003821</v>
      </c>
      <c r="AH313" s="11">
        <f ca="1">(AG313*DATOSAÑO!$Z$11)/DATOSAÑO!$Y$11</f>
        <v>3.6520224637621071E-2</v>
      </c>
      <c r="AI313" s="9">
        <f ca="1">DATOSAÑO!BJ312</f>
        <v>0</v>
      </c>
      <c r="AJ313" s="11">
        <f ca="1">(AI313*DATOSAÑO!$Z$11)/DATOSAÑO!$Y$11</f>
        <v>0</v>
      </c>
      <c r="AK313" s="9">
        <f ca="1">DATOSAÑO!BM312</f>
        <v>5.093</v>
      </c>
      <c r="AL313" s="11">
        <f ca="1">(AK313*DATOSAÑO!$Z$11)/DATOSAÑO!$Y$11</f>
        <v>9.1769046812398392E-2</v>
      </c>
      <c r="AM313" s="9">
        <f ca="1">DATOSAÑO!BP312</f>
        <v>2.6179999999999999</v>
      </c>
      <c r="AN313" s="11">
        <f ca="1">(AM313*DATOSAÑO!$Z$11)/DATOSAÑO!$Y$11</f>
        <v>4.7172857756697224E-2</v>
      </c>
      <c r="AO313" s="9">
        <f ca="1">DATOSAÑO!BW312</f>
        <v>11.544499999999864</v>
      </c>
      <c r="AP313" s="11">
        <f ca="1">(AO313*DATOSAÑO!$Z$11)/DATOSAÑO!$Y$11</f>
        <v>0.20801644628425697</v>
      </c>
      <c r="AQ313" s="9">
        <f ca="1">DATOSAÑO!CC312</f>
        <v>2.773200000000255</v>
      </c>
      <c r="AR313" s="1348">
        <f ca="1">(AQ313*DATOSAÑO!$Z$11)/DATOSAÑO!$Y$11</f>
        <v>4.9969354137083567E-2</v>
      </c>
      <c r="AS313" s="1384">
        <f t="shared" si="14"/>
        <v>44</v>
      </c>
    </row>
    <row r="314" spans="1:45">
      <c r="A314" s="1408">
        <v>45229</v>
      </c>
      <c r="B314" s="1869">
        <v>45229</v>
      </c>
      <c r="C314" s="9">
        <f ca="1">DATOSAÑO!I313</f>
        <v>286</v>
      </c>
      <c r="D314" s="10">
        <f ca="1">DATOSAÑO!$D313</f>
        <v>5.0172764072146672</v>
      </c>
      <c r="E314" s="11">
        <f ca="1">DATOSAÑO!$G313</f>
        <v>0</v>
      </c>
      <c r="F314" s="9">
        <f ca="1">DATOSAÑO!P313</f>
        <v>148</v>
      </c>
      <c r="G314" s="10">
        <f ca="1">DATOSAÑO!K313</f>
        <v>3.5174415639266741</v>
      </c>
      <c r="H314" s="11">
        <f ca="1">DATOSAÑO!N313</f>
        <v>0</v>
      </c>
      <c r="I314" s="9">
        <f ca="1">DATOSAÑO!Q313</f>
        <v>0</v>
      </c>
      <c r="J314" s="11">
        <f ca="1">DATOSAÑO!R313</f>
        <v>0</v>
      </c>
      <c r="K314" s="9">
        <f ca="1">DATOSAÑO!T313</f>
        <v>0</v>
      </c>
      <c r="L314" s="11">
        <f t="shared" ca="1" si="12"/>
        <v>0</v>
      </c>
      <c r="M314" s="9"/>
      <c r="N314" s="11">
        <f t="shared" si="13"/>
        <v>0</v>
      </c>
      <c r="O314" s="9">
        <f>DATOSAÑO!CK313</f>
        <v>0</v>
      </c>
      <c r="P314" s="9">
        <f>DATOSAÑO!CL313</f>
        <v>0</v>
      </c>
      <c r="Q314" s="9">
        <f ca="1">DATOSAÑO!AD313</f>
        <v>160</v>
      </c>
      <c r="R314" s="11">
        <f ca="1">(Q314*DATOSAÑO!$Z$11)/DATOSAÑO!$Y$11</f>
        <v>2.8829859591564388</v>
      </c>
      <c r="S314" s="9">
        <f ca="1">DATOSAÑO!AF313</f>
        <v>150</v>
      </c>
      <c r="T314" s="11">
        <f ca="1">(S314*DATOSAÑO!$Z$11)/DATOSAÑO!$Y$11</f>
        <v>2.7027993367091616</v>
      </c>
      <c r="U314" s="9">
        <f ca="1">DATOSAÑO!AH313</f>
        <v>8.2999999999974534</v>
      </c>
      <c r="V314" s="11">
        <f ca="1">(U314*DATOSAÑO!$Z$11)/DATOSAÑO!$Y$11</f>
        <v>0.14955489663119437</v>
      </c>
      <c r="W314" s="9">
        <f ca="1">DATOSAÑO!AI313</f>
        <v>39.899999999994179</v>
      </c>
      <c r="X314" s="11">
        <f ca="1">(W314*DATOSAÑO!$Z$11)/DATOSAÑO!$Y$11</f>
        <v>0.71894462356453204</v>
      </c>
      <c r="Y314" s="9">
        <f ca="1">DATOSAÑO!AJ313</f>
        <v>7</v>
      </c>
      <c r="Z314" s="11">
        <f ca="1">(Y314*DATOSAÑO!$Z$11)/DATOSAÑO!$Y$11</f>
        <v>0.12613063571309419</v>
      </c>
      <c r="AA314" s="9">
        <f ca="1">DATOSAÑO!AK313</f>
        <v>8</v>
      </c>
      <c r="AB314" s="11">
        <f ca="1">(AA314*DATOSAÑO!$Z$11)/DATOSAÑO!$Y$11</f>
        <v>0.14414929795782194</v>
      </c>
      <c r="AC314" s="9">
        <f ca="1">DATOSAÑO!AL313</f>
        <v>32.60000000000764</v>
      </c>
      <c r="AD314" s="11">
        <f ca="1">(AC314*DATOSAÑO!$Z$11)/DATOSAÑO!$Y$11</f>
        <v>0.58740838917826199</v>
      </c>
      <c r="AE314" s="9">
        <f ca="1">DATOSAÑO!CA313</f>
        <v>4.9980000000010918</v>
      </c>
      <c r="AF314" s="11">
        <f ca="1">(AE314*DATOSAÑO!$Z$11)/DATOSAÑO!$Y$11</f>
        <v>9.0057273899168927E-2</v>
      </c>
      <c r="AG314" s="9">
        <f ca="1">DATOSAÑO!CB313</f>
        <v>2.0507999999997812</v>
      </c>
      <c r="AH314" s="11">
        <f ca="1">(AG314*DATOSAÑO!$Z$11)/DATOSAÑO!$Y$11</f>
        <v>3.695267253148371E-2</v>
      </c>
      <c r="AI314" s="9">
        <f ca="1">DATOSAÑO!BJ313</f>
        <v>0</v>
      </c>
      <c r="AJ314" s="11">
        <f ca="1">(AI314*DATOSAÑO!$Z$11)/DATOSAÑO!$Y$11</f>
        <v>0</v>
      </c>
      <c r="AK314" s="9">
        <f ca="1">DATOSAÑO!BM313</f>
        <v>4.6189999999999998</v>
      </c>
      <c r="AL314" s="11">
        <f ca="1">(AK314*DATOSAÑO!$Z$11)/DATOSAÑO!$Y$11</f>
        <v>8.3228200908397443E-2</v>
      </c>
      <c r="AM314" s="9">
        <f ca="1">DATOSAÑO!BP313</f>
        <v>3.4849999999999999</v>
      </c>
      <c r="AN314" s="11">
        <f ca="1">(AM314*DATOSAÑO!$Z$11)/DATOSAÑO!$Y$11</f>
        <v>6.2795037922876176E-2</v>
      </c>
      <c r="AO314" s="9">
        <f ca="1">DATOSAÑO!BW313</f>
        <v>10.198</v>
      </c>
      <c r="AP314" s="11">
        <f ca="1">(AO314*DATOSAÑO!$Z$11)/DATOSAÑO!$Y$11</f>
        <v>0.18375431757173352</v>
      </c>
      <c r="AQ314" s="9">
        <f ca="1">DATOSAÑO!CC313</f>
        <v>2.8491999999998545</v>
      </c>
      <c r="AR314" s="1348">
        <f ca="1">(AQ314*DATOSAÑO!$Z$11)/DATOSAÑO!$Y$11</f>
        <v>5.133877246767566E-2</v>
      </c>
      <c r="AS314" s="1384">
        <f t="shared" si="14"/>
        <v>44</v>
      </c>
    </row>
    <row r="315" spans="1:45" ht="15" thickBot="1">
      <c r="A315" s="1408">
        <v>45230</v>
      </c>
      <c r="B315" s="1870">
        <v>45230</v>
      </c>
      <c r="C315" s="63">
        <f ca="1">DATOSAÑO!I314</f>
        <v>240</v>
      </c>
      <c r="D315" s="64">
        <f ca="1">DATOSAÑO!$D314</f>
        <v>4.625881966055589</v>
      </c>
      <c r="E315" s="65">
        <f ca="1">DATOSAÑO!$G314</f>
        <v>0</v>
      </c>
      <c r="F315" s="63">
        <f ca="1">DATOSAÑO!P314</f>
        <v>209</v>
      </c>
      <c r="G315" s="64">
        <f ca="1">DATOSAÑO!K314</f>
        <v>4.2527242369012441</v>
      </c>
      <c r="H315" s="65">
        <f ca="1">DATOSAÑO!N314</f>
        <v>0</v>
      </c>
      <c r="I315" s="63">
        <f ca="1">DATOSAÑO!Q314</f>
        <v>0</v>
      </c>
      <c r="J315" s="65">
        <f ca="1">DATOSAÑO!R314</f>
        <v>0</v>
      </c>
      <c r="K315" s="9">
        <f ca="1">DATOSAÑO!T314</f>
        <v>0.25700000000006185</v>
      </c>
      <c r="L315" s="65">
        <f t="shared" ca="1" si="12"/>
        <v>30.840000000007421</v>
      </c>
      <c r="M315" s="63"/>
      <c r="N315" s="65">
        <f t="shared" si="13"/>
        <v>0</v>
      </c>
      <c r="O315" s="63">
        <f>DATOSAÑO!CK314</f>
        <v>0</v>
      </c>
      <c r="P315" s="62">
        <f>DATOSAÑO!CL314</f>
        <v>0.3</v>
      </c>
      <c r="Q315" s="9">
        <f ca="1">DATOSAÑO!AD314</f>
        <v>167</v>
      </c>
      <c r="R315" s="65">
        <f ca="1">(Q315*DATOSAÑO!$Z$11)/DATOSAÑO!$Y$11</f>
        <v>3.0091165948695329</v>
      </c>
      <c r="S315" s="9">
        <f ca="1">DATOSAÑO!AF314</f>
        <v>150</v>
      </c>
      <c r="T315" s="65">
        <f ca="1">(S315*DATOSAÑO!$Z$11)/DATOSAÑO!$Y$11</f>
        <v>2.7027993367091616</v>
      </c>
      <c r="U315" s="9">
        <f ca="1">DATOSAÑO!AH314</f>
        <v>10.100000000005821</v>
      </c>
      <c r="V315" s="65">
        <f ca="1">(U315*DATOSAÑO!$Z$11)/DATOSAÑO!$Y$11</f>
        <v>0.18198848867185508</v>
      </c>
      <c r="W315" s="9">
        <f ca="1">DATOSAÑO!AI314</f>
        <v>41.400000000008731</v>
      </c>
      <c r="X315" s="65">
        <f ca="1">(W315*DATOSAÑO!$Z$11)/DATOSAÑO!$Y$11</f>
        <v>0.74597261693188588</v>
      </c>
      <c r="Y315" s="9">
        <f ca="1">DATOSAÑO!AJ314</f>
        <v>6</v>
      </c>
      <c r="Z315" s="65">
        <f ca="1">(Y315*DATOSAÑO!$Z$11)/DATOSAÑO!$Y$11</f>
        <v>0.10811197346836646</v>
      </c>
      <c r="AA315" s="9">
        <f ca="1">DATOSAÑO!AK314</f>
        <v>9</v>
      </c>
      <c r="AB315" s="65">
        <f ca="1">(AA315*DATOSAÑO!$Z$11)/DATOSAÑO!$Y$11</f>
        <v>0.16216796020254967</v>
      </c>
      <c r="AC315" s="9">
        <f ca="1">DATOSAÑO!AL314</f>
        <v>33.899999999986903</v>
      </c>
      <c r="AD315" s="1109">
        <f ca="1">(AC315*DATOSAÑO!$Z$11)/DATOSAÑO!$Y$11</f>
        <v>0.61083265009603449</v>
      </c>
      <c r="AE315" s="63">
        <f ca="1">DATOSAÑO!CA314</f>
        <v>6.6234999999988844</v>
      </c>
      <c r="AF315" s="65">
        <f ca="1">(AE315*DATOSAÑO!$Z$11)/DATOSAÑO!$Y$11</f>
        <v>0.11934660937793409</v>
      </c>
      <c r="AG315" s="63">
        <f ca="1">DATOSAÑO!CB314</f>
        <v>1.9997999999998477</v>
      </c>
      <c r="AH315" s="65">
        <f ca="1">(AG315*DATOSAÑO!$Z$11)/DATOSAÑO!$Y$11</f>
        <v>3.6033720757003791E-2</v>
      </c>
      <c r="AI315" s="63">
        <f ca="1">DATOSAÑO!BJ314</f>
        <v>0</v>
      </c>
      <c r="AJ315" s="65">
        <f ca="1">(AI315*DATOSAÑO!$Z$11)/DATOSAÑO!$Y$11</f>
        <v>0</v>
      </c>
      <c r="AK315" s="63">
        <f ca="1">DATOSAÑO!BM314</f>
        <v>4.7709999999999999</v>
      </c>
      <c r="AL315" s="65">
        <f ca="1">(AK315*DATOSAÑO!$Z$11)/DATOSAÑO!$Y$11</f>
        <v>8.5967037569596061E-2</v>
      </c>
      <c r="AM315" s="63">
        <f ca="1">DATOSAÑO!BP314</f>
        <v>3.7290000000000001</v>
      </c>
      <c r="AN315" s="65">
        <f ca="1">(AM315*DATOSAÑO!$Z$11)/DATOSAÑO!$Y$11</f>
        <v>6.719159151058976E-2</v>
      </c>
      <c r="AO315" s="63">
        <f ca="1">DATOSAÑO!BW314</f>
        <v>11.923499999999976</v>
      </c>
      <c r="AP315" s="65">
        <f ca="1">(AO315*DATOSAÑO!$Z$11)/DATOSAÑO!$Y$11</f>
        <v>0.21484551927501078</v>
      </c>
      <c r="AQ315" s="63">
        <f ca="1">DATOSAÑO!CC314</f>
        <v>2.8101999999998988</v>
      </c>
      <c r="AR315" s="1109">
        <f ca="1">(AQ315*DATOSAÑO!$Z$11)/DATOSAÑO!$Y$11</f>
        <v>5.0636044640132077E-2</v>
      </c>
      <c r="AS315" s="1385">
        <f t="shared" si="14"/>
        <v>44</v>
      </c>
    </row>
    <row r="316" spans="1:45">
      <c r="A316" s="1408">
        <v>45231</v>
      </c>
      <c r="B316" s="1871">
        <v>45231</v>
      </c>
      <c r="C316" s="9">
        <f ca="1">DATOSAÑO!I315</f>
        <v>147</v>
      </c>
      <c r="D316" s="10">
        <f ca="1">DATOSAÑO!$D315</f>
        <v>4.0365242327959576</v>
      </c>
      <c r="E316" s="11">
        <f ca="1">DATOSAÑO!$G315</f>
        <v>0</v>
      </c>
      <c r="F316" s="9">
        <f ca="1">DATOSAÑO!P315</f>
        <v>293</v>
      </c>
      <c r="G316" s="10">
        <f ca="1">DATOSAÑO!K315</f>
        <v>5.4957787804379201</v>
      </c>
      <c r="H316" s="180">
        <f ca="1">DATOSAÑO!N315</f>
        <v>0</v>
      </c>
      <c r="I316" s="178">
        <f ca="1">DATOSAÑO!Q315</f>
        <v>0</v>
      </c>
      <c r="J316" s="180">
        <f ca="1">DATOSAÑO!R315</f>
        <v>0</v>
      </c>
      <c r="K316" s="178">
        <f ca="1">DATOSAÑO!T315</f>
        <v>0</v>
      </c>
      <c r="L316" s="180">
        <f t="shared" ca="1" si="12"/>
        <v>0</v>
      </c>
      <c r="M316" s="178"/>
      <c r="N316" s="180">
        <f t="shared" si="13"/>
        <v>0</v>
      </c>
      <c r="O316" s="9">
        <f>DATOSAÑO!CK315</f>
        <v>0</v>
      </c>
      <c r="P316" s="9">
        <f>DATOSAÑO!CL315</f>
        <v>0</v>
      </c>
      <c r="Q316" s="178">
        <f ca="1">DATOSAÑO!AD315</f>
        <v>163.20000000000073</v>
      </c>
      <c r="R316" s="180">
        <f ca="1">(Q316*DATOSAÑO!$Z$11)/DATOSAÑO!$Y$11</f>
        <v>2.9406456783395809</v>
      </c>
      <c r="S316" s="178">
        <f ca="1">DATOSAÑO!AF315</f>
        <v>151</v>
      </c>
      <c r="T316" s="180">
        <f ca="1">(S316*DATOSAÑO!$Z$11)/DATOSAÑO!$Y$11</f>
        <v>2.7208179989538892</v>
      </c>
      <c r="U316" s="178">
        <f ca="1">DATOSAÑO!AH315</f>
        <v>9.6999999999989086</v>
      </c>
      <c r="V316" s="180">
        <f ca="1">(U316*DATOSAÑO!$Z$11)/DATOSAÑO!$Y$11</f>
        <v>0.17478102377383944</v>
      </c>
      <c r="W316" s="178">
        <f ca="1">DATOSAÑO!AI315</f>
        <v>38.69999999999709</v>
      </c>
      <c r="X316" s="180">
        <f ca="1">(W316*DATOSAÑO!$Z$11)/DATOSAÑO!$Y$11</f>
        <v>0.69732222887091111</v>
      </c>
      <c r="Y316" s="178">
        <f ca="1">DATOSAÑO!AJ315</f>
        <v>5</v>
      </c>
      <c r="Z316" s="180">
        <f ca="1">(Y316*DATOSAÑO!$Z$11)/DATOSAÑO!$Y$11</f>
        <v>9.0093311223638714E-2</v>
      </c>
      <c r="AA316" s="178">
        <f ca="1">DATOSAÑO!AK315</f>
        <v>9</v>
      </c>
      <c r="AB316" s="180">
        <f ca="1">(AA316*DATOSAÑO!$Z$11)/DATOSAÑO!$Y$11</f>
        <v>0.16216796020254967</v>
      </c>
      <c r="AC316" s="178">
        <f ca="1">DATOSAÑO!AL315</f>
        <v>33.300000000004673</v>
      </c>
      <c r="AD316" s="180">
        <f ca="1">(AC316*DATOSAÑO!$Z$11)/DATOSAÑO!$Y$11</f>
        <v>0.60002145274951801</v>
      </c>
      <c r="AE316" s="9">
        <f ca="1">DATOSAÑO!CA315</f>
        <v>5.8614999999987782</v>
      </c>
      <c r="AF316" s="11">
        <f ca="1">(AE316*DATOSAÑO!$Z$11)/DATOSAÑO!$Y$11</f>
        <v>0.10561638874744965</v>
      </c>
      <c r="AG316" s="9">
        <f ca="1">DATOSAÑO!CB315</f>
        <v>2.0268000000003763</v>
      </c>
      <c r="AH316" s="11">
        <f ca="1">(AG316*DATOSAÑO!$Z$11)/DATOSAÑO!$Y$11</f>
        <v>3.6520224637620967E-2</v>
      </c>
      <c r="AI316" s="9">
        <f ca="1">DATOSAÑO!BJ315</f>
        <v>2.6</v>
      </c>
      <c r="AJ316" s="11">
        <f ca="1">(AI316*DATOSAÑO!$Z$11)/DATOSAÑO!$Y$11</f>
        <v>4.684852183629213E-2</v>
      </c>
      <c r="AK316" s="9">
        <f ca="1">DATOSAÑO!BM315</f>
        <v>1.5720000000000001</v>
      </c>
      <c r="AL316" s="11">
        <f ca="1">(AK316*DATOSAÑO!$Z$11)/DATOSAÑO!$Y$11</f>
        <v>2.8325337048712013E-2</v>
      </c>
      <c r="AM316" s="9">
        <f ca="1">DATOSAÑO!BP315</f>
        <v>3.7949999999999999</v>
      </c>
      <c r="AN316" s="11">
        <f ca="1">(AM316*DATOSAÑO!$Z$11)/DATOSAÑO!$Y$11</f>
        <v>6.8380823218741782E-2</v>
      </c>
      <c r="AO316" s="9">
        <f ca="1">DATOSAÑO!BW315</f>
        <v>11.461499999999141</v>
      </c>
      <c r="AP316" s="11">
        <f ca="1">(AO316*DATOSAÑO!$Z$11)/DATOSAÑO!$Y$11</f>
        <v>0.20652089731793152</v>
      </c>
      <c r="AQ316" s="9">
        <f ca="1">DATOSAÑO!CC315</f>
        <v>2.7832000000002513</v>
      </c>
      <c r="AR316" s="1348">
        <f ca="1">(AQ316*DATOSAÑO!$Z$11)/DATOSAÑO!$Y$11</f>
        <v>5.0149540759530778E-2</v>
      </c>
      <c r="AS316" s="1406">
        <f t="shared" si="14"/>
        <v>44</v>
      </c>
    </row>
    <row r="317" spans="1:45">
      <c r="A317" s="1408">
        <v>45232</v>
      </c>
      <c r="B317" s="1869">
        <v>45232</v>
      </c>
      <c r="C317" s="9">
        <f ca="1">DATOSAÑO!I316</f>
        <v>0</v>
      </c>
      <c r="D317" s="10">
        <f ca="1">DATOSAÑO!$D316</f>
        <v>0</v>
      </c>
      <c r="E317" s="11">
        <f ca="1">DATOSAÑO!$G316</f>
        <v>0</v>
      </c>
      <c r="F317" s="9">
        <f ca="1">DATOSAÑO!P316</f>
        <v>0</v>
      </c>
      <c r="G317" s="10">
        <f ca="1">DATOSAÑO!K316</f>
        <v>0</v>
      </c>
      <c r="H317" s="11">
        <f ca="1">DATOSAÑO!N316</f>
        <v>0</v>
      </c>
      <c r="I317" s="9">
        <f ca="1">DATOSAÑO!Q316</f>
        <v>0</v>
      </c>
      <c r="J317" s="11">
        <f ca="1">DATOSAÑO!R316</f>
        <v>0</v>
      </c>
      <c r="K317" s="9">
        <f ca="1">DATOSAÑO!T316</f>
        <v>0</v>
      </c>
      <c r="L317" s="11">
        <f t="shared" ca="1" si="12"/>
        <v>0</v>
      </c>
      <c r="M317" s="9"/>
      <c r="N317" s="11">
        <f t="shared" si="13"/>
        <v>0</v>
      </c>
      <c r="O317" s="9">
        <f>DATOSAÑO!CK316</f>
        <v>0</v>
      </c>
      <c r="P317" s="9">
        <f>DATOSAÑO!CL316</f>
        <v>0</v>
      </c>
      <c r="Q317" s="9">
        <f ca="1">DATOSAÑO!AD316</f>
        <v>0</v>
      </c>
      <c r="R317" s="11">
        <f ca="1">(Q317*DATOSAÑO!$Z$11)/DATOSAÑO!$Y$11</f>
        <v>0</v>
      </c>
      <c r="S317" s="9">
        <f ca="1">DATOSAÑO!AF316</f>
        <v>0</v>
      </c>
      <c r="T317" s="11">
        <f ca="1">(S317*DATOSAÑO!$Z$11)/DATOSAÑO!$Y$11</f>
        <v>0</v>
      </c>
      <c r="U317" s="9">
        <f ca="1">DATOSAÑO!AH316</f>
        <v>0</v>
      </c>
      <c r="V317" s="11">
        <f ca="1">(U317*DATOSAÑO!$Z$11)/DATOSAÑO!$Y$11</f>
        <v>0</v>
      </c>
      <c r="W317" s="9">
        <f ca="1">DATOSAÑO!AI316</f>
        <v>0</v>
      </c>
      <c r="X317" s="11">
        <f ca="1">(W317*DATOSAÑO!$Z$11)/DATOSAÑO!$Y$11</f>
        <v>0</v>
      </c>
      <c r="Y317" s="9">
        <f ca="1">DATOSAÑO!AJ316</f>
        <v>0</v>
      </c>
      <c r="Z317" s="11">
        <f ca="1">(Y317*DATOSAÑO!$Z$11)/DATOSAÑO!$Y$11</f>
        <v>0</v>
      </c>
      <c r="AA317" s="9">
        <f ca="1">DATOSAÑO!AK316</f>
        <v>0</v>
      </c>
      <c r="AB317" s="11">
        <f ca="1">(AA317*DATOSAÑO!$Z$11)/DATOSAÑO!$Y$11</f>
        <v>0</v>
      </c>
      <c r="AC317" s="9">
        <f ca="1">DATOSAÑO!AL316</f>
        <v>0</v>
      </c>
      <c r="AD317" s="11">
        <f ca="1">(AC317*DATOSAÑO!$Z$11)/DATOSAÑO!$Y$11</f>
        <v>0</v>
      </c>
      <c r="AE317" s="9">
        <f ca="1">DATOSAÑO!CA316</f>
        <v>0</v>
      </c>
      <c r="AF317" s="11">
        <f ca="1">(AE317*DATOSAÑO!$Z$11)/DATOSAÑO!$Y$11</f>
        <v>0</v>
      </c>
      <c r="AG317" s="9">
        <f ca="1">DATOSAÑO!CB316</f>
        <v>0</v>
      </c>
      <c r="AH317" s="11">
        <f ca="1">(AG317*DATOSAÑO!$Z$11)/DATOSAÑO!$Y$11</f>
        <v>0</v>
      </c>
      <c r="AI317" s="9">
        <f ca="1">DATOSAÑO!BJ316</f>
        <v>0</v>
      </c>
      <c r="AJ317" s="11">
        <f ca="1">(AI317*DATOSAÑO!$Z$11)/DATOSAÑO!$Y$11</f>
        <v>0</v>
      </c>
      <c r="AK317" s="9">
        <f ca="1">DATOSAÑO!BM316</f>
        <v>0</v>
      </c>
      <c r="AL317" s="11">
        <f ca="1">(AK317*DATOSAÑO!$Z$11)/DATOSAÑO!$Y$11</f>
        <v>0</v>
      </c>
      <c r="AM317" s="9">
        <f ca="1">DATOSAÑO!BP316</f>
        <v>0</v>
      </c>
      <c r="AN317" s="11">
        <f ca="1">(AM317*DATOSAÑO!$Z$11)/DATOSAÑO!$Y$11</f>
        <v>0</v>
      </c>
      <c r="AO317" s="9">
        <f ca="1">DATOSAÑO!BW316</f>
        <v>0</v>
      </c>
      <c r="AP317" s="11">
        <f ca="1">(AO317*DATOSAÑO!$Z$11)/DATOSAÑO!$Y$11</f>
        <v>0</v>
      </c>
      <c r="AQ317" s="9">
        <f ca="1">DATOSAÑO!CC316</f>
        <v>0</v>
      </c>
      <c r="AR317" s="1348">
        <f ca="1">(AQ317*DATOSAÑO!$Z$11)/DATOSAÑO!$Y$11</f>
        <v>0</v>
      </c>
      <c r="AS317" s="1384">
        <f t="shared" si="14"/>
        <v>44</v>
      </c>
    </row>
    <row r="318" spans="1:45">
      <c r="A318" s="1408">
        <v>45233</v>
      </c>
      <c r="B318" s="1869">
        <v>45233</v>
      </c>
      <c r="C318" s="9">
        <f ca="1">DATOSAÑO!I317</f>
        <v>0</v>
      </c>
      <c r="D318" s="10">
        <f ca="1">DATOSAÑO!$D317</f>
        <v>0</v>
      </c>
      <c r="E318" s="11">
        <f ca="1">DATOSAÑO!$G317</f>
        <v>0</v>
      </c>
      <c r="F318" s="9">
        <f ca="1">DATOSAÑO!P317</f>
        <v>0</v>
      </c>
      <c r="G318" s="10">
        <f ca="1">DATOSAÑO!K317</f>
        <v>0</v>
      </c>
      <c r="H318" s="11">
        <f ca="1">DATOSAÑO!N317</f>
        <v>0</v>
      </c>
      <c r="I318" s="9">
        <f ca="1">DATOSAÑO!Q317</f>
        <v>0</v>
      </c>
      <c r="J318" s="11">
        <f ca="1">DATOSAÑO!R317</f>
        <v>0</v>
      </c>
      <c r="K318" s="9">
        <f ca="1">DATOSAÑO!T317</f>
        <v>0</v>
      </c>
      <c r="L318" s="11">
        <f t="shared" ca="1" si="12"/>
        <v>0</v>
      </c>
      <c r="M318" s="9"/>
      <c r="N318" s="11">
        <f t="shared" si="13"/>
        <v>0</v>
      </c>
      <c r="O318" s="9">
        <f>DATOSAÑO!CK317</f>
        <v>0</v>
      </c>
      <c r="P318" s="9">
        <f>DATOSAÑO!CL317</f>
        <v>0</v>
      </c>
      <c r="Q318" s="9">
        <f ca="1">DATOSAÑO!AD317</f>
        <v>0</v>
      </c>
      <c r="R318" s="11">
        <f ca="1">(Q318*DATOSAÑO!$Z$11)/DATOSAÑO!$Y$11</f>
        <v>0</v>
      </c>
      <c r="S318" s="9">
        <f ca="1">DATOSAÑO!AF317</f>
        <v>0</v>
      </c>
      <c r="T318" s="11">
        <f ca="1">(S318*DATOSAÑO!$Z$11)/DATOSAÑO!$Y$11</f>
        <v>0</v>
      </c>
      <c r="U318" s="9">
        <f ca="1">DATOSAÑO!AH317</f>
        <v>0</v>
      </c>
      <c r="V318" s="11">
        <f ca="1">(U318*DATOSAÑO!$Z$11)/DATOSAÑO!$Y$11</f>
        <v>0</v>
      </c>
      <c r="W318" s="9">
        <f ca="1">DATOSAÑO!AI317</f>
        <v>0</v>
      </c>
      <c r="X318" s="11">
        <f ca="1">(W318*DATOSAÑO!$Z$11)/DATOSAÑO!$Y$11</f>
        <v>0</v>
      </c>
      <c r="Y318" s="9">
        <f ca="1">DATOSAÑO!AJ317</f>
        <v>0</v>
      </c>
      <c r="Z318" s="11">
        <f ca="1">(Y318*DATOSAÑO!$Z$11)/DATOSAÑO!$Y$11</f>
        <v>0</v>
      </c>
      <c r="AA318" s="9">
        <f ca="1">DATOSAÑO!AK317</f>
        <v>0</v>
      </c>
      <c r="AB318" s="11">
        <f ca="1">(AA318*DATOSAÑO!$Z$11)/DATOSAÑO!$Y$11</f>
        <v>0</v>
      </c>
      <c r="AC318" s="9">
        <f ca="1">DATOSAÑO!AL317</f>
        <v>0</v>
      </c>
      <c r="AD318" s="11">
        <f ca="1">(AC318*DATOSAÑO!$Z$11)/DATOSAÑO!$Y$11</f>
        <v>0</v>
      </c>
      <c r="AE318" s="9">
        <f ca="1">DATOSAÑO!CA317</f>
        <v>0</v>
      </c>
      <c r="AF318" s="11">
        <f ca="1">(AE318*DATOSAÑO!$Z$11)/DATOSAÑO!$Y$11</f>
        <v>0</v>
      </c>
      <c r="AG318" s="9">
        <f ca="1">DATOSAÑO!CB317</f>
        <v>0</v>
      </c>
      <c r="AH318" s="11">
        <f ca="1">(AG318*DATOSAÑO!$Z$11)/DATOSAÑO!$Y$11</f>
        <v>0</v>
      </c>
      <c r="AI318" s="9">
        <f ca="1">DATOSAÑO!BJ317</f>
        <v>0</v>
      </c>
      <c r="AJ318" s="11">
        <f ca="1">(AI318*DATOSAÑO!$Z$11)/DATOSAÑO!$Y$11</f>
        <v>0</v>
      </c>
      <c r="AK318" s="9">
        <f ca="1">DATOSAÑO!BM317</f>
        <v>0</v>
      </c>
      <c r="AL318" s="11">
        <f ca="1">(AK318*DATOSAÑO!$Z$11)/DATOSAÑO!$Y$11</f>
        <v>0</v>
      </c>
      <c r="AM318" s="9">
        <f ca="1">DATOSAÑO!BP317</f>
        <v>0</v>
      </c>
      <c r="AN318" s="11">
        <f ca="1">(AM318*DATOSAÑO!$Z$11)/DATOSAÑO!$Y$11</f>
        <v>0</v>
      </c>
      <c r="AO318" s="9">
        <f ca="1">DATOSAÑO!BW317</f>
        <v>0</v>
      </c>
      <c r="AP318" s="11">
        <f ca="1">(AO318*DATOSAÑO!$Z$11)/DATOSAÑO!$Y$11</f>
        <v>0</v>
      </c>
      <c r="AQ318" s="9">
        <f ca="1">DATOSAÑO!CC317</f>
        <v>0</v>
      </c>
      <c r="AR318" s="1348">
        <f ca="1">(AQ318*DATOSAÑO!$Z$11)/DATOSAÑO!$Y$11</f>
        <v>0</v>
      </c>
      <c r="AS318" s="1384">
        <f t="shared" si="14"/>
        <v>44</v>
      </c>
    </row>
    <row r="319" spans="1:45">
      <c r="A319" s="1408">
        <v>45234</v>
      </c>
      <c r="B319" s="1869">
        <v>45234</v>
      </c>
      <c r="C319" s="9">
        <f ca="1">DATOSAÑO!I318</f>
        <v>0</v>
      </c>
      <c r="D319" s="10">
        <f ca="1">DATOSAÑO!$D318</f>
        <v>0</v>
      </c>
      <c r="E319" s="11">
        <f ca="1">DATOSAÑO!$G318</f>
        <v>0</v>
      </c>
      <c r="F319" s="9">
        <f ca="1">DATOSAÑO!P318</f>
        <v>0</v>
      </c>
      <c r="G319" s="10">
        <f ca="1">DATOSAÑO!K318</f>
        <v>0</v>
      </c>
      <c r="H319" s="11">
        <f ca="1">DATOSAÑO!N318</f>
        <v>0</v>
      </c>
      <c r="I319" s="9">
        <f ca="1">DATOSAÑO!Q318</f>
        <v>0</v>
      </c>
      <c r="J319" s="11">
        <f ca="1">DATOSAÑO!R318</f>
        <v>0</v>
      </c>
      <c r="K319" s="9">
        <f ca="1">DATOSAÑO!T318</f>
        <v>0</v>
      </c>
      <c r="L319" s="11">
        <f t="shared" ca="1" si="12"/>
        <v>0</v>
      </c>
      <c r="M319" s="9"/>
      <c r="N319" s="11">
        <f t="shared" si="13"/>
        <v>0</v>
      </c>
      <c r="O319" s="9">
        <f>DATOSAÑO!CK318</f>
        <v>0</v>
      </c>
      <c r="P319" s="9">
        <f>DATOSAÑO!CL318</f>
        <v>0</v>
      </c>
      <c r="Q319" s="9">
        <f ca="1">DATOSAÑO!AD318</f>
        <v>0</v>
      </c>
      <c r="R319" s="11">
        <f ca="1">(Q319*DATOSAÑO!$Z$11)/DATOSAÑO!$Y$11</f>
        <v>0</v>
      </c>
      <c r="S319" s="9">
        <f ca="1">DATOSAÑO!AF318</f>
        <v>0</v>
      </c>
      <c r="T319" s="11">
        <f ca="1">(S319*DATOSAÑO!$Z$11)/DATOSAÑO!$Y$11</f>
        <v>0</v>
      </c>
      <c r="U319" s="9">
        <f ca="1">DATOSAÑO!AH318</f>
        <v>0</v>
      </c>
      <c r="V319" s="11">
        <f ca="1">(U319*DATOSAÑO!$Z$11)/DATOSAÑO!$Y$11</f>
        <v>0</v>
      </c>
      <c r="W319" s="9">
        <f ca="1">DATOSAÑO!AI318</f>
        <v>0</v>
      </c>
      <c r="X319" s="11">
        <f ca="1">(W319*DATOSAÑO!$Z$11)/DATOSAÑO!$Y$11</f>
        <v>0</v>
      </c>
      <c r="Y319" s="9">
        <f ca="1">DATOSAÑO!AJ318</f>
        <v>0</v>
      </c>
      <c r="Z319" s="11">
        <f ca="1">(Y319*DATOSAÑO!$Z$11)/DATOSAÑO!$Y$11</f>
        <v>0</v>
      </c>
      <c r="AA319" s="9">
        <f ca="1">DATOSAÑO!AK318</f>
        <v>0</v>
      </c>
      <c r="AB319" s="11">
        <f ca="1">(AA319*DATOSAÑO!$Z$11)/DATOSAÑO!$Y$11</f>
        <v>0</v>
      </c>
      <c r="AC319" s="9">
        <f ca="1">DATOSAÑO!AL318</f>
        <v>0</v>
      </c>
      <c r="AD319" s="11">
        <f ca="1">(AC319*DATOSAÑO!$Z$11)/DATOSAÑO!$Y$11</f>
        <v>0</v>
      </c>
      <c r="AE319" s="9">
        <f ca="1">DATOSAÑO!CA318</f>
        <v>0</v>
      </c>
      <c r="AF319" s="11">
        <f ca="1">(AE319*DATOSAÑO!$Z$11)/DATOSAÑO!$Y$11</f>
        <v>0</v>
      </c>
      <c r="AG319" s="9">
        <f ca="1">DATOSAÑO!CB318</f>
        <v>0</v>
      </c>
      <c r="AH319" s="11">
        <f ca="1">(AG319*DATOSAÑO!$Z$11)/DATOSAÑO!$Y$11</f>
        <v>0</v>
      </c>
      <c r="AI319" s="9">
        <f ca="1">DATOSAÑO!BJ318</f>
        <v>0</v>
      </c>
      <c r="AJ319" s="11">
        <f ca="1">(AI319*DATOSAÑO!$Z$11)/DATOSAÑO!$Y$11</f>
        <v>0</v>
      </c>
      <c r="AK319" s="9">
        <f ca="1">DATOSAÑO!BM318</f>
        <v>0</v>
      </c>
      <c r="AL319" s="11">
        <f ca="1">(AK319*DATOSAÑO!$Z$11)/DATOSAÑO!$Y$11</f>
        <v>0</v>
      </c>
      <c r="AM319" s="9">
        <f ca="1">DATOSAÑO!BP318</f>
        <v>0</v>
      </c>
      <c r="AN319" s="11">
        <f ca="1">(AM319*DATOSAÑO!$Z$11)/DATOSAÑO!$Y$11</f>
        <v>0</v>
      </c>
      <c r="AO319" s="9">
        <f ca="1">DATOSAÑO!BW318</f>
        <v>0</v>
      </c>
      <c r="AP319" s="11">
        <f ca="1">(AO319*DATOSAÑO!$Z$11)/DATOSAÑO!$Y$11</f>
        <v>0</v>
      </c>
      <c r="AQ319" s="9">
        <f ca="1">DATOSAÑO!CC318</f>
        <v>0</v>
      </c>
      <c r="AR319" s="1348">
        <f ca="1">(AQ319*DATOSAÑO!$Z$11)/DATOSAÑO!$Y$11</f>
        <v>0</v>
      </c>
      <c r="AS319" s="1384">
        <f t="shared" si="14"/>
        <v>44</v>
      </c>
    </row>
    <row r="320" spans="1:45">
      <c r="A320" s="1408">
        <v>45235</v>
      </c>
      <c r="B320" s="1869">
        <v>45235</v>
      </c>
      <c r="C320" s="9">
        <f ca="1">DATOSAÑO!I319</f>
        <v>0</v>
      </c>
      <c r="D320" s="10">
        <f ca="1">DATOSAÑO!$D319</f>
        <v>0</v>
      </c>
      <c r="E320" s="11">
        <f ca="1">DATOSAÑO!$G319</f>
        <v>0</v>
      </c>
      <c r="F320" s="9">
        <f ca="1">DATOSAÑO!P319</f>
        <v>0</v>
      </c>
      <c r="G320" s="10">
        <f ca="1">DATOSAÑO!K319</f>
        <v>0</v>
      </c>
      <c r="H320" s="11">
        <f ca="1">DATOSAÑO!N319</f>
        <v>0</v>
      </c>
      <c r="I320" s="9">
        <f ca="1">DATOSAÑO!Q319</f>
        <v>0</v>
      </c>
      <c r="J320" s="11">
        <f ca="1">DATOSAÑO!R319</f>
        <v>0</v>
      </c>
      <c r="K320" s="9">
        <f ca="1">DATOSAÑO!T319</f>
        <v>0</v>
      </c>
      <c r="L320" s="11">
        <f t="shared" ca="1" si="12"/>
        <v>0</v>
      </c>
      <c r="M320" s="9"/>
      <c r="N320" s="11">
        <f t="shared" si="13"/>
        <v>0</v>
      </c>
      <c r="O320" s="9">
        <f>DATOSAÑO!CK319</f>
        <v>0</v>
      </c>
      <c r="P320" s="9">
        <f>DATOSAÑO!CL319</f>
        <v>0</v>
      </c>
      <c r="Q320" s="9">
        <f ca="1">DATOSAÑO!AD319</f>
        <v>0</v>
      </c>
      <c r="R320" s="11">
        <f ca="1">(Q320*DATOSAÑO!$Z$11)/DATOSAÑO!$Y$11</f>
        <v>0</v>
      </c>
      <c r="S320" s="9">
        <f ca="1">DATOSAÑO!AF319</f>
        <v>0</v>
      </c>
      <c r="T320" s="11">
        <f ca="1">(S320*DATOSAÑO!$Z$11)/DATOSAÑO!$Y$11</f>
        <v>0</v>
      </c>
      <c r="U320" s="9">
        <f ca="1">DATOSAÑO!AH319</f>
        <v>0</v>
      </c>
      <c r="V320" s="11">
        <f ca="1">(U320*DATOSAÑO!$Z$11)/DATOSAÑO!$Y$11</f>
        <v>0</v>
      </c>
      <c r="W320" s="9">
        <f ca="1">DATOSAÑO!AI319</f>
        <v>0</v>
      </c>
      <c r="X320" s="11">
        <f ca="1">(W320*DATOSAÑO!$Z$11)/DATOSAÑO!$Y$11</f>
        <v>0</v>
      </c>
      <c r="Y320" s="9">
        <f ca="1">DATOSAÑO!AJ319</f>
        <v>0</v>
      </c>
      <c r="Z320" s="11">
        <f ca="1">(Y320*DATOSAÑO!$Z$11)/DATOSAÑO!$Y$11</f>
        <v>0</v>
      </c>
      <c r="AA320" s="9">
        <f ca="1">DATOSAÑO!AK319</f>
        <v>0</v>
      </c>
      <c r="AB320" s="11">
        <f ca="1">(AA320*DATOSAÑO!$Z$11)/DATOSAÑO!$Y$11</f>
        <v>0</v>
      </c>
      <c r="AC320" s="9">
        <f ca="1">DATOSAÑO!AL319</f>
        <v>0</v>
      </c>
      <c r="AD320" s="11">
        <f ca="1">(AC320*DATOSAÑO!$Z$11)/DATOSAÑO!$Y$11</f>
        <v>0</v>
      </c>
      <c r="AE320" s="9">
        <f ca="1">DATOSAÑO!CA319</f>
        <v>0</v>
      </c>
      <c r="AF320" s="11">
        <f ca="1">(AE320*DATOSAÑO!$Z$11)/DATOSAÑO!$Y$11</f>
        <v>0</v>
      </c>
      <c r="AG320" s="9">
        <f ca="1">DATOSAÑO!CB319</f>
        <v>0</v>
      </c>
      <c r="AH320" s="11">
        <f ca="1">(AG320*DATOSAÑO!$Z$11)/DATOSAÑO!$Y$11</f>
        <v>0</v>
      </c>
      <c r="AI320" s="9">
        <f ca="1">DATOSAÑO!BJ319</f>
        <v>0</v>
      </c>
      <c r="AJ320" s="11">
        <f ca="1">(AI320*DATOSAÑO!$Z$11)/DATOSAÑO!$Y$11</f>
        <v>0</v>
      </c>
      <c r="AK320" s="9">
        <f ca="1">DATOSAÑO!BM319</f>
        <v>0</v>
      </c>
      <c r="AL320" s="11">
        <f ca="1">(AK320*DATOSAÑO!$Z$11)/DATOSAÑO!$Y$11</f>
        <v>0</v>
      </c>
      <c r="AM320" s="9">
        <f ca="1">DATOSAÑO!BP319</f>
        <v>0</v>
      </c>
      <c r="AN320" s="11">
        <f ca="1">(AM320*DATOSAÑO!$Z$11)/DATOSAÑO!$Y$11</f>
        <v>0</v>
      </c>
      <c r="AO320" s="9">
        <f ca="1">DATOSAÑO!BW319</f>
        <v>0</v>
      </c>
      <c r="AP320" s="11">
        <f ca="1">(AO320*DATOSAÑO!$Z$11)/DATOSAÑO!$Y$11</f>
        <v>0</v>
      </c>
      <c r="AQ320" s="9">
        <f ca="1">DATOSAÑO!CC319</f>
        <v>0</v>
      </c>
      <c r="AR320" s="1348">
        <f ca="1">(AQ320*DATOSAÑO!$Z$11)/DATOSAÑO!$Y$11</f>
        <v>0</v>
      </c>
      <c r="AS320" s="1384">
        <f t="shared" si="14"/>
        <v>45</v>
      </c>
    </row>
    <row r="321" spans="1:45">
      <c r="A321" s="1408">
        <v>45236</v>
      </c>
      <c r="B321" s="1869">
        <v>45236</v>
      </c>
      <c r="C321" s="9">
        <f ca="1">DATOSAÑO!I320</f>
        <v>0</v>
      </c>
      <c r="D321" s="10">
        <f ca="1">DATOSAÑO!$D320</f>
        <v>0</v>
      </c>
      <c r="E321" s="11">
        <f ca="1">DATOSAÑO!$G320</f>
        <v>0</v>
      </c>
      <c r="F321" s="9">
        <f ca="1">DATOSAÑO!P320</f>
        <v>0</v>
      </c>
      <c r="G321" s="10">
        <f ca="1">DATOSAÑO!K320</f>
        <v>0</v>
      </c>
      <c r="H321" s="11">
        <f ca="1">DATOSAÑO!N320</f>
        <v>0</v>
      </c>
      <c r="I321" s="9">
        <f ca="1">DATOSAÑO!Q320</f>
        <v>0</v>
      </c>
      <c r="J321" s="11">
        <f ca="1">DATOSAÑO!R320</f>
        <v>0</v>
      </c>
      <c r="K321" s="9">
        <f ca="1">DATOSAÑO!T320</f>
        <v>0</v>
      </c>
      <c r="L321" s="11">
        <f t="shared" ca="1" si="12"/>
        <v>0</v>
      </c>
      <c r="M321" s="9"/>
      <c r="N321" s="11">
        <f t="shared" si="13"/>
        <v>0</v>
      </c>
      <c r="O321" s="9">
        <f>DATOSAÑO!CK320</f>
        <v>0</v>
      </c>
      <c r="P321" s="9">
        <f>DATOSAÑO!CL320</f>
        <v>0</v>
      </c>
      <c r="Q321" s="9">
        <f ca="1">DATOSAÑO!AD320</f>
        <v>0</v>
      </c>
      <c r="R321" s="11">
        <f ca="1">(Q321*DATOSAÑO!$Z$11)/DATOSAÑO!$Y$11</f>
        <v>0</v>
      </c>
      <c r="S321" s="9">
        <f ca="1">DATOSAÑO!AF320</f>
        <v>0</v>
      </c>
      <c r="T321" s="11">
        <f ca="1">(S321*DATOSAÑO!$Z$11)/DATOSAÑO!$Y$11</f>
        <v>0</v>
      </c>
      <c r="U321" s="9">
        <f ca="1">DATOSAÑO!AH320</f>
        <v>0</v>
      </c>
      <c r="V321" s="11">
        <f ca="1">(U321*DATOSAÑO!$Z$11)/DATOSAÑO!$Y$11</f>
        <v>0</v>
      </c>
      <c r="W321" s="9">
        <f ca="1">DATOSAÑO!AI320</f>
        <v>0</v>
      </c>
      <c r="X321" s="11">
        <f ca="1">(W321*DATOSAÑO!$Z$11)/DATOSAÑO!$Y$11</f>
        <v>0</v>
      </c>
      <c r="Y321" s="9">
        <f ca="1">DATOSAÑO!AJ320</f>
        <v>0</v>
      </c>
      <c r="Z321" s="11">
        <f ca="1">(Y321*DATOSAÑO!$Z$11)/DATOSAÑO!$Y$11</f>
        <v>0</v>
      </c>
      <c r="AA321" s="9">
        <f ca="1">DATOSAÑO!AK320</f>
        <v>0</v>
      </c>
      <c r="AB321" s="11">
        <f ca="1">(AA321*DATOSAÑO!$Z$11)/DATOSAÑO!$Y$11</f>
        <v>0</v>
      </c>
      <c r="AC321" s="9">
        <f ca="1">DATOSAÑO!AL320</f>
        <v>0</v>
      </c>
      <c r="AD321" s="11">
        <f ca="1">(AC321*DATOSAÑO!$Z$11)/DATOSAÑO!$Y$11</f>
        <v>0</v>
      </c>
      <c r="AE321" s="9">
        <f ca="1">DATOSAÑO!CA320</f>
        <v>0</v>
      </c>
      <c r="AF321" s="11">
        <f ca="1">(AE321*DATOSAÑO!$Z$11)/DATOSAÑO!$Y$11</f>
        <v>0</v>
      </c>
      <c r="AG321" s="9">
        <f ca="1">DATOSAÑO!CB320</f>
        <v>0</v>
      </c>
      <c r="AH321" s="11">
        <f ca="1">(AG321*DATOSAÑO!$Z$11)/DATOSAÑO!$Y$11</f>
        <v>0</v>
      </c>
      <c r="AI321" s="9">
        <f ca="1">DATOSAÑO!BJ320</f>
        <v>0</v>
      </c>
      <c r="AJ321" s="11">
        <f ca="1">(AI321*DATOSAÑO!$Z$11)/DATOSAÑO!$Y$11</f>
        <v>0</v>
      </c>
      <c r="AK321" s="9">
        <f ca="1">DATOSAÑO!BM320</f>
        <v>0</v>
      </c>
      <c r="AL321" s="11">
        <f ca="1">(AK321*DATOSAÑO!$Z$11)/DATOSAÑO!$Y$11</f>
        <v>0</v>
      </c>
      <c r="AM321" s="9">
        <f ca="1">DATOSAÑO!BP320</f>
        <v>0</v>
      </c>
      <c r="AN321" s="11">
        <f ca="1">(AM321*DATOSAÑO!$Z$11)/DATOSAÑO!$Y$11</f>
        <v>0</v>
      </c>
      <c r="AO321" s="9">
        <f ca="1">DATOSAÑO!BW320</f>
        <v>0</v>
      </c>
      <c r="AP321" s="11">
        <f ca="1">(AO321*DATOSAÑO!$Z$11)/DATOSAÑO!$Y$11</f>
        <v>0</v>
      </c>
      <c r="AQ321" s="9">
        <f ca="1">DATOSAÑO!CC320</f>
        <v>0</v>
      </c>
      <c r="AR321" s="1348">
        <f ca="1">(AQ321*DATOSAÑO!$Z$11)/DATOSAÑO!$Y$11</f>
        <v>0</v>
      </c>
      <c r="AS321" s="1384">
        <f t="shared" si="14"/>
        <v>45</v>
      </c>
    </row>
    <row r="322" spans="1:45">
      <c r="A322" s="1408">
        <v>45237</v>
      </c>
      <c r="B322" s="1869">
        <v>45237</v>
      </c>
      <c r="C322" s="9">
        <f ca="1">DATOSAÑO!I321</f>
        <v>0</v>
      </c>
      <c r="D322" s="10">
        <f ca="1">DATOSAÑO!$D321</f>
        <v>0</v>
      </c>
      <c r="E322" s="11">
        <f ca="1">DATOSAÑO!$G321</f>
        <v>0</v>
      </c>
      <c r="F322" s="9">
        <f ca="1">DATOSAÑO!P321</f>
        <v>0</v>
      </c>
      <c r="G322" s="10">
        <f ca="1">DATOSAÑO!K321</f>
        <v>0</v>
      </c>
      <c r="H322" s="11">
        <f ca="1">DATOSAÑO!N321</f>
        <v>0</v>
      </c>
      <c r="I322" s="9">
        <f ca="1">DATOSAÑO!Q321</f>
        <v>0</v>
      </c>
      <c r="J322" s="11">
        <f ca="1">DATOSAÑO!R321</f>
        <v>0</v>
      </c>
      <c r="K322" s="9">
        <f ca="1">DATOSAÑO!T321</f>
        <v>0</v>
      </c>
      <c r="L322" s="11">
        <f t="shared" ca="1" si="12"/>
        <v>0</v>
      </c>
      <c r="M322" s="9"/>
      <c r="N322" s="11">
        <f t="shared" si="13"/>
        <v>0</v>
      </c>
      <c r="O322" s="9">
        <f>DATOSAÑO!CK321</f>
        <v>0</v>
      </c>
      <c r="P322" s="9">
        <f>DATOSAÑO!CL321</f>
        <v>0</v>
      </c>
      <c r="Q322" s="9">
        <f ca="1">DATOSAÑO!AD321</f>
        <v>0</v>
      </c>
      <c r="R322" s="11">
        <f ca="1">(Q322*DATOSAÑO!$Z$11)/DATOSAÑO!$Y$11</f>
        <v>0</v>
      </c>
      <c r="S322" s="9">
        <f ca="1">DATOSAÑO!AF321</f>
        <v>0</v>
      </c>
      <c r="T322" s="11">
        <f ca="1">(S322*DATOSAÑO!$Z$11)/DATOSAÑO!$Y$11</f>
        <v>0</v>
      </c>
      <c r="U322" s="9">
        <f ca="1">DATOSAÑO!AH321</f>
        <v>0</v>
      </c>
      <c r="V322" s="11">
        <f ca="1">(U322*DATOSAÑO!$Z$11)/DATOSAÑO!$Y$11</f>
        <v>0</v>
      </c>
      <c r="W322" s="9">
        <f ca="1">DATOSAÑO!AI321</f>
        <v>0</v>
      </c>
      <c r="X322" s="11">
        <f ca="1">(W322*DATOSAÑO!$Z$11)/DATOSAÑO!$Y$11</f>
        <v>0</v>
      </c>
      <c r="Y322" s="9">
        <f ca="1">DATOSAÑO!AJ321</f>
        <v>0</v>
      </c>
      <c r="Z322" s="11">
        <f ca="1">(Y322*DATOSAÑO!$Z$11)/DATOSAÑO!$Y$11</f>
        <v>0</v>
      </c>
      <c r="AA322" s="9">
        <f ca="1">DATOSAÑO!AK321</f>
        <v>0</v>
      </c>
      <c r="AB322" s="11">
        <f ca="1">(AA322*DATOSAÑO!$Z$11)/DATOSAÑO!$Y$11</f>
        <v>0</v>
      </c>
      <c r="AC322" s="9">
        <f ca="1">DATOSAÑO!AL321</f>
        <v>0</v>
      </c>
      <c r="AD322" s="11">
        <f ca="1">(AC322*DATOSAÑO!$Z$11)/DATOSAÑO!$Y$11</f>
        <v>0</v>
      </c>
      <c r="AE322" s="9">
        <f ca="1">DATOSAÑO!CA321</f>
        <v>0</v>
      </c>
      <c r="AF322" s="11">
        <f ca="1">(AE322*DATOSAÑO!$Z$11)/DATOSAÑO!$Y$11</f>
        <v>0</v>
      </c>
      <c r="AG322" s="9">
        <f ca="1">DATOSAÑO!CB321</f>
        <v>0</v>
      </c>
      <c r="AH322" s="11">
        <f ca="1">(AG322*DATOSAÑO!$Z$11)/DATOSAÑO!$Y$11</f>
        <v>0</v>
      </c>
      <c r="AI322" s="9">
        <f ca="1">DATOSAÑO!BJ321</f>
        <v>0</v>
      </c>
      <c r="AJ322" s="11">
        <f ca="1">(AI322*DATOSAÑO!$Z$11)/DATOSAÑO!$Y$11</f>
        <v>0</v>
      </c>
      <c r="AK322" s="9">
        <f ca="1">DATOSAÑO!BM321</f>
        <v>0</v>
      </c>
      <c r="AL322" s="11">
        <f ca="1">(AK322*DATOSAÑO!$Z$11)/DATOSAÑO!$Y$11</f>
        <v>0</v>
      </c>
      <c r="AM322" s="9">
        <f ca="1">DATOSAÑO!BP321</f>
        <v>0</v>
      </c>
      <c r="AN322" s="11">
        <f ca="1">(AM322*DATOSAÑO!$Z$11)/DATOSAÑO!$Y$11</f>
        <v>0</v>
      </c>
      <c r="AO322" s="9">
        <f ca="1">DATOSAÑO!BW321</f>
        <v>0</v>
      </c>
      <c r="AP322" s="11">
        <f ca="1">(AO322*DATOSAÑO!$Z$11)/DATOSAÑO!$Y$11</f>
        <v>0</v>
      </c>
      <c r="AQ322" s="9">
        <f ca="1">DATOSAÑO!CC321</f>
        <v>0</v>
      </c>
      <c r="AR322" s="1348">
        <f ca="1">(AQ322*DATOSAÑO!$Z$11)/DATOSAÑO!$Y$11</f>
        <v>0</v>
      </c>
      <c r="AS322" s="1384">
        <f t="shared" si="14"/>
        <v>45</v>
      </c>
    </row>
    <row r="323" spans="1:45">
      <c r="A323" s="1408">
        <v>45238</v>
      </c>
      <c r="B323" s="1869">
        <v>45238</v>
      </c>
      <c r="C323" s="9">
        <f ca="1">DATOSAÑO!I322</f>
        <v>0</v>
      </c>
      <c r="D323" s="10">
        <f ca="1">DATOSAÑO!$D322</f>
        <v>0</v>
      </c>
      <c r="E323" s="11">
        <f ca="1">DATOSAÑO!$G322</f>
        <v>0</v>
      </c>
      <c r="F323" s="9">
        <f ca="1">DATOSAÑO!P322</f>
        <v>0</v>
      </c>
      <c r="G323" s="10">
        <f ca="1">DATOSAÑO!K322</f>
        <v>0</v>
      </c>
      <c r="H323" s="11">
        <f ca="1">DATOSAÑO!N322</f>
        <v>0</v>
      </c>
      <c r="I323" s="9">
        <f ca="1">DATOSAÑO!Q322</f>
        <v>0</v>
      </c>
      <c r="J323" s="11">
        <f ca="1">DATOSAÑO!R322</f>
        <v>0</v>
      </c>
      <c r="K323" s="9">
        <f ca="1">DATOSAÑO!T322</f>
        <v>0</v>
      </c>
      <c r="L323" s="11">
        <f t="shared" ca="1" si="12"/>
        <v>0</v>
      </c>
      <c r="M323" s="9"/>
      <c r="N323" s="11">
        <f t="shared" si="13"/>
        <v>0</v>
      </c>
      <c r="O323" s="9">
        <f>DATOSAÑO!CK322</f>
        <v>0</v>
      </c>
      <c r="P323" s="9">
        <f>DATOSAÑO!CL322</f>
        <v>0</v>
      </c>
      <c r="Q323" s="9">
        <f ca="1">DATOSAÑO!AD322</f>
        <v>0</v>
      </c>
      <c r="R323" s="11">
        <f ca="1">(Q323*DATOSAÑO!$Z$11)/DATOSAÑO!$Y$11</f>
        <v>0</v>
      </c>
      <c r="S323" s="9">
        <f ca="1">DATOSAÑO!AF322</f>
        <v>0</v>
      </c>
      <c r="T323" s="11">
        <f ca="1">(S323*DATOSAÑO!$Z$11)/DATOSAÑO!$Y$11</f>
        <v>0</v>
      </c>
      <c r="U323" s="9">
        <f ca="1">DATOSAÑO!AH322</f>
        <v>0</v>
      </c>
      <c r="V323" s="11">
        <f ca="1">(U323*DATOSAÑO!$Z$11)/DATOSAÑO!$Y$11</f>
        <v>0</v>
      </c>
      <c r="W323" s="9">
        <f ca="1">DATOSAÑO!AI322</f>
        <v>0</v>
      </c>
      <c r="X323" s="11">
        <f ca="1">(W323*DATOSAÑO!$Z$11)/DATOSAÑO!$Y$11</f>
        <v>0</v>
      </c>
      <c r="Y323" s="9">
        <f ca="1">DATOSAÑO!AJ322</f>
        <v>0</v>
      </c>
      <c r="Z323" s="11">
        <f ca="1">(Y323*DATOSAÑO!$Z$11)/DATOSAÑO!$Y$11</f>
        <v>0</v>
      </c>
      <c r="AA323" s="9">
        <f ca="1">DATOSAÑO!AK322</f>
        <v>0</v>
      </c>
      <c r="AB323" s="11">
        <f ca="1">(AA323*DATOSAÑO!$Z$11)/DATOSAÑO!$Y$11</f>
        <v>0</v>
      </c>
      <c r="AC323" s="9">
        <f ca="1">DATOSAÑO!AL322</f>
        <v>0</v>
      </c>
      <c r="AD323" s="11">
        <f ca="1">(AC323*DATOSAÑO!$Z$11)/DATOSAÑO!$Y$11</f>
        <v>0</v>
      </c>
      <c r="AE323" s="9">
        <f ca="1">DATOSAÑO!CA322</f>
        <v>0</v>
      </c>
      <c r="AF323" s="11">
        <f ca="1">(AE323*DATOSAÑO!$Z$11)/DATOSAÑO!$Y$11</f>
        <v>0</v>
      </c>
      <c r="AG323" s="9">
        <f ca="1">DATOSAÑO!CB322</f>
        <v>0</v>
      </c>
      <c r="AH323" s="11">
        <f ca="1">(AG323*DATOSAÑO!$Z$11)/DATOSAÑO!$Y$11</f>
        <v>0</v>
      </c>
      <c r="AI323" s="9">
        <f ca="1">DATOSAÑO!BJ322</f>
        <v>0</v>
      </c>
      <c r="AJ323" s="11">
        <f ca="1">(AI323*DATOSAÑO!$Z$11)/DATOSAÑO!$Y$11</f>
        <v>0</v>
      </c>
      <c r="AK323" s="9">
        <f ca="1">DATOSAÑO!BM322</f>
        <v>0</v>
      </c>
      <c r="AL323" s="11">
        <f ca="1">(AK323*DATOSAÑO!$Z$11)/DATOSAÑO!$Y$11</f>
        <v>0</v>
      </c>
      <c r="AM323" s="9">
        <f ca="1">DATOSAÑO!BP322</f>
        <v>0</v>
      </c>
      <c r="AN323" s="11">
        <f ca="1">(AM323*DATOSAÑO!$Z$11)/DATOSAÑO!$Y$11</f>
        <v>0</v>
      </c>
      <c r="AO323" s="9">
        <f ca="1">DATOSAÑO!BW322</f>
        <v>0</v>
      </c>
      <c r="AP323" s="11">
        <f ca="1">(AO323*DATOSAÑO!$Z$11)/DATOSAÑO!$Y$11</f>
        <v>0</v>
      </c>
      <c r="AQ323" s="9">
        <f ca="1">DATOSAÑO!CC322</f>
        <v>0</v>
      </c>
      <c r="AR323" s="1348">
        <f ca="1">(AQ323*DATOSAÑO!$Z$11)/DATOSAÑO!$Y$11</f>
        <v>0</v>
      </c>
      <c r="AS323" s="1384">
        <f t="shared" si="14"/>
        <v>45</v>
      </c>
    </row>
    <row r="324" spans="1:45">
      <c r="A324" s="1408">
        <v>45239</v>
      </c>
      <c r="B324" s="1869">
        <v>45239</v>
      </c>
      <c r="C324" s="9">
        <f ca="1">DATOSAÑO!I323</f>
        <v>0</v>
      </c>
      <c r="D324" s="10">
        <f ca="1">DATOSAÑO!$D323</f>
        <v>0</v>
      </c>
      <c r="E324" s="11">
        <f ca="1">DATOSAÑO!$G323</f>
        <v>0</v>
      </c>
      <c r="F324" s="9">
        <f ca="1">DATOSAÑO!P323</f>
        <v>0</v>
      </c>
      <c r="G324" s="10">
        <f ca="1">DATOSAÑO!K323</f>
        <v>0</v>
      </c>
      <c r="H324" s="11">
        <f ca="1">DATOSAÑO!N323</f>
        <v>0</v>
      </c>
      <c r="I324" s="9">
        <f ca="1">DATOSAÑO!Q323</f>
        <v>0</v>
      </c>
      <c r="J324" s="11">
        <f ca="1">DATOSAÑO!R323</f>
        <v>0</v>
      </c>
      <c r="K324" s="9">
        <f ca="1">DATOSAÑO!T323</f>
        <v>0</v>
      </c>
      <c r="L324" s="11">
        <f t="shared" ca="1" si="12"/>
        <v>0</v>
      </c>
      <c r="M324" s="9"/>
      <c r="N324" s="11">
        <f t="shared" si="13"/>
        <v>0</v>
      </c>
      <c r="O324" s="9">
        <f>DATOSAÑO!CK323</f>
        <v>0</v>
      </c>
      <c r="P324" s="9">
        <f>DATOSAÑO!CL323</f>
        <v>0</v>
      </c>
      <c r="Q324" s="9">
        <f ca="1">DATOSAÑO!AD323</f>
        <v>0</v>
      </c>
      <c r="R324" s="11">
        <f ca="1">(Q324*DATOSAÑO!$Z$11)/DATOSAÑO!$Y$11</f>
        <v>0</v>
      </c>
      <c r="S324" s="9">
        <f ca="1">DATOSAÑO!AF323</f>
        <v>0</v>
      </c>
      <c r="T324" s="11">
        <f ca="1">(S324*DATOSAÑO!$Z$11)/DATOSAÑO!$Y$11</f>
        <v>0</v>
      </c>
      <c r="U324" s="9">
        <f ca="1">DATOSAÑO!AH323</f>
        <v>0</v>
      </c>
      <c r="V324" s="11">
        <f ca="1">(U324*DATOSAÑO!$Z$11)/DATOSAÑO!$Y$11</f>
        <v>0</v>
      </c>
      <c r="W324" s="9">
        <f ca="1">DATOSAÑO!AI323</f>
        <v>0</v>
      </c>
      <c r="X324" s="11">
        <f ca="1">(W324*DATOSAÑO!$Z$11)/DATOSAÑO!$Y$11</f>
        <v>0</v>
      </c>
      <c r="Y324" s="9">
        <f ca="1">DATOSAÑO!AJ323</f>
        <v>0</v>
      </c>
      <c r="Z324" s="11">
        <f ca="1">(Y324*DATOSAÑO!$Z$11)/DATOSAÑO!$Y$11</f>
        <v>0</v>
      </c>
      <c r="AA324" s="9">
        <f ca="1">DATOSAÑO!AK323</f>
        <v>0</v>
      </c>
      <c r="AB324" s="11">
        <f ca="1">(AA324*DATOSAÑO!$Z$11)/DATOSAÑO!$Y$11</f>
        <v>0</v>
      </c>
      <c r="AC324" s="9">
        <f ca="1">DATOSAÑO!AL323</f>
        <v>0</v>
      </c>
      <c r="AD324" s="11">
        <f ca="1">(AC324*DATOSAÑO!$Z$11)/DATOSAÑO!$Y$11</f>
        <v>0</v>
      </c>
      <c r="AE324" s="9">
        <f ca="1">DATOSAÑO!CA323</f>
        <v>0</v>
      </c>
      <c r="AF324" s="11">
        <f ca="1">(AE324*DATOSAÑO!$Z$11)/DATOSAÑO!$Y$11</f>
        <v>0</v>
      </c>
      <c r="AG324" s="9">
        <f ca="1">DATOSAÑO!CB323</f>
        <v>0</v>
      </c>
      <c r="AH324" s="11">
        <f ca="1">(AG324*DATOSAÑO!$Z$11)/DATOSAÑO!$Y$11</f>
        <v>0</v>
      </c>
      <c r="AI324" s="9">
        <f ca="1">DATOSAÑO!BJ323</f>
        <v>0</v>
      </c>
      <c r="AJ324" s="11">
        <f ca="1">(AI324*DATOSAÑO!$Z$11)/DATOSAÑO!$Y$11</f>
        <v>0</v>
      </c>
      <c r="AK324" s="9">
        <f ca="1">DATOSAÑO!BM323</f>
        <v>0</v>
      </c>
      <c r="AL324" s="11">
        <f ca="1">(AK324*DATOSAÑO!$Z$11)/DATOSAÑO!$Y$11</f>
        <v>0</v>
      </c>
      <c r="AM324" s="9">
        <f ca="1">DATOSAÑO!BP323</f>
        <v>0</v>
      </c>
      <c r="AN324" s="11">
        <f ca="1">(AM324*DATOSAÑO!$Z$11)/DATOSAÑO!$Y$11</f>
        <v>0</v>
      </c>
      <c r="AO324" s="9">
        <f ca="1">DATOSAÑO!BW323</f>
        <v>0</v>
      </c>
      <c r="AP324" s="11">
        <f ca="1">(AO324*DATOSAÑO!$Z$11)/DATOSAÑO!$Y$11</f>
        <v>0</v>
      </c>
      <c r="AQ324" s="9">
        <f ca="1">DATOSAÑO!CC323</f>
        <v>0</v>
      </c>
      <c r="AR324" s="1348">
        <f ca="1">(AQ324*DATOSAÑO!$Z$11)/DATOSAÑO!$Y$11</f>
        <v>0</v>
      </c>
      <c r="AS324" s="1384">
        <f t="shared" si="14"/>
        <v>45</v>
      </c>
    </row>
    <row r="325" spans="1:45">
      <c r="A325" s="1408">
        <v>45240</v>
      </c>
      <c r="B325" s="1869">
        <v>45240</v>
      </c>
      <c r="C325" s="9">
        <f ca="1">DATOSAÑO!I324</f>
        <v>0</v>
      </c>
      <c r="D325" s="10">
        <f ca="1">DATOSAÑO!$D324</f>
        <v>0</v>
      </c>
      <c r="E325" s="11">
        <f ca="1">DATOSAÑO!$G324</f>
        <v>0</v>
      </c>
      <c r="F325" s="9">
        <f ca="1">DATOSAÑO!P324</f>
        <v>0</v>
      </c>
      <c r="G325" s="10">
        <f ca="1">DATOSAÑO!K324</f>
        <v>0</v>
      </c>
      <c r="H325" s="11">
        <f ca="1">DATOSAÑO!N324</f>
        <v>0</v>
      </c>
      <c r="I325" s="9">
        <f ca="1">DATOSAÑO!Q324</f>
        <v>0</v>
      </c>
      <c r="J325" s="11">
        <f ca="1">DATOSAÑO!R324</f>
        <v>0</v>
      </c>
      <c r="K325" s="9">
        <f ca="1">DATOSAÑO!T324</f>
        <v>0</v>
      </c>
      <c r="L325" s="11">
        <f t="shared" ca="1" si="12"/>
        <v>0</v>
      </c>
      <c r="M325" s="9"/>
      <c r="N325" s="11">
        <f t="shared" si="13"/>
        <v>0</v>
      </c>
      <c r="O325" s="9">
        <f>DATOSAÑO!CK324</f>
        <v>0</v>
      </c>
      <c r="P325" s="9">
        <f>DATOSAÑO!CL324</f>
        <v>0</v>
      </c>
      <c r="Q325" s="9">
        <f ca="1">DATOSAÑO!AD324</f>
        <v>0</v>
      </c>
      <c r="R325" s="11">
        <f ca="1">(Q325*DATOSAÑO!$Z$11)/DATOSAÑO!$Y$11</f>
        <v>0</v>
      </c>
      <c r="S325" s="9">
        <f ca="1">DATOSAÑO!AF324</f>
        <v>0</v>
      </c>
      <c r="T325" s="11">
        <f ca="1">(S325*DATOSAÑO!$Z$11)/DATOSAÑO!$Y$11</f>
        <v>0</v>
      </c>
      <c r="U325" s="9">
        <f ca="1">DATOSAÑO!AH324</f>
        <v>0</v>
      </c>
      <c r="V325" s="11">
        <f ca="1">(U325*DATOSAÑO!$Z$11)/DATOSAÑO!$Y$11</f>
        <v>0</v>
      </c>
      <c r="W325" s="9">
        <f ca="1">DATOSAÑO!AI324</f>
        <v>0</v>
      </c>
      <c r="X325" s="11">
        <f ca="1">(W325*DATOSAÑO!$Z$11)/DATOSAÑO!$Y$11</f>
        <v>0</v>
      </c>
      <c r="Y325" s="9">
        <f ca="1">DATOSAÑO!AJ324</f>
        <v>0</v>
      </c>
      <c r="Z325" s="11">
        <f ca="1">(Y325*DATOSAÑO!$Z$11)/DATOSAÑO!$Y$11</f>
        <v>0</v>
      </c>
      <c r="AA325" s="9">
        <f ca="1">DATOSAÑO!AK324</f>
        <v>0</v>
      </c>
      <c r="AB325" s="11">
        <f ca="1">(AA325*DATOSAÑO!$Z$11)/DATOSAÑO!$Y$11</f>
        <v>0</v>
      </c>
      <c r="AC325" s="9">
        <f ca="1">DATOSAÑO!AL324</f>
        <v>0</v>
      </c>
      <c r="AD325" s="11">
        <f ca="1">(AC325*DATOSAÑO!$Z$11)/DATOSAÑO!$Y$11</f>
        <v>0</v>
      </c>
      <c r="AE325" s="9">
        <f ca="1">DATOSAÑO!CA324</f>
        <v>0</v>
      </c>
      <c r="AF325" s="11">
        <f ca="1">(AE325*DATOSAÑO!$Z$11)/DATOSAÑO!$Y$11</f>
        <v>0</v>
      </c>
      <c r="AG325" s="9">
        <f ca="1">DATOSAÑO!CB324</f>
        <v>0</v>
      </c>
      <c r="AH325" s="11">
        <f ca="1">(AG325*DATOSAÑO!$Z$11)/DATOSAÑO!$Y$11</f>
        <v>0</v>
      </c>
      <c r="AI325" s="9">
        <f ca="1">DATOSAÑO!BJ324</f>
        <v>0</v>
      </c>
      <c r="AJ325" s="11">
        <f ca="1">(AI325*DATOSAÑO!$Z$11)/DATOSAÑO!$Y$11</f>
        <v>0</v>
      </c>
      <c r="AK325" s="9">
        <f ca="1">DATOSAÑO!BM324</f>
        <v>0</v>
      </c>
      <c r="AL325" s="11">
        <f ca="1">(AK325*DATOSAÑO!$Z$11)/DATOSAÑO!$Y$11</f>
        <v>0</v>
      </c>
      <c r="AM325" s="9">
        <f ca="1">DATOSAÑO!BP324</f>
        <v>0</v>
      </c>
      <c r="AN325" s="11">
        <f ca="1">(AM325*DATOSAÑO!$Z$11)/DATOSAÑO!$Y$11</f>
        <v>0</v>
      </c>
      <c r="AO325" s="9">
        <f ca="1">DATOSAÑO!BW324</f>
        <v>0</v>
      </c>
      <c r="AP325" s="11">
        <f ca="1">(AO325*DATOSAÑO!$Z$11)/DATOSAÑO!$Y$11</f>
        <v>0</v>
      </c>
      <c r="AQ325" s="9">
        <f ca="1">DATOSAÑO!CC324</f>
        <v>0</v>
      </c>
      <c r="AR325" s="1348">
        <f ca="1">(AQ325*DATOSAÑO!$Z$11)/DATOSAÑO!$Y$11</f>
        <v>0</v>
      </c>
      <c r="AS325" s="1384">
        <f t="shared" si="14"/>
        <v>45</v>
      </c>
    </row>
    <row r="326" spans="1:45">
      <c r="A326" s="1408">
        <v>45241</v>
      </c>
      <c r="B326" s="1869">
        <v>45241</v>
      </c>
      <c r="C326" s="9">
        <f ca="1">DATOSAÑO!I325</f>
        <v>0</v>
      </c>
      <c r="D326" s="10">
        <f ca="1">DATOSAÑO!$D325</f>
        <v>0</v>
      </c>
      <c r="E326" s="11">
        <f ca="1">DATOSAÑO!$G325</f>
        <v>0</v>
      </c>
      <c r="F326" s="9">
        <f ca="1">DATOSAÑO!P325</f>
        <v>0</v>
      </c>
      <c r="G326" s="10">
        <f ca="1">DATOSAÑO!K325</f>
        <v>0</v>
      </c>
      <c r="H326" s="11">
        <f ca="1">DATOSAÑO!N325</f>
        <v>0</v>
      </c>
      <c r="I326" s="9">
        <f ca="1">DATOSAÑO!Q325</f>
        <v>0</v>
      </c>
      <c r="J326" s="11">
        <f ca="1">DATOSAÑO!R325</f>
        <v>0</v>
      </c>
      <c r="K326" s="9">
        <f ca="1">DATOSAÑO!T325</f>
        <v>0</v>
      </c>
      <c r="L326" s="11">
        <f t="shared" ca="1" si="12"/>
        <v>0</v>
      </c>
      <c r="M326" s="9"/>
      <c r="N326" s="11">
        <f t="shared" si="13"/>
        <v>0</v>
      </c>
      <c r="O326" s="9">
        <f>DATOSAÑO!CK325</f>
        <v>0</v>
      </c>
      <c r="P326" s="9">
        <f>DATOSAÑO!CL325</f>
        <v>0</v>
      </c>
      <c r="Q326" s="9">
        <f ca="1">DATOSAÑO!AD325</f>
        <v>0</v>
      </c>
      <c r="R326" s="11">
        <f ca="1">(Q326*DATOSAÑO!$Z$11)/DATOSAÑO!$Y$11</f>
        <v>0</v>
      </c>
      <c r="S326" s="9">
        <f ca="1">DATOSAÑO!AF325</f>
        <v>0</v>
      </c>
      <c r="T326" s="11">
        <f ca="1">(S326*DATOSAÑO!$Z$11)/DATOSAÑO!$Y$11</f>
        <v>0</v>
      </c>
      <c r="U326" s="9">
        <f ca="1">DATOSAÑO!AH325</f>
        <v>0</v>
      </c>
      <c r="V326" s="11">
        <f ca="1">(U326*DATOSAÑO!$Z$11)/DATOSAÑO!$Y$11</f>
        <v>0</v>
      </c>
      <c r="W326" s="9">
        <f ca="1">DATOSAÑO!AI325</f>
        <v>0</v>
      </c>
      <c r="X326" s="11">
        <f ca="1">(W326*DATOSAÑO!$Z$11)/DATOSAÑO!$Y$11</f>
        <v>0</v>
      </c>
      <c r="Y326" s="9">
        <f ca="1">DATOSAÑO!AJ325</f>
        <v>0</v>
      </c>
      <c r="Z326" s="11">
        <f ca="1">(Y326*DATOSAÑO!$Z$11)/DATOSAÑO!$Y$11</f>
        <v>0</v>
      </c>
      <c r="AA326" s="9">
        <f ca="1">DATOSAÑO!AK325</f>
        <v>0</v>
      </c>
      <c r="AB326" s="11">
        <f ca="1">(AA326*DATOSAÑO!$Z$11)/DATOSAÑO!$Y$11</f>
        <v>0</v>
      </c>
      <c r="AC326" s="9">
        <f ca="1">DATOSAÑO!AL325</f>
        <v>0</v>
      </c>
      <c r="AD326" s="11">
        <f ca="1">(AC326*DATOSAÑO!$Z$11)/DATOSAÑO!$Y$11</f>
        <v>0</v>
      </c>
      <c r="AE326" s="9">
        <f ca="1">DATOSAÑO!CA325</f>
        <v>0</v>
      </c>
      <c r="AF326" s="11">
        <f ca="1">(AE326*DATOSAÑO!$Z$11)/DATOSAÑO!$Y$11</f>
        <v>0</v>
      </c>
      <c r="AG326" s="9">
        <f ca="1">DATOSAÑO!CB325</f>
        <v>0</v>
      </c>
      <c r="AH326" s="11">
        <f ca="1">(AG326*DATOSAÑO!$Z$11)/DATOSAÑO!$Y$11</f>
        <v>0</v>
      </c>
      <c r="AI326" s="9">
        <f ca="1">DATOSAÑO!BJ325</f>
        <v>0</v>
      </c>
      <c r="AJ326" s="11">
        <f ca="1">(AI326*DATOSAÑO!$Z$11)/DATOSAÑO!$Y$11</f>
        <v>0</v>
      </c>
      <c r="AK326" s="9">
        <f ca="1">DATOSAÑO!BM325</f>
        <v>0</v>
      </c>
      <c r="AL326" s="11">
        <f ca="1">(AK326*DATOSAÑO!$Z$11)/DATOSAÑO!$Y$11</f>
        <v>0</v>
      </c>
      <c r="AM326" s="9">
        <f ca="1">DATOSAÑO!BP325</f>
        <v>0</v>
      </c>
      <c r="AN326" s="11">
        <f ca="1">(AM326*DATOSAÑO!$Z$11)/DATOSAÑO!$Y$11</f>
        <v>0</v>
      </c>
      <c r="AO326" s="9">
        <f ca="1">DATOSAÑO!BW325</f>
        <v>0</v>
      </c>
      <c r="AP326" s="11">
        <f ca="1">(AO326*DATOSAÑO!$Z$11)/DATOSAÑO!$Y$11</f>
        <v>0</v>
      </c>
      <c r="AQ326" s="9">
        <f ca="1">DATOSAÑO!CC325</f>
        <v>0</v>
      </c>
      <c r="AR326" s="1348">
        <f ca="1">(AQ326*DATOSAÑO!$Z$11)/DATOSAÑO!$Y$11</f>
        <v>0</v>
      </c>
      <c r="AS326" s="1384">
        <f t="shared" si="14"/>
        <v>45</v>
      </c>
    </row>
    <row r="327" spans="1:45">
      <c r="A327" s="1408">
        <v>45242</v>
      </c>
      <c r="B327" s="1869">
        <v>45242</v>
      </c>
      <c r="C327" s="9">
        <f ca="1">DATOSAÑO!I326</f>
        <v>0</v>
      </c>
      <c r="D327" s="10">
        <f ca="1">DATOSAÑO!$D326</f>
        <v>0</v>
      </c>
      <c r="E327" s="11">
        <f ca="1">DATOSAÑO!$G326</f>
        <v>0</v>
      </c>
      <c r="F327" s="9">
        <f ca="1">DATOSAÑO!P326</f>
        <v>0</v>
      </c>
      <c r="G327" s="10">
        <f ca="1">DATOSAÑO!K326</f>
        <v>0</v>
      </c>
      <c r="H327" s="11">
        <f ca="1">DATOSAÑO!N326</f>
        <v>0</v>
      </c>
      <c r="I327" s="9">
        <f ca="1">DATOSAÑO!Q326</f>
        <v>0</v>
      </c>
      <c r="J327" s="11">
        <f ca="1">DATOSAÑO!R326</f>
        <v>0</v>
      </c>
      <c r="K327" s="9">
        <f ca="1">DATOSAÑO!T326</f>
        <v>0</v>
      </c>
      <c r="L327" s="11">
        <f t="shared" ca="1" si="12"/>
        <v>0</v>
      </c>
      <c r="M327" s="9"/>
      <c r="N327" s="11">
        <f t="shared" si="13"/>
        <v>0</v>
      </c>
      <c r="O327" s="9">
        <f>DATOSAÑO!CK326</f>
        <v>0</v>
      </c>
      <c r="P327" s="9">
        <f>DATOSAÑO!CL326</f>
        <v>0</v>
      </c>
      <c r="Q327" s="9">
        <f ca="1">DATOSAÑO!AD326</f>
        <v>0</v>
      </c>
      <c r="R327" s="11">
        <f ca="1">(Q327*DATOSAÑO!$Z$11)/DATOSAÑO!$Y$11</f>
        <v>0</v>
      </c>
      <c r="S327" s="9">
        <f ca="1">DATOSAÑO!AF326</f>
        <v>0</v>
      </c>
      <c r="T327" s="11">
        <f ca="1">(S327*DATOSAÑO!$Z$11)/DATOSAÑO!$Y$11</f>
        <v>0</v>
      </c>
      <c r="U327" s="9">
        <f ca="1">DATOSAÑO!AH326</f>
        <v>0</v>
      </c>
      <c r="V327" s="11">
        <f ca="1">(U327*DATOSAÑO!$Z$11)/DATOSAÑO!$Y$11</f>
        <v>0</v>
      </c>
      <c r="W327" s="9">
        <f ca="1">DATOSAÑO!AI326</f>
        <v>0</v>
      </c>
      <c r="X327" s="11">
        <f ca="1">(W327*DATOSAÑO!$Z$11)/DATOSAÑO!$Y$11</f>
        <v>0</v>
      </c>
      <c r="Y327" s="9">
        <f ca="1">DATOSAÑO!AJ326</f>
        <v>0</v>
      </c>
      <c r="Z327" s="11">
        <f ca="1">(Y327*DATOSAÑO!$Z$11)/DATOSAÑO!$Y$11</f>
        <v>0</v>
      </c>
      <c r="AA327" s="9">
        <f ca="1">DATOSAÑO!AK326</f>
        <v>0</v>
      </c>
      <c r="AB327" s="11">
        <f ca="1">(AA327*DATOSAÑO!$Z$11)/DATOSAÑO!$Y$11</f>
        <v>0</v>
      </c>
      <c r="AC327" s="9">
        <f ca="1">DATOSAÑO!AL326</f>
        <v>0</v>
      </c>
      <c r="AD327" s="11">
        <f ca="1">(AC327*DATOSAÑO!$Z$11)/DATOSAÑO!$Y$11</f>
        <v>0</v>
      </c>
      <c r="AE327" s="9">
        <f ca="1">DATOSAÑO!CA326</f>
        <v>0</v>
      </c>
      <c r="AF327" s="11">
        <f ca="1">(AE327*DATOSAÑO!$Z$11)/DATOSAÑO!$Y$11</f>
        <v>0</v>
      </c>
      <c r="AG327" s="9">
        <f ca="1">DATOSAÑO!CB326</f>
        <v>0</v>
      </c>
      <c r="AH327" s="11">
        <f ca="1">(AG327*DATOSAÑO!$Z$11)/DATOSAÑO!$Y$11</f>
        <v>0</v>
      </c>
      <c r="AI327" s="9">
        <f ca="1">DATOSAÑO!BJ326</f>
        <v>0</v>
      </c>
      <c r="AJ327" s="11">
        <f ca="1">(AI327*DATOSAÑO!$Z$11)/DATOSAÑO!$Y$11</f>
        <v>0</v>
      </c>
      <c r="AK327" s="9">
        <f ca="1">DATOSAÑO!BM326</f>
        <v>0</v>
      </c>
      <c r="AL327" s="11">
        <f ca="1">(AK327*DATOSAÑO!$Z$11)/DATOSAÑO!$Y$11</f>
        <v>0</v>
      </c>
      <c r="AM327" s="9">
        <f ca="1">DATOSAÑO!BP326</f>
        <v>0</v>
      </c>
      <c r="AN327" s="11">
        <f ca="1">(AM327*DATOSAÑO!$Z$11)/DATOSAÑO!$Y$11</f>
        <v>0</v>
      </c>
      <c r="AO327" s="9">
        <f ca="1">DATOSAÑO!BW326</f>
        <v>0</v>
      </c>
      <c r="AP327" s="11">
        <f ca="1">(AO327*DATOSAÑO!$Z$11)/DATOSAÑO!$Y$11</f>
        <v>0</v>
      </c>
      <c r="AQ327" s="9">
        <f ca="1">DATOSAÑO!CC326</f>
        <v>0</v>
      </c>
      <c r="AR327" s="1348">
        <f ca="1">(AQ327*DATOSAÑO!$Z$11)/DATOSAÑO!$Y$11</f>
        <v>0</v>
      </c>
      <c r="AS327" s="1384">
        <f t="shared" si="14"/>
        <v>46</v>
      </c>
    </row>
    <row r="328" spans="1:45">
      <c r="A328" s="1408">
        <v>45243</v>
      </c>
      <c r="B328" s="1869">
        <v>45243</v>
      </c>
      <c r="C328" s="9">
        <f ca="1">DATOSAÑO!I327</f>
        <v>0</v>
      </c>
      <c r="D328" s="10">
        <f ca="1">DATOSAÑO!$D327</f>
        <v>0</v>
      </c>
      <c r="E328" s="11">
        <f ca="1">DATOSAÑO!$G327</f>
        <v>0</v>
      </c>
      <c r="F328" s="9">
        <f ca="1">DATOSAÑO!P327</f>
        <v>0</v>
      </c>
      <c r="G328" s="10">
        <f ca="1">DATOSAÑO!K327</f>
        <v>0</v>
      </c>
      <c r="H328" s="11">
        <f ca="1">DATOSAÑO!N327</f>
        <v>0</v>
      </c>
      <c r="I328" s="9">
        <f ca="1">DATOSAÑO!Q327</f>
        <v>0</v>
      </c>
      <c r="J328" s="11">
        <f ca="1">DATOSAÑO!R327</f>
        <v>0</v>
      </c>
      <c r="K328" s="9">
        <f ca="1">DATOSAÑO!T327</f>
        <v>0</v>
      </c>
      <c r="L328" s="11">
        <f t="shared" ca="1" si="12"/>
        <v>0</v>
      </c>
      <c r="M328" s="9"/>
      <c r="N328" s="11">
        <f t="shared" si="13"/>
        <v>0</v>
      </c>
      <c r="O328" s="9">
        <f>DATOSAÑO!CK327</f>
        <v>0</v>
      </c>
      <c r="P328" s="9">
        <f>DATOSAÑO!CL327</f>
        <v>0</v>
      </c>
      <c r="Q328" s="9">
        <f ca="1">DATOSAÑO!AD327</f>
        <v>0</v>
      </c>
      <c r="R328" s="11">
        <f ca="1">(Q328*DATOSAÑO!$Z$11)/DATOSAÑO!$Y$11</f>
        <v>0</v>
      </c>
      <c r="S328" s="9">
        <f ca="1">DATOSAÑO!AF327</f>
        <v>0</v>
      </c>
      <c r="T328" s="11">
        <f ca="1">(S328*DATOSAÑO!$Z$11)/DATOSAÑO!$Y$11</f>
        <v>0</v>
      </c>
      <c r="U328" s="9">
        <f ca="1">DATOSAÑO!AH327</f>
        <v>0</v>
      </c>
      <c r="V328" s="11">
        <f ca="1">(U328*DATOSAÑO!$Z$11)/DATOSAÑO!$Y$11</f>
        <v>0</v>
      </c>
      <c r="W328" s="9">
        <f ca="1">DATOSAÑO!AI327</f>
        <v>0</v>
      </c>
      <c r="X328" s="11">
        <f ca="1">(W328*DATOSAÑO!$Z$11)/DATOSAÑO!$Y$11</f>
        <v>0</v>
      </c>
      <c r="Y328" s="9">
        <f ca="1">DATOSAÑO!AJ327</f>
        <v>0</v>
      </c>
      <c r="Z328" s="11">
        <f ca="1">(Y328*DATOSAÑO!$Z$11)/DATOSAÑO!$Y$11</f>
        <v>0</v>
      </c>
      <c r="AA328" s="9">
        <f ca="1">DATOSAÑO!AK327</f>
        <v>0</v>
      </c>
      <c r="AB328" s="11">
        <f ca="1">(AA328*DATOSAÑO!$Z$11)/DATOSAÑO!$Y$11</f>
        <v>0</v>
      </c>
      <c r="AC328" s="9">
        <f ca="1">DATOSAÑO!AL327</f>
        <v>0</v>
      </c>
      <c r="AD328" s="11">
        <f ca="1">(AC328*DATOSAÑO!$Z$11)/DATOSAÑO!$Y$11</f>
        <v>0</v>
      </c>
      <c r="AE328" s="9">
        <f ca="1">DATOSAÑO!CA327</f>
        <v>0</v>
      </c>
      <c r="AF328" s="11">
        <f ca="1">(AE328*DATOSAÑO!$Z$11)/DATOSAÑO!$Y$11</f>
        <v>0</v>
      </c>
      <c r="AG328" s="9">
        <f ca="1">DATOSAÑO!CB327</f>
        <v>0</v>
      </c>
      <c r="AH328" s="11">
        <f ca="1">(AG328*DATOSAÑO!$Z$11)/DATOSAÑO!$Y$11</f>
        <v>0</v>
      </c>
      <c r="AI328" s="9">
        <f ca="1">DATOSAÑO!BJ327</f>
        <v>0</v>
      </c>
      <c r="AJ328" s="11">
        <f ca="1">(AI328*DATOSAÑO!$Z$11)/DATOSAÑO!$Y$11</f>
        <v>0</v>
      </c>
      <c r="AK328" s="9">
        <f ca="1">DATOSAÑO!BM327</f>
        <v>0</v>
      </c>
      <c r="AL328" s="11">
        <f ca="1">(AK328*DATOSAÑO!$Z$11)/DATOSAÑO!$Y$11</f>
        <v>0</v>
      </c>
      <c r="AM328" s="9">
        <f ca="1">DATOSAÑO!BP327</f>
        <v>0</v>
      </c>
      <c r="AN328" s="11">
        <f ca="1">(AM328*DATOSAÑO!$Z$11)/DATOSAÑO!$Y$11</f>
        <v>0</v>
      </c>
      <c r="AO328" s="9">
        <f ca="1">DATOSAÑO!BW327</f>
        <v>0</v>
      </c>
      <c r="AP328" s="11">
        <f ca="1">(AO328*DATOSAÑO!$Z$11)/DATOSAÑO!$Y$11</f>
        <v>0</v>
      </c>
      <c r="AQ328" s="9">
        <f ca="1">DATOSAÑO!CC327</f>
        <v>0</v>
      </c>
      <c r="AR328" s="1348">
        <f ca="1">(AQ328*DATOSAÑO!$Z$11)/DATOSAÑO!$Y$11</f>
        <v>0</v>
      </c>
      <c r="AS328" s="1384">
        <f t="shared" si="14"/>
        <v>46</v>
      </c>
    </row>
    <row r="329" spans="1:45">
      <c r="A329" s="1408">
        <v>45244</v>
      </c>
      <c r="B329" s="1869">
        <v>45244</v>
      </c>
      <c r="C329" s="9">
        <f ca="1">DATOSAÑO!I328</f>
        <v>0</v>
      </c>
      <c r="D329" s="10">
        <f ca="1">DATOSAÑO!$D328</f>
        <v>0</v>
      </c>
      <c r="E329" s="11">
        <f ca="1">DATOSAÑO!$G328</f>
        <v>0</v>
      </c>
      <c r="F329" s="9">
        <f ca="1">DATOSAÑO!P328</f>
        <v>0</v>
      </c>
      <c r="G329" s="10">
        <f ca="1">DATOSAÑO!K328</f>
        <v>0</v>
      </c>
      <c r="H329" s="11">
        <f ca="1">DATOSAÑO!N328</f>
        <v>0</v>
      </c>
      <c r="I329" s="9">
        <f ca="1">DATOSAÑO!Q328</f>
        <v>0</v>
      </c>
      <c r="J329" s="11">
        <f ca="1">DATOSAÑO!R328</f>
        <v>0</v>
      </c>
      <c r="K329" s="9">
        <f ca="1">DATOSAÑO!T328</f>
        <v>0</v>
      </c>
      <c r="L329" s="11">
        <f t="shared" ca="1" si="12"/>
        <v>0</v>
      </c>
      <c r="M329" s="9"/>
      <c r="N329" s="11">
        <f t="shared" si="13"/>
        <v>0</v>
      </c>
      <c r="O329" s="9">
        <f>DATOSAÑO!CK328</f>
        <v>0</v>
      </c>
      <c r="P329" s="9">
        <f>DATOSAÑO!CL328</f>
        <v>0</v>
      </c>
      <c r="Q329" s="9">
        <f ca="1">DATOSAÑO!AD328</f>
        <v>0</v>
      </c>
      <c r="R329" s="11">
        <f ca="1">(Q329*DATOSAÑO!$Z$11)/DATOSAÑO!$Y$11</f>
        <v>0</v>
      </c>
      <c r="S329" s="9">
        <f ca="1">DATOSAÑO!AF328</f>
        <v>0</v>
      </c>
      <c r="T329" s="11">
        <f ca="1">(S329*DATOSAÑO!$Z$11)/DATOSAÑO!$Y$11</f>
        <v>0</v>
      </c>
      <c r="U329" s="9">
        <f ca="1">DATOSAÑO!AH328</f>
        <v>0</v>
      </c>
      <c r="V329" s="11">
        <f ca="1">(U329*DATOSAÑO!$Z$11)/DATOSAÑO!$Y$11</f>
        <v>0</v>
      </c>
      <c r="W329" s="9">
        <f ca="1">DATOSAÑO!AI328</f>
        <v>0</v>
      </c>
      <c r="X329" s="11">
        <f ca="1">(W329*DATOSAÑO!$Z$11)/DATOSAÑO!$Y$11</f>
        <v>0</v>
      </c>
      <c r="Y329" s="9">
        <f ca="1">DATOSAÑO!AJ328</f>
        <v>0</v>
      </c>
      <c r="Z329" s="11">
        <f ca="1">(Y329*DATOSAÑO!$Z$11)/DATOSAÑO!$Y$11</f>
        <v>0</v>
      </c>
      <c r="AA329" s="9">
        <f ca="1">DATOSAÑO!AK328</f>
        <v>0</v>
      </c>
      <c r="AB329" s="11">
        <f ca="1">(AA329*DATOSAÑO!$Z$11)/DATOSAÑO!$Y$11</f>
        <v>0</v>
      </c>
      <c r="AC329" s="9">
        <f ca="1">DATOSAÑO!AL328</f>
        <v>0</v>
      </c>
      <c r="AD329" s="11">
        <f ca="1">(AC329*DATOSAÑO!$Z$11)/DATOSAÑO!$Y$11</f>
        <v>0</v>
      </c>
      <c r="AE329" s="9">
        <f ca="1">DATOSAÑO!CA328</f>
        <v>0</v>
      </c>
      <c r="AF329" s="11">
        <f ca="1">(AE329*DATOSAÑO!$Z$11)/DATOSAÑO!$Y$11</f>
        <v>0</v>
      </c>
      <c r="AG329" s="9">
        <f ca="1">DATOSAÑO!CB328</f>
        <v>0</v>
      </c>
      <c r="AH329" s="11">
        <f ca="1">(AG329*DATOSAÑO!$Z$11)/DATOSAÑO!$Y$11</f>
        <v>0</v>
      </c>
      <c r="AI329" s="9">
        <f ca="1">DATOSAÑO!BJ328</f>
        <v>0</v>
      </c>
      <c r="AJ329" s="11">
        <f ca="1">(AI329*DATOSAÑO!$Z$11)/DATOSAÑO!$Y$11</f>
        <v>0</v>
      </c>
      <c r="AK329" s="9">
        <f ca="1">DATOSAÑO!BM328</f>
        <v>0</v>
      </c>
      <c r="AL329" s="11">
        <f ca="1">(AK329*DATOSAÑO!$Z$11)/DATOSAÑO!$Y$11</f>
        <v>0</v>
      </c>
      <c r="AM329" s="9">
        <f ca="1">DATOSAÑO!BP328</f>
        <v>0</v>
      </c>
      <c r="AN329" s="11">
        <f ca="1">(AM329*DATOSAÑO!$Z$11)/DATOSAÑO!$Y$11</f>
        <v>0</v>
      </c>
      <c r="AO329" s="9">
        <f ca="1">DATOSAÑO!BW328</f>
        <v>0</v>
      </c>
      <c r="AP329" s="11">
        <f ca="1">(AO329*DATOSAÑO!$Z$11)/DATOSAÑO!$Y$11</f>
        <v>0</v>
      </c>
      <c r="AQ329" s="9">
        <f ca="1">DATOSAÑO!CC328</f>
        <v>0</v>
      </c>
      <c r="AR329" s="1348">
        <f ca="1">(AQ329*DATOSAÑO!$Z$11)/DATOSAÑO!$Y$11</f>
        <v>0</v>
      </c>
      <c r="AS329" s="1384">
        <f t="shared" si="14"/>
        <v>46</v>
      </c>
    </row>
    <row r="330" spans="1:45">
      <c r="A330" s="1408">
        <v>45245</v>
      </c>
      <c r="B330" s="1869">
        <v>45245</v>
      </c>
      <c r="C330" s="9">
        <f ca="1">DATOSAÑO!I329</f>
        <v>0</v>
      </c>
      <c r="D330" s="10">
        <f ca="1">DATOSAÑO!$D329</f>
        <v>0</v>
      </c>
      <c r="E330" s="11">
        <f ca="1">DATOSAÑO!$G329</f>
        <v>0</v>
      </c>
      <c r="F330" s="9">
        <f ca="1">DATOSAÑO!P329</f>
        <v>0</v>
      </c>
      <c r="G330" s="10">
        <f ca="1">DATOSAÑO!K329</f>
        <v>0</v>
      </c>
      <c r="H330" s="11">
        <f ca="1">DATOSAÑO!N329</f>
        <v>0</v>
      </c>
      <c r="I330" s="9">
        <f ca="1">DATOSAÑO!Q329</f>
        <v>0</v>
      </c>
      <c r="J330" s="11">
        <f ca="1">DATOSAÑO!R329</f>
        <v>0</v>
      </c>
      <c r="K330" s="9">
        <f ca="1">DATOSAÑO!T329</f>
        <v>0</v>
      </c>
      <c r="L330" s="11">
        <f t="shared" ca="1" si="12"/>
        <v>0</v>
      </c>
      <c r="M330" s="9"/>
      <c r="N330" s="11">
        <f t="shared" si="13"/>
        <v>0</v>
      </c>
      <c r="O330" s="9">
        <f>DATOSAÑO!CK329</f>
        <v>0</v>
      </c>
      <c r="P330" s="9">
        <f>DATOSAÑO!CL329</f>
        <v>0</v>
      </c>
      <c r="Q330" s="9">
        <f ca="1">DATOSAÑO!AD329</f>
        <v>0</v>
      </c>
      <c r="R330" s="11">
        <f ca="1">(Q330*DATOSAÑO!$Z$11)/DATOSAÑO!$Y$11</f>
        <v>0</v>
      </c>
      <c r="S330" s="9">
        <f ca="1">DATOSAÑO!AF329</f>
        <v>0</v>
      </c>
      <c r="T330" s="11">
        <f ca="1">(S330*DATOSAÑO!$Z$11)/DATOSAÑO!$Y$11</f>
        <v>0</v>
      </c>
      <c r="U330" s="9">
        <f ca="1">DATOSAÑO!AH329</f>
        <v>0</v>
      </c>
      <c r="V330" s="11">
        <f ca="1">(U330*DATOSAÑO!$Z$11)/DATOSAÑO!$Y$11</f>
        <v>0</v>
      </c>
      <c r="W330" s="9">
        <f ca="1">DATOSAÑO!AI329</f>
        <v>0</v>
      </c>
      <c r="X330" s="11">
        <f ca="1">(W330*DATOSAÑO!$Z$11)/DATOSAÑO!$Y$11</f>
        <v>0</v>
      </c>
      <c r="Y330" s="9">
        <f ca="1">DATOSAÑO!AJ329</f>
        <v>0</v>
      </c>
      <c r="Z330" s="11">
        <f ca="1">(Y330*DATOSAÑO!$Z$11)/DATOSAÑO!$Y$11</f>
        <v>0</v>
      </c>
      <c r="AA330" s="9">
        <f ca="1">DATOSAÑO!AK329</f>
        <v>0</v>
      </c>
      <c r="AB330" s="11">
        <f ca="1">(AA330*DATOSAÑO!$Z$11)/DATOSAÑO!$Y$11</f>
        <v>0</v>
      </c>
      <c r="AC330" s="9">
        <f ca="1">DATOSAÑO!AL329</f>
        <v>0</v>
      </c>
      <c r="AD330" s="11">
        <f ca="1">(AC330*DATOSAÑO!$Z$11)/DATOSAÑO!$Y$11</f>
        <v>0</v>
      </c>
      <c r="AE330" s="9">
        <f ca="1">DATOSAÑO!CA329</f>
        <v>0</v>
      </c>
      <c r="AF330" s="11">
        <f ca="1">(AE330*DATOSAÑO!$Z$11)/DATOSAÑO!$Y$11</f>
        <v>0</v>
      </c>
      <c r="AG330" s="9">
        <f ca="1">DATOSAÑO!CB329</f>
        <v>0</v>
      </c>
      <c r="AH330" s="11">
        <f ca="1">(AG330*DATOSAÑO!$Z$11)/DATOSAÑO!$Y$11</f>
        <v>0</v>
      </c>
      <c r="AI330" s="9">
        <f ca="1">DATOSAÑO!BJ329</f>
        <v>0</v>
      </c>
      <c r="AJ330" s="11">
        <f ca="1">(AI330*DATOSAÑO!$Z$11)/DATOSAÑO!$Y$11</f>
        <v>0</v>
      </c>
      <c r="AK330" s="9">
        <f ca="1">DATOSAÑO!BM329</f>
        <v>0</v>
      </c>
      <c r="AL330" s="11">
        <f ca="1">(AK330*DATOSAÑO!$Z$11)/DATOSAÑO!$Y$11</f>
        <v>0</v>
      </c>
      <c r="AM330" s="9">
        <f ca="1">DATOSAÑO!BP329</f>
        <v>0</v>
      </c>
      <c r="AN330" s="11">
        <f ca="1">(AM330*DATOSAÑO!$Z$11)/DATOSAÑO!$Y$11</f>
        <v>0</v>
      </c>
      <c r="AO330" s="9">
        <f ca="1">DATOSAÑO!BW329</f>
        <v>0</v>
      </c>
      <c r="AP330" s="11">
        <f ca="1">(AO330*DATOSAÑO!$Z$11)/DATOSAÑO!$Y$11</f>
        <v>0</v>
      </c>
      <c r="AQ330" s="9">
        <f ca="1">DATOSAÑO!CC329</f>
        <v>0</v>
      </c>
      <c r="AR330" s="1348">
        <f ca="1">(AQ330*DATOSAÑO!$Z$11)/DATOSAÑO!$Y$11</f>
        <v>0</v>
      </c>
      <c r="AS330" s="1384">
        <f t="shared" si="14"/>
        <v>46</v>
      </c>
    </row>
    <row r="331" spans="1:45">
      <c r="A331" s="1408">
        <v>45246</v>
      </c>
      <c r="B331" s="1869">
        <v>45246</v>
      </c>
      <c r="C331" s="9">
        <f ca="1">DATOSAÑO!I330</f>
        <v>0</v>
      </c>
      <c r="D331" s="10">
        <f ca="1">DATOSAÑO!$D330</f>
        <v>0</v>
      </c>
      <c r="E331" s="11">
        <f ca="1">DATOSAÑO!$G330</f>
        <v>0</v>
      </c>
      <c r="F331" s="9">
        <f ca="1">DATOSAÑO!P330</f>
        <v>0</v>
      </c>
      <c r="G331" s="10">
        <f ca="1">DATOSAÑO!K330</f>
        <v>0</v>
      </c>
      <c r="H331" s="11">
        <f ca="1">DATOSAÑO!N330</f>
        <v>0</v>
      </c>
      <c r="I331" s="9">
        <f ca="1">DATOSAÑO!Q330</f>
        <v>0</v>
      </c>
      <c r="J331" s="11">
        <f ca="1">DATOSAÑO!R330</f>
        <v>0</v>
      </c>
      <c r="K331" s="9">
        <f ca="1">DATOSAÑO!T330</f>
        <v>0</v>
      </c>
      <c r="L331" s="11">
        <f t="shared" ca="1" si="12"/>
        <v>0</v>
      </c>
      <c r="M331" s="9"/>
      <c r="N331" s="11">
        <f t="shared" si="13"/>
        <v>0</v>
      </c>
      <c r="O331" s="9">
        <f>DATOSAÑO!CK330</f>
        <v>0</v>
      </c>
      <c r="P331" s="9">
        <f>DATOSAÑO!CL330</f>
        <v>0</v>
      </c>
      <c r="Q331" s="9">
        <f ca="1">DATOSAÑO!AD330</f>
        <v>0</v>
      </c>
      <c r="R331" s="11">
        <f ca="1">(Q331*DATOSAÑO!$Z$11)/DATOSAÑO!$Y$11</f>
        <v>0</v>
      </c>
      <c r="S331" s="9">
        <f ca="1">DATOSAÑO!AF330</f>
        <v>0</v>
      </c>
      <c r="T331" s="11">
        <f ca="1">(S331*DATOSAÑO!$Z$11)/DATOSAÑO!$Y$11</f>
        <v>0</v>
      </c>
      <c r="U331" s="9">
        <f ca="1">DATOSAÑO!AH330</f>
        <v>0</v>
      </c>
      <c r="V331" s="11">
        <f ca="1">(U331*DATOSAÑO!$Z$11)/DATOSAÑO!$Y$11</f>
        <v>0</v>
      </c>
      <c r="W331" s="9">
        <f ca="1">DATOSAÑO!AI330</f>
        <v>0</v>
      </c>
      <c r="X331" s="11">
        <f ca="1">(W331*DATOSAÑO!$Z$11)/DATOSAÑO!$Y$11</f>
        <v>0</v>
      </c>
      <c r="Y331" s="9">
        <f ca="1">DATOSAÑO!AJ330</f>
        <v>0</v>
      </c>
      <c r="Z331" s="11">
        <f ca="1">(Y331*DATOSAÑO!$Z$11)/DATOSAÑO!$Y$11</f>
        <v>0</v>
      </c>
      <c r="AA331" s="9">
        <f ca="1">DATOSAÑO!AK330</f>
        <v>0</v>
      </c>
      <c r="AB331" s="11">
        <f ca="1">(AA331*DATOSAÑO!$Z$11)/DATOSAÑO!$Y$11</f>
        <v>0</v>
      </c>
      <c r="AC331" s="9">
        <f ca="1">DATOSAÑO!AL330</f>
        <v>0</v>
      </c>
      <c r="AD331" s="11">
        <f ca="1">(AC331*DATOSAÑO!$Z$11)/DATOSAÑO!$Y$11</f>
        <v>0</v>
      </c>
      <c r="AE331" s="9">
        <f ca="1">DATOSAÑO!CA330</f>
        <v>0</v>
      </c>
      <c r="AF331" s="11">
        <f ca="1">(AE331*DATOSAÑO!$Z$11)/DATOSAÑO!$Y$11</f>
        <v>0</v>
      </c>
      <c r="AG331" s="9">
        <f ca="1">DATOSAÑO!CB330</f>
        <v>0</v>
      </c>
      <c r="AH331" s="11">
        <f ca="1">(AG331*DATOSAÑO!$Z$11)/DATOSAÑO!$Y$11</f>
        <v>0</v>
      </c>
      <c r="AI331" s="9">
        <f ca="1">DATOSAÑO!BJ330</f>
        <v>0</v>
      </c>
      <c r="AJ331" s="11">
        <f ca="1">(AI331*DATOSAÑO!$Z$11)/DATOSAÑO!$Y$11</f>
        <v>0</v>
      </c>
      <c r="AK331" s="9">
        <f ca="1">DATOSAÑO!BM330</f>
        <v>0</v>
      </c>
      <c r="AL331" s="11">
        <f ca="1">(AK331*DATOSAÑO!$Z$11)/DATOSAÑO!$Y$11</f>
        <v>0</v>
      </c>
      <c r="AM331" s="9">
        <f ca="1">DATOSAÑO!BP330</f>
        <v>0</v>
      </c>
      <c r="AN331" s="11">
        <f ca="1">(AM331*DATOSAÑO!$Z$11)/DATOSAÑO!$Y$11</f>
        <v>0</v>
      </c>
      <c r="AO331" s="9">
        <f ca="1">DATOSAÑO!BW330</f>
        <v>0</v>
      </c>
      <c r="AP331" s="11">
        <f ca="1">(AO331*DATOSAÑO!$Z$11)/DATOSAÑO!$Y$11</f>
        <v>0</v>
      </c>
      <c r="AQ331" s="9">
        <f ca="1">DATOSAÑO!CC330</f>
        <v>0</v>
      </c>
      <c r="AR331" s="1348">
        <f ca="1">(AQ331*DATOSAÑO!$Z$11)/DATOSAÑO!$Y$11</f>
        <v>0</v>
      </c>
      <c r="AS331" s="1384">
        <f t="shared" si="14"/>
        <v>46</v>
      </c>
    </row>
    <row r="332" spans="1:45">
      <c r="A332" s="1408">
        <v>45247</v>
      </c>
      <c r="B332" s="1869">
        <v>45247</v>
      </c>
      <c r="C332" s="9">
        <f ca="1">DATOSAÑO!I331</f>
        <v>0</v>
      </c>
      <c r="D332" s="10">
        <f ca="1">DATOSAÑO!$D331</f>
        <v>0</v>
      </c>
      <c r="E332" s="11">
        <f ca="1">DATOSAÑO!$G331</f>
        <v>0</v>
      </c>
      <c r="F332" s="9">
        <f ca="1">DATOSAÑO!P331</f>
        <v>0</v>
      </c>
      <c r="G332" s="10">
        <f ca="1">DATOSAÑO!K331</f>
        <v>0</v>
      </c>
      <c r="H332" s="11">
        <f ca="1">DATOSAÑO!N331</f>
        <v>0</v>
      </c>
      <c r="I332" s="9">
        <f ca="1">DATOSAÑO!Q331</f>
        <v>0</v>
      </c>
      <c r="J332" s="11">
        <f ca="1">DATOSAÑO!R331</f>
        <v>0</v>
      </c>
      <c r="K332" s="9">
        <f ca="1">DATOSAÑO!T331</f>
        <v>0</v>
      </c>
      <c r="L332" s="11">
        <f t="shared" ref="L332:L376" ca="1" si="15">K332*120</f>
        <v>0</v>
      </c>
      <c r="M332" s="9"/>
      <c r="N332" s="11">
        <f t="shared" ref="N332:N376" si="16">M332*120</f>
        <v>0</v>
      </c>
      <c r="O332" s="9">
        <f>DATOSAÑO!CK331</f>
        <v>0</v>
      </c>
      <c r="P332" s="9">
        <f>DATOSAÑO!CL331</f>
        <v>0</v>
      </c>
      <c r="Q332" s="9">
        <f ca="1">DATOSAÑO!AD331</f>
        <v>0</v>
      </c>
      <c r="R332" s="11">
        <f ca="1">(Q332*DATOSAÑO!$Z$11)/DATOSAÑO!$Y$11</f>
        <v>0</v>
      </c>
      <c r="S332" s="9">
        <f ca="1">DATOSAÑO!AF331</f>
        <v>0</v>
      </c>
      <c r="T332" s="11">
        <f ca="1">(S332*DATOSAÑO!$Z$11)/DATOSAÑO!$Y$11</f>
        <v>0</v>
      </c>
      <c r="U332" s="9">
        <f ca="1">DATOSAÑO!AH331</f>
        <v>0</v>
      </c>
      <c r="V332" s="11">
        <f ca="1">(U332*DATOSAÑO!$Z$11)/DATOSAÑO!$Y$11</f>
        <v>0</v>
      </c>
      <c r="W332" s="9">
        <f ca="1">DATOSAÑO!AI331</f>
        <v>0</v>
      </c>
      <c r="X332" s="11">
        <f ca="1">(W332*DATOSAÑO!$Z$11)/DATOSAÑO!$Y$11</f>
        <v>0</v>
      </c>
      <c r="Y332" s="9">
        <f ca="1">DATOSAÑO!AJ331</f>
        <v>0</v>
      </c>
      <c r="Z332" s="11">
        <f ca="1">(Y332*DATOSAÑO!$Z$11)/DATOSAÑO!$Y$11</f>
        <v>0</v>
      </c>
      <c r="AA332" s="9">
        <f ca="1">DATOSAÑO!AK331</f>
        <v>0</v>
      </c>
      <c r="AB332" s="11">
        <f ca="1">(AA332*DATOSAÑO!$Z$11)/DATOSAÑO!$Y$11</f>
        <v>0</v>
      </c>
      <c r="AC332" s="9">
        <f ca="1">DATOSAÑO!AL331</f>
        <v>0</v>
      </c>
      <c r="AD332" s="11">
        <f ca="1">(AC332*DATOSAÑO!$Z$11)/DATOSAÑO!$Y$11</f>
        <v>0</v>
      </c>
      <c r="AE332" s="9">
        <f ca="1">DATOSAÑO!CA331</f>
        <v>0</v>
      </c>
      <c r="AF332" s="11">
        <f ca="1">(AE332*DATOSAÑO!$Z$11)/DATOSAÑO!$Y$11</f>
        <v>0</v>
      </c>
      <c r="AG332" s="9">
        <f ca="1">DATOSAÑO!CB331</f>
        <v>0</v>
      </c>
      <c r="AH332" s="11">
        <f ca="1">(AG332*DATOSAÑO!$Z$11)/DATOSAÑO!$Y$11</f>
        <v>0</v>
      </c>
      <c r="AI332" s="9">
        <f ca="1">DATOSAÑO!BJ331</f>
        <v>0</v>
      </c>
      <c r="AJ332" s="11">
        <f ca="1">(AI332*DATOSAÑO!$Z$11)/DATOSAÑO!$Y$11</f>
        <v>0</v>
      </c>
      <c r="AK332" s="9">
        <f ca="1">DATOSAÑO!BM331</f>
        <v>0</v>
      </c>
      <c r="AL332" s="11">
        <f ca="1">(AK332*DATOSAÑO!$Z$11)/DATOSAÑO!$Y$11</f>
        <v>0</v>
      </c>
      <c r="AM332" s="9">
        <f ca="1">DATOSAÑO!BP331</f>
        <v>0</v>
      </c>
      <c r="AN332" s="11">
        <f ca="1">(AM332*DATOSAÑO!$Z$11)/DATOSAÑO!$Y$11</f>
        <v>0</v>
      </c>
      <c r="AO332" s="9">
        <f ca="1">DATOSAÑO!BW331</f>
        <v>0</v>
      </c>
      <c r="AP332" s="11">
        <f ca="1">(AO332*DATOSAÑO!$Z$11)/DATOSAÑO!$Y$11</f>
        <v>0</v>
      </c>
      <c r="AQ332" s="9">
        <f ca="1">DATOSAÑO!CC331</f>
        <v>0</v>
      </c>
      <c r="AR332" s="1348">
        <f ca="1">(AQ332*DATOSAÑO!$Z$11)/DATOSAÑO!$Y$11</f>
        <v>0</v>
      </c>
      <c r="AS332" s="1384">
        <f t="shared" si="14"/>
        <v>46</v>
      </c>
    </row>
    <row r="333" spans="1:45">
      <c r="A333" s="1408">
        <v>45248</v>
      </c>
      <c r="B333" s="1869">
        <v>45248</v>
      </c>
      <c r="C333" s="9">
        <f ca="1">DATOSAÑO!I332</f>
        <v>0</v>
      </c>
      <c r="D333" s="10">
        <f ca="1">DATOSAÑO!$D332</f>
        <v>0</v>
      </c>
      <c r="E333" s="11">
        <f ca="1">DATOSAÑO!$G332</f>
        <v>0</v>
      </c>
      <c r="F333" s="9">
        <f ca="1">DATOSAÑO!P332</f>
        <v>0</v>
      </c>
      <c r="G333" s="10">
        <f ca="1">DATOSAÑO!K332</f>
        <v>0</v>
      </c>
      <c r="H333" s="11">
        <f ca="1">DATOSAÑO!N332</f>
        <v>0</v>
      </c>
      <c r="I333" s="9">
        <f ca="1">DATOSAÑO!Q332</f>
        <v>0</v>
      </c>
      <c r="J333" s="11">
        <f ca="1">DATOSAÑO!R332</f>
        <v>0</v>
      </c>
      <c r="K333" s="9">
        <f ca="1">DATOSAÑO!T332</f>
        <v>0</v>
      </c>
      <c r="L333" s="11">
        <f t="shared" ca="1" si="15"/>
        <v>0</v>
      </c>
      <c r="M333" s="9"/>
      <c r="N333" s="11">
        <f t="shared" si="16"/>
        <v>0</v>
      </c>
      <c r="O333" s="9">
        <f>DATOSAÑO!CK332</f>
        <v>0</v>
      </c>
      <c r="P333" s="9">
        <f>DATOSAÑO!CL332</f>
        <v>0</v>
      </c>
      <c r="Q333" s="9">
        <f ca="1">DATOSAÑO!AD332</f>
        <v>0</v>
      </c>
      <c r="R333" s="11">
        <f ca="1">(Q333*DATOSAÑO!$Z$11)/DATOSAÑO!$Y$11</f>
        <v>0</v>
      </c>
      <c r="S333" s="9">
        <f ca="1">DATOSAÑO!AF332</f>
        <v>0</v>
      </c>
      <c r="T333" s="11">
        <f ca="1">(S333*DATOSAÑO!$Z$11)/DATOSAÑO!$Y$11</f>
        <v>0</v>
      </c>
      <c r="U333" s="9">
        <f ca="1">DATOSAÑO!AH332</f>
        <v>0</v>
      </c>
      <c r="V333" s="11">
        <f ca="1">(U333*DATOSAÑO!$Z$11)/DATOSAÑO!$Y$11</f>
        <v>0</v>
      </c>
      <c r="W333" s="9">
        <f ca="1">DATOSAÑO!AI332</f>
        <v>0</v>
      </c>
      <c r="X333" s="11">
        <f ca="1">(W333*DATOSAÑO!$Z$11)/DATOSAÑO!$Y$11</f>
        <v>0</v>
      </c>
      <c r="Y333" s="9">
        <f ca="1">DATOSAÑO!AJ332</f>
        <v>0</v>
      </c>
      <c r="Z333" s="11">
        <f ca="1">(Y333*DATOSAÑO!$Z$11)/DATOSAÑO!$Y$11</f>
        <v>0</v>
      </c>
      <c r="AA333" s="9">
        <f ca="1">DATOSAÑO!AK332</f>
        <v>0</v>
      </c>
      <c r="AB333" s="11">
        <f ca="1">(AA333*DATOSAÑO!$Z$11)/DATOSAÑO!$Y$11</f>
        <v>0</v>
      </c>
      <c r="AC333" s="9">
        <f ca="1">DATOSAÑO!AL332</f>
        <v>0</v>
      </c>
      <c r="AD333" s="11">
        <f ca="1">(AC333*DATOSAÑO!$Z$11)/DATOSAÑO!$Y$11</f>
        <v>0</v>
      </c>
      <c r="AE333" s="9">
        <f ca="1">DATOSAÑO!CA332</f>
        <v>0</v>
      </c>
      <c r="AF333" s="11">
        <f ca="1">(AE333*DATOSAÑO!$Z$11)/DATOSAÑO!$Y$11</f>
        <v>0</v>
      </c>
      <c r="AG333" s="9">
        <f ca="1">DATOSAÑO!CB332</f>
        <v>0</v>
      </c>
      <c r="AH333" s="11">
        <f ca="1">(AG333*DATOSAÑO!$Z$11)/DATOSAÑO!$Y$11</f>
        <v>0</v>
      </c>
      <c r="AI333" s="9">
        <f ca="1">DATOSAÑO!BJ332</f>
        <v>0</v>
      </c>
      <c r="AJ333" s="11">
        <f ca="1">(AI333*DATOSAÑO!$Z$11)/DATOSAÑO!$Y$11</f>
        <v>0</v>
      </c>
      <c r="AK333" s="9">
        <f ca="1">DATOSAÑO!BM332</f>
        <v>0</v>
      </c>
      <c r="AL333" s="11">
        <f ca="1">(AK333*DATOSAÑO!$Z$11)/DATOSAÑO!$Y$11</f>
        <v>0</v>
      </c>
      <c r="AM333" s="9">
        <f ca="1">DATOSAÑO!BP332</f>
        <v>0</v>
      </c>
      <c r="AN333" s="11">
        <f ca="1">(AM333*DATOSAÑO!$Z$11)/DATOSAÑO!$Y$11</f>
        <v>0</v>
      </c>
      <c r="AO333" s="9">
        <f ca="1">DATOSAÑO!BW332</f>
        <v>0</v>
      </c>
      <c r="AP333" s="11">
        <f ca="1">(AO333*DATOSAÑO!$Z$11)/DATOSAÑO!$Y$11</f>
        <v>0</v>
      </c>
      <c r="AQ333" s="9">
        <f ca="1">DATOSAÑO!CC332</f>
        <v>0</v>
      </c>
      <c r="AR333" s="1348">
        <f ca="1">(AQ333*DATOSAÑO!$Z$11)/DATOSAÑO!$Y$11</f>
        <v>0</v>
      </c>
      <c r="AS333" s="1384">
        <f t="shared" ref="AS333:AS376" si="17">WEEKNUM(B333,1)</f>
        <v>46</v>
      </c>
    </row>
    <row r="334" spans="1:45">
      <c r="A334" s="1408">
        <v>45249</v>
      </c>
      <c r="B334" s="1869">
        <v>45249</v>
      </c>
      <c r="C334" s="9">
        <f ca="1">DATOSAÑO!I333</f>
        <v>0</v>
      </c>
      <c r="D334" s="10">
        <f ca="1">DATOSAÑO!$D333</f>
        <v>0</v>
      </c>
      <c r="E334" s="11">
        <f ca="1">DATOSAÑO!$G333</f>
        <v>0</v>
      </c>
      <c r="F334" s="9">
        <f ca="1">DATOSAÑO!P333</f>
        <v>0</v>
      </c>
      <c r="G334" s="10">
        <f ca="1">DATOSAÑO!K333</f>
        <v>0</v>
      </c>
      <c r="H334" s="11">
        <f ca="1">DATOSAÑO!N333</f>
        <v>0</v>
      </c>
      <c r="I334" s="9">
        <f ca="1">DATOSAÑO!Q333</f>
        <v>0</v>
      </c>
      <c r="J334" s="11">
        <f ca="1">DATOSAÑO!R333</f>
        <v>0</v>
      </c>
      <c r="K334" s="9">
        <f ca="1">DATOSAÑO!T333</f>
        <v>0</v>
      </c>
      <c r="L334" s="11">
        <f t="shared" ca="1" si="15"/>
        <v>0</v>
      </c>
      <c r="M334" s="9"/>
      <c r="N334" s="11">
        <f t="shared" si="16"/>
        <v>0</v>
      </c>
      <c r="O334" s="9">
        <f>DATOSAÑO!CK333</f>
        <v>0</v>
      </c>
      <c r="P334" s="9">
        <f>DATOSAÑO!CL333</f>
        <v>0</v>
      </c>
      <c r="Q334" s="9">
        <f ca="1">DATOSAÑO!AD333</f>
        <v>0</v>
      </c>
      <c r="R334" s="11">
        <f ca="1">(Q334*DATOSAÑO!$Z$11)/DATOSAÑO!$Y$11</f>
        <v>0</v>
      </c>
      <c r="S334" s="9">
        <f ca="1">DATOSAÑO!AF333</f>
        <v>0</v>
      </c>
      <c r="T334" s="11">
        <f ca="1">(S334*DATOSAÑO!$Z$11)/DATOSAÑO!$Y$11</f>
        <v>0</v>
      </c>
      <c r="U334" s="9">
        <f ca="1">DATOSAÑO!AH333</f>
        <v>0</v>
      </c>
      <c r="V334" s="11">
        <f ca="1">(U334*DATOSAÑO!$Z$11)/DATOSAÑO!$Y$11</f>
        <v>0</v>
      </c>
      <c r="W334" s="9">
        <f ca="1">DATOSAÑO!AI333</f>
        <v>0</v>
      </c>
      <c r="X334" s="11">
        <f ca="1">(W334*DATOSAÑO!$Z$11)/DATOSAÑO!$Y$11</f>
        <v>0</v>
      </c>
      <c r="Y334" s="9">
        <f ca="1">DATOSAÑO!AJ333</f>
        <v>0</v>
      </c>
      <c r="Z334" s="11">
        <f ca="1">(Y334*DATOSAÑO!$Z$11)/DATOSAÑO!$Y$11</f>
        <v>0</v>
      </c>
      <c r="AA334" s="9">
        <f ca="1">DATOSAÑO!AK333</f>
        <v>0</v>
      </c>
      <c r="AB334" s="11">
        <f ca="1">(AA334*DATOSAÑO!$Z$11)/DATOSAÑO!$Y$11</f>
        <v>0</v>
      </c>
      <c r="AC334" s="9">
        <f ca="1">DATOSAÑO!AL333</f>
        <v>0</v>
      </c>
      <c r="AD334" s="11">
        <f ca="1">(AC334*DATOSAÑO!$Z$11)/DATOSAÑO!$Y$11</f>
        <v>0</v>
      </c>
      <c r="AE334" s="9">
        <f ca="1">DATOSAÑO!CA333</f>
        <v>0</v>
      </c>
      <c r="AF334" s="11">
        <f ca="1">(AE334*DATOSAÑO!$Z$11)/DATOSAÑO!$Y$11</f>
        <v>0</v>
      </c>
      <c r="AG334" s="9">
        <f ca="1">DATOSAÑO!CB333</f>
        <v>0</v>
      </c>
      <c r="AH334" s="11">
        <f ca="1">(AG334*DATOSAÑO!$Z$11)/DATOSAÑO!$Y$11</f>
        <v>0</v>
      </c>
      <c r="AI334" s="9">
        <f ca="1">DATOSAÑO!BJ333</f>
        <v>0</v>
      </c>
      <c r="AJ334" s="11">
        <f ca="1">(AI334*DATOSAÑO!$Z$11)/DATOSAÑO!$Y$11</f>
        <v>0</v>
      </c>
      <c r="AK334" s="9">
        <f ca="1">DATOSAÑO!BM333</f>
        <v>0</v>
      </c>
      <c r="AL334" s="11">
        <f ca="1">(AK334*DATOSAÑO!$Z$11)/DATOSAÑO!$Y$11</f>
        <v>0</v>
      </c>
      <c r="AM334" s="9">
        <f ca="1">DATOSAÑO!BP333</f>
        <v>0</v>
      </c>
      <c r="AN334" s="11">
        <f ca="1">(AM334*DATOSAÑO!$Z$11)/DATOSAÑO!$Y$11</f>
        <v>0</v>
      </c>
      <c r="AO334" s="9">
        <f ca="1">DATOSAÑO!BW333</f>
        <v>0</v>
      </c>
      <c r="AP334" s="11">
        <f ca="1">(AO334*DATOSAÑO!$Z$11)/DATOSAÑO!$Y$11</f>
        <v>0</v>
      </c>
      <c r="AQ334" s="9">
        <f ca="1">DATOSAÑO!CC333</f>
        <v>0</v>
      </c>
      <c r="AR334" s="1348">
        <f ca="1">(AQ334*DATOSAÑO!$Z$11)/DATOSAÑO!$Y$11</f>
        <v>0</v>
      </c>
      <c r="AS334" s="1384">
        <f t="shared" si="17"/>
        <v>47</v>
      </c>
    </row>
    <row r="335" spans="1:45">
      <c r="A335" s="1408">
        <v>45250</v>
      </c>
      <c r="B335" s="1869">
        <v>45250</v>
      </c>
      <c r="C335" s="9">
        <f ca="1">DATOSAÑO!I334</f>
        <v>0</v>
      </c>
      <c r="D335" s="10">
        <f ca="1">DATOSAÑO!$D334</f>
        <v>0</v>
      </c>
      <c r="E335" s="11">
        <f ca="1">DATOSAÑO!$G334</f>
        <v>0</v>
      </c>
      <c r="F335" s="9">
        <f ca="1">DATOSAÑO!P334</f>
        <v>0</v>
      </c>
      <c r="G335" s="10">
        <f ca="1">DATOSAÑO!K334</f>
        <v>0</v>
      </c>
      <c r="H335" s="11">
        <f ca="1">DATOSAÑO!N334</f>
        <v>0</v>
      </c>
      <c r="I335" s="9">
        <f ca="1">DATOSAÑO!Q334</f>
        <v>0</v>
      </c>
      <c r="J335" s="11">
        <f ca="1">DATOSAÑO!R334</f>
        <v>0</v>
      </c>
      <c r="K335" s="9">
        <f ca="1">DATOSAÑO!T334</f>
        <v>0</v>
      </c>
      <c r="L335" s="11">
        <f t="shared" ca="1" si="15"/>
        <v>0</v>
      </c>
      <c r="M335" s="9"/>
      <c r="N335" s="11">
        <f t="shared" si="16"/>
        <v>0</v>
      </c>
      <c r="O335" s="9">
        <f>DATOSAÑO!CK334</f>
        <v>0</v>
      </c>
      <c r="P335" s="9">
        <f>DATOSAÑO!CL334</f>
        <v>0</v>
      </c>
      <c r="Q335" s="9">
        <f ca="1">DATOSAÑO!AD334</f>
        <v>0</v>
      </c>
      <c r="R335" s="11">
        <f ca="1">(Q335*DATOSAÑO!$Z$11)/DATOSAÑO!$Y$11</f>
        <v>0</v>
      </c>
      <c r="S335" s="9">
        <f ca="1">DATOSAÑO!AF334</f>
        <v>0</v>
      </c>
      <c r="T335" s="11">
        <f ca="1">(S335*DATOSAÑO!$Z$11)/DATOSAÑO!$Y$11</f>
        <v>0</v>
      </c>
      <c r="U335" s="9">
        <f ca="1">DATOSAÑO!AH334</f>
        <v>0</v>
      </c>
      <c r="V335" s="11">
        <f ca="1">(U335*DATOSAÑO!$Z$11)/DATOSAÑO!$Y$11</f>
        <v>0</v>
      </c>
      <c r="W335" s="9">
        <f ca="1">DATOSAÑO!AI334</f>
        <v>0</v>
      </c>
      <c r="X335" s="11">
        <f ca="1">(W335*DATOSAÑO!$Z$11)/DATOSAÑO!$Y$11</f>
        <v>0</v>
      </c>
      <c r="Y335" s="9">
        <f ca="1">DATOSAÑO!AJ334</f>
        <v>0</v>
      </c>
      <c r="Z335" s="11">
        <f ca="1">(Y335*DATOSAÑO!$Z$11)/DATOSAÑO!$Y$11</f>
        <v>0</v>
      </c>
      <c r="AA335" s="9">
        <f ca="1">DATOSAÑO!AK334</f>
        <v>0</v>
      </c>
      <c r="AB335" s="11">
        <f ca="1">(AA335*DATOSAÑO!$Z$11)/DATOSAÑO!$Y$11</f>
        <v>0</v>
      </c>
      <c r="AC335" s="9">
        <f ca="1">DATOSAÑO!AL334</f>
        <v>0</v>
      </c>
      <c r="AD335" s="11">
        <f ca="1">(AC335*DATOSAÑO!$Z$11)/DATOSAÑO!$Y$11</f>
        <v>0</v>
      </c>
      <c r="AE335" s="9">
        <f ca="1">DATOSAÑO!CA334</f>
        <v>0</v>
      </c>
      <c r="AF335" s="11">
        <f ca="1">(AE335*DATOSAÑO!$Z$11)/DATOSAÑO!$Y$11</f>
        <v>0</v>
      </c>
      <c r="AG335" s="9">
        <f ca="1">DATOSAÑO!CB334</f>
        <v>0</v>
      </c>
      <c r="AH335" s="11">
        <f ca="1">(AG335*DATOSAÑO!$Z$11)/DATOSAÑO!$Y$11</f>
        <v>0</v>
      </c>
      <c r="AI335" s="9">
        <f ca="1">DATOSAÑO!BJ334</f>
        <v>0</v>
      </c>
      <c r="AJ335" s="11">
        <f ca="1">(AI335*DATOSAÑO!$Z$11)/DATOSAÑO!$Y$11</f>
        <v>0</v>
      </c>
      <c r="AK335" s="9">
        <f ca="1">DATOSAÑO!BM334</f>
        <v>0</v>
      </c>
      <c r="AL335" s="11">
        <f ca="1">(AK335*DATOSAÑO!$Z$11)/DATOSAÑO!$Y$11</f>
        <v>0</v>
      </c>
      <c r="AM335" s="9">
        <f ca="1">DATOSAÑO!BP334</f>
        <v>0</v>
      </c>
      <c r="AN335" s="11">
        <f ca="1">(AM335*DATOSAÑO!$Z$11)/DATOSAÑO!$Y$11</f>
        <v>0</v>
      </c>
      <c r="AO335" s="9">
        <f ca="1">DATOSAÑO!BW334</f>
        <v>0</v>
      </c>
      <c r="AP335" s="11">
        <f ca="1">(AO335*DATOSAÑO!$Z$11)/DATOSAÑO!$Y$11</f>
        <v>0</v>
      </c>
      <c r="AQ335" s="9">
        <f ca="1">DATOSAÑO!CC334</f>
        <v>0</v>
      </c>
      <c r="AR335" s="1348">
        <f ca="1">(AQ335*DATOSAÑO!$Z$11)/DATOSAÑO!$Y$11</f>
        <v>0</v>
      </c>
      <c r="AS335" s="1384">
        <f t="shared" si="17"/>
        <v>47</v>
      </c>
    </row>
    <row r="336" spans="1:45">
      <c r="A336" s="1408">
        <v>45251</v>
      </c>
      <c r="B336" s="1869">
        <v>45251</v>
      </c>
      <c r="C336" s="9">
        <f ca="1">DATOSAÑO!I335</f>
        <v>0</v>
      </c>
      <c r="D336" s="10">
        <f ca="1">DATOSAÑO!$D335</f>
        <v>0</v>
      </c>
      <c r="E336" s="11">
        <f ca="1">DATOSAÑO!$G335</f>
        <v>0</v>
      </c>
      <c r="F336" s="9">
        <f ca="1">DATOSAÑO!P335</f>
        <v>0</v>
      </c>
      <c r="G336" s="10">
        <f ca="1">DATOSAÑO!K335</f>
        <v>0</v>
      </c>
      <c r="H336" s="11">
        <f ca="1">DATOSAÑO!N335</f>
        <v>0</v>
      </c>
      <c r="I336" s="9">
        <f ca="1">DATOSAÑO!Q335</f>
        <v>0</v>
      </c>
      <c r="J336" s="11">
        <f ca="1">DATOSAÑO!R335</f>
        <v>0</v>
      </c>
      <c r="K336" s="9">
        <f ca="1">DATOSAÑO!T335</f>
        <v>0</v>
      </c>
      <c r="L336" s="11">
        <f t="shared" ca="1" si="15"/>
        <v>0</v>
      </c>
      <c r="M336" s="9"/>
      <c r="N336" s="11">
        <f t="shared" si="16"/>
        <v>0</v>
      </c>
      <c r="O336" s="9">
        <f>DATOSAÑO!CK335</f>
        <v>0</v>
      </c>
      <c r="P336" s="9">
        <f>DATOSAÑO!CL335</f>
        <v>0</v>
      </c>
      <c r="Q336" s="9">
        <f ca="1">DATOSAÑO!AD335</f>
        <v>0</v>
      </c>
      <c r="R336" s="11">
        <f ca="1">(Q336*DATOSAÑO!$Z$11)/DATOSAÑO!$Y$11</f>
        <v>0</v>
      </c>
      <c r="S336" s="9">
        <f ca="1">DATOSAÑO!AF335</f>
        <v>0</v>
      </c>
      <c r="T336" s="11">
        <f ca="1">(S336*DATOSAÑO!$Z$11)/DATOSAÑO!$Y$11</f>
        <v>0</v>
      </c>
      <c r="U336" s="9">
        <f ca="1">DATOSAÑO!AH335</f>
        <v>0</v>
      </c>
      <c r="V336" s="11">
        <f ca="1">(U336*DATOSAÑO!$Z$11)/DATOSAÑO!$Y$11</f>
        <v>0</v>
      </c>
      <c r="W336" s="9">
        <f ca="1">DATOSAÑO!AI335</f>
        <v>0</v>
      </c>
      <c r="X336" s="11">
        <f ca="1">(W336*DATOSAÑO!$Z$11)/DATOSAÑO!$Y$11</f>
        <v>0</v>
      </c>
      <c r="Y336" s="9">
        <f ca="1">DATOSAÑO!AJ335</f>
        <v>0</v>
      </c>
      <c r="Z336" s="11">
        <f ca="1">(Y336*DATOSAÑO!$Z$11)/DATOSAÑO!$Y$11</f>
        <v>0</v>
      </c>
      <c r="AA336" s="9">
        <f ca="1">DATOSAÑO!AK335</f>
        <v>0</v>
      </c>
      <c r="AB336" s="11">
        <f ca="1">(AA336*DATOSAÑO!$Z$11)/DATOSAÑO!$Y$11</f>
        <v>0</v>
      </c>
      <c r="AC336" s="9">
        <f ca="1">DATOSAÑO!AL335</f>
        <v>0</v>
      </c>
      <c r="AD336" s="11">
        <f ca="1">(AC336*DATOSAÑO!$Z$11)/DATOSAÑO!$Y$11</f>
        <v>0</v>
      </c>
      <c r="AE336" s="9">
        <f ca="1">DATOSAÑO!CA335</f>
        <v>0</v>
      </c>
      <c r="AF336" s="11">
        <f ca="1">(AE336*DATOSAÑO!$Z$11)/DATOSAÑO!$Y$11</f>
        <v>0</v>
      </c>
      <c r="AG336" s="9">
        <f ca="1">DATOSAÑO!CB335</f>
        <v>0</v>
      </c>
      <c r="AH336" s="11">
        <f ca="1">(AG336*DATOSAÑO!$Z$11)/DATOSAÑO!$Y$11</f>
        <v>0</v>
      </c>
      <c r="AI336" s="9">
        <f ca="1">DATOSAÑO!BJ335</f>
        <v>0</v>
      </c>
      <c r="AJ336" s="11">
        <f ca="1">(AI336*DATOSAÑO!$Z$11)/DATOSAÑO!$Y$11</f>
        <v>0</v>
      </c>
      <c r="AK336" s="9">
        <f ca="1">DATOSAÑO!BM335</f>
        <v>0</v>
      </c>
      <c r="AL336" s="11">
        <f ca="1">(AK336*DATOSAÑO!$Z$11)/DATOSAÑO!$Y$11</f>
        <v>0</v>
      </c>
      <c r="AM336" s="9">
        <f ca="1">DATOSAÑO!BP335</f>
        <v>0</v>
      </c>
      <c r="AN336" s="11">
        <f ca="1">(AM336*DATOSAÑO!$Z$11)/DATOSAÑO!$Y$11</f>
        <v>0</v>
      </c>
      <c r="AO336" s="9">
        <f ca="1">DATOSAÑO!BW335</f>
        <v>0</v>
      </c>
      <c r="AP336" s="11">
        <f ca="1">(AO336*DATOSAÑO!$Z$11)/DATOSAÑO!$Y$11</f>
        <v>0</v>
      </c>
      <c r="AQ336" s="9">
        <f ca="1">DATOSAÑO!CC335</f>
        <v>0</v>
      </c>
      <c r="AR336" s="1348">
        <f ca="1">(AQ336*DATOSAÑO!$Z$11)/DATOSAÑO!$Y$11</f>
        <v>0</v>
      </c>
      <c r="AS336" s="1384">
        <f t="shared" si="17"/>
        <v>47</v>
      </c>
    </row>
    <row r="337" spans="1:45">
      <c r="A337" s="1408">
        <v>45252</v>
      </c>
      <c r="B337" s="1869">
        <v>45252</v>
      </c>
      <c r="C337" s="9">
        <f ca="1">DATOSAÑO!I336</f>
        <v>0</v>
      </c>
      <c r="D337" s="10">
        <f ca="1">DATOSAÑO!$D336</f>
        <v>0</v>
      </c>
      <c r="E337" s="11">
        <f ca="1">DATOSAÑO!$G336</f>
        <v>0</v>
      </c>
      <c r="F337" s="9">
        <f ca="1">DATOSAÑO!P336</f>
        <v>0</v>
      </c>
      <c r="G337" s="10">
        <f ca="1">DATOSAÑO!K336</f>
        <v>0</v>
      </c>
      <c r="H337" s="11">
        <f ca="1">DATOSAÑO!N336</f>
        <v>0</v>
      </c>
      <c r="I337" s="9">
        <f ca="1">DATOSAÑO!Q336</f>
        <v>0</v>
      </c>
      <c r="J337" s="11">
        <f ca="1">DATOSAÑO!R336</f>
        <v>0</v>
      </c>
      <c r="K337" s="9">
        <f ca="1">DATOSAÑO!T336</f>
        <v>0</v>
      </c>
      <c r="L337" s="11">
        <f t="shared" ca="1" si="15"/>
        <v>0</v>
      </c>
      <c r="M337" s="9"/>
      <c r="N337" s="11">
        <f t="shared" si="16"/>
        <v>0</v>
      </c>
      <c r="O337" s="9">
        <f>DATOSAÑO!CK336</f>
        <v>0</v>
      </c>
      <c r="P337" s="9">
        <f>DATOSAÑO!CL336</f>
        <v>0</v>
      </c>
      <c r="Q337" s="9">
        <f ca="1">DATOSAÑO!AD336</f>
        <v>0</v>
      </c>
      <c r="R337" s="11">
        <f ca="1">(Q337*DATOSAÑO!$Z$11)/DATOSAÑO!$Y$11</f>
        <v>0</v>
      </c>
      <c r="S337" s="9">
        <f ca="1">DATOSAÑO!AF336</f>
        <v>0</v>
      </c>
      <c r="T337" s="11">
        <f ca="1">(S337*DATOSAÑO!$Z$11)/DATOSAÑO!$Y$11</f>
        <v>0</v>
      </c>
      <c r="U337" s="9">
        <f ca="1">DATOSAÑO!AH336</f>
        <v>0</v>
      </c>
      <c r="V337" s="11">
        <f ca="1">(U337*DATOSAÑO!$Z$11)/DATOSAÑO!$Y$11</f>
        <v>0</v>
      </c>
      <c r="W337" s="9">
        <f ca="1">DATOSAÑO!AI336</f>
        <v>0</v>
      </c>
      <c r="X337" s="11">
        <f ca="1">(W337*DATOSAÑO!$Z$11)/DATOSAÑO!$Y$11</f>
        <v>0</v>
      </c>
      <c r="Y337" s="9">
        <f ca="1">DATOSAÑO!AJ336</f>
        <v>0</v>
      </c>
      <c r="Z337" s="11">
        <f ca="1">(Y337*DATOSAÑO!$Z$11)/DATOSAÑO!$Y$11</f>
        <v>0</v>
      </c>
      <c r="AA337" s="9">
        <f ca="1">DATOSAÑO!AK336</f>
        <v>0</v>
      </c>
      <c r="AB337" s="11">
        <f ca="1">(AA337*DATOSAÑO!$Z$11)/DATOSAÑO!$Y$11</f>
        <v>0</v>
      </c>
      <c r="AC337" s="9">
        <f ca="1">DATOSAÑO!AL336</f>
        <v>0</v>
      </c>
      <c r="AD337" s="11">
        <f ca="1">(AC337*DATOSAÑO!$Z$11)/DATOSAÑO!$Y$11</f>
        <v>0</v>
      </c>
      <c r="AE337" s="9">
        <f ca="1">DATOSAÑO!CA336</f>
        <v>0</v>
      </c>
      <c r="AF337" s="11">
        <f ca="1">(AE337*DATOSAÑO!$Z$11)/DATOSAÑO!$Y$11</f>
        <v>0</v>
      </c>
      <c r="AG337" s="9">
        <f ca="1">DATOSAÑO!CB336</f>
        <v>0</v>
      </c>
      <c r="AH337" s="11">
        <f ca="1">(AG337*DATOSAÑO!$Z$11)/DATOSAÑO!$Y$11</f>
        <v>0</v>
      </c>
      <c r="AI337" s="9">
        <f ca="1">DATOSAÑO!BJ336</f>
        <v>0</v>
      </c>
      <c r="AJ337" s="11">
        <f ca="1">(AI337*DATOSAÑO!$Z$11)/DATOSAÑO!$Y$11</f>
        <v>0</v>
      </c>
      <c r="AK337" s="9">
        <f ca="1">DATOSAÑO!BM336</f>
        <v>0</v>
      </c>
      <c r="AL337" s="11">
        <f ca="1">(AK337*DATOSAÑO!$Z$11)/DATOSAÑO!$Y$11</f>
        <v>0</v>
      </c>
      <c r="AM337" s="9">
        <f ca="1">DATOSAÑO!BP336</f>
        <v>0</v>
      </c>
      <c r="AN337" s="11">
        <f ca="1">(AM337*DATOSAÑO!$Z$11)/DATOSAÑO!$Y$11</f>
        <v>0</v>
      </c>
      <c r="AO337" s="9">
        <f ca="1">DATOSAÑO!BW336</f>
        <v>0</v>
      </c>
      <c r="AP337" s="11">
        <f ca="1">(AO337*DATOSAÑO!$Z$11)/DATOSAÑO!$Y$11</f>
        <v>0</v>
      </c>
      <c r="AQ337" s="9">
        <f ca="1">DATOSAÑO!CC336</f>
        <v>0</v>
      </c>
      <c r="AR337" s="1348">
        <f ca="1">(AQ337*DATOSAÑO!$Z$11)/DATOSAÑO!$Y$11</f>
        <v>0</v>
      </c>
      <c r="AS337" s="1384">
        <f t="shared" si="17"/>
        <v>47</v>
      </c>
    </row>
    <row r="338" spans="1:45">
      <c r="A338" s="1408">
        <v>45253</v>
      </c>
      <c r="B338" s="1869">
        <v>45253</v>
      </c>
      <c r="C338" s="9">
        <f ca="1">DATOSAÑO!I337</f>
        <v>0</v>
      </c>
      <c r="D338" s="10">
        <f ca="1">DATOSAÑO!$D337</f>
        <v>0</v>
      </c>
      <c r="E338" s="11">
        <f ca="1">DATOSAÑO!$G337</f>
        <v>0</v>
      </c>
      <c r="F338" s="9">
        <f ca="1">DATOSAÑO!P337</f>
        <v>0</v>
      </c>
      <c r="G338" s="10">
        <f ca="1">DATOSAÑO!K337</f>
        <v>0</v>
      </c>
      <c r="H338" s="11">
        <f ca="1">DATOSAÑO!N337</f>
        <v>0</v>
      </c>
      <c r="I338" s="9">
        <f ca="1">DATOSAÑO!Q337</f>
        <v>0</v>
      </c>
      <c r="J338" s="11">
        <f ca="1">DATOSAÑO!R337</f>
        <v>0</v>
      </c>
      <c r="K338" s="9">
        <f ca="1">DATOSAÑO!T337</f>
        <v>0</v>
      </c>
      <c r="L338" s="11">
        <f t="shared" ca="1" si="15"/>
        <v>0</v>
      </c>
      <c r="M338" s="9"/>
      <c r="N338" s="11">
        <f t="shared" si="16"/>
        <v>0</v>
      </c>
      <c r="O338" s="9">
        <f>DATOSAÑO!CK337</f>
        <v>0</v>
      </c>
      <c r="P338" s="9">
        <f>DATOSAÑO!CL337</f>
        <v>0</v>
      </c>
      <c r="Q338" s="9">
        <f ca="1">DATOSAÑO!AD337</f>
        <v>0</v>
      </c>
      <c r="R338" s="11">
        <f ca="1">(Q338*DATOSAÑO!$Z$11)/DATOSAÑO!$Y$11</f>
        <v>0</v>
      </c>
      <c r="S338" s="9">
        <f ca="1">DATOSAÑO!AF337</f>
        <v>0</v>
      </c>
      <c r="T338" s="11">
        <f ca="1">(S338*DATOSAÑO!$Z$11)/DATOSAÑO!$Y$11</f>
        <v>0</v>
      </c>
      <c r="U338" s="9">
        <f ca="1">DATOSAÑO!AH337</f>
        <v>0</v>
      </c>
      <c r="V338" s="11">
        <f ca="1">(U338*DATOSAÑO!$Z$11)/DATOSAÑO!$Y$11</f>
        <v>0</v>
      </c>
      <c r="W338" s="9">
        <f ca="1">DATOSAÑO!AI337</f>
        <v>0</v>
      </c>
      <c r="X338" s="11">
        <f ca="1">(W338*DATOSAÑO!$Z$11)/DATOSAÑO!$Y$11</f>
        <v>0</v>
      </c>
      <c r="Y338" s="9">
        <f ca="1">DATOSAÑO!AJ337</f>
        <v>0</v>
      </c>
      <c r="Z338" s="11">
        <f ca="1">(Y338*DATOSAÑO!$Z$11)/DATOSAÑO!$Y$11</f>
        <v>0</v>
      </c>
      <c r="AA338" s="9">
        <f ca="1">DATOSAÑO!AK337</f>
        <v>0</v>
      </c>
      <c r="AB338" s="11">
        <f ca="1">(AA338*DATOSAÑO!$Z$11)/DATOSAÑO!$Y$11</f>
        <v>0</v>
      </c>
      <c r="AC338" s="9">
        <f ca="1">DATOSAÑO!AL337</f>
        <v>0</v>
      </c>
      <c r="AD338" s="11">
        <f ca="1">(AC338*DATOSAÑO!$Z$11)/DATOSAÑO!$Y$11</f>
        <v>0</v>
      </c>
      <c r="AE338" s="9">
        <f ca="1">DATOSAÑO!CA337</f>
        <v>0</v>
      </c>
      <c r="AF338" s="11">
        <f ca="1">(AE338*DATOSAÑO!$Z$11)/DATOSAÑO!$Y$11</f>
        <v>0</v>
      </c>
      <c r="AG338" s="9">
        <f ca="1">DATOSAÑO!CB337</f>
        <v>0</v>
      </c>
      <c r="AH338" s="11">
        <f ca="1">(AG338*DATOSAÑO!$Z$11)/DATOSAÑO!$Y$11</f>
        <v>0</v>
      </c>
      <c r="AI338" s="9">
        <f ca="1">DATOSAÑO!BJ337</f>
        <v>0</v>
      </c>
      <c r="AJ338" s="11">
        <f ca="1">(AI338*DATOSAÑO!$Z$11)/DATOSAÑO!$Y$11</f>
        <v>0</v>
      </c>
      <c r="AK338" s="9">
        <f ca="1">DATOSAÑO!BM337</f>
        <v>0</v>
      </c>
      <c r="AL338" s="11">
        <f ca="1">(AK338*DATOSAÑO!$Z$11)/DATOSAÑO!$Y$11</f>
        <v>0</v>
      </c>
      <c r="AM338" s="9">
        <f ca="1">DATOSAÑO!BP337</f>
        <v>0</v>
      </c>
      <c r="AN338" s="11">
        <f ca="1">(AM338*DATOSAÑO!$Z$11)/DATOSAÑO!$Y$11</f>
        <v>0</v>
      </c>
      <c r="AO338" s="9">
        <f ca="1">DATOSAÑO!BW337</f>
        <v>0</v>
      </c>
      <c r="AP338" s="11">
        <f ca="1">(AO338*DATOSAÑO!$Z$11)/DATOSAÑO!$Y$11</f>
        <v>0</v>
      </c>
      <c r="AQ338" s="9">
        <f ca="1">DATOSAÑO!CC337</f>
        <v>0</v>
      </c>
      <c r="AR338" s="1348">
        <f ca="1">(AQ338*DATOSAÑO!$Z$11)/DATOSAÑO!$Y$11</f>
        <v>0</v>
      </c>
      <c r="AS338" s="1384">
        <f t="shared" si="17"/>
        <v>47</v>
      </c>
    </row>
    <row r="339" spans="1:45">
      <c r="A339" s="1408">
        <v>45254</v>
      </c>
      <c r="B339" s="1869">
        <v>45254</v>
      </c>
      <c r="C339" s="9">
        <f ca="1">DATOSAÑO!I338</f>
        <v>0</v>
      </c>
      <c r="D339" s="10">
        <f ca="1">DATOSAÑO!$D338</f>
        <v>0</v>
      </c>
      <c r="E339" s="11">
        <f ca="1">DATOSAÑO!$G338</f>
        <v>0</v>
      </c>
      <c r="F339" s="9">
        <f ca="1">DATOSAÑO!P338</f>
        <v>0</v>
      </c>
      <c r="G339" s="10">
        <f ca="1">DATOSAÑO!K338</f>
        <v>0</v>
      </c>
      <c r="H339" s="11">
        <f ca="1">DATOSAÑO!N338</f>
        <v>0</v>
      </c>
      <c r="I339" s="9">
        <f ca="1">DATOSAÑO!Q338</f>
        <v>0</v>
      </c>
      <c r="J339" s="11">
        <f ca="1">DATOSAÑO!R338</f>
        <v>0</v>
      </c>
      <c r="K339" s="9">
        <f ca="1">DATOSAÑO!T338</f>
        <v>0</v>
      </c>
      <c r="L339" s="11">
        <f t="shared" ca="1" si="15"/>
        <v>0</v>
      </c>
      <c r="M339" s="9"/>
      <c r="N339" s="11">
        <f t="shared" si="16"/>
        <v>0</v>
      </c>
      <c r="O339" s="9">
        <f>DATOSAÑO!CK338</f>
        <v>0</v>
      </c>
      <c r="P339" s="9">
        <f>DATOSAÑO!CL338</f>
        <v>0</v>
      </c>
      <c r="Q339" s="9">
        <f ca="1">DATOSAÑO!AD338</f>
        <v>0</v>
      </c>
      <c r="R339" s="11">
        <f ca="1">(Q339*DATOSAÑO!$Z$11)/DATOSAÑO!$Y$11</f>
        <v>0</v>
      </c>
      <c r="S339" s="9">
        <f ca="1">DATOSAÑO!AF338</f>
        <v>0</v>
      </c>
      <c r="T339" s="11">
        <f ca="1">(S339*DATOSAÑO!$Z$11)/DATOSAÑO!$Y$11</f>
        <v>0</v>
      </c>
      <c r="U339" s="9">
        <f ca="1">DATOSAÑO!AH338</f>
        <v>0</v>
      </c>
      <c r="V339" s="11">
        <f ca="1">(U339*DATOSAÑO!$Z$11)/DATOSAÑO!$Y$11</f>
        <v>0</v>
      </c>
      <c r="W339" s="9">
        <f ca="1">DATOSAÑO!AI338</f>
        <v>0</v>
      </c>
      <c r="X339" s="11">
        <f ca="1">(W339*DATOSAÑO!$Z$11)/DATOSAÑO!$Y$11</f>
        <v>0</v>
      </c>
      <c r="Y339" s="9">
        <f ca="1">DATOSAÑO!AJ338</f>
        <v>0</v>
      </c>
      <c r="Z339" s="11">
        <f ca="1">(Y339*DATOSAÑO!$Z$11)/DATOSAÑO!$Y$11</f>
        <v>0</v>
      </c>
      <c r="AA339" s="9">
        <f ca="1">DATOSAÑO!AK338</f>
        <v>0</v>
      </c>
      <c r="AB339" s="11">
        <f ca="1">(AA339*DATOSAÑO!$Z$11)/DATOSAÑO!$Y$11</f>
        <v>0</v>
      </c>
      <c r="AC339" s="9">
        <f ca="1">DATOSAÑO!AL338</f>
        <v>0</v>
      </c>
      <c r="AD339" s="11">
        <f ca="1">(AC339*DATOSAÑO!$Z$11)/DATOSAÑO!$Y$11</f>
        <v>0</v>
      </c>
      <c r="AE339" s="9">
        <f ca="1">DATOSAÑO!CA338</f>
        <v>0</v>
      </c>
      <c r="AF339" s="11">
        <f ca="1">(AE339*DATOSAÑO!$Z$11)/DATOSAÑO!$Y$11</f>
        <v>0</v>
      </c>
      <c r="AG339" s="9">
        <f ca="1">DATOSAÑO!CB338</f>
        <v>0</v>
      </c>
      <c r="AH339" s="11">
        <f ca="1">(AG339*DATOSAÑO!$Z$11)/DATOSAÑO!$Y$11</f>
        <v>0</v>
      </c>
      <c r="AI339" s="9">
        <f ca="1">DATOSAÑO!BJ338</f>
        <v>0</v>
      </c>
      <c r="AJ339" s="11">
        <f ca="1">(AI339*DATOSAÑO!$Z$11)/DATOSAÑO!$Y$11</f>
        <v>0</v>
      </c>
      <c r="AK339" s="9">
        <f ca="1">DATOSAÑO!BM338</f>
        <v>0</v>
      </c>
      <c r="AL339" s="11">
        <f ca="1">(AK339*DATOSAÑO!$Z$11)/DATOSAÑO!$Y$11</f>
        <v>0</v>
      </c>
      <c r="AM339" s="9">
        <f ca="1">DATOSAÑO!BP338</f>
        <v>0</v>
      </c>
      <c r="AN339" s="11">
        <f ca="1">(AM339*DATOSAÑO!$Z$11)/DATOSAÑO!$Y$11</f>
        <v>0</v>
      </c>
      <c r="AO339" s="9">
        <f ca="1">DATOSAÑO!BW338</f>
        <v>0</v>
      </c>
      <c r="AP339" s="11">
        <f ca="1">(AO339*DATOSAÑO!$Z$11)/DATOSAÑO!$Y$11</f>
        <v>0</v>
      </c>
      <c r="AQ339" s="9">
        <f ca="1">DATOSAÑO!CC338</f>
        <v>0</v>
      </c>
      <c r="AR339" s="1348">
        <f ca="1">(AQ339*DATOSAÑO!$Z$11)/DATOSAÑO!$Y$11</f>
        <v>0</v>
      </c>
      <c r="AS339" s="1384">
        <f t="shared" si="17"/>
        <v>47</v>
      </c>
    </row>
    <row r="340" spans="1:45">
      <c r="A340" s="1408">
        <v>45255</v>
      </c>
      <c r="B340" s="1869">
        <v>45255</v>
      </c>
      <c r="C340" s="9">
        <f ca="1">DATOSAÑO!I339</f>
        <v>0</v>
      </c>
      <c r="D340" s="10">
        <f ca="1">DATOSAÑO!$D339</f>
        <v>0</v>
      </c>
      <c r="E340" s="11">
        <f ca="1">DATOSAÑO!$G339</f>
        <v>0</v>
      </c>
      <c r="F340" s="9">
        <f ca="1">DATOSAÑO!P339</f>
        <v>0</v>
      </c>
      <c r="G340" s="10">
        <f ca="1">DATOSAÑO!K339</f>
        <v>0</v>
      </c>
      <c r="H340" s="11">
        <f ca="1">DATOSAÑO!N339</f>
        <v>0</v>
      </c>
      <c r="I340" s="9">
        <f ca="1">DATOSAÑO!Q339</f>
        <v>0</v>
      </c>
      <c r="J340" s="11">
        <f ca="1">DATOSAÑO!R339</f>
        <v>0</v>
      </c>
      <c r="K340" s="9">
        <f ca="1">DATOSAÑO!T339</f>
        <v>0</v>
      </c>
      <c r="L340" s="11">
        <f t="shared" ca="1" si="15"/>
        <v>0</v>
      </c>
      <c r="M340" s="9"/>
      <c r="N340" s="11">
        <f t="shared" si="16"/>
        <v>0</v>
      </c>
      <c r="O340" s="9">
        <f>DATOSAÑO!CK339</f>
        <v>0</v>
      </c>
      <c r="P340" s="9">
        <f>DATOSAÑO!CL339</f>
        <v>0</v>
      </c>
      <c r="Q340" s="9">
        <f ca="1">DATOSAÑO!AD339</f>
        <v>0</v>
      </c>
      <c r="R340" s="11">
        <f ca="1">(Q340*DATOSAÑO!$Z$11)/DATOSAÑO!$Y$11</f>
        <v>0</v>
      </c>
      <c r="S340" s="9">
        <f ca="1">DATOSAÑO!AF339</f>
        <v>0</v>
      </c>
      <c r="T340" s="11">
        <f ca="1">(S340*DATOSAÑO!$Z$11)/DATOSAÑO!$Y$11</f>
        <v>0</v>
      </c>
      <c r="U340" s="9">
        <f ca="1">DATOSAÑO!AH339</f>
        <v>0</v>
      </c>
      <c r="V340" s="11">
        <f ca="1">(U340*DATOSAÑO!$Z$11)/DATOSAÑO!$Y$11</f>
        <v>0</v>
      </c>
      <c r="W340" s="9">
        <f ca="1">DATOSAÑO!AI339</f>
        <v>0</v>
      </c>
      <c r="X340" s="11">
        <f ca="1">(W340*DATOSAÑO!$Z$11)/DATOSAÑO!$Y$11</f>
        <v>0</v>
      </c>
      <c r="Y340" s="9">
        <f ca="1">DATOSAÑO!AJ339</f>
        <v>0</v>
      </c>
      <c r="Z340" s="11">
        <f ca="1">(Y340*DATOSAÑO!$Z$11)/DATOSAÑO!$Y$11</f>
        <v>0</v>
      </c>
      <c r="AA340" s="9">
        <f ca="1">DATOSAÑO!AK339</f>
        <v>0</v>
      </c>
      <c r="AB340" s="11">
        <f ca="1">(AA340*DATOSAÑO!$Z$11)/DATOSAÑO!$Y$11</f>
        <v>0</v>
      </c>
      <c r="AC340" s="9">
        <f ca="1">DATOSAÑO!AL339</f>
        <v>0</v>
      </c>
      <c r="AD340" s="11">
        <f ca="1">(AC340*DATOSAÑO!$Z$11)/DATOSAÑO!$Y$11</f>
        <v>0</v>
      </c>
      <c r="AE340" s="9">
        <f ca="1">DATOSAÑO!CA339</f>
        <v>0</v>
      </c>
      <c r="AF340" s="11">
        <f ca="1">(AE340*DATOSAÑO!$Z$11)/DATOSAÑO!$Y$11</f>
        <v>0</v>
      </c>
      <c r="AG340" s="9">
        <f ca="1">DATOSAÑO!CB339</f>
        <v>0</v>
      </c>
      <c r="AH340" s="11">
        <f ca="1">(AG340*DATOSAÑO!$Z$11)/DATOSAÑO!$Y$11</f>
        <v>0</v>
      </c>
      <c r="AI340" s="9">
        <f ca="1">DATOSAÑO!BJ339</f>
        <v>0</v>
      </c>
      <c r="AJ340" s="11">
        <f ca="1">(AI340*DATOSAÑO!$Z$11)/DATOSAÑO!$Y$11</f>
        <v>0</v>
      </c>
      <c r="AK340" s="9">
        <f ca="1">DATOSAÑO!BM339</f>
        <v>0</v>
      </c>
      <c r="AL340" s="11">
        <f ca="1">(AK340*DATOSAÑO!$Z$11)/DATOSAÑO!$Y$11</f>
        <v>0</v>
      </c>
      <c r="AM340" s="9">
        <f ca="1">DATOSAÑO!BP339</f>
        <v>0</v>
      </c>
      <c r="AN340" s="11">
        <f ca="1">(AM340*DATOSAÑO!$Z$11)/DATOSAÑO!$Y$11</f>
        <v>0</v>
      </c>
      <c r="AO340" s="9">
        <f ca="1">DATOSAÑO!BW339</f>
        <v>0</v>
      </c>
      <c r="AP340" s="11">
        <f ca="1">(AO340*DATOSAÑO!$Z$11)/DATOSAÑO!$Y$11</f>
        <v>0</v>
      </c>
      <c r="AQ340" s="9">
        <f ca="1">DATOSAÑO!CC339</f>
        <v>0</v>
      </c>
      <c r="AR340" s="1348">
        <f ca="1">(AQ340*DATOSAÑO!$Z$11)/DATOSAÑO!$Y$11</f>
        <v>0</v>
      </c>
      <c r="AS340" s="1384">
        <f t="shared" si="17"/>
        <v>47</v>
      </c>
    </row>
    <row r="341" spans="1:45">
      <c r="A341" s="1408">
        <v>45256</v>
      </c>
      <c r="B341" s="1869">
        <v>45256</v>
      </c>
      <c r="C341" s="9">
        <f ca="1">DATOSAÑO!I340</f>
        <v>0</v>
      </c>
      <c r="D341" s="10">
        <f ca="1">DATOSAÑO!$D340</f>
        <v>0</v>
      </c>
      <c r="E341" s="11">
        <f ca="1">DATOSAÑO!$G340</f>
        <v>0</v>
      </c>
      <c r="F341" s="9">
        <f ca="1">DATOSAÑO!P340</f>
        <v>0</v>
      </c>
      <c r="G341" s="10">
        <f ca="1">DATOSAÑO!K340</f>
        <v>0</v>
      </c>
      <c r="H341" s="11">
        <f ca="1">DATOSAÑO!N340</f>
        <v>0</v>
      </c>
      <c r="I341" s="9">
        <f ca="1">DATOSAÑO!Q340</f>
        <v>0</v>
      </c>
      <c r="J341" s="11">
        <f ca="1">DATOSAÑO!R340</f>
        <v>0</v>
      </c>
      <c r="K341" s="9">
        <f ca="1">DATOSAÑO!T340</f>
        <v>0</v>
      </c>
      <c r="L341" s="11">
        <f t="shared" ca="1" si="15"/>
        <v>0</v>
      </c>
      <c r="M341" s="9"/>
      <c r="N341" s="11">
        <f t="shared" si="16"/>
        <v>0</v>
      </c>
      <c r="O341" s="9">
        <f>DATOSAÑO!CK340</f>
        <v>0</v>
      </c>
      <c r="P341" s="9">
        <f>DATOSAÑO!CL340</f>
        <v>0</v>
      </c>
      <c r="Q341" s="9">
        <f ca="1">DATOSAÑO!AD340</f>
        <v>0</v>
      </c>
      <c r="R341" s="11">
        <f ca="1">(Q341*DATOSAÑO!$Z$11)/DATOSAÑO!$Y$11</f>
        <v>0</v>
      </c>
      <c r="S341" s="9">
        <f ca="1">DATOSAÑO!AF340</f>
        <v>0</v>
      </c>
      <c r="T341" s="11">
        <f ca="1">(S341*DATOSAÑO!$Z$11)/DATOSAÑO!$Y$11</f>
        <v>0</v>
      </c>
      <c r="U341" s="9">
        <f ca="1">DATOSAÑO!AH340</f>
        <v>0</v>
      </c>
      <c r="V341" s="11">
        <f ca="1">(U341*DATOSAÑO!$Z$11)/DATOSAÑO!$Y$11</f>
        <v>0</v>
      </c>
      <c r="W341" s="9">
        <f ca="1">DATOSAÑO!AI340</f>
        <v>0</v>
      </c>
      <c r="X341" s="11">
        <f ca="1">(W341*DATOSAÑO!$Z$11)/DATOSAÑO!$Y$11</f>
        <v>0</v>
      </c>
      <c r="Y341" s="9">
        <f ca="1">DATOSAÑO!AJ340</f>
        <v>0</v>
      </c>
      <c r="Z341" s="11">
        <f ca="1">(Y341*DATOSAÑO!$Z$11)/DATOSAÑO!$Y$11</f>
        <v>0</v>
      </c>
      <c r="AA341" s="9">
        <f ca="1">DATOSAÑO!AK340</f>
        <v>0</v>
      </c>
      <c r="AB341" s="11">
        <f ca="1">(AA341*DATOSAÑO!$Z$11)/DATOSAÑO!$Y$11</f>
        <v>0</v>
      </c>
      <c r="AC341" s="9">
        <f ca="1">DATOSAÑO!AL340</f>
        <v>0</v>
      </c>
      <c r="AD341" s="11">
        <f ca="1">(AC341*DATOSAÑO!$Z$11)/DATOSAÑO!$Y$11</f>
        <v>0</v>
      </c>
      <c r="AE341" s="9">
        <f ca="1">DATOSAÑO!CA340</f>
        <v>0</v>
      </c>
      <c r="AF341" s="11">
        <f ca="1">(AE341*DATOSAÑO!$Z$11)/DATOSAÑO!$Y$11</f>
        <v>0</v>
      </c>
      <c r="AG341" s="9">
        <f ca="1">DATOSAÑO!CB340</f>
        <v>0</v>
      </c>
      <c r="AH341" s="11">
        <f ca="1">(AG341*DATOSAÑO!$Z$11)/DATOSAÑO!$Y$11</f>
        <v>0</v>
      </c>
      <c r="AI341" s="9">
        <f ca="1">DATOSAÑO!BJ340</f>
        <v>0</v>
      </c>
      <c r="AJ341" s="11">
        <f ca="1">(AI341*DATOSAÑO!$Z$11)/DATOSAÑO!$Y$11</f>
        <v>0</v>
      </c>
      <c r="AK341" s="9">
        <f ca="1">DATOSAÑO!BM340</f>
        <v>0</v>
      </c>
      <c r="AL341" s="11">
        <f ca="1">(AK341*DATOSAÑO!$Z$11)/DATOSAÑO!$Y$11</f>
        <v>0</v>
      </c>
      <c r="AM341" s="9">
        <f ca="1">DATOSAÑO!BP340</f>
        <v>0</v>
      </c>
      <c r="AN341" s="11">
        <f ca="1">(AM341*DATOSAÑO!$Z$11)/DATOSAÑO!$Y$11</f>
        <v>0</v>
      </c>
      <c r="AO341" s="9">
        <f ca="1">DATOSAÑO!BW340</f>
        <v>0</v>
      </c>
      <c r="AP341" s="11">
        <f ca="1">(AO341*DATOSAÑO!$Z$11)/DATOSAÑO!$Y$11</f>
        <v>0</v>
      </c>
      <c r="AQ341" s="9">
        <f ca="1">DATOSAÑO!CC340</f>
        <v>0</v>
      </c>
      <c r="AR341" s="1348">
        <f ca="1">(AQ341*DATOSAÑO!$Z$11)/DATOSAÑO!$Y$11</f>
        <v>0</v>
      </c>
      <c r="AS341" s="1384">
        <f t="shared" si="17"/>
        <v>48</v>
      </c>
    </row>
    <row r="342" spans="1:45">
      <c r="A342" s="1408">
        <v>45257</v>
      </c>
      <c r="B342" s="1869">
        <v>45257</v>
      </c>
      <c r="C342" s="9">
        <f ca="1">DATOSAÑO!I341</f>
        <v>0</v>
      </c>
      <c r="D342" s="10">
        <f ca="1">DATOSAÑO!$D341</f>
        <v>0</v>
      </c>
      <c r="E342" s="11">
        <f ca="1">DATOSAÑO!$G341</f>
        <v>0</v>
      </c>
      <c r="F342" s="9">
        <f ca="1">DATOSAÑO!P341</f>
        <v>0</v>
      </c>
      <c r="G342" s="10">
        <f ca="1">DATOSAÑO!K341</f>
        <v>0</v>
      </c>
      <c r="H342" s="11">
        <f ca="1">DATOSAÑO!N341</f>
        <v>0</v>
      </c>
      <c r="I342" s="9">
        <f ca="1">DATOSAÑO!Q341</f>
        <v>0</v>
      </c>
      <c r="J342" s="11">
        <f ca="1">DATOSAÑO!R341</f>
        <v>0</v>
      </c>
      <c r="K342" s="9">
        <f ca="1">DATOSAÑO!T341</f>
        <v>0</v>
      </c>
      <c r="L342" s="11">
        <f t="shared" ca="1" si="15"/>
        <v>0</v>
      </c>
      <c r="M342" s="9"/>
      <c r="N342" s="11">
        <f t="shared" si="16"/>
        <v>0</v>
      </c>
      <c r="O342" s="9">
        <f>DATOSAÑO!CK341</f>
        <v>0</v>
      </c>
      <c r="P342" s="9">
        <f>DATOSAÑO!CL341</f>
        <v>0</v>
      </c>
      <c r="Q342" s="9">
        <f ca="1">DATOSAÑO!AD341</f>
        <v>0</v>
      </c>
      <c r="R342" s="11">
        <f ca="1">(Q342*DATOSAÑO!$Z$11)/DATOSAÑO!$Y$11</f>
        <v>0</v>
      </c>
      <c r="S342" s="9">
        <f ca="1">DATOSAÑO!AF341</f>
        <v>0</v>
      </c>
      <c r="T342" s="11">
        <f ca="1">(S342*DATOSAÑO!$Z$11)/DATOSAÑO!$Y$11</f>
        <v>0</v>
      </c>
      <c r="U342" s="9">
        <f ca="1">DATOSAÑO!AH341</f>
        <v>0</v>
      </c>
      <c r="V342" s="11">
        <f ca="1">(U342*DATOSAÑO!$Z$11)/DATOSAÑO!$Y$11</f>
        <v>0</v>
      </c>
      <c r="W342" s="9">
        <f ca="1">DATOSAÑO!AI341</f>
        <v>0</v>
      </c>
      <c r="X342" s="11">
        <f ca="1">(W342*DATOSAÑO!$Z$11)/DATOSAÑO!$Y$11</f>
        <v>0</v>
      </c>
      <c r="Y342" s="9">
        <f ca="1">DATOSAÑO!AJ341</f>
        <v>0</v>
      </c>
      <c r="Z342" s="11">
        <f ca="1">(Y342*DATOSAÑO!$Z$11)/DATOSAÑO!$Y$11</f>
        <v>0</v>
      </c>
      <c r="AA342" s="9">
        <f ca="1">DATOSAÑO!AK341</f>
        <v>0</v>
      </c>
      <c r="AB342" s="11">
        <f ca="1">(AA342*DATOSAÑO!$Z$11)/DATOSAÑO!$Y$11</f>
        <v>0</v>
      </c>
      <c r="AC342" s="9">
        <f ca="1">DATOSAÑO!AL341</f>
        <v>0</v>
      </c>
      <c r="AD342" s="11">
        <f ca="1">(AC342*DATOSAÑO!$Z$11)/DATOSAÑO!$Y$11</f>
        <v>0</v>
      </c>
      <c r="AE342" s="9">
        <f ca="1">DATOSAÑO!CA341</f>
        <v>0</v>
      </c>
      <c r="AF342" s="11">
        <f ca="1">(AE342*DATOSAÑO!$Z$11)/DATOSAÑO!$Y$11</f>
        <v>0</v>
      </c>
      <c r="AG342" s="9">
        <f ca="1">DATOSAÑO!CB341</f>
        <v>0</v>
      </c>
      <c r="AH342" s="11">
        <f ca="1">(AG342*DATOSAÑO!$Z$11)/DATOSAÑO!$Y$11</f>
        <v>0</v>
      </c>
      <c r="AI342" s="9">
        <f ca="1">DATOSAÑO!BJ341</f>
        <v>0</v>
      </c>
      <c r="AJ342" s="11">
        <f ca="1">(AI342*DATOSAÑO!$Z$11)/DATOSAÑO!$Y$11</f>
        <v>0</v>
      </c>
      <c r="AK342" s="9">
        <f ca="1">DATOSAÑO!BM341</f>
        <v>0</v>
      </c>
      <c r="AL342" s="11">
        <f ca="1">(AK342*DATOSAÑO!$Z$11)/DATOSAÑO!$Y$11</f>
        <v>0</v>
      </c>
      <c r="AM342" s="9">
        <f ca="1">DATOSAÑO!BP341</f>
        <v>0</v>
      </c>
      <c r="AN342" s="11">
        <f ca="1">(AM342*DATOSAÑO!$Z$11)/DATOSAÑO!$Y$11</f>
        <v>0</v>
      </c>
      <c r="AO342" s="9">
        <f ca="1">DATOSAÑO!BW341</f>
        <v>0</v>
      </c>
      <c r="AP342" s="11">
        <f ca="1">(AO342*DATOSAÑO!$Z$11)/DATOSAÑO!$Y$11</f>
        <v>0</v>
      </c>
      <c r="AQ342" s="9">
        <f ca="1">DATOSAÑO!CC341</f>
        <v>0</v>
      </c>
      <c r="AR342" s="1348">
        <f ca="1">(AQ342*DATOSAÑO!$Z$11)/DATOSAÑO!$Y$11</f>
        <v>0</v>
      </c>
      <c r="AS342" s="1384">
        <f t="shared" si="17"/>
        <v>48</v>
      </c>
    </row>
    <row r="343" spans="1:45">
      <c r="A343" s="1408">
        <v>45258</v>
      </c>
      <c r="B343" s="1869">
        <v>45258</v>
      </c>
      <c r="C343" s="9">
        <f ca="1">DATOSAÑO!I342</f>
        <v>0</v>
      </c>
      <c r="D343" s="10">
        <f ca="1">DATOSAÑO!$D342</f>
        <v>0</v>
      </c>
      <c r="E343" s="11">
        <f ca="1">DATOSAÑO!$G342</f>
        <v>0</v>
      </c>
      <c r="F343" s="9">
        <f ca="1">DATOSAÑO!P342</f>
        <v>0</v>
      </c>
      <c r="G343" s="10">
        <f ca="1">DATOSAÑO!K342</f>
        <v>0</v>
      </c>
      <c r="H343" s="11">
        <f ca="1">DATOSAÑO!N342</f>
        <v>0</v>
      </c>
      <c r="I343" s="9">
        <f ca="1">DATOSAÑO!Q342</f>
        <v>0</v>
      </c>
      <c r="J343" s="11">
        <f ca="1">DATOSAÑO!R342</f>
        <v>0</v>
      </c>
      <c r="K343" s="9">
        <f ca="1">DATOSAÑO!T342</f>
        <v>0</v>
      </c>
      <c r="L343" s="11">
        <f t="shared" ca="1" si="15"/>
        <v>0</v>
      </c>
      <c r="M343" s="9"/>
      <c r="N343" s="11">
        <f t="shared" si="16"/>
        <v>0</v>
      </c>
      <c r="O343" s="9">
        <f>DATOSAÑO!CK342</f>
        <v>0</v>
      </c>
      <c r="P343" s="9">
        <f>DATOSAÑO!CL342</f>
        <v>0</v>
      </c>
      <c r="Q343" s="9">
        <f ca="1">DATOSAÑO!AD342</f>
        <v>0</v>
      </c>
      <c r="R343" s="11">
        <f ca="1">(Q343*DATOSAÑO!$Z$11)/DATOSAÑO!$Y$11</f>
        <v>0</v>
      </c>
      <c r="S343" s="9">
        <f ca="1">DATOSAÑO!AF342</f>
        <v>0</v>
      </c>
      <c r="T343" s="11">
        <f ca="1">(S343*DATOSAÑO!$Z$11)/DATOSAÑO!$Y$11</f>
        <v>0</v>
      </c>
      <c r="U343" s="9">
        <f ca="1">DATOSAÑO!AH342</f>
        <v>0</v>
      </c>
      <c r="V343" s="11">
        <f ca="1">(U343*DATOSAÑO!$Z$11)/DATOSAÑO!$Y$11</f>
        <v>0</v>
      </c>
      <c r="W343" s="9">
        <f ca="1">DATOSAÑO!AI342</f>
        <v>0</v>
      </c>
      <c r="X343" s="11">
        <f ca="1">(W343*DATOSAÑO!$Z$11)/DATOSAÑO!$Y$11</f>
        <v>0</v>
      </c>
      <c r="Y343" s="9">
        <f ca="1">DATOSAÑO!AJ342</f>
        <v>0</v>
      </c>
      <c r="Z343" s="11">
        <f ca="1">(Y343*DATOSAÑO!$Z$11)/DATOSAÑO!$Y$11</f>
        <v>0</v>
      </c>
      <c r="AA343" s="9">
        <f ca="1">DATOSAÑO!AK342</f>
        <v>0</v>
      </c>
      <c r="AB343" s="11">
        <f ca="1">(AA343*DATOSAÑO!$Z$11)/DATOSAÑO!$Y$11</f>
        <v>0</v>
      </c>
      <c r="AC343" s="9">
        <f ca="1">DATOSAÑO!AL342</f>
        <v>0</v>
      </c>
      <c r="AD343" s="11">
        <f ca="1">(AC343*DATOSAÑO!$Z$11)/DATOSAÑO!$Y$11</f>
        <v>0</v>
      </c>
      <c r="AE343" s="9">
        <f ca="1">DATOSAÑO!CA342</f>
        <v>0</v>
      </c>
      <c r="AF343" s="11">
        <f ca="1">(AE343*DATOSAÑO!$Z$11)/DATOSAÑO!$Y$11</f>
        <v>0</v>
      </c>
      <c r="AG343" s="9">
        <f ca="1">DATOSAÑO!CB342</f>
        <v>0</v>
      </c>
      <c r="AH343" s="11">
        <f ca="1">(AG343*DATOSAÑO!$Z$11)/DATOSAÑO!$Y$11</f>
        <v>0</v>
      </c>
      <c r="AI343" s="9">
        <f ca="1">DATOSAÑO!BJ342</f>
        <v>0</v>
      </c>
      <c r="AJ343" s="11">
        <f ca="1">(AI343*DATOSAÑO!$Z$11)/DATOSAÑO!$Y$11</f>
        <v>0</v>
      </c>
      <c r="AK343" s="9">
        <f ca="1">DATOSAÑO!BM342</f>
        <v>0</v>
      </c>
      <c r="AL343" s="11">
        <f ca="1">(AK343*DATOSAÑO!$Z$11)/DATOSAÑO!$Y$11</f>
        <v>0</v>
      </c>
      <c r="AM343" s="9">
        <f ca="1">DATOSAÑO!BP342</f>
        <v>0</v>
      </c>
      <c r="AN343" s="11">
        <f ca="1">(AM343*DATOSAÑO!$Z$11)/DATOSAÑO!$Y$11</f>
        <v>0</v>
      </c>
      <c r="AO343" s="9">
        <f ca="1">DATOSAÑO!BW342</f>
        <v>0</v>
      </c>
      <c r="AP343" s="11">
        <f ca="1">(AO343*DATOSAÑO!$Z$11)/DATOSAÑO!$Y$11</f>
        <v>0</v>
      </c>
      <c r="AQ343" s="9">
        <f ca="1">DATOSAÑO!CC342</f>
        <v>0</v>
      </c>
      <c r="AR343" s="1348">
        <f ca="1">(AQ343*DATOSAÑO!$Z$11)/DATOSAÑO!$Y$11</f>
        <v>0</v>
      </c>
      <c r="AS343" s="1384">
        <f t="shared" si="17"/>
        <v>48</v>
      </c>
    </row>
    <row r="344" spans="1:45">
      <c r="A344" s="1408">
        <v>45259</v>
      </c>
      <c r="B344" s="1869">
        <v>45259</v>
      </c>
      <c r="C344" s="9">
        <f ca="1">DATOSAÑO!I343</f>
        <v>0</v>
      </c>
      <c r="D344" s="10">
        <f ca="1">DATOSAÑO!$D343</f>
        <v>0</v>
      </c>
      <c r="E344" s="11">
        <f ca="1">DATOSAÑO!$G343</f>
        <v>0</v>
      </c>
      <c r="F344" s="9">
        <f ca="1">DATOSAÑO!P343</f>
        <v>0</v>
      </c>
      <c r="G344" s="10">
        <f ca="1">DATOSAÑO!K343</f>
        <v>0</v>
      </c>
      <c r="H344" s="11">
        <f ca="1">DATOSAÑO!N343</f>
        <v>0</v>
      </c>
      <c r="I344" s="9">
        <f ca="1">DATOSAÑO!Q343</f>
        <v>0</v>
      </c>
      <c r="J344" s="11">
        <f ca="1">DATOSAÑO!R343</f>
        <v>0</v>
      </c>
      <c r="K344" s="9">
        <f ca="1">DATOSAÑO!T343</f>
        <v>0</v>
      </c>
      <c r="L344" s="11">
        <f t="shared" ca="1" si="15"/>
        <v>0</v>
      </c>
      <c r="M344" s="9"/>
      <c r="N344" s="11">
        <f t="shared" si="16"/>
        <v>0</v>
      </c>
      <c r="O344" s="9">
        <f>DATOSAÑO!CK343</f>
        <v>0</v>
      </c>
      <c r="P344" s="9">
        <f>DATOSAÑO!CL343</f>
        <v>0</v>
      </c>
      <c r="Q344" s="9">
        <f ca="1">DATOSAÑO!AD343</f>
        <v>0</v>
      </c>
      <c r="R344" s="11">
        <f ca="1">(Q344*DATOSAÑO!$Z$11)/DATOSAÑO!$Y$11</f>
        <v>0</v>
      </c>
      <c r="S344" s="9">
        <f ca="1">DATOSAÑO!AF343</f>
        <v>0</v>
      </c>
      <c r="T344" s="11">
        <f ca="1">(S344*DATOSAÑO!$Z$11)/DATOSAÑO!$Y$11</f>
        <v>0</v>
      </c>
      <c r="U344" s="9">
        <f ca="1">DATOSAÑO!AH343</f>
        <v>0</v>
      </c>
      <c r="V344" s="11">
        <f ca="1">(U344*DATOSAÑO!$Z$11)/DATOSAÑO!$Y$11</f>
        <v>0</v>
      </c>
      <c r="W344" s="9">
        <f ca="1">DATOSAÑO!AI343</f>
        <v>0</v>
      </c>
      <c r="X344" s="11">
        <f ca="1">(W344*DATOSAÑO!$Z$11)/DATOSAÑO!$Y$11</f>
        <v>0</v>
      </c>
      <c r="Y344" s="9">
        <f ca="1">DATOSAÑO!AJ343</f>
        <v>0</v>
      </c>
      <c r="Z344" s="11">
        <f ca="1">(Y344*DATOSAÑO!$Z$11)/DATOSAÑO!$Y$11</f>
        <v>0</v>
      </c>
      <c r="AA344" s="9">
        <f ca="1">DATOSAÑO!AK343</f>
        <v>0</v>
      </c>
      <c r="AB344" s="11">
        <f ca="1">(AA344*DATOSAÑO!$Z$11)/DATOSAÑO!$Y$11</f>
        <v>0</v>
      </c>
      <c r="AC344" s="9">
        <f ca="1">DATOSAÑO!AL343</f>
        <v>0</v>
      </c>
      <c r="AD344" s="11">
        <f ca="1">(AC344*DATOSAÑO!$Z$11)/DATOSAÑO!$Y$11</f>
        <v>0</v>
      </c>
      <c r="AE344" s="9">
        <f ca="1">DATOSAÑO!CA343</f>
        <v>0</v>
      </c>
      <c r="AF344" s="11">
        <f ca="1">(AE344*DATOSAÑO!$Z$11)/DATOSAÑO!$Y$11</f>
        <v>0</v>
      </c>
      <c r="AG344" s="9">
        <f ca="1">DATOSAÑO!CB343</f>
        <v>0</v>
      </c>
      <c r="AH344" s="11">
        <f ca="1">(AG344*DATOSAÑO!$Z$11)/DATOSAÑO!$Y$11</f>
        <v>0</v>
      </c>
      <c r="AI344" s="9">
        <f ca="1">DATOSAÑO!BJ343</f>
        <v>0</v>
      </c>
      <c r="AJ344" s="11">
        <f ca="1">(AI344*DATOSAÑO!$Z$11)/DATOSAÑO!$Y$11</f>
        <v>0</v>
      </c>
      <c r="AK344" s="9">
        <f ca="1">DATOSAÑO!BM343</f>
        <v>0</v>
      </c>
      <c r="AL344" s="11">
        <f ca="1">(AK344*DATOSAÑO!$Z$11)/DATOSAÑO!$Y$11</f>
        <v>0</v>
      </c>
      <c r="AM344" s="9">
        <f ca="1">DATOSAÑO!BP343</f>
        <v>0</v>
      </c>
      <c r="AN344" s="11">
        <f ca="1">(AM344*DATOSAÑO!$Z$11)/DATOSAÑO!$Y$11</f>
        <v>0</v>
      </c>
      <c r="AO344" s="9">
        <f ca="1">DATOSAÑO!BW343</f>
        <v>0</v>
      </c>
      <c r="AP344" s="11">
        <f ca="1">(AO344*DATOSAÑO!$Z$11)/DATOSAÑO!$Y$11</f>
        <v>0</v>
      </c>
      <c r="AQ344" s="9">
        <f ca="1">DATOSAÑO!CC343</f>
        <v>0</v>
      </c>
      <c r="AR344" s="1348">
        <f ca="1">(AQ344*DATOSAÑO!$Z$11)/DATOSAÑO!$Y$11</f>
        <v>0</v>
      </c>
      <c r="AS344" s="1384">
        <f t="shared" si="17"/>
        <v>48</v>
      </c>
    </row>
    <row r="345" spans="1:45" ht="15" thickBot="1">
      <c r="A345" s="1408">
        <v>45260</v>
      </c>
      <c r="B345" s="1870">
        <v>45260</v>
      </c>
      <c r="C345" s="63">
        <f ca="1">DATOSAÑO!I344</f>
        <v>0</v>
      </c>
      <c r="D345" s="64">
        <f ca="1">DATOSAÑO!$D344</f>
        <v>0</v>
      </c>
      <c r="E345" s="65">
        <f ca="1">DATOSAÑO!$G344</f>
        <v>0</v>
      </c>
      <c r="F345" s="63">
        <f ca="1">DATOSAÑO!P344</f>
        <v>0</v>
      </c>
      <c r="G345" s="64">
        <f ca="1">DATOSAÑO!K344</f>
        <v>0</v>
      </c>
      <c r="H345" s="65">
        <f ca="1">DATOSAÑO!N344</f>
        <v>0</v>
      </c>
      <c r="I345" s="63">
        <f ca="1">DATOSAÑO!Q344</f>
        <v>0</v>
      </c>
      <c r="J345" s="65">
        <f ca="1">DATOSAÑO!R344</f>
        <v>0</v>
      </c>
      <c r="K345" s="9">
        <f ca="1">DATOSAÑO!T344</f>
        <v>0</v>
      </c>
      <c r="L345" s="65">
        <f t="shared" ca="1" si="15"/>
        <v>0</v>
      </c>
      <c r="M345" s="63"/>
      <c r="N345" s="65">
        <f t="shared" si="16"/>
        <v>0</v>
      </c>
      <c r="O345" s="63">
        <f>DATOSAÑO!CK344</f>
        <v>0</v>
      </c>
      <c r="P345" s="62">
        <f>DATOSAÑO!CL344</f>
        <v>0</v>
      </c>
      <c r="Q345" s="9">
        <f ca="1">DATOSAÑO!AD344</f>
        <v>0</v>
      </c>
      <c r="R345" s="65">
        <f ca="1">(Q345*DATOSAÑO!$Z$11)/DATOSAÑO!$Y$11</f>
        <v>0</v>
      </c>
      <c r="S345" s="9">
        <f ca="1">DATOSAÑO!AF344</f>
        <v>0</v>
      </c>
      <c r="T345" s="65">
        <f ca="1">(S345*DATOSAÑO!$Z$11)/DATOSAÑO!$Y$11</f>
        <v>0</v>
      </c>
      <c r="U345" s="9">
        <f ca="1">DATOSAÑO!AH344</f>
        <v>0</v>
      </c>
      <c r="V345" s="65">
        <f ca="1">(U345*DATOSAÑO!$Z$11)/DATOSAÑO!$Y$11</f>
        <v>0</v>
      </c>
      <c r="W345" s="9">
        <f ca="1">DATOSAÑO!AI344</f>
        <v>0</v>
      </c>
      <c r="X345" s="65">
        <f ca="1">(W345*DATOSAÑO!$Z$11)/DATOSAÑO!$Y$11</f>
        <v>0</v>
      </c>
      <c r="Y345" s="9">
        <f ca="1">DATOSAÑO!AJ344</f>
        <v>0</v>
      </c>
      <c r="Z345" s="65">
        <f ca="1">(Y345*DATOSAÑO!$Z$11)/DATOSAÑO!$Y$11</f>
        <v>0</v>
      </c>
      <c r="AA345" s="9">
        <f ca="1">DATOSAÑO!AK344</f>
        <v>0</v>
      </c>
      <c r="AB345" s="65">
        <f ca="1">(AA345*DATOSAÑO!$Z$11)/DATOSAÑO!$Y$11</f>
        <v>0</v>
      </c>
      <c r="AC345" s="9">
        <f ca="1">DATOSAÑO!AL344</f>
        <v>0</v>
      </c>
      <c r="AD345" s="65">
        <f ca="1">(AC345*DATOSAÑO!$Z$11)/DATOSAÑO!$Y$11</f>
        <v>0</v>
      </c>
      <c r="AE345" s="63">
        <f ca="1">DATOSAÑO!CA344</f>
        <v>0</v>
      </c>
      <c r="AF345" s="65">
        <f ca="1">(AE345*DATOSAÑO!$Z$11)/DATOSAÑO!$Y$11</f>
        <v>0</v>
      </c>
      <c r="AG345" s="63">
        <f ca="1">DATOSAÑO!CB344</f>
        <v>0</v>
      </c>
      <c r="AH345" s="65">
        <f ca="1">(AG345*DATOSAÑO!$Z$11)/DATOSAÑO!$Y$11</f>
        <v>0</v>
      </c>
      <c r="AI345" s="63">
        <f ca="1">DATOSAÑO!BJ344</f>
        <v>0</v>
      </c>
      <c r="AJ345" s="65">
        <f ca="1">(AI345*DATOSAÑO!$Z$11)/DATOSAÑO!$Y$11</f>
        <v>0</v>
      </c>
      <c r="AK345" s="63">
        <f ca="1">DATOSAÑO!BM344</f>
        <v>0</v>
      </c>
      <c r="AL345" s="65">
        <f ca="1">(AK345*DATOSAÑO!$Z$11)/DATOSAÑO!$Y$11</f>
        <v>0</v>
      </c>
      <c r="AM345" s="63">
        <f ca="1">DATOSAÑO!BP344</f>
        <v>0</v>
      </c>
      <c r="AN345" s="65">
        <f ca="1">(AM345*DATOSAÑO!$Z$11)/DATOSAÑO!$Y$11</f>
        <v>0</v>
      </c>
      <c r="AO345" s="63">
        <f ca="1">DATOSAÑO!BW344</f>
        <v>0</v>
      </c>
      <c r="AP345" s="65">
        <f ca="1">(AO345*DATOSAÑO!$Z$11)/DATOSAÑO!$Y$11</f>
        <v>0</v>
      </c>
      <c r="AQ345" s="63">
        <f ca="1">DATOSAÑO!CC344</f>
        <v>0</v>
      </c>
      <c r="AR345" s="1109">
        <f ca="1">(AQ345*DATOSAÑO!$Z$11)/DATOSAÑO!$Y$11</f>
        <v>0</v>
      </c>
      <c r="AS345" s="1385">
        <f t="shared" si="17"/>
        <v>48</v>
      </c>
    </row>
    <row r="346" spans="1:45">
      <c r="A346" s="1408">
        <v>45261</v>
      </c>
      <c r="B346" s="1871">
        <v>45261</v>
      </c>
      <c r="C346" s="9">
        <f ca="1">DATOSAÑO!I345</f>
        <v>0</v>
      </c>
      <c r="D346" s="10">
        <f ca="1">DATOSAÑO!$D345</f>
        <v>0</v>
      </c>
      <c r="E346" s="11">
        <f ca="1">DATOSAÑO!$G345</f>
        <v>0</v>
      </c>
      <c r="F346" s="9">
        <f ca="1">DATOSAÑO!P345</f>
        <v>0</v>
      </c>
      <c r="G346" s="10">
        <f ca="1">DATOSAÑO!K345</f>
        <v>0</v>
      </c>
      <c r="H346" s="180">
        <f ca="1">DATOSAÑO!N345</f>
        <v>0</v>
      </c>
      <c r="I346" s="178">
        <f ca="1">DATOSAÑO!Q345</f>
        <v>0</v>
      </c>
      <c r="J346" s="180">
        <f ca="1">DATOSAÑO!R345</f>
        <v>0</v>
      </c>
      <c r="K346" s="178">
        <f ca="1">DATOSAÑO!T345</f>
        <v>0</v>
      </c>
      <c r="L346" s="180">
        <f t="shared" ca="1" si="15"/>
        <v>0</v>
      </c>
      <c r="M346" s="178"/>
      <c r="N346" s="180">
        <f t="shared" si="16"/>
        <v>0</v>
      </c>
      <c r="O346" s="9">
        <f>DATOSAÑO!CK345</f>
        <v>0</v>
      </c>
      <c r="P346" s="9">
        <f>DATOSAÑO!CL345</f>
        <v>0</v>
      </c>
      <c r="Q346" s="178">
        <f ca="1">DATOSAÑO!AD345</f>
        <v>0</v>
      </c>
      <c r="R346" s="180">
        <f ca="1">(Q346*DATOSAÑO!$Z$11)/DATOSAÑO!$Y$11</f>
        <v>0</v>
      </c>
      <c r="S346" s="178">
        <f ca="1">DATOSAÑO!AF345</f>
        <v>0</v>
      </c>
      <c r="T346" s="180">
        <f ca="1">(S346*DATOSAÑO!$Z$11)/DATOSAÑO!$Y$11</f>
        <v>0</v>
      </c>
      <c r="U346" s="178">
        <f ca="1">DATOSAÑO!AH345</f>
        <v>0</v>
      </c>
      <c r="V346" s="180">
        <f ca="1">(U346*DATOSAÑO!$Z$11)/DATOSAÑO!$Y$11</f>
        <v>0</v>
      </c>
      <c r="W346" s="178">
        <f ca="1">DATOSAÑO!AI345</f>
        <v>0</v>
      </c>
      <c r="X346" s="180">
        <f ca="1">(W346*DATOSAÑO!$Z$11)/DATOSAÑO!$Y$11</f>
        <v>0</v>
      </c>
      <c r="Y346" s="178">
        <f ca="1">DATOSAÑO!AJ345</f>
        <v>0</v>
      </c>
      <c r="Z346" s="180">
        <f ca="1">(Y346*DATOSAÑO!$Z$11)/DATOSAÑO!$Y$11</f>
        <v>0</v>
      </c>
      <c r="AA346" s="178">
        <f ca="1">DATOSAÑO!AK345</f>
        <v>0</v>
      </c>
      <c r="AB346" s="180">
        <f ca="1">(AA346*DATOSAÑO!$Z$11)/DATOSAÑO!$Y$11</f>
        <v>0</v>
      </c>
      <c r="AC346" s="178">
        <f ca="1">DATOSAÑO!AL345</f>
        <v>0</v>
      </c>
      <c r="AD346" s="180">
        <f ca="1">(AC346*DATOSAÑO!$Z$11)/DATOSAÑO!$Y$11</f>
        <v>0</v>
      </c>
      <c r="AE346" s="9">
        <f ca="1">DATOSAÑO!CA345</f>
        <v>0</v>
      </c>
      <c r="AF346" s="11">
        <f ca="1">(AE346*DATOSAÑO!$Z$11)/DATOSAÑO!$Y$11</f>
        <v>0</v>
      </c>
      <c r="AG346" s="9">
        <f ca="1">DATOSAÑO!CB345</f>
        <v>0</v>
      </c>
      <c r="AH346" s="11">
        <f ca="1">(AG346*DATOSAÑO!$Z$11)/DATOSAÑO!$Y$11</f>
        <v>0</v>
      </c>
      <c r="AI346" s="9">
        <f ca="1">DATOSAÑO!BJ345</f>
        <v>0</v>
      </c>
      <c r="AJ346" s="11">
        <f ca="1">(AI346*DATOSAÑO!$Z$11)/DATOSAÑO!$Y$11</f>
        <v>0</v>
      </c>
      <c r="AK346" s="9">
        <f ca="1">DATOSAÑO!BM345</f>
        <v>0</v>
      </c>
      <c r="AL346" s="11">
        <f ca="1">(AK346*DATOSAÑO!$Z$11)/DATOSAÑO!$Y$11</f>
        <v>0</v>
      </c>
      <c r="AM346" s="9">
        <f ca="1">DATOSAÑO!BP345</f>
        <v>0</v>
      </c>
      <c r="AN346" s="11">
        <f ca="1">(AM346*DATOSAÑO!$Z$11)/DATOSAÑO!$Y$11</f>
        <v>0</v>
      </c>
      <c r="AO346" s="9">
        <f ca="1">DATOSAÑO!BW345</f>
        <v>0</v>
      </c>
      <c r="AP346" s="11">
        <f ca="1">(AO346*DATOSAÑO!$Z$11)/DATOSAÑO!$Y$11</f>
        <v>0</v>
      </c>
      <c r="AQ346" s="9">
        <f ca="1">DATOSAÑO!CC345</f>
        <v>0</v>
      </c>
      <c r="AR346" s="1348">
        <f ca="1">(AQ346*DATOSAÑO!$Z$11)/DATOSAÑO!$Y$11</f>
        <v>0</v>
      </c>
      <c r="AS346" s="1406">
        <f t="shared" si="17"/>
        <v>48</v>
      </c>
    </row>
    <row r="347" spans="1:45">
      <c r="A347" s="1408">
        <v>45262</v>
      </c>
      <c r="B347" s="1869">
        <v>45262</v>
      </c>
      <c r="C347" s="9">
        <f ca="1">DATOSAÑO!I346</f>
        <v>0</v>
      </c>
      <c r="D347" s="10">
        <f ca="1">DATOSAÑO!$D346</f>
        <v>0</v>
      </c>
      <c r="E347" s="11">
        <f ca="1">DATOSAÑO!$G346</f>
        <v>0</v>
      </c>
      <c r="F347" s="9">
        <f ca="1">DATOSAÑO!P346</f>
        <v>0</v>
      </c>
      <c r="G347" s="10">
        <f ca="1">DATOSAÑO!K346</f>
        <v>0</v>
      </c>
      <c r="H347" s="11">
        <f ca="1">DATOSAÑO!N346</f>
        <v>0</v>
      </c>
      <c r="I347" s="9">
        <f ca="1">DATOSAÑO!Q346</f>
        <v>0</v>
      </c>
      <c r="J347" s="11">
        <f ca="1">DATOSAÑO!R346</f>
        <v>0</v>
      </c>
      <c r="K347" s="9">
        <f ca="1">DATOSAÑO!T346</f>
        <v>0</v>
      </c>
      <c r="L347" s="11">
        <f t="shared" ca="1" si="15"/>
        <v>0</v>
      </c>
      <c r="M347" s="9"/>
      <c r="N347" s="11">
        <f t="shared" si="16"/>
        <v>0</v>
      </c>
      <c r="O347" s="9">
        <f>DATOSAÑO!CK346</f>
        <v>0</v>
      </c>
      <c r="P347" s="9">
        <f>DATOSAÑO!CL346</f>
        <v>0</v>
      </c>
      <c r="Q347" s="9">
        <f ca="1">DATOSAÑO!AD346</f>
        <v>0</v>
      </c>
      <c r="R347" s="11">
        <f ca="1">(Q347*DATOSAÑO!$Z$11)/DATOSAÑO!$Y$11</f>
        <v>0</v>
      </c>
      <c r="S347" s="9">
        <f ca="1">DATOSAÑO!AF346</f>
        <v>0</v>
      </c>
      <c r="T347" s="11">
        <f ca="1">(S347*DATOSAÑO!$Z$11)/DATOSAÑO!$Y$11</f>
        <v>0</v>
      </c>
      <c r="U347" s="9">
        <f ca="1">DATOSAÑO!AH346</f>
        <v>0</v>
      </c>
      <c r="V347" s="11">
        <f ca="1">(U347*DATOSAÑO!$Z$11)/DATOSAÑO!$Y$11</f>
        <v>0</v>
      </c>
      <c r="W347" s="9">
        <f ca="1">DATOSAÑO!AI346</f>
        <v>0</v>
      </c>
      <c r="X347" s="11">
        <f ca="1">(W347*DATOSAÑO!$Z$11)/DATOSAÑO!$Y$11</f>
        <v>0</v>
      </c>
      <c r="Y347" s="9">
        <f ca="1">DATOSAÑO!AJ346</f>
        <v>0</v>
      </c>
      <c r="Z347" s="11">
        <f ca="1">(Y347*DATOSAÑO!$Z$11)/DATOSAÑO!$Y$11</f>
        <v>0</v>
      </c>
      <c r="AA347" s="9">
        <f ca="1">DATOSAÑO!AK346</f>
        <v>0</v>
      </c>
      <c r="AB347" s="11">
        <f ca="1">(AA347*DATOSAÑO!$Z$11)/DATOSAÑO!$Y$11</f>
        <v>0</v>
      </c>
      <c r="AC347" s="9">
        <f ca="1">DATOSAÑO!AL346</f>
        <v>0</v>
      </c>
      <c r="AD347" s="11">
        <f ca="1">(AC347*DATOSAÑO!$Z$11)/DATOSAÑO!$Y$11</f>
        <v>0</v>
      </c>
      <c r="AE347" s="9">
        <f ca="1">DATOSAÑO!CA346</f>
        <v>0</v>
      </c>
      <c r="AF347" s="11">
        <f ca="1">(AE347*DATOSAÑO!$Z$11)/DATOSAÑO!$Y$11</f>
        <v>0</v>
      </c>
      <c r="AG347" s="9">
        <f ca="1">DATOSAÑO!CB346</f>
        <v>0</v>
      </c>
      <c r="AH347" s="11">
        <f ca="1">(AG347*DATOSAÑO!$Z$11)/DATOSAÑO!$Y$11</f>
        <v>0</v>
      </c>
      <c r="AI347" s="9">
        <f ca="1">DATOSAÑO!BJ346</f>
        <v>0</v>
      </c>
      <c r="AJ347" s="11">
        <f ca="1">(AI347*DATOSAÑO!$Z$11)/DATOSAÑO!$Y$11</f>
        <v>0</v>
      </c>
      <c r="AK347" s="9">
        <f ca="1">DATOSAÑO!BM346</f>
        <v>0</v>
      </c>
      <c r="AL347" s="11">
        <f ca="1">(AK347*DATOSAÑO!$Z$11)/DATOSAÑO!$Y$11</f>
        <v>0</v>
      </c>
      <c r="AM347" s="9">
        <f ca="1">DATOSAÑO!BP346</f>
        <v>0</v>
      </c>
      <c r="AN347" s="11">
        <f ca="1">(AM347*DATOSAÑO!$Z$11)/DATOSAÑO!$Y$11</f>
        <v>0</v>
      </c>
      <c r="AO347" s="9">
        <f ca="1">DATOSAÑO!BW346</f>
        <v>0</v>
      </c>
      <c r="AP347" s="11">
        <f ca="1">(AO347*DATOSAÑO!$Z$11)/DATOSAÑO!$Y$11</f>
        <v>0</v>
      </c>
      <c r="AQ347" s="9">
        <f ca="1">DATOSAÑO!CC346</f>
        <v>0</v>
      </c>
      <c r="AR347" s="1348">
        <f ca="1">(AQ347*DATOSAÑO!$Z$11)/DATOSAÑO!$Y$11</f>
        <v>0</v>
      </c>
      <c r="AS347" s="1384">
        <f t="shared" si="17"/>
        <v>48</v>
      </c>
    </row>
    <row r="348" spans="1:45">
      <c r="A348" s="1408">
        <v>45263</v>
      </c>
      <c r="B348" s="1869">
        <v>45263</v>
      </c>
      <c r="C348" s="9">
        <f ca="1">DATOSAÑO!I347</f>
        <v>0</v>
      </c>
      <c r="D348" s="10">
        <f ca="1">DATOSAÑO!$D347</f>
        <v>0</v>
      </c>
      <c r="E348" s="11">
        <f ca="1">DATOSAÑO!$G347</f>
        <v>0</v>
      </c>
      <c r="F348" s="9">
        <f ca="1">DATOSAÑO!P347</f>
        <v>0</v>
      </c>
      <c r="G348" s="10">
        <f ca="1">DATOSAÑO!K347</f>
        <v>0</v>
      </c>
      <c r="H348" s="11">
        <f ca="1">DATOSAÑO!N347</f>
        <v>0</v>
      </c>
      <c r="I348" s="9">
        <f ca="1">DATOSAÑO!Q347</f>
        <v>0</v>
      </c>
      <c r="J348" s="11">
        <f ca="1">DATOSAÑO!R347</f>
        <v>0</v>
      </c>
      <c r="K348" s="9">
        <f ca="1">DATOSAÑO!T347</f>
        <v>0</v>
      </c>
      <c r="L348" s="11">
        <f t="shared" ca="1" si="15"/>
        <v>0</v>
      </c>
      <c r="M348" s="9"/>
      <c r="N348" s="11">
        <f t="shared" si="16"/>
        <v>0</v>
      </c>
      <c r="O348" s="9">
        <f>DATOSAÑO!CK347</f>
        <v>0</v>
      </c>
      <c r="P348" s="9">
        <f>DATOSAÑO!CL347</f>
        <v>0</v>
      </c>
      <c r="Q348" s="9">
        <f ca="1">DATOSAÑO!AD347</f>
        <v>0</v>
      </c>
      <c r="R348" s="11">
        <f ca="1">(Q348*DATOSAÑO!$Z$11)/DATOSAÑO!$Y$11</f>
        <v>0</v>
      </c>
      <c r="S348" s="9">
        <f ca="1">DATOSAÑO!AF347</f>
        <v>0</v>
      </c>
      <c r="T348" s="11">
        <f ca="1">(S348*DATOSAÑO!$Z$11)/DATOSAÑO!$Y$11</f>
        <v>0</v>
      </c>
      <c r="U348" s="9">
        <f ca="1">DATOSAÑO!AH347</f>
        <v>0</v>
      </c>
      <c r="V348" s="11">
        <f ca="1">(U348*DATOSAÑO!$Z$11)/DATOSAÑO!$Y$11</f>
        <v>0</v>
      </c>
      <c r="W348" s="9">
        <f ca="1">DATOSAÑO!AI347</f>
        <v>0</v>
      </c>
      <c r="X348" s="11">
        <f ca="1">(W348*DATOSAÑO!$Z$11)/DATOSAÑO!$Y$11</f>
        <v>0</v>
      </c>
      <c r="Y348" s="9">
        <f ca="1">DATOSAÑO!AJ347</f>
        <v>0</v>
      </c>
      <c r="Z348" s="11">
        <f ca="1">(Y348*DATOSAÑO!$Z$11)/DATOSAÑO!$Y$11</f>
        <v>0</v>
      </c>
      <c r="AA348" s="9">
        <f ca="1">DATOSAÑO!AK347</f>
        <v>0</v>
      </c>
      <c r="AB348" s="11">
        <f ca="1">(AA348*DATOSAÑO!$Z$11)/DATOSAÑO!$Y$11</f>
        <v>0</v>
      </c>
      <c r="AC348" s="9">
        <f ca="1">DATOSAÑO!AL347</f>
        <v>0</v>
      </c>
      <c r="AD348" s="11">
        <f ca="1">(AC348*DATOSAÑO!$Z$11)/DATOSAÑO!$Y$11</f>
        <v>0</v>
      </c>
      <c r="AE348" s="9">
        <f ca="1">DATOSAÑO!CA347</f>
        <v>0</v>
      </c>
      <c r="AF348" s="11">
        <f ca="1">(AE348*DATOSAÑO!$Z$11)/DATOSAÑO!$Y$11</f>
        <v>0</v>
      </c>
      <c r="AG348" s="9">
        <f ca="1">DATOSAÑO!CB347</f>
        <v>0</v>
      </c>
      <c r="AH348" s="11">
        <f ca="1">(AG348*DATOSAÑO!$Z$11)/DATOSAÑO!$Y$11</f>
        <v>0</v>
      </c>
      <c r="AI348" s="9">
        <f ca="1">DATOSAÑO!BJ347</f>
        <v>0</v>
      </c>
      <c r="AJ348" s="11">
        <f ca="1">(AI348*DATOSAÑO!$Z$11)/DATOSAÑO!$Y$11</f>
        <v>0</v>
      </c>
      <c r="AK348" s="9">
        <f ca="1">DATOSAÑO!BM347</f>
        <v>0</v>
      </c>
      <c r="AL348" s="11">
        <f ca="1">(AK348*DATOSAÑO!$Z$11)/DATOSAÑO!$Y$11</f>
        <v>0</v>
      </c>
      <c r="AM348" s="9">
        <f ca="1">DATOSAÑO!BP347</f>
        <v>0</v>
      </c>
      <c r="AN348" s="11">
        <f ca="1">(AM348*DATOSAÑO!$Z$11)/DATOSAÑO!$Y$11</f>
        <v>0</v>
      </c>
      <c r="AO348" s="9">
        <f ca="1">DATOSAÑO!BW347</f>
        <v>0</v>
      </c>
      <c r="AP348" s="11">
        <f ca="1">(AO348*DATOSAÑO!$Z$11)/DATOSAÑO!$Y$11</f>
        <v>0</v>
      </c>
      <c r="AQ348" s="9">
        <f ca="1">DATOSAÑO!CC347</f>
        <v>0</v>
      </c>
      <c r="AR348" s="1348">
        <f ca="1">(AQ348*DATOSAÑO!$Z$11)/DATOSAÑO!$Y$11</f>
        <v>0</v>
      </c>
      <c r="AS348" s="1384">
        <f t="shared" si="17"/>
        <v>49</v>
      </c>
    </row>
    <row r="349" spans="1:45">
      <c r="A349" s="1408">
        <v>45264</v>
      </c>
      <c r="B349" s="1869">
        <v>45264</v>
      </c>
      <c r="C349" s="9">
        <f ca="1">DATOSAÑO!I348</f>
        <v>0</v>
      </c>
      <c r="D349" s="10">
        <f ca="1">DATOSAÑO!$D348</f>
        <v>0</v>
      </c>
      <c r="E349" s="11">
        <f ca="1">DATOSAÑO!$G348</f>
        <v>0</v>
      </c>
      <c r="F349" s="9">
        <f ca="1">DATOSAÑO!P348</f>
        <v>0</v>
      </c>
      <c r="G349" s="10">
        <f ca="1">DATOSAÑO!K348</f>
        <v>0</v>
      </c>
      <c r="H349" s="11">
        <f ca="1">DATOSAÑO!N348</f>
        <v>0</v>
      </c>
      <c r="I349" s="9">
        <f ca="1">DATOSAÑO!Q348</f>
        <v>0</v>
      </c>
      <c r="J349" s="11">
        <f ca="1">DATOSAÑO!R348</f>
        <v>0</v>
      </c>
      <c r="K349" s="9">
        <f ca="1">DATOSAÑO!T348</f>
        <v>0</v>
      </c>
      <c r="L349" s="11">
        <f t="shared" ca="1" si="15"/>
        <v>0</v>
      </c>
      <c r="M349" s="9"/>
      <c r="N349" s="11">
        <f t="shared" si="16"/>
        <v>0</v>
      </c>
      <c r="O349" s="9">
        <f>DATOSAÑO!CK348</f>
        <v>0</v>
      </c>
      <c r="P349" s="9">
        <f>DATOSAÑO!CL348</f>
        <v>0</v>
      </c>
      <c r="Q349" s="9">
        <f ca="1">DATOSAÑO!AD348</f>
        <v>0</v>
      </c>
      <c r="R349" s="11">
        <f ca="1">(Q349*DATOSAÑO!$Z$11)/DATOSAÑO!$Y$11</f>
        <v>0</v>
      </c>
      <c r="S349" s="9">
        <f ca="1">DATOSAÑO!AF348</f>
        <v>0</v>
      </c>
      <c r="T349" s="11">
        <f ca="1">(S349*DATOSAÑO!$Z$11)/DATOSAÑO!$Y$11</f>
        <v>0</v>
      </c>
      <c r="U349" s="9">
        <f ca="1">DATOSAÑO!AH348</f>
        <v>0</v>
      </c>
      <c r="V349" s="11">
        <f ca="1">(U349*DATOSAÑO!$Z$11)/DATOSAÑO!$Y$11</f>
        <v>0</v>
      </c>
      <c r="W349" s="9">
        <f ca="1">DATOSAÑO!AI348</f>
        <v>0</v>
      </c>
      <c r="X349" s="11">
        <f ca="1">(W349*DATOSAÑO!$Z$11)/DATOSAÑO!$Y$11</f>
        <v>0</v>
      </c>
      <c r="Y349" s="9">
        <f ca="1">DATOSAÑO!AJ348</f>
        <v>0</v>
      </c>
      <c r="Z349" s="11">
        <f ca="1">(Y349*DATOSAÑO!$Z$11)/DATOSAÑO!$Y$11</f>
        <v>0</v>
      </c>
      <c r="AA349" s="9">
        <f ca="1">DATOSAÑO!AK348</f>
        <v>0</v>
      </c>
      <c r="AB349" s="11">
        <f ca="1">(AA349*DATOSAÑO!$Z$11)/DATOSAÑO!$Y$11</f>
        <v>0</v>
      </c>
      <c r="AC349" s="9">
        <f ca="1">DATOSAÑO!AL348</f>
        <v>0</v>
      </c>
      <c r="AD349" s="11">
        <f ca="1">(AC349*DATOSAÑO!$Z$11)/DATOSAÑO!$Y$11</f>
        <v>0</v>
      </c>
      <c r="AE349" s="9">
        <f ca="1">DATOSAÑO!CA348</f>
        <v>0</v>
      </c>
      <c r="AF349" s="11">
        <f ca="1">(AE349*DATOSAÑO!$Z$11)/DATOSAÑO!$Y$11</f>
        <v>0</v>
      </c>
      <c r="AG349" s="9">
        <f ca="1">DATOSAÑO!CB348</f>
        <v>0</v>
      </c>
      <c r="AH349" s="11">
        <f ca="1">(AG349*DATOSAÑO!$Z$11)/DATOSAÑO!$Y$11</f>
        <v>0</v>
      </c>
      <c r="AI349" s="9">
        <f ca="1">DATOSAÑO!BJ348</f>
        <v>0</v>
      </c>
      <c r="AJ349" s="11">
        <f ca="1">(AI349*DATOSAÑO!$Z$11)/DATOSAÑO!$Y$11</f>
        <v>0</v>
      </c>
      <c r="AK349" s="9">
        <f ca="1">DATOSAÑO!BM348</f>
        <v>0</v>
      </c>
      <c r="AL349" s="11">
        <f ca="1">(AK349*DATOSAÑO!$Z$11)/DATOSAÑO!$Y$11</f>
        <v>0</v>
      </c>
      <c r="AM349" s="9">
        <f ca="1">DATOSAÑO!BP348</f>
        <v>0</v>
      </c>
      <c r="AN349" s="11">
        <f ca="1">(AM349*DATOSAÑO!$Z$11)/DATOSAÑO!$Y$11</f>
        <v>0</v>
      </c>
      <c r="AO349" s="9">
        <f ca="1">DATOSAÑO!BW348</f>
        <v>0</v>
      </c>
      <c r="AP349" s="11">
        <f ca="1">(AO349*DATOSAÑO!$Z$11)/DATOSAÑO!$Y$11</f>
        <v>0</v>
      </c>
      <c r="AQ349" s="9">
        <f ca="1">DATOSAÑO!CC348</f>
        <v>0</v>
      </c>
      <c r="AR349" s="1348">
        <f ca="1">(AQ349*DATOSAÑO!$Z$11)/DATOSAÑO!$Y$11</f>
        <v>0</v>
      </c>
      <c r="AS349" s="1384">
        <f t="shared" si="17"/>
        <v>49</v>
      </c>
    </row>
    <row r="350" spans="1:45">
      <c r="A350" s="1408">
        <v>45265</v>
      </c>
      <c r="B350" s="1869">
        <v>45265</v>
      </c>
      <c r="C350" s="9">
        <f ca="1">DATOSAÑO!I349</f>
        <v>0</v>
      </c>
      <c r="D350" s="10">
        <f ca="1">DATOSAÑO!$D349</f>
        <v>0</v>
      </c>
      <c r="E350" s="11">
        <f ca="1">DATOSAÑO!$G349</f>
        <v>0</v>
      </c>
      <c r="F350" s="9">
        <f ca="1">DATOSAÑO!P349</f>
        <v>0</v>
      </c>
      <c r="G350" s="10">
        <f ca="1">DATOSAÑO!K349</f>
        <v>0</v>
      </c>
      <c r="H350" s="11">
        <f ca="1">DATOSAÑO!N349</f>
        <v>0</v>
      </c>
      <c r="I350" s="9">
        <f ca="1">DATOSAÑO!Q349</f>
        <v>0</v>
      </c>
      <c r="J350" s="11">
        <f ca="1">DATOSAÑO!R349</f>
        <v>0</v>
      </c>
      <c r="K350" s="9">
        <f ca="1">DATOSAÑO!T349</f>
        <v>0</v>
      </c>
      <c r="L350" s="11">
        <f t="shared" ca="1" si="15"/>
        <v>0</v>
      </c>
      <c r="M350" s="9"/>
      <c r="N350" s="11">
        <f t="shared" si="16"/>
        <v>0</v>
      </c>
      <c r="O350" s="9">
        <f>DATOSAÑO!CK349</f>
        <v>0</v>
      </c>
      <c r="P350" s="9">
        <f>DATOSAÑO!CL349</f>
        <v>0</v>
      </c>
      <c r="Q350" s="9">
        <f ca="1">DATOSAÑO!AD349</f>
        <v>0</v>
      </c>
      <c r="R350" s="11">
        <f ca="1">(Q350*DATOSAÑO!$Z$11)/DATOSAÑO!$Y$11</f>
        <v>0</v>
      </c>
      <c r="S350" s="9">
        <f ca="1">DATOSAÑO!AF349</f>
        <v>0</v>
      </c>
      <c r="T350" s="11">
        <f ca="1">(S350*DATOSAÑO!$Z$11)/DATOSAÑO!$Y$11</f>
        <v>0</v>
      </c>
      <c r="U350" s="9">
        <f ca="1">DATOSAÑO!AH349</f>
        <v>0</v>
      </c>
      <c r="V350" s="11">
        <f ca="1">(U350*DATOSAÑO!$Z$11)/DATOSAÑO!$Y$11</f>
        <v>0</v>
      </c>
      <c r="W350" s="9">
        <f ca="1">DATOSAÑO!AI349</f>
        <v>0</v>
      </c>
      <c r="X350" s="11">
        <f ca="1">(W350*DATOSAÑO!$Z$11)/DATOSAÑO!$Y$11</f>
        <v>0</v>
      </c>
      <c r="Y350" s="9">
        <f ca="1">DATOSAÑO!AJ349</f>
        <v>0</v>
      </c>
      <c r="Z350" s="11">
        <f ca="1">(Y350*DATOSAÑO!$Z$11)/DATOSAÑO!$Y$11</f>
        <v>0</v>
      </c>
      <c r="AA350" s="9">
        <f ca="1">DATOSAÑO!AK349</f>
        <v>0</v>
      </c>
      <c r="AB350" s="11">
        <f ca="1">(AA350*DATOSAÑO!$Z$11)/DATOSAÑO!$Y$11</f>
        <v>0</v>
      </c>
      <c r="AC350" s="9">
        <f ca="1">DATOSAÑO!AL349</f>
        <v>0</v>
      </c>
      <c r="AD350" s="11">
        <f ca="1">(AC350*DATOSAÑO!$Z$11)/DATOSAÑO!$Y$11</f>
        <v>0</v>
      </c>
      <c r="AE350" s="9">
        <f ca="1">DATOSAÑO!CA349</f>
        <v>0</v>
      </c>
      <c r="AF350" s="11">
        <f ca="1">(AE350*DATOSAÑO!$Z$11)/DATOSAÑO!$Y$11</f>
        <v>0</v>
      </c>
      <c r="AG350" s="9">
        <f ca="1">DATOSAÑO!CB349</f>
        <v>0</v>
      </c>
      <c r="AH350" s="11">
        <f ca="1">(AG350*DATOSAÑO!$Z$11)/DATOSAÑO!$Y$11</f>
        <v>0</v>
      </c>
      <c r="AI350" s="9">
        <f ca="1">DATOSAÑO!BJ349</f>
        <v>0</v>
      </c>
      <c r="AJ350" s="11">
        <f ca="1">(AI350*DATOSAÑO!$Z$11)/DATOSAÑO!$Y$11</f>
        <v>0</v>
      </c>
      <c r="AK350" s="9">
        <f ca="1">DATOSAÑO!BM349</f>
        <v>0</v>
      </c>
      <c r="AL350" s="11">
        <f ca="1">(AK350*DATOSAÑO!$Z$11)/DATOSAÑO!$Y$11</f>
        <v>0</v>
      </c>
      <c r="AM350" s="9">
        <f ca="1">DATOSAÑO!BP349</f>
        <v>0</v>
      </c>
      <c r="AN350" s="11">
        <f ca="1">(AM350*DATOSAÑO!$Z$11)/DATOSAÑO!$Y$11</f>
        <v>0</v>
      </c>
      <c r="AO350" s="9">
        <f ca="1">DATOSAÑO!BW349</f>
        <v>0</v>
      </c>
      <c r="AP350" s="11">
        <f ca="1">(AO350*DATOSAÑO!$Z$11)/DATOSAÑO!$Y$11</f>
        <v>0</v>
      </c>
      <c r="AQ350" s="9">
        <f ca="1">DATOSAÑO!CC349</f>
        <v>0</v>
      </c>
      <c r="AR350" s="1348">
        <f ca="1">(AQ350*DATOSAÑO!$Z$11)/DATOSAÑO!$Y$11</f>
        <v>0</v>
      </c>
      <c r="AS350" s="1384">
        <f t="shared" si="17"/>
        <v>49</v>
      </c>
    </row>
    <row r="351" spans="1:45">
      <c r="A351" s="1408">
        <v>45266</v>
      </c>
      <c r="B351" s="1869">
        <v>45266</v>
      </c>
      <c r="C351" s="9">
        <f ca="1">DATOSAÑO!I350</f>
        <v>0</v>
      </c>
      <c r="D351" s="10">
        <f ca="1">DATOSAÑO!$D350</f>
        <v>0</v>
      </c>
      <c r="E351" s="11">
        <f ca="1">DATOSAÑO!$G350</f>
        <v>0</v>
      </c>
      <c r="F351" s="9">
        <f ca="1">DATOSAÑO!P350</f>
        <v>0</v>
      </c>
      <c r="G351" s="10">
        <f ca="1">DATOSAÑO!K350</f>
        <v>0</v>
      </c>
      <c r="H351" s="11">
        <f ca="1">DATOSAÑO!N350</f>
        <v>0</v>
      </c>
      <c r="I351" s="9">
        <f ca="1">DATOSAÑO!Q350</f>
        <v>0</v>
      </c>
      <c r="J351" s="11">
        <f ca="1">DATOSAÑO!R350</f>
        <v>0</v>
      </c>
      <c r="K351" s="9">
        <f ca="1">DATOSAÑO!T350</f>
        <v>0</v>
      </c>
      <c r="L351" s="11">
        <f t="shared" ca="1" si="15"/>
        <v>0</v>
      </c>
      <c r="M351" s="9"/>
      <c r="N351" s="11">
        <f t="shared" si="16"/>
        <v>0</v>
      </c>
      <c r="O351" s="9">
        <f>DATOSAÑO!CK350</f>
        <v>0</v>
      </c>
      <c r="P351" s="9">
        <f>DATOSAÑO!CL350</f>
        <v>0</v>
      </c>
      <c r="Q351" s="9">
        <f ca="1">DATOSAÑO!AD350</f>
        <v>0</v>
      </c>
      <c r="R351" s="11">
        <f ca="1">(Q351*DATOSAÑO!$Z$11)/DATOSAÑO!$Y$11</f>
        <v>0</v>
      </c>
      <c r="S351" s="9">
        <f ca="1">DATOSAÑO!AF350</f>
        <v>0</v>
      </c>
      <c r="T351" s="11">
        <f ca="1">(S351*DATOSAÑO!$Z$11)/DATOSAÑO!$Y$11</f>
        <v>0</v>
      </c>
      <c r="U351" s="9">
        <f ca="1">DATOSAÑO!AH350</f>
        <v>0</v>
      </c>
      <c r="V351" s="11">
        <f ca="1">(U351*DATOSAÑO!$Z$11)/DATOSAÑO!$Y$11</f>
        <v>0</v>
      </c>
      <c r="W351" s="9">
        <f ca="1">DATOSAÑO!AI350</f>
        <v>0</v>
      </c>
      <c r="X351" s="11">
        <f ca="1">(W351*DATOSAÑO!$Z$11)/DATOSAÑO!$Y$11</f>
        <v>0</v>
      </c>
      <c r="Y351" s="9">
        <f ca="1">DATOSAÑO!AJ350</f>
        <v>0</v>
      </c>
      <c r="Z351" s="11">
        <f ca="1">(Y351*DATOSAÑO!$Z$11)/DATOSAÑO!$Y$11</f>
        <v>0</v>
      </c>
      <c r="AA351" s="9">
        <f ca="1">DATOSAÑO!AK350</f>
        <v>0</v>
      </c>
      <c r="AB351" s="11">
        <f ca="1">(AA351*DATOSAÑO!$Z$11)/DATOSAÑO!$Y$11</f>
        <v>0</v>
      </c>
      <c r="AC351" s="9">
        <f ca="1">DATOSAÑO!AL350</f>
        <v>0</v>
      </c>
      <c r="AD351" s="11">
        <f ca="1">(AC351*DATOSAÑO!$Z$11)/DATOSAÑO!$Y$11</f>
        <v>0</v>
      </c>
      <c r="AE351" s="9">
        <f ca="1">DATOSAÑO!CA350</f>
        <v>0</v>
      </c>
      <c r="AF351" s="11">
        <f ca="1">(AE351*DATOSAÑO!$Z$11)/DATOSAÑO!$Y$11</f>
        <v>0</v>
      </c>
      <c r="AG351" s="9">
        <f ca="1">DATOSAÑO!CB350</f>
        <v>0</v>
      </c>
      <c r="AH351" s="11">
        <f ca="1">(AG351*DATOSAÑO!$Z$11)/DATOSAÑO!$Y$11</f>
        <v>0</v>
      </c>
      <c r="AI351" s="9">
        <f ca="1">DATOSAÑO!BJ350</f>
        <v>0</v>
      </c>
      <c r="AJ351" s="11">
        <f ca="1">(AI351*DATOSAÑO!$Z$11)/DATOSAÑO!$Y$11</f>
        <v>0</v>
      </c>
      <c r="AK351" s="9">
        <f ca="1">DATOSAÑO!BM350</f>
        <v>0</v>
      </c>
      <c r="AL351" s="11">
        <f ca="1">(AK351*DATOSAÑO!$Z$11)/DATOSAÑO!$Y$11</f>
        <v>0</v>
      </c>
      <c r="AM351" s="9">
        <f ca="1">DATOSAÑO!BP350</f>
        <v>0</v>
      </c>
      <c r="AN351" s="11">
        <f ca="1">(AM351*DATOSAÑO!$Z$11)/DATOSAÑO!$Y$11</f>
        <v>0</v>
      </c>
      <c r="AO351" s="9">
        <f ca="1">DATOSAÑO!BW350</f>
        <v>0</v>
      </c>
      <c r="AP351" s="11">
        <f ca="1">(AO351*DATOSAÑO!$Z$11)/DATOSAÑO!$Y$11</f>
        <v>0</v>
      </c>
      <c r="AQ351" s="9">
        <f ca="1">DATOSAÑO!CC350</f>
        <v>0</v>
      </c>
      <c r="AR351" s="1348">
        <f ca="1">(AQ351*DATOSAÑO!$Z$11)/DATOSAÑO!$Y$11</f>
        <v>0</v>
      </c>
      <c r="AS351" s="1384">
        <f t="shared" si="17"/>
        <v>49</v>
      </c>
    </row>
    <row r="352" spans="1:45">
      <c r="A352" s="1408">
        <v>45267</v>
      </c>
      <c r="B352" s="1869">
        <v>45267</v>
      </c>
      <c r="C352" s="9">
        <f ca="1">DATOSAÑO!I351</f>
        <v>0</v>
      </c>
      <c r="D352" s="10">
        <f ca="1">DATOSAÑO!$D351</f>
        <v>0</v>
      </c>
      <c r="E352" s="11">
        <f ca="1">DATOSAÑO!$G351</f>
        <v>0</v>
      </c>
      <c r="F352" s="9">
        <f ca="1">DATOSAÑO!P351</f>
        <v>0</v>
      </c>
      <c r="G352" s="10">
        <f ca="1">DATOSAÑO!K351</f>
        <v>0</v>
      </c>
      <c r="H352" s="11">
        <f ca="1">DATOSAÑO!N351</f>
        <v>0</v>
      </c>
      <c r="I352" s="9">
        <f ca="1">DATOSAÑO!Q351</f>
        <v>0</v>
      </c>
      <c r="J352" s="11">
        <f ca="1">DATOSAÑO!R351</f>
        <v>0</v>
      </c>
      <c r="K352" s="9">
        <f ca="1">DATOSAÑO!T351</f>
        <v>0</v>
      </c>
      <c r="L352" s="11">
        <f t="shared" ca="1" si="15"/>
        <v>0</v>
      </c>
      <c r="M352" s="9"/>
      <c r="N352" s="11">
        <f t="shared" si="16"/>
        <v>0</v>
      </c>
      <c r="O352" s="9">
        <f>DATOSAÑO!CK351</f>
        <v>0</v>
      </c>
      <c r="P352" s="9">
        <f>DATOSAÑO!CL351</f>
        <v>0</v>
      </c>
      <c r="Q352" s="9">
        <f ca="1">DATOSAÑO!AD351</f>
        <v>0</v>
      </c>
      <c r="R352" s="11">
        <f ca="1">(Q352*DATOSAÑO!$Z$11)/DATOSAÑO!$Y$11</f>
        <v>0</v>
      </c>
      <c r="S352" s="9">
        <f ca="1">DATOSAÑO!AF351</f>
        <v>0</v>
      </c>
      <c r="T352" s="11">
        <f ca="1">(S352*DATOSAÑO!$Z$11)/DATOSAÑO!$Y$11</f>
        <v>0</v>
      </c>
      <c r="U352" s="9">
        <f ca="1">DATOSAÑO!AH351</f>
        <v>0</v>
      </c>
      <c r="V352" s="11">
        <f ca="1">(U352*DATOSAÑO!$Z$11)/DATOSAÑO!$Y$11</f>
        <v>0</v>
      </c>
      <c r="W352" s="9">
        <f ca="1">DATOSAÑO!AI351</f>
        <v>0</v>
      </c>
      <c r="X352" s="11">
        <f ca="1">(W352*DATOSAÑO!$Z$11)/DATOSAÑO!$Y$11</f>
        <v>0</v>
      </c>
      <c r="Y352" s="9">
        <f ca="1">DATOSAÑO!AJ351</f>
        <v>0</v>
      </c>
      <c r="Z352" s="11">
        <f ca="1">(Y352*DATOSAÑO!$Z$11)/DATOSAÑO!$Y$11</f>
        <v>0</v>
      </c>
      <c r="AA352" s="9">
        <f ca="1">DATOSAÑO!AK351</f>
        <v>0</v>
      </c>
      <c r="AB352" s="11">
        <f ca="1">(AA352*DATOSAÑO!$Z$11)/DATOSAÑO!$Y$11</f>
        <v>0</v>
      </c>
      <c r="AC352" s="9">
        <f ca="1">DATOSAÑO!AL351</f>
        <v>0</v>
      </c>
      <c r="AD352" s="11">
        <f ca="1">(AC352*DATOSAÑO!$Z$11)/DATOSAÑO!$Y$11</f>
        <v>0</v>
      </c>
      <c r="AE352" s="9">
        <f ca="1">DATOSAÑO!CA351</f>
        <v>0</v>
      </c>
      <c r="AF352" s="11">
        <f ca="1">(AE352*DATOSAÑO!$Z$11)/DATOSAÑO!$Y$11</f>
        <v>0</v>
      </c>
      <c r="AG352" s="9">
        <f ca="1">DATOSAÑO!CB351</f>
        <v>0</v>
      </c>
      <c r="AH352" s="11">
        <f ca="1">(AG352*DATOSAÑO!$Z$11)/DATOSAÑO!$Y$11</f>
        <v>0</v>
      </c>
      <c r="AI352" s="9">
        <f ca="1">DATOSAÑO!BJ351</f>
        <v>0</v>
      </c>
      <c r="AJ352" s="11">
        <f ca="1">(AI352*DATOSAÑO!$Z$11)/DATOSAÑO!$Y$11</f>
        <v>0</v>
      </c>
      <c r="AK352" s="9">
        <f ca="1">DATOSAÑO!BM351</f>
        <v>0</v>
      </c>
      <c r="AL352" s="11">
        <f ca="1">(AK352*DATOSAÑO!$Z$11)/DATOSAÑO!$Y$11</f>
        <v>0</v>
      </c>
      <c r="AM352" s="9">
        <f ca="1">DATOSAÑO!BP351</f>
        <v>0</v>
      </c>
      <c r="AN352" s="11">
        <f ca="1">(AM352*DATOSAÑO!$Z$11)/DATOSAÑO!$Y$11</f>
        <v>0</v>
      </c>
      <c r="AO352" s="9">
        <f ca="1">DATOSAÑO!BW351</f>
        <v>0</v>
      </c>
      <c r="AP352" s="11">
        <f ca="1">(AO352*DATOSAÑO!$Z$11)/DATOSAÑO!$Y$11</f>
        <v>0</v>
      </c>
      <c r="AQ352" s="9">
        <f ca="1">DATOSAÑO!CC351</f>
        <v>0</v>
      </c>
      <c r="AR352" s="1348">
        <f ca="1">(AQ352*DATOSAÑO!$Z$11)/DATOSAÑO!$Y$11</f>
        <v>0</v>
      </c>
      <c r="AS352" s="1384">
        <f t="shared" si="17"/>
        <v>49</v>
      </c>
    </row>
    <row r="353" spans="1:45">
      <c r="A353" s="1408">
        <v>45268</v>
      </c>
      <c r="B353" s="1869">
        <v>45268</v>
      </c>
      <c r="C353" s="9">
        <f ca="1">DATOSAÑO!I352</f>
        <v>0</v>
      </c>
      <c r="D353" s="10">
        <f ca="1">DATOSAÑO!$D352</f>
        <v>0</v>
      </c>
      <c r="E353" s="11">
        <f ca="1">DATOSAÑO!$G352</f>
        <v>0</v>
      </c>
      <c r="F353" s="9">
        <f ca="1">DATOSAÑO!P352</f>
        <v>0</v>
      </c>
      <c r="G353" s="10">
        <f ca="1">DATOSAÑO!K352</f>
        <v>0</v>
      </c>
      <c r="H353" s="11">
        <f ca="1">DATOSAÑO!N352</f>
        <v>0</v>
      </c>
      <c r="I353" s="9">
        <f ca="1">DATOSAÑO!Q352</f>
        <v>0</v>
      </c>
      <c r="J353" s="11">
        <f ca="1">DATOSAÑO!R352</f>
        <v>0</v>
      </c>
      <c r="K353" s="9">
        <f ca="1">DATOSAÑO!T352</f>
        <v>0</v>
      </c>
      <c r="L353" s="11">
        <f t="shared" ca="1" si="15"/>
        <v>0</v>
      </c>
      <c r="M353" s="9"/>
      <c r="N353" s="11">
        <f t="shared" si="16"/>
        <v>0</v>
      </c>
      <c r="O353" s="9">
        <f>DATOSAÑO!CK352</f>
        <v>0</v>
      </c>
      <c r="P353" s="9">
        <f>DATOSAÑO!CL352</f>
        <v>0</v>
      </c>
      <c r="Q353" s="9">
        <f ca="1">DATOSAÑO!AD352</f>
        <v>0</v>
      </c>
      <c r="R353" s="11">
        <f ca="1">(Q353*DATOSAÑO!$Z$11)/DATOSAÑO!$Y$11</f>
        <v>0</v>
      </c>
      <c r="S353" s="9">
        <f ca="1">DATOSAÑO!AF352</f>
        <v>0</v>
      </c>
      <c r="T353" s="11">
        <f ca="1">(S353*DATOSAÑO!$Z$11)/DATOSAÑO!$Y$11</f>
        <v>0</v>
      </c>
      <c r="U353" s="9">
        <f ca="1">DATOSAÑO!AH352</f>
        <v>0</v>
      </c>
      <c r="V353" s="11">
        <f ca="1">(U353*DATOSAÑO!$Z$11)/DATOSAÑO!$Y$11</f>
        <v>0</v>
      </c>
      <c r="W353" s="9">
        <f ca="1">DATOSAÑO!AI352</f>
        <v>0</v>
      </c>
      <c r="X353" s="11">
        <f ca="1">(W353*DATOSAÑO!$Z$11)/DATOSAÑO!$Y$11</f>
        <v>0</v>
      </c>
      <c r="Y353" s="9">
        <f ca="1">DATOSAÑO!AJ352</f>
        <v>0</v>
      </c>
      <c r="Z353" s="11">
        <f ca="1">(Y353*DATOSAÑO!$Z$11)/DATOSAÑO!$Y$11</f>
        <v>0</v>
      </c>
      <c r="AA353" s="9">
        <f ca="1">DATOSAÑO!AK352</f>
        <v>0</v>
      </c>
      <c r="AB353" s="11">
        <f ca="1">(AA353*DATOSAÑO!$Z$11)/DATOSAÑO!$Y$11</f>
        <v>0</v>
      </c>
      <c r="AC353" s="9">
        <f ca="1">DATOSAÑO!AL352</f>
        <v>0</v>
      </c>
      <c r="AD353" s="11">
        <f ca="1">(AC353*DATOSAÑO!$Z$11)/DATOSAÑO!$Y$11</f>
        <v>0</v>
      </c>
      <c r="AE353" s="9">
        <f ca="1">DATOSAÑO!CA352</f>
        <v>0</v>
      </c>
      <c r="AF353" s="11">
        <f ca="1">(AE353*DATOSAÑO!$Z$11)/DATOSAÑO!$Y$11</f>
        <v>0</v>
      </c>
      <c r="AG353" s="9">
        <f ca="1">DATOSAÑO!CB352</f>
        <v>0</v>
      </c>
      <c r="AH353" s="11">
        <f ca="1">(AG353*DATOSAÑO!$Z$11)/DATOSAÑO!$Y$11</f>
        <v>0</v>
      </c>
      <c r="AI353" s="9">
        <f ca="1">DATOSAÑO!BJ352</f>
        <v>0</v>
      </c>
      <c r="AJ353" s="11">
        <f ca="1">(AI353*DATOSAÑO!$Z$11)/DATOSAÑO!$Y$11</f>
        <v>0</v>
      </c>
      <c r="AK353" s="9">
        <f ca="1">DATOSAÑO!BM352</f>
        <v>0</v>
      </c>
      <c r="AL353" s="11">
        <f ca="1">(AK353*DATOSAÑO!$Z$11)/DATOSAÑO!$Y$11</f>
        <v>0</v>
      </c>
      <c r="AM353" s="9">
        <f ca="1">DATOSAÑO!BP352</f>
        <v>0</v>
      </c>
      <c r="AN353" s="11">
        <f ca="1">(AM353*DATOSAÑO!$Z$11)/DATOSAÑO!$Y$11</f>
        <v>0</v>
      </c>
      <c r="AO353" s="9">
        <f ca="1">DATOSAÑO!BW352</f>
        <v>0</v>
      </c>
      <c r="AP353" s="11">
        <f ca="1">(AO353*DATOSAÑO!$Z$11)/DATOSAÑO!$Y$11</f>
        <v>0</v>
      </c>
      <c r="AQ353" s="9">
        <f ca="1">DATOSAÑO!CC352</f>
        <v>0</v>
      </c>
      <c r="AR353" s="1348">
        <f ca="1">(AQ353*DATOSAÑO!$Z$11)/DATOSAÑO!$Y$11</f>
        <v>0</v>
      </c>
      <c r="AS353" s="1384">
        <f t="shared" si="17"/>
        <v>49</v>
      </c>
    </row>
    <row r="354" spans="1:45">
      <c r="A354" s="1408">
        <v>45269</v>
      </c>
      <c r="B354" s="1869">
        <v>45269</v>
      </c>
      <c r="C354" s="9">
        <f ca="1">DATOSAÑO!I353</f>
        <v>0</v>
      </c>
      <c r="D354" s="10">
        <f ca="1">DATOSAÑO!$D353</f>
        <v>0</v>
      </c>
      <c r="E354" s="11">
        <f ca="1">DATOSAÑO!$G353</f>
        <v>0</v>
      </c>
      <c r="F354" s="9">
        <f ca="1">DATOSAÑO!P353</f>
        <v>0</v>
      </c>
      <c r="G354" s="10">
        <f ca="1">DATOSAÑO!K353</f>
        <v>0</v>
      </c>
      <c r="H354" s="11">
        <f ca="1">DATOSAÑO!N353</f>
        <v>0</v>
      </c>
      <c r="I354" s="9">
        <f ca="1">DATOSAÑO!Q353</f>
        <v>0</v>
      </c>
      <c r="J354" s="11">
        <f ca="1">DATOSAÑO!R353</f>
        <v>0</v>
      </c>
      <c r="K354" s="9">
        <f ca="1">DATOSAÑO!T353</f>
        <v>0</v>
      </c>
      <c r="L354" s="11">
        <f t="shared" ca="1" si="15"/>
        <v>0</v>
      </c>
      <c r="M354" s="9"/>
      <c r="N354" s="11">
        <f t="shared" si="16"/>
        <v>0</v>
      </c>
      <c r="O354" s="9">
        <f>DATOSAÑO!CK353</f>
        <v>0</v>
      </c>
      <c r="P354" s="9">
        <f>DATOSAÑO!CL353</f>
        <v>0</v>
      </c>
      <c r="Q354" s="9">
        <f ca="1">DATOSAÑO!AD353</f>
        <v>0</v>
      </c>
      <c r="R354" s="11">
        <f ca="1">(Q354*DATOSAÑO!$Z$11)/DATOSAÑO!$Y$11</f>
        <v>0</v>
      </c>
      <c r="S354" s="9">
        <f ca="1">DATOSAÑO!AF353</f>
        <v>0</v>
      </c>
      <c r="T354" s="11">
        <f ca="1">(S354*DATOSAÑO!$Z$11)/DATOSAÑO!$Y$11</f>
        <v>0</v>
      </c>
      <c r="U354" s="9">
        <f ca="1">DATOSAÑO!AH353</f>
        <v>0</v>
      </c>
      <c r="V354" s="11">
        <f ca="1">(U354*DATOSAÑO!$Z$11)/DATOSAÑO!$Y$11</f>
        <v>0</v>
      </c>
      <c r="W354" s="9">
        <f ca="1">DATOSAÑO!AI353</f>
        <v>0</v>
      </c>
      <c r="X354" s="11">
        <f ca="1">(W354*DATOSAÑO!$Z$11)/DATOSAÑO!$Y$11</f>
        <v>0</v>
      </c>
      <c r="Y354" s="9">
        <f ca="1">DATOSAÑO!AJ353</f>
        <v>0</v>
      </c>
      <c r="Z354" s="11">
        <f ca="1">(Y354*DATOSAÑO!$Z$11)/DATOSAÑO!$Y$11</f>
        <v>0</v>
      </c>
      <c r="AA354" s="9">
        <f ca="1">DATOSAÑO!AK353</f>
        <v>0</v>
      </c>
      <c r="AB354" s="11">
        <f ca="1">(AA354*DATOSAÑO!$Z$11)/DATOSAÑO!$Y$11</f>
        <v>0</v>
      </c>
      <c r="AC354" s="9">
        <f ca="1">DATOSAÑO!AL353</f>
        <v>0</v>
      </c>
      <c r="AD354" s="11">
        <f ca="1">(AC354*DATOSAÑO!$Z$11)/DATOSAÑO!$Y$11</f>
        <v>0</v>
      </c>
      <c r="AE354" s="9">
        <f ca="1">DATOSAÑO!CA353</f>
        <v>0</v>
      </c>
      <c r="AF354" s="11">
        <f ca="1">(AE354*DATOSAÑO!$Z$11)/DATOSAÑO!$Y$11</f>
        <v>0</v>
      </c>
      <c r="AG354" s="9">
        <f ca="1">DATOSAÑO!CB353</f>
        <v>0</v>
      </c>
      <c r="AH354" s="11">
        <f ca="1">(AG354*DATOSAÑO!$Z$11)/DATOSAÑO!$Y$11</f>
        <v>0</v>
      </c>
      <c r="AI354" s="9">
        <f ca="1">DATOSAÑO!BJ353</f>
        <v>0</v>
      </c>
      <c r="AJ354" s="11">
        <f ca="1">(AI354*DATOSAÑO!$Z$11)/DATOSAÑO!$Y$11</f>
        <v>0</v>
      </c>
      <c r="AK354" s="9">
        <f ca="1">DATOSAÑO!BM353</f>
        <v>0</v>
      </c>
      <c r="AL354" s="11">
        <f ca="1">(AK354*DATOSAÑO!$Z$11)/DATOSAÑO!$Y$11</f>
        <v>0</v>
      </c>
      <c r="AM354" s="9">
        <f ca="1">DATOSAÑO!BP353</f>
        <v>0</v>
      </c>
      <c r="AN354" s="11">
        <f ca="1">(AM354*DATOSAÑO!$Z$11)/DATOSAÑO!$Y$11</f>
        <v>0</v>
      </c>
      <c r="AO354" s="9">
        <f ca="1">DATOSAÑO!BW353</f>
        <v>0</v>
      </c>
      <c r="AP354" s="11">
        <f ca="1">(AO354*DATOSAÑO!$Z$11)/DATOSAÑO!$Y$11</f>
        <v>0</v>
      </c>
      <c r="AQ354" s="9">
        <f ca="1">DATOSAÑO!CC353</f>
        <v>0</v>
      </c>
      <c r="AR354" s="1348">
        <f ca="1">(AQ354*DATOSAÑO!$Z$11)/DATOSAÑO!$Y$11</f>
        <v>0</v>
      </c>
      <c r="AS354" s="1384">
        <f t="shared" si="17"/>
        <v>49</v>
      </c>
    </row>
    <row r="355" spans="1:45">
      <c r="A355" s="1408">
        <v>45270</v>
      </c>
      <c r="B355" s="1869">
        <v>45270</v>
      </c>
      <c r="C355" s="9">
        <f ca="1">DATOSAÑO!I354</f>
        <v>0</v>
      </c>
      <c r="D355" s="10">
        <f ca="1">DATOSAÑO!$D354</f>
        <v>0</v>
      </c>
      <c r="E355" s="11">
        <f ca="1">DATOSAÑO!$G354</f>
        <v>0</v>
      </c>
      <c r="F355" s="9">
        <f ca="1">DATOSAÑO!P354</f>
        <v>0</v>
      </c>
      <c r="G355" s="10">
        <f ca="1">DATOSAÑO!K354</f>
        <v>0</v>
      </c>
      <c r="H355" s="11">
        <f ca="1">DATOSAÑO!N354</f>
        <v>0</v>
      </c>
      <c r="I355" s="9">
        <f ca="1">DATOSAÑO!Q354</f>
        <v>0</v>
      </c>
      <c r="J355" s="11">
        <f ca="1">DATOSAÑO!R354</f>
        <v>0</v>
      </c>
      <c r="K355" s="9">
        <f ca="1">DATOSAÑO!T354</f>
        <v>0</v>
      </c>
      <c r="L355" s="11">
        <f t="shared" ca="1" si="15"/>
        <v>0</v>
      </c>
      <c r="M355" s="9"/>
      <c r="N355" s="11">
        <f t="shared" si="16"/>
        <v>0</v>
      </c>
      <c r="O355" s="9">
        <f>DATOSAÑO!CK354</f>
        <v>0</v>
      </c>
      <c r="P355" s="9">
        <f>DATOSAÑO!CL354</f>
        <v>0</v>
      </c>
      <c r="Q355" s="9">
        <f ca="1">DATOSAÑO!AD354</f>
        <v>0</v>
      </c>
      <c r="R355" s="11">
        <f ca="1">(Q355*DATOSAÑO!$Z$11)/DATOSAÑO!$Y$11</f>
        <v>0</v>
      </c>
      <c r="S355" s="9">
        <f ca="1">DATOSAÑO!AF354</f>
        <v>0</v>
      </c>
      <c r="T355" s="11">
        <f ca="1">(S355*DATOSAÑO!$Z$11)/DATOSAÑO!$Y$11</f>
        <v>0</v>
      </c>
      <c r="U355" s="9">
        <f ca="1">DATOSAÑO!AH354</f>
        <v>0</v>
      </c>
      <c r="V355" s="11">
        <f ca="1">(U355*DATOSAÑO!$Z$11)/DATOSAÑO!$Y$11</f>
        <v>0</v>
      </c>
      <c r="W355" s="9">
        <f ca="1">DATOSAÑO!AI354</f>
        <v>0</v>
      </c>
      <c r="X355" s="11">
        <f ca="1">(W355*DATOSAÑO!$Z$11)/DATOSAÑO!$Y$11</f>
        <v>0</v>
      </c>
      <c r="Y355" s="9">
        <f ca="1">DATOSAÑO!AJ354</f>
        <v>0</v>
      </c>
      <c r="Z355" s="11">
        <f ca="1">(Y355*DATOSAÑO!$Z$11)/DATOSAÑO!$Y$11</f>
        <v>0</v>
      </c>
      <c r="AA355" s="9">
        <f ca="1">DATOSAÑO!AK354</f>
        <v>0</v>
      </c>
      <c r="AB355" s="11">
        <f ca="1">(AA355*DATOSAÑO!$Z$11)/DATOSAÑO!$Y$11</f>
        <v>0</v>
      </c>
      <c r="AC355" s="9">
        <f ca="1">DATOSAÑO!AL354</f>
        <v>0</v>
      </c>
      <c r="AD355" s="11">
        <f ca="1">(AC355*DATOSAÑO!$Z$11)/DATOSAÑO!$Y$11</f>
        <v>0</v>
      </c>
      <c r="AE355" s="9">
        <f ca="1">DATOSAÑO!CA354</f>
        <v>0</v>
      </c>
      <c r="AF355" s="11">
        <f ca="1">(AE355*DATOSAÑO!$Z$11)/DATOSAÑO!$Y$11</f>
        <v>0</v>
      </c>
      <c r="AG355" s="9">
        <f ca="1">DATOSAÑO!CB354</f>
        <v>0</v>
      </c>
      <c r="AH355" s="11">
        <f ca="1">(AG355*DATOSAÑO!$Z$11)/DATOSAÑO!$Y$11</f>
        <v>0</v>
      </c>
      <c r="AI355" s="9">
        <f ca="1">DATOSAÑO!BJ354</f>
        <v>0</v>
      </c>
      <c r="AJ355" s="11">
        <f ca="1">(AI355*DATOSAÑO!$Z$11)/DATOSAÑO!$Y$11</f>
        <v>0</v>
      </c>
      <c r="AK355" s="9">
        <f ca="1">DATOSAÑO!BM354</f>
        <v>0</v>
      </c>
      <c r="AL355" s="11">
        <f ca="1">(AK355*DATOSAÑO!$Z$11)/DATOSAÑO!$Y$11</f>
        <v>0</v>
      </c>
      <c r="AM355" s="9">
        <f ca="1">DATOSAÑO!BP354</f>
        <v>0</v>
      </c>
      <c r="AN355" s="11">
        <f ca="1">(AM355*DATOSAÑO!$Z$11)/DATOSAÑO!$Y$11</f>
        <v>0</v>
      </c>
      <c r="AO355" s="9">
        <f ca="1">DATOSAÑO!BW354</f>
        <v>0</v>
      </c>
      <c r="AP355" s="11">
        <f ca="1">(AO355*DATOSAÑO!$Z$11)/DATOSAÑO!$Y$11</f>
        <v>0</v>
      </c>
      <c r="AQ355" s="9">
        <f ca="1">DATOSAÑO!CC354</f>
        <v>0</v>
      </c>
      <c r="AR355" s="1348">
        <f ca="1">(AQ355*DATOSAÑO!$Z$11)/DATOSAÑO!$Y$11</f>
        <v>0</v>
      </c>
      <c r="AS355" s="1384">
        <f t="shared" si="17"/>
        <v>50</v>
      </c>
    </row>
    <row r="356" spans="1:45">
      <c r="A356" s="1408">
        <v>45271</v>
      </c>
      <c r="B356" s="1869">
        <v>45271</v>
      </c>
      <c r="C356" s="9">
        <f ca="1">DATOSAÑO!I355</f>
        <v>0</v>
      </c>
      <c r="D356" s="10">
        <f ca="1">DATOSAÑO!$D355</f>
        <v>0</v>
      </c>
      <c r="E356" s="11">
        <f ca="1">DATOSAÑO!$G355</f>
        <v>0</v>
      </c>
      <c r="F356" s="9">
        <f ca="1">DATOSAÑO!P355</f>
        <v>0</v>
      </c>
      <c r="G356" s="10">
        <f ca="1">DATOSAÑO!K355</f>
        <v>0</v>
      </c>
      <c r="H356" s="11">
        <f ca="1">DATOSAÑO!N355</f>
        <v>0</v>
      </c>
      <c r="I356" s="9">
        <f ca="1">DATOSAÑO!Q355</f>
        <v>0</v>
      </c>
      <c r="J356" s="11">
        <f ca="1">DATOSAÑO!R355</f>
        <v>0</v>
      </c>
      <c r="K356" s="9">
        <f ca="1">DATOSAÑO!T355</f>
        <v>0</v>
      </c>
      <c r="L356" s="11">
        <f t="shared" ca="1" si="15"/>
        <v>0</v>
      </c>
      <c r="M356" s="9"/>
      <c r="N356" s="11">
        <f t="shared" si="16"/>
        <v>0</v>
      </c>
      <c r="O356" s="9">
        <f>DATOSAÑO!CK355</f>
        <v>0</v>
      </c>
      <c r="P356" s="9">
        <f>DATOSAÑO!CL355</f>
        <v>0</v>
      </c>
      <c r="Q356" s="9">
        <f ca="1">DATOSAÑO!AD355</f>
        <v>0</v>
      </c>
      <c r="R356" s="11">
        <f ca="1">(Q356*DATOSAÑO!$Z$11)/DATOSAÑO!$Y$11</f>
        <v>0</v>
      </c>
      <c r="S356" s="9">
        <f ca="1">DATOSAÑO!AF355</f>
        <v>0</v>
      </c>
      <c r="T356" s="11">
        <f ca="1">(S356*DATOSAÑO!$Z$11)/DATOSAÑO!$Y$11</f>
        <v>0</v>
      </c>
      <c r="U356" s="9">
        <f ca="1">DATOSAÑO!AH355</f>
        <v>0</v>
      </c>
      <c r="V356" s="11">
        <f ca="1">(U356*DATOSAÑO!$Z$11)/DATOSAÑO!$Y$11</f>
        <v>0</v>
      </c>
      <c r="W356" s="9">
        <f ca="1">DATOSAÑO!AI355</f>
        <v>0</v>
      </c>
      <c r="X356" s="11">
        <f ca="1">(W356*DATOSAÑO!$Z$11)/DATOSAÑO!$Y$11</f>
        <v>0</v>
      </c>
      <c r="Y356" s="9">
        <f ca="1">DATOSAÑO!AJ355</f>
        <v>0</v>
      </c>
      <c r="Z356" s="11">
        <f ca="1">(Y356*DATOSAÑO!$Z$11)/DATOSAÑO!$Y$11</f>
        <v>0</v>
      </c>
      <c r="AA356" s="9">
        <f ca="1">DATOSAÑO!AK355</f>
        <v>0</v>
      </c>
      <c r="AB356" s="11">
        <f ca="1">(AA356*DATOSAÑO!$Z$11)/DATOSAÑO!$Y$11</f>
        <v>0</v>
      </c>
      <c r="AC356" s="9">
        <f ca="1">DATOSAÑO!AL355</f>
        <v>0</v>
      </c>
      <c r="AD356" s="11">
        <f ca="1">(AC356*DATOSAÑO!$Z$11)/DATOSAÑO!$Y$11</f>
        <v>0</v>
      </c>
      <c r="AE356" s="9">
        <f ca="1">DATOSAÑO!CA355</f>
        <v>0</v>
      </c>
      <c r="AF356" s="11">
        <f ca="1">(AE356*DATOSAÑO!$Z$11)/DATOSAÑO!$Y$11</f>
        <v>0</v>
      </c>
      <c r="AG356" s="9">
        <f ca="1">DATOSAÑO!CB355</f>
        <v>0</v>
      </c>
      <c r="AH356" s="11">
        <f ca="1">(AG356*DATOSAÑO!$Z$11)/DATOSAÑO!$Y$11</f>
        <v>0</v>
      </c>
      <c r="AI356" s="9">
        <f ca="1">DATOSAÑO!BJ355</f>
        <v>0</v>
      </c>
      <c r="AJ356" s="11">
        <f ca="1">(AI356*DATOSAÑO!$Z$11)/DATOSAÑO!$Y$11</f>
        <v>0</v>
      </c>
      <c r="AK356" s="9">
        <f ca="1">DATOSAÑO!BM355</f>
        <v>0</v>
      </c>
      <c r="AL356" s="11">
        <f ca="1">(AK356*DATOSAÑO!$Z$11)/DATOSAÑO!$Y$11</f>
        <v>0</v>
      </c>
      <c r="AM356" s="9">
        <f ca="1">DATOSAÑO!BP355</f>
        <v>0</v>
      </c>
      <c r="AN356" s="11">
        <f ca="1">(AM356*DATOSAÑO!$Z$11)/DATOSAÑO!$Y$11</f>
        <v>0</v>
      </c>
      <c r="AO356" s="9">
        <f ca="1">DATOSAÑO!BW355</f>
        <v>0</v>
      </c>
      <c r="AP356" s="11">
        <f ca="1">(AO356*DATOSAÑO!$Z$11)/DATOSAÑO!$Y$11</f>
        <v>0</v>
      </c>
      <c r="AQ356" s="9">
        <f ca="1">DATOSAÑO!CC355</f>
        <v>0</v>
      </c>
      <c r="AR356" s="1348">
        <f ca="1">(AQ356*DATOSAÑO!$Z$11)/DATOSAÑO!$Y$11</f>
        <v>0</v>
      </c>
      <c r="AS356" s="1384">
        <f t="shared" si="17"/>
        <v>50</v>
      </c>
    </row>
    <row r="357" spans="1:45">
      <c r="A357" s="1408">
        <v>45272</v>
      </c>
      <c r="B357" s="1869">
        <v>45272</v>
      </c>
      <c r="C357" s="9">
        <f ca="1">DATOSAÑO!I356</f>
        <v>0</v>
      </c>
      <c r="D357" s="10">
        <f ca="1">DATOSAÑO!$D356</f>
        <v>0</v>
      </c>
      <c r="E357" s="11">
        <f ca="1">DATOSAÑO!$G356</f>
        <v>0</v>
      </c>
      <c r="F357" s="9">
        <f ca="1">DATOSAÑO!P356</f>
        <v>0</v>
      </c>
      <c r="G357" s="10">
        <f ca="1">DATOSAÑO!K356</f>
        <v>0</v>
      </c>
      <c r="H357" s="11">
        <f ca="1">DATOSAÑO!N356</f>
        <v>0</v>
      </c>
      <c r="I357" s="9">
        <f ca="1">DATOSAÑO!Q356</f>
        <v>0</v>
      </c>
      <c r="J357" s="11">
        <f ca="1">DATOSAÑO!R356</f>
        <v>0</v>
      </c>
      <c r="K357" s="9">
        <f ca="1">DATOSAÑO!T356</f>
        <v>0</v>
      </c>
      <c r="L357" s="11">
        <f t="shared" ca="1" si="15"/>
        <v>0</v>
      </c>
      <c r="M357" s="9"/>
      <c r="N357" s="11">
        <f t="shared" si="16"/>
        <v>0</v>
      </c>
      <c r="O357" s="9">
        <f>DATOSAÑO!CK356</f>
        <v>0</v>
      </c>
      <c r="P357" s="9">
        <f>DATOSAÑO!CL356</f>
        <v>0</v>
      </c>
      <c r="Q357" s="9">
        <f ca="1">DATOSAÑO!AD356</f>
        <v>0</v>
      </c>
      <c r="R357" s="11">
        <f ca="1">(Q357*DATOSAÑO!$Z$11)/DATOSAÑO!$Y$11</f>
        <v>0</v>
      </c>
      <c r="S357" s="9">
        <f ca="1">DATOSAÑO!AF356</f>
        <v>0</v>
      </c>
      <c r="T357" s="11">
        <f ca="1">(S357*DATOSAÑO!$Z$11)/DATOSAÑO!$Y$11</f>
        <v>0</v>
      </c>
      <c r="U357" s="9">
        <f ca="1">DATOSAÑO!AH356</f>
        <v>0</v>
      </c>
      <c r="V357" s="11">
        <f ca="1">(U357*DATOSAÑO!$Z$11)/DATOSAÑO!$Y$11</f>
        <v>0</v>
      </c>
      <c r="W357" s="9">
        <f ca="1">DATOSAÑO!AI356</f>
        <v>0</v>
      </c>
      <c r="X357" s="11">
        <f ca="1">(W357*DATOSAÑO!$Z$11)/DATOSAÑO!$Y$11</f>
        <v>0</v>
      </c>
      <c r="Y357" s="9">
        <f ca="1">DATOSAÑO!AJ356</f>
        <v>0</v>
      </c>
      <c r="Z357" s="11">
        <f ca="1">(Y357*DATOSAÑO!$Z$11)/DATOSAÑO!$Y$11</f>
        <v>0</v>
      </c>
      <c r="AA357" s="9">
        <f ca="1">DATOSAÑO!AK356</f>
        <v>0</v>
      </c>
      <c r="AB357" s="11">
        <f ca="1">(AA357*DATOSAÑO!$Z$11)/DATOSAÑO!$Y$11</f>
        <v>0</v>
      </c>
      <c r="AC357" s="9">
        <f ca="1">DATOSAÑO!AL356</f>
        <v>0</v>
      </c>
      <c r="AD357" s="11">
        <f ca="1">(AC357*DATOSAÑO!$Z$11)/DATOSAÑO!$Y$11</f>
        <v>0</v>
      </c>
      <c r="AE357" s="9">
        <f ca="1">DATOSAÑO!CA356</f>
        <v>0</v>
      </c>
      <c r="AF357" s="11">
        <f ca="1">(AE357*DATOSAÑO!$Z$11)/DATOSAÑO!$Y$11</f>
        <v>0</v>
      </c>
      <c r="AG357" s="9">
        <f ca="1">DATOSAÑO!CB356</f>
        <v>0</v>
      </c>
      <c r="AH357" s="11">
        <f ca="1">(AG357*DATOSAÑO!$Z$11)/DATOSAÑO!$Y$11</f>
        <v>0</v>
      </c>
      <c r="AI357" s="9">
        <f ca="1">DATOSAÑO!BJ356</f>
        <v>0</v>
      </c>
      <c r="AJ357" s="11">
        <f ca="1">(AI357*DATOSAÑO!$Z$11)/DATOSAÑO!$Y$11</f>
        <v>0</v>
      </c>
      <c r="AK357" s="9">
        <f ca="1">DATOSAÑO!BM356</f>
        <v>0</v>
      </c>
      <c r="AL357" s="11">
        <f ca="1">(AK357*DATOSAÑO!$Z$11)/DATOSAÑO!$Y$11</f>
        <v>0</v>
      </c>
      <c r="AM357" s="9">
        <f ca="1">DATOSAÑO!BP356</f>
        <v>0</v>
      </c>
      <c r="AN357" s="11">
        <f ca="1">(AM357*DATOSAÑO!$Z$11)/DATOSAÑO!$Y$11</f>
        <v>0</v>
      </c>
      <c r="AO357" s="9">
        <f ca="1">DATOSAÑO!BW356</f>
        <v>0</v>
      </c>
      <c r="AP357" s="11">
        <f ca="1">(AO357*DATOSAÑO!$Z$11)/DATOSAÑO!$Y$11</f>
        <v>0</v>
      </c>
      <c r="AQ357" s="9">
        <f ca="1">DATOSAÑO!CC356</f>
        <v>0</v>
      </c>
      <c r="AR357" s="1348">
        <f ca="1">(AQ357*DATOSAÑO!$Z$11)/DATOSAÑO!$Y$11</f>
        <v>0</v>
      </c>
      <c r="AS357" s="1384">
        <f t="shared" si="17"/>
        <v>50</v>
      </c>
    </row>
    <row r="358" spans="1:45">
      <c r="A358" s="1408">
        <v>45273</v>
      </c>
      <c r="B358" s="1869">
        <v>45273</v>
      </c>
      <c r="C358" s="9">
        <f ca="1">DATOSAÑO!I357</f>
        <v>0</v>
      </c>
      <c r="D358" s="10">
        <f ca="1">DATOSAÑO!$D357</f>
        <v>0</v>
      </c>
      <c r="E358" s="11">
        <f ca="1">DATOSAÑO!$G357</f>
        <v>0</v>
      </c>
      <c r="F358" s="9">
        <f ca="1">DATOSAÑO!P357</f>
        <v>0</v>
      </c>
      <c r="G358" s="10">
        <f ca="1">DATOSAÑO!K357</f>
        <v>0</v>
      </c>
      <c r="H358" s="11">
        <f ca="1">DATOSAÑO!N357</f>
        <v>0</v>
      </c>
      <c r="I358" s="9">
        <f ca="1">DATOSAÑO!Q357</f>
        <v>0</v>
      </c>
      <c r="J358" s="11">
        <f ca="1">DATOSAÑO!R357</f>
        <v>0</v>
      </c>
      <c r="K358" s="9">
        <f ca="1">DATOSAÑO!T357</f>
        <v>0</v>
      </c>
      <c r="L358" s="11">
        <f t="shared" ca="1" si="15"/>
        <v>0</v>
      </c>
      <c r="M358" s="9"/>
      <c r="N358" s="11">
        <f t="shared" si="16"/>
        <v>0</v>
      </c>
      <c r="O358" s="9">
        <f>DATOSAÑO!CK357</f>
        <v>0</v>
      </c>
      <c r="P358" s="9">
        <f>DATOSAÑO!CL357</f>
        <v>0</v>
      </c>
      <c r="Q358" s="9">
        <f ca="1">DATOSAÑO!AD357</f>
        <v>0</v>
      </c>
      <c r="R358" s="11">
        <f ca="1">(Q358*DATOSAÑO!$Z$11)/DATOSAÑO!$Y$11</f>
        <v>0</v>
      </c>
      <c r="S358" s="9">
        <f ca="1">DATOSAÑO!AF357</f>
        <v>0</v>
      </c>
      <c r="T358" s="11">
        <f ca="1">(S358*DATOSAÑO!$Z$11)/DATOSAÑO!$Y$11</f>
        <v>0</v>
      </c>
      <c r="U358" s="9">
        <f ca="1">DATOSAÑO!AH357</f>
        <v>0</v>
      </c>
      <c r="V358" s="11">
        <f ca="1">(U358*DATOSAÑO!$Z$11)/DATOSAÑO!$Y$11</f>
        <v>0</v>
      </c>
      <c r="W358" s="9">
        <f ca="1">DATOSAÑO!AI357</f>
        <v>0</v>
      </c>
      <c r="X358" s="11">
        <f ca="1">(W358*DATOSAÑO!$Z$11)/DATOSAÑO!$Y$11</f>
        <v>0</v>
      </c>
      <c r="Y358" s="9">
        <f ca="1">DATOSAÑO!AJ357</f>
        <v>0</v>
      </c>
      <c r="Z358" s="11">
        <f ca="1">(Y358*DATOSAÑO!$Z$11)/DATOSAÑO!$Y$11</f>
        <v>0</v>
      </c>
      <c r="AA358" s="9">
        <f ca="1">DATOSAÑO!AK357</f>
        <v>0</v>
      </c>
      <c r="AB358" s="11">
        <f ca="1">(AA358*DATOSAÑO!$Z$11)/DATOSAÑO!$Y$11</f>
        <v>0</v>
      </c>
      <c r="AC358" s="9">
        <f ca="1">DATOSAÑO!AL357</f>
        <v>0</v>
      </c>
      <c r="AD358" s="11">
        <f ca="1">(AC358*DATOSAÑO!$Z$11)/DATOSAÑO!$Y$11</f>
        <v>0</v>
      </c>
      <c r="AE358" s="9">
        <f ca="1">DATOSAÑO!CA357</f>
        <v>0</v>
      </c>
      <c r="AF358" s="11">
        <f ca="1">(AE358*DATOSAÑO!$Z$11)/DATOSAÑO!$Y$11</f>
        <v>0</v>
      </c>
      <c r="AG358" s="9">
        <f ca="1">DATOSAÑO!CB357</f>
        <v>0</v>
      </c>
      <c r="AH358" s="11">
        <f ca="1">(AG358*DATOSAÑO!$Z$11)/DATOSAÑO!$Y$11</f>
        <v>0</v>
      </c>
      <c r="AI358" s="9">
        <f ca="1">DATOSAÑO!BJ357</f>
        <v>0</v>
      </c>
      <c r="AJ358" s="11">
        <f ca="1">(AI358*DATOSAÑO!$Z$11)/DATOSAÑO!$Y$11</f>
        <v>0</v>
      </c>
      <c r="AK358" s="9">
        <f ca="1">DATOSAÑO!BM357</f>
        <v>0</v>
      </c>
      <c r="AL358" s="11">
        <f ca="1">(AK358*DATOSAÑO!$Z$11)/DATOSAÑO!$Y$11</f>
        <v>0</v>
      </c>
      <c r="AM358" s="9">
        <f ca="1">DATOSAÑO!BP357</f>
        <v>0</v>
      </c>
      <c r="AN358" s="11">
        <f ca="1">(AM358*DATOSAÑO!$Z$11)/DATOSAÑO!$Y$11</f>
        <v>0</v>
      </c>
      <c r="AO358" s="9">
        <f ca="1">DATOSAÑO!BW357</f>
        <v>0</v>
      </c>
      <c r="AP358" s="11">
        <f ca="1">(AO358*DATOSAÑO!$Z$11)/DATOSAÑO!$Y$11</f>
        <v>0</v>
      </c>
      <c r="AQ358" s="9">
        <f ca="1">DATOSAÑO!CC357</f>
        <v>0</v>
      </c>
      <c r="AR358" s="1348">
        <f ca="1">(AQ358*DATOSAÑO!$Z$11)/DATOSAÑO!$Y$11</f>
        <v>0</v>
      </c>
      <c r="AS358" s="1384">
        <f t="shared" si="17"/>
        <v>50</v>
      </c>
    </row>
    <row r="359" spans="1:45">
      <c r="A359" s="1408">
        <v>45274</v>
      </c>
      <c r="B359" s="1869">
        <v>45274</v>
      </c>
      <c r="C359" s="9">
        <f ca="1">DATOSAÑO!I358</f>
        <v>0</v>
      </c>
      <c r="D359" s="10">
        <f ca="1">DATOSAÑO!$D358</f>
        <v>0</v>
      </c>
      <c r="E359" s="11">
        <f ca="1">DATOSAÑO!$G358</f>
        <v>0</v>
      </c>
      <c r="F359" s="9">
        <f ca="1">DATOSAÑO!P358</f>
        <v>0</v>
      </c>
      <c r="G359" s="10">
        <f ca="1">DATOSAÑO!K358</f>
        <v>0</v>
      </c>
      <c r="H359" s="11">
        <f ca="1">DATOSAÑO!N358</f>
        <v>0</v>
      </c>
      <c r="I359" s="9">
        <f ca="1">DATOSAÑO!Q358</f>
        <v>0</v>
      </c>
      <c r="J359" s="11">
        <f ca="1">DATOSAÑO!R358</f>
        <v>0</v>
      </c>
      <c r="K359" s="9">
        <f ca="1">DATOSAÑO!T358</f>
        <v>0</v>
      </c>
      <c r="L359" s="11">
        <f t="shared" ca="1" si="15"/>
        <v>0</v>
      </c>
      <c r="M359" s="9"/>
      <c r="N359" s="11">
        <f t="shared" si="16"/>
        <v>0</v>
      </c>
      <c r="O359" s="9">
        <f>DATOSAÑO!CK358</f>
        <v>0</v>
      </c>
      <c r="P359" s="9">
        <f>DATOSAÑO!CL358</f>
        <v>0</v>
      </c>
      <c r="Q359" s="9">
        <f ca="1">DATOSAÑO!AD358</f>
        <v>0</v>
      </c>
      <c r="R359" s="11">
        <f ca="1">(Q359*DATOSAÑO!$Z$11)/DATOSAÑO!$Y$11</f>
        <v>0</v>
      </c>
      <c r="S359" s="9">
        <f ca="1">DATOSAÑO!AF358</f>
        <v>0</v>
      </c>
      <c r="T359" s="11">
        <f ca="1">(S359*DATOSAÑO!$Z$11)/DATOSAÑO!$Y$11</f>
        <v>0</v>
      </c>
      <c r="U359" s="9">
        <f ca="1">DATOSAÑO!AH358</f>
        <v>0</v>
      </c>
      <c r="V359" s="11">
        <f ca="1">(U359*DATOSAÑO!$Z$11)/DATOSAÑO!$Y$11</f>
        <v>0</v>
      </c>
      <c r="W359" s="9">
        <f ca="1">DATOSAÑO!AI358</f>
        <v>0</v>
      </c>
      <c r="X359" s="11">
        <f ca="1">(W359*DATOSAÑO!$Z$11)/DATOSAÑO!$Y$11</f>
        <v>0</v>
      </c>
      <c r="Y359" s="9">
        <f ca="1">DATOSAÑO!AJ358</f>
        <v>0</v>
      </c>
      <c r="Z359" s="11">
        <f ca="1">(Y359*DATOSAÑO!$Z$11)/DATOSAÑO!$Y$11</f>
        <v>0</v>
      </c>
      <c r="AA359" s="9">
        <f ca="1">DATOSAÑO!AK358</f>
        <v>0</v>
      </c>
      <c r="AB359" s="11">
        <f ca="1">(AA359*DATOSAÑO!$Z$11)/DATOSAÑO!$Y$11</f>
        <v>0</v>
      </c>
      <c r="AC359" s="9">
        <f ca="1">DATOSAÑO!AL358</f>
        <v>0</v>
      </c>
      <c r="AD359" s="11">
        <f ca="1">(AC359*DATOSAÑO!$Z$11)/DATOSAÑO!$Y$11</f>
        <v>0</v>
      </c>
      <c r="AE359" s="9">
        <f ca="1">DATOSAÑO!CA358</f>
        <v>0</v>
      </c>
      <c r="AF359" s="11">
        <f ca="1">(AE359*DATOSAÑO!$Z$11)/DATOSAÑO!$Y$11</f>
        <v>0</v>
      </c>
      <c r="AG359" s="9">
        <f ca="1">DATOSAÑO!CB358</f>
        <v>0</v>
      </c>
      <c r="AH359" s="11">
        <f ca="1">(AG359*DATOSAÑO!$Z$11)/DATOSAÑO!$Y$11</f>
        <v>0</v>
      </c>
      <c r="AI359" s="9">
        <f ca="1">DATOSAÑO!BJ358</f>
        <v>0</v>
      </c>
      <c r="AJ359" s="11">
        <f ca="1">(AI359*DATOSAÑO!$Z$11)/DATOSAÑO!$Y$11</f>
        <v>0</v>
      </c>
      <c r="AK359" s="9">
        <f ca="1">DATOSAÑO!BM358</f>
        <v>0</v>
      </c>
      <c r="AL359" s="11">
        <f ca="1">(AK359*DATOSAÑO!$Z$11)/DATOSAÑO!$Y$11</f>
        <v>0</v>
      </c>
      <c r="AM359" s="9">
        <f ca="1">DATOSAÑO!BP358</f>
        <v>0</v>
      </c>
      <c r="AN359" s="11">
        <f ca="1">(AM359*DATOSAÑO!$Z$11)/DATOSAÑO!$Y$11</f>
        <v>0</v>
      </c>
      <c r="AO359" s="9">
        <f ca="1">DATOSAÑO!BW358</f>
        <v>0</v>
      </c>
      <c r="AP359" s="11">
        <f ca="1">(AO359*DATOSAÑO!$Z$11)/DATOSAÑO!$Y$11</f>
        <v>0</v>
      </c>
      <c r="AQ359" s="9">
        <f ca="1">DATOSAÑO!CC358</f>
        <v>0</v>
      </c>
      <c r="AR359" s="1348">
        <f ca="1">(AQ359*DATOSAÑO!$Z$11)/DATOSAÑO!$Y$11</f>
        <v>0</v>
      </c>
      <c r="AS359" s="1384">
        <f t="shared" si="17"/>
        <v>50</v>
      </c>
    </row>
    <row r="360" spans="1:45">
      <c r="A360" s="1408">
        <v>45275</v>
      </c>
      <c r="B360" s="1869">
        <v>45275</v>
      </c>
      <c r="C360" s="9">
        <f ca="1">DATOSAÑO!I359</f>
        <v>0</v>
      </c>
      <c r="D360" s="10">
        <f ca="1">DATOSAÑO!$D359</f>
        <v>0</v>
      </c>
      <c r="E360" s="11">
        <f ca="1">DATOSAÑO!$G359</f>
        <v>0</v>
      </c>
      <c r="F360" s="9">
        <f ca="1">DATOSAÑO!P359</f>
        <v>0</v>
      </c>
      <c r="G360" s="10">
        <f ca="1">DATOSAÑO!K359</f>
        <v>0</v>
      </c>
      <c r="H360" s="11">
        <f ca="1">DATOSAÑO!N359</f>
        <v>0</v>
      </c>
      <c r="I360" s="9">
        <f ca="1">DATOSAÑO!Q359</f>
        <v>0</v>
      </c>
      <c r="J360" s="11">
        <f ca="1">DATOSAÑO!R359</f>
        <v>0</v>
      </c>
      <c r="K360" s="9">
        <f ca="1">DATOSAÑO!T359</f>
        <v>0</v>
      </c>
      <c r="L360" s="11">
        <f t="shared" ca="1" si="15"/>
        <v>0</v>
      </c>
      <c r="M360" s="9"/>
      <c r="N360" s="11">
        <f t="shared" si="16"/>
        <v>0</v>
      </c>
      <c r="O360" s="9">
        <f>DATOSAÑO!CK359</f>
        <v>0</v>
      </c>
      <c r="P360" s="9">
        <f>DATOSAÑO!CL359</f>
        <v>0</v>
      </c>
      <c r="Q360" s="9">
        <f ca="1">DATOSAÑO!AD359</f>
        <v>0</v>
      </c>
      <c r="R360" s="11">
        <f ca="1">(Q360*DATOSAÑO!$Z$11)/DATOSAÑO!$Y$11</f>
        <v>0</v>
      </c>
      <c r="S360" s="9">
        <f ca="1">DATOSAÑO!AF359</f>
        <v>0</v>
      </c>
      <c r="T360" s="11">
        <f ca="1">(S360*DATOSAÑO!$Z$11)/DATOSAÑO!$Y$11</f>
        <v>0</v>
      </c>
      <c r="U360" s="9">
        <f ca="1">DATOSAÑO!AH359</f>
        <v>0</v>
      </c>
      <c r="V360" s="11">
        <f ca="1">(U360*DATOSAÑO!$Z$11)/DATOSAÑO!$Y$11</f>
        <v>0</v>
      </c>
      <c r="W360" s="9">
        <f ca="1">DATOSAÑO!AI359</f>
        <v>0</v>
      </c>
      <c r="X360" s="11">
        <f ca="1">(W360*DATOSAÑO!$Z$11)/DATOSAÑO!$Y$11</f>
        <v>0</v>
      </c>
      <c r="Y360" s="9">
        <f ca="1">DATOSAÑO!AJ359</f>
        <v>0</v>
      </c>
      <c r="Z360" s="11">
        <f ca="1">(Y360*DATOSAÑO!$Z$11)/DATOSAÑO!$Y$11</f>
        <v>0</v>
      </c>
      <c r="AA360" s="9">
        <f ca="1">DATOSAÑO!AK359</f>
        <v>0</v>
      </c>
      <c r="AB360" s="11">
        <f ca="1">(AA360*DATOSAÑO!$Z$11)/DATOSAÑO!$Y$11</f>
        <v>0</v>
      </c>
      <c r="AC360" s="9">
        <f ca="1">DATOSAÑO!AL359</f>
        <v>0</v>
      </c>
      <c r="AD360" s="11">
        <f ca="1">(AC360*DATOSAÑO!$Z$11)/DATOSAÑO!$Y$11</f>
        <v>0</v>
      </c>
      <c r="AE360" s="9">
        <f ca="1">DATOSAÑO!CA359</f>
        <v>0</v>
      </c>
      <c r="AF360" s="11">
        <f ca="1">(AE360*DATOSAÑO!$Z$11)/DATOSAÑO!$Y$11</f>
        <v>0</v>
      </c>
      <c r="AG360" s="9">
        <f ca="1">DATOSAÑO!CB359</f>
        <v>0</v>
      </c>
      <c r="AH360" s="11">
        <f ca="1">(AG360*DATOSAÑO!$Z$11)/DATOSAÑO!$Y$11</f>
        <v>0</v>
      </c>
      <c r="AI360" s="9">
        <f ca="1">DATOSAÑO!BJ359</f>
        <v>0</v>
      </c>
      <c r="AJ360" s="11">
        <f ca="1">(AI360*DATOSAÑO!$Z$11)/DATOSAÑO!$Y$11</f>
        <v>0</v>
      </c>
      <c r="AK360" s="9">
        <f ca="1">DATOSAÑO!BM359</f>
        <v>0</v>
      </c>
      <c r="AL360" s="11">
        <f ca="1">(AK360*DATOSAÑO!$Z$11)/DATOSAÑO!$Y$11</f>
        <v>0</v>
      </c>
      <c r="AM360" s="9">
        <f ca="1">DATOSAÑO!BP359</f>
        <v>0</v>
      </c>
      <c r="AN360" s="11">
        <f ca="1">(AM360*DATOSAÑO!$Z$11)/DATOSAÑO!$Y$11</f>
        <v>0</v>
      </c>
      <c r="AO360" s="9">
        <f ca="1">DATOSAÑO!BW359</f>
        <v>0</v>
      </c>
      <c r="AP360" s="11">
        <f ca="1">(AO360*DATOSAÑO!$Z$11)/DATOSAÑO!$Y$11</f>
        <v>0</v>
      </c>
      <c r="AQ360" s="9">
        <f ca="1">DATOSAÑO!CC359</f>
        <v>0</v>
      </c>
      <c r="AR360" s="1348">
        <f ca="1">(AQ360*DATOSAÑO!$Z$11)/DATOSAÑO!$Y$11</f>
        <v>0</v>
      </c>
      <c r="AS360" s="1384">
        <f t="shared" si="17"/>
        <v>50</v>
      </c>
    </row>
    <row r="361" spans="1:45">
      <c r="A361" s="1408">
        <v>45276</v>
      </c>
      <c r="B361" s="1869">
        <v>45276</v>
      </c>
      <c r="C361" s="9">
        <f ca="1">DATOSAÑO!I360</f>
        <v>0</v>
      </c>
      <c r="D361" s="10">
        <f ca="1">DATOSAÑO!$D360</f>
        <v>0</v>
      </c>
      <c r="E361" s="11">
        <f ca="1">DATOSAÑO!$G360</f>
        <v>0</v>
      </c>
      <c r="F361" s="9">
        <f ca="1">DATOSAÑO!P360</f>
        <v>0</v>
      </c>
      <c r="G361" s="10">
        <f ca="1">DATOSAÑO!K360</f>
        <v>0</v>
      </c>
      <c r="H361" s="11">
        <f ca="1">DATOSAÑO!N360</f>
        <v>0</v>
      </c>
      <c r="I361" s="9">
        <f ca="1">DATOSAÑO!Q360</f>
        <v>0</v>
      </c>
      <c r="J361" s="11">
        <f ca="1">DATOSAÑO!R360</f>
        <v>0</v>
      </c>
      <c r="K361" s="9">
        <f ca="1">DATOSAÑO!T360</f>
        <v>0</v>
      </c>
      <c r="L361" s="11">
        <f t="shared" ca="1" si="15"/>
        <v>0</v>
      </c>
      <c r="M361" s="9"/>
      <c r="N361" s="11">
        <f t="shared" si="16"/>
        <v>0</v>
      </c>
      <c r="O361" s="9">
        <f>DATOSAÑO!CK360</f>
        <v>0</v>
      </c>
      <c r="P361" s="9">
        <f>DATOSAÑO!CL360</f>
        <v>0</v>
      </c>
      <c r="Q361" s="9">
        <f ca="1">DATOSAÑO!AD360</f>
        <v>0</v>
      </c>
      <c r="R361" s="11">
        <f ca="1">(Q361*DATOSAÑO!$Z$11)/DATOSAÑO!$Y$11</f>
        <v>0</v>
      </c>
      <c r="S361" s="9">
        <f ca="1">DATOSAÑO!AF360</f>
        <v>0</v>
      </c>
      <c r="T361" s="11">
        <f ca="1">(S361*DATOSAÑO!$Z$11)/DATOSAÑO!$Y$11</f>
        <v>0</v>
      </c>
      <c r="U361" s="9">
        <f ca="1">DATOSAÑO!AH360</f>
        <v>0</v>
      </c>
      <c r="V361" s="11">
        <f ca="1">(U361*DATOSAÑO!$Z$11)/DATOSAÑO!$Y$11</f>
        <v>0</v>
      </c>
      <c r="W361" s="9">
        <f ca="1">DATOSAÑO!AI360</f>
        <v>0</v>
      </c>
      <c r="X361" s="11">
        <f ca="1">(W361*DATOSAÑO!$Z$11)/DATOSAÑO!$Y$11</f>
        <v>0</v>
      </c>
      <c r="Y361" s="9">
        <f ca="1">DATOSAÑO!AJ360</f>
        <v>0</v>
      </c>
      <c r="Z361" s="11">
        <f ca="1">(Y361*DATOSAÑO!$Z$11)/DATOSAÑO!$Y$11</f>
        <v>0</v>
      </c>
      <c r="AA361" s="9">
        <f ca="1">DATOSAÑO!AK360</f>
        <v>0</v>
      </c>
      <c r="AB361" s="11">
        <f ca="1">(AA361*DATOSAÑO!$Z$11)/DATOSAÑO!$Y$11</f>
        <v>0</v>
      </c>
      <c r="AC361" s="9">
        <f ca="1">DATOSAÑO!AL360</f>
        <v>0</v>
      </c>
      <c r="AD361" s="11">
        <f ca="1">(AC361*DATOSAÑO!$Z$11)/DATOSAÑO!$Y$11</f>
        <v>0</v>
      </c>
      <c r="AE361" s="9">
        <f ca="1">DATOSAÑO!CA360</f>
        <v>0</v>
      </c>
      <c r="AF361" s="11">
        <f ca="1">(AE361*DATOSAÑO!$Z$11)/DATOSAÑO!$Y$11</f>
        <v>0</v>
      </c>
      <c r="AG361" s="9">
        <f ca="1">DATOSAÑO!CB360</f>
        <v>0</v>
      </c>
      <c r="AH361" s="11">
        <f ca="1">(AG361*DATOSAÑO!$Z$11)/DATOSAÑO!$Y$11</f>
        <v>0</v>
      </c>
      <c r="AI361" s="9">
        <f ca="1">DATOSAÑO!BJ360</f>
        <v>0</v>
      </c>
      <c r="AJ361" s="11">
        <f ca="1">(AI361*DATOSAÑO!$Z$11)/DATOSAÑO!$Y$11</f>
        <v>0</v>
      </c>
      <c r="AK361" s="9">
        <f ca="1">DATOSAÑO!BM360</f>
        <v>0</v>
      </c>
      <c r="AL361" s="11">
        <f ca="1">(AK361*DATOSAÑO!$Z$11)/DATOSAÑO!$Y$11</f>
        <v>0</v>
      </c>
      <c r="AM361" s="9">
        <f ca="1">DATOSAÑO!BP360</f>
        <v>0</v>
      </c>
      <c r="AN361" s="11">
        <f ca="1">(AM361*DATOSAÑO!$Z$11)/DATOSAÑO!$Y$11</f>
        <v>0</v>
      </c>
      <c r="AO361" s="9">
        <f ca="1">DATOSAÑO!BW360</f>
        <v>0</v>
      </c>
      <c r="AP361" s="11">
        <f ca="1">(AO361*DATOSAÑO!$Z$11)/DATOSAÑO!$Y$11</f>
        <v>0</v>
      </c>
      <c r="AQ361" s="9">
        <f ca="1">DATOSAÑO!CC360</f>
        <v>0</v>
      </c>
      <c r="AR361" s="1348">
        <f ca="1">(AQ361*DATOSAÑO!$Z$11)/DATOSAÑO!$Y$11</f>
        <v>0</v>
      </c>
      <c r="AS361" s="1384">
        <f t="shared" si="17"/>
        <v>50</v>
      </c>
    </row>
    <row r="362" spans="1:45">
      <c r="A362" s="1408">
        <v>45277</v>
      </c>
      <c r="B362" s="1869">
        <v>45277</v>
      </c>
      <c r="C362" s="9">
        <f ca="1">DATOSAÑO!I361</f>
        <v>0</v>
      </c>
      <c r="D362" s="10">
        <f ca="1">DATOSAÑO!$D361</f>
        <v>0</v>
      </c>
      <c r="E362" s="11">
        <f ca="1">DATOSAÑO!$G361</f>
        <v>0</v>
      </c>
      <c r="F362" s="9">
        <f ca="1">DATOSAÑO!P361</f>
        <v>0</v>
      </c>
      <c r="G362" s="10">
        <f ca="1">DATOSAÑO!K361</f>
        <v>0</v>
      </c>
      <c r="H362" s="11">
        <f ca="1">DATOSAÑO!N361</f>
        <v>0</v>
      </c>
      <c r="I362" s="9">
        <f ca="1">DATOSAÑO!Q361</f>
        <v>0</v>
      </c>
      <c r="J362" s="11">
        <f ca="1">DATOSAÑO!R361</f>
        <v>0</v>
      </c>
      <c r="K362" s="9">
        <f ca="1">DATOSAÑO!T361</f>
        <v>0</v>
      </c>
      <c r="L362" s="11">
        <f t="shared" ca="1" si="15"/>
        <v>0</v>
      </c>
      <c r="M362" s="9"/>
      <c r="N362" s="11">
        <f t="shared" si="16"/>
        <v>0</v>
      </c>
      <c r="O362" s="9">
        <f>DATOSAÑO!CK361</f>
        <v>0</v>
      </c>
      <c r="P362" s="9">
        <f>DATOSAÑO!CL361</f>
        <v>0</v>
      </c>
      <c r="Q362" s="9">
        <f ca="1">DATOSAÑO!AD361</f>
        <v>0</v>
      </c>
      <c r="R362" s="11">
        <f ca="1">(Q362*DATOSAÑO!$Z$11)/DATOSAÑO!$Y$11</f>
        <v>0</v>
      </c>
      <c r="S362" s="9">
        <f ca="1">DATOSAÑO!AF361</f>
        <v>0</v>
      </c>
      <c r="T362" s="11">
        <f ca="1">(S362*DATOSAÑO!$Z$11)/DATOSAÑO!$Y$11</f>
        <v>0</v>
      </c>
      <c r="U362" s="9">
        <f ca="1">DATOSAÑO!AH361</f>
        <v>0</v>
      </c>
      <c r="V362" s="11">
        <f ca="1">(U362*DATOSAÑO!$Z$11)/DATOSAÑO!$Y$11</f>
        <v>0</v>
      </c>
      <c r="W362" s="9">
        <f ca="1">DATOSAÑO!AI361</f>
        <v>0</v>
      </c>
      <c r="X362" s="11">
        <f ca="1">(W362*DATOSAÑO!$Z$11)/DATOSAÑO!$Y$11</f>
        <v>0</v>
      </c>
      <c r="Y362" s="9">
        <f ca="1">DATOSAÑO!AJ361</f>
        <v>0</v>
      </c>
      <c r="Z362" s="11">
        <f ca="1">(Y362*DATOSAÑO!$Z$11)/DATOSAÑO!$Y$11</f>
        <v>0</v>
      </c>
      <c r="AA362" s="9">
        <f ca="1">DATOSAÑO!AK361</f>
        <v>0</v>
      </c>
      <c r="AB362" s="11">
        <f ca="1">(AA362*DATOSAÑO!$Z$11)/DATOSAÑO!$Y$11</f>
        <v>0</v>
      </c>
      <c r="AC362" s="9">
        <f ca="1">DATOSAÑO!AL361</f>
        <v>0</v>
      </c>
      <c r="AD362" s="11">
        <f ca="1">(AC362*DATOSAÑO!$Z$11)/DATOSAÑO!$Y$11</f>
        <v>0</v>
      </c>
      <c r="AE362" s="9">
        <f ca="1">DATOSAÑO!CA361</f>
        <v>0</v>
      </c>
      <c r="AF362" s="11">
        <f ca="1">(AE362*DATOSAÑO!$Z$11)/DATOSAÑO!$Y$11</f>
        <v>0</v>
      </c>
      <c r="AG362" s="9">
        <f ca="1">DATOSAÑO!CB361</f>
        <v>0</v>
      </c>
      <c r="AH362" s="11">
        <f ca="1">(AG362*DATOSAÑO!$Z$11)/DATOSAÑO!$Y$11</f>
        <v>0</v>
      </c>
      <c r="AI362" s="9">
        <f ca="1">DATOSAÑO!BJ361</f>
        <v>0</v>
      </c>
      <c r="AJ362" s="11">
        <f ca="1">(AI362*DATOSAÑO!$Z$11)/DATOSAÑO!$Y$11</f>
        <v>0</v>
      </c>
      <c r="AK362" s="9">
        <f ca="1">DATOSAÑO!BM361</f>
        <v>0</v>
      </c>
      <c r="AL362" s="11">
        <f ca="1">(AK362*DATOSAÑO!$Z$11)/DATOSAÑO!$Y$11</f>
        <v>0</v>
      </c>
      <c r="AM362" s="9">
        <f ca="1">DATOSAÑO!BP361</f>
        <v>0</v>
      </c>
      <c r="AN362" s="11">
        <f ca="1">(AM362*DATOSAÑO!$Z$11)/DATOSAÑO!$Y$11</f>
        <v>0</v>
      </c>
      <c r="AO362" s="9">
        <f ca="1">DATOSAÑO!BW361</f>
        <v>0</v>
      </c>
      <c r="AP362" s="11">
        <f ca="1">(AO362*DATOSAÑO!$Z$11)/DATOSAÑO!$Y$11</f>
        <v>0</v>
      </c>
      <c r="AQ362" s="9">
        <f ca="1">DATOSAÑO!CC361</f>
        <v>0</v>
      </c>
      <c r="AR362" s="1348">
        <f ca="1">(AQ362*DATOSAÑO!$Z$11)/DATOSAÑO!$Y$11</f>
        <v>0</v>
      </c>
      <c r="AS362" s="1384">
        <f t="shared" si="17"/>
        <v>51</v>
      </c>
    </row>
    <row r="363" spans="1:45">
      <c r="A363" s="1408">
        <v>45278</v>
      </c>
      <c r="B363" s="1869">
        <v>45278</v>
      </c>
      <c r="C363" s="9">
        <f ca="1">DATOSAÑO!I362</f>
        <v>0</v>
      </c>
      <c r="D363" s="10">
        <f ca="1">DATOSAÑO!$D362</f>
        <v>0</v>
      </c>
      <c r="E363" s="11">
        <f ca="1">DATOSAÑO!$G362</f>
        <v>0</v>
      </c>
      <c r="F363" s="9">
        <f ca="1">DATOSAÑO!P362</f>
        <v>0</v>
      </c>
      <c r="G363" s="10">
        <f ca="1">DATOSAÑO!K362</f>
        <v>0</v>
      </c>
      <c r="H363" s="11">
        <f ca="1">DATOSAÑO!N362</f>
        <v>0</v>
      </c>
      <c r="I363" s="9">
        <f ca="1">DATOSAÑO!Q362</f>
        <v>0</v>
      </c>
      <c r="J363" s="11">
        <f ca="1">DATOSAÑO!R362</f>
        <v>0</v>
      </c>
      <c r="K363" s="9">
        <f ca="1">DATOSAÑO!T362</f>
        <v>0</v>
      </c>
      <c r="L363" s="11">
        <f t="shared" ca="1" si="15"/>
        <v>0</v>
      </c>
      <c r="M363" s="9"/>
      <c r="N363" s="11">
        <f t="shared" si="16"/>
        <v>0</v>
      </c>
      <c r="O363" s="9">
        <f>DATOSAÑO!CK362</f>
        <v>0</v>
      </c>
      <c r="P363" s="9">
        <f>DATOSAÑO!CL362</f>
        <v>0</v>
      </c>
      <c r="Q363" s="9">
        <f ca="1">DATOSAÑO!AD362</f>
        <v>0</v>
      </c>
      <c r="R363" s="11">
        <f ca="1">(Q363*DATOSAÑO!$Z$11)/DATOSAÑO!$Y$11</f>
        <v>0</v>
      </c>
      <c r="S363" s="9">
        <f ca="1">DATOSAÑO!AF362</f>
        <v>0</v>
      </c>
      <c r="T363" s="11">
        <f ca="1">(S363*DATOSAÑO!$Z$11)/DATOSAÑO!$Y$11</f>
        <v>0</v>
      </c>
      <c r="U363" s="9">
        <f ca="1">DATOSAÑO!AH362</f>
        <v>0</v>
      </c>
      <c r="V363" s="11">
        <f ca="1">(U363*DATOSAÑO!$Z$11)/DATOSAÑO!$Y$11</f>
        <v>0</v>
      </c>
      <c r="W363" s="9">
        <f ca="1">DATOSAÑO!AI362</f>
        <v>0</v>
      </c>
      <c r="X363" s="11">
        <f ca="1">(W363*DATOSAÑO!$Z$11)/DATOSAÑO!$Y$11</f>
        <v>0</v>
      </c>
      <c r="Y363" s="9">
        <f ca="1">DATOSAÑO!AJ362</f>
        <v>0</v>
      </c>
      <c r="Z363" s="11">
        <f ca="1">(Y363*DATOSAÑO!$Z$11)/DATOSAÑO!$Y$11</f>
        <v>0</v>
      </c>
      <c r="AA363" s="9">
        <f ca="1">DATOSAÑO!AK362</f>
        <v>0</v>
      </c>
      <c r="AB363" s="11">
        <f ca="1">(AA363*DATOSAÑO!$Z$11)/DATOSAÑO!$Y$11</f>
        <v>0</v>
      </c>
      <c r="AC363" s="9">
        <f ca="1">DATOSAÑO!AL362</f>
        <v>0</v>
      </c>
      <c r="AD363" s="11">
        <f ca="1">(AC363*DATOSAÑO!$Z$11)/DATOSAÑO!$Y$11</f>
        <v>0</v>
      </c>
      <c r="AE363" s="9">
        <f ca="1">DATOSAÑO!CA362</f>
        <v>0</v>
      </c>
      <c r="AF363" s="11">
        <f ca="1">(AE363*DATOSAÑO!$Z$11)/DATOSAÑO!$Y$11</f>
        <v>0</v>
      </c>
      <c r="AG363" s="9">
        <f ca="1">DATOSAÑO!CB362</f>
        <v>0</v>
      </c>
      <c r="AH363" s="11">
        <f ca="1">(AG363*DATOSAÑO!$Z$11)/DATOSAÑO!$Y$11</f>
        <v>0</v>
      </c>
      <c r="AI363" s="9">
        <f ca="1">DATOSAÑO!BJ362</f>
        <v>0</v>
      </c>
      <c r="AJ363" s="11">
        <f ca="1">(AI363*DATOSAÑO!$Z$11)/DATOSAÑO!$Y$11</f>
        <v>0</v>
      </c>
      <c r="AK363" s="9">
        <f ca="1">DATOSAÑO!BM362</f>
        <v>0</v>
      </c>
      <c r="AL363" s="11">
        <f ca="1">(AK363*DATOSAÑO!$Z$11)/DATOSAÑO!$Y$11</f>
        <v>0</v>
      </c>
      <c r="AM363" s="9">
        <f ca="1">DATOSAÑO!BP362</f>
        <v>0</v>
      </c>
      <c r="AN363" s="11">
        <f ca="1">(AM363*DATOSAÑO!$Z$11)/DATOSAÑO!$Y$11</f>
        <v>0</v>
      </c>
      <c r="AO363" s="9">
        <f ca="1">DATOSAÑO!BW362</f>
        <v>0</v>
      </c>
      <c r="AP363" s="11">
        <f ca="1">(AO363*DATOSAÑO!$Z$11)/DATOSAÑO!$Y$11</f>
        <v>0</v>
      </c>
      <c r="AQ363" s="9">
        <f ca="1">DATOSAÑO!CC362</f>
        <v>0</v>
      </c>
      <c r="AR363" s="1348">
        <f ca="1">(AQ363*DATOSAÑO!$Z$11)/DATOSAÑO!$Y$11</f>
        <v>0</v>
      </c>
      <c r="AS363" s="1384">
        <f t="shared" si="17"/>
        <v>51</v>
      </c>
    </row>
    <row r="364" spans="1:45">
      <c r="A364" s="1408">
        <v>45279</v>
      </c>
      <c r="B364" s="1869">
        <v>45279</v>
      </c>
      <c r="C364" s="9">
        <f ca="1">DATOSAÑO!I363</f>
        <v>0</v>
      </c>
      <c r="D364" s="10">
        <f ca="1">DATOSAÑO!$D363</f>
        <v>0</v>
      </c>
      <c r="E364" s="11">
        <f ca="1">DATOSAÑO!$G363</f>
        <v>0</v>
      </c>
      <c r="F364" s="9">
        <f ca="1">DATOSAÑO!P363</f>
        <v>0</v>
      </c>
      <c r="G364" s="10">
        <f ca="1">DATOSAÑO!K363</f>
        <v>0</v>
      </c>
      <c r="H364" s="11">
        <f ca="1">DATOSAÑO!N363</f>
        <v>0</v>
      </c>
      <c r="I364" s="9">
        <f ca="1">DATOSAÑO!Q363</f>
        <v>0</v>
      </c>
      <c r="J364" s="11">
        <f ca="1">DATOSAÑO!R363</f>
        <v>0</v>
      </c>
      <c r="K364" s="9">
        <f ca="1">DATOSAÑO!T363</f>
        <v>0</v>
      </c>
      <c r="L364" s="11">
        <f t="shared" ca="1" si="15"/>
        <v>0</v>
      </c>
      <c r="M364" s="9"/>
      <c r="N364" s="11">
        <f t="shared" si="16"/>
        <v>0</v>
      </c>
      <c r="O364" s="9">
        <f>DATOSAÑO!CK363</f>
        <v>0</v>
      </c>
      <c r="P364" s="9">
        <f>DATOSAÑO!CL363</f>
        <v>0</v>
      </c>
      <c r="Q364" s="9">
        <f ca="1">DATOSAÑO!AD363</f>
        <v>0</v>
      </c>
      <c r="R364" s="11">
        <f ca="1">(Q364*DATOSAÑO!$Z$11)/DATOSAÑO!$Y$11</f>
        <v>0</v>
      </c>
      <c r="S364" s="9">
        <f ca="1">DATOSAÑO!AF363</f>
        <v>0</v>
      </c>
      <c r="T364" s="11">
        <f ca="1">(S364*DATOSAÑO!$Z$11)/DATOSAÑO!$Y$11</f>
        <v>0</v>
      </c>
      <c r="U364" s="9">
        <f ca="1">DATOSAÑO!AH363</f>
        <v>0</v>
      </c>
      <c r="V364" s="11">
        <f ca="1">(U364*DATOSAÑO!$Z$11)/DATOSAÑO!$Y$11</f>
        <v>0</v>
      </c>
      <c r="W364" s="9">
        <f ca="1">DATOSAÑO!AI363</f>
        <v>0</v>
      </c>
      <c r="X364" s="11">
        <f ca="1">(W364*DATOSAÑO!$Z$11)/DATOSAÑO!$Y$11</f>
        <v>0</v>
      </c>
      <c r="Y364" s="9">
        <f ca="1">DATOSAÑO!AJ363</f>
        <v>0</v>
      </c>
      <c r="Z364" s="11">
        <f ca="1">(Y364*DATOSAÑO!$Z$11)/DATOSAÑO!$Y$11</f>
        <v>0</v>
      </c>
      <c r="AA364" s="9">
        <f ca="1">DATOSAÑO!AK363</f>
        <v>0</v>
      </c>
      <c r="AB364" s="11">
        <f ca="1">(AA364*DATOSAÑO!$Z$11)/DATOSAÑO!$Y$11</f>
        <v>0</v>
      </c>
      <c r="AC364" s="9">
        <f ca="1">DATOSAÑO!AL363</f>
        <v>0</v>
      </c>
      <c r="AD364" s="11">
        <f ca="1">(AC364*DATOSAÑO!$Z$11)/DATOSAÑO!$Y$11</f>
        <v>0</v>
      </c>
      <c r="AE364" s="9">
        <f ca="1">DATOSAÑO!CA363</f>
        <v>0</v>
      </c>
      <c r="AF364" s="11">
        <f ca="1">(AE364*DATOSAÑO!$Z$11)/DATOSAÑO!$Y$11</f>
        <v>0</v>
      </c>
      <c r="AG364" s="9">
        <f ca="1">DATOSAÑO!CB363</f>
        <v>0</v>
      </c>
      <c r="AH364" s="11">
        <f ca="1">(AG364*DATOSAÑO!$Z$11)/DATOSAÑO!$Y$11</f>
        <v>0</v>
      </c>
      <c r="AI364" s="9">
        <f ca="1">DATOSAÑO!BJ363</f>
        <v>0</v>
      </c>
      <c r="AJ364" s="11">
        <f ca="1">(AI364*DATOSAÑO!$Z$11)/DATOSAÑO!$Y$11</f>
        <v>0</v>
      </c>
      <c r="AK364" s="9">
        <f ca="1">DATOSAÑO!BM363</f>
        <v>0</v>
      </c>
      <c r="AL364" s="11">
        <f ca="1">(AK364*DATOSAÑO!$Z$11)/DATOSAÑO!$Y$11</f>
        <v>0</v>
      </c>
      <c r="AM364" s="9">
        <f ca="1">DATOSAÑO!BP363</f>
        <v>0</v>
      </c>
      <c r="AN364" s="11">
        <f ca="1">(AM364*DATOSAÑO!$Z$11)/DATOSAÑO!$Y$11</f>
        <v>0</v>
      </c>
      <c r="AO364" s="9">
        <f ca="1">DATOSAÑO!BW363</f>
        <v>0</v>
      </c>
      <c r="AP364" s="11">
        <f ca="1">(AO364*DATOSAÑO!$Z$11)/DATOSAÑO!$Y$11</f>
        <v>0</v>
      </c>
      <c r="AQ364" s="9">
        <f ca="1">DATOSAÑO!CC363</f>
        <v>0</v>
      </c>
      <c r="AR364" s="1348">
        <f ca="1">(AQ364*DATOSAÑO!$Z$11)/DATOSAÑO!$Y$11</f>
        <v>0</v>
      </c>
      <c r="AS364" s="1384">
        <f t="shared" si="17"/>
        <v>51</v>
      </c>
    </row>
    <row r="365" spans="1:45">
      <c r="A365" s="1408">
        <v>45280</v>
      </c>
      <c r="B365" s="1869">
        <v>45280</v>
      </c>
      <c r="C365" s="9">
        <f ca="1">DATOSAÑO!I364</f>
        <v>0</v>
      </c>
      <c r="D365" s="10">
        <f ca="1">DATOSAÑO!$D364</f>
        <v>0</v>
      </c>
      <c r="E365" s="11">
        <f ca="1">DATOSAÑO!$G364</f>
        <v>0</v>
      </c>
      <c r="F365" s="9">
        <f ca="1">DATOSAÑO!P364</f>
        <v>0</v>
      </c>
      <c r="G365" s="10">
        <f ca="1">DATOSAÑO!K364</f>
        <v>0</v>
      </c>
      <c r="H365" s="11">
        <f ca="1">DATOSAÑO!N364</f>
        <v>0</v>
      </c>
      <c r="I365" s="9">
        <f ca="1">DATOSAÑO!Q364</f>
        <v>0</v>
      </c>
      <c r="J365" s="11">
        <f ca="1">DATOSAÑO!R364</f>
        <v>0</v>
      </c>
      <c r="K365" s="9">
        <f ca="1">DATOSAÑO!T364</f>
        <v>0</v>
      </c>
      <c r="L365" s="11">
        <f t="shared" ca="1" si="15"/>
        <v>0</v>
      </c>
      <c r="M365" s="9"/>
      <c r="N365" s="11">
        <f t="shared" si="16"/>
        <v>0</v>
      </c>
      <c r="O365" s="9">
        <f>DATOSAÑO!CK364</f>
        <v>0</v>
      </c>
      <c r="P365" s="9">
        <f>DATOSAÑO!CL364</f>
        <v>0</v>
      </c>
      <c r="Q365" s="9">
        <f ca="1">DATOSAÑO!AD364</f>
        <v>0</v>
      </c>
      <c r="R365" s="11">
        <f ca="1">(Q365*DATOSAÑO!$Z$11)/DATOSAÑO!$Y$11</f>
        <v>0</v>
      </c>
      <c r="S365" s="9">
        <f ca="1">DATOSAÑO!AF364</f>
        <v>0</v>
      </c>
      <c r="T365" s="11">
        <f ca="1">(S365*DATOSAÑO!$Z$11)/DATOSAÑO!$Y$11</f>
        <v>0</v>
      </c>
      <c r="U365" s="9">
        <f ca="1">DATOSAÑO!AH364</f>
        <v>0</v>
      </c>
      <c r="V365" s="11">
        <f ca="1">(U365*DATOSAÑO!$Z$11)/DATOSAÑO!$Y$11</f>
        <v>0</v>
      </c>
      <c r="W365" s="9">
        <f ca="1">DATOSAÑO!AI364</f>
        <v>0</v>
      </c>
      <c r="X365" s="11">
        <f ca="1">(W365*DATOSAÑO!$Z$11)/DATOSAÑO!$Y$11</f>
        <v>0</v>
      </c>
      <c r="Y365" s="9">
        <f ca="1">DATOSAÑO!AJ364</f>
        <v>0</v>
      </c>
      <c r="Z365" s="11">
        <f ca="1">(Y365*DATOSAÑO!$Z$11)/DATOSAÑO!$Y$11</f>
        <v>0</v>
      </c>
      <c r="AA365" s="9">
        <f ca="1">DATOSAÑO!AK364</f>
        <v>0</v>
      </c>
      <c r="AB365" s="11">
        <f ca="1">(AA365*DATOSAÑO!$Z$11)/DATOSAÑO!$Y$11</f>
        <v>0</v>
      </c>
      <c r="AC365" s="9">
        <f ca="1">DATOSAÑO!AL364</f>
        <v>0</v>
      </c>
      <c r="AD365" s="11">
        <f ca="1">(AC365*DATOSAÑO!$Z$11)/DATOSAÑO!$Y$11</f>
        <v>0</v>
      </c>
      <c r="AE365" s="9">
        <f ca="1">DATOSAÑO!CA364</f>
        <v>0</v>
      </c>
      <c r="AF365" s="11">
        <f ca="1">(AE365*DATOSAÑO!$Z$11)/DATOSAÑO!$Y$11</f>
        <v>0</v>
      </c>
      <c r="AG365" s="9">
        <f ca="1">DATOSAÑO!CB364</f>
        <v>0</v>
      </c>
      <c r="AH365" s="11">
        <f ca="1">(AG365*DATOSAÑO!$Z$11)/DATOSAÑO!$Y$11</f>
        <v>0</v>
      </c>
      <c r="AI365" s="9">
        <f ca="1">DATOSAÑO!BJ364</f>
        <v>0</v>
      </c>
      <c r="AJ365" s="11">
        <f ca="1">(AI365*DATOSAÑO!$Z$11)/DATOSAÑO!$Y$11</f>
        <v>0</v>
      </c>
      <c r="AK365" s="9">
        <f ca="1">DATOSAÑO!BM364</f>
        <v>0</v>
      </c>
      <c r="AL365" s="11">
        <f ca="1">(AK365*DATOSAÑO!$Z$11)/DATOSAÑO!$Y$11</f>
        <v>0</v>
      </c>
      <c r="AM365" s="9">
        <f ca="1">DATOSAÑO!BP364</f>
        <v>0</v>
      </c>
      <c r="AN365" s="11">
        <f ca="1">(AM365*DATOSAÑO!$Z$11)/DATOSAÑO!$Y$11</f>
        <v>0</v>
      </c>
      <c r="AO365" s="9">
        <f ca="1">DATOSAÑO!BW364</f>
        <v>0</v>
      </c>
      <c r="AP365" s="11">
        <f ca="1">(AO365*DATOSAÑO!$Z$11)/DATOSAÑO!$Y$11</f>
        <v>0</v>
      </c>
      <c r="AQ365" s="9">
        <f ca="1">DATOSAÑO!CC364</f>
        <v>0</v>
      </c>
      <c r="AR365" s="1348">
        <f ca="1">(AQ365*DATOSAÑO!$Z$11)/DATOSAÑO!$Y$11</f>
        <v>0</v>
      </c>
      <c r="AS365" s="1384">
        <f t="shared" si="17"/>
        <v>51</v>
      </c>
    </row>
    <row r="366" spans="1:45">
      <c r="A366" s="1408">
        <v>45281</v>
      </c>
      <c r="B366" s="1869">
        <v>45281</v>
      </c>
      <c r="C366" s="9">
        <f ca="1">DATOSAÑO!I365</f>
        <v>0</v>
      </c>
      <c r="D366" s="10">
        <f ca="1">DATOSAÑO!$D365</f>
        <v>0</v>
      </c>
      <c r="E366" s="11">
        <f ca="1">DATOSAÑO!$G365</f>
        <v>0</v>
      </c>
      <c r="F366" s="9">
        <f ca="1">DATOSAÑO!P365</f>
        <v>0</v>
      </c>
      <c r="G366" s="10">
        <f ca="1">DATOSAÑO!K365</f>
        <v>0</v>
      </c>
      <c r="H366" s="11">
        <f ca="1">DATOSAÑO!N365</f>
        <v>0</v>
      </c>
      <c r="I366" s="9">
        <f ca="1">DATOSAÑO!Q365</f>
        <v>0</v>
      </c>
      <c r="J366" s="11">
        <f ca="1">DATOSAÑO!R365</f>
        <v>0</v>
      </c>
      <c r="K366" s="9">
        <f ca="1">DATOSAÑO!T365</f>
        <v>0</v>
      </c>
      <c r="L366" s="11">
        <f t="shared" ca="1" si="15"/>
        <v>0</v>
      </c>
      <c r="M366" s="9"/>
      <c r="N366" s="11">
        <f t="shared" si="16"/>
        <v>0</v>
      </c>
      <c r="O366" s="9">
        <f>DATOSAÑO!CK365</f>
        <v>0</v>
      </c>
      <c r="P366" s="9">
        <f>DATOSAÑO!CL365</f>
        <v>0</v>
      </c>
      <c r="Q366" s="9">
        <f ca="1">DATOSAÑO!AD365</f>
        <v>0</v>
      </c>
      <c r="R366" s="11">
        <f ca="1">(Q366*DATOSAÑO!$Z$11)/DATOSAÑO!$Y$11</f>
        <v>0</v>
      </c>
      <c r="S366" s="9">
        <f ca="1">DATOSAÑO!AF365</f>
        <v>0</v>
      </c>
      <c r="T366" s="11">
        <f ca="1">(S366*DATOSAÑO!$Z$11)/DATOSAÑO!$Y$11</f>
        <v>0</v>
      </c>
      <c r="U366" s="9">
        <f ca="1">DATOSAÑO!AH365</f>
        <v>0</v>
      </c>
      <c r="V366" s="11">
        <f ca="1">(U366*DATOSAÑO!$Z$11)/DATOSAÑO!$Y$11</f>
        <v>0</v>
      </c>
      <c r="W366" s="9">
        <f ca="1">DATOSAÑO!AI365</f>
        <v>0</v>
      </c>
      <c r="X366" s="11">
        <f ca="1">(W366*DATOSAÑO!$Z$11)/DATOSAÑO!$Y$11</f>
        <v>0</v>
      </c>
      <c r="Y366" s="9">
        <f ca="1">DATOSAÑO!AJ365</f>
        <v>0</v>
      </c>
      <c r="Z366" s="11">
        <f ca="1">(Y366*DATOSAÑO!$Z$11)/DATOSAÑO!$Y$11</f>
        <v>0</v>
      </c>
      <c r="AA366" s="9">
        <f ca="1">DATOSAÑO!AK365</f>
        <v>0</v>
      </c>
      <c r="AB366" s="11">
        <f ca="1">(AA366*DATOSAÑO!$Z$11)/DATOSAÑO!$Y$11</f>
        <v>0</v>
      </c>
      <c r="AC366" s="9">
        <f ca="1">DATOSAÑO!AL365</f>
        <v>0</v>
      </c>
      <c r="AD366" s="11">
        <f ca="1">(AC366*DATOSAÑO!$Z$11)/DATOSAÑO!$Y$11</f>
        <v>0</v>
      </c>
      <c r="AE366" s="9">
        <f ca="1">DATOSAÑO!CA365</f>
        <v>0</v>
      </c>
      <c r="AF366" s="11">
        <f ca="1">(AE366*DATOSAÑO!$Z$11)/DATOSAÑO!$Y$11</f>
        <v>0</v>
      </c>
      <c r="AG366" s="9">
        <f ca="1">DATOSAÑO!CB365</f>
        <v>0</v>
      </c>
      <c r="AH366" s="11">
        <f ca="1">(AG366*DATOSAÑO!$Z$11)/DATOSAÑO!$Y$11</f>
        <v>0</v>
      </c>
      <c r="AI366" s="9">
        <f ca="1">DATOSAÑO!BJ365</f>
        <v>0</v>
      </c>
      <c r="AJ366" s="11">
        <f ca="1">(AI366*DATOSAÑO!$Z$11)/DATOSAÑO!$Y$11</f>
        <v>0</v>
      </c>
      <c r="AK366" s="9">
        <f ca="1">DATOSAÑO!BM365</f>
        <v>0</v>
      </c>
      <c r="AL366" s="11">
        <f ca="1">(AK366*DATOSAÑO!$Z$11)/DATOSAÑO!$Y$11</f>
        <v>0</v>
      </c>
      <c r="AM366" s="9">
        <f ca="1">DATOSAÑO!BP365</f>
        <v>0</v>
      </c>
      <c r="AN366" s="11">
        <f ca="1">(AM366*DATOSAÑO!$Z$11)/DATOSAÑO!$Y$11</f>
        <v>0</v>
      </c>
      <c r="AO366" s="9">
        <f ca="1">DATOSAÑO!BW365</f>
        <v>0</v>
      </c>
      <c r="AP366" s="11">
        <f ca="1">(AO366*DATOSAÑO!$Z$11)/DATOSAÑO!$Y$11</f>
        <v>0</v>
      </c>
      <c r="AQ366" s="9">
        <f ca="1">DATOSAÑO!CC365</f>
        <v>0</v>
      </c>
      <c r="AR366" s="1348">
        <f ca="1">(AQ366*DATOSAÑO!$Z$11)/DATOSAÑO!$Y$11</f>
        <v>0</v>
      </c>
      <c r="AS366" s="1384">
        <f t="shared" si="17"/>
        <v>51</v>
      </c>
    </row>
    <row r="367" spans="1:45">
      <c r="A367" s="1408">
        <v>45282</v>
      </c>
      <c r="B367" s="1869">
        <v>45282</v>
      </c>
      <c r="C367" s="9">
        <f ca="1">DATOSAÑO!I366</f>
        <v>0</v>
      </c>
      <c r="D367" s="10">
        <f ca="1">DATOSAÑO!$D366</f>
        <v>0</v>
      </c>
      <c r="E367" s="11">
        <f ca="1">DATOSAÑO!$G366</f>
        <v>0</v>
      </c>
      <c r="F367" s="9">
        <f ca="1">DATOSAÑO!P366</f>
        <v>0</v>
      </c>
      <c r="G367" s="10">
        <f ca="1">DATOSAÑO!K366</f>
        <v>0</v>
      </c>
      <c r="H367" s="11">
        <f ca="1">DATOSAÑO!N366</f>
        <v>0</v>
      </c>
      <c r="I367" s="9">
        <f ca="1">DATOSAÑO!Q366</f>
        <v>0</v>
      </c>
      <c r="J367" s="11">
        <f ca="1">DATOSAÑO!R366</f>
        <v>0</v>
      </c>
      <c r="K367" s="9">
        <f ca="1">DATOSAÑO!T366</f>
        <v>0</v>
      </c>
      <c r="L367" s="11">
        <f t="shared" ca="1" si="15"/>
        <v>0</v>
      </c>
      <c r="M367" s="9"/>
      <c r="N367" s="11">
        <f t="shared" si="16"/>
        <v>0</v>
      </c>
      <c r="O367" s="9">
        <f>DATOSAÑO!CK366</f>
        <v>0</v>
      </c>
      <c r="P367" s="9">
        <f>DATOSAÑO!CL366</f>
        <v>0</v>
      </c>
      <c r="Q367" s="9">
        <f ca="1">DATOSAÑO!AD366</f>
        <v>0</v>
      </c>
      <c r="R367" s="11">
        <f ca="1">(Q367*DATOSAÑO!$Z$11)/DATOSAÑO!$Y$11</f>
        <v>0</v>
      </c>
      <c r="S367" s="9">
        <f ca="1">DATOSAÑO!AF366</f>
        <v>0</v>
      </c>
      <c r="T367" s="11">
        <f ca="1">(S367*DATOSAÑO!$Z$11)/DATOSAÑO!$Y$11</f>
        <v>0</v>
      </c>
      <c r="U367" s="9">
        <f ca="1">DATOSAÑO!AH366</f>
        <v>0</v>
      </c>
      <c r="V367" s="11">
        <f ca="1">(U367*DATOSAÑO!$Z$11)/DATOSAÑO!$Y$11</f>
        <v>0</v>
      </c>
      <c r="W367" s="9">
        <f ca="1">DATOSAÑO!AI366</f>
        <v>0</v>
      </c>
      <c r="X367" s="11">
        <f ca="1">(W367*DATOSAÑO!$Z$11)/DATOSAÑO!$Y$11</f>
        <v>0</v>
      </c>
      <c r="Y367" s="9">
        <f ca="1">DATOSAÑO!AJ366</f>
        <v>0</v>
      </c>
      <c r="Z367" s="11">
        <f ca="1">(Y367*DATOSAÑO!$Z$11)/DATOSAÑO!$Y$11</f>
        <v>0</v>
      </c>
      <c r="AA367" s="9">
        <f ca="1">DATOSAÑO!AK366</f>
        <v>0</v>
      </c>
      <c r="AB367" s="11">
        <f ca="1">(AA367*DATOSAÑO!$Z$11)/DATOSAÑO!$Y$11</f>
        <v>0</v>
      </c>
      <c r="AC367" s="9">
        <f ca="1">DATOSAÑO!AL366</f>
        <v>0</v>
      </c>
      <c r="AD367" s="11">
        <f ca="1">(AC367*DATOSAÑO!$Z$11)/DATOSAÑO!$Y$11</f>
        <v>0</v>
      </c>
      <c r="AE367" s="9">
        <f ca="1">DATOSAÑO!CA366</f>
        <v>0</v>
      </c>
      <c r="AF367" s="11">
        <f ca="1">(AE367*DATOSAÑO!$Z$11)/DATOSAÑO!$Y$11</f>
        <v>0</v>
      </c>
      <c r="AG367" s="9">
        <f ca="1">DATOSAÑO!CB366</f>
        <v>0</v>
      </c>
      <c r="AH367" s="11">
        <f ca="1">(AG367*DATOSAÑO!$Z$11)/DATOSAÑO!$Y$11</f>
        <v>0</v>
      </c>
      <c r="AI367" s="9">
        <f ca="1">DATOSAÑO!BJ366</f>
        <v>0</v>
      </c>
      <c r="AJ367" s="11">
        <f ca="1">(AI367*DATOSAÑO!$Z$11)/DATOSAÑO!$Y$11</f>
        <v>0</v>
      </c>
      <c r="AK367" s="9">
        <f ca="1">DATOSAÑO!BM366</f>
        <v>0</v>
      </c>
      <c r="AL367" s="11">
        <f ca="1">(AK367*DATOSAÑO!$Z$11)/DATOSAÑO!$Y$11</f>
        <v>0</v>
      </c>
      <c r="AM367" s="9">
        <f ca="1">DATOSAÑO!BP366</f>
        <v>0</v>
      </c>
      <c r="AN367" s="11">
        <f ca="1">(AM367*DATOSAÑO!$Z$11)/DATOSAÑO!$Y$11</f>
        <v>0</v>
      </c>
      <c r="AO367" s="9">
        <f ca="1">DATOSAÑO!BW366</f>
        <v>0</v>
      </c>
      <c r="AP367" s="11">
        <f ca="1">(AO367*DATOSAÑO!$Z$11)/DATOSAÑO!$Y$11</f>
        <v>0</v>
      </c>
      <c r="AQ367" s="9">
        <f ca="1">DATOSAÑO!CC366</f>
        <v>0</v>
      </c>
      <c r="AR367" s="1348">
        <f ca="1">(AQ367*DATOSAÑO!$Z$11)/DATOSAÑO!$Y$11</f>
        <v>0</v>
      </c>
      <c r="AS367" s="1384">
        <f t="shared" si="17"/>
        <v>51</v>
      </c>
    </row>
    <row r="368" spans="1:45">
      <c r="A368" s="1408">
        <v>45283</v>
      </c>
      <c r="B368" s="1869">
        <v>45283</v>
      </c>
      <c r="C368" s="9">
        <f ca="1">DATOSAÑO!I367</f>
        <v>0</v>
      </c>
      <c r="D368" s="10">
        <f ca="1">DATOSAÑO!$D367</f>
        <v>0</v>
      </c>
      <c r="E368" s="11">
        <f ca="1">DATOSAÑO!$G367</f>
        <v>0</v>
      </c>
      <c r="F368" s="9">
        <f ca="1">DATOSAÑO!P367</f>
        <v>0</v>
      </c>
      <c r="G368" s="10">
        <f ca="1">DATOSAÑO!K367</f>
        <v>0</v>
      </c>
      <c r="H368" s="11">
        <f ca="1">DATOSAÑO!N367</f>
        <v>0</v>
      </c>
      <c r="I368" s="9">
        <f ca="1">DATOSAÑO!Q367</f>
        <v>0</v>
      </c>
      <c r="J368" s="11">
        <f ca="1">DATOSAÑO!R367</f>
        <v>0</v>
      </c>
      <c r="K368" s="9">
        <f ca="1">DATOSAÑO!T367</f>
        <v>0</v>
      </c>
      <c r="L368" s="11">
        <f t="shared" ca="1" si="15"/>
        <v>0</v>
      </c>
      <c r="M368" s="9"/>
      <c r="N368" s="11">
        <f t="shared" si="16"/>
        <v>0</v>
      </c>
      <c r="O368" s="9">
        <f>DATOSAÑO!CK367</f>
        <v>0</v>
      </c>
      <c r="P368" s="9">
        <f>DATOSAÑO!CL367</f>
        <v>0</v>
      </c>
      <c r="Q368" s="9">
        <f ca="1">DATOSAÑO!AD367</f>
        <v>0</v>
      </c>
      <c r="R368" s="11">
        <f ca="1">(Q368*DATOSAÑO!$Z$11)/DATOSAÑO!$Y$11</f>
        <v>0</v>
      </c>
      <c r="S368" s="9">
        <f ca="1">DATOSAÑO!AF367</f>
        <v>0</v>
      </c>
      <c r="T368" s="11">
        <f ca="1">(S368*DATOSAÑO!$Z$11)/DATOSAÑO!$Y$11</f>
        <v>0</v>
      </c>
      <c r="U368" s="9">
        <f ca="1">DATOSAÑO!AH367</f>
        <v>0</v>
      </c>
      <c r="V368" s="11">
        <f ca="1">(U368*DATOSAÑO!$Z$11)/DATOSAÑO!$Y$11</f>
        <v>0</v>
      </c>
      <c r="W368" s="9">
        <f ca="1">DATOSAÑO!AI367</f>
        <v>0</v>
      </c>
      <c r="X368" s="11">
        <f ca="1">(W368*DATOSAÑO!$Z$11)/DATOSAÑO!$Y$11</f>
        <v>0</v>
      </c>
      <c r="Y368" s="9">
        <f ca="1">DATOSAÑO!AJ367</f>
        <v>0</v>
      </c>
      <c r="Z368" s="11">
        <f ca="1">(Y368*DATOSAÑO!$Z$11)/DATOSAÑO!$Y$11</f>
        <v>0</v>
      </c>
      <c r="AA368" s="9">
        <f ca="1">DATOSAÑO!AK367</f>
        <v>0</v>
      </c>
      <c r="AB368" s="11">
        <f ca="1">(AA368*DATOSAÑO!$Z$11)/DATOSAÑO!$Y$11</f>
        <v>0</v>
      </c>
      <c r="AC368" s="9">
        <f ca="1">DATOSAÑO!AL367</f>
        <v>0</v>
      </c>
      <c r="AD368" s="11">
        <f ca="1">(AC368*DATOSAÑO!$Z$11)/DATOSAÑO!$Y$11</f>
        <v>0</v>
      </c>
      <c r="AE368" s="9">
        <f ca="1">DATOSAÑO!CA367</f>
        <v>0</v>
      </c>
      <c r="AF368" s="11">
        <f ca="1">(AE368*DATOSAÑO!$Z$11)/DATOSAÑO!$Y$11</f>
        <v>0</v>
      </c>
      <c r="AG368" s="9">
        <f ca="1">DATOSAÑO!CB367</f>
        <v>0</v>
      </c>
      <c r="AH368" s="11">
        <f ca="1">(AG368*DATOSAÑO!$Z$11)/DATOSAÑO!$Y$11</f>
        <v>0</v>
      </c>
      <c r="AI368" s="9">
        <f ca="1">DATOSAÑO!BJ367</f>
        <v>0</v>
      </c>
      <c r="AJ368" s="11">
        <f ca="1">(AI368*DATOSAÑO!$Z$11)/DATOSAÑO!$Y$11</f>
        <v>0</v>
      </c>
      <c r="AK368" s="9">
        <f ca="1">DATOSAÑO!BM367</f>
        <v>0</v>
      </c>
      <c r="AL368" s="11">
        <f ca="1">(AK368*DATOSAÑO!$Z$11)/DATOSAÑO!$Y$11</f>
        <v>0</v>
      </c>
      <c r="AM368" s="9">
        <f ca="1">DATOSAÑO!BP367</f>
        <v>0</v>
      </c>
      <c r="AN368" s="11">
        <f ca="1">(AM368*DATOSAÑO!$Z$11)/DATOSAÑO!$Y$11</f>
        <v>0</v>
      </c>
      <c r="AO368" s="9">
        <f ca="1">DATOSAÑO!BW367</f>
        <v>0</v>
      </c>
      <c r="AP368" s="11">
        <f ca="1">(AO368*DATOSAÑO!$Z$11)/DATOSAÑO!$Y$11</f>
        <v>0</v>
      </c>
      <c r="AQ368" s="9">
        <f ca="1">DATOSAÑO!CC367</f>
        <v>0</v>
      </c>
      <c r="AR368" s="1348">
        <f ca="1">(AQ368*DATOSAÑO!$Z$11)/DATOSAÑO!$Y$11</f>
        <v>0</v>
      </c>
      <c r="AS368" s="1384">
        <f t="shared" si="17"/>
        <v>51</v>
      </c>
    </row>
    <row r="369" spans="1:45">
      <c r="A369" s="1408">
        <v>45284</v>
      </c>
      <c r="B369" s="1869">
        <v>45284</v>
      </c>
      <c r="C369" s="9">
        <f ca="1">DATOSAÑO!I368</f>
        <v>0</v>
      </c>
      <c r="D369" s="10">
        <f ca="1">DATOSAÑO!$D368</f>
        <v>0</v>
      </c>
      <c r="E369" s="11">
        <f ca="1">DATOSAÑO!$G368</f>
        <v>0</v>
      </c>
      <c r="F369" s="9">
        <f ca="1">DATOSAÑO!P368</f>
        <v>0</v>
      </c>
      <c r="G369" s="10">
        <f ca="1">DATOSAÑO!K368</f>
        <v>0</v>
      </c>
      <c r="H369" s="11">
        <f ca="1">DATOSAÑO!N368</f>
        <v>0</v>
      </c>
      <c r="I369" s="9">
        <f ca="1">DATOSAÑO!Q368</f>
        <v>0</v>
      </c>
      <c r="J369" s="11">
        <f ca="1">DATOSAÑO!R368</f>
        <v>0</v>
      </c>
      <c r="K369" s="9">
        <f ca="1">DATOSAÑO!T368</f>
        <v>0</v>
      </c>
      <c r="L369" s="11">
        <f t="shared" ca="1" si="15"/>
        <v>0</v>
      </c>
      <c r="M369" s="9"/>
      <c r="N369" s="11">
        <f t="shared" si="16"/>
        <v>0</v>
      </c>
      <c r="O369" s="9">
        <f>DATOSAÑO!CK368</f>
        <v>0</v>
      </c>
      <c r="P369" s="9">
        <f>DATOSAÑO!CL368</f>
        <v>0</v>
      </c>
      <c r="Q369" s="9">
        <f ca="1">DATOSAÑO!AD368</f>
        <v>0</v>
      </c>
      <c r="R369" s="11">
        <f ca="1">(Q369*DATOSAÑO!$Z$11)/DATOSAÑO!$Y$11</f>
        <v>0</v>
      </c>
      <c r="S369" s="9">
        <f ca="1">DATOSAÑO!AF368</f>
        <v>0</v>
      </c>
      <c r="T369" s="11">
        <f ca="1">(S369*DATOSAÑO!$Z$11)/DATOSAÑO!$Y$11</f>
        <v>0</v>
      </c>
      <c r="U369" s="9">
        <f ca="1">DATOSAÑO!AH368</f>
        <v>0</v>
      </c>
      <c r="V369" s="11">
        <f ca="1">(U369*DATOSAÑO!$Z$11)/DATOSAÑO!$Y$11</f>
        <v>0</v>
      </c>
      <c r="W369" s="9">
        <f ca="1">DATOSAÑO!AI368</f>
        <v>0</v>
      </c>
      <c r="X369" s="11">
        <f ca="1">(W369*DATOSAÑO!$Z$11)/DATOSAÑO!$Y$11</f>
        <v>0</v>
      </c>
      <c r="Y369" s="9">
        <f ca="1">DATOSAÑO!AJ368</f>
        <v>0</v>
      </c>
      <c r="Z369" s="11">
        <f ca="1">(Y369*DATOSAÑO!$Z$11)/DATOSAÑO!$Y$11</f>
        <v>0</v>
      </c>
      <c r="AA369" s="9">
        <f ca="1">DATOSAÑO!AK368</f>
        <v>0</v>
      </c>
      <c r="AB369" s="11">
        <f ca="1">(AA369*DATOSAÑO!$Z$11)/DATOSAÑO!$Y$11</f>
        <v>0</v>
      </c>
      <c r="AC369" s="9">
        <f ca="1">DATOSAÑO!AL368</f>
        <v>0</v>
      </c>
      <c r="AD369" s="11">
        <f ca="1">(AC369*DATOSAÑO!$Z$11)/DATOSAÑO!$Y$11</f>
        <v>0</v>
      </c>
      <c r="AE369" s="9">
        <f ca="1">DATOSAÑO!CA368</f>
        <v>0</v>
      </c>
      <c r="AF369" s="11">
        <f ca="1">(AE369*DATOSAÑO!$Z$11)/DATOSAÑO!$Y$11</f>
        <v>0</v>
      </c>
      <c r="AG369" s="9">
        <f ca="1">DATOSAÑO!CB368</f>
        <v>0</v>
      </c>
      <c r="AH369" s="11">
        <f ca="1">(AG369*DATOSAÑO!$Z$11)/DATOSAÑO!$Y$11</f>
        <v>0</v>
      </c>
      <c r="AI369" s="9">
        <f ca="1">DATOSAÑO!BJ368</f>
        <v>0</v>
      </c>
      <c r="AJ369" s="11">
        <f ca="1">(AI369*DATOSAÑO!$Z$11)/DATOSAÑO!$Y$11</f>
        <v>0</v>
      </c>
      <c r="AK369" s="9">
        <f ca="1">DATOSAÑO!BM368</f>
        <v>0</v>
      </c>
      <c r="AL369" s="11">
        <f ca="1">(AK369*DATOSAÑO!$Z$11)/DATOSAÑO!$Y$11</f>
        <v>0</v>
      </c>
      <c r="AM369" s="9">
        <f ca="1">DATOSAÑO!BP368</f>
        <v>0</v>
      </c>
      <c r="AN369" s="11">
        <f ca="1">(AM369*DATOSAÑO!$Z$11)/DATOSAÑO!$Y$11</f>
        <v>0</v>
      </c>
      <c r="AO369" s="9">
        <f ca="1">DATOSAÑO!BW368</f>
        <v>0</v>
      </c>
      <c r="AP369" s="11">
        <f ca="1">(AO369*DATOSAÑO!$Z$11)/DATOSAÑO!$Y$11</f>
        <v>0</v>
      </c>
      <c r="AQ369" s="9">
        <f ca="1">DATOSAÑO!CC368</f>
        <v>0</v>
      </c>
      <c r="AR369" s="1348">
        <f ca="1">(AQ369*DATOSAÑO!$Z$11)/DATOSAÑO!$Y$11</f>
        <v>0</v>
      </c>
      <c r="AS369" s="1384">
        <f t="shared" si="17"/>
        <v>52</v>
      </c>
    </row>
    <row r="370" spans="1:45">
      <c r="A370" s="1408">
        <v>45285</v>
      </c>
      <c r="B370" s="1869">
        <v>45285</v>
      </c>
      <c r="C370" s="9">
        <f ca="1">DATOSAÑO!I369</f>
        <v>0</v>
      </c>
      <c r="D370" s="10">
        <f ca="1">DATOSAÑO!$D369</f>
        <v>0</v>
      </c>
      <c r="E370" s="11">
        <f ca="1">DATOSAÑO!$G369</f>
        <v>0</v>
      </c>
      <c r="F370" s="9">
        <f ca="1">DATOSAÑO!P369</f>
        <v>0</v>
      </c>
      <c r="G370" s="10">
        <f ca="1">DATOSAÑO!K369</f>
        <v>0</v>
      </c>
      <c r="H370" s="11">
        <f ca="1">DATOSAÑO!N369</f>
        <v>0</v>
      </c>
      <c r="I370" s="9">
        <f ca="1">DATOSAÑO!Q369</f>
        <v>0</v>
      </c>
      <c r="J370" s="11">
        <f ca="1">DATOSAÑO!R369</f>
        <v>0</v>
      </c>
      <c r="K370" s="9">
        <f ca="1">DATOSAÑO!T369</f>
        <v>0</v>
      </c>
      <c r="L370" s="11">
        <f t="shared" ca="1" si="15"/>
        <v>0</v>
      </c>
      <c r="M370" s="9"/>
      <c r="N370" s="11">
        <f t="shared" si="16"/>
        <v>0</v>
      </c>
      <c r="O370" s="9">
        <f>DATOSAÑO!CK369</f>
        <v>0</v>
      </c>
      <c r="P370" s="9">
        <f>DATOSAÑO!CL369</f>
        <v>0</v>
      </c>
      <c r="Q370" s="9">
        <f ca="1">DATOSAÑO!AD369</f>
        <v>0</v>
      </c>
      <c r="R370" s="11">
        <f ca="1">(Q370*DATOSAÑO!$Z$11)/DATOSAÑO!$Y$11</f>
        <v>0</v>
      </c>
      <c r="S370" s="9">
        <f ca="1">DATOSAÑO!AF369</f>
        <v>0</v>
      </c>
      <c r="T370" s="11">
        <f ca="1">(S370*DATOSAÑO!$Z$11)/DATOSAÑO!$Y$11</f>
        <v>0</v>
      </c>
      <c r="U370" s="9">
        <f ca="1">DATOSAÑO!AH369</f>
        <v>0</v>
      </c>
      <c r="V370" s="11">
        <f ca="1">(U370*DATOSAÑO!$Z$11)/DATOSAÑO!$Y$11</f>
        <v>0</v>
      </c>
      <c r="W370" s="9">
        <f ca="1">DATOSAÑO!AI369</f>
        <v>0</v>
      </c>
      <c r="X370" s="11">
        <f ca="1">(W370*DATOSAÑO!$Z$11)/DATOSAÑO!$Y$11</f>
        <v>0</v>
      </c>
      <c r="Y370" s="9">
        <f ca="1">DATOSAÑO!AJ369</f>
        <v>0</v>
      </c>
      <c r="Z370" s="11">
        <f ca="1">(Y370*DATOSAÑO!$Z$11)/DATOSAÑO!$Y$11</f>
        <v>0</v>
      </c>
      <c r="AA370" s="9">
        <f ca="1">DATOSAÑO!AK369</f>
        <v>0</v>
      </c>
      <c r="AB370" s="11">
        <f ca="1">(AA370*DATOSAÑO!$Z$11)/DATOSAÑO!$Y$11</f>
        <v>0</v>
      </c>
      <c r="AC370" s="9">
        <f ca="1">DATOSAÑO!AL369</f>
        <v>0</v>
      </c>
      <c r="AD370" s="11">
        <f ca="1">(AC370*DATOSAÑO!$Z$11)/DATOSAÑO!$Y$11</f>
        <v>0</v>
      </c>
      <c r="AE370" s="9">
        <f ca="1">DATOSAÑO!CA369</f>
        <v>0</v>
      </c>
      <c r="AF370" s="11">
        <f ca="1">(AE370*DATOSAÑO!$Z$11)/DATOSAÑO!$Y$11</f>
        <v>0</v>
      </c>
      <c r="AG370" s="9">
        <f ca="1">DATOSAÑO!CB369</f>
        <v>0</v>
      </c>
      <c r="AH370" s="11">
        <f ca="1">(AG370*DATOSAÑO!$Z$11)/DATOSAÑO!$Y$11</f>
        <v>0</v>
      </c>
      <c r="AI370" s="9">
        <f ca="1">DATOSAÑO!BJ369</f>
        <v>0</v>
      </c>
      <c r="AJ370" s="11">
        <f ca="1">(AI370*DATOSAÑO!$Z$11)/DATOSAÑO!$Y$11</f>
        <v>0</v>
      </c>
      <c r="AK370" s="9">
        <f ca="1">DATOSAÑO!BM369</f>
        <v>0</v>
      </c>
      <c r="AL370" s="11">
        <f ca="1">(AK370*DATOSAÑO!$Z$11)/DATOSAÑO!$Y$11</f>
        <v>0</v>
      </c>
      <c r="AM370" s="9">
        <f ca="1">DATOSAÑO!BP369</f>
        <v>0</v>
      </c>
      <c r="AN370" s="11">
        <f ca="1">(AM370*DATOSAÑO!$Z$11)/DATOSAÑO!$Y$11</f>
        <v>0</v>
      </c>
      <c r="AO370" s="9">
        <f ca="1">DATOSAÑO!BW369</f>
        <v>0</v>
      </c>
      <c r="AP370" s="11">
        <f ca="1">(AO370*DATOSAÑO!$Z$11)/DATOSAÑO!$Y$11</f>
        <v>0</v>
      </c>
      <c r="AQ370" s="9">
        <f ca="1">DATOSAÑO!CC369</f>
        <v>0</v>
      </c>
      <c r="AR370" s="1348">
        <f ca="1">(AQ370*DATOSAÑO!$Z$11)/DATOSAÑO!$Y$11</f>
        <v>0</v>
      </c>
      <c r="AS370" s="1384">
        <f t="shared" si="17"/>
        <v>52</v>
      </c>
    </row>
    <row r="371" spans="1:45">
      <c r="A371" s="1408">
        <v>45286</v>
      </c>
      <c r="B371" s="1869">
        <v>45286</v>
      </c>
      <c r="C371" s="9">
        <f ca="1">DATOSAÑO!I370</f>
        <v>0</v>
      </c>
      <c r="D371" s="10">
        <f ca="1">DATOSAÑO!$D370</f>
        <v>0</v>
      </c>
      <c r="E371" s="11">
        <f ca="1">DATOSAÑO!$G370</f>
        <v>0</v>
      </c>
      <c r="F371" s="9">
        <f ca="1">DATOSAÑO!P370</f>
        <v>0</v>
      </c>
      <c r="G371" s="10">
        <f ca="1">DATOSAÑO!K370</f>
        <v>0</v>
      </c>
      <c r="H371" s="11">
        <f ca="1">DATOSAÑO!N370</f>
        <v>0</v>
      </c>
      <c r="I371" s="9">
        <f ca="1">DATOSAÑO!Q370</f>
        <v>0</v>
      </c>
      <c r="J371" s="11">
        <f ca="1">DATOSAÑO!R370</f>
        <v>0</v>
      </c>
      <c r="K371" s="9">
        <f ca="1">DATOSAÑO!T370</f>
        <v>0</v>
      </c>
      <c r="L371" s="11">
        <f t="shared" ca="1" si="15"/>
        <v>0</v>
      </c>
      <c r="M371" s="9"/>
      <c r="N371" s="11">
        <f t="shared" si="16"/>
        <v>0</v>
      </c>
      <c r="O371" s="9">
        <f>DATOSAÑO!CK370</f>
        <v>0</v>
      </c>
      <c r="P371" s="9">
        <f>DATOSAÑO!CL370</f>
        <v>0</v>
      </c>
      <c r="Q371" s="9">
        <f ca="1">DATOSAÑO!AD370</f>
        <v>0</v>
      </c>
      <c r="R371" s="11">
        <f ca="1">(Q371*DATOSAÑO!$Z$11)/DATOSAÑO!$Y$11</f>
        <v>0</v>
      </c>
      <c r="S371" s="9">
        <f ca="1">DATOSAÑO!AF370</f>
        <v>0</v>
      </c>
      <c r="T371" s="11">
        <f ca="1">(S371*DATOSAÑO!$Z$11)/DATOSAÑO!$Y$11</f>
        <v>0</v>
      </c>
      <c r="U371" s="9">
        <f ca="1">DATOSAÑO!AH370</f>
        <v>0</v>
      </c>
      <c r="V371" s="11">
        <f ca="1">(U371*DATOSAÑO!$Z$11)/DATOSAÑO!$Y$11</f>
        <v>0</v>
      </c>
      <c r="W371" s="9">
        <f ca="1">DATOSAÑO!AI370</f>
        <v>0</v>
      </c>
      <c r="X371" s="11">
        <f ca="1">(W371*DATOSAÑO!$Z$11)/DATOSAÑO!$Y$11</f>
        <v>0</v>
      </c>
      <c r="Y371" s="9">
        <f ca="1">DATOSAÑO!AJ370</f>
        <v>0</v>
      </c>
      <c r="Z371" s="11">
        <f ca="1">(Y371*DATOSAÑO!$Z$11)/DATOSAÑO!$Y$11</f>
        <v>0</v>
      </c>
      <c r="AA371" s="9">
        <f ca="1">DATOSAÑO!AK370</f>
        <v>0</v>
      </c>
      <c r="AB371" s="11">
        <f ca="1">(AA371*DATOSAÑO!$Z$11)/DATOSAÑO!$Y$11</f>
        <v>0</v>
      </c>
      <c r="AC371" s="9">
        <f ca="1">DATOSAÑO!AL370</f>
        <v>0</v>
      </c>
      <c r="AD371" s="11">
        <f ca="1">(AC371*DATOSAÑO!$Z$11)/DATOSAÑO!$Y$11</f>
        <v>0</v>
      </c>
      <c r="AE371" s="9">
        <f ca="1">DATOSAÑO!CA370</f>
        <v>0</v>
      </c>
      <c r="AF371" s="11">
        <f ca="1">(AE371*DATOSAÑO!$Z$11)/DATOSAÑO!$Y$11</f>
        <v>0</v>
      </c>
      <c r="AG371" s="9">
        <f ca="1">DATOSAÑO!CB370</f>
        <v>0</v>
      </c>
      <c r="AH371" s="11">
        <f ca="1">(AG371*DATOSAÑO!$Z$11)/DATOSAÑO!$Y$11</f>
        <v>0</v>
      </c>
      <c r="AI371" s="9">
        <f ca="1">DATOSAÑO!BJ370</f>
        <v>0</v>
      </c>
      <c r="AJ371" s="11">
        <f ca="1">(AI371*DATOSAÑO!$Z$11)/DATOSAÑO!$Y$11</f>
        <v>0</v>
      </c>
      <c r="AK371" s="9">
        <f ca="1">DATOSAÑO!BM370</f>
        <v>0</v>
      </c>
      <c r="AL371" s="11">
        <f ca="1">(AK371*DATOSAÑO!$Z$11)/DATOSAÑO!$Y$11</f>
        <v>0</v>
      </c>
      <c r="AM371" s="9">
        <f ca="1">DATOSAÑO!BP370</f>
        <v>0</v>
      </c>
      <c r="AN371" s="11">
        <f ca="1">(AM371*DATOSAÑO!$Z$11)/DATOSAÑO!$Y$11</f>
        <v>0</v>
      </c>
      <c r="AO371" s="9">
        <f ca="1">DATOSAÑO!BW370</f>
        <v>0</v>
      </c>
      <c r="AP371" s="11">
        <f ca="1">(AO371*DATOSAÑO!$Z$11)/DATOSAÑO!$Y$11</f>
        <v>0</v>
      </c>
      <c r="AQ371" s="9">
        <f ca="1">DATOSAÑO!CC370</f>
        <v>0</v>
      </c>
      <c r="AR371" s="1348">
        <f ca="1">(AQ371*DATOSAÑO!$Z$11)/DATOSAÑO!$Y$11</f>
        <v>0</v>
      </c>
      <c r="AS371" s="1384">
        <f t="shared" si="17"/>
        <v>52</v>
      </c>
    </row>
    <row r="372" spans="1:45">
      <c r="A372" s="1408">
        <v>45287</v>
      </c>
      <c r="B372" s="1869">
        <v>45287</v>
      </c>
      <c r="C372" s="9">
        <f ca="1">DATOSAÑO!I371</f>
        <v>0</v>
      </c>
      <c r="D372" s="10">
        <f ca="1">DATOSAÑO!$D371</f>
        <v>0</v>
      </c>
      <c r="E372" s="11">
        <f ca="1">DATOSAÑO!$G371</f>
        <v>0</v>
      </c>
      <c r="F372" s="9">
        <f ca="1">DATOSAÑO!P371</f>
        <v>0</v>
      </c>
      <c r="G372" s="10">
        <f ca="1">DATOSAÑO!K371</f>
        <v>0</v>
      </c>
      <c r="H372" s="11">
        <f ca="1">DATOSAÑO!N371</f>
        <v>0</v>
      </c>
      <c r="I372" s="9">
        <f ca="1">DATOSAÑO!Q371</f>
        <v>0</v>
      </c>
      <c r="J372" s="11">
        <f ca="1">DATOSAÑO!R371</f>
        <v>0</v>
      </c>
      <c r="K372" s="9">
        <f ca="1">DATOSAÑO!T371</f>
        <v>0</v>
      </c>
      <c r="L372" s="11">
        <f t="shared" ca="1" si="15"/>
        <v>0</v>
      </c>
      <c r="M372" s="9"/>
      <c r="N372" s="11">
        <f t="shared" si="16"/>
        <v>0</v>
      </c>
      <c r="O372" s="9">
        <f>DATOSAÑO!CK371</f>
        <v>0</v>
      </c>
      <c r="P372" s="9">
        <f>DATOSAÑO!CL371</f>
        <v>0</v>
      </c>
      <c r="Q372" s="9">
        <f ca="1">DATOSAÑO!AD371</f>
        <v>0</v>
      </c>
      <c r="R372" s="11">
        <f ca="1">(Q372*DATOSAÑO!$Z$11)/DATOSAÑO!$Y$11</f>
        <v>0</v>
      </c>
      <c r="S372" s="9">
        <f ca="1">DATOSAÑO!AF371</f>
        <v>0</v>
      </c>
      <c r="T372" s="11">
        <f ca="1">(S372*DATOSAÑO!$Z$11)/DATOSAÑO!$Y$11</f>
        <v>0</v>
      </c>
      <c r="U372" s="9">
        <f ca="1">DATOSAÑO!AH371</f>
        <v>0</v>
      </c>
      <c r="V372" s="11">
        <f ca="1">(U372*DATOSAÑO!$Z$11)/DATOSAÑO!$Y$11</f>
        <v>0</v>
      </c>
      <c r="W372" s="9">
        <f ca="1">DATOSAÑO!AI371</f>
        <v>0</v>
      </c>
      <c r="X372" s="11">
        <f ca="1">(W372*DATOSAÑO!$Z$11)/DATOSAÑO!$Y$11</f>
        <v>0</v>
      </c>
      <c r="Y372" s="9">
        <f ca="1">DATOSAÑO!AJ371</f>
        <v>0</v>
      </c>
      <c r="Z372" s="11">
        <f ca="1">(Y372*DATOSAÑO!$Z$11)/DATOSAÑO!$Y$11</f>
        <v>0</v>
      </c>
      <c r="AA372" s="9">
        <f ca="1">DATOSAÑO!AK371</f>
        <v>0</v>
      </c>
      <c r="AB372" s="11">
        <f ca="1">(AA372*DATOSAÑO!$Z$11)/DATOSAÑO!$Y$11</f>
        <v>0</v>
      </c>
      <c r="AC372" s="9">
        <f ca="1">DATOSAÑO!AL371</f>
        <v>0</v>
      </c>
      <c r="AD372" s="11">
        <f ca="1">(AC372*DATOSAÑO!$Z$11)/DATOSAÑO!$Y$11</f>
        <v>0</v>
      </c>
      <c r="AE372" s="9">
        <f ca="1">DATOSAÑO!CA371</f>
        <v>0</v>
      </c>
      <c r="AF372" s="11">
        <f ca="1">(AE372*DATOSAÑO!$Z$11)/DATOSAÑO!$Y$11</f>
        <v>0</v>
      </c>
      <c r="AG372" s="9">
        <f ca="1">DATOSAÑO!CB371</f>
        <v>0</v>
      </c>
      <c r="AH372" s="11">
        <f ca="1">(AG372*DATOSAÑO!$Z$11)/DATOSAÑO!$Y$11</f>
        <v>0</v>
      </c>
      <c r="AI372" s="9">
        <f ca="1">DATOSAÑO!BJ371</f>
        <v>0</v>
      </c>
      <c r="AJ372" s="11">
        <f ca="1">(AI372*DATOSAÑO!$Z$11)/DATOSAÑO!$Y$11</f>
        <v>0</v>
      </c>
      <c r="AK372" s="9">
        <f ca="1">DATOSAÑO!BM371</f>
        <v>0</v>
      </c>
      <c r="AL372" s="11">
        <f ca="1">(AK372*DATOSAÑO!$Z$11)/DATOSAÑO!$Y$11</f>
        <v>0</v>
      </c>
      <c r="AM372" s="9">
        <f ca="1">DATOSAÑO!BP371</f>
        <v>0</v>
      </c>
      <c r="AN372" s="11">
        <f ca="1">(AM372*DATOSAÑO!$Z$11)/DATOSAÑO!$Y$11</f>
        <v>0</v>
      </c>
      <c r="AO372" s="9">
        <f ca="1">DATOSAÑO!BW371</f>
        <v>0</v>
      </c>
      <c r="AP372" s="11">
        <f ca="1">(AO372*DATOSAÑO!$Z$11)/DATOSAÑO!$Y$11</f>
        <v>0</v>
      </c>
      <c r="AQ372" s="9">
        <f ca="1">DATOSAÑO!CC371</f>
        <v>0</v>
      </c>
      <c r="AR372" s="1348">
        <f ca="1">(AQ372*DATOSAÑO!$Z$11)/DATOSAÑO!$Y$11</f>
        <v>0</v>
      </c>
      <c r="AS372" s="1384">
        <f t="shared" si="17"/>
        <v>52</v>
      </c>
    </row>
    <row r="373" spans="1:45">
      <c r="A373" s="1408">
        <v>45288</v>
      </c>
      <c r="B373" s="1869">
        <v>45288</v>
      </c>
      <c r="C373" s="9">
        <f ca="1">DATOSAÑO!I372</f>
        <v>0</v>
      </c>
      <c r="D373" s="10">
        <f ca="1">DATOSAÑO!$D372</f>
        <v>0</v>
      </c>
      <c r="E373" s="11">
        <f ca="1">DATOSAÑO!$G372</f>
        <v>0</v>
      </c>
      <c r="F373" s="9">
        <f ca="1">DATOSAÑO!P372</f>
        <v>0</v>
      </c>
      <c r="G373" s="10">
        <f ca="1">DATOSAÑO!K372</f>
        <v>0</v>
      </c>
      <c r="H373" s="11">
        <f ca="1">DATOSAÑO!N372</f>
        <v>0</v>
      </c>
      <c r="I373" s="9">
        <f ca="1">DATOSAÑO!Q372</f>
        <v>0</v>
      </c>
      <c r="J373" s="11">
        <f ca="1">DATOSAÑO!R372</f>
        <v>0</v>
      </c>
      <c r="K373" s="9">
        <f ca="1">DATOSAÑO!T372</f>
        <v>0</v>
      </c>
      <c r="L373" s="11">
        <f t="shared" ca="1" si="15"/>
        <v>0</v>
      </c>
      <c r="M373" s="9"/>
      <c r="N373" s="11">
        <f t="shared" si="16"/>
        <v>0</v>
      </c>
      <c r="O373" s="9">
        <f>DATOSAÑO!CK372</f>
        <v>0</v>
      </c>
      <c r="P373" s="9">
        <f>DATOSAÑO!CL372</f>
        <v>0</v>
      </c>
      <c r="Q373" s="9">
        <f ca="1">DATOSAÑO!AD372</f>
        <v>0</v>
      </c>
      <c r="R373" s="11">
        <f ca="1">(Q373*DATOSAÑO!$Z$11)/DATOSAÑO!$Y$11</f>
        <v>0</v>
      </c>
      <c r="S373" s="9">
        <f ca="1">DATOSAÑO!AF372</f>
        <v>0</v>
      </c>
      <c r="T373" s="11">
        <f ca="1">(S373*DATOSAÑO!$Z$11)/DATOSAÑO!$Y$11</f>
        <v>0</v>
      </c>
      <c r="U373" s="9">
        <f ca="1">DATOSAÑO!AH372</f>
        <v>0</v>
      </c>
      <c r="V373" s="11">
        <f ca="1">(U373*DATOSAÑO!$Z$11)/DATOSAÑO!$Y$11</f>
        <v>0</v>
      </c>
      <c r="W373" s="9">
        <f ca="1">DATOSAÑO!AI372</f>
        <v>0</v>
      </c>
      <c r="X373" s="11">
        <f ca="1">(W373*DATOSAÑO!$Z$11)/DATOSAÑO!$Y$11</f>
        <v>0</v>
      </c>
      <c r="Y373" s="9">
        <f ca="1">DATOSAÑO!AJ372</f>
        <v>0</v>
      </c>
      <c r="Z373" s="11">
        <f ca="1">(Y373*DATOSAÑO!$Z$11)/DATOSAÑO!$Y$11</f>
        <v>0</v>
      </c>
      <c r="AA373" s="9">
        <f ca="1">DATOSAÑO!AK372</f>
        <v>0</v>
      </c>
      <c r="AB373" s="11">
        <f ca="1">(AA373*DATOSAÑO!$Z$11)/DATOSAÑO!$Y$11</f>
        <v>0</v>
      </c>
      <c r="AC373" s="9">
        <f ca="1">DATOSAÑO!AL372</f>
        <v>0</v>
      </c>
      <c r="AD373" s="11">
        <f ca="1">(AC373*DATOSAÑO!$Z$11)/DATOSAÑO!$Y$11</f>
        <v>0</v>
      </c>
      <c r="AE373" s="9">
        <f ca="1">DATOSAÑO!CA372</f>
        <v>0</v>
      </c>
      <c r="AF373" s="11">
        <f ca="1">(AE373*DATOSAÑO!$Z$11)/DATOSAÑO!$Y$11</f>
        <v>0</v>
      </c>
      <c r="AG373" s="9">
        <f ca="1">DATOSAÑO!CB372</f>
        <v>0</v>
      </c>
      <c r="AH373" s="11">
        <f ca="1">(AG373*DATOSAÑO!$Z$11)/DATOSAÑO!$Y$11</f>
        <v>0</v>
      </c>
      <c r="AI373" s="9">
        <f ca="1">DATOSAÑO!BJ372</f>
        <v>0</v>
      </c>
      <c r="AJ373" s="11">
        <f ca="1">(AI373*DATOSAÑO!$Z$11)/DATOSAÑO!$Y$11</f>
        <v>0</v>
      </c>
      <c r="AK373" s="9">
        <f ca="1">DATOSAÑO!BM372</f>
        <v>0</v>
      </c>
      <c r="AL373" s="11">
        <f ca="1">(AK373*DATOSAÑO!$Z$11)/DATOSAÑO!$Y$11</f>
        <v>0</v>
      </c>
      <c r="AM373" s="9">
        <f ca="1">DATOSAÑO!BP372</f>
        <v>0</v>
      </c>
      <c r="AN373" s="11">
        <f ca="1">(AM373*DATOSAÑO!$Z$11)/DATOSAÑO!$Y$11</f>
        <v>0</v>
      </c>
      <c r="AO373" s="9">
        <f ca="1">DATOSAÑO!BW372</f>
        <v>0</v>
      </c>
      <c r="AP373" s="11">
        <f ca="1">(AO373*DATOSAÑO!$Z$11)/DATOSAÑO!$Y$11</f>
        <v>0</v>
      </c>
      <c r="AQ373" s="9">
        <f ca="1">DATOSAÑO!CC372</f>
        <v>0</v>
      </c>
      <c r="AR373" s="1348">
        <f ca="1">(AQ373*DATOSAÑO!$Z$11)/DATOSAÑO!$Y$11</f>
        <v>0</v>
      </c>
      <c r="AS373" s="1384">
        <f t="shared" si="17"/>
        <v>52</v>
      </c>
    </row>
    <row r="374" spans="1:45">
      <c r="A374" s="1408">
        <v>45289</v>
      </c>
      <c r="B374" s="1869">
        <v>45289</v>
      </c>
      <c r="C374" s="9">
        <f ca="1">DATOSAÑO!I373</f>
        <v>0</v>
      </c>
      <c r="D374" s="10">
        <f ca="1">DATOSAÑO!$D373</f>
        <v>0</v>
      </c>
      <c r="E374" s="11">
        <f ca="1">DATOSAÑO!$G373</f>
        <v>0</v>
      </c>
      <c r="F374" s="9">
        <f ca="1">DATOSAÑO!P373</f>
        <v>0</v>
      </c>
      <c r="G374" s="10">
        <f ca="1">DATOSAÑO!K373</f>
        <v>0</v>
      </c>
      <c r="H374" s="11">
        <f ca="1">DATOSAÑO!N373</f>
        <v>0</v>
      </c>
      <c r="I374" s="9">
        <f ca="1">DATOSAÑO!Q373</f>
        <v>0</v>
      </c>
      <c r="J374" s="11">
        <f ca="1">DATOSAÑO!R373</f>
        <v>0</v>
      </c>
      <c r="K374" s="9">
        <f ca="1">DATOSAÑO!T373</f>
        <v>0</v>
      </c>
      <c r="L374" s="11">
        <f t="shared" ca="1" si="15"/>
        <v>0</v>
      </c>
      <c r="M374" s="9"/>
      <c r="N374" s="11">
        <f t="shared" si="16"/>
        <v>0</v>
      </c>
      <c r="O374" s="9">
        <f>DATOSAÑO!CK373</f>
        <v>0</v>
      </c>
      <c r="P374" s="9">
        <f>DATOSAÑO!CL373</f>
        <v>0</v>
      </c>
      <c r="Q374" s="9">
        <f ca="1">DATOSAÑO!AD373</f>
        <v>0</v>
      </c>
      <c r="R374" s="11">
        <f ca="1">(Q374*DATOSAÑO!$Z$11)/DATOSAÑO!$Y$11</f>
        <v>0</v>
      </c>
      <c r="S374" s="9">
        <f ca="1">DATOSAÑO!AF373</f>
        <v>0</v>
      </c>
      <c r="T374" s="11">
        <f ca="1">(S374*DATOSAÑO!$Z$11)/DATOSAÑO!$Y$11</f>
        <v>0</v>
      </c>
      <c r="U374" s="9">
        <f ca="1">DATOSAÑO!AH373</f>
        <v>0</v>
      </c>
      <c r="V374" s="11">
        <f ca="1">(U374*DATOSAÑO!$Z$11)/DATOSAÑO!$Y$11</f>
        <v>0</v>
      </c>
      <c r="W374" s="9">
        <f ca="1">DATOSAÑO!AI373</f>
        <v>0</v>
      </c>
      <c r="X374" s="11">
        <f ca="1">(W374*DATOSAÑO!$Z$11)/DATOSAÑO!$Y$11</f>
        <v>0</v>
      </c>
      <c r="Y374" s="9">
        <f ca="1">DATOSAÑO!AJ373</f>
        <v>0</v>
      </c>
      <c r="Z374" s="11">
        <f ca="1">(Y374*DATOSAÑO!$Z$11)/DATOSAÑO!$Y$11</f>
        <v>0</v>
      </c>
      <c r="AA374" s="9">
        <f ca="1">DATOSAÑO!AK373</f>
        <v>0</v>
      </c>
      <c r="AB374" s="11">
        <f ca="1">(AA374*DATOSAÑO!$Z$11)/DATOSAÑO!$Y$11</f>
        <v>0</v>
      </c>
      <c r="AC374" s="9">
        <f ca="1">DATOSAÑO!AL373</f>
        <v>0</v>
      </c>
      <c r="AD374" s="11">
        <f ca="1">(AC374*DATOSAÑO!$Z$11)/DATOSAÑO!$Y$11</f>
        <v>0</v>
      </c>
      <c r="AE374" s="9">
        <f ca="1">DATOSAÑO!CA373</f>
        <v>0</v>
      </c>
      <c r="AF374" s="11">
        <f ca="1">(AE374*DATOSAÑO!$Z$11)/DATOSAÑO!$Y$11</f>
        <v>0</v>
      </c>
      <c r="AG374" s="9">
        <f ca="1">DATOSAÑO!CB373</f>
        <v>0</v>
      </c>
      <c r="AH374" s="11">
        <f ca="1">(AG374*DATOSAÑO!$Z$11)/DATOSAÑO!$Y$11</f>
        <v>0</v>
      </c>
      <c r="AI374" s="9">
        <f ca="1">DATOSAÑO!BJ373</f>
        <v>0</v>
      </c>
      <c r="AJ374" s="11">
        <f ca="1">(AI374*DATOSAÑO!$Z$11)/DATOSAÑO!$Y$11</f>
        <v>0</v>
      </c>
      <c r="AK374" s="9">
        <f ca="1">DATOSAÑO!BM373</f>
        <v>0</v>
      </c>
      <c r="AL374" s="11">
        <f ca="1">(AK374*DATOSAÑO!$Z$11)/DATOSAÑO!$Y$11</f>
        <v>0</v>
      </c>
      <c r="AM374" s="9">
        <f ca="1">DATOSAÑO!BP373</f>
        <v>0</v>
      </c>
      <c r="AN374" s="11">
        <f ca="1">(AM374*DATOSAÑO!$Z$11)/DATOSAÑO!$Y$11</f>
        <v>0</v>
      </c>
      <c r="AO374" s="9">
        <f ca="1">DATOSAÑO!BW373</f>
        <v>0</v>
      </c>
      <c r="AP374" s="11">
        <f ca="1">(AO374*DATOSAÑO!$Z$11)/DATOSAÑO!$Y$11</f>
        <v>0</v>
      </c>
      <c r="AQ374" s="9">
        <f ca="1">DATOSAÑO!CC373</f>
        <v>0</v>
      </c>
      <c r="AR374" s="1348">
        <f ca="1">(AQ374*DATOSAÑO!$Z$11)/DATOSAÑO!$Y$11</f>
        <v>0</v>
      </c>
      <c r="AS374" s="1384">
        <f t="shared" si="17"/>
        <v>52</v>
      </c>
    </row>
    <row r="375" spans="1:45">
      <c r="A375" s="1408">
        <v>45290</v>
      </c>
      <c r="B375" s="1869">
        <v>45290</v>
      </c>
      <c r="C375" s="9">
        <f ca="1">DATOSAÑO!I374</f>
        <v>0</v>
      </c>
      <c r="D375" s="10">
        <f ca="1">DATOSAÑO!$D374</f>
        <v>0</v>
      </c>
      <c r="E375" s="11">
        <f ca="1">DATOSAÑO!$G374</f>
        <v>0</v>
      </c>
      <c r="F375" s="9">
        <f ca="1">DATOSAÑO!P374</f>
        <v>0</v>
      </c>
      <c r="G375" s="10">
        <f ca="1">DATOSAÑO!K374</f>
        <v>0</v>
      </c>
      <c r="H375" s="11">
        <f ca="1">DATOSAÑO!N374</f>
        <v>0</v>
      </c>
      <c r="I375" s="9">
        <f ca="1">DATOSAÑO!Q374</f>
        <v>0</v>
      </c>
      <c r="J375" s="11">
        <f ca="1">DATOSAÑO!R374</f>
        <v>0</v>
      </c>
      <c r="K375" s="9">
        <f ca="1">DATOSAÑO!T374</f>
        <v>0</v>
      </c>
      <c r="L375" s="11">
        <f t="shared" ca="1" si="15"/>
        <v>0</v>
      </c>
      <c r="M375" s="9"/>
      <c r="N375" s="11">
        <f t="shared" si="16"/>
        <v>0</v>
      </c>
      <c r="O375" s="9">
        <f>DATOSAÑO!CK374</f>
        <v>0</v>
      </c>
      <c r="P375" s="9">
        <f>DATOSAÑO!CL374</f>
        <v>0</v>
      </c>
      <c r="Q375" s="9">
        <f ca="1">DATOSAÑO!AD374</f>
        <v>0</v>
      </c>
      <c r="R375" s="11">
        <f ca="1">(Q375*DATOSAÑO!$Z$11)/DATOSAÑO!$Y$11</f>
        <v>0</v>
      </c>
      <c r="S375" s="9">
        <f ca="1">DATOSAÑO!AF374</f>
        <v>0</v>
      </c>
      <c r="T375" s="11">
        <f ca="1">(S375*DATOSAÑO!$Z$11)/DATOSAÑO!$Y$11</f>
        <v>0</v>
      </c>
      <c r="U375" s="9">
        <f ca="1">DATOSAÑO!AH374</f>
        <v>0</v>
      </c>
      <c r="V375" s="11">
        <f ca="1">(U375*DATOSAÑO!$Z$11)/DATOSAÑO!$Y$11</f>
        <v>0</v>
      </c>
      <c r="W375" s="9">
        <f ca="1">DATOSAÑO!AI374</f>
        <v>0</v>
      </c>
      <c r="X375" s="11">
        <f ca="1">(W375*DATOSAÑO!$Z$11)/DATOSAÑO!$Y$11</f>
        <v>0</v>
      </c>
      <c r="Y375" s="9">
        <f ca="1">DATOSAÑO!AJ374</f>
        <v>0</v>
      </c>
      <c r="Z375" s="11">
        <f ca="1">(Y375*DATOSAÑO!$Z$11)/DATOSAÑO!$Y$11</f>
        <v>0</v>
      </c>
      <c r="AA375" s="9">
        <f ca="1">DATOSAÑO!AK374</f>
        <v>0</v>
      </c>
      <c r="AB375" s="11">
        <f ca="1">(AA375*DATOSAÑO!$Z$11)/DATOSAÑO!$Y$11</f>
        <v>0</v>
      </c>
      <c r="AC375" s="9">
        <f ca="1">DATOSAÑO!AL374</f>
        <v>0</v>
      </c>
      <c r="AD375" s="11">
        <f ca="1">(AC375*DATOSAÑO!$Z$11)/DATOSAÑO!$Y$11</f>
        <v>0</v>
      </c>
      <c r="AE375" s="9">
        <f ca="1">DATOSAÑO!CA374</f>
        <v>0</v>
      </c>
      <c r="AF375" s="11">
        <f ca="1">(AE375*DATOSAÑO!$Z$11)/DATOSAÑO!$Y$11</f>
        <v>0</v>
      </c>
      <c r="AG375" s="9">
        <f ca="1">DATOSAÑO!CB374</f>
        <v>0</v>
      </c>
      <c r="AH375" s="11">
        <f ca="1">(AG375*DATOSAÑO!$Z$11)/DATOSAÑO!$Y$11</f>
        <v>0</v>
      </c>
      <c r="AI375" s="9">
        <f ca="1">DATOSAÑO!BJ374</f>
        <v>0</v>
      </c>
      <c r="AJ375" s="11">
        <f ca="1">(AI375*DATOSAÑO!$Z$11)/DATOSAÑO!$Y$11</f>
        <v>0</v>
      </c>
      <c r="AK375" s="9">
        <f ca="1">DATOSAÑO!BM374</f>
        <v>0</v>
      </c>
      <c r="AL375" s="11">
        <f ca="1">(AK375*DATOSAÑO!$Z$11)/DATOSAÑO!$Y$11</f>
        <v>0</v>
      </c>
      <c r="AM375" s="9">
        <f ca="1">DATOSAÑO!BP374</f>
        <v>0</v>
      </c>
      <c r="AN375" s="11">
        <f ca="1">(AM375*DATOSAÑO!$Z$11)/DATOSAÑO!$Y$11</f>
        <v>0</v>
      </c>
      <c r="AO375" s="9">
        <f ca="1">DATOSAÑO!BW374</f>
        <v>0</v>
      </c>
      <c r="AP375" s="11">
        <f ca="1">(AO375*DATOSAÑO!$Z$11)/DATOSAÑO!$Y$11</f>
        <v>0</v>
      </c>
      <c r="AQ375" s="9">
        <f ca="1">DATOSAÑO!CC374</f>
        <v>0</v>
      </c>
      <c r="AR375" s="1348">
        <f ca="1">(AQ375*DATOSAÑO!$Z$11)/DATOSAÑO!$Y$11</f>
        <v>0</v>
      </c>
      <c r="AS375" s="1384">
        <f t="shared" si="17"/>
        <v>52</v>
      </c>
    </row>
    <row r="376" spans="1:45" ht="15" thickBot="1">
      <c r="A376" s="1408">
        <v>45291</v>
      </c>
      <c r="B376" s="1870">
        <v>45291</v>
      </c>
      <c r="C376" s="173">
        <f ca="1">DATOSAÑO!I375</f>
        <v>0</v>
      </c>
      <c r="D376" s="196">
        <f ca="1">DATOSAÑO!$D375</f>
        <v>0</v>
      </c>
      <c r="E376" s="172">
        <f ca="1">DATOSAÑO!$G375</f>
        <v>0</v>
      </c>
      <c r="F376" s="173">
        <f ca="1">DATOSAÑO!P375</f>
        <v>0</v>
      </c>
      <c r="G376" s="196">
        <f ca="1">DATOSAÑO!K375</f>
        <v>0</v>
      </c>
      <c r="H376" s="172">
        <f ca="1">DATOSAÑO!N375</f>
        <v>0</v>
      </c>
      <c r="I376" s="173">
        <f ca="1">DATOSAÑO!Q375</f>
        <v>0</v>
      </c>
      <c r="J376" s="172">
        <f ca="1">DATOSAÑO!R375</f>
        <v>0</v>
      </c>
      <c r="K376" s="173">
        <f ca="1">DATOSAÑO!T375</f>
        <v>0</v>
      </c>
      <c r="L376" s="172">
        <f t="shared" ca="1" si="15"/>
        <v>0</v>
      </c>
      <c r="M376" s="173"/>
      <c r="N376" s="172">
        <f t="shared" si="16"/>
        <v>0</v>
      </c>
      <c r="O376" s="173">
        <f>DATOSAÑO!CK375</f>
        <v>0</v>
      </c>
      <c r="P376" s="171">
        <f>DATOSAÑO!CL375</f>
        <v>0</v>
      </c>
      <c r="Q376" s="173">
        <f ca="1">DATOSAÑO!AD375</f>
        <v>0</v>
      </c>
      <c r="R376" s="172">
        <f ca="1">(Q376*DATOSAÑO!$Z$11)/DATOSAÑO!$Y$11</f>
        <v>0</v>
      </c>
      <c r="S376" s="173">
        <f ca="1">DATOSAÑO!AF375</f>
        <v>0</v>
      </c>
      <c r="T376" s="172">
        <f ca="1">(S376*DATOSAÑO!$Z$11)/DATOSAÑO!$Y$11</f>
        <v>0</v>
      </c>
      <c r="U376" s="173">
        <f ca="1">DATOSAÑO!AH375</f>
        <v>0</v>
      </c>
      <c r="V376" s="172">
        <f ca="1">(U376*DATOSAÑO!$Z$11)/DATOSAÑO!$Y$11</f>
        <v>0</v>
      </c>
      <c r="W376" s="173">
        <f ca="1">DATOSAÑO!AI375</f>
        <v>0</v>
      </c>
      <c r="X376" s="172">
        <f ca="1">(W376*DATOSAÑO!$Z$11)/DATOSAÑO!$Y$11</f>
        <v>0</v>
      </c>
      <c r="Y376" s="173">
        <f ca="1">DATOSAÑO!AJ375</f>
        <v>0</v>
      </c>
      <c r="Z376" s="172">
        <f ca="1">(Y376*DATOSAÑO!$Z$11)/DATOSAÑO!$Y$11</f>
        <v>0</v>
      </c>
      <c r="AA376" s="173">
        <f ca="1">DATOSAÑO!AK375</f>
        <v>0</v>
      </c>
      <c r="AB376" s="172">
        <f ca="1">(AA376*DATOSAÑO!$Z$11)/DATOSAÑO!$Y$11</f>
        <v>0</v>
      </c>
      <c r="AC376" s="173">
        <f ca="1">DATOSAÑO!AL375</f>
        <v>0</v>
      </c>
      <c r="AD376" s="172">
        <f ca="1">(AC376*DATOSAÑO!$Z$11)/DATOSAÑO!$Y$11</f>
        <v>0</v>
      </c>
      <c r="AE376" s="173">
        <f ca="1">DATOSAÑO!CA375</f>
        <v>0</v>
      </c>
      <c r="AF376" s="172">
        <f ca="1">(AE376*DATOSAÑO!$Z$11)/DATOSAÑO!$Y$11</f>
        <v>0</v>
      </c>
      <c r="AG376" s="173">
        <f ca="1">DATOSAÑO!CB375</f>
        <v>0</v>
      </c>
      <c r="AH376" s="172">
        <f ca="1">(AG376*DATOSAÑO!$Z$11)/DATOSAÑO!$Y$11</f>
        <v>0</v>
      </c>
      <c r="AI376" s="173">
        <f ca="1">DATOSAÑO!BJ375</f>
        <v>0</v>
      </c>
      <c r="AJ376" s="172">
        <f ca="1">(AI376*DATOSAÑO!$Z$11)/DATOSAÑO!$Y$11</f>
        <v>0</v>
      </c>
      <c r="AK376" s="173">
        <f ca="1">DATOSAÑO!BM375</f>
        <v>0</v>
      </c>
      <c r="AL376" s="172">
        <f ca="1">(AK376*DATOSAÑO!$Z$11)/DATOSAÑO!$Y$11</f>
        <v>0</v>
      </c>
      <c r="AM376" s="173">
        <f ca="1">DATOSAÑO!BP375</f>
        <v>0</v>
      </c>
      <c r="AN376" s="172">
        <f ca="1">(AM376*DATOSAÑO!$Z$11)/DATOSAÑO!$Y$11</f>
        <v>0</v>
      </c>
      <c r="AO376" s="173">
        <f ca="1">DATOSAÑO!BW375</f>
        <v>0</v>
      </c>
      <c r="AP376" s="172">
        <f ca="1">(AO376*DATOSAÑO!$Z$11)/DATOSAÑO!$Y$11</f>
        <v>0</v>
      </c>
      <c r="AQ376" s="173">
        <f ca="1">DATOSAÑO!CC375</f>
        <v>0</v>
      </c>
      <c r="AR376" s="1350">
        <f ca="1">(AQ376*DATOSAÑO!$Z$11)/DATOSAÑO!$Y$11</f>
        <v>0</v>
      </c>
      <c r="AS376" s="1386">
        <f t="shared" si="17"/>
        <v>53</v>
      </c>
    </row>
  </sheetData>
  <mergeCells count="30">
    <mergeCell ref="Y10:Z10"/>
    <mergeCell ref="AA10:AB10"/>
    <mergeCell ref="AC10:AD10"/>
    <mergeCell ref="B8:AH8"/>
    <mergeCell ref="B9:B11"/>
    <mergeCell ref="C9:L9"/>
    <mergeCell ref="Q9:AH9"/>
    <mergeCell ref="C10:E10"/>
    <mergeCell ref="F10:H10"/>
    <mergeCell ref="I10:J10"/>
    <mergeCell ref="K10:L10"/>
    <mergeCell ref="M10:N10"/>
    <mergeCell ref="Q10:R10"/>
    <mergeCell ref="AE10:AF10"/>
    <mergeCell ref="AG10:AH10"/>
    <mergeCell ref="S10:T10"/>
    <mergeCell ref="U10:V10"/>
    <mergeCell ref="W10:X10"/>
    <mergeCell ref="G3:H3"/>
    <mergeCell ref="I4:J4"/>
    <mergeCell ref="I5:J5"/>
    <mergeCell ref="G4:H4"/>
    <mergeCell ref="G5:H5"/>
    <mergeCell ref="AI8:AR8"/>
    <mergeCell ref="AK10:AL10"/>
    <mergeCell ref="AM10:AN10"/>
    <mergeCell ref="AO10:AP10"/>
    <mergeCell ref="AQ10:AR10"/>
    <mergeCell ref="AI9:AR9"/>
    <mergeCell ref="AI10:AJ10"/>
  </mergeCells>
  <pageMargins left="0.70866141732283472" right="0.70866141732283472" top="0.74803149606299213" bottom="0.74803149606299213" header="0.31496062992125984" footer="0.31496062992125984"/>
  <pageSetup scale="80" fitToWidth="0" fitToHeight="0" orientation="portrait" r:id="rId1"/>
  <ignoredErrors>
    <ignoredError sqref="S71:S376 U71:U376 W71:AH284 W285:AD376 AH285:AH315 AI12:AR42 W12:AH70 U12:U70 S12:S70 AI43:AR70 AI71:AR101 AI102:AR131 AI132:AR162 AI163:AR192 AI193:AR223 AI224:AR254 AI255:AR284 AI285:AR315 AF285:AF315 AE285:AE315 AG285:AG315 AH316:AH345 AF316:AF345 AE316:AE345 AG316:AG345 AI316:AR345 AH346:AH376 AF346:AF376 AE346:AE376 AG346:AG376 AI346:AR376" formula="1"/>
  </ignoredErrors>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tabColor rgb="FF92D050"/>
  </sheetPr>
  <dimension ref="A1:T53"/>
  <sheetViews>
    <sheetView showGridLines="0" topLeftCell="A11" zoomScale="60" zoomScaleNormal="60" workbookViewId="0">
      <selection activeCell="B4" sqref="B4:N9"/>
    </sheetView>
  </sheetViews>
  <sheetFormatPr baseColWidth="10" defaultColWidth="10.81640625" defaultRowHeight="14.5"/>
  <cols>
    <col min="1" max="1" width="31.1796875" customWidth="1"/>
    <col min="2" max="2" width="9.1796875" customWidth="1"/>
    <col min="3" max="3" width="46.1796875" customWidth="1"/>
    <col min="4" max="4" width="14.453125" customWidth="1"/>
    <col min="5" max="5" width="15.54296875" customWidth="1"/>
    <col min="6" max="6" width="14.453125" bestFit="1" customWidth="1"/>
    <col min="7" max="7" width="15.54296875" bestFit="1" customWidth="1"/>
    <col min="8" max="9" width="14.453125" bestFit="1" customWidth="1"/>
    <col min="10" max="10" width="15.54296875" bestFit="1" customWidth="1"/>
    <col min="11" max="11" width="14.453125" bestFit="1" customWidth="1"/>
    <col min="12" max="12" width="15.54296875" bestFit="1" customWidth="1"/>
    <col min="13" max="13" width="18" customWidth="1"/>
    <col min="14" max="14" width="15.54296875" customWidth="1"/>
    <col min="15" max="16" width="14.453125" bestFit="1" customWidth="1"/>
    <col min="17" max="17" width="1.81640625" customWidth="1"/>
    <col min="18" max="18" width="10.81640625" customWidth="1"/>
  </cols>
  <sheetData>
    <row r="1" spans="1:17">
      <c r="B1" s="441"/>
    </row>
    <row r="2" spans="1:17" ht="18.5">
      <c r="B2" s="442" t="s">
        <v>614</v>
      </c>
    </row>
    <row r="3" spans="1:17" ht="16" thickBot="1">
      <c r="B3" s="443" t="s">
        <v>615</v>
      </c>
      <c r="C3" s="444"/>
      <c r="D3" s="444"/>
      <c r="E3" s="444"/>
      <c r="F3" s="444"/>
      <c r="G3" s="444"/>
      <c r="H3" s="444"/>
      <c r="I3" s="444"/>
      <c r="J3" s="444"/>
      <c r="K3" s="444"/>
      <c r="L3" s="444"/>
      <c r="M3" s="444"/>
      <c r="N3" s="444"/>
      <c r="O3" s="444"/>
      <c r="P3" s="444"/>
    </row>
    <row r="4" spans="1:17" ht="15.5" thickTop="1" thickBot="1">
      <c r="B4" s="441"/>
    </row>
    <row r="5" spans="1:17" ht="16" thickBot="1">
      <c r="B5" s="2282" t="s">
        <v>616</v>
      </c>
      <c r="C5" s="2283"/>
      <c r="D5" s="2284"/>
      <c r="E5" s="26">
        <f ca="1">TODAY( )</f>
        <v>45232</v>
      </c>
      <c r="H5" s="1271"/>
    </row>
    <row r="6" spans="1:17">
      <c r="B6" s="445" t="s">
        <v>617</v>
      </c>
      <c r="C6" s="445" t="s">
        <v>618</v>
      </c>
      <c r="D6" s="445" t="s">
        <v>619</v>
      </c>
      <c r="E6" s="445" t="s">
        <v>620</v>
      </c>
      <c r="F6" s="445" t="s">
        <v>621</v>
      </c>
      <c r="G6" s="445" t="s">
        <v>622</v>
      </c>
      <c r="H6" s="445" t="s">
        <v>623</v>
      </c>
      <c r="I6" s="445" t="s">
        <v>624</v>
      </c>
      <c r="J6" s="445" t="s">
        <v>625</v>
      </c>
      <c r="K6" s="445" t="s">
        <v>626</v>
      </c>
      <c r="L6" s="445" t="s">
        <v>627</v>
      </c>
      <c r="M6" s="445" t="s">
        <v>628</v>
      </c>
      <c r="N6" s="445" t="s">
        <v>629</v>
      </c>
      <c r="O6" s="445" t="s">
        <v>630</v>
      </c>
      <c r="P6" s="445" t="s">
        <v>631</v>
      </c>
      <c r="Q6" s="446"/>
    </row>
    <row r="7" spans="1:17">
      <c r="B7" s="447">
        <v>1</v>
      </c>
      <c r="C7" s="448" t="str">
        <f>'Datos Mes2'!B31</f>
        <v>Energia Neta Generada (MWh/mes)</v>
      </c>
      <c r="D7" s="447" t="s">
        <v>632</v>
      </c>
      <c r="E7" s="449">
        <f ca="1">'Datos Mes2'!F31</f>
        <v>13465.371999999968</v>
      </c>
      <c r="F7" s="449">
        <f ca="1">'Datos Mes2'!G31</f>
        <v>12240.734000000031</v>
      </c>
      <c r="G7" s="449">
        <f ca="1">'Datos Mes2'!H31</f>
        <v>13640.708999999966</v>
      </c>
      <c r="H7" s="449">
        <f ca="1">'Datos Mes2'!I31</f>
        <v>13068.663000000024</v>
      </c>
      <c r="I7" s="449">
        <f ca="1">'Datos Mes2'!J31</f>
        <v>13036.991999999977</v>
      </c>
      <c r="J7" s="449">
        <f ca="1">'Datos Mes2'!K31</f>
        <v>13045.371999999998</v>
      </c>
      <c r="K7" s="449">
        <f ca="1">'Datos Mes2'!L31</f>
        <v>13478.713000000002</v>
      </c>
      <c r="L7" s="449">
        <f ca="1">IF('Datos Mes2'!M31=" ",0,'Datos Mes2'!M31)</f>
        <v>13740.41300000005</v>
      </c>
      <c r="M7" s="449">
        <f ca="1">'Datos Mes2'!N31</f>
        <v>13271.768999999949</v>
      </c>
      <c r="N7" s="449">
        <f ca="1">'Datos Mes2'!O31</f>
        <v>13495.178000000002</v>
      </c>
      <c r="O7" s="449">
        <f ca="1">'Datos Mes2'!P31</f>
        <v>353.72</v>
      </c>
      <c r="P7" s="449">
        <f ca="1">'Datos Mes2'!Q31</f>
        <v>-89.254999999999995</v>
      </c>
      <c r="Q7" s="446"/>
    </row>
    <row r="8" spans="1:17">
      <c r="B8" s="447">
        <v>2</v>
      </c>
      <c r="C8" s="448" t="str">
        <f>'Datos Mes2'!B38</f>
        <v>Consumo de  Combustible (Energia MMBtu/mes)</v>
      </c>
      <c r="D8" s="447" t="s">
        <v>633</v>
      </c>
      <c r="E8" s="449">
        <f ca="1">'Datos Mes2'!F38</f>
        <v>232927.06510259982</v>
      </c>
      <c r="F8" s="449">
        <f ca="1">'Datos Mes2'!G38</f>
        <v>210362.09348880025</v>
      </c>
      <c r="G8" s="449">
        <f ca="1">'Datos Mes2'!H38</f>
        <v>233623.68177815434</v>
      </c>
      <c r="H8" s="449">
        <f ca="1">'Datos Mes2'!I38</f>
        <v>218932.18303110023</v>
      </c>
      <c r="I8" s="449">
        <f ca="1">'Datos Mes2'!J38</f>
        <v>229845.94684259992</v>
      </c>
      <c r="J8" s="449">
        <f ca="1">'Datos Mes2'!K38</f>
        <v>237571.111756</v>
      </c>
      <c r="K8" s="449">
        <f ca="1">'Datos Mes2'!L38</f>
        <v>249680.6929761442</v>
      </c>
      <c r="L8" s="449">
        <f ca="1">'Datos Mes2'!M38</f>
        <v>261987.1718603292</v>
      </c>
      <c r="M8" s="449">
        <f ca="1">'Datos Mes2'!N38</f>
        <v>230181.32193783319</v>
      </c>
      <c r="N8" s="449">
        <f ca="1">'Datos Mes2'!O38</f>
        <v>229450.03383966049</v>
      </c>
      <c r="O8" s="449">
        <f ca="1">'Datos Mes2'!P38</f>
        <v>8582.885633115784</v>
      </c>
      <c r="P8" s="449">
        <f ca="1">'Datos Mes2'!Q38</f>
        <v>0</v>
      </c>
      <c r="Q8" s="446"/>
    </row>
    <row r="9" spans="1:17">
      <c r="B9" s="447">
        <v>3</v>
      </c>
      <c r="C9" s="448" t="str">
        <f>'Datos Mes2'!B40</f>
        <v xml:space="preserve">Confiabilidad Mensual </v>
      </c>
      <c r="D9" s="447" t="s">
        <v>130</v>
      </c>
      <c r="E9" s="450">
        <f ca="1">'Datos Mes2'!F40</f>
        <v>1</v>
      </c>
      <c r="F9" s="450">
        <f ca="1">'Datos Mes2'!G40</f>
        <v>1</v>
      </c>
      <c r="G9" s="450">
        <f ca="1">'Datos Mes2'!H40</f>
        <v>1</v>
      </c>
      <c r="H9" s="450">
        <f ca="1">'Datos Mes2'!I40</f>
        <v>1</v>
      </c>
      <c r="I9" s="450">
        <f ca="1">'Datos Mes2'!J40</f>
        <v>1</v>
      </c>
      <c r="J9" s="450">
        <f ca="1">'Datos Mes2'!K40</f>
        <v>1</v>
      </c>
      <c r="K9" s="450">
        <f ca="1">'Datos Mes2'!L40</f>
        <v>1</v>
      </c>
      <c r="L9" s="450">
        <f ca="1">'Datos Mes2'!M40</f>
        <v>1</v>
      </c>
      <c r="M9" s="450">
        <f ca="1">'Datos Mes2'!N40</f>
        <v>1</v>
      </c>
      <c r="N9" s="450">
        <f ca="1">'Datos Mes2'!O40</f>
        <v>1</v>
      </c>
      <c r="O9" s="450">
        <f ca="1">'Datos Mes2'!P40</f>
        <v>1</v>
      </c>
      <c r="P9" s="450">
        <f ca="1">'Datos Mes2'!Q40</f>
        <v>1</v>
      </c>
      <c r="Q9" s="446"/>
    </row>
    <row r="10" spans="1:17">
      <c r="B10" s="447">
        <v>4</v>
      </c>
      <c r="C10" s="448" t="str">
        <f>'Datos Mes2'!B41</f>
        <v>Disponibilidad Mensual</v>
      </c>
      <c r="D10" s="447" t="s">
        <v>130</v>
      </c>
      <c r="E10" s="450">
        <f ca="1">'Datos Mes2'!F41</f>
        <v>1.0085349462365591</v>
      </c>
      <c r="F10" s="450">
        <f ca="1">'Datos Mes2'!G41</f>
        <v>1</v>
      </c>
      <c r="G10" s="450">
        <f ca="1">'Datos Mes2'!H41</f>
        <v>1</v>
      </c>
      <c r="H10" s="450">
        <f ca="1">'Datos Mes2'!I41</f>
        <v>1</v>
      </c>
      <c r="I10" s="450">
        <f ca="1">'Datos Mes2'!J41</f>
        <v>1</v>
      </c>
      <c r="J10" s="450">
        <f ca="1">'Datos Mes2'!K41</f>
        <v>1</v>
      </c>
      <c r="K10" s="450">
        <f ca="1">'Datos Mes2'!L41</f>
        <v>1</v>
      </c>
      <c r="L10" s="450">
        <f ca="1">'Datos Mes2'!M41</f>
        <v>1</v>
      </c>
      <c r="M10" s="450">
        <f ca="1">'Datos Mes2'!N41</f>
        <v>1</v>
      </c>
      <c r="N10" s="450">
        <f ca="1">'Datos Mes2'!O41</f>
        <v>1</v>
      </c>
      <c r="O10" s="450">
        <f ca="1">'Datos Mes2'!P41</f>
        <v>1</v>
      </c>
      <c r="P10" s="450">
        <f ca="1">'Datos Mes2'!Q41</f>
        <v>1</v>
      </c>
      <c r="Q10" s="446"/>
    </row>
    <row r="11" spans="1:17" ht="15" thickBot="1">
      <c r="B11" s="451"/>
      <c r="C11" s="452"/>
      <c r="D11" s="452"/>
      <c r="E11" s="452"/>
      <c r="F11" s="453"/>
      <c r="G11" s="452"/>
      <c r="H11" s="452"/>
      <c r="I11" s="452"/>
      <c r="J11" s="452"/>
      <c r="K11" s="452"/>
      <c r="L11" s="452"/>
      <c r="M11" s="452"/>
      <c r="N11" s="452"/>
      <c r="O11" s="452"/>
      <c r="P11" s="452"/>
    </row>
    <row r="12" spans="1:17" ht="16" thickBot="1">
      <c r="B12" s="2282" t="s">
        <v>634</v>
      </c>
      <c r="C12" s="2283"/>
      <c r="D12" s="2284"/>
      <c r="E12" s="433"/>
      <c r="F12" s="433"/>
    </row>
    <row r="13" spans="1:17" ht="15.5">
      <c r="B13" s="445" t="s">
        <v>617</v>
      </c>
      <c r="C13" s="445" t="s">
        <v>618</v>
      </c>
      <c r="D13" s="445" t="s">
        <v>619</v>
      </c>
      <c r="E13" s="489">
        <v>44592</v>
      </c>
      <c r="F13" s="489">
        <v>44985</v>
      </c>
      <c r="G13" s="489">
        <v>45016</v>
      </c>
      <c r="H13" s="489">
        <v>45046</v>
      </c>
      <c r="I13" s="489">
        <v>45077</v>
      </c>
      <c r="J13" s="489">
        <v>45107</v>
      </c>
      <c r="K13" s="489">
        <v>45138</v>
      </c>
      <c r="L13" s="489">
        <v>45169</v>
      </c>
      <c r="M13" s="489">
        <v>45199</v>
      </c>
      <c r="N13" s="489">
        <v>45230</v>
      </c>
      <c r="O13" s="489">
        <v>45260</v>
      </c>
      <c r="P13" s="489">
        <v>45291</v>
      </c>
    </row>
    <row r="14" spans="1:17" s="446" customFormat="1">
      <c r="A14"/>
      <c r="B14" s="455"/>
      <c r="C14" s="456" t="s">
        <v>635</v>
      </c>
      <c r="D14" s="457"/>
      <c r="E14" s="458">
        <f ca="1">IF($E$5&gt;E13,SUM(E15:E18)," ")</f>
        <v>71456289.354944438</v>
      </c>
      <c r="F14" s="458">
        <f t="shared" ref="F14:K14" ca="1" si="0">IF($E$5&gt;F13,SUM(F15:F18)," ")</f>
        <v>29488451.44444444</v>
      </c>
      <c r="G14" s="458">
        <f t="shared" ca="1" si="0"/>
        <v>29488479.44444444</v>
      </c>
      <c r="H14" s="458">
        <f t="shared" ca="1" si="0"/>
        <v>29488510.44444444</v>
      </c>
      <c r="I14" s="458">
        <f t="shared" ca="1" si="0"/>
        <v>29488540.44444444</v>
      </c>
      <c r="J14" s="458">
        <f t="shared" ca="1" si="0"/>
        <v>29488571.44444444</v>
      </c>
      <c r="K14" s="458">
        <f t="shared" ca="1" si="0"/>
        <v>29488601.44444444</v>
      </c>
      <c r="L14" s="458">
        <f ca="1">IF($E$5&gt;L13,SUM(L15:L18),0)</f>
        <v>29488632.44444444</v>
      </c>
      <c r="M14" s="458">
        <f ca="1">IF($E$5&gt;M13,SUM(M15:M18),0)</f>
        <v>29488663.44444444</v>
      </c>
      <c r="N14" s="458">
        <f ca="1">IF($E$5&gt;N13,SUM(N15:N18),0)</f>
        <v>29488693.44444444</v>
      </c>
      <c r="O14" s="458">
        <f ca="1">IF($E$5&gt;O13,SUM(O15:O18),0)</f>
        <v>0</v>
      </c>
      <c r="P14" s="458">
        <f ca="1">IF($E$5&gt;P13,SUM(P15:P18),0)</f>
        <v>0</v>
      </c>
    </row>
    <row r="15" spans="1:17" s="446" customFormat="1">
      <c r="A15"/>
      <c r="B15" s="447">
        <v>1</v>
      </c>
      <c r="C15" s="459" t="s">
        <v>636</v>
      </c>
      <c r="D15" s="447" t="s">
        <v>637</v>
      </c>
      <c r="E15" s="460">
        <f ca="1">'Datos Mes2'!F9</f>
        <v>42010968.910500005</v>
      </c>
      <c r="F15" s="460">
        <v>43131</v>
      </c>
      <c r="G15" s="460">
        <v>43159</v>
      </c>
      <c r="H15" s="460">
        <v>43190</v>
      </c>
      <c r="I15" s="460">
        <v>43220</v>
      </c>
      <c r="J15" s="460">
        <v>43251</v>
      </c>
      <c r="K15" s="460">
        <v>43281</v>
      </c>
      <c r="L15" s="460">
        <v>43312</v>
      </c>
      <c r="M15" s="460">
        <v>43343</v>
      </c>
      <c r="N15" s="460">
        <v>43373</v>
      </c>
      <c r="O15" s="460">
        <v>43404</v>
      </c>
      <c r="P15" s="460">
        <v>43434</v>
      </c>
      <c r="Q15" s="1032"/>
    </row>
    <row r="16" spans="1:17" s="446" customFormat="1">
      <c r="A16"/>
      <c r="B16" s="447">
        <v>2</v>
      </c>
      <c r="C16" s="461" t="str">
        <f>'Datos Mes2'!B10</f>
        <v>Generales &amp; Administración Profesional ECP</v>
      </c>
      <c r="D16" s="447" t="s">
        <v>637</v>
      </c>
      <c r="E16" s="462">
        <f ca="1">'Datos Mes2'!F10</f>
        <v>5000000</v>
      </c>
      <c r="F16" s="462">
        <f ca="1">'Datos Mes2'!G10</f>
        <v>5000000</v>
      </c>
      <c r="G16" s="462">
        <f ca="1">'Datos Mes2'!H10</f>
        <v>5000000</v>
      </c>
      <c r="H16" s="462">
        <f ca="1">'Datos Mes2'!I10</f>
        <v>5000000</v>
      </c>
      <c r="I16" s="462">
        <f ca="1">'Datos Mes2'!J10</f>
        <v>5000000</v>
      </c>
      <c r="J16" s="462">
        <f ca="1">'Datos Mes2'!K10</f>
        <v>5000000</v>
      </c>
      <c r="K16" s="462">
        <f ca="1">'Datos Mes2'!L10</f>
        <v>5000000</v>
      </c>
      <c r="L16" s="462">
        <f ca="1">'Datos Mes2'!M10</f>
        <v>5000000</v>
      </c>
      <c r="M16" s="462">
        <f ca="1">'Datos Mes2'!N10</f>
        <v>5000000</v>
      </c>
      <c r="N16" s="462">
        <f ca="1">'Datos Mes2'!O10</f>
        <v>5000000</v>
      </c>
      <c r="O16" s="462">
        <f ca="1">'Datos Mes2'!P10</f>
        <v>5000000</v>
      </c>
      <c r="P16" s="462">
        <f ca="1">'Datos Mes2'!Q10</f>
        <v>5000000</v>
      </c>
    </row>
    <row r="17" spans="1:17" s="446" customFormat="1">
      <c r="A17"/>
      <c r="B17" s="447">
        <v>3</v>
      </c>
      <c r="C17" s="461" t="str">
        <f>'Datos Mes2'!B11</f>
        <v>Mantenimientos Mayores (HH) (HGPI, CCI)</v>
      </c>
      <c r="D17" s="447" t="s">
        <v>637</v>
      </c>
      <c r="E17" s="460">
        <f ca="1">'Datos Mes2'!F11</f>
        <v>6503040.4444444403</v>
      </c>
      <c r="F17" s="460">
        <f ca="1">'Datos Mes2'!G11</f>
        <v>6503040.4444444403</v>
      </c>
      <c r="G17" s="460">
        <f ca="1">'Datos Mes2'!H11</f>
        <v>6503040.4444444403</v>
      </c>
      <c r="H17" s="460">
        <f ca="1">'Datos Mes2'!I11</f>
        <v>6503040.4444444403</v>
      </c>
      <c r="I17" s="460">
        <f ca="1">'Datos Mes2'!J11</f>
        <v>6503040.4444444403</v>
      </c>
      <c r="J17" s="460">
        <f ca="1">'Datos Mes2'!K11</f>
        <v>6503040.4444444403</v>
      </c>
      <c r="K17" s="460">
        <f ca="1">'Datos Mes2'!L11</f>
        <v>6503040.4444444403</v>
      </c>
      <c r="L17" s="460">
        <f ca="1">'Datos Mes2'!M11</f>
        <v>6503040.4444444403</v>
      </c>
      <c r="M17" s="460">
        <f ca="1">'Datos Mes2'!N11</f>
        <v>6503040.4444444403</v>
      </c>
      <c r="N17" s="460">
        <f ca="1">'Datos Mes2'!O11</f>
        <v>6503040.4444444403</v>
      </c>
      <c r="O17" s="460">
        <f ca="1">'Datos Mes2'!P11</f>
        <v>6503040.4444444403</v>
      </c>
      <c r="P17" s="460">
        <f ca="1">'Datos Mes2'!Q11</f>
        <v>6503040.4444444403</v>
      </c>
    </row>
    <row r="18" spans="1:17" s="446" customFormat="1">
      <c r="A18"/>
      <c r="B18" s="447">
        <v>4</v>
      </c>
      <c r="C18" s="461" t="str">
        <f>'Datos Mes2'!B12</f>
        <v>Depreciacion</v>
      </c>
      <c r="D18" s="447" t="s">
        <v>637</v>
      </c>
      <c r="E18" s="460">
        <f ca="1">'Datos Mes2'!F12</f>
        <v>17942280</v>
      </c>
      <c r="F18" s="460">
        <f ca="1">'Datos Mes2'!G12</f>
        <v>17942280</v>
      </c>
      <c r="G18" s="460">
        <f ca="1">'Datos Mes2'!H12</f>
        <v>17942280</v>
      </c>
      <c r="H18" s="460">
        <f ca="1">'Datos Mes2'!I12</f>
        <v>17942280</v>
      </c>
      <c r="I18" s="460">
        <f ca="1">'Datos Mes2'!J12</f>
        <v>17942280</v>
      </c>
      <c r="J18" s="460">
        <f ca="1">'Datos Mes2'!K12</f>
        <v>17942280</v>
      </c>
      <c r="K18" s="460">
        <f ca="1">'Datos Mes2'!L12</f>
        <v>17942280</v>
      </c>
      <c r="L18" s="460">
        <f ca="1">'Datos Mes2'!M12</f>
        <v>17942280</v>
      </c>
      <c r="M18" s="460">
        <f ca="1">'Datos Mes2'!N12</f>
        <v>17942280</v>
      </c>
      <c r="N18" s="460">
        <f ca="1">'Datos Mes2'!O12</f>
        <v>17942280</v>
      </c>
      <c r="O18" s="460">
        <f ca="1">'Datos Mes2'!P12</f>
        <v>17942280</v>
      </c>
      <c r="P18" s="460">
        <f ca="1">'Datos Mes2'!Q12</f>
        <v>17942280</v>
      </c>
    </row>
    <row r="19" spans="1:17" s="446" customFormat="1">
      <c r="A19"/>
      <c r="B19" s="455"/>
      <c r="C19" s="456" t="s">
        <v>638</v>
      </c>
      <c r="D19" s="457"/>
      <c r="E19" s="458">
        <f ca="1">IF($E$5&gt;E13,SUM(E20:E27)," ")</f>
        <v>947591.99999998778</v>
      </c>
      <c r="F19" s="458">
        <f t="shared" ref="F19:K19" ca="1" si="1">IF($E$5&gt;F13,SUM(F20:F27)," ")</f>
        <v>992303.9999999865</v>
      </c>
      <c r="G19" s="458">
        <f t="shared" ca="1" si="1"/>
        <v>368063.99999998941</v>
      </c>
      <c r="H19" s="458">
        <f t="shared" ca="1" si="1"/>
        <v>6845688.0000000214</v>
      </c>
      <c r="I19" s="458">
        <f t="shared" ca="1" si="1"/>
        <v>928152.00000000547</v>
      </c>
      <c r="J19" s="458">
        <f t="shared" ca="1" si="1"/>
        <v>450575.99999997817</v>
      </c>
      <c r="K19" s="458">
        <f t="shared" ca="1" si="1"/>
        <v>763344.00000002282</v>
      </c>
      <c r="L19" s="458">
        <f ca="1">IF($E$5&gt;L13,SUM(L20:L27),0)</f>
        <v>3017088.0000000163</v>
      </c>
      <c r="M19" s="458">
        <f ca="1">IF($E$5&gt;M13,SUM(M20:M27),0)</f>
        <v>10637784.000000006</v>
      </c>
      <c r="N19" s="458">
        <f ca="1">IF($E$5&gt;N13,SUM(N20:N27),0)</f>
        <v>25066727.999999996</v>
      </c>
      <c r="O19" s="458">
        <f ca="1">IF($E$5&gt;O13,SUM(O20:O27),0)</f>
        <v>0</v>
      </c>
      <c r="P19" s="458">
        <f ca="1">IF($E$5&gt;P13,SUM(P20:P27),0)</f>
        <v>0</v>
      </c>
    </row>
    <row r="20" spans="1:17" s="446" customFormat="1">
      <c r="A20"/>
      <c r="B20" s="447">
        <v>1</v>
      </c>
      <c r="C20" s="461" t="str">
        <f>'Datos Mes2'!B16</f>
        <v>Costo Seguros Sector Electrico Ley 99</v>
      </c>
      <c r="D20" s="447" t="s">
        <v>637</v>
      </c>
      <c r="E20" s="460">
        <f ca="1">IF($E$5&gt;E13,'Datos Mes2'!F16," ")</f>
        <v>0</v>
      </c>
      <c r="F20" s="460">
        <f ca="1">IF($E$5&gt;F13,'Datos Mes2'!G16," ")</f>
        <v>0</v>
      </c>
      <c r="G20" s="460">
        <f ca="1">IF($E$5&gt;G13,'Datos Mes2'!H16," ")</f>
        <v>0</v>
      </c>
      <c r="H20" s="460">
        <f ca="1">IF($E$5&gt;H13,'Datos Mes2'!I16," ")</f>
        <v>0</v>
      </c>
      <c r="I20" s="460">
        <f ca="1">IF($E$5&gt;I13,'Datos Mes2'!J16," ")</f>
        <v>0</v>
      </c>
      <c r="J20" s="460">
        <f ca="1">IF($E$5&gt;J13,'Datos Mes2'!K16," ")</f>
        <v>0</v>
      </c>
      <c r="K20" s="460">
        <f ca="1">IF($E$5&gt;K13,'Datos Mes2'!L16," ")</f>
        <v>0</v>
      </c>
      <c r="L20" s="460">
        <f ca="1">IF($E$5&gt;L13,'Datos Mes2'!M16,0)</f>
        <v>0</v>
      </c>
      <c r="M20" s="460">
        <f ca="1">IF($E$5&gt;M13,'Datos Mes2'!N16,0)</f>
        <v>0</v>
      </c>
      <c r="N20" s="460">
        <f ca="1">IF($E$5&gt;N13,'Datos Mes2'!O16,0)</f>
        <v>0</v>
      </c>
      <c r="O20" s="460">
        <f ca="1">IF($E$5&gt;O13,'Datos Mes2'!P16,0)</f>
        <v>0</v>
      </c>
      <c r="P20" s="460">
        <f ca="1">IF($E$5&gt;P13,'Datos Mes2'!Q16,0)</f>
        <v>0</v>
      </c>
      <c r="Q20" s="463"/>
    </row>
    <row r="21" spans="1:17" s="446" customFormat="1">
      <c r="A21"/>
      <c r="B21" s="447">
        <v>2</v>
      </c>
      <c r="C21" s="461" t="str">
        <f>'Datos Mes2'!B17</f>
        <v>Costo Consumo de Gas (MMBTU es US$ 0.24)</v>
      </c>
      <c r="D21" s="447" t="s">
        <v>637</v>
      </c>
      <c r="E21" s="460">
        <f ca="1">'Datos Mes2'!F17</f>
        <v>0</v>
      </c>
      <c r="F21" s="460">
        <f ca="1">'Datos Mes2'!G17</f>
        <v>0</v>
      </c>
      <c r="G21" s="460">
        <f ca="1">'Datos Mes2'!H17</f>
        <v>0</v>
      </c>
      <c r="H21" s="460">
        <f ca="1">'Datos Mes2'!I17</f>
        <v>0</v>
      </c>
      <c r="I21" s="460">
        <f ca="1">'Datos Mes2'!J17</f>
        <v>0</v>
      </c>
      <c r="J21" s="460">
        <f ca="1">'Datos Mes2'!K17</f>
        <v>0</v>
      </c>
      <c r="K21" s="460">
        <f ca="1">'Datos Mes2'!L17</f>
        <v>0</v>
      </c>
      <c r="L21" s="460">
        <f ca="1">'Datos Mes2'!M17</f>
        <v>0</v>
      </c>
      <c r="M21" s="460">
        <f ca="1">'Datos Mes2'!N17</f>
        <v>0</v>
      </c>
      <c r="N21" s="460">
        <f ca="1">'Datos Mes2'!O17</f>
        <v>0</v>
      </c>
      <c r="O21" s="460">
        <f ca="1">'Datos Mes2'!P17</f>
        <v>0</v>
      </c>
      <c r="P21" s="460">
        <f ca="1">'Datos Mes2'!Q17</f>
        <v>0</v>
      </c>
    </row>
    <row r="22" spans="1:17" s="446" customFormat="1">
      <c r="A22"/>
      <c r="B22" s="447">
        <v>3</v>
      </c>
      <c r="C22" s="461" t="str">
        <f>'Datos Mes2'!B18</f>
        <v>Costo Consumo de Diésel (Planta COTU)  1 Galon</v>
      </c>
      <c r="D22" s="447" t="s">
        <v>637</v>
      </c>
      <c r="E22" s="460">
        <f ca="1">'Datos Mes2'!F18</f>
        <v>947591.99999998778</v>
      </c>
      <c r="F22" s="460">
        <f ca="1">'Datos Mes2'!G18</f>
        <v>992303.9999999865</v>
      </c>
      <c r="G22" s="460">
        <f ca="1">'Datos Mes2'!H18</f>
        <v>368063.99999998941</v>
      </c>
      <c r="H22" s="460">
        <f ca="1">'Datos Mes2'!I18</f>
        <v>6845688.0000000214</v>
      </c>
      <c r="I22" s="460">
        <f ca="1">'Datos Mes2'!J18</f>
        <v>928152.00000000547</v>
      </c>
      <c r="J22" s="460">
        <f ca="1">'Datos Mes2'!K18</f>
        <v>450575.99999997817</v>
      </c>
      <c r="K22" s="460">
        <f ca="1">'Datos Mes2'!L18</f>
        <v>763344.00000002282</v>
      </c>
      <c r="L22" s="460">
        <f ca="1">'Datos Mes2'!M18</f>
        <v>3017088.0000000163</v>
      </c>
      <c r="M22" s="460">
        <f ca="1">'Datos Mes2'!N18</f>
        <v>10637784.000000006</v>
      </c>
      <c r="N22" s="460">
        <f ca="1">'Datos Mes2'!O18</f>
        <v>25066727.999999996</v>
      </c>
      <c r="O22" s="460">
        <f ca="1">'Datos Mes2'!P18</f>
        <v>0</v>
      </c>
      <c r="P22" s="460">
        <f ca="1">'Datos Mes2'!Q18</f>
        <v>0</v>
      </c>
    </row>
    <row r="23" spans="1:17" s="446" customFormat="1">
      <c r="A23"/>
      <c r="B23" s="447">
        <v>4</v>
      </c>
      <c r="C23" s="461" t="str">
        <f>'Datos Mes2'!B19</f>
        <v xml:space="preserve">Costo Consumo de aceite Lubricante  (DTE-832) </v>
      </c>
      <c r="D23" s="447" t="s">
        <v>637</v>
      </c>
      <c r="E23" s="460">
        <f ca="1">'Datos Mes2'!F19</f>
        <v>0</v>
      </c>
      <c r="F23" s="460">
        <f ca="1">'Datos Mes2'!G19</f>
        <v>0</v>
      </c>
      <c r="G23" s="460">
        <f ca="1">'Datos Mes2'!H19</f>
        <v>0</v>
      </c>
      <c r="H23" s="460">
        <f ca="1">'Datos Mes2'!I19</f>
        <v>0</v>
      </c>
      <c r="I23" s="460">
        <f ca="1">'Datos Mes2'!J19</f>
        <v>0</v>
      </c>
      <c r="J23" s="460">
        <f ca="1">'Datos Mes2'!K19</f>
        <v>0</v>
      </c>
      <c r="K23" s="460">
        <f ca="1">'Datos Mes2'!L19</f>
        <v>0</v>
      </c>
      <c r="L23" s="460">
        <f ca="1">'Datos Mes2'!M19</f>
        <v>0</v>
      </c>
      <c r="M23" s="460">
        <f ca="1">'Datos Mes2'!N19</f>
        <v>0</v>
      </c>
      <c r="N23" s="460">
        <f ca="1">'Datos Mes2'!O19</f>
        <v>0</v>
      </c>
      <c r="O23" s="460">
        <f ca="1">'Datos Mes2'!P19</f>
        <v>0</v>
      </c>
      <c r="P23" s="460">
        <f ca="1">'Datos Mes2'!Q19</f>
        <v>0</v>
      </c>
    </row>
    <row r="24" spans="1:17" s="446" customFormat="1">
      <c r="A24"/>
      <c r="B24" s="447">
        <v>5</v>
      </c>
      <c r="C24" s="461" t="str">
        <f>'Datos Mes2'!B20</f>
        <v>Costo Mantenimiento HH MDD Generación</v>
      </c>
      <c r="D24" s="447" t="s">
        <v>637</v>
      </c>
      <c r="E24" s="460">
        <f ca="1">IF($E$5&gt;E13,'Datos Mes2'!F20," ")</f>
        <v>0</v>
      </c>
      <c r="F24" s="460">
        <f ca="1">IF($E$5&gt;F13,'Datos Mes2'!G20," ")</f>
        <v>0</v>
      </c>
      <c r="G24" s="460">
        <f ca="1">IF($E$5&gt;G13,'Datos Mes2'!H20," ")</f>
        <v>0</v>
      </c>
      <c r="H24" s="460">
        <f ca="1">IF($E$5&gt;H13,'Datos Mes2'!I20," ")</f>
        <v>0</v>
      </c>
      <c r="I24" s="460">
        <f ca="1">IF($E$5&gt;I13,'Datos Mes2'!J20," ")</f>
        <v>0</v>
      </c>
      <c r="J24" s="460">
        <f ca="1">IF($E$5&gt;J13,'Datos Mes2'!K20," ")</f>
        <v>0</v>
      </c>
      <c r="K24" s="460">
        <f ca="1">IF($E$5&gt;K13,'Datos Mes2'!L20," ")</f>
        <v>0</v>
      </c>
      <c r="L24" s="460">
        <f ca="1">IF($E$5&gt;L13,'Datos Mes2'!M20,0)</f>
        <v>0</v>
      </c>
      <c r="M24" s="460">
        <f ca="1">IF($E$5&gt;M13,'Datos Mes2'!N20,0)</f>
        <v>0</v>
      </c>
      <c r="N24" s="460">
        <f ca="1">IF($E$5&gt;N13,'Datos Mes2'!O20,0)</f>
        <v>0</v>
      </c>
      <c r="O24" s="460">
        <f ca="1">IF($E$5&gt;O13,'Datos Mes2'!P20,0)</f>
        <v>0</v>
      </c>
      <c r="P24" s="460">
        <f ca="1">IF($E$5&gt;P13,'Datos Mes2'!Q20,0)</f>
        <v>0</v>
      </c>
      <c r="Q24" s="463"/>
    </row>
    <row r="25" spans="1:17" s="446" customFormat="1">
      <c r="A25"/>
      <c r="B25" s="447">
        <v>6</v>
      </c>
      <c r="C25" s="461" t="str">
        <f>'Datos Mes2'!B21</f>
        <v>Costo Mantenimiento Repuestos MDD Generación</v>
      </c>
      <c r="D25" s="447" t="s">
        <v>637</v>
      </c>
      <c r="E25" s="460">
        <f ca="1">IF($E$5&gt;E13,'Datos Mes2'!F21," ")</f>
        <v>0</v>
      </c>
      <c r="F25" s="460">
        <f ca="1">IF($E$5&gt;F13,'Datos Mes2'!G21," ")</f>
        <v>0</v>
      </c>
      <c r="G25" s="460">
        <f ca="1">IF($E$5&gt;G13,'Datos Mes2'!H21," ")</f>
        <v>0</v>
      </c>
      <c r="H25" s="460">
        <f ca="1">IF($E$5&gt;H13,'Datos Mes2'!I21," ")</f>
        <v>0</v>
      </c>
      <c r="I25" s="460">
        <f ca="1">IF($E$5&gt;I13,'Datos Mes2'!J21," ")</f>
        <v>0</v>
      </c>
      <c r="J25" s="460">
        <f ca="1">IF($E$5&gt;J13,'Datos Mes2'!K21," ")</f>
        <v>0</v>
      </c>
      <c r="K25" s="460">
        <f ca="1">IF($E$5&gt;K13,'Datos Mes2'!L21," ")</f>
        <v>0</v>
      </c>
      <c r="L25" s="460">
        <f ca="1">IF($E$5&gt;L13,'Datos Mes2'!M21,0)</f>
        <v>0</v>
      </c>
      <c r="M25" s="460">
        <f ca="1">IF($E$5&gt;M13,'Datos Mes2'!N21,0)</f>
        <v>0</v>
      </c>
      <c r="N25" s="460">
        <f ca="1">IF($E$5&gt;N13,'Datos Mes2'!O21,0)</f>
        <v>0</v>
      </c>
      <c r="O25" s="460">
        <f ca="1">IF($E$5&gt;O13,'Datos Mes2'!P21,0)</f>
        <v>0</v>
      </c>
      <c r="P25" s="460">
        <f ca="1">IF($E$5&gt;P13,'Datos Mes2'!Q21,0)</f>
        <v>0</v>
      </c>
    </row>
    <row r="26" spans="1:17" s="446" customFormat="1">
      <c r="A26"/>
      <c r="B26" s="447">
        <v>7</v>
      </c>
      <c r="C26" s="461" t="str">
        <f>'Datos Mes2'!B22</f>
        <v>Costo Mantenimiento &amp; Reparaciones Externas</v>
      </c>
      <c r="D26" s="447" t="s">
        <v>637</v>
      </c>
      <c r="E26" s="460">
        <f ca="1">IF($E$5&gt;E13,'Datos Mes2'!F22," ")</f>
        <v>0</v>
      </c>
      <c r="F26" s="460">
        <f ca="1">IF($E$5&gt;F13,'Datos Mes2'!G22," ")</f>
        <v>0</v>
      </c>
      <c r="G26" s="460">
        <f ca="1">IF($E$5&gt;G13,'Datos Mes2'!H22," ")</f>
        <v>0</v>
      </c>
      <c r="H26" s="460">
        <f ca="1">IF($E$5&gt;H13,'Datos Mes2'!I22," ")</f>
        <v>0</v>
      </c>
      <c r="I26" s="460">
        <f ca="1">IF($E$5&gt;I13,'Datos Mes2'!J22," ")</f>
        <v>0</v>
      </c>
      <c r="J26" s="460">
        <f ca="1">IF($E$5&gt;J13,'Datos Mes2'!K22," ")</f>
        <v>0</v>
      </c>
      <c r="K26" s="460">
        <f ca="1">IF($E$5&gt;K13,'Datos Mes2'!L22," ")</f>
        <v>0</v>
      </c>
      <c r="L26" s="460">
        <f ca="1">IF($E$5&gt;L13,'Datos Mes2'!M22,0)</f>
        <v>0</v>
      </c>
      <c r="M26" s="460">
        <f ca="1">IF($E$5&gt;M13,'Datos Mes2'!N22,0)</f>
        <v>0</v>
      </c>
      <c r="N26" s="460">
        <f ca="1">IF($E$5&gt;N13,'Datos Mes2'!O22,0)</f>
        <v>0</v>
      </c>
      <c r="O26" s="460">
        <f ca="1">IF($E$5&gt;O13,'Datos Mes2'!P22,0)</f>
        <v>0</v>
      </c>
      <c r="P26" s="460">
        <f ca="1">IF($E$5&gt;P13,'Datos Mes2'!Q22,0)</f>
        <v>0</v>
      </c>
    </row>
    <row r="27" spans="1:17" s="446" customFormat="1">
      <c r="A27"/>
      <c r="B27" s="447">
        <v>8</v>
      </c>
      <c r="C27" s="461" t="str">
        <f>'Datos Mes2'!B23</f>
        <v>Costo Servicios de Asistencia Técnica Externa</v>
      </c>
      <c r="D27" s="447" t="s">
        <v>637</v>
      </c>
      <c r="E27" s="460">
        <f ca="1">IF($E$5&gt;E13,'Datos Mes2'!F23," ")</f>
        <v>0</v>
      </c>
      <c r="F27" s="460">
        <f ca="1">IF($E$5&gt;F13,'Datos Mes2'!G23," ")</f>
        <v>0</v>
      </c>
      <c r="G27" s="460">
        <f ca="1">IF($E$5&gt;G13,'Datos Mes2'!H23," ")</f>
        <v>0</v>
      </c>
      <c r="H27" s="460">
        <f ca="1">IF($E$5&gt;H13,'Datos Mes2'!I23," ")</f>
        <v>0</v>
      </c>
      <c r="I27" s="460">
        <f ca="1">IF($E$5&gt;I13,'Datos Mes2'!J23," ")</f>
        <v>0</v>
      </c>
      <c r="J27" s="460">
        <f ca="1">IF($E$5&gt;J13,'Datos Mes2'!K23," ")</f>
        <v>0</v>
      </c>
      <c r="K27" s="460">
        <f ca="1">IF($E$5&gt;K13,'Datos Mes2'!L23," ")</f>
        <v>0</v>
      </c>
      <c r="L27" s="460">
        <f ca="1">IF($E$5&gt;L13,'Datos Mes2'!M23,0)</f>
        <v>0</v>
      </c>
      <c r="M27" s="460">
        <f ca="1">IF($E$5&gt;M13,'Datos Mes2'!N23,0)</f>
        <v>0</v>
      </c>
      <c r="N27" s="460">
        <f ca="1">IF($E$5&gt;N13,'Datos Mes2'!O23,0)</f>
        <v>0</v>
      </c>
      <c r="O27" s="460">
        <f ca="1">IF($E$5&gt;O13,'Datos Mes2'!P23,0)</f>
        <v>0</v>
      </c>
      <c r="P27" s="460">
        <f ca="1">IF($E$5&gt;P13,'Datos Mes2'!Q23,0)</f>
        <v>0</v>
      </c>
    </row>
    <row r="28" spans="1:17" s="446" customFormat="1" ht="15.5">
      <c r="A28"/>
      <c r="B28" s="464"/>
      <c r="C28" s="465" t="s">
        <v>639</v>
      </c>
      <c r="D28" s="466" t="s">
        <v>637</v>
      </c>
      <c r="E28" s="467">
        <f t="shared" ref="E28:K28" ca="1" si="2">IF($E$5&gt;E13,E14+E19," ")</f>
        <v>72403881.354944423</v>
      </c>
      <c r="F28" s="467">
        <f t="shared" ca="1" si="2"/>
        <v>30480755.444444425</v>
      </c>
      <c r="G28" s="467">
        <f t="shared" ca="1" si="2"/>
        <v>29856543.444444429</v>
      </c>
      <c r="H28" s="467">
        <f t="shared" ca="1" si="2"/>
        <v>36334198.444444463</v>
      </c>
      <c r="I28" s="467">
        <f t="shared" ca="1" si="2"/>
        <v>30416692.444444444</v>
      </c>
      <c r="J28" s="467">
        <f t="shared" ca="1" si="2"/>
        <v>29939147.444444418</v>
      </c>
      <c r="K28" s="467">
        <f t="shared" ca="1" si="2"/>
        <v>30251945.444444463</v>
      </c>
      <c r="L28" s="467">
        <f ca="1">IF($E$5&gt;L13,L14+L19,0)</f>
        <v>32505720.444444455</v>
      </c>
      <c r="M28" s="467">
        <f ca="1">IF($E$5&gt;M13,M14+M19,0)</f>
        <v>40126447.444444448</v>
      </c>
      <c r="N28" s="467">
        <f ca="1">IF($E$5&gt;N13,N14+N19,0)</f>
        <v>54555421.444444433</v>
      </c>
      <c r="O28" s="467">
        <f ca="1">IF($E$5&gt;O13,O14+O19,0)</f>
        <v>0</v>
      </c>
      <c r="P28" s="467">
        <f ca="1">IF($E$5&gt;P13,P14+P19,0)</f>
        <v>0</v>
      </c>
    </row>
    <row r="29" spans="1:17" ht="15" thickBot="1">
      <c r="F29" s="433"/>
      <c r="G29" s="468"/>
    </row>
    <row r="30" spans="1:17" ht="16" thickBot="1">
      <c r="B30" s="2282" t="s">
        <v>640</v>
      </c>
      <c r="C30" s="2283"/>
      <c r="D30" s="2284"/>
      <c r="E30" s="1373"/>
      <c r="F30" s="1030"/>
      <c r="G30" s="1044"/>
      <c r="H30" s="1044"/>
      <c r="I30" s="1044"/>
      <c r="J30" s="1044"/>
      <c r="K30" s="1044"/>
      <c r="L30" s="1044"/>
      <c r="M30" s="1044"/>
      <c r="N30" s="1044"/>
      <c r="O30" s="1044"/>
      <c r="P30" s="1044"/>
      <c r="Q30" s="26"/>
    </row>
    <row r="31" spans="1:17" ht="15.5">
      <c r="B31" s="445" t="s">
        <v>617</v>
      </c>
      <c r="C31" s="445" t="s">
        <v>618</v>
      </c>
      <c r="D31" s="445" t="s">
        <v>619</v>
      </c>
      <c r="E31" s="489">
        <v>44957</v>
      </c>
      <c r="F31" s="489">
        <v>44985</v>
      </c>
      <c r="G31" s="489">
        <v>45016</v>
      </c>
      <c r="H31" s="489">
        <v>45046</v>
      </c>
      <c r="I31" s="489">
        <v>45077</v>
      </c>
      <c r="J31" s="489">
        <v>45107</v>
      </c>
      <c r="K31" s="489">
        <v>45138</v>
      </c>
      <c r="L31" s="489">
        <v>45169</v>
      </c>
      <c r="M31" s="489">
        <v>45199</v>
      </c>
      <c r="N31" s="489">
        <v>45230</v>
      </c>
      <c r="O31" s="489">
        <v>45260</v>
      </c>
      <c r="P31" s="489">
        <v>45291</v>
      </c>
    </row>
    <row r="32" spans="1:17" s="446" customFormat="1" ht="15.5">
      <c r="A32"/>
      <c r="B32" s="469"/>
      <c r="C32" s="470" t="s">
        <v>641</v>
      </c>
      <c r="D32" s="469"/>
      <c r="E32" s="469"/>
      <c r="F32" s="469"/>
      <c r="G32" s="469"/>
      <c r="H32" s="469"/>
      <c r="I32" s="469"/>
      <c r="J32" s="469"/>
      <c r="K32" s="469"/>
      <c r="L32" s="469"/>
      <c r="M32" s="469"/>
      <c r="N32" s="469"/>
      <c r="O32" s="469"/>
      <c r="P32" s="469"/>
      <c r="Q32" s="463"/>
    </row>
    <row r="33" spans="1:20" s="446" customFormat="1">
      <c r="A33" s="471"/>
      <c r="B33" s="472">
        <v>1</v>
      </c>
      <c r="C33" s="473" t="s">
        <v>642</v>
      </c>
      <c r="D33" s="472" t="s">
        <v>643</v>
      </c>
      <c r="E33" s="474">
        <f t="shared" ref="E33:P33" ca="1" si="3">IF(E7=0,0,(E8/E7)*1000)</f>
        <v>17298.2272678839</v>
      </c>
      <c r="F33" s="474">
        <f t="shared" ca="1" si="3"/>
        <v>17185.414983186445</v>
      </c>
      <c r="G33" s="474">
        <f t="shared" ca="1" si="3"/>
        <v>17126.945657894685</v>
      </c>
      <c r="H33" s="474">
        <f t="shared" ca="1" si="3"/>
        <v>16752.454557218272</v>
      </c>
      <c r="I33" s="474">
        <f t="shared" ca="1" si="3"/>
        <v>17630.289781768701</v>
      </c>
      <c r="J33" s="474">
        <f t="shared" ca="1" si="3"/>
        <v>18211.141219736783</v>
      </c>
      <c r="K33" s="474">
        <f t="shared" ca="1" si="3"/>
        <v>18524.075182559653</v>
      </c>
      <c r="L33" s="474">
        <f t="shared" ca="1" si="3"/>
        <v>19066.90663958414</v>
      </c>
      <c r="M33" s="474">
        <f t="shared" ca="1" si="3"/>
        <v>17343.680555156894</v>
      </c>
      <c r="N33" s="474">
        <f t="shared" ca="1" si="3"/>
        <v>17002.371798257158</v>
      </c>
      <c r="O33" s="474">
        <f t="shared" ca="1" si="3"/>
        <v>24264.632005868436</v>
      </c>
      <c r="P33" s="474">
        <f t="shared" ca="1" si="3"/>
        <v>0</v>
      </c>
      <c r="Q33" s="463"/>
    </row>
    <row r="34" spans="1:20" s="446" customFormat="1">
      <c r="A34"/>
      <c r="B34" s="447">
        <v>2</v>
      </c>
      <c r="C34" s="475" t="s">
        <v>644</v>
      </c>
      <c r="D34" s="447" t="s">
        <v>130</v>
      </c>
      <c r="E34" s="476">
        <f ca="1">IF(E33=0,0,'Datos Mes2'!F35/E33)</f>
        <v>0.19746474289546406</v>
      </c>
      <c r="F34" s="476">
        <f ca="1">IF(F33=0,0,'Datos Mes2'!G35/F33)</f>
        <v>0.19876098443603943</v>
      </c>
      <c r="G34" s="476">
        <f ca="1">IF(G33=0,0,'Datos Mes2'!H35/G33)</f>
        <v>0.19943953044689483</v>
      </c>
      <c r="H34" s="476">
        <f ca="1">IF(H33=0,0,'Datos Mes2'!I35/H33)</f>
        <v>0.20389788184969046</v>
      </c>
      <c r="I34" s="476">
        <f ca="1">IF(I33=0,0,'Datos Mes2'!J35/I33)</f>
        <v>0.19374553919880733</v>
      </c>
      <c r="J34" s="476">
        <f ca="1">IF(J33=0,0,'Datos Mes2'!K35/J33)</f>
        <v>0.18756594980978192</v>
      </c>
      <c r="K34" s="476">
        <f ca="1">IF(K33=0,0,'Datos Mes2'!L35/K33)</f>
        <v>0.18439732976337483</v>
      </c>
      <c r="L34" s="476">
        <f ca="1">IF(L33=0,0,'Datos Mes2'!M35/L33)</f>
        <v>0.17914757042490562</v>
      </c>
      <c r="M34" s="476">
        <f ca="1">IF(M33=0,0,'Datos Mes2'!N35/M33)</f>
        <v>0.19694723903251113</v>
      </c>
      <c r="N34" s="476">
        <f ca="1">IF(N33=0,0,'Datos Mes2'!O35/N33)</f>
        <v>0.20090079434388902</v>
      </c>
      <c r="O34" s="476">
        <f ca="1">IF(O33=0,0,'Datos Mes2'!P35/O33)</f>
        <v>0.14077238011167389</v>
      </c>
      <c r="P34" s="476">
        <f ca="1">IF(P33=0,0,'Datos Mes2'!Q35/P33)</f>
        <v>0</v>
      </c>
      <c r="Q34" s="463"/>
    </row>
    <row r="35" spans="1:20" s="446" customFormat="1">
      <c r="A35"/>
      <c r="B35" s="447">
        <v>3</v>
      </c>
      <c r="C35" s="475" t="s">
        <v>645</v>
      </c>
      <c r="D35" s="447" t="s">
        <v>130</v>
      </c>
      <c r="E35" s="476">
        <f ca="1">IF('Datos Mes2'!F36=0,0,E7/('Datos Mes2'!F36*'Datos Mes2'!F39))</f>
        <v>0.45246545698924623</v>
      </c>
      <c r="F35" s="476">
        <f ca="1">IF('Datos Mes2'!G36=0,0,F7/('Datos Mes2'!G36*'Datos Mes2'!G39))</f>
        <v>0.45538444940476308</v>
      </c>
      <c r="G35" s="476">
        <f ca="1">IF('Datos Mes2'!H36=0,0,G7/('Datos Mes2'!H36*'Datos Mes2'!H39))</f>
        <v>0.45835715725806336</v>
      </c>
      <c r="H35" s="476">
        <f ca="1">IF('Datos Mes2'!I36=0,0,H7/('Datos Mes2'!I36*'Datos Mes2'!I39))</f>
        <v>0.45377302083333415</v>
      </c>
      <c r="I35" s="476">
        <f ca="1">IF('Datos Mes2'!J36=0,0,I7/('Datos Mes2'!J36*'Datos Mes2'!J39))</f>
        <v>0.43807096774193471</v>
      </c>
      <c r="J35" s="476">
        <f ca="1">IF('Datos Mes2'!K36=0,0,J7/('Datos Mes2'!K36*'Datos Mes2'!K39))</f>
        <v>0.45296430555555545</v>
      </c>
      <c r="K35" s="476">
        <f ca="1">IF('Datos Mes2'!L36=0,0,K7/('Datos Mes2'!L36*'Datos Mes2'!L39))</f>
        <v>0.45291374327956996</v>
      </c>
      <c r="L35" s="476">
        <f ca="1">IF('Datos Mes2'!M36=0,0,L7/('Datos Mes2'!M36*'Datos Mes2'!M39))</f>
        <v>0.46170742607527049</v>
      </c>
      <c r="M35" s="476">
        <f ca="1">IF('Datos Mes2'!N36=0,0,M7/('Datos Mes2'!N36*'Datos Mes2'!N39))</f>
        <v>0.46082531249999825</v>
      </c>
      <c r="N35" s="476">
        <f ca="1">IF('Datos Mes2'!O36=0,0,N7/('Datos Mes2'!O36*'Datos Mes2'!O39))</f>
        <v>0.45346700268817208</v>
      </c>
      <c r="O35" s="476">
        <f ca="1">IF('Datos Mes2'!P36=0,0,O7/('Datos Mes2'!P36*'Datos Mes2'!P39))</f>
        <v>1.2281944444444446E-2</v>
      </c>
      <c r="P35" s="476">
        <f ca="1">IF('Datos Mes2'!Q36=0,0,P7/('Datos Mes2'!Q36*'Datos Mes2'!Q39))</f>
        <v>-2.9991599462365591E-3</v>
      </c>
      <c r="Q35" s="463"/>
    </row>
    <row r="36" spans="1:20" s="446" customFormat="1">
      <c r="A36"/>
      <c r="B36" s="447">
        <v>4</v>
      </c>
      <c r="C36" s="475" t="s">
        <v>646</v>
      </c>
      <c r="D36" s="447" t="s">
        <v>130</v>
      </c>
      <c r="E36" s="476">
        <f ca="1">'Datos Mes2'!F41</f>
        <v>1.0085349462365591</v>
      </c>
      <c r="F36" s="476">
        <f ca="1">'Datos Mes2'!G41</f>
        <v>1</v>
      </c>
      <c r="G36" s="476">
        <f ca="1">'Datos Mes2'!H41</f>
        <v>1</v>
      </c>
      <c r="H36" s="476">
        <f ca="1">'Datos Mes2'!I41</f>
        <v>1</v>
      </c>
      <c r="I36" s="476">
        <f ca="1">'Datos Mes2'!J41</f>
        <v>1</v>
      </c>
      <c r="J36" s="476">
        <f ca="1">'Datos Mes2'!K41</f>
        <v>1</v>
      </c>
      <c r="K36" s="476">
        <f ca="1">'Datos Mes2'!L41</f>
        <v>1</v>
      </c>
      <c r="L36" s="476">
        <f ca="1">'Datos Mes2'!M41</f>
        <v>1</v>
      </c>
      <c r="M36" s="476">
        <f ca="1">'Datos Mes2'!N41</f>
        <v>1</v>
      </c>
      <c r="N36" s="476">
        <f ca="1">'Datos Mes2'!O41</f>
        <v>1</v>
      </c>
      <c r="O36" s="476">
        <f ca="1">'Datos Mes2'!P41</f>
        <v>1</v>
      </c>
      <c r="P36" s="476">
        <f ca="1">'Datos Mes2'!Q41</f>
        <v>1</v>
      </c>
      <c r="Q36" s="463"/>
    </row>
    <row r="37" spans="1:20" s="446" customFormat="1">
      <c r="A37"/>
      <c r="B37" s="447">
        <v>5</v>
      </c>
      <c r="C37" s="475" t="s">
        <v>647</v>
      </c>
      <c r="D37" s="447" t="s">
        <v>130</v>
      </c>
      <c r="E37" s="476">
        <f ca="1">'Datos Mes2'!F40</f>
        <v>1</v>
      </c>
      <c r="F37" s="476">
        <f ca="1">'Datos Mes2'!G40</f>
        <v>1</v>
      </c>
      <c r="G37" s="476">
        <f ca="1">'Datos Mes2'!H40</f>
        <v>1</v>
      </c>
      <c r="H37" s="476">
        <f ca="1">'Datos Mes2'!I40</f>
        <v>1</v>
      </c>
      <c r="I37" s="476">
        <f ca="1">'Datos Mes2'!J40</f>
        <v>1</v>
      </c>
      <c r="J37" s="476">
        <f ca="1">'Datos Mes2'!K40</f>
        <v>1</v>
      </c>
      <c r="K37" s="476">
        <f ca="1">'Datos Mes2'!L40</f>
        <v>1</v>
      </c>
      <c r="L37" s="476">
        <f ca="1">'Datos Mes2'!M40</f>
        <v>1</v>
      </c>
      <c r="M37" s="476">
        <f ca="1">'Datos Mes2'!N40</f>
        <v>1</v>
      </c>
      <c r="N37" s="476">
        <f ca="1">'Datos Mes2'!O40</f>
        <v>1</v>
      </c>
      <c r="O37" s="476">
        <f ca="1">'Datos Mes2'!P40</f>
        <v>1</v>
      </c>
      <c r="P37" s="476">
        <f ca="1">'Datos Mes2'!Q40</f>
        <v>1</v>
      </c>
      <c r="Q37" s="463"/>
    </row>
    <row r="38" spans="1:20" s="446" customFormat="1" ht="15.5">
      <c r="A38"/>
      <c r="B38" s="469"/>
      <c r="C38" s="477" t="s">
        <v>648</v>
      </c>
      <c r="D38" s="478"/>
      <c r="E38" s="454"/>
      <c r="F38" s="454"/>
      <c r="G38" s="454"/>
      <c r="H38" s="454"/>
      <c r="I38" s="454"/>
      <c r="J38" s="454"/>
      <c r="K38" s="454"/>
      <c r="L38" s="454"/>
      <c r="M38" s="454"/>
      <c r="N38" s="454"/>
      <c r="O38" s="454"/>
      <c r="P38" s="454"/>
    </row>
    <row r="39" spans="1:20" s="446" customFormat="1">
      <c r="A39"/>
      <c r="B39" s="447">
        <v>1</v>
      </c>
      <c r="C39" s="475" t="s">
        <v>649</v>
      </c>
      <c r="D39" s="447" t="s">
        <v>650</v>
      </c>
      <c r="E39" s="480">
        <f t="shared" ref="E39:P39" ca="1" si="4">IF(E7=0,0,(E14/E7))</f>
        <v>5306.6702765393047</v>
      </c>
      <c r="F39" s="480">
        <f t="shared" ca="1" si="4"/>
        <v>2409.0427456755751</v>
      </c>
      <c r="G39" s="480">
        <f t="shared" ca="1" si="4"/>
        <v>2161.7996135277508</v>
      </c>
      <c r="H39" s="480">
        <f t="shared" ca="1" si="4"/>
        <v>2256.4290198962499</v>
      </c>
      <c r="I39" s="480">
        <f t="shared" ca="1" si="4"/>
        <v>2261.9129047900383</v>
      </c>
      <c r="J39" s="480">
        <f t="shared" ca="1" si="4"/>
        <v>2260.4622884226255</v>
      </c>
      <c r="K39" s="480">
        <f t="shared" ca="1" si="4"/>
        <v>2187.7905883480444</v>
      </c>
      <c r="L39" s="480">
        <f t="shared" ca="1" si="4"/>
        <v>2146.1241699535767</v>
      </c>
      <c r="M39" s="480">
        <f t="shared" ca="1" si="4"/>
        <v>2221.9090344659066</v>
      </c>
      <c r="N39" s="480">
        <f t="shared" ca="1" si="4"/>
        <v>2185.1281579571933</v>
      </c>
      <c r="O39" s="480">
        <f t="shared" ca="1" si="4"/>
        <v>0</v>
      </c>
      <c r="P39" s="480">
        <f t="shared" ca="1" si="4"/>
        <v>0</v>
      </c>
      <c r="Q39" s="463"/>
    </row>
    <row r="40" spans="1:20" s="446" customFormat="1">
      <c r="A40"/>
      <c r="B40" s="447">
        <v>2</v>
      </c>
      <c r="C40" s="475" t="s">
        <v>651</v>
      </c>
      <c r="D40" s="447" t="s">
        <v>650</v>
      </c>
      <c r="E40" s="480">
        <f t="shared" ref="E40:P40" ca="1" si="5">IF(E7=0,0,(E19/E7))</f>
        <v>70.372508089638373</v>
      </c>
      <c r="F40" s="480">
        <f t="shared" ca="1" si="5"/>
        <v>81.06572694088311</v>
      </c>
      <c r="G40" s="480">
        <f t="shared" ca="1" si="5"/>
        <v>26.982761673164518</v>
      </c>
      <c r="H40" s="480">
        <f t="shared" ca="1" si="5"/>
        <v>523.82466362473417</v>
      </c>
      <c r="I40" s="480">
        <f t="shared" ca="1" si="5"/>
        <v>71.193723214680745</v>
      </c>
      <c r="J40" s="480">
        <f t="shared" ca="1" si="5"/>
        <v>34.539145376611586</v>
      </c>
      <c r="K40" s="480">
        <f t="shared" ca="1" si="5"/>
        <v>56.633300226811173</v>
      </c>
      <c r="L40" s="480">
        <f t="shared" ca="1" si="5"/>
        <v>219.57767936087549</v>
      </c>
      <c r="M40" s="480">
        <f t="shared" ca="1" si="5"/>
        <v>801.53474642303115</v>
      </c>
      <c r="N40" s="480">
        <f t="shared" ca="1" si="5"/>
        <v>1857.4581231903717</v>
      </c>
      <c r="O40" s="480">
        <f t="shared" ca="1" si="5"/>
        <v>0</v>
      </c>
      <c r="P40" s="480">
        <f t="shared" ca="1" si="5"/>
        <v>0</v>
      </c>
      <c r="Q40" s="463"/>
    </row>
    <row r="41" spans="1:20" s="446" customFormat="1">
      <c r="A41"/>
      <c r="B41" s="447">
        <v>3</v>
      </c>
      <c r="C41" s="475" t="s">
        <v>652</v>
      </c>
      <c r="D41" s="447" t="s">
        <v>650</v>
      </c>
      <c r="E41" s="481">
        <f t="shared" ref="E41:P41" ca="1" si="6">IF(E7=0,0,(E21+E22)/E7)</f>
        <v>70.372508089638373</v>
      </c>
      <c r="F41" s="481">
        <f t="shared" ca="1" si="6"/>
        <v>81.06572694088311</v>
      </c>
      <c r="G41" s="481">
        <f t="shared" ca="1" si="6"/>
        <v>26.982761673164518</v>
      </c>
      <c r="H41" s="481">
        <f t="shared" ca="1" si="6"/>
        <v>523.82466362473417</v>
      </c>
      <c r="I41" s="481">
        <f t="shared" ca="1" si="6"/>
        <v>71.193723214680745</v>
      </c>
      <c r="J41" s="481">
        <f t="shared" ca="1" si="6"/>
        <v>34.539145376611586</v>
      </c>
      <c r="K41" s="481">
        <f t="shared" ca="1" si="6"/>
        <v>56.633300226811173</v>
      </c>
      <c r="L41" s="481">
        <f t="shared" ca="1" si="6"/>
        <v>219.57767936087549</v>
      </c>
      <c r="M41" s="481">
        <f t="shared" ca="1" si="6"/>
        <v>801.53474642303115</v>
      </c>
      <c r="N41" s="481">
        <f t="shared" ca="1" si="6"/>
        <v>1857.4581231903717</v>
      </c>
      <c r="O41" s="481">
        <f t="shared" ca="1" si="6"/>
        <v>0</v>
      </c>
      <c r="P41" s="481">
        <f t="shared" ca="1" si="6"/>
        <v>0</v>
      </c>
      <c r="Q41" s="463"/>
    </row>
    <row r="42" spans="1:20" s="446" customFormat="1" ht="15.5">
      <c r="A42"/>
      <c r="B42" s="479"/>
      <c r="C42" s="482" t="s">
        <v>653</v>
      </c>
      <c r="D42" s="479" t="s">
        <v>654</v>
      </c>
      <c r="E42" s="483">
        <f t="shared" ref="E42:O42" ca="1" si="7">IF(E7=0,0,(E28/E7)/1000)</f>
        <v>5.3770427846289426</v>
      </c>
      <c r="F42" s="483">
        <f t="shared" ca="1" si="7"/>
        <v>2.4901084726164582</v>
      </c>
      <c r="G42" s="483">
        <f t="shared" ca="1" si="7"/>
        <v>2.1887823752009155</v>
      </c>
      <c r="H42" s="483">
        <f t="shared" ca="1" si="7"/>
        <v>2.7802536835209843</v>
      </c>
      <c r="I42" s="483">
        <f t="shared" ca="1" si="7"/>
        <v>2.3331066280047188</v>
      </c>
      <c r="J42" s="483">
        <f t="shared" ca="1" si="7"/>
        <v>2.2950014337992375</v>
      </c>
      <c r="K42" s="483">
        <f t="shared" ca="1" si="7"/>
        <v>2.2444238885748558</v>
      </c>
      <c r="L42" s="483">
        <f t="shared" ca="1" si="7"/>
        <v>2.3657018493144517</v>
      </c>
      <c r="M42" s="483">
        <f t="shared" ca="1" si="7"/>
        <v>3.0234437808889378</v>
      </c>
      <c r="N42" s="483">
        <f t="shared" ca="1" si="7"/>
        <v>4.0425862811475648</v>
      </c>
      <c r="O42" s="483">
        <f t="shared" ca="1" si="7"/>
        <v>0</v>
      </c>
      <c r="P42" s="483">
        <f ca="1">IF(P7=0,0,(P28/P7)/1000)</f>
        <v>0</v>
      </c>
      <c r="Q42" s="463"/>
      <c r="R42" s="463"/>
      <c r="S42" s="463"/>
      <c r="T42" s="463"/>
    </row>
    <row r="43" spans="1:20">
      <c r="G43" s="468"/>
      <c r="H43" s="468"/>
      <c r="I43" s="468"/>
      <c r="J43" s="468"/>
      <c r="K43" s="468"/>
      <c r="L43" s="468"/>
      <c r="M43" s="468"/>
      <c r="N43" s="468"/>
      <c r="O43" s="468"/>
      <c r="P43" s="468"/>
      <c r="Q43" s="468"/>
    </row>
    <row r="49" spans="1:11" hidden="1">
      <c r="A49" s="484" t="s">
        <v>31</v>
      </c>
      <c r="B49" s="485" t="s">
        <v>32</v>
      </c>
      <c r="C49" s="485" t="s">
        <v>33</v>
      </c>
      <c r="J49">
        <v>9425976</v>
      </c>
      <c r="K49">
        <v>9425976</v>
      </c>
    </row>
    <row r="50" spans="1:11" hidden="1">
      <c r="A50" s="486" t="s">
        <v>34</v>
      </c>
      <c r="B50" s="487">
        <v>26300</v>
      </c>
      <c r="C50" s="487" t="s">
        <v>35</v>
      </c>
    </row>
    <row r="51" spans="1:11" hidden="1">
      <c r="A51" s="486" t="s">
        <v>36</v>
      </c>
      <c r="B51" s="487">
        <v>11990</v>
      </c>
      <c r="C51" s="487" t="s">
        <v>37</v>
      </c>
    </row>
    <row r="52" spans="1:11" ht="15" hidden="1">
      <c r="A52" s="486" t="s">
        <v>38</v>
      </c>
      <c r="B52" s="487">
        <v>315.3</v>
      </c>
      <c r="C52" s="487" t="s">
        <v>39</v>
      </c>
    </row>
    <row r="53" spans="1:11" ht="15" hidden="1">
      <c r="A53" s="486" t="s">
        <v>40</v>
      </c>
      <c r="B53" s="487">
        <v>447</v>
      </c>
      <c r="C53" s="487" t="s">
        <v>41</v>
      </c>
    </row>
  </sheetData>
  <mergeCells count="3">
    <mergeCell ref="B5:D5"/>
    <mergeCell ref="B12:D12"/>
    <mergeCell ref="B30:D30"/>
  </mergeCell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6">
    <tabColor rgb="FFFF0000"/>
  </sheetPr>
  <dimension ref="A1:AO24"/>
  <sheetViews>
    <sheetView showGridLines="0" topLeftCell="P1" zoomScale="70" zoomScaleNormal="70" workbookViewId="0">
      <selection activeCell="F375" sqref="F375"/>
    </sheetView>
  </sheetViews>
  <sheetFormatPr baseColWidth="10" defaultRowHeight="14.5"/>
  <cols>
    <col min="1" max="1" width="1" customWidth="1"/>
    <col min="2" max="2" width="6.90625" bestFit="1" customWidth="1"/>
    <col min="3" max="3" width="11.90625" customWidth="1"/>
    <col min="4" max="4" width="7.36328125" bestFit="1" customWidth="1"/>
    <col min="5" max="5" width="34.54296875" customWidth="1"/>
    <col min="6" max="6" width="9.90625" bestFit="1" customWidth="1"/>
    <col min="7" max="7" width="7.81640625" bestFit="1" customWidth="1"/>
    <col min="8" max="8" width="10.81640625" bestFit="1" customWidth="1"/>
    <col min="9" max="9" width="9.90625" bestFit="1" customWidth="1"/>
    <col min="10" max="10" width="8.36328125" bestFit="1" customWidth="1"/>
    <col min="11" max="11" width="10.81640625" bestFit="1" customWidth="1"/>
    <col min="12" max="12" width="9.90625" bestFit="1" customWidth="1"/>
    <col min="13" max="13" width="7.81640625" bestFit="1" customWidth="1"/>
    <col min="14" max="14" width="10.81640625" bestFit="1" customWidth="1"/>
    <col min="15" max="15" width="9.90625" bestFit="1" customWidth="1"/>
    <col min="16" max="16" width="7.81640625" bestFit="1" customWidth="1"/>
    <col min="17" max="17" width="10.81640625" bestFit="1" customWidth="1"/>
    <col min="18" max="18" width="9.90625" bestFit="1" customWidth="1"/>
    <col min="19" max="19" width="7.81640625" bestFit="1" customWidth="1"/>
    <col min="20" max="20" width="10.81640625" bestFit="1" customWidth="1"/>
    <col min="21" max="21" width="9.90625" bestFit="1" customWidth="1"/>
    <col min="22" max="22" width="7.81640625" bestFit="1" customWidth="1"/>
    <col min="23" max="23" width="10.81640625" bestFit="1" customWidth="1"/>
    <col min="24" max="24" width="9.90625" bestFit="1" customWidth="1"/>
    <col min="25" max="25" width="7.81640625" bestFit="1" customWidth="1"/>
    <col min="26" max="26" width="10.81640625" bestFit="1" customWidth="1"/>
    <col min="27" max="27" width="9.90625" bestFit="1" customWidth="1"/>
    <col min="28" max="28" width="7.90625" bestFit="1" customWidth="1"/>
    <col min="29" max="29" width="10.81640625" style="468" bestFit="1" customWidth="1"/>
    <col min="30" max="30" width="9.90625" bestFit="1" customWidth="1"/>
    <col min="31" max="31" width="7.81640625" bestFit="1" customWidth="1"/>
    <col min="32" max="32" width="10.81640625" style="468" bestFit="1" customWidth="1"/>
    <col min="33" max="33" width="9.90625" bestFit="1" customWidth="1"/>
    <col min="34" max="34" width="7.81640625" bestFit="1" customWidth="1"/>
    <col min="35" max="35" width="10.81640625" style="468" bestFit="1" customWidth="1"/>
    <col min="36" max="36" width="9.90625" bestFit="1" customWidth="1"/>
    <col min="37" max="37" width="11.453125" customWidth="1"/>
    <col min="38" max="38" width="10.81640625" style="468" bestFit="1" customWidth="1"/>
    <col min="39" max="39" width="9.90625" bestFit="1" customWidth="1"/>
    <col min="40" max="40" width="8.453125" bestFit="1" customWidth="1"/>
    <col min="41" max="41" width="10.81640625" style="468" bestFit="1" customWidth="1"/>
  </cols>
  <sheetData>
    <row r="1" spans="1:41" ht="19.5" customHeight="1" thickBot="1">
      <c r="AG1" s="1271"/>
      <c r="AH1" s="1271"/>
      <c r="AJ1" s="1271"/>
      <c r="AK1" s="1271"/>
      <c r="AM1" s="1271"/>
      <c r="AN1" s="1271"/>
    </row>
    <row r="2" spans="1:41" ht="54" customHeight="1" thickTop="1" thickBot="1">
      <c r="A2" s="112"/>
      <c r="B2" s="2285"/>
      <c r="C2" s="2286"/>
      <c r="D2" s="2286"/>
      <c r="E2" s="2287"/>
      <c r="F2" s="2289" t="s">
        <v>1000</v>
      </c>
      <c r="G2" s="2286"/>
      <c r="H2" s="2286"/>
      <c r="I2" s="2286"/>
      <c r="J2" s="2286"/>
      <c r="K2" s="2286"/>
      <c r="L2" s="2286"/>
      <c r="M2" s="2286"/>
      <c r="N2" s="2286"/>
      <c r="O2" s="2286"/>
      <c r="P2" s="2286"/>
      <c r="Q2" s="2286"/>
      <c r="R2" s="2286"/>
      <c r="S2" s="2286"/>
      <c r="T2" s="2286"/>
      <c r="U2" s="2286"/>
      <c r="V2" s="2286"/>
      <c r="W2" s="2286"/>
      <c r="X2" s="2286"/>
      <c r="Y2" s="2286"/>
      <c r="Z2" s="2286"/>
      <c r="AA2" s="2286"/>
      <c r="AB2" s="2286"/>
      <c r="AC2" s="2286"/>
      <c r="AD2" s="2286"/>
      <c r="AE2" s="2286"/>
      <c r="AF2" s="2286"/>
      <c r="AG2" s="2286"/>
      <c r="AH2" s="2286"/>
      <c r="AI2" s="2286"/>
      <c r="AJ2" s="2286"/>
      <c r="AK2" s="2288"/>
      <c r="AL2" s="2285"/>
      <c r="AM2" s="2286"/>
      <c r="AN2" s="2286"/>
      <c r="AO2" s="2288"/>
    </row>
    <row r="3" spans="1:41" ht="21" customHeight="1" thickTop="1" thickBot="1">
      <c r="AJ3" s="1271"/>
      <c r="AK3" s="1271"/>
      <c r="AM3" s="1271"/>
    </row>
    <row r="4" spans="1:41" ht="15" thickTop="1">
      <c r="B4" s="2296" t="s">
        <v>967</v>
      </c>
      <c r="C4" s="2297"/>
      <c r="D4" s="2297" t="s">
        <v>968</v>
      </c>
      <c r="E4" s="2297"/>
      <c r="F4" s="757" t="s">
        <v>969</v>
      </c>
      <c r="G4" s="758" t="s">
        <v>970</v>
      </c>
      <c r="H4" s="758" t="s">
        <v>989</v>
      </c>
      <c r="I4" s="757" t="s">
        <v>969</v>
      </c>
      <c r="J4" s="758" t="s">
        <v>970</v>
      </c>
      <c r="K4" s="758" t="s">
        <v>989</v>
      </c>
      <c r="L4" s="757" t="s">
        <v>969</v>
      </c>
      <c r="M4" s="758" t="s">
        <v>970</v>
      </c>
      <c r="N4" s="758" t="s">
        <v>989</v>
      </c>
      <c r="O4" s="757" t="s">
        <v>969</v>
      </c>
      <c r="P4" s="758" t="s">
        <v>970</v>
      </c>
      <c r="Q4" s="758" t="s">
        <v>989</v>
      </c>
      <c r="R4" s="757" t="s">
        <v>969</v>
      </c>
      <c r="S4" s="758" t="s">
        <v>970</v>
      </c>
      <c r="T4" s="758" t="s">
        <v>989</v>
      </c>
      <c r="U4" s="757" t="s">
        <v>969</v>
      </c>
      <c r="V4" s="758" t="s">
        <v>970</v>
      </c>
      <c r="W4" s="758" t="s">
        <v>989</v>
      </c>
      <c r="X4" s="757" t="s">
        <v>969</v>
      </c>
      <c r="Y4" s="758" t="s">
        <v>970</v>
      </c>
      <c r="Z4" s="758" t="s">
        <v>989</v>
      </c>
      <c r="AA4" s="757" t="s">
        <v>969</v>
      </c>
      <c r="AB4" s="758" t="s">
        <v>970</v>
      </c>
      <c r="AC4" s="758" t="s">
        <v>989</v>
      </c>
      <c r="AD4" s="757" t="s">
        <v>969</v>
      </c>
      <c r="AE4" s="758" t="s">
        <v>970</v>
      </c>
      <c r="AF4" s="758" t="s">
        <v>989</v>
      </c>
      <c r="AG4" s="757" t="s">
        <v>969</v>
      </c>
      <c r="AH4" s="758" t="s">
        <v>970</v>
      </c>
      <c r="AI4" s="758" t="s">
        <v>989</v>
      </c>
      <c r="AJ4" s="757" t="s">
        <v>969</v>
      </c>
      <c r="AK4" s="758" t="s">
        <v>970</v>
      </c>
      <c r="AL4" s="758" t="s">
        <v>989</v>
      </c>
      <c r="AM4" s="757" t="s">
        <v>969</v>
      </c>
      <c r="AN4" s="758" t="s">
        <v>970</v>
      </c>
      <c r="AO4" s="758" t="s">
        <v>989</v>
      </c>
    </row>
    <row r="5" spans="1:41">
      <c r="B5" s="2298"/>
      <c r="C5" s="2299"/>
      <c r="D5" s="2299"/>
      <c r="E5" s="2299"/>
      <c r="F5" s="756" t="s">
        <v>1013</v>
      </c>
      <c r="G5" s="756" t="s">
        <v>1013</v>
      </c>
      <c r="H5" s="756" t="s">
        <v>1013</v>
      </c>
      <c r="I5" s="756" t="s">
        <v>1014</v>
      </c>
      <c r="J5" s="756" t="s">
        <v>1014</v>
      </c>
      <c r="K5" s="756" t="s">
        <v>1014</v>
      </c>
      <c r="L5" s="756" t="s">
        <v>1015</v>
      </c>
      <c r="M5" s="756" t="s">
        <v>1015</v>
      </c>
      <c r="N5" s="756" t="s">
        <v>1015</v>
      </c>
      <c r="O5" s="756" t="s">
        <v>1016</v>
      </c>
      <c r="P5" s="756" t="s">
        <v>1016</v>
      </c>
      <c r="Q5" s="756" t="s">
        <v>1016</v>
      </c>
      <c r="R5" s="756" t="s">
        <v>1017</v>
      </c>
      <c r="S5" s="756" t="s">
        <v>1017</v>
      </c>
      <c r="T5" s="756" t="s">
        <v>1017</v>
      </c>
      <c r="U5" s="756" t="s">
        <v>1018</v>
      </c>
      <c r="V5" s="756" t="s">
        <v>1018</v>
      </c>
      <c r="W5" s="756" t="s">
        <v>1018</v>
      </c>
      <c r="X5" s="755" t="s">
        <v>971</v>
      </c>
      <c r="Y5" s="756" t="s">
        <v>971</v>
      </c>
      <c r="Z5" s="755" t="s">
        <v>971</v>
      </c>
      <c r="AA5" s="756" t="s">
        <v>972</v>
      </c>
      <c r="AB5" s="756" t="s">
        <v>972</v>
      </c>
      <c r="AC5" s="756" t="s">
        <v>972</v>
      </c>
      <c r="AD5" s="756" t="s">
        <v>184</v>
      </c>
      <c r="AE5" s="756" t="s">
        <v>184</v>
      </c>
      <c r="AF5" s="756" t="s">
        <v>184</v>
      </c>
      <c r="AG5" s="756" t="s">
        <v>185</v>
      </c>
      <c r="AH5" s="756" t="s">
        <v>185</v>
      </c>
      <c r="AI5" s="756" t="s">
        <v>185</v>
      </c>
      <c r="AJ5" s="756" t="s">
        <v>186</v>
      </c>
      <c r="AK5" s="756" t="s">
        <v>186</v>
      </c>
      <c r="AL5" s="756" t="s">
        <v>186</v>
      </c>
      <c r="AM5" s="756" t="s">
        <v>187</v>
      </c>
      <c r="AN5" s="756" t="s">
        <v>187</v>
      </c>
      <c r="AO5" s="756" t="s">
        <v>187</v>
      </c>
    </row>
    <row r="6" spans="1:41" ht="15" thickBot="1">
      <c r="B6" s="2300"/>
      <c r="C6" s="2301"/>
      <c r="D6" s="2301"/>
      <c r="E6" s="2301"/>
      <c r="F6" s="759" t="s">
        <v>973</v>
      </c>
      <c r="G6" s="759" t="s">
        <v>973</v>
      </c>
      <c r="H6" s="759"/>
      <c r="I6" s="759" t="s">
        <v>973</v>
      </c>
      <c r="J6" s="759" t="s">
        <v>973</v>
      </c>
      <c r="K6" s="759"/>
      <c r="L6" s="759" t="s">
        <v>973</v>
      </c>
      <c r="M6" s="759" t="s">
        <v>973</v>
      </c>
      <c r="N6" s="759"/>
      <c r="O6" s="759" t="s">
        <v>973</v>
      </c>
      <c r="P6" s="759" t="s">
        <v>973</v>
      </c>
      <c r="Q6" s="759"/>
      <c r="R6" s="759" t="s">
        <v>973</v>
      </c>
      <c r="S6" s="759" t="s">
        <v>973</v>
      </c>
      <c r="T6" s="759"/>
      <c r="U6" s="759" t="s">
        <v>973</v>
      </c>
      <c r="V6" s="759" t="s">
        <v>973</v>
      </c>
      <c r="W6" s="759"/>
      <c r="X6" s="759" t="s">
        <v>973</v>
      </c>
      <c r="Y6" s="759" t="s">
        <v>973</v>
      </c>
      <c r="Z6" s="759"/>
      <c r="AA6" s="759" t="s">
        <v>973</v>
      </c>
      <c r="AB6" s="759" t="s">
        <v>973</v>
      </c>
      <c r="AC6" s="759"/>
      <c r="AD6" s="759" t="s">
        <v>973</v>
      </c>
      <c r="AE6" s="759" t="s">
        <v>973</v>
      </c>
      <c r="AF6" s="759"/>
      <c r="AG6" s="759" t="s">
        <v>973</v>
      </c>
      <c r="AH6" s="759" t="s">
        <v>973</v>
      </c>
      <c r="AI6" s="759"/>
      <c r="AJ6" s="759" t="s">
        <v>973</v>
      </c>
      <c r="AK6" s="759" t="s">
        <v>973</v>
      </c>
      <c r="AL6" s="759"/>
      <c r="AM6" s="759" t="s">
        <v>973</v>
      </c>
      <c r="AN6" s="759" t="s">
        <v>973</v>
      </c>
      <c r="AO6" s="759"/>
    </row>
    <row r="7" spans="1:41">
      <c r="B7" s="2302" t="s">
        <v>974</v>
      </c>
      <c r="C7" s="2305" t="s">
        <v>1452</v>
      </c>
      <c r="D7" s="760" t="s">
        <v>976</v>
      </c>
      <c r="E7" s="761" t="s">
        <v>977</v>
      </c>
      <c r="F7" s="763">
        <v>3983898.4794411398</v>
      </c>
      <c r="G7" s="766">
        <f>IF(INICIO!C8&gt;CONTADORES!A27,((CONTADORES!$F27-CONTADORES!$F2)+(CONTADORES!$AO27-CONTADORES!$AO2)*1000)+(F21*25%)," ")</f>
        <v>3737701.2000000128</v>
      </c>
      <c r="H7" s="762">
        <f ca="1">IF(INICIO!C8&gt;CONTADORES!A27,(DATOSCECOS!$L389*1000)," ")</f>
        <v>4604079.5000000354</v>
      </c>
      <c r="I7" s="763">
        <v>4222944</v>
      </c>
      <c r="J7" s="766">
        <f>(CONTADORES!$F60-CONTADORES!$F27)+(CONTADORES!$AO60-CONTADORES!$AO27)*1000</f>
        <v>4462771.0000000233</v>
      </c>
      <c r="K7" s="762">
        <f ca="1">DATOSCECOS!$L390*1000</f>
        <v>4395332.9999999665</v>
      </c>
      <c r="L7" s="763">
        <v>4222944</v>
      </c>
      <c r="M7" s="766">
        <f>(CONTADORES!$F90-CONTADORES!$F60)+(CONTADORES!$AO90-CONTADORES!$AO60)*1000</f>
        <v>3989415.1999999769</v>
      </c>
      <c r="N7" s="762">
        <f ca="1">DATOSCECOS!$L391*1000</f>
        <v>4841875.5000000102</v>
      </c>
      <c r="O7" s="763">
        <v>4222944</v>
      </c>
      <c r="P7" s="766">
        <f>(CONTADORES!$F117-CONTADORES!$F90)+(CONTADORES!$AO117-CONTADORES!$AO90)*1000</f>
        <v>4031295.8</v>
      </c>
      <c r="Q7" s="762">
        <f ca="1">DATOSCECOS!$L392*1000</f>
        <v>4646515.4999999804</v>
      </c>
      <c r="R7" s="763">
        <v>4222944</v>
      </c>
      <c r="S7" s="766">
        <f>(CONTADORES!$F149-CONTADORES!$F117)+(CONTADORES!$AO149-CONTADORES!$AO117)*1000</f>
        <v>4817722.7999999886</v>
      </c>
      <c r="T7" s="762">
        <f ca="1">DATOSCECOS!$L393*1000</f>
        <v>5034018.5000000233</v>
      </c>
      <c r="U7" s="763">
        <v>4222944</v>
      </c>
      <c r="V7" s="766">
        <f>(CONTADORES!$F182-CONTADORES!$F149)+(CONTADORES!$AO182-CONTADORES!$AO149)*1000</f>
        <v>5084085.300000011</v>
      </c>
      <c r="W7" s="762">
        <f ca="1">DATOSCECOS!$L394*1000</f>
        <v>4882574.9999999767</v>
      </c>
      <c r="X7" s="762">
        <v>4356556.75</v>
      </c>
      <c r="Y7" s="766">
        <f>(CONTADORES!$F214-CONTADORES!$F182)+(CONTADORES!$AO214-CONTADORES!$AO182)*1000</f>
        <v>4964402.2</v>
      </c>
      <c r="Z7" s="762">
        <f ca="1">DATOSCECOS!$L395*1000</f>
        <v>4945980.0000000214</v>
      </c>
      <c r="AA7" s="763">
        <v>4222944</v>
      </c>
      <c r="AB7" s="1258">
        <f>(CONTADORES!$F247-CONTADORES!$F214)+(CONTADORES!$AO247-CONTADORES!$AO214)*1000</f>
        <v>5099361.0999999996</v>
      </c>
      <c r="AC7" s="1737">
        <f ca="1">DATOSCECOS!$L396*1000</f>
        <v>5074951.0000000251</v>
      </c>
      <c r="AD7" s="764">
        <v>4086720</v>
      </c>
      <c r="AE7" s="765">
        <f>(CONTADORES!$F280-CONTADORES!$F247)+(CONTADORES!$AO280-CONTADORES!$AO247)*1000</f>
        <v>5101429.9000000004</v>
      </c>
      <c r="AF7" s="1737">
        <f ca="1">DATOSCECOS!$L397*1000</f>
        <v>4849931.999999973</v>
      </c>
      <c r="AG7" s="764">
        <v>4222944</v>
      </c>
      <c r="AH7" s="766">
        <f>(CONTADORES!$F312-CONTADORES!$F280)+(CONTADORES!$AO312-CONTADORES!$AO280)*1000</f>
        <v>4852353</v>
      </c>
      <c r="AI7" s="1744">
        <f ca="1">DATOSCECOS!$L398*1000</f>
        <v>4991848.0000000009</v>
      </c>
      <c r="AJ7" s="764">
        <v>4086720</v>
      </c>
      <c r="AK7" s="766">
        <f>(CONTADORES!$F345-CONTADORES!$F312)+(CONTADORES!$AO345-CONTADORES!$AO312)*1000</f>
        <v>-520125227.39999998</v>
      </c>
      <c r="AL7" s="1751">
        <f ca="1">DATOSCECOS!$L399*1000</f>
        <v>166100.99999999817</v>
      </c>
      <c r="AM7" s="764">
        <v>4222944</v>
      </c>
      <c r="AN7" s="796">
        <f>(CONTADORES!$F377-CONTADORES!$F345)+(CONTADORES!$AO377-CONTADORES!$AO345)*1000</f>
        <v>0</v>
      </c>
      <c r="AO7" s="1754">
        <f ca="1">DATOSCECOS!$L400*1000</f>
        <v>0</v>
      </c>
    </row>
    <row r="8" spans="1:41">
      <c r="B8" s="2303"/>
      <c r="C8" s="2306"/>
      <c r="D8" s="767" t="s">
        <v>978</v>
      </c>
      <c r="E8" s="768" t="s">
        <v>979</v>
      </c>
      <c r="F8" s="770">
        <v>555668.19734689046</v>
      </c>
      <c r="G8" s="774">
        <f>IF(INICIO!C8&gt;CONTADORES!A27,(((CONTADORES!$K27-CONTADORES!$K2)+(CONTADORES!$AK27-CONTADORES!$AK2)*1000)+(F20*22%)+(F21*25%))," ")</f>
        <v>366394.06000000029</v>
      </c>
      <c r="H8" s="769">
        <f ca="1">IF(INICIO!C8&gt;CONTADORES!A27,(DATOSCECOS!$K389*1000)," ")</f>
        <v>336772.6254158073</v>
      </c>
      <c r="I8" s="770">
        <v>1964160</v>
      </c>
      <c r="J8" s="774">
        <f>((CONTADORES!$K60-CONTADORES!$K27)+(CONTADORES!$AK60-CONTADORES!$AK27)+(J20*22%)+(J21*25%))*1000</f>
        <v>311900.00000000326</v>
      </c>
      <c r="K8" s="769">
        <f ca="1">DATOSCECOS!$K390*1000</f>
        <v>295056.64661878289</v>
      </c>
      <c r="L8" s="770">
        <v>1964160</v>
      </c>
      <c r="M8" s="774">
        <f>((CONTADORES!$K90-CONTADORES!$K60)+(CONTADORES!$AK90-CONTADORES!$AK60)+(M20*22%)+(M21*25%))*1000</f>
        <v>283199.99999999889</v>
      </c>
      <c r="N8" s="769">
        <f ca="1">DATOSCECOS!$K391*1000</f>
        <v>315342.07794617151</v>
      </c>
      <c r="O8" s="770">
        <v>1964160</v>
      </c>
      <c r="P8" s="774">
        <f>((CONTADORES!$K117-CONTADORES!$K90)+(CONTADORES!$AK117-CONTADORES!$AK90)+(P20*22%)+(P21*25%))*1000</f>
        <v>251299.99999999744</v>
      </c>
      <c r="Q8" s="769">
        <f ca="1">DATOSCECOS!$K392*1000</f>
        <v>327615.83891135018</v>
      </c>
      <c r="R8" s="770">
        <v>1964160</v>
      </c>
      <c r="S8" s="774">
        <f>((CONTADORES!$K149-CONTADORES!$K117)+(CONTADORES!$AK149-CONTADORES!$AK117)+(S20*22%)+(S21*25%))*1000</f>
        <v>320799.9999999993</v>
      </c>
      <c r="T8" s="769">
        <f ca="1">DATOSCECOS!$K393*1000</f>
        <v>393599.27971494605</v>
      </c>
      <c r="U8" s="770">
        <v>1964160</v>
      </c>
      <c r="V8" s="774">
        <f>((CONTADORES!$K182-CONTADORES!$K149)+(CONTADORES!$AK182-CONTADORES!$AK149)+(V20*22%)+(V21*25%))*1000</f>
        <v>311399.99999999965</v>
      </c>
      <c r="W8" s="769">
        <f ca="1">DATOSCECOS!$K394*1000</f>
        <v>317629.54902110703</v>
      </c>
      <c r="X8" s="769">
        <v>579356.75000000105</v>
      </c>
      <c r="Y8" s="774">
        <f>((CONTADORES!$K214-CONTADORES!$K182)+(CONTADORES!$AK214-CONTADORES!$AK182)+(Y20*22%)+(Y21*25%))*1000</f>
        <v>298800.00000000111</v>
      </c>
      <c r="Z8" s="769">
        <f ca="1">DATOSCECOS!$K395*1000</f>
        <v>348611.12721246993</v>
      </c>
      <c r="AA8" s="770">
        <v>1964160</v>
      </c>
      <c r="AB8" s="1259">
        <f>((CONTADORES!$K247-CONTADORES!$K214)+(CONTADORES!$AK247-CONTADORES!$AK214)+(AB20*22%)+(AB21*25%))*1000</f>
        <v>324699.99999999889</v>
      </c>
      <c r="AC8" s="1738">
        <f ca="1">DATOSCECOS!$K396*1000</f>
        <v>363188.96386739193</v>
      </c>
      <c r="AD8" s="772">
        <v>1900800.0000000002</v>
      </c>
      <c r="AE8" s="773">
        <f>((CONTADORES!$K280-CONTADORES!$K247)+(CONTADORES!$AK280-CONTADORES!$AK247)+(AE20*22%)+(AE21*25%))*1000</f>
        <v>315300.00000000291</v>
      </c>
      <c r="AF8" s="1738">
        <f ca="1">DATOSCECOS!$K397*1000</f>
        <v>318098.57623599796</v>
      </c>
      <c r="AG8" s="772">
        <v>1964160</v>
      </c>
      <c r="AH8" s="774">
        <f>((CONTADORES!$K312-CONTADORES!$K280)+(CONTADORES!$AK312-CONTADORES!$AK280)+(AH20*22%)+(AH21*25%))*1000</f>
        <v>408157.15999999677</v>
      </c>
      <c r="AI8" s="1745">
        <f ca="1">DATOSCECOS!$K398*1000</f>
        <v>320956.76996924286</v>
      </c>
      <c r="AJ8" s="772">
        <v>1900800.0000000002</v>
      </c>
      <c r="AK8" s="774">
        <f>((CONTADORES!$K345-CONTADORES!$K312)+(CONTADORES!$AK345-CONTADORES!$AK312)+(AK20*22%)+(AK21*25%))*1000</f>
        <v>-111371892.14</v>
      </c>
      <c r="AL8" s="1742" t="e">
        <f ca="1">DATOSCECOS!$K399*1000</f>
        <v>#DIV/0!</v>
      </c>
      <c r="AM8" s="772">
        <v>1964160</v>
      </c>
      <c r="AN8" s="774">
        <f>((CONTADORES!$K377-CONTADORES!$K345)+(CONTADORES!$AK377-CONTADORES!$AK345)+(AN20*22%)+(AN21*25%))*1000</f>
        <v>0</v>
      </c>
      <c r="AO8" s="1755" t="e">
        <f ca="1">DATOSCECOS!$K400*1000</f>
        <v>#DIV/0!</v>
      </c>
    </row>
    <row r="9" spans="1:41">
      <c r="B9" s="2303"/>
      <c r="C9" s="2306"/>
      <c r="D9" s="767" t="s">
        <v>914</v>
      </c>
      <c r="E9" s="768" t="s">
        <v>980</v>
      </c>
      <c r="F9" s="770">
        <v>6916429.6330871908</v>
      </c>
      <c r="G9" s="774">
        <f>IF(INICIO!C8&gt;CONTADORES!A27,(((CONTADORES!$H27-CONTADORES!$H2)+(CONTADORES!$O27-CONTADORES!$O2)+(CONTADORES!$AG27-CONTADORES!$AG2))*1000)+(F20*30%)+(F21*25%)," ")</f>
        <v>4863981.8999999827</v>
      </c>
      <c r="H9" s="769">
        <f ca="1">IF(INICIO!C8&gt;CONTADORES!A27,(DATOSCECOS!$I389*1000)," ")</f>
        <v>6140315.4719944987</v>
      </c>
      <c r="I9" s="770">
        <v>8134896.0000000009</v>
      </c>
      <c r="J9" s="774">
        <f>((CONTADORES!$H60-CONTADORES!$H27)+(CONTADORES!$O60-CONTADORES!$O27)+(CONTADORES!$AG60-CONTADORES!$AG27)+(J20*30%)+(J21*25%)*1000)</f>
        <v>5677.3699999999808</v>
      </c>
      <c r="K9" s="769">
        <f ca="1">DATOSCECOS!$I390*1000</f>
        <v>5371851.1983961565</v>
      </c>
      <c r="L9" s="770">
        <v>8134896.0000000009</v>
      </c>
      <c r="M9" s="774">
        <f>((CONTADORES!$H90-CONTADORES!$H60)+(CONTADORES!$O90-CONTADORES!$O60)+(CONTADORES!$AG90-CONTADORES!$AG60)+(M20*30%)+(M21*25%)*1000)</f>
        <v>5240.1300000000192</v>
      </c>
      <c r="N9" s="769">
        <f ca="1">DATOSCECOS!$I391*1000</f>
        <v>6056650.7344017327</v>
      </c>
      <c r="O9" s="770">
        <v>8134896.0000000009</v>
      </c>
      <c r="P9" s="774">
        <f>((CONTADORES!$H117-CONTADORES!$H90)+(CONTADORES!$O117-CONTADORES!$O90)+(CONTADORES!$AG117-CONTADORES!$AG90)+(P20*30%)+(P21*25%)*1000)</f>
        <v>4654.5999999999913</v>
      </c>
      <c r="Q9" s="769">
        <f ca="1">DATOSCECOS!$I392*1000</f>
        <v>5777936.2863521492</v>
      </c>
      <c r="R9" s="770">
        <v>8134896.0000000009</v>
      </c>
      <c r="S9" s="774">
        <f>((CONTADORES!$H149-CONTADORES!$H117)+(CONTADORES!$O149-CONTADORES!$O117)+(CONTADORES!$AG149-CONTADORES!$AG117)+(S20*30%)+(S21*25%)*1000)</f>
        <v>-573971.17000000004</v>
      </c>
      <c r="T9" s="769">
        <f ca="1">DATOSCECOS!$I393*1000</f>
        <v>5688582.4518806562</v>
      </c>
      <c r="U9" s="770">
        <v>8134896.0000000009</v>
      </c>
      <c r="V9" s="774">
        <f>((CONTADORES!$H182-CONTADORES!$H149)+(CONTADORES!$O182-CONTADORES!$O149)+(CONTADORES!$AG182-CONTADORES!$AG149)+(V20*30%)+(V21*25%)*1000)</f>
        <v>5028.3459999999941</v>
      </c>
      <c r="W9" s="769">
        <f ca="1">DATOSCECOS!$I394*1000</f>
        <v>6034417.9778691214</v>
      </c>
      <c r="X9" s="769">
        <v>7764956.75</v>
      </c>
      <c r="Y9" s="774">
        <f>((CONTADORES!$H214-CONTADORES!$H182)+(CONTADORES!$O214-CONTADORES!$O182)+(CONTADORES!$AG214-CONTADORES!$AG182)+(Y20*30%)+(Y21*25%)*1000)</f>
        <v>5393.7240000000093</v>
      </c>
      <c r="Z9" s="769">
        <f ca="1">DATOSCECOS!$I395*1000</f>
        <v>6275709.2505956916</v>
      </c>
      <c r="AA9" s="770">
        <v>8134896.0000000009</v>
      </c>
      <c r="AB9" s="1259">
        <f>((CONTADORES!$H247-CONTADORES!$H214)+(CONTADORES!$O247-CONTADORES!$O214)+(CONTADORES!$AG247-CONTADORES!$AG214)+(AB20*30%)+(AB21*25%)*1000)</f>
        <v>5656.8999999999942</v>
      </c>
      <c r="AC9" s="1738">
        <f ca="1">DATOSCECOS!$I396*1000</f>
        <v>6353077.771229079</v>
      </c>
      <c r="AD9" s="772">
        <v>7872480</v>
      </c>
      <c r="AE9" s="773">
        <f>((CONTADORES!$H280-CONTADORES!$H247)+(CONTADORES!$O280-CONTADORES!$O247)+(CONTADORES!$AG280-CONTADORES!$AG247)+(AE20*30%)+(AE21*25%)*1000)</f>
        <v>5789.8000000000029</v>
      </c>
      <c r="AF9" s="1738">
        <f ca="1">DATOSCECOS!$I397*1000</f>
        <v>6148134.4033027412</v>
      </c>
      <c r="AG9" s="772">
        <v>8134896.0000000009</v>
      </c>
      <c r="AH9" s="774">
        <f>((CONTADORES!$H312-CONTADORES!$H280)+(CONTADORES!$O312-CONTADORES!$O280)+(CONTADORES!$AG312-CONTADORES!$AG280)+(AH20*30%)+(AH21*25%)*1000)</f>
        <v>35681.023399999991</v>
      </c>
      <c r="AI9" s="1745">
        <f ca="1">DATOSCECOS!$I398*1000</f>
        <v>6262020.0094265733</v>
      </c>
      <c r="AJ9" s="772">
        <v>7872480</v>
      </c>
      <c r="AK9" s="774">
        <f>((CONTADORES!$H345-CONTADORES!$H312)+(CONTADORES!$O345-CONTADORES!$O312)+(CONTADORES!$AG345-CONTADORES!$AG312)+(AK20*30%)+(AK21*25%)*1000)</f>
        <v>-3930413.4961000006</v>
      </c>
      <c r="AL9" s="1742" t="e">
        <f ca="1">DATOSCECOS!$I399*1000</f>
        <v>#DIV/0!</v>
      </c>
      <c r="AM9" s="772">
        <v>8134896.0000000009</v>
      </c>
      <c r="AN9" s="774">
        <f>((CONTADORES!$H377-CONTADORES!$H345)+(CONTADORES!$O377-CONTADORES!$O345)+(CONTADORES!$AG377-CONTADORES!$AG345)+(AN20*30%)+(AN21*25%)*1000)</f>
        <v>0</v>
      </c>
      <c r="AO9" s="1755" t="e">
        <f ca="1">DATOSCECOS!$I400*1000</f>
        <v>#DIV/0!</v>
      </c>
    </row>
    <row r="10" spans="1:41">
      <c r="B10" s="2303"/>
      <c r="C10" s="2306"/>
      <c r="D10" s="767" t="s">
        <v>981</v>
      </c>
      <c r="E10" s="768" t="s">
        <v>982</v>
      </c>
      <c r="F10" s="770">
        <v>1568353.2300108573</v>
      </c>
      <c r="G10" s="774">
        <f>IF(INICIO!C8&gt;CONTADORES!A27,(((CONTADORES!$M27-CONTADORES!$M2)+(CONTADORES!$AI27-CONTADORES!$AI2))*1000)+(F20*48%)+(F21*25%)," ")</f>
        <v>1252474.5400000135</v>
      </c>
      <c r="H10" s="769">
        <f ca="1">IF(INICIO!C8&gt;CONTADORES!A27,(DATOSCECOS!$J389*1000)," ")</f>
        <v>1329016.0752057168</v>
      </c>
      <c r="I10" s="770">
        <v>1473120</v>
      </c>
      <c r="J10" s="774">
        <f>((CONTADORES!$M60-CONTADORES!$M27)+(CONTADORES!$AI60-CONTADORES!$AI27))+(J20*48%)+(J21*25%)*1000</f>
        <v>1236.9100000000035</v>
      </c>
      <c r="K10" s="769">
        <f ca="1">DATOSCECOS!$J390*1000</f>
        <v>1154661.8723348146</v>
      </c>
      <c r="L10" s="770">
        <v>1473120</v>
      </c>
      <c r="M10" s="774">
        <f>((CONTADORES!$M90-CONTADORES!$M60)+(CONTADORES!$AI90-CONTADORES!$AI60))+(M20*48%)+(M21*25%)*1000</f>
        <v>1066.3899999999921</v>
      </c>
      <c r="N10" s="769">
        <f ca="1">DATOSCECOS!$J391*1000</f>
        <v>1271488.4891859035</v>
      </c>
      <c r="O10" s="770">
        <v>1473120</v>
      </c>
      <c r="P10" s="774">
        <f>((CONTADORES!$M117-CONTADORES!$M90)+(CONTADORES!$AI117-CONTADORES!$AI90))+(P20*48%)+(P21*25%)*1000</f>
        <v>996.90000000000146</v>
      </c>
      <c r="Q10" s="769">
        <f ca="1">DATOSCECOS!$J392*1000</f>
        <v>1211286.4396302982</v>
      </c>
      <c r="R10" s="770">
        <v>1473120</v>
      </c>
      <c r="S10" s="774">
        <f>((CONTADORES!$M149-CONTADORES!$M117)+(CONTADORES!$AI149-CONTADORES!$AI117))+(S20*48%)+(S21*25%)*1000</f>
        <v>1120.1899999999951</v>
      </c>
      <c r="T10" s="769">
        <f ca="1">DATOSCECOS!$J393*1000</f>
        <v>1274142.8819278397</v>
      </c>
      <c r="U10" s="770">
        <v>1473120</v>
      </c>
      <c r="V10" s="774">
        <f>((CONTADORES!$M182-CONTADORES!$M149)+(CONTADORES!$AI182-CONTADORES!$AI149))+(V20*48%)+(V21*25%)*1000</f>
        <v>1117.010000000002</v>
      </c>
      <c r="W10" s="769">
        <f ca="1">DATOSCECOS!$J394*1000</f>
        <v>1229229.6889437037</v>
      </c>
      <c r="X10" s="769">
        <v>1717956.75</v>
      </c>
      <c r="Y10" s="774">
        <f>((CONTADORES!$M214-CONTADORES!$M182)+(CONTADORES!$AI214-CONTADORES!$AI182))+(Y20*48%)+(Y21*25%)*1000</f>
        <v>1078.9000000000087</v>
      </c>
      <c r="Z10" s="769">
        <f ca="1">DATOSCECOS!$J395*1000</f>
        <v>1272180.1375200453</v>
      </c>
      <c r="AA10" s="770">
        <v>1473120</v>
      </c>
      <c r="AB10" s="1259">
        <f>((CONTADORES!$M247-CONTADORES!$M214)+(CONTADORES!$AI247-CONTADORES!$AI214))+(AB20*48%)+(AB21*25%)*1000</f>
        <v>1136.2999999999884</v>
      </c>
      <c r="AC10" s="1738">
        <f ca="1">DATOSCECOS!$J396*1000</f>
        <v>1245014.6166435766</v>
      </c>
      <c r="AD10" s="772">
        <v>1425600</v>
      </c>
      <c r="AE10" s="773">
        <f>((CONTADORES!$M280-CONTADORES!$M247)+(CONTADORES!$AI280-CONTADORES!$AI247))+(AE20*48%)+(AE21*25%)*1000</f>
        <v>1176.4000000000087</v>
      </c>
      <c r="AF10" s="1738">
        <f ca="1">DATOSCECOS!$J397*1000</f>
        <v>1283336.10038683</v>
      </c>
      <c r="AG10" s="772">
        <v>1473120</v>
      </c>
      <c r="AH10" s="774">
        <f>((CONTADORES!$M312-CONTADORES!$M280)+(CONTADORES!$AI312-CONTADORES!$AI280))+(AH20*48%)+(AH21*25%)*1000</f>
        <v>31452.697439999989</v>
      </c>
      <c r="AI10" s="1745">
        <f ca="1">DATOSCECOS!$J398*1000</f>
        <v>1324132.5959599845</v>
      </c>
      <c r="AJ10" s="772">
        <v>1425600</v>
      </c>
      <c r="AK10" s="774">
        <f>((CONTADORES!$M345-CONTADORES!$M312)+(CONTADORES!$AI345-CONTADORES!$AI312))+(AK20*48%)+(AK21*25%)*1000</f>
        <v>-3820812.5737600005</v>
      </c>
      <c r="AL10" s="1742" t="e">
        <f ca="1">DATOSCECOS!$J399*1000</f>
        <v>#DIV/0!</v>
      </c>
      <c r="AM10" s="772">
        <v>1473120</v>
      </c>
      <c r="AN10" s="774">
        <f>((CONTADORES!$M377-CONTADORES!$M345)+(CONTADORES!$AI377-CONTADORES!$AI345))+(AN20*48%)+(AN21*25%)*1000</f>
        <v>0</v>
      </c>
      <c r="AO10" s="1755" t="e">
        <f ca="1">DATOSCECOS!$J400*1000</f>
        <v>#DIV/0!</v>
      </c>
    </row>
    <row r="11" spans="1:41">
      <c r="B11" s="2303"/>
      <c r="C11" s="2306"/>
      <c r="D11" s="767" t="s">
        <v>983</v>
      </c>
      <c r="E11" s="768" t="s">
        <v>984</v>
      </c>
      <c r="F11" s="770">
        <v>175650.4601139173</v>
      </c>
      <c r="G11" s="774">
        <f>IF(INICIO!C8&gt;CONTADORES!A27,((CONTADORES!$AQ27-CONTADORES!$AQ2)*1000)," ")</f>
        <v>130900.00000000146</v>
      </c>
      <c r="H11" s="769">
        <f ca="1">IF(INICIO!C8&gt;CONTADORES!A27,(DATOSCECOS!$M389*1000)," ")</f>
        <v>166315.82738394605</v>
      </c>
      <c r="I11" s="777">
        <v>572880.00000000012</v>
      </c>
      <c r="J11" s="774">
        <f>(CONTADORES!$AQ60-CONTADORES!$AQ27)*1000</f>
        <v>149912.0000000039</v>
      </c>
      <c r="K11" s="769">
        <f ca="1">DATOSCECOS!$M390*1000</f>
        <v>144633.28265022824</v>
      </c>
      <c r="L11" s="777">
        <v>572880.00000000012</v>
      </c>
      <c r="M11" s="774">
        <f>(CONTADORES!$AQ90-CONTADORES!$AQ60)*1000</f>
        <v>135987.99999999756</v>
      </c>
      <c r="N11" s="769">
        <f ca="1">DATOSCECOS!$M391*1000</f>
        <v>157114.69846621371</v>
      </c>
      <c r="O11" s="777">
        <v>572880.00000000012</v>
      </c>
      <c r="P11" s="774">
        <f>(CONTADORES!$AQ117-CONTADORES!$AQ90)*1000</f>
        <v>116000</v>
      </c>
      <c r="Q11" s="769">
        <f ca="1">DATOSCECOS!$M392*1000</f>
        <v>146433.435106263</v>
      </c>
      <c r="R11" s="777">
        <v>572880.00000000012</v>
      </c>
      <c r="S11" s="774">
        <f>(CONTADORES!$AQ149-CONTADORES!$AQ117)*1000</f>
        <v>149877.99999999697</v>
      </c>
      <c r="T11" s="769">
        <f ca="1">DATOSCECOS!$M393*1000</f>
        <v>-402517.61352341558</v>
      </c>
      <c r="U11" s="777">
        <v>572880.00000000012</v>
      </c>
      <c r="V11" s="774">
        <f>(CONTADORES!$AQ182-CONTADORES!$AQ149)*1000</f>
        <v>155422.00000000594</v>
      </c>
      <c r="W11" s="769">
        <f ca="1">DATOSCECOS!$M394*1000</f>
        <v>-381040.2158339367</v>
      </c>
      <c r="X11" s="776">
        <v>172614.99999999799</v>
      </c>
      <c r="Y11" s="774">
        <f>(CONTADORES!$AQ214-CONTADORES!$AQ182)*1000</f>
        <v>142699.99999999709</v>
      </c>
      <c r="Z11" s="769">
        <f ca="1">DATOSCECOS!$M395*1000</f>
        <v>-393552.515328251</v>
      </c>
      <c r="AA11" s="777">
        <v>572880.00000000012</v>
      </c>
      <c r="AB11" s="1259">
        <f>(CONTADORES!$AQ247-CONTADORES!$AQ214)*1000</f>
        <v>145000</v>
      </c>
      <c r="AC11" s="1738">
        <f ca="1">DATOSCECOS!$M396*1000</f>
        <v>-382981.35174004792</v>
      </c>
      <c r="AD11" s="772">
        <v>554400.00000000012</v>
      </c>
      <c r="AE11" s="773">
        <f>(CONTADORES!$AQ280-CONTADORES!$AQ247)*1000</f>
        <v>155000</v>
      </c>
      <c r="AF11" s="1738">
        <f ca="1">DATOSCECOS!$M397*1000</f>
        <v>-370465.07992557791</v>
      </c>
      <c r="AG11" s="772">
        <v>572880.00000000012</v>
      </c>
      <c r="AH11" s="774">
        <f>(CONTADORES!$AQ312-CONTADORES!$AQ280)*1000</f>
        <v>155000</v>
      </c>
      <c r="AI11" s="1745">
        <f ca="1">DATOSCECOS!$M398*1000</f>
        <v>-374699.3753557512</v>
      </c>
      <c r="AJ11" s="772">
        <v>554400.00000000012</v>
      </c>
      <c r="AK11" s="774">
        <f>(CONTADORES!$AQ345-CONTADORES!$AQ312)*1000</f>
        <v>-65963000</v>
      </c>
      <c r="AL11" s="1742" t="e">
        <f ca="1">DATOSCECOS!$M399*1000</f>
        <v>#DIV/0!</v>
      </c>
      <c r="AM11" s="772">
        <v>572880.00000000012</v>
      </c>
      <c r="AN11" s="774">
        <f>(CONTADORES!$AQ377-CONTADORES!$AQ345)*1000</f>
        <v>0</v>
      </c>
      <c r="AO11" s="1755" t="e">
        <f ca="1">DATOSCECOS!$M400*1000</f>
        <v>#DIV/0!</v>
      </c>
    </row>
    <row r="12" spans="1:41" ht="15" thickBot="1">
      <c r="B12" s="2304"/>
      <c r="C12" s="2307"/>
      <c r="D12" s="779" t="s">
        <v>985</v>
      </c>
      <c r="E12" s="780" t="s">
        <v>986</v>
      </c>
      <c r="F12" s="782">
        <v>60483.870967741939</v>
      </c>
      <c r="G12" s="786">
        <v>72367</v>
      </c>
      <c r="H12" s="786">
        <v>72367</v>
      </c>
      <c r="I12" s="782">
        <v>85610.95890410959</v>
      </c>
      <c r="J12" s="786">
        <v>72367</v>
      </c>
      <c r="K12" s="781"/>
      <c r="L12" s="782">
        <v>85610.95890410959</v>
      </c>
      <c r="M12" s="786">
        <v>72367</v>
      </c>
      <c r="N12" s="781"/>
      <c r="O12" s="782">
        <v>85610.95890410959</v>
      </c>
      <c r="P12" s="786">
        <v>72367</v>
      </c>
      <c r="Q12" s="781"/>
      <c r="R12" s="782">
        <v>85610.95890410959</v>
      </c>
      <c r="S12" s="786">
        <v>72367</v>
      </c>
      <c r="T12" s="781"/>
      <c r="U12" s="782">
        <v>85610.95890410959</v>
      </c>
      <c r="V12" s="786">
        <v>72367</v>
      </c>
      <c r="W12" s="781"/>
      <c r="X12" s="781">
        <v>78418</v>
      </c>
      <c r="Y12" s="786">
        <v>72367</v>
      </c>
      <c r="Z12" s="781"/>
      <c r="AA12" s="782">
        <v>85610.95890410959</v>
      </c>
      <c r="AB12" s="1260">
        <v>72367</v>
      </c>
      <c r="AC12" s="1736"/>
      <c r="AD12" s="784">
        <v>82849.315068493161</v>
      </c>
      <c r="AE12" s="785">
        <v>72367</v>
      </c>
      <c r="AF12" s="1736"/>
      <c r="AG12" s="784">
        <v>85610.95890410959</v>
      </c>
      <c r="AH12" s="786">
        <v>72367</v>
      </c>
      <c r="AI12" s="1746"/>
      <c r="AJ12" s="784">
        <v>82849.315068493161</v>
      </c>
      <c r="AK12" s="787"/>
      <c r="AL12" s="1752"/>
      <c r="AM12" s="784">
        <v>85610.95890410959</v>
      </c>
      <c r="AN12" s="787"/>
      <c r="AO12" s="1756"/>
    </row>
    <row r="13" spans="1:41" ht="15" thickTop="1">
      <c r="B13" s="2290" t="s">
        <v>987</v>
      </c>
      <c r="C13" s="2293" t="s">
        <v>988</v>
      </c>
      <c r="D13" s="789" t="s">
        <v>976</v>
      </c>
      <c r="E13" s="790" t="s">
        <v>977</v>
      </c>
      <c r="F13" s="792">
        <v>4222944</v>
      </c>
      <c r="G13" s="793">
        <f t="shared" ref="G13:G18" si="0">G7</f>
        <v>3737701.2000000128</v>
      </c>
      <c r="H13" s="791"/>
      <c r="I13" s="792">
        <v>4222944</v>
      </c>
      <c r="J13" s="793">
        <f t="shared" ref="J13:J18" si="1">J7</f>
        <v>4462771.0000000233</v>
      </c>
      <c r="K13" s="791"/>
      <c r="L13" s="792">
        <v>4222944</v>
      </c>
      <c r="M13" s="793">
        <f t="shared" ref="M13:M18" si="2">M7</f>
        <v>3989415.1999999769</v>
      </c>
      <c r="N13" s="791"/>
      <c r="O13" s="792">
        <v>4222944</v>
      </c>
      <c r="P13" s="793">
        <f t="shared" ref="P13:P18" si="3">P7</f>
        <v>4031295.8</v>
      </c>
      <c r="Q13" s="791"/>
      <c r="R13" s="792">
        <v>4222944</v>
      </c>
      <c r="S13" s="793"/>
      <c r="T13" s="791"/>
      <c r="U13" s="792">
        <v>4222944</v>
      </c>
      <c r="V13" s="793"/>
      <c r="W13" s="791"/>
      <c r="X13" s="791">
        <v>4356556.75</v>
      </c>
      <c r="Y13" s="791"/>
      <c r="Z13" s="791"/>
      <c r="AA13" s="792">
        <v>4222944</v>
      </c>
      <c r="AB13" s="793"/>
      <c r="AC13" s="1739"/>
      <c r="AD13" s="794">
        <v>4086720</v>
      </c>
      <c r="AE13" s="795"/>
      <c r="AF13" s="1741"/>
      <c r="AG13" s="794">
        <v>4222944</v>
      </c>
      <c r="AH13" s="796"/>
      <c r="AI13" s="1747"/>
      <c r="AJ13" s="794">
        <v>4086720</v>
      </c>
      <c r="AK13" s="796"/>
      <c r="AL13" s="1747"/>
      <c r="AM13" s="794">
        <v>4222944</v>
      </c>
      <c r="AN13" s="795"/>
      <c r="AO13" s="1757"/>
    </row>
    <row r="14" spans="1:41">
      <c r="B14" s="2291"/>
      <c r="C14" s="2294"/>
      <c r="D14" s="767" t="s">
        <v>978</v>
      </c>
      <c r="E14" s="768" t="s">
        <v>979</v>
      </c>
      <c r="F14" s="770">
        <v>1964160</v>
      </c>
      <c r="G14" s="793">
        <f t="shared" si="0"/>
        <v>366394.06000000029</v>
      </c>
      <c r="H14" s="769"/>
      <c r="I14" s="770">
        <v>1964160</v>
      </c>
      <c r="J14" s="771">
        <f t="shared" si="1"/>
        <v>311900.00000000326</v>
      </c>
      <c r="K14" s="769"/>
      <c r="L14" s="770">
        <v>1964160</v>
      </c>
      <c r="M14" s="771">
        <f t="shared" si="2"/>
        <v>283199.99999999889</v>
      </c>
      <c r="N14" s="769"/>
      <c r="O14" s="770">
        <v>1964160</v>
      </c>
      <c r="P14" s="771">
        <f t="shared" si="3"/>
        <v>251299.99999999744</v>
      </c>
      <c r="Q14" s="769"/>
      <c r="R14" s="770">
        <v>1964160</v>
      </c>
      <c r="S14" s="771"/>
      <c r="T14" s="769"/>
      <c r="U14" s="770">
        <v>1964160</v>
      </c>
      <c r="V14" s="771"/>
      <c r="W14" s="769"/>
      <c r="X14" s="769">
        <v>579356.75000000105</v>
      </c>
      <c r="Y14" s="769"/>
      <c r="Z14" s="769"/>
      <c r="AA14" s="770">
        <v>1964160</v>
      </c>
      <c r="AB14" s="771"/>
      <c r="AC14" s="1738"/>
      <c r="AD14" s="772">
        <v>1900800.0000000002</v>
      </c>
      <c r="AE14" s="773"/>
      <c r="AF14" s="1742"/>
      <c r="AG14" s="772">
        <v>1964160</v>
      </c>
      <c r="AH14" s="774"/>
      <c r="AI14" s="1745"/>
      <c r="AJ14" s="772">
        <v>1900800.0000000002</v>
      </c>
      <c r="AK14" s="774"/>
      <c r="AL14" s="1745"/>
      <c r="AM14" s="772">
        <v>1964160</v>
      </c>
      <c r="AN14" s="773"/>
      <c r="AO14" s="1758"/>
    </row>
    <row r="15" spans="1:41">
      <c r="B15" s="2291"/>
      <c r="C15" s="2294"/>
      <c r="D15" s="767" t="s">
        <v>914</v>
      </c>
      <c r="E15" s="768" t="s">
        <v>980</v>
      </c>
      <c r="F15" s="770">
        <v>8134896.0000000009</v>
      </c>
      <c r="G15" s="793">
        <f t="shared" si="0"/>
        <v>4863981.8999999827</v>
      </c>
      <c r="H15" s="769"/>
      <c r="I15" s="770">
        <v>8134896.0000000009</v>
      </c>
      <c r="J15" s="771">
        <f t="shared" si="1"/>
        <v>5677.3699999999808</v>
      </c>
      <c r="K15" s="769"/>
      <c r="L15" s="770">
        <v>8134896.0000000009</v>
      </c>
      <c r="M15" s="771">
        <f t="shared" si="2"/>
        <v>5240.1300000000192</v>
      </c>
      <c r="N15" s="769"/>
      <c r="O15" s="770">
        <v>8134896.0000000009</v>
      </c>
      <c r="P15" s="771">
        <f t="shared" si="3"/>
        <v>4654.5999999999913</v>
      </c>
      <c r="Q15" s="769"/>
      <c r="R15" s="770">
        <v>8134896.0000000009</v>
      </c>
      <c r="S15" s="771"/>
      <c r="T15" s="769"/>
      <c r="U15" s="770">
        <v>8134896.0000000009</v>
      </c>
      <c r="V15" s="771"/>
      <c r="W15" s="769"/>
      <c r="X15" s="769">
        <v>7764956.75</v>
      </c>
      <c r="Y15" s="769"/>
      <c r="Z15" s="769"/>
      <c r="AA15" s="770">
        <v>8134896.0000000009</v>
      </c>
      <c r="AB15" s="771"/>
      <c r="AC15" s="1738"/>
      <c r="AD15" s="772">
        <v>7872480</v>
      </c>
      <c r="AE15" s="773"/>
      <c r="AF15" s="1742"/>
      <c r="AG15" s="772">
        <v>8134896.0000000009</v>
      </c>
      <c r="AH15" s="774"/>
      <c r="AI15" s="1745"/>
      <c r="AJ15" s="772">
        <v>7872480</v>
      </c>
      <c r="AK15" s="774"/>
      <c r="AL15" s="1745"/>
      <c r="AM15" s="772">
        <v>8134896.0000000009</v>
      </c>
      <c r="AN15" s="773"/>
      <c r="AO15" s="1758"/>
    </row>
    <row r="16" spans="1:41">
      <c r="B16" s="2291"/>
      <c r="C16" s="2294"/>
      <c r="D16" s="767" t="s">
        <v>981</v>
      </c>
      <c r="E16" s="768" t="s">
        <v>982</v>
      </c>
      <c r="F16" s="770">
        <v>1473120</v>
      </c>
      <c r="G16" s="793">
        <f t="shared" si="0"/>
        <v>1252474.5400000135</v>
      </c>
      <c r="H16" s="769"/>
      <c r="I16" s="770">
        <v>1473120</v>
      </c>
      <c r="J16" s="771">
        <f t="shared" si="1"/>
        <v>1236.9100000000035</v>
      </c>
      <c r="K16" s="769"/>
      <c r="L16" s="770">
        <v>1473120</v>
      </c>
      <c r="M16" s="771">
        <f t="shared" si="2"/>
        <v>1066.3899999999921</v>
      </c>
      <c r="N16" s="769"/>
      <c r="O16" s="770">
        <v>1473120</v>
      </c>
      <c r="P16" s="771">
        <f t="shared" si="3"/>
        <v>996.90000000000146</v>
      </c>
      <c r="Q16" s="769"/>
      <c r="R16" s="770">
        <v>1473120</v>
      </c>
      <c r="S16" s="771"/>
      <c r="T16" s="769"/>
      <c r="U16" s="770">
        <v>1473120</v>
      </c>
      <c r="V16" s="771"/>
      <c r="W16" s="769"/>
      <c r="X16" s="769">
        <v>1717956.75</v>
      </c>
      <c r="Y16" s="769"/>
      <c r="Z16" s="769"/>
      <c r="AA16" s="770">
        <v>1473120</v>
      </c>
      <c r="AB16" s="771"/>
      <c r="AC16" s="1738"/>
      <c r="AD16" s="772">
        <v>1425600</v>
      </c>
      <c r="AE16" s="773"/>
      <c r="AF16" s="1742"/>
      <c r="AG16" s="772">
        <v>1473120</v>
      </c>
      <c r="AH16" s="774"/>
      <c r="AI16" s="1745"/>
      <c r="AJ16" s="772">
        <v>1425600</v>
      </c>
      <c r="AK16" s="774"/>
      <c r="AL16" s="1745"/>
      <c r="AM16" s="772">
        <v>1473120</v>
      </c>
      <c r="AN16" s="773"/>
      <c r="AO16" s="1758"/>
    </row>
    <row r="17" spans="2:41">
      <c r="B17" s="2291"/>
      <c r="C17" s="2294"/>
      <c r="D17" s="767" t="s">
        <v>983</v>
      </c>
      <c r="E17" s="768" t="s">
        <v>984</v>
      </c>
      <c r="F17" s="777">
        <v>572880.00000000012</v>
      </c>
      <c r="G17" s="793">
        <f t="shared" si="0"/>
        <v>130900.00000000146</v>
      </c>
      <c r="H17" s="776"/>
      <c r="I17" s="777">
        <v>572880.00000000012</v>
      </c>
      <c r="J17" s="771">
        <f t="shared" si="1"/>
        <v>149912.0000000039</v>
      </c>
      <c r="K17" s="776"/>
      <c r="L17" s="777">
        <v>572880.00000000012</v>
      </c>
      <c r="M17" s="771">
        <f t="shared" si="2"/>
        <v>135987.99999999756</v>
      </c>
      <c r="N17" s="776"/>
      <c r="O17" s="777">
        <v>572880.00000000012</v>
      </c>
      <c r="P17" s="771">
        <f t="shared" si="3"/>
        <v>116000</v>
      </c>
      <c r="Q17" s="776"/>
      <c r="R17" s="777">
        <v>572880.00000000012</v>
      </c>
      <c r="S17" s="771"/>
      <c r="T17" s="776"/>
      <c r="U17" s="777">
        <v>572880.00000000012</v>
      </c>
      <c r="V17" s="771"/>
      <c r="W17" s="776"/>
      <c r="X17" s="776">
        <v>172614.99999999799</v>
      </c>
      <c r="Y17" s="776"/>
      <c r="Z17" s="776"/>
      <c r="AA17" s="777">
        <v>572880.00000000012</v>
      </c>
      <c r="AB17" s="771"/>
      <c r="AC17" s="1740"/>
      <c r="AD17" s="772">
        <v>554400.00000000012</v>
      </c>
      <c r="AE17" s="773"/>
      <c r="AF17" s="1742"/>
      <c r="AG17" s="772">
        <v>572880.00000000012</v>
      </c>
      <c r="AH17" s="774"/>
      <c r="AI17" s="1745"/>
      <c r="AJ17" s="772">
        <v>554400.00000000012</v>
      </c>
      <c r="AK17" s="774"/>
      <c r="AL17" s="1745"/>
      <c r="AM17" s="772">
        <v>572880.00000000012</v>
      </c>
      <c r="AN17" s="773"/>
      <c r="AO17" s="1758"/>
    </row>
    <row r="18" spans="2:41" ht="15" thickBot="1">
      <c r="B18" s="2292"/>
      <c r="C18" s="2295"/>
      <c r="D18" s="779" t="s">
        <v>985</v>
      </c>
      <c r="E18" s="780" t="s">
        <v>986</v>
      </c>
      <c r="F18" s="782">
        <v>85610.95890410959</v>
      </c>
      <c r="G18" s="1736">
        <f t="shared" si="0"/>
        <v>72367</v>
      </c>
      <c r="H18" s="781"/>
      <c r="I18" s="782">
        <v>85610.95890410959</v>
      </c>
      <c r="J18" s="783">
        <f t="shared" si="1"/>
        <v>72367</v>
      </c>
      <c r="K18" s="781"/>
      <c r="L18" s="782">
        <v>85610.95890410959</v>
      </c>
      <c r="M18" s="783">
        <f t="shared" si="2"/>
        <v>72367</v>
      </c>
      <c r="N18" s="781"/>
      <c r="O18" s="782">
        <v>85610.95890410959</v>
      </c>
      <c r="P18" s="783">
        <f t="shared" si="3"/>
        <v>72367</v>
      </c>
      <c r="Q18" s="781"/>
      <c r="R18" s="782">
        <v>85610.95890410959</v>
      </c>
      <c r="S18" s="783"/>
      <c r="T18" s="781"/>
      <c r="U18" s="782">
        <v>85610.95890410959</v>
      </c>
      <c r="V18" s="783"/>
      <c r="W18" s="781"/>
      <c r="X18" s="781">
        <v>78418</v>
      </c>
      <c r="Y18" s="781"/>
      <c r="Z18" s="781"/>
      <c r="AA18" s="782">
        <v>85610.95890410959</v>
      </c>
      <c r="AB18" s="783"/>
      <c r="AC18" s="1736"/>
      <c r="AD18" s="784">
        <v>82849.315068493161</v>
      </c>
      <c r="AE18" s="785"/>
      <c r="AF18" s="1743"/>
      <c r="AG18" s="784">
        <v>85610.95890410959</v>
      </c>
      <c r="AH18" s="786"/>
      <c r="AI18" s="1746"/>
      <c r="AJ18" s="784">
        <v>82849.315068493161</v>
      </c>
      <c r="AK18" s="787"/>
      <c r="AL18" s="1752"/>
      <c r="AM18" s="784">
        <v>85610.95890410959</v>
      </c>
      <c r="AN18" s="787"/>
      <c r="AO18" s="1756"/>
    </row>
    <row r="19" spans="2:41" ht="15" thickTop="1">
      <c r="D19" s="750" t="s">
        <v>909</v>
      </c>
      <c r="E19" s="751" t="s">
        <v>990</v>
      </c>
      <c r="F19" s="835">
        <f>((SUM(F7:F11)/1000)/25)</f>
        <v>527.99999999999977</v>
      </c>
      <c r="G19" s="832"/>
      <c r="H19" s="832"/>
      <c r="I19" s="832"/>
      <c r="J19" s="832"/>
      <c r="K19" s="832"/>
      <c r="L19" s="832"/>
      <c r="M19" s="832"/>
      <c r="N19" s="832"/>
      <c r="O19" s="832"/>
      <c r="P19" s="832"/>
      <c r="Q19" s="832"/>
      <c r="R19" s="832"/>
      <c r="S19" s="832"/>
      <c r="T19" s="832"/>
      <c r="U19" s="832"/>
      <c r="V19" s="832"/>
      <c r="W19" s="832"/>
      <c r="Z19">
        <f ca="1">DATOSCECOS!$H395*1000</f>
        <v>1119040.0000000303</v>
      </c>
      <c r="AC19" s="468">
        <f ca="1">DATOSCECOS!$H396*1000</f>
        <v>1176417.0000000012</v>
      </c>
      <c r="AF19" s="468">
        <f ca="1">DATOSCECOS!$H397*1000</f>
        <v>1129013.0000000063</v>
      </c>
      <c r="AI19" s="468">
        <f ca="1">DATOSCECOS!$H398*1000</f>
        <v>1060174.9999999735</v>
      </c>
      <c r="AJ19" s="407"/>
      <c r="AK19" s="407" t="e">
        <f ca="1">DATOSCECOS!$H399*1000</f>
        <v>#DIV/0!</v>
      </c>
      <c r="AL19" s="1753" t="e">
        <f ca="1">DATOSCECOS!$H399*1000</f>
        <v>#DIV/0!</v>
      </c>
      <c r="AM19" s="407"/>
      <c r="AN19" s="407" t="e">
        <f ca="1">DATOSCECOS!$H400*1000</f>
        <v>#DIV/0!</v>
      </c>
      <c r="AO19" s="468" t="e">
        <f ca="1">DATOSCECOS!$H400*1000</f>
        <v>#DIV/0!</v>
      </c>
    </row>
    <row r="20" spans="2:41">
      <c r="E20" t="s">
        <v>1173</v>
      </c>
      <c r="F20">
        <f>((CONTADORES!$Q27-CONTADORES!$Q2)+(CONTADORES!$B27-CONTADORES!$B2))*1000</f>
        <v>438848.00000001042</v>
      </c>
      <c r="AH20" s="433">
        <f>(CONTADORES!$Q280-CONTADORES!$Q247)+(CONTADORES!$B286-CONTADORES!$B253)</f>
        <v>427.0780000000002</v>
      </c>
      <c r="AI20" s="1748"/>
      <c r="AJ20" s="747">
        <f>(AH20/24/30)*1000</f>
        <v>593.16388888888912</v>
      </c>
      <c r="AK20" s="433">
        <f>(CONTADORES!$Q345-CONTADORES!$Q312)+(CONTADORES!$B351-CONTADORES!$B318)</f>
        <v>-143500.98699999999</v>
      </c>
      <c r="AL20" s="1748"/>
      <c r="AM20" s="407"/>
      <c r="AN20" s="433">
        <f>(CONTADORES!$Q377-CONTADORES!$Q345)+(CONTADORES!$B383-CONTADORES!$B351)</f>
        <v>0</v>
      </c>
    </row>
    <row r="21" spans="2:41" ht="43.5">
      <c r="E21" s="104" t="s">
        <v>999</v>
      </c>
      <c r="F21" s="749">
        <f>IF(INICIO!C8&gt;CONTADORES!A27,(((CONTADORES!$AE27-CONTADORES!$AE2)+(CONTADORES!$S27-CONTADORES!$S2)+(CONTADORES!$AR27-CONTADORES!$AR2))-(INICIO!$W6)*30)," ")*1000</f>
        <v>52590.000000003783</v>
      </c>
      <c r="AH21" s="748">
        <f>((CONTADORES!$AE280-CONTADORES!$AE247)+(CONTADORES!$S280-CONTADORES!$S247)+(CONTADORES!$AR280-CONTADORES!$AR247))-(INICIO!$W6)*30</f>
        <v>120.39999999999998</v>
      </c>
      <c r="AI21" s="1749"/>
      <c r="AJ21" s="407"/>
      <c r="AK21" s="748">
        <f>((CONTADORES!$AE345-CONTADORES!$AE312)+(CONTADORES!$S345-CONTADORES!$S312)+(CONTADORES!$AR345-CONTADORES!$AR312))-(INICIO!$W6)*30</f>
        <v>-14534.300000000001</v>
      </c>
      <c r="AL21" s="1749"/>
      <c r="AM21" s="407"/>
      <c r="AN21" s="748">
        <f>((CONTADORES!$AE377-CONTADORES!$AE345)+(CONTADORES!$S377-CONTADORES!$S345)+(CONTADORES!$AR377-CONTADORES!$AR345))-(INICIO!$W6)*30</f>
        <v>0</v>
      </c>
    </row>
    <row r="22" spans="2:41">
      <c r="E22" s="435"/>
      <c r="AD22" s="26"/>
      <c r="AE22" s="26"/>
      <c r="AF22" s="1031"/>
      <c r="AH22" s="749"/>
      <c r="AI22" s="1750"/>
    </row>
    <row r="24" spans="2:41">
      <c r="E24">
        <f>IF(B367&gt;=$AI$6,0,($AR367*AH367)/SUM($AG367:$AJ367))</f>
        <v>0</v>
      </c>
    </row>
  </sheetData>
  <mergeCells count="9">
    <mergeCell ref="B2:E2"/>
    <mergeCell ref="AL2:AO2"/>
    <mergeCell ref="F2:AK2"/>
    <mergeCell ref="B13:B18"/>
    <mergeCell ref="C13:C18"/>
    <mergeCell ref="B4:C6"/>
    <mergeCell ref="D4:E6"/>
    <mergeCell ref="B7:B12"/>
    <mergeCell ref="C7:C12"/>
  </mergeCells>
  <pageMargins left="0.7" right="0.7" top="0.75" bottom="0.75" header="0.3" footer="0.3"/>
  <pageSetup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4" tint="-0.249977111117893"/>
  </sheetPr>
  <dimension ref="A1:T51"/>
  <sheetViews>
    <sheetView topLeftCell="A19" zoomScale="70" zoomScaleNormal="70" workbookViewId="0">
      <selection activeCell="F375" sqref="F375"/>
    </sheetView>
  </sheetViews>
  <sheetFormatPr baseColWidth="10" defaultColWidth="9.1796875" defaultRowHeight="12.5"/>
  <cols>
    <col min="1" max="1" width="6" style="229" customWidth="1"/>
    <col min="2" max="2" width="14.54296875" style="229" customWidth="1"/>
    <col min="3" max="13" width="9.453125" style="229" customWidth="1"/>
    <col min="14" max="14" width="10.81640625" style="229" bestFit="1" customWidth="1"/>
    <col min="15" max="15" width="16.453125" style="229" customWidth="1"/>
    <col min="16" max="255" width="9.1796875" style="229"/>
    <col min="256" max="256" width="6" style="229" customWidth="1"/>
    <col min="257" max="257" width="25.453125" style="229" customWidth="1"/>
    <col min="258" max="258" width="14.54296875" style="229" customWidth="1"/>
    <col min="259" max="270" width="9.453125" style="229" customWidth="1"/>
    <col min="271" max="271" width="16.453125" style="229" customWidth="1"/>
    <col min="272" max="511" width="9.1796875" style="229"/>
    <col min="512" max="512" width="6" style="229" customWidth="1"/>
    <col min="513" max="513" width="25.453125" style="229" customWidth="1"/>
    <col min="514" max="514" width="14.54296875" style="229" customWidth="1"/>
    <col min="515" max="526" width="9.453125" style="229" customWidth="1"/>
    <col min="527" max="527" width="16.453125" style="229" customWidth="1"/>
    <col min="528" max="767" width="9.1796875" style="229"/>
    <col min="768" max="768" width="6" style="229" customWidth="1"/>
    <col min="769" max="769" width="25.453125" style="229" customWidth="1"/>
    <col min="770" max="770" width="14.54296875" style="229" customWidth="1"/>
    <col min="771" max="782" width="9.453125" style="229" customWidth="1"/>
    <col min="783" max="783" width="16.453125" style="229" customWidth="1"/>
    <col min="784" max="1023" width="9.1796875" style="229"/>
    <col min="1024" max="1024" width="6" style="229" customWidth="1"/>
    <col min="1025" max="1025" width="25.453125" style="229" customWidth="1"/>
    <col min="1026" max="1026" width="14.54296875" style="229" customWidth="1"/>
    <col min="1027" max="1038" width="9.453125" style="229" customWidth="1"/>
    <col min="1039" max="1039" width="16.453125" style="229" customWidth="1"/>
    <col min="1040" max="1279" width="9.1796875" style="229"/>
    <col min="1280" max="1280" width="6" style="229" customWidth="1"/>
    <col min="1281" max="1281" width="25.453125" style="229" customWidth="1"/>
    <col min="1282" max="1282" width="14.54296875" style="229" customWidth="1"/>
    <col min="1283" max="1294" width="9.453125" style="229" customWidth="1"/>
    <col min="1295" max="1295" width="16.453125" style="229" customWidth="1"/>
    <col min="1296" max="1535" width="9.1796875" style="229"/>
    <col min="1536" max="1536" width="6" style="229" customWidth="1"/>
    <col min="1537" max="1537" width="25.453125" style="229" customWidth="1"/>
    <col min="1538" max="1538" width="14.54296875" style="229" customWidth="1"/>
    <col min="1539" max="1550" width="9.453125" style="229" customWidth="1"/>
    <col min="1551" max="1551" width="16.453125" style="229" customWidth="1"/>
    <col min="1552" max="1791" width="9.1796875" style="229"/>
    <col min="1792" max="1792" width="6" style="229" customWidth="1"/>
    <col min="1793" max="1793" width="25.453125" style="229" customWidth="1"/>
    <col min="1794" max="1794" width="14.54296875" style="229" customWidth="1"/>
    <col min="1795" max="1806" width="9.453125" style="229" customWidth="1"/>
    <col min="1807" max="1807" width="16.453125" style="229" customWidth="1"/>
    <col min="1808" max="2047" width="9.1796875" style="229"/>
    <col min="2048" max="2048" width="6" style="229" customWidth="1"/>
    <col min="2049" max="2049" width="25.453125" style="229" customWidth="1"/>
    <col min="2050" max="2050" width="14.54296875" style="229" customWidth="1"/>
    <col min="2051" max="2062" width="9.453125" style="229" customWidth="1"/>
    <col min="2063" max="2063" width="16.453125" style="229" customWidth="1"/>
    <col min="2064" max="2303" width="9.1796875" style="229"/>
    <col min="2304" max="2304" width="6" style="229" customWidth="1"/>
    <col min="2305" max="2305" width="25.453125" style="229" customWidth="1"/>
    <col min="2306" max="2306" width="14.54296875" style="229" customWidth="1"/>
    <col min="2307" max="2318" width="9.453125" style="229" customWidth="1"/>
    <col min="2319" max="2319" width="16.453125" style="229" customWidth="1"/>
    <col min="2320" max="2559" width="9.1796875" style="229"/>
    <col min="2560" max="2560" width="6" style="229" customWidth="1"/>
    <col min="2561" max="2561" width="25.453125" style="229" customWidth="1"/>
    <col min="2562" max="2562" width="14.54296875" style="229" customWidth="1"/>
    <col min="2563" max="2574" width="9.453125" style="229" customWidth="1"/>
    <col min="2575" max="2575" width="16.453125" style="229" customWidth="1"/>
    <col min="2576" max="2815" width="9.1796875" style="229"/>
    <col min="2816" max="2816" width="6" style="229" customWidth="1"/>
    <col min="2817" max="2817" width="25.453125" style="229" customWidth="1"/>
    <col min="2818" max="2818" width="14.54296875" style="229" customWidth="1"/>
    <col min="2819" max="2830" width="9.453125" style="229" customWidth="1"/>
    <col min="2831" max="2831" width="16.453125" style="229" customWidth="1"/>
    <col min="2832" max="3071" width="9.1796875" style="229"/>
    <col min="3072" max="3072" width="6" style="229" customWidth="1"/>
    <col min="3073" max="3073" width="25.453125" style="229" customWidth="1"/>
    <col min="3074" max="3074" width="14.54296875" style="229" customWidth="1"/>
    <col min="3075" max="3086" width="9.453125" style="229" customWidth="1"/>
    <col min="3087" max="3087" width="16.453125" style="229" customWidth="1"/>
    <col min="3088" max="3327" width="9.1796875" style="229"/>
    <col min="3328" max="3328" width="6" style="229" customWidth="1"/>
    <col min="3329" max="3329" width="25.453125" style="229" customWidth="1"/>
    <col min="3330" max="3330" width="14.54296875" style="229" customWidth="1"/>
    <col min="3331" max="3342" width="9.453125" style="229" customWidth="1"/>
    <col min="3343" max="3343" width="16.453125" style="229" customWidth="1"/>
    <col min="3344" max="3583" width="9.1796875" style="229"/>
    <col min="3584" max="3584" width="6" style="229" customWidth="1"/>
    <col min="3585" max="3585" width="25.453125" style="229" customWidth="1"/>
    <col min="3586" max="3586" width="14.54296875" style="229" customWidth="1"/>
    <col min="3587" max="3598" width="9.453125" style="229" customWidth="1"/>
    <col min="3599" max="3599" width="16.453125" style="229" customWidth="1"/>
    <col min="3600" max="3839" width="9.1796875" style="229"/>
    <col min="3840" max="3840" width="6" style="229" customWidth="1"/>
    <col min="3841" max="3841" width="25.453125" style="229" customWidth="1"/>
    <col min="3842" max="3842" width="14.54296875" style="229" customWidth="1"/>
    <col min="3843" max="3854" width="9.453125" style="229" customWidth="1"/>
    <col min="3855" max="3855" width="16.453125" style="229" customWidth="1"/>
    <col min="3856" max="4095" width="9.1796875" style="229"/>
    <col min="4096" max="4096" width="6" style="229" customWidth="1"/>
    <col min="4097" max="4097" width="25.453125" style="229" customWidth="1"/>
    <col min="4098" max="4098" width="14.54296875" style="229" customWidth="1"/>
    <col min="4099" max="4110" width="9.453125" style="229" customWidth="1"/>
    <col min="4111" max="4111" width="16.453125" style="229" customWidth="1"/>
    <col min="4112" max="4351" width="9.1796875" style="229"/>
    <col min="4352" max="4352" width="6" style="229" customWidth="1"/>
    <col min="4353" max="4353" width="25.453125" style="229" customWidth="1"/>
    <col min="4354" max="4354" width="14.54296875" style="229" customWidth="1"/>
    <col min="4355" max="4366" width="9.453125" style="229" customWidth="1"/>
    <col min="4367" max="4367" width="16.453125" style="229" customWidth="1"/>
    <col min="4368" max="4607" width="9.1796875" style="229"/>
    <col min="4608" max="4608" width="6" style="229" customWidth="1"/>
    <col min="4609" max="4609" width="25.453125" style="229" customWidth="1"/>
    <col min="4610" max="4610" width="14.54296875" style="229" customWidth="1"/>
    <col min="4611" max="4622" width="9.453125" style="229" customWidth="1"/>
    <col min="4623" max="4623" width="16.453125" style="229" customWidth="1"/>
    <col min="4624" max="4863" width="9.1796875" style="229"/>
    <col min="4864" max="4864" width="6" style="229" customWidth="1"/>
    <col min="4865" max="4865" width="25.453125" style="229" customWidth="1"/>
    <col min="4866" max="4866" width="14.54296875" style="229" customWidth="1"/>
    <col min="4867" max="4878" width="9.453125" style="229" customWidth="1"/>
    <col min="4879" max="4879" width="16.453125" style="229" customWidth="1"/>
    <col min="4880" max="5119" width="9.1796875" style="229"/>
    <col min="5120" max="5120" width="6" style="229" customWidth="1"/>
    <col min="5121" max="5121" width="25.453125" style="229" customWidth="1"/>
    <col min="5122" max="5122" width="14.54296875" style="229" customWidth="1"/>
    <col min="5123" max="5134" width="9.453125" style="229" customWidth="1"/>
    <col min="5135" max="5135" width="16.453125" style="229" customWidth="1"/>
    <col min="5136" max="5375" width="9.1796875" style="229"/>
    <col min="5376" max="5376" width="6" style="229" customWidth="1"/>
    <col min="5377" max="5377" width="25.453125" style="229" customWidth="1"/>
    <col min="5378" max="5378" width="14.54296875" style="229" customWidth="1"/>
    <col min="5379" max="5390" width="9.453125" style="229" customWidth="1"/>
    <col min="5391" max="5391" width="16.453125" style="229" customWidth="1"/>
    <col min="5392" max="5631" width="9.1796875" style="229"/>
    <col min="5632" max="5632" width="6" style="229" customWidth="1"/>
    <col min="5633" max="5633" width="25.453125" style="229" customWidth="1"/>
    <col min="5634" max="5634" width="14.54296875" style="229" customWidth="1"/>
    <col min="5635" max="5646" width="9.453125" style="229" customWidth="1"/>
    <col min="5647" max="5647" width="16.453125" style="229" customWidth="1"/>
    <col min="5648" max="5887" width="9.1796875" style="229"/>
    <col min="5888" max="5888" width="6" style="229" customWidth="1"/>
    <col min="5889" max="5889" width="25.453125" style="229" customWidth="1"/>
    <col min="5890" max="5890" width="14.54296875" style="229" customWidth="1"/>
    <col min="5891" max="5902" width="9.453125" style="229" customWidth="1"/>
    <col min="5903" max="5903" width="16.453125" style="229" customWidth="1"/>
    <col min="5904" max="6143" width="9.1796875" style="229"/>
    <col min="6144" max="6144" width="6" style="229" customWidth="1"/>
    <col min="6145" max="6145" width="25.453125" style="229" customWidth="1"/>
    <col min="6146" max="6146" width="14.54296875" style="229" customWidth="1"/>
    <col min="6147" max="6158" width="9.453125" style="229" customWidth="1"/>
    <col min="6159" max="6159" width="16.453125" style="229" customWidth="1"/>
    <col min="6160" max="6399" width="9.1796875" style="229"/>
    <col min="6400" max="6400" width="6" style="229" customWidth="1"/>
    <col min="6401" max="6401" width="25.453125" style="229" customWidth="1"/>
    <col min="6402" max="6402" width="14.54296875" style="229" customWidth="1"/>
    <col min="6403" max="6414" width="9.453125" style="229" customWidth="1"/>
    <col min="6415" max="6415" width="16.453125" style="229" customWidth="1"/>
    <col min="6416" max="6655" width="9.1796875" style="229"/>
    <col min="6656" max="6656" width="6" style="229" customWidth="1"/>
    <col min="6657" max="6657" width="25.453125" style="229" customWidth="1"/>
    <col min="6658" max="6658" width="14.54296875" style="229" customWidth="1"/>
    <col min="6659" max="6670" width="9.453125" style="229" customWidth="1"/>
    <col min="6671" max="6671" width="16.453125" style="229" customWidth="1"/>
    <col min="6672" max="6911" width="9.1796875" style="229"/>
    <col min="6912" max="6912" width="6" style="229" customWidth="1"/>
    <col min="6913" max="6913" width="25.453125" style="229" customWidth="1"/>
    <col min="6914" max="6914" width="14.54296875" style="229" customWidth="1"/>
    <col min="6915" max="6926" width="9.453125" style="229" customWidth="1"/>
    <col min="6927" max="6927" width="16.453125" style="229" customWidth="1"/>
    <col min="6928" max="7167" width="9.1796875" style="229"/>
    <col min="7168" max="7168" width="6" style="229" customWidth="1"/>
    <col min="7169" max="7169" width="25.453125" style="229" customWidth="1"/>
    <col min="7170" max="7170" width="14.54296875" style="229" customWidth="1"/>
    <col min="7171" max="7182" width="9.453125" style="229" customWidth="1"/>
    <col min="7183" max="7183" width="16.453125" style="229" customWidth="1"/>
    <col min="7184" max="7423" width="9.1796875" style="229"/>
    <col min="7424" max="7424" width="6" style="229" customWidth="1"/>
    <col min="7425" max="7425" width="25.453125" style="229" customWidth="1"/>
    <col min="7426" max="7426" width="14.54296875" style="229" customWidth="1"/>
    <col min="7427" max="7438" width="9.453125" style="229" customWidth="1"/>
    <col min="7439" max="7439" width="16.453125" style="229" customWidth="1"/>
    <col min="7440" max="7679" width="9.1796875" style="229"/>
    <col min="7680" max="7680" width="6" style="229" customWidth="1"/>
    <col min="7681" max="7681" width="25.453125" style="229" customWidth="1"/>
    <col min="7682" max="7682" width="14.54296875" style="229" customWidth="1"/>
    <col min="7683" max="7694" width="9.453125" style="229" customWidth="1"/>
    <col min="7695" max="7695" width="16.453125" style="229" customWidth="1"/>
    <col min="7696" max="7935" width="9.1796875" style="229"/>
    <col min="7936" max="7936" width="6" style="229" customWidth="1"/>
    <col min="7937" max="7937" width="25.453125" style="229" customWidth="1"/>
    <col min="7938" max="7938" width="14.54296875" style="229" customWidth="1"/>
    <col min="7939" max="7950" width="9.453125" style="229" customWidth="1"/>
    <col min="7951" max="7951" width="16.453125" style="229" customWidth="1"/>
    <col min="7952" max="8191" width="9.1796875" style="229"/>
    <col min="8192" max="8192" width="6" style="229" customWidth="1"/>
    <col min="8193" max="8193" width="25.453125" style="229" customWidth="1"/>
    <col min="8194" max="8194" width="14.54296875" style="229" customWidth="1"/>
    <col min="8195" max="8206" width="9.453125" style="229" customWidth="1"/>
    <col min="8207" max="8207" width="16.453125" style="229" customWidth="1"/>
    <col min="8208" max="8447" width="9.1796875" style="229"/>
    <col min="8448" max="8448" width="6" style="229" customWidth="1"/>
    <col min="8449" max="8449" width="25.453125" style="229" customWidth="1"/>
    <col min="8450" max="8450" width="14.54296875" style="229" customWidth="1"/>
    <col min="8451" max="8462" width="9.453125" style="229" customWidth="1"/>
    <col min="8463" max="8463" width="16.453125" style="229" customWidth="1"/>
    <col min="8464" max="8703" width="9.1796875" style="229"/>
    <col min="8704" max="8704" width="6" style="229" customWidth="1"/>
    <col min="8705" max="8705" width="25.453125" style="229" customWidth="1"/>
    <col min="8706" max="8706" width="14.54296875" style="229" customWidth="1"/>
    <col min="8707" max="8718" width="9.453125" style="229" customWidth="1"/>
    <col min="8719" max="8719" width="16.453125" style="229" customWidth="1"/>
    <col min="8720" max="8959" width="9.1796875" style="229"/>
    <col min="8960" max="8960" width="6" style="229" customWidth="1"/>
    <col min="8961" max="8961" width="25.453125" style="229" customWidth="1"/>
    <col min="8962" max="8962" width="14.54296875" style="229" customWidth="1"/>
    <col min="8963" max="8974" width="9.453125" style="229" customWidth="1"/>
    <col min="8975" max="8975" width="16.453125" style="229" customWidth="1"/>
    <col min="8976" max="9215" width="9.1796875" style="229"/>
    <col min="9216" max="9216" width="6" style="229" customWidth="1"/>
    <col min="9217" max="9217" width="25.453125" style="229" customWidth="1"/>
    <col min="9218" max="9218" width="14.54296875" style="229" customWidth="1"/>
    <col min="9219" max="9230" width="9.453125" style="229" customWidth="1"/>
    <col min="9231" max="9231" width="16.453125" style="229" customWidth="1"/>
    <col min="9232" max="9471" width="9.1796875" style="229"/>
    <col min="9472" max="9472" width="6" style="229" customWidth="1"/>
    <col min="9473" max="9473" width="25.453125" style="229" customWidth="1"/>
    <col min="9474" max="9474" width="14.54296875" style="229" customWidth="1"/>
    <col min="9475" max="9486" width="9.453125" style="229" customWidth="1"/>
    <col min="9487" max="9487" width="16.453125" style="229" customWidth="1"/>
    <col min="9488" max="9727" width="9.1796875" style="229"/>
    <col min="9728" max="9728" width="6" style="229" customWidth="1"/>
    <col min="9729" max="9729" width="25.453125" style="229" customWidth="1"/>
    <col min="9730" max="9730" width="14.54296875" style="229" customWidth="1"/>
    <col min="9731" max="9742" width="9.453125" style="229" customWidth="1"/>
    <col min="9743" max="9743" width="16.453125" style="229" customWidth="1"/>
    <col min="9744" max="9983" width="9.1796875" style="229"/>
    <col min="9984" max="9984" width="6" style="229" customWidth="1"/>
    <col min="9985" max="9985" width="25.453125" style="229" customWidth="1"/>
    <col min="9986" max="9986" width="14.54296875" style="229" customWidth="1"/>
    <col min="9987" max="9998" width="9.453125" style="229" customWidth="1"/>
    <col min="9999" max="9999" width="16.453125" style="229" customWidth="1"/>
    <col min="10000" max="10239" width="9.1796875" style="229"/>
    <col min="10240" max="10240" width="6" style="229" customWidth="1"/>
    <col min="10241" max="10241" width="25.453125" style="229" customWidth="1"/>
    <col min="10242" max="10242" width="14.54296875" style="229" customWidth="1"/>
    <col min="10243" max="10254" width="9.453125" style="229" customWidth="1"/>
    <col min="10255" max="10255" width="16.453125" style="229" customWidth="1"/>
    <col min="10256" max="10495" width="9.1796875" style="229"/>
    <col min="10496" max="10496" width="6" style="229" customWidth="1"/>
    <col min="10497" max="10497" width="25.453125" style="229" customWidth="1"/>
    <col min="10498" max="10498" width="14.54296875" style="229" customWidth="1"/>
    <col min="10499" max="10510" width="9.453125" style="229" customWidth="1"/>
    <col min="10511" max="10511" width="16.453125" style="229" customWidth="1"/>
    <col min="10512" max="10751" width="9.1796875" style="229"/>
    <col min="10752" max="10752" width="6" style="229" customWidth="1"/>
    <col min="10753" max="10753" width="25.453125" style="229" customWidth="1"/>
    <col min="10754" max="10754" width="14.54296875" style="229" customWidth="1"/>
    <col min="10755" max="10766" width="9.453125" style="229" customWidth="1"/>
    <col min="10767" max="10767" width="16.453125" style="229" customWidth="1"/>
    <col min="10768" max="11007" width="9.1796875" style="229"/>
    <col min="11008" max="11008" width="6" style="229" customWidth="1"/>
    <col min="11009" max="11009" width="25.453125" style="229" customWidth="1"/>
    <col min="11010" max="11010" width="14.54296875" style="229" customWidth="1"/>
    <col min="11011" max="11022" width="9.453125" style="229" customWidth="1"/>
    <col min="11023" max="11023" width="16.453125" style="229" customWidth="1"/>
    <col min="11024" max="11263" width="9.1796875" style="229"/>
    <col min="11264" max="11264" width="6" style="229" customWidth="1"/>
    <col min="11265" max="11265" width="25.453125" style="229" customWidth="1"/>
    <col min="11266" max="11266" width="14.54296875" style="229" customWidth="1"/>
    <col min="11267" max="11278" width="9.453125" style="229" customWidth="1"/>
    <col min="11279" max="11279" width="16.453125" style="229" customWidth="1"/>
    <col min="11280" max="11519" width="9.1796875" style="229"/>
    <col min="11520" max="11520" width="6" style="229" customWidth="1"/>
    <col min="11521" max="11521" width="25.453125" style="229" customWidth="1"/>
    <col min="11522" max="11522" width="14.54296875" style="229" customWidth="1"/>
    <col min="11523" max="11534" width="9.453125" style="229" customWidth="1"/>
    <col min="11535" max="11535" width="16.453125" style="229" customWidth="1"/>
    <col min="11536" max="11775" width="9.1796875" style="229"/>
    <col min="11776" max="11776" width="6" style="229" customWidth="1"/>
    <col min="11777" max="11777" width="25.453125" style="229" customWidth="1"/>
    <col min="11778" max="11778" width="14.54296875" style="229" customWidth="1"/>
    <col min="11779" max="11790" width="9.453125" style="229" customWidth="1"/>
    <col min="11791" max="11791" width="16.453125" style="229" customWidth="1"/>
    <col min="11792" max="12031" width="9.1796875" style="229"/>
    <col min="12032" max="12032" width="6" style="229" customWidth="1"/>
    <col min="12033" max="12033" width="25.453125" style="229" customWidth="1"/>
    <col min="12034" max="12034" width="14.54296875" style="229" customWidth="1"/>
    <col min="12035" max="12046" width="9.453125" style="229" customWidth="1"/>
    <col min="12047" max="12047" width="16.453125" style="229" customWidth="1"/>
    <col min="12048" max="12287" width="9.1796875" style="229"/>
    <col min="12288" max="12288" width="6" style="229" customWidth="1"/>
    <col min="12289" max="12289" width="25.453125" style="229" customWidth="1"/>
    <col min="12290" max="12290" width="14.54296875" style="229" customWidth="1"/>
    <col min="12291" max="12302" width="9.453125" style="229" customWidth="1"/>
    <col min="12303" max="12303" width="16.453125" style="229" customWidth="1"/>
    <col min="12304" max="12543" width="9.1796875" style="229"/>
    <col min="12544" max="12544" width="6" style="229" customWidth="1"/>
    <col min="12545" max="12545" width="25.453125" style="229" customWidth="1"/>
    <col min="12546" max="12546" width="14.54296875" style="229" customWidth="1"/>
    <col min="12547" max="12558" width="9.453125" style="229" customWidth="1"/>
    <col min="12559" max="12559" width="16.453125" style="229" customWidth="1"/>
    <col min="12560" max="12799" width="9.1796875" style="229"/>
    <col min="12800" max="12800" width="6" style="229" customWidth="1"/>
    <col min="12801" max="12801" width="25.453125" style="229" customWidth="1"/>
    <col min="12802" max="12802" width="14.54296875" style="229" customWidth="1"/>
    <col min="12803" max="12814" width="9.453125" style="229" customWidth="1"/>
    <col min="12815" max="12815" width="16.453125" style="229" customWidth="1"/>
    <col min="12816" max="13055" width="9.1796875" style="229"/>
    <col min="13056" max="13056" width="6" style="229" customWidth="1"/>
    <col min="13057" max="13057" width="25.453125" style="229" customWidth="1"/>
    <col min="13058" max="13058" width="14.54296875" style="229" customWidth="1"/>
    <col min="13059" max="13070" width="9.453125" style="229" customWidth="1"/>
    <col min="13071" max="13071" width="16.453125" style="229" customWidth="1"/>
    <col min="13072" max="13311" width="9.1796875" style="229"/>
    <col min="13312" max="13312" width="6" style="229" customWidth="1"/>
    <col min="13313" max="13313" width="25.453125" style="229" customWidth="1"/>
    <col min="13314" max="13314" width="14.54296875" style="229" customWidth="1"/>
    <col min="13315" max="13326" width="9.453125" style="229" customWidth="1"/>
    <col min="13327" max="13327" width="16.453125" style="229" customWidth="1"/>
    <col min="13328" max="13567" width="9.1796875" style="229"/>
    <col min="13568" max="13568" width="6" style="229" customWidth="1"/>
    <col min="13569" max="13569" width="25.453125" style="229" customWidth="1"/>
    <col min="13570" max="13570" width="14.54296875" style="229" customWidth="1"/>
    <col min="13571" max="13582" width="9.453125" style="229" customWidth="1"/>
    <col min="13583" max="13583" width="16.453125" style="229" customWidth="1"/>
    <col min="13584" max="13823" width="9.1796875" style="229"/>
    <col min="13824" max="13824" width="6" style="229" customWidth="1"/>
    <col min="13825" max="13825" width="25.453125" style="229" customWidth="1"/>
    <col min="13826" max="13826" width="14.54296875" style="229" customWidth="1"/>
    <col min="13827" max="13838" width="9.453125" style="229" customWidth="1"/>
    <col min="13839" max="13839" width="16.453125" style="229" customWidth="1"/>
    <col min="13840" max="14079" width="9.1796875" style="229"/>
    <col min="14080" max="14080" width="6" style="229" customWidth="1"/>
    <col min="14081" max="14081" width="25.453125" style="229" customWidth="1"/>
    <col min="14082" max="14082" width="14.54296875" style="229" customWidth="1"/>
    <col min="14083" max="14094" width="9.453125" style="229" customWidth="1"/>
    <col min="14095" max="14095" width="16.453125" style="229" customWidth="1"/>
    <col min="14096" max="14335" width="9.1796875" style="229"/>
    <col min="14336" max="14336" width="6" style="229" customWidth="1"/>
    <col min="14337" max="14337" width="25.453125" style="229" customWidth="1"/>
    <col min="14338" max="14338" width="14.54296875" style="229" customWidth="1"/>
    <col min="14339" max="14350" width="9.453125" style="229" customWidth="1"/>
    <col min="14351" max="14351" width="16.453125" style="229" customWidth="1"/>
    <col min="14352" max="14591" width="9.1796875" style="229"/>
    <col min="14592" max="14592" width="6" style="229" customWidth="1"/>
    <col min="14593" max="14593" width="25.453125" style="229" customWidth="1"/>
    <col min="14594" max="14594" width="14.54296875" style="229" customWidth="1"/>
    <col min="14595" max="14606" width="9.453125" style="229" customWidth="1"/>
    <col min="14607" max="14607" width="16.453125" style="229" customWidth="1"/>
    <col min="14608" max="14847" width="9.1796875" style="229"/>
    <col min="14848" max="14848" width="6" style="229" customWidth="1"/>
    <col min="14849" max="14849" width="25.453125" style="229" customWidth="1"/>
    <col min="14850" max="14850" width="14.54296875" style="229" customWidth="1"/>
    <col min="14851" max="14862" width="9.453125" style="229" customWidth="1"/>
    <col min="14863" max="14863" width="16.453125" style="229" customWidth="1"/>
    <col min="14864" max="15103" width="9.1796875" style="229"/>
    <col min="15104" max="15104" width="6" style="229" customWidth="1"/>
    <col min="15105" max="15105" width="25.453125" style="229" customWidth="1"/>
    <col min="15106" max="15106" width="14.54296875" style="229" customWidth="1"/>
    <col min="15107" max="15118" width="9.453125" style="229" customWidth="1"/>
    <col min="15119" max="15119" width="16.453125" style="229" customWidth="1"/>
    <col min="15120" max="15359" width="9.1796875" style="229"/>
    <col min="15360" max="15360" width="6" style="229" customWidth="1"/>
    <col min="15361" max="15361" width="25.453125" style="229" customWidth="1"/>
    <col min="15362" max="15362" width="14.54296875" style="229" customWidth="1"/>
    <col min="15363" max="15374" width="9.453125" style="229" customWidth="1"/>
    <col min="15375" max="15375" width="16.453125" style="229" customWidth="1"/>
    <col min="15376" max="15615" width="9.1796875" style="229"/>
    <col min="15616" max="15616" width="6" style="229" customWidth="1"/>
    <col min="15617" max="15617" width="25.453125" style="229" customWidth="1"/>
    <col min="15618" max="15618" width="14.54296875" style="229" customWidth="1"/>
    <col min="15619" max="15630" width="9.453125" style="229" customWidth="1"/>
    <col min="15631" max="15631" width="16.453125" style="229" customWidth="1"/>
    <col min="15632" max="15871" width="9.1796875" style="229"/>
    <col min="15872" max="15872" width="6" style="229" customWidth="1"/>
    <col min="15873" max="15873" width="25.453125" style="229" customWidth="1"/>
    <col min="15874" max="15874" width="14.54296875" style="229" customWidth="1"/>
    <col min="15875" max="15886" width="9.453125" style="229" customWidth="1"/>
    <col min="15887" max="15887" width="16.453125" style="229" customWidth="1"/>
    <col min="15888" max="16127" width="9.1796875" style="229"/>
    <col min="16128" max="16128" width="6" style="229" customWidth="1"/>
    <col min="16129" max="16129" width="25.453125" style="229" customWidth="1"/>
    <col min="16130" max="16130" width="14.54296875" style="229" customWidth="1"/>
    <col min="16131" max="16142" width="9.453125" style="229" customWidth="1"/>
    <col min="16143" max="16143" width="16.453125" style="229" customWidth="1"/>
    <col min="16144" max="16384" width="9.1796875" style="229"/>
  </cols>
  <sheetData>
    <row r="1" spans="1:20" ht="14.5" thickBot="1">
      <c r="A1" s="228"/>
      <c r="B1" s="228"/>
      <c r="C1" s="228"/>
      <c r="D1" s="228"/>
      <c r="E1" s="228"/>
      <c r="F1" s="228"/>
      <c r="G1" s="228"/>
      <c r="H1" s="228"/>
      <c r="I1" s="228"/>
      <c r="J1" s="228"/>
      <c r="K1" s="228"/>
      <c r="L1" s="228"/>
      <c r="M1" s="228"/>
      <c r="N1" s="228"/>
      <c r="O1" s="228"/>
      <c r="P1" s="228"/>
      <c r="Q1" s="228"/>
      <c r="R1" s="228"/>
      <c r="S1" s="228"/>
      <c r="T1" s="228"/>
    </row>
    <row r="2" spans="1:20" ht="60.75" customHeight="1" thickBot="1">
      <c r="A2" s="228"/>
      <c r="B2" s="1676"/>
      <c r="C2" s="1677"/>
      <c r="D2" s="1677" t="s">
        <v>1435</v>
      </c>
      <c r="E2" s="1677"/>
      <c r="F2" s="1677"/>
      <c r="G2" s="1677"/>
      <c r="H2" s="1677"/>
      <c r="I2" s="1677"/>
      <c r="J2" s="1677"/>
      <c r="K2" s="1677"/>
      <c r="L2" s="1677"/>
      <c r="M2" s="1677"/>
      <c r="N2" s="1677"/>
      <c r="O2" s="1678"/>
      <c r="P2" s="228"/>
      <c r="Q2" s="228"/>
      <c r="R2" s="228"/>
      <c r="S2" s="228"/>
      <c r="T2" s="228"/>
    </row>
    <row r="3" spans="1:20" ht="27" customHeight="1">
      <c r="A3" s="228"/>
      <c r="B3" s="1679" t="s">
        <v>223</v>
      </c>
      <c r="C3" s="230" t="s">
        <v>175</v>
      </c>
      <c r="D3" s="231" t="s">
        <v>176</v>
      </c>
      <c r="E3" s="231" t="s">
        <v>177</v>
      </c>
      <c r="F3" s="231" t="s">
        <v>178</v>
      </c>
      <c r="G3" s="231" t="s">
        <v>179</v>
      </c>
      <c r="H3" s="231" t="s">
        <v>181</v>
      </c>
      <c r="I3" s="231" t="s">
        <v>182</v>
      </c>
      <c r="J3" s="231" t="s">
        <v>183</v>
      </c>
      <c r="K3" s="231" t="s">
        <v>184</v>
      </c>
      <c r="L3" s="231" t="s">
        <v>185</v>
      </c>
      <c r="M3" s="231" t="s">
        <v>186</v>
      </c>
      <c r="N3" s="231" t="s">
        <v>187</v>
      </c>
      <c r="O3" s="232" t="s">
        <v>26</v>
      </c>
      <c r="P3" s="228"/>
      <c r="Q3" s="228"/>
      <c r="R3" s="228"/>
      <c r="S3" s="228"/>
      <c r="T3" s="228"/>
    </row>
    <row r="4" spans="1:20" ht="27" customHeight="1">
      <c r="A4" s="228"/>
      <c r="B4" s="233">
        <v>1998</v>
      </c>
      <c r="C4" s="234"/>
      <c r="D4" s="235"/>
      <c r="E4" s="235"/>
      <c r="F4" s="236">
        <v>55</v>
      </c>
      <c r="G4" s="236">
        <v>57.8</v>
      </c>
      <c r="H4" s="236">
        <v>568.38</v>
      </c>
      <c r="I4" s="236">
        <v>1914</v>
      </c>
      <c r="J4" s="236">
        <v>1991.32</v>
      </c>
      <c r="K4" s="236">
        <v>5224.6000000000004</v>
      </c>
      <c r="L4" s="236">
        <v>10259.73</v>
      </c>
      <c r="M4" s="236">
        <v>11113</v>
      </c>
      <c r="N4" s="236">
        <v>18478.330000000002</v>
      </c>
      <c r="O4" s="237">
        <v>49662.16</v>
      </c>
      <c r="P4" s="228"/>
      <c r="Q4" s="228"/>
      <c r="R4" s="228"/>
      <c r="S4" s="228"/>
      <c r="T4" s="228"/>
    </row>
    <row r="5" spans="1:20" ht="27" customHeight="1">
      <c r="A5" s="228"/>
      <c r="B5" s="238">
        <v>1999</v>
      </c>
      <c r="C5" s="239">
        <v>18715.2</v>
      </c>
      <c r="D5" s="236">
        <v>17243.62</v>
      </c>
      <c r="E5" s="236">
        <v>19260.060000000001</v>
      </c>
      <c r="F5" s="236">
        <v>18576</v>
      </c>
      <c r="G5" s="240">
        <v>19348.16</v>
      </c>
      <c r="H5" s="240">
        <v>18268.5</v>
      </c>
      <c r="I5" s="240">
        <v>20726.52</v>
      </c>
      <c r="J5" s="240">
        <v>19615.82</v>
      </c>
      <c r="K5" s="240">
        <v>19640.48</v>
      </c>
      <c r="L5" s="241">
        <v>20233.29</v>
      </c>
      <c r="M5" s="240">
        <v>20133.2</v>
      </c>
      <c r="N5" s="240">
        <v>20079.099999999999</v>
      </c>
      <c r="O5" s="237">
        <v>231839.95000000004</v>
      </c>
      <c r="P5" s="228"/>
      <c r="Q5" s="228"/>
      <c r="R5" s="228"/>
      <c r="S5" s="228"/>
      <c r="T5" s="228"/>
    </row>
    <row r="6" spans="1:20" ht="27" customHeight="1">
      <c r="A6" s="228"/>
      <c r="B6" s="242">
        <v>2000</v>
      </c>
      <c r="C6" s="243">
        <v>19643.58200000002</v>
      </c>
      <c r="D6" s="244">
        <v>18404.668000000005</v>
      </c>
      <c r="E6" s="244">
        <v>20635.150000000001</v>
      </c>
      <c r="F6" s="244">
        <v>19714.11399999998</v>
      </c>
      <c r="G6" s="244">
        <v>18503.072000000004</v>
      </c>
      <c r="H6" s="244">
        <v>19687.400000000001</v>
      </c>
      <c r="I6" s="244">
        <v>20072.147000000004</v>
      </c>
      <c r="J6" s="244">
        <v>22041.605</v>
      </c>
      <c r="K6" s="244">
        <v>20773.627</v>
      </c>
      <c r="L6" s="244">
        <v>21466.496999999999</v>
      </c>
      <c r="M6" s="244">
        <v>12850.013999999999</v>
      </c>
      <c r="N6" s="244">
        <v>22865.406000000003</v>
      </c>
      <c r="O6" s="237">
        <v>236657.28200000001</v>
      </c>
      <c r="P6" s="228"/>
      <c r="Q6" s="228"/>
      <c r="R6" s="228"/>
      <c r="S6" s="228"/>
      <c r="T6" s="228"/>
    </row>
    <row r="7" spans="1:20" ht="27" customHeight="1">
      <c r="A7" s="228"/>
      <c r="B7" s="242">
        <v>2001</v>
      </c>
      <c r="C7" s="243">
        <v>23513.224999999999</v>
      </c>
      <c r="D7" s="244">
        <v>20508.896000000001</v>
      </c>
      <c r="E7" s="244">
        <v>23711.995999999999</v>
      </c>
      <c r="F7" s="244">
        <v>22829.16</v>
      </c>
      <c r="G7" s="244">
        <v>23551.040000000001</v>
      </c>
      <c r="H7" s="244">
        <v>22394.959999999999</v>
      </c>
      <c r="I7" s="244">
        <v>22043.17</v>
      </c>
      <c r="J7" s="244">
        <v>23354.39</v>
      </c>
      <c r="K7" s="244">
        <v>22709.8</v>
      </c>
      <c r="L7" s="244">
        <v>22421.546000000002</v>
      </c>
      <c r="M7" s="244">
        <v>22462.43</v>
      </c>
      <c r="N7" s="244">
        <v>22955.67325</v>
      </c>
      <c r="O7" s="245">
        <v>272456.28625</v>
      </c>
      <c r="P7" s="228"/>
      <c r="Q7" s="228"/>
      <c r="R7" s="228"/>
      <c r="S7" s="228"/>
      <c r="T7" s="228"/>
    </row>
    <row r="8" spans="1:20" ht="27" customHeight="1">
      <c r="A8" s="228"/>
      <c r="B8" s="242">
        <v>2002</v>
      </c>
      <c r="C8" s="243">
        <v>22356.17</v>
      </c>
      <c r="D8" s="244">
        <v>20360.419999999998</v>
      </c>
      <c r="E8" s="244">
        <v>22533.46</v>
      </c>
      <c r="F8" s="244">
        <v>19706.970999999983</v>
      </c>
      <c r="G8" s="244">
        <v>22072.14</v>
      </c>
      <c r="H8" s="244">
        <v>21320.44</v>
      </c>
      <c r="I8" s="244">
        <v>22490.430999999968</v>
      </c>
      <c r="J8" s="244">
        <v>21619.054000000036</v>
      </c>
      <c r="K8" s="244">
        <v>21368.06</v>
      </c>
      <c r="L8" s="244">
        <v>21842.568999999967</v>
      </c>
      <c r="M8" s="244">
        <v>18159.318000000032</v>
      </c>
      <c r="N8" s="244">
        <v>19324.129999999925</v>
      </c>
      <c r="O8" s="237">
        <v>253153.16299999988</v>
      </c>
      <c r="P8" s="228"/>
      <c r="Q8" s="228"/>
      <c r="R8" s="228"/>
      <c r="S8" s="228"/>
      <c r="T8" s="228"/>
    </row>
    <row r="9" spans="1:20" ht="27" customHeight="1">
      <c r="A9" s="228"/>
      <c r="B9" s="242">
        <v>2003</v>
      </c>
      <c r="C9" s="243">
        <v>19887.375000000047</v>
      </c>
      <c r="D9" s="244">
        <v>16265.879000000028</v>
      </c>
      <c r="E9" s="244">
        <v>13181.626999999995</v>
      </c>
      <c r="F9" s="244">
        <v>12896.302999999965</v>
      </c>
      <c r="G9" s="244">
        <v>13230.81</v>
      </c>
      <c r="H9" s="244">
        <v>13535.95</v>
      </c>
      <c r="I9" s="244">
        <v>13374.402000000018</v>
      </c>
      <c r="J9" s="244">
        <v>13103.84</v>
      </c>
      <c r="K9" s="244">
        <v>12364.59</v>
      </c>
      <c r="L9" s="244">
        <v>13086.62</v>
      </c>
      <c r="M9" s="244">
        <v>16795.25</v>
      </c>
      <c r="N9" s="244">
        <v>18968.12</v>
      </c>
      <c r="O9" s="237">
        <v>176690.76600000003</v>
      </c>
      <c r="P9" s="228"/>
      <c r="Q9" s="228"/>
      <c r="R9" s="228"/>
      <c r="S9" s="228"/>
      <c r="T9" s="228"/>
    </row>
    <row r="10" spans="1:20" ht="27" customHeight="1">
      <c r="A10" s="228"/>
      <c r="B10" s="242">
        <v>2004</v>
      </c>
      <c r="C10" s="243">
        <v>19094.89</v>
      </c>
      <c r="D10" s="244">
        <v>17732.009999999998</v>
      </c>
      <c r="E10" s="244">
        <v>13079.72</v>
      </c>
      <c r="F10" s="244">
        <v>12714.26</v>
      </c>
      <c r="G10" s="244">
        <v>13106.25</v>
      </c>
      <c r="H10" s="244">
        <v>12706.36999999995</v>
      </c>
      <c r="I10" s="244">
        <v>13079.89</v>
      </c>
      <c r="J10" s="244">
        <v>13019.2</v>
      </c>
      <c r="K10" s="244">
        <v>11945.83</v>
      </c>
      <c r="L10" s="244">
        <v>12980.89</v>
      </c>
      <c r="M10" s="244">
        <v>12806.42</v>
      </c>
      <c r="N10" s="244">
        <v>12409.55</v>
      </c>
      <c r="O10" s="237">
        <v>164675.27999999994</v>
      </c>
      <c r="P10" s="228"/>
      <c r="Q10" s="228"/>
      <c r="R10" s="228"/>
      <c r="S10" s="228"/>
      <c r="T10" s="228"/>
    </row>
    <row r="11" spans="1:20" ht="27" customHeight="1">
      <c r="A11" s="228"/>
      <c r="B11" s="242">
        <v>2005</v>
      </c>
      <c r="C11" s="243">
        <v>12622.48</v>
      </c>
      <c r="D11" s="244">
        <v>11488.12</v>
      </c>
      <c r="E11" s="244">
        <v>12361.37</v>
      </c>
      <c r="F11" s="244">
        <v>12180.84</v>
      </c>
      <c r="G11" s="244">
        <v>12679.6</v>
      </c>
      <c r="H11" s="244">
        <v>12198.3</v>
      </c>
      <c r="I11" s="244">
        <v>9864.1800000000385</v>
      </c>
      <c r="J11" s="244">
        <v>12282.52</v>
      </c>
      <c r="K11" s="244">
        <v>12462.38</v>
      </c>
      <c r="L11" s="244">
        <v>12541.289999999921</v>
      </c>
      <c r="M11" s="244">
        <v>12355.9</v>
      </c>
      <c r="N11" s="244">
        <v>12379.93</v>
      </c>
      <c r="O11" s="237">
        <v>145416.90999999995</v>
      </c>
      <c r="P11" s="228"/>
      <c r="Q11" s="228"/>
      <c r="R11" s="228"/>
      <c r="S11" s="228"/>
      <c r="T11" s="228"/>
    </row>
    <row r="12" spans="1:20" ht="27" customHeight="1">
      <c r="A12" s="228"/>
      <c r="B12" s="242">
        <v>2006</v>
      </c>
      <c r="C12" s="243">
        <v>12048.7</v>
      </c>
      <c r="D12" s="244">
        <v>10782.49</v>
      </c>
      <c r="E12" s="244">
        <v>12037.39</v>
      </c>
      <c r="F12" s="244">
        <v>11642.73</v>
      </c>
      <c r="G12" s="244">
        <v>11925.93</v>
      </c>
      <c r="H12" s="244">
        <v>11279.43</v>
      </c>
      <c r="I12" s="244">
        <v>11738.34</v>
      </c>
      <c r="J12" s="244">
        <v>11675.85</v>
      </c>
      <c r="K12" s="244">
        <v>11461.022000000028</v>
      </c>
      <c r="L12" s="244">
        <v>11789.87</v>
      </c>
      <c r="M12" s="244">
        <v>11327.76</v>
      </c>
      <c r="N12" s="244">
        <v>11650.56</v>
      </c>
      <c r="O12" s="237">
        <v>139360.07200000001</v>
      </c>
      <c r="P12" s="228"/>
      <c r="Q12" s="228"/>
      <c r="R12" s="228"/>
      <c r="S12" s="228"/>
      <c r="T12" s="228"/>
    </row>
    <row r="13" spans="1:20" ht="27" customHeight="1">
      <c r="A13" s="228"/>
      <c r="B13" s="242">
        <v>2007</v>
      </c>
      <c r="C13" s="243">
        <v>11737.353999999941</v>
      </c>
      <c r="D13" s="244">
        <v>10652.570000000056</v>
      </c>
      <c r="E13" s="244">
        <v>11574.289999999946</v>
      </c>
      <c r="F13" s="244">
        <v>11293.16</v>
      </c>
      <c r="G13" s="244">
        <v>10801.953000000005</v>
      </c>
      <c r="H13" s="244">
        <v>11325.968999999979</v>
      </c>
      <c r="I13" s="244">
        <v>11738.891000000009</v>
      </c>
      <c r="J13" s="244">
        <v>11680.92500000001</v>
      </c>
      <c r="K13" s="244">
        <v>11225.49499999997</v>
      </c>
      <c r="L13" s="244">
        <v>11658.327000000008</v>
      </c>
      <c r="M13" s="244">
        <v>11731.105999999956</v>
      </c>
      <c r="N13" s="244">
        <v>12169.684000000016</v>
      </c>
      <c r="O13" s="237">
        <v>137589.7239999999</v>
      </c>
      <c r="P13" s="228"/>
      <c r="Q13" s="228"/>
      <c r="R13" s="228"/>
      <c r="S13" s="228"/>
      <c r="T13" s="228"/>
    </row>
    <row r="14" spans="1:20" ht="27" customHeight="1">
      <c r="A14" s="228"/>
      <c r="B14" s="242">
        <v>2008</v>
      </c>
      <c r="C14" s="243">
        <v>11845.912999999984</v>
      </c>
      <c r="D14" s="244">
        <v>10771.402999999988</v>
      </c>
      <c r="E14" s="244">
        <v>11623.296000000029</v>
      </c>
      <c r="F14" s="244">
        <v>10975.174000000014</v>
      </c>
      <c r="G14" s="244">
        <v>11368.13</v>
      </c>
      <c r="H14" s="244">
        <v>11151.02</v>
      </c>
      <c r="I14" s="244">
        <v>11678.055999999982</v>
      </c>
      <c r="J14" s="244">
        <v>12068.84400000005</v>
      </c>
      <c r="K14" s="244">
        <v>11294.98</v>
      </c>
      <c r="L14" s="244">
        <v>11521.09</v>
      </c>
      <c r="M14" s="244">
        <v>11202.87</v>
      </c>
      <c r="N14" s="244">
        <v>11610.481999999976</v>
      </c>
      <c r="O14" s="237">
        <v>137111.25800000003</v>
      </c>
      <c r="P14" s="228"/>
      <c r="Q14" s="228"/>
      <c r="R14" s="228"/>
      <c r="S14" s="228"/>
      <c r="T14" s="228"/>
    </row>
    <row r="15" spans="1:20" ht="27" customHeight="1">
      <c r="A15" s="228"/>
      <c r="B15" s="242">
        <v>2009</v>
      </c>
      <c r="C15" s="243">
        <v>11610.49</v>
      </c>
      <c r="D15" s="244">
        <v>10425.07</v>
      </c>
      <c r="E15" s="244">
        <v>11426.38</v>
      </c>
      <c r="F15" s="244">
        <v>11115.66</v>
      </c>
      <c r="G15" s="244">
        <v>11284.73</v>
      </c>
      <c r="H15" s="244">
        <v>11107.88</v>
      </c>
      <c r="I15" s="244">
        <v>11616.45</v>
      </c>
      <c r="J15" s="244">
        <v>11532.57</v>
      </c>
      <c r="K15" s="244">
        <v>11018.55</v>
      </c>
      <c r="L15" s="244">
        <v>11622.1</v>
      </c>
      <c r="M15" s="244">
        <v>11048.01</v>
      </c>
      <c r="N15" s="244">
        <v>11243.68</v>
      </c>
      <c r="O15" s="237">
        <v>135051.56999999998</v>
      </c>
      <c r="P15" s="228"/>
      <c r="Q15" s="228"/>
      <c r="R15" s="228"/>
      <c r="S15" s="228"/>
      <c r="T15" s="228"/>
    </row>
    <row r="16" spans="1:20" ht="27" customHeight="1">
      <c r="A16" s="228"/>
      <c r="B16" s="242">
        <v>2010</v>
      </c>
      <c r="C16" s="243">
        <v>11468.179999999988</v>
      </c>
      <c r="D16" s="244">
        <v>10038.204000000047</v>
      </c>
      <c r="E16" s="244">
        <v>11557.615999999958</v>
      </c>
      <c r="F16" s="244">
        <v>11142.390000000003</v>
      </c>
      <c r="G16" s="244">
        <v>11506.500000000029</v>
      </c>
      <c r="H16" s="244">
        <v>11074.299999999965</v>
      </c>
      <c r="I16" s="244">
        <v>11559.578999999998</v>
      </c>
      <c r="J16" s="244">
        <v>11627.011000000017</v>
      </c>
      <c r="K16" s="244">
        <v>11516.550000000014</v>
      </c>
      <c r="L16" s="244">
        <v>11814.249999999965</v>
      </c>
      <c r="M16" s="244">
        <v>11621.140000000029</v>
      </c>
      <c r="N16" s="244">
        <v>9923.2700000000077</v>
      </c>
      <c r="O16" s="237">
        <v>134848.99000000002</v>
      </c>
      <c r="P16" s="228"/>
      <c r="Q16" s="228"/>
      <c r="R16" s="228"/>
      <c r="S16" s="228"/>
      <c r="T16" s="228"/>
    </row>
    <row r="17" spans="1:20" ht="27" customHeight="1">
      <c r="A17" s="228"/>
      <c r="B17" s="242">
        <v>2011</v>
      </c>
      <c r="C17" s="243">
        <v>11785.279999999959</v>
      </c>
      <c r="D17" s="244">
        <v>10577.120000000035</v>
      </c>
      <c r="E17" s="244">
        <v>11633.400000000031</v>
      </c>
      <c r="F17" s="244">
        <v>11226.499999999995</v>
      </c>
      <c r="G17" s="244">
        <v>11611.659999999963</v>
      </c>
      <c r="H17" s="244">
        <v>11248.797999999995</v>
      </c>
      <c r="I17" s="244">
        <v>11930.982000000058</v>
      </c>
      <c r="J17" s="244">
        <v>12062.46999999993</v>
      </c>
      <c r="K17" s="244">
        <v>11771.099999999953</v>
      </c>
      <c r="L17" s="244">
        <v>11272.600000000013</v>
      </c>
      <c r="M17" s="244">
        <v>11701.800000000105</v>
      </c>
      <c r="N17" s="244">
        <v>12018.39999999992</v>
      </c>
      <c r="O17" s="237">
        <v>138840.10999999993</v>
      </c>
      <c r="P17" s="228"/>
      <c r="Q17" s="228"/>
      <c r="R17" s="228"/>
      <c r="S17" s="228"/>
      <c r="T17" s="228"/>
    </row>
    <row r="18" spans="1:20" ht="27" customHeight="1">
      <c r="A18" s="228"/>
      <c r="B18" s="246">
        <v>2012</v>
      </c>
      <c r="C18" s="243">
        <v>12182.299999999977</v>
      </c>
      <c r="D18" s="244">
        <v>11144.900000000071</v>
      </c>
      <c r="E18" s="244">
        <v>6264.4999999999764</v>
      </c>
      <c r="F18" s="244">
        <v>11755.199999999957</v>
      </c>
      <c r="G18" s="244">
        <v>11878.400000000023</v>
      </c>
      <c r="H18" s="244">
        <v>11615.1</v>
      </c>
      <c r="I18" s="244">
        <v>11986</v>
      </c>
      <c r="J18" s="244">
        <v>12000.300000000001</v>
      </c>
      <c r="K18" s="244">
        <v>11715.999999999971</v>
      </c>
      <c r="L18" s="244">
        <v>12283.100000000051</v>
      </c>
      <c r="M18" s="244">
        <v>11735.539999999954</v>
      </c>
      <c r="N18" s="244">
        <v>11986.260000000048</v>
      </c>
      <c r="O18" s="237">
        <v>136547.6</v>
      </c>
      <c r="P18" s="228"/>
      <c r="Q18" s="228"/>
      <c r="R18" s="228"/>
      <c r="S18" s="228"/>
      <c r="T18" s="228"/>
    </row>
    <row r="19" spans="1:20" ht="27" customHeight="1">
      <c r="A19" s="228"/>
      <c r="B19" s="246">
        <v>2013</v>
      </c>
      <c r="C19" s="243">
        <v>12051.800000000039</v>
      </c>
      <c r="D19" s="244">
        <v>10933.397999999957</v>
      </c>
      <c r="E19" s="244">
        <v>11883.299999999947</v>
      </c>
      <c r="F19" s="244">
        <v>13585.681000000004</v>
      </c>
      <c r="G19" s="244">
        <v>10191.710000000021</v>
      </c>
      <c r="H19" s="244">
        <v>11775.340000000026</v>
      </c>
      <c r="I19" s="244">
        <v>11765.480000000052</v>
      </c>
      <c r="J19" s="244">
        <v>11830.231999999902</v>
      </c>
      <c r="K19" s="244">
        <v>13505.308000000048</v>
      </c>
      <c r="L19" s="244">
        <v>13953.988999999996</v>
      </c>
      <c r="M19" s="244">
        <v>15428.702000000054</v>
      </c>
      <c r="N19" s="244">
        <v>15439.268999999902</v>
      </c>
      <c r="O19" s="237">
        <v>152344.20899999997</v>
      </c>
      <c r="P19" s="228"/>
      <c r="Q19" s="228"/>
      <c r="R19" s="228"/>
      <c r="S19" s="228"/>
      <c r="T19" s="228"/>
    </row>
    <row r="20" spans="1:20" ht="27" customHeight="1">
      <c r="A20" s="228"/>
      <c r="B20" s="246">
        <v>2014</v>
      </c>
      <c r="C20" s="243">
        <v>16057.477000000046</v>
      </c>
      <c r="D20" s="244">
        <v>14163.737000000001</v>
      </c>
      <c r="E20" s="244">
        <v>16578.499000000058</v>
      </c>
      <c r="F20" s="244">
        <v>13617.553999999978</v>
      </c>
      <c r="G20" s="244">
        <v>16592.344000000012</v>
      </c>
      <c r="H20" s="244">
        <v>15953.468999999959</v>
      </c>
      <c r="I20" s="244">
        <v>16327.921</v>
      </c>
      <c r="J20" s="244">
        <v>15579.734000000035</v>
      </c>
      <c r="K20" s="244">
        <v>15218.878999999994</v>
      </c>
      <c r="L20" s="244">
        <v>15887.67899999992</v>
      </c>
      <c r="M20" s="244">
        <v>15853.895999999995</v>
      </c>
      <c r="N20" s="244">
        <v>16439.548000000039</v>
      </c>
      <c r="O20" s="237">
        <v>188270.73700000005</v>
      </c>
      <c r="P20" s="228"/>
      <c r="Q20" s="228"/>
      <c r="R20" s="228"/>
      <c r="S20" s="228"/>
      <c r="T20" s="228"/>
    </row>
    <row r="21" spans="1:20" ht="27" customHeight="1">
      <c r="A21" s="228"/>
      <c r="B21" s="246">
        <v>2015</v>
      </c>
      <c r="C21" s="243">
        <v>15837.561000000009</v>
      </c>
      <c r="D21" s="244">
        <v>13832.106000000018</v>
      </c>
      <c r="E21" s="244">
        <v>12103.671000000022</v>
      </c>
      <c r="F21" s="244">
        <v>10820.849000000009</v>
      </c>
      <c r="G21" s="244">
        <v>15474.099999999988</v>
      </c>
      <c r="H21" s="244">
        <v>14301.141999999983</v>
      </c>
      <c r="I21" s="244">
        <v>15530.725000000015</v>
      </c>
      <c r="J21" s="244">
        <v>14972.986000000023</v>
      </c>
      <c r="K21" s="244">
        <v>14949.438999999995</v>
      </c>
      <c r="L21" s="244">
        <v>15417.126999999989</v>
      </c>
      <c r="M21" s="244">
        <v>15174.625999999991</v>
      </c>
      <c r="N21" s="244">
        <v>16413.710999999988</v>
      </c>
      <c r="O21" s="237">
        <v>174828.04300000001</v>
      </c>
      <c r="P21" s="228"/>
      <c r="Q21" s="228"/>
      <c r="R21" s="228"/>
      <c r="S21" s="228"/>
      <c r="T21" s="228"/>
    </row>
    <row r="22" spans="1:20" ht="27" customHeight="1">
      <c r="A22" s="228"/>
      <c r="B22" s="246">
        <v>2016</v>
      </c>
      <c r="C22" s="833">
        <v>15611.15400000004</v>
      </c>
      <c r="D22" s="834">
        <v>13945.529999999995</v>
      </c>
      <c r="E22" s="834">
        <v>13683.69899999999</v>
      </c>
      <c r="F22" s="834">
        <v>14563.437000000005</v>
      </c>
      <c r="G22" s="834">
        <v>14621.184999999994</v>
      </c>
      <c r="H22" s="834">
        <v>14188.205000000011</v>
      </c>
      <c r="I22" s="834">
        <v>14683.672</v>
      </c>
      <c r="J22" s="834">
        <v>13393.900999999994</v>
      </c>
      <c r="K22" s="834">
        <v>14097.6</v>
      </c>
      <c r="L22" s="834">
        <v>14544.302000000005</v>
      </c>
      <c r="M22" s="834">
        <v>13598.699999999995</v>
      </c>
      <c r="N22" s="834">
        <v>14533.600000000004</v>
      </c>
      <c r="O22" s="237">
        <v>171464.98500000004</v>
      </c>
      <c r="P22" s="228"/>
      <c r="Q22" s="228"/>
      <c r="R22" s="228"/>
      <c r="S22" s="228"/>
      <c r="T22" s="228"/>
    </row>
    <row r="23" spans="1:20" ht="27" customHeight="1">
      <c r="A23" s="228"/>
      <c r="B23" s="246">
        <v>2017</v>
      </c>
      <c r="C23" s="833">
        <v>14804.775999999994</v>
      </c>
      <c r="D23" s="834">
        <v>13557.774000000003</v>
      </c>
      <c r="E23" s="834">
        <v>14714.512999999997</v>
      </c>
      <c r="F23" s="834">
        <v>13975.837000000007</v>
      </c>
      <c r="G23" s="834">
        <v>13642.142999999989</v>
      </c>
      <c r="H23" s="834">
        <v>13368.368999999988</v>
      </c>
      <c r="I23" s="834">
        <v>13684.131000000008</v>
      </c>
      <c r="J23" s="834">
        <v>14345.535999999996</v>
      </c>
      <c r="K23" s="834">
        <v>13753.64900000003</v>
      </c>
      <c r="L23" s="834">
        <v>14194.699999999983</v>
      </c>
      <c r="M23" s="834">
        <v>14085.935999999994</v>
      </c>
      <c r="N23" s="834">
        <v>14249.162000000011</v>
      </c>
      <c r="O23" s="237">
        <v>168376.52600000001</v>
      </c>
      <c r="P23" s="228"/>
      <c r="Q23" s="228"/>
      <c r="R23" s="228"/>
      <c r="S23" s="228"/>
      <c r="T23" s="228"/>
    </row>
    <row r="24" spans="1:20" ht="27" customHeight="1">
      <c r="A24" s="228"/>
      <c r="B24" s="246">
        <v>2018</v>
      </c>
      <c r="C24" s="833">
        <v>5042.014000000011</v>
      </c>
      <c r="D24" s="834">
        <v>11397.251999999988</v>
      </c>
      <c r="E24" s="834">
        <v>13840.338</v>
      </c>
      <c r="F24" s="834">
        <v>11508.236000000001</v>
      </c>
      <c r="G24" s="834">
        <v>13939.005000000028</v>
      </c>
      <c r="H24" s="834">
        <v>13320.850999999937</v>
      </c>
      <c r="I24" s="834">
        <v>13908.576000000028</v>
      </c>
      <c r="J24" s="834">
        <v>13515.995000000001</v>
      </c>
      <c r="K24" s="834">
        <v>13464.326999999983</v>
      </c>
      <c r="L24" s="834">
        <v>12339.257000000025</v>
      </c>
      <c r="M24" s="834">
        <v>12068.863000000014</v>
      </c>
      <c r="N24" s="834">
        <v>13362.042999999994</v>
      </c>
      <c r="O24" s="237">
        <v>147706.75700000004</v>
      </c>
      <c r="P24" s="228"/>
      <c r="Q24" s="228"/>
      <c r="R24" s="228"/>
      <c r="S24" s="228"/>
      <c r="T24" s="228"/>
    </row>
    <row r="25" spans="1:20" ht="27" customHeight="1">
      <c r="A25" s="228"/>
      <c r="B25" s="246">
        <v>2019</v>
      </c>
      <c r="C25" s="1118">
        <v>13918.259999999973</v>
      </c>
      <c r="D25" s="1119">
        <v>12521.470000000016</v>
      </c>
      <c r="E25" s="1119">
        <v>13893.455000000016</v>
      </c>
      <c r="F25" s="1119">
        <v>13875.423999999961</v>
      </c>
      <c r="G25" s="1119">
        <v>13677.999</v>
      </c>
      <c r="H25" s="1119">
        <v>13259.383000000038</v>
      </c>
      <c r="I25" s="1119">
        <v>13800.528000000008</v>
      </c>
      <c r="J25" s="1119">
        <v>14399.712000000007</v>
      </c>
      <c r="K25" s="1119">
        <v>13763.076999999972</v>
      </c>
      <c r="L25" s="1119">
        <v>14071.131000000023</v>
      </c>
      <c r="M25" s="1119">
        <v>13908.900999999987</v>
      </c>
      <c r="N25" s="1121">
        <v>13461.633999999953</v>
      </c>
      <c r="O25" s="1120">
        <v>164550.97399999996</v>
      </c>
      <c r="P25" s="228"/>
      <c r="Q25" s="228"/>
      <c r="R25" s="228"/>
      <c r="S25" s="228"/>
      <c r="T25" s="228"/>
    </row>
    <row r="26" spans="1:20" ht="27" customHeight="1">
      <c r="A26" s="228"/>
      <c r="B26" s="246">
        <v>2020</v>
      </c>
      <c r="C26" s="1202">
        <v>14083.060000000034</v>
      </c>
      <c r="D26" s="834">
        <v>12767.453</v>
      </c>
      <c r="E26" s="1122">
        <v>14053.451999999999</v>
      </c>
      <c r="F26" s="834">
        <v>13469.748</v>
      </c>
      <c r="G26" s="834">
        <v>13883.903</v>
      </c>
      <c r="H26" s="1122">
        <v>13537.067999999999</v>
      </c>
      <c r="I26" s="834">
        <v>13800.573999999999</v>
      </c>
      <c r="J26" s="834">
        <v>13855.317000000001</v>
      </c>
      <c r="K26" s="834">
        <v>13288.63800000003</v>
      </c>
      <c r="L26" s="834">
        <v>13890.793999999971</v>
      </c>
      <c r="M26" s="834">
        <v>11750.926999999989</v>
      </c>
      <c r="N26" s="1122">
        <v>13904.86100000001</v>
      </c>
      <c r="O26" s="237">
        <v>162285.79500000004</v>
      </c>
      <c r="P26" s="228"/>
      <c r="Q26" s="228"/>
      <c r="R26" s="228"/>
      <c r="S26" s="228"/>
      <c r="T26" s="228"/>
    </row>
    <row r="27" spans="1:20" ht="27" customHeight="1">
      <c r="A27" s="228"/>
      <c r="B27" s="246">
        <v>2021</v>
      </c>
      <c r="C27" s="1202">
        <v>14162.924000000012</v>
      </c>
      <c r="D27" s="834">
        <v>12529.03299999999</v>
      </c>
      <c r="E27" s="1122">
        <v>13974.013000000001</v>
      </c>
      <c r="F27" s="834">
        <v>13220.172000000024</v>
      </c>
      <c r="G27" s="834">
        <v>13937.014999999934</v>
      </c>
      <c r="H27" s="1122">
        <v>13842.119000000053</v>
      </c>
      <c r="I27" s="834">
        <v>14081.580999999984</v>
      </c>
      <c r="J27" s="834">
        <v>12234.828000000003</v>
      </c>
      <c r="K27" s="834">
        <v>12201.986999999977</v>
      </c>
      <c r="L27" s="834">
        <v>14132.087000000025</v>
      </c>
      <c r="M27" s="834">
        <v>12826.260999999964</v>
      </c>
      <c r="N27" s="1122">
        <v>11772.826000000096</v>
      </c>
      <c r="O27" s="237">
        <v>158914.84599999999</v>
      </c>
      <c r="P27" s="228"/>
      <c r="Q27" s="228"/>
      <c r="R27" s="228"/>
      <c r="S27" s="228"/>
      <c r="T27" s="228"/>
    </row>
    <row r="28" spans="1:20" ht="27" customHeight="1">
      <c r="A28" s="228"/>
      <c r="B28" s="246">
        <v>2022</v>
      </c>
      <c r="C28" s="1202">
        <v>13284.286000000024</v>
      </c>
      <c r="D28" s="834">
        <v>12537.041999999981</v>
      </c>
      <c r="E28" s="1122">
        <v>13926.655000000052</v>
      </c>
      <c r="F28" s="834">
        <v>13589.746999999956</v>
      </c>
      <c r="G28" s="1122">
        <v>11325.244000000002</v>
      </c>
      <c r="H28" s="1122">
        <v>13020.432999999983</v>
      </c>
      <c r="I28" s="1122">
        <v>13996.491</v>
      </c>
      <c r="J28" s="1122">
        <v>13644.525</v>
      </c>
      <c r="K28" s="1122">
        <v>13301.280000000002</v>
      </c>
      <c r="L28" s="1122">
        <v>14345.656999999996</v>
      </c>
      <c r="M28" s="1122">
        <v>13473.945000000031</v>
      </c>
      <c r="N28" s="1122">
        <v>13469.444000000112</v>
      </c>
      <c r="O28" s="237">
        <v>159914.74900000013</v>
      </c>
      <c r="P28" s="228"/>
      <c r="Q28" s="228"/>
      <c r="R28" s="228"/>
      <c r="S28" s="228"/>
      <c r="T28" s="228"/>
    </row>
    <row r="29" spans="1:20" ht="27" customHeight="1" thickBot="1">
      <c r="A29" s="228"/>
      <c r="B29" s="246">
        <v>2023</v>
      </c>
      <c r="C29" s="1202">
        <f ca="1">IF(DATOSAÑO!$Y376=0," ",DATOSAÑO!$Y376)</f>
        <v>13554.626999999968</v>
      </c>
      <c r="D29" s="834">
        <f ca="1">IF(DATOSAÑO!$Y377=0," ",DATOSAÑO!$Y377)</f>
        <v>12240.734000000031</v>
      </c>
      <c r="E29" s="1122">
        <f ca="1">IF(DATOSAÑO!$Y378=0," ",DATOSAÑO!$Y378)</f>
        <v>13729.963999999965</v>
      </c>
      <c r="F29" s="834">
        <f ca="1">IF(DATOSAÑO!$Y379=0," ",DATOSAÑO!$Y379)</f>
        <v>13154.943000000025</v>
      </c>
      <c r="G29" s="1122">
        <f ca="1">IF(DATOSAÑO!$Y380=0," ",DATOSAÑO!$Y380)</f>
        <v>13126.246999999976</v>
      </c>
      <c r="H29" s="1122">
        <f ca="1">IF(DATOSAÑO!$Y381=0," ",DATOSAÑO!$Y381)</f>
        <v>13131.651999999998</v>
      </c>
      <c r="I29" s="1122">
        <f ca="1">IF(DATOSAÑO!$Y382=0," ",DATOSAÑO!$Y382)</f>
        <v>13567.968000000001</v>
      </c>
      <c r="J29" s="1122">
        <f ca="1">IF(DATOSAÑO!$Y383=0," ",DATOSAÑO!$Y383)</f>
        <v>13829.668000000049</v>
      </c>
      <c r="K29" s="1122">
        <f ca="1">IF(DATOSAÑO!$Y384=0," ",DATOSAÑO!$Y384)</f>
        <v>13358.04899999995</v>
      </c>
      <c r="L29" s="1122">
        <f ca="1">IF(DATOSAÑO!$Y385=0," ",DATOSAÑO!$Y385)</f>
        <v>13584.433000000001</v>
      </c>
      <c r="M29" s="1122">
        <f ca="1">IF(DATOSAÑO!$Y386=0," ",DATOSAÑO!$Y386)</f>
        <v>440</v>
      </c>
      <c r="N29" s="1122" t="str">
        <f ca="1">IF(DATOSAÑO!$Y387=0," ",DATOSAÑO!$Y387)</f>
        <v xml:space="preserve"> </v>
      </c>
      <c r="O29" s="237">
        <f ca="1">SUM(C29:N29)</f>
        <v>133718.28499999995</v>
      </c>
      <c r="P29" s="228"/>
      <c r="Q29" s="228"/>
      <c r="R29" s="228"/>
      <c r="S29" s="228"/>
      <c r="T29" s="228"/>
    </row>
    <row r="30" spans="1:20" ht="47.5" customHeight="1" thickBot="1">
      <c r="A30" s="228"/>
      <c r="B30" s="2308" t="s">
        <v>1436</v>
      </c>
      <c r="C30" s="2309"/>
      <c r="D30" s="2309"/>
      <c r="E30" s="2309"/>
      <c r="F30" s="2309"/>
      <c r="G30" s="2309"/>
      <c r="H30" s="2309"/>
      <c r="I30" s="2309"/>
      <c r="J30" s="2309"/>
      <c r="K30" s="2309"/>
      <c r="L30" s="2309"/>
      <c r="M30" s="2309"/>
      <c r="N30" s="2309"/>
      <c r="O30" s="1680">
        <f ca="1">SUM(O4:O29)</f>
        <v>4272277.0272500003</v>
      </c>
      <c r="P30" s="228"/>
      <c r="Q30" s="228"/>
      <c r="R30" s="228"/>
      <c r="S30" s="228"/>
      <c r="T30" s="228"/>
    </row>
    <row r="31" spans="1:20" ht="15.5">
      <c r="A31" s="228"/>
      <c r="B31" s="247"/>
      <c r="C31" s="248"/>
      <c r="D31" s="248"/>
      <c r="E31" s="248"/>
      <c r="F31" s="248"/>
      <c r="G31" s="248"/>
      <c r="H31" s="248"/>
      <c r="I31" s="248"/>
      <c r="J31" s="248"/>
      <c r="K31" s="248"/>
      <c r="L31" s="248"/>
      <c r="M31" s="248"/>
      <c r="N31" s="248"/>
      <c r="O31" s="249"/>
      <c r="P31" s="228"/>
      <c r="Q31" s="228"/>
      <c r="R31" s="228"/>
      <c r="S31" s="228"/>
      <c r="T31" s="228"/>
    </row>
    <row r="32" spans="1:20" ht="14">
      <c r="A32" s="228"/>
      <c r="B32" s="228"/>
      <c r="C32" s="228"/>
      <c r="D32" s="228"/>
      <c r="E32" s="228"/>
      <c r="F32" s="228"/>
      <c r="G32" s="228"/>
      <c r="H32" s="228"/>
      <c r="I32" s="228"/>
      <c r="J32" s="228"/>
      <c r="K32" s="228"/>
      <c r="L32" s="228"/>
      <c r="M32" s="228"/>
      <c r="N32" s="228"/>
      <c r="O32" s="228"/>
      <c r="P32" s="228"/>
      <c r="Q32" s="228"/>
      <c r="R32" s="228"/>
      <c r="S32" s="228"/>
      <c r="T32" s="228"/>
    </row>
    <row r="33" spans="1:20" ht="14">
      <c r="A33" s="228"/>
      <c r="B33" s="228"/>
      <c r="C33" s="228"/>
      <c r="D33" s="228"/>
      <c r="E33" s="228"/>
      <c r="F33" s="228"/>
      <c r="G33" s="228"/>
      <c r="H33" s="228"/>
      <c r="I33" s="228"/>
      <c r="J33" s="228"/>
      <c r="K33" s="228"/>
      <c r="L33" s="228"/>
      <c r="M33" s="228"/>
      <c r="N33" s="228"/>
      <c r="O33" s="228"/>
      <c r="P33" s="228"/>
      <c r="Q33" s="228"/>
      <c r="R33" s="228"/>
      <c r="S33" s="228"/>
      <c r="T33" s="228"/>
    </row>
    <row r="34" spans="1:20" ht="14">
      <c r="A34" s="228"/>
      <c r="B34" s="228"/>
      <c r="C34" s="228"/>
      <c r="D34" s="228"/>
      <c r="E34" s="228"/>
      <c r="F34" s="228"/>
      <c r="G34" s="228"/>
      <c r="H34" s="228"/>
      <c r="I34" s="228"/>
      <c r="J34" s="228"/>
      <c r="K34" s="228"/>
      <c r="L34" s="228"/>
      <c r="M34" s="228"/>
      <c r="N34" s="228"/>
      <c r="O34" s="228"/>
      <c r="P34" s="228"/>
      <c r="Q34" s="228"/>
      <c r="R34" s="228"/>
      <c r="S34" s="228"/>
      <c r="T34" s="228"/>
    </row>
    <row r="35" spans="1:20" ht="14">
      <c r="A35" s="228"/>
      <c r="B35" s="228"/>
      <c r="C35" s="228"/>
      <c r="D35" s="228"/>
      <c r="E35" s="228"/>
      <c r="F35" s="228"/>
      <c r="G35" s="228"/>
      <c r="H35" s="228"/>
      <c r="I35" s="228"/>
      <c r="J35" s="228"/>
      <c r="K35" s="228"/>
      <c r="L35" s="228"/>
      <c r="M35" s="228"/>
      <c r="N35" s="228"/>
      <c r="O35" s="228"/>
      <c r="P35" s="228"/>
      <c r="Q35" s="228"/>
      <c r="R35" s="228"/>
      <c r="S35" s="228"/>
      <c r="T35" s="228"/>
    </row>
    <row r="36" spans="1:20" ht="14">
      <c r="A36" s="228"/>
      <c r="B36" s="228"/>
      <c r="C36" s="228"/>
      <c r="D36" s="228"/>
      <c r="E36" s="228"/>
      <c r="F36" s="228"/>
      <c r="G36" s="228"/>
      <c r="H36" s="228"/>
      <c r="I36" s="228"/>
      <c r="J36" s="228"/>
      <c r="K36" s="228"/>
      <c r="L36" s="228"/>
      <c r="M36" s="228"/>
      <c r="N36" s="228"/>
      <c r="O36" s="228"/>
      <c r="P36" s="228"/>
      <c r="Q36" s="228"/>
      <c r="R36" s="228"/>
      <c r="S36" s="228"/>
      <c r="T36" s="228"/>
    </row>
    <row r="37" spans="1:20" ht="14">
      <c r="A37" s="228"/>
      <c r="B37" s="228"/>
      <c r="C37" s="228"/>
      <c r="D37" s="228"/>
      <c r="E37" s="228"/>
      <c r="F37" s="228"/>
      <c r="G37" s="228"/>
      <c r="H37" s="228"/>
      <c r="I37" s="228"/>
      <c r="J37" s="228"/>
      <c r="K37" s="228"/>
      <c r="L37" s="228"/>
      <c r="M37" s="228"/>
      <c r="N37" s="228"/>
      <c r="O37" s="228"/>
      <c r="P37" s="228"/>
      <c r="Q37" s="228"/>
      <c r="R37" s="228"/>
      <c r="S37" s="228"/>
      <c r="T37" s="228"/>
    </row>
    <row r="38" spans="1:20" ht="14">
      <c r="A38" s="228"/>
      <c r="B38" s="228"/>
      <c r="C38" s="228"/>
      <c r="D38" s="228"/>
      <c r="E38" s="228"/>
      <c r="F38" s="228"/>
      <c r="G38" s="228"/>
      <c r="H38" s="228"/>
      <c r="I38" s="228"/>
      <c r="J38" s="228"/>
      <c r="K38" s="228"/>
      <c r="L38" s="228"/>
      <c r="M38" s="228"/>
      <c r="N38" s="228"/>
      <c r="O38" s="228"/>
      <c r="P38" s="228"/>
      <c r="Q38" s="228"/>
      <c r="R38" s="228"/>
      <c r="S38" s="228"/>
      <c r="T38" s="228"/>
    </row>
    <row r="39" spans="1:20" ht="14">
      <c r="A39" s="228"/>
      <c r="B39" s="228"/>
      <c r="C39" s="228"/>
      <c r="D39" s="228"/>
      <c r="E39" s="228"/>
      <c r="F39" s="228"/>
      <c r="G39" s="228"/>
      <c r="H39" s="228"/>
      <c r="I39" s="228"/>
      <c r="J39" s="228"/>
      <c r="K39" s="228"/>
      <c r="L39" s="228"/>
      <c r="M39" s="228"/>
      <c r="N39" s="228"/>
      <c r="O39" s="228"/>
      <c r="P39" s="228"/>
      <c r="Q39" s="228"/>
      <c r="R39" s="228"/>
      <c r="S39" s="228"/>
      <c r="T39" s="228"/>
    </row>
    <row r="40" spans="1:20" ht="14">
      <c r="A40" s="228"/>
      <c r="B40" s="228"/>
      <c r="C40" s="228"/>
      <c r="D40" s="228"/>
      <c r="E40" s="228"/>
      <c r="F40" s="228"/>
      <c r="G40" s="228"/>
      <c r="H40" s="228"/>
      <c r="I40" s="228"/>
      <c r="J40" s="228"/>
      <c r="K40" s="228"/>
      <c r="L40" s="228"/>
      <c r="M40" s="228"/>
      <c r="N40" s="228"/>
      <c r="O40" s="228"/>
      <c r="P40" s="228"/>
      <c r="Q40" s="228"/>
      <c r="R40" s="228"/>
      <c r="S40" s="228"/>
      <c r="T40" s="228"/>
    </row>
    <row r="41" spans="1:20" ht="14">
      <c r="A41" s="228"/>
      <c r="B41" s="228"/>
      <c r="C41" s="228"/>
      <c r="D41" s="228"/>
      <c r="E41" s="228"/>
      <c r="F41" s="228"/>
      <c r="G41" s="228"/>
      <c r="H41" s="228"/>
      <c r="I41" s="228"/>
      <c r="J41" s="228"/>
      <c r="K41" s="228"/>
      <c r="L41" s="228"/>
      <c r="M41" s="228"/>
      <c r="N41" s="228"/>
      <c r="O41" s="228"/>
      <c r="P41" s="228"/>
      <c r="Q41" s="228"/>
      <c r="R41" s="228"/>
      <c r="S41" s="228"/>
      <c r="T41" s="228"/>
    </row>
    <row r="42" spans="1:20" ht="14">
      <c r="A42" s="228"/>
      <c r="B42" s="228"/>
      <c r="C42" s="228"/>
      <c r="D42" s="228"/>
      <c r="E42" s="228"/>
      <c r="F42" s="228"/>
      <c r="G42" s="228"/>
      <c r="H42" s="228"/>
      <c r="I42" s="228"/>
      <c r="J42" s="228"/>
      <c r="K42" s="228"/>
      <c r="L42" s="228"/>
      <c r="M42" s="228"/>
      <c r="N42" s="228"/>
      <c r="O42" s="228"/>
      <c r="P42" s="228"/>
      <c r="Q42" s="228"/>
      <c r="R42" s="228"/>
      <c r="S42" s="228"/>
      <c r="T42" s="228"/>
    </row>
    <row r="43" spans="1:20" ht="14">
      <c r="A43" s="228"/>
      <c r="B43" s="228"/>
      <c r="C43" s="228"/>
      <c r="D43" s="228"/>
      <c r="E43" s="228"/>
      <c r="F43" s="228"/>
      <c r="G43" s="228"/>
      <c r="H43" s="228"/>
      <c r="I43" s="228"/>
      <c r="J43" s="228"/>
      <c r="K43" s="228"/>
      <c r="L43" s="228"/>
      <c r="M43" s="228"/>
      <c r="N43" s="228"/>
      <c r="O43" s="228"/>
      <c r="P43" s="228"/>
      <c r="Q43" s="228"/>
      <c r="R43" s="228"/>
      <c r="S43" s="228"/>
      <c r="T43" s="228"/>
    </row>
    <row r="44" spans="1:20" ht="14">
      <c r="A44" s="228"/>
      <c r="B44" s="228"/>
      <c r="C44" s="228"/>
      <c r="D44" s="228"/>
      <c r="E44" s="228"/>
      <c r="F44" s="228"/>
      <c r="G44" s="228"/>
      <c r="H44" s="228"/>
      <c r="I44" s="228"/>
      <c r="J44" s="228"/>
      <c r="K44" s="228"/>
      <c r="L44" s="228"/>
      <c r="M44" s="228"/>
      <c r="N44" s="228"/>
      <c r="O44" s="228"/>
      <c r="P44" s="228"/>
      <c r="Q44" s="228"/>
      <c r="R44" s="228"/>
      <c r="S44" s="228"/>
      <c r="T44" s="228"/>
    </row>
    <row r="45" spans="1:20" ht="14">
      <c r="A45" s="228"/>
      <c r="B45" s="228"/>
      <c r="C45" s="228"/>
      <c r="D45" s="228"/>
      <c r="E45" s="228"/>
      <c r="F45" s="228"/>
      <c r="G45" s="228"/>
      <c r="H45" s="228"/>
      <c r="I45" s="228"/>
      <c r="J45" s="228"/>
      <c r="K45" s="228"/>
      <c r="L45" s="228"/>
      <c r="M45" s="228"/>
      <c r="N45" s="228"/>
      <c r="O45" s="228"/>
      <c r="P45" s="228"/>
      <c r="Q45" s="228"/>
      <c r="R45" s="228"/>
      <c r="S45" s="228"/>
      <c r="T45" s="228"/>
    </row>
    <row r="46" spans="1:20" ht="14">
      <c r="A46" s="228"/>
      <c r="B46" s="228"/>
      <c r="C46" s="228"/>
      <c r="D46" s="228"/>
      <c r="E46" s="228"/>
      <c r="F46" s="228"/>
      <c r="G46" s="228"/>
      <c r="H46" s="228"/>
      <c r="I46" s="228"/>
      <c r="J46" s="228"/>
      <c r="K46" s="228"/>
      <c r="L46" s="228"/>
      <c r="M46" s="228"/>
      <c r="N46" s="228"/>
      <c r="O46" s="228"/>
      <c r="P46" s="228"/>
      <c r="Q46" s="228"/>
      <c r="R46" s="228"/>
      <c r="S46" s="228"/>
      <c r="T46" s="228"/>
    </row>
    <row r="47" spans="1:20" ht="14">
      <c r="A47" s="228"/>
      <c r="B47" s="228"/>
      <c r="C47" s="228"/>
      <c r="D47" s="228"/>
      <c r="E47" s="228"/>
      <c r="F47" s="228"/>
      <c r="G47" s="228"/>
      <c r="H47" s="228"/>
      <c r="I47" s="228"/>
      <c r="J47" s="228"/>
      <c r="K47" s="228"/>
      <c r="L47" s="228"/>
      <c r="M47" s="228"/>
      <c r="N47" s="228"/>
      <c r="O47" s="228"/>
      <c r="P47" s="228"/>
      <c r="Q47" s="228"/>
      <c r="R47" s="228"/>
      <c r="S47" s="228"/>
      <c r="T47" s="228"/>
    </row>
    <row r="48" spans="1:20" ht="14">
      <c r="A48" s="228"/>
      <c r="B48" s="228"/>
      <c r="C48" s="228"/>
      <c r="D48" s="228"/>
      <c r="E48" s="228"/>
      <c r="F48" s="228"/>
      <c r="G48" s="228"/>
      <c r="H48" s="228"/>
      <c r="I48" s="228"/>
      <c r="J48" s="228"/>
      <c r="K48" s="228"/>
      <c r="L48" s="228"/>
      <c r="M48" s="228"/>
      <c r="N48" s="228"/>
      <c r="O48" s="228"/>
      <c r="P48" s="228"/>
      <c r="Q48" s="228"/>
      <c r="R48" s="228"/>
      <c r="S48" s="228"/>
      <c r="T48" s="228"/>
    </row>
    <row r="49" spans="1:20" ht="14">
      <c r="A49" s="228"/>
      <c r="B49" s="228"/>
      <c r="C49" s="228"/>
      <c r="D49" s="228"/>
      <c r="E49" s="228"/>
      <c r="F49" s="228"/>
      <c r="G49" s="228"/>
      <c r="H49" s="228"/>
      <c r="I49" s="228"/>
      <c r="J49" s="228"/>
      <c r="K49" s="228"/>
      <c r="L49" s="228"/>
      <c r="M49" s="228"/>
      <c r="N49" s="228"/>
      <c r="O49" s="228"/>
      <c r="P49" s="228"/>
      <c r="Q49" s="228"/>
      <c r="R49" s="228"/>
      <c r="S49" s="228"/>
      <c r="T49" s="228"/>
    </row>
    <row r="50" spans="1:20" ht="14">
      <c r="A50" s="228"/>
      <c r="B50" s="228"/>
      <c r="C50" s="228"/>
      <c r="D50" s="228"/>
      <c r="E50" s="228"/>
      <c r="F50" s="228"/>
      <c r="G50" s="228"/>
      <c r="H50" s="228"/>
      <c r="I50" s="228"/>
      <c r="J50" s="228"/>
      <c r="K50" s="228"/>
      <c r="L50" s="228"/>
      <c r="M50" s="228"/>
      <c r="N50" s="228"/>
      <c r="O50" s="228"/>
      <c r="P50" s="228"/>
      <c r="Q50" s="228"/>
      <c r="R50" s="228"/>
      <c r="S50" s="228"/>
      <c r="T50" s="228"/>
    </row>
    <row r="51" spans="1:20" ht="14">
      <c r="A51" s="228"/>
      <c r="B51" s="228"/>
      <c r="C51" s="228"/>
      <c r="D51" s="228"/>
      <c r="E51" s="228"/>
      <c r="F51" s="228"/>
      <c r="G51" s="228"/>
      <c r="H51" s="228"/>
      <c r="I51" s="228"/>
      <c r="J51" s="228"/>
      <c r="K51" s="228"/>
      <c r="L51" s="228"/>
      <c r="M51" s="228"/>
      <c r="N51" s="228"/>
      <c r="O51" s="228"/>
      <c r="P51" s="228"/>
      <c r="Q51" s="228"/>
      <c r="R51" s="228"/>
      <c r="S51" s="228"/>
      <c r="T51" s="228"/>
    </row>
  </sheetData>
  <mergeCells count="1">
    <mergeCell ref="B30:N30"/>
  </mergeCells>
  <pageMargins left="0.7" right="0.7" top="0.75" bottom="0.75" header="0.3" footer="0.3"/>
  <pageSetup orientation="portrait"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660033"/>
  </sheetPr>
  <dimension ref="A1:Y245"/>
  <sheetViews>
    <sheetView topLeftCell="A10" zoomScale="60" zoomScaleNormal="60" workbookViewId="0">
      <selection activeCell="F375" sqref="F375"/>
    </sheetView>
  </sheetViews>
  <sheetFormatPr baseColWidth="10" defaultColWidth="11.453125" defaultRowHeight="14.5"/>
  <cols>
    <col min="3" max="3" width="15.08984375" customWidth="1"/>
    <col min="6" max="6" width="11.81640625" bestFit="1" customWidth="1"/>
    <col min="7" max="8" width="11.54296875" bestFit="1" customWidth="1"/>
    <col min="12" max="12" width="10.1796875" bestFit="1" customWidth="1"/>
    <col min="262" max="264" width="11.54296875" bestFit="1" customWidth="1"/>
    <col min="518" max="520" width="11.54296875" bestFit="1" customWidth="1"/>
    <col min="774" max="776" width="11.54296875" bestFit="1" customWidth="1"/>
    <col min="1030" max="1032" width="11.54296875" bestFit="1" customWidth="1"/>
    <col min="1286" max="1288" width="11.54296875" bestFit="1" customWidth="1"/>
    <col min="1542" max="1544" width="11.54296875" bestFit="1" customWidth="1"/>
    <col min="1798" max="1800" width="11.54296875" bestFit="1" customWidth="1"/>
    <col min="2054" max="2056" width="11.54296875" bestFit="1" customWidth="1"/>
    <col min="2310" max="2312" width="11.54296875" bestFit="1" customWidth="1"/>
    <col min="2566" max="2568" width="11.54296875" bestFit="1" customWidth="1"/>
    <col min="2822" max="2824" width="11.54296875" bestFit="1" customWidth="1"/>
    <col min="3078" max="3080" width="11.54296875" bestFit="1" customWidth="1"/>
    <col min="3334" max="3336" width="11.54296875" bestFit="1" customWidth="1"/>
    <col min="3590" max="3592" width="11.54296875" bestFit="1" customWidth="1"/>
    <col min="3846" max="3848" width="11.54296875" bestFit="1" customWidth="1"/>
    <col min="4102" max="4104" width="11.54296875" bestFit="1" customWidth="1"/>
    <col min="4358" max="4360" width="11.54296875" bestFit="1" customWidth="1"/>
    <col min="4614" max="4616" width="11.54296875" bestFit="1" customWidth="1"/>
    <col min="4870" max="4872" width="11.54296875" bestFit="1" customWidth="1"/>
    <col min="5126" max="5128" width="11.54296875" bestFit="1" customWidth="1"/>
    <col min="5382" max="5384" width="11.54296875" bestFit="1" customWidth="1"/>
    <col min="5638" max="5640" width="11.54296875" bestFit="1" customWidth="1"/>
    <col min="5894" max="5896" width="11.54296875" bestFit="1" customWidth="1"/>
    <col min="6150" max="6152" width="11.54296875" bestFit="1" customWidth="1"/>
    <col min="6406" max="6408" width="11.54296875" bestFit="1" customWidth="1"/>
    <col min="6662" max="6664" width="11.54296875" bestFit="1" customWidth="1"/>
    <col min="6918" max="6920" width="11.54296875" bestFit="1" customWidth="1"/>
    <col min="7174" max="7176" width="11.54296875" bestFit="1" customWidth="1"/>
    <col min="7430" max="7432" width="11.54296875" bestFit="1" customWidth="1"/>
    <col min="7686" max="7688" width="11.54296875" bestFit="1" customWidth="1"/>
    <col min="7942" max="7944" width="11.54296875" bestFit="1" customWidth="1"/>
    <col min="8198" max="8200" width="11.54296875" bestFit="1" customWidth="1"/>
    <col min="8454" max="8456" width="11.54296875" bestFit="1" customWidth="1"/>
    <col min="8710" max="8712" width="11.54296875" bestFit="1" customWidth="1"/>
    <col min="8966" max="8968" width="11.54296875" bestFit="1" customWidth="1"/>
    <col min="9222" max="9224" width="11.54296875" bestFit="1" customWidth="1"/>
    <col min="9478" max="9480" width="11.54296875" bestFit="1" customWidth="1"/>
    <col min="9734" max="9736" width="11.54296875" bestFit="1" customWidth="1"/>
    <col min="9990" max="9992" width="11.54296875" bestFit="1" customWidth="1"/>
    <col min="10246" max="10248" width="11.54296875" bestFit="1" customWidth="1"/>
    <col min="10502" max="10504" width="11.54296875" bestFit="1" customWidth="1"/>
    <col min="10758" max="10760" width="11.54296875" bestFit="1" customWidth="1"/>
    <col min="11014" max="11016" width="11.54296875" bestFit="1" customWidth="1"/>
    <col min="11270" max="11272" width="11.54296875" bestFit="1" customWidth="1"/>
    <col min="11526" max="11528" width="11.54296875" bestFit="1" customWidth="1"/>
    <col min="11782" max="11784" width="11.54296875" bestFit="1" customWidth="1"/>
    <col min="12038" max="12040" width="11.54296875" bestFit="1" customWidth="1"/>
    <col min="12294" max="12296" width="11.54296875" bestFit="1" customWidth="1"/>
    <col min="12550" max="12552" width="11.54296875" bestFit="1" customWidth="1"/>
    <col min="12806" max="12808" width="11.54296875" bestFit="1" customWidth="1"/>
    <col min="13062" max="13064" width="11.54296875" bestFit="1" customWidth="1"/>
    <col min="13318" max="13320" width="11.54296875" bestFit="1" customWidth="1"/>
    <col min="13574" max="13576" width="11.54296875" bestFit="1" customWidth="1"/>
    <col min="13830" max="13832" width="11.54296875" bestFit="1" customWidth="1"/>
    <col min="14086" max="14088" width="11.54296875" bestFit="1" customWidth="1"/>
    <col min="14342" max="14344" width="11.54296875" bestFit="1" customWidth="1"/>
    <col min="14598" max="14600" width="11.54296875" bestFit="1" customWidth="1"/>
    <col min="14854" max="14856" width="11.54296875" bestFit="1" customWidth="1"/>
    <col min="15110" max="15112" width="11.54296875" bestFit="1" customWidth="1"/>
    <col min="15366" max="15368" width="11.54296875" bestFit="1" customWidth="1"/>
    <col min="15622" max="15624" width="11.54296875" bestFit="1" customWidth="1"/>
    <col min="15878" max="15880" width="11.54296875" bestFit="1" customWidth="1"/>
    <col min="16134" max="16136" width="11.54296875" bestFit="1" customWidth="1"/>
  </cols>
  <sheetData>
    <row r="1" spans="1:25" ht="15" thickBot="1">
      <c r="F1" s="644">
        <f ca="1">TODAY( )</f>
        <v>45232</v>
      </c>
      <c r="G1" s="5"/>
    </row>
    <row r="2" spans="1:25" ht="19" thickBot="1">
      <c r="A2" s="2327" t="s">
        <v>225</v>
      </c>
      <c r="B2" s="2328"/>
      <c r="C2" s="2328"/>
      <c r="D2" s="2328"/>
      <c r="E2" s="2328"/>
      <c r="F2" s="2329"/>
      <c r="G2" s="2329"/>
      <c r="H2" s="2329"/>
      <c r="I2" s="2329"/>
      <c r="J2" s="2329"/>
      <c r="K2" s="2329"/>
      <c r="L2" s="2329"/>
      <c r="M2" s="2329"/>
      <c r="N2" s="2328"/>
      <c r="O2" s="2328"/>
      <c r="P2" s="2328"/>
      <c r="Q2" s="2328"/>
      <c r="R2" s="2328"/>
      <c r="S2" s="2328"/>
      <c r="T2" s="2328"/>
      <c r="U2" s="2328"/>
      <c r="V2" s="2328"/>
      <c r="W2" s="2328"/>
      <c r="X2" s="2328"/>
      <c r="Y2" s="2330"/>
    </row>
    <row r="3" spans="1:25" ht="58.5" thickBot="1">
      <c r="A3" s="2331" t="s">
        <v>226</v>
      </c>
      <c r="B3" s="2333" t="s">
        <v>227</v>
      </c>
      <c r="C3" s="2335" t="s">
        <v>228</v>
      </c>
      <c r="D3" s="2333" t="s">
        <v>229</v>
      </c>
      <c r="E3" s="2333" t="s">
        <v>131</v>
      </c>
      <c r="F3" s="2338" t="s">
        <v>230</v>
      </c>
      <c r="G3" s="2339"/>
      <c r="H3" s="2339"/>
      <c r="I3" s="2339"/>
      <c r="J3" s="2339"/>
      <c r="K3" s="2339"/>
      <c r="L3" s="2339"/>
      <c r="M3" s="2340"/>
      <c r="N3" s="2341" t="s">
        <v>231</v>
      </c>
      <c r="O3" s="2341" t="s">
        <v>232</v>
      </c>
      <c r="P3" s="2343" t="s">
        <v>233</v>
      </c>
      <c r="Q3" s="2344"/>
      <c r="R3" s="2345" t="s">
        <v>234</v>
      </c>
      <c r="S3" s="2347" t="s">
        <v>232</v>
      </c>
      <c r="T3" s="252" t="s">
        <v>235</v>
      </c>
      <c r="U3" s="253" t="s">
        <v>231</v>
      </c>
      <c r="V3" s="254" t="s">
        <v>236</v>
      </c>
      <c r="W3" s="255" t="s">
        <v>237</v>
      </c>
      <c r="X3" s="2349" t="s">
        <v>234</v>
      </c>
      <c r="Y3" s="2349" t="s">
        <v>238</v>
      </c>
    </row>
    <row r="4" spans="1:25" ht="44" thickBot="1">
      <c r="A4" s="2332"/>
      <c r="B4" s="2334"/>
      <c r="C4" s="2336"/>
      <c r="D4" s="2334"/>
      <c r="E4" s="2337"/>
      <c r="F4" s="256" t="s">
        <v>239</v>
      </c>
      <c r="G4" s="257" t="s">
        <v>240</v>
      </c>
      <c r="H4" s="257" t="s">
        <v>241</v>
      </c>
      <c r="I4" s="257" t="s">
        <v>242</v>
      </c>
      <c r="J4" s="257" t="s">
        <v>243</v>
      </c>
      <c r="K4" s="258" t="s">
        <v>338</v>
      </c>
      <c r="L4" s="258" t="s">
        <v>244</v>
      </c>
      <c r="M4" s="259" t="s">
        <v>245</v>
      </c>
      <c r="N4" s="2342"/>
      <c r="O4" s="2342"/>
      <c r="P4" s="260" t="s">
        <v>246</v>
      </c>
      <c r="Q4" s="261" t="s">
        <v>247</v>
      </c>
      <c r="R4" s="2346"/>
      <c r="S4" s="2348"/>
      <c r="T4" s="2351" t="s">
        <v>248</v>
      </c>
      <c r="U4" s="2352"/>
      <c r="V4" s="2353"/>
      <c r="W4" s="262" t="s">
        <v>249</v>
      </c>
      <c r="X4" s="2350"/>
      <c r="Y4" s="2350"/>
    </row>
    <row r="5" spans="1:25">
      <c r="A5" s="2310" t="s">
        <v>250</v>
      </c>
      <c r="B5" s="2313" t="s">
        <v>251</v>
      </c>
      <c r="C5" s="2322" t="s">
        <v>252</v>
      </c>
      <c r="D5" s="2319">
        <v>2023</v>
      </c>
      <c r="E5" s="730" t="s">
        <v>175</v>
      </c>
      <c r="F5" s="317">
        <f ca="1">IF($E5&lt;=DATOSAÑO!$B376,IF(DATOSAÑO!$Y376=0," ",((DATOSAÑO!$I376*DATOSAÑO!$AJ376)/DATOSAÑO!$Y376))," ")</f>
        <v>106.58099153890221</v>
      </c>
      <c r="G5" s="318">
        <f ca="1">IF($E5&lt;=DATOSAÑO!$B376,IF(DATOSAÑO!$Y376=0," ",((DATOSAÑO!$P376*DATOSAÑO!$AJ376)/DATOSAÑO!$Y376))," ")</f>
        <v>150.67571951629341</v>
      </c>
      <c r="H5" s="318">
        <f ca="1">IF($E5&lt;=DATOSAÑO!$B376,IF(DATOSAÑO!$Y376=0," ",((DATOSAÑO!$Q376*DATOSAÑO!$AJ376)/DATOSAÑO!$Y376))," ")</f>
        <v>3.4743279914672388E-2</v>
      </c>
      <c r="I5" s="318">
        <f ca="1">IF($E5&lt;=DATOSAÑO!$B376,IF(DATOSAÑO!$Y376=0," ",((DATOSAÑO!$T376*DATOSAÑO!$AJ376)/DATOSAÑO!$Y376))," ")</f>
        <v>4.8545664886241201E-2</v>
      </c>
      <c r="J5" s="318">
        <f ca="1">IF($H5=" "," ",0)</f>
        <v>0</v>
      </c>
      <c r="K5" s="320"/>
      <c r="L5" s="263"/>
      <c r="M5" s="264"/>
      <c r="N5" s="265"/>
      <c r="O5" s="266"/>
      <c r="P5" s="277"/>
      <c r="Q5" s="278"/>
      <c r="R5" s="279"/>
      <c r="S5" s="280"/>
      <c r="T5" s="281"/>
      <c r="U5" s="282"/>
      <c r="V5" s="283"/>
      <c r="W5" s="284"/>
      <c r="X5" s="285"/>
      <c r="Y5" s="286"/>
    </row>
    <row r="6" spans="1:25">
      <c r="A6" s="2311"/>
      <c r="B6" s="2314"/>
      <c r="C6" s="2325"/>
      <c r="D6" s="2320"/>
      <c r="E6" s="726" t="s">
        <v>176</v>
      </c>
      <c r="F6" s="728">
        <f ca="1">IF($E6&lt;=DATOSAÑO!$B377,IF(DATOSAÑO!$Y377=0," ",((DATOSAÑO!$I377*DATOSAÑO!$AJ377)/DATOSAÑO!$Y377))," ")</f>
        <v>164.07407059086282</v>
      </c>
      <c r="G6" s="729">
        <f ca="1">IF($E6&lt;=DATOSAÑO!$B377,IF(DATOSAÑO!$Y377=0," ",((DATOSAÑO!$P377*DATOSAÑO!$AJ377)/DATOSAÑO!$Y377))," ")</f>
        <v>82.923195471773411</v>
      </c>
      <c r="H6" s="729">
        <f ca="1">IF($E6&lt;=DATOSAÑO!$B377,IF(DATOSAÑO!$Y377=0," ",((DATOSAÑO!$Q377*DATOSAÑO!$AJ377)/DATOSAÑO!$Y377))," ")</f>
        <v>2.3274320804618429E-2</v>
      </c>
      <c r="I6" s="729">
        <f ca="1">IF($E6&lt;=DATOSAÑO!$B377,IF(DATOSAÑO!$Y377=0," ",((DATOSAÑO!$T377*DATOSAÑO!$AJ377)/DATOSAÑO!$Y377))," ")</f>
        <v>6.9459616555671039E-2</v>
      </c>
      <c r="J6" s="729">
        <f t="shared" ref="J6:J16" ca="1" si="0">IF($H6=" "," ",0)</f>
        <v>0</v>
      </c>
      <c r="K6" s="320"/>
      <c r="L6" s="267"/>
      <c r="M6" s="268"/>
      <c r="N6" s="269"/>
      <c r="O6" s="270"/>
      <c r="P6" s="289"/>
      <c r="Q6" s="290"/>
      <c r="R6" s="291"/>
      <c r="S6" s="292"/>
      <c r="T6" s="293"/>
      <c r="U6" s="294"/>
      <c r="V6" s="295"/>
      <c r="W6" s="296"/>
      <c r="X6" s="297"/>
      <c r="Y6" s="298"/>
    </row>
    <row r="7" spans="1:25">
      <c r="A7" s="2311"/>
      <c r="B7" s="2314"/>
      <c r="C7" s="2325"/>
      <c r="D7" s="2320"/>
      <c r="E7" s="726" t="s">
        <v>177</v>
      </c>
      <c r="F7" s="728">
        <f ca="1">IF($E7&lt;=DATOSAÑO!$B378,IF(DATOSAÑO!$Y378=0," ",((DATOSAÑO!$I378*DATOSAÑO!$AJ378)/DATOSAÑO!$Y378))," ")</f>
        <v>156.14877157725999</v>
      </c>
      <c r="G7" s="729">
        <f ca="1">IF($E7&lt;=DATOSAÑO!$B378,IF(DATOSAÑO!$Y378=0," ",((DATOSAÑO!$P378*DATOSAÑO!$AJ378)/DATOSAÑO!$Y378))," ")</f>
        <v>81.43173909268846</v>
      </c>
      <c r="H7" s="729">
        <f ca="1">IF($E7&lt;=DATOSAÑO!$B378,IF(DATOSAÑO!$Y378=0," ",((DATOSAÑO!$Q378*DATOSAÑO!$AJ378)/DATOSAÑO!$Y378))," ")</f>
        <v>1.1179640383615777E-2</v>
      </c>
      <c r="I7" s="729">
        <f ca="1">IF($E7&lt;=DATOSAÑO!$B378,IF(DATOSAÑO!$Y378=0," ",((DATOSAÑO!$T378*DATOSAÑO!$AJ378)/DATOSAÑO!$Y378))," ")</f>
        <v>1.8309689668523494E-2</v>
      </c>
      <c r="J7" s="729">
        <f t="shared" ca="1" si="0"/>
        <v>0</v>
      </c>
      <c r="K7" s="320"/>
      <c r="L7" s="267"/>
      <c r="M7" s="268"/>
      <c r="N7" s="269"/>
      <c r="O7" s="270"/>
      <c r="P7" s="289"/>
      <c r="Q7" s="290"/>
      <c r="R7" s="291"/>
      <c r="S7" s="292"/>
      <c r="T7" s="293"/>
      <c r="U7" s="294"/>
      <c r="V7" s="295"/>
      <c r="W7" s="296"/>
      <c r="X7" s="297"/>
      <c r="Y7" s="298"/>
    </row>
    <row r="8" spans="1:25">
      <c r="A8" s="2311"/>
      <c r="B8" s="2314"/>
      <c r="C8" s="2325"/>
      <c r="D8" s="2320"/>
      <c r="E8" s="726" t="s">
        <v>178</v>
      </c>
      <c r="F8" s="728">
        <f ca="1">IF($E8&lt;=DATOSAÑO!$B379,IF(DATOSAÑO!$Y379=0," ",((DATOSAÑO!$I379*DATOSAÑO!$AJ379)/DATOSAÑO!$Y379))," ")</f>
        <v>150.74643801193756</v>
      </c>
      <c r="G8" s="729">
        <f ca="1">IF($E8&lt;=DATOSAÑO!$B379,IF(DATOSAÑO!$Y379=0," ",((DATOSAÑO!$P379*DATOSAÑO!$AJ379)/DATOSAÑO!$Y379))," ")</f>
        <v>60.672978438601177</v>
      </c>
      <c r="H8" s="729">
        <f ca="1">IF($E8&lt;=DATOSAÑO!$B379,IF(DATOSAÑO!$Y379=0," ",((DATOSAÑO!$Q379*DATOSAÑO!$AJ379)/DATOSAÑO!$Y379))," ")</f>
        <v>8.3644646730893377E-2</v>
      </c>
      <c r="I8" s="729">
        <f ca="1">IF($E8&lt;=DATOSAÑO!$B379,IF(DATOSAÑO!$Y379=0," ",((DATOSAÑO!$T379*DATOSAÑO!$AJ379)/DATOSAÑO!$Y379))," ")</f>
        <v>0.42693890273794494</v>
      </c>
      <c r="J8" s="729">
        <f t="shared" ca="1" si="0"/>
        <v>0</v>
      </c>
      <c r="K8" s="320"/>
      <c r="L8" s="267"/>
      <c r="M8" s="268"/>
      <c r="N8" s="269"/>
      <c r="O8" s="270"/>
      <c r="P8" s="289"/>
      <c r="Q8" s="290"/>
      <c r="R8" s="291"/>
      <c r="S8" s="292"/>
      <c r="T8" s="293"/>
      <c r="U8" s="294"/>
      <c r="V8" s="295"/>
      <c r="W8" s="296"/>
      <c r="X8" s="297"/>
      <c r="Y8" s="298"/>
    </row>
    <row r="9" spans="1:25">
      <c r="A9" s="2311"/>
      <c r="B9" s="2314"/>
      <c r="C9" s="2325"/>
      <c r="D9" s="2320"/>
      <c r="E9" s="726" t="s">
        <v>179</v>
      </c>
      <c r="F9" s="728">
        <f ca="1">IF($E9&lt;=DATOSAÑO!$B380,IF(DATOSAÑO!$Y380=0," ",((DATOSAÑO!$I380*DATOSAÑO!$AJ380)/DATOSAÑO!$Y380))," ")</f>
        <v>107.55204130319549</v>
      </c>
      <c r="G9" s="729">
        <f ca="1">IF($E9&lt;=DATOSAÑO!$B380,IF(DATOSAÑO!$Y380=0," ",((DATOSAÑO!$P380*DATOSAÑO!$AJ380)/DATOSAÑO!$Y380))," ")</f>
        <v>98.450499750610717</v>
      </c>
      <c r="H9" s="729">
        <f ca="1">IF($E9&lt;=DATOSAÑO!$B380,IF(DATOSAÑO!$Y380=0," ",((DATOSAÑO!$Q380*DATOSAÑO!$AJ380)/DATOSAÑO!$Y380))," ")</f>
        <v>2.3187540962775404E-2</v>
      </c>
      <c r="I9" s="729">
        <f ca="1">IF($E9&lt;=DATOSAÑO!$B380,IF(DATOSAÑO!$Y380=0," ",((DATOSAÑO!$T380*DATOSAÑO!$AJ380)/DATOSAÑO!$Y380))," ")</f>
        <v>4.4271405223440224E-2</v>
      </c>
      <c r="J9" s="729">
        <f t="shared" ca="1" si="0"/>
        <v>0</v>
      </c>
      <c r="K9" s="320"/>
      <c r="L9" s="267"/>
      <c r="M9" s="268"/>
      <c r="N9" s="269"/>
      <c r="O9" s="270"/>
      <c r="P9" s="289"/>
      <c r="Q9" s="290"/>
      <c r="R9" s="291"/>
      <c r="S9" s="292"/>
      <c r="T9" s="293"/>
      <c r="U9" s="294"/>
      <c r="V9" s="295"/>
      <c r="W9" s="296"/>
      <c r="X9" s="297"/>
      <c r="Y9" s="298"/>
    </row>
    <row r="10" spans="1:25">
      <c r="A10" s="2311"/>
      <c r="B10" s="2314"/>
      <c r="C10" s="2325"/>
      <c r="D10" s="2320"/>
      <c r="E10" s="726" t="s">
        <v>181</v>
      </c>
      <c r="F10" s="728">
        <f ca="1">IF($E10&lt;=DATOSAÑO!$B381,IF(DATOSAÑO!$Y381=0," ",((DATOSAÑO!$I381*DATOSAÑO!$AJ381)/DATOSAÑO!$Y381))," ")</f>
        <v>109.84537755189186</v>
      </c>
      <c r="G10" s="729">
        <f ca="1">IF($E10&lt;=DATOSAÑO!$B381,IF(DATOSAÑO!$Y381=0," ",((DATOSAÑO!$P381*DATOSAÑO!$AJ381)/DATOSAÑO!$Y381))," ")</f>
        <v>71.695779540916561</v>
      </c>
      <c r="H10" s="729">
        <f ca="1">IF($E10&lt;=DATOSAÑO!$B381,IF(DATOSAÑO!$Y381=0," ",((DATOSAÑO!$Q381*DATOSAÑO!$AJ381)/DATOSAÑO!$Y381))," ")</f>
        <v>1.084028726926234E-2</v>
      </c>
      <c r="I10" s="729">
        <f ca="1">IF($E10&lt;=DATOSAÑO!$B381,IF(DATOSAÑO!$Y381=0," ",((DATOSAÑO!$T381*DATOSAÑO!$AJ381)/DATOSAÑO!$Y381))," ")</f>
        <v>1.8002619929313762E-2</v>
      </c>
      <c r="J10" s="729">
        <f t="shared" ca="1" si="0"/>
        <v>0</v>
      </c>
      <c r="K10" s="320"/>
      <c r="L10" s="267"/>
      <c r="M10" s="268"/>
      <c r="N10" s="269"/>
      <c r="O10" s="270"/>
      <c r="P10" s="289"/>
      <c r="Q10" s="290"/>
      <c r="R10" s="291"/>
      <c r="S10" s="292"/>
      <c r="T10" s="293"/>
      <c r="U10" s="294"/>
      <c r="V10" s="295"/>
      <c r="W10" s="296"/>
      <c r="X10" s="297"/>
      <c r="Y10" s="298"/>
    </row>
    <row r="11" spans="1:25">
      <c r="A11" s="2311"/>
      <c r="B11" s="2314"/>
      <c r="C11" s="2325"/>
      <c r="D11" s="2320"/>
      <c r="E11" s="726" t="s">
        <v>182</v>
      </c>
      <c r="F11" s="728">
        <f ca="1">IF($E11&lt;=DATOSAÑO!$B382,IF(DATOSAÑO!$Y382=0," ",((DATOSAÑO!$I382*DATOSAÑO!$AJ382)/DATOSAÑO!$Y382))," ")</f>
        <v>120.20704597917621</v>
      </c>
      <c r="G11" s="729">
        <f ca="1">IF($E11&lt;=DATOSAÑO!$B382,IF(DATOSAÑO!$Y382=0," ",((DATOSAÑO!$P382*DATOSAÑO!$AJ382)/DATOSAÑO!$Y382))," ")</f>
        <v>109.26316916431354</v>
      </c>
      <c r="H11" s="729">
        <f ca="1">IF($E11&lt;=DATOSAÑO!$B382,IF(DATOSAÑO!$Y382=0," ",((DATOSAÑO!$Q382*DATOSAÑO!$AJ382)/DATOSAÑO!$Y382))," ")</f>
        <v>3.0805948982193205E-2</v>
      </c>
      <c r="I11" s="729">
        <f ca="1">IF($E11&lt;=DATOSAÑO!$B382,IF(DATOSAÑO!$Y382=0," ",((DATOSAÑO!$T382*DATOSAÑO!$AJ382)/DATOSAÑO!$Y382))," ")</f>
        <v>2.897890752690381E-2</v>
      </c>
      <c r="J11" s="729">
        <f t="shared" ca="1" si="0"/>
        <v>0</v>
      </c>
      <c r="K11" s="320"/>
      <c r="L11" s="267"/>
      <c r="M11" s="268"/>
      <c r="N11" s="269"/>
      <c r="O11" s="270"/>
      <c r="P11" s="289"/>
      <c r="Q11" s="290"/>
      <c r="R11" s="291"/>
      <c r="S11" s="292"/>
      <c r="T11" s="293"/>
      <c r="U11" s="294"/>
      <c r="V11" s="295"/>
      <c r="W11" s="296"/>
      <c r="X11" s="297"/>
      <c r="Y11" s="298"/>
    </row>
    <row r="12" spans="1:25">
      <c r="A12" s="2311"/>
      <c r="B12" s="2314"/>
      <c r="C12" s="2325"/>
      <c r="D12" s="2320"/>
      <c r="E12" s="726" t="s">
        <v>183</v>
      </c>
      <c r="F12" s="728">
        <f ca="1">IF($E12&lt;=DATOSAÑO!$B383,IF(DATOSAÑO!$Y383=0," ",((DATOSAÑO!$I383*DATOSAÑO!$AJ383)/DATOSAÑO!$Y383))," ")</f>
        <v>121.83637597085077</v>
      </c>
      <c r="G12" s="729">
        <f ca="1">IF($E12&lt;=DATOSAÑO!$B383,IF(DATOSAÑO!$Y383=0," ",((DATOSAÑO!$P383*DATOSAÑO!$AJ383)/DATOSAÑO!$Y383))," ")</f>
        <v>138.99991236232398</v>
      </c>
      <c r="H12" s="729">
        <f ca="1">IF($E12&lt;=DATOSAÑO!$B383,IF(DATOSAÑO!$Y383=0," ",((DATOSAÑO!$Q383*DATOSAÑO!$AJ383)/DATOSAÑO!$Y383))," ")</f>
        <v>7.5518804934436579E-2</v>
      </c>
      <c r="I12" s="729">
        <f ca="1">IF($E12&lt;=DATOSAÑO!$B383,IF(DATOSAÑO!$Y383=0," ",((DATOSAÑO!$T383*DATOSAÑO!$AJ383)/DATOSAÑO!$Y383))," ")</f>
        <v>0.18819286189661735</v>
      </c>
      <c r="J12" s="729">
        <f t="shared" ca="1" si="0"/>
        <v>0</v>
      </c>
      <c r="K12" s="320"/>
      <c r="L12" s="267"/>
      <c r="M12" s="268"/>
      <c r="N12" s="269"/>
      <c r="O12" s="270"/>
      <c r="P12" s="289"/>
      <c r="Q12" s="290"/>
      <c r="R12" s="291"/>
      <c r="S12" s="292"/>
      <c r="T12" s="293"/>
      <c r="U12" s="294"/>
      <c r="V12" s="295"/>
      <c r="W12" s="296"/>
      <c r="X12" s="297"/>
      <c r="Y12" s="298"/>
    </row>
    <row r="13" spans="1:25">
      <c r="A13" s="2311"/>
      <c r="B13" s="2314"/>
      <c r="C13" s="2325"/>
      <c r="D13" s="2320"/>
      <c r="E13" s="726" t="s">
        <v>184</v>
      </c>
      <c r="F13" s="728">
        <f ca="1">IF($E13&lt;=DATOSAÑO!$B384,IF(DATOSAÑO!$Y384=0," ",((DATOSAÑO!$I384*DATOSAÑO!$AJ384)/DATOSAÑO!$Y384))," ")</f>
        <v>73.260755369286926</v>
      </c>
      <c r="G13" s="729">
        <f ca="1">IF($E13&lt;=DATOSAÑO!$B384,IF(DATOSAÑO!$Y384=0," ",((DATOSAÑO!$P384*DATOSAÑO!$AJ384)/DATOSAÑO!$Y384))," ")</f>
        <v>187.07587313086648</v>
      </c>
      <c r="H13" s="729">
        <f ca="1">IF($E13&lt;=DATOSAÑO!$B384,IF(DATOSAÑO!$Y384=0," ",((DATOSAÑO!$Q384*DATOSAÑO!$AJ384)/DATOSAÑO!$Y384))," ")</f>
        <v>3.6266538624015465E-2</v>
      </c>
      <c r="I13" s="729">
        <f ca="1">IF($E13&lt;=DATOSAÑO!$B384,IF(DATOSAÑO!$Y384=0," ",((DATOSAÑO!$T384*DATOSAÑO!$AJ384)/DATOSAÑO!$Y384))," ")</f>
        <v>0.92710496121098895</v>
      </c>
      <c r="J13" s="729">
        <f t="shared" ca="1" si="0"/>
        <v>0</v>
      </c>
      <c r="K13" s="320"/>
      <c r="L13" s="267"/>
      <c r="M13" s="268"/>
      <c r="N13" s="269"/>
      <c r="O13" s="270"/>
      <c r="P13" s="289"/>
      <c r="Q13" s="290"/>
      <c r="R13" s="291"/>
      <c r="S13" s="292"/>
      <c r="T13" s="293"/>
      <c r="U13" s="294"/>
      <c r="V13" s="295"/>
      <c r="W13" s="296"/>
      <c r="X13" s="297"/>
      <c r="Y13" s="298"/>
    </row>
    <row r="14" spans="1:25">
      <c r="A14" s="2311"/>
      <c r="B14" s="2314"/>
      <c r="C14" s="2325"/>
      <c r="D14" s="2320"/>
      <c r="E14" s="726" t="s">
        <v>185</v>
      </c>
      <c r="F14" s="728">
        <f ca="1">IF($E14&lt;=DATOSAÑO!$B385,IF(DATOSAÑO!$Y385=0," ",((DATOSAÑO!$I385*DATOSAÑO!$AJ385)/DATOSAÑO!$Y385))," ")</f>
        <v>58.963226510818082</v>
      </c>
      <c r="G14" s="729">
        <f ca="1">IF($E14&lt;=DATOSAÑO!$B385,IF(DATOSAÑO!$Y385=0," ",((DATOSAÑO!$P385*DATOSAÑO!$AJ385)/DATOSAÑO!$Y385))," ")</f>
        <v>157.669355798662</v>
      </c>
      <c r="H14" s="729">
        <f ca="1">IF($E14&lt;=DATOSAÑO!$B385,IF(DATOSAÑO!$Y385=0," ",((DATOSAÑO!$Q385*DATOSAÑO!$AJ385)/DATOSAÑO!$Y385))," ")</f>
        <v>2.4598155845003421E-2</v>
      </c>
      <c r="I14" s="729">
        <f ca="1">IF($E14&lt;=DATOSAÑO!$B385,IF(DATOSAÑO!$Y385=0," ",((DATOSAÑO!$T385*DATOSAÑO!$AJ385)/DATOSAÑO!$Y385))," ")</f>
        <v>1.7428195346836302</v>
      </c>
      <c r="J14" s="729">
        <f t="shared" ca="1" si="0"/>
        <v>0</v>
      </c>
      <c r="K14" s="320"/>
      <c r="L14" s="267"/>
      <c r="M14" s="268"/>
      <c r="N14" s="269"/>
      <c r="O14" s="270"/>
      <c r="P14" s="289"/>
      <c r="Q14" s="290"/>
      <c r="R14" s="291"/>
      <c r="S14" s="292"/>
      <c r="T14" s="293"/>
      <c r="U14" s="294"/>
      <c r="V14" s="295"/>
      <c r="W14" s="296"/>
      <c r="X14" s="297"/>
      <c r="Y14" s="298"/>
    </row>
    <row r="15" spans="1:25">
      <c r="A15" s="2311"/>
      <c r="B15" s="2314"/>
      <c r="C15" s="2325"/>
      <c r="D15" s="2320"/>
      <c r="E15" s="726" t="s">
        <v>186</v>
      </c>
      <c r="F15" s="728">
        <f ca="1">IF($E15&lt;=DATOSAÑO!$B386,IF(DATOSAÑO!$Y386=0," ",((DATOSAÑO!$I386*DATOSAÑO!$AJ386)/DATOSAÑO!$Y386))," ")</f>
        <v>1.6704545454545454</v>
      </c>
      <c r="G15" s="729">
        <f ca="1">IF($E15&lt;=DATOSAÑO!$B386,IF(DATOSAÑO!$Y386=0," ",((DATOSAÑO!$P386*DATOSAÑO!$AJ386)/DATOSAÑO!$Y386))," ")</f>
        <v>3.3295454545454546</v>
      </c>
      <c r="H15" s="729">
        <f ca="1">IF($E15&lt;=DATOSAÑO!$B386,IF(DATOSAÑO!$Y386=0," ",((DATOSAÑO!$Q386*DATOSAÑO!$AJ386)/DATOSAÑO!$Y386))," ")</f>
        <v>0</v>
      </c>
      <c r="I15" s="729">
        <f ca="1">IF($E15&lt;=DATOSAÑO!$B386,IF(DATOSAÑO!$Y386=0," ",((DATOSAÑO!$T386*DATOSAÑO!$AJ386)/DATOSAÑO!$Y386))," ")</f>
        <v>0</v>
      </c>
      <c r="J15" s="729">
        <f t="shared" ca="1" si="0"/>
        <v>0</v>
      </c>
      <c r="K15" s="320"/>
      <c r="L15" s="267"/>
      <c r="M15" s="268"/>
      <c r="N15" s="269"/>
      <c r="O15" s="270"/>
      <c r="P15" s="289"/>
      <c r="Q15" s="290"/>
      <c r="R15" s="291"/>
      <c r="S15" s="292"/>
      <c r="T15" s="293"/>
      <c r="U15" s="294"/>
      <c r="V15" s="295"/>
      <c r="W15" s="296"/>
      <c r="X15" s="297"/>
      <c r="Y15" s="298"/>
    </row>
    <row r="16" spans="1:25" ht="15" thickBot="1">
      <c r="A16" s="2312"/>
      <c r="B16" s="2315"/>
      <c r="C16" s="2326"/>
      <c r="D16" s="2321"/>
      <c r="E16" s="727" t="s">
        <v>187</v>
      </c>
      <c r="F16" s="649" t="str">
        <f ca="1">IF($E16&lt;=DATOSAÑO!$B387,IF(DATOSAÑO!$Y387=0," ",((DATOSAÑO!$I387*DATOSAÑO!$AJ387)/DATOSAÑO!$Y387))," ")</f>
        <v xml:space="preserve"> </v>
      </c>
      <c r="G16" s="340" t="str">
        <f ca="1">IF($E16&lt;=DATOSAÑO!$B387,IF(DATOSAÑO!$Y387=0," ",((DATOSAÑO!$P387*DATOSAÑO!$AJ387)/DATOSAÑO!$Y387))," ")</f>
        <v xml:space="preserve"> </v>
      </c>
      <c r="H16" s="340" t="str">
        <f ca="1">IF($E16&lt;=DATOSAÑO!$B387,IF(DATOSAÑO!$Y387=0," ",((DATOSAÑO!$Q387*DATOSAÑO!$AJ387)/DATOSAÑO!$Y387))," ")</f>
        <v xml:space="preserve"> </v>
      </c>
      <c r="I16" s="340" t="str">
        <f ca="1">IF($E16&lt;=DATOSAÑO!$B387,IF(DATOSAÑO!$Y387=0," ",((DATOSAÑO!$T387*DATOSAÑO!$AJ387)/DATOSAÑO!$Y387))," ")</f>
        <v xml:space="preserve"> </v>
      </c>
      <c r="J16" s="340" t="str">
        <f t="shared" ca="1" si="0"/>
        <v xml:space="preserve"> </v>
      </c>
      <c r="K16" s="320"/>
      <c r="L16" s="271"/>
      <c r="M16" s="272"/>
      <c r="N16" s="273"/>
      <c r="O16" s="274"/>
      <c r="P16" s="301"/>
      <c r="Q16" s="302"/>
      <c r="R16" s="303"/>
      <c r="S16" s="304"/>
      <c r="T16" s="305"/>
      <c r="U16" s="306"/>
      <c r="V16" s="307"/>
      <c r="W16" s="308"/>
      <c r="X16" s="309"/>
      <c r="Y16" s="310"/>
    </row>
    <row r="17" spans="1:25" ht="15" customHeight="1">
      <c r="A17" s="2310" t="s">
        <v>250</v>
      </c>
      <c r="B17" s="2313" t="s">
        <v>251</v>
      </c>
      <c r="C17" s="2322" t="s">
        <v>253</v>
      </c>
      <c r="D17" s="2319">
        <v>2023</v>
      </c>
      <c r="E17" s="730" t="s">
        <v>175</v>
      </c>
      <c r="F17" s="317">
        <f ca="1">IF($E17&lt;=DATOSAÑO!$B376,IF(DATOSAÑO!$Y376=0," ",((DATOSAÑO!$I376*DATOSAÑO!$AK376)/DATOSAÑO!$Y376))," ")</f>
        <v>194.79794653146644</v>
      </c>
      <c r="G17" s="318">
        <f ca="1">IF($E17&lt;=DATOSAÑO!$B376,IF(DATOSAÑO!$Y376=0," ",((DATOSAÑO!$P376*DATOSAÑO!$AK376)/DATOSAÑO!$Y376))," ")</f>
        <v>275.38982636703923</v>
      </c>
      <c r="H17" s="318">
        <f ca="1">IF($E17&lt;=DATOSAÑO!$B376,IF(DATOSAÑO!$Y376=0," ",((DATOSAÑO!$Q376*DATOSAÑO!$AK376)/DATOSAÑO!$Y376))," ")</f>
        <v>6.3500249767106193E-2</v>
      </c>
      <c r="I17" s="318">
        <f ca="1">IF($E17&lt;=DATOSAÑO!$B376,IF(DATOSAÑO!$Y376=0," ",((DATOSAÑO!$T376*DATOSAÑO!$AK376)/DATOSAÑO!$Y376))," ")</f>
        <v>8.8726851723769429E-2</v>
      </c>
      <c r="J17" s="318">
        <f ca="1">IF($H17=" "," ",0)</f>
        <v>0</v>
      </c>
      <c r="K17" s="318"/>
      <c r="L17" s="275"/>
      <c r="M17" s="276"/>
      <c r="N17" s="265"/>
      <c r="O17" s="266"/>
      <c r="P17" s="277"/>
      <c r="Q17" s="278"/>
      <c r="R17" s="279"/>
      <c r="S17" s="280"/>
      <c r="T17" s="281"/>
      <c r="U17" s="282"/>
      <c r="V17" s="283"/>
      <c r="W17" s="284"/>
      <c r="X17" s="285"/>
      <c r="Y17" s="286"/>
    </row>
    <row r="18" spans="1:25">
      <c r="A18" s="2311"/>
      <c r="B18" s="2314"/>
      <c r="C18" s="2325"/>
      <c r="D18" s="2320"/>
      <c r="E18" s="726" t="s">
        <v>176</v>
      </c>
      <c r="F18" s="728">
        <f ca="1">IF($E18&lt;=DATOSAÑO!$B377,IF(DATOSAÑO!$Y377=0," ",((DATOSAÑO!$I377*DATOSAÑO!$AK377)/DATOSAÑO!$Y377))," ")</f>
        <v>274.57456064317751</v>
      </c>
      <c r="G18" s="729">
        <f ca="1">IF($E18&lt;=DATOSAÑO!$B377,IF(DATOSAÑO!$Y377=0," ",((DATOSAÑO!$P377*DATOSAÑO!$AK377)/DATOSAÑO!$Y377))," ")</f>
        <v>138.77025103233152</v>
      </c>
      <c r="H18" s="729">
        <f ca="1">IF($E18&lt;=DATOSAÑO!$B377,IF(DATOSAÑO!$Y377=0," ",((DATOSAÑO!$Q377*DATOSAÑO!$AK377)/DATOSAÑO!$Y377))," ")</f>
        <v>3.8949094065764932E-2</v>
      </c>
      <c r="I18" s="729">
        <f ca="1">IF($E18&lt;=DATOSAÑO!$B377,IF(DATOSAÑO!$Y377=0," ",((DATOSAÑO!$T377*DATOSAÑO!$AK377)/DATOSAÑO!$Y377))," ")</f>
        <v>0.11623923042523121</v>
      </c>
      <c r="J18" s="729">
        <f t="shared" ref="J18:J28" ca="1" si="1">IF($H18=" "," ",0)</f>
        <v>0</v>
      </c>
      <c r="K18" s="320"/>
      <c r="L18" s="287"/>
      <c r="M18" s="288"/>
      <c r="N18" s="269"/>
      <c r="O18" s="270"/>
      <c r="P18" s="289"/>
      <c r="Q18" s="290"/>
      <c r="R18" s="291"/>
      <c r="S18" s="292"/>
      <c r="T18" s="293"/>
      <c r="U18" s="294"/>
      <c r="V18" s="295"/>
      <c r="W18" s="296"/>
      <c r="X18" s="297"/>
      <c r="Y18" s="298"/>
    </row>
    <row r="19" spans="1:25">
      <c r="A19" s="2311"/>
      <c r="B19" s="2314"/>
      <c r="C19" s="2325"/>
      <c r="D19" s="2320"/>
      <c r="E19" s="726" t="s">
        <v>177</v>
      </c>
      <c r="F19" s="728">
        <f ca="1">IF($E19&lt;=DATOSAÑO!$B378,IF(DATOSAÑO!$Y378=0," ",((DATOSAÑO!$I378*DATOSAÑO!$AK378)/DATOSAÑO!$Y378))," ")</f>
        <v>299.40398270527498</v>
      </c>
      <c r="G19" s="729">
        <f ca="1">IF($E19&lt;=DATOSAÑO!$B378,IF(DATOSAÑO!$Y378=0," ",((DATOSAÑO!$P378*DATOSAÑO!$AK378)/DATOSAÑO!$Y378))," ")</f>
        <v>156.13947363591279</v>
      </c>
      <c r="H19" s="729">
        <f ca="1">IF($E19&lt;=DATOSAÑO!$B378,IF(DATOSAÑO!$Y378=0," ",((DATOSAÑO!$Q378*DATOSAÑO!$AK378)/DATOSAÑO!$Y378))," ")</f>
        <v>2.1436152345336478E-2</v>
      </c>
      <c r="I19" s="729">
        <f ca="1">IF($E19&lt;=DATOSAÑO!$B378,IF(DATOSAÑO!$Y378=0," ",((DATOSAÑO!$T378*DATOSAÑO!$AK378)/DATOSAÑO!$Y378))," ")</f>
        <v>3.5107506472704816E-2</v>
      </c>
      <c r="J19" s="729">
        <f t="shared" ca="1" si="1"/>
        <v>0</v>
      </c>
      <c r="K19" s="320"/>
      <c r="L19" s="287"/>
      <c r="M19" s="288"/>
      <c r="N19" s="269"/>
      <c r="O19" s="270"/>
      <c r="P19" s="289"/>
      <c r="Q19" s="290"/>
      <c r="R19" s="291"/>
      <c r="S19" s="292"/>
      <c r="T19" s="293"/>
      <c r="U19" s="294"/>
      <c r="V19" s="295"/>
      <c r="W19" s="296"/>
      <c r="X19" s="297"/>
      <c r="Y19" s="298"/>
    </row>
    <row r="20" spans="1:25">
      <c r="A20" s="2311"/>
      <c r="B20" s="2314"/>
      <c r="C20" s="2325"/>
      <c r="D20" s="2320"/>
      <c r="E20" s="726" t="s">
        <v>178</v>
      </c>
      <c r="F20" s="728">
        <f ca="1">IF($E20&lt;=DATOSAÑO!$B379,IF(DATOSAÑO!$Y379=0," ",((DATOSAÑO!$I379*DATOSAÑO!$AK379)/DATOSAÑO!$Y379))," ")</f>
        <v>299.81420101934327</v>
      </c>
      <c r="G20" s="729">
        <f ca="1">IF($E20&lt;=DATOSAÑO!$B379,IF(DATOSAÑO!$Y379=0," ",((DATOSAÑO!$P379*DATOSAÑO!$AK379)/DATOSAÑO!$Y379))," ")</f>
        <v>120.67031761369076</v>
      </c>
      <c r="H20" s="729">
        <f ca="1">IF($E20&lt;=DATOSAÑO!$B379,IF(DATOSAÑO!$Y379=0," ",((DATOSAÑO!$Q379*DATOSAÑO!$AK379)/DATOSAÑO!$Y379))," ")</f>
        <v>0.16635784738862031</v>
      </c>
      <c r="I20" s="729">
        <f ca="1">IF($E20&lt;=DATOSAÑO!$B379,IF(DATOSAÑO!$Y379=0," ",((DATOSAÑO!$T379*DATOSAÑO!$AK379)/DATOSAÑO!$Y379))," ")</f>
        <v>0.84912351957739518</v>
      </c>
      <c r="J20" s="729">
        <f t="shared" ca="1" si="1"/>
        <v>0</v>
      </c>
      <c r="K20" s="320"/>
      <c r="L20" s="287"/>
      <c r="M20" s="288"/>
      <c r="N20" s="269"/>
      <c r="O20" s="270"/>
      <c r="P20" s="289"/>
      <c r="Q20" s="290"/>
      <c r="R20" s="291"/>
      <c r="S20" s="292"/>
      <c r="T20" s="293"/>
      <c r="U20" s="294"/>
      <c r="V20" s="295"/>
      <c r="W20" s="296"/>
      <c r="X20" s="297"/>
      <c r="Y20" s="298"/>
    </row>
    <row r="21" spans="1:25">
      <c r="A21" s="2311"/>
      <c r="B21" s="2314"/>
      <c r="C21" s="2325"/>
      <c r="D21" s="2320"/>
      <c r="E21" s="726" t="s">
        <v>179</v>
      </c>
      <c r="F21" s="728">
        <f ca="1">IF($E21&lt;=DATOSAÑO!$B380,IF(DATOSAÑO!$Y380=0," ",((DATOSAÑO!$I380*DATOSAÑO!$AK380)/DATOSAÑO!$Y380))," ")</f>
        <v>205.89741492751097</v>
      </c>
      <c r="G21" s="729">
        <f ca="1">IF($E21&lt;=DATOSAÑO!$B380,IF(DATOSAÑO!$Y380=0," ",((DATOSAÑO!$P380*DATOSAÑO!$AK380)/DATOSAÑO!$Y380))," ")</f>
        <v>188.47344179947277</v>
      </c>
      <c r="H21" s="729">
        <f ca="1">IF($E21&lt;=DATOSAÑO!$B380,IF(DATOSAÑO!$Y380=0," ",((DATOSAÑO!$Q380*DATOSAÑO!$AK380)/DATOSAÑO!$Y380))," ")</f>
        <v>4.4390182509900677E-2</v>
      </c>
      <c r="I21" s="729">
        <f ca="1">IF($E21&lt;=DATOSAÑO!$B380,IF(DATOSAÑO!$Y380=0," ",((DATOSAÑO!$T380*DATOSAÑO!$AK380)/DATOSAÑO!$Y380))," ")</f>
        <v>8.4753090506370699E-2</v>
      </c>
      <c r="J21" s="729">
        <f t="shared" ca="1" si="1"/>
        <v>0</v>
      </c>
      <c r="K21" s="339"/>
      <c r="L21" s="287"/>
      <c r="M21" s="288"/>
      <c r="N21" s="269"/>
      <c r="O21" s="270"/>
      <c r="P21" s="289"/>
      <c r="Q21" s="290"/>
      <c r="R21" s="291"/>
      <c r="S21" s="292"/>
      <c r="T21" s="293"/>
      <c r="U21" s="294"/>
      <c r="V21" s="295"/>
      <c r="W21" s="296"/>
      <c r="X21" s="297"/>
      <c r="Y21" s="298"/>
    </row>
    <row r="22" spans="1:25">
      <c r="A22" s="2311"/>
      <c r="B22" s="2314"/>
      <c r="C22" s="2325"/>
      <c r="D22" s="2320"/>
      <c r="E22" s="726" t="s">
        <v>181</v>
      </c>
      <c r="F22" s="728">
        <f ca="1">IF($E22&lt;=DATOSAÑO!$B381,IF(DATOSAÑO!$Y381=0," ",((DATOSAÑO!$I381*DATOSAÑO!$AK381)/DATOSAÑO!$Y381))," ")</f>
        <v>207.43395414986915</v>
      </c>
      <c r="G22" s="729">
        <f ca="1">IF($E22&lt;=DATOSAÑO!$B381,IF(DATOSAÑO!$Y381=0," ",((DATOSAÑO!$P381*DATOSAÑO!$AK381)/DATOSAÑO!$Y381))," ")</f>
        <v>135.39157839394645</v>
      </c>
      <c r="H22" s="729">
        <f ca="1">IF($E22&lt;=DATOSAÑO!$B381,IF(DATOSAÑO!$Y381=0," ",((DATOSAÑO!$Q381*DATOSAÑO!$AK381)/DATOSAÑO!$Y381))," ")</f>
        <v>2.0470990245550363E-2</v>
      </c>
      <c r="I22" s="729">
        <f ca="1">IF($E22&lt;=DATOSAÑO!$B381,IF(DATOSAÑO!$Y381=0," ",((DATOSAÑO!$T381*DATOSAÑO!$AK381)/DATOSAÑO!$Y381))," ")</f>
        <v>3.3996465943509108E-2</v>
      </c>
      <c r="J22" s="729">
        <f t="shared" ca="1" si="1"/>
        <v>0</v>
      </c>
      <c r="K22" s="339"/>
      <c r="L22" s="287"/>
      <c r="M22" s="288"/>
      <c r="N22" s="269"/>
      <c r="O22" s="270"/>
      <c r="P22" s="289"/>
      <c r="Q22" s="290"/>
      <c r="R22" s="291"/>
      <c r="S22" s="292"/>
      <c r="T22" s="293"/>
      <c r="U22" s="294"/>
      <c r="V22" s="295"/>
      <c r="W22" s="296"/>
      <c r="X22" s="297"/>
      <c r="Y22" s="298"/>
    </row>
    <row r="23" spans="1:25">
      <c r="A23" s="2311"/>
      <c r="B23" s="2314"/>
      <c r="C23" s="2325"/>
      <c r="D23" s="2320"/>
      <c r="E23" s="726" t="s">
        <v>182</v>
      </c>
      <c r="F23" s="728">
        <f ca="1">IF($E23&lt;=DATOSAÑO!$B382,IF(DATOSAÑO!$Y382=0," ",((DATOSAÑO!$I382*DATOSAÑO!$AK382)/DATOSAÑO!$Y382))," ")</f>
        <v>158.43260379740909</v>
      </c>
      <c r="G23" s="729">
        <f ca="1">IF($E23&lt;=DATOSAÑO!$B382,IF(DATOSAÑO!$Y382=0," ",((DATOSAÑO!$P382*DATOSAÑO!$AK382)/DATOSAÑO!$Y382))," ")</f>
        <v>144.00859990235332</v>
      </c>
      <c r="H23" s="729">
        <f ca="1">IF($E23&lt;=DATOSAÑO!$B382,IF(DATOSAÑO!$Y382=0," ",((DATOSAÑO!$Q382*DATOSAÑO!$AK382)/DATOSAÑO!$Y382))," ")</f>
        <v>4.0602168283417478E-2</v>
      </c>
      <c r="I23" s="729">
        <f ca="1">IF($E23&lt;=DATOSAÑO!$B382,IF(DATOSAÑO!$Y382=0," ",((DATOSAÑO!$T382*DATOSAÑO!$AK382)/DATOSAÑO!$Y382))," ")</f>
        <v>3.8194131943705321E-2</v>
      </c>
      <c r="J23" s="729">
        <f t="shared" ca="1" si="1"/>
        <v>0</v>
      </c>
      <c r="K23" s="339"/>
      <c r="L23" s="287"/>
      <c r="M23" s="288"/>
      <c r="N23" s="269"/>
      <c r="O23" s="270"/>
      <c r="P23" s="289"/>
      <c r="Q23" s="290"/>
      <c r="R23" s="291"/>
      <c r="S23" s="292"/>
      <c r="T23" s="293"/>
      <c r="U23" s="294"/>
      <c r="V23" s="295"/>
      <c r="W23" s="296"/>
      <c r="X23" s="297"/>
      <c r="Y23" s="298"/>
    </row>
    <row r="24" spans="1:25">
      <c r="A24" s="2311"/>
      <c r="B24" s="2314"/>
      <c r="C24" s="2325"/>
      <c r="D24" s="2320"/>
      <c r="E24" s="726" t="s">
        <v>183</v>
      </c>
      <c r="F24" s="728">
        <f ca="1">IF($E24&lt;=DATOSAÑO!$B383,IF(DATOSAÑO!$Y383=0," ",((DATOSAÑO!$I383*DATOSAÑO!$AK383)/DATOSAÑO!$Y383))," ")</f>
        <v>166.25929053394003</v>
      </c>
      <c r="G24" s="729">
        <f ca="1">IF($E24&lt;=DATOSAÑO!$B383,IF(DATOSAÑO!$Y383=0," ",((DATOSAÑO!$P383*DATOSAÑO!$AK383)/DATOSAÑO!$Y383))," ")</f>
        <v>189.68084555608317</v>
      </c>
      <c r="H24" s="729">
        <f ca="1">IF($E24&lt;=DATOSAÑO!$B383,IF(DATOSAÑO!$Y383=0," ",((DATOSAÑO!$Q383*DATOSAÑO!$AK383)/DATOSAÑO!$Y383))," ")</f>
        <v>0.10305381155931931</v>
      </c>
      <c r="I24" s="729">
        <f ca="1">IF($E24&lt;=DATOSAÑO!$B383,IF(DATOSAÑO!$Y383=0," ",((DATOSAÑO!$T383*DATOSAÑO!$AK383)/DATOSAÑO!$Y383))," ")</f>
        <v>0.25681009840582564</v>
      </c>
      <c r="J24" s="729">
        <f t="shared" ca="1" si="1"/>
        <v>0</v>
      </c>
      <c r="K24" s="339"/>
      <c r="L24" s="287"/>
      <c r="M24" s="288"/>
      <c r="N24" s="269"/>
      <c r="O24" s="270"/>
      <c r="P24" s="289"/>
      <c r="Q24" s="290"/>
      <c r="R24" s="291"/>
      <c r="S24" s="292"/>
      <c r="T24" s="293"/>
      <c r="U24" s="294"/>
      <c r="V24" s="295"/>
      <c r="W24" s="296"/>
      <c r="X24" s="297"/>
      <c r="Y24" s="298"/>
    </row>
    <row r="25" spans="1:25">
      <c r="A25" s="2311"/>
      <c r="B25" s="2314"/>
      <c r="C25" s="2325"/>
      <c r="D25" s="2320"/>
      <c r="E25" s="726" t="s">
        <v>184</v>
      </c>
      <c r="F25" s="728">
        <f ca="1">IF($E25&lt;=DATOSAÑO!$B384,IF(DATOSAÑO!$Y384=0," ",((DATOSAÑO!$I384*DATOSAÑO!$AK384)/DATOSAÑO!$Y384))," ")</f>
        <v>97.204377675215326</v>
      </c>
      <c r="G25" s="729">
        <f ca="1">IF($E25&lt;=DATOSAÑO!$B384,IF(DATOSAÑO!$Y384=0," ",((DATOSAÑO!$P384*DATOSAÑO!$AK384)/DATOSAÑO!$Y384))," ")</f>
        <v>248.21739462103511</v>
      </c>
      <c r="H25" s="729">
        <f ca="1">IF($E25&lt;=DATOSAÑO!$B384,IF(DATOSAÑO!$Y384=0," ",((DATOSAÑO!$Q384*DATOSAÑO!$AK384)/DATOSAÑO!$Y384))," ")</f>
        <v>4.8119437202247012E-2</v>
      </c>
      <c r="I25" s="729">
        <f ca="1">IF($E25&lt;=DATOSAÑO!$B384,IF(DATOSAÑO!$Y384=0," ",((DATOSAÑO!$T384*DATOSAÑO!$AK384)/DATOSAÑO!$Y384))," ")</f>
        <v>1.2301082665590317</v>
      </c>
      <c r="J25" s="729">
        <f t="shared" ca="1" si="1"/>
        <v>0</v>
      </c>
      <c r="K25" s="339"/>
      <c r="L25" s="287"/>
      <c r="M25" s="288"/>
      <c r="N25" s="269"/>
      <c r="O25" s="270"/>
      <c r="P25" s="289"/>
      <c r="Q25" s="290"/>
      <c r="R25" s="291"/>
      <c r="S25" s="292"/>
      <c r="T25" s="293"/>
      <c r="U25" s="294"/>
      <c r="V25" s="295"/>
      <c r="W25" s="296"/>
      <c r="X25" s="297"/>
      <c r="Y25" s="298"/>
    </row>
    <row r="26" spans="1:25">
      <c r="A26" s="2311"/>
      <c r="B26" s="2314"/>
      <c r="C26" s="2325"/>
      <c r="D26" s="2320"/>
      <c r="E26" s="726" t="s">
        <v>185</v>
      </c>
      <c r="F26" s="728">
        <f ca="1">IF($E26&lt;=DATOSAÑO!$B385,IF(DATOSAÑO!$Y385=0," ",((DATOSAÑO!$I385*DATOSAÑO!$AK385)/DATOSAÑO!$Y385))," ")</f>
        <v>76.133836428800521</v>
      </c>
      <c r="G26" s="729">
        <f ca="1">IF($E26&lt;=DATOSAÑO!$B385,IF(DATOSAÑO!$Y385=0," ",((DATOSAÑO!$P385*DATOSAÑO!$AK385)/DATOSAÑO!$Y385))," ")</f>
        <v>203.58405831145103</v>
      </c>
      <c r="H26" s="729">
        <f ca="1">IF($E26&lt;=DATOSAÑO!$B385,IF(DATOSAÑO!$Y385=0," ",((DATOSAÑO!$Q385*DATOSAÑO!$AK385)/DATOSAÑO!$Y385))," ")</f>
        <v>3.1761355074591061E-2</v>
      </c>
      <c r="I26" s="729">
        <f ca="1">IF($E26&lt;=DATOSAÑO!$B385,IF(DATOSAÑO!$Y385=0," ",((DATOSAÑO!$T385*DATOSAÑO!$AK385)/DATOSAÑO!$Y385))," ")</f>
        <v>2.2503439046738278</v>
      </c>
      <c r="J26" s="729">
        <f t="shared" ca="1" si="1"/>
        <v>0</v>
      </c>
      <c r="K26" s="339"/>
      <c r="L26" s="287"/>
      <c r="M26" s="288"/>
      <c r="N26" s="269"/>
      <c r="O26" s="270"/>
      <c r="P26" s="289"/>
      <c r="Q26" s="290"/>
      <c r="R26" s="291"/>
      <c r="S26" s="292"/>
      <c r="T26" s="293"/>
      <c r="U26" s="294"/>
      <c r="V26" s="295"/>
      <c r="W26" s="296"/>
      <c r="X26" s="297"/>
      <c r="Y26" s="298"/>
    </row>
    <row r="27" spans="1:25">
      <c r="A27" s="2311"/>
      <c r="B27" s="2314"/>
      <c r="C27" s="2325"/>
      <c r="D27" s="2320"/>
      <c r="E27" s="726" t="s">
        <v>186</v>
      </c>
      <c r="F27" s="728">
        <f ca="1">IF($E27&lt;=DATOSAÑO!$B386,IF(DATOSAÑO!$Y386=0," ",((DATOSAÑO!$I386*DATOSAÑO!$AK386)/DATOSAÑO!$Y386))," ")</f>
        <v>3.0068181818181818</v>
      </c>
      <c r="G27" s="729">
        <f ca="1">IF($E27&lt;=DATOSAÑO!$B386,IF(DATOSAÑO!$Y386=0," ",((DATOSAÑO!$P386*DATOSAÑO!$AK386)/DATOSAÑO!$Y386))," ")</f>
        <v>5.9931818181818182</v>
      </c>
      <c r="H27" s="729">
        <f ca="1">IF($E27&lt;=DATOSAÑO!$B386,IF(DATOSAÑO!$Y386=0," ",((DATOSAÑO!$Q386*DATOSAÑO!$AK386)/DATOSAÑO!$Y386))," ")</f>
        <v>0</v>
      </c>
      <c r="I27" s="729">
        <f ca="1">IF($E27&lt;=DATOSAÑO!$B386,IF(DATOSAÑO!$Y386=0," ",((DATOSAÑO!$T386*DATOSAÑO!$AK386)/DATOSAÑO!$Y386))," ")</f>
        <v>0</v>
      </c>
      <c r="J27" s="729">
        <f t="shared" ca="1" si="1"/>
        <v>0</v>
      </c>
      <c r="K27" s="339"/>
      <c r="L27" s="287"/>
      <c r="M27" s="288"/>
      <c r="N27" s="269"/>
      <c r="O27" s="270"/>
      <c r="P27" s="289"/>
      <c r="Q27" s="290"/>
      <c r="R27" s="291"/>
      <c r="S27" s="292"/>
      <c r="T27" s="293"/>
      <c r="U27" s="294"/>
      <c r="V27" s="295"/>
      <c r="W27" s="296"/>
      <c r="X27" s="297"/>
      <c r="Y27" s="298"/>
    </row>
    <row r="28" spans="1:25" ht="15" thickBot="1">
      <c r="A28" s="2312"/>
      <c r="B28" s="2315"/>
      <c r="C28" s="2326"/>
      <c r="D28" s="2321"/>
      <c r="E28" s="727" t="s">
        <v>187</v>
      </c>
      <c r="F28" s="649" t="str">
        <f ca="1">IF($E28&lt;=DATOSAÑO!$B387,IF(DATOSAÑO!$Y387=0," ",((DATOSAÑO!$I387*DATOSAÑO!$AK387)/DATOSAÑO!$Y387))," ")</f>
        <v xml:space="preserve"> </v>
      </c>
      <c r="G28" s="340" t="str">
        <f ca="1">IF($E28&lt;=DATOSAÑO!$B387,IF(DATOSAÑO!$Y387=0," ",((DATOSAÑO!$P387*DATOSAÑO!$AK387)/DATOSAÑO!$Y387))," ")</f>
        <v xml:space="preserve"> </v>
      </c>
      <c r="H28" s="340" t="str">
        <f ca="1">IF($E28&lt;=DATOSAÑO!$B387,IF(DATOSAÑO!$Y387=0," ",((DATOSAÑO!$Q387*DATOSAÑO!$AK387)/DATOSAÑO!$Y387))," ")</f>
        <v xml:space="preserve"> </v>
      </c>
      <c r="I28" s="340" t="str">
        <f ca="1">IF($E28&lt;=DATOSAÑO!$B387,IF(DATOSAÑO!$Y387=0," ",((DATOSAÑO!$T387*DATOSAÑO!$AK387)/DATOSAÑO!$Y387))," ")</f>
        <v xml:space="preserve"> </v>
      </c>
      <c r="J28" s="340" t="str">
        <f t="shared" ca="1" si="1"/>
        <v xml:space="preserve"> </v>
      </c>
      <c r="K28" s="339"/>
      <c r="L28" s="299"/>
      <c r="M28" s="300"/>
      <c r="N28" s="273"/>
      <c r="O28" s="274"/>
      <c r="P28" s="301"/>
      <c r="Q28" s="302"/>
      <c r="R28" s="303"/>
      <c r="S28" s="304"/>
      <c r="T28" s="305"/>
      <c r="U28" s="306"/>
      <c r="V28" s="307"/>
      <c r="W28" s="308"/>
      <c r="X28" s="309"/>
      <c r="Y28" s="310"/>
    </row>
    <row r="29" spans="1:25">
      <c r="A29" s="2310" t="s">
        <v>250</v>
      </c>
      <c r="B29" s="2313" t="s">
        <v>251</v>
      </c>
      <c r="C29" s="2322" t="s">
        <v>254</v>
      </c>
      <c r="D29" s="2319">
        <v>2023</v>
      </c>
      <c r="E29" s="730" t="s">
        <v>175</v>
      </c>
      <c r="F29" s="317">
        <f ca="1">IF($E29&lt;=DATOSAÑO!$B376,IF(DATOSAÑO!$Y376=0," ",((DATOSAÑO!$I376*DATOSAÑO!$AD376)/DATOSAÑO!$Y376))," ")</f>
        <v>2120.1474849879505</v>
      </c>
      <c r="G29" s="318">
        <f ca="1">IF($E29&lt;=DATOSAÑO!$B376,IF(DATOSAÑO!$Y376=0," ",((DATOSAÑO!$P376*DATOSAÑO!$AD376)/DATOSAÑO!$Y376))," ")</f>
        <v>2997.2957013129112</v>
      </c>
      <c r="H29" s="318">
        <f ca="1">IF($E29&lt;=DATOSAÑO!$B376,IF(DATOSAÑO!$Y376=0," ",((DATOSAÑO!$Q376*DATOSAÑO!$AD376)/DATOSAÑO!$Y376))," ")</f>
        <v>0.69112584212015626</v>
      </c>
      <c r="I29" s="318">
        <f ca="1">IF($E29&lt;=DATOSAÑO!$B376,IF(DATOSAÑO!$Y376=0," ",((DATOSAÑO!$T376*DATOSAÑO!$AD376)/DATOSAÑO!$Y376))," ")</f>
        <v>0.9656878569952575</v>
      </c>
      <c r="J29" s="318">
        <f ca="1">IF($H29=" "," ",0)</f>
        <v>0</v>
      </c>
      <c r="K29" s="318"/>
      <c r="L29" s="275"/>
      <c r="M29" s="276"/>
      <c r="N29" s="265"/>
      <c r="O29" s="266"/>
      <c r="P29" s="277"/>
      <c r="Q29" s="278"/>
      <c r="R29" s="279"/>
      <c r="S29" s="280"/>
      <c r="T29" s="281"/>
      <c r="U29" s="282"/>
      <c r="V29" s="283"/>
      <c r="W29" s="284"/>
      <c r="X29" s="285"/>
      <c r="Y29" s="286"/>
    </row>
    <row r="30" spans="1:25">
      <c r="A30" s="2311"/>
      <c r="B30" s="2314"/>
      <c r="C30" s="2323"/>
      <c r="D30" s="2320"/>
      <c r="E30" s="726" t="s">
        <v>176</v>
      </c>
      <c r="F30" s="319">
        <f ca="1">IF($E30&lt;=DATOSAÑO!$B377,IF(DATOSAÑO!$Y377=0," ",((DATOSAÑO!$I377*DATOSAÑO!$AD377)/DATOSAÑO!$Y377))," ")</f>
        <v>2954.3160284342316</v>
      </c>
      <c r="G30" s="320">
        <f ca="1">IF($E30&lt;=DATOSAÑO!$B377,IF(DATOSAÑO!$Y377=0," ",((DATOSAÑO!$P377*DATOSAÑO!$AD377)/DATOSAÑO!$Y377))," ")</f>
        <v>1493.1142052429091</v>
      </c>
      <c r="H30" s="320">
        <f ca="1">IF($E30&lt;=DATOSAÑO!$B377,IF(DATOSAÑO!$Y377=0," ",((DATOSAÑO!$Q377*DATOSAÑO!$AD377)/DATOSAÑO!$Y377))," ")</f>
        <v>0.41907718115597065</v>
      </c>
      <c r="I30" s="320">
        <f ca="1">IF($E30&lt;=DATOSAÑO!$B377,IF(DATOSAÑO!$Y377=0," ",((DATOSAÑO!$T377*DATOSAÑO!$AD377)/DATOSAÑO!$Y377))," ")</f>
        <v>1.2506891416805161</v>
      </c>
      <c r="J30" s="320">
        <f t="shared" ref="J30:J40" ca="1" si="2">IF($H30=" "," ",0)</f>
        <v>0</v>
      </c>
      <c r="K30" s="320"/>
      <c r="L30" s="287"/>
      <c r="M30" s="288"/>
      <c r="N30" s="269"/>
      <c r="O30" s="270"/>
      <c r="P30" s="289"/>
      <c r="Q30" s="290"/>
      <c r="R30" s="291"/>
      <c r="S30" s="292"/>
      <c r="T30" s="293"/>
      <c r="U30" s="294"/>
      <c r="V30" s="295"/>
      <c r="W30" s="296"/>
      <c r="X30" s="297"/>
      <c r="Y30" s="298"/>
    </row>
    <row r="31" spans="1:25">
      <c r="A31" s="2311"/>
      <c r="B31" s="2314"/>
      <c r="C31" s="2323"/>
      <c r="D31" s="2320"/>
      <c r="E31" s="726" t="s">
        <v>177</v>
      </c>
      <c r="F31" s="319">
        <f ca="1">IF($E31&lt;=DATOSAÑO!$B378,IF(DATOSAÑO!$Y378=0," ",((DATOSAÑO!$I378*DATOSAÑO!$AD378)/DATOSAÑO!$Y378))," ")</f>
        <v>3339.9710309510033</v>
      </c>
      <c r="G31" s="320">
        <f ca="1">IF($E31&lt;=DATOSAÑO!$B378,IF(DATOSAÑO!$Y378=0," ",((DATOSAÑO!$P378*DATOSAÑO!$AD378)/DATOSAÑO!$Y378))," ")</f>
        <v>1741.7982019472272</v>
      </c>
      <c r="H31" s="320">
        <f ca="1">IF($E31&lt;=DATOSAÑO!$B378,IF(DATOSAÑO!$Y378=0," ",((DATOSAÑO!$Q378*DATOSAÑO!$AD378)/DATOSAÑO!$Y378))," ")</f>
        <v>0.23912884258107384</v>
      </c>
      <c r="I31" s="320">
        <f ca="1">IF($E31&lt;=DATOSAÑO!$B378,IF(DATOSAÑO!$Y378=0," ",((DATOSAÑO!$T378*DATOSAÑO!$AD378)/DATOSAÑO!$Y378))," ")</f>
        <v>0.39163825921175038</v>
      </c>
      <c r="J31" s="320">
        <f t="shared" ca="1" si="2"/>
        <v>0</v>
      </c>
      <c r="K31" s="320"/>
      <c r="L31" s="287"/>
      <c r="M31" s="288"/>
      <c r="N31" s="269"/>
      <c r="O31" s="270"/>
      <c r="P31" s="289"/>
      <c r="Q31" s="290"/>
      <c r="R31" s="291"/>
      <c r="S31" s="292"/>
      <c r="T31" s="293"/>
      <c r="U31" s="294"/>
      <c r="V31" s="295"/>
      <c r="W31" s="296"/>
      <c r="X31" s="297"/>
      <c r="Y31" s="298"/>
    </row>
    <row r="32" spans="1:25">
      <c r="A32" s="2311"/>
      <c r="B32" s="2314"/>
      <c r="C32" s="2323"/>
      <c r="D32" s="2320"/>
      <c r="E32" s="726" t="s">
        <v>178</v>
      </c>
      <c r="F32" s="319">
        <f ca="1">IF($E32&lt;=DATOSAÑO!$B379,IF(DATOSAÑO!$Y379=0," ",((DATOSAÑO!$I379*DATOSAÑO!$AD379)/DATOSAÑO!$Y379))," ")</f>
        <v>3490.3280989131372</v>
      </c>
      <c r="G32" s="320">
        <f ca="1">IF($E32&lt;=DATOSAÑO!$B379,IF(DATOSAÑO!$Y379=0," ",((DATOSAÑO!$P379*DATOSAÑO!$AD379)/DATOSAÑO!$Y379))," ")</f>
        <v>1404.8000356216094</v>
      </c>
      <c r="H32" s="320">
        <f ca="1">IF($E32&lt;=DATOSAÑO!$B379,IF(DATOSAÑO!$Y379=0," ",((DATOSAÑO!$Q379*DATOSAÑO!$AD379)/DATOSAÑO!$Y379))," ")</f>
        <v>1.9366776731758055</v>
      </c>
      <c r="I32" s="320">
        <f ca="1">IF($E32&lt;=DATOSAÑO!$B379,IF(DATOSAÑO!$Y379=0," ",((DATOSAÑO!$T379*DATOSAÑO!$AD379)/DATOSAÑO!$Y379))," ")</f>
        <v>9.8851877921479439</v>
      </c>
      <c r="J32" s="320">
        <f t="shared" ca="1" si="2"/>
        <v>0</v>
      </c>
      <c r="K32" s="320"/>
      <c r="L32" s="287"/>
      <c r="M32" s="288"/>
      <c r="N32" s="269"/>
      <c r="O32" s="270"/>
      <c r="P32" s="289"/>
      <c r="Q32" s="290"/>
      <c r="R32" s="291"/>
      <c r="S32" s="292"/>
      <c r="T32" s="293"/>
      <c r="U32" s="294"/>
      <c r="V32" s="295"/>
      <c r="W32" s="296"/>
      <c r="X32" s="297"/>
      <c r="Y32" s="298"/>
    </row>
    <row r="33" spans="1:25">
      <c r="A33" s="2311"/>
      <c r="B33" s="2314"/>
      <c r="C33" s="2323"/>
      <c r="D33" s="2320"/>
      <c r="E33" s="726" t="s">
        <v>179</v>
      </c>
      <c r="F33" s="319">
        <f ca="1">IF($E33&lt;=DATOSAÑO!$B380,IF(DATOSAÑO!$Y380=0," ",((DATOSAÑO!$I380*DATOSAÑO!$AD380)/DATOSAÑO!$Y380))," ")</f>
        <v>2329.1721003726311</v>
      </c>
      <c r="G33" s="320">
        <f ca="1">IF($E33&lt;=DATOSAÑO!$B380,IF(DATOSAÑO!$Y380=0," ",((DATOSAÑO!$P380*DATOSAÑO!$AD380)/DATOSAÑO!$Y380))," ")</f>
        <v>2132.0669929493206</v>
      </c>
      <c r="H33" s="320">
        <f ca="1">IF($E33&lt;=DATOSAÑO!$B380,IF(DATOSAÑO!$Y380=0," ",((DATOSAÑO!$Q380*DATOSAÑO!$AD380)/DATOSAÑO!$Y380))," ")</f>
        <v>0.50215479717853928</v>
      </c>
      <c r="I33" s="320">
        <f ca="1">IF($E33&lt;=DATOSAÑO!$B380,IF(DATOSAÑO!$Y380=0," ",((DATOSAÑO!$T380*DATOSAÑO!$AD380)/DATOSAÑO!$Y380))," ")</f>
        <v>0.95875188086889862</v>
      </c>
      <c r="J33" s="320">
        <f t="shared" ca="1" si="2"/>
        <v>0</v>
      </c>
      <c r="K33" s="320"/>
      <c r="L33" s="287"/>
      <c r="M33" s="288"/>
      <c r="N33" s="269"/>
      <c r="O33" s="270"/>
      <c r="P33" s="289"/>
      <c r="Q33" s="290"/>
      <c r="R33" s="291"/>
      <c r="S33" s="292"/>
      <c r="T33" s="293"/>
      <c r="U33" s="294"/>
      <c r="V33" s="295"/>
      <c r="W33" s="296"/>
      <c r="X33" s="297"/>
      <c r="Y33" s="298"/>
    </row>
    <row r="34" spans="1:25">
      <c r="A34" s="2311"/>
      <c r="B34" s="2314"/>
      <c r="C34" s="2323"/>
      <c r="D34" s="2320"/>
      <c r="E34" s="726" t="s">
        <v>181</v>
      </c>
      <c r="F34" s="319">
        <f ca="1">IF($E34&lt;=DATOSAÑO!$B381,IF(DATOSAÑO!$Y381=0," ",((DATOSAÑO!$I381*DATOSAÑO!$AD381)/DATOSAÑO!$Y381))," ")</f>
        <v>2957.1940103269567</v>
      </c>
      <c r="G34" s="320">
        <f ca="1">IF($E34&lt;=DATOSAÑO!$B381,IF(DATOSAÑO!$Y381=0," ",((DATOSAÑO!$P381*DATOSAÑO!$AD381)/DATOSAÑO!$Y381))," ")</f>
        <v>1930.1524975319167</v>
      </c>
      <c r="H34" s="320">
        <f ca="1">IF($E34&lt;=DATOSAÑO!$B381,IF(DATOSAÑO!$Y381=0," ",((DATOSAÑO!$Q381*DATOSAÑO!$AD381)/DATOSAÑO!$Y381))," ")</f>
        <v>0.29183597250364268</v>
      </c>
      <c r="I34" s="320">
        <f ca="1">IF($E34&lt;=DATOSAÑO!$B381,IF(DATOSAÑO!$Y381=0," ",((DATOSAÑO!$T381*DATOSAÑO!$AD381)/DATOSAÑO!$Y381))," ")</f>
        <v>0.48465616862220401</v>
      </c>
      <c r="J34" s="320">
        <f t="shared" ca="1" si="2"/>
        <v>0</v>
      </c>
      <c r="K34" s="320"/>
      <c r="L34" s="287"/>
      <c r="M34" s="288"/>
      <c r="N34" s="269"/>
      <c r="O34" s="270"/>
      <c r="P34" s="289"/>
      <c r="Q34" s="290"/>
      <c r="R34" s="291"/>
      <c r="S34" s="292"/>
      <c r="T34" s="293"/>
      <c r="U34" s="294"/>
      <c r="V34" s="295"/>
      <c r="W34" s="296"/>
      <c r="X34" s="297"/>
      <c r="Y34" s="298"/>
    </row>
    <row r="35" spans="1:25">
      <c r="A35" s="2311"/>
      <c r="B35" s="2314"/>
      <c r="C35" s="2323"/>
      <c r="D35" s="2320"/>
      <c r="E35" s="726" t="s">
        <v>182</v>
      </c>
      <c r="F35" s="319">
        <f ca="1">IF($E35&lt;=DATOSAÑO!$B382,IF(DATOSAÑO!$Y382=0," ",((DATOSAÑO!$I382*DATOSAÑO!$AD382)/DATOSAÑO!$Y382))," ")</f>
        <v>2664.0459087239883</v>
      </c>
      <c r="G35" s="320">
        <f ca="1">IF($E35&lt;=DATOSAÑO!$B382,IF(DATOSAÑO!$Y382=0," ",((DATOSAÑO!$P382*DATOSAÑO!$AD382)/DATOSAÑO!$Y382))," ")</f>
        <v>2421.5061306542002</v>
      </c>
      <c r="H35" s="320">
        <f ca="1">IF($E35&lt;=DATOSAÑO!$B382,IF(DATOSAÑO!$Y382=0," ",((DATOSAÑO!$Q382*DATOSAÑO!$AD382)/DATOSAÑO!$Y382))," ")</f>
        <v>0.68272588916783361</v>
      </c>
      <c r="I35" s="320">
        <f ca="1">IF($E35&lt;=DATOSAÑO!$B382,IF(DATOSAÑO!$Y382=0," ",((DATOSAÑO!$T382*DATOSAÑO!$AD382)/DATOSAÑO!$Y382))," ")</f>
        <v>0.64223473264381403</v>
      </c>
      <c r="J35" s="320">
        <f t="shared" ca="1" si="2"/>
        <v>0</v>
      </c>
      <c r="K35" s="320"/>
      <c r="L35" s="287"/>
      <c r="M35" s="288"/>
      <c r="N35" s="269"/>
      <c r="O35" s="270"/>
      <c r="P35" s="289"/>
      <c r="Q35" s="290"/>
      <c r="R35" s="291"/>
      <c r="S35" s="292"/>
      <c r="T35" s="293"/>
      <c r="U35" s="294"/>
      <c r="V35" s="295"/>
      <c r="W35" s="296"/>
      <c r="X35" s="297"/>
      <c r="Y35" s="298"/>
    </row>
    <row r="36" spans="1:25">
      <c r="A36" s="2311"/>
      <c r="B36" s="2314"/>
      <c r="C36" s="2323"/>
      <c r="D36" s="2320"/>
      <c r="E36" s="726" t="s">
        <v>183</v>
      </c>
      <c r="F36" s="319">
        <f ca="1">IF($E36&lt;=DATOSAÑO!$B383,IF(DATOSAÑO!$Y383=0," ",((DATOSAÑO!$I383*DATOSAÑO!$AD383)/DATOSAÑO!$Y383))," ")</f>
        <v>2394.124451143739</v>
      </c>
      <c r="G36" s="320">
        <f ca="1">IF($E36&lt;=DATOSAÑO!$B383,IF(DATOSAÑO!$Y383=0," ",((DATOSAÑO!$P383*DATOSAÑO!$AD383)/DATOSAÑO!$Y383))," ")</f>
        <v>2731.3935287528147</v>
      </c>
      <c r="H36" s="320">
        <f ca="1">IF($E36&lt;=DATOSAÑO!$B383,IF(DATOSAÑO!$Y383=0," ",((DATOSAÑO!$Q383*DATOSAÑO!$AD383)/DATOSAÑO!$Y383))," ")</f>
        <v>1.4839691017889896</v>
      </c>
      <c r="I36" s="320">
        <f ca="1">IF($E36&lt;=DATOSAÑO!$B383,IF(DATOSAÑO!$Y383=0," ",((DATOSAÑO!$T383*DATOSAÑO!$AD383)/DATOSAÑO!$Y383))," ")</f>
        <v>3.6980510016581891</v>
      </c>
      <c r="J36" s="320">
        <f t="shared" ca="1" si="2"/>
        <v>0</v>
      </c>
      <c r="K36" s="320"/>
      <c r="L36" s="287"/>
      <c r="M36" s="288"/>
      <c r="N36" s="269"/>
      <c r="O36" s="270"/>
      <c r="P36" s="289"/>
      <c r="Q36" s="290"/>
      <c r="R36" s="291"/>
      <c r="S36" s="292"/>
      <c r="T36" s="293"/>
      <c r="U36" s="294"/>
      <c r="V36" s="295"/>
      <c r="W36" s="296"/>
      <c r="X36" s="297"/>
      <c r="Y36" s="298"/>
    </row>
    <row r="37" spans="1:25">
      <c r="A37" s="2311"/>
      <c r="B37" s="2314"/>
      <c r="C37" s="2323"/>
      <c r="D37" s="2320"/>
      <c r="E37" s="726" t="s">
        <v>184</v>
      </c>
      <c r="F37" s="319">
        <f ca="1">IF($E37&lt;=DATOSAÑO!$B384,IF(DATOSAÑO!$Y384=0," ",((DATOSAÑO!$I384*DATOSAÑO!$AD384)/DATOSAÑO!$Y384))," ")</f>
        <v>1375.5807273951334</v>
      </c>
      <c r="G37" s="320">
        <f ca="1">IF($E37&lt;=DATOSAÑO!$B384,IF(DATOSAÑO!$Y384=0," ",((DATOSAÑO!$P384*DATOSAÑO!$AD384)/DATOSAÑO!$Y384))," ")</f>
        <v>3512.6305256104511</v>
      </c>
      <c r="H37" s="320">
        <f ca="1">IF($E37&lt;=DATOSAÑO!$B384,IF(DATOSAÑO!$Y384=0," ",((DATOSAÑO!$Q384*DATOSAÑO!$AD384)/DATOSAÑO!$Y384))," ")</f>
        <v>0.68095873880985458</v>
      </c>
      <c r="I37" s="320">
        <f ca="1">IF($E37&lt;=DATOSAÑO!$B384,IF(DATOSAÑO!$Y384=0," ",((DATOSAÑO!$T384*DATOSAÑO!$AD384)/DATOSAÑO!$Y384))," ")</f>
        <v>17.407788255605347</v>
      </c>
      <c r="J37" s="320">
        <f t="shared" ca="1" si="2"/>
        <v>0</v>
      </c>
      <c r="K37" s="320"/>
      <c r="L37" s="287"/>
      <c r="M37" s="288"/>
      <c r="N37" s="269"/>
      <c r="O37" s="270"/>
      <c r="P37" s="289"/>
      <c r="Q37" s="290"/>
      <c r="R37" s="291"/>
      <c r="S37" s="292"/>
      <c r="T37" s="293"/>
      <c r="U37" s="294"/>
      <c r="V37" s="295"/>
      <c r="W37" s="296"/>
      <c r="X37" s="297"/>
      <c r="Y37" s="298"/>
    </row>
    <row r="38" spans="1:25">
      <c r="A38" s="2311"/>
      <c r="B38" s="2314"/>
      <c r="C38" s="2323"/>
      <c r="D38" s="2320"/>
      <c r="E38" s="726" t="s">
        <v>185</v>
      </c>
      <c r="F38" s="319">
        <f ca="1">IF($E38&lt;=DATOSAÑO!$B385,IF(DATOSAÑO!$Y385=0," ",((DATOSAÑO!$I385*DATOSAÑO!$AD385)/DATOSAÑO!$Y385))," ")</f>
        <v>1382.0181158830846</v>
      </c>
      <c r="G38" s="320">
        <f ca="1">IF($E38&lt;=DATOSAÑO!$B385,IF(DATOSAÑO!$Y385=0," ",((DATOSAÑO!$P385*DATOSAÑO!$AD385)/DATOSAÑO!$Y385))," ")</f>
        <v>3695.5560088521911</v>
      </c>
      <c r="H38" s="320">
        <f ca="1">IF($E38&lt;=DATOSAÑO!$B385,IF(DATOSAÑO!$Y385=0," ",((DATOSAÑO!$Q385*DATOSAÑO!$AD385)/DATOSAÑO!$Y385))," ")</f>
        <v>0.57654743484692073</v>
      </c>
      <c r="I38" s="320">
        <f ca="1">IF($E38&lt;=DATOSAÑO!$B385,IF(DATOSAÑO!$Y385=0," ",((DATOSAÑO!$T385*DATOSAÑO!$AD385)/DATOSAÑO!$Y385))," ")</f>
        <v>40.849327829877041</v>
      </c>
      <c r="J38" s="320">
        <f t="shared" ca="1" si="2"/>
        <v>0</v>
      </c>
      <c r="K38" s="320"/>
      <c r="L38" s="287"/>
      <c r="M38" s="288"/>
      <c r="N38" s="269"/>
      <c r="O38" s="270"/>
      <c r="P38" s="289"/>
      <c r="Q38" s="290"/>
      <c r="R38" s="291"/>
      <c r="S38" s="292"/>
      <c r="T38" s="293"/>
      <c r="U38" s="294"/>
      <c r="V38" s="295"/>
      <c r="W38" s="296"/>
      <c r="X38" s="297"/>
      <c r="Y38" s="298"/>
    </row>
    <row r="39" spans="1:25">
      <c r="A39" s="2311"/>
      <c r="B39" s="2314"/>
      <c r="C39" s="2323"/>
      <c r="D39" s="2320"/>
      <c r="E39" s="726" t="s">
        <v>186</v>
      </c>
      <c r="F39" s="319">
        <f ca="1">IF($E39&lt;=DATOSAÑO!$B386,IF(DATOSAÑO!$Y386=0," ",((DATOSAÑO!$I386*DATOSAÑO!$AD386)/DATOSAÑO!$Y386))," ")</f>
        <v>54.523636363636605</v>
      </c>
      <c r="G39" s="320">
        <f ca="1">IF($E39&lt;=DATOSAÑO!$B386,IF(DATOSAÑO!$Y386=0," ",((DATOSAÑO!$P386*DATOSAÑO!$AD386)/DATOSAÑO!$Y386))," ")</f>
        <v>108.67636363636412</v>
      </c>
      <c r="H39" s="320">
        <f ca="1">IF($E39&lt;=DATOSAÑO!$B386,IF(DATOSAÑO!$Y386=0," ",((DATOSAÑO!$Q386*DATOSAÑO!$AD386)/DATOSAÑO!$Y386))," ")</f>
        <v>0</v>
      </c>
      <c r="I39" s="320">
        <f ca="1">IF($E39&lt;=DATOSAÑO!$B386,IF(DATOSAÑO!$Y386=0," ",((DATOSAÑO!$T386*DATOSAÑO!$AD386)/DATOSAÑO!$Y386))," ")</f>
        <v>0</v>
      </c>
      <c r="J39" s="320">
        <f t="shared" ca="1" si="2"/>
        <v>0</v>
      </c>
      <c r="K39" s="320"/>
      <c r="L39" s="287"/>
      <c r="M39" s="288"/>
      <c r="N39" s="269"/>
      <c r="O39" s="270"/>
      <c r="P39" s="289"/>
      <c r="Q39" s="290"/>
      <c r="R39" s="291"/>
      <c r="S39" s="292"/>
      <c r="T39" s="293"/>
      <c r="U39" s="294"/>
      <c r="V39" s="295"/>
      <c r="W39" s="296"/>
      <c r="X39" s="297"/>
      <c r="Y39" s="298"/>
    </row>
    <row r="40" spans="1:25" ht="15" thickBot="1">
      <c r="A40" s="2312"/>
      <c r="B40" s="2315"/>
      <c r="C40" s="2324"/>
      <c r="D40" s="2321"/>
      <c r="E40" s="727" t="s">
        <v>187</v>
      </c>
      <c r="F40" s="649" t="str">
        <f ca="1">IF($E40&lt;=DATOSAÑO!$B387,IF(DATOSAÑO!$Y387=0," ",((DATOSAÑO!$I387*DATOSAÑO!$AD387)/DATOSAÑO!$Y387))," ")</f>
        <v xml:space="preserve"> </v>
      </c>
      <c r="G40" s="340" t="str">
        <f ca="1">IF($E40&lt;=DATOSAÑO!$B387,IF(DATOSAÑO!$Y387=0," ",((DATOSAÑO!$P387*DATOSAÑO!$AD387)/DATOSAÑO!$Y387))," ")</f>
        <v xml:space="preserve"> </v>
      </c>
      <c r="H40" s="340" t="str">
        <f ca="1">IF($E40&lt;=DATOSAÑO!$B387,IF(DATOSAÑO!$Y387=0," ",((DATOSAÑO!$Q387*DATOSAÑO!$AD387)/DATOSAÑO!$Y387))," ")</f>
        <v xml:space="preserve"> </v>
      </c>
      <c r="I40" s="340" t="str">
        <f ca="1">IF($E40&lt;=DATOSAÑO!$B387,IF(DATOSAÑO!$Y387=0," ",((DATOSAÑO!$T387*DATOSAÑO!$AD387)/DATOSAÑO!$Y387))," ")</f>
        <v xml:space="preserve"> </v>
      </c>
      <c r="J40" s="340" t="str">
        <f t="shared" ca="1" si="2"/>
        <v xml:space="preserve"> </v>
      </c>
      <c r="K40" s="320"/>
      <c r="L40" s="299"/>
      <c r="M40" s="300"/>
      <c r="N40" s="273"/>
      <c r="O40" s="274"/>
      <c r="P40" s="301"/>
      <c r="Q40" s="302"/>
      <c r="R40" s="303"/>
      <c r="S40" s="304"/>
      <c r="T40" s="305"/>
      <c r="U40" s="306"/>
      <c r="V40" s="307"/>
      <c r="W40" s="308"/>
      <c r="X40" s="309"/>
      <c r="Y40" s="310"/>
    </row>
    <row r="41" spans="1:25">
      <c r="A41" s="2310" t="s">
        <v>250</v>
      </c>
      <c r="B41" s="2313" t="s">
        <v>251</v>
      </c>
      <c r="C41" s="2322" t="s">
        <v>255</v>
      </c>
      <c r="D41" s="2319">
        <v>2023</v>
      </c>
      <c r="E41" s="730" t="s">
        <v>175</v>
      </c>
      <c r="F41" s="317">
        <f ca="1">IF($E41&lt;=DATOSAÑO!$B376,IF(DATOSAÑO!$Y376=0," ",((DATOSAÑO!$I376*DATOSAÑO!$AH376)/DATOSAÑO!$Y376))," ")</f>
        <v>132.82242941838069</v>
      </c>
      <c r="G41" s="318">
        <f ca="1">IF($E41&lt;=DATOSAÑO!$B376,IF(DATOSAÑO!$Y376=0," ",((DATOSAÑO!$P376*DATOSAÑO!$AH376)/DATOSAÑO!$Y376))," ")</f>
        <v>187.7737749626001</v>
      </c>
      <c r="H41" s="318">
        <f ca="1">IF($E41&lt;=DATOSAÑO!$B376,IF(DATOSAÑO!$Y376=0," ",((DATOSAÑO!$Q376*DATOSAÑO!$AH376)/DATOSAÑO!$Y376))," ")</f>
        <v>4.3297465876410521E-2</v>
      </c>
      <c r="I41" s="318">
        <f ca="1">IF($E41&lt;=DATOSAÑO!$B376,IF(DATOSAÑO!$Y376=0," ",((DATOSAÑO!$T376*DATOSAÑO!$AH376)/DATOSAÑO!$Y376))," ")</f>
        <v>6.0498153139883507E-2</v>
      </c>
      <c r="J41" s="318">
        <f ca="1">IF($H41=" "," ",0)</f>
        <v>0</v>
      </c>
      <c r="K41" s="275"/>
      <c r="L41" s="275"/>
      <c r="M41" s="276"/>
      <c r="N41" s="265"/>
      <c r="O41" s="266"/>
      <c r="P41" s="277"/>
      <c r="Q41" s="278"/>
      <c r="R41" s="279"/>
      <c r="S41" s="280"/>
      <c r="T41" s="281"/>
      <c r="U41" s="282"/>
      <c r="V41" s="283"/>
      <c r="W41" s="284"/>
      <c r="X41" s="285"/>
      <c r="Y41" s="286"/>
    </row>
    <row r="42" spans="1:25">
      <c r="A42" s="2311"/>
      <c r="B42" s="2314"/>
      <c r="C42" s="2323"/>
      <c r="D42" s="2320"/>
      <c r="E42" s="726" t="s">
        <v>176</v>
      </c>
      <c r="F42" s="319">
        <f ca="1">IF($E42&lt;=DATOSAÑO!$B377,IF(DATOSAÑO!$Y377=0," ",((DATOSAÑO!$I377*DATOSAÑO!$AH377)/DATOSAÑO!$Y377))," ")</f>
        <v>186.25916387040218</v>
      </c>
      <c r="G42" s="320">
        <f ca="1">IF($E42&lt;=DATOSAÑO!$B377,IF(DATOSAÑO!$Y377=0," ",((DATOSAÑO!$P377*DATOSAÑO!$AH377)/DATOSAÑO!$Y377))," ")</f>
        <v>94.135563275862125</v>
      </c>
      <c r="H42" s="320">
        <f ca="1">IF($E42&lt;=DATOSAÑO!$B377,IF(DATOSAÑO!$Y377=0," ",((DATOSAÑO!$Q377*DATOSAÑO!$AH377)/DATOSAÑO!$Y377))," ")</f>
        <v>2.6421332250174276E-2</v>
      </c>
      <c r="I42" s="320">
        <f ca="1">IF($E42&lt;=DATOSAÑO!$B377,IF(DATOSAÑO!$Y377=0," ",((DATOSAÑO!$T377*DATOSAÑO!$AH377)/DATOSAÑO!$Y377))," ")</f>
        <v>7.8851521485555867E-2</v>
      </c>
      <c r="J42" s="320">
        <f t="shared" ref="J42:J52" ca="1" si="3">IF($H42=" "," ",0)</f>
        <v>0</v>
      </c>
      <c r="K42" s="287"/>
      <c r="L42" s="287"/>
      <c r="M42" s="288"/>
      <c r="N42" s="269"/>
      <c r="O42" s="270"/>
      <c r="P42" s="289"/>
      <c r="Q42" s="290"/>
      <c r="R42" s="291"/>
      <c r="S42" s="292"/>
      <c r="T42" s="293"/>
      <c r="U42" s="294"/>
      <c r="V42" s="295"/>
      <c r="W42" s="296"/>
      <c r="X42" s="297"/>
      <c r="Y42" s="298"/>
    </row>
    <row r="43" spans="1:25">
      <c r="A43" s="2311"/>
      <c r="B43" s="2314"/>
      <c r="C43" s="2323"/>
      <c r="D43" s="2320"/>
      <c r="E43" s="726" t="s">
        <v>177</v>
      </c>
      <c r="F43" s="319">
        <f ca="1">IF($E43&lt;=DATOSAÑO!$B378,IF(DATOSAÑO!$Y378=0," ",((DATOSAÑO!$I378*DATOSAÑO!$AH378)/DATOSAÑO!$Y378))," ")</f>
        <v>197.67497365615748</v>
      </c>
      <c r="G43" s="320">
        <f ca="1">IF($E43&lt;=DATOSAÑO!$B378,IF(DATOSAÑO!$Y378=0," ",((DATOSAÑO!$P378*DATOSAÑO!$AH378)/DATOSAÑO!$Y378))," ")</f>
        <v>103.08769462177756</v>
      </c>
      <c r="H43" s="320">
        <f ca="1">IF($E43&lt;=DATOSAÑO!$B378,IF(DATOSAÑO!$Y378=0," ",((DATOSAÑO!$Q378*DATOSAÑO!$AH378)/DATOSAÑO!$Y378))," ")</f>
        <v>1.4152753787263203E-2</v>
      </c>
      <c r="I43" s="320">
        <f ca="1">IF($E43&lt;=DATOSAÑO!$B378,IF(DATOSAÑO!$Y378=0," ",((DATOSAÑO!$T378*DATOSAÑO!$AH378)/DATOSAÑO!$Y378))," ")</f>
        <v>2.3178968276974202E-2</v>
      </c>
      <c r="J43" s="320">
        <f t="shared" ca="1" si="3"/>
        <v>0</v>
      </c>
      <c r="K43" s="287"/>
      <c r="L43" s="287"/>
      <c r="M43" s="288"/>
      <c r="N43" s="269"/>
      <c r="O43" s="270"/>
      <c r="P43" s="289"/>
      <c r="Q43" s="290"/>
      <c r="R43" s="291"/>
      <c r="S43" s="292"/>
      <c r="T43" s="293"/>
      <c r="U43" s="294"/>
      <c r="V43" s="295"/>
      <c r="W43" s="296"/>
      <c r="X43" s="297"/>
      <c r="Y43" s="298"/>
    </row>
    <row r="44" spans="1:25">
      <c r="A44" s="2311"/>
      <c r="B44" s="2314"/>
      <c r="C44" s="2323"/>
      <c r="D44" s="2320"/>
      <c r="E44" s="726" t="s">
        <v>178</v>
      </c>
      <c r="F44" s="319">
        <f ca="1">IF($E44&lt;=DATOSAÑO!$B379,IF(DATOSAÑO!$Y379=0," ",((DATOSAÑO!$I379*DATOSAÑO!$AH379)/DATOSAÑO!$Y379))," ")</f>
        <v>223.49139255107312</v>
      </c>
      <c r="G44" s="320">
        <f ca="1">IF($E44&lt;=DATOSAÑO!$B379,IF(DATOSAÑO!$Y379=0," ",((DATOSAÑO!$P379*DATOSAÑO!$AH379)/DATOSAÑO!$Y379))," ")</f>
        <v>89.951634149991705</v>
      </c>
      <c r="H44" s="320">
        <f ca="1">IF($E44&lt;=DATOSAÑO!$B379,IF(DATOSAÑO!$Y379=0," ",((DATOSAÑO!$Q379*DATOSAÑO!$AH379)/DATOSAÑO!$Y379))," ")</f>
        <v>0.12400862550297584</v>
      </c>
      <c r="I44" s="320">
        <f ca="1">IF($E44&lt;=DATOSAÑO!$B379,IF(DATOSAÑO!$Y379=0," ",((DATOSAÑO!$T379*DATOSAÑO!$AH379)/DATOSAÑO!$Y379))," ")</f>
        <v>0.63296467343111895</v>
      </c>
      <c r="J44" s="320">
        <f t="shared" ca="1" si="3"/>
        <v>0</v>
      </c>
      <c r="K44" s="287"/>
      <c r="L44" s="287"/>
      <c r="M44" s="288"/>
      <c r="N44" s="269"/>
      <c r="O44" s="270"/>
      <c r="P44" s="289"/>
      <c r="Q44" s="290"/>
      <c r="R44" s="291"/>
      <c r="S44" s="292"/>
      <c r="T44" s="293"/>
      <c r="U44" s="294"/>
      <c r="V44" s="295"/>
      <c r="W44" s="296"/>
      <c r="X44" s="297"/>
      <c r="Y44" s="298"/>
    </row>
    <row r="45" spans="1:25">
      <c r="A45" s="2311"/>
      <c r="B45" s="2314"/>
      <c r="C45" s="2323"/>
      <c r="D45" s="2320"/>
      <c r="E45" s="726" t="s">
        <v>179</v>
      </c>
      <c r="F45" s="319">
        <f ca="1">IF($E45&lt;=DATOSAÑO!$B380,IF(DATOSAÑO!$Y380=0," ",((DATOSAÑO!$I380*DATOSAÑO!$AH380)/DATOSAÑO!$Y380))," ")</f>
        <v>177.8181223467779</v>
      </c>
      <c r="G45" s="320">
        <f ca="1">IF($E45&lt;=DATOSAÑO!$B380,IF(DATOSAÑO!$Y380=0," ",((DATOSAÑO!$P380*DATOSAÑO!$AH380)/DATOSAÑO!$Y380))," ")</f>
        <v>162.77034631452776</v>
      </c>
      <c r="H45" s="320">
        <f ca="1">IF($E45&lt;=DATOSAÑO!$B380,IF(DATOSAÑO!$Y380=0," ",((DATOSAÑO!$Q380*DATOSAÑO!$AH380)/DATOSAÑO!$Y380))," ")</f>
        <v>3.8336464337448299E-2</v>
      </c>
      <c r="I45" s="320">
        <f ca="1">IF($E45&lt;=DATOSAÑO!$B380,IF(DATOSAÑO!$Y380=0," ",((DATOSAÑO!$T380*DATOSAÑO!$AH380)/DATOSAÑO!$Y380))," ")</f>
        <v>7.3194874361269632E-2</v>
      </c>
      <c r="J45" s="320">
        <f t="shared" ca="1" si="3"/>
        <v>0</v>
      </c>
      <c r="K45" s="287"/>
      <c r="L45" s="287"/>
      <c r="M45" s="288"/>
      <c r="N45" s="269"/>
      <c r="O45" s="270"/>
      <c r="P45" s="289"/>
      <c r="Q45" s="290"/>
      <c r="R45" s="291"/>
      <c r="S45" s="292"/>
      <c r="T45" s="293"/>
      <c r="U45" s="294"/>
      <c r="V45" s="295"/>
      <c r="W45" s="296"/>
      <c r="X45" s="297"/>
      <c r="Y45" s="298"/>
    </row>
    <row r="46" spans="1:25">
      <c r="A46" s="2311"/>
      <c r="B46" s="2314"/>
      <c r="C46" s="2323"/>
      <c r="D46" s="2320"/>
      <c r="E46" s="726" t="s">
        <v>181</v>
      </c>
      <c r="F46" s="319">
        <f ca="1">IF($E46&lt;=DATOSAÑO!$B381,IF(DATOSAÑO!$Y381=0," ",((DATOSAÑO!$I381*DATOSAÑO!$AH381)/DATOSAÑO!$Y381))," ")</f>
        <v>172.11549217112758</v>
      </c>
      <c r="G46" s="320">
        <f ca="1">IF($E46&lt;=DATOSAÑO!$B381,IF(DATOSAÑO!$Y381=0," ",((DATOSAÑO!$P381*DATOSAÑO!$AH381)/DATOSAÑO!$Y381))," ")</f>
        <v>112.33931420052714</v>
      </c>
      <c r="H46" s="320">
        <f ca="1">IF($E46&lt;=DATOSAÑO!$B381,IF(DATOSAÑO!$Y381=0," ",((DATOSAÑO!$Q381*DATOSAÑO!$AH381)/DATOSAÑO!$Y381))," ")</f>
        <v>1.6985524745855473E-2</v>
      </c>
      <c r="I46" s="320">
        <f ca="1">IF($E46&lt;=DATOSAÑO!$B381,IF(DATOSAÑO!$Y381=0," ",((DATOSAÑO!$T381*DATOSAÑO!$AH381)/DATOSAÑO!$Y381))," ")</f>
        <v>2.8208103595800536E-2</v>
      </c>
      <c r="J46" s="320">
        <f t="shared" ca="1" si="3"/>
        <v>0</v>
      </c>
      <c r="K46" s="287"/>
      <c r="L46" s="287"/>
      <c r="M46" s="288"/>
      <c r="N46" s="269"/>
      <c r="O46" s="270"/>
      <c r="P46" s="289"/>
      <c r="Q46" s="290"/>
      <c r="R46" s="291"/>
      <c r="S46" s="292"/>
      <c r="T46" s="293"/>
      <c r="U46" s="294"/>
      <c r="V46" s="295"/>
      <c r="W46" s="296"/>
      <c r="X46" s="297"/>
      <c r="Y46" s="298"/>
    </row>
    <row r="47" spans="1:25">
      <c r="A47" s="2311"/>
      <c r="B47" s="2314"/>
      <c r="C47" s="2323"/>
      <c r="D47" s="2320"/>
      <c r="E47" s="726" t="s">
        <v>182</v>
      </c>
      <c r="F47" s="319">
        <f ca="1">IF($E47&lt;=DATOSAÑO!$B382,IF(DATOSAÑO!$Y382=0," ",((DATOSAÑO!$I382*DATOSAÑO!$AH382)/DATOSAÑO!$Y382))," ")</f>
        <v>165.33509526260616</v>
      </c>
      <c r="G47" s="320">
        <f ca="1">IF($E47&lt;=DATOSAÑO!$B382,IF(DATOSAÑO!$Y382=0," ",((DATOSAÑO!$P382*DATOSAÑO!$AH382)/DATOSAÑO!$Y382))," ")</f>
        <v>150.2826754898002</v>
      </c>
      <c r="H47" s="320">
        <f ca="1">IF($E47&lt;=DATOSAÑO!$B382,IF(DATOSAÑO!$Y382=0," ",((DATOSAÑO!$Q382*DATOSAÑO!$AH382)/DATOSAÑO!$Y382))," ")</f>
        <v>4.2371097868158458E-2</v>
      </c>
      <c r="I47" s="320">
        <f ca="1">IF($E47&lt;=DATOSAÑO!$B382,IF(DATOSAÑO!$Y382=0," ",((DATOSAÑO!$T382*DATOSAÑO!$AH382)/DATOSAÑO!$Y382))," ")</f>
        <v>3.9858149724408785E-2</v>
      </c>
      <c r="J47" s="320">
        <f t="shared" ca="1" si="3"/>
        <v>0</v>
      </c>
      <c r="K47" s="287"/>
      <c r="L47" s="287"/>
      <c r="M47" s="288"/>
      <c r="N47" s="269"/>
      <c r="O47" s="270"/>
      <c r="P47" s="289"/>
      <c r="Q47" s="290"/>
      <c r="R47" s="291"/>
      <c r="S47" s="292"/>
      <c r="T47" s="293"/>
      <c r="U47" s="294"/>
      <c r="V47" s="295"/>
      <c r="W47" s="296"/>
      <c r="X47" s="297"/>
      <c r="Y47" s="298"/>
    </row>
    <row r="48" spans="1:25">
      <c r="A48" s="2311"/>
      <c r="B48" s="2314"/>
      <c r="C48" s="2323"/>
      <c r="D48" s="2320"/>
      <c r="E48" s="726" t="s">
        <v>183</v>
      </c>
      <c r="F48" s="319">
        <f ca="1">IF($E48&lt;=DATOSAÑO!$B383,IF(DATOSAÑO!$Y383=0," ",((DATOSAÑO!$I383*DATOSAÑO!$AH383)/DATOSAÑO!$Y383))," ")</f>
        <v>152.58711199719639</v>
      </c>
      <c r="G48" s="320">
        <f ca="1">IF($E48&lt;=DATOSAÑO!$B383,IF(DATOSAÑO!$Y383=0," ",((DATOSAÑO!$P383*DATOSAÑO!$AH383)/DATOSAÑO!$Y383))," ")</f>
        <v>174.08261716767404</v>
      </c>
      <c r="H48" s="320">
        <f ca="1">IF($E48&lt;=DATOSAÑO!$B383,IF(DATOSAÑO!$Y383=0," ",((DATOSAÑO!$Q383*DATOSAÑO!$AH383)/DATOSAÑO!$Y383))," ")</f>
        <v>9.4579276957336741E-2</v>
      </c>
      <c r="I48" s="320">
        <f ca="1">IF($E48&lt;=DATOSAÑO!$B383,IF(DATOSAÑO!$Y383=0," ",((DATOSAÑO!$T383*DATOSAÑO!$AH383)/DATOSAÑO!$Y383))," ")</f>
        <v>0.23569155817768492</v>
      </c>
      <c r="J48" s="320">
        <f t="shared" ca="1" si="3"/>
        <v>0</v>
      </c>
      <c r="K48" s="287"/>
      <c r="L48" s="287"/>
      <c r="M48" s="288"/>
      <c r="N48" s="269"/>
      <c r="O48" s="270"/>
      <c r="P48" s="289"/>
      <c r="Q48" s="290"/>
      <c r="R48" s="291"/>
      <c r="S48" s="292"/>
      <c r="T48" s="293"/>
      <c r="U48" s="294"/>
      <c r="V48" s="295"/>
      <c r="W48" s="296"/>
      <c r="X48" s="297"/>
      <c r="Y48" s="298"/>
    </row>
    <row r="49" spans="1:25">
      <c r="A49" s="2311"/>
      <c r="B49" s="2314"/>
      <c r="C49" s="2323"/>
      <c r="D49" s="2320"/>
      <c r="E49" s="726" t="s">
        <v>184</v>
      </c>
      <c r="F49" s="319">
        <f ca="1">IF($E49&lt;=DATOSAÑO!$B384,IF(DATOSAÑO!$Y384=0," ",((DATOSAÑO!$I384*DATOSAÑO!$AH384)/DATOSAÑO!$Y384))," ")</f>
        <v>81.36345659459549</v>
      </c>
      <c r="G49" s="320">
        <f ca="1">IF($E49&lt;=DATOSAÑO!$B384,IF(DATOSAÑO!$Y384=0," ",((DATOSAÑO!$P384*DATOSAÑO!$AH384)/DATOSAÑO!$Y384))," ")</f>
        <v>207.76662220657988</v>
      </c>
      <c r="H49" s="320">
        <f ca="1">IF($E49&lt;=DATOSAÑO!$B384,IF(DATOSAÑO!$Y384=0," ",((DATOSAÑO!$Q384*DATOSAÑO!$AH384)/DATOSAÑO!$Y384))," ")</f>
        <v>4.0277648330232112E-2</v>
      </c>
      <c r="I49" s="320">
        <f ca="1">IF($E49&lt;=DATOSAÑO!$B384,IF(DATOSAÑO!$Y384=0," ",((DATOSAÑO!$T384*DATOSAÑO!$AH384)/DATOSAÑO!$Y384))," ")</f>
        <v>1.0296435504915358</v>
      </c>
      <c r="J49" s="320">
        <f t="shared" ca="1" si="3"/>
        <v>0</v>
      </c>
      <c r="K49" s="287"/>
      <c r="L49" s="287"/>
      <c r="M49" s="288"/>
      <c r="N49" s="269"/>
      <c r="O49" s="270"/>
      <c r="P49" s="289"/>
      <c r="Q49" s="290"/>
      <c r="R49" s="291"/>
      <c r="S49" s="292"/>
      <c r="T49" s="293"/>
      <c r="U49" s="294"/>
      <c r="V49" s="295"/>
      <c r="W49" s="296"/>
      <c r="X49" s="297"/>
      <c r="Y49" s="298"/>
    </row>
    <row r="50" spans="1:25">
      <c r="A50" s="2311"/>
      <c r="B50" s="2314"/>
      <c r="C50" s="2323"/>
      <c r="D50" s="2320"/>
      <c r="E50" s="726" t="s">
        <v>185</v>
      </c>
      <c r="F50" s="319">
        <f ca="1">IF($E50&lt;=DATOSAÑO!$B385,IF(DATOSAÑO!$Y385=0," ",((DATOSAÑO!$I385*DATOSAÑO!$AH385)/DATOSAÑO!$Y385))," ")</f>
        <v>78.077679061025904</v>
      </c>
      <c r="G50" s="320">
        <f ca="1">IF($E50&lt;=DATOSAÑO!$B385,IF(DATOSAÑO!$Y385=0," ",((DATOSAÑO!$P385*DATOSAÑO!$AH385)/DATOSAÑO!$Y385))," ")</f>
        <v>208.78194916195801</v>
      </c>
      <c r="H50" s="320">
        <f ca="1">IF($E50&lt;=DATOSAÑO!$B385,IF(DATOSAÑO!$Y385=0," ",((DATOSAÑO!$Q385*DATOSAÑO!$AH385)/DATOSAÑO!$Y385))," ")</f>
        <v>3.2572283289261761E-2</v>
      </c>
      <c r="I50" s="320">
        <f ca="1">IF($E50&lt;=DATOSAÑO!$B385,IF(DATOSAÑO!$Y385=0," ",((DATOSAÑO!$T385*DATOSAÑO!$AH385)/DATOSAÑO!$Y385))," ")</f>
        <v>2.30779949372935</v>
      </c>
      <c r="J50" s="320">
        <f t="shared" ca="1" si="3"/>
        <v>0</v>
      </c>
      <c r="K50" s="287"/>
      <c r="L50" s="287"/>
      <c r="M50" s="288"/>
      <c r="N50" s="269"/>
      <c r="O50" s="270"/>
      <c r="P50" s="289"/>
      <c r="Q50" s="290"/>
      <c r="R50" s="291"/>
      <c r="S50" s="292"/>
      <c r="T50" s="293"/>
      <c r="U50" s="294"/>
      <c r="V50" s="295"/>
      <c r="W50" s="296"/>
      <c r="X50" s="297"/>
      <c r="Y50" s="298"/>
    </row>
    <row r="51" spans="1:25">
      <c r="A51" s="2311"/>
      <c r="B51" s="2314"/>
      <c r="C51" s="2323"/>
      <c r="D51" s="2320"/>
      <c r="E51" s="726" t="s">
        <v>186</v>
      </c>
      <c r="F51" s="319">
        <f ca="1">IF($E51&lt;=DATOSAÑO!$B386,IF(DATOSAÑO!$Y386=0," ",((DATOSAÑO!$I386*DATOSAÑO!$AH386)/DATOSAÑO!$Y386))," ")</f>
        <v>3.2406818181814536</v>
      </c>
      <c r="G51" s="320">
        <f ca="1">IF($E51&lt;=DATOSAÑO!$B386,IF(DATOSAÑO!$Y386=0," ",((DATOSAÑO!$P386*DATOSAÑO!$AH386)/DATOSAÑO!$Y386))," ")</f>
        <v>6.459318181817455</v>
      </c>
      <c r="H51" s="320">
        <f ca="1">IF($E51&lt;=DATOSAÑO!$B386,IF(DATOSAÑO!$Y386=0," ",((DATOSAÑO!$Q386*DATOSAÑO!$AH386)/DATOSAÑO!$Y386))," ")</f>
        <v>0</v>
      </c>
      <c r="I51" s="320">
        <f ca="1">IF($E51&lt;=DATOSAÑO!$B386,IF(DATOSAÑO!$Y386=0," ",((DATOSAÑO!$T386*DATOSAÑO!$AH386)/DATOSAÑO!$Y386))," ")</f>
        <v>0</v>
      </c>
      <c r="J51" s="320">
        <f t="shared" ca="1" si="3"/>
        <v>0</v>
      </c>
      <c r="K51" s="287"/>
      <c r="L51" s="287"/>
      <c r="M51" s="288"/>
      <c r="N51" s="269"/>
      <c r="O51" s="270"/>
      <c r="P51" s="289"/>
      <c r="Q51" s="290"/>
      <c r="R51" s="291"/>
      <c r="S51" s="292"/>
      <c r="T51" s="293"/>
      <c r="U51" s="294"/>
      <c r="V51" s="295"/>
      <c r="W51" s="296"/>
      <c r="X51" s="297"/>
      <c r="Y51" s="298"/>
    </row>
    <row r="52" spans="1:25" ht="15" thickBot="1">
      <c r="A52" s="2312"/>
      <c r="B52" s="2315"/>
      <c r="C52" s="2324"/>
      <c r="D52" s="2321"/>
      <c r="E52" s="727" t="s">
        <v>187</v>
      </c>
      <c r="F52" s="649" t="str">
        <f ca="1">IF($E52&lt;=DATOSAÑO!$B387,IF(DATOSAÑO!$Y387=0," ",((DATOSAÑO!$I387*DATOSAÑO!$AH387)/DATOSAÑO!$Y387))," ")</f>
        <v xml:space="preserve"> </v>
      </c>
      <c r="G52" s="340" t="str">
        <f ca="1">IF($E52&lt;=DATOSAÑO!$B387,IF(DATOSAÑO!$Y387=0," ",((DATOSAÑO!$P387*DATOSAÑO!$AH387)/DATOSAÑO!$Y387))," ")</f>
        <v xml:space="preserve"> </v>
      </c>
      <c r="H52" s="340" t="str">
        <f ca="1">IF($E52&lt;=DATOSAÑO!$B387,IF(DATOSAÑO!$Y387=0," ",((DATOSAÑO!$Q387*DATOSAÑO!$AH387)/DATOSAÑO!$Y387))," ")</f>
        <v xml:space="preserve"> </v>
      </c>
      <c r="I52" s="340" t="str">
        <f ca="1">IF($E52&lt;=DATOSAÑO!$B387,IF(DATOSAÑO!$Y387=0," ",((DATOSAÑO!$T387*DATOSAÑO!$AH387)/DATOSAÑO!$Y387))," ")</f>
        <v xml:space="preserve"> </v>
      </c>
      <c r="J52" s="340" t="str">
        <f t="shared" ca="1" si="3"/>
        <v xml:space="preserve"> </v>
      </c>
      <c r="K52" s="287"/>
      <c r="L52" s="299"/>
      <c r="M52" s="300"/>
      <c r="N52" s="273"/>
      <c r="O52" s="274"/>
      <c r="P52" s="301"/>
      <c r="Q52" s="302"/>
      <c r="R52" s="303"/>
      <c r="S52" s="304"/>
      <c r="T52" s="305"/>
      <c r="U52" s="306"/>
      <c r="V52" s="307"/>
      <c r="W52" s="308"/>
      <c r="X52" s="309"/>
      <c r="Y52" s="310"/>
    </row>
    <row r="53" spans="1:25">
      <c r="A53" s="2310" t="s">
        <v>250</v>
      </c>
      <c r="B53" s="2313" t="s">
        <v>251</v>
      </c>
      <c r="C53" s="2322" t="s">
        <v>256</v>
      </c>
      <c r="D53" s="2319">
        <v>2023</v>
      </c>
      <c r="E53" s="730" t="s">
        <v>175</v>
      </c>
      <c r="F53" s="317">
        <f ca="1">IF($E53&lt;=DATOSAÑO!$B376,IF(DATOSAÑO!$Y376=0," ",((DATOSAÑO!$I376*DATOSAÑO!$AI376)/DATOSAÑO!$Y376))," ")</f>
        <v>524.15781173469293</v>
      </c>
      <c r="G53" s="318">
        <f ca="1">IF($E53&lt;=DATOSAÑO!$B376,IF(DATOSAÑO!$Y376=0," ",((DATOSAÑO!$P376*DATOSAÑO!$AI376)/DATOSAÑO!$Y376))," ")</f>
        <v>741.01257909937624</v>
      </c>
      <c r="H53" s="318">
        <f ca="1">IF($E53&lt;=DATOSAÑO!$B376,IF(DATOSAÑO!$Y376=0," ",((DATOSAÑO!$Q376*DATOSAÑO!$AI376)/DATOSAÑO!$Y376))," ")</f>
        <v>0.17086500425278517</v>
      </c>
      <c r="I53" s="318">
        <f ca="1">IF($E53&lt;=DATOSAÑO!$B376,IF(DATOSAÑO!$Y376=0," ",((DATOSAÑO!$T376*DATOSAÑO!$AI376)/DATOSAÑO!$Y376))," ")</f>
        <v>0.23874416167999554</v>
      </c>
      <c r="J53" s="318">
        <f ca="1">IF($H53=" "," ",0)</f>
        <v>0</v>
      </c>
      <c r="K53" s="275"/>
      <c r="L53" s="275"/>
      <c r="M53" s="276"/>
      <c r="N53" s="265"/>
      <c r="O53" s="266"/>
      <c r="P53" s="277"/>
      <c r="Q53" s="278"/>
      <c r="R53" s="279"/>
      <c r="S53" s="280"/>
      <c r="T53" s="281"/>
      <c r="U53" s="282"/>
      <c r="V53" s="283"/>
      <c r="W53" s="284"/>
      <c r="X53" s="285"/>
      <c r="Y53" s="286"/>
    </row>
    <row r="54" spans="1:25">
      <c r="A54" s="2311"/>
      <c r="B54" s="2314"/>
      <c r="C54" s="2323"/>
      <c r="D54" s="2320"/>
      <c r="E54" s="726" t="s">
        <v>176</v>
      </c>
      <c r="F54" s="319">
        <f ca="1">IF($E54&lt;=DATOSAÑO!$B377,IF(DATOSAÑO!$Y377=0," ",((DATOSAÑO!$I377*DATOSAÑO!$AI377)/DATOSAÑO!$Y377))," ")</f>
        <v>728.67506618476284</v>
      </c>
      <c r="G54" s="320">
        <f ca="1">IF($E54&lt;=DATOSAÑO!$B377,IF(DATOSAÑO!$Y377=0," ",((DATOSAÑO!$P377*DATOSAÑO!$AI377)/DATOSAÑO!$Y377))," ")</f>
        <v>368.27308989804214</v>
      </c>
      <c r="H54" s="320">
        <f ca="1">IF($E54&lt;=DATOSAÑO!$B377,IF(DATOSAÑO!$Y377=0," ",((DATOSAÑO!$Q377*DATOSAÑO!$AI377)/DATOSAÑO!$Y377))," ")</f>
        <v>0.10336439628538842</v>
      </c>
      <c r="I54" s="320">
        <f ca="1">IF($E54&lt;=DATOSAÑO!$B377,IF(DATOSAÑO!$Y377=0," ",((DATOSAÑO!$T377*DATOSAÑO!$AI377)/DATOSAÑO!$Y377))," ")</f>
        <v>0.30847952091761216</v>
      </c>
      <c r="J54" s="320">
        <f t="shared" ref="J54:J64" ca="1" si="4">IF($H54=" "," ",0)</f>
        <v>0</v>
      </c>
      <c r="K54" s="287"/>
      <c r="L54" s="287"/>
      <c r="M54" s="288"/>
      <c r="N54" s="269"/>
      <c r="O54" s="270"/>
      <c r="P54" s="289"/>
      <c r="Q54" s="290"/>
      <c r="R54" s="291"/>
      <c r="S54" s="292"/>
      <c r="T54" s="293"/>
      <c r="U54" s="294"/>
      <c r="V54" s="295"/>
      <c r="W54" s="296"/>
      <c r="X54" s="297"/>
      <c r="Y54" s="298"/>
    </row>
    <row r="55" spans="1:25">
      <c r="A55" s="2311"/>
      <c r="B55" s="2314"/>
      <c r="C55" s="2323"/>
      <c r="D55" s="2320"/>
      <c r="E55" s="726" t="s">
        <v>177</v>
      </c>
      <c r="F55" s="319">
        <f ca="1">IF($E55&lt;=DATOSAÑO!$B378,IF(DATOSAÑO!$Y378=0," ",((DATOSAÑO!$I378*DATOSAÑO!$AI378)/DATOSAÑO!$Y378))," ")</f>
        <v>796.83780770291389</v>
      </c>
      <c r="G55" s="320">
        <f ca="1">IF($E55&lt;=DATOSAÑO!$B378,IF(DATOSAÑO!$Y378=0," ",((DATOSAÑO!$P378*DATOSAÑO!$AI378)/DATOSAÑO!$Y378))," ")</f>
        <v>415.55170623899539</v>
      </c>
      <c r="H55" s="320">
        <f ca="1">IF($E55&lt;=DATOSAÑO!$B378,IF(DATOSAÑO!$Y378=0," ",((DATOSAÑO!$Q378*DATOSAÑO!$AI378)/DATOSAÑO!$Y378))," ")</f>
        <v>5.7050465682207695E-2</v>
      </c>
      <c r="I55" s="320">
        <f ca="1">IF($E55&lt;=DATOSAÑO!$B378,IF(DATOSAÑO!$Y378=0," ",((DATOSAÑO!$T378*DATOSAÑO!$AI378)/DATOSAÑO!$Y378))," ")</f>
        <v>9.3435592402135045E-2</v>
      </c>
      <c r="J55" s="320">
        <f t="shared" ca="1" si="4"/>
        <v>0</v>
      </c>
      <c r="K55" s="287"/>
      <c r="L55" s="287"/>
      <c r="M55" s="288"/>
      <c r="N55" s="269"/>
      <c r="O55" s="270"/>
      <c r="P55" s="289"/>
      <c r="Q55" s="290"/>
      <c r="R55" s="291"/>
      <c r="S55" s="292"/>
      <c r="T55" s="293"/>
      <c r="U55" s="294"/>
      <c r="V55" s="295"/>
      <c r="W55" s="296"/>
      <c r="X55" s="297"/>
      <c r="Y55" s="298"/>
    </row>
    <row r="56" spans="1:25">
      <c r="A56" s="2311"/>
      <c r="B56" s="2314"/>
      <c r="C56" s="2323"/>
      <c r="D56" s="2320"/>
      <c r="E56" s="726" t="s">
        <v>178</v>
      </c>
      <c r="F56" s="319">
        <f ca="1">IF($E56&lt;=DATOSAÑO!$B379,IF(DATOSAÑO!$Y379=0," ",((DATOSAÑO!$I379*DATOSAÑO!$AI379)/DATOSAÑO!$Y379))," ")</f>
        <v>826.10015402575311</v>
      </c>
      <c r="G56" s="320">
        <f ca="1">IF($E56&lt;=DATOSAÑO!$B379,IF(DATOSAÑO!$Y379=0," ",((DATOSAÑO!$P379*DATOSAÑO!$AI379)/DATOSAÑO!$Y379))," ")</f>
        <v>332.49181535792229</v>
      </c>
      <c r="H56" s="320">
        <f ca="1">IF($E56&lt;=DATOSAÑO!$B379,IF(DATOSAÑO!$Y379=0," ",((DATOSAÑO!$Q379*DATOSAÑO!$AI379)/DATOSAÑO!$Y379))," ")</f>
        <v>0.45837803174061598</v>
      </c>
      <c r="I56" s="320">
        <f ca="1">IF($E56&lt;=DATOSAÑO!$B379,IF(DATOSAÑO!$Y379=0," ",((DATOSAÑO!$T379*DATOSAÑO!$AI379)/DATOSAÑO!$Y379))," ")</f>
        <v>2.3396525845836069</v>
      </c>
      <c r="J56" s="320">
        <f t="shared" ca="1" si="4"/>
        <v>0</v>
      </c>
      <c r="K56" s="287"/>
      <c r="L56" s="287"/>
      <c r="M56" s="288"/>
      <c r="N56" s="269"/>
      <c r="O56" s="270"/>
      <c r="P56" s="289"/>
      <c r="Q56" s="290"/>
      <c r="R56" s="291"/>
      <c r="S56" s="292"/>
      <c r="T56" s="293"/>
      <c r="U56" s="294"/>
      <c r="V56" s="295"/>
      <c r="W56" s="296"/>
      <c r="X56" s="297"/>
      <c r="Y56" s="298"/>
    </row>
    <row r="57" spans="1:25">
      <c r="A57" s="2311"/>
      <c r="B57" s="2314"/>
      <c r="C57" s="2323"/>
      <c r="D57" s="2320"/>
      <c r="E57" s="726" t="s">
        <v>179</v>
      </c>
      <c r="F57" s="319">
        <f ca="1">IF($E57&lt;=DATOSAÑO!$B380,IF(DATOSAÑO!$Y380=0," ",((DATOSAÑO!$I380*DATOSAÑO!$AI380)/DATOSAÑO!$Y380))," ")</f>
        <v>588.99186747743295</v>
      </c>
      <c r="G57" s="320">
        <f ca="1">IF($E57&lt;=DATOSAÑO!$B380,IF(DATOSAÑO!$Y380=0," ",((DATOSAÑO!$P380*DATOSAÑO!$AI380)/DATOSAÑO!$Y380))," ")</f>
        <v>539.14870419550004</v>
      </c>
      <c r="H57" s="320">
        <f ca="1">IF($E57&lt;=DATOSAÑO!$B380,IF(DATOSAÑO!$Y380=0," ",((DATOSAÑO!$Q380*DATOSAÑO!$AI380)/DATOSAÑO!$Y380))," ")</f>
        <v>0.12698292741254355</v>
      </c>
      <c r="I57" s="320">
        <f ca="1">IF($E57&lt;=DATOSAÑO!$B380,IF(DATOSAÑO!$Y380=0," ",((DATOSAÑO!$T380*DATOSAÑO!$AI380)/DATOSAÑO!$Y380))," ")</f>
        <v>0.2424453996637394</v>
      </c>
      <c r="J57" s="320">
        <f t="shared" ca="1" si="4"/>
        <v>0</v>
      </c>
      <c r="K57" s="287"/>
      <c r="L57" s="287"/>
      <c r="M57" s="288"/>
      <c r="N57" s="269"/>
      <c r="O57" s="270"/>
      <c r="P57" s="289"/>
      <c r="Q57" s="290"/>
      <c r="R57" s="291"/>
      <c r="S57" s="292"/>
      <c r="T57" s="293"/>
      <c r="U57" s="294"/>
      <c r="V57" s="295"/>
      <c r="W57" s="296"/>
      <c r="X57" s="297"/>
      <c r="Y57" s="298"/>
    </row>
    <row r="58" spans="1:25">
      <c r="A58" s="2311"/>
      <c r="B58" s="2314"/>
      <c r="C58" s="2323"/>
      <c r="D58" s="2320"/>
      <c r="E58" s="726" t="s">
        <v>181</v>
      </c>
      <c r="F58" s="319">
        <f ca="1">IF($E58&lt;=DATOSAÑO!$B381,IF(DATOSAÑO!$Y381=0," ",((DATOSAÑO!$I381*DATOSAÑO!$AI381)/DATOSAÑO!$Y381))," ")</f>
        <v>663.88786923990403</v>
      </c>
      <c r="G58" s="320">
        <f ca="1">IF($E58&lt;=DATOSAÑO!$B381,IF(DATOSAÑO!$Y381=0," ",((DATOSAÑO!$P381*DATOSAÑO!$AI381)/DATOSAÑO!$Y381))," ")</f>
        <v>433.31780884841811</v>
      </c>
      <c r="H58" s="320">
        <f ca="1">IF($E58&lt;=DATOSAÑO!$B381,IF(DATOSAÑO!$Y381=0," ",((DATOSAÑO!$Q381*DATOSAÑO!$AI381)/DATOSAÑO!$Y381))," ")</f>
        <v>6.5516960090006848E-2</v>
      </c>
      <c r="I58" s="320">
        <f ca="1">IF($E58&lt;=DATOSAÑO!$B381,IF(DATOSAÑO!$Y381=0," ",((DATOSAÑO!$T381*DATOSAÑO!$AI381)/DATOSAÑO!$Y381))," ")</f>
        <v>0.10880495157806576</v>
      </c>
      <c r="J58" s="320">
        <f t="shared" ca="1" si="4"/>
        <v>0</v>
      </c>
      <c r="K58" s="287"/>
      <c r="L58" s="287"/>
      <c r="M58" s="288"/>
      <c r="N58" s="269"/>
      <c r="O58" s="270"/>
      <c r="P58" s="289"/>
      <c r="Q58" s="290"/>
      <c r="R58" s="291"/>
      <c r="S58" s="292"/>
      <c r="T58" s="293"/>
      <c r="U58" s="294"/>
      <c r="V58" s="295"/>
      <c r="W58" s="296"/>
      <c r="X58" s="297"/>
      <c r="Y58" s="298"/>
    </row>
    <row r="59" spans="1:25">
      <c r="A59" s="2311"/>
      <c r="B59" s="2314"/>
      <c r="C59" s="2323"/>
      <c r="D59" s="2320"/>
      <c r="E59" s="726" t="s">
        <v>182</v>
      </c>
      <c r="F59" s="319">
        <f ca="1">IF($E59&lt;=DATOSAÑO!$B382,IF(DATOSAÑO!$Y382=0," ",((DATOSAÑO!$I382*DATOSAÑO!$AI382)/DATOSAÑO!$Y382))," ")</f>
        <v>600.39106718706773</v>
      </c>
      <c r="G59" s="320">
        <f ca="1">IF($E59&lt;=DATOSAÑO!$B382,IF(DATOSAÑO!$Y382=0," ",((DATOSAÑO!$P382*DATOSAÑO!$AI382)/DATOSAÑO!$Y382))," ")</f>
        <v>545.73032890407694</v>
      </c>
      <c r="H59" s="320">
        <f ca="1">IF($E59&lt;=DATOSAÑO!$B382,IF(DATOSAÑO!$Y382=0," ",((DATOSAÑO!$Q382*DATOSAÑO!$AI382)/DATOSAÑO!$Y382))," ")</f>
        <v>0.15386466271148025</v>
      </c>
      <c r="I59" s="320">
        <f ca="1">IF($E59&lt;=DATOSAÑO!$B382,IF(DATOSAÑO!$Y382=0," ",((DATOSAÑO!$T382*DATOSAÑO!$AI382)/DATOSAÑO!$Y382))," ")</f>
        <v>0.1447392461420868</v>
      </c>
      <c r="J59" s="320">
        <f t="shared" ca="1" si="4"/>
        <v>0</v>
      </c>
      <c r="K59" s="287"/>
      <c r="L59" s="287"/>
      <c r="M59" s="288"/>
      <c r="N59" s="269"/>
      <c r="O59" s="270"/>
      <c r="P59" s="289"/>
      <c r="Q59" s="290"/>
      <c r="R59" s="291"/>
      <c r="S59" s="292"/>
      <c r="T59" s="293"/>
      <c r="U59" s="294"/>
      <c r="V59" s="295"/>
      <c r="W59" s="296"/>
      <c r="X59" s="297"/>
      <c r="Y59" s="298"/>
    </row>
    <row r="60" spans="1:25">
      <c r="A60" s="2311"/>
      <c r="B60" s="2314"/>
      <c r="C60" s="2323"/>
      <c r="D60" s="2320"/>
      <c r="E60" s="726" t="s">
        <v>183</v>
      </c>
      <c r="F60" s="319">
        <f ca="1">IF($E60&lt;=DATOSAÑO!$B383,IF(DATOSAÑO!$Y383=0," ",((DATOSAÑO!$I383*DATOSAÑO!$AI383)/DATOSAÑO!$Y383))," ")</f>
        <v>525.04898599157275</v>
      </c>
      <c r="G60" s="320">
        <f ca="1">IF($E60&lt;=DATOSAÑO!$B383,IF(DATOSAÑO!$Y383=0," ",((DATOSAÑO!$P383*DATOSAÑO!$AI383)/DATOSAÑO!$Y383))," ")</f>
        <v>599.01455913475706</v>
      </c>
      <c r="H60" s="320">
        <f ca="1">IF($E60&lt;=DATOSAÑO!$B383,IF(DATOSAÑO!$Y383=0," ",((DATOSAÑO!$Q383*DATOSAÑO!$AI383)/DATOSAÑO!$Y383))," ")</f>
        <v>0.32544526737735358</v>
      </c>
      <c r="I60" s="320">
        <f ca="1">IF($E60&lt;=DATOSAÑO!$B383,IF(DATOSAÑO!$Y383=0," ",((DATOSAÑO!$T383*DATOSAÑO!$AI383)/DATOSAÑO!$Y383))," ")</f>
        <v>0.81100960630437113</v>
      </c>
      <c r="J60" s="320">
        <f t="shared" ca="1" si="4"/>
        <v>0</v>
      </c>
      <c r="K60" s="287"/>
      <c r="L60" s="287"/>
      <c r="M60" s="288"/>
      <c r="N60" s="269"/>
      <c r="O60" s="270"/>
      <c r="P60" s="289"/>
      <c r="Q60" s="290"/>
      <c r="R60" s="291"/>
      <c r="S60" s="292"/>
      <c r="T60" s="293"/>
      <c r="U60" s="294"/>
      <c r="V60" s="295"/>
      <c r="W60" s="296"/>
      <c r="X60" s="297"/>
      <c r="Y60" s="298"/>
    </row>
    <row r="61" spans="1:25">
      <c r="A61" s="2311"/>
      <c r="B61" s="2314"/>
      <c r="C61" s="2323"/>
      <c r="D61" s="2320"/>
      <c r="E61" s="726" t="s">
        <v>184</v>
      </c>
      <c r="F61" s="319">
        <f ca="1">IF($E61&lt;=DATOSAÑO!$B384,IF(DATOSAÑO!$Y384=0," ",((DATOSAÑO!$I384*DATOSAÑO!$AI384)/DATOSAÑO!$Y384))," ")</f>
        <v>322.76227164610276</v>
      </c>
      <c r="G61" s="320">
        <f ca="1">IF($E61&lt;=DATOSAÑO!$B384,IF(DATOSAÑO!$Y384=0," ",((DATOSAÑO!$P384*DATOSAÑO!$AI384)/DATOSAÑO!$Y384))," ")</f>
        <v>824.19343723024315</v>
      </c>
      <c r="H61" s="320">
        <f ca="1">IF($E61&lt;=DATOSAÑO!$B384,IF(DATOSAÑO!$Y384=0," ",((DATOSAÑO!$Q384*DATOSAÑO!$AI384)/DATOSAÑO!$Y384))," ")</f>
        <v>0.15977818317630446</v>
      </c>
      <c r="I61" s="320">
        <f ca="1">IF($E61&lt;=DATOSAÑO!$B384,IF(DATOSAÑO!$Y384=0," ",((DATOSAÑO!$T384*DATOSAÑO!$AI384)/DATOSAÑO!$Y384))," ")</f>
        <v>4.0845129404750686</v>
      </c>
      <c r="J61" s="320">
        <f t="shared" ca="1" si="4"/>
        <v>0</v>
      </c>
      <c r="K61" s="287"/>
      <c r="L61" s="287"/>
      <c r="M61" s="288"/>
      <c r="N61" s="269"/>
      <c r="O61" s="270"/>
      <c r="P61" s="289"/>
      <c r="Q61" s="290"/>
      <c r="R61" s="291"/>
      <c r="S61" s="292"/>
      <c r="T61" s="293"/>
      <c r="U61" s="294"/>
      <c r="V61" s="295"/>
      <c r="W61" s="296"/>
      <c r="X61" s="297"/>
      <c r="Y61" s="298"/>
    </row>
    <row r="62" spans="1:25">
      <c r="A62" s="2311"/>
      <c r="B62" s="2314"/>
      <c r="C62" s="2323"/>
      <c r="D62" s="2320"/>
      <c r="E62" s="726" t="s">
        <v>185</v>
      </c>
      <c r="F62" s="319">
        <f ca="1">IF($E62&lt;=DATOSAÑO!$B385,IF(DATOSAÑO!$Y385=0," ",((DATOSAÑO!$I385*DATOSAÑO!$AI385)/DATOSAÑO!$Y385))," ")</f>
        <v>320.46405617370999</v>
      </c>
      <c r="G62" s="320">
        <f ca="1">IF($E62&lt;=DATOSAÑO!$B385,IF(DATOSAÑO!$Y385=0," ",((DATOSAÑO!$P385*DATOSAÑO!$AI385)/DATOSAÑO!$Y385))," ")</f>
        <v>856.93006104855453</v>
      </c>
      <c r="H62" s="320">
        <f ca="1">IF($E62&lt;=DATOSAÑO!$B385,IF(DATOSAÑO!$Y385=0," ",((DATOSAÑO!$Q385*DATOSAÑO!$AI385)/DATOSAÑO!$Y385))," ")</f>
        <v>0.13369052650191343</v>
      </c>
      <c r="I62" s="320">
        <f ca="1">IF($E62&lt;=DATOSAÑO!$B385,IF(DATOSAÑO!$Y385=0," ",((DATOSAÑO!$T385*DATOSAÑO!$AI385)/DATOSAÑO!$Y385))," ")</f>
        <v>9.4721922512334533</v>
      </c>
      <c r="J62" s="320">
        <f t="shared" ca="1" si="4"/>
        <v>0</v>
      </c>
      <c r="K62" s="287"/>
      <c r="L62" s="287"/>
      <c r="M62" s="288"/>
      <c r="N62" s="269"/>
      <c r="O62" s="270"/>
      <c r="P62" s="289"/>
      <c r="Q62" s="290"/>
      <c r="R62" s="291"/>
      <c r="S62" s="292"/>
      <c r="T62" s="293"/>
      <c r="U62" s="294"/>
      <c r="V62" s="295"/>
      <c r="W62" s="296"/>
      <c r="X62" s="297"/>
      <c r="Y62" s="298"/>
    </row>
    <row r="63" spans="1:25">
      <c r="A63" s="2311"/>
      <c r="B63" s="2314"/>
      <c r="C63" s="2323"/>
      <c r="D63" s="2320"/>
      <c r="E63" s="726" t="s">
        <v>186</v>
      </c>
      <c r="F63" s="319">
        <f ca="1">IF($E63&lt;=DATOSAÑO!$B386,IF(DATOSAÑO!$Y386=0," ",((DATOSAÑO!$I386*DATOSAÑO!$AI386)/DATOSAÑO!$Y386))," ")</f>
        <v>12.929318181817209</v>
      </c>
      <c r="G63" s="320">
        <f ca="1">IF($E63&lt;=DATOSAÑO!$B386,IF(DATOSAÑO!$Y386=0," ",((DATOSAÑO!$P386*DATOSAÑO!$AI386)/DATOSAÑO!$Y386))," ")</f>
        <v>25.770681818179881</v>
      </c>
      <c r="H63" s="320">
        <f ca="1">IF($E63&lt;=DATOSAÑO!$B386,IF(DATOSAÑO!$Y386=0," ",((DATOSAÑO!$Q386*DATOSAÑO!$AI386)/DATOSAÑO!$Y386))," ")</f>
        <v>0</v>
      </c>
      <c r="I63" s="320">
        <f ca="1">IF($E63&lt;=DATOSAÑO!$B386,IF(DATOSAÑO!$Y386=0," ",((DATOSAÑO!$T386*DATOSAÑO!$AI386)/DATOSAÑO!$Y386))," ")</f>
        <v>0</v>
      </c>
      <c r="J63" s="320">
        <f t="shared" ca="1" si="4"/>
        <v>0</v>
      </c>
      <c r="K63" s="287"/>
      <c r="L63" s="287"/>
      <c r="M63" s="288"/>
      <c r="N63" s="269"/>
      <c r="O63" s="270"/>
      <c r="P63" s="289"/>
      <c r="Q63" s="290"/>
      <c r="R63" s="291"/>
      <c r="S63" s="292"/>
      <c r="T63" s="293"/>
      <c r="U63" s="294"/>
      <c r="V63" s="295"/>
      <c r="W63" s="296"/>
      <c r="X63" s="297"/>
      <c r="Y63" s="298"/>
    </row>
    <row r="64" spans="1:25" ht="15" thickBot="1">
      <c r="A64" s="2312"/>
      <c r="B64" s="2315"/>
      <c r="C64" s="2324"/>
      <c r="D64" s="2321"/>
      <c r="E64" s="727" t="s">
        <v>187</v>
      </c>
      <c r="F64" s="649" t="str">
        <f ca="1">IF($E64&lt;=DATOSAÑO!$B387,IF(DATOSAÑO!$Y387=0," ",((DATOSAÑO!$I387*DATOSAÑO!$AI387)/DATOSAÑO!$Y387))," ")</f>
        <v xml:space="preserve"> </v>
      </c>
      <c r="G64" s="340" t="str">
        <f ca="1">IF($E64&lt;=DATOSAÑO!$B387,IF(DATOSAÑO!$Y387=0," ",((DATOSAÑO!$P387*DATOSAÑO!$AI387)/DATOSAÑO!$Y387))," ")</f>
        <v xml:space="preserve"> </v>
      </c>
      <c r="H64" s="340" t="str">
        <f ca="1">IF($E64&lt;=DATOSAÑO!$B387,IF(DATOSAÑO!$Y387=0," ",((DATOSAÑO!$Q387*DATOSAÑO!$AI387)/DATOSAÑO!$Y387))," ")</f>
        <v xml:space="preserve"> </v>
      </c>
      <c r="I64" s="340" t="str">
        <f ca="1">IF($E64&lt;=DATOSAÑO!$B387,IF(DATOSAÑO!$Y387=0," ",((DATOSAÑO!$T387*DATOSAÑO!$AI387)/DATOSAÑO!$Y387))," ")</f>
        <v xml:space="preserve"> </v>
      </c>
      <c r="J64" s="340" t="str">
        <f t="shared" ca="1" si="4"/>
        <v xml:space="preserve"> </v>
      </c>
      <c r="K64" s="287"/>
      <c r="L64" s="299"/>
      <c r="M64" s="300"/>
      <c r="N64" s="273"/>
      <c r="O64" s="274"/>
      <c r="P64" s="301"/>
      <c r="Q64" s="302"/>
      <c r="R64" s="303"/>
      <c r="S64" s="304"/>
      <c r="T64" s="305"/>
      <c r="U64" s="306"/>
      <c r="V64" s="307"/>
      <c r="W64" s="308"/>
      <c r="X64" s="309"/>
      <c r="Y64" s="310"/>
    </row>
    <row r="65" spans="1:25">
      <c r="A65" s="2310" t="s">
        <v>250</v>
      </c>
      <c r="B65" s="2313" t="s">
        <v>251</v>
      </c>
      <c r="C65" s="2322" t="s">
        <v>257</v>
      </c>
      <c r="D65" s="2319">
        <v>2023</v>
      </c>
      <c r="E65" s="730" t="s">
        <v>175</v>
      </c>
      <c r="F65" s="317">
        <f ca="1">IF($E65&lt;=DATOSAÑO!$B376,IF(DATOSAÑO!$Y376=0," ",((DATOSAÑO!$I376*DATOSAÑO!$AS376)/DATOSAÑO!$Y376))," ")</f>
        <v>222.62563294438004</v>
      </c>
      <c r="G65" s="318">
        <f ca="1">IF($E65&lt;=DATOSAÑO!$B376,IF(DATOSAÑO!$Y376=0," ",((DATOSAÑO!$P376*DATOSAÑO!$AS376)/DATOSAÑO!$Y376))," ")</f>
        <v>314.73039368770549</v>
      </c>
      <c r="H65" s="318">
        <f ca="1">IF($E65&lt;=DATOSAÑO!$B376,IF(DATOSAÑO!$Y376=0," ",((DATOSAÑO!$Q376*DATOSAÑO!$AS376)/DATOSAÑO!$Y376))," ")</f>
        <v>7.257152114919585E-2</v>
      </c>
      <c r="I65" s="318">
        <f ca="1">IF($E65&lt;=DATOSAÑO!$B376,IF(DATOSAÑO!$Y376=0," ",((DATOSAÑO!$T376*DATOSAÑO!$AS376)/DATOSAÑO!$Y376))," ")</f>
        <v>0.10140184676420894</v>
      </c>
      <c r="J65" s="318">
        <f ca="1">IF($H65=" "," ",0)</f>
        <v>0</v>
      </c>
      <c r="K65" s="318"/>
      <c r="L65" s="275"/>
      <c r="M65" s="276"/>
      <c r="N65" s="265"/>
      <c r="O65" s="266"/>
      <c r="P65" s="277"/>
      <c r="Q65" s="278"/>
      <c r="R65" s="279"/>
      <c r="S65" s="280"/>
      <c r="T65" s="281"/>
      <c r="U65" s="282"/>
      <c r="V65" s="283"/>
      <c r="W65" s="284"/>
      <c r="X65" s="285"/>
      <c r="Y65" s="286"/>
    </row>
    <row r="66" spans="1:25">
      <c r="A66" s="2311"/>
      <c r="B66" s="2314"/>
      <c r="C66" s="2323"/>
      <c r="D66" s="2320"/>
      <c r="E66" s="726" t="s">
        <v>176</v>
      </c>
      <c r="F66" s="319">
        <f ca="1">IF($E66&lt;=DATOSAÑO!$B377,IF(DATOSAÑO!$Y377=0," ",((DATOSAÑO!$I377*DATOSAÑO!$AS377)/DATOSAÑO!$Y377))," ")</f>
        <v>317.07219518045287</v>
      </c>
      <c r="G66" s="320">
        <f ca="1">IF($E66&lt;=DATOSAÑO!$B377,IF(DATOSAÑO!$Y377=0," ",((DATOSAÑO!$P377*DATOSAÑO!$AS377)/DATOSAÑO!$Y377))," ")</f>
        <v>160.248597020407</v>
      </c>
      <c r="H66" s="320">
        <f ca="1">IF($E66&lt;=DATOSAÑO!$B377,IF(DATOSAÑO!$Y377=0," ",((DATOSAÑO!$Q377*DATOSAÑO!$AS377)/DATOSAÑO!$Y377))," ")</f>
        <v>4.4977490728906298E-2</v>
      </c>
      <c r="I66" s="320">
        <f ca="1">IF($E66&lt;=DATOSAÑO!$B377,IF(DATOSAÑO!$Y377=0," ",((DATOSAÑO!$T377*DATOSAÑO!$AS377)/DATOSAÑO!$Y377))," ")</f>
        <v>0.1342303084112404</v>
      </c>
      <c r="J66" s="320">
        <f t="shared" ref="J66:J76" ca="1" si="5">IF($H66=" "," ",0)</f>
        <v>0</v>
      </c>
      <c r="K66" s="320"/>
      <c r="L66" s="287"/>
      <c r="M66" s="288"/>
      <c r="N66" s="269"/>
      <c r="O66" s="270"/>
      <c r="P66" s="289"/>
      <c r="Q66" s="290"/>
      <c r="R66" s="291"/>
      <c r="S66" s="292"/>
      <c r="T66" s="293"/>
      <c r="U66" s="294"/>
      <c r="V66" s="295"/>
      <c r="W66" s="296"/>
      <c r="X66" s="297"/>
      <c r="Y66" s="298"/>
    </row>
    <row r="67" spans="1:25">
      <c r="A67" s="2311"/>
      <c r="B67" s="2314"/>
      <c r="C67" s="2323"/>
      <c r="D67" s="2320"/>
      <c r="E67" s="726" t="s">
        <v>177</v>
      </c>
      <c r="F67" s="319">
        <f ca="1">IF($E67&lt;=DATOSAÑO!$B378,IF(DATOSAÑO!$Y378=0," ",((DATOSAÑO!$I378*DATOSAÑO!$AS378)/DATOSAÑO!$Y378))," ")</f>
        <v>335.81087612465666</v>
      </c>
      <c r="G67" s="320">
        <f ca="1">IF($E67&lt;=DATOSAÑO!$B378,IF(DATOSAÑO!$Y378=0," ",((DATOSAÑO!$P378*DATOSAÑO!$AS378)/DATOSAÑO!$Y378))," ")</f>
        <v>175.12570462675686</v>
      </c>
      <c r="H67" s="320">
        <f ca="1">IF($E67&lt;=DATOSAÑO!$B378,IF(DATOSAÑO!$Y378=0," ",((DATOSAÑO!$Q378*DATOSAÑO!$AS378)/DATOSAÑO!$Y378))," ")</f>
        <v>2.404274330216594E-2</v>
      </c>
      <c r="I67" s="320">
        <f ca="1">IF($E67&lt;=DATOSAÑO!$B378,IF(DATOSAÑO!$Y378=0," ",((DATOSAÑO!$T378*DATOSAÑO!$AS378)/DATOSAÑO!$Y378))," ")</f>
        <v>3.9376505284354546E-2</v>
      </c>
      <c r="J67" s="320">
        <f t="shared" ca="1" si="5"/>
        <v>0</v>
      </c>
      <c r="K67" s="320"/>
      <c r="L67" s="287"/>
      <c r="M67" s="288"/>
      <c r="N67" s="269"/>
      <c r="O67" s="270"/>
      <c r="P67" s="289"/>
      <c r="Q67" s="290"/>
      <c r="R67" s="291"/>
      <c r="S67" s="292"/>
      <c r="T67" s="293"/>
      <c r="U67" s="294"/>
      <c r="V67" s="295"/>
      <c r="W67" s="296"/>
      <c r="X67" s="297"/>
      <c r="Y67" s="298"/>
    </row>
    <row r="68" spans="1:25">
      <c r="A68" s="2311"/>
      <c r="B68" s="2314"/>
      <c r="C68" s="2323"/>
      <c r="D68" s="2320"/>
      <c r="E68" s="726" t="s">
        <v>178</v>
      </c>
      <c r="F68" s="319">
        <f ca="1">IF($E68&lt;=DATOSAÑO!$B379,IF(DATOSAÑO!$Y379=0," ",((DATOSAÑO!$I379*DATOSAÑO!$AS379)/DATOSAÑO!$Y379))," ")</f>
        <v>314.47415519017238</v>
      </c>
      <c r="G68" s="320">
        <f ca="1">IF($E68&lt;=DATOSAÑO!$B379,IF(DATOSAÑO!$Y379=0," ",((DATOSAÑO!$P379*DATOSAÑO!$AS379)/DATOSAÑO!$Y379))," ")</f>
        <v>126.57070965643449</v>
      </c>
      <c r="H68" s="320">
        <f ca="1">IF($E68&lt;=DATOSAÑO!$B379,IF(DATOSAÑO!$Y379=0," ",((DATOSAÑO!$Q379*DATOSAÑO!$AS379)/DATOSAÑO!$Y379))," ")</f>
        <v>0.17449221330719003</v>
      </c>
      <c r="I68" s="320">
        <f ca="1">IF($E68&lt;=DATOSAÑO!$B379,IF(DATOSAÑO!$Y379=0," ",((DATOSAÑO!$T379*DATOSAÑO!$AS379)/DATOSAÑO!$Y379))," ")</f>
        <v>0.89064294007200551</v>
      </c>
      <c r="J68" s="320">
        <f t="shared" ca="1" si="5"/>
        <v>0</v>
      </c>
      <c r="K68" s="320"/>
      <c r="L68" s="287"/>
      <c r="M68" s="288"/>
      <c r="N68" s="269"/>
      <c r="O68" s="270"/>
      <c r="P68" s="289"/>
      <c r="Q68" s="290"/>
      <c r="R68" s="291"/>
      <c r="S68" s="292"/>
      <c r="T68" s="293"/>
      <c r="U68" s="294"/>
      <c r="V68" s="295"/>
      <c r="W68" s="296"/>
      <c r="X68" s="297"/>
      <c r="Y68" s="298"/>
    </row>
    <row r="69" spans="1:25">
      <c r="A69" s="2311"/>
      <c r="B69" s="2314"/>
      <c r="C69" s="2323"/>
      <c r="D69" s="2320"/>
      <c r="E69" s="726" t="s">
        <v>179</v>
      </c>
      <c r="F69" s="319">
        <f ca="1">IF($E69&lt;=DATOSAÑO!$B380,IF(DATOSAÑO!$Y380=0," ",((DATOSAÑO!$I380*DATOSAÑO!$AS380)/DATOSAÑO!$Y380))," ")</f>
        <v>235.0675201754234</v>
      </c>
      <c r="G69" s="320">
        <f ca="1">IF($E69&lt;=DATOSAÑO!$B380,IF(DATOSAÑO!$Y380=0," ",((DATOSAÑO!$P380*DATOSAÑO!$AS380)/DATOSAÑO!$Y380))," ")</f>
        <v>215.1750404361652</v>
      </c>
      <c r="H69" s="320">
        <f ca="1">IF($E69&lt;=DATOSAÑO!$B380,IF(DATOSAÑO!$Y380=0," ",((DATOSAÑO!$Q380*DATOSAÑO!$AS380)/DATOSAÑO!$Y380))," ")</f>
        <v>5.0679073005411371E-2</v>
      </c>
      <c r="I69" s="320">
        <f ca="1">IF($E69&lt;=DATOSAÑO!$B380,IF(DATOSAÑO!$Y380=0," ",((DATOSAÑO!$T380*DATOSAÑO!$AS380)/DATOSAÑO!$Y380))," ")</f>
        <v>9.6760315419937848E-2</v>
      </c>
      <c r="J69" s="320">
        <f t="shared" ca="1" si="5"/>
        <v>0</v>
      </c>
      <c r="K69" s="320"/>
      <c r="L69" s="287"/>
      <c r="M69" s="288"/>
      <c r="N69" s="269"/>
      <c r="O69" s="270"/>
      <c r="P69" s="289"/>
      <c r="Q69" s="290"/>
      <c r="R69" s="291"/>
      <c r="S69" s="292"/>
      <c r="T69" s="293"/>
      <c r="U69" s="294"/>
      <c r="V69" s="295"/>
      <c r="W69" s="296"/>
      <c r="X69" s="297"/>
      <c r="Y69" s="298"/>
    </row>
    <row r="70" spans="1:25">
      <c r="A70" s="2311"/>
      <c r="B70" s="2314"/>
      <c r="C70" s="2323"/>
      <c r="D70" s="2320"/>
      <c r="E70" s="726" t="s">
        <v>181</v>
      </c>
      <c r="F70" s="319">
        <f ca="1">IF($E70&lt;=DATOSAÑO!$B381,IF(DATOSAÑO!$Y381=0," ",((DATOSAÑO!$I381*DATOSAÑO!$AS381)/DATOSAÑO!$Y381))," ")</f>
        <v>260.64758751145501</v>
      </c>
      <c r="G70" s="320">
        <f ca="1">IF($E70&lt;=DATOSAÑO!$B381,IF(DATOSAÑO!$Y381=0," ",((DATOSAÑO!$P381*DATOSAÑO!$AS381)/DATOSAÑO!$Y381))," ")</f>
        <v>170.12397233798009</v>
      </c>
      <c r="H70" s="320">
        <f ca="1">IF($E70&lt;=DATOSAÑO!$B381,IF(DATOSAÑO!$Y381=0," ",((DATOSAÑO!$Q381*DATOSAÑO!$AS381)/DATOSAÑO!$Y381))," ")</f>
        <v>2.5722472694215841E-2</v>
      </c>
      <c r="I70" s="320">
        <f ca="1">IF($E70&lt;=DATOSAÑO!$B381,IF(DATOSAÑO!$Y381=0," ",((DATOSAÑO!$T381*DATOSAÑO!$AS381)/DATOSAÑO!$Y381))," ")</f>
        <v>4.2717677867187206E-2</v>
      </c>
      <c r="J70" s="320">
        <f t="shared" ca="1" si="5"/>
        <v>0</v>
      </c>
      <c r="K70" s="320"/>
      <c r="L70" s="287"/>
      <c r="M70" s="288"/>
      <c r="N70" s="269"/>
      <c r="O70" s="270"/>
      <c r="P70" s="289"/>
      <c r="Q70" s="290"/>
      <c r="R70" s="291"/>
      <c r="S70" s="292"/>
      <c r="T70" s="293"/>
      <c r="U70" s="294"/>
      <c r="V70" s="295"/>
      <c r="W70" s="296"/>
      <c r="X70" s="297"/>
      <c r="Y70" s="298"/>
    </row>
    <row r="71" spans="1:25">
      <c r="A71" s="2311"/>
      <c r="B71" s="2314"/>
      <c r="C71" s="2323"/>
      <c r="D71" s="2320"/>
      <c r="E71" s="726" t="s">
        <v>182</v>
      </c>
      <c r="F71" s="319">
        <f ca="1">IF($E71&lt;=DATOSAÑO!$B382,IF(DATOSAÑO!$Y382=0," ",((DATOSAÑO!$I382*DATOSAÑO!$AS382)/DATOSAÑO!$Y382))," ")</f>
        <v>233.92009391826574</v>
      </c>
      <c r="G71" s="320">
        <f ca="1">IF($E71&lt;=DATOSAÑO!$B382,IF(DATOSAÑO!$Y382=0," ",((DATOSAÑO!$P382*DATOSAÑO!$AS382)/DATOSAÑO!$Y382))," ")</f>
        <v>212.62356615228038</v>
      </c>
      <c r="H71" s="320">
        <f ca="1">IF($E71&lt;=DATOSAÑO!$B382,IF(DATOSAÑO!$Y382=0," ",((DATOSAÑO!$Q382*DATOSAÑO!$AS382)/DATOSAÑO!$Y382))," ")</f>
        <v>5.9947654652492466E-2</v>
      </c>
      <c r="I71" s="320">
        <f ca="1">IF($E71&lt;=DATOSAÑO!$B382,IF(DATOSAÑO!$Y382=0," ",((DATOSAÑO!$T382*DATOSAÑO!$AS382)/DATOSAÑO!$Y382))," ")</f>
        <v>5.6392274804892707E-2</v>
      </c>
      <c r="J71" s="320">
        <f t="shared" ca="1" si="5"/>
        <v>0</v>
      </c>
      <c r="K71" s="320"/>
      <c r="L71" s="287"/>
      <c r="M71" s="288"/>
      <c r="N71" s="269"/>
      <c r="O71" s="270"/>
      <c r="P71" s="289"/>
      <c r="Q71" s="290"/>
      <c r="R71" s="291"/>
      <c r="S71" s="292"/>
      <c r="T71" s="293"/>
      <c r="U71" s="294"/>
      <c r="V71" s="295"/>
      <c r="W71" s="296"/>
      <c r="X71" s="297"/>
      <c r="Y71" s="298"/>
    </row>
    <row r="72" spans="1:25">
      <c r="A72" s="2311"/>
      <c r="B72" s="2314"/>
      <c r="C72" s="2323"/>
      <c r="D72" s="2320"/>
      <c r="E72" s="726" t="s">
        <v>183</v>
      </c>
      <c r="F72" s="319">
        <f ca="1">IF($E72&lt;=DATOSAÑO!$B383,IF(DATOSAÑO!$Y383=0," ",((DATOSAÑO!$I383*DATOSAÑO!$AS383)/DATOSAÑO!$Y383))," ")</f>
        <v>190.75722135917755</v>
      </c>
      <c r="G72" s="320">
        <f ca="1">IF($E72&lt;=DATOSAÑO!$B383,IF(DATOSAÑO!$Y383=0," ",((DATOSAÑO!$P383*DATOSAÑO!$AS383)/DATOSAÑO!$Y383))," ")</f>
        <v>217.62988959676431</v>
      </c>
      <c r="H72" s="320">
        <f ca="1">IF($E72&lt;=DATOSAÑO!$B383,IF(DATOSAÑO!$Y383=0," ",((DATOSAÑO!$Q383*DATOSAÑO!$AS383)/DATOSAÑO!$Y383))," ")</f>
        <v>0.1182385578598089</v>
      </c>
      <c r="I72" s="320">
        <f ca="1">IF($E72&lt;=DATOSAÑO!$B383,IF(DATOSAÑO!$Y383=0," ",((DATOSAÑO!$T383*DATOSAÑO!$AS383)/DATOSAÑO!$Y383))," ")</f>
        <v>0.29465048618664602</v>
      </c>
      <c r="J72" s="320">
        <f t="shared" ca="1" si="5"/>
        <v>0</v>
      </c>
      <c r="K72" s="320"/>
      <c r="L72" s="287"/>
      <c r="M72" s="288"/>
      <c r="N72" s="269"/>
      <c r="O72" s="270"/>
      <c r="P72" s="289"/>
      <c r="Q72" s="290"/>
      <c r="R72" s="291"/>
      <c r="S72" s="292"/>
      <c r="T72" s="293"/>
      <c r="U72" s="294"/>
      <c r="V72" s="295"/>
      <c r="W72" s="296"/>
      <c r="X72" s="297"/>
      <c r="Y72" s="298"/>
    </row>
    <row r="73" spans="1:25">
      <c r="A73" s="2311"/>
      <c r="B73" s="2314"/>
      <c r="C73" s="2323"/>
      <c r="D73" s="2320"/>
      <c r="E73" s="726" t="s">
        <v>184</v>
      </c>
      <c r="F73" s="319">
        <f ca="1">IF($E73&lt;=DATOSAÑO!$B384,IF(DATOSAÑO!$Y384=0," ",((DATOSAÑO!$I384*DATOSAÑO!$AS384)/DATOSAÑO!$Y384))," ")</f>
        <v>127.06381298646448</v>
      </c>
      <c r="G73" s="320">
        <f ca="1">IF($E73&lt;=DATOSAÑO!$B384,IF(DATOSAÑO!$Y384=0," ",((DATOSAÑO!$P384*DATOSAÑO!$AS384)/DATOSAÑO!$Y384))," ")</f>
        <v>324.46531076507705</v>
      </c>
      <c r="H73" s="320">
        <f ca="1">IF($E73&lt;=DATOSAÑO!$B384,IF(DATOSAÑO!$Y384=0," ",((DATOSAÑO!$Q384*DATOSAÑO!$AS384)/DATOSAÑO!$Y384))," ")</f>
        <v>6.2900862244182801E-2</v>
      </c>
      <c r="I73" s="320">
        <f ca="1">IF($E73&lt;=DATOSAÑO!$B384,IF(DATOSAÑO!$Y384=0," ",((DATOSAÑO!$T384*DATOSAÑO!$AS384)/DATOSAÑO!$Y384))," ")</f>
        <v>1.6079753862259842</v>
      </c>
      <c r="J73" s="320">
        <f t="shared" ca="1" si="5"/>
        <v>0</v>
      </c>
      <c r="K73" s="320"/>
      <c r="L73" s="287"/>
      <c r="M73" s="288"/>
      <c r="N73" s="269"/>
      <c r="O73" s="270"/>
      <c r="P73" s="289"/>
      <c r="Q73" s="290"/>
      <c r="R73" s="291"/>
      <c r="S73" s="292"/>
      <c r="T73" s="293"/>
      <c r="U73" s="294"/>
      <c r="V73" s="295"/>
      <c r="W73" s="296"/>
      <c r="X73" s="297"/>
      <c r="Y73" s="298"/>
    </row>
    <row r="74" spans="1:25">
      <c r="A74" s="2311"/>
      <c r="B74" s="2314"/>
      <c r="C74" s="2323"/>
      <c r="D74" s="2320"/>
      <c r="E74" s="726" t="s">
        <v>185</v>
      </c>
      <c r="F74" s="319">
        <f ca="1">IF($E74&lt;=DATOSAÑO!$B385,IF(DATOSAÑO!$Y385=0," ",((DATOSAÑO!$I385*DATOSAÑO!$AS385)/DATOSAÑO!$Y385))," ")</f>
        <v>124.72990223441788</v>
      </c>
      <c r="G74" s="320">
        <f ca="1">IF($E74&lt;=DATOSAÑO!$B385,IF(DATOSAÑO!$Y385=0," ",((DATOSAÑO!$P385*DATOSAÑO!$AS385)/DATOSAÑO!$Y385))," ")</f>
        <v>333.53132957407939</v>
      </c>
      <c r="H74" s="320">
        <f ca="1">IF($E74&lt;=DATOSAÑO!$B385,IF(DATOSAÑO!$Y385=0," ",((DATOSAÑO!$Q385*DATOSAÑO!$AS385)/DATOSAÑO!$Y385))," ")</f>
        <v>5.203456044135131E-2</v>
      </c>
      <c r="I74" s="320">
        <f ca="1">IF($E74&lt;=DATOSAÑO!$B385,IF(DATOSAÑO!$Y385=0," ",((DATOSAÑO!$T385*DATOSAÑO!$AS385)/DATOSAÑO!$Y385))," ")</f>
        <v>3.6867336310613776</v>
      </c>
      <c r="J74" s="320">
        <f t="shared" ca="1" si="5"/>
        <v>0</v>
      </c>
      <c r="K74" s="320"/>
      <c r="L74" s="287"/>
      <c r="M74" s="288"/>
      <c r="N74" s="269"/>
      <c r="O74" s="270"/>
      <c r="P74" s="289"/>
      <c r="Q74" s="290"/>
      <c r="R74" s="291"/>
      <c r="S74" s="292"/>
      <c r="T74" s="293"/>
      <c r="U74" s="294"/>
      <c r="V74" s="295"/>
      <c r="W74" s="296"/>
      <c r="X74" s="297"/>
      <c r="Y74" s="298"/>
    </row>
    <row r="75" spans="1:25">
      <c r="A75" s="2311"/>
      <c r="B75" s="2314"/>
      <c r="C75" s="2323"/>
      <c r="D75" s="2320"/>
      <c r="E75" s="726" t="s">
        <v>186</v>
      </c>
      <c r="F75" s="319">
        <f ca="1">IF($E75&lt;=DATOSAÑO!$B386,IF(DATOSAÑO!$Y386=0," ",((DATOSAÑO!$I386*DATOSAÑO!$AS386)/DATOSAÑO!$Y386))," ")</f>
        <v>5.0113636363636367</v>
      </c>
      <c r="G75" s="320">
        <f ca="1">IF($E75&lt;=DATOSAÑO!$B386,IF(DATOSAÑO!$Y386=0," ",((DATOSAÑO!$P386*DATOSAÑO!$AS386)/DATOSAÑO!$Y386))," ")</f>
        <v>9.9886363636363633</v>
      </c>
      <c r="H75" s="320">
        <f ca="1">IF($E75&lt;=DATOSAÑO!$B386,IF(DATOSAÑO!$Y386=0," ",((DATOSAÑO!$Q386*DATOSAÑO!$AS386)/DATOSAÑO!$Y386))," ")</f>
        <v>0</v>
      </c>
      <c r="I75" s="320">
        <f ca="1">IF($E75&lt;=DATOSAÑO!$B386,IF(DATOSAÑO!$Y386=0," ",((DATOSAÑO!$T386*DATOSAÑO!$AS386)/DATOSAÑO!$Y386))," ")</f>
        <v>0</v>
      </c>
      <c r="J75" s="320">
        <f t="shared" ca="1" si="5"/>
        <v>0</v>
      </c>
      <c r="K75" s="320"/>
      <c r="L75" s="287"/>
      <c r="M75" s="288"/>
      <c r="N75" s="269"/>
      <c r="O75" s="270"/>
      <c r="P75" s="289"/>
      <c r="Q75" s="290"/>
      <c r="R75" s="291"/>
      <c r="S75" s="292"/>
      <c r="T75" s="293"/>
      <c r="U75" s="294"/>
      <c r="V75" s="295"/>
      <c r="W75" s="296"/>
      <c r="X75" s="297"/>
      <c r="Y75" s="298"/>
    </row>
    <row r="76" spans="1:25" ht="15" thickBot="1">
      <c r="A76" s="2312"/>
      <c r="B76" s="2315"/>
      <c r="C76" s="2324"/>
      <c r="D76" s="2321"/>
      <c r="E76" s="727" t="s">
        <v>187</v>
      </c>
      <c r="F76" s="649" t="str">
        <f ca="1">IF($E76&lt;=DATOSAÑO!$B387,IF(DATOSAÑO!$Y387=0," ",((DATOSAÑO!$I387*DATOSAÑO!$AS387)/DATOSAÑO!$Y387))," ")</f>
        <v xml:space="preserve"> </v>
      </c>
      <c r="G76" s="340" t="str">
        <f ca="1">IF($E76&lt;=DATOSAÑO!$B387,IF(DATOSAÑO!$Y387=0," ",((DATOSAÑO!$P387*DATOSAÑO!$AS387)/DATOSAÑO!$Y387))," ")</f>
        <v xml:space="preserve"> </v>
      </c>
      <c r="H76" s="340" t="str">
        <f ca="1">IF($E76&lt;=DATOSAÑO!$B387,IF(DATOSAÑO!$Y387=0," ",((DATOSAÑO!$Q387*DATOSAÑO!$AS387)/DATOSAÑO!$Y387))," ")</f>
        <v xml:space="preserve"> </v>
      </c>
      <c r="I76" s="340" t="str">
        <f ca="1">IF($E76&lt;=DATOSAÑO!$B387,IF(DATOSAÑO!$Y387=0," ",((DATOSAÑO!$T387*DATOSAÑO!$AS387)/DATOSAÑO!$Y387))," ")</f>
        <v xml:space="preserve"> </v>
      </c>
      <c r="J76" s="340" t="str">
        <f t="shared" ca="1" si="5"/>
        <v xml:space="preserve"> </v>
      </c>
      <c r="K76" s="320"/>
      <c r="L76" s="299"/>
      <c r="M76" s="300"/>
      <c r="N76" s="273"/>
      <c r="O76" s="274"/>
      <c r="P76" s="301"/>
      <c r="Q76" s="302"/>
      <c r="R76" s="303"/>
      <c r="S76" s="304"/>
      <c r="T76" s="305"/>
      <c r="U76" s="306"/>
      <c r="V76" s="307"/>
      <c r="W76" s="308"/>
      <c r="X76" s="309"/>
      <c r="Y76" s="310"/>
    </row>
    <row r="77" spans="1:25">
      <c r="A77" s="2310" t="s">
        <v>250</v>
      </c>
      <c r="B77" s="2313" t="s">
        <v>251</v>
      </c>
      <c r="C77" s="2322" t="s">
        <v>258</v>
      </c>
      <c r="D77" s="2319">
        <v>2023</v>
      </c>
      <c r="E77" s="730" t="s">
        <v>175</v>
      </c>
      <c r="F77" s="333">
        <f ca="1">IF($E77&lt;=DATOSAÑO!$B376,IF(DATOSAÑO!$Y376=0," ",((DATOSAÑO!$I376*DATOSAÑO!$AT376)/DATOSAÑO!$Y376))," ")</f>
        <v>27.165023840200099</v>
      </c>
      <c r="G77" s="334">
        <f ca="1">IF($E77&lt;=DATOSAÑO!$B376,IF(DATOSAÑO!$Y376=0," ",((DATOSAÑO!$P376*DATOSAÑO!$AT376)/DATOSAÑO!$Y376))," ")</f>
        <v>38.403747738689624</v>
      </c>
      <c r="H77" s="322">
        <f ca="1">IF($E77&lt;=DATOSAÑO!$B376,IF(DATOSAÑO!$Y376=0," ",((DATOSAÑO!$Q376*DATOSAÑO!$AT376)/DATOSAÑO!$Y376))," ")</f>
        <v>8.8552565850762571E-3</v>
      </c>
      <c r="I77" s="322">
        <f ca="1">IF($E77&lt;=DATOSAÑO!$B376,IF(DATOSAÑO!$Y376=0," ",((DATOSAÑO!$T376*DATOSAÑO!$AT376)/DATOSAÑO!$Y376))," ")</f>
        <v>1.2373164528984171E-2</v>
      </c>
      <c r="J77" s="318">
        <f ca="1">IF($H77=" "," ",0)</f>
        <v>0</v>
      </c>
      <c r="K77" s="322"/>
      <c r="L77" s="275"/>
      <c r="M77" s="276"/>
      <c r="N77" s="265"/>
      <c r="O77" s="266"/>
      <c r="P77" s="277"/>
      <c r="Q77" s="278"/>
      <c r="R77" s="279"/>
      <c r="S77" s="280"/>
      <c r="T77" s="281"/>
      <c r="U77" s="282"/>
      <c r="V77" s="283"/>
      <c r="W77" s="284"/>
      <c r="X77" s="285"/>
      <c r="Y77" s="286"/>
    </row>
    <row r="78" spans="1:25">
      <c r="A78" s="2311"/>
      <c r="B78" s="2314"/>
      <c r="C78" s="2323"/>
      <c r="D78" s="2320"/>
      <c r="E78" s="726" t="s">
        <v>176</v>
      </c>
      <c r="F78" s="332">
        <f ca="1">IF($E78&lt;=DATOSAÑO!$B377,IF(DATOSAÑO!$Y377=0," ",((DATOSAÑO!$I377*DATOSAÑO!$AT377)/DATOSAÑO!$Y377))," ")</f>
        <v>41.235986011949031</v>
      </c>
      <c r="G78" s="650">
        <f ca="1">IF($E78&lt;=DATOSAÑO!$B377,IF(DATOSAÑO!$Y377=0," ",((DATOSAÑO!$P377*DATOSAÑO!$AT377)/DATOSAÑO!$Y377))," ")</f>
        <v>20.840707591554015</v>
      </c>
      <c r="H78" s="324">
        <f ca="1">IF($E78&lt;=DATOSAÑO!$B377,IF(DATOSAÑO!$Y377=0," ",((DATOSAÑO!$Q377*DATOSAÑO!$AT377)/DATOSAÑO!$Y377))," ")</f>
        <v>5.8494286372042219E-3</v>
      </c>
      <c r="I78" s="324">
        <f ca="1">IF($E78&lt;=DATOSAÑO!$B377,IF(DATOSAÑO!$Y377=0," ",((DATOSAÑO!$T377*DATOSAÑO!$AT377)/DATOSAÑO!$Y377))," ")</f>
        <v>1.7456967858299127E-2</v>
      </c>
      <c r="J78" s="320">
        <f t="shared" ref="J78:J88" ca="1" si="6">IF($H78=" "," ",0)</f>
        <v>0</v>
      </c>
      <c r="K78" s="324"/>
      <c r="L78" s="287"/>
      <c r="M78" s="288"/>
      <c r="N78" s="269"/>
      <c r="O78" s="270"/>
      <c r="P78" s="289"/>
      <c r="Q78" s="290"/>
      <c r="R78" s="291"/>
      <c r="S78" s="292"/>
      <c r="T78" s="293"/>
      <c r="U78" s="294"/>
      <c r="V78" s="295"/>
      <c r="W78" s="296"/>
      <c r="X78" s="297"/>
      <c r="Y78" s="298"/>
    </row>
    <row r="79" spans="1:25">
      <c r="A79" s="2311"/>
      <c r="B79" s="2314"/>
      <c r="C79" s="2323"/>
      <c r="D79" s="2320"/>
      <c r="E79" s="726" t="s">
        <v>177</v>
      </c>
      <c r="F79" s="332">
        <f ca="1">IF($E79&lt;=DATOSAÑO!$B378,IF(DATOSAÑO!$Y378=0," ",((DATOSAÑO!$I378*DATOSAÑO!$AT378)/DATOSAÑO!$Y378))," ")</f>
        <v>46.658654021235066</v>
      </c>
      <c r="G79" s="650">
        <f ca="1">IF($E79&lt;=DATOSAÑO!$B378,IF(DATOSAÑO!$Y378=0," ",((DATOSAÑO!$P378*DATOSAÑO!$AT378)/DATOSAÑO!$Y378))," ")</f>
        <v>24.332534302348328</v>
      </c>
      <c r="H79" s="324">
        <f ca="1">IF($E79&lt;=DATOSAÑO!$B378,IF(DATOSAÑO!$Y378=0," ",((DATOSAÑO!$Q378*DATOSAÑO!$AT378)/DATOSAÑO!$Y378))," ")</f>
        <v>3.3405768580309532E-3</v>
      </c>
      <c r="I79" s="324">
        <f ca="1">IF($E79&lt;=DATOSAÑO!$B378,IF(DATOSAÑO!$Y378=0," ",((DATOSAÑO!$T378*DATOSAÑO!$AT378)/DATOSAÑO!$Y378))," ")</f>
        <v>5.471099560057203E-3</v>
      </c>
      <c r="J79" s="320">
        <f t="shared" ca="1" si="6"/>
        <v>0</v>
      </c>
      <c r="K79" s="324"/>
      <c r="L79" s="287"/>
      <c r="M79" s="288"/>
      <c r="N79" s="269"/>
      <c r="O79" s="270"/>
      <c r="P79" s="289"/>
      <c r="Q79" s="290"/>
      <c r="R79" s="291"/>
      <c r="S79" s="292"/>
      <c r="T79" s="293"/>
      <c r="U79" s="294"/>
      <c r="V79" s="295"/>
      <c r="W79" s="296"/>
      <c r="X79" s="297"/>
      <c r="Y79" s="298"/>
    </row>
    <row r="80" spans="1:25">
      <c r="A80" s="2311"/>
      <c r="B80" s="2314"/>
      <c r="C80" s="2323"/>
      <c r="D80" s="2320"/>
      <c r="E80" s="726" t="s">
        <v>178</v>
      </c>
      <c r="F80" s="332">
        <f ca="1">IF($E80&lt;=DATOSAÑO!$B379,IF(DATOSAÑO!$Y379=0," ",((DATOSAÑO!$I379*DATOSAÑO!$AT379)/DATOSAÑO!$Y379))," ")</f>
        <v>50.552301936997956</v>
      </c>
      <c r="G80" s="650">
        <f ca="1">IF($E80&lt;=DATOSAÑO!$B379,IF(DATOSAÑO!$Y379=0," ",((DATOSAÑO!$P379*DATOSAÑO!$AT379)/DATOSAÑO!$Y379))," ")</f>
        <v>20.346475617568132</v>
      </c>
      <c r="H80" s="324">
        <f ca="1">IF($E80&lt;=DATOSAÑO!$B379,IF(DATOSAÑO!$Y379=0," ",((DATOSAÑO!$Q379*DATOSAÑO!$AT379)/DATOSAÑO!$Y379))," ")</f>
        <v>2.8049945940472588E-2</v>
      </c>
      <c r="I80" s="324">
        <f ca="1">IF($E80&lt;=DATOSAÑO!$B379,IF(DATOSAÑO!$Y379=0," ",((DATOSAÑO!$T379*DATOSAÑO!$AT379)/DATOSAÑO!$Y379))," ")</f>
        <v>0.14317249949315591</v>
      </c>
      <c r="J80" s="320">
        <f t="shared" ca="1" si="6"/>
        <v>0</v>
      </c>
      <c r="K80" s="324"/>
      <c r="L80" s="287"/>
      <c r="M80" s="288"/>
      <c r="N80" s="269"/>
      <c r="O80" s="270"/>
      <c r="P80" s="289"/>
      <c r="Q80" s="290"/>
      <c r="R80" s="291"/>
      <c r="S80" s="292"/>
      <c r="T80" s="293"/>
      <c r="U80" s="294"/>
      <c r="V80" s="295"/>
      <c r="W80" s="296"/>
      <c r="X80" s="297"/>
      <c r="Y80" s="298"/>
    </row>
    <row r="81" spans="1:25">
      <c r="A81" s="2311"/>
      <c r="B81" s="2314"/>
      <c r="C81" s="2323"/>
      <c r="D81" s="2320"/>
      <c r="E81" s="726" t="s">
        <v>179</v>
      </c>
      <c r="F81" s="332">
        <f ca="1">IF($E81&lt;=DATOSAÑO!$B380,IF(DATOSAÑO!$Y380=0," ",((DATOSAÑO!$I380*DATOSAÑO!$AT380)/DATOSAÑO!$Y380))," ")</f>
        <v>41.388250960078821</v>
      </c>
      <c r="G81" s="650">
        <f ca="1">IF($E81&lt;=DATOSAÑO!$B380,IF(DATOSAÑO!$Y380=0," ",((DATOSAÑO!$P380*DATOSAÑO!$AT380)/DATOSAÑO!$Y380))," ")</f>
        <v>37.885789441565805</v>
      </c>
      <c r="H81" s="324">
        <f ca="1">IF($E81&lt;=DATOSAÑO!$B380,IF(DATOSAÑO!$Y380=0," ",((DATOSAÑO!$Q380*DATOSAÑO!$AT380)/DATOSAÑO!$Y380))," ")</f>
        <v>8.9230455590241075E-3</v>
      </c>
      <c r="I81" s="324">
        <f ca="1">IF($E81&lt;=DATOSAÑO!$B380,IF(DATOSAÑO!$Y380=0," ",((DATOSAÑO!$T380*DATOSAÑO!$AT380)/DATOSAÑO!$Y380))," ")</f>
        <v>1.7036552793802236E-2</v>
      </c>
      <c r="J81" s="320">
        <f t="shared" ca="1" si="6"/>
        <v>0</v>
      </c>
      <c r="K81" s="324"/>
      <c r="L81" s="287"/>
      <c r="M81" s="288"/>
      <c r="N81" s="269"/>
      <c r="O81" s="270"/>
      <c r="P81" s="289"/>
      <c r="Q81" s="290"/>
      <c r="R81" s="291"/>
      <c r="S81" s="292"/>
      <c r="T81" s="293"/>
      <c r="U81" s="294"/>
      <c r="V81" s="295"/>
      <c r="W81" s="296"/>
      <c r="X81" s="297"/>
      <c r="Y81" s="298"/>
    </row>
    <row r="82" spans="1:25">
      <c r="A82" s="2311"/>
      <c r="B82" s="2314"/>
      <c r="C82" s="2323"/>
      <c r="D82" s="2320"/>
      <c r="E82" s="726" t="s">
        <v>181</v>
      </c>
      <c r="F82" s="332">
        <f ca="1">IF($E82&lt;=DATOSAÑO!$B381,IF(DATOSAÑO!$Y381=0," ",((DATOSAÑO!$I381*DATOSAÑO!$AT381)/DATOSAÑO!$Y381))," ")</f>
        <v>58.72495896327419</v>
      </c>
      <c r="G82" s="650">
        <f ca="1">IF($E82&lt;=DATOSAÑO!$B381,IF(DATOSAÑO!$Y381=0," ",((DATOSAÑO!$P381*DATOSAÑO!$AT381)/DATOSAÑO!$Y381))," ")</f>
        <v>38.329621193129249</v>
      </c>
      <c r="H82" s="324">
        <f ca="1">IF($E82&lt;=DATOSAÑO!$B381,IF(DATOSAÑO!$Y381=0," ",((DATOSAÑO!$Q381*DATOSAÑO!$AT381)/DATOSAÑO!$Y381))," ")</f>
        <v>5.7953774589813911E-3</v>
      </c>
      <c r="I82" s="324">
        <f ca="1">IF($E82&lt;=DATOSAÑO!$B381,IF(DATOSAÑO!$Y381=0," ",((DATOSAÑO!$T381*DATOSAÑO!$AT381)/DATOSAÑO!$Y381))," ")</f>
        <v>9.6244661372386058E-3</v>
      </c>
      <c r="J82" s="320">
        <f t="shared" ca="1" si="6"/>
        <v>0</v>
      </c>
      <c r="K82" s="324"/>
      <c r="L82" s="287"/>
      <c r="M82" s="288"/>
      <c r="N82" s="269"/>
      <c r="O82" s="270"/>
      <c r="P82" s="289"/>
      <c r="Q82" s="290"/>
      <c r="R82" s="291"/>
      <c r="S82" s="292"/>
      <c r="T82" s="293"/>
      <c r="U82" s="294"/>
      <c r="V82" s="295"/>
      <c r="W82" s="296"/>
      <c r="X82" s="297"/>
      <c r="Y82" s="298"/>
    </row>
    <row r="83" spans="1:25">
      <c r="A83" s="2311"/>
      <c r="B83" s="2314"/>
      <c r="C83" s="2323"/>
      <c r="D83" s="2320"/>
      <c r="E83" s="726" t="s">
        <v>182</v>
      </c>
      <c r="F83" s="332">
        <f ca="1">IF($E83&lt;=DATOSAÑO!$B382,IF(DATOSAÑO!$Y382=0," ",((DATOSAÑO!$I382*DATOSAÑO!$AT382)/DATOSAÑO!$Y382))," ")</f>
        <v>52.596147029533078</v>
      </c>
      <c r="G83" s="650">
        <f ca="1">IF($E83&lt;=DATOSAÑO!$B382,IF(DATOSAÑO!$Y382=0," ",((DATOSAÑO!$P382*DATOSAÑO!$AT382)/DATOSAÑO!$Y382))," ")</f>
        <v>47.807694328288513</v>
      </c>
      <c r="H83" s="324">
        <f ca="1">IF($E83&lt;=DATOSAÑO!$B382,IF(DATOSAÑO!$Y382=0," ",((DATOSAÑO!$Q382*DATOSAÑO!$AT382)/DATOSAÑO!$Y382))," ")</f>
        <v>1.3479028694644183E-2</v>
      </c>
      <c r="I83" s="324">
        <f ca="1">IF($E83&lt;=DATOSAÑO!$B382,IF(DATOSAÑO!$Y382=0," ",((DATOSAÑO!$T382*DATOSAÑO!$AT382)/DATOSAÑO!$Y382))," ")</f>
        <v>1.267961348375796E-2</v>
      </c>
      <c r="J83" s="320">
        <f t="shared" ca="1" si="6"/>
        <v>0</v>
      </c>
      <c r="K83" s="324"/>
      <c r="L83" s="287"/>
      <c r="M83" s="288"/>
      <c r="N83" s="269"/>
      <c r="O83" s="270"/>
      <c r="P83" s="289"/>
      <c r="Q83" s="290"/>
      <c r="R83" s="291"/>
      <c r="S83" s="292"/>
      <c r="T83" s="293"/>
      <c r="U83" s="294"/>
      <c r="V83" s="295"/>
      <c r="W83" s="296"/>
      <c r="X83" s="297"/>
      <c r="Y83" s="298"/>
    </row>
    <row r="84" spans="1:25">
      <c r="A84" s="2311"/>
      <c r="B84" s="2314"/>
      <c r="C84" s="2323"/>
      <c r="D84" s="2320"/>
      <c r="E84" s="726" t="s">
        <v>183</v>
      </c>
      <c r="F84" s="332">
        <f ca="1">IF($E84&lt;=DATOSAÑO!$B383,IF(DATOSAÑO!$Y383=0," ",((DATOSAÑO!$I383*DATOSAÑO!$AT383)/DATOSAÑO!$Y383))," ")</f>
        <v>56.975187690695314</v>
      </c>
      <c r="G84" s="650">
        <f ca="1">IF($E84&lt;=DATOSAÑO!$B383,IF(DATOSAÑO!$Y383=0," ",((DATOSAÑO!$P383*DATOSAÑO!$AT383)/DATOSAÑO!$Y383))," ")</f>
        <v>65.001490997469858</v>
      </c>
      <c r="H84" s="324">
        <f ca="1">IF($E84&lt;=DATOSAÑO!$B383,IF(DATOSAÑO!$Y383=0," ",((DATOSAÑO!$Q383*DATOSAÑO!$AT383)/DATOSAÑO!$Y383))," ")</f>
        <v>3.5315381395995785E-2</v>
      </c>
      <c r="I84" s="324">
        <f ca="1">IF($E84&lt;=DATOSAÑO!$B383,IF(DATOSAÑO!$Y383=0," ",((DATOSAÑO!$T383*DATOSAÑO!$AT383)/DATOSAÑO!$Y383))," ")</f>
        <v>8.8005930438822155E-2</v>
      </c>
      <c r="J84" s="320">
        <f t="shared" ca="1" si="6"/>
        <v>0</v>
      </c>
      <c r="K84" s="324"/>
      <c r="L84" s="287"/>
      <c r="M84" s="288"/>
      <c r="N84" s="269"/>
      <c r="O84" s="270"/>
      <c r="P84" s="289"/>
      <c r="Q84" s="290"/>
      <c r="R84" s="291"/>
      <c r="S84" s="292"/>
      <c r="T84" s="293"/>
      <c r="U84" s="294"/>
      <c r="V84" s="295"/>
      <c r="W84" s="296"/>
      <c r="X84" s="297"/>
      <c r="Y84" s="298"/>
    </row>
    <row r="85" spans="1:25">
      <c r="A85" s="2311"/>
      <c r="B85" s="2314"/>
      <c r="C85" s="2323"/>
      <c r="D85" s="2320"/>
      <c r="E85" s="726" t="s">
        <v>184</v>
      </c>
      <c r="F85" s="332">
        <f ca="1">IF($E85&lt;=DATOSAÑO!$B384,IF(DATOSAÑO!$Y384=0," ",((DATOSAÑO!$I384*DATOSAÑO!$AT384)/DATOSAÑO!$Y384))," ")</f>
        <v>26.747325152048553</v>
      </c>
      <c r="G85" s="650">
        <f ca="1">IF($E85&lt;=DATOSAÑO!$B384,IF(DATOSAÑO!$Y384=0," ",((DATOSAÑO!$P384*DATOSAÑO!$AT384)/DATOSAÑO!$Y384))," ")</f>
        <v>68.300950236071415</v>
      </c>
      <c r="H85" s="324">
        <f ca="1">IF($E85&lt;=DATOSAÑO!$B384,IF(DATOSAÑO!$Y384=0," ",((DATOSAÑO!$Q384*DATOSAÑO!$AT384)/DATOSAÑO!$Y384))," ")</f>
        <v>1.3240825812212901E-2</v>
      </c>
      <c r="I85" s="324">
        <f ca="1">IF($E85&lt;=DATOSAÑO!$B384,IF(DATOSAÑO!$Y384=0," ",((DATOSAÑO!$T384*DATOSAÑO!$AT384)/DATOSAÑO!$Y384))," ")</f>
        <v>0.33848378606786195</v>
      </c>
      <c r="J85" s="320">
        <f t="shared" ca="1" si="6"/>
        <v>0</v>
      </c>
      <c r="K85" s="324"/>
      <c r="L85" s="287"/>
      <c r="M85" s="288"/>
      <c r="N85" s="269"/>
      <c r="O85" s="270"/>
      <c r="P85" s="289"/>
      <c r="Q85" s="290"/>
      <c r="R85" s="291"/>
      <c r="S85" s="292"/>
      <c r="T85" s="293"/>
      <c r="U85" s="294"/>
      <c r="V85" s="295"/>
      <c r="W85" s="296"/>
      <c r="X85" s="297"/>
      <c r="Y85" s="298"/>
    </row>
    <row r="86" spans="1:25">
      <c r="A86" s="2311"/>
      <c r="B86" s="2314"/>
      <c r="C86" s="2323"/>
      <c r="D86" s="2320"/>
      <c r="E86" s="726" t="s">
        <v>185</v>
      </c>
      <c r="F86" s="332">
        <f ca="1">IF($E86&lt;=DATOSAÑO!$B385,IF(DATOSAÑO!$Y385=0," ",((DATOSAÑO!$I385*DATOSAÑO!$AT385)/DATOSAÑO!$Y385))," ")</f>
        <v>26.592847121407274</v>
      </c>
      <c r="G86" s="650">
        <f ca="1">IF($E86&lt;=DATOSAÑO!$B385,IF(DATOSAÑO!$Y385=0," ",((DATOSAÑO!$P385*DATOSAÑO!$AT385)/DATOSAÑO!$Y385))," ")</f>
        <v>71.110034552049385</v>
      </c>
      <c r="H86" s="324">
        <f ca="1">IF($E86&lt;=DATOSAÑO!$B385,IF(DATOSAÑO!$Y385=0," ",((DATOSAÑO!$Q385*DATOSAÑO!$AT385)/DATOSAÑO!$Y385))," ")</f>
        <v>1.1093948492366027E-2</v>
      </c>
      <c r="I86" s="324">
        <f ca="1">IF($E86&lt;=DATOSAÑO!$B385,IF(DATOSAÑO!$Y385=0," ",((DATOSAÑO!$T385*DATOSAÑO!$AT385)/DATOSAÑO!$Y385))," ")</f>
        <v>0.7860243780509647</v>
      </c>
      <c r="J86" s="320">
        <f t="shared" ca="1" si="6"/>
        <v>0</v>
      </c>
      <c r="K86" s="324"/>
      <c r="L86" s="287"/>
      <c r="M86" s="288"/>
      <c r="N86" s="269"/>
      <c r="O86" s="270"/>
      <c r="P86" s="289"/>
      <c r="Q86" s="290"/>
      <c r="R86" s="291"/>
      <c r="S86" s="292"/>
      <c r="T86" s="293"/>
      <c r="U86" s="294"/>
      <c r="V86" s="295"/>
      <c r="W86" s="296"/>
      <c r="X86" s="297"/>
      <c r="Y86" s="298"/>
    </row>
    <row r="87" spans="1:25">
      <c r="A87" s="2311"/>
      <c r="B87" s="2314"/>
      <c r="C87" s="2323"/>
      <c r="D87" s="2320"/>
      <c r="E87" s="726" t="s">
        <v>186</v>
      </c>
      <c r="F87" s="332">
        <f ca="1">IF($E87&lt;=DATOSAÑO!$B386,IF(DATOSAÑO!$Y386=0," ",((DATOSAÑO!$I386*DATOSAÑO!$AT386)/DATOSAÑO!$Y386))," ")</f>
        <v>1.1693181818181819</v>
      </c>
      <c r="G87" s="650">
        <f ca="1">IF($E87&lt;=DATOSAÑO!$B386,IF(DATOSAÑO!$Y386=0," ",((DATOSAÑO!$P386*DATOSAÑO!$AT386)/DATOSAÑO!$Y386))," ")</f>
        <v>2.3306818181818181</v>
      </c>
      <c r="H87" s="324">
        <f ca="1">IF($E87&lt;=DATOSAÑO!$B386,IF(DATOSAÑO!$Y386=0," ",((DATOSAÑO!$Q386*DATOSAÑO!$AT386)/DATOSAÑO!$Y386))," ")</f>
        <v>0</v>
      </c>
      <c r="I87" s="324">
        <f ca="1">IF($E87&lt;=DATOSAÑO!$B386,IF(DATOSAÑO!$Y386=0," ",((DATOSAÑO!$T386*DATOSAÑO!$AT386)/DATOSAÑO!$Y386))," ")</f>
        <v>0</v>
      </c>
      <c r="J87" s="320">
        <f t="shared" ca="1" si="6"/>
        <v>0</v>
      </c>
      <c r="K87" s="324"/>
      <c r="L87" s="287"/>
      <c r="M87" s="288"/>
      <c r="N87" s="269"/>
      <c r="O87" s="270"/>
      <c r="P87" s="289"/>
      <c r="Q87" s="290"/>
      <c r="R87" s="291"/>
      <c r="S87" s="292"/>
      <c r="T87" s="293"/>
      <c r="U87" s="294"/>
      <c r="V87" s="295"/>
      <c r="W87" s="296"/>
      <c r="X87" s="297"/>
      <c r="Y87" s="298"/>
    </row>
    <row r="88" spans="1:25" ht="15" thickBot="1">
      <c r="A88" s="2312"/>
      <c r="B88" s="2315"/>
      <c r="C88" s="2324"/>
      <c r="D88" s="2321"/>
      <c r="E88" s="727" t="s">
        <v>187</v>
      </c>
      <c r="F88" s="341" t="str">
        <f ca="1">IF($E88&lt;=DATOSAÑO!$B387,IF(DATOSAÑO!$Y387=0," ",((DATOSAÑO!$I387*DATOSAÑO!$AT387)/DATOSAÑO!$Y387))," ")</f>
        <v xml:space="preserve"> </v>
      </c>
      <c r="G88" s="651" t="str">
        <f ca="1">IF($E88&lt;=DATOSAÑO!$B387,IF(DATOSAÑO!$Y387=0," ",((DATOSAÑO!$P387*DATOSAÑO!$AT387)/DATOSAÑO!$Y387))," ")</f>
        <v xml:space="preserve"> </v>
      </c>
      <c r="H88" s="329" t="str">
        <f ca="1">IF($E88&lt;=DATOSAÑO!$B387,IF(DATOSAÑO!$Y387=0," ",((DATOSAÑO!$Q387*DATOSAÑO!$AT387)/DATOSAÑO!$Y387))," ")</f>
        <v xml:space="preserve"> </v>
      </c>
      <c r="I88" s="329" t="str">
        <f ca="1">IF($E88&lt;=DATOSAÑO!$B387,IF(DATOSAÑO!$Y387=0," ",((DATOSAÑO!$T387*DATOSAÑO!$AT387)/DATOSAÑO!$Y387))," ")</f>
        <v xml:space="preserve"> </v>
      </c>
      <c r="J88" s="340" t="str">
        <f t="shared" ca="1" si="6"/>
        <v xml:space="preserve"> </v>
      </c>
      <c r="K88" s="324"/>
      <c r="L88" s="299"/>
      <c r="M88" s="300"/>
      <c r="N88" s="273"/>
      <c r="O88" s="274"/>
      <c r="P88" s="301"/>
      <c r="Q88" s="302"/>
      <c r="R88" s="303"/>
      <c r="S88" s="304"/>
      <c r="T88" s="305"/>
      <c r="U88" s="306"/>
      <c r="V88" s="307"/>
      <c r="W88" s="308"/>
      <c r="X88" s="309"/>
      <c r="Y88" s="310"/>
    </row>
    <row r="89" spans="1:25">
      <c r="A89" s="2310" t="s">
        <v>250</v>
      </c>
      <c r="B89" s="2313" t="s">
        <v>251</v>
      </c>
      <c r="C89" s="2322" t="s">
        <v>259</v>
      </c>
      <c r="D89" s="2319">
        <v>2023</v>
      </c>
      <c r="E89" s="730" t="s">
        <v>175</v>
      </c>
      <c r="F89" s="321">
        <f ca="1">IF($E89&lt;=DATOSAÑO!$B376,IF(DATOSAÑO!$Y376=0," ",((DATOSAÑO!$I376*DATOSAÑO!$AN376)/DATOSAÑO!$Y376))," ")</f>
        <v>36.091088694657415</v>
      </c>
      <c r="G89" s="322">
        <f ca="1">IF($E89&lt;=DATOSAÑO!$B376,IF(DATOSAÑO!$Y376=0," ",((DATOSAÑO!$P376*DATOSAÑO!$AN376)/DATOSAÑO!$Y376))," ")</f>
        <v>51.022707507923421</v>
      </c>
      <c r="H89" s="322">
        <f ca="1">IF($E89&lt;=DATOSAÑO!$B376,IF(DATOSAÑO!$Y376=0," ",((DATOSAÑO!$Q376*DATOSAÑO!$AN376)/DATOSAÑO!$Y376))," ")</f>
        <v>1.1764975900848762E-2</v>
      </c>
      <c r="I89" s="322">
        <f ca="1">IF($E89&lt;=DATOSAÑO!$B376,IF(DATOSAÑO!$Y376=0," ",((DATOSAÑO!$T376*DATOSAÑO!$AN376)/DATOSAÑO!$Y376))," ")</f>
        <v>1.6438821518290535E-2</v>
      </c>
      <c r="J89" s="318">
        <f ca="1">IF($H89=" "," ",0)</f>
        <v>0</v>
      </c>
      <c r="K89" s="322"/>
      <c r="L89" s="275"/>
      <c r="M89" s="276"/>
      <c r="N89" s="265"/>
      <c r="O89" s="266"/>
      <c r="P89" s="277"/>
      <c r="Q89" s="278"/>
      <c r="R89" s="279"/>
      <c r="S89" s="280"/>
      <c r="T89" s="281"/>
      <c r="U89" s="282"/>
      <c r="V89" s="283"/>
      <c r="W89" s="284"/>
      <c r="X89" s="285"/>
      <c r="Y89" s="286"/>
    </row>
    <row r="90" spans="1:25">
      <c r="A90" s="2311"/>
      <c r="B90" s="2314"/>
      <c r="C90" s="2323"/>
      <c r="D90" s="2320"/>
      <c r="E90" s="726" t="s">
        <v>176</v>
      </c>
      <c r="F90" s="323">
        <f ca="1">IF($E90&lt;=DATOSAÑO!$B377,IF(DATOSAÑO!$Y377=0," ",((DATOSAÑO!$I377*DATOSAÑO!$AN377)/DATOSAÑO!$Y377))," ")</f>
        <v>57.430240872810806</v>
      </c>
      <c r="G90" s="324">
        <f ca="1">IF($E90&lt;=DATOSAÑO!$B377,IF(DATOSAÑO!$Y377=0," ",((DATOSAÑO!$P377*DATOSAÑO!$AN377)/DATOSAÑO!$Y377))," ")</f>
        <v>29.025299809635683</v>
      </c>
      <c r="H90" s="324">
        <f ca="1">IF($E90&lt;=DATOSAÑO!$B377,IF(DATOSAÑO!$Y377=0," ",((DATOSAÑO!$Q377*DATOSAÑO!$AN377)/DATOSAÑO!$Y377))," ")</f>
        <v>8.1466245406527117E-3</v>
      </c>
      <c r="I90" s="324">
        <f ca="1">IF($E90&lt;=DATOSAÑO!$B377,IF(DATOSAÑO!$Y377=0," ",((DATOSAÑO!$T377*DATOSAÑO!$AN377)/DATOSAÑO!$Y377))," ")</f>
        <v>2.4312693013343295E-2</v>
      </c>
      <c r="J90" s="320">
        <f t="shared" ref="J90:J100" ca="1" si="7">IF($H90=" "," ",0)</f>
        <v>0</v>
      </c>
      <c r="K90" s="324"/>
      <c r="L90" s="287"/>
      <c r="M90" s="288"/>
      <c r="N90" s="269"/>
      <c r="O90" s="270"/>
      <c r="P90" s="289"/>
      <c r="Q90" s="290"/>
      <c r="R90" s="291"/>
      <c r="S90" s="292"/>
      <c r="T90" s="293"/>
      <c r="U90" s="294"/>
      <c r="V90" s="295"/>
      <c r="W90" s="296"/>
      <c r="X90" s="297"/>
      <c r="Y90" s="298"/>
    </row>
    <row r="91" spans="1:25">
      <c r="A91" s="2311"/>
      <c r="B91" s="2314"/>
      <c r="C91" s="2323"/>
      <c r="D91" s="2320"/>
      <c r="E91" s="726" t="s">
        <v>177</v>
      </c>
      <c r="F91" s="323">
        <f ca="1">IF($E91&lt;=DATOSAÑO!$B378,IF(DATOSAÑO!$Y378=0," ",((DATOSAÑO!$I378*DATOSAÑO!$AN378)/DATOSAÑO!$Y378))," ")</f>
        <v>54.260728805989373</v>
      </c>
      <c r="G91" s="324">
        <f ca="1">IF($E91&lt;=DATOSAÑO!$B378,IF(DATOSAÑO!$Y378=0," ",((DATOSAÑO!$P378*DATOSAÑO!$AN378)/DATOSAÑO!$Y378))," ")</f>
        <v>28.29702383487675</v>
      </c>
      <c r="H91" s="324">
        <f ca="1">IF($E91&lt;=DATOSAÑO!$B378,IF(DATOSAÑO!$Y378=0," ",((DATOSAÑO!$Q378*DATOSAÑO!$AN378)/DATOSAÑO!$Y378))," ")</f>
        <v>3.8848556339984965E-3</v>
      </c>
      <c r="I91" s="324">
        <f ca="1">IF($E91&lt;=DATOSAÑO!$B378,IF(DATOSAÑO!$Y378=0," ",((DATOSAÑO!$T378*DATOSAÑO!$AN378)/DATOSAÑO!$Y378))," ")</f>
        <v>6.3625034996449645E-3</v>
      </c>
      <c r="J91" s="320">
        <f t="shared" ca="1" si="7"/>
        <v>0</v>
      </c>
      <c r="K91" s="324"/>
      <c r="L91" s="287"/>
      <c r="M91" s="288"/>
      <c r="N91" s="269"/>
      <c r="O91" s="270"/>
      <c r="P91" s="289"/>
      <c r="Q91" s="290"/>
      <c r="R91" s="291"/>
      <c r="S91" s="292"/>
      <c r="T91" s="293"/>
      <c r="U91" s="294"/>
      <c r="V91" s="295"/>
      <c r="W91" s="296"/>
      <c r="X91" s="297"/>
      <c r="Y91" s="298"/>
    </row>
    <row r="92" spans="1:25">
      <c r="A92" s="2311"/>
      <c r="B92" s="2314"/>
      <c r="C92" s="2323"/>
      <c r="D92" s="2320"/>
      <c r="E92" s="726" t="s">
        <v>178</v>
      </c>
      <c r="F92" s="323">
        <f ca="1">IF($E92&lt;=DATOSAÑO!$B379,IF(DATOSAÑO!$Y379=0," ",((DATOSAÑO!$I379*DATOSAÑO!$AN379)/DATOSAÑO!$Y379))," ")</f>
        <v>69.772419435796962</v>
      </c>
      <c r="G92" s="324">
        <f ca="1">IF($E92&lt;=DATOSAÑO!$B379,IF(DATOSAÑO!$Y379=0," ",((DATOSAÑO!$P379*DATOSAÑO!$AN379)/DATOSAÑO!$Y379))," ")</f>
        <v>28.082258896902843</v>
      </c>
      <c r="H92" s="324">
        <f ca="1">IF($E92&lt;=DATOSAÑO!$B379,IF(DATOSAÑO!$Y379=0," ",((DATOSAÑO!$Q379*DATOSAÑO!$AN379)/DATOSAÑO!$Y379))," ")</f>
        <v>3.8714608797620793E-2</v>
      </c>
      <c r="I92" s="324">
        <f ca="1">IF($E92&lt;=DATOSAÑO!$B379,IF(DATOSAÑO!$Y379=0," ",((DATOSAÑO!$T379*DATOSAÑO!$AN379)/DATOSAÑO!$Y379))," ")</f>
        <v>0.19760705850264845</v>
      </c>
      <c r="J92" s="320">
        <f t="shared" ca="1" si="7"/>
        <v>0</v>
      </c>
      <c r="K92" s="324"/>
      <c r="L92" s="287"/>
      <c r="M92" s="288"/>
      <c r="N92" s="269"/>
      <c r="O92" s="270"/>
      <c r="P92" s="289"/>
      <c r="Q92" s="290"/>
      <c r="R92" s="291"/>
      <c r="S92" s="292"/>
      <c r="T92" s="293"/>
      <c r="U92" s="294"/>
      <c r="V92" s="295"/>
      <c r="W92" s="296"/>
      <c r="X92" s="297"/>
      <c r="Y92" s="298"/>
    </row>
    <row r="93" spans="1:25">
      <c r="A93" s="2311"/>
      <c r="B93" s="2314"/>
      <c r="C93" s="2323"/>
      <c r="D93" s="2320"/>
      <c r="E93" s="726" t="s">
        <v>179</v>
      </c>
      <c r="F93" s="323">
        <f ca="1">IF($E93&lt;=DATOSAÑO!$B380,IF(DATOSAÑO!$Y380=0," ",((DATOSAÑO!$I380*DATOSAÑO!$AN380)/DATOSAÑO!$Y380))," ")</f>
        <v>51.807860571266133</v>
      </c>
      <c r="G93" s="324">
        <f ca="1">IF($E93&lt;=DATOSAÑO!$B380,IF(DATOSAÑO!$Y380=0," ",((DATOSAÑO!$P380*DATOSAÑO!$AN380)/DATOSAÑO!$Y380))," ")</f>
        <v>47.423644427840053</v>
      </c>
      <c r="H93" s="324">
        <f ca="1">IF($E93&lt;=DATOSAÑO!$B380,IF(DATOSAÑO!$Y380=0," ",((DATOSAÑO!$Q380*DATOSAÑO!$AN380)/DATOSAÑO!$Y380))," ")</f>
        <v>1.1169447596103395E-2</v>
      </c>
      <c r="I93" s="324">
        <f ca="1">IF($E93&lt;=DATOSAÑO!$B380,IF(DATOSAÑO!$Y380=0," ",((DATOSAÑO!$T380*DATOSAÑO!$AN380)/DATOSAÑO!$Y380))," ")</f>
        <v>2.132555329790722E-2</v>
      </c>
      <c r="J93" s="320">
        <f t="shared" ca="1" si="7"/>
        <v>0</v>
      </c>
      <c r="K93" s="324"/>
      <c r="L93" s="287"/>
      <c r="M93" s="288"/>
      <c r="N93" s="269"/>
      <c r="O93" s="270"/>
      <c r="P93" s="289"/>
      <c r="Q93" s="290"/>
      <c r="R93" s="291"/>
      <c r="S93" s="292"/>
      <c r="T93" s="293"/>
      <c r="U93" s="294"/>
      <c r="V93" s="295"/>
      <c r="W93" s="296"/>
      <c r="X93" s="297"/>
      <c r="Y93" s="298"/>
    </row>
    <row r="94" spans="1:25">
      <c r="A94" s="2311"/>
      <c r="B94" s="2314"/>
      <c r="C94" s="2323"/>
      <c r="D94" s="2320"/>
      <c r="E94" s="726" t="s">
        <v>181</v>
      </c>
      <c r="F94" s="323">
        <f ca="1">IF($E94&lt;=DATOSAÑO!$B381,IF(DATOSAÑO!$Y381=0," ",((DATOSAÑO!$I381*DATOSAÑO!$AN381)/DATOSAÑO!$Y381))," ")</f>
        <v>63.13462441998962</v>
      </c>
      <c r="G94" s="324">
        <f ca="1">IF($E94&lt;=DATOSAÑO!$B381,IF(DATOSAÑO!$Y381=0," ",((DATOSAÑO!$P381*DATOSAÑO!$AN381)/DATOSAÑO!$Y381))," ")</f>
        <v>41.207797858182907</v>
      </c>
      <c r="H94" s="324">
        <f ca="1">IF($E94&lt;=DATOSAÑO!$B381,IF(DATOSAÑO!$Y381=0," ",((DATOSAÑO!$Q381*DATOSAÑO!$AN381)/DATOSAÑO!$Y381))," ")</f>
        <v>6.2305531703084893E-3</v>
      </c>
      <c r="I94" s="324">
        <f ca="1">IF($E94&lt;=DATOSAÑO!$B381,IF(DATOSAÑO!$Y381=0," ",((DATOSAÑO!$T381*DATOSAÑO!$AN381)/DATOSAÑO!$Y381))," ")</f>
        <v>1.0347168657835516E-2</v>
      </c>
      <c r="J94" s="320">
        <f t="shared" ca="1" si="7"/>
        <v>0</v>
      </c>
      <c r="K94" s="324"/>
      <c r="L94" s="287"/>
      <c r="M94" s="288"/>
      <c r="N94" s="269"/>
      <c r="O94" s="270"/>
      <c r="P94" s="289"/>
      <c r="Q94" s="290"/>
      <c r="R94" s="291"/>
      <c r="S94" s="292"/>
      <c r="T94" s="293"/>
      <c r="U94" s="294"/>
      <c r="V94" s="295"/>
      <c r="W94" s="296"/>
      <c r="X94" s="297"/>
      <c r="Y94" s="298"/>
    </row>
    <row r="95" spans="1:25">
      <c r="A95" s="2311"/>
      <c r="B95" s="2314"/>
      <c r="C95" s="2323"/>
      <c r="D95" s="2320"/>
      <c r="E95" s="726" t="s">
        <v>182</v>
      </c>
      <c r="F95" s="323">
        <f ca="1">IF($E95&lt;=DATOSAÑO!$B382,IF(DATOSAÑO!$Y382=0," ",((DATOSAÑO!$I382*DATOSAÑO!$AN382)/DATOSAÑO!$Y382))," ")</f>
        <v>47.803681217850809</v>
      </c>
      <c r="G95" s="324">
        <f ca="1">IF($E95&lt;=DATOSAÑO!$B382,IF(DATOSAÑO!$Y382=0," ",((DATOSAÑO!$P382*DATOSAÑO!$AN382)/DATOSAÑO!$Y382))," ")</f>
        <v>43.451543668145511</v>
      </c>
      <c r="H95" s="324">
        <f ca="1">IF($E95&lt;=DATOSAÑO!$B382,IF(DATOSAÑO!$Y382=0," ",((DATOSAÑO!$Q382*DATOSAÑO!$AN382)/DATOSAÑO!$Y382))," ")</f>
        <v>1.225084397309995E-2</v>
      </c>
      <c r="I95" s="324">
        <f ca="1">IF($E95&lt;=DATOSAÑO!$B382,IF(DATOSAÑO!$Y382=0," ",((DATOSAÑO!$T382*DATOSAÑO!$AN382)/DATOSAÑO!$Y382))," ")</f>
        <v>1.1524270030707402E-2</v>
      </c>
      <c r="J95" s="320">
        <f t="shared" ca="1" si="7"/>
        <v>0</v>
      </c>
      <c r="K95" s="324"/>
      <c r="L95" s="287"/>
      <c r="M95" s="288"/>
      <c r="N95" s="269"/>
      <c r="O95" s="270"/>
      <c r="P95" s="289"/>
      <c r="Q95" s="290"/>
      <c r="R95" s="291"/>
      <c r="S95" s="292"/>
      <c r="T95" s="293"/>
      <c r="U95" s="294"/>
      <c r="V95" s="295"/>
      <c r="W95" s="296"/>
      <c r="X95" s="297"/>
      <c r="Y95" s="298"/>
    </row>
    <row r="96" spans="1:25">
      <c r="A96" s="2311"/>
      <c r="B96" s="2314"/>
      <c r="C96" s="2323"/>
      <c r="D96" s="2320"/>
      <c r="E96" s="726" t="s">
        <v>183</v>
      </c>
      <c r="F96" s="323">
        <f ca="1">IF($E96&lt;=DATOSAÑO!$B383,IF(DATOSAÑO!$Y383=0," ",((DATOSAÑO!$I383*DATOSAÑO!$AN383)/DATOSAÑO!$Y383))," ")</f>
        <v>45.241845393540828</v>
      </c>
      <c r="G96" s="324">
        <f ca="1">IF($E96&lt;=DATOSAÑO!$B383,IF(DATOSAÑO!$Y383=0," ",((DATOSAÑO!$P383*DATOSAÑO!$AN383)/DATOSAÑO!$Y383))," ")</f>
        <v>51.6152298088424</v>
      </c>
      <c r="H96" s="324">
        <f ca="1">IF($E96&lt;=DATOSAÑO!$B383,IF(DATOSAÑO!$Y383=0," ",((DATOSAÑO!$Q383*DATOSAÑO!$AN383)/DATOSAÑO!$Y383))," ")</f>
        <v>2.8042611001218291E-2</v>
      </c>
      <c r="I96" s="324">
        <f ca="1">IF($E96&lt;=DATOSAÑO!$B383,IF(DATOSAÑO!$Y383=0," ",((DATOSAÑO!$T383*DATOSAÑO!$AN383)/DATOSAÑO!$Y383))," ")</f>
        <v>6.9882186615036507E-2</v>
      </c>
      <c r="J96" s="320">
        <f t="shared" ca="1" si="7"/>
        <v>0</v>
      </c>
      <c r="K96" s="324"/>
      <c r="L96" s="287"/>
      <c r="M96" s="288"/>
      <c r="N96" s="269"/>
      <c r="O96" s="270"/>
      <c r="P96" s="289"/>
      <c r="Q96" s="290"/>
      <c r="R96" s="291"/>
      <c r="S96" s="292"/>
      <c r="T96" s="293"/>
      <c r="U96" s="294"/>
      <c r="V96" s="295"/>
      <c r="W96" s="296"/>
      <c r="X96" s="297"/>
      <c r="Y96" s="298"/>
    </row>
    <row r="97" spans="1:25">
      <c r="A97" s="2311"/>
      <c r="B97" s="2314"/>
      <c r="C97" s="2323"/>
      <c r="D97" s="2320"/>
      <c r="E97" s="726" t="s">
        <v>184</v>
      </c>
      <c r="F97" s="323">
        <f ca="1">IF($E97&lt;=DATOSAÑO!$B384,IF(DATOSAÑO!$Y384=0," ",((DATOSAÑO!$I384*DATOSAÑO!$AN384)/DATOSAÑO!$Y384))," ")</f>
        <v>34.236015454052961</v>
      </c>
      <c r="G97" s="324">
        <f ca="1">IF($E97&lt;=DATOSAÑO!$B384,IF(DATOSAÑO!$Y384=0," ",((DATOSAÑO!$P384*DATOSAÑO!$AN384)/DATOSAÑO!$Y384))," ")</f>
        <v>87.423784416422336</v>
      </c>
      <c r="H97" s="324">
        <f ca="1">IF($E97&lt;=DATOSAÑO!$B384,IF(DATOSAÑO!$Y384=0," ",((DATOSAÑO!$Q384*DATOSAÑO!$AN384)/DATOSAÑO!$Y384))," ")</f>
        <v>1.6947979454185736E-2</v>
      </c>
      <c r="I97" s="324">
        <f ca="1">IF($E97&lt;=DATOSAÑO!$B384,IF(DATOSAÑO!$Y384=0," ",((DATOSAÑO!$T384*DATOSAÑO!$AN384)/DATOSAÑO!$Y384))," ")</f>
        <v>0.43325215007071977</v>
      </c>
      <c r="J97" s="320">
        <f t="shared" ca="1" si="7"/>
        <v>0</v>
      </c>
      <c r="K97" s="324"/>
      <c r="L97" s="287"/>
      <c r="M97" s="288"/>
      <c r="N97" s="269"/>
      <c r="O97" s="270"/>
      <c r="P97" s="289"/>
      <c r="Q97" s="290"/>
      <c r="R97" s="291"/>
      <c r="S97" s="292"/>
      <c r="T97" s="293"/>
      <c r="U97" s="294"/>
      <c r="V97" s="295"/>
      <c r="W97" s="296"/>
      <c r="X97" s="297"/>
      <c r="Y97" s="298"/>
    </row>
    <row r="98" spans="1:25">
      <c r="A98" s="2311"/>
      <c r="B98" s="2314"/>
      <c r="C98" s="2323"/>
      <c r="D98" s="2320"/>
      <c r="E98" s="726" t="s">
        <v>185</v>
      </c>
      <c r="F98" s="323">
        <f ca="1">IF($E98&lt;=DATOSAÑO!$B385,IF(DATOSAÑO!$Y385=0," ",((DATOSAÑO!$I385*DATOSAÑO!$AN385)/DATOSAÑO!$Y385))," ")</f>
        <v>29.216764696767104</v>
      </c>
      <c r="G98" s="324">
        <f ca="1">IF($E98&lt;=DATOSAÑO!$B385,IF(DATOSAÑO!$Y385=0," ",((DATOSAÑO!$P385*DATOSAÑO!$AN385)/DATOSAÑO!$Y385))," ")</f>
        <v>78.126465270946156</v>
      </c>
      <c r="H98" s="324">
        <f ca="1">IF($E98&lt;=DATOSAÑO!$B385,IF(DATOSAÑO!$Y385=0," ",((DATOSAÑO!$Q385*DATOSAÑO!$AN385)/DATOSAÑO!$Y385))," ")</f>
        <v>1.2188588953252316E-2</v>
      </c>
      <c r="I98" s="324">
        <f ca="1">IF($E98&lt;=DATOSAÑO!$B385,IF(DATOSAÑO!$Y385=0," ",((DATOSAÑO!$T385*DATOSAÑO!$AN385)/DATOSAÑO!$Y385))," ")</f>
        <v>0.86358144333296383</v>
      </c>
      <c r="J98" s="320">
        <f t="shared" ca="1" si="7"/>
        <v>0</v>
      </c>
      <c r="K98" s="324"/>
      <c r="L98" s="287"/>
      <c r="M98" s="288"/>
      <c r="N98" s="269"/>
      <c r="O98" s="270"/>
      <c r="P98" s="289"/>
      <c r="Q98" s="290"/>
      <c r="R98" s="291"/>
      <c r="S98" s="292"/>
      <c r="T98" s="293"/>
      <c r="U98" s="294"/>
      <c r="V98" s="295"/>
      <c r="W98" s="296"/>
      <c r="X98" s="297"/>
      <c r="Y98" s="298"/>
    </row>
    <row r="99" spans="1:25">
      <c r="A99" s="2311"/>
      <c r="B99" s="2314"/>
      <c r="C99" s="2323"/>
      <c r="D99" s="2320"/>
      <c r="E99" s="726" t="s">
        <v>186</v>
      </c>
      <c r="F99" s="323">
        <f ca="1">IF($E99&lt;=DATOSAÑO!$B386,IF(DATOSAÑO!$Y386=0," ",((DATOSAÑO!$I386*DATOSAÑO!$AN386)/DATOSAÑO!$Y386))," ")</f>
        <v>1.1285590909093006</v>
      </c>
      <c r="G99" s="324">
        <f ca="1">IF($E99&lt;=DATOSAÑO!$B386,IF(DATOSAÑO!$Y386=0," ",((DATOSAÑO!$P386*DATOSAÑO!$AN386)/DATOSAÑO!$Y386))," ")</f>
        <v>2.249440909091327</v>
      </c>
      <c r="H99" s="324">
        <f ca="1">IF($E99&lt;=DATOSAÑO!$B386,IF(DATOSAÑO!$Y386=0," ",((DATOSAÑO!$Q386*DATOSAÑO!$AN386)/DATOSAÑO!$Y386))," ")</f>
        <v>0</v>
      </c>
      <c r="I99" s="324">
        <f ca="1">IF($E99&lt;=DATOSAÑO!$B386,IF(DATOSAÑO!$Y386=0," ",((DATOSAÑO!$T386*DATOSAÑO!$AN386)/DATOSAÑO!$Y386))," ")</f>
        <v>0</v>
      </c>
      <c r="J99" s="320">
        <f t="shared" ca="1" si="7"/>
        <v>0</v>
      </c>
      <c r="K99" s="324"/>
      <c r="L99" s="287"/>
      <c r="M99" s="288"/>
      <c r="N99" s="269"/>
      <c r="O99" s="270"/>
      <c r="P99" s="289"/>
      <c r="Q99" s="290"/>
      <c r="R99" s="291"/>
      <c r="S99" s="292"/>
      <c r="T99" s="293"/>
      <c r="U99" s="294"/>
      <c r="V99" s="295"/>
      <c r="W99" s="296"/>
      <c r="X99" s="297"/>
      <c r="Y99" s="298"/>
    </row>
    <row r="100" spans="1:25" ht="15" thickBot="1">
      <c r="A100" s="2312"/>
      <c r="B100" s="2315"/>
      <c r="C100" s="2324"/>
      <c r="D100" s="2321"/>
      <c r="E100" s="727" t="s">
        <v>187</v>
      </c>
      <c r="F100" s="652" t="str">
        <f ca="1">IF($E100&lt;=DATOSAÑO!$B387,IF(DATOSAÑO!$Y387=0," ",((DATOSAÑO!$I387*DATOSAÑO!$AN387)/DATOSAÑO!$Y387))," ")</f>
        <v xml:space="preserve"> </v>
      </c>
      <c r="G100" s="329" t="str">
        <f ca="1">IF($E100&lt;=DATOSAÑO!$B387,IF(DATOSAÑO!$Y387=0," ",((DATOSAÑO!$P387*DATOSAÑO!$AN387)/DATOSAÑO!$Y387))," ")</f>
        <v xml:space="preserve"> </v>
      </c>
      <c r="H100" s="329" t="str">
        <f ca="1">IF($E100&lt;=DATOSAÑO!$B387,IF(DATOSAÑO!$Y387=0," ",((DATOSAÑO!$Q387*DATOSAÑO!$AN387)/DATOSAÑO!$Y387))," ")</f>
        <v xml:space="preserve"> </v>
      </c>
      <c r="I100" s="329" t="str">
        <f ca="1">IF($E100&lt;=DATOSAÑO!$B387,IF(DATOSAÑO!$Y387=0," ",((DATOSAÑO!$T387*DATOSAÑO!$AN387)/DATOSAÑO!$Y387))," ")</f>
        <v xml:space="preserve"> </v>
      </c>
      <c r="J100" s="340" t="str">
        <f t="shared" ca="1" si="7"/>
        <v xml:space="preserve"> </v>
      </c>
      <c r="K100" s="324"/>
      <c r="L100" s="299"/>
      <c r="M100" s="300"/>
      <c r="N100" s="273"/>
      <c r="O100" s="274"/>
      <c r="P100" s="301"/>
      <c r="Q100" s="302"/>
      <c r="R100" s="303"/>
      <c r="S100" s="304"/>
      <c r="T100" s="305"/>
      <c r="U100" s="306"/>
      <c r="V100" s="307"/>
      <c r="W100" s="308"/>
      <c r="X100" s="309"/>
      <c r="Y100" s="310"/>
    </row>
    <row r="101" spans="1:25">
      <c r="A101" s="2310" t="s">
        <v>250</v>
      </c>
      <c r="B101" s="2313" t="s">
        <v>251</v>
      </c>
      <c r="C101" s="2322" t="s">
        <v>260</v>
      </c>
      <c r="D101" s="2319">
        <v>2023</v>
      </c>
      <c r="E101" s="730" t="s">
        <v>175</v>
      </c>
      <c r="F101" s="321">
        <f ca="1">IF($E101&lt;=DATOSAÑO!$B376,IF(DATOSAÑO!$Y376=0," ",((DATOSAÑO!$I376*DATOSAÑO!$AF376)/DATOSAÑO!$Y376))," ")</f>
        <v>1756.0558176923582</v>
      </c>
      <c r="G101" s="322">
        <f ca="1">IF($E101&lt;=DATOSAÑO!$B376,IF(DATOSAÑO!$Y376=0," ",((DATOSAÑO!$P376*DATOSAÑO!$AF376)/DATOSAÑO!$Y376))," ")</f>
        <v>2482.5718922401988</v>
      </c>
      <c r="H101" s="322">
        <f ca="1">IF($E101&lt;=DATOSAÑO!$B376,IF(DATOSAÑO!$Y376=0," ",((DATOSAÑO!$Q376*DATOSAÑO!$AF376)/DATOSAÑO!$Y376))," ")</f>
        <v>0.57243921208600645</v>
      </c>
      <c r="I101" s="322">
        <f ca="1">IF($E101&lt;=DATOSAÑO!$B376,IF(DATOSAÑO!$Y376=0," ",((DATOSAÑO!$T376*DATOSAÑO!$AF376)/DATOSAÑO!$Y376))," ")</f>
        <v>0.79985085535736955</v>
      </c>
      <c r="J101" s="318">
        <f ca="1">IF($H101=" "," ",0)</f>
        <v>0</v>
      </c>
      <c r="K101" s="322"/>
      <c r="L101" s="275"/>
      <c r="M101" s="276"/>
      <c r="N101" s="265"/>
      <c r="O101" s="266"/>
      <c r="P101" s="277"/>
      <c r="Q101" s="278"/>
      <c r="R101" s="279"/>
      <c r="S101" s="280"/>
      <c r="T101" s="281"/>
      <c r="U101" s="282"/>
      <c r="V101" s="283"/>
      <c r="W101" s="284"/>
      <c r="X101" s="285"/>
      <c r="Y101" s="286"/>
    </row>
    <row r="102" spans="1:25">
      <c r="A102" s="2311"/>
      <c r="B102" s="2314"/>
      <c r="C102" s="2323"/>
      <c r="D102" s="2320"/>
      <c r="E102" s="726" t="s">
        <v>176</v>
      </c>
      <c r="F102" s="323">
        <f ca="1">IF($E102&lt;=DATOSAÑO!$B377,IF(DATOSAÑO!$Y377=0," ",((DATOSAÑO!$I377*DATOSAÑO!$AF377)/DATOSAÑO!$Y377))," ")</f>
        <v>2685.319282324087</v>
      </c>
      <c r="G102" s="324">
        <f ca="1">IF($E102&lt;=DATOSAÑO!$B377,IF(DATOSAÑO!$Y377=0," ",((DATOSAÑO!$P377*DATOSAÑO!$AF377)/DATOSAÑO!$Y377))," ")</f>
        <v>1357.1629871215202</v>
      </c>
      <c r="H102" s="324">
        <f ca="1">IF($E102&lt;=DATOSAÑO!$B377,IF(DATOSAÑO!$Y377=0," ",((DATOSAÑO!$Q377*DATOSAÑO!$AF377)/DATOSAÑO!$Y377))," ")</f>
        <v>0.38091931415224523</v>
      </c>
      <c r="I102" s="324">
        <f ca="1">IF($E102&lt;=DATOSAÑO!$B377,IF(DATOSAÑO!$Y377=0," ",((DATOSAÑO!$T377*DATOSAÑO!$AF377)/DATOSAÑO!$Y377))," ")</f>
        <v>1.1368112402409554</v>
      </c>
      <c r="J102" s="320">
        <f t="shared" ref="J102:J112" ca="1" si="8">IF($H102=" "," ",0)</f>
        <v>0</v>
      </c>
      <c r="K102" s="324"/>
      <c r="L102" s="287"/>
      <c r="M102" s="288"/>
      <c r="N102" s="269"/>
      <c r="O102" s="270"/>
      <c r="P102" s="289"/>
      <c r="Q102" s="290"/>
      <c r="R102" s="291"/>
      <c r="S102" s="292"/>
      <c r="T102" s="293"/>
      <c r="U102" s="294"/>
      <c r="V102" s="295"/>
      <c r="W102" s="296"/>
      <c r="X102" s="297"/>
      <c r="Y102" s="298"/>
    </row>
    <row r="103" spans="1:25">
      <c r="A103" s="2311"/>
      <c r="B103" s="2314"/>
      <c r="C103" s="2323"/>
      <c r="D103" s="2320"/>
      <c r="E103" s="726" t="s">
        <v>177</v>
      </c>
      <c r="F103" s="323">
        <f ca="1">IF($E103&lt;=DATOSAÑO!$B378,IF(DATOSAÑO!$Y378=0," ",((DATOSAÑO!$I378*DATOSAÑO!$AF378)/DATOSAÑO!$Y378))," ")</f>
        <v>2923.0660998091444</v>
      </c>
      <c r="G103" s="324">
        <f ca="1">IF($E103&lt;=DATOSAÑO!$B378,IF(DATOSAÑO!$Y378=0," ",((DATOSAÑO!$P378*DATOSAÑO!$AF378)/DATOSAÑO!$Y378))," ")</f>
        <v>1524.3818672794805</v>
      </c>
      <c r="H103" s="324">
        <f ca="1">IF($E103&lt;=DATOSAÑO!$B378,IF(DATOSAÑO!$Y378=0," ",((DATOSAÑO!$Q378*DATOSAÑO!$AF378)/DATOSAÑO!$Y378))," ")</f>
        <v>0.20928008259889255</v>
      </c>
      <c r="I103" s="324">
        <f ca="1">IF($E103&lt;=DATOSAÑO!$B378,IF(DATOSAÑO!$Y378=0," ",((DATOSAÑO!$T378*DATOSAÑO!$AF378)/DATOSAÑO!$Y378))," ")</f>
        <v>0.34275282877653429</v>
      </c>
      <c r="J103" s="320">
        <f t="shared" ca="1" si="8"/>
        <v>0</v>
      </c>
      <c r="K103" s="324"/>
      <c r="L103" s="287"/>
      <c r="M103" s="288"/>
      <c r="N103" s="269"/>
      <c r="O103" s="270"/>
      <c r="P103" s="289"/>
      <c r="Q103" s="290"/>
      <c r="R103" s="291"/>
      <c r="S103" s="292"/>
      <c r="T103" s="293"/>
      <c r="U103" s="294"/>
      <c r="V103" s="295"/>
      <c r="W103" s="296"/>
      <c r="X103" s="297"/>
      <c r="Y103" s="298"/>
    </row>
    <row r="104" spans="1:25">
      <c r="A104" s="2311"/>
      <c r="B104" s="2314"/>
      <c r="C104" s="2323"/>
      <c r="D104" s="2320"/>
      <c r="E104" s="726" t="s">
        <v>178</v>
      </c>
      <c r="F104" s="323">
        <f ca="1">IF($E104&lt;=DATOSAÑO!$B379,IF(DATOSAÑO!$Y379=0," ",((DATOSAÑO!$I379*DATOSAÑO!$AF379)/DATOSAÑO!$Y379))," ")</f>
        <v>3056.6111141644724</v>
      </c>
      <c r="G104" s="324">
        <f ca="1">IF($E104&lt;=DATOSAÑO!$B379,IF(DATOSAÑO!$Y379=0," ",((DATOSAÑO!$P379*DATOSAÑO!$AF379)/DATOSAÑO!$Y379))," ")</f>
        <v>1230.2360352302571</v>
      </c>
      <c r="H104" s="324">
        <f ca="1">IF($E104&lt;=DATOSAÑO!$B379,IF(DATOSAÑO!$Y379=0," ",((DATOSAÑO!$Q379*DATOSAÑO!$AF379)/DATOSAÑO!$Y379))," ")</f>
        <v>1.6960212142310347</v>
      </c>
      <c r="I104" s="324">
        <f ca="1">IF($E104&lt;=DATOSAÑO!$B379,IF(DATOSAÑO!$Y379=0," ",((DATOSAÑO!$T379*DATOSAÑO!$AF379)/DATOSAÑO!$Y379))," ")</f>
        <v>8.6568293910509908</v>
      </c>
      <c r="J104" s="320">
        <f t="shared" ca="1" si="8"/>
        <v>0</v>
      </c>
      <c r="K104" s="324"/>
      <c r="L104" s="287"/>
      <c r="M104" s="288"/>
      <c r="N104" s="269"/>
      <c r="O104" s="270"/>
      <c r="P104" s="289"/>
      <c r="Q104" s="290"/>
      <c r="R104" s="291"/>
      <c r="S104" s="292"/>
      <c r="T104" s="293"/>
      <c r="U104" s="294"/>
      <c r="V104" s="295"/>
      <c r="W104" s="296"/>
      <c r="X104" s="297"/>
      <c r="Y104" s="298"/>
    </row>
    <row r="105" spans="1:25">
      <c r="A105" s="2311"/>
      <c r="B105" s="2314"/>
      <c r="C105" s="2323"/>
      <c r="D105" s="2320"/>
      <c r="E105" s="726" t="s">
        <v>179</v>
      </c>
      <c r="F105" s="323">
        <f ca="1">IF($E105&lt;=DATOSAÑO!$B380,IF(DATOSAÑO!$Y380=0," ",((DATOSAÑO!$I380*DATOSAÑO!$AF380)/DATOSAÑO!$Y380))," ")</f>
        <v>2427.3452404179102</v>
      </c>
      <c r="G105" s="324">
        <f ca="1">IF($E105&lt;=DATOSAÑO!$B380,IF(DATOSAÑO!$Y380=0," ",((DATOSAÑO!$P380*DATOSAÑO!$AF380)/DATOSAÑO!$Y380))," ")</f>
        <v>2221.932276605794</v>
      </c>
      <c r="H105" s="324">
        <f ca="1">IF($E105&lt;=DATOSAÑO!$B380,IF(DATOSAÑO!$Y380=0," ",((DATOSAÑO!$Q380*DATOSAÑO!$AF380)/DATOSAÑO!$Y380))," ")</f>
        <v>0.52332030625360093</v>
      </c>
      <c r="I105" s="324">
        <f ca="1">IF($E105&lt;=DATOSAÑO!$B380,IF(DATOSAÑO!$Y380=0," ",((DATOSAÑO!$T380*DATOSAÑO!$AF380)/DATOSAÑO!$Y380))," ")</f>
        <v>0.99916267003048898</v>
      </c>
      <c r="J105" s="320">
        <f t="shared" ca="1" si="8"/>
        <v>0</v>
      </c>
      <c r="K105" s="324"/>
      <c r="L105" s="287"/>
      <c r="M105" s="288"/>
      <c r="N105" s="269"/>
      <c r="O105" s="270"/>
      <c r="P105" s="289"/>
      <c r="Q105" s="290"/>
      <c r="R105" s="291"/>
      <c r="S105" s="292"/>
      <c r="T105" s="293"/>
      <c r="U105" s="294"/>
      <c r="V105" s="295"/>
      <c r="W105" s="296"/>
      <c r="X105" s="297"/>
      <c r="Y105" s="298"/>
    </row>
    <row r="106" spans="1:25">
      <c r="A106" s="2311"/>
      <c r="B106" s="2314"/>
      <c r="C106" s="2323"/>
      <c r="D106" s="2320"/>
      <c r="E106" s="726" t="s">
        <v>181</v>
      </c>
      <c r="F106" s="323">
        <f ca="1">IF($E106&lt;=DATOSAÑO!$B381,IF(DATOSAÑO!$Y381=0," ",((DATOSAÑO!$I381*DATOSAÑO!$AF381)/DATOSAÑO!$Y381))," ")</f>
        <v>2703.2779837342478</v>
      </c>
      <c r="G106" s="324">
        <f ca="1">IF($E106&lt;=DATOSAÑO!$B381,IF(DATOSAÑO!$Y381=0," ",((DATOSAÑO!$P381*DATOSAÑO!$AF381)/DATOSAÑO!$Y381))," ")</f>
        <v>1764.4221967197927</v>
      </c>
      <c r="H106" s="324">
        <f ca="1">IF($E106&lt;=DATOSAÑO!$B381,IF(DATOSAÑO!$Y381=0," ",((DATOSAÑO!$Q381*DATOSAÑO!$AF381)/DATOSAÑO!$Y381))," ")</f>
        <v>0.26677781592136585</v>
      </c>
      <c r="I106" s="324">
        <f ca="1">IF($E106&lt;=DATOSAÑO!$B381,IF(DATOSAÑO!$Y381=0," ",((DATOSAÑO!$T381*DATOSAÑO!$AF381)/DATOSAÑO!$Y381))," ")</f>
        <v>0.44304173001234426</v>
      </c>
      <c r="J106" s="320">
        <f t="shared" ca="1" si="8"/>
        <v>0</v>
      </c>
      <c r="K106" s="324"/>
      <c r="L106" s="287"/>
      <c r="M106" s="288"/>
      <c r="N106" s="269"/>
      <c r="O106" s="270"/>
      <c r="P106" s="289"/>
      <c r="Q106" s="290"/>
      <c r="R106" s="291"/>
      <c r="S106" s="292"/>
      <c r="T106" s="293"/>
      <c r="U106" s="294"/>
      <c r="V106" s="295"/>
      <c r="W106" s="296"/>
      <c r="X106" s="297"/>
      <c r="Y106" s="298"/>
    </row>
    <row r="107" spans="1:25">
      <c r="A107" s="2311"/>
      <c r="B107" s="2314"/>
      <c r="C107" s="2323"/>
      <c r="D107" s="2320"/>
      <c r="E107" s="726" t="s">
        <v>182</v>
      </c>
      <c r="F107" s="323">
        <f ca="1">IF($E107&lt;=DATOSAÑO!$B382,IF(DATOSAÑO!$Y382=0," ",((DATOSAÑO!$I382*DATOSAÑO!$AF382)/DATOSAÑO!$Y382))," ")</f>
        <v>2400.9934253721835</v>
      </c>
      <c r="G107" s="324">
        <f ca="1">IF($E107&lt;=DATOSAÑO!$B382,IF(DATOSAÑO!$Y382=0," ",((DATOSAÑO!$P382*DATOSAÑO!$AF382)/DATOSAÑO!$Y382))," ")</f>
        <v>2182.4024429008214</v>
      </c>
      <c r="H107" s="324">
        <f ca="1">IF($E107&lt;=DATOSAÑO!$B382,IF(DATOSAÑO!$Y382=0," ",((DATOSAÑO!$Q382*DATOSAÑO!$AF382)/DATOSAÑO!$Y382))," ")</f>
        <v>0.6153123584902831</v>
      </c>
      <c r="I107" s="324">
        <f ca="1">IF($E107&lt;=DATOSAÑO!$B382,IF(DATOSAÑO!$Y382=0," ",((DATOSAÑO!$T382*DATOSAÑO!$AF382)/DATOSAÑO!$Y382))," ")</f>
        <v>0.57881936853034188</v>
      </c>
      <c r="J107" s="320">
        <f t="shared" ca="1" si="8"/>
        <v>0</v>
      </c>
      <c r="K107" s="324"/>
      <c r="L107" s="287"/>
      <c r="M107" s="288"/>
      <c r="N107" s="269"/>
      <c r="O107" s="270"/>
      <c r="P107" s="289"/>
      <c r="Q107" s="290"/>
      <c r="R107" s="291"/>
      <c r="S107" s="292"/>
      <c r="T107" s="293"/>
      <c r="U107" s="294"/>
      <c r="V107" s="295"/>
      <c r="W107" s="296"/>
      <c r="X107" s="297"/>
      <c r="Y107" s="298"/>
    </row>
    <row r="108" spans="1:25">
      <c r="A108" s="2311"/>
      <c r="B108" s="2314"/>
      <c r="C108" s="2323"/>
      <c r="D108" s="2320"/>
      <c r="E108" s="726" t="s">
        <v>183</v>
      </c>
      <c r="F108" s="323">
        <f ca="1">IF($E108&lt;=DATOSAÑO!$B383,IF(DATOSAÑO!$Y383=0," ",((DATOSAÑO!$I383*DATOSAÑO!$AF383)/DATOSAÑO!$Y383))," ")</f>
        <v>2168.2768602977444</v>
      </c>
      <c r="G108" s="324">
        <f ca="1">IF($E108&lt;=DATOSAÑO!$B383,IF(DATOSAÑO!$Y383=0," ",((DATOSAÑO!$P383*DATOSAÑO!$AF383)/DATOSAÑO!$Y383))," ")</f>
        <v>2473.7299608349222</v>
      </c>
      <c r="H108" s="324">
        <f ca="1">IF($E108&lt;=DATOSAÑO!$B383,IF(DATOSAÑO!$Y383=0," ",((DATOSAÑO!$Q383*DATOSAÑO!$AF383)/DATOSAÑO!$Y383))," ")</f>
        <v>1.3439802025616219</v>
      </c>
      <c r="I108" s="324">
        <f ca="1">IF($E108&lt;=DATOSAÑO!$B383,IF(DATOSAÑO!$Y383=0," ",((DATOSAÑO!$T383*DATOSAÑO!$AF383)/DATOSAÑO!$Y383))," ")</f>
        <v>3.3491986647835872</v>
      </c>
      <c r="J108" s="320">
        <f t="shared" ca="1" si="8"/>
        <v>0</v>
      </c>
      <c r="K108" s="324"/>
      <c r="L108" s="287"/>
      <c r="M108" s="288"/>
      <c r="N108" s="269"/>
      <c r="O108" s="270"/>
      <c r="P108" s="289"/>
      <c r="Q108" s="290"/>
      <c r="R108" s="291"/>
      <c r="S108" s="292"/>
      <c r="T108" s="293"/>
      <c r="U108" s="294"/>
      <c r="V108" s="295"/>
      <c r="W108" s="296"/>
      <c r="X108" s="297"/>
      <c r="Y108" s="298"/>
    </row>
    <row r="109" spans="1:25">
      <c r="A109" s="2311"/>
      <c r="B109" s="2314"/>
      <c r="C109" s="2323"/>
      <c r="D109" s="2320"/>
      <c r="E109" s="726" t="s">
        <v>184</v>
      </c>
      <c r="F109" s="323">
        <f ca="1">IF($E109&lt;=DATOSAÑO!$B384,IF(DATOSAÑO!$Y384=0," ",((DATOSAÑO!$I384*DATOSAÑO!$AF384)/DATOSAÑO!$Y384))," ")</f>
        <v>1252.4981724501692</v>
      </c>
      <c r="G109" s="324">
        <f ca="1">IF($E109&lt;=DATOSAÑO!$B384,IF(DATOSAÑO!$Y384=0," ",((DATOSAÑO!$P384*DATOSAÑO!$AF384)/DATOSAÑO!$Y384))," ")</f>
        <v>3198.3316036645801</v>
      </c>
      <c r="H109" s="324">
        <f ca="1">IF($E109&lt;=DATOSAÑO!$B384,IF(DATOSAÑO!$Y384=0," ",((DATOSAÑO!$Q384*DATOSAÑO!$AF384)/DATOSAÑO!$Y384))," ")</f>
        <v>0.62002873323792995</v>
      </c>
      <c r="I109" s="324">
        <f ca="1">IF($E109&lt;=DATOSAÑO!$B384,IF(DATOSAÑO!$Y384=0," ",((DATOSAÑO!$T384*DATOSAÑO!$AF384)/DATOSAÑO!$Y384))," ")</f>
        <v>15.850195152001627</v>
      </c>
      <c r="J109" s="320">
        <f t="shared" ca="1" si="8"/>
        <v>0</v>
      </c>
      <c r="K109" s="324"/>
      <c r="L109" s="287"/>
      <c r="M109" s="288"/>
      <c r="N109" s="269"/>
      <c r="O109" s="270"/>
      <c r="P109" s="289"/>
      <c r="Q109" s="290"/>
      <c r="R109" s="291"/>
      <c r="S109" s="292"/>
      <c r="T109" s="293"/>
      <c r="U109" s="294"/>
      <c r="V109" s="295"/>
      <c r="W109" s="296"/>
      <c r="X109" s="297"/>
      <c r="Y109" s="298"/>
    </row>
    <row r="110" spans="1:25">
      <c r="A110" s="2311"/>
      <c r="B110" s="2314"/>
      <c r="C110" s="2323"/>
      <c r="D110" s="2320"/>
      <c r="E110" s="726" t="s">
        <v>185</v>
      </c>
      <c r="F110" s="323">
        <f ca="1">IF($E110&lt;=DATOSAÑO!$B385,IF(DATOSAÑO!$Y385=0," ",((DATOSAÑO!$I385*DATOSAÑO!$AF385)/DATOSAÑO!$Y385))," ")</f>
        <v>1227.5906178785672</v>
      </c>
      <c r="G110" s="324">
        <f ca="1">IF($E110&lt;=DATOSAÑO!$B385,IF(DATOSAÑO!$Y385=0," ",((DATOSAÑO!$P385*DATOSAÑO!$AF385)/DATOSAÑO!$Y385))," ")</f>
        <v>3282.6124579509501</v>
      </c>
      <c r="H110" s="324">
        <f ca="1">IF($E110&lt;=DATOSAÑO!$B385,IF(DATOSAÑO!$Y385=0," ",((DATOSAÑO!$Q385*DATOSAÑO!$AF385)/DATOSAÑO!$Y385))," ")</f>
        <v>0.51212369334810481</v>
      </c>
      <c r="I110" s="324">
        <f ca="1">IF($E110&lt;=DATOSAÑO!$B385,IF(DATOSAÑO!$Y385=0," ",((DATOSAÑO!$T385*DATOSAÑO!$AF385)/DATOSAÑO!$Y385))," ")</f>
        <v>36.284800477134382</v>
      </c>
      <c r="J110" s="320">
        <f t="shared" ca="1" si="8"/>
        <v>0</v>
      </c>
      <c r="K110" s="324"/>
      <c r="L110" s="287"/>
      <c r="M110" s="288"/>
      <c r="N110" s="269"/>
      <c r="O110" s="270"/>
      <c r="P110" s="289"/>
      <c r="Q110" s="290"/>
      <c r="R110" s="291"/>
      <c r="S110" s="292"/>
      <c r="T110" s="293"/>
      <c r="U110" s="294"/>
      <c r="V110" s="295"/>
      <c r="W110" s="296"/>
      <c r="X110" s="297"/>
      <c r="Y110" s="298"/>
    </row>
    <row r="111" spans="1:25">
      <c r="A111" s="2311"/>
      <c r="B111" s="2314"/>
      <c r="C111" s="2323"/>
      <c r="D111" s="2320"/>
      <c r="E111" s="726" t="s">
        <v>186</v>
      </c>
      <c r="F111" s="323">
        <f ca="1">IF($E111&lt;=DATOSAÑO!$B386,IF(DATOSAÑO!$Y386=0," ",((DATOSAÑO!$I386*DATOSAÑO!$AF386)/DATOSAÑO!$Y386))," ")</f>
        <v>50.447727272727271</v>
      </c>
      <c r="G111" s="324">
        <f ca="1">IF($E111&lt;=DATOSAÑO!$B386,IF(DATOSAÑO!$Y386=0," ",((DATOSAÑO!$P386*DATOSAÑO!$AF386)/DATOSAÑO!$Y386))," ")</f>
        <v>100.55227272727272</v>
      </c>
      <c r="H111" s="324">
        <f ca="1">IF($E111&lt;=DATOSAÑO!$B386,IF(DATOSAÑO!$Y386=0," ",((DATOSAÑO!$Q386*DATOSAÑO!$AF386)/DATOSAÑO!$Y386))," ")</f>
        <v>0</v>
      </c>
      <c r="I111" s="324">
        <f ca="1">IF($E111&lt;=DATOSAÑO!$B386,IF(DATOSAÑO!$Y386=0," ",((DATOSAÑO!$T386*DATOSAÑO!$AF386)/DATOSAÑO!$Y386))," ")</f>
        <v>0</v>
      </c>
      <c r="J111" s="320">
        <f t="shared" ca="1" si="8"/>
        <v>0</v>
      </c>
      <c r="K111" s="324"/>
      <c r="L111" s="287"/>
      <c r="M111" s="288"/>
      <c r="N111" s="269"/>
      <c r="O111" s="270"/>
      <c r="P111" s="289"/>
      <c r="Q111" s="290"/>
      <c r="R111" s="291"/>
      <c r="S111" s="292"/>
      <c r="T111" s="293"/>
      <c r="U111" s="294"/>
      <c r="V111" s="295"/>
      <c r="W111" s="296"/>
      <c r="X111" s="297"/>
      <c r="Y111" s="298"/>
    </row>
    <row r="112" spans="1:25" ht="15" thickBot="1">
      <c r="A112" s="2312"/>
      <c r="B112" s="2315"/>
      <c r="C112" s="2324"/>
      <c r="D112" s="2321"/>
      <c r="E112" s="727" t="s">
        <v>187</v>
      </c>
      <c r="F112" s="652" t="str">
        <f ca="1">IF($E112&lt;=DATOSAÑO!$B387,IF(DATOSAÑO!$Y387=0," ",((DATOSAÑO!$I387*DATOSAÑO!$AF387)/DATOSAÑO!$Y387))," ")</f>
        <v xml:space="preserve"> </v>
      </c>
      <c r="G112" s="329" t="str">
        <f ca="1">IF($E112&lt;=DATOSAÑO!$B387,IF(DATOSAÑO!$Y387=0," ",((DATOSAÑO!$P387*DATOSAÑO!$AF387)/DATOSAÑO!$Y387))," ")</f>
        <v xml:space="preserve"> </v>
      </c>
      <c r="H112" s="329" t="str">
        <f ca="1">IF($E112&lt;=DATOSAÑO!$B387,IF(DATOSAÑO!$Y387=0," ",((DATOSAÑO!$Q387*DATOSAÑO!$AF387)/DATOSAÑO!$Y387))," ")</f>
        <v xml:space="preserve"> </v>
      </c>
      <c r="I112" s="329" t="str">
        <f ca="1">IF($E112&lt;=DATOSAÑO!$B387,IF(DATOSAÑO!$Y387=0," ",((DATOSAÑO!$T387*DATOSAÑO!$AF387)/DATOSAÑO!$Y387))," ")</f>
        <v xml:space="preserve"> </v>
      </c>
      <c r="J112" s="340" t="str">
        <f t="shared" ca="1" si="8"/>
        <v xml:space="preserve"> </v>
      </c>
      <c r="K112" s="324"/>
      <c r="L112" s="299"/>
      <c r="M112" s="300"/>
      <c r="N112" s="273"/>
      <c r="O112" s="274"/>
      <c r="P112" s="301"/>
      <c r="Q112" s="302"/>
      <c r="R112" s="303"/>
      <c r="S112" s="304"/>
      <c r="T112" s="305"/>
      <c r="U112" s="306"/>
      <c r="V112" s="307"/>
      <c r="W112" s="308"/>
      <c r="X112" s="309"/>
      <c r="Y112" s="310"/>
    </row>
    <row r="113" spans="1:25">
      <c r="A113" s="2310" t="s">
        <v>250</v>
      </c>
      <c r="B113" s="2313" t="s">
        <v>251</v>
      </c>
      <c r="C113" s="2322" t="s">
        <v>261</v>
      </c>
      <c r="D113" s="2319">
        <v>2023</v>
      </c>
      <c r="E113" s="730" t="s">
        <v>175</v>
      </c>
      <c r="F113" s="321">
        <f ca="1">IF($E113&lt;=DATOSAÑO!$B376,IF(DATOSAÑO!$Y376=0," ",((DATOSAÑO!$I376*DATOSAÑO!$AM376)/DATOSAÑO!$Y376))," ")</f>
        <v>114.69757264439612</v>
      </c>
      <c r="G113" s="322">
        <f ca="1">IF($E113&lt;=DATOSAÑO!$B376,IF(DATOSAÑO!$Y376=0," ",((DATOSAÑO!$P376*DATOSAÑO!$AM376)/DATOSAÑO!$Y376))," ")</f>
        <v>162.15029561494285</v>
      </c>
      <c r="H113" s="322">
        <f ca="1">IF($E113&lt;=DATOSAÑO!$B376,IF(DATOSAÑO!$Y376=0," ",((DATOSAÑO!$Q376*DATOSAÑO!$AM376)/DATOSAÑO!$Y376))," ")</f>
        <v>3.7389123654973731E-2</v>
      </c>
      <c r="I113" s="322">
        <f ca="1">IF($E113&lt;=DATOSAÑO!$B376,IF(DATOSAÑO!$Y376=0," ",((DATOSAÑO!$T376*DATOSAÑO!$AM376)/DATOSAÑO!$Y376))," ")</f>
        <v>5.2242617041405599E-2</v>
      </c>
      <c r="J113" s="318">
        <f ca="1">IF($H113=" "," ",0)</f>
        <v>0</v>
      </c>
      <c r="K113" s="314"/>
      <c r="L113" s="314"/>
      <c r="M113" s="266"/>
      <c r="N113" s="265"/>
      <c r="O113" s="266"/>
      <c r="P113" s="277"/>
      <c r="Q113" s="278"/>
      <c r="R113" s="279"/>
      <c r="S113" s="280"/>
      <c r="T113" s="281"/>
      <c r="U113" s="282"/>
      <c r="V113" s="283"/>
      <c r="W113" s="284"/>
      <c r="X113" s="285"/>
      <c r="Y113" s="286"/>
    </row>
    <row r="114" spans="1:25">
      <c r="A114" s="2311"/>
      <c r="B114" s="2314"/>
      <c r="C114" s="2323"/>
      <c r="D114" s="2320"/>
      <c r="E114" s="726" t="s">
        <v>176</v>
      </c>
      <c r="F114" s="323">
        <f ca="1">IF($E114&lt;=DATOSAÑO!$B377,IF(DATOSAÑO!$Y377=0," ",((DATOSAÑO!$I377*DATOSAÑO!$AM377)/DATOSAÑO!$Y377))," ")</f>
        <v>175.86384404723839</v>
      </c>
      <c r="G114" s="324">
        <f ca="1">IF($E114&lt;=DATOSAÑO!$B377,IF(DATOSAÑO!$Y377=0," ",((DATOSAÑO!$P377*DATOSAÑO!$AM377)/DATOSAÑO!$Y377))," ")</f>
        <v>88.881758487673878</v>
      </c>
      <c r="H114" s="324">
        <f ca="1">IF($E114&lt;=DATOSAÑO!$B377,IF(DATOSAÑO!$Y377=0," ",((DATOSAÑO!$Q377*DATOSAÑO!$AM377)/DATOSAÑO!$Y377))," ")</f>
        <v>2.4946729910147999E-2</v>
      </c>
      <c r="I114" s="324">
        <f ca="1">IF($E114&lt;=DATOSAÑO!$B377,IF(DATOSAÑO!$Y377=0," ",((DATOSAÑO!$T377*DATOSAÑO!$AM377)/DATOSAÑO!$Y377))," ")</f>
        <v>7.445073514381241E-2</v>
      </c>
      <c r="J114" s="324">
        <f t="shared" ref="J114:J124" ca="1" si="9">IF($H114=" "," ",0)</f>
        <v>0</v>
      </c>
      <c r="K114" s="315"/>
      <c r="L114" s="315"/>
      <c r="M114" s="270"/>
      <c r="N114" s="269"/>
      <c r="O114" s="270"/>
      <c r="P114" s="289"/>
      <c r="Q114" s="290"/>
      <c r="R114" s="291"/>
      <c r="S114" s="292"/>
      <c r="T114" s="293"/>
      <c r="U114" s="294"/>
      <c r="V114" s="295"/>
      <c r="W114" s="296"/>
      <c r="X114" s="297"/>
      <c r="Y114" s="298"/>
    </row>
    <row r="115" spans="1:25">
      <c r="A115" s="2311"/>
      <c r="B115" s="2314"/>
      <c r="C115" s="2323"/>
      <c r="D115" s="2320"/>
      <c r="E115" s="726" t="s">
        <v>177</v>
      </c>
      <c r="F115" s="323">
        <f ca="1">IF($E115&lt;=DATOSAÑO!$B378,IF(DATOSAÑO!$Y378=0," ",((DATOSAÑO!$I378*DATOSAÑO!$AM378)/DATOSAÑO!$Y378))," ")</f>
        <v>204.58012586923647</v>
      </c>
      <c r="G115" s="324">
        <f ca="1">IF($E115&lt;=DATOSAÑO!$B378,IF(DATOSAÑO!$Y378=0," ",((DATOSAÑO!$P378*DATOSAÑO!$AM378)/DATOSAÑO!$Y378))," ")</f>
        <v>106.68873834265329</v>
      </c>
      <c r="H115" s="324">
        <f ca="1">IF($E115&lt;=DATOSAÑO!$B378,IF(DATOSAÑO!$Y378=0," ",((DATOSAÑO!$Q378*DATOSAÑO!$AM378)/DATOSAÑO!$Y378))," ")</f>
        <v>1.464713563706313E-2</v>
      </c>
      <c r="I115" s="324">
        <f ca="1">IF($E115&lt;=DATOSAÑO!$B378,IF(DATOSAÑO!$Y378=0," ",((DATOSAÑO!$T378*DATOSAÑO!$AM378)/DATOSAÑO!$Y378))," ")</f>
        <v>2.3988652482993325E-2</v>
      </c>
      <c r="J115" s="324">
        <f t="shared" ca="1" si="9"/>
        <v>0</v>
      </c>
      <c r="K115" s="315"/>
      <c r="L115" s="315"/>
      <c r="M115" s="270"/>
      <c r="N115" s="269"/>
      <c r="O115" s="270"/>
      <c r="P115" s="289"/>
      <c r="Q115" s="290"/>
      <c r="R115" s="291"/>
      <c r="S115" s="292"/>
      <c r="T115" s="293"/>
      <c r="U115" s="294"/>
      <c r="V115" s="295"/>
      <c r="W115" s="296"/>
      <c r="X115" s="297"/>
      <c r="Y115" s="298"/>
    </row>
    <row r="116" spans="1:25">
      <c r="A116" s="2311"/>
      <c r="B116" s="2314"/>
      <c r="C116" s="2323"/>
      <c r="D116" s="2320"/>
      <c r="E116" s="726" t="s">
        <v>178</v>
      </c>
      <c r="F116" s="323">
        <f ca="1">IF($E116&lt;=DATOSAÑO!$B379,IF(DATOSAÑO!$Y379=0," ",((DATOSAÑO!$I379*DATOSAÑO!$AM379)/DATOSAÑO!$Y379))," ")</f>
        <v>178.69673248866974</v>
      </c>
      <c r="G116" s="324">
        <f ca="1">IF($E116&lt;=DATOSAÑO!$B379,IF(DATOSAÑO!$Y379=0," ",((DATOSAÑO!$P379*DATOSAÑO!$AM379)/DATOSAÑO!$Y379))," ")</f>
        <v>71.922515319897386</v>
      </c>
      <c r="H116" s="324">
        <f ca="1">IF($E116&lt;=DATOSAÑO!$B379,IF(DATOSAÑO!$Y379=0," ",((DATOSAÑO!$Q379*DATOSAÑO!$AM379)/DATOSAÑO!$Y379))," ")</f>
        <v>9.9153421189269411E-2</v>
      </c>
      <c r="I116" s="324">
        <f ca="1">IF($E116&lt;=DATOSAÑO!$B379,IF(DATOSAÑO!$Y379=0," ",((DATOSAÑO!$T379*DATOSAÑO!$AM379)/DATOSAÑO!$Y379))," ")</f>
        <v>0.5060987702112546</v>
      </c>
      <c r="J116" s="324">
        <f t="shared" ca="1" si="9"/>
        <v>0</v>
      </c>
      <c r="K116" s="315"/>
      <c r="L116" s="315"/>
      <c r="M116" s="270"/>
      <c r="N116" s="269"/>
      <c r="O116" s="270"/>
      <c r="P116" s="289"/>
      <c r="Q116" s="290"/>
      <c r="R116" s="291"/>
      <c r="S116" s="292"/>
      <c r="T116" s="293"/>
      <c r="U116" s="294"/>
      <c r="V116" s="295"/>
      <c r="W116" s="296"/>
      <c r="X116" s="297"/>
      <c r="Y116" s="298"/>
    </row>
    <row r="117" spans="1:25">
      <c r="A117" s="2311"/>
      <c r="B117" s="2314"/>
      <c r="C117" s="2323"/>
      <c r="D117" s="2320"/>
      <c r="E117" s="726" t="s">
        <v>179</v>
      </c>
      <c r="F117" s="323">
        <f ca="1">IF($E117&lt;=DATOSAÑO!$B380,IF(DATOSAÑO!$Y380=0," ",((DATOSAÑO!$I380*DATOSAÑO!$AM380)/DATOSAÑO!$Y380))," ")</f>
        <v>148.20151459325965</v>
      </c>
      <c r="G117" s="324">
        <f ca="1">IF($E117&lt;=DATOSAÑO!$B380,IF(DATOSAÑO!$Y380=0," ",((DATOSAÑO!$P380*DATOSAÑO!$AM380)/DATOSAÑO!$Y380))," ")</f>
        <v>135.6600302394292</v>
      </c>
      <c r="H117" s="324">
        <f ca="1">IF($E117&lt;=DATOSAÑO!$B380,IF(DATOSAÑO!$Y380=0," ",((DATOSAÑO!$Q380*DATOSAÑO!$AM380)/DATOSAÑO!$Y380))," ")</f>
        <v>3.1951310721189112E-2</v>
      </c>
      <c r="I117" s="324">
        <f ca="1">IF($E117&lt;=DATOSAÑO!$B380,IF(DATOSAÑO!$Y380=0," ",((DATOSAÑO!$T380*DATOSAÑO!$AM380)/DATOSAÑO!$Y380))," ")</f>
        <v>6.1003856624066231E-2</v>
      </c>
      <c r="J117" s="324">
        <f t="shared" ca="1" si="9"/>
        <v>0</v>
      </c>
      <c r="K117" s="315"/>
      <c r="L117" s="315"/>
      <c r="M117" s="270"/>
      <c r="N117" s="269"/>
      <c r="O117" s="270"/>
      <c r="P117" s="289"/>
      <c r="Q117" s="290"/>
      <c r="R117" s="291"/>
      <c r="S117" s="292"/>
      <c r="T117" s="293"/>
      <c r="U117" s="294"/>
      <c r="V117" s="295"/>
      <c r="W117" s="296"/>
      <c r="X117" s="297"/>
      <c r="Y117" s="298"/>
    </row>
    <row r="118" spans="1:25">
      <c r="A118" s="2311"/>
      <c r="B118" s="2314"/>
      <c r="C118" s="2323"/>
      <c r="D118" s="2320"/>
      <c r="E118" s="726" t="s">
        <v>181</v>
      </c>
      <c r="F118" s="323">
        <f ca="1">IF($E118&lt;=DATOSAÑO!$B381,IF(DATOSAÑO!$Y381=0," ",((DATOSAÑO!$I381*DATOSAÑO!$AM381)/DATOSAÑO!$Y381))," ")</f>
        <v>187.42499883152695</v>
      </c>
      <c r="G118" s="324">
        <f ca="1">IF($E118&lt;=DATOSAÑO!$B381,IF(DATOSAÑO!$Y381=0," ",((DATOSAÑO!$P381*DATOSAÑO!$AM381)/DATOSAÑO!$Y381))," ")</f>
        <v>122.33178761057719</v>
      </c>
      <c r="H118" s="324">
        <f ca="1">IF($E118&lt;=DATOSAÑO!$B381,IF(DATOSAÑO!$Y381=0," ",((DATOSAÑO!$Q381*DATOSAÑO!$AM381)/DATOSAÑO!$Y381))," ")</f>
        <v>1.8496370753654151E-2</v>
      </c>
      <c r="I118" s="324">
        <f ca="1">IF($E118&lt;=DATOSAÑO!$B381,IF(DATOSAÑO!$Y381=0," ",((DATOSAÑO!$T381*DATOSAÑO!$AM381)/DATOSAÑO!$Y381))," ")</f>
        <v>3.071718714446663E-2</v>
      </c>
      <c r="J118" s="324">
        <f t="shared" ca="1" si="9"/>
        <v>0</v>
      </c>
      <c r="K118" s="315"/>
      <c r="L118" s="315"/>
      <c r="M118" s="270"/>
      <c r="N118" s="269"/>
      <c r="O118" s="270"/>
      <c r="P118" s="289"/>
      <c r="Q118" s="290"/>
      <c r="R118" s="291"/>
      <c r="S118" s="292"/>
      <c r="T118" s="293"/>
      <c r="U118" s="294"/>
      <c r="V118" s="295"/>
      <c r="W118" s="296"/>
      <c r="X118" s="297"/>
      <c r="Y118" s="298"/>
    </row>
    <row r="119" spans="1:25">
      <c r="A119" s="2311"/>
      <c r="B119" s="2314"/>
      <c r="C119" s="2323"/>
      <c r="D119" s="2320"/>
      <c r="E119" s="726" t="s">
        <v>182</v>
      </c>
      <c r="F119" s="323">
        <f ca="1">IF($E119&lt;=DATOSAÑO!$B382,IF(DATOSAÑO!$Y382=0," ",((DATOSAÑO!$I382*DATOSAÑO!$AM382)/DATOSAÑO!$Y382))," ")</f>
        <v>141.45970198440705</v>
      </c>
      <c r="G119" s="324">
        <f ca="1">IF($E119&lt;=DATOSAÑO!$B382,IF(DATOSAÑO!$Y382=0," ",((DATOSAÑO!$P382*DATOSAÑO!$AM382)/DATOSAÑO!$Y382))," ")</f>
        <v>128.58094317144429</v>
      </c>
      <c r="H119" s="324">
        <f ca="1">IF($E119&lt;=DATOSAÑO!$B382,IF(DATOSAÑO!$Y382=0," ",((DATOSAÑO!$Q382*DATOSAÑO!$AM382)/DATOSAÑO!$Y382))," ")</f>
        <v>3.6252453646708961E-2</v>
      </c>
      <c r="I119" s="324">
        <f ca="1">IF($E119&lt;=DATOSAÑO!$B382,IF(DATOSAÑO!$Y382=0," ",((DATOSAÑO!$T382*DATOSAÑO!$AM382)/DATOSAÑO!$Y382))," ")</f>
        <v>3.4102390497971681E-2</v>
      </c>
      <c r="J119" s="324">
        <f t="shared" ca="1" si="9"/>
        <v>0</v>
      </c>
      <c r="K119" s="315"/>
      <c r="L119" s="315"/>
      <c r="M119" s="270"/>
      <c r="N119" s="269"/>
      <c r="O119" s="270"/>
      <c r="P119" s="289"/>
      <c r="Q119" s="290"/>
      <c r="R119" s="291"/>
      <c r="S119" s="292"/>
      <c r="T119" s="293"/>
      <c r="U119" s="294"/>
      <c r="V119" s="295"/>
      <c r="W119" s="296"/>
      <c r="X119" s="297"/>
      <c r="Y119" s="298"/>
    </row>
    <row r="120" spans="1:25">
      <c r="A120" s="2311"/>
      <c r="B120" s="2314"/>
      <c r="C120" s="2323"/>
      <c r="D120" s="2320"/>
      <c r="E120" s="726" t="s">
        <v>183</v>
      </c>
      <c r="F120" s="323">
        <f ca="1">IF($E120&lt;=DATOSAÑO!$B383,IF(DATOSAÑO!$Y383=0," ",((DATOSAÑO!$I383*DATOSAÑO!$AM383)/DATOSAÑO!$Y383))," ")</f>
        <v>154.59174267958548</v>
      </c>
      <c r="G120" s="324">
        <f ca="1">IF($E120&lt;=DATOSAÑO!$B383,IF(DATOSAÑO!$Y383=0," ",((DATOSAÑO!$P383*DATOSAÑO!$AM383)/DATOSAÑO!$Y383))," ")</f>
        <v>176.36964751432171</v>
      </c>
      <c r="H120" s="324">
        <f ca="1">IF($E120&lt;=DATOSAÑO!$B383,IF(DATOSAÑO!$Y383=0," ",((DATOSAÑO!$Q383*DATOSAÑO!$AM383)/DATOSAÑO!$Y383))," ")</f>
        <v>9.5821823054613536E-2</v>
      </c>
      <c r="I120" s="324">
        <f ca="1">IF($E120&lt;=DATOSAÑO!$B383,IF(DATOSAÑO!$Y383=0," ",((DATOSAÑO!$T383*DATOSAÑO!$AM383)/DATOSAÑO!$Y383))," ")</f>
        <v>0.2387879830520987</v>
      </c>
      <c r="J120" s="324">
        <f t="shared" ca="1" si="9"/>
        <v>0</v>
      </c>
      <c r="K120" s="315"/>
      <c r="L120" s="315"/>
      <c r="M120" s="270"/>
      <c r="N120" s="269"/>
      <c r="O120" s="270"/>
      <c r="P120" s="289"/>
      <c r="Q120" s="290"/>
      <c r="R120" s="291"/>
      <c r="S120" s="292"/>
      <c r="T120" s="293"/>
      <c r="U120" s="294"/>
      <c r="V120" s="295"/>
      <c r="W120" s="296"/>
      <c r="X120" s="297"/>
      <c r="Y120" s="298"/>
    </row>
    <row r="121" spans="1:25">
      <c r="A121" s="2311"/>
      <c r="B121" s="2314"/>
      <c r="C121" s="2323"/>
      <c r="D121" s="2320"/>
      <c r="E121" s="726" t="s">
        <v>184</v>
      </c>
      <c r="F121" s="323">
        <f ca="1">IF($E121&lt;=DATOSAÑO!$B384,IF(DATOSAÑO!$Y384=0," ",((DATOSAÑO!$I384*DATOSAÑO!$AM384)/DATOSAÑO!$Y384))," ")</f>
        <v>73.042627287857499</v>
      </c>
      <c r="G121" s="324">
        <f ca="1">IF($E121&lt;=DATOSAÑO!$B384,IF(DATOSAÑO!$Y384=0," ",((DATOSAÑO!$P384*DATOSAÑO!$AM384)/DATOSAÑO!$Y384))," ")</f>
        <v>186.51886957443196</v>
      </c>
      <c r="H121" s="324">
        <f ca="1">IF($E121&lt;=DATOSAÑO!$B384,IF(DATOSAÑO!$Y384=0," ",((DATOSAÑO!$Q384*DATOSAÑO!$AM384)/DATOSAÑO!$Y384))," ")</f>
        <v>3.6158557885211079E-2</v>
      </c>
      <c r="I121" s="324">
        <f ca="1">IF($E121&lt;=DATOSAÑO!$B384,IF(DATOSAÑO!$Y384=0," ",((DATOSAÑO!$T384*DATOSAÑO!$AM384)/DATOSAÑO!$Y384))," ")</f>
        <v>0.92434457981097085</v>
      </c>
      <c r="J121" s="324">
        <f t="shared" ca="1" si="9"/>
        <v>0</v>
      </c>
      <c r="K121" s="315"/>
      <c r="L121" s="315"/>
      <c r="M121" s="270"/>
      <c r="N121" s="269"/>
      <c r="O121" s="270"/>
      <c r="P121" s="289"/>
      <c r="Q121" s="290"/>
      <c r="R121" s="291"/>
      <c r="S121" s="292"/>
      <c r="T121" s="293"/>
      <c r="U121" s="294"/>
      <c r="V121" s="295"/>
      <c r="W121" s="296"/>
      <c r="X121" s="297"/>
      <c r="Y121" s="298"/>
    </row>
    <row r="122" spans="1:25">
      <c r="A122" s="2311"/>
      <c r="B122" s="2314"/>
      <c r="C122" s="2323"/>
      <c r="D122" s="2320"/>
      <c r="E122" s="726" t="s">
        <v>185</v>
      </c>
      <c r="F122" s="323">
        <f ca="1">IF($E122&lt;=DATOSAÑO!$B385,IF(DATOSAÑO!$Y385=0," ",((DATOSAÑO!$I385*DATOSAÑO!$AM385)/DATOSAÑO!$Y385))," ")</f>
        <v>90.882472422662275</v>
      </c>
      <c r="G122" s="324">
        <f ca="1">IF($E122&lt;=DATOSAÑO!$B385,IF(DATOSAÑO!$Y385=0," ",((DATOSAÑO!$P385*DATOSAÑO!$AM385)/DATOSAÑO!$Y385))," ")</f>
        <v>243.0223332103746</v>
      </c>
      <c r="H122" s="324">
        <f ca="1">IF($E122&lt;=DATOSAÑO!$B385,IF(DATOSAÑO!$Y385=0," ",((DATOSAÑO!$Q385*DATOSAÑO!$AM385)/DATOSAÑO!$Y385))," ")</f>
        <v>3.7914160274484202E-2</v>
      </c>
      <c r="I122" s="324">
        <f ca="1">IF($E122&lt;=DATOSAÑO!$B385,IF(DATOSAÑO!$Y385=0," ",((DATOSAÑO!$T385*DATOSAÑO!$AM385)/DATOSAÑO!$Y385))," ")</f>
        <v>2.6862802066895326</v>
      </c>
      <c r="J122" s="324">
        <f t="shared" ca="1" si="9"/>
        <v>0</v>
      </c>
      <c r="K122" s="315"/>
      <c r="L122" s="315"/>
      <c r="M122" s="270"/>
      <c r="N122" s="269"/>
      <c r="O122" s="270"/>
      <c r="P122" s="289"/>
      <c r="Q122" s="290"/>
      <c r="R122" s="291"/>
      <c r="S122" s="292"/>
      <c r="T122" s="293"/>
      <c r="U122" s="294"/>
      <c r="V122" s="295"/>
      <c r="W122" s="296"/>
      <c r="X122" s="297"/>
      <c r="Y122" s="298"/>
    </row>
    <row r="123" spans="1:25">
      <c r="A123" s="2311"/>
      <c r="B123" s="2314"/>
      <c r="C123" s="2323"/>
      <c r="D123" s="2320"/>
      <c r="E123" s="726" t="s">
        <v>186</v>
      </c>
      <c r="F123" s="323">
        <f ca="1">IF($E123&lt;=DATOSAÑO!$B386,IF(DATOSAÑO!$Y386=0," ",((DATOSAÑO!$I386*DATOSAÑO!$AM386)/DATOSAÑO!$Y386))," ")</f>
        <v>3.9165477272719107</v>
      </c>
      <c r="G123" s="324">
        <f ca="1">IF($E123&lt;=DATOSAÑO!$B386,IF(DATOSAÑO!$Y386=0," ",((DATOSAÑO!$P386*DATOSAÑO!$AM386)/DATOSAÑO!$Y386))," ")</f>
        <v>7.8064522727256458</v>
      </c>
      <c r="H123" s="324">
        <f ca="1">IF($E123&lt;=DATOSAÑO!$B386,IF(DATOSAÑO!$Y386=0," ",((DATOSAÑO!$Q386*DATOSAÑO!$AM386)/DATOSAÑO!$Y386))," ")</f>
        <v>0</v>
      </c>
      <c r="I123" s="324">
        <f ca="1">IF($E123&lt;=DATOSAÑO!$B386,IF(DATOSAÑO!$Y386=0," ",((DATOSAÑO!$T386*DATOSAÑO!$AM386)/DATOSAÑO!$Y386))," ")</f>
        <v>0</v>
      </c>
      <c r="J123" s="324">
        <f t="shared" ca="1" si="9"/>
        <v>0</v>
      </c>
      <c r="K123" s="315"/>
      <c r="L123" s="315"/>
      <c r="M123" s="270"/>
      <c r="N123" s="269"/>
      <c r="O123" s="270"/>
      <c r="P123" s="289"/>
      <c r="Q123" s="290"/>
      <c r="R123" s="291"/>
      <c r="S123" s="292"/>
      <c r="T123" s="293"/>
      <c r="U123" s="294"/>
      <c r="V123" s="295"/>
      <c r="W123" s="296"/>
      <c r="X123" s="297"/>
      <c r="Y123" s="298"/>
    </row>
    <row r="124" spans="1:25" ht="15" thickBot="1">
      <c r="A124" s="2312"/>
      <c r="B124" s="2315"/>
      <c r="C124" s="2324"/>
      <c r="D124" s="2321"/>
      <c r="E124" s="727" t="s">
        <v>187</v>
      </c>
      <c r="F124" s="731" t="str">
        <f ca="1">IF($E124&lt;=DATOSAÑO!$B387,IF(DATOSAÑO!$Y387=0," ",((DATOSAÑO!$I387*DATOSAÑO!$AM387)/DATOSAÑO!$Y387))," ")</f>
        <v xml:space="preserve"> </v>
      </c>
      <c r="G124" s="329" t="str">
        <f ca="1">IF($E124&lt;=DATOSAÑO!$B387,IF(DATOSAÑO!$Y387=0," ",((DATOSAÑO!$P387*DATOSAÑO!$AM387)/DATOSAÑO!$Y387))," ")</f>
        <v xml:space="preserve"> </v>
      </c>
      <c r="H124" s="329" t="str">
        <f ca="1">IF($E124&lt;=DATOSAÑO!$B387,IF(DATOSAÑO!$Y387=0," ",((DATOSAÑO!$Q387*DATOSAÑO!$AM387)/DATOSAÑO!$Y387))," ")</f>
        <v xml:space="preserve"> </v>
      </c>
      <c r="I124" s="329" t="str">
        <f ca="1">IF($E124&lt;=DATOSAÑO!$B387,IF(DATOSAÑO!$Y387=0," ",((DATOSAÑO!$T387*DATOSAÑO!$AM387)/DATOSAÑO!$Y387))," ")</f>
        <v xml:space="preserve"> </v>
      </c>
      <c r="J124" s="329" t="str">
        <f t="shared" ca="1" si="9"/>
        <v xml:space="preserve"> </v>
      </c>
      <c r="K124" s="316"/>
      <c r="L124" s="316"/>
      <c r="M124" s="274"/>
      <c r="N124" s="273"/>
      <c r="O124" s="274"/>
      <c r="P124" s="301"/>
      <c r="Q124" s="302"/>
      <c r="R124" s="303"/>
      <c r="S124" s="304"/>
      <c r="T124" s="305"/>
      <c r="U124" s="306"/>
      <c r="V124" s="307"/>
      <c r="W124" s="308"/>
      <c r="X124" s="309"/>
      <c r="Y124" s="310"/>
    </row>
    <row r="125" spans="1:25">
      <c r="A125" s="2310" t="s">
        <v>250</v>
      </c>
      <c r="B125" s="2313" t="s">
        <v>251</v>
      </c>
      <c r="C125" s="2322" t="s">
        <v>262</v>
      </c>
      <c r="D125" s="2319">
        <v>2023</v>
      </c>
      <c r="E125" s="730" t="s">
        <v>175</v>
      </c>
      <c r="F125" s="330"/>
      <c r="G125" s="331"/>
      <c r="H125" s="331"/>
      <c r="I125" s="322"/>
      <c r="J125" s="322"/>
      <c r="K125" s="314"/>
      <c r="L125" s="314"/>
      <c r="M125" s="266"/>
      <c r="N125" s="265"/>
      <c r="O125" s="266"/>
      <c r="P125" s="277"/>
      <c r="Q125" s="278"/>
      <c r="R125" s="279"/>
      <c r="S125" s="280"/>
      <c r="T125" s="281"/>
      <c r="U125" s="282"/>
      <c r="V125" s="283"/>
      <c r="W125" s="284"/>
      <c r="X125" s="285"/>
      <c r="Y125" s="286"/>
    </row>
    <row r="126" spans="1:25">
      <c r="A126" s="2311"/>
      <c r="B126" s="2314"/>
      <c r="C126" s="2323"/>
      <c r="D126" s="2320"/>
      <c r="E126" s="726" t="s">
        <v>176</v>
      </c>
      <c r="F126" s="325"/>
      <c r="G126" s="326"/>
      <c r="H126" s="326"/>
      <c r="I126" s="324"/>
      <c r="J126" s="324"/>
      <c r="K126" s="315"/>
      <c r="L126" s="315"/>
      <c r="M126" s="270"/>
      <c r="N126" s="269"/>
      <c r="O126" s="270"/>
      <c r="P126" s="289"/>
      <c r="Q126" s="290"/>
      <c r="R126" s="291"/>
      <c r="S126" s="292"/>
      <c r="T126" s="293"/>
      <c r="U126" s="294"/>
      <c r="V126" s="295"/>
      <c r="W126" s="296"/>
      <c r="X126" s="297"/>
      <c r="Y126" s="298"/>
    </row>
    <row r="127" spans="1:25">
      <c r="A127" s="2311"/>
      <c r="B127" s="2314"/>
      <c r="C127" s="2323"/>
      <c r="D127" s="2320"/>
      <c r="E127" s="726" t="s">
        <v>177</v>
      </c>
      <c r="F127" s="325"/>
      <c r="G127" s="326"/>
      <c r="H127" s="326"/>
      <c r="I127" s="324"/>
      <c r="J127" s="324"/>
      <c r="K127" s="315"/>
      <c r="L127" s="315"/>
      <c r="M127" s="270"/>
      <c r="N127" s="269"/>
      <c r="O127" s="270"/>
      <c r="P127" s="289"/>
      <c r="Q127" s="290"/>
      <c r="R127" s="291"/>
      <c r="S127" s="292"/>
      <c r="T127" s="293"/>
      <c r="U127" s="294"/>
      <c r="V127" s="295"/>
      <c r="W127" s="296"/>
      <c r="X127" s="297"/>
      <c r="Y127" s="298"/>
    </row>
    <row r="128" spans="1:25">
      <c r="A128" s="2311"/>
      <c r="B128" s="2314"/>
      <c r="C128" s="2323"/>
      <c r="D128" s="2320"/>
      <c r="E128" s="726" t="s">
        <v>178</v>
      </c>
      <c r="F128" s="325"/>
      <c r="G128" s="326"/>
      <c r="H128" s="326"/>
      <c r="I128" s="324"/>
      <c r="J128" s="324"/>
      <c r="K128" s="315"/>
      <c r="L128" s="315"/>
      <c r="M128" s="270"/>
      <c r="N128" s="269"/>
      <c r="O128" s="270"/>
      <c r="P128" s="289"/>
      <c r="Q128" s="290"/>
      <c r="R128" s="291"/>
      <c r="S128" s="292"/>
      <c r="T128" s="293"/>
      <c r="U128" s="294"/>
      <c r="V128" s="295"/>
      <c r="W128" s="296"/>
      <c r="X128" s="297"/>
      <c r="Y128" s="298"/>
    </row>
    <row r="129" spans="1:25">
      <c r="A129" s="2311"/>
      <c r="B129" s="2314"/>
      <c r="C129" s="2323"/>
      <c r="D129" s="2320"/>
      <c r="E129" s="726" t="s">
        <v>179</v>
      </c>
      <c r="F129" s="325"/>
      <c r="G129" s="326"/>
      <c r="H129" s="326"/>
      <c r="I129" s="324"/>
      <c r="J129" s="324"/>
      <c r="K129" s="315"/>
      <c r="L129" s="315"/>
      <c r="M129" s="270"/>
      <c r="N129" s="269"/>
      <c r="O129" s="270"/>
      <c r="P129" s="289"/>
      <c r="Q129" s="290"/>
      <c r="R129" s="291"/>
      <c r="S129" s="292"/>
      <c r="T129" s="293"/>
      <c r="U129" s="294"/>
      <c r="V129" s="295"/>
      <c r="W129" s="296"/>
      <c r="X129" s="297"/>
      <c r="Y129" s="298"/>
    </row>
    <row r="130" spans="1:25">
      <c r="A130" s="2311"/>
      <c r="B130" s="2314"/>
      <c r="C130" s="2323"/>
      <c r="D130" s="2320"/>
      <c r="E130" s="726" t="s">
        <v>181</v>
      </c>
      <c r="F130" s="325"/>
      <c r="G130" s="326"/>
      <c r="H130" s="326"/>
      <c r="I130" s="324"/>
      <c r="J130" s="324"/>
      <c r="K130" s="315"/>
      <c r="L130" s="315"/>
      <c r="M130" s="270"/>
      <c r="N130" s="269"/>
      <c r="O130" s="270"/>
      <c r="P130" s="289"/>
      <c r="Q130" s="290"/>
      <c r="R130" s="291"/>
      <c r="S130" s="292"/>
      <c r="T130" s="293"/>
      <c r="U130" s="294"/>
      <c r="V130" s="295"/>
      <c r="W130" s="296"/>
      <c r="X130" s="297"/>
      <c r="Y130" s="298"/>
    </row>
    <row r="131" spans="1:25">
      <c r="A131" s="2311"/>
      <c r="B131" s="2314"/>
      <c r="C131" s="2323"/>
      <c r="D131" s="2320"/>
      <c r="E131" s="726" t="s">
        <v>182</v>
      </c>
      <c r="F131" s="325"/>
      <c r="G131" s="326"/>
      <c r="H131" s="326"/>
      <c r="I131" s="324"/>
      <c r="J131" s="324"/>
      <c r="K131" s="315"/>
      <c r="L131" s="315"/>
      <c r="M131" s="270"/>
      <c r="N131" s="269"/>
      <c r="O131" s="270"/>
      <c r="P131" s="289"/>
      <c r="Q131" s="290"/>
      <c r="R131" s="291"/>
      <c r="S131" s="292"/>
      <c r="T131" s="293"/>
      <c r="U131" s="294"/>
      <c r="V131" s="295"/>
      <c r="W131" s="296"/>
      <c r="X131" s="297"/>
      <c r="Y131" s="298"/>
    </row>
    <row r="132" spans="1:25">
      <c r="A132" s="2311"/>
      <c r="B132" s="2314"/>
      <c r="C132" s="2323"/>
      <c r="D132" s="2320"/>
      <c r="E132" s="726" t="s">
        <v>183</v>
      </c>
      <c r="F132" s="325"/>
      <c r="G132" s="326"/>
      <c r="H132" s="326"/>
      <c r="I132" s="324"/>
      <c r="J132" s="324"/>
      <c r="K132" s="315"/>
      <c r="L132" s="315"/>
      <c r="M132" s="270"/>
      <c r="N132" s="269"/>
      <c r="O132" s="270"/>
      <c r="P132" s="289"/>
      <c r="Q132" s="290"/>
      <c r="R132" s="291"/>
      <c r="S132" s="292"/>
      <c r="T132" s="293"/>
      <c r="U132" s="294"/>
      <c r="V132" s="295"/>
      <c r="W132" s="296"/>
      <c r="X132" s="297"/>
      <c r="Y132" s="298"/>
    </row>
    <row r="133" spans="1:25">
      <c r="A133" s="2311"/>
      <c r="B133" s="2314"/>
      <c r="C133" s="2323"/>
      <c r="D133" s="2320"/>
      <c r="E133" s="726" t="s">
        <v>184</v>
      </c>
      <c r="F133" s="325"/>
      <c r="G133" s="326"/>
      <c r="H133" s="326"/>
      <c r="I133" s="324"/>
      <c r="J133" s="324"/>
      <c r="K133" s="315"/>
      <c r="L133" s="315"/>
      <c r="M133" s="270"/>
      <c r="N133" s="269"/>
      <c r="O133" s="270"/>
      <c r="P133" s="289"/>
      <c r="Q133" s="290"/>
      <c r="R133" s="291"/>
      <c r="S133" s="292"/>
      <c r="T133" s="293"/>
      <c r="U133" s="294"/>
      <c r="V133" s="295"/>
      <c r="W133" s="296"/>
      <c r="X133" s="297"/>
      <c r="Y133" s="298"/>
    </row>
    <row r="134" spans="1:25">
      <c r="A134" s="2311"/>
      <c r="B134" s="2314"/>
      <c r="C134" s="2323"/>
      <c r="D134" s="2320"/>
      <c r="E134" s="726" t="s">
        <v>185</v>
      </c>
      <c r="F134" s="325"/>
      <c r="G134" s="326"/>
      <c r="H134" s="326"/>
      <c r="I134" s="324"/>
      <c r="J134" s="324"/>
      <c r="K134" s="315"/>
      <c r="L134" s="315"/>
      <c r="M134" s="270"/>
      <c r="N134" s="269"/>
      <c r="O134" s="270"/>
      <c r="P134" s="289"/>
      <c r="Q134" s="290"/>
      <c r="R134" s="291"/>
      <c r="S134" s="292"/>
      <c r="T134" s="293"/>
      <c r="U134" s="294"/>
      <c r="V134" s="295"/>
      <c r="W134" s="296"/>
      <c r="X134" s="297"/>
      <c r="Y134" s="298"/>
    </row>
    <row r="135" spans="1:25">
      <c r="A135" s="2311"/>
      <c r="B135" s="2314"/>
      <c r="C135" s="2323"/>
      <c r="D135" s="2320"/>
      <c r="E135" s="726" t="s">
        <v>186</v>
      </c>
      <c r="F135" s="325"/>
      <c r="G135" s="326"/>
      <c r="H135" s="326"/>
      <c r="I135" s="324"/>
      <c r="J135" s="324"/>
      <c r="K135" s="315"/>
      <c r="L135" s="315"/>
      <c r="M135" s="270"/>
      <c r="N135" s="269"/>
      <c r="O135" s="270"/>
      <c r="P135" s="289"/>
      <c r="Q135" s="290"/>
      <c r="R135" s="291"/>
      <c r="S135" s="292"/>
      <c r="T135" s="293"/>
      <c r="U135" s="294"/>
      <c r="V135" s="295"/>
      <c r="W135" s="296"/>
      <c r="X135" s="297"/>
      <c r="Y135" s="298"/>
    </row>
    <row r="136" spans="1:25" ht="15" thickBot="1">
      <c r="A136" s="2312"/>
      <c r="B136" s="2315"/>
      <c r="C136" s="2324"/>
      <c r="D136" s="2321"/>
      <c r="E136" s="727" t="s">
        <v>187</v>
      </c>
      <c r="F136" s="327"/>
      <c r="G136" s="328"/>
      <c r="H136" s="328"/>
      <c r="I136" s="329"/>
      <c r="J136" s="329"/>
      <c r="K136" s="316"/>
      <c r="L136" s="316"/>
      <c r="M136" s="274"/>
      <c r="N136" s="273"/>
      <c r="O136" s="274"/>
      <c r="P136" s="301"/>
      <c r="Q136" s="302"/>
      <c r="R136" s="303"/>
      <c r="S136" s="304"/>
      <c r="T136" s="305"/>
      <c r="U136" s="306"/>
      <c r="V136" s="307"/>
      <c r="W136" s="308"/>
      <c r="X136" s="309"/>
      <c r="Y136" s="310"/>
    </row>
    <row r="137" spans="1:25" hidden="1">
      <c r="A137" s="2310" t="s">
        <v>250</v>
      </c>
      <c r="B137" s="2313" t="s">
        <v>251</v>
      </c>
      <c r="C137" s="2316" t="s">
        <v>263</v>
      </c>
      <c r="D137" s="2319">
        <v>2021</v>
      </c>
      <c r="E137" s="730" t="s">
        <v>175</v>
      </c>
      <c r="F137" s="330"/>
      <c r="G137" s="331"/>
      <c r="H137" s="331"/>
      <c r="I137" s="322"/>
      <c r="J137" s="322"/>
      <c r="K137" s="314"/>
      <c r="L137" s="314"/>
      <c r="M137" s="266"/>
      <c r="N137" s="265"/>
      <c r="O137" s="266"/>
      <c r="P137" s="277"/>
      <c r="Q137" s="278"/>
      <c r="R137" s="279"/>
      <c r="S137" s="280"/>
      <c r="T137" s="281"/>
      <c r="U137" s="282"/>
      <c r="V137" s="283"/>
      <c r="W137" s="284"/>
      <c r="X137" s="285"/>
      <c r="Y137" s="286"/>
    </row>
    <row r="138" spans="1:25" hidden="1">
      <c r="A138" s="2311"/>
      <c r="B138" s="2314"/>
      <c r="C138" s="2317"/>
      <c r="D138" s="2320"/>
      <c r="E138" s="726" t="s">
        <v>176</v>
      </c>
      <c r="F138" s="325"/>
      <c r="G138" s="326"/>
      <c r="H138" s="326"/>
      <c r="I138" s="324"/>
      <c r="J138" s="324"/>
      <c r="K138" s="315"/>
      <c r="L138" s="315"/>
      <c r="M138" s="270"/>
      <c r="N138" s="269"/>
      <c r="O138" s="270"/>
      <c r="P138" s="289"/>
      <c r="Q138" s="290"/>
      <c r="R138" s="291"/>
      <c r="S138" s="292"/>
      <c r="T138" s="293"/>
      <c r="U138" s="294"/>
      <c r="V138" s="295"/>
      <c r="W138" s="296"/>
      <c r="X138" s="297"/>
      <c r="Y138" s="298"/>
    </row>
    <row r="139" spans="1:25" hidden="1">
      <c r="A139" s="2311"/>
      <c r="B139" s="2314"/>
      <c r="C139" s="2317"/>
      <c r="D139" s="2320"/>
      <c r="E139" s="726" t="s">
        <v>177</v>
      </c>
      <c r="F139" s="325"/>
      <c r="G139" s="326"/>
      <c r="H139" s="326"/>
      <c r="I139" s="324"/>
      <c r="J139" s="324"/>
      <c r="K139" s="315"/>
      <c r="L139" s="315"/>
      <c r="M139" s="270"/>
      <c r="N139" s="269"/>
      <c r="O139" s="270"/>
      <c r="P139" s="289"/>
      <c r="Q139" s="290"/>
      <c r="R139" s="291"/>
      <c r="S139" s="292"/>
      <c r="T139" s="293"/>
      <c r="U139" s="294"/>
      <c r="V139" s="295"/>
      <c r="W139" s="296"/>
      <c r="X139" s="297"/>
      <c r="Y139" s="298"/>
    </row>
    <row r="140" spans="1:25" hidden="1">
      <c r="A140" s="2311"/>
      <c r="B140" s="2314"/>
      <c r="C140" s="2317"/>
      <c r="D140" s="2320"/>
      <c r="E140" s="726" t="s">
        <v>178</v>
      </c>
      <c r="F140" s="325"/>
      <c r="G140" s="326"/>
      <c r="H140" s="326"/>
      <c r="I140" s="324"/>
      <c r="J140" s="324"/>
      <c r="K140" s="315"/>
      <c r="L140" s="315"/>
      <c r="M140" s="270"/>
      <c r="N140" s="269"/>
      <c r="O140" s="270"/>
      <c r="P140" s="289"/>
      <c r="Q140" s="290"/>
      <c r="R140" s="291"/>
      <c r="S140" s="292"/>
      <c r="T140" s="293"/>
      <c r="U140" s="294"/>
      <c r="V140" s="295"/>
      <c r="W140" s="296"/>
      <c r="X140" s="297"/>
      <c r="Y140" s="298"/>
    </row>
    <row r="141" spans="1:25" hidden="1">
      <c r="A141" s="2311"/>
      <c r="B141" s="2314"/>
      <c r="C141" s="2317"/>
      <c r="D141" s="2320"/>
      <c r="E141" s="726" t="s">
        <v>179</v>
      </c>
      <c r="F141" s="325"/>
      <c r="G141" s="326"/>
      <c r="H141" s="326"/>
      <c r="I141" s="324"/>
      <c r="J141" s="324"/>
      <c r="K141" s="315"/>
      <c r="L141" s="315"/>
      <c r="M141" s="270"/>
      <c r="N141" s="269"/>
      <c r="O141" s="270"/>
      <c r="P141" s="289"/>
      <c r="Q141" s="290"/>
      <c r="R141" s="291"/>
      <c r="S141" s="292"/>
      <c r="T141" s="293"/>
      <c r="U141" s="294"/>
      <c r="V141" s="295"/>
      <c r="W141" s="296"/>
      <c r="X141" s="297"/>
      <c r="Y141" s="298"/>
    </row>
    <row r="142" spans="1:25" hidden="1">
      <c r="A142" s="2311"/>
      <c r="B142" s="2314"/>
      <c r="C142" s="2317"/>
      <c r="D142" s="2320"/>
      <c r="E142" s="726" t="s">
        <v>181</v>
      </c>
      <c r="F142" s="325"/>
      <c r="G142" s="326"/>
      <c r="H142" s="326"/>
      <c r="I142" s="324"/>
      <c r="J142" s="324"/>
      <c r="K142" s="315"/>
      <c r="L142" s="315"/>
      <c r="M142" s="270"/>
      <c r="N142" s="269"/>
      <c r="O142" s="270"/>
      <c r="P142" s="289"/>
      <c r="Q142" s="290"/>
      <c r="R142" s="291"/>
      <c r="S142" s="292"/>
      <c r="T142" s="293"/>
      <c r="U142" s="294"/>
      <c r="V142" s="295"/>
      <c r="W142" s="296"/>
      <c r="X142" s="297"/>
      <c r="Y142" s="298"/>
    </row>
    <row r="143" spans="1:25" hidden="1">
      <c r="A143" s="2311"/>
      <c r="B143" s="2314"/>
      <c r="C143" s="2317"/>
      <c r="D143" s="2320"/>
      <c r="E143" s="726" t="s">
        <v>182</v>
      </c>
      <c r="F143" s="325"/>
      <c r="G143" s="326"/>
      <c r="H143" s="326"/>
      <c r="I143" s="324"/>
      <c r="J143" s="324"/>
      <c r="K143" s="315"/>
      <c r="L143" s="315"/>
      <c r="M143" s="270"/>
      <c r="N143" s="269"/>
      <c r="O143" s="270"/>
      <c r="P143" s="289"/>
      <c r="Q143" s="290"/>
      <c r="R143" s="291"/>
      <c r="S143" s="292"/>
      <c r="T143" s="293"/>
      <c r="U143" s="294"/>
      <c r="V143" s="295"/>
      <c r="W143" s="296"/>
      <c r="X143" s="297"/>
      <c r="Y143" s="298"/>
    </row>
    <row r="144" spans="1:25" hidden="1">
      <c r="A144" s="2311"/>
      <c r="B144" s="2314"/>
      <c r="C144" s="2317"/>
      <c r="D144" s="2320"/>
      <c r="E144" s="726" t="s">
        <v>183</v>
      </c>
      <c r="F144" s="325"/>
      <c r="G144" s="326"/>
      <c r="H144" s="326"/>
      <c r="I144" s="324"/>
      <c r="J144" s="324"/>
      <c r="K144" s="315"/>
      <c r="L144" s="315"/>
      <c r="M144" s="270"/>
      <c r="N144" s="269"/>
      <c r="O144" s="270"/>
      <c r="P144" s="289"/>
      <c r="Q144" s="290"/>
      <c r="R144" s="291"/>
      <c r="S144" s="292"/>
      <c r="T144" s="293"/>
      <c r="U144" s="294"/>
      <c r="V144" s="295"/>
      <c r="W144" s="296"/>
      <c r="X144" s="297"/>
      <c r="Y144" s="298"/>
    </row>
    <row r="145" spans="1:25" hidden="1">
      <c r="A145" s="2311"/>
      <c r="B145" s="2314"/>
      <c r="C145" s="2317"/>
      <c r="D145" s="2320"/>
      <c r="E145" s="726" t="s">
        <v>184</v>
      </c>
      <c r="F145" s="325"/>
      <c r="G145" s="326"/>
      <c r="H145" s="326"/>
      <c r="I145" s="324"/>
      <c r="J145" s="324"/>
      <c r="K145" s="315"/>
      <c r="L145" s="315"/>
      <c r="M145" s="270"/>
      <c r="N145" s="269"/>
      <c r="O145" s="270"/>
      <c r="P145" s="289"/>
      <c r="Q145" s="290"/>
      <c r="R145" s="291"/>
      <c r="S145" s="292"/>
      <c r="T145" s="293"/>
      <c r="U145" s="294"/>
      <c r="V145" s="295"/>
      <c r="W145" s="296"/>
      <c r="X145" s="297"/>
      <c r="Y145" s="298"/>
    </row>
    <row r="146" spans="1:25" hidden="1">
      <c r="A146" s="2311"/>
      <c r="B146" s="2314"/>
      <c r="C146" s="2317"/>
      <c r="D146" s="2320"/>
      <c r="E146" s="726" t="s">
        <v>185</v>
      </c>
      <c r="F146" s="325"/>
      <c r="G146" s="326"/>
      <c r="H146" s="326"/>
      <c r="I146" s="324"/>
      <c r="J146" s="324"/>
      <c r="K146" s="315"/>
      <c r="L146" s="315"/>
      <c r="M146" s="270"/>
      <c r="N146" s="269"/>
      <c r="O146" s="270"/>
      <c r="P146" s="289"/>
      <c r="Q146" s="290"/>
      <c r="R146" s="291"/>
      <c r="S146" s="292"/>
      <c r="T146" s="293"/>
      <c r="U146" s="294"/>
      <c r="V146" s="295"/>
      <c r="W146" s="296"/>
      <c r="X146" s="297"/>
      <c r="Y146" s="298"/>
    </row>
    <row r="147" spans="1:25" hidden="1">
      <c r="A147" s="2311"/>
      <c r="B147" s="2314"/>
      <c r="C147" s="2317"/>
      <c r="D147" s="2320"/>
      <c r="E147" s="726" t="s">
        <v>186</v>
      </c>
      <c r="F147" s="325"/>
      <c r="G147" s="326"/>
      <c r="H147" s="326"/>
      <c r="I147" s="324"/>
      <c r="J147" s="324"/>
      <c r="K147" s="315"/>
      <c r="L147" s="315"/>
      <c r="M147" s="270"/>
      <c r="N147" s="269"/>
      <c r="O147" s="270"/>
      <c r="P147" s="289"/>
      <c r="Q147" s="290"/>
      <c r="R147" s="291"/>
      <c r="S147" s="292"/>
      <c r="T147" s="293"/>
      <c r="U147" s="294"/>
      <c r="V147" s="295"/>
      <c r="W147" s="296"/>
      <c r="X147" s="297"/>
      <c r="Y147" s="298"/>
    </row>
    <row r="148" spans="1:25" ht="15" hidden="1" thickBot="1">
      <c r="A148" s="2312"/>
      <c r="B148" s="2315"/>
      <c r="C148" s="2318"/>
      <c r="D148" s="2321"/>
      <c r="E148" s="727" t="s">
        <v>187</v>
      </c>
      <c r="F148" s="327"/>
      <c r="G148" s="328"/>
      <c r="H148" s="328"/>
      <c r="I148" s="329"/>
      <c r="J148" s="329"/>
      <c r="K148" s="316"/>
      <c r="L148" s="316"/>
      <c r="M148" s="274"/>
      <c r="N148" s="273"/>
      <c r="O148" s="274"/>
      <c r="P148" s="301"/>
      <c r="Q148" s="302"/>
      <c r="R148" s="303"/>
      <c r="S148" s="304"/>
      <c r="T148" s="305"/>
      <c r="U148" s="306"/>
      <c r="V148" s="307"/>
      <c r="W148" s="308"/>
      <c r="X148" s="309"/>
      <c r="Y148" s="310"/>
    </row>
    <row r="149" spans="1:25" hidden="1">
      <c r="A149" s="2310" t="s">
        <v>250</v>
      </c>
      <c r="B149" s="2313" t="s">
        <v>251</v>
      </c>
      <c r="C149" s="2316" t="s">
        <v>264</v>
      </c>
      <c r="D149" s="2319">
        <v>2021</v>
      </c>
      <c r="E149" s="730" t="s">
        <v>175</v>
      </c>
      <c r="F149" s="330"/>
      <c r="G149" s="331"/>
      <c r="H149" s="331"/>
      <c r="I149" s="322"/>
      <c r="J149" s="322"/>
      <c r="K149" s="314"/>
      <c r="L149" s="406" t="e">
        <f>IF(DATOSAÑO!#REF!&lt;=INICIO!$D$13,DATOSAÑO!#REF!," ")</f>
        <v>#REF!</v>
      </c>
      <c r="M149" s="266"/>
      <c r="N149" s="265"/>
      <c r="O149" s="266"/>
      <c r="P149" s="277"/>
      <c r="Q149" s="278"/>
      <c r="R149" s="279"/>
      <c r="S149" s="280"/>
      <c r="T149" s="281"/>
      <c r="U149" s="282"/>
      <c r="V149" s="283"/>
      <c r="W149" s="284"/>
      <c r="X149" s="285"/>
      <c r="Y149" s="286"/>
    </row>
    <row r="150" spans="1:25" hidden="1">
      <c r="A150" s="2311"/>
      <c r="B150" s="2314"/>
      <c r="C150" s="2317"/>
      <c r="D150" s="2320"/>
      <c r="E150" s="726" t="s">
        <v>176</v>
      </c>
      <c r="F150" s="325"/>
      <c r="G150" s="326"/>
      <c r="H150" s="326"/>
      <c r="I150" s="326"/>
      <c r="J150" s="326"/>
      <c r="K150" s="315"/>
      <c r="L150" s="406" t="e">
        <f>IF(DATOSAÑO!#REF!&lt;=INICIO!$D$13,DATOSAÑO!#REF!," ")</f>
        <v>#REF!</v>
      </c>
      <c r="M150" s="270"/>
      <c r="N150" s="269"/>
      <c r="O150" s="270"/>
      <c r="P150" s="289"/>
      <c r="Q150" s="290"/>
      <c r="R150" s="291"/>
      <c r="S150" s="292"/>
      <c r="T150" s="293"/>
      <c r="U150" s="294"/>
      <c r="V150" s="295"/>
      <c r="W150" s="296"/>
      <c r="X150" s="297"/>
      <c r="Y150" s="298"/>
    </row>
    <row r="151" spans="1:25" hidden="1">
      <c r="A151" s="2311"/>
      <c r="B151" s="2314"/>
      <c r="C151" s="2317"/>
      <c r="D151" s="2320"/>
      <c r="E151" s="726" t="s">
        <v>177</v>
      </c>
      <c r="F151" s="325"/>
      <c r="G151" s="326"/>
      <c r="H151" s="326"/>
      <c r="I151" s="326"/>
      <c r="J151" s="326"/>
      <c r="K151" s="315"/>
      <c r="L151" s="406" t="e">
        <f>IF(DATOSAÑO!#REF!&lt;=INICIO!$D$13,DATOSAÑO!#REF!," ")</f>
        <v>#REF!</v>
      </c>
      <c r="M151" s="270"/>
      <c r="N151" s="269"/>
      <c r="O151" s="270"/>
      <c r="P151" s="289"/>
      <c r="Q151" s="290"/>
      <c r="R151" s="291"/>
      <c r="S151" s="292"/>
      <c r="T151" s="293"/>
      <c r="U151" s="294"/>
      <c r="V151" s="295"/>
      <c r="W151" s="296"/>
      <c r="X151" s="297"/>
      <c r="Y151" s="298"/>
    </row>
    <row r="152" spans="1:25" hidden="1">
      <c r="A152" s="2311"/>
      <c r="B152" s="2314"/>
      <c r="C152" s="2317"/>
      <c r="D152" s="2320"/>
      <c r="E152" s="726" t="s">
        <v>178</v>
      </c>
      <c r="F152" s="325"/>
      <c r="G152" s="326"/>
      <c r="H152" s="326"/>
      <c r="I152" s="326"/>
      <c r="J152" s="326"/>
      <c r="K152" s="315"/>
      <c r="L152" s="406" t="e">
        <f>IF(DATOSAÑO!#REF!&lt;=INICIO!$D$13,DATOSAÑO!#REF!," ")</f>
        <v>#REF!</v>
      </c>
      <c r="M152" s="270"/>
      <c r="N152" s="269"/>
      <c r="O152" s="270"/>
      <c r="P152" s="289"/>
      <c r="Q152" s="290"/>
      <c r="R152" s="291"/>
      <c r="S152" s="292"/>
      <c r="T152" s="293"/>
      <c r="U152" s="294"/>
      <c r="V152" s="295"/>
      <c r="W152" s="296"/>
      <c r="X152" s="297"/>
      <c r="Y152" s="298"/>
    </row>
    <row r="153" spans="1:25" hidden="1">
      <c r="A153" s="2311"/>
      <c r="B153" s="2314"/>
      <c r="C153" s="2317"/>
      <c r="D153" s="2320"/>
      <c r="E153" s="726" t="s">
        <v>179</v>
      </c>
      <c r="F153" s="325"/>
      <c r="G153" s="326"/>
      <c r="H153" s="326"/>
      <c r="I153" s="326"/>
      <c r="J153" s="326"/>
      <c r="K153" s="315"/>
      <c r="L153" s="406" t="e">
        <f>IF(DATOSAÑO!#REF!&lt;=INICIO!$D$13,DATOSAÑO!#REF!," ")</f>
        <v>#REF!</v>
      </c>
      <c r="M153" s="270"/>
      <c r="N153" s="269"/>
      <c r="O153" s="270"/>
      <c r="P153" s="289"/>
      <c r="Q153" s="290"/>
      <c r="R153" s="291"/>
      <c r="S153" s="292"/>
      <c r="T153" s="293"/>
      <c r="U153" s="294"/>
      <c r="V153" s="295"/>
      <c r="W153" s="296"/>
      <c r="X153" s="297"/>
      <c r="Y153" s="298"/>
    </row>
    <row r="154" spans="1:25" hidden="1">
      <c r="A154" s="2311"/>
      <c r="B154" s="2314"/>
      <c r="C154" s="2317"/>
      <c r="D154" s="2320"/>
      <c r="E154" s="726" t="s">
        <v>181</v>
      </c>
      <c r="F154" s="325"/>
      <c r="G154" s="326"/>
      <c r="H154" s="326"/>
      <c r="I154" s="326"/>
      <c r="J154" s="326"/>
      <c r="K154" s="315"/>
      <c r="L154" s="406" t="e">
        <f>IF(DATOSAÑO!#REF!&lt;=INICIO!$D$13,DATOSAÑO!#REF!," ")</f>
        <v>#REF!</v>
      </c>
      <c r="M154" s="270"/>
      <c r="N154" s="269"/>
      <c r="O154" s="270"/>
      <c r="P154" s="289"/>
      <c r="Q154" s="290"/>
      <c r="R154" s="291"/>
      <c r="S154" s="292"/>
      <c r="T154" s="293"/>
      <c r="U154" s="294"/>
      <c r="V154" s="295"/>
      <c r="W154" s="296"/>
      <c r="X154" s="297"/>
      <c r="Y154" s="298"/>
    </row>
    <row r="155" spans="1:25" hidden="1">
      <c r="A155" s="2311"/>
      <c r="B155" s="2314"/>
      <c r="C155" s="2317"/>
      <c r="D155" s="2320"/>
      <c r="E155" s="726" t="s">
        <v>182</v>
      </c>
      <c r="F155" s="325"/>
      <c r="G155" s="326"/>
      <c r="H155" s="326"/>
      <c r="I155" s="326"/>
      <c r="J155" s="326"/>
      <c r="K155" s="315"/>
      <c r="L155" s="406" t="e">
        <f>IF(DATOSAÑO!#REF!&lt;=INICIO!$D$13,DATOSAÑO!#REF!," ")</f>
        <v>#REF!</v>
      </c>
      <c r="M155" s="270"/>
      <c r="N155" s="269"/>
      <c r="O155" s="270"/>
      <c r="P155" s="289"/>
      <c r="Q155" s="290"/>
      <c r="R155" s="291"/>
      <c r="S155" s="292"/>
      <c r="T155" s="293"/>
      <c r="U155" s="294"/>
      <c r="V155" s="295"/>
      <c r="W155" s="296"/>
      <c r="X155" s="297"/>
      <c r="Y155" s="298"/>
    </row>
    <row r="156" spans="1:25" hidden="1">
      <c r="A156" s="2311"/>
      <c r="B156" s="2314"/>
      <c r="C156" s="2317"/>
      <c r="D156" s="2320"/>
      <c r="E156" s="726" t="s">
        <v>183</v>
      </c>
      <c r="F156" s="325"/>
      <c r="G156" s="326"/>
      <c r="H156" s="326"/>
      <c r="I156" s="326"/>
      <c r="J156" s="326"/>
      <c r="K156" s="315"/>
      <c r="L156" s="406" t="e">
        <f>IF(DATOSAÑO!#REF!&lt;=INICIO!$D$13,DATOSAÑO!#REF!," ")</f>
        <v>#REF!</v>
      </c>
      <c r="M156" s="270"/>
      <c r="N156" s="269"/>
      <c r="O156" s="270"/>
      <c r="P156" s="289"/>
      <c r="Q156" s="290"/>
      <c r="R156" s="291"/>
      <c r="S156" s="292"/>
      <c r="T156" s="293"/>
      <c r="U156" s="294"/>
      <c r="V156" s="295"/>
      <c r="W156" s="296"/>
      <c r="X156" s="297"/>
      <c r="Y156" s="298"/>
    </row>
    <row r="157" spans="1:25" hidden="1">
      <c r="A157" s="2311"/>
      <c r="B157" s="2314"/>
      <c r="C157" s="2317"/>
      <c r="D157" s="2320"/>
      <c r="E157" s="726" t="s">
        <v>184</v>
      </c>
      <c r="F157" s="325"/>
      <c r="G157" s="326"/>
      <c r="H157" s="326"/>
      <c r="I157" s="326"/>
      <c r="J157" s="326"/>
      <c r="K157" s="315"/>
      <c r="L157" s="406" t="e">
        <f>IF(DATOSAÑO!#REF!&lt;=INICIO!$D$13,DATOSAÑO!#REF!," ")</f>
        <v>#REF!</v>
      </c>
      <c r="M157" s="270"/>
      <c r="N157" s="269"/>
      <c r="O157" s="270"/>
      <c r="P157" s="289"/>
      <c r="Q157" s="290"/>
      <c r="R157" s="291"/>
      <c r="S157" s="292"/>
      <c r="T157" s="293"/>
      <c r="U157" s="294"/>
      <c r="V157" s="295"/>
      <c r="W157" s="296"/>
      <c r="X157" s="297"/>
      <c r="Y157" s="298"/>
    </row>
    <row r="158" spans="1:25" hidden="1">
      <c r="A158" s="2311"/>
      <c r="B158" s="2314"/>
      <c r="C158" s="2317"/>
      <c r="D158" s="2320"/>
      <c r="E158" s="726" t="s">
        <v>185</v>
      </c>
      <c r="F158" s="325"/>
      <c r="G158" s="326"/>
      <c r="H158" s="326"/>
      <c r="I158" s="326"/>
      <c r="J158" s="326"/>
      <c r="K158" s="315"/>
      <c r="L158" s="406" t="e">
        <f>IF(DATOSAÑO!#REF!&lt;=INICIO!$D$13,DATOSAÑO!#REF!," ")</f>
        <v>#REF!</v>
      </c>
      <c r="M158" s="270"/>
      <c r="N158" s="269"/>
      <c r="O158" s="270"/>
      <c r="P158" s="289"/>
      <c r="Q158" s="290"/>
      <c r="R158" s="291"/>
      <c r="S158" s="292"/>
      <c r="T158" s="293"/>
      <c r="U158" s="294"/>
      <c r="V158" s="295"/>
      <c r="W158" s="296"/>
      <c r="X158" s="297"/>
      <c r="Y158" s="298"/>
    </row>
    <row r="159" spans="1:25" hidden="1">
      <c r="A159" s="2311"/>
      <c r="B159" s="2314"/>
      <c r="C159" s="2317"/>
      <c r="D159" s="2320"/>
      <c r="E159" s="726" t="s">
        <v>186</v>
      </c>
      <c r="F159" s="325"/>
      <c r="G159" s="326"/>
      <c r="H159" s="326"/>
      <c r="I159" s="326"/>
      <c r="J159" s="326"/>
      <c r="K159" s="315"/>
      <c r="L159" s="406" t="e">
        <f>IF(DATOSAÑO!#REF!&lt;=INICIO!$D$13,DATOSAÑO!#REF!," ")</f>
        <v>#REF!</v>
      </c>
      <c r="M159" s="270"/>
      <c r="N159" s="269"/>
      <c r="O159" s="270"/>
      <c r="P159" s="289"/>
      <c r="Q159" s="290"/>
      <c r="R159" s="291"/>
      <c r="S159" s="292"/>
      <c r="T159" s="293"/>
      <c r="U159" s="294"/>
      <c r="V159" s="295"/>
      <c r="W159" s="296"/>
      <c r="X159" s="297"/>
      <c r="Y159" s="298"/>
    </row>
    <row r="160" spans="1:25" ht="15" hidden="1" thickBot="1">
      <c r="A160" s="2312"/>
      <c r="B160" s="2315"/>
      <c r="C160" s="2318"/>
      <c r="D160" s="2321"/>
      <c r="E160" s="727" t="s">
        <v>187</v>
      </c>
      <c r="F160" s="327"/>
      <c r="G160" s="328"/>
      <c r="H160" s="328"/>
      <c r="I160" s="328"/>
      <c r="J160" s="328"/>
      <c r="K160" s="316"/>
      <c r="L160" s="406" t="e">
        <f>IF(DATOSAÑO!#REF!&lt;=INICIO!$D$13,DATOSAÑO!#REF!," ")</f>
        <v>#REF!</v>
      </c>
      <c r="M160" s="274"/>
      <c r="N160" s="273"/>
      <c r="O160" s="274"/>
      <c r="P160" s="301"/>
      <c r="Q160" s="302"/>
      <c r="R160" s="303"/>
      <c r="S160" s="304"/>
      <c r="T160" s="305"/>
      <c r="U160" s="306"/>
      <c r="V160" s="307"/>
      <c r="W160" s="308"/>
      <c r="X160" s="309"/>
      <c r="Y160" s="310"/>
    </row>
    <row r="161" spans="1:25" hidden="1">
      <c r="A161" s="2310" t="s">
        <v>250</v>
      </c>
      <c r="B161" s="2313" t="s">
        <v>251</v>
      </c>
      <c r="C161" s="2316" t="s">
        <v>265</v>
      </c>
      <c r="D161" s="2319">
        <v>2021</v>
      </c>
      <c r="E161" s="730" t="s">
        <v>175</v>
      </c>
      <c r="F161" s="330"/>
      <c r="G161" s="331"/>
      <c r="H161" s="331"/>
      <c r="I161" s="331"/>
      <c r="J161" s="331"/>
      <c r="K161" s="314"/>
      <c r="L161" s="314"/>
      <c r="M161" s="266"/>
      <c r="N161" s="265"/>
      <c r="O161" s="266"/>
      <c r="P161" s="277"/>
      <c r="Q161" s="278"/>
      <c r="R161" s="279"/>
      <c r="S161" s="280"/>
      <c r="T161" s="281"/>
      <c r="U161" s="282"/>
      <c r="V161" s="283"/>
      <c r="W161" s="284"/>
      <c r="X161" s="285"/>
      <c r="Y161" s="286"/>
    </row>
    <row r="162" spans="1:25" hidden="1">
      <c r="A162" s="2311"/>
      <c r="B162" s="2314"/>
      <c r="C162" s="2317"/>
      <c r="D162" s="2320"/>
      <c r="E162" s="726" t="s">
        <v>176</v>
      </c>
      <c r="F162" s="325"/>
      <c r="G162" s="326"/>
      <c r="H162" s="326"/>
      <c r="I162" s="326"/>
      <c r="J162" s="326"/>
      <c r="K162" s="315"/>
      <c r="L162" s="315"/>
      <c r="M162" s="270"/>
      <c r="N162" s="269"/>
      <c r="O162" s="270"/>
      <c r="P162" s="289"/>
      <c r="Q162" s="290"/>
      <c r="R162" s="291"/>
      <c r="S162" s="292"/>
      <c r="T162" s="293"/>
      <c r="U162" s="294"/>
      <c r="V162" s="295"/>
      <c r="W162" s="296"/>
      <c r="X162" s="297"/>
      <c r="Y162" s="298"/>
    </row>
    <row r="163" spans="1:25" hidden="1">
      <c r="A163" s="2311"/>
      <c r="B163" s="2314"/>
      <c r="C163" s="2317"/>
      <c r="D163" s="2320"/>
      <c r="E163" s="726" t="s">
        <v>177</v>
      </c>
      <c r="F163" s="325"/>
      <c r="G163" s="326"/>
      <c r="H163" s="326"/>
      <c r="I163" s="326"/>
      <c r="J163" s="326"/>
      <c r="K163" s="315"/>
      <c r="L163" s="315"/>
      <c r="M163" s="270"/>
      <c r="N163" s="269"/>
      <c r="O163" s="270"/>
      <c r="P163" s="289"/>
      <c r="Q163" s="290"/>
      <c r="R163" s="291"/>
      <c r="S163" s="292"/>
      <c r="T163" s="293"/>
      <c r="U163" s="294"/>
      <c r="V163" s="295"/>
      <c r="W163" s="296"/>
      <c r="X163" s="297"/>
      <c r="Y163" s="298"/>
    </row>
    <row r="164" spans="1:25" hidden="1">
      <c r="A164" s="2311"/>
      <c r="B164" s="2314"/>
      <c r="C164" s="2317"/>
      <c r="D164" s="2320"/>
      <c r="E164" s="726" t="s">
        <v>178</v>
      </c>
      <c r="F164" s="325"/>
      <c r="G164" s="326"/>
      <c r="H164" s="326"/>
      <c r="I164" s="326"/>
      <c r="J164" s="326"/>
      <c r="K164" s="315"/>
      <c r="L164" s="315"/>
      <c r="M164" s="270"/>
      <c r="N164" s="269"/>
      <c r="O164" s="270"/>
      <c r="P164" s="289"/>
      <c r="Q164" s="290"/>
      <c r="R164" s="291"/>
      <c r="S164" s="292"/>
      <c r="T164" s="293"/>
      <c r="U164" s="294"/>
      <c r="V164" s="295"/>
      <c r="W164" s="296"/>
      <c r="X164" s="297"/>
      <c r="Y164" s="298"/>
    </row>
    <row r="165" spans="1:25" hidden="1">
      <c r="A165" s="2311"/>
      <c r="B165" s="2314"/>
      <c r="C165" s="2317"/>
      <c r="D165" s="2320"/>
      <c r="E165" s="726" t="s">
        <v>179</v>
      </c>
      <c r="F165" s="325"/>
      <c r="G165" s="326"/>
      <c r="H165" s="326"/>
      <c r="I165" s="326"/>
      <c r="J165" s="326"/>
      <c r="K165" s="315"/>
      <c r="L165" s="315"/>
      <c r="M165" s="270"/>
      <c r="N165" s="269"/>
      <c r="O165" s="270"/>
      <c r="P165" s="289"/>
      <c r="Q165" s="290"/>
      <c r="R165" s="291"/>
      <c r="S165" s="292"/>
      <c r="T165" s="293"/>
      <c r="U165" s="294"/>
      <c r="V165" s="295"/>
      <c r="W165" s="296"/>
      <c r="X165" s="297"/>
      <c r="Y165" s="298"/>
    </row>
    <row r="166" spans="1:25" hidden="1">
      <c r="A166" s="2311"/>
      <c r="B166" s="2314"/>
      <c r="C166" s="2317"/>
      <c r="D166" s="2320"/>
      <c r="E166" s="726" t="s">
        <v>181</v>
      </c>
      <c r="F166" s="325"/>
      <c r="G166" s="326"/>
      <c r="H166" s="326"/>
      <c r="I166" s="326"/>
      <c r="J166" s="326"/>
      <c r="K166" s="315"/>
      <c r="L166" s="315"/>
      <c r="M166" s="270"/>
      <c r="N166" s="269"/>
      <c r="O166" s="270"/>
      <c r="P166" s="289"/>
      <c r="Q166" s="290"/>
      <c r="R166" s="291"/>
      <c r="S166" s="292"/>
      <c r="T166" s="293"/>
      <c r="U166" s="294"/>
      <c r="V166" s="295"/>
      <c r="W166" s="296"/>
      <c r="X166" s="297"/>
      <c r="Y166" s="298"/>
    </row>
    <row r="167" spans="1:25" hidden="1">
      <c r="A167" s="2311"/>
      <c r="B167" s="2314"/>
      <c r="C167" s="2317"/>
      <c r="D167" s="2320"/>
      <c r="E167" s="726" t="s">
        <v>182</v>
      </c>
      <c r="F167" s="325"/>
      <c r="G167" s="326"/>
      <c r="H167" s="326"/>
      <c r="I167" s="326"/>
      <c r="J167" s="326"/>
      <c r="K167" s="315"/>
      <c r="L167" s="315"/>
      <c r="M167" s="270"/>
      <c r="N167" s="269"/>
      <c r="O167" s="270"/>
      <c r="P167" s="289"/>
      <c r="Q167" s="290"/>
      <c r="R167" s="291"/>
      <c r="S167" s="292"/>
      <c r="T167" s="293"/>
      <c r="U167" s="294"/>
      <c r="V167" s="295"/>
      <c r="W167" s="296"/>
      <c r="X167" s="297"/>
      <c r="Y167" s="298"/>
    </row>
    <row r="168" spans="1:25" hidden="1">
      <c r="A168" s="2311"/>
      <c r="B168" s="2314"/>
      <c r="C168" s="2317"/>
      <c r="D168" s="2320"/>
      <c r="E168" s="726" t="s">
        <v>183</v>
      </c>
      <c r="F168" s="325"/>
      <c r="G168" s="326"/>
      <c r="H168" s="326"/>
      <c r="I168" s="326"/>
      <c r="J168" s="326"/>
      <c r="K168" s="315"/>
      <c r="L168" s="315"/>
      <c r="M168" s="270"/>
      <c r="N168" s="269"/>
      <c r="O168" s="270"/>
      <c r="P168" s="289"/>
      <c r="Q168" s="290"/>
      <c r="R168" s="291"/>
      <c r="S168" s="292"/>
      <c r="T168" s="293"/>
      <c r="U168" s="294"/>
      <c r="V168" s="295"/>
      <c r="W168" s="296"/>
      <c r="X168" s="297"/>
      <c r="Y168" s="298"/>
    </row>
    <row r="169" spans="1:25" hidden="1">
      <c r="A169" s="2311"/>
      <c r="B169" s="2314"/>
      <c r="C169" s="2317"/>
      <c r="D169" s="2320"/>
      <c r="E169" s="726" t="s">
        <v>184</v>
      </c>
      <c r="F169" s="325"/>
      <c r="G169" s="326"/>
      <c r="H169" s="326"/>
      <c r="I169" s="326"/>
      <c r="J169" s="326"/>
      <c r="K169" s="315"/>
      <c r="L169" s="315"/>
      <c r="M169" s="270"/>
      <c r="N169" s="269"/>
      <c r="O169" s="270"/>
      <c r="P169" s="289"/>
      <c r="Q169" s="290"/>
      <c r="R169" s="291"/>
      <c r="S169" s="292"/>
      <c r="T169" s="293"/>
      <c r="U169" s="294"/>
      <c r="V169" s="295"/>
      <c r="W169" s="296"/>
      <c r="X169" s="297"/>
      <c r="Y169" s="298"/>
    </row>
    <row r="170" spans="1:25" hidden="1">
      <c r="A170" s="2311"/>
      <c r="B170" s="2314"/>
      <c r="C170" s="2317"/>
      <c r="D170" s="2320"/>
      <c r="E170" s="726" t="s">
        <v>185</v>
      </c>
      <c r="F170" s="325"/>
      <c r="G170" s="326"/>
      <c r="H170" s="326"/>
      <c r="I170" s="326"/>
      <c r="J170" s="326"/>
      <c r="K170" s="315"/>
      <c r="L170" s="315"/>
      <c r="M170" s="270"/>
      <c r="N170" s="269"/>
      <c r="O170" s="270"/>
      <c r="P170" s="289"/>
      <c r="Q170" s="290"/>
      <c r="R170" s="291"/>
      <c r="S170" s="292"/>
      <c r="T170" s="293"/>
      <c r="U170" s="294"/>
      <c r="V170" s="295"/>
      <c r="W170" s="296"/>
      <c r="X170" s="297"/>
      <c r="Y170" s="298"/>
    </row>
    <row r="171" spans="1:25" hidden="1">
      <c r="A171" s="2311"/>
      <c r="B171" s="2314"/>
      <c r="C171" s="2317"/>
      <c r="D171" s="2320"/>
      <c r="E171" s="726" t="s">
        <v>186</v>
      </c>
      <c r="F171" s="325"/>
      <c r="G171" s="326"/>
      <c r="H171" s="326"/>
      <c r="I171" s="326"/>
      <c r="J171" s="326"/>
      <c r="K171" s="315"/>
      <c r="L171" s="315"/>
      <c r="M171" s="270"/>
      <c r="N171" s="269"/>
      <c r="O171" s="270"/>
      <c r="P171" s="289"/>
      <c r="Q171" s="290"/>
      <c r="R171" s="291"/>
      <c r="S171" s="292"/>
      <c r="T171" s="293"/>
      <c r="U171" s="294"/>
      <c r="V171" s="295"/>
      <c r="W171" s="296"/>
      <c r="X171" s="297"/>
      <c r="Y171" s="298"/>
    </row>
    <row r="172" spans="1:25" ht="15" hidden="1" thickBot="1">
      <c r="A172" s="2312"/>
      <c r="B172" s="2315"/>
      <c r="C172" s="2318"/>
      <c r="D172" s="2321"/>
      <c r="E172" s="727" t="s">
        <v>187</v>
      </c>
      <c r="F172" s="327"/>
      <c r="G172" s="328"/>
      <c r="H172" s="328"/>
      <c r="I172" s="328"/>
      <c r="J172" s="328"/>
      <c r="K172" s="316"/>
      <c r="L172" s="316"/>
      <c r="M172" s="274"/>
      <c r="N172" s="273"/>
      <c r="O172" s="274"/>
      <c r="P172" s="301"/>
      <c r="Q172" s="302"/>
      <c r="R172" s="303"/>
      <c r="S172" s="304"/>
      <c r="T172" s="305"/>
      <c r="U172" s="306"/>
      <c r="V172" s="307"/>
      <c r="W172" s="308"/>
      <c r="X172" s="309"/>
      <c r="Y172" s="310"/>
    </row>
    <row r="173" spans="1:25" hidden="1">
      <c r="A173" s="2310" t="s">
        <v>250</v>
      </c>
      <c r="B173" s="2313" t="s">
        <v>251</v>
      </c>
      <c r="C173" s="2316" t="s">
        <v>266</v>
      </c>
      <c r="D173" s="2319">
        <v>2021</v>
      </c>
      <c r="E173" s="730" t="s">
        <v>175</v>
      </c>
      <c r="F173" s="330"/>
      <c r="G173" s="331"/>
      <c r="H173" s="331"/>
      <c r="I173" s="331"/>
      <c r="J173" s="331"/>
      <c r="K173" s="314"/>
      <c r="L173" s="406" t="e">
        <f>IF(DATOSAÑO!#REF!&lt;=INICIO!$D$13,DATOSAÑO!#REF!," ")</f>
        <v>#REF!</v>
      </c>
      <c r="M173" s="266"/>
      <c r="N173" s="265"/>
      <c r="O173" s="266"/>
      <c r="P173" s="277"/>
      <c r="Q173" s="278"/>
      <c r="R173" s="279"/>
      <c r="S173" s="280"/>
      <c r="T173" s="281"/>
      <c r="U173" s="282"/>
      <c r="V173" s="283"/>
      <c r="W173" s="284"/>
      <c r="X173" s="285"/>
      <c r="Y173" s="286"/>
    </row>
    <row r="174" spans="1:25" hidden="1">
      <c r="A174" s="2311"/>
      <c r="B174" s="2314"/>
      <c r="C174" s="2317"/>
      <c r="D174" s="2320"/>
      <c r="E174" s="726" t="s">
        <v>176</v>
      </c>
      <c r="F174" s="325"/>
      <c r="G174" s="326"/>
      <c r="H174" s="326"/>
      <c r="I174" s="326"/>
      <c r="J174" s="326"/>
      <c r="K174" s="315"/>
      <c r="L174" s="406" t="e">
        <f>IF(DATOSAÑO!#REF!&lt;=INICIO!$D$13,DATOSAÑO!#REF!," ")</f>
        <v>#REF!</v>
      </c>
      <c r="M174" s="270"/>
      <c r="N174" s="269"/>
      <c r="O174" s="270"/>
      <c r="P174" s="289"/>
      <c r="Q174" s="290"/>
      <c r="R174" s="291"/>
      <c r="S174" s="292"/>
      <c r="T174" s="293"/>
      <c r="U174" s="294"/>
      <c r="V174" s="295"/>
      <c r="W174" s="296"/>
      <c r="X174" s="297"/>
      <c r="Y174" s="298"/>
    </row>
    <row r="175" spans="1:25" hidden="1">
      <c r="A175" s="2311"/>
      <c r="B175" s="2314"/>
      <c r="C175" s="2317"/>
      <c r="D175" s="2320"/>
      <c r="E175" s="726" t="s">
        <v>177</v>
      </c>
      <c r="F175" s="325"/>
      <c r="G175" s="326"/>
      <c r="H175" s="326"/>
      <c r="I175" s="326"/>
      <c r="J175" s="326"/>
      <c r="K175" s="315"/>
      <c r="L175" s="406" t="e">
        <f>IF(DATOSAÑO!#REF!&lt;=INICIO!$D$13,DATOSAÑO!#REF!," ")</f>
        <v>#REF!</v>
      </c>
      <c r="M175" s="270"/>
      <c r="N175" s="269"/>
      <c r="O175" s="270"/>
      <c r="P175" s="289"/>
      <c r="Q175" s="290"/>
      <c r="R175" s="291"/>
      <c r="S175" s="292"/>
      <c r="T175" s="293"/>
      <c r="U175" s="294"/>
      <c r="V175" s="295"/>
      <c r="W175" s="296"/>
      <c r="X175" s="297"/>
      <c r="Y175" s="298"/>
    </row>
    <row r="176" spans="1:25" hidden="1">
      <c r="A176" s="2311"/>
      <c r="B176" s="2314"/>
      <c r="C176" s="2317"/>
      <c r="D176" s="2320"/>
      <c r="E176" s="726" t="s">
        <v>178</v>
      </c>
      <c r="F176" s="325"/>
      <c r="G176" s="326"/>
      <c r="H176" s="326"/>
      <c r="I176" s="326"/>
      <c r="J176" s="326"/>
      <c r="K176" s="315"/>
      <c r="L176" s="406" t="e">
        <f>IF(DATOSAÑO!#REF!&lt;=INICIO!$D$13,DATOSAÑO!#REF!," ")</f>
        <v>#REF!</v>
      </c>
      <c r="M176" s="270"/>
      <c r="N176" s="269"/>
      <c r="O176" s="270"/>
      <c r="P176" s="289"/>
      <c r="Q176" s="290"/>
      <c r="R176" s="291"/>
      <c r="S176" s="292"/>
      <c r="T176" s="293"/>
      <c r="U176" s="294"/>
      <c r="V176" s="295"/>
      <c r="W176" s="296"/>
      <c r="X176" s="297"/>
      <c r="Y176" s="298"/>
    </row>
    <row r="177" spans="1:25" hidden="1">
      <c r="A177" s="2311"/>
      <c r="B177" s="2314"/>
      <c r="C177" s="2317"/>
      <c r="D177" s="2320"/>
      <c r="E177" s="726" t="s">
        <v>179</v>
      </c>
      <c r="F177" s="325"/>
      <c r="G177" s="326"/>
      <c r="H177" s="326"/>
      <c r="I177" s="326"/>
      <c r="J177" s="326"/>
      <c r="K177" s="315"/>
      <c r="L177" s="406" t="e">
        <f>IF(DATOSAÑO!#REF!&lt;=INICIO!$D$13,DATOSAÑO!#REF!," ")</f>
        <v>#REF!</v>
      </c>
      <c r="M177" s="270"/>
      <c r="N177" s="269"/>
      <c r="O177" s="270"/>
      <c r="P177" s="289"/>
      <c r="Q177" s="290"/>
      <c r="R177" s="291"/>
      <c r="S177" s="292"/>
      <c r="T177" s="293"/>
      <c r="U177" s="294"/>
      <c r="V177" s="295"/>
      <c r="W177" s="296"/>
      <c r="X177" s="297"/>
      <c r="Y177" s="298"/>
    </row>
    <row r="178" spans="1:25" hidden="1">
      <c r="A178" s="2311"/>
      <c r="B178" s="2314"/>
      <c r="C178" s="2317"/>
      <c r="D178" s="2320"/>
      <c r="E178" s="726" t="s">
        <v>181</v>
      </c>
      <c r="F178" s="325"/>
      <c r="G178" s="326"/>
      <c r="H178" s="326"/>
      <c r="I178" s="326"/>
      <c r="J178" s="326"/>
      <c r="K178" s="315"/>
      <c r="L178" s="406" t="e">
        <f>IF(DATOSAÑO!#REF!&lt;=INICIO!$D$13,DATOSAÑO!#REF!," ")</f>
        <v>#REF!</v>
      </c>
      <c r="M178" s="270"/>
      <c r="N178" s="269"/>
      <c r="O178" s="270"/>
      <c r="P178" s="289"/>
      <c r="Q178" s="290"/>
      <c r="R178" s="291"/>
      <c r="S178" s="292"/>
      <c r="T178" s="293"/>
      <c r="U178" s="294"/>
      <c r="V178" s="295"/>
      <c r="W178" s="296"/>
      <c r="X178" s="297"/>
      <c r="Y178" s="298"/>
    </row>
    <row r="179" spans="1:25" hidden="1">
      <c r="A179" s="2311"/>
      <c r="B179" s="2314"/>
      <c r="C179" s="2317"/>
      <c r="D179" s="2320"/>
      <c r="E179" s="726" t="s">
        <v>182</v>
      </c>
      <c r="F179" s="325"/>
      <c r="G179" s="326"/>
      <c r="H179" s="326"/>
      <c r="I179" s="326"/>
      <c r="J179" s="326"/>
      <c r="K179" s="315"/>
      <c r="L179" s="406" t="e">
        <f>IF(DATOSAÑO!#REF!&lt;=INICIO!$D$13,DATOSAÑO!#REF!," ")</f>
        <v>#REF!</v>
      </c>
      <c r="M179" s="270"/>
      <c r="N179" s="269"/>
      <c r="O179" s="270"/>
      <c r="P179" s="289"/>
      <c r="Q179" s="290"/>
      <c r="R179" s="291"/>
      <c r="S179" s="292"/>
      <c r="T179" s="293"/>
      <c r="U179" s="294"/>
      <c r="V179" s="295"/>
      <c r="W179" s="296"/>
      <c r="X179" s="297"/>
      <c r="Y179" s="298"/>
    </row>
    <row r="180" spans="1:25" hidden="1">
      <c r="A180" s="2311"/>
      <c r="B180" s="2314"/>
      <c r="C180" s="2317"/>
      <c r="D180" s="2320"/>
      <c r="E180" s="726" t="s">
        <v>183</v>
      </c>
      <c r="F180" s="325"/>
      <c r="G180" s="326"/>
      <c r="H180" s="326"/>
      <c r="I180" s="326"/>
      <c r="J180" s="326"/>
      <c r="K180" s="315"/>
      <c r="L180" s="406" t="e">
        <f>IF(DATOSAÑO!#REF!&lt;=INICIO!$D$13,DATOSAÑO!#REF!," ")</f>
        <v>#REF!</v>
      </c>
      <c r="M180" s="270"/>
      <c r="N180" s="269"/>
      <c r="O180" s="270"/>
      <c r="P180" s="289"/>
      <c r="Q180" s="290"/>
      <c r="R180" s="291"/>
      <c r="S180" s="292"/>
      <c r="T180" s="293"/>
      <c r="U180" s="294"/>
      <c r="V180" s="295"/>
      <c r="W180" s="296"/>
      <c r="X180" s="297"/>
      <c r="Y180" s="298"/>
    </row>
    <row r="181" spans="1:25" hidden="1">
      <c r="A181" s="2311"/>
      <c r="B181" s="2314"/>
      <c r="C181" s="2317"/>
      <c r="D181" s="2320"/>
      <c r="E181" s="726" t="s">
        <v>184</v>
      </c>
      <c r="F181" s="325"/>
      <c r="G181" s="326"/>
      <c r="H181" s="326"/>
      <c r="I181" s="326"/>
      <c r="J181" s="326"/>
      <c r="K181" s="315"/>
      <c r="L181" s="406" t="e">
        <f>IF(DATOSAÑO!#REF!&lt;=INICIO!$D$13,DATOSAÑO!#REF!," ")</f>
        <v>#REF!</v>
      </c>
      <c r="M181" s="270"/>
      <c r="N181" s="269"/>
      <c r="O181" s="270"/>
      <c r="P181" s="289"/>
      <c r="Q181" s="290"/>
      <c r="R181" s="291"/>
      <c r="S181" s="292"/>
      <c r="T181" s="293"/>
      <c r="U181" s="294"/>
      <c r="V181" s="295"/>
      <c r="W181" s="296"/>
      <c r="X181" s="297"/>
      <c r="Y181" s="298"/>
    </row>
    <row r="182" spans="1:25" hidden="1">
      <c r="A182" s="2311"/>
      <c r="B182" s="2314"/>
      <c r="C182" s="2317"/>
      <c r="D182" s="2320"/>
      <c r="E182" s="726" t="s">
        <v>185</v>
      </c>
      <c r="F182" s="325"/>
      <c r="G182" s="326"/>
      <c r="H182" s="326"/>
      <c r="I182" s="326"/>
      <c r="J182" s="326"/>
      <c r="K182" s="315"/>
      <c r="L182" s="406" t="e">
        <f>IF(DATOSAÑO!#REF!&lt;=INICIO!$D$13,DATOSAÑO!#REF!," ")</f>
        <v>#REF!</v>
      </c>
      <c r="M182" s="270"/>
      <c r="N182" s="269"/>
      <c r="O182" s="270"/>
      <c r="P182" s="289"/>
      <c r="Q182" s="290"/>
      <c r="R182" s="291"/>
      <c r="S182" s="292"/>
      <c r="T182" s="293"/>
      <c r="U182" s="294"/>
      <c r="V182" s="295"/>
      <c r="W182" s="296"/>
      <c r="X182" s="297"/>
      <c r="Y182" s="298"/>
    </row>
    <row r="183" spans="1:25" hidden="1">
      <c r="A183" s="2311"/>
      <c r="B183" s="2314"/>
      <c r="C183" s="2317"/>
      <c r="D183" s="2320"/>
      <c r="E183" s="726" t="s">
        <v>186</v>
      </c>
      <c r="F183" s="325"/>
      <c r="G183" s="326"/>
      <c r="H183" s="326"/>
      <c r="I183" s="326"/>
      <c r="J183" s="326"/>
      <c r="K183" s="315"/>
      <c r="L183" s="406" t="e">
        <f>IF(DATOSAÑO!#REF!&lt;=INICIO!$D$13,DATOSAÑO!#REF!," ")</f>
        <v>#REF!</v>
      </c>
      <c r="M183" s="270"/>
      <c r="N183" s="269"/>
      <c r="O183" s="270"/>
      <c r="P183" s="289"/>
      <c r="Q183" s="290"/>
      <c r="R183" s="291"/>
      <c r="S183" s="292"/>
      <c r="T183" s="293"/>
      <c r="U183" s="294"/>
      <c r="V183" s="295"/>
      <c r="W183" s="296"/>
      <c r="X183" s="297"/>
      <c r="Y183" s="298"/>
    </row>
    <row r="184" spans="1:25" ht="15" hidden="1" thickBot="1">
      <c r="A184" s="2312"/>
      <c r="B184" s="2315"/>
      <c r="C184" s="2318"/>
      <c r="D184" s="2321"/>
      <c r="E184" s="727" t="s">
        <v>187</v>
      </c>
      <c r="F184" s="327"/>
      <c r="G184" s="328"/>
      <c r="H184" s="328"/>
      <c r="I184" s="328"/>
      <c r="J184" s="328"/>
      <c r="K184" s="316"/>
      <c r="L184" s="406" t="e">
        <f>IF(DATOSAÑO!#REF!&lt;=INICIO!$D$13,DATOSAÑO!#REF!," ")</f>
        <v>#REF!</v>
      </c>
      <c r="M184" s="274"/>
      <c r="N184" s="273"/>
      <c r="O184" s="274"/>
      <c r="P184" s="301"/>
      <c r="Q184" s="302"/>
      <c r="R184" s="303"/>
      <c r="S184" s="304"/>
      <c r="T184" s="305"/>
      <c r="U184" s="306"/>
      <c r="V184" s="307"/>
      <c r="W184" s="308"/>
      <c r="X184" s="309"/>
      <c r="Y184" s="310"/>
    </row>
    <row r="185" spans="1:25" hidden="1">
      <c r="A185" s="2310" t="s">
        <v>250</v>
      </c>
      <c r="B185" s="2313" t="s">
        <v>251</v>
      </c>
      <c r="C185" s="2316" t="s">
        <v>267</v>
      </c>
      <c r="D185" s="2319">
        <v>2021</v>
      </c>
      <c r="E185" s="730" t="s">
        <v>175</v>
      </c>
      <c r="F185" s="330"/>
      <c r="G185" s="331"/>
      <c r="H185" s="331"/>
      <c r="I185" s="331"/>
      <c r="J185" s="331"/>
      <c r="K185" s="314"/>
      <c r="L185" s="314"/>
      <c r="M185" s="266"/>
      <c r="N185" s="265"/>
      <c r="O185" s="266"/>
      <c r="P185" s="277"/>
      <c r="Q185" s="278"/>
      <c r="R185" s="279"/>
      <c r="S185" s="280"/>
      <c r="T185" s="281"/>
      <c r="U185" s="282"/>
      <c r="V185" s="283"/>
      <c r="W185" s="284"/>
      <c r="X185" s="285"/>
      <c r="Y185" s="286"/>
    </row>
    <row r="186" spans="1:25" hidden="1">
      <c r="A186" s="2311"/>
      <c r="B186" s="2314"/>
      <c r="C186" s="2317"/>
      <c r="D186" s="2320"/>
      <c r="E186" s="726" t="s">
        <v>176</v>
      </c>
      <c r="F186" s="325"/>
      <c r="G186" s="326"/>
      <c r="H186" s="326"/>
      <c r="I186" s="326"/>
      <c r="J186" s="326"/>
      <c r="K186" s="315"/>
      <c r="L186" s="315"/>
      <c r="M186" s="270"/>
      <c r="N186" s="269"/>
      <c r="O186" s="270"/>
      <c r="P186" s="289"/>
      <c r="Q186" s="290"/>
      <c r="R186" s="291"/>
      <c r="S186" s="292"/>
      <c r="T186" s="293"/>
      <c r="U186" s="294"/>
      <c r="V186" s="295"/>
      <c r="W186" s="296"/>
      <c r="X186" s="297"/>
      <c r="Y186" s="298"/>
    </row>
    <row r="187" spans="1:25" hidden="1">
      <c r="A187" s="2311"/>
      <c r="B187" s="2314"/>
      <c r="C187" s="2317"/>
      <c r="D187" s="2320"/>
      <c r="E187" s="726" t="s">
        <v>177</v>
      </c>
      <c r="F187" s="325"/>
      <c r="G187" s="326"/>
      <c r="H187" s="326"/>
      <c r="I187" s="326"/>
      <c r="J187" s="326"/>
      <c r="K187" s="315"/>
      <c r="L187" s="315"/>
      <c r="M187" s="270"/>
      <c r="N187" s="269"/>
      <c r="O187" s="270"/>
      <c r="P187" s="289"/>
      <c r="Q187" s="290"/>
      <c r="R187" s="291"/>
      <c r="S187" s="292"/>
      <c r="T187" s="293"/>
      <c r="U187" s="294"/>
      <c r="V187" s="295"/>
      <c r="W187" s="296"/>
      <c r="X187" s="297"/>
      <c r="Y187" s="298"/>
    </row>
    <row r="188" spans="1:25" hidden="1">
      <c r="A188" s="2311"/>
      <c r="B188" s="2314"/>
      <c r="C188" s="2317"/>
      <c r="D188" s="2320"/>
      <c r="E188" s="726" t="s">
        <v>178</v>
      </c>
      <c r="F188" s="325"/>
      <c r="G188" s="326"/>
      <c r="H188" s="326"/>
      <c r="I188" s="326"/>
      <c r="J188" s="326"/>
      <c r="K188" s="315"/>
      <c r="L188" s="315"/>
      <c r="M188" s="270"/>
      <c r="N188" s="269"/>
      <c r="O188" s="270"/>
      <c r="P188" s="289"/>
      <c r="Q188" s="290"/>
      <c r="R188" s="291"/>
      <c r="S188" s="292"/>
      <c r="T188" s="293"/>
      <c r="U188" s="294"/>
      <c r="V188" s="295"/>
      <c r="W188" s="296"/>
      <c r="X188" s="297"/>
      <c r="Y188" s="298"/>
    </row>
    <row r="189" spans="1:25" hidden="1">
      <c r="A189" s="2311"/>
      <c r="B189" s="2314"/>
      <c r="C189" s="2317"/>
      <c r="D189" s="2320"/>
      <c r="E189" s="726" t="s">
        <v>179</v>
      </c>
      <c r="F189" s="325"/>
      <c r="G189" s="326"/>
      <c r="H189" s="326"/>
      <c r="I189" s="326"/>
      <c r="J189" s="326"/>
      <c r="K189" s="315"/>
      <c r="L189" s="315"/>
      <c r="M189" s="270"/>
      <c r="N189" s="269"/>
      <c r="O189" s="270"/>
      <c r="P189" s="289"/>
      <c r="Q189" s="290"/>
      <c r="R189" s="291"/>
      <c r="S189" s="292"/>
      <c r="T189" s="293"/>
      <c r="U189" s="294"/>
      <c r="V189" s="295"/>
      <c r="W189" s="296"/>
      <c r="X189" s="297"/>
      <c r="Y189" s="298"/>
    </row>
    <row r="190" spans="1:25" hidden="1">
      <c r="A190" s="2311"/>
      <c r="B190" s="2314"/>
      <c r="C190" s="2317"/>
      <c r="D190" s="2320"/>
      <c r="E190" s="726" t="s">
        <v>181</v>
      </c>
      <c r="F190" s="325"/>
      <c r="G190" s="326"/>
      <c r="H190" s="326"/>
      <c r="I190" s="326"/>
      <c r="J190" s="326"/>
      <c r="K190" s="315"/>
      <c r="L190" s="315"/>
      <c r="M190" s="270"/>
      <c r="N190" s="269"/>
      <c r="O190" s="270"/>
      <c r="P190" s="289"/>
      <c r="Q190" s="290"/>
      <c r="R190" s="291"/>
      <c r="S190" s="292"/>
      <c r="T190" s="293"/>
      <c r="U190" s="294"/>
      <c r="V190" s="295"/>
      <c r="W190" s="296"/>
      <c r="X190" s="297"/>
      <c r="Y190" s="298"/>
    </row>
    <row r="191" spans="1:25" hidden="1">
      <c r="A191" s="2311"/>
      <c r="B191" s="2314"/>
      <c r="C191" s="2317"/>
      <c r="D191" s="2320"/>
      <c r="E191" s="726" t="s">
        <v>182</v>
      </c>
      <c r="F191" s="325"/>
      <c r="G191" s="326"/>
      <c r="H191" s="326"/>
      <c r="I191" s="326"/>
      <c r="J191" s="326"/>
      <c r="K191" s="315"/>
      <c r="L191" s="315"/>
      <c r="M191" s="270"/>
      <c r="N191" s="269"/>
      <c r="O191" s="270"/>
      <c r="P191" s="289"/>
      <c r="Q191" s="290"/>
      <c r="R191" s="291"/>
      <c r="S191" s="292"/>
      <c r="T191" s="293"/>
      <c r="U191" s="294"/>
      <c r="V191" s="295"/>
      <c r="W191" s="296"/>
      <c r="X191" s="297"/>
      <c r="Y191" s="298"/>
    </row>
    <row r="192" spans="1:25" hidden="1">
      <c r="A192" s="2311"/>
      <c r="B192" s="2314"/>
      <c r="C192" s="2317"/>
      <c r="D192" s="2320"/>
      <c r="E192" s="726" t="s">
        <v>183</v>
      </c>
      <c r="F192" s="325"/>
      <c r="G192" s="326"/>
      <c r="H192" s="326"/>
      <c r="I192" s="326"/>
      <c r="J192" s="326"/>
      <c r="K192" s="315"/>
      <c r="L192" s="315"/>
      <c r="M192" s="270"/>
      <c r="N192" s="269"/>
      <c r="O192" s="270"/>
      <c r="P192" s="289"/>
      <c r="Q192" s="290"/>
      <c r="R192" s="291"/>
      <c r="S192" s="292"/>
      <c r="T192" s="293"/>
      <c r="U192" s="294"/>
      <c r="V192" s="295"/>
      <c r="W192" s="296"/>
      <c r="X192" s="297"/>
      <c r="Y192" s="298"/>
    </row>
    <row r="193" spans="1:25" hidden="1">
      <c r="A193" s="2311"/>
      <c r="B193" s="2314"/>
      <c r="C193" s="2317"/>
      <c r="D193" s="2320"/>
      <c r="E193" s="726" t="s">
        <v>184</v>
      </c>
      <c r="F193" s="325"/>
      <c r="G193" s="326"/>
      <c r="H193" s="326"/>
      <c r="I193" s="326"/>
      <c r="J193" s="326"/>
      <c r="K193" s="315"/>
      <c r="L193" s="315"/>
      <c r="M193" s="270"/>
      <c r="N193" s="269"/>
      <c r="O193" s="270"/>
      <c r="P193" s="289"/>
      <c r="Q193" s="290"/>
      <c r="R193" s="291"/>
      <c r="S193" s="292"/>
      <c r="T193" s="293"/>
      <c r="U193" s="294"/>
      <c r="V193" s="295"/>
      <c r="W193" s="296"/>
      <c r="X193" s="297"/>
      <c r="Y193" s="298"/>
    </row>
    <row r="194" spans="1:25" hidden="1">
      <c r="A194" s="2311"/>
      <c r="B194" s="2314"/>
      <c r="C194" s="2317"/>
      <c r="D194" s="2320"/>
      <c r="E194" s="726" t="s">
        <v>185</v>
      </c>
      <c r="F194" s="325"/>
      <c r="G194" s="326"/>
      <c r="H194" s="326"/>
      <c r="I194" s="326"/>
      <c r="J194" s="326"/>
      <c r="K194" s="315"/>
      <c r="L194" s="315"/>
      <c r="M194" s="270"/>
      <c r="N194" s="269"/>
      <c r="O194" s="270"/>
      <c r="P194" s="289"/>
      <c r="Q194" s="290"/>
      <c r="R194" s="291"/>
      <c r="S194" s="292"/>
      <c r="T194" s="293"/>
      <c r="U194" s="294"/>
      <c r="V194" s="295"/>
      <c r="W194" s="296"/>
      <c r="X194" s="297"/>
      <c r="Y194" s="298"/>
    </row>
    <row r="195" spans="1:25" hidden="1">
      <c r="A195" s="2311"/>
      <c r="B195" s="2314"/>
      <c r="C195" s="2317"/>
      <c r="D195" s="2320"/>
      <c r="E195" s="726" t="s">
        <v>186</v>
      </c>
      <c r="F195" s="325"/>
      <c r="G195" s="326"/>
      <c r="H195" s="326"/>
      <c r="I195" s="326"/>
      <c r="J195" s="326"/>
      <c r="K195" s="315"/>
      <c r="L195" s="315"/>
      <c r="M195" s="270"/>
      <c r="N195" s="269"/>
      <c r="O195" s="270"/>
      <c r="P195" s="289"/>
      <c r="Q195" s="290"/>
      <c r="R195" s="291"/>
      <c r="S195" s="292"/>
      <c r="T195" s="293"/>
      <c r="U195" s="294"/>
      <c r="V195" s="295"/>
      <c r="W195" s="296"/>
      <c r="X195" s="297"/>
      <c r="Y195" s="298"/>
    </row>
    <row r="196" spans="1:25" ht="15" hidden="1" thickBot="1">
      <c r="A196" s="2312"/>
      <c r="B196" s="2315"/>
      <c r="C196" s="2318"/>
      <c r="D196" s="2321"/>
      <c r="E196" s="727" t="s">
        <v>187</v>
      </c>
      <c r="F196" s="327"/>
      <c r="G196" s="328"/>
      <c r="H196" s="328"/>
      <c r="I196" s="328"/>
      <c r="J196" s="328"/>
      <c r="K196" s="316"/>
      <c r="L196" s="316"/>
      <c r="M196" s="274"/>
      <c r="N196" s="273"/>
      <c r="O196" s="274"/>
      <c r="P196" s="301"/>
      <c r="Q196" s="302"/>
      <c r="R196" s="303"/>
      <c r="S196" s="304"/>
      <c r="T196" s="305"/>
      <c r="U196" s="306"/>
      <c r="V196" s="307"/>
      <c r="W196" s="308"/>
      <c r="X196" s="309"/>
      <c r="Y196" s="310"/>
    </row>
    <row r="197" spans="1:25" hidden="1">
      <c r="A197" s="2310" t="s">
        <v>250</v>
      </c>
      <c r="B197" s="2313" t="s">
        <v>251</v>
      </c>
      <c r="C197" s="2316" t="s">
        <v>268</v>
      </c>
      <c r="D197" s="2319">
        <v>2021</v>
      </c>
      <c r="E197" s="730" t="s">
        <v>175</v>
      </c>
      <c r="F197" s="313"/>
      <c r="G197" s="275"/>
      <c r="H197" s="275"/>
      <c r="I197" s="275"/>
      <c r="J197" s="275"/>
      <c r="K197" s="314"/>
      <c r="L197" s="314"/>
      <c r="M197" s="266"/>
      <c r="N197" s="265"/>
      <c r="O197" s="266"/>
      <c r="P197" s="277"/>
      <c r="Q197" s="278"/>
      <c r="R197" s="279"/>
      <c r="S197" s="280"/>
      <c r="T197" s="281"/>
      <c r="U197" s="282"/>
      <c r="V197" s="283"/>
      <c r="W197" s="284"/>
      <c r="X197" s="285"/>
      <c r="Y197" s="286"/>
    </row>
    <row r="198" spans="1:25" hidden="1">
      <c r="A198" s="2311"/>
      <c r="B198" s="2314"/>
      <c r="C198" s="2317"/>
      <c r="D198" s="2320"/>
      <c r="E198" s="726" t="s">
        <v>176</v>
      </c>
      <c r="F198" s="311"/>
      <c r="G198" s="287"/>
      <c r="H198" s="287"/>
      <c r="I198" s="287"/>
      <c r="J198" s="287"/>
      <c r="K198" s="315"/>
      <c r="L198" s="315"/>
      <c r="M198" s="270"/>
      <c r="N198" s="269"/>
      <c r="O198" s="270"/>
      <c r="P198" s="289"/>
      <c r="Q198" s="290"/>
      <c r="R198" s="291"/>
      <c r="S198" s="292"/>
      <c r="T198" s="293"/>
      <c r="U198" s="294"/>
      <c r="V198" s="295"/>
      <c r="W198" s="296"/>
      <c r="X198" s="297"/>
      <c r="Y198" s="298"/>
    </row>
    <row r="199" spans="1:25" hidden="1">
      <c r="A199" s="2311"/>
      <c r="B199" s="2314"/>
      <c r="C199" s="2317"/>
      <c r="D199" s="2320"/>
      <c r="E199" s="726" t="s">
        <v>177</v>
      </c>
      <c r="F199" s="311"/>
      <c r="G199" s="287"/>
      <c r="H199" s="287"/>
      <c r="I199" s="287"/>
      <c r="J199" s="287"/>
      <c r="K199" s="315"/>
      <c r="L199" s="315"/>
      <c r="M199" s="270"/>
      <c r="N199" s="269"/>
      <c r="O199" s="270"/>
      <c r="P199" s="289"/>
      <c r="Q199" s="290"/>
      <c r="R199" s="291"/>
      <c r="S199" s="292"/>
      <c r="T199" s="293"/>
      <c r="U199" s="294"/>
      <c r="V199" s="295"/>
      <c r="W199" s="296"/>
      <c r="X199" s="297"/>
      <c r="Y199" s="298"/>
    </row>
    <row r="200" spans="1:25" hidden="1">
      <c r="A200" s="2311"/>
      <c r="B200" s="2314"/>
      <c r="C200" s="2317"/>
      <c r="D200" s="2320"/>
      <c r="E200" s="726" t="s">
        <v>178</v>
      </c>
      <c r="F200" s="311"/>
      <c r="G200" s="287"/>
      <c r="H200" s="287"/>
      <c r="I200" s="287"/>
      <c r="J200" s="287"/>
      <c r="K200" s="315"/>
      <c r="L200" s="315"/>
      <c r="M200" s="270"/>
      <c r="N200" s="269"/>
      <c r="O200" s="270"/>
      <c r="P200" s="289"/>
      <c r="Q200" s="290"/>
      <c r="R200" s="291"/>
      <c r="S200" s="292"/>
      <c r="T200" s="293"/>
      <c r="U200" s="294"/>
      <c r="V200" s="295"/>
      <c r="W200" s="296"/>
      <c r="X200" s="297"/>
      <c r="Y200" s="298"/>
    </row>
    <row r="201" spans="1:25" hidden="1">
      <c r="A201" s="2311"/>
      <c r="B201" s="2314"/>
      <c r="C201" s="2317"/>
      <c r="D201" s="2320"/>
      <c r="E201" s="726" t="s">
        <v>179</v>
      </c>
      <c r="F201" s="311"/>
      <c r="G201" s="287"/>
      <c r="H201" s="287"/>
      <c r="I201" s="287"/>
      <c r="J201" s="287"/>
      <c r="K201" s="315"/>
      <c r="L201" s="315"/>
      <c r="M201" s="270"/>
      <c r="N201" s="269"/>
      <c r="O201" s="270"/>
      <c r="P201" s="289"/>
      <c r="Q201" s="290"/>
      <c r="R201" s="291"/>
      <c r="S201" s="292"/>
      <c r="T201" s="293"/>
      <c r="U201" s="294"/>
      <c r="V201" s="295"/>
      <c r="W201" s="296"/>
      <c r="X201" s="297"/>
      <c r="Y201" s="298"/>
    </row>
    <row r="202" spans="1:25" hidden="1">
      <c r="A202" s="2311"/>
      <c r="B202" s="2314"/>
      <c r="C202" s="2317"/>
      <c r="D202" s="2320"/>
      <c r="E202" s="726" t="s">
        <v>181</v>
      </c>
      <c r="F202" s="311"/>
      <c r="G202" s="287"/>
      <c r="H202" s="287"/>
      <c r="I202" s="287"/>
      <c r="J202" s="287"/>
      <c r="K202" s="315"/>
      <c r="L202" s="315"/>
      <c r="M202" s="270"/>
      <c r="N202" s="269"/>
      <c r="O202" s="270"/>
      <c r="P202" s="289"/>
      <c r="Q202" s="290"/>
      <c r="R202" s="291"/>
      <c r="S202" s="292"/>
      <c r="T202" s="293"/>
      <c r="U202" s="294"/>
      <c r="V202" s="295"/>
      <c r="W202" s="296"/>
      <c r="X202" s="297"/>
      <c r="Y202" s="298"/>
    </row>
    <row r="203" spans="1:25" hidden="1">
      <c r="A203" s="2311"/>
      <c r="B203" s="2314"/>
      <c r="C203" s="2317"/>
      <c r="D203" s="2320"/>
      <c r="E203" s="726" t="s">
        <v>182</v>
      </c>
      <c r="F203" s="311"/>
      <c r="G203" s="287"/>
      <c r="H203" s="287"/>
      <c r="I203" s="287"/>
      <c r="J203" s="287"/>
      <c r="K203" s="315"/>
      <c r="L203" s="315"/>
      <c r="M203" s="270"/>
      <c r="N203" s="269"/>
      <c r="O203" s="270"/>
      <c r="P203" s="289"/>
      <c r="Q203" s="290"/>
      <c r="R203" s="291"/>
      <c r="S203" s="292"/>
      <c r="T203" s="293"/>
      <c r="U203" s="294"/>
      <c r="V203" s="295"/>
      <c r="W203" s="296"/>
      <c r="X203" s="297"/>
      <c r="Y203" s="298"/>
    </row>
    <row r="204" spans="1:25" hidden="1">
      <c r="A204" s="2311"/>
      <c r="B204" s="2314"/>
      <c r="C204" s="2317"/>
      <c r="D204" s="2320"/>
      <c r="E204" s="726" t="s">
        <v>183</v>
      </c>
      <c r="F204" s="311"/>
      <c r="G204" s="287"/>
      <c r="H204" s="287"/>
      <c r="I204" s="287"/>
      <c r="J204" s="287"/>
      <c r="K204" s="315"/>
      <c r="L204" s="315"/>
      <c r="M204" s="270"/>
      <c r="N204" s="269"/>
      <c r="O204" s="270"/>
      <c r="P204" s="289"/>
      <c r="Q204" s="290"/>
      <c r="R204" s="291"/>
      <c r="S204" s="292"/>
      <c r="T204" s="293"/>
      <c r="U204" s="294"/>
      <c r="V204" s="295"/>
      <c r="W204" s="296"/>
      <c r="X204" s="297"/>
      <c r="Y204" s="298"/>
    </row>
    <row r="205" spans="1:25" hidden="1">
      <c r="A205" s="2311"/>
      <c r="B205" s="2314"/>
      <c r="C205" s="2317"/>
      <c r="D205" s="2320"/>
      <c r="E205" s="726" t="s">
        <v>184</v>
      </c>
      <c r="F205" s="311"/>
      <c r="G205" s="287"/>
      <c r="H205" s="287"/>
      <c r="I205" s="287"/>
      <c r="J205" s="287"/>
      <c r="K205" s="315"/>
      <c r="L205" s="315"/>
      <c r="M205" s="270"/>
      <c r="N205" s="269"/>
      <c r="O205" s="270"/>
      <c r="P205" s="289"/>
      <c r="Q205" s="290"/>
      <c r="R205" s="291"/>
      <c r="S205" s="292"/>
      <c r="T205" s="293"/>
      <c r="U205" s="294"/>
      <c r="V205" s="295"/>
      <c r="W205" s="296"/>
      <c r="X205" s="297"/>
      <c r="Y205" s="298"/>
    </row>
    <row r="206" spans="1:25" hidden="1">
      <c r="A206" s="2311"/>
      <c r="B206" s="2314"/>
      <c r="C206" s="2317"/>
      <c r="D206" s="2320"/>
      <c r="E206" s="726" t="s">
        <v>185</v>
      </c>
      <c r="F206" s="311"/>
      <c r="G206" s="287"/>
      <c r="H206" s="287"/>
      <c r="I206" s="287"/>
      <c r="J206" s="287"/>
      <c r="K206" s="315"/>
      <c r="L206" s="315"/>
      <c r="M206" s="270"/>
      <c r="N206" s="269"/>
      <c r="O206" s="270"/>
      <c r="P206" s="289"/>
      <c r="Q206" s="290"/>
      <c r="R206" s="291"/>
      <c r="S206" s="292"/>
      <c r="T206" s="293"/>
      <c r="U206" s="294"/>
      <c r="V206" s="295"/>
      <c r="W206" s="296"/>
      <c r="X206" s="297"/>
      <c r="Y206" s="298"/>
    </row>
    <row r="207" spans="1:25" hidden="1">
      <c r="A207" s="2311"/>
      <c r="B207" s="2314"/>
      <c r="C207" s="2317"/>
      <c r="D207" s="2320"/>
      <c r="E207" s="726" t="s">
        <v>186</v>
      </c>
      <c r="F207" s="311"/>
      <c r="G207" s="287"/>
      <c r="H207" s="287"/>
      <c r="I207" s="287"/>
      <c r="J207" s="287"/>
      <c r="K207" s="315"/>
      <c r="L207" s="315"/>
      <c r="M207" s="270"/>
      <c r="N207" s="269"/>
      <c r="O207" s="270"/>
      <c r="P207" s="289"/>
      <c r="Q207" s="290"/>
      <c r="R207" s="291"/>
      <c r="S207" s="292"/>
      <c r="T207" s="293"/>
      <c r="U207" s="294"/>
      <c r="V207" s="295"/>
      <c r="W207" s="296"/>
      <c r="X207" s="297"/>
      <c r="Y207" s="298"/>
    </row>
    <row r="208" spans="1:25" ht="15" hidden="1" thickBot="1">
      <c r="A208" s="2312"/>
      <c r="B208" s="2315"/>
      <c r="C208" s="2318"/>
      <c r="D208" s="2321"/>
      <c r="E208" s="727" t="s">
        <v>187</v>
      </c>
      <c r="F208" s="312"/>
      <c r="G208" s="299"/>
      <c r="H208" s="299"/>
      <c r="I208" s="299"/>
      <c r="J208" s="299"/>
      <c r="K208" s="316"/>
      <c r="L208" s="316"/>
      <c r="M208" s="274"/>
      <c r="N208" s="273"/>
      <c r="O208" s="274"/>
      <c r="P208" s="301"/>
      <c r="Q208" s="302"/>
      <c r="R208" s="303"/>
      <c r="S208" s="304"/>
      <c r="T208" s="305"/>
      <c r="U208" s="306"/>
      <c r="V208" s="307"/>
      <c r="W208" s="308"/>
      <c r="X208" s="309"/>
      <c r="Y208" s="310"/>
    </row>
    <row r="209" spans="1:25" hidden="1">
      <c r="A209" s="2310" t="s">
        <v>250</v>
      </c>
      <c r="B209" s="2313" t="s">
        <v>251</v>
      </c>
      <c r="C209" s="2316" t="s">
        <v>269</v>
      </c>
      <c r="D209" s="2319">
        <v>2021</v>
      </c>
      <c r="E209" s="730" t="s">
        <v>175</v>
      </c>
      <c r="F209" s="313"/>
      <c r="G209" s="275"/>
      <c r="H209" s="275"/>
      <c r="I209" s="275"/>
      <c r="J209" s="275"/>
      <c r="K209" s="314"/>
      <c r="L209" s="314"/>
      <c r="M209" s="266"/>
      <c r="N209" s="265"/>
      <c r="O209" s="266"/>
      <c r="P209" s="277"/>
      <c r="Q209" s="278"/>
      <c r="R209" s="279"/>
      <c r="S209" s="280"/>
      <c r="T209" s="281"/>
      <c r="U209" s="282"/>
      <c r="V209" s="283"/>
      <c r="W209" s="284"/>
      <c r="X209" s="285"/>
      <c r="Y209" s="286"/>
    </row>
    <row r="210" spans="1:25" hidden="1">
      <c r="A210" s="2311"/>
      <c r="B210" s="2314"/>
      <c r="C210" s="2317"/>
      <c r="D210" s="2320"/>
      <c r="E210" s="726" t="s">
        <v>176</v>
      </c>
      <c r="F210" s="311"/>
      <c r="G210" s="287"/>
      <c r="H210" s="287"/>
      <c r="I210" s="287"/>
      <c r="J210" s="287"/>
      <c r="K210" s="315"/>
      <c r="L210" s="315"/>
      <c r="M210" s="270"/>
      <c r="N210" s="269"/>
      <c r="O210" s="270"/>
      <c r="P210" s="289"/>
      <c r="Q210" s="290"/>
      <c r="R210" s="291"/>
      <c r="S210" s="292"/>
      <c r="T210" s="293"/>
      <c r="U210" s="294"/>
      <c r="V210" s="295"/>
      <c r="W210" s="296"/>
      <c r="X210" s="297"/>
      <c r="Y210" s="298"/>
    </row>
    <row r="211" spans="1:25" hidden="1">
      <c r="A211" s="2311"/>
      <c r="B211" s="2314"/>
      <c r="C211" s="2317"/>
      <c r="D211" s="2320"/>
      <c r="E211" s="726" t="s">
        <v>177</v>
      </c>
      <c r="F211" s="311"/>
      <c r="G211" s="287"/>
      <c r="H211" s="287"/>
      <c r="I211" s="287"/>
      <c r="J211" s="287"/>
      <c r="K211" s="315"/>
      <c r="L211" s="315"/>
      <c r="M211" s="270"/>
      <c r="N211" s="269"/>
      <c r="O211" s="270"/>
      <c r="P211" s="289"/>
      <c r="Q211" s="290"/>
      <c r="R211" s="291"/>
      <c r="S211" s="292"/>
      <c r="T211" s="293"/>
      <c r="U211" s="294"/>
      <c r="V211" s="295"/>
      <c r="W211" s="296"/>
      <c r="X211" s="297"/>
      <c r="Y211" s="298"/>
    </row>
    <row r="212" spans="1:25" hidden="1">
      <c r="A212" s="2311"/>
      <c r="B212" s="2314"/>
      <c r="C212" s="2317"/>
      <c r="D212" s="2320"/>
      <c r="E212" s="726" t="s">
        <v>178</v>
      </c>
      <c r="F212" s="311"/>
      <c r="G212" s="287"/>
      <c r="H212" s="287"/>
      <c r="I212" s="287"/>
      <c r="J212" s="287"/>
      <c r="K212" s="315"/>
      <c r="L212" s="315"/>
      <c r="M212" s="270"/>
      <c r="N212" s="269"/>
      <c r="O212" s="270"/>
      <c r="P212" s="289"/>
      <c r="Q212" s="290"/>
      <c r="R212" s="291"/>
      <c r="S212" s="292"/>
      <c r="T212" s="293"/>
      <c r="U212" s="294"/>
      <c r="V212" s="295"/>
      <c r="W212" s="296"/>
      <c r="X212" s="297"/>
      <c r="Y212" s="298"/>
    </row>
    <row r="213" spans="1:25" hidden="1">
      <c r="A213" s="2311"/>
      <c r="B213" s="2314"/>
      <c r="C213" s="2317"/>
      <c r="D213" s="2320"/>
      <c r="E213" s="726" t="s">
        <v>179</v>
      </c>
      <c r="F213" s="311"/>
      <c r="G213" s="287"/>
      <c r="H213" s="287"/>
      <c r="I213" s="287"/>
      <c r="J213" s="287"/>
      <c r="K213" s="315"/>
      <c r="L213" s="315"/>
      <c r="M213" s="270"/>
      <c r="N213" s="269"/>
      <c r="O213" s="270"/>
      <c r="P213" s="289"/>
      <c r="Q213" s="290"/>
      <c r="R213" s="291"/>
      <c r="S213" s="292"/>
      <c r="T213" s="293"/>
      <c r="U213" s="294"/>
      <c r="V213" s="295"/>
      <c r="W213" s="296"/>
      <c r="X213" s="297"/>
      <c r="Y213" s="298"/>
    </row>
    <row r="214" spans="1:25" hidden="1">
      <c r="A214" s="2311"/>
      <c r="B214" s="2314"/>
      <c r="C214" s="2317"/>
      <c r="D214" s="2320"/>
      <c r="E214" s="726" t="s">
        <v>181</v>
      </c>
      <c r="F214" s="311"/>
      <c r="G214" s="287"/>
      <c r="H214" s="287"/>
      <c r="I214" s="287"/>
      <c r="J214" s="287"/>
      <c r="K214" s="315"/>
      <c r="L214" s="315"/>
      <c r="M214" s="270"/>
      <c r="N214" s="269"/>
      <c r="O214" s="270"/>
      <c r="P214" s="289"/>
      <c r="Q214" s="290"/>
      <c r="R214" s="291"/>
      <c r="S214" s="292"/>
      <c r="T214" s="293"/>
      <c r="U214" s="294"/>
      <c r="V214" s="295"/>
      <c r="W214" s="296"/>
      <c r="X214" s="297"/>
      <c r="Y214" s="298"/>
    </row>
    <row r="215" spans="1:25" hidden="1">
      <c r="A215" s="2311"/>
      <c r="B215" s="2314"/>
      <c r="C215" s="2317"/>
      <c r="D215" s="2320"/>
      <c r="E215" s="726" t="s">
        <v>182</v>
      </c>
      <c r="F215" s="311"/>
      <c r="G215" s="287"/>
      <c r="H215" s="287"/>
      <c r="I215" s="287"/>
      <c r="J215" s="287"/>
      <c r="K215" s="315"/>
      <c r="L215" s="315"/>
      <c r="M215" s="270"/>
      <c r="N215" s="269"/>
      <c r="O215" s="270"/>
      <c r="P215" s="289"/>
      <c r="Q215" s="290"/>
      <c r="R215" s="291"/>
      <c r="S215" s="292"/>
      <c r="T215" s="293"/>
      <c r="U215" s="294"/>
      <c r="V215" s="295"/>
      <c r="W215" s="296"/>
      <c r="X215" s="297"/>
      <c r="Y215" s="298"/>
    </row>
    <row r="216" spans="1:25" hidden="1">
      <c r="A216" s="2311"/>
      <c r="B216" s="2314"/>
      <c r="C216" s="2317"/>
      <c r="D216" s="2320"/>
      <c r="E216" s="726" t="s">
        <v>183</v>
      </c>
      <c r="F216" s="311"/>
      <c r="G216" s="287"/>
      <c r="H216" s="287"/>
      <c r="I216" s="287"/>
      <c r="J216" s="287"/>
      <c r="K216" s="315"/>
      <c r="L216" s="315"/>
      <c r="M216" s="270"/>
      <c r="N216" s="269"/>
      <c r="O216" s="270"/>
      <c r="P216" s="289"/>
      <c r="Q216" s="290"/>
      <c r="R216" s="291"/>
      <c r="S216" s="292"/>
      <c r="T216" s="293"/>
      <c r="U216" s="294"/>
      <c r="V216" s="295"/>
      <c r="W216" s="296"/>
      <c r="X216" s="297"/>
      <c r="Y216" s="298"/>
    </row>
    <row r="217" spans="1:25" hidden="1">
      <c r="A217" s="2311"/>
      <c r="B217" s="2314"/>
      <c r="C217" s="2317"/>
      <c r="D217" s="2320"/>
      <c r="E217" s="726" t="s">
        <v>184</v>
      </c>
      <c r="F217" s="311"/>
      <c r="G217" s="287"/>
      <c r="H217" s="287"/>
      <c r="I217" s="287"/>
      <c r="J217" s="287"/>
      <c r="K217" s="315"/>
      <c r="L217" s="315"/>
      <c r="M217" s="270"/>
      <c r="N217" s="269"/>
      <c r="O217" s="270"/>
      <c r="P217" s="289"/>
      <c r="Q217" s="290"/>
      <c r="R217" s="291"/>
      <c r="S217" s="292"/>
      <c r="T217" s="293"/>
      <c r="U217" s="294"/>
      <c r="V217" s="295"/>
      <c r="W217" s="296"/>
      <c r="X217" s="297"/>
      <c r="Y217" s="298"/>
    </row>
    <row r="218" spans="1:25" hidden="1">
      <c r="A218" s="2311"/>
      <c r="B218" s="2314"/>
      <c r="C218" s="2317"/>
      <c r="D218" s="2320"/>
      <c r="E218" s="726" t="s">
        <v>185</v>
      </c>
      <c r="F218" s="311"/>
      <c r="G218" s="287"/>
      <c r="H218" s="287"/>
      <c r="I218" s="287"/>
      <c r="J218" s="287"/>
      <c r="K218" s="315"/>
      <c r="L218" s="315"/>
      <c r="M218" s="270"/>
      <c r="N218" s="269"/>
      <c r="O218" s="270"/>
      <c r="P218" s="289"/>
      <c r="Q218" s="290"/>
      <c r="R218" s="291"/>
      <c r="S218" s="292"/>
      <c r="T218" s="293"/>
      <c r="U218" s="294"/>
      <c r="V218" s="295"/>
      <c r="W218" s="296"/>
      <c r="X218" s="297"/>
      <c r="Y218" s="298"/>
    </row>
    <row r="219" spans="1:25" hidden="1">
      <c r="A219" s="2311"/>
      <c r="B219" s="2314"/>
      <c r="C219" s="2317"/>
      <c r="D219" s="2320"/>
      <c r="E219" s="726" t="s">
        <v>186</v>
      </c>
      <c r="F219" s="311"/>
      <c r="G219" s="287"/>
      <c r="H219" s="287"/>
      <c r="I219" s="287"/>
      <c r="J219" s="287"/>
      <c r="K219" s="315"/>
      <c r="L219" s="315"/>
      <c r="M219" s="270"/>
      <c r="N219" s="269"/>
      <c r="O219" s="270"/>
      <c r="P219" s="289"/>
      <c r="Q219" s="290"/>
      <c r="R219" s="291"/>
      <c r="S219" s="292"/>
      <c r="T219" s="293"/>
      <c r="U219" s="294"/>
      <c r="V219" s="295"/>
      <c r="W219" s="296"/>
      <c r="X219" s="297"/>
      <c r="Y219" s="298"/>
    </row>
    <row r="220" spans="1:25" ht="15" hidden="1" thickBot="1">
      <c r="A220" s="2312"/>
      <c r="B220" s="2315"/>
      <c r="C220" s="2318"/>
      <c r="D220" s="2321"/>
      <c r="E220" s="727" t="s">
        <v>187</v>
      </c>
      <c r="F220" s="312"/>
      <c r="G220" s="299"/>
      <c r="H220" s="299"/>
      <c r="I220" s="299"/>
      <c r="J220" s="299"/>
      <c r="K220" s="316"/>
      <c r="L220" s="316"/>
      <c r="M220" s="274"/>
      <c r="N220" s="273"/>
      <c r="O220" s="274"/>
      <c r="P220" s="301"/>
      <c r="Q220" s="302"/>
      <c r="R220" s="303"/>
      <c r="S220" s="304"/>
      <c r="T220" s="305"/>
      <c r="U220" s="306"/>
      <c r="V220" s="307"/>
      <c r="W220" s="308"/>
      <c r="X220" s="309"/>
      <c r="Y220" s="310"/>
    </row>
    <row r="221" spans="1:25" hidden="1">
      <c r="A221" s="2310" t="s">
        <v>250</v>
      </c>
      <c r="B221" s="2313" t="s">
        <v>251</v>
      </c>
      <c r="C221" s="2316" t="s">
        <v>270</v>
      </c>
      <c r="D221" s="2319">
        <v>2021</v>
      </c>
      <c r="E221" s="730" t="s">
        <v>175</v>
      </c>
      <c r="F221" s="313"/>
      <c r="G221" s="275"/>
      <c r="H221" s="275"/>
      <c r="I221" s="275"/>
      <c r="J221" s="275"/>
      <c r="K221" s="314"/>
      <c r="L221" s="314"/>
      <c r="M221" s="266"/>
      <c r="N221" s="265"/>
      <c r="O221" s="266"/>
      <c r="P221" s="277"/>
      <c r="Q221" s="278"/>
      <c r="R221" s="279"/>
      <c r="S221" s="280"/>
      <c r="T221" s="281"/>
      <c r="U221" s="282"/>
      <c r="V221" s="283"/>
      <c r="W221" s="284"/>
      <c r="X221" s="285"/>
      <c r="Y221" s="286"/>
    </row>
    <row r="222" spans="1:25" hidden="1">
      <c r="A222" s="2311"/>
      <c r="B222" s="2314"/>
      <c r="C222" s="2317"/>
      <c r="D222" s="2320"/>
      <c r="E222" s="726" t="s">
        <v>176</v>
      </c>
      <c r="F222" s="311"/>
      <c r="G222" s="287"/>
      <c r="H222" s="287"/>
      <c r="I222" s="287"/>
      <c r="J222" s="287"/>
      <c r="K222" s="315"/>
      <c r="L222" s="315"/>
      <c r="M222" s="270"/>
      <c r="N222" s="269"/>
      <c r="O222" s="270"/>
      <c r="P222" s="289"/>
      <c r="Q222" s="290"/>
      <c r="R222" s="291"/>
      <c r="S222" s="292"/>
      <c r="T222" s="293"/>
      <c r="U222" s="294"/>
      <c r="V222" s="295"/>
      <c r="W222" s="296"/>
      <c r="X222" s="297"/>
      <c r="Y222" s="298"/>
    </row>
    <row r="223" spans="1:25" hidden="1">
      <c r="A223" s="2311"/>
      <c r="B223" s="2314"/>
      <c r="C223" s="2317"/>
      <c r="D223" s="2320"/>
      <c r="E223" s="726" t="s">
        <v>177</v>
      </c>
      <c r="F223" s="311"/>
      <c r="G223" s="287"/>
      <c r="H223" s="287"/>
      <c r="I223" s="287"/>
      <c r="J223" s="287"/>
      <c r="K223" s="315"/>
      <c r="L223" s="315"/>
      <c r="M223" s="270"/>
      <c r="N223" s="269"/>
      <c r="O223" s="270"/>
      <c r="P223" s="289"/>
      <c r="Q223" s="290"/>
      <c r="R223" s="291"/>
      <c r="S223" s="292"/>
      <c r="T223" s="293"/>
      <c r="U223" s="294"/>
      <c r="V223" s="295"/>
      <c r="W223" s="296"/>
      <c r="X223" s="297"/>
      <c r="Y223" s="298"/>
    </row>
    <row r="224" spans="1:25" hidden="1">
      <c r="A224" s="2311"/>
      <c r="B224" s="2314"/>
      <c r="C224" s="2317"/>
      <c r="D224" s="2320"/>
      <c r="E224" s="726" t="s">
        <v>178</v>
      </c>
      <c r="F224" s="311"/>
      <c r="G224" s="287"/>
      <c r="H224" s="287"/>
      <c r="I224" s="287"/>
      <c r="J224" s="287"/>
      <c r="K224" s="315"/>
      <c r="L224" s="315"/>
      <c r="M224" s="270"/>
      <c r="N224" s="269"/>
      <c r="O224" s="270"/>
      <c r="P224" s="289"/>
      <c r="Q224" s="290"/>
      <c r="R224" s="291"/>
      <c r="S224" s="292"/>
      <c r="T224" s="293"/>
      <c r="U224" s="294"/>
      <c r="V224" s="295"/>
      <c r="W224" s="296"/>
      <c r="X224" s="297"/>
      <c r="Y224" s="298"/>
    </row>
    <row r="225" spans="1:25" hidden="1">
      <c r="A225" s="2311"/>
      <c r="B225" s="2314"/>
      <c r="C225" s="2317"/>
      <c r="D225" s="2320"/>
      <c r="E225" s="726" t="s">
        <v>179</v>
      </c>
      <c r="F225" s="311"/>
      <c r="G225" s="287"/>
      <c r="H225" s="287"/>
      <c r="I225" s="287"/>
      <c r="J225" s="287"/>
      <c r="K225" s="315"/>
      <c r="L225" s="315"/>
      <c r="M225" s="270"/>
      <c r="N225" s="269"/>
      <c r="O225" s="270"/>
      <c r="P225" s="289"/>
      <c r="Q225" s="290"/>
      <c r="R225" s="291"/>
      <c r="S225" s="292"/>
      <c r="T225" s="293"/>
      <c r="U225" s="294"/>
      <c r="V225" s="295"/>
      <c r="W225" s="296"/>
      <c r="X225" s="297"/>
      <c r="Y225" s="298"/>
    </row>
    <row r="226" spans="1:25" hidden="1">
      <c r="A226" s="2311"/>
      <c r="B226" s="2314"/>
      <c r="C226" s="2317"/>
      <c r="D226" s="2320"/>
      <c r="E226" s="726" t="s">
        <v>181</v>
      </c>
      <c r="F226" s="311"/>
      <c r="G226" s="287"/>
      <c r="H226" s="287"/>
      <c r="I226" s="287"/>
      <c r="J226" s="287"/>
      <c r="K226" s="315"/>
      <c r="L226" s="315"/>
      <c r="M226" s="270"/>
      <c r="N226" s="269"/>
      <c r="O226" s="270"/>
      <c r="P226" s="289"/>
      <c r="Q226" s="290"/>
      <c r="R226" s="291"/>
      <c r="S226" s="292"/>
      <c r="T226" s="293"/>
      <c r="U226" s="294"/>
      <c r="V226" s="295"/>
      <c r="W226" s="296"/>
      <c r="X226" s="297"/>
      <c r="Y226" s="298"/>
    </row>
    <row r="227" spans="1:25" hidden="1">
      <c r="A227" s="2311"/>
      <c r="B227" s="2314"/>
      <c r="C227" s="2317"/>
      <c r="D227" s="2320"/>
      <c r="E227" s="726" t="s">
        <v>182</v>
      </c>
      <c r="F227" s="311"/>
      <c r="G227" s="287"/>
      <c r="H227" s="287"/>
      <c r="I227" s="287"/>
      <c r="J227" s="287"/>
      <c r="K227" s="315"/>
      <c r="L227" s="315"/>
      <c r="M227" s="270"/>
      <c r="N227" s="269"/>
      <c r="O227" s="270"/>
      <c r="P227" s="289"/>
      <c r="Q227" s="290"/>
      <c r="R227" s="291"/>
      <c r="S227" s="292"/>
      <c r="T227" s="293"/>
      <c r="U227" s="294"/>
      <c r="V227" s="295"/>
      <c r="W227" s="296"/>
      <c r="X227" s="297"/>
      <c r="Y227" s="298"/>
    </row>
    <row r="228" spans="1:25" hidden="1">
      <c r="A228" s="2311"/>
      <c r="B228" s="2314"/>
      <c r="C228" s="2317"/>
      <c r="D228" s="2320"/>
      <c r="E228" s="726" t="s">
        <v>183</v>
      </c>
      <c r="F228" s="311"/>
      <c r="G228" s="287"/>
      <c r="H228" s="287"/>
      <c r="I228" s="287"/>
      <c r="J228" s="287"/>
      <c r="K228" s="315"/>
      <c r="L228" s="315"/>
      <c r="M228" s="270"/>
      <c r="N228" s="269"/>
      <c r="O228" s="270"/>
      <c r="P228" s="289"/>
      <c r="Q228" s="290"/>
      <c r="R228" s="291"/>
      <c r="S228" s="292"/>
      <c r="T228" s="293"/>
      <c r="U228" s="294"/>
      <c r="V228" s="295"/>
      <c r="W228" s="296"/>
      <c r="X228" s="297"/>
      <c r="Y228" s="298"/>
    </row>
    <row r="229" spans="1:25" hidden="1">
      <c r="A229" s="2311"/>
      <c r="B229" s="2314"/>
      <c r="C229" s="2317"/>
      <c r="D229" s="2320"/>
      <c r="E229" s="726" t="s">
        <v>184</v>
      </c>
      <c r="F229" s="311"/>
      <c r="G229" s="287"/>
      <c r="H229" s="287"/>
      <c r="I229" s="287"/>
      <c r="J229" s="287"/>
      <c r="K229" s="315"/>
      <c r="L229" s="315"/>
      <c r="M229" s="270"/>
      <c r="N229" s="269"/>
      <c r="O229" s="270"/>
      <c r="P229" s="289"/>
      <c r="Q229" s="290"/>
      <c r="R229" s="291"/>
      <c r="S229" s="292"/>
      <c r="T229" s="293"/>
      <c r="U229" s="294"/>
      <c r="V229" s="295"/>
      <c r="W229" s="296"/>
      <c r="X229" s="297"/>
      <c r="Y229" s="298"/>
    </row>
    <row r="230" spans="1:25" hidden="1">
      <c r="A230" s="2311"/>
      <c r="B230" s="2314"/>
      <c r="C230" s="2317"/>
      <c r="D230" s="2320"/>
      <c r="E230" s="726" t="s">
        <v>185</v>
      </c>
      <c r="F230" s="311"/>
      <c r="G230" s="287"/>
      <c r="H230" s="287"/>
      <c r="I230" s="287"/>
      <c r="J230" s="287"/>
      <c r="K230" s="315"/>
      <c r="L230" s="315"/>
      <c r="M230" s="270"/>
      <c r="N230" s="269"/>
      <c r="O230" s="270"/>
      <c r="P230" s="289"/>
      <c r="Q230" s="290"/>
      <c r="R230" s="291"/>
      <c r="S230" s="292"/>
      <c r="T230" s="293"/>
      <c r="U230" s="294"/>
      <c r="V230" s="295"/>
      <c r="W230" s="296"/>
      <c r="X230" s="297"/>
      <c r="Y230" s="298"/>
    </row>
    <row r="231" spans="1:25" hidden="1">
      <c r="A231" s="2311"/>
      <c r="B231" s="2314"/>
      <c r="C231" s="2317"/>
      <c r="D231" s="2320"/>
      <c r="E231" s="726" t="s">
        <v>186</v>
      </c>
      <c r="F231" s="311"/>
      <c r="G231" s="287"/>
      <c r="H231" s="287"/>
      <c r="I231" s="287"/>
      <c r="J231" s="287"/>
      <c r="K231" s="315"/>
      <c r="L231" s="315"/>
      <c r="M231" s="270"/>
      <c r="N231" s="269"/>
      <c r="O231" s="270"/>
      <c r="P231" s="289"/>
      <c r="Q231" s="290"/>
      <c r="R231" s="291"/>
      <c r="S231" s="292"/>
      <c r="T231" s="293"/>
      <c r="U231" s="294"/>
      <c r="V231" s="295"/>
      <c r="W231" s="296"/>
      <c r="X231" s="297"/>
      <c r="Y231" s="298"/>
    </row>
    <row r="232" spans="1:25" ht="15" hidden="1" thickBot="1">
      <c r="A232" s="2312"/>
      <c r="B232" s="2315"/>
      <c r="C232" s="2318"/>
      <c r="D232" s="2321"/>
      <c r="E232" s="727" t="s">
        <v>187</v>
      </c>
      <c r="F232" s="312"/>
      <c r="G232" s="299"/>
      <c r="H232" s="299"/>
      <c r="I232" s="299"/>
      <c r="J232" s="299"/>
      <c r="K232" s="316"/>
      <c r="L232" s="316"/>
      <c r="M232" s="274"/>
      <c r="N232" s="273"/>
      <c r="O232" s="274"/>
      <c r="P232" s="301"/>
      <c r="Q232" s="302"/>
      <c r="R232" s="303"/>
      <c r="S232" s="304"/>
      <c r="T232" s="305"/>
      <c r="U232" s="306"/>
      <c r="V232" s="307"/>
      <c r="W232" s="308"/>
      <c r="X232" s="309"/>
      <c r="Y232" s="310"/>
    </row>
    <row r="233" spans="1:25" hidden="1">
      <c r="A233" s="2310" t="s">
        <v>250</v>
      </c>
      <c r="B233" s="2313" t="s">
        <v>251</v>
      </c>
      <c r="C233" s="2316" t="s">
        <v>271</v>
      </c>
      <c r="D233" s="2319">
        <v>2021</v>
      </c>
      <c r="E233" s="730" t="s">
        <v>175</v>
      </c>
      <c r="F233" s="313"/>
      <c r="G233" s="275"/>
      <c r="H233" s="275"/>
      <c r="I233" s="275"/>
      <c r="J233" s="275"/>
      <c r="K233" s="314"/>
      <c r="L233" s="314"/>
      <c r="M233" s="266"/>
      <c r="N233" s="265"/>
      <c r="O233" s="266"/>
      <c r="P233" s="277"/>
      <c r="Q233" s="278"/>
      <c r="R233" s="279"/>
      <c r="S233" s="280"/>
      <c r="T233" s="281"/>
      <c r="U233" s="282"/>
      <c r="V233" s="283"/>
      <c r="W233" s="284"/>
      <c r="X233" s="285"/>
      <c r="Y233" s="286"/>
    </row>
    <row r="234" spans="1:25" hidden="1">
      <c r="A234" s="2311"/>
      <c r="B234" s="2314"/>
      <c r="C234" s="2317"/>
      <c r="D234" s="2320"/>
      <c r="E234" s="726" t="s">
        <v>176</v>
      </c>
      <c r="F234" s="311"/>
      <c r="G234" s="287"/>
      <c r="H234" s="287"/>
      <c r="I234" s="287"/>
      <c r="J234" s="287"/>
      <c r="K234" s="315"/>
      <c r="L234" s="315"/>
      <c r="M234" s="270"/>
      <c r="N234" s="269"/>
      <c r="O234" s="270"/>
      <c r="P234" s="289"/>
      <c r="Q234" s="290"/>
      <c r="R234" s="291"/>
      <c r="S234" s="292"/>
      <c r="T234" s="293"/>
      <c r="U234" s="294"/>
      <c r="V234" s="295"/>
      <c r="W234" s="296"/>
      <c r="X234" s="297"/>
      <c r="Y234" s="298"/>
    </row>
    <row r="235" spans="1:25" hidden="1">
      <c r="A235" s="2311"/>
      <c r="B235" s="2314"/>
      <c r="C235" s="2317"/>
      <c r="D235" s="2320"/>
      <c r="E235" s="726" t="s">
        <v>177</v>
      </c>
      <c r="F235" s="311"/>
      <c r="G235" s="287"/>
      <c r="H235" s="287"/>
      <c r="I235" s="287"/>
      <c r="J235" s="287"/>
      <c r="K235" s="315"/>
      <c r="L235" s="315"/>
      <c r="M235" s="270"/>
      <c r="N235" s="269"/>
      <c r="O235" s="270"/>
      <c r="P235" s="289"/>
      <c r="Q235" s="290"/>
      <c r="R235" s="291"/>
      <c r="S235" s="292"/>
      <c r="T235" s="293"/>
      <c r="U235" s="294"/>
      <c r="V235" s="295"/>
      <c r="W235" s="296"/>
      <c r="X235" s="297"/>
      <c r="Y235" s="298"/>
    </row>
    <row r="236" spans="1:25" hidden="1">
      <c r="A236" s="2311"/>
      <c r="B236" s="2314"/>
      <c r="C236" s="2317"/>
      <c r="D236" s="2320"/>
      <c r="E236" s="726" t="s">
        <v>178</v>
      </c>
      <c r="F236" s="311"/>
      <c r="G236" s="287"/>
      <c r="H236" s="287"/>
      <c r="I236" s="287"/>
      <c r="J236" s="287"/>
      <c r="K236" s="315"/>
      <c r="L236" s="315"/>
      <c r="M236" s="270"/>
      <c r="N236" s="269"/>
      <c r="O236" s="270"/>
      <c r="P236" s="289"/>
      <c r="Q236" s="290"/>
      <c r="R236" s="291"/>
      <c r="S236" s="292"/>
      <c r="T236" s="293"/>
      <c r="U236" s="294"/>
      <c r="V236" s="295"/>
      <c r="W236" s="296"/>
      <c r="X236" s="297"/>
      <c r="Y236" s="298"/>
    </row>
    <row r="237" spans="1:25" hidden="1">
      <c r="A237" s="2311"/>
      <c r="B237" s="2314"/>
      <c r="C237" s="2317"/>
      <c r="D237" s="2320"/>
      <c r="E237" s="726" t="s">
        <v>179</v>
      </c>
      <c r="F237" s="311"/>
      <c r="G237" s="287"/>
      <c r="H237" s="287"/>
      <c r="I237" s="287"/>
      <c r="J237" s="287"/>
      <c r="K237" s="315"/>
      <c r="L237" s="315"/>
      <c r="M237" s="270"/>
      <c r="N237" s="269"/>
      <c r="O237" s="270"/>
      <c r="P237" s="289"/>
      <c r="Q237" s="290"/>
      <c r="R237" s="291"/>
      <c r="S237" s="292"/>
      <c r="T237" s="293"/>
      <c r="U237" s="294"/>
      <c r="V237" s="295"/>
      <c r="W237" s="296"/>
      <c r="X237" s="297"/>
      <c r="Y237" s="298"/>
    </row>
    <row r="238" spans="1:25" hidden="1">
      <c r="A238" s="2311"/>
      <c r="B238" s="2314"/>
      <c r="C238" s="2317"/>
      <c r="D238" s="2320"/>
      <c r="E238" s="726" t="s">
        <v>181</v>
      </c>
      <c r="F238" s="311"/>
      <c r="G238" s="287"/>
      <c r="H238" s="287"/>
      <c r="I238" s="287"/>
      <c r="J238" s="287"/>
      <c r="K238" s="315"/>
      <c r="L238" s="315"/>
      <c r="M238" s="270"/>
      <c r="N238" s="269"/>
      <c r="O238" s="270"/>
      <c r="P238" s="289"/>
      <c r="Q238" s="290"/>
      <c r="R238" s="291"/>
      <c r="S238" s="292"/>
      <c r="T238" s="293"/>
      <c r="U238" s="294"/>
      <c r="V238" s="295"/>
      <c r="W238" s="296"/>
      <c r="X238" s="297"/>
      <c r="Y238" s="298"/>
    </row>
    <row r="239" spans="1:25" hidden="1">
      <c r="A239" s="2311"/>
      <c r="B239" s="2314"/>
      <c r="C239" s="2317"/>
      <c r="D239" s="2320"/>
      <c r="E239" s="726" t="s">
        <v>182</v>
      </c>
      <c r="F239" s="311"/>
      <c r="G239" s="287"/>
      <c r="H239" s="287"/>
      <c r="I239" s="287"/>
      <c r="J239" s="287"/>
      <c r="K239" s="315"/>
      <c r="L239" s="315"/>
      <c r="M239" s="270"/>
      <c r="N239" s="269"/>
      <c r="O239" s="270"/>
      <c r="P239" s="289"/>
      <c r="Q239" s="290"/>
      <c r="R239" s="291"/>
      <c r="S239" s="292"/>
      <c r="T239" s="293"/>
      <c r="U239" s="294"/>
      <c r="V239" s="295"/>
      <c r="W239" s="296"/>
      <c r="X239" s="297"/>
      <c r="Y239" s="298"/>
    </row>
    <row r="240" spans="1:25" hidden="1">
      <c r="A240" s="2311"/>
      <c r="B240" s="2314"/>
      <c r="C240" s="2317"/>
      <c r="D240" s="2320"/>
      <c r="E240" s="726" t="s">
        <v>183</v>
      </c>
      <c r="F240" s="311"/>
      <c r="G240" s="287"/>
      <c r="H240" s="287"/>
      <c r="I240" s="287"/>
      <c r="J240" s="287"/>
      <c r="K240" s="315"/>
      <c r="L240" s="315"/>
      <c r="M240" s="270"/>
      <c r="N240" s="269"/>
      <c r="O240" s="270"/>
      <c r="P240" s="289"/>
      <c r="Q240" s="290"/>
      <c r="R240" s="291"/>
      <c r="S240" s="292"/>
      <c r="T240" s="293"/>
      <c r="U240" s="294"/>
      <c r="V240" s="295"/>
      <c r="W240" s="296"/>
      <c r="X240" s="297"/>
      <c r="Y240" s="298"/>
    </row>
    <row r="241" spans="1:25" hidden="1">
      <c r="A241" s="2311"/>
      <c r="B241" s="2314"/>
      <c r="C241" s="2317"/>
      <c r="D241" s="2320"/>
      <c r="E241" s="726" t="s">
        <v>184</v>
      </c>
      <c r="F241" s="311"/>
      <c r="G241" s="287"/>
      <c r="H241" s="287"/>
      <c r="I241" s="287"/>
      <c r="J241" s="287"/>
      <c r="K241" s="315"/>
      <c r="L241" s="315"/>
      <c r="M241" s="270"/>
      <c r="N241" s="269"/>
      <c r="O241" s="270"/>
      <c r="P241" s="289"/>
      <c r="Q241" s="290"/>
      <c r="R241" s="291"/>
      <c r="S241" s="292"/>
      <c r="T241" s="293"/>
      <c r="U241" s="294"/>
      <c r="V241" s="295"/>
      <c r="W241" s="296"/>
      <c r="X241" s="297"/>
      <c r="Y241" s="298"/>
    </row>
    <row r="242" spans="1:25" hidden="1">
      <c r="A242" s="2311"/>
      <c r="B242" s="2314"/>
      <c r="C242" s="2317"/>
      <c r="D242" s="2320"/>
      <c r="E242" s="726" t="s">
        <v>185</v>
      </c>
      <c r="F242" s="311"/>
      <c r="G242" s="287"/>
      <c r="H242" s="287"/>
      <c r="I242" s="287"/>
      <c r="J242" s="287"/>
      <c r="K242" s="315"/>
      <c r="L242" s="315"/>
      <c r="M242" s="270"/>
      <c r="N242" s="269"/>
      <c r="O242" s="270"/>
      <c r="P242" s="289"/>
      <c r="Q242" s="290"/>
      <c r="R242" s="291"/>
      <c r="S242" s="292"/>
      <c r="T242" s="293"/>
      <c r="U242" s="294"/>
      <c r="V242" s="295"/>
      <c r="W242" s="296"/>
      <c r="X242" s="297"/>
      <c r="Y242" s="298"/>
    </row>
    <row r="243" spans="1:25" hidden="1">
      <c r="A243" s="2311"/>
      <c r="B243" s="2314"/>
      <c r="C243" s="2317"/>
      <c r="D243" s="2320"/>
      <c r="E243" s="726" t="s">
        <v>186</v>
      </c>
      <c r="F243" s="311"/>
      <c r="G243" s="287"/>
      <c r="H243" s="287"/>
      <c r="I243" s="287"/>
      <c r="J243" s="287"/>
      <c r="K243" s="315"/>
      <c r="L243" s="315"/>
      <c r="M243" s="270"/>
      <c r="N243" s="269"/>
      <c r="O243" s="270"/>
      <c r="P243" s="289"/>
      <c r="Q243" s="290"/>
      <c r="R243" s="291"/>
      <c r="S243" s="292"/>
      <c r="T243" s="293"/>
      <c r="U243" s="294"/>
      <c r="V243" s="295"/>
      <c r="W243" s="296"/>
      <c r="X243" s="297"/>
      <c r="Y243" s="298"/>
    </row>
    <row r="244" spans="1:25" ht="15" hidden="1" thickBot="1">
      <c r="A244" s="2312"/>
      <c r="B244" s="2315"/>
      <c r="C244" s="2318"/>
      <c r="D244" s="2321"/>
      <c r="E244" s="727" t="s">
        <v>187</v>
      </c>
      <c r="F244" s="312"/>
      <c r="G244" s="299"/>
      <c r="H244" s="299"/>
      <c r="I244" s="299"/>
      <c r="J244" s="299"/>
      <c r="K244" s="316"/>
      <c r="L244" s="316"/>
      <c r="M244" s="274"/>
      <c r="N244" s="273"/>
      <c r="O244" s="274"/>
      <c r="P244" s="301"/>
      <c r="Q244" s="302"/>
      <c r="R244" s="303"/>
      <c r="S244" s="304"/>
      <c r="T244" s="305"/>
      <c r="U244" s="306"/>
      <c r="V244" s="307"/>
      <c r="W244" s="308"/>
      <c r="X244" s="309"/>
      <c r="Y244" s="310"/>
    </row>
    <row r="245" spans="1:25" hidden="1"/>
  </sheetData>
  <mergeCells count="95">
    <mergeCell ref="A2:Y2"/>
    <mergeCell ref="A3:A4"/>
    <mergeCell ref="B3:B4"/>
    <mergeCell ref="C3:C4"/>
    <mergeCell ref="D3:D4"/>
    <mergeCell ref="E3:E4"/>
    <mergeCell ref="F3:M3"/>
    <mergeCell ref="N3:N4"/>
    <mergeCell ref="O3:O4"/>
    <mergeCell ref="P3:Q3"/>
    <mergeCell ref="R3:R4"/>
    <mergeCell ref="S3:S4"/>
    <mergeCell ref="X3:X4"/>
    <mergeCell ref="Y3:Y4"/>
    <mergeCell ref="T4:V4"/>
    <mergeCell ref="A17:A28"/>
    <mergeCell ref="B17:B28"/>
    <mergeCell ref="C17:C28"/>
    <mergeCell ref="D17:D28"/>
    <mergeCell ref="A5:A16"/>
    <mergeCell ref="B5:B16"/>
    <mergeCell ref="C5:C16"/>
    <mergeCell ref="D5:D16"/>
    <mergeCell ref="A29:A40"/>
    <mergeCell ref="B29:B40"/>
    <mergeCell ref="C29:C40"/>
    <mergeCell ref="D29:D40"/>
    <mergeCell ref="A41:A52"/>
    <mergeCell ref="B41:B52"/>
    <mergeCell ref="C41:C52"/>
    <mergeCell ref="D41:D52"/>
    <mergeCell ref="A53:A64"/>
    <mergeCell ref="B53:B64"/>
    <mergeCell ref="C53:C64"/>
    <mergeCell ref="D53:D64"/>
    <mergeCell ref="A65:A76"/>
    <mergeCell ref="B65:B76"/>
    <mergeCell ref="C65:C76"/>
    <mergeCell ref="D65:D76"/>
    <mergeCell ref="A77:A88"/>
    <mergeCell ref="B77:B88"/>
    <mergeCell ref="C77:C88"/>
    <mergeCell ref="D77:D88"/>
    <mergeCell ref="A89:A100"/>
    <mergeCell ref="B89:B100"/>
    <mergeCell ref="C89:C100"/>
    <mergeCell ref="D89:D100"/>
    <mergeCell ref="A101:A112"/>
    <mergeCell ref="B101:B112"/>
    <mergeCell ref="C101:C112"/>
    <mergeCell ref="D101:D112"/>
    <mergeCell ref="A113:A124"/>
    <mergeCell ref="B113:B124"/>
    <mergeCell ref="C113:C124"/>
    <mergeCell ref="D113:D124"/>
    <mergeCell ref="A125:A136"/>
    <mergeCell ref="B125:B136"/>
    <mergeCell ref="C125:C136"/>
    <mergeCell ref="D125:D136"/>
    <mergeCell ref="A137:A148"/>
    <mergeCell ref="B137:B148"/>
    <mergeCell ref="C137:C148"/>
    <mergeCell ref="D137:D148"/>
    <mergeCell ref="A149:A160"/>
    <mergeCell ref="B149:B160"/>
    <mergeCell ref="C149:C160"/>
    <mergeCell ref="D149:D160"/>
    <mergeCell ref="A161:A172"/>
    <mergeCell ref="B161:B172"/>
    <mergeCell ref="C161:C172"/>
    <mergeCell ref="D161:D172"/>
    <mergeCell ref="A173:A184"/>
    <mergeCell ref="B173:B184"/>
    <mergeCell ref="C173:C184"/>
    <mergeCell ref="D173:D184"/>
    <mergeCell ref="A185:A196"/>
    <mergeCell ref="B185:B196"/>
    <mergeCell ref="C185:C196"/>
    <mergeCell ref="D185:D196"/>
    <mergeCell ref="A197:A208"/>
    <mergeCell ref="B197:B208"/>
    <mergeCell ref="C197:C208"/>
    <mergeCell ref="D197:D208"/>
    <mergeCell ref="A233:A244"/>
    <mergeCell ref="B233:B244"/>
    <mergeCell ref="C233:C244"/>
    <mergeCell ref="D233:D244"/>
    <mergeCell ref="A209:A220"/>
    <mergeCell ref="B209:B220"/>
    <mergeCell ref="C209:C220"/>
    <mergeCell ref="D209:D220"/>
    <mergeCell ref="A221:A232"/>
    <mergeCell ref="B221:B232"/>
    <mergeCell ref="C221:C232"/>
    <mergeCell ref="D221:D232"/>
  </mergeCells>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pageSetUpPr fitToPage="1"/>
  </sheetPr>
  <dimension ref="B1:AK88"/>
  <sheetViews>
    <sheetView showGridLines="0" workbookViewId="0">
      <selection activeCell="F375" sqref="F375"/>
    </sheetView>
  </sheetViews>
  <sheetFormatPr baseColWidth="10" defaultColWidth="11.453125" defaultRowHeight="18.75" customHeight="1"/>
  <cols>
    <col min="1" max="1" width="5.453125" customWidth="1"/>
    <col min="2" max="2" width="1.1796875" style="89" customWidth="1"/>
    <col min="3" max="3" width="2.81640625" style="89" customWidth="1"/>
    <col min="4" max="4" width="8" style="90" customWidth="1"/>
    <col min="5" max="13" width="6.1796875" style="90" customWidth="1"/>
    <col min="14" max="14" width="6.453125" style="90" customWidth="1"/>
    <col min="15" max="20" width="6.1796875" style="90" customWidth="1"/>
    <col min="21" max="21" width="8.54296875" style="90" customWidth="1"/>
    <col min="22" max="22" width="7.453125" style="90" customWidth="1"/>
    <col min="23" max="23" width="1" style="90" customWidth="1"/>
    <col min="24" max="24" width="1.1796875" customWidth="1"/>
    <col min="25" max="25" width="5.1796875" customWidth="1"/>
    <col min="26" max="26" width="29.453125" bestFit="1" customWidth="1"/>
    <col min="27" max="27" width="12.453125" bestFit="1" customWidth="1"/>
  </cols>
  <sheetData>
    <row r="1" spans="2:26" ht="9" customHeight="1"/>
    <row r="2" spans="2:26" ht="6" customHeight="1" thickBot="1"/>
    <row r="3" spans="2:26" ht="10.5" customHeight="1">
      <c r="B3" s="91"/>
      <c r="C3" s="92"/>
      <c r="D3" s="93"/>
      <c r="E3" s="93"/>
      <c r="F3" s="93"/>
      <c r="G3" s="93"/>
      <c r="H3" s="93"/>
      <c r="I3" s="93"/>
      <c r="J3" s="93"/>
      <c r="K3" s="93"/>
      <c r="L3" s="93"/>
      <c r="M3" s="93"/>
      <c r="N3" s="93"/>
      <c r="O3" s="93"/>
      <c r="P3" s="93"/>
      <c r="Q3" s="93"/>
      <c r="R3" s="93"/>
      <c r="S3" s="2444" t="s">
        <v>77</v>
      </c>
      <c r="T3" s="2444"/>
      <c r="U3" s="2444"/>
      <c r="V3" s="2444"/>
      <c r="W3" s="2444"/>
      <c r="X3" s="2445"/>
      <c r="Z3" s="732">
        <f ca="1">R6-1</f>
        <v>45231</v>
      </c>
    </row>
    <row r="4" spans="2:26" ht="15.75" customHeight="1">
      <c r="B4" s="94"/>
      <c r="C4" s="95"/>
      <c r="D4" s="2446" t="s">
        <v>78</v>
      </c>
      <c r="E4" s="2446"/>
      <c r="F4" s="2446"/>
      <c r="G4" s="2446"/>
      <c r="H4" s="2446"/>
      <c r="I4" s="2446"/>
      <c r="J4" s="2446"/>
      <c r="K4" s="2446"/>
      <c r="L4" s="2446"/>
      <c r="M4" s="2446"/>
      <c r="N4" s="2446"/>
      <c r="O4" s="2446"/>
      <c r="P4" s="2446"/>
      <c r="Q4" s="2446"/>
      <c r="R4" s="2446"/>
      <c r="S4" s="2446"/>
      <c r="T4" s="2446"/>
      <c r="U4" s="2446"/>
      <c r="V4" s="2446"/>
      <c r="W4" s="96"/>
      <c r="X4" s="97"/>
      <c r="Z4" s="407" t="str">
        <f ca="1">TEXT(Z3,"MMM")</f>
        <v>nov</v>
      </c>
    </row>
    <row r="5" spans="2:26" ht="45" customHeight="1">
      <c r="B5" s="94"/>
      <c r="C5" s="95"/>
      <c r="D5" s="2447" t="s">
        <v>79</v>
      </c>
      <c r="E5" s="2447"/>
      <c r="F5" s="2447"/>
      <c r="G5" s="2447"/>
      <c r="H5" s="2448"/>
      <c r="I5" s="2448"/>
      <c r="J5" s="2448"/>
      <c r="K5" s="2448"/>
      <c r="L5" s="2448"/>
      <c r="M5" s="2448"/>
      <c r="N5" s="2448"/>
      <c r="O5" s="2448"/>
      <c r="P5" s="2448"/>
      <c r="Q5" s="2448"/>
      <c r="R5" s="2448"/>
      <c r="S5" s="2448"/>
      <c r="T5" s="2448"/>
      <c r="U5" s="2448"/>
      <c r="V5" s="2448"/>
      <c r="W5" s="98"/>
      <c r="X5" s="97"/>
    </row>
    <row r="6" spans="2:26" ht="9.75" customHeight="1">
      <c r="B6" s="94"/>
      <c r="C6" s="95"/>
      <c r="D6" s="99"/>
      <c r="E6" s="99"/>
      <c r="F6" s="99"/>
      <c r="G6" s="99"/>
      <c r="H6" s="98"/>
      <c r="I6" s="98"/>
      <c r="J6" s="98"/>
      <c r="K6" s="98"/>
      <c r="L6" s="98"/>
      <c r="M6" s="98"/>
      <c r="N6" s="98"/>
      <c r="O6" s="98"/>
      <c r="P6" s="98"/>
      <c r="Q6" s="98"/>
      <c r="R6" s="2449">
        <f ca="1">+TODAY()</f>
        <v>45232</v>
      </c>
      <c r="S6" s="2449"/>
      <c r="T6" s="2449"/>
      <c r="U6" s="2449"/>
      <c r="V6" s="2449"/>
      <c r="W6" s="100"/>
      <c r="X6" s="97"/>
    </row>
    <row r="7" spans="2:26" ht="4.5" customHeight="1">
      <c r="B7" s="94"/>
      <c r="C7" s="95"/>
      <c r="D7" s="101"/>
      <c r="E7" s="101"/>
      <c r="F7" s="101"/>
      <c r="G7" s="101"/>
      <c r="H7" s="101"/>
      <c r="I7" s="101"/>
      <c r="J7" s="101"/>
      <c r="K7" s="101"/>
      <c r="L7" s="101"/>
      <c r="M7" s="101"/>
      <c r="N7" s="101"/>
      <c r="O7" s="101"/>
      <c r="P7" s="101"/>
      <c r="Q7" s="101"/>
      <c r="R7" s="101"/>
      <c r="S7" s="101"/>
      <c r="T7" s="101"/>
      <c r="U7" s="101"/>
      <c r="V7" s="101"/>
      <c r="W7" s="101"/>
      <c r="X7" s="97"/>
    </row>
    <row r="8" spans="2:26" ht="42" customHeight="1">
      <c r="B8" s="94"/>
      <c r="C8" s="95"/>
      <c r="D8" s="2450" t="s">
        <v>80</v>
      </c>
      <c r="E8" s="2450"/>
      <c r="F8" s="2450"/>
      <c r="G8" s="2450"/>
      <c r="H8" s="2450"/>
      <c r="I8" s="2450"/>
      <c r="J8" s="2450"/>
      <c r="K8" s="2450"/>
      <c r="L8" s="2450"/>
      <c r="M8" s="2450"/>
      <c r="N8" s="2450"/>
      <c r="O8" s="2450"/>
      <c r="P8" s="2450"/>
      <c r="Q8" s="2450"/>
      <c r="R8" s="2450"/>
      <c r="S8" s="2450"/>
      <c r="T8" s="2450"/>
      <c r="U8" s="2450"/>
      <c r="V8" s="2450"/>
      <c r="W8" s="102"/>
      <c r="X8" s="103"/>
      <c r="Y8" s="104"/>
    </row>
    <row r="9" spans="2:26" ht="18" customHeight="1">
      <c r="B9" s="94"/>
      <c r="C9" s="2423" t="s">
        <v>81</v>
      </c>
      <c r="D9" s="2423"/>
      <c r="E9" s="2423"/>
      <c r="F9" s="2423"/>
      <c r="G9" s="2423"/>
      <c r="H9" s="2423"/>
      <c r="I9" s="2423"/>
      <c r="J9" s="2423"/>
      <c r="K9" s="2423"/>
      <c r="L9" s="2423"/>
      <c r="M9" s="2423"/>
      <c r="N9" s="2423"/>
      <c r="O9" s="2423"/>
      <c r="P9" s="2423"/>
      <c r="Q9" s="2423"/>
      <c r="R9" s="2423"/>
      <c r="S9" s="2423"/>
      <c r="T9" s="2423"/>
      <c r="U9" s="2423"/>
      <c r="V9" s="2423"/>
      <c r="W9" s="2423"/>
      <c r="X9" s="97"/>
    </row>
    <row r="10" spans="2:26" ht="18.75" customHeight="1">
      <c r="B10" s="94"/>
      <c r="C10" s="105">
        <v>1</v>
      </c>
      <c r="D10" s="2430" t="s">
        <v>82</v>
      </c>
      <c r="E10" s="2430"/>
      <c r="F10" s="2430"/>
      <c r="G10" s="2430"/>
      <c r="H10" s="2430"/>
      <c r="I10" s="2380"/>
      <c r="J10" s="2381"/>
      <c r="K10" s="2381"/>
      <c r="L10" s="2381"/>
      <c r="M10" s="2381"/>
      <c r="N10" s="2381"/>
      <c r="O10" s="2381"/>
      <c r="P10" s="2381"/>
      <c r="Q10" s="2381"/>
      <c r="R10" s="2381"/>
      <c r="S10" s="2381"/>
      <c r="T10" s="2381"/>
      <c r="U10" s="2381"/>
      <c r="V10" s="2381"/>
      <c r="W10" s="2431"/>
      <c r="X10" s="97"/>
    </row>
    <row r="11" spans="2:26" ht="2.25" customHeight="1">
      <c r="B11" s="94"/>
      <c r="C11" s="95"/>
      <c r="D11" s="101"/>
      <c r="E11" s="101"/>
      <c r="F11" s="101"/>
      <c r="G11" s="101"/>
      <c r="H11" s="101"/>
      <c r="I11" s="101"/>
      <c r="J11" s="101"/>
      <c r="K11" s="101"/>
      <c r="L11" s="101"/>
      <c r="M11" s="101"/>
      <c r="N11" s="101"/>
      <c r="O11" s="101"/>
      <c r="P11" s="101"/>
      <c r="Q11" s="101"/>
      <c r="R11" s="101"/>
      <c r="S11" s="101"/>
      <c r="T11" s="101"/>
      <c r="U11" s="101"/>
      <c r="V11" s="101"/>
      <c r="W11" s="101"/>
      <c r="X11" s="97"/>
    </row>
    <row r="12" spans="2:26" ht="2.25" customHeight="1">
      <c r="B12" s="94"/>
      <c r="C12" s="2432">
        <v>2</v>
      </c>
      <c r="D12" s="106"/>
      <c r="E12" s="106"/>
      <c r="F12" s="106"/>
      <c r="G12" s="106"/>
      <c r="H12" s="106"/>
      <c r="I12" s="106"/>
      <c r="J12" s="106"/>
      <c r="K12" s="106"/>
      <c r="L12" s="106"/>
      <c r="M12" s="106"/>
      <c r="N12" s="106"/>
      <c r="O12" s="106"/>
      <c r="P12" s="106"/>
      <c r="Q12" s="106"/>
      <c r="R12" s="106"/>
      <c r="S12" s="106"/>
      <c r="T12" s="106"/>
      <c r="U12" s="106"/>
      <c r="V12" s="106"/>
      <c r="W12" s="107"/>
      <c r="X12" s="97"/>
    </row>
    <row r="13" spans="2:26" ht="11.25" customHeight="1">
      <c r="B13" s="94"/>
      <c r="C13" s="2433"/>
      <c r="D13" s="2434" t="s">
        <v>83</v>
      </c>
      <c r="E13" s="2379"/>
      <c r="F13" s="2379"/>
      <c r="G13" s="2379"/>
      <c r="H13" s="2435"/>
      <c r="I13" s="2442" t="s">
        <v>84</v>
      </c>
      <c r="J13" s="2442"/>
      <c r="K13" s="2442"/>
      <c r="L13" s="2442"/>
      <c r="M13" s="2442"/>
      <c r="N13" s="108"/>
      <c r="O13" s="2442" t="s">
        <v>85</v>
      </c>
      <c r="P13" s="2442"/>
      <c r="Q13" s="2442"/>
      <c r="R13" s="2442"/>
      <c r="S13" s="2442"/>
      <c r="T13" s="2442"/>
      <c r="U13" s="2442"/>
      <c r="V13" s="2442"/>
      <c r="W13" s="109"/>
      <c r="X13" s="97"/>
    </row>
    <row r="14" spans="2:26" ht="18.75" customHeight="1">
      <c r="B14" s="94"/>
      <c r="C14" s="2433"/>
      <c r="D14" s="2436"/>
      <c r="E14" s="2437"/>
      <c r="F14" s="2437"/>
      <c r="G14" s="2437"/>
      <c r="H14" s="2438"/>
      <c r="I14" s="2409" t="s">
        <v>86</v>
      </c>
      <c r="J14" s="2410"/>
      <c r="K14" s="2410"/>
      <c r="L14" s="2410"/>
      <c r="M14" s="2411"/>
      <c r="N14" s="101"/>
      <c r="O14" s="2409" t="s">
        <v>87</v>
      </c>
      <c r="P14" s="2410"/>
      <c r="Q14" s="2410"/>
      <c r="R14" s="2410"/>
      <c r="S14" s="2410"/>
      <c r="T14" s="2410"/>
      <c r="U14" s="2410"/>
      <c r="V14" s="2411"/>
      <c r="W14" s="110"/>
      <c r="X14" s="97"/>
    </row>
    <row r="15" spans="2:26" s="112" customFormat="1" ht="3" customHeight="1">
      <c r="B15" s="111"/>
      <c r="C15" s="2433"/>
      <c r="D15" s="2436"/>
      <c r="E15" s="2437"/>
      <c r="F15" s="2437"/>
      <c r="G15" s="2437"/>
      <c r="H15" s="2438"/>
      <c r="I15" s="2443"/>
      <c r="J15" s="2443"/>
      <c r="K15" s="2443"/>
      <c r="L15" s="2443"/>
      <c r="M15" s="2443"/>
      <c r="N15" s="2443"/>
      <c r="O15" s="2443"/>
      <c r="P15" s="2443"/>
      <c r="Q15" s="2443"/>
      <c r="R15" s="2443"/>
      <c r="S15" s="2443"/>
      <c r="T15" s="2443"/>
      <c r="U15" s="2443"/>
      <c r="V15" s="2443"/>
      <c r="W15" s="110"/>
      <c r="X15" s="97"/>
    </row>
    <row r="16" spans="2:26" ht="18" customHeight="1">
      <c r="B16" s="94"/>
      <c r="C16" s="2433"/>
      <c r="D16" s="2439"/>
      <c r="E16" s="2440"/>
      <c r="F16" s="2440"/>
      <c r="G16" s="2440"/>
      <c r="H16" s="2441"/>
      <c r="I16" s="113" t="s">
        <v>88</v>
      </c>
      <c r="J16" s="101"/>
      <c r="K16" s="2409" t="s">
        <v>89</v>
      </c>
      <c r="L16" s="2410"/>
      <c r="M16" s="2410"/>
      <c r="N16" s="2410"/>
      <c r="O16" s="2410"/>
      <c r="P16" s="2410"/>
      <c r="Q16" s="2410"/>
      <c r="R16" s="2410"/>
      <c r="S16" s="2410"/>
      <c r="T16" s="2410"/>
      <c r="U16" s="2410"/>
      <c r="V16" s="2411"/>
      <c r="W16" s="110"/>
      <c r="X16" s="97"/>
    </row>
    <row r="17" spans="2:24" ht="3" customHeight="1">
      <c r="B17" s="94"/>
      <c r="C17" s="2433"/>
      <c r="D17" s="101"/>
      <c r="E17" s="101"/>
      <c r="F17" s="101"/>
      <c r="G17" s="101"/>
      <c r="H17" s="101"/>
      <c r="I17" s="101"/>
      <c r="J17" s="101"/>
      <c r="K17" s="101"/>
      <c r="L17" s="101"/>
      <c r="M17" s="101"/>
      <c r="N17" s="101"/>
      <c r="O17" s="101"/>
      <c r="P17" s="101"/>
      <c r="Q17" s="95"/>
      <c r="R17" s="95"/>
      <c r="S17" s="95"/>
      <c r="T17" s="95"/>
      <c r="U17" s="95"/>
      <c r="V17" s="95"/>
      <c r="W17" s="110"/>
      <c r="X17" s="97"/>
    </row>
    <row r="18" spans="2:24" ht="3" customHeight="1">
      <c r="B18" s="94"/>
      <c r="C18" s="2402"/>
      <c r="D18" s="114"/>
      <c r="E18" s="114"/>
      <c r="F18" s="114"/>
      <c r="G18" s="114"/>
      <c r="H18" s="114"/>
      <c r="I18" s="114"/>
      <c r="J18" s="114"/>
      <c r="K18" s="114"/>
      <c r="L18" s="114"/>
      <c r="M18" s="114"/>
      <c r="N18" s="114"/>
      <c r="O18" s="114"/>
      <c r="P18" s="114"/>
      <c r="Q18" s="115"/>
      <c r="R18" s="115"/>
      <c r="S18" s="115"/>
      <c r="T18" s="115"/>
      <c r="U18" s="115"/>
      <c r="V18" s="115"/>
      <c r="W18" s="116"/>
      <c r="X18" s="97"/>
    </row>
    <row r="19" spans="2:24" ht="3" customHeight="1">
      <c r="B19" s="94"/>
      <c r="C19" s="95"/>
      <c r="D19" s="101"/>
      <c r="E19" s="101"/>
      <c r="F19" s="101"/>
      <c r="G19" s="101"/>
      <c r="H19" s="101"/>
      <c r="I19" s="101"/>
      <c r="J19" s="101"/>
      <c r="K19" s="101"/>
      <c r="L19" s="101"/>
      <c r="M19" s="101"/>
      <c r="N19" s="101"/>
      <c r="O19" s="101"/>
      <c r="P19" s="101"/>
      <c r="Q19" s="95"/>
      <c r="R19" s="95"/>
      <c r="S19" s="95"/>
      <c r="T19" s="95"/>
      <c r="U19" s="95"/>
      <c r="V19" s="95"/>
      <c r="W19" s="95"/>
      <c r="X19" s="97"/>
    </row>
    <row r="20" spans="2:24" ht="3" customHeight="1">
      <c r="B20" s="94"/>
      <c r="C20" s="2376">
        <v>3</v>
      </c>
      <c r="D20" s="117"/>
      <c r="E20" s="106"/>
      <c r="F20" s="106"/>
      <c r="G20" s="106"/>
      <c r="H20" s="106"/>
      <c r="I20" s="106"/>
      <c r="J20" s="106"/>
      <c r="K20" s="106"/>
      <c r="L20" s="106"/>
      <c r="M20" s="106"/>
      <c r="N20" s="106"/>
      <c r="O20" s="106"/>
      <c r="P20" s="106"/>
      <c r="Q20" s="118"/>
      <c r="R20" s="118"/>
      <c r="S20" s="118"/>
      <c r="T20" s="118"/>
      <c r="U20" s="118"/>
      <c r="V20" s="118"/>
      <c r="W20" s="119"/>
      <c r="X20" s="97"/>
    </row>
    <row r="21" spans="2:24" ht="18" customHeight="1">
      <c r="B21" s="94"/>
      <c r="C21" s="2377"/>
      <c r="D21" s="2451" t="s">
        <v>90</v>
      </c>
      <c r="E21" s="2367"/>
      <c r="F21" s="2367"/>
      <c r="G21" s="2452" t="s">
        <v>91</v>
      </c>
      <c r="H21" s="2452"/>
      <c r="I21" s="2452"/>
      <c r="J21" s="120"/>
      <c r="K21" s="101"/>
      <c r="L21" s="2452" t="s">
        <v>92</v>
      </c>
      <c r="M21" s="2452"/>
      <c r="N21" s="2452"/>
      <c r="O21" s="121"/>
      <c r="Q21" s="2452" t="s">
        <v>93</v>
      </c>
      <c r="R21" s="2452"/>
      <c r="S21" s="2452"/>
      <c r="T21" s="122" t="s">
        <v>94</v>
      </c>
      <c r="U21" s="95"/>
      <c r="V21" s="95"/>
      <c r="W21" s="110"/>
      <c r="X21" s="97"/>
    </row>
    <row r="22" spans="2:24" ht="3" customHeight="1">
      <c r="B22" s="94"/>
      <c r="C22" s="2378"/>
      <c r="D22" s="123"/>
      <c r="E22" s="114"/>
      <c r="F22" s="114"/>
      <c r="G22" s="114"/>
      <c r="H22" s="114"/>
      <c r="I22" s="114"/>
      <c r="J22" s="114"/>
      <c r="K22" s="114"/>
      <c r="L22" s="114"/>
      <c r="M22" s="114"/>
      <c r="N22" s="114"/>
      <c r="O22" s="114"/>
      <c r="P22" s="114"/>
      <c r="Q22" s="115"/>
      <c r="R22" s="115"/>
      <c r="S22" s="115"/>
      <c r="T22" s="115"/>
      <c r="U22" s="115"/>
      <c r="V22" s="115"/>
      <c r="W22" s="116"/>
      <c r="X22" s="97"/>
    </row>
    <row r="23" spans="2:24" ht="3" customHeight="1">
      <c r="B23" s="94"/>
      <c r="C23" s="95"/>
      <c r="D23" s="101"/>
      <c r="E23" s="101"/>
      <c r="F23" s="101"/>
      <c r="G23" s="101"/>
      <c r="H23" s="101"/>
      <c r="I23" s="101"/>
      <c r="J23" s="101"/>
      <c r="K23" s="101"/>
      <c r="L23" s="101"/>
      <c r="M23" s="101"/>
      <c r="N23" s="101"/>
      <c r="O23" s="101"/>
      <c r="P23" s="101"/>
      <c r="Q23" s="95"/>
      <c r="R23" s="95"/>
      <c r="S23" s="95"/>
      <c r="T23" s="95"/>
      <c r="U23" s="95"/>
      <c r="V23" s="95"/>
      <c r="W23" s="95"/>
      <c r="X23" s="97"/>
    </row>
    <row r="24" spans="2:24" ht="2.25" customHeight="1">
      <c r="B24" s="94"/>
      <c r="C24" s="2376">
        <v>4</v>
      </c>
      <c r="D24" s="106"/>
      <c r="E24" s="106"/>
      <c r="F24" s="106"/>
      <c r="G24" s="106"/>
      <c r="H24" s="106"/>
      <c r="I24" s="106"/>
      <c r="J24" s="106"/>
      <c r="K24" s="106"/>
      <c r="L24" s="106"/>
      <c r="M24" s="106"/>
      <c r="N24" s="106"/>
      <c r="O24" s="106"/>
      <c r="P24" s="106"/>
      <c r="Q24" s="118"/>
      <c r="R24" s="118"/>
      <c r="S24" s="118"/>
      <c r="T24" s="118"/>
      <c r="U24" s="118"/>
      <c r="V24" s="118"/>
      <c r="W24" s="119"/>
      <c r="X24" s="97"/>
    </row>
    <row r="25" spans="2:24" ht="15.75" customHeight="1">
      <c r="B25" s="94"/>
      <c r="C25" s="2377"/>
      <c r="D25" s="101" t="s">
        <v>95</v>
      </c>
      <c r="E25" s="101"/>
      <c r="F25" s="101"/>
      <c r="G25" s="2415"/>
      <c r="H25" s="2416"/>
      <c r="I25" s="2416"/>
      <c r="J25" s="2416"/>
      <c r="K25" s="2416"/>
      <c r="L25" s="2416"/>
      <c r="M25" s="2416"/>
      <c r="N25" s="2416"/>
      <c r="O25" s="2416"/>
      <c r="P25" s="2416"/>
      <c r="Q25" s="2416"/>
      <c r="R25" s="2416"/>
      <c r="S25" s="2416"/>
      <c r="T25" s="2416"/>
      <c r="U25" s="2416"/>
      <c r="V25" s="2417"/>
      <c r="W25" s="124"/>
      <c r="X25" s="97"/>
    </row>
    <row r="26" spans="2:24" ht="2.25" customHeight="1">
      <c r="B26" s="94"/>
      <c r="C26" s="2378"/>
      <c r="D26" s="114"/>
      <c r="E26" s="114"/>
      <c r="F26" s="114"/>
      <c r="G26" s="114"/>
      <c r="H26" s="114"/>
      <c r="I26" s="125"/>
      <c r="J26" s="125"/>
      <c r="K26" s="125"/>
      <c r="L26" s="125"/>
      <c r="M26" s="125"/>
      <c r="N26" s="125"/>
      <c r="O26" s="125"/>
      <c r="P26" s="125"/>
      <c r="Q26" s="125"/>
      <c r="R26" s="125"/>
      <c r="S26" s="125"/>
      <c r="T26" s="125"/>
      <c r="U26" s="125"/>
      <c r="V26" s="125"/>
      <c r="W26" s="126"/>
      <c r="X26" s="97"/>
    </row>
    <row r="27" spans="2:24" ht="2.25" customHeight="1">
      <c r="B27" s="94"/>
      <c r="C27" s="95"/>
      <c r="D27" s="101"/>
      <c r="E27" s="101"/>
      <c r="F27" s="101"/>
      <c r="G27" s="101"/>
      <c r="H27" s="101"/>
      <c r="I27" s="127"/>
      <c r="J27" s="127"/>
      <c r="K27" s="127"/>
      <c r="L27" s="127"/>
      <c r="M27" s="127"/>
      <c r="N27" s="127"/>
      <c r="O27" s="127"/>
      <c r="P27" s="127"/>
      <c r="Q27" s="127"/>
      <c r="R27" s="127"/>
      <c r="S27" s="127"/>
      <c r="T27" s="127"/>
      <c r="U27" s="127"/>
      <c r="V27" s="127"/>
      <c r="W27" s="127"/>
      <c r="X27" s="97"/>
    </row>
    <row r="28" spans="2:24" ht="2.25" customHeight="1">
      <c r="B28" s="94"/>
      <c r="C28" s="2376">
        <v>5</v>
      </c>
      <c r="D28" s="106"/>
      <c r="E28" s="106"/>
      <c r="F28" s="106"/>
      <c r="G28" s="106"/>
      <c r="H28" s="106"/>
      <c r="I28" s="128"/>
      <c r="J28" s="128"/>
      <c r="K28" s="128"/>
      <c r="L28" s="128"/>
      <c r="M28" s="128"/>
      <c r="N28" s="128"/>
      <c r="O28" s="128"/>
      <c r="P28" s="128"/>
      <c r="Q28" s="128"/>
      <c r="R28" s="128"/>
      <c r="S28" s="128"/>
      <c r="T28" s="128"/>
      <c r="U28" s="128"/>
      <c r="V28" s="128"/>
      <c r="W28" s="129"/>
      <c r="X28" s="97"/>
    </row>
    <row r="29" spans="2:24" ht="15" customHeight="1">
      <c r="B29" s="94"/>
      <c r="C29" s="2377"/>
      <c r="D29" s="2367" t="s">
        <v>96</v>
      </c>
      <c r="E29" s="2367"/>
      <c r="F29" s="2367"/>
      <c r="G29" s="2367"/>
      <c r="H29" s="2367"/>
      <c r="I29" s="2367"/>
      <c r="J29" s="2367"/>
      <c r="K29" s="2367"/>
      <c r="L29" s="2367"/>
      <c r="M29" s="2367"/>
      <c r="N29" s="2367"/>
      <c r="O29" s="2367"/>
      <c r="P29" s="2367"/>
      <c r="Q29" s="2367"/>
      <c r="R29" s="2367"/>
      <c r="S29" s="2367"/>
      <c r="T29" s="127"/>
      <c r="U29" s="2406" t="s">
        <v>97</v>
      </c>
      <c r="V29" s="2408"/>
      <c r="W29" s="130"/>
      <c r="X29" s="97"/>
    </row>
    <row r="30" spans="2:24" ht="3" customHeight="1">
      <c r="B30" s="94"/>
      <c r="C30" s="2378"/>
      <c r="D30" s="125"/>
      <c r="E30" s="125"/>
      <c r="F30" s="125"/>
      <c r="G30" s="125"/>
      <c r="H30" s="125"/>
      <c r="I30" s="125"/>
      <c r="J30" s="125"/>
      <c r="K30" s="125"/>
      <c r="L30" s="125"/>
      <c r="M30" s="125"/>
      <c r="N30" s="125"/>
      <c r="O30" s="125"/>
      <c r="P30" s="125"/>
      <c r="Q30" s="125"/>
      <c r="R30" s="125"/>
      <c r="S30" s="125"/>
      <c r="T30" s="125"/>
      <c r="U30" s="114"/>
      <c r="V30" s="114"/>
      <c r="W30" s="131"/>
      <c r="X30" s="97"/>
    </row>
    <row r="31" spans="2:24" ht="3" customHeight="1">
      <c r="B31" s="94"/>
      <c r="C31" s="95"/>
      <c r="D31" s="127"/>
      <c r="E31" s="127"/>
      <c r="F31" s="127"/>
      <c r="G31" s="127"/>
      <c r="H31" s="127"/>
      <c r="I31" s="127"/>
      <c r="J31" s="127"/>
      <c r="K31" s="127"/>
      <c r="L31" s="127"/>
      <c r="M31" s="127"/>
      <c r="N31" s="127"/>
      <c r="O31" s="127"/>
      <c r="P31" s="127"/>
      <c r="Q31" s="127"/>
      <c r="R31" s="127"/>
      <c r="S31" s="127"/>
      <c r="T31" s="127"/>
      <c r="U31" s="101"/>
      <c r="V31" s="101"/>
      <c r="W31" s="101"/>
      <c r="X31" s="97"/>
    </row>
    <row r="32" spans="2:24" ht="3" customHeight="1">
      <c r="B32" s="94"/>
      <c r="C32" s="2376">
        <v>6</v>
      </c>
      <c r="D32" s="106"/>
      <c r="E32" s="106"/>
      <c r="F32" s="106"/>
      <c r="G32" s="106"/>
      <c r="H32" s="106"/>
      <c r="I32" s="106"/>
      <c r="J32" s="106"/>
      <c r="K32" s="106"/>
      <c r="L32" s="106"/>
      <c r="M32" s="106"/>
      <c r="N32" s="106"/>
      <c r="O32" s="106"/>
      <c r="P32" s="106"/>
      <c r="Q32" s="106"/>
      <c r="R32" s="106"/>
      <c r="S32" s="106"/>
      <c r="T32" s="106"/>
      <c r="U32" s="106"/>
      <c r="V32" s="106"/>
      <c r="W32" s="107"/>
      <c r="X32" s="97"/>
    </row>
    <row r="33" spans="2:24" ht="12.75" customHeight="1">
      <c r="B33" s="94"/>
      <c r="C33" s="2377"/>
      <c r="D33" s="101"/>
      <c r="E33" s="101"/>
      <c r="F33" s="101"/>
      <c r="G33" s="101"/>
      <c r="H33" s="101"/>
      <c r="I33" s="101"/>
      <c r="J33" s="101"/>
      <c r="K33" s="105" t="s">
        <v>98</v>
      </c>
      <c r="L33" s="2355" t="s">
        <v>99</v>
      </c>
      <c r="M33" s="2355"/>
      <c r="N33" s="2355" t="s">
        <v>100</v>
      </c>
      <c r="O33" s="2355"/>
      <c r="P33" s="2355" t="s">
        <v>101</v>
      </c>
      <c r="Q33" s="2355"/>
      <c r="R33" s="2355"/>
      <c r="S33" s="2355" t="s">
        <v>102</v>
      </c>
      <c r="T33" s="2355"/>
      <c r="U33" s="2355"/>
      <c r="V33" s="2355"/>
      <c r="W33" s="130"/>
      <c r="X33" s="97"/>
    </row>
    <row r="34" spans="2:24" ht="15.75" customHeight="1">
      <c r="B34" s="94"/>
      <c r="C34" s="2377"/>
      <c r="D34" s="2428" t="s">
        <v>103</v>
      </c>
      <c r="E34" s="2429"/>
      <c r="F34" s="2429"/>
      <c r="G34" s="2429"/>
      <c r="H34" s="2430" t="s">
        <v>104</v>
      </c>
      <c r="I34" s="2430"/>
      <c r="J34" s="2430"/>
      <c r="K34" s="132"/>
      <c r="L34" s="2424"/>
      <c r="M34" s="2424"/>
      <c r="N34" s="2424"/>
      <c r="O34" s="2424"/>
      <c r="P34" s="2425"/>
      <c r="Q34" s="2426"/>
      <c r="R34" s="2427"/>
      <c r="S34" s="2425"/>
      <c r="T34" s="2426"/>
      <c r="U34" s="2426"/>
      <c r="V34" s="2427"/>
      <c r="W34" s="133"/>
      <c r="X34" s="97"/>
    </row>
    <row r="35" spans="2:24" ht="15.75" customHeight="1">
      <c r="B35" s="94"/>
      <c r="C35" s="2377"/>
      <c r="D35" s="2428"/>
      <c r="E35" s="2429"/>
      <c r="F35" s="2429"/>
      <c r="G35" s="2429"/>
      <c r="H35" s="134" t="s">
        <v>105</v>
      </c>
      <c r="I35" s="134"/>
      <c r="J35" s="134"/>
      <c r="K35" s="132"/>
      <c r="L35" s="2424"/>
      <c r="M35" s="2424"/>
      <c r="N35" s="2424"/>
      <c r="O35" s="2424"/>
      <c r="P35" s="2425"/>
      <c r="Q35" s="2426"/>
      <c r="R35" s="2427"/>
      <c r="S35" s="2425"/>
      <c r="T35" s="2426"/>
      <c r="U35" s="2426"/>
      <c r="V35" s="2427"/>
      <c r="W35" s="133"/>
      <c r="X35" s="97"/>
    </row>
    <row r="36" spans="2:24" ht="15.75" customHeight="1">
      <c r="B36" s="94"/>
      <c r="C36" s="2377"/>
      <c r="D36" s="2428"/>
      <c r="E36" s="2429"/>
      <c r="F36" s="2429"/>
      <c r="G36" s="2429"/>
      <c r="H36" s="2430" t="s">
        <v>106</v>
      </c>
      <c r="I36" s="2430"/>
      <c r="J36" s="2430"/>
      <c r="K36" s="132"/>
      <c r="L36" s="2424"/>
      <c r="M36" s="2424"/>
      <c r="N36" s="2424"/>
      <c r="O36" s="2424"/>
      <c r="P36" s="2425"/>
      <c r="Q36" s="2426"/>
      <c r="R36" s="2427"/>
      <c r="S36" s="2425"/>
      <c r="T36" s="2426"/>
      <c r="U36" s="2426"/>
      <c r="V36" s="2427"/>
      <c r="W36" s="133"/>
      <c r="X36" s="97"/>
    </row>
    <row r="37" spans="2:24" ht="15.75" customHeight="1">
      <c r="B37" s="94"/>
      <c r="C37" s="2377"/>
      <c r="D37" s="2428"/>
      <c r="E37" s="2429"/>
      <c r="F37" s="2429"/>
      <c r="G37" s="2429"/>
      <c r="H37" s="2430" t="s">
        <v>107</v>
      </c>
      <c r="I37" s="2430"/>
      <c r="J37" s="2430"/>
      <c r="K37" s="132"/>
      <c r="L37" s="2424"/>
      <c r="M37" s="2424"/>
      <c r="N37" s="2424"/>
      <c r="O37" s="2424"/>
      <c r="P37" s="2425"/>
      <c r="Q37" s="2426"/>
      <c r="R37" s="2427"/>
      <c r="S37" s="2425"/>
      <c r="T37" s="2426"/>
      <c r="U37" s="2426"/>
      <c r="V37" s="2427"/>
      <c r="W37" s="133"/>
      <c r="X37" s="97"/>
    </row>
    <row r="38" spans="2:24" ht="2.25" customHeight="1">
      <c r="B38" s="94"/>
      <c r="C38" s="2378"/>
      <c r="D38" s="125"/>
      <c r="E38" s="125"/>
      <c r="F38" s="125"/>
      <c r="G38" s="115"/>
      <c r="H38" s="115"/>
      <c r="I38" s="115"/>
      <c r="J38" s="115"/>
      <c r="K38" s="115"/>
      <c r="L38" s="115"/>
      <c r="M38" s="115"/>
      <c r="N38" s="114"/>
      <c r="O38" s="135"/>
      <c r="P38" s="135"/>
      <c r="Q38" s="135"/>
      <c r="R38" s="135"/>
      <c r="S38" s="125"/>
      <c r="T38" s="125"/>
      <c r="U38" s="125"/>
      <c r="V38" s="136"/>
      <c r="W38" s="137"/>
      <c r="X38" s="97"/>
    </row>
    <row r="39" spans="2:24" ht="2.25" customHeight="1">
      <c r="B39" s="94"/>
      <c r="C39" s="95"/>
      <c r="D39" s="127"/>
      <c r="E39" s="127"/>
      <c r="F39" s="127"/>
      <c r="G39" s="95"/>
      <c r="H39" s="95"/>
      <c r="I39" s="95"/>
      <c r="J39" s="95"/>
      <c r="K39" s="95"/>
      <c r="L39" s="95"/>
      <c r="M39" s="95"/>
      <c r="N39" s="101"/>
      <c r="O39" s="138"/>
      <c r="P39" s="138"/>
      <c r="Q39" s="138"/>
      <c r="R39" s="138"/>
      <c r="S39" s="127"/>
      <c r="T39" s="127"/>
      <c r="U39" s="127"/>
      <c r="V39" s="139"/>
      <c r="W39" s="140"/>
      <c r="X39" s="97"/>
    </row>
    <row r="40" spans="2:24" ht="11.25" customHeight="1">
      <c r="B40" s="94"/>
      <c r="C40" s="2376">
        <v>7</v>
      </c>
      <c r="D40" s="2364" t="s">
        <v>108</v>
      </c>
      <c r="E40" s="2365"/>
      <c r="F40" s="2365"/>
      <c r="G40" s="2365"/>
      <c r="H40" s="2365"/>
      <c r="I40" s="2365"/>
      <c r="J40" s="2365"/>
      <c r="K40" s="2365"/>
      <c r="L40" s="2365"/>
      <c r="M40" s="2365"/>
      <c r="N40" s="2365"/>
      <c r="O40" s="2365"/>
      <c r="P40" s="2365"/>
      <c r="Q40" s="2365"/>
      <c r="R40" s="2365"/>
      <c r="S40" s="2365"/>
      <c r="T40" s="2365"/>
      <c r="U40" s="2365"/>
      <c r="V40" s="2365"/>
      <c r="W40" s="2366"/>
      <c r="X40" s="97"/>
    </row>
    <row r="41" spans="2:24" ht="14.25" customHeight="1">
      <c r="B41" s="94"/>
      <c r="C41" s="2377"/>
      <c r="D41" s="2378" t="s">
        <v>109</v>
      </c>
      <c r="E41" s="2378"/>
      <c r="F41" s="2402" t="s">
        <v>110</v>
      </c>
      <c r="G41" s="2403"/>
      <c r="H41" s="2404"/>
      <c r="I41" s="2378" t="s">
        <v>111</v>
      </c>
      <c r="J41" s="2378"/>
      <c r="K41" s="2378"/>
      <c r="L41" s="2378"/>
      <c r="M41" s="2378"/>
      <c r="N41" s="2378"/>
      <c r="O41" s="2378"/>
      <c r="P41" s="2378"/>
      <c r="Q41" s="2378"/>
      <c r="R41" s="2378"/>
      <c r="S41" s="2378"/>
      <c r="T41" s="2364" t="s">
        <v>112</v>
      </c>
      <c r="U41" s="2365"/>
      <c r="V41" s="2365"/>
      <c r="W41" s="2366"/>
      <c r="X41" s="97"/>
    </row>
    <row r="42" spans="2:24" ht="18.75" customHeight="1">
      <c r="B42" s="94"/>
      <c r="C42" s="2377"/>
      <c r="D42" s="2405" t="s">
        <v>113</v>
      </c>
      <c r="E42" s="2405"/>
      <c r="F42" s="2406">
        <v>51720</v>
      </c>
      <c r="G42" s="2407"/>
      <c r="H42" s="2408"/>
      <c r="I42" s="2409" t="s">
        <v>1460</v>
      </c>
      <c r="J42" s="2410"/>
      <c r="K42" s="2410"/>
      <c r="L42" s="2410"/>
      <c r="M42" s="2410"/>
      <c r="N42" s="2410"/>
      <c r="O42" s="2410"/>
      <c r="P42" s="2410"/>
      <c r="Q42" s="2410"/>
      <c r="R42" s="2410"/>
      <c r="S42" s="2411"/>
      <c r="T42" s="2412" t="s">
        <v>1461</v>
      </c>
      <c r="U42" s="2356"/>
      <c r="V42" s="2356"/>
      <c r="W42" s="2413"/>
      <c r="X42" s="97"/>
    </row>
    <row r="43" spans="2:24" ht="18.75" customHeight="1">
      <c r="B43" s="94"/>
      <c r="C43" s="2377"/>
      <c r="D43" s="2405"/>
      <c r="E43" s="2405"/>
      <c r="F43" s="2406"/>
      <c r="G43" s="2407"/>
      <c r="H43" s="2408"/>
      <c r="I43" s="2409"/>
      <c r="J43" s="2410"/>
      <c r="K43" s="2410"/>
      <c r="L43" s="2410"/>
      <c r="M43" s="2410"/>
      <c r="N43" s="2410"/>
      <c r="O43" s="2410"/>
      <c r="P43" s="2410"/>
      <c r="Q43" s="2410"/>
      <c r="R43" s="2410"/>
      <c r="S43" s="2411"/>
      <c r="T43" s="2412"/>
      <c r="U43" s="2356"/>
      <c r="V43" s="2356"/>
      <c r="W43" s="2413"/>
      <c r="X43" s="97"/>
    </row>
    <row r="44" spans="2:24" ht="18.75" customHeight="1">
      <c r="B44" s="94"/>
      <c r="C44" s="2377"/>
      <c r="D44" s="2414"/>
      <c r="E44" s="2414"/>
      <c r="F44" s="2415"/>
      <c r="G44" s="2416"/>
      <c r="H44" s="2417"/>
      <c r="I44" s="2414"/>
      <c r="J44" s="2414"/>
      <c r="K44" s="2414"/>
      <c r="L44" s="2414"/>
      <c r="M44" s="2414"/>
      <c r="N44" s="2414"/>
      <c r="O44" s="2414"/>
      <c r="P44" s="2414"/>
      <c r="Q44" s="2414"/>
      <c r="R44" s="2414"/>
      <c r="S44" s="2414"/>
      <c r="T44" s="2364"/>
      <c r="U44" s="2365"/>
      <c r="V44" s="2365"/>
      <c r="W44" s="2366"/>
      <c r="X44" s="97"/>
    </row>
    <row r="45" spans="2:24" ht="18.75" customHeight="1">
      <c r="B45" s="94"/>
      <c r="C45" s="2378"/>
      <c r="D45" s="2414"/>
      <c r="E45" s="2414"/>
      <c r="F45" s="2415"/>
      <c r="G45" s="2416"/>
      <c r="H45" s="2417"/>
      <c r="I45" s="2414"/>
      <c r="J45" s="2414"/>
      <c r="K45" s="2414"/>
      <c r="L45" s="2414"/>
      <c r="M45" s="2414"/>
      <c r="N45" s="2414"/>
      <c r="O45" s="2414"/>
      <c r="P45" s="2414"/>
      <c r="Q45" s="2414"/>
      <c r="R45" s="2414"/>
      <c r="S45" s="2414"/>
      <c r="T45" s="2364"/>
      <c r="U45" s="2365"/>
      <c r="V45" s="2365"/>
      <c r="W45" s="2366"/>
      <c r="X45" s="97"/>
    </row>
    <row r="46" spans="2:24" ht="5.25" customHeight="1">
      <c r="B46" s="94"/>
      <c r="C46" s="95"/>
      <c r="D46" s="101"/>
      <c r="E46" s="101"/>
      <c r="F46" s="101"/>
      <c r="G46" s="101"/>
      <c r="H46" s="101"/>
      <c r="I46" s="101"/>
      <c r="J46" s="101"/>
      <c r="K46" s="101"/>
      <c r="L46" s="101"/>
      <c r="M46" s="101"/>
      <c r="N46" s="101"/>
      <c r="O46" s="101"/>
      <c r="P46" s="101"/>
      <c r="Q46" s="101"/>
      <c r="R46" s="101"/>
      <c r="S46" s="101"/>
      <c r="T46" s="101"/>
      <c r="U46" s="101"/>
      <c r="V46" s="101"/>
      <c r="W46" s="101"/>
      <c r="X46" s="97"/>
    </row>
    <row r="47" spans="2:24" ht="16.5" customHeight="1">
      <c r="B47" s="94"/>
      <c r="C47" s="2418" t="s">
        <v>114</v>
      </c>
      <c r="D47" s="2418"/>
      <c r="E47" s="2418"/>
      <c r="F47" s="2418"/>
      <c r="G47" s="2418"/>
      <c r="H47" s="2418"/>
      <c r="I47" s="2418"/>
      <c r="J47" s="2418"/>
      <c r="K47" s="2418"/>
      <c r="L47" s="2418"/>
      <c r="M47" s="2418"/>
      <c r="N47" s="2418"/>
      <c r="O47" s="2418"/>
      <c r="P47" s="2418"/>
      <c r="Q47" s="2418"/>
      <c r="R47" s="2418"/>
      <c r="S47" s="2418"/>
      <c r="T47" s="2418"/>
      <c r="U47" s="2418"/>
      <c r="V47" s="2418"/>
      <c r="W47" s="2418"/>
      <c r="X47" s="97"/>
    </row>
    <row r="48" spans="2:24" ht="2.25" customHeight="1">
      <c r="B48" s="94"/>
      <c r="C48" s="95"/>
      <c r="D48" s="101"/>
      <c r="E48" s="101"/>
      <c r="F48" s="101"/>
      <c r="G48" s="101"/>
      <c r="H48" s="101"/>
      <c r="I48" s="101"/>
      <c r="J48" s="101"/>
      <c r="K48" s="101"/>
      <c r="L48" s="101"/>
      <c r="M48" s="101"/>
      <c r="N48" s="101"/>
      <c r="O48" s="101"/>
      <c r="P48" s="101"/>
      <c r="Q48" s="101"/>
      <c r="R48" s="101"/>
      <c r="S48" s="101"/>
      <c r="T48" s="101"/>
      <c r="U48" s="101"/>
      <c r="V48" s="101"/>
      <c r="W48" s="101"/>
      <c r="X48" s="97"/>
    </row>
    <row r="49" spans="2:24" ht="2.25" customHeight="1">
      <c r="B49" s="94"/>
      <c r="C49" s="2355">
        <v>8</v>
      </c>
      <c r="D49" s="106"/>
      <c r="E49" s="106"/>
      <c r="F49" s="106"/>
      <c r="G49" s="106"/>
      <c r="H49" s="106"/>
      <c r="I49" s="106"/>
      <c r="J49" s="106"/>
      <c r="K49" s="106"/>
      <c r="L49" s="106"/>
      <c r="M49" s="106"/>
      <c r="N49" s="106"/>
      <c r="O49" s="106"/>
      <c r="P49" s="106"/>
      <c r="Q49" s="106"/>
      <c r="R49" s="106"/>
      <c r="S49" s="106"/>
      <c r="T49" s="106"/>
      <c r="U49" s="106"/>
      <c r="V49" s="106"/>
      <c r="W49" s="107"/>
      <c r="X49" s="97"/>
    </row>
    <row r="50" spans="2:24" ht="18.75" customHeight="1">
      <c r="B50" s="94"/>
      <c r="C50" s="2355"/>
      <c r="D50" s="2367" t="s">
        <v>115</v>
      </c>
      <c r="E50" s="2367"/>
      <c r="F50" s="2367"/>
      <c r="G50" s="2367"/>
      <c r="H50" s="2419"/>
      <c r="I50" s="2420"/>
      <c r="J50" s="2421"/>
      <c r="K50" s="2421"/>
      <c r="L50" s="2422"/>
      <c r="M50" s="101" t="s">
        <v>116</v>
      </c>
      <c r="N50" s="101"/>
      <c r="O50" s="101"/>
      <c r="P50" s="101"/>
      <c r="Q50" s="101"/>
      <c r="R50" s="2397"/>
      <c r="S50" s="2398"/>
      <c r="T50" s="2398"/>
      <c r="U50" s="2398"/>
      <c r="V50" s="2399"/>
      <c r="W50" s="130"/>
      <c r="X50" s="97"/>
    </row>
    <row r="51" spans="2:24" ht="3" customHeight="1">
      <c r="B51" s="94"/>
      <c r="C51" s="2355"/>
      <c r="D51" s="101"/>
      <c r="E51" s="101"/>
      <c r="F51" s="101"/>
      <c r="G51" s="101"/>
      <c r="H51" s="101"/>
      <c r="I51" s="101"/>
      <c r="J51" s="101"/>
      <c r="K51" s="101"/>
      <c r="L51" s="101"/>
      <c r="M51" s="101"/>
      <c r="N51" s="101"/>
      <c r="O51" s="101"/>
      <c r="P51" s="101"/>
      <c r="Q51" s="101"/>
      <c r="R51" s="101"/>
      <c r="S51" s="101"/>
      <c r="T51" s="101"/>
      <c r="U51" s="101"/>
      <c r="V51" s="101"/>
      <c r="W51" s="130"/>
      <c r="X51" s="97"/>
    </row>
    <row r="52" spans="2:24" ht="27" customHeight="1">
      <c r="B52" s="94"/>
      <c r="C52" s="2355"/>
      <c r="D52" s="2395" t="s">
        <v>117</v>
      </c>
      <c r="E52" s="2395"/>
      <c r="F52" s="2395"/>
      <c r="G52" s="2395"/>
      <c r="H52" s="2396"/>
      <c r="I52" s="2391">
        <f>+I50*R50</f>
        <v>0</v>
      </c>
      <c r="J52" s="2392"/>
      <c r="K52" s="2392"/>
      <c r="L52" s="2393"/>
      <c r="M52" s="2394" t="s">
        <v>118</v>
      </c>
      <c r="N52" s="2395"/>
      <c r="O52" s="2395"/>
      <c r="P52" s="2395"/>
      <c r="Q52" s="2396"/>
      <c r="R52" s="2397"/>
      <c r="S52" s="2398"/>
      <c r="T52" s="2398"/>
      <c r="U52" s="2398"/>
      <c r="V52" s="2399"/>
      <c r="W52" s="130"/>
      <c r="X52" s="97"/>
    </row>
    <row r="53" spans="2:24" ht="2.25" customHeight="1">
      <c r="B53" s="94"/>
      <c r="C53" s="2355"/>
      <c r="D53" s="141"/>
      <c r="E53" s="141"/>
      <c r="F53" s="141"/>
      <c r="G53" s="141"/>
      <c r="H53" s="141"/>
      <c r="I53" s="95"/>
      <c r="J53" s="95"/>
      <c r="K53" s="118"/>
      <c r="L53" s="118"/>
      <c r="M53" s="101"/>
      <c r="N53" s="101"/>
      <c r="O53" s="101"/>
      <c r="P53" s="101"/>
      <c r="Q53" s="101"/>
      <c r="R53" s="101"/>
      <c r="S53" s="101"/>
      <c r="T53" s="101"/>
      <c r="U53" s="101"/>
      <c r="V53" s="101"/>
      <c r="W53" s="130"/>
      <c r="X53" s="97"/>
    </row>
    <row r="54" spans="2:24" ht="18" customHeight="1">
      <c r="B54" s="94"/>
      <c r="C54" s="2355"/>
      <c r="D54" s="101" t="s">
        <v>119</v>
      </c>
      <c r="E54" s="101"/>
      <c r="F54" s="101"/>
      <c r="G54" s="101"/>
      <c r="H54" s="101"/>
      <c r="I54" s="101"/>
      <c r="J54" s="101"/>
      <c r="K54" s="2400"/>
      <c r="L54" s="2400"/>
      <c r="M54" s="101" t="s">
        <v>120</v>
      </c>
      <c r="N54" s="2401">
        <f>+I52*K54</f>
        <v>0</v>
      </c>
      <c r="O54" s="2401"/>
      <c r="P54" s="2401"/>
      <c r="Q54" s="2401"/>
      <c r="R54" s="101"/>
      <c r="S54" s="101"/>
      <c r="T54" s="101"/>
      <c r="U54" s="101"/>
      <c r="V54" s="101"/>
      <c r="W54" s="130"/>
      <c r="X54" s="97"/>
    </row>
    <row r="55" spans="2:24" ht="2.25" customHeight="1">
      <c r="B55" s="94"/>
      <c r="C55" s="2355"/>
      <c r="D55" s="142"/>
      <c r="E55" s="142"/>
      <c r="F55" s="142"/>
      <c r="G55" s="142"/>
      <c r="H55" s="142"/>
      <c r="I55" s="115"/>
      <c r="J55" s="115"/>
      <c r="K55" s="115"/>
      <c r="L55" s="115"/>
      <c r="M55" s="114"/>
      <c r="N55" s="114"/>
      <c r="O55" s="114"/>
      <c r="P55" s="114"/>
      <c r="Q55" s="114"/>
      <c r="R55" s="114"/>
      <c r="S55" s="114"/>
      <c r="T55" s="114"/>
      <c r="U55" s="114"/>
      <c r="V55" s="114"/>
      <c r="W55" s="131"/>
      <c r="X55" s="97"/>
    </row>
    <row r="56" spans="2:24" ht="2.25" customHeight="1">
      <c r="B56" s="94"/>
      <c r="C56" s="95"/>
      <c r="D56" s="141"/>
      <c r="E56" s="141"/>
      <c r="F56" s="141"/>
      <c r="G56" s="141"/>
      <c r="H56" s="141"/>
      <c r="I56" s="95"/>
      <c r="J56" s="95"/>
      <c r="K56" s="95"/>
      <c r="L56" s="95"/>
      <c r="M56" s="101"/>
      <c r="N56" s="101"/>
      <c r="O56" s="101"/>
      <c r="P56" s="101"/>
      <c r="Q56" s="101"/>
      <c r="R56" s="101"/>
      <c r="S56" s="101"/>
      <c r="T56" s="101"/>
      <c r="U56" s="101"/>
      <c r="V56" s="101"/>
      <c r="W56" s="101"/>
      <c r="X56" s="97"/>
    </row>
    <row r="57" spans="2:24" ht="2.25" customHeight="1">
      <c r="B57" s="94"/>
      <c r="C57" s="2355">
        <v>9</v>
      </c>
      <c r="D57" s="143"/>
      <c r="E57" s="143"/>
      <c r="F57" s="143"/>
      <c r="G57" s="143"/>
      <c r="H57" s="143"/>
      <c r="I57" s="118"/>
      <c r="J57" s="118"/>
      <c r="K57" s="118"/>
      <c r="L57" s="118"/>
      <c r="M57" s="106"/>
      <c r="N57" s="106"/>
      <c r="O57" s="106"/>
      <c r="P57" s="106"/>
      <c r="Q57" s="106"/>
      <c r="R57" s="106"/>
      <c r="S57" s="106"/>
      <c r="T57" s="106"/>
      <c r="U57" s="106"/>
      <c r="V57" s="106"/>
      <c r="W57" s="107"/>
      <c r="X57" s="97"/>
    </row>
    <row r="58" spans="2:24" ht="18.75" customHeight="1">
      <c r="B58" s="94"/>
      <c r="C58" s="2355"/>
      <c r="D58" s="2354" t="s">
        <v>121</v>
      </c>
      <c r="E58" s="2354"/>
      <c r="F58" s="2354"/>
      <c r="G58" s="2354"/>
      <c r="H58" s="2354"/>
      <c r="I58" s="2354"/>
      <c r="J58" s="2354"/>
      <c r="K58" s="144" t="s">
        <v>122</v>
      </c>
      <c r="L58" s="145"/>
      <c r="M58" s="144" t="s">
        <v>123</v>
      </c>
      <c r="N58" s="145"/>
      <c r="O58" s="101"/>
      <c r="W58" s="130"/>
      <c r="X58" s="97"/>
    </row>
    <row r="59" spans="2:24" ht="3" customHeight="1">
      <c r="B59" s="94"/>
      <c r="C59" s="2355"/>
      <c r="D59" s="114"/>
      <c r="E59" s="114"/>
      <c r="F59" s="114"/>
      <c r="G59" s="114"/>
      <c r="H59" s="114"/>
      <c r="I59" s="114"/>
      <c r="J59" s="114"/>
      <c r="K59" s="114"/>
      <c r="L59" s="114"/>
      <c r="M59" s="114"/>
      <c r="N59" s="114"/>
      <c r="O59" s="114"/>
      <c r="P59" s="114"/>
      <c r="Q59" s="114"/>
      <c r="R59" s="114"/>
      <c r="S59" s="114"/>
      <c r="T59" s="114"/>
      <c r="U59" s="114"/>
      <c r="V59" s="114"/>
      <c r="W59" s="131"/>
      <c r="X59" s="97"/>
    </row>
    <row r="60" spans="2:24" ht="3" customHeight="1">
      <c r="B60" s="94"/>
      <c r="C60" s="95"/>
      <c r="D60" s="101"/>
      <c r="E60" s="101"/>
      <c r="F60" s="101"/>
      <c r="G60" s="101"/>
      <c r="H60" s="101"/>
      <c r="I60" s="101"/>
      <c r="J60" s="101"/>
      <c r="K60" s="101"/>
      <c r="L60" s="101"/>
      <c r="M60" s="101"/>
      <c r="N60" s="101"/>
      <c r="O60" s="101"/>
      <c r="P60" s="101"/>
      <c r="Q60" s="101"/>
      <c r="R60" s="101"/>
      <c r="S60" s="101"/>
      <c r="T60" s="101"/>
      <c r="U60" s="101"/>
      <c r="V60" s="101"/>
      <c r="W60" s="101"/>
      <c r="X60" s="97"/>
    </row>
    <row r="61" spans="2:24" ht="18.75" customHeight="1">
      <c r="B61" s="94"/>
      <c r="C61" s="2423" t="s">
        <v>124</v>
      </c>
      <c r="D61" s="2423"/>
      <c r="E61" s="2423"/>
      <c r="F61" s="2423"/>
      <c r="G61" s="2423"/>
      <c r="H61" s="2423"/>
      <c r="I61" s="2423"/>
      <c r="J61" s="2423"/>
      <c r="K61" s="2423"/>
      <c r="L61" s="2423"/>
      <c r="M61" s="2423"/>
      <c r="N61" s="2423"/>
      <c r="O61" s="2423"/>
      <c r="P61" s="2423"/>
      <c r="Q61" s="2423"/>
      <c r="R61" s="2423"/>
      <c r="S61" s="2423"/>
      <c r="T61" s="2423"/>
      <c r="U61" s="2423"/>
      <c r="V61" s="2423"/>
      <c r="W61" s="2423"/>
      <c r="X61" s="97"/>
    </row>
    <row r="62" spans="2:24" ht="3" customHeight="1">
      <c r="B62" s="94"/>
      <c r="C62" s="95"/>
      <c r="D62" s="101"/>
      <c r="E62" s="101"/>
      <c r="F62" s="101"/>
      <c r="G62" s="101"/>
      <c r="H62" s="101"/>
      <c r="I62" s="101"/>
      <c r="J62" s="101"/>
      <c r="K62" s="101"/>
      <c r="L62" s="101"/>
      <c r="M62" s="101"/>
      <c r="N62" s="101"/>
      <c r="O62" s="101"/>
      <c r="P62" s="101"/>
      <c r="Q62" s="101"/>
      <c r="R62" s="101"/>
      <c r="S62" s="101"/>
      <c r="T62" s="101"/>
      <c r="U62" s="101"/>
      <c r="V62" s="101"/>
      <c r="W62" s="101"/>
      <c r="X62" s="97"/>
    </row>
    <row r="63" spans="2:24" ht="18.75" customHeight="1">
      <c r="B63" s="94"/>
      <c r="C63" s="2376">
        <v>10</v>
      </c>
      <c r="D63" s="106" t="s">
        <v>125</v>
      </c>
      <c r="E63" s="106"/>
      <c r="F63" s="106"/>
      <c r="G63" s="106"/>
      <c r="H63" s="106"/>
      <c r="I63" s="106"/>
      <c r="J63" s="106"/>
      <c r="K63" s="106"/>
      <c r="L63" s="106"/>
      <c r="M63" s="106"/>
      <c r="N63" s="106"/>
      <c r="O63" s="106"/>
      <c r="P63" s="106"/>
      <c r="Q63" s="106"/>
      <c r="R63" s="106"/>
      <c r="S63" s="106"/>
      <c r="T63" s="106"/>
      <c r="U63" s="106"/>
      <c r="V63" s="106"/>
      <c r="W63" s="107"/>
      <c r="X63" s="97"/>
    </row>
    <row r="64" spans="2:24" ht="15" customHeight="1">
      <c r="B64" s="94"/>
      <c r="C64" s="2377"/>
      <c r="D64" s="119">
        <v>2013</v>
      </c>
      <c r="E64" s="2388" t="s">
        <v>1245</v>
      </c>
      <c r="F64" s="2389"/>
      <c r="G64" s="2389"/>
      <c r="H64" s="2389"/>
      <c r="I64" s="2389"/>
      <c r="J64" s="2389"/>
      <c r="K64" s="2389"/>
      <c r="L64" s="2389"/>
      <c r="M64" s="2389"/>
      <c r="N64" s="2389"/>
      <c r="O64" s="2389"/>
      <c r="P64" s="2389"/>
      <c r="Q64" s="2389"/>
      <c r="R64" s="2389"/>
      <c r="S64" s="2389"/>
      <c r="T64" s="2389"/>
      <c r="U64" s="2389"/>
      <c r="V64" s="2390"/>
      <c r="W64" s="130"/>
      <c r="X64" s="97"/>
    </row>
    <row r="65" spans="2:37" ht="15" customHeight="1">
      <c r="B65" s="94"/>
      <c r="C65" s="2377"/>
      <c r="D65" s="119">
        <v>2014</v>
      </c>
      <c r="E65" s="2388"/>
      <c r="F65" s="2389"/>
      <c r="G65" s="2389"/>
      <c r="H65" s="2389"/>
      <c r="I65" s="2389"/>
      <c r="J65" s="2389"/>
      <c r="K65" s="2389"/>
      <c r="L65" s="2389"/>
      <c r="M65" s="2389"/>
      <c r="N65" s="2389"/>
      <c r="O65" s="2389"/>
      <c r="P65" s="2389"/>
      <c r="Q65" s="2389"/>
      <c r="R65" s="2389"/>
      <c r="S65" s="2389"/>
      <c r="T65" s="2389"/>
      <c r="U65" s="2389"/>
      <c r="V65" s="2390"/>
      <c r="W65" s="130"/>
      <c r="X65" s="97"/>
    </row>
    <row r="66" spans="2:37" ht="15" customHeight="1">
      <c r="B66" s="94"/>
      <c r="C66" s="2377"/>
      <c r="D66" s="639">
        <v>2015</v>
      </c>
      <c r="E66" s="640"/>
      <c r="F66" s="641"/>
      <c r="G66" s="641"/>
      <c r="H66" s="641"/>
      <c r="I66" s="641"/>
      <c r="J66" s="641"/>
      <c r="K66" s="641"/>
      <c r="L66" s="641"/>
      <c r="M66" s="641"/>
      <c r="N66" s="641"/>
      <c r="O66" s="641"/>
      <c r="P66" s="641"/>
      <c r="Q66" s="641"/>
      <c r="R66" s="641"/>
      <c r="S66" s="641"/>
      <c r="T66" s="641"/>
      <c r="U66" s="641"/>
      <c r="V66" s="642"/>
      <c r="W66" s="130"/>
      <c r="X66" s="97"/>
    </row>
    <row r="67" spans="2:37" s="1113" customFormat="1" ht="15" customHeight="1">
      <c r="B67" s="94"/>
      <c r="C67" s="2377"/>
      <c r="D67" s="1123">
        <v>2016</v>
      </c>
      <c r="E67" s="1124"/>
      <c r="F67" s="1125"/>
      <c r="G67" s="1125"/>
      <c r="H67" s="1125"/>
      <c r="I67" s="1125"/>
      <c r="J67" s="1125"/>
      <c r="K67" s="1125"/>
      <c r="L67" s="1125"/>
      <c r="M67" s="1125"/>
      <c r="N67" s="1125"/>
      <c r="O67" s="1125"/>
      <c r="P67" s="1125"/>
      <c r="Q67" s="1125"/>
      <c r="R67" s="1125"/>
      <c r="S67" s="1125"/>
      <c r="T67" s="1125"/>
      <c r="U67" s="1125"/>
      <c r="V67" s="1126"/>
      <c r="W67" s="130"/>
      <c r="X67" s="97"/>
    </row>
    <row r="68" spans="2:37" s="1113" customFormat="1" ht="15" customHeight="1">
      <c r="B68" s="94"/>
      <c r="C68" s="2377"/>
      <c r="D68" s="1123">
        <v>2017</v>
      </c>
      <c r="E68" s="1124"/>
      <c r="F68" s="1125"/>
      <c r="G68" s="1125"/>
      <c r="H68" s="1125"/>
      <c r="I68" s="1125"/>
      <c r="J68" s="1125"/>
      <c r="K68" s="1125"/>
      <c r="L68" s="1125"/>
      <c r="M68" s="1125"/>
      <c r="N68" s="1125"/>
      <c r="O68" s="1125"/>
      <c r="P68" s="1125"/>
      <c r="Q68" s="1125"/>
      <c r="R68" s="1125"/>
      <c r="S68" s="1125"/>
      <c r="T68" s="1125"/>
      <c r="U68" s="1125"/>
      <c r="V68" s="1126"/>
      <c r="W68" s="130"/>
      <c r="X68" s="97"/>
    </row>
    <row r="69" spans="2:37" s="1113" customFormat="1" ht="15" customHeight="1">
      <c r="B69" s="94"/>
      <c r="C69" s="2377"/>
      <c r="D69" s="1123">
        <v>2018</v>
      </c>
      <c r="E69" s="1124"/>
      <c r="F69" s="1125"/>
      <c r="G69" s="1125"/>
      <c r="H69" s="1125"/>
      <c r="I69" s="1125"/>
      <c r="J69" s="1125"/>
      <c r="K69" s="1125"/>
      <c r="L69" s="1125"/>
      <c r="M69" s="1125"/>
      <c r="N69" s="1125"/>
      <c r="O69" s="1125"/>
      <c r="P69" s="1125"/>
      <c r="Q69" s="1125"/>
      <c r="R69" s="1125"/>
      <c r="S69" s="1125"/>
      <c r="T69" s="1125"/>
      <c r="U69" s="1125"/>
      <c r="V69" s="1126"/>
      <c r="W69" s="130"/>
      <c r="X69" s="97"/>
    </row>
    <row r="70" spans="2:37" ht="30" customHeight="1">
      <c r="B70" s="94"/>
      <c r="C70" s="2378"/>
      <c r="D70" s="1028">
        <v>2019</v>
      </c>
      <c r="E70" s="2388" t="s">
        <v>1246</v>
      </c>
      <c r="F70" s="2389"/>
      <c r="G70" s="2389"/>
      <c r="H70" s="2389"/>
      <c r="I70" s="2389"/>
      <c r="J70" s="2389"/>
      <c r="K70" s="2389"/>
      <c r="L70" s="2389"/>
      <c r="M70" s="2389"/>
      <c r="N70" s="2389"/>
      <c r="O70" s="2389"/>
      <c r="P70" s="2389"/>
      <c r="Q70" s="2389"/>
      <c r="R70" s="2389"/>
      <c r="S70" s="2389"/>
      <c r="T70" s="2389"/>
      <c r="U70" s="2389"/>
      <c r="V70" s="2390"/>
      <c r="W70" s="131"/>
      <c r="X70" s="97"/>
    </row>
    <row r="71" spans="2:37" ht="6.75" customHeight="1">
      <c r="B71" s="94"/>
      <c r="C71" s="95"/>
      <c r="D71" s="101"/>
      <c r="E71" s="101"/>
      <c r="F71" s="101"/>
      <c r="G71" s="101"/>
      <c r="H71" s="101"/>
      <c r="I71" s="101"/>
      <c r="J71" s="101"/>
      <c r="K71" s="101"/>
      <c r="L71" s="101"/>
      <c r="M71" s="101"/>
      <c r="N71" s="101"/>
      <c r="O71" s="101"/>
      <c r="P71" s="101"/>
      <c r="Q71" s="101"/>
      <c r="R71" s="101"/>
      <c r="S71" s="101"/>
      <c r="T71" s="101"/>
      <c r="U71" s="101"/>
      <c r="V71" s="101"/>
      <c r="W71" s="101"/>
      <c r="X71" s="97"/>
    </row>
    <row r="72" spans="2:37" ht="31.5" customHeight="1">
      <c r="B72" s="94"/>
      <c r="C72" s="2376">
        <v>11</v>
      </c>
      <c r="D72" s="2379" t="s">
        <v>126</v>
      </c>
      <c r="E72" s="2379"/>
      <c r="F72" s="2379"/>
      <c r="G72" s="2379"/>
      <c r="H72" s="2379"/>
      <c r="I72" s="2379"/>
      <c r="J72" s="2379"/>
      <c r="K72" s="2379"/>
      <c r="L72" s="2379"/>
      <c r="M72" s="2379"/>
      <c r="N72" s="2379"/>
      <c r="O72" s="2379"/>
      <c r="P72" s="2379"/>
      <c r="Q72" s="2379"/>
      <c r="R72" s="2379"/>
      <c r="S72" s="2379"/>
      <c r="T72" s="2379"/>
      <c r="U72" s="2379"/>
      <c r="V72" s="2379"/>
      <c r="W72" s="146"/>
      <c r="X72" s="97"/>
    </row>
    <row r="73" spans="2:37" ht="14.5">
      <c r="B73" s="94"/>
      <c r="C73" s="2377"/>
      <c r="D73" s="2364" t="s">
        <v>127</v>
      </c>
      <c r="E73" s="2365"/>
      <c r="F73" s="2365"/>
      <c r="G73" s="2365"/>
      <c r="H73" s="2365"/>
      <c r="I73" s="2365"/>
      <c r="J73" s="2365"/>
      <c r="K73" s="2365"/>
      <c r="L73" s="2365"/>
      <c r="M73" s="2365"/>
      <c r="N73" s="2365"/>
      <c r="O73" s="2365"/>
      <c r="P73" s="2365"/>
      <c r="Q73" s="2365"/>
      <c r="R73" s="2365"/>
      <c r="S73" s="2365"/>
      <c r="T73" s="2365"/>
      <c r="U73" s="2365"/>
      <c r="V73" s="2366"/>
      <c r="W73" s="147"/>
      <c r="X73" s="97"/>
    </row>
    <row r="74" spans="2:37" ht="14.5">
      <c r="B74" s="94"/>
      <c r="C74" s="2377"/>
      <c r="D74" s="2380" t="s">
        <v>128</v>
      </c>
      <c r="E74" s="2381"/>
      <c r="F74" s="2381"/>
      <c r="G74" s="2381"/>
      <c r="H74" s="161"/>
      <c r="I74" s="162"/>
      <c r="J74" s="162"/>
      <c r="K74" s="162"/>
      <c r="L74" s="2356" t="s">
        <v>154</v>
      </c>
      <c r="M74" s="2356"/>
      <c r="N74" s="164">
        <f ca="1">IF(INICIO!$C$6&gt;$R6," ",(VLOOKUP(Z4,MESAÑO,25,)))</f>
        <v>9.5323030132338786</v>
      </c>
      <c r="O74" s="164" t="s">
        <v>153</v>
      </c>
      <c r="Q74" s="162"/>
      <c r="R74" s="163"/>
      <c r="S74" s="148" t="s">
        <v>129</v>
      </c>
      <c r="U74" s="149"/>
      <c r="V74" s="150" t="s">
        <v>130</v>
      </c>
      <c r="W74" s="147"/>
      <c r="X74" s="97"/>
    </row>
    <row r="75" spans="2:37" ht="75" customHeight="1">
      <c r="B75" s="94"/>
      <c r="C75" s="2377"/>
      <c r="D75" s="151" t="s">
        <v>131</v>
      </c>
      <c r="E75" s="2382" t="s">
        <v>132</v>
      </c>
      <c r="F75" s="2383"/>
      <c r="G75" s="2383"/>
      <c r="H75" s="2293" t="s">
        <v>133</v>
      </c>
      <c r="I75" s="2293"/>
      <c r="J75" s="2293"/>
      <c r="K75" s="95" t="s">
        <v>94</v>
      </c>
      <c r="L75" s="2384" t="s">
        <v>134</v>
      </c>
      <c r="M75" s="2385"/>
      <c r="N75" s="2382" t="s">
        <v>135</v>
      </c>
      <c r="O75" s="2383"/>
      <c r="P75" s="2386"/>
      <c r="Q75" s="123" t="s">
        <v>136</v>
      </c>
      <c r="R75" s="131"/>
      <c r="S75" s="2385" t="s">
        <v>137</v>
      </c>
      <c r="T75" s="2365"/>
      <c r="U75" s="2365"/>
      <c r="V75" s="2366"/>
      <c r="W75" s="147"/>
      <c r="X75" s="97"/>
      <c r="AA75" s="2367"/>
      <c r="AB75" s="2367"/>
      <c r="AC75" s="2367"/>
      <c r="AD75" s="2367"/>
      <c r="AE75" s="2367"/>
      <c r="AF75" s="2367"/>
      <c r="AG75" s="2367"/>
      <c r="AH75" s="2367"/>
      <c r="AI75" s="2367"/>
      <c r="AJ75" s="2367"/>
      <c r="AK75" s="2367"/>
    </row>
    <row r="76" spans="2:37" ht="31.5" customHeight="1">
      <c r="B76" s="94"/>
      <c r="C76" s="2377"/>
      <c r="D76" s="181">
        <f>INICIO!D13</f>
        <v>45260</v>
      </c>
      <c r="E76" s="2368">
        <f ca="1">VLOOKUP(Z4,MESAÑO,24,)*1000</f>
        <v>440000</v>
      </c>
      <c r="F76" s="2368" t="e">
        <f>VLOOKUP(F$9,DATOSAÑO!$B$11:$AI$389,29)</f>
        <v>#N/A</v>
      </c>
      <c r="G76" s="2368" t="e">
        <f>VLOOKUP(G$9,DATOSAÑO!$B$11:$AI$389,29)</f>
        <v>#N/A</v>
      </c>
      <c r="H76" s="2369">
        <f>IF(DAY(D76)=31,INICIO!T9,IF(DAY(D76)=30,INICIO!T8,IF(DAY(D76)=29,INICIO!T7,INICIO!U6)))</f>
        <v>86280</v>
      </c>
      <c r="I76" s="2369"/>
      <c r="J76" s="2369"/>
      <c r="K76" s="95"/>
      <c r="L76" s="2370"/>
      <c r="M76" s="2371"/>
      <c r="N76" s="2372"/>
      <c r="O76" s="2372"/>
      <c r="P76" s="105" t="s">
        <v>138</v>
      </c>
      <c r="Q76" s="2373">
        <f>+L76*H76</f>
        <v>0</v>
      </c>
      <c r="R76" s="2374"/>
      <c r="S76" s="2375">
        <f ca="1">+((E76-H76)*4%)*N76</f>
        <v>0</v>
      </c>
      <c r="T76" s="2375"/>
      <c r="U76" s="2375"/>
      <c r="V76" s="105" t="s">
        <v>139</v>
      </c>
      <c r="W76" s="147"/>
      <c r="X76" s="97"/>
      <c r="AB76" s="152"/>
    </row>
    <row r="77" spans="2:37" ht="18.75" customHeight="1">
      <c r="B77" s="94"/>
      <c r="C77" s="2377"/>
      <c r="D77" s="2364" t="s">
        <v>140</v>
      </c>
      <c r="E77" s="2365"/>
      <c r="F77" s="2365"/>
      <c r="G77" s="2365"/>
      <c r="H77" s="2365"/>
      <c r="I77" s="2365"/>
      <c r="J77" s="2365"/>
      <c r="K77" s="2365"/>
      <c r="L77" s="2365"/>
      <c r="M77" s="2365"/>
      <c r="N77" s="2365"/>
      <c r="O77" s="2365"/>
      <c r="P77" s="2365"/>
      <c r="Q77" s="2365"/>
      <c r="R77" s="2365"/>
      <c r="S77" s="2365"/>
      <c r="T77" s="2365"/>
      <c r="U77" s="2365"/>
      <c r="V77" s="2366"/>
      <c r="W77" s="110"/>
      <c r="X77" s="97"/>
      <c r="AA77" s="153"/>
    </row>
    <row r="78" spans="2:37" ht="18.75" customHeight="1">
      <c r="B78" s="94"/>
      <c r="C78" s="2377"/>
      <c r="D78" s="151" t="s">
        <v>141</v>
      </c>
      <c r="E78" s="2378" t="s">
        <v>142</v>
      </c>
      <c r="F78" s="2378"/>
      <c r="G78" s="2378"/>
      <c r="H78" s="2378"/>
      <c r="I78" s="2378"/>
      <c r="J78" s="2378"/>
      <c r="K78" s="95" t="s">
        <v>94</v>
      </c>
      <c r="L78" s="2364" t="s">
        <v>143</v>
      </c>
      <c r="M78" s="2365"/>
      <c r="N78" s="2366"/>
      <c r="O78" s="95" t="s">
        <v>144</v>
      </c>
      <c r="P78" s="2364" t="s">
        <v>145</v>
      </c>
      <c r="Q78" s="2365"/>
      <c r="R78" s="2365"/>
      <c r="S78" s="2365" t="s">
        <v>146</v>
      </c>
      <c r="T78" s="2365"/>
      <c r="U78" s="2365"/>
      <c r="V78" s="151"/>
      <c r="W78" s="110"/>
      <c r="X78" s="97"/>
    </row>
    <row r="79" spans="2:37" ht="18.75" customHeight="1">
      <c r="B79" s="94"/>
      <c r="C79" s="2377"/>
      <c r="D79" s="151" t="s">
        <v>147</v>
      </c>
      <c r="E79" s="2358"/>
      <c r="F79" s="2359"/>
      <c r="G79" s="2359"/>
      <c r="H79" s="2387"/>
      <c r="I79" s="2355" t="s">
        <v>148</v>
      </c>
      <c r="J79" s="2355"/>
      <c r="K79" s="95" t="s">
        <v>94</v>
      </c>
      <c r="L79" s="2358"/>
      <c r="M79" s="2359"/>
      <c r="N79" s="105" t="s">
        <v>138</v>
      </c>
      <c r="O79" s="95" t="s">
        <v>144</v>
      </c>
      <c r="P79" s="2360">
        <f>+L79*E79</f>
        <v>0</v>
      </c>
      <c r="Q79" s="2361"/>
      <c r="R79" s="2362"/>
      <c r="S79" s="2363">
        <f>+P79*12</f>
        <v>0</v>
      </c>
      <c r="T79" s="2363"/>
      <c r="U79" s="2363"/>
      <c r="V79" s="105" t="s">
        <v>139</v>
      </c>
      <c r="W79" s="130"/>
      <c r="X79" s="97"/>
    </row>
    <row r="80" spans="2:37" ht="18.75" customHeight="1">
      <c r="B80" s="94"/>
      <c r="C80" s="2377"/>
      <c r="D80" s="151" t="s">
        <v>149</v>
      </c>
      <c r="E80" s="2357"/>
      <c r="F80" s="2357"/>
      <c r="G80" s="2357"/>
      <c r="H80" s="2357"/>
      <c r="I80" s="2355" t="s">
        <v>148</v>
      </c>
      <c r="J80" s="2355"/>
      <c r="K80" s="95" t="s">
        <v>94</v>
      </c>
      <c r="L80" s="2358"/>
      <c r="M80" s="2359"/>
      <c r="N80" s="105" t="s">
        <v>138</v>
      </c>
      <c r="O80" s="95" t="s">
        <v>144</v>
      </c>
      <c r="P80" s="2360">
        <f>+L80*E80</f>
        <v>0</v>
      </c>
      <c r="Q80" s="2361"/>
      <c r="R80" s="2362"/>
      <c r="S80" s="2363">
        <f>+P80*12</f>
        <v>0</v>
      </c>
      <c r="T80" s="2363"/>
      <c r="U80" s="2363"/>
      <c r="V80" s="105" t="s">
        <v>139</v>
      </c>
      <c r="W80" s="130"/>
      <c r="X80" s="97"/>
      <c r="AA80" s="154"/>
    </row>
    <row r="81" spans="2:27" ht="18.75" customHeight="1">
      <c r="B81" s="94"/>
      <c r="C81" s="2377"/>
      <c r="D81" s="151" t="s">
        <v>150</v>
      </c>
      <c r="E81" s="2357"/>
      <c r="F81" s="2357"/>
      <c r="G81" s="2357"/>
      <c r="H81" s="2357"/>
      <c r="I81" s="2355" t="s">
        <v>148</v>
      </c>
      <c r="J81" s="2355"/>
      <c r="K81" s="95" t="s">
        <v>94</v>
      </c>
      <c r="L81" s="2358"/>
      <c r="M81" s="2359"/>
      <c r="N81" s="105" t="s">
        <v>138</v>
      </c>
      <c r="O81" s="95" t="s">
        <v>144</v>
      </c>
      <c r="P81" s="2360">
        <f>+L81*E81</f>
        <v>0</v>
      </c>
      <c r="Q81" s="2361"/>
      <c r="R81" s="2362"/>
      <c r="S81" s="2363">
        <f>+P81*12</f>
        <v>0</v>
      </c>
      <c r="T81" s="2363"/>
      <c r="U81" s="2363"/>
      <c r="V81" s="105" t="s">
        <v>139</v>
      </c>
      <c r="W81" s="130"/>
      <c r="X81" s="97"/>
    </row>
    <row r="82" spans="2:27" ht="18.75" customHeight="1">
      <c r="B82" s="94"/>
      <c r="C82" s="2377"/>
      <c r="D82" s="151" t="s">
        <v>150</v>
      </c>
      <c r="E82" s="2357"/>
      <c r="F82" s="2357"/>
      <c r="G82" s="2357"/>
      <c r="H82" s="2357"/>
      <c r="I82" s="2355" t="s">
        <v>148</v>
      </c>
      <c r="J82" s="2355"/>
      <c r="K82" s="95" t="s">
        <v>94</v>
      </c>
      <c r="L82" s="2358"/>
      <c r="M82" s="2359"/>
      <c r="N82" s="105" t="s">
        <v>138</v>
      </c>
      <c r="O82" s="95" t="s">
        <v>144</v>
      </c>
      <c r="P82" s="2360">
        <f>+L82*E82</f>
        <v>0</v>
      </c>
      <c r="Q82" s="2361"/>
      <c r="R82" s="2362"/>
      <c r="S82" s="2363">
        <f>+P82*12</f>
        <v>0</v>
      </c>
      <c r="T82" s="2363"/>
      <c r="U82" s="2363"/>
      <c r="V82" s="105" t="s">
        <v>139</v>
      </c>
      <c r="W82" s="130"/>
      <c r="X82" s="97"/>
    </row>
    <row r="83" spans="2:27" ht="18.75" customHeight="1">
      <c r="B83" s="94"/>
      <c r="C83" s="2378"/>
      <c r="D83" s="151" t="s">
        <v>150</v>
      </c>
      <c r="E83" s="2357"/>
      <c r="F83" s="2357"/>
      <c r="G83" s="2357"/>
      <c r="H83" s="2357"/>
      <c r="I83" s="2355" t="s">
        <v>148</v>
      </c>
      <c r="J83" s="2355"/>
      <c r="K83" s="115" t="s">
        <v>94</v>
      </c>
      <c r="L83" s="2358"/>
      <c r="M83" s="2359"/>
      <c r="N83" s="105" t="s">
        <v>138</v>
      </c>
      <c r="O83" s="115" t="s">
        <v>144</v>
      </c>
      <c r="P83" s="2360">
        <f>+L83*E83</f>
        <v>0</v>
      </c>
      <c r="Q83" s="2361"/>
      <c r="R83" s="2362"/>
      <c r="S83" s="2363">
        <f>+P83*12</f>
        <v>0</v>
      </c>
      <c r="T83" s="2363"/>
      <c r="U83" s="2363"/>
      <c r="V83" s="105" t="s">
        <v>139</v>
      </c>
      <c r="W83" s="131"/>
      <c r="X83" s="97"/>
    </row>
    <row r="84" spans="2:27" ht="9.75" customHeight="1">
      <c r="B84" s="94"/>
      <c r="C84" s="95"/>
      <c r="D84" s="95"/>
      <c r="E84" s="95"/>
      <c r="F84" s="95"/>
      <c r="G84" s="95"/>
      <c r="H84" s="101"/>
      <c r="I84" s="101"/>
      <c r="J84" s="101"/>
      <c r="K84" s="101"/>
      <c r="L84" s="101"/>
      <c r="M84" s="101"/>
      <c r="N84" s="101"/>
      <c r="O84" s="101"/>
      <c r="P84" s="101"/>
      <c r="Q84" s="101"/>
      <c r="R84" s="101"/>
      <c r="S84" s="101"/>
      <c r="T84" s="101"/>
      <c r="U84" s="101"/>
      <c r="V84" s="101"/>
      <c r="W84" s="101"/>
      <c r="X84" s="97"/>
    </row>
    <row r="85" spans="2:27" ht="18.75" customHeight="1">
      <c r="B85" s="94"/>
      <c r="C85" s="95"/>
      <c r="D85" s="2354" t="s">
        <v>151</v>
      </c>
      <c r="E85" s="2354"/>
      <c r="F85" s="2354"/>
      <c r="G85" s="2354"/>
      <c r="H85" s="2354"/>
      <c r="I85" s="2355"/>
      <c r="J85" s="2355"/>
      <c r="K85" s="2355"/>
      <c r="L85" s="2355"/>
      <c r="M85" s="2355"/>
      <c r="N85" s="2355"/>
      <c r="O85" s="2355"/>
      <c r="P85" s="2355"/>
      <c r="Q85" s="2355"/>
      <c r="R85" s="2355"/>
      <c r="S85" s="2355"/>
      <c r="T85" s="2355"/>
      <c r="U85" s="2355"/>
      <c r="V85" s="2355"/>
      <c r="W85" s="95"/>
      <c r="X85" s="97"/>
    </row>
    <row r="86" spans="2:27" ht="18.75" customHeight="1">
      <c r="B86" s="94"/>
      <c r="C86" s="95"/>
      <c r="D86" s="2354"/>
      <c r="E86" s="2354"/>
      <c r="F86" s="2354"/>
      <c r="G86" s="2354"/>
      <c r="H86" s="2354"/>
      <c r="I86" s="2355"/>
      <c r="J86" s="2355"/>
      <c r="K86" s="2355"/>
      <c r="L86" s="2355"/>
      <c r="M86" s="2355"/>
      <c r="N86" s="2355"/>
      <c r="O86" s="2355"/>
      <c r="P86" s="2355"/>
      <c r="Q86" s="2355"/>
      <c r="R86" s="2355"/>
      <c r="S86" s="2355"/>
      <c r="T86" s="2355"/>
      <c r="U86" s="2355"/>
      <c r="V86" s="2355"/>
      <c r="W86" s="95"/>
      <c r="X86" s="97"/>
      <c r="AA86" s="154"/>
    </row>
    <row r="87" spans="2:27" ht="18.75" customHeight="1">
      <c r="B87" s="94"/>
      <c r="C87" s="95"/>
      <c r="D87" s="2354"/>
      <c r="E87" s="2354"/>
      <c r="F87" s="2354"/>
      <c r="G87" s="2354"/>
      <c r="H87" s="2354"/>
      <c r="I87" s="2355"/>
      <c r="J87" s="2355"/>
      <c r="K87" s="2355"/>
      <c r="L87" s="2355"/>
      <c r="M87" s="2355"/>
      <c r="N87" s="2355"/>
      <c r="O87" s="2355"/>
      <c r="P87" s="2355"/>
      <c r="Q87" s="2355"/>
      <c r="R87" s="2355"/>
      <c r="S87" s="2355"/>
      <c r="T87" s="2355"/>
      <c r="U87" s="2355"/>
      <c r="V87" s="2355"/>
      <c r="W87" s="95"/>
      <c r="X87" s="97"/>
    </row>
    <row r="88" spans="2:27" ht="18.75" customHeight="1" thickBot="1">
      <c r="B88" s="155"/>
      <c r="C88" s="156"/>
      <c r="D88" s="157" t="s">
        <v>152</v>
      </c>
      <c r="E88" s="157"/>
      <c r="F88" s="157"/>
      <c r="G88" s="157"/>
      <c r="H88" s="157"/>
      <c r="I88" s="157"/>
      <c r="J88" s="157"/>
      <c r="K88" s="157"/>
      <c r="L88" s="157"/>
      <c r="M88" s="157"/>
      <c r="N88" s="157"/>
      <c r="O88" s="157"/>
      <c r="P88" s="157"/>
      <c r="Q88" s="157"/>
      <c r="R88" s="157"/>
      <c r="S88" s="157"/>
      <c r="T88" s="157"/>
      <c r="U88" s="157"/>
      <c r="V88" s="157"/>
      <c r="W88" s="157"/>
      <c r="X88" s="158"/>
      <c r="Y88" s="159"/>
    </row>
  </sheetData>
  <mergeCells count="140">
    <mergeCell ref="S3:X3"/>
    <mergeCell ref="D4:V4"/>
    <mergeCell ref="D5:V5"/>
    <mergeCell ref="R6:V6"/>
    <mergeCell ref="D8:V8"/>
    <mergeCell ref="C9:W9"/>
    <mergeCell ref="C20:C22"/>
    <mergeCell ref="D21:F21"/>
    <mergeCell ref="G21:I21"/>
    <mergeCell ref="L21:N21"/>
    <mergeCell ref="Q21:S21"/>
    <mergeCell ref="C24:C26"/>
    <mergeCell ref="G25:V25"/>
    <mergeCell ref="D10:H10"/>
    <mergeCell ref="I10:W10"/>
    <mergeCell ref="C12:C18"/>
    <mergeCell ref="D13:H16"/>
    <mergeCell ref="I13:M13"/>
    <mergeCell ref="O13:V13"/>
    <mergeCell ref="I14:M14"/>
    <mergeCell ref="O14:V14"/>
    <mergeCell ref="I15:V15"/>
    <mergeCell ref="K16:V16"/>
    <mergeCell ref="L34:M34"/>
    <mergeCell ref="N34:O34"/>
    <mergeCell ref="P34:R34"/>
    <mergeCell ref="S34:V34"/>
    <mergeCell ref="L35:M35"/>
    <mergeCell ref="N35:O35"/>
    <mergeCell ref="P35:R35"/>
    <mergeCell ref="S35:V35"/>
    <mergeCell ref="C28:C30"/>
    <mergeCell ref="D29:S29"/>
    <mergeCell ref="U29:V29"/>
    <mergeCell ref="C32:C38"/>
    <mergeCell ref="L33:M33"/>
    <mergeCell ref="N33:O33"/>
    <mergeCell ref="P33:R33"/>
    <mergeCell ref="S33:V33"/>
    <mergeCell ref="D34:G37"/>
    <mergeCell ref="H34:J34"/>
    <mergeCell ref="H36:J36"/>
    <mergeCell ref="L36:M36"/>
    <mergeCell ref="N36:O36"/>
    <mergeCell ref="P36:R36"/>
    <mergeCell ref="S36:V36"/>
    <mergeCell ref="H37:J37"/>
    <mergeCell ref="L37:M37"/>
    <mergeCell ref="N37:O37"/>
    <mergeCell ref="P37:R37"/>
    <mergeCell ref="S37:V37"/>
    <mergeCell ref="D43:E43"/>
    <mergeCell ref="F43:H43"/>
    <mergeCell ref="I43:S43"/>
    <mergeCell ref="T43:W43"/>
    <mergeCell ref="D44:E44"/>
    <mergeCell ref="F44:H44"/>
    <mergeCell ref="I44:S44"/>
    <mergeCell ref="T44:W44"/>
    <mergeCell ref="S79:U79"/>
    <mergeCell ref="C40:C45"/>
    <mergeCell ref="D40:W40"/>
    <mergeCell ref="D41:E41"/>
    <mergeCell ref="F41:H41"/>
    <mergeCell ref="I41:S41"/>
    <mergeCell ref="T41:W41"/>
    <mergeCell ref="D42:E42"/>
    <mergeCell ref="F42:H42"/>
    <mergeCell ref="I42:S42"/>
    <mergeCell ref="T42:W42"/>
    <mergeCell ref="D45:E45"/>
    <mergeCell ref="F45:H45"/>
    <mergeCell ref="I45:S45"/>
    <mergeCell ref="T45:W45"/>
    <mergeCell ref="C47:W47"/>
    <mergeCell ref="C49:C55"/>
    <mergeCell ref="D50:H50"/>
    <mergeCell ref="I50:L50"/>
    <mergeCell ref="R50:V50"/>
    <mergeCell ref="D52:H52"/>
    <mergeCell ref="C61:W61"/>
    <mergeCell ref="C63:C70"/>
    <mergeCell ref="E64:V64"/>
    <mergeCell ref="E65:V65"/>
    <mergeCell ref="E70:V70"/>
    <mergeCell ref="I52:L52"/>
    <mergeCell ref="M52:Q52"/>
    <mergeCell ref="R52:V52"/>
    <mergeCell ref="K54:L54"/>
    <mergeCell ref="N54:Q54"/>
    <mergeCell ref="C57:C59"/>
    <mergeCell ref="D58:J58"/>
    <mergeCell ref="AA75:AK75"/>
    <mergeCell ref="E76:G76"/>
    <mergeCell ref="H76:J76"/>
    <mergeCell ref="L76:M76"/>
    <mergeCell ref="N76:O76"/>
    <mergeCell ref="Q76:R76"/>
    <mergeCell ref="S76:U76"/>
    <mergeCell ref="C72:C83"/>
    <mergeCell ref="D72:V72"/>
    <mergeCell ref="D73:V73"/>
    <mergeCell ref="D74:G74"/>
    <mergeCell ref="E75:G75"/>
    <mergeCell ref="H75:J75"/>
    <mergeCell ref="L75:M75"/>
    <mergeCell ref="N75:P75"/>
    <mergeCell ref="S75:V75"/>
    <mergeCell ref="E78:J78"/>
    <mergeCell ref="L78:N78"/>
    <mergeCell ref="P78:R78"/>
    <mergeCell ref="S78:U78"/>
    <mergeCell ref="E79:H79"/>
    <mergeCell ref="I79:J79"/>
    <mergeCell ref="L79:M79"/>
    <mergeCell ref="P79:R79"/>
    <mergeCell ref="D85:H87"/>
    <mergeCell ref="I85:V87"/>
    <mergeCell ref="L74:M74"/>
    <mergeCell ref="E82:H82"/>
    <mergeCell ref="I82:J82"/>
    <mergeCell ref="L82:M82"/>
    <mergeCell ref="P82:R82"/>
    <mergeCell ref="S82:U82"/>
    <mergeCell ref="E83:H83"/>
    <mergeCell ref="I83:J83"/>
    <mergeCell ref="L83:M83"/>
    <mergeCell ref="P83:R83"/>
    <mergeCell ref="S83:U83"/>
    <mergeCell ref="E80:H80"/>
    <mergeCell ref="I80:J80"/>
    <mergeCell ref="L80:M80"/>
    <mergeCell ref="P80:R80"/>
    <mergeCell ref="S80:U80"/>
    <mergeCell ref="E81:H81"/>
    <mergeCell ref="I81:J81"/>
    <mergeCell ref="L81:M81"/>
    <mergeCell ref="P81:R81"/>
    <mergeCell ref="S81:U81"/>
    <mergeCell ref="D77:V77"/>
  </mergeCells>
  <printOptions horizontalCentered="1" verticalCentered="1"/>
  <pageMargins left="0.43" right="0.46" top="0.47" bottom="0.45" header="0.31496062992125984" footer="0.31496062992125984"/>
  <pageSetup scale="32" orientation="portrait" r:id="rId1"/>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A1:AE36"/>
  <sheetViews>
    <sheetView topLeftCell="C4" zoomScale="80" zoomScaleNormal="80" workbookViewId="0">
      <pane xSplit="5" ySplit="3" topLeftCell="Y16" activePane="bottomRight" state="frozen"/>
      <selection activeCell="F375" sqref="F375"/>
      <selection pane="topRight" activeCell="F375" sqref="F375"/>
      <selection pane="bottomLeft" activeCell="F375" sqref="F375"/>
      <selection pane="bottomRight" activeCell="F375" sqref="F375"/>
    </sheetView>
  </sheetViews>
  <sheetFormatPr baseColWidth="10" defaultColWidth="10.81640625" defaultRowHeight="14.5"/>
  <cols>
    <col min="1" max="2" width="19.7265625" style="1021" hidden="1" customWidth="1"/>
    <col min="3" max="3" width="14.1796875" style="1022" customWidth="1"/>
    <col min="4" max="4" width="18.7265625" style="1058" customWidth="1"/>
    <col min="5" max="5" width="11.90625" style="1022" customWidth="1"/>
    <col min="6" max="6" width="47.81640625" style="1022" customWidth="1"/>
    <col min="7" max="7" width="15.54296875" style="1023" customWidth="1"/>
    <col min="8" max="9" width="15.26953125" style="1023" customWidth="1"/>
    <col min="10" max="13" width="19.7265625" style="1023" customWidth="1"/>
    <col min="14" max="15" width="15.453125" style="1023" customWidth="1"/>
    <col min="16" max="17" width="14.81640625" style="1023" customWidth="1"/>
    <col min="18" max="21" width="18.1796875" style="1023" customWidth="1"/>
    <col min="22" max="22" width="20" style="1023" customWidth="1"/>
    <col min="23" max="30" width="18.1796875" style="1023" customWidth="1"/>
    <col min="31" max="31" width="16.81640625" style="1022" customWidth="1"/>
    <col min="32" max="96" width="10.81640625" style="1022" customWidth="1"/>
    <col min="97" max="16384" width="10.81640625" style="1022"/>
  </cols>
  <sheetData>
    <row r="1" spans="1:31" ht="10" customHeight="1"/>
    <row r="2" spans="1:31" ht="10" customHeight="1">
      <c r="E2" s="1059"/>
      <c r="H2" s="2456" t="s">
        <v>1356</v>
      </c>
      <c r="I2" s="2457"/>
      <c r="J2" s="2457"/>
      <c r="K2" s="2457"/>
      <c r="L2" s="2457"/>
      <c r="M2" s="2457"/>
      <c r="N2" s="2457"/>
      <c r="O2" s="2457"/>
      <c r="P2" s="2457"/>
      <c r="Q2" s="2457"/>
      <c r="R2" s="2457"/>
      <c r="S2" s="2457"/>
      <c r="T2" s="2457"/>
      <c r="U2" s="2457"/>
      <c r="V2" s="2457"/>
      <c r="W2" s="2457"/>
      <c r="X2" s="2457"/>
      <c r="Y2" s="2457"/>
      <c r="Z2" s="2457"/>
      <c r="AA2" s="2457"/>
      <c r="AB2" s="2457"/>
      <c r="AC2" s="2457"/>
      <c r="AD2" s="2457"/>
      <c r="AE2" s="2457"/>
    </row>
    <row r="3" spans="1:31" ht="10" customHeight="1" thickBot="1">
      <c r="A3" s="1145"/>
      <c r="B3" s="1145"/>
      <c r="C3" s="1145"/>
      <c r="D3" s="1146"/>
      <c r="E3" s="1145"/>
      <c r="F3" s="1145"/>
      <c r="G3" s="1147"/>
      <c r="H3" s="1148"/>
      <c r="I3" s="1148"/>
      <c r="J3" s="1148"/>
      <c r="K3" s="1148"/>
      <c r="L3" s="1148"/>
      <c r="M3" s="1148"/>
      <c r="N3" s="1148"/>
      <c r="O3" s="1148"/>
      <c r="P3" s="1148"/>
      <c r="Q3" s="1148"/>
      <c r="R3" s="1148"/>
      <c r="S3" s="1148"/>
      <c r="T3" s="1148"/>
      <c r="U3" s="1148"/>
      <c r="V3" s="1148"/>
      <c r="W3" s="1148"/>
      <c r="X3" s="1148"/>
      <c r="Y3" s="1148"/>
      <c r="Z3" s="1148"/>
      <c r="AA3" s="1148"/>
      <c r="AB3" s="1148"/>
      <c r="AC3" s="1148"/>
      <c r="AD3" s="1148"/>
    </row>
    <row r="4" spans="1:31" s="1021" customFormat="1" ht="21" customHeight="1" thickBot="1">
      <c r="A4" s="1149" t="s">
        <v>1135</v>
      </c>
      <c r="B4" s="1024"/>
      <c r="C4" s="1150"/>
      <c r="D4" s="1151"/>
      <c r="E4" s="1150"/>
      <c r="F4" s="1150"/>
      <c r="G4" s="1152"/>
      <c r="H4" s="2466" t="s">
        <v>1136</v>
      </c>
      <c r="I4" s="2467"/>
      <c r="J4" s="2467"/>
      <c r="K4" s="2467"/>
      <c r="L4" s="2467"/>
      <c r="M4" s="2467"/>
      <c r="N4" s="2467"/>
      <c r="O4" s="2467"/>
      <c r="P4" s="2467"/>
      <c r="Q4" s="2467"/>
      <c r="R4" s="2467"/>
      <c r="S4" s="2467"/>
      <c r="T4" s="2467"/>
      <c r="U4" s="2467"/>
      <c r="V4" s="2467"/>
      <c r="W4" s="2467"/>
      <c r="X4" s="2467"/>
      <c r="Y4" s="2467"/>
      <c r="Z4" s="2467"/>
      <c r="AA4" s="2467"/>
      <c r="AB4" s="2467"/>
      <c r="AC4" s="2467"/>
      <c r="AD4" s="2467"/>
      <c r="AE4" s="2467"/>
    </row>
    <row r="5" spans="1:31" s="1061" customFormat="1" ht="39" customHeight="1" thickBot="1">
      <c r="A5" s="1153"/>
      <c r="B5" s="1060"/>
      <c r="C5" s="1154"/>
      <c r="D5" s="1155"/>
      <c r="E5" s="1154"/>
      <c r="F5" s="1154"/>
      <c r="G5" s="1156"/>
      <c r="H5" s="2468" t="s">
        <v>620</v>
      </c>
      <c r="I5" s="2469"/>
      <c r="J5" s="2468" t="s">
        <v>621</v>
      </c>
      <c r="K5" s="2469"/>
      <c r="L5" s="2468" t="s">
        <v>622</v>
      </c>
      <c r="M5" s="2469"/>
      <c r="N5" s="2468" t="s">
        <v>623</v>
      </c>
      <c r="O5" s="2469"/>
      <c r="P5" s="2468" t="s">
        <v>624</v>
      </c>
      <c r="Q5" s="2469"/>
      <c r="R5" s="2468" t="s">
        <v>625</v>
      </c>
      <c r="S5" s="2469"/>
      <c r="T5" s="2468" t="s">
        <v>626</v>
      </c>
      <c r="U5" s="2469"/>
      <c r="V5" s="2468" t="s">
        <v>627</v>
      </c>
      <c r="W5" s="2469"/>
      <c r="X5" s="2468" t="s">
        <v>628</v>
      </c>
      <c r="Y5" s="2469"/>
      <c r="Z5" s="1404" t="s">
        <v>629</v>
      </c>
      <c r="AA5" s="1404"/>
      <c r="AB5" s="1405" t="s">
        <v>630</v>
      </c>
      <c r="AC5" s="1405"/>
      <c r="AD5" s="1405" t="s">
        <v>631</v>
      </c>
      <c r="AE5" s="1405"/>
    </row>
    <row r="6" spans="1:31" s="1021" customFormat="1" ht="41" customHeight="1" thickBot="1">
      <c r="A6" s="1157" t="s">
        <v>226</v>
      </c>
      <c r="B6" s="1158" t="s">
        <v>1137</v>
      </c>
      <c r="C6" s="1158" t="s">
        <v>1138</v>
      </c>
      <c r="D6" s="1158" t="s">
        <v>967</v>
      </c>
      <c r="E6" s="1159" t="s">
        <v>1073</v>
      </c>
      <c r="F6" s="1159" t="s">
        <v>1139</v>
      </c>
      <c r="G6" s="1160" t="s">
        <v>968</v>
      </c>
      <c r="H6" s="1136" t="s">
        <v>1175</v>
      </c>
      <c r="I6" s="1025" t="s">
        <v>1176</v>
      </c>
      <c r="J6" s="1136" t="s">
        <v>1175</v>
      </c>
      <c r="K6" s="1025" t="s">
        <v>1176</v>
      </c>
      <c r="L6" s="1136" t="s">
        <v>1175</v>
      </c>
      <c r="M6" s="1025" t="s">
        <v>1176</v>
      </c>
      <c r="N6" s="1136" t="s">
        <v>1175</v>
      </c>
      <c r="O6" s="1025" t="s">
        <v>1176</v>
      </c>
      <c r="P6" s="1136" t="s">
        <v>1175</v>
      </c>
      <c r="Q6" s="1025" t="s">
        <v>1176</v>
      </c>
      <c r="R6" s="1136" t="s">
        <v>1175</v>
      </c>
      <c r="S6" s="1025" t="s">
        <v>1176</v>
      </c>
      <c r="T6" s="1136" t="s">
        <v>1175</v>
      </c>
      <c r="U6" s="1025" t="s">
        <v>1176</v>
      </c>
      <c r="V6" s="1136" t="s">
        <v>1175</v>
      </c>
      <c r="W6" s="1025" t="s">
        <v>1176</v>
      </c>
      <c r="X6" s="1136" t="s">
        <v>1175</v>
      </c>
      <c r="Y6" s="1025" t="s">
        <v>1176</v>
      </c>
      <c r="Z6" s="1136" t="s">
        <v>1175</v>
      </c>
      <c r="AA6" s="1025" t="s">
        <v>1176</v>
      </c>
      <c r="AB6" s="1136" t="s">
        <v>1175</v>
      </c>
      <c r="AC6" s="1025" t="s">
        <v>1176</v>
      </c>
      <c r="AD6" s="1136" t="s">
        <v>1175</v>
      </c>
      <c r="AE6" s="1025" t="s">
        <v>1176</v>
      </c>
    </row>
    <row r="7" spans="1:31" ht="15" customHeight="1">
      <c r="A7" s="2453"/>
      <c r="B7" s="1287" t="s">
        <v>278</v>
      </c>
      <c r="C7" s="2458" t="s">
        <v>71</v>
      </c>
      <c r="D7" s="1161" t="s">
        <v>1070</v>
      </c>
      <c r="E7" s="2460"/>
      <c r="F7" s="1138" t="s">
        <v>1178</v>
      </c>
      <c r="G7" s="1161" t="s">
        <v>1179</v>
      </c>
      <c r="H7" s="1027">
        <v>6696</v>
      </c>
      <c r="I7" s="1026"/>
      <c r="J7" s="1026">
        <v>6264</v>
      </c>
      <c r="K7" s="1026"/>
      <c r="L7" s="1026">
        <v>6696</v>
      </c>
      <c r="M7" s="1026"/>
      <c r="N7" s="1026">
        <v>6480</v>
      </c>
      <c r="O7" s="1026"/>
      <c r="P7" s="1026">
        <v>6696</v>
      </c>
      <c r="Q7" s="1026"/>
      <c r="R7" s="1026">
        <v>6480</v>
      </c>
      <c r="S7" s="1026"/>
      <c r="T7" s="1026">
        <v>6696</v>
      </c>
      <c r="U7" s="1026"/>
      <c r="V7" s="1026">
        <v>6696</v>
      </c>
      <c r="W7" s="1026"/>
      <c r="X7" s="1026">
        <v>6480</v>
      </c>
      <c r="Y7" s="1026"/>
      <c r="Z7" s="1026">
        <v>6696</v>
      </c>
      <c r="AA7" s="1026"/>
      <c r="AB7" s="1026">
        <v>6480</v>
      </c>
      <c r="AC7" s="1026"/>
      <c r="AD7" s="1026">
        <v>6696</v>
      </c>
      <c r="AE7" s="1026"/>
    </row>
    <row r="8" spans="1:31" ht="15" customHeight="1">
      <c r="A8" s="2454"/>
      <c r="B8" s="1288" t="s">
        <v>278</v>
      </c>
      <c r="C8" s="2459"/>
      <c r="D8" s="1161" t="s">
        <v>1070</v>
      </c>
      <c r="E8" s="2460"/>
      <c r="F8" s="1138" t="s">
        <v>1180</v>
      </c>
      <c r="G8" s="1161" t="s">
        <v>1181</v>
      </c>
      <c r="H8" s="1027">
        <v>2232</v>
      </c>
      <c r="I8" s="1026"/>
      <c r="J8" s="1026">
        <v>2088</v>
      </c>
      <c r="K8" s="1026"/>
      <c r="L8" s="1026">
        <v>2232</v>
      </c>
      <c r="M8" s="1026"/>
      <c r="N8" s="1026">
        <v>2160</v>
      </c>
      <c r="O8" s="1026"/>
      <c r="P8" s="1026">
        <v>2232</v>
      </c>
      <c r="Q8" s="1026"/>
      <c r="R8" s="1026">
        <v>2160</v>
      </c>
      <c r="S8" s="1026"/>
      <c r="T8" s="1026">
        <v>2232</v>
      </c>
      <c r="U8" s="1026"/>
      <c r="V8" s="1026">
        <v>2232</v>
      </c>
      <c r="W8" s="1026"/>
      <c r="X8" s="1026">
        <v>2160</v>
      </c>
      <c r="Y8" s="1026"/>
      <c r="Z8" s="1026">
        <v>2232</v>
      </c>
      <c r="AA8" s="1026"/>
      <c r="AB8" s="1026">
        <v>2160</v>
      </c>
      <c r="AC8" s="1026"/>
      <c r="AD8" s="1026">
        <v>2232</v>
      </c>
      <c r="AE8" s="1026"/>
    </row>
    <row r="9" spans="1:31" ht="15" customHeight="1">
      <c r="A9" s="2454"/>
      <c r="B9" s="1288" t="s">
        <v>278</v>
      </c>
      <c r="C9" s="2459"/>
      <c r="D9" s="1161" t="s">
        <v>1070</v>
      </c>
      <c r="E9" s="2460"/>
      <c r="F9" s="1138" t="s">
        <v>1021</v>
      </c>
      <c r="G9" s="1161" t="s">
        <v>1020</v>
      </c>
      <c r="H9" s="1027">
        <v>18972</v>
      </c>
      <c r="I9" s="1026"/>
      <c r="J9" s="1026">
        <v>17748</v>
      </c>
      <c r="K9" s="1026"/>
      <c r="L9" s="1026">
        <v>18972</v>
      </c>
      <c r="M9" s="1026"/>
      <c r="N9" s="1026">
        <v>18360</v>
      </c>
      <c r="O9" s="1026"/>
      <c r="P9" s="1026">
        <v>18972</v>
      </c>
      <c r="Q9" s="1026"/>
      <c r="R9" s="1026">
        <v>18360</v>
      </c>
      <c r="S9" s="1026"/>
      <c r="T9" s="1026">
        <v>18972</v>
      </c>
      <c r="U9" s="1026"/>
      <c r="V9" s="1026">
        <v>18972</v>
      </c>
      <c r="W9" s="1026"/>
      <c r="X9" s="1026">
        <v>18360</v>
      </c>
      <c r="Y9" s="1026" t="s">
        <v>1308</v>
      </c>
      <c r="Z9" s="1026">
        <v>18972</v>
      </c>
      <c r="AA9" s="1026"/>
      <c r="AB9" s="1026">
        <v>18360</v>
      </c>
      <c r="AC9" s="1026"/>
      <c r="AD9" s="1026">
        <v>18972</v>
      </c>
      <c r="AE9" s="1026"/>
    </row>
    <row r="10" spans="1:31" ht="15" customHeight="1">
      <c r="A10" s="2454"/>
      <c r="B10" s="1288" t="s">
        <v>1140</v>
      </c>
      <c r="C10" s="2459"/>
      <c r="D10" s="1137" t="s">
        <v>1070</v>
      </c>
      <c r="E10" s="2460"/>
      <c r="F10" s="1138" t="s">
        <v>1023</v>
      </c>
      <c r="G10" s="1161" t="s">
        <v>1022</v>
      </c>
      <c r="H10" s="1027">
        <v>7812</v>
      </c>
      <c r="I10" s="1026"/>
      <c r="J10" s="1026">
        <v>7308</v>
      </c>
      <c r="K10" s="1026"/>
      <c r="L10" s="1026">
        <v>7812</v>
      </c>
      <c r="M10" s="1026"/>
      <c r="N10" s="1026">
        <v>7560</v>
      </c>
      <c r="O10" s="1026"/>
      <c r="P10" s="1026">
        <v>7812</v>
      </c>
      <c r="Q10" s="1026"/>
      <c r="R10" s="1026">
        <v>7560</v>
      </c>
      <c r="S10" s="1026"/>
      <c r="T10" s="1026">
        <v>7812</v>
      </c>
      <c r="U10" s="1026"/>
      <c r="V10" s="1026">
        <v>6696</v>
      </c>
      <c r="W10" s="1026"/>
      <c r="X10" s="1026">
        <v>6480</v>
      </c>
      <c r="Y10" s="1026"/>
      <c r="Z10" s="1026">
        <v>6696</v>
      </c>
      <c r="AA10" s="1026"/>
      <c r="AB10" s="1026">
        <v>6480</v>
      </c>
      <c r="AC10" s="1026"/>
      <c r="AD10" s="1026">
        <v>6696</v>
      </c>
      <c r="AE10" s="1026"/>
    </row>
    <row r="11" spans="1:31" ht="15" customHeight="1">
      <c r="A11" s="2454"/>
      <c r="B11" s="1288" t="s">
        <v>1140</v>
      </c>
      <c r="C11" s="2459"/>
      <c r="D11" s="1137" t="s">
        <v>1066</v>
      </c>
      <c r="E11" s="2460"/>
      <c r="F11" s="1138" t="s">
        <v>1182</v>
      </c>
      <c r="G11" s="1139" t="s">
        <v>1115</v>
      </c>
      <c r="H11" s="1027">
        <v>86924.858333333337</v>
      </c>
      <c r="I11" s="1026" t="e">
        <f>(DATOSAÑO!#REF!)*1000</f>
        <v>#REF!</v>
      </c>
      <c r="J11" s="1026">
        <v>81316.802956989253</v>
      </c>
      <c r="K11" s="1026" t="e">
        <f>(DATOSAÑO!#REF!)*1000</f>
        <v>#REF!</v>
      </c>
      <c r="L11" s="1064">
        <v>86924.858333333337</v>
      </c>
      <c r="M11" s="1064" t="e">
        <f>(DATOSAÑO!#REF!)*1000</f>
        <v>#REF!</v>
      </c>
      <c r="N11" s="1064">
        <v>84120.830645161303</v>
      </c>
      <c r="O11" s="1064" t="e">
        <f>(DATOSAÑO!#REF!)*1000</f>
        <v>#REF!</v>
      </c>
      <c r="P11" s="1064">
        <v>86924.858333333337</v>
      </c>
      <c r="Q11" s="1064" t="e">
        <f>(DATOSAÑO!#REF!)*1000</f>
        <v>#REF!</v>
      </c>
      <c r="R11" s="1064">
        <v>84120.830645161303</v>
      </c>
      <c r="S11" s="1064" t="e">
        <f>(DATOSAÑO!#REF!)*1000</f>
        <v>#REF!</v>
      </c>
      <c r="T11" s="1064">
        <v>86924.858333333337</v>
      </c>
      <c r="U11" s="1064" t="e">
        <f>(DATOSAÑO!#REF!)*1000</f>
        <v>#REF!</v>
      </c>
      <c r="V11" s="1064">
        <v>86924.858333333337</v>
      </c>
      <c r="W11" s="1064" t="e">
        <f>(DATOSAÑO!#REF!)*1000</f>
        <v>#REF!</v>
      </c>
      <c r="X11" s="1064">
        <v>84120.830645161303</v>
      </c>
      <c r="Y11" s="1064" t="e">
        <f>(DATOSAÑO!#REF!)*1000</f>
        <v>#REF!</v>
      </c>
      <c r="Z11" s="1064">
        <v>86924.858333333337</v>
      </c>
      <c r="AA11" s="1064" t="e">
        <f>(DATOSAÑO!#REF!)*1000</f>
        <v>#REF!</v>
      </c>
      <c r="AB11" s="1064">
        <v>84120.830645161303</v>
      </c>
      <c r="AC11" s="1064" t="e">
        <f>(DATOSAÑO!#REF!)*1000</f>
        <v>#REF!</v>
      </c>
      <c r="AD11" s="1064">
        <v>86924.858333333337</v>
      </c>
      <c r="AE11" s="1026" t="e">
        <f>(DATOSAÑO!#REF!)*1000</f>
        <v>#REF!</v>
      </c>
    </row>
    <row r="12" spans="1:31" ht="15" customHeight="1">
      <c r="A12" s="2454"/>
      <c r="B12" s="1288" t="s">
        <v>278</v>
      </c>
      <c r="C12" s="2459"/>
      <c r="D12" s="1137" t="s">
        <v>974</v>
      </c>
      <c r="E12" s="2460"/>
      <c r="F12" s="1141" t="s">
        <v>1047</v>
      </c>
      <c r="G12" s="1139" t="s">
        <v>1046</v>
      </c>
      <c r="H12" s="1027">
        <v>837461.72482993233</v>
      </c>
      <c r="I12" s="1026">
        <f ca="1">'ESTADISTICOS JENNY'!C390</f>
        <v>730603.16666665382</v>
      </c>
      <c r="J12" s="1026">
        <v>783431.93613122706</v>
      </c>
      <c r="K12" s="1026">
        <f ca="1">'ESTADISTICOS JENNY'!C391</f>
        <v>657412.00000001059</v>
      </c>
      <c r="L12" s="1064">
        <v>837461.72482993233</v>
      </c>
      <c r="M12" s="1064">
        <f ca="1">'ESTADISTICOS JENNY'!C392</f>
        <v>704840.99999999546</v>
      </c>
      <c r="N12" s="1064">
        <v>810446.83048057975</v>
      </c>
      <c r="O12" s="1064">
        <f ca="1">'ESTADISTICOS JENNY'!C393</f>
        <v>640752.16666666931</v>
      </c>
      <c r="P12" s="1064">
        <v>837461.72482993233</v>
      </c>
      <c r="Q12" s="1064">
        <f ca="1">'ESTADISTICOS JENNY'!C394</f>
        <v>608443.16666665033</v>
      </c>
      <c r="R12" s="1064">
        <v>810446.83048057975</v>
      </c>
      <c r="S12" s="1064">
        <f ca="1">'ESTADISTICOS JENNY'!C395</f>
        <v>530693.16666668234</v>
      </c>
      <c r="T12" s="1064">
        <v>837461.72482993233</v>
      </c>
      <c r="U12" s="1064">
        <f ca="1">'ESTADISTICOS JENNY'!C396</f>
        <v>535482.16666665394</v>
      </c>
      <c r="V12" s="1064">
        <v>837461.72482993233</v>
      </c>
      <c r="W12" s="1064">
        <f ca="1">'ESTADISTICOS JENNY'!C397</f>
        <v>629823.3333333293</v>
      </c>
      <c r="X12" s="1064">
        <v>810446.83048057975</v>
      </c>
      <c r="Y12" s="1064">
        <f ca="1">'ESTADISTICOS JENNY'!C398</f>
        <v>628568.16666666407</v>
      </c>
      <c r="Z12" s="1064">
        <v>837461.72482993233</v>
      </c>
      <c r="AA12" s="1064">
        <f ca="1">'ESTADISTICOS JENNY'!C399</f>
        <v>502100.33333334001</v>
      </c>
      <c r="AB12" s="1064">
        <v>810446.83048057975</v>
      </c>
      <c r="AC12" s="1064">
        <f ca="1">'ESTADISTICOS JENNY'!C400</f>
        <v>-143889.99999999921</v>
      </c>
      <c r="AD12" s="1064">
        <v>837461.72482993233</v>
      </c>
      <c r="AE12" s="1026">
        <f ca="1">'ESTADISTICOS JENNY'!C401</f>
        <v>-168888</v>
      </c>
    </row>
    <row r="13" spans="1:31" ht="26.25" customHeight="1">
      <c r="A13" s="2454"/>
      <c r="B13" s="1288" t="s">
        <v>278</v>
      </c>
      <c r="C13" s="2459"/>
      <c r="D13" s="1137" t="s">
        <v>974</v>
      </c>
      <c r="E13" s="2460"/>
      <c r="F13" s="1141" t="s">
        <v>1048</v>
      </c>
      <c r="G13" s="1139" t="s">
        <v>981</v>
      </c>
      <c r="H13" s="1027">
        <v>6144576.0728457989</v>
      </c>
      <c r="I13" s="1026">
        <f ca="1">'ESTADISTICOS JENNY'!E390</f>
        <v>5290911.1666666372</v>
      </c>
      <c r="J13" s="1026">
        <v>5748151.8100815536</v>
      </c>
      <c r="K13" s="1026">
        <f ca="1">'ESTADISTICOS JENNY'!E391</f>
        <v>4603913.9999999907</v>
      </c>
      <c r="L13" s="1064">
        <v>6144576.0728457989</v>
      </c>
      <c r="M13" s="1064">
        <f ca="1">'ESTADISTICOS JENNY'!E392</f>
        <v>5262919.0000000121</v>
      </c>
      <c r="N13" s="1064">
        <v>5946363.9414636763</v>
      </c>
      <c r="O13" s="1064">
        <f ca="1">'ESTADISTICOS JENNY'!E393</f>
        <v>5077712.1666667312</v>
      </c>
      <c r="P13" s="1064">
        <v>6144576.0728457989</v>
      </c>
      <c r="Q13" s="1064">
        <f ca="1">'ESTADISTICOS JENNY'!E394</f>
        <v>4639461.1666666577</v>
      </c>
      <c r="R13" s="1064">
        <v>5946363.9414636763</v>
      </c>
      <c r="S13" s="1064">
        <f ca="1">'ESTADISTICOS JENNY'!E395</f>
        <v>5057806.1666666707</v>
      </c>
      <c r="T13" s="1064">
        <v>6144576.0728457989</v>
      </c>
      <c r="U13" s="1064">
        <f ca="1">'ESTADISTICOS JENNY'!E396</f>
        <v>5259197.166666666</v>
      </c>
      <c r="V13" s="1064">
        <v>6144576.0728457989</v>
      </c>
      <c r="W13" s="1064">
        <f ca="1">'ESTADISTICOS JENNY'!E397</f>
        <v>5312011.3333333358</v>
      </c>
      <c r="X13" s="1064">
        <v>5946363.9414636763</v>
      </c>
      <c r="Y13" s="1064">
        <f ca="1">'ESTADISTICOS JENNY'!E398</f>
        <v>5090308.1666666633</v>
      </c>
      <c r="Z13" s="1064">
        <v>6144576.0728457989</v>
      </c>
      <c r="AA13" s="1064">
        <f ca="1">'ESTADISTICOS JENNY'!E399</f>
        <v>5289588.3333333312</v>
      </c>
      <c r="AB13" s="1064">
        <v>5946363.9414636763</v>
      </c>
      <c r="AC13" s="1064">
        <f ca="1">'ESTADISTICOS JENNY'!E400</f>
        <v>168750.00000000151</v>
      </c>
      <c r="AD13" s="1064">
        <v>6144576.0728457989</v>
      </c>
      <c r="AE13" s="1026">
        <f ca="1">'ESTADISTICOS JENNY'!E401</f>
        <v>0</v>
      </c>
    </row>
    <row r="14" spans="1:31" ht="15.5" customHeight="1">
      <c r="A14" s="2454"/>
      <c r="B14" s="1288" t="s">
        <v>278</v>
      </c>
      <c r="C14" s="2459"/>
      <c r="D14" s="1137" t="s">
        <v>974</v>
      </c>
      <c r="E14" s="2460"/>
      <c r="F14" s="1141" t="s">
        <v>1050</v>
      </c>
      <c r="G14" s="1139" t="s">
        <v>1049</v>
      </c>
      <c r="H14" s="1027">
        <v>325804.56213151902</v>
      </c>
      <c r="I14" s="1026">
        <f>'ESTADISTICOS JENNY'!F390</f>
        <v>168888</v>
      </c>
      <c r="J14" s="1026">
        <v>304784.9129617436</v>
      </c>
      <c r="K14" s="1026">
        <f>'ESTADISTICOS JENNY'!F391</f>
        <v>157992</v>
      </c>
      <c r="L14" s="1064">
        <v>325804.56213151902</v>
      </c>
      <c r="M14" s="1064">
        <f>'ESTADISTICOS JENNY'!F392</f>
        <v>168888</v>
      </c>
      <c r="N14" s="1064">
        <v>315294.73754663131</v>
      </c>
      <c r="O14" s="1064">
        <f>'ESTADISTICOS JENNY'!F393</f>
        <v>163440</v>
      </c>
      <c r="P14" s="1064">
        <v>325804.56213151902</v>
      </c>
      <c r="Q14" s="1064">
        <f>'ESTADISTICOS JENNY'!F394</f>
        <v>168888</v>
      </c>
      <c r="R14" s="1064">
        <v>315294.73754663131</v>
      </c>
      <c r="S14" s="1064">
        <f>'ESTADISTICOS JENNY'!F395</f>
        <v>163440</v>
      </c>
      <c r="T14" s="1064">
        <v>325804.56213151902</v>
      </c>
      <c r="U14" s="1064">
        <f>'ESTADISTICOS JENNY'!F396</f>
        <v>168888</v>
      </c>
      <c r="V14" s="1064">
        <v>325804.56213151902</v>
      </c>
      <c r="W14" s="1064">
        <f>'ESTADISTICOS JENNY'!F397</f>
        <v>168888</v>
      </c>
      <c r="X14" s="1064">
        <v>315294.73754663131</v>
      </c>
      <c r="Y14" s="1064">
        <f>'ESTADISTICOS JENNY'!F398</f>
        <v>163440</v>
      </c>
      <c r="Z14" s="1064">
        <v>325804.56213151902</v>
      </c>
      <c r="AA14" s="1064">
        <f>'ESTADISTICOS JENNY'!F399</f>
        <v>168888</v>
      </c>
      <c r="AB14" s="1064">
        <v>315294.73754663131</v>
      </c>
      <c r="AC14" s="1064">
        <f>'ESTADISTICOS JENNY'!F400</f>
        <v>163440</v>
      </c>
      <c r="AD14" s="1064">
        <v>325804.56213151902</v>
      </c>
      <c r="AE14" s="1026">
        <f>'ESTADISTICOS JENNY'!F401</f>
        <v>168888</v>
      </c>
    </row>
    <row r="15" spans="1:31" ht="27.5" customHeight="1">
      <c r="A15" s="2454"/>
      <c r="B15" s="1288" t="s">
        <v>278</v>
      </c>
      <c r="C15" s="2459"/>
      <c r="D15" s="1137" t="s">
        <v>974</v>
      </c>
      <c r="E15" s="1143"/>
      <c r="F15" s="1141" t="s">
        <v>1142</v>
      </c>
      <c r="G15" s="1139" t="s">
        <v>978</v>
      </c>
      <c r="H15" s="1027">
        <v>471887.91133786883</v>
      </c>
      <c r="I15" s="1026">
        <f ca="1">'ESTADISTICOS JENNY'!N390</f>
        <v>492511.1666666579</v>
      </c>
      <c r="J15" s="1026">
        <v>441443.52996123215</v>
      </c>
      <c r="K15" s="1026">
        <f ca="1">'ESTADISTICOS JENNY'!N391</f>
        <v>435314.00000001409</v>
      </c>
      <c r="L15" s="1064">
        <v>471887.91133786883</v>
      </c>
      <c r="M15" s="1064">
        <f ca="1">'ESTADISTICOS JENNY'!N392</f>
        <v>481318.99999998836</v>
      </c>
      <c r="N15" s="1064">
        <v>456665.72064955049</v>
      </c>
      <c r="O15" s="1064">
        <f ca="1">'ESTADISTICOS JENNY'!N393</f>
        <v>484962.16666666057</v>
      </c>
      <c r="P15" s="1064">
        <v>471887.91133786883</v>
      </c>
      <c r="Q15" s="1064">
        <f ca="1">'ESTADISTICOS JENNY'!N394</f>
        <v>517461.1666666622</v>
      </c>
      <c r="R15" s="1064">
        <v>456665.72064955049</v>
      </c>
      <c r="S15" s="1064">
        <f ca="1">'ESTADISTICOS JENNY'!N395</f>
        <v>454183.16666666709</v>
      </c>
      <c r="T15" s="1064">
        <v>471887.91133786883</v>
      </c>
      <c r="U15" s="1064">
        <f ca="1">'ESTADISTICOS JENNY'!N396</f>
        <v>488020.16666666447</v>
      </c>
      <c r="V15" s="1064">
        <v>471887.91133786883</v>
      </c>
      <c r="W15" s="1064">
        <f ca="1">'ESTADISTICOS JENNY'!N397</f>
        <v>508311.33333334059</v>
      </c>
      <c r="X15" s="1064">
        <v>456665.72064955049</v>
      </c>
      <c r="Y15" s="1064">
        <f ca="1">'ESTADISTICOS JENNY'!N398</f>
        <v>474208.16666666116</v>
      </c>
      <c r="Z15" s="1064">
        <v>471887.91133786883</v>
      </c>
      <c r="AA15" s="1064">
        <f ca="1">'ESTADISTICOS JENNY'!N399</f>
        <v>459788.33333333384</v>
      </c>
      <c r="AB15" s="1064">
        <v>456665.72064955049</v>
      </c>
      <c r="AC15" s="1064">
        <f ca="1">'ESTADISTICOS JENNY'!N400</f>
        <v>15249.999999999687</v>
      </c>
      <c r="AD15" s="1064">
        <v>471887.91133786883</v>
      </c>
      <c r="AE15" s="1026">
        <f ca="1">'ESTADISTICOS JENNY'!N401</f>
        <v>0</v>
      </c>
    </row>
    <row r="16" spans="1:31" ht="15" customHeight="1">
      <c r="A16" s="2454"/>
      <c r="B16" s="1288" t="s">
        <v>278</v>
      </c>
      <c r="C16" s="2459"/>
      <c r="D16" s="1137" t="s">
        <v>974</v>
      </c>
      <c r="E16" s="1162"/>
      <c r="F16" s="1141" t="s">
        <v>1143</v>
      </c>
      <c r="G16" s="1139" t="s">
        <v>1053</v>
      </c>
      <c r="H16" s="1027">
        <v>1586516.1375283445</v>
      </c>
      <c r="I16" s="1026">
        <f ca="1">'ESTADISTICOS JENNY'!H390</f>
        <v>1437391.1666666628</v>
      </c>
      <c r="J16" s="1026">
        <v>1484160.2576878062</v>
      </c>
      <c r="K16" s="1026">
        <f ca="1">'ESTADISTICOS JENNY'!H391</f>
        <v>1252174.0000000219</v>
      </c>
      <c r="L16" s="1064">
        <v>1586516.1375283445</v>
      </c>
      <c r="M16" s="1064">
        <f ca="1">'ESTADISTICOS JENNY'!H392</f>
        <v>1393058.9999999825</v>
      </c>
      <c r="N16" s="1064">
        <v>1535338.1976080753</v>
      </c>
      <c r="O16" s="1064">
        <f ca="1">'ESTADISTICOS JENNY'!H393</f>
        <v>1332152.1666666612</v>
      </c>
      <c r="P16" s="1064">
        <v>1586516.1375283445</v>
      </c>
      <c r="Q16" s="1064">
        <f ca="1">'ESTADISTICOS JENNY'!H394</f>
        <v>1305271.1666666672</v>
      </c>
      <c r="R16" s="1064">
        <v>1535338.1976080753</v>
      </c>
      <c r="S16" s="1064">
        <f ca="1">'ESTADISTICOS JENNY'!H395</f>
        <v>1267063.1666666609</v>
      </c>
      <c r="T16" s="1064">
        <v>1586516.1375283445</v>
      </c>
      <c r="U16" s="1064">
        <f ca="1">'ESTADISTICOS JENNY'!H396</f>
        <v>1318740.1666666637</v>
      </c>
      <c r="V16" s="1064">
        <v>1586516.1375283445</v>
      </c>
      <c r="W16" s="1064">
        <f ca="1">'ESTADISTICOS JENNY'!H397</f>
        <v>1306511.3333333468</v>
      </c>
      <c r="X16" s="1064">
        <v>1535338.1976080753</v>
      </c>
      <c r="Y16" s="1064">
        <f ca="1">'ESTADISTICOS JENNY'!H398</f>
        <v>1335208.1666666614</v>
      </c>
      <c r="Z16" s="1064">
        <v>1586516.1375283445</v>
      </c>
      <c r="AA16" s="1064">
        <f ca="1">'ESTADISTICOS JENNY'!H399</f>
        <v>1357588.3333333312</v>
      </c>
      <c r="AB16" s="1064">
        <v>1535338.1976080753</v>
      </c>
      <c r="AC16" s="1064">
        <f ca="1">'ESTADISTICOS JENNY'!H400</f>
        <v>44249.999999997868</v>
      </c>
      <c r="AD16" s="1064">
        <v>1586516.1375283445</v>
      </c>
      <c r="AE16" s="1026">
        <f ca="1">'ESTADISTICOS JENNY'!H401</f>
        <v>0</v>
      </c>
    </row>
    <row r="17" spans="1:31" ht="15" customHeight="1">
      <c r="A17" s="2454"/>
      <c r="B17" s="1288" t="s">
        <v>278</v>
      </c>
      <c r="C17" s="2459"/>
      <c r="D17" s="1161" t="s">
        <v>1070</v>
      </c>
      <c r="E17" s="1162"/>
      <c r="F17" s="1141" t="s">
        <v>1025</v>
      </c>
      <c r="G17" s="1161" t="s">
        <v>1024</v>
      </c>
      <c r="H17" s="1027">
        <v>4464</v>
      </c>
      <c r="I17" s="1026"/>
      <c r="J17" s="1026">
        <v>4176</v>
      </c>
      <c r="K17" s="1026"/>
      <c r="L17" s="1064">
        <v>4464</v>
      </c>
      <c r="M17" s="1064"/>
      <c r="N17" s="1064">
        <v>4320</v>
      </c>
      <c r="O17" s="1064"/>
      <c r="P17" s="1064">
        <v>4464</v>
      </c>
      <c r="Q17" s="1064"/>
      <c r="R17" s="1064">
        <v>4320</v>
      </c>
      <c r="S17" s="1064"/>
      <c r="T17" s="1064">
        <v>4464</v>
      </c>
      <c r="U17" s="1064"/>
      <c r="V17" s="1064">
        <v>4464</v>
      </c>
      <c r="W17" s="1064"/>
      <c r="X17" s="1064">
        <v>4320</v>
      </c>
      <c r="Y17" s="1064"/>
      <c r="Z17" s="1064">
        <v>4464</v>
      </c>
      <c r="AA17" s="1064"/>
      <c r="AB17" s="1064">
        <v>4320</v>
      </c>
      <c r="AC17" s="1064"/>
      <c r="AD17" s="1064">
        <v>4464</v>
      </c>
      <c r="AE17" s="1026"/>
    </row>
    <row r="18" spans="1:31" ht="15" customHeight="1">
      <c r="A18" s="2454"/>
      <c r="B18" s="1288" t="s">
        <v>1140</v>
      </c>
      <c r="C18" s="2459"/>
      <c r="D18" s="1161" t="s">
        <v>1070</v>
      </c>
      <c r="E18" s="1162"/>
      <c r="F18" s="1141" t="s">
        <v>1144</v>
      </c>
      <c r="G18" s="1161" t="s">
        <v>1026</v>
      </c>
      <c r="H18" s="1027">
        <v>2232</v>
      </c>
      <c r="I18" s="1026"/>
      <c r="J18" s="1026">
        <v>2016</v>
      </c>
      <c r="K18" s="1026"/>
      <c r="L18" s="1064">
        <v>2232</v>
      </c>
      <c r="M18" s="1064"/>
      <c r="N18" s="1064">
        <v>2160</v>
      </c>
      <c r="O18" s="1064"/>
      <c r="P18" s="1064">
        <v>2232</v>
      </c>
      <c r="Q18" s="1064"/>
      <c r="R18" s="1064">
        <v>2160</v>
      </c>
      <c r="S18" s="1064"/>
      <c r="T18" s="1064">
        <v>2232</v>
      </c>
      <c r="U18" s="1064"/>
      <c r="V18" s="1064">
        <v>2232</v>
      </c>
      <c r="W18" s="1064"/>
      <c r="X18" s="1064">
        <v>2160</v>
      </c>
      <c r="Y18" s="1064"/>
      <c r="Z18" s="1064">
        <v>2232</v>
      </c>
      <c r="AA18" s="1064"/>
      <c r="AB18" s="1064">
        <v>2160</v>
      </c>
      <c r="AC18" s="1064"/>
      <c r="AD18" s="1064">
        <v>2232</v>
      </c>
      <c r="AE18" s="1026"/>
    </row>
    <row r="19" spans="1:31" ht="15" customHeight="1">
      <c r="A19" s="2454"/>
      <c r="B19" s="1288" t="s">
        <v>278</v>
      </c>
      <c r="C19" s="2459"/>
      <c r="D19" s="1137" t="s">
        <v>974</v>
      </c>
      <c r="E19" s="1162"/>
      <c r="F19" s="112" t="s">
        <v>1056</v>
      </c>
      <c r="G19" s="1139" t="s">
        <v>1055</v>
      </c>
      <c r="H19" s="1027">
        <v>4358808.6831632704</v>
      </c>
      <c r="I19" s="1026">
        <f ca="1">'ESTADISTICOS JENNY'!I390</f>
        <v>4550279.9166666782</v>
      </c>
      <c r="J19" s="1026">
        <v>4077595.2197333821</v>
      </c>
      <c r="K19" s="1026">
        <f ca="1">'ESTADISTICOS JENNY'!I391</f>
        <v>4331236.4999999972</v>
      </c>
      <c r="L19" s="1064">
        <v>4358808.6831632704</v>
      </c>
      <c r="M19" s="1064">
        <f ca="1">'ESTADISTICOS JENNY'!I392</f>
        <v>4784172.7499999935</v>
      </c>
      <c r="N19" s="1064">
        <v>4218201.951448326</v>
      </c>
      <c r="O19" s="1064">
        <f ca="1">'ESTADISTICOS JENNY'!I393</f>
        <v>4593574.4166666567</v>
      </c>
      <c r="P19" s="1064">
        <v>4358808.6831632704</v>
      </c>
      <c r="Q19" s="1064">
        <f ca="1">'ESTADISTICOS JENNY'!I394</f>
        <v>4969538.4166666633</v>
      </c>
      <c r="R19" s="1064">
        <v>4218201.951448326</v>
      </c>
      <c r="S19" s="1064">
        <f ca="1">'ESTADISTICOS JENNY'!I395</f>
        <v>4792996.1666666456</v>
      </c>
      <c r="T19" s="1064">
        <v>4358808.6831632704</v>
      </c>
      <c r="U19" s="1064">
        <f ca="1">'ESTADISTICOS JENNY'!I396</f>
        <v>4891965.6666666903</v>
      </c>
      <c r="V19" s="1064">
        <v>4358808.6831632704</v>
      </c>
      <c r="W19" s="1064">
        <f ca="1">'ESTADISTICOS JENNY'!I397</f>
        <v>4993659.3333333526</v>
      </c>
      <c r="X19" s="1064">
        <v>4218201.951448326</v>
      </c>
      <c r="Y19" s="1064">
        <f ca="1">'ESTADISTICOS JENNY'!I398</f>
        <v>4781569.1666666456</v>
      </c>
      <c r="Z19" s="1064">
        <v>4358808.6831632704</v>
      </c>
      <c r="AA19" s="1064">
        <f ca="1">'ESTADISTICOS JENNY'!I399</f>
        <v>4885902.8333333312</v>
      </c>
      <c r="AB19" s="1064">
        <v>4218201.951448326</v>
      </c>
      <c r="AC19" s="1064">
        <f ca="1">'ESTADISTICOS JENNY'!I400</f>
        <v>162411.49999999956</v>
      </c>
      <c r="AD19" s="1064">
        <v>4358808.6831632704</v>
      </c>
      <c r="AE19" s="1026">
        <f ca="1">'ESTADISTICOS JENNY'!I401</f>
        <v>0</v>
      </c>
    </row>
    <row r="20" spans="1:31" ht="15" customHeight="1">
      <c r="A20" s="2454"/>
      <c r="B20" s="1288" t="s">
        <v>278</v>
      </c>
      <c r="C20" s="2459"/>
      <c r="D20" s="1137" t="s">
        <v>974</v>
      </c>
      <c r="E20" s="1162"/>
      <c r="F20" s="1113" t="s">
        <v>1062</v>
      </c>
      <c r="G20" s="1139" t="s">
        <v>1061</v>
      </c>
      <c r="H20" s="1027">
        <v>173623.34784580473</v>
      </c>
      <c r="I20" s="1026">
        <f ca="1">'ESTADISTICOS JENNY'!L390</f>
        <v>224096.36666666082</v>
      </c>
      <c r="J20" s="1026">
        <v>162421.84153317218</v>
      </c>
      <c r="K20" s="1026">
        <f ca="1">'ESTADISTICOS JENNY'!L391</f>
        <v>206706.80000001434</v>
      </c>
      <c r="L20" s="1064">
        <v>173623.34784580473</v>
      </c>
      <c r="M20" s="1064">
        <f ca="1">'ESTADISTICOS JENNY'!L392</f>
        <v>230059.79999998893</v>
      </c>
      <c r="N20" s="1064">
        <v>168022.59468948847</v>
      </c>
      <c r="O20" s="1064">
        <f ca="1">'ESTADISTICOS JENNY'!L393</f>
        <v>229616.76666666172</v>
      </c>
      <c r="P20" s="1064">
        <v>173623.34784580473</v>
      </c>
      <c r="Q20" s="1064">
        <f ca="1">'ESTADISTICOS JENNY'!L394</f>
        <v>236319.56666665798</v>
      </c>
      <c r="R20" s="1064">
        <v>168022.59468948847</v>
      </c>
      <c r="S20" s="1064">
        <f ca="1">'ESTADISTICOS JENNY'!L395</f>
        <v>232298.56666667107</v>
      </c>
      <c r="T20" s="1064">
        <v>173623.34784580473</v>
      </c>
      <c r="U20" s="1064">
        <f ca="1">'ESTADISTICOS JENNY'!L396</f>
        <v>227087.5666666656</v>
      </c>
      <c r="V20" s="1064">
        <v>173623.34784580473</v>
      </c>
      <c r="W20" s="1064">
        <f ca="1">'ESTADISTICOS JENNY'!L397</f>
        <v>239484.33333333477</v>
      </c>
      <c r="X20" s="1064">
        <v>168022.59468948847</v>
      </c>
      <c r="Y20" s="1064">
        <f ca="1">'ESTADISTICOS JENNY'!L398</f>
        <v>257274.16666666418</v>
      </c>
      <c r="Z20" s="1064">
        <v>173623.34784580473</v>
      </c>
      <c r="AA20" s="1064">
        <f ca="1">'ESTADISTICOS JENNY'!L399</f>
        <v>235519.73333333092</v>
      </c>
      <c r="AB20" s="1064">
        <v>168022.59468948847</v>
      </c>
      <c r="AC20" s="1064">
        <f ca="1">'ESTADISTICOS JENNY'!L400</f>
        <v>7576.8000000011543</v>
      </c>
      <c r="AD20" s="1064">
        <v>173623.34784580473</v>
      </c>
      <c r="AE20" s="1026">
        <f ca="1">'ESTADISTICOS JENNY'!L401</f>
        <v>0</v>
      </c>
    </row>
    <row r="21" spans="1:31" ht="15" customHeight="1">
      <c r="A21" s="2454"/>
      <c r="B21" s="1288" t="s">
        <v>278</v>
      </c>
      <c r="C21" s="2459"/>
      <c r="D21" s="1137" t="s">
        <v>974</v>
      </c>
      <c r="E21" s="1162"/>
      <c r="F21" s="1163" t="s">
        <v>1145</v>
      </c>
      <c r="G21" s="1139" t="s">
        <v>1183</v>
      </c>
      <c r="H21" s="1027">
        <v>1264800</v>
      </c>
      <c r="I21" s="1026">
        <f ca="1">'ESTADISTICOS JENNY'!R390</f>
        <v>659946.05000001786</v>
      </c>
      <c r="J21" s="1026">
        <v>1183200</v>
      </c>
      <c r="K21" s="1026">
        <f ca="1">'ESTADISTICOS JENNY'!R391</f>
        <v>595984.69999998342</v>
      </c>
      <c r="L21" s="1064">
        <v>1264800</v>
      </c>
      <c r="M21" s="1064">
        <f ca="1">'ESTADISTICOS JENNY'!R392</f>
        <v>704705.45000000403</v>
      </c>
      <c r="N21" s="1064">
        <v>1224000</v>
      </c>
      <c r="O21" s="1064">
        <f ca="1">'ESTADISTICOS JENNY'!R393</f>
        <v>632733.14999998407</v>
      </c>
      <c r="P21" s="1064">
        <v>1264800</v>
      </c>
      <c r="Q21" s="1064">
        <f ca="1">'ESTADISTICOS JENNY'!R394</f>
        <v>680864.35000001721</v>
      </c>
      <c r="R21" s="1064">
        <v>1224000</v>
      </c>
      <c r="S21" s="1064">
        <f ca="1">'ESTADISTICOS JENNY'!R395</f>
        <v>633171.60000000102</v>
      </c>
      <c r="T21" s="1064">
        <v>1264800</v>
      </c>
      <c r="U21" s="1064">
        <f ca="1">'ESTADISTICOS JENNY'!R396</f>
        <v>678587.09999999823</v>
      </c>
      <c r="V21" s="1064">
        <v>1264800</v>
      </c>
      <c r="W21" s="1064">
        <f ca="1">'ESTADISTICOS JENNY'!R397</f>
        <v>670979.0000000071</v>
      </c>
      <c r="X21" s="1064">
        <v>1224000</v>
      </c>
      <c r="Y21" s="1064">
        <f ca="1">'ESTADISTICOS JENNY'!R398</f>
        <v>627472.99999999255</v>
      </c>
      <c r="Z21" s="1064">
        <v>1264800</v>
      </c>
      <c r="AA21" s="1064">
        <f ca="1">'ESTADISTICOS JENNY'!R399</f>
        <v>685057.10000000137</v>
      </c>
      <c r="AB21" s="1064">
        <v>1224000</v>
      </c>
      <c r="AC21" s="1064">
        <f ca="1">'ESTADISTICOS JENNY'!R400</f>
        <v>22211.69999999939</v>
      </c>
      <c r="AD21" s="1064">
        <v>1264800</v>
      </c>
      <c r="AE21" s="1026">
        <f ca="1">'ESTADISTICOS JENNY'!R401</f>
        <v>0</v>
      </c>
    </row>
    <row r="22" spans="1:31" ht="15" customHeight="1">
      <c r="A22" s="2454"/>
      <c r="B22" s="1288" t="s">
        <v>278</v>
      </c>
      <c r="C22" s="2459"/>
      <c r="D22" s="1137" t="s">
        <v>1028</v>
      </c>
      <c r="E22" s="1164"/>
      <c r="F22" s="1165" t="s">
        <v>1177</v>
      </c>
      <c r="G22" s="1139" t="s">
        <v>1032</v>
      </c>
      <c r="H22" s="1063">
        <v>15657.3</v>
      </c>
      <c r="I22" s="1062"/>
      <c r="J22" s="1062">
        <v>14692.333333333339</v>
      </c>
      <c r="K22" s="1062"/>
      <c r="L22" s="1062">
        <v>15657.3</v>
      </c>
      <c r="M22" s="1062"/>
      <c r="N22" s="1062">
        <v>15099</v>
      </c>
      <c r="O22" s="1062"/>
      <c r="P22" s="1062">
        <v>15657.3</v>
      </c>
      <c r="Q22" s="1062"/>
      <c r="R22" s="1062">
        <v>15220</v>
      </c>
      <c r="S22" s="1062"/>
      <c r="T22" s="1062">
        <v>15657.3</v>
      </c>
      <c r="U22" s="1062"/>
      <c r="V22" s="1062">
        <v>15657.3</v>
      </c>
      <c r="W22" s="1062"/>
      <c r="X22" s="1062">
        <v>15157</v>
      </c>
      <c r="Y22" s="1062"/>
      <c r="Z22" s="1062">
        <v>15728.099999999999</v>
      </c>
      <c r="AA22" s="1062"/>
      <c r="AB22" s="1062">
        <v>15175</v>
      </c>
      <c r="AC22" s="1062"/>
      <c r="AD22" s="1062">
        <v>15652.099999999999</v>
      </c>
      <c r="AE22" s="1026"/>
    </row>
    <row r="23" spans="1:31" s="1168" customFormat="1" ht="15.75" customHeight="1" thickBot="1">
      <c r="A23" s="2455"/>
      <c r="B23" s="1289"/>
      <c r="C23" s="1290" t="s">
        <v>907</v>
      </c>
      <c r="D23" s="1166"/>
      <c r="E23" s="1292" t="s">
        <v>907</v>
      </c>
      <c r="F23" s="1295" t="s">
        <v>1249</v>
      </c>
      <c r="G23" s="1167"/>
      <c r="H23" s="1140">
        <f t="shared" ref="H23:N23" si="0">SUM(H7:H22)</f>
        <v>15308468.598015873</v>
      </c>
      <c r="I23" s="1140" t="e">
        <f>SUM(I7:I22)</f>
        <v>#REF!</v>
      </c>
      <c r="J23" s="1140">
        <f t="shared" si="0"/>
        <v>14320798.644380439</v>
      </c>
      <c r="K23" s="1140" t="e">
        <f>SUM(K7:K22)</f>
        <v>#REF!</v>
      </c>
      <c r="L23" s="1140">
        <f t="shared" si="0"/>
        <v>15308468.598015873</v>
      </c>
      <c r="M23" s="1140" t="e">
        <f>SUM(M7:M22)</f>
        <v>#REF!</v>
      </c>
      <c r="N23" s="1140">
        <f t="shared" si="0"/>
        <v>14814593.804531489</v>
      </c>
      <c r="O23" s="1257">
        <f ca="1">SUM(O12:O22)</f>
        <v>13154943.000000026</v>
      </c>
      <c r="P23" s="1140">
        <f>SUM(P7:P21)</f>
        <v>15292811.298015872</v>
      </c>
      <c r="Q23" s="1391">
        <f ca="1">SUM(Q12:Q22)</f>
        <v>13126246.999999974</v>
      </c>
      <c r="R23" s="1140">
        <f t="shared" ref="R23:AD23" si="1">SUM(R7:R22)</f>
        <v>14814714.804531489</v>
      </c>
      <c r="S23" s="1257">
        <f ca="1">SUM(S12:S22)</f>
        <v>13131652</v>
      </c>
      <c r="T23" s="1140">
        <f t="shared" si="1"/>
        <v>15308468.598015873</v>
      </c>
      <c r="U23" s="1140">
        <f ca="1">SUM(U12:U22)</f>
        <v>13567968.000000002</v>
      </c>
      <c r="V23" s="1140">
        <f t="shared" si="1"/>
        <v>15307352.598015873</v>
      </c>
      <c r="W23" s="1257">
        <f ca="1">SUM(W12:W22)</f>
        <v>13829668.000000047</v>
      </c>
      <c r="X23" s="1140">
        <f t="shared" si="1"/>
        <v>14813571.804531489</v>
      </c>
      <c r="Y23" s="1140">
        <f ca="1">SUM(Y12:Y22)</f>
        <v>13358048.999999952</v>
      </c>
      <c r="Z23" s="1140">
        <f t="shared" si="1"/>
        <v>15307423.398015872</v>
      </c>
      <c r="AA23" s="1140">
        <f ca="1">SUM(AA12:AA22)</f>
        <v>13584433</v>
      </c>
      <c r="AB23" s="1140">
        <f t="shared" si="1"/>
        <v>14813589.804531489</v>
      </c>
      <c r="AC23" s="1140">
        <f ca="1">SUM(AC12:AC22)</f>
        <v>439999.99999999994</v>
      </c>
      <c r="AD23" s="1140">
        <f t="shared" si="1"/>
        <v>15307347.398015872</v>
      </c>
      <c r="AE23" s="1140">
        <f ca="1">SUM(AE12:AE22)</f>
        <v>0</v>
      </c>
    </row>
    <row r="24" spans="1:31">
      <c r="C24" s="2461" t="s">
        <v>71</v>
      </c>
      <c r="D24" s="1282" t="s">
        <v>987</v>
      </c>
      <c r="E24" s="2464" t="s">
        <v>1141</v>
      </c>
      <c r="F24" s="1141" t="s">
        <v>1047</v>
      </c>
      <c r="G24" s="1142" t="s">
        <v>1046</v>
      </c>
      <c r="H24" s="1026">
        <f t="shared" ref="H24:AD28" si="2">+H12</f>
        <v>837461.72482993233</v>
      </c>
      <c r="I24" s="1026">
        <f ca="1">I12</f>
        <v>730603.16666665382</v>
      </c>
      <c r="J24" s="1026">
        <f t="shared" si="2"/>
        <v>783431.93613122706</v>
      </c>
      <c r="K24" s="1026">
        <f ca="1">K12</f>
        <v>657412.00000001059</v>
      </c>
      <c r="L24" s="1026">
        <f t="shared" si="2"/>
        <v>837461.72482993233</v>
      </c>
      <c r="M24" s="1026">
        <f ca="1">M12</f>
        <v>704840.99999999546</v>
      </c>
      <c r="N24" s="1026">
        <f t="shared" si="2"/>
        <v>810446.83048057975</v>
      </c>
      <c r="O24" s="1026">
        <f ca="1">O12</f>
        <v>640752.16666666931</v>
      </c>
      <c r="P24" s="1026">
        <f t="shared" si="2"/>
        <v>837461.72482993233</v>
      </c>
      <c r="Q24" s="1026">
        <f ca="1">Q12</f>
        <v>608443.16666665033</v>
      </c>
      <c r="R24" s="1026">
        <f t="shared" si="2"/>
        <v>810446.83048057975</v>
      </c>
      <c r="S24" s="1026">
        <f ca="1">S12</f>
        <v>530693.16666668234</v>
      </c>
      <c r="T24" s="1026">
        <f t="shared" si="2"/>
        <v>837461.72482993233</v>
      </c>
      <c r="U24" s="1026">
        <f ca="1">U12</f>
        <v>535482.16666665394</v>
      </c>
      <c r="V24" s="1026">
        <f t="shared" si="2"/>
        <v>837461.72482993233</v>
      </c>
      <c r="W24" s="1026">
        <f ca="1">W12</f>
        <v>629823.3333333293</v>
      </c>
      <c r="X24" s="1026">
        <f t="shared" si="2"/>
        <v>810446.83048057975</v>
      </c>
      <c r="Y24" s="1026">
        <f ca="1">Y12</f>
        <v>628568.16666666407</v>
      </c>
      <c r="Z24" s="1026">
        <f t="shared" si="2"/>
        <v>837461.72482993233</v>
      </c>
      <c r="AA24" s="1026">
        <f ca="1">AA12</f>
        <v>502100.33333334001</v>
      </c>
      <c r="AB24" s="1026">
        <f t="shared" si="2"/>
        <v>810446.83048057975</v>
      </c>
      <c r="AC24" s="1026">
        <f ca="1">AC12</f>
        <v>-143889.99999999921</v>
      </c>
      <c r="AD24" s="1026">
        <f t="shared" si="2"/>
        <v>837461.72482993233</v>
      </c>
      <c r="AE24" s="1064">
        <f ca="1">AE12</f>
        <v>-168888</v>
      </c>
    </row>
    <row r="25" spans="1:31">
      <c r="C25" s="2462"/>
      <c r="D25" s="1283" t="s">
        <v>987</v>
      </c>
      <c r="E25" s="2465"/>
      <c r="F25" s="1138" t="s">
        <v>1048</v>
      </c>
      <c r="G25" s="1142" t="s">
        <v>981</v>
      </c>
      <c r="H25" s="1026">
        <f t="shared" si="2"/>
        <v>6144576.0728457989</v>
      </c>
      <c r="I25" s="1026">
        <f ca="1">I13</f>
        <v>5290911.1666666372</v>
      </c>
      <c r="J25" s="1026">
        <f t="shared" si="2"/>
        <v>5748151.8100815536</v>
      </c>
      <c r="K25" s="1026">
        <f ca="1">K13</f>
        <v>4603913.9999999907</v>
      </c>
      <c r="L25" s="1026">
        <f t="shared" si="2"/>
        <v>6144576.0728457989</v>
      </c>
      <c r="M25" s="1026">
        <f ca="1">M13</f>
        <v>5262919.0000000121</v>
      </c>
      <c r="N25" s="1026">
        <f t="shared" si="2"/>
        <v>5946363.9414636763</v>
      </c>
      <c r="O25" s="1026">
        <f ca="1">O13</f>
        <v>5077712.1666667312</v>
      </c>
      <c r="P25" s="1026">
        <f t="shared" si="2"/>
        <v>6144576.0728457989</v>
      </c>
      <c r="Q25" s="1026">
        <f ca="1">Q13</f>
        <v>4639461.1666666577</v>
      </c>
      <c r="R25" s="1026">
        <f t="shared" si="2"/>
        <v>5946363.9414636763</v>
      </c>
      <c r="S25" s="1026">
        <f ca="1">S13</f>
        <v>5057806.1666666707</v>
      </c>
      <c r="T25" s="1026">
        <f t="shared" si="2"/>
        <v>6144576.0728457989</v>
      </c>
      <c r="U25" s="1026">
        <f ca="1">U13</f>
        <v>5259197.166666666</v>
      </c>
      <c r="V25" s="1026">
        <f t="shared" si="2"/>
        <v>6144576.0728457989</v>
      </c>
      <c r="W25" s="1026">
        <f ca="1">W13</f>
        <v>5312011.3333333358</v>
      </c>
      <c r="X25" s="1026">
        <f t="shared" si="2"/>
        <v>5946363.9414636763</v>
      </c>
      <c r="Y25" s="1026">
        <f ca="1">Y13</f>
        <v>5090308.1666666633</v>
      </c>
      <c r="Z25" s="1026">
        <f t="shared" si="2"/>
        <v>6144576.0728457989</v>
      </c>
      <c r="AA25" s="1026">
        <f ca="1">AA13</f>
        <v>5289588.3333333312</v>
      </c>
      <c r="AB25" s="1026">
        <f t="shared" si="2"/>
        <v>5946363.9414636763</v>
      </c>
      <c r="AC25" s="1026">
        <f ca="1">AC13</f>
        <v>168750.00000000151</v>
      </c>
      <c r="AD25" s="1026">
        <f t="shared" si="2"/>
        <v>6144576.0728457989</v>
      </c>
      <c r="AE25" s="1064">
        <f ca="1">AE13</f>
        <v>0</v>
      </c>
    </row>
    <row r="26" spans="1:31">
      <c r="C26" s="2462"/>
      <c r="D26" s="1283" t="s">
        <v>987</v>
      </c>
      <c r="E26" s="2465"/>
      <c r="F26" s="1141" t="s">
        <v>1050</v>
      </c>
      <c r="G26" s="1142" t="s">
        <v>1049</v>
      </c>
      <c r="H26" s="1026">
        <f t="shared" si="2"/>
        <v>325804.56213151902</v>
      </c>
      <c r="I26" s="1026">
        <f>I14</f>
        <v>168888</v>
      </c>
      <c r="J26" s="1026">
        <f t="shared" si="2"/>
        <v>304784.9129617436</v>
      </c>
      <c r="K26" s="1026">
        <f>K14</f>
        <v>157992</v>
      </c>
      <c r="L26" s="1026">
        <f t="shared" si="2"/>
        <v>325804.56213151902</v>
      </c>
      <c r="M26" s="1026">
        <f>M14</f>
        <v>168888</v>
      </c>
      <c r="N26" s="1026">
        <f t="shared" si="2"/>
        <v>315294.73754663131</v>
      </c>
      <c r="O26" s="1026">
        <f>O14</f>
        <v>163440</v>
      </c>
      <c r="P26" s="1026">
        <f t="shared" si="2"/>
        <v>325804.56213151902</v>
      </c>
      <c r="Q26" s="1026">
        <f>Q14</f>
        <v>168888</v>
      </c>
      <c r="R26" s="1026">
        <f t="shared" si="2"/>
        <v>315294.73754663131</v>
      </c>
      <c r="S26" s="1026">
        <f>S14</f>
        <v>163440</v>
      </c>
      <c r="T26" s="1026">
        <f t="shared" si="2"/>
        <v>325804.56213151902</v>
      </c>
      <c r="U26" s="1026">
        <f>U14</f>
        <v>168888</v>
      </c>
      <c r="V26" s="1026">
        <f t="shared" si="2"/>
        <v>325804.56213151902</v>
      </c>
      <c r="W26" s="1026">
        <f>W14</f>
        <v>168888</v>
      </c>
      <c r="X26" s="1026">
        <f t="shared" si="2"/>
        <v>315294.73754663131</v>
      </c>
      <c r="Y26" s="1026">
        <f>Y14</f>
        <v>163440</v>
      </c>
      <c r="Z26" s="1026">
        <f t="shared" si="2"/>
        <v>325804.56213151902</v>
      </c>
      <c r="AA26" s="1026">
        <f>AA14</f>
        <v>168888</v>
      </c>
      <c r="AB26" s="1026">
        <f t="shared" si="2"/>
        <v>315294.73754663131</v>
      </c>
      <c r="AC26" s="1026">
        <f>AC14</f>
        <v>163440</v>
      </c>
      <c r="AD26" s="1026">
        <f t="shared" si="2"/>
        <v>325804.56213151902</v>
      </c>
      <c r="AE26" s="1064">
        <f>AE14</f>
        <v>168888</v>
      </c>
    </row>
    <row r="27" spans="1:31">
      <c r="C27" s="2462"/>
      <c r="D27" s="1283" t="s">
        <v>987</v>
      </c>
      <c r="E27" s="1284" t="s">
        <v>1184</v>
      </c>
      <c r="F27" s="1138" t="s">
        <v>1142</v>
      </c>
      <c r="G27" s="1142" t="s">
        <v>978</v>
      </c>
      <c r="H27" s="1026">
        <f t="shared" si="2"/>
        <v>471887.91133786883</v>
      </c>
      <c r="I27" s="1026">
        <f ca="1">I15</f>
        <v>492511.1666666579</v>
      </c>
      <c r="J27" s="1026">
        <f t="shared" si="2"/>
        <v>441443.52996123215</v>
      </c>
      <c r="K27" s="1026">
        <f ca="1">K15</f>
        <v>435314.00000001409</v>
      </c>
      <c r="L27" s="1026">
        <f t="shared" si="2"/>
        <v>471887.91133786883</v>
      </c>
      <c r="M27" s="1026">
        <f ca="1">M15</f>
        <v>481318.99999998836</v>
      </c>
      <c r="N27" s="1026">
        <f t="shared" si="2"/>
        <v>456665.72064955049</v>
      </c>
      <c r="O27" s="1026">
        <f ca="1">O15</f>
        <v>484962.16666666057</v>
      </c>
      <c r="P27" s="1026">
        <f t="shared" si="2"/>
        <v>471887.91133786883</v>
      </c>
      <c r="Q27" s="1026">
        <f ca="1">Q15</f>
        <v>517461.1666666622</v>
      </c>
      <c r="R27" s="1026">
        <f t="shared" si="2"/>
        <v>456665.72064955049</v>
      </c>
      <c r="S27" s="1026">
        <f ca="1">S15</f>
        <v>454183.16666666709</v>
      </c>
      <c r="T27" s="1026">
        <f t="shared" si="2"/>
        <v>471887.91133786883</v>
      </c>
      <c r="U27" s="1026">
        <f ca="1">U15</f>
        <v>488020.16666666447</v>
      </c>
      <c r="V27" s="1026">
        <f t="shared" si="2"/>
        <v>471887.91133786883</v>
      </c>
      <c r="W27" s="1026">
        <f ca="1">W15</f>
        <v>508311.33333334059</v>
      </c>
      <c r="X27" s="1026">
        <f t="shared" si="2"/>
        <v>456665.72064955049</v>
      </c>
      <c r="Y27" s="1026">
        <f ca="1">Y15</f>
        <v>474208.16666666116</v>
      </c>
      <c r="Z27" s="1026">
        <f t="shared" si="2"/>
        <v>471887.91133786883</v>
      </c>
      <c r="AA27" s="1026">
        <f ca="1">AA15</f>
        <v>459788.33333333384</v>
      </c>
      <c r="AB27" s="1026">
        <f t="shared" si="2"/>
        <v>456665.72064955049</v>
      </c>
      <c r="AC27" s="1026">
        <f ca="1">AC15</f>
        <v>15249.999999999687</v>
      </c>
      <c r="AD27" s="1026">
        <f t="shared" si="2"/>
        <v>471887.91133786883</v>
      </c>
      <c r="AE27" s="1064">
        <f ca="1">AE15</f>
        <v>0</v>
      </c>
    </row>
    <row r="28" spans="1:31">
      <c r="C28" s="2462"/>
      <c r="D28" s="1283" t="s">
        <v>987</v>
      </c>
      <c r="E28" s="1285"/>
      <c r="F28" s="1141" t="s">
        <v>1143</v>
      </c>
      <c r="G28" s="1142" t="s">
        <v>1053</v>
      </c>
      <c r="H28" s="1026">
        <f t="shared" si="2"/>
        <v>1586516.1375283445</v>
      </c>
      <c r="I28" s="1026">
        <f ca="1">I16</f>
        <v>1437391.1666666628</v>
      </c>
      <c r="J28" s="1026">
        <f t="shared" si="2"/>
        <v>1484160.2576878062</v>
      </c>
      <c r="K28" s="1026">
        <f ca="1">K16</f>
        <v>1252174.0000000219</v>
      </c>
      <c r="L28" s="1026">
        <f t="shared" si="2"/>
        <v>1586516.1375283445</v>
      </c>
      <c r="M28" s="1026">
        <f ca="1">M16</f>
        <v>1393058.9999999825</v>
      </c>
      <c r="N28" s="1026">
        <f t="shared" si="2"/>
        <v>1535338.1976080753</v>
      </c>
      <c r="O28" s="1026">
        <f ca="1">O16</f>
        <v>1332152.1666666612</v>
      </c>
      <c r="P28" s="1026">
        <f t="shared" si="2"/>
        <v>1586516.1375283445</v>
      </c>
      <c r="Q28" s="1026">
        <f ca="1">Q16</f>
        <v>1305271.1666666672</v>
      </c>
      <c r="R28" s="1026">
        <f t="shared" si="2"/>
        <v>1535338.1976080753</v>
      </c>
      <c r="S28" s="1026">
        <f ca="1">S16</f>
        <v>1267063.1666666609</v>
      </c>
      <c r="T28" s="1026">
        <f t="shared" si="2"/>
        <v>1586516.1375283445</v>
      </c>
      <c r="U28" s="1026">
        <f ca="1">U16</f>
        <v>1318740.1666666637</v>
      </c>
      <c r="V28" s="1026">
        <f t="shared" si="2"/>
        <v>1586516.1375283445</v>
      </c>
      <c r="W28" s="1026">
        <f ca="1">W16</f>
        <v>1306511.3333333468</v>
      </c>
      <c r="X28" s="1026">
        <f t="shared" si="2"/>
        <v>1535338.1976080753</v>
      </c>
      <c r="Y28" s="1026">
        <f ca="1">Y16</f>
        <v>1335208.1666666614</v>
      </c>
      <c r="Z28" s="1026">
        <f t="shared" si="2"/>
        <v>1586516.1375283445</v>
      </c>
      <c r="AA28" s="1026">
        <f ca="1">AA16</f>
        <v>1357588.3333333312</v>
      </c>
      <c r="AB28" s="1026">
        <f t="shared" si="2"/>
        <v>1535338.1976080753</v>
      </c>
      <c r="AC28" s="1026">
        <f ca="1">AC16</f>
        <v>44249.999999997868</v>
      </c>
      <c r="AD28" s="1026">
        <f t="shared" si="2"/>
        <v>1586516.1375283445</v>
      </c>
      <c r="AE28" s="1064">
        <f ca="1">AE16</f>
        <v>0</v>
      </c>
    </row>
    <row r="29" spans="1:31">
      <c r="C29" s="2462"/>
      <c r="D29" s="1283" t="s">
        <v>987</v>
      </c>
      <c r="E29" s="1285"/>
      <c r="F29" s="1138" t="s">
        <v>1056</v>
      </c>
      <c r="G29" s="1142" t="s">
        <v>1055</v>
      </c>
      <c r="H29" s="1026">
        <f t="shared" ref="H29:AD30" si="3">+H19</f>
        <v>4358808.6831632704</v>
      </c>
      <c r="I29" s="1026">
        <f ca="1">I19</f>
        <v>4550279.9166666782</v>
      </c>
      <c r="J29" s="1026">
        <f t="shared" si="3"/>
        <v>4077595.2197333821</v>
      </c>
      <c r="K29" s="1026">
        <f ca="1">K19</f>
        <v>4331236.4999999972</v>
      </c>
      <c r="L29" s="1026">
        <f t="shared" si="3"/>
        <v>4358808.6831632704</v>
      </c>
      <c r="M29" s="1026">
        <f ca="1">M19</f>
        <v>4784172.7499999935</v>
      </c>
      <c r="N29" s="1026">
        <f t="shared" si="3"/>
        <v>4218201.951448326</v>
      </c>
      <c r="O29" s="1026">
        <f ca="1">O19</f>
        <v>4593574.4166666567</v>
      </c>
      <c r="P29" s="1026">
        <f t="shared" si="3"/>
        <v>4358808.6831632704</v>
      </c>
      <c r="Q29" s="1026">
        <f ca="1">Q19</f>
        <v>4969538.4166666633</v>
      </c>
      <c r="R29" s="1026">
        <f t="shared" si="3"/>
        <v>4218201.951448326</v>
      </c>
      <c r="S29" s="1026">
        <f ca="1">S19</f>
        <v>4792996.1666666456</v>
      </c>
      <c r="T29" s="1026">
        <f t="shared" si="3"/>
        <v>4358808.6831632704</v>
      </c>
      <c r="U29" s="1026">
        <f ca="1">U19</f>
        <v>4891965.6666666903</v>
      </c>
      <c r="V29" s="1026">
        <f t="shared" si="3"/>
        <v>4358808.6831632704</v>
      </c>
      <c r="W29" s="1026">
        <f ca="1">W19</f>
        <v>4993659.3333333526</v>
      </c>
      <c r="X29" s="1026">
        <f t="shared" si="3"/>
        <v>4218201.951448326</v>
      </c>
      <c r="Y29" s="1026">
        <f ca="1">Y19</f>
        <v>4781569.1666666456</v>
      </c>
      <c r="Z29" s="1026">
        <f t="shared" si="3"/>
        <v>4358808.6831632704</v>
      </c>
      <c r="AA29" s="1026">
        <f ca="1">AA19</f>
        <v>4885902.8333333312</v>
      </c>
      <c r="AB29" s="1026">
        <f t="shared" si="3"/>
        <v>4218201.951448326</v>
      </c>
      <c r="AC29" s="1026">
        <f ca="1">AC19</f>
        <v>162411.49999999956</v>
      </c>
      <c r="AD29" s="1026">
        <f t="shared" si="3"/>
        <v>4358808.6831632704</v>
      </c>
      <c r="AE29" s="1064">
        <f ca="1">AE19</f>
        <v>0</v>
      </c>
    </row>
    <row r="30" spans="1:31" ht="33" customHeight="1" thickBot="1">
      <c r="C30" s="2463"/>
      <c r="D30" s="1286" t="s">
        <v>987</v>
      </c>
      <c r="E30" s="1293"/>
      <c r="F30" s="1277" t="s">
        <v>1062</v>
      </c>
      <c r="G30" s="1278" t="s">
        <v>1061</v>
      </c>
      <c r="H30" s="1065">
        <f t="shared" si="3"/>
        <v>173623.34784580473</v>
      </c>
      <c r="I30" s="1065">
        <f ca="1">I20</f>
        <v>224096.36666666082</v>
      </c>
      <c r="J30" s="1065">
        <f t="shared" si="3"/>
        <v>162421.84153317218</v>
      </c>
      <c r="K30" s="1065">
        <f ca="1">K20</f>
        <v>206706.80000001434</v>
      </c>
      <c r="L30" s="1065">
        <f t="shared" si="3"/>
        <v>173623.34784580473</v>
      </c>
      <c r="M30" s="1065">
        <f ca="1">M20</f>
        <v>230059.79999998893</v>
      </c>
      <c r="N30" s="1065">
        <f t="shared" si="3"/>
        <v>168022.59468948847</v>
      </c>
      <c r="O30" s="1065">
        <f ca="1">O20</f>
        <v>229616.76666666172</v>
      </c>
      <c r="P30" s="1065">
        <f t="shared" si="3"/>
        <v>173623.34784580473</v>
      </c>
      <c r="Q30" s="1065">
        <f ca="1">Q20</f>
        <v>236319.56666665798</v>
      </c>
      <c r="R30" s="1065">
        <f t="shared" si="3"/>
        <v>168022.59468948847</v>
      </c>
      <c r="S30" s="1065">
        <f ca="1">S20</f>
        <v>232298.56666667107</v>
      </c>
      <c r="T30" s="1065">
        <f t="shared" si="3"/>
        <v>173623.34784580473</v>
      </c>
      <c r="U30" s="1065">
        <f ca="1">U20</f>
        <v>227087.5666666656</v>
      </c>
      <c r="V30" s="1065">
        <f t="shared" si="3"/>
        <v>173623.34784580473</v>
      </c>
      <c r="W30" s="1065">
        <f ca="1">W20</f>
        <v>239484.33333333477</v>
      </c>
      <c r="X30" s="1065">
        <f t="shared" si="3"/>
        <v>168022.59468948847</v>
      </c>
      <c r="Y30" s="1065">
        <f ca="1">Y20</f>
        <v>257274.16666666418</v>
      </c>
      <c r="Z30" s="1065">
        <f t="shared" si="3"/>
        <v>173623.34784580473</v>
      </c>
      <c r="AA30" s="1065">
        <f ca="1">AA20</f>
        <v>235519.73333333092</v>
      </c>
      <c r="AB30" s="1065">
        <f t="shared" si="3"/>
        <v>168022.59468948847</v>
      </c>
      <c r="AC30" s="1065">
        <f ca="1">AC20</f>
        <v>7576.8000000011543</v>
      </c>
      <c r="AD30" s="1065">
        <f t="shared" si="3"/>
        <v>173623.34784580473</v>
      </c>
      <c r="AE30" s="1275">
        <f ca="1">AE20</f>
        <v>0</v>
      </c>
    </row>
    <row r="31" spans="1:31" s="1168" customFormat="1" ht="16" thickBot="1">
      <c r="A31" s="1169"/>
      <c r="B31" s="1169"/>
      <c r="C31" s="1291" t="s">
        <v>907</v>
      </c>
      <c r="D31" s="1280"/>
      <c r="E31" s="1294" t="s">
        <v>907</v>
      </c>
      <c r="F31" s="1281"/>
      <c r="G31" s="1279"/>
      <c r="H31" s="1144">
        <f t="shared" ref="H31:AD31" si="4">+SUM(H24:H30)</f>
        <v>13898678.43968254</v>
      </c>
      <c r="I31" s="1144">
        <f ca="1">SUM(I24:I30)</f>
        <v>12894680.949999953</v>
      </c>
      <c r="J31" s="1144">
        <f t="shared" si="4"/>
        <v>13001989.508090118</v>
      </c>
      <c r="K31" s="1144">
        <f ca="1">SUM(K24:K30)</f>
        <v>11644749.300000047</v>
      </c>
      <c r="L31" s="1144">
        <f t="shared" si="4"/>
        <v>13898678.43968254</v>
      </c>
      <c r="M31" s="1144">
        <f ca="1">SUM(M24:M30)</f>
        <v>13025258.549999962</v>
      </c>
      <c r="N31" s="1144">
        <f t="shared" si="4"/>
        <v>13450333.97388633</v>
      </c>
      <c r="O31" s="1144">
        <f ca="1">SUM(O24:O30)</f>
        <v>12522209.850000042</v>
      </c>
      <c r="P31" s="1144">
        <f t="shared" si="4"/>
        <v>13898678.43968254</v>
      </c>
      <c r="Q31" s="1144">
        <f ca="1">SUM(Q24:Q30)</f>
        <v>12445382.649999958</v>
      </c>
      <c r="R31" s="1144">
        <f t="shared" si="4"/>
        <v>13450333.97388633</v>
      </c>
      <c r="S31" s="1144">
        <f ca="1">SUM(S24:S30)</f>
        <v>12498480.399999999</v>
      </c>
      <c r="T31" s="1144">
        <f t="shared" si="4"/>
        <v>13898678.43968254</v>
      </c>
      <c r="U31" s="1144">
        <f ca="1">SUM(U24:U30)</f>
        <v>12889380.900000004</v>
      </c>
      <c r="V31" s="1144">
        <f t="shared" si="4"/>
        <v>13898678.43968254</v>
      </c>
      <c r="W31" s="1144">
        <f ca="1">SUM(W24:W30)</f>
        <v>13158689.000000039</v>
      </c>
      <c r="X31" s="1144">
        <f t="shared" si="4"/>
        <v>13450333.97388633</v>
      </c>
      <c r="Y31" s="1144">
        <f ca="1">SUM(Y24:Y30)</f>
        <v>12730575.999999959</v>
      </c>
      <c r="Z31" s="1144">
        <f t="shared" si="4"/>
        <v>13898678.43968254</v>
      </c>
      <c r="AA31" s="1144">
        <f ca="1">SUM(AA24:AA30)</f>
        <v>12899375.899999999</v>
      </c>
      <c r="AB31" s="1144">
        <f t="shared" si="4"/>
        <v>13450333.97388633</v>
      </c>
      <c r="AC31" s="1144">
        <f ca="1">SUM(AC24:AC30)</f>
        <v>417788.30000000057</v>
      </c>
      <c r="AD31" s="1144">
        <f t="shared" si="4"/>
        <v>13898678.43968254</v>
      </c>
      <c r="AE31" s="1276">
        <f ca="1">SUM(AE24:AE30)</f>
        <v>0</v>
      </c>
    </row>
    <row r="32" spans="1:31" ht="33" customHeight="1"/>
    <row r="33" spans="8:29">
      <c r="H33" s="1023">
        <f>1.7*24*31</f>
        <v>1264.8</v>
      </c>
    </row>
    <row r="36" spans="8:29">
      <c r="N36" s="1170">
        <f t="shared" ref="N36:AB36" si="5">+N33/N31</f>
        <v>0</v>
      </c>
      <c r="O36" s="1170"/>
      <c r="P36" s="1170">
        <f t="shared" si="5"/>
        <v>0</v>
      </c>
      <c r="Q36" s="1170"/>
      <c r="R36" s="1170">
        <f t="shared" si="5"/>
        <v>0</v>
      </c>
      <c r="S36" s="1170"/>
      <c r="T36" s="1170">
        <f t="shared" si="5"/>
        <v>0</v>
      </c>
      <c r="U36" s="1170"/>
      <c r="V36" s="1170">
        <f t="shared" si="5"/>
        <v>0</v>
      </c>
      <c r="W36" s="1170"/>
      <c r="X36" s="1170">
        <f t="shared" si="5"/>
        <v>0</v>
      </c>
      <c r="Y36" s="1170"/>
      <c r="Z36" s="1170">
        <f t="shared" si="5"/>
        <v>0</v>
      </c>
      <c r="AA36" s="1170"/>
      <c r="AB36" s="1170">
        <f t="shared" si="5"/>
        <v>0</v>
      </c>
      <c r="AC36" s="1170"/>
    </row>
  </sheetData>
  <mergeCells count="17">
    <mergeCell ref="C24:C30"/>
    <mergeCell ref="E24:E26"/>
    <mergeCell ref="H4:AE4"/>
    <mergeCell ref="R5:S5"/>
    <mergeCell ref="T5:U5"/>
    <mergeCell ref="V5:W5"/>
    <mergeCell ref="X5:Y5"/>
    <mergeCell ref="H5:I5"/>
    <mergeCell ref="J5:K5"/>
    <mergeCell ref="L5:M5"/>
    <mergeCell ref="N5:O5"/>
    <mergeCell ref="P5:Q5"/>
    <mergeCell ref="A7:A23"/>
    <mergeCell ref="H2:AE2"/>
    <mergeCell ref="C7:C22"/>
    <mergeCell ref="E7:E11"/>
    <mergeCell ref="E12:E14"/>
  </mergeCells>
  <pageMargins left="0.7" right="0.7" top="0.75" bottom="0.75" header="0.3" footer="0.3"/>
  <pageSetup orientation="portrait" r:id="rId1"/>
  <ignoredErrors>
    <ignoredError sqref="I22:O22 H25:H30 I11:N21 P11:Q11 P12:P21 R12:R21 R11 P22:Q22 O11:O21 R22:S22 Q12:Q21 H31 T12:T21 T11 V11 V12:V21 V22:X22 U11:U21 T22:U22 S11:S21 X11 X12:X21 W11:W21 Y11:AE13 Y14:AE22 AE23 I23:M23 H24 H23 AE24 AE30 AE29 AE27 AE28 AE25:AE26 AE31 H33" unlockedFormula="1"/>
    <ignoredError sqref="M25:M30 K25:K30 I25:I31 L25:L31 J25:J31 P25:P30 N25:N31 Q25:Q31 O31:P31 K31 M31 O25:O30 R31:U31 R25:R30 U25:U28 W24 V24 U23:U24 R24 O24 Q24 N24 P24 J24 L24 I24 K24 M24 AA23:AA26 AD24 V31:Y31 AD30 W30 V30 U30 W29 V29 U29 AD29 AA29:AA31 W27:W28 V27:V28 AD27:AD28 AA27:AA28 W25:W26 V25:V26 AD25:AD26 AB25:AB26 AB27:AB28 AB29 AB30 AB24 Y25:Y26 X25:X26 Y27:Y28 X27:X28 Y29 X29 Y30:Z30 X30 Y24 X24 Z24 Z29 Z27:Z28 Z25:Z26 AC25:AC26 AC28 AC27 AC29 AC30 AC24 W23 V23 X23 AB23 Y23:Z23 AC23:AD23 AB31:AD31 Z31 S23:S24 S25:S30 N23 R23 O23 Q23 T23 T24 T25:T30" formula="1" unlockedFormula="1"/>
  </ignoredError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B1:K396"/>
  <sheetViews>
    <sheetView showGridLines="0" workbookViewId="0">
      <pane xSplit="2" ySplit="6" topLeftCell="C363" activePane="bottomRight" state="frozen"/>
      <selection activeCell="B24" sqref="B24"/>
      <selection pane="topRight" activeCell="B24" sqref="B24"/>
      <selection pane="bottomLeft" activeCell="B24" sqref="B24"/>
      <selection pane="bottomRight" activeCell="F307" sqref="F307"/>
    </sheetView>
  </sheetViews>
  <sheetFormatPr baseColWidth="10" defaultColWidth="8.81640625" defaultRowHeight="14.5"/>
  <cols>
    <col min="1" max="1" width="0.26953125" style="1113" customWidth="1"/>
    <col min="2" max="2" width="10.54296875" style="1172" bestFit="1" customWidth="1"/>
    <col min="3" max="5" width="20.7265625" style="1113" customWidth="1"/>
    <col min="6" max="6" width="25.7265625" style="1113" customWidth="1"/>
    <col min="7" max="10" width="8.81640625" style="1113"/>
    <col min="11" max="11" width="10.7265625" style="1113" bestFit="1" customWidth="1"/>
    <col min="12" max="16384" width="8.81640625" style="1113"/>
  </cols>
  <sheetData>
    <row r="1" spans="2:11" ht="15" customHeight="1"/>
    <row r="2" spans="2:11">
      <c r="C2" s="1173" t="s">
        <v>1</v>
      </c>
      <c r="D2" s="1174">
        <f>INICIO!D12</f>
        <v>45231</v>
      </c>
      <c r="E2" s="1174"/>
      <c r="F2" s="1175"/>
    </row>
    <row r="3" spans="2:11">
      <c r="C3" s="1173" t="s">
        <v>2</v>
      </c>
      <c r="D3" s="1174">
        <f>INICIO!D13</f>
        <v>45260</v>
      </c>
      <c r="E3" s="1174"/>
      <c r="F3" s="1173"/>
    </row>
    <row r="4" spans="2:11" ht="15" thickBot="1">
      <c r="C4" s="1173" t="s">
        <v>1250</v>
      </c>
      <c r="D4" s="1176">
        <f ca="1">TODAY()</f>
        <v>45232</v>
      </c>
      <c r="E4" s="1173"/>
      <c r="F4" s="1173"/>
      <c r="K4" s="26"/>
    </row>
    <row r="5" spans="2:11" ht="33.65" customHeight="1">
      <c r="B5" s="2470" t="s">
        <v>1251</v>
      </c>
      <c r="C5" s="2471"/>
      <c r="D5" s="2471"/>
      <c r="E5" s="2471"/>
      <c r="F5" s="2471"/>
    </row>
    <row r="6" spans="2:11" ht="54" customHeight="1" thickBot="1">
      <c r="B6" s="1177"/>
      <c r="C6" s="1178" t="s">
        <v>1252</v>
      </c>
      <c r="D6" s="1178" t="s">
        <v>1253</v>
      </c>
      <c r="E6" s="1178" t="s">
        <v>1254</v>
      </c>
      <c r="F6" s="1178" t="s">
        <v>1255</v>
      </c>
      <c r="G6" s="229"/>
      <c r="H6" s="229"/>
      <c r="I6" s="229"/>
      <c r="J6" s="229"/>
    </row>
    <row r="7" spans="2:11">
      <c r="B7" s="1403">
        <v>44927</v>
      </c>
      <c r="C7" s="1179"/>
      <c r="D7" s="1179"/>
      <c r="E7" s="1179"/>
      <c r="F7" s="1179"/>
      <c r="G7" s="1180"/>
      <c r="H7" s="1180"/>
      <c r="I7" s="1180"/>
      <c r="J7" s="1180"/>
    </row>
    <row r="8" spans="2:11">
      <c r="B8" s="1403">
        <v>44928</v>
      </c>
      <c r="C8" s="1181"/>
      <c r="D8" s="1181"/>
      <c r="E8" s="1181"/>
      <c r="F8" s="1181"/>
      <c r="G8" s="1182"/>
      <c r="H8" s="1182"/>
      <c r="I8" s="1182"/>
      <c r="J8" s="1182"/>
    </row>
    <row r="9" spans="2:11">
      <c r="B9" s="1403">
        <v>44929</v>
      </c>
      <c r="C9" s="1181"/>
      <c r="D9" s="1181"/>
      <c r="E9" s="1181"/>
      <c r="F9" s="1181"/>
      <c r="G9" s="1182"/>
      <c r="H9" s="1182"/>
      <c r="I9" s="1182"/>
      <c r="J9" s="1182"/>
    </row>
    <row r="10" spans="2:11">
      <c r="B10" s="1403">
        <v>44930</v>
      </c>
      <c r="C10" s="1181"/>
      <c r="D10" s="1181"/>
      <c r="E10" s="1181"/>
      <c r="F10" s="1181"/>
      <c r="G10" s="1183"/>
      <c r="H10" s="1183"/>
      <c r="I10" s="1183"/>
      <c r="J10" s="1183"/>
    </row>
    <row r="11" spans="2:11">
      <c r="B11" s="1403">
        <v>44931</v>
      </c>
      <c r="C11" s="1181"/>
      <c r="D11" s="1181"/>
      <c r="E11" s="1181"/>
      <c r="F11" s="1181"/>
      <c r="G11" s="1183"/>
      <c r="H11" s="1183"/>
      <c r="I11" s="1183"/>
      <c r="J11" s="1183"/>
    </row>
    <row r="12" spans="2:11">
      <c r="B12" s="1403">
        <v>44932</v>
      </c>
      <c r="C12" s="1181"/>
      <c r="D12" s="1181"/>
      <c r="E12" s="1181"/>
      <c r="F12" s="1181"/>
      <c r="G12" s="1183"/>
      <c r="H12" s="1183"/>
      <c r="I12" s="1183"/>
      <c r="J12" s="1183"/>
    </row>
    <row r="13" spans="2:11">
      <c r="B13" s="1403">
        <v>44933</v>
      </c>
      <c r="C13" s="1181"/>
      <c r="D13" s="1181"/>
      <c r="E13" s="1181"/>
      <c r="F13" s="1181"/>
      <c r="G13" s="1183"/>
      <c r="H13" s="1183"/>
      <c r="I13" s="1183"/>
      <c r="J13" s="1183"/>
    </row>
    <row r="14" spans="2:11">
      <c r="B14" s="1403">
        <v>44934</v>
      </c>
      <c r="C14" s="1181"/>
      <c r="D14" s="1181"/>
      <c r="E14" s="1181"/>
      <c r="F14" s="1181"/>
      <c r="G14" s="1183"/>
      <c r="H14" s="1183"/>
      <c r="I14" s="1183"/>
      <c r="J14" s="1183"/>
    </row>
    <row r="15" spans="2:11">
      <c r="B15" s="1403">
        <v>44935</v>
      </c>
      <c r="C15" s="1181"/>
      <c r="D15" s="1181"/>
      <c r="E15" s="1181"/>
      <c r="F15" s="1181"/>
      <c r="G15" s="1183"/>
      <c r="H15" s="1183"/>
      <c r="I15" s="1183"/>
      <c r="J15" s="1183"/>
    </row>
    <row r="16" spans="2:11">
      <c r="B16" s="1403">
        <v>44936</v>
      </c>
      <c r="C16" s="1181"/>
      <c r="D16" s="1181"/>
      <c r="E16" s="1181"/>
      <c r="F16" s="1181"/>
      <c r="G16" s="1183"/>
      <c r="H16" s="1183"/>
      <c r="I16" s="1183"/>
      <c r="J16" s="1183"/>
    </row>
    <row r="17" spans="2:10">
      <c r="B17" s="1403">
        <v>44937</v>
      </c>
      <c r="C17" s="1181"/>
      <c r="D17" s="1181"/>
      <c r="E17" s="1181"/>
      <c r="F17" s="1181"/>
      <c r="G17" s="1183"/>
      <c r="H17" s="1183"/>
      <c r="I17" s="1183"/>
      <c r="J17" s="1183"/>
    </row>
    <row r="18" spans="2:10">
      <c r="B18" s="1403">
        <v>44938</v>
      </c>
      <c r="C18" s="1181"/>
      <c r="D18" s="1181"/>
      <c r="E18" s="1181"/>
      <c r="F18" s="1181"/>
      <c r="G18" s="1183"/>
      <c r="H18" s="1183"/>
      <c r="I18" s="1183"/>
      <c r="J18" s="1183"/>
    </row>
    <row r="19" spans="2:10">
      <c r="B19" s="1403">
        <v>44939</v>
      </c>
      <c r="C19" s="1181"/>
      <c r="D19" s="1181"/>
      <c r="E19" s="1181"/>
      <c r="F19" s="1181"/>
      <c r="G19" s="1183"/>
      <c r="H19" s="1183"/>
      <c r="I19" s="1183"/>
      <c r="J19" s="1183"/>
    </row>
    <row r="20" spans="2:10">
      <c r="B20" s="1403">
        <v>44940</v>
      </c>
      <c r="C20" s="1181"/>
      <c r="D20" s="1181"/>
      <c r="E20" s="1181"/>
      <c r="F20" s="1181"/>
      <c r="G20" s="1183"/>
      <c r="H20" s="1183"/>
      <c r="I20" s="1183"/>
      <c r="J20" s="1183"/>
    </row>
    <row r="21" spans="2:10">
      <c r="B21" s="1403">
        <v>44941</v>
      </c>
      <c r="C21" s="1181"/>
      <c r="D21" s="1181"/>
      <c r="E21" s="1181"/>
      <c r="F21" s="1181"/>
      <c r="G21" s="1183"/>
      <c r="H21" s="1183"/>
      <c r="I21" s="1183"/>
      <c r="J21" s="1183"/>
    </row>
    <row r="22" spans="2:10">
      <c r="B22" s="1403">
        <v>44942</v>
      </c>
      <c r="C22" s="1181"/>
      <c r="D22" s="1181"/>
      <c r="E22" s="1181"/>
      <c r="F22" s="1181"/>
      <c r="G22" s="1183"/>
      <c r="H22" s="1183"/>
      <c r="I22" s="1183"/>
      <c r="J22" s="1183"/>
    </row>
    <row r="23" spans="2:10">
      <c r="B23" s="1403">
        <v>44943</v>
      </c>
      <c r="C23" s="1181"/>
      <c r="D23" s="1181"/>
      <c r="E23" s="1181"/>
      <c r="F23" s="1181"/>
      <c r="G23" s="1183"/>
      <c r="H23" s="1183"/>
      <c r="I23" s="1183"/>
      <c r="J23" s="1180"/>
    </row>
    <row r="24" spans="2:10">
      <c r="B24" s="1403">
        <v>44944</v>
      </c>
      <c r="C24" s="1181"/>
      <c r="D24" s="1181"/>
      <c r="E24" s="1181"/>
      <c r="F24" s="1181"/>
      <c r="G24" s="1183"/>
      <c r="H24" s="1183"/>
      <c r="I24" s="1183"/>
      <c r="J24" s="1183"/>
    </row>
    <row r="25" spans="2:10">
      <c r="B25" s="1403">
        <v>44945</v>
      </c>
      <c r="C25" s="1181"/>
      <c r="D25" s="1181"/>
      <c r="E25" s="1181"/>
      <c r="F25" s="1181"/>
      <c r="G25" s="1183"/>
      <c r="H25" s="1183"/>
      <c r="I25" s="1183"/>
      <c r="J25" s="1183"/>
    </row>
    <row r="26" spans="2:10">
      <c r="B26" s="1403">
        <v>44946</v>
      </c>
      <c r="C26" s="1181"/>
      <c r="D26" s="1181"/>
      <c r="E26" s="1181"/>
      <c r="F26" s="1181"/>
      <c r="G26" s="1183"/>
      <c r="H26" s="1183"/>
      <c r="I26" s="1183"/>
      <c r="J26" s="1183"/>
    </row>
    <row r="27" spans="2:10">
      <c r="B27" s="1403">
        <v>44947</v>
      </c>
      <c r="C27" s="1181"/>
      <c r="D27" s="1181"/>
      <c r="E27" s="1181"/>
      <c r="F27" s="1181"/>
      <c r="G27" s="1183"/>
      <c r="H27" s="1183"/>
      <c r="I27" s="1183"/>
      <c r="J27" s="1183"/>
    </row>
    <row r="28" spans="2:10">
      <c r="B28" s="1403">
        <v>44948</v>
      </c>
      <c r="C28" s="1181"/>
      <c r="D28" s="1181"/>
      <c r="E28" s="1181"/>
      <c r="F28" s="1181"/>
      <c r="G28" s="1183"/>
      <c r="H28" s="1183"/>
      <c r="I28" s="1183"/>
      <c r="J28" s="1183"/>
    </row>
    <row r="29" spans="2:10">
      <c r="B29" s="1403">
        <v>44949</v>
      </c>
      <c r="C29" s="1181"/>
      <c r="D29" s="1181"/>
      <c r="E29" s="1181"/>
      <c r="F29" s="1181"/>
      <c r="G29" s="1183"/>
      <c r="H29" s="1183"/>
      <c r="I29" s="1183"/>
      <c r="J29" s="1183"/>
    </row>
    <row r="30" spans="2:10">
      <c r="B30" s="1403">
        <v>44950</v>
      </c>
      <c r="C30" s="1181"/>
      <c r="D30" s="1181"/>
      <c r="E30" s="1181"/>
      <c r="F30" s="1181"/>
      <c r="G30" s="1183"/>
      <c r="H30" s="1183"/>
      <c r="I30" s="1183"/>
      <c r="J30" s="1183"/>
    </row>
    <row r="31" spans="2:10">
      <c r="B31" s="1403">
        <v>44951</v>
      </c>
      <c r="C31" s="1181"/>
      <c r="D31" s="1181"/>
      <c r="E31" s="1181"/>
      <c r="F31" s="1181"/>
      <c r="G31" s="1183"/>
      <c r="H31" s="1183"/>
      <c r="I31" s="1183"/>
      <c r="J31" s="1183"/>
    </row>
    <row r="32" spans="2:10">
      <c r="B32" s="1403">
        <v>44952</v>
      </c>
      <c r="C32" s="1181"/>
      <c r="D32" s="1181"/>
      <c r="E32" s="1181"/>
      <c r="F32" s="1181"/>
      <c r="G32" s="1183"/>
      <c r="H32" s="1183"/>
      <c r="I32" s="1183"/>
      <c r="J32" s="1183"/>
    </row>
    <row r="33" spans="2:10">
      <c r="B33" s="1403">
        <v>44953</v>
      </c>
      <c r="C33" s="1181"/>
      <c r="D33" s="1181"/>
      <c r="E33" s="1181"/>
      <c r="F33" s="1181"/>
      <c r="G33" s="1183"/>
      <c r="H33" s="1183"/>
      <c r="I33" s="1183"/>
      <c r="J33" s="1183"/>
    </row>
    <row r="34" spans="2:10">
      <c r="B34" s="1403">
        <v>44954</v>
      </c>
      <c r="C34" s="1181"/>
      <c r="D34" s="1181"/>
      <c r="E34" s="1181"/>
      <c r="F34" s="1181"/>
      <c r="G34" s="1183"/>
      <c r="H34" s="1183"/>
      <c r="I34" s="1183"/>
      <c r="J34" s="1183"/>
    </row>
    <row r="35" spans="2:10">
      <c r="B35" s="1403">
        <v>44955</v>
      </c>
      <c r="C35" s="1181"/>
      <c r="D35" s="1181"/>
      <c r="E35" s="1181"/>
      <c r="F35" s="1181"/>
      <c r="G35" s="1183"/>
      <c r="H35" s="1183"/>
      <c r="I35" s="1183"/>
      <c r="J35" s="1183"/>
    </row>
    <row r="36" spans="2:10">
      <c r="B36" s="1403">
        <v>44956</v>
      </c>
      <c r="C36" s="1181"/>
      <c r="D36" s="1181"/>
      <c r="E36" s="1181"/>
      <c r="F36" s="1181"/>
      <c r="G36" s="1183"/>
      <c r="H36" s="1183"/>
      <c r="I36" s="1183"/>
      <c r="J36" s="1183"/>
    </row>
    <row r="37" spans="2:10">
      <c r="B37" s="1403">
        <v>44957</v>
      </c>
      <c r="C37" s="1181"/>
      <c r="D37" s="1181"/>
      <c r="E37" s="1181"/>
      <c r="F37" s="1181"/>
      <c r="G37" s="1183"/>
      <c r="H37" s="1183"/>
      <c r="I37" s="1183"/>
      <c r="J37" s="1183"/>
    </row>
    <row r="38" spans="2:10">
      <c r="B38" s="1184"/>
      <c r="C38" s="1185"/>
      <c r="D38" s="1185"/>
      <c r="E38" s="1185"/>
      <c r="F38" s="1185"/>
      <c r="G38" s="1186"/>
      <c r="H38" s="229"/>
      <c r="I38" s="229"/>
      <c r="J38" s="229"/>
    </row>
    <row r="39" spans="2:10">
      <c r="B39" s="1187">
        <v>44958</v>
      </c>
      <c r="C39" s="1181"/>
      <c r="D39" s="1181"/>
      <c r="E39" s="1181"/>
      <c r="F39" s="1181"/>
      <c r="G39" s="229"/>
      <c r="H39" s="229"/>
      <c r="I39" s="229"/>
      <c r="J39" s="229"/>
    </row>
    <row r="40" spans="2:10">
      <c r="B40" s="1187">
        <v>44959</v>
      </c>
      <c r="C40" s="1181"/>
      <c r="D40" s="1181"/>
      <c r="E40" s="1181"/>
      <c r="F40" s="1181"/>
      <c r="G40" s="229"/>
      <c r="H40" s="229"/>
      <c r="I40" s="229"/>
      <c r="J40" s="229"/>
    </row>
    <row r="41" spans="2:10">
      <c r="B41" s="1187">
        <v>44960</v>
      </c>
      <c r="C41" s="1181"/>
      <c r="D41" s="1181"/>
      <c r="E41" s="1181"/>
      <c r="F41" s="1181"/>
      <c r="G41" s="229"/>
      <c r="H41" s="229"/>
      <c r="I41" s="229"/>
      <c r="J41" s="229"/>
    </row>
    <row r="42" spans="2:10">
      <c r="B42" s="1187">
        <v>44961</v>
      </c>
      <c r="C42" s="1181"/>
      <c r="D42" s="1181"/>
      <c r="E42" s="1181"/>
      <c r="F42" s="1181"/>
      <c r="G42" s="229"/>
      <c r="H42" s="229"/>
      <c r="I42" s="229"/>
      <c r="J42" s="229"/>
    </row>
    <row r="43" spans="2:10">
      <c r="B43" s="1187">
        <v>44962</v>
      </c>
      <c r="C43" s="1181"/>
      <c r="D43" s="1181"/>
      <c r="E43" s="1181"/>
      <c r="F43" s="1181"/>
      <c r="G43" s="229"/>
      <c r="H43" s="229"/>
      <c r="I43" s="229"/>
      <c r="J43" s="229"/>
    </row>
    <row r="44" spans="2:10">
      <c r="B44" s="1187">
        <v>44963</v>
      </c>
      <c r="C44" s="1181"/>
      <c r="D44" s="1181"/>
      <c r="E44" s="1181"/>
      <c r="F44" s="1181"/>
      <c r="G44" s="229"/>
      <c r="H44" s="229"/>
      <c r="I44" s="229"/>
      <c r="J44" s="229"/>
    </row>
    <row r="45" spans="2:10">
      <c r="B45" s="1187">
        <v>44964</v>
      </c>
      <c r="C45" s="1181"/>
      <c r="D45" s="1181"/>
      <c r="E45" s="1181"/>
      <c r="F45" s="1181"/>
      <c r="G45" s="229"/>
      <c r="H45" s="229"/>
      <c r="I45" s="229"/>
      <c r="J45" s="229"/>
    </row>
    <row r="46" spans="2:10">
      <c r="B46" s="1187">
        <v>44965</v>
      </c>
      <c r="C46" s="1181"/>
      <c r="D46" s="1181"/>
      <c r="E46" s="1181"/>
      <c r="F46" s="1181"/>
      <c r="G46" s="229"/>
      <c r="H46" s="229"/>
      <c r="I46" s="229"/>
      <c r="J46" s="229"/>
    </row>
    <row r="47" spans="2:10">
      <c r="B47" s="1187">
        <v>44966</v>
      </c>
      <c r="C47" s="1181"/>
      <c r="D47" s="1181"/>
      <c r="E47" s="1181"/>
      <c r="F47" s="1181"/>
      <c r="G47" s="229"/>
      <c r="H47" s="229"/>
      <c r="I47" s="229"/>
      <c r="J47" s="229"/>
    </row>
    <row r="48" spans="2:10">
      <c r="B48" s="1187">
        <v>44967</v>
      </c>
      <c r="C48" s="1181"/>
      <c r="D48" s="1181"/>
      <c r="E48" s="1181"/>
      <c r="F48" s="1181"/>
    </row>
    <row r="49" spans="2:6">
      <c r="B49" s="1187">
        <v>44968</v>
      </c>
      <c r="C49" s="1181"/>
      <c r="D49" s="1181"/>
      <c r="E49" s="1181"/>
      <c r="F49" s="1181"/>
    </row>
    <row r="50" spans="2:6">
      <c r="B50" s="1187">
        <v>44969</v>
      </c>
      <c r="C50" s="1181"/>
      <c r="D50" s="1181"/>
      <c r="E50" s="1181"/>
      <c r="F50" s="1248"/>
    </row>
    <row r="51" spans="2:6">
      <c r="B51" s="1187">
        <v>44970</v>
      </c>
      <c r="C51" s="1181"/>
      <c r="D51" s="1181"/>
      <c r="E51" s="1181"/>
      <c r="F51" s="1181"/>
    </row>
    <row r="52" spans="2:6">
      <c r="B52" s="1187">
        <v>44971</v>
      </c>
      <c r="C52" s="1181"/>
      <c r="D52" s="1181"/>
      <c r="E52" s="1181"/>
      <c r="F52" s="1181"/>
    </row>
    <row r="53" spans="2:6">
      <c r="B53" s="1187">
        <v>44972</v>
      </c>
      <c r="C53" s="1181"/>
      <c r="D53" s="1181"/>
      <c r="E53" s="1181"/>
      <c r="F53" s="1181"/>
    </row>
    <row r="54" spans="2:6">
      <c r="B54" s="1187">
        <v>44973</v>
      </c>
      <c r="C54" s="1181"/>
      <c r="D54" s="1181"/>
      <c r="E54" s="1181"/>
      <c r="F54" s="1181"/>
    </row>
    <row r="55" spans="2:6">
      <c r="B55" s="1187">
        <v>44974</v>
      </c>
      <c r="C55" s="1181"/>
      <c r="D55" s="1181"/>
      <c r="E55" s="1181"/>
      <c r="F55" s="1181"/>
    </row>
    <row r="56" spans="2:6">
      <c r="B56" s="1187">
        <v>44975</v>
      </c>
      <c r="C56" s="1181"/>
      <c r="D56" s="1181"/>
      <c r="E56" s="1181"/>
      <c r="F56" s="1181"/>
    </row>
    <row r="57" spans="2:6">
      <c r="B57" s="1187">
        <v>44976</v>
      </c>
      <c r="C57" s="1181"/>
      <c r="D57" s="1181"/>
      <c r="E57" s="1181"/>
      <c r="F57" s="1181"/>
    </row>
    <row r="58" spans="2:6">
      <c r="B58" s="1187">
        <v>44977</v>
      </c>
      <c r="C58" s="1181"/>
      <c r="D58" s="1181"/>
      <c r="E58" s="1181"/>
      <c r="F58" s="1181"/>
    </row>
    <row r="59" spans="2:6">
      <c r="B59" s="1187">
        <v>44978</v>
      </c>
      <c r="C59" s="1181"/>
      <c r="D59" s="1181"/>
      <c r="E59" s="1181"/>
      <c r="F59" s="1181"/>
    </row>
    <row r="60" spans="2:6">
      <c r="B60" s="1187">
        <v>44979</v>
      </c>
      <c r="C60" s="1181"/>
      <c r="D60" s="1181"/>
      <c r="E60" s="1181"/>
      <c r="F60" s="1181"/>
    </row>
    <row r="61" spans="2:6">
      <c r="B61" s="1187">
        <v>44980</v>
      </c>
      <c r="C61" s="1181"/>
      <c r="D61" s="1181"/>
      <c r="E61" s="1181"/>
      <c r="F61" s="1181"/>
    </row>
    <row r="62" spans="2:6">
      <c r="B62" s="1187">
        <v>44981</v>
      </c>
      <c r="C62" s="1181"/>
      <c r="D62" s="1181"/>
      <c r="E62" s="1181"/>
      <c r="F62" s="1181"/>
    </row>
    <row r="63" spans="2:6">
      <c r="B63" s="1187">
        <v>44982</v>
      </c>
      <c r="C63" s="1181"/>
      <c r="D63" s="1181"/>
      <c r="E63" s="1181"/>
      <c r="F63" s="1181"/>
    </row>
    <row r="64" spans="2:6">
      <c r="B64" s="1187">
        <v>44983</v>
      </c>
      <c r="C64" s="1181"/>
      <c r="D64" s="1181"/>
      <c r="E64" s="1181"/>
      <c r="F64" s="1181"/>
    </row>
    <row r="65" spans="2:6">
      <c r="B65" s="1187">
        <v>44984</v>
      </c>
      <c r="C65" s="1181"/>
      <c r="D65" s="1181"/>
      <c r="E65" s="1181"/>
      <c r="F65" s="1181"/>
    </row>
    <row r="66" spans="2:6">
      <c r="B66" s="1187">
        <v>44985</v>
      </c>
      <c r="C66" s="1181"/>
      <c r="D66" s="1181"/>
      <c r="E66" s="1181"/>
      <c r="F66" s="1181"/>
    </row>
    <row r="67" spans="2:6">
      <c r="B67" s="1184"/>
      <c r="C67" s="1185"/>
      <c r="D67" s="1185"/>
      <c r="E67" s="1185"/>
      <c r="F67" s="1185"/>
    </row>
    <row r="68" spans="2:6">
      <c r="B68" s="1187">
        <v>44986</v>
      </c>
      <c r="C68" s="1181"/>
      <c r="D68" s="1181"/>
      <c r="E68" s="1181"/>
      <c r="F68" s="1181"/>
    </row>
    <row r="69" spans="2:6">
      <c r="B69" s="1187">
        <v>44987</v>
      </c>
      <c r="C69" s="1171"/>
      <c r="D69" s="1171"/>
      <c r="E69" s="1171"/>
      <c r="F69" s="1171"/>
    </row>
    <row r="70" spans="2:6">
      <c r="B70" s="1187">
        <v>44988</v>
      </c>
      <c r="C70" s="1171"/>
      <c r="D70" s="1171"/>
      <c r="E70" s="1171"/>
      <c r="F70" s="1171"/>
    </row>
    <row r="71" spans="2:6">
      <c r="B71" s="1187">
        <v>44989</v>
      </c>
      <c r="C71" s="1171"/>
      <c r="D71" s="1171"/>
      <c r="E71" s="1171"/>
      <c r="F71" s="1171"/>
    </row>
    <row r="72" spans="2:6">
      <c r="B72" s="1187">
        <v>44990</v>
      </c>
      <c r="C72" s="1171"/>
      <c r="D72" s="1171"/>
      <c r="E72" s="1171"/>
      <c r="F72" s="1171"/>
    </row>
    <row r="73" spans="2:6">
      <c r="B73" s="1187">
        <v>44991</v>
      </c>
      <c r="C73" s="1171"/>
      <c r="D73" s="1171"/>
      <c r="E73" s="1171"/>
      <c r="F73" s="1171"/>
    </row>
    <row r="74" spans="2:6">
      <c r="B74" s="1187">
        <v>44992</v>
      </c>
      <c r="C74" s="1171"/>
      <c r="D74" s="1171"/>
      <c r="E74" s="1171"/>
      <c r="F74" s="1171"/>
    </row>
    <row r="75" spans="2:6">
      <c r="B75" s="1187">
        <v>44993</v>
      </c>
      <c r="C75" s="1171"/>
      <c r="D75" s="1171"/>
      <c r="E75" s="1171"/>
      <c r="F75" s="1171"/>
    </row>
    <row r="76" spans="2:6">
      <c r="B76" s="1187">
        <v>44994</v>
      </c>
      <c r="C76" s="1171"/>
      <c r="D76" s="1171"/>
      <c r="E76" s="1171"/>
      <c r="F76" s="1171"/>
    </row>
    <row r="77" spans="2:6">
      <c r="B77" s="1187">
        <v>44995</v>
      </c>
      <c r="C77" s="1171"/>
      <c r="D77" s="1171"/>
      <c r="E77" s="1171"/>
      <c r="F77" s="1171"/>
    </row>
    <row r="78" spans="2:6">
      <c r="B78" s="1187">
        <v>44996</v>
      </c>
      <c r="C78" s="1171"/>
      <c r="D78" s="1171"/>
      <c r="E78" s="1171"/>
      <c r="F78" s="1171"/>
    </row>
    <row r="79" spans="2:6">
      <c r="B79" s="1187">
        <v>44997</v>
      </c>
      <c r="C79" s="1171"/>
      <c r="D79" s="1171"/>
      <c r="E79" s="1171"/>
      <c r="F79" s="1171"/>
    </row>
    <row r="80" spans="2:6">
      <c r="B80" s="1187">
        <v>44998</v>
      </c>
      <c r="C80" s="1171"/>
      <c r="D80" s="1171"/>
      <c r="E80" s="1171"/>
      <c r="F80" s="1171"/>
    </row>
    <row r="81" spans="2:6">
      <c r="B81" s="1187">
        <v>44999</v>
      </c>
      <c r="C81" s="1171"/>
      <c r="D81" s="1171"/>
      <c r="E81" s="1171"/>
      <c r="F81" s="1171"/>
    </row>
    <row r="82" spans="2:6">
      <c r="B82" s="1187">
        <v>45000</v>
      </c>
      <c r="C82" s="1171"/>
      <c r="D82" s="1171"/>
      <c r="E82" s="1171"/>
      <c r="F82" s="1171"/>
    </row>
    <row r="83" spans="2:6">
      <c r="B83" s="1187">
        <v>45001</v>
      </c>
      <c r="C83" s="1171"/>
      <c r="D83" s="1171"/>
      <c r="E83" s="1171"/>
      <c r="F83" s="1171"/>
    </row>
    <row r="84" spans="2:6">
      <c r="B84" s="1187">
        <v>45002</v>
      </c>
      <c r="C84" s="1171"/>
      <c r="D84" s="1171"/>
      <c r="E84" s="1171"/>
      <c r="F84" s="1171"/>
    </row>
    <row r="85" spans="2:6">
      <c r="B85" s="1187">
        <v>45003</v>
      </c>
      <c r="C85" s="1171"/>
      <c r="D85" s="1171"/>
      <c r="E85" s="1171"/>
      <c r="F85" s="1171"/>
    </row>
    <row r="86" spans="2:6">
      <c r="B86" s="1187">
        <v>45004</v>
      </c>
      <c r="C86" s="1171"/>
      <c r="D86" s="1171"/>
      <c r="E86" s="1171"/>
      <c r="F86" s="1171"/>
    </row>
    <row r="87" spans="2:6">
      <c r="B87" s="1187">
        <v>45005</v>
      </c>
      <c r="C87" s="1181"/>
      <c r="D87" s="1181"/>
      <c r="E87" s="1171"/>
      <c r="F87" s="1171"/>
    </row>
    <row r="88" spans="2:6">
      <c r="B88" s="1187">
        <v>45006</v>
      </c>
      <c r="C88" s="1171">
        <v>110</v>
      </c>
      <c r="D88" s="1171">
        <v>110</v>
      </c>
      <c r="E88" s="1171"/>
      <c r="F88" s="1171"/>
    </row>
    <row r="89" spans="2:6">
      <c r="B89" s="1187">
        <v>45007</v>
      </c>
      <c r="C89" s="1171"/>
      <c r="D89" s="1171"/>
      <c r="E89" s="1171"/>
      <c r="F89" s="1171"/>
    </row>
    <row r="90" spans="2:6">
      <c r="B90" s="1187">
        <v>45008</v>
      </c>
      <c r="C90" s="1171"/>
      <c r="D90" s="1171"/>
      <c r="E90" s="1171"/>
      <c r="F90" s="1171"/>
    </row>
    <row r="91" spans="2:6">
      <c r="B91" s="1187">
        <v>45009</v>
      </c>
      <c r="C91" s="1171"/>
      <c r="D91" s="1171"/>
      <c r="E91" s="1171"/>
      <c r="F91" s="1171"/>
    </row>
    <row r="92" spans="2:6">
      <c r="B92" s="1187">
        <v>45010</v>
      </c>
      <c r="C92" s="1171"/>
      <c r="D92" s="1171"/>
      <c r="E92" s="1171"/>
      <c r="F92" s="1171"/>
    </row>
    <row r="93" spans="2:6">
      <c r="B93" s="1187">
        <v>45011</v>
      </c>
      <c r="C93" s="1171"/>
      <c r="D93" s="1171"/>
      <c r="E93" s="1171"/>
      <c r="F93" s="1171"/>
    </row>
    <row r="94" spans="2:6">
      <c r="B94" s="1187">
        <v>45012</v>
      </c>
      <c r="C94" s="1171"/>
      <c r="D94" s="1171"/>
      <c r="E94" s="1171"/>
      <c r="F94" s="1171"/>
    </row>
    <row r="95" spans="2:6">
      <c r="B95" s="1187">
        <v>45013</v>
      </c>
      <c r="C95" s="1171"/>
      <c r="D95" s="1171"/>
      <c r="E95" s="1171"/>
      <c r="F95" s="1171"/>
    </row>
    <row r="96" spans="2:6">
      <c r="B96" s="1187">
        <v>45014</v>
      </c>
      <c r="C96" s="1171"/>
      <c r="D96" s="1171"/>
      <c r="E96" s="1171"/>
      <c r="F96" s="1171"/>
    </row>
    <row r="97" spans="2:6">
      <c r="B97" s="1187">
        <v>45015</v>
      </c>
      <c r="C97" s="1171"/>
      <c r="D97" s="1171"/>
      <c r="E97" s="1171"/>
      <c r="F97" s="1171"/>
    </row>
    <row r="98" spans="2:6">
      <c r="B98" s="1187">
        <v>45016</v>
      </c>
      <c r="C98" s="1171"/>
      <c r="D98" s="1171"/>
      <c r="E98" s="1171"/>
      <c r="F98" s="1171"/>
    </row>
    <row r="99" spans="2:6">
      <c r="B99" s="1184"/>
      <c r="C99" s="1185"/>
      <c r="D99" s="1185"/>
      <c r="E99" s="1185"/>
      <c r="F99" s="1185"/>
    </row>
    <row r="100" spans="2:6">
      <c r="B100" s="1187">
        <v>45017</v>
      </c>
      <c r="C100" s="1171"/>
      <c r="D100" s="1171"/>
      <c r="E100" s="1171"/>
      <c r="F100" s="1171"/>
    </row>
    <row r="101" spans="2:6">
      <c r="B101" s="1187">
        <v>45018</v>
      </c>
      <c r="C101" s="1171"/>
      <c r="D101" s="1171"/>
      <c r="E101" s="1171"/>
      <c r="F101" s="1171"/>
    </row>
    <row r="102" spans="2:6">
      <c r="B102" s="1187">
        <v>45019</v>
      </c>
      <c r="C102" s="1171"/>
      <c r="D102" s="1171"/>
      <c r="E102" s="1171"/>
      <c r="F102" s="1171"/>
    </row>
    <row r="103" spans="2:6">
      <c r="B103" s="1187">
        <v>45020</v>
      </c>
      <c r="C103" s="1171"/>
      <c r="D103" s="1171"/>
      <c r="E103" s="1171"/>
      <c r="F103" s="1171"/>
    </row>
    <row r="104" spans="2:6">
      <c r="B104" s="1187">
        <v>45021</v>
      </c>
      <c r="C104" s="1188"/>
      <c r="D104" s="717"/>
      <c r="E104" s="1188"/>
      <c r="F104" s="1189"/>
    </row>
    <row r="105" spans="2:6">
      <c r="B105" s="1187">
        <v>45022</v>
      </c>
      <c r="C105" s="1188"/>
      <c r="D105" s="717"/>
      <c r="E105" s="1188"/>
      <c r="F105" s="1189"/>
    </row>
    <row r="106" spans="2:6">
      <c r="B106" s="1187">
        <v>45023</v>
      </c>
      <c r="C106" s="1188"/>
      <c r="D106" s="717"/>
      <c r="E106" s="1188"/>
      <c r="F106" s="1189"/>
    </row>
    <row r="107" spans="2:6">
      <c r="B107" s="1187">
        <v>45024</v>
      </c>
      <c r="C107" s="1188"/>
      <c r="D107" s="717"/>
      <c r="E107" s="1188"/>
      <c r="F107" s="1189"/>
    </row>
    <row r="108" spans="2:6">
      <c r="B108" s="1187">
        <v>45025</v>
      </c>
      <c r="C108" s="1188"/>
      <c r="D108" s="717"/>
      <c r="E108" s="1188"/>
      <c r="F108" s="1189"/>
    </row>
    <row r="109" spans="2:6">
      <c r="B109" s="1187">
        <v>45026</v>
      </c>
      <c r="C109" s="1188"/>
      <c r="D109" s="717"/>
      <c r="E109" s="1188"/>
      <c r="F109" s="1189"/>
    </row>
    <row r="110" spans="2:6">
      <c r="B110" s="1187">
        <v>45027</v>
      </c>
      <c r="C110" s="1188"/>
      <c r="D110" s="717"/>
      <c r="E110" s="1188"/>
      <c r="F110" s="1189"/>
    </row>
    <row r="111" spans="2:6">
      <c r="B111" s="1187">
        <v>45028</v>
      </c>
      <c r="C111" s="1188"/>
      <c r="D111" s="717"/>
      <c r="E111" s="1188"/>
      <c r="F111" s="1189"/>
    </row>
    <row r="112" spans="2:6">
      <c r="B112" s="1187">
        <v>45029</v>
      </c>
      <c r="C112" s="1188"/>
      <c r="D112" s="717"/>
      <c r="E112" s="1188"/>
      <c r="F112" s="1189"/>
    </row>
    <row r="113" spans="2:6">
      <c r="B113" s="1187">
        <v>45030</v>
      </c>
      <c r="C113" s="1188"/>
      <c r="D113" s="717"/>
      <c r="E113" s="1188"/>
      <c r="F113" s="1189"/>
    </row>
    <row r="114" spans="2:6">
      <c r="B114" s="1187">
        <v>45031</v>
      </c>
      <c r="C114" s="1188"/>
      <c r="D114" s="717"/>
      <c r="E114" s="1188"/>
      <c r="F114" s="1189"/>
    </row>
    <row r="115" spans="2:6">
      <c r="B115" s="1187">
        <v>45032</v>
      </c>
      <c r="C115" s="1188"/>
      <c r="D115" s="717"/>
      <c r="E115" s="1188"/>
      <c r="F115" s="1189"/>
    </row>
    <row r="116" spans="2:6">
      <c r="B116" s="1187">
        <v>45033</v>
      </c>
      <c r="C116" s="1188"/>
      <c r="D116" s="717"/>
      <c r="E116" s="1188"/>
      <c r="F116" s="1189"/>
    </row>
    <row r="117" spans="2:6">
      <c r="B117" s="1187">
        <v>45034</v>
      </c>
      <c r="C117" s="1188"/>
      <c r="D117" s="717"/>
      <c r="E117" s="1188"/>
      <c r="F117" s="1189"/>
    </row>
    <row r="118" spans="2:6">
      <c r="B118" s="1187">
        <v>45035</v>
      </c>
      <c r="C118" s="1188"/>
      <c r="D118" s="717"/>
      <c r="E118" s="1188"/>
      <c r="F118" s="1189"/>
    </row>
    <row r="119" spans="2:6">
      <c r="B119" s="1187">
        <v>45036</v>
      </c>
      <c r="C119" s="1188"/>
      <c r="D119" s="717"/>
      <c r="E119" s="1188"/>
      <c r="F119" s="1189"/>
    </row>
    <row r="120" spans="2:6">
      <c r="B120" s="1187">
        <v>45037</v>
      </c>
      <c r="C120" s="1188"/>
      <c r="D120" s="717"/>
      <c r="E120" s="1188"/>
      <c r="F120" s="1189"/>
    </row>
    <row r="121" spans="2:6">
      <c r="B121" s="1187">
        <v>45038</v>
      </c>
      <c r="C121" s="1188"/>
      <c r="D121" s="717"/>
      <c r="E121" s="1188"/>
      <c r="F121" s="1189"/>
    </row>
    <row r="122" spans="2:6">
      <c r="B122" s="1187">
        <v>45039</v>
      </c>
      <c r="C122" s="1188"/>
      <c r="D122" s="717"/>
      <c r="E122" s="1188"/>
      <c r="F122" s="1189"/>
    </row>
    <row r="123" spans="2:6">
      <c r="B123" s="1187">
        <v>45040</v>
      </c>
      <c r="C123" s="1188"/>
      <c r="D123" s="717"/>
      <c r="E123" s="1188"/>
      <c r="F123" s="1189"/>
    </row>
    <row r="124" spans="2:6">
      <c r="B124" s="1187">
        <v>45041</v>
      </c>
      <c r="C124" s="1188"/>
      <c r="D124" s="717"/>
      <c r="E124" s="1188"/>
      <c r="F124" s="1189"/>
    </row>
    <row r="125" spans="2:6">
      <c r="B125" s="1187">
        <v>45042</v>
      </c>
      <c r="C125" s="1188"/>
      <c r="D125" s="717"/>
      <c r="E125" s="1188"/>
      <c r="F125" s="1189"/>
    </row>
    <row r="126" spans="2:6">
      <c r="B126" s="1187">
        <v>45043</v>
      </c>
      <c r="C126" s="1188"/>
      <c r="D126" s="717"/>
      <c r="E126" s="1188"/>
      <c r="F126" s="1189"/>
    </row>
    <row r="127" spans="2:6">
      <c r="B127" s="1187">
        <v>45044</v>
      </c>
      <c r="C127" s="1188"/>
      <c r="D127" s="717"/>
      <c r="E127" s="1188"/>
      <c r="F127" s="1189"/>
    </row>
    <row r="128" spans="2:6">
      <c r="B128" s="1187">
        <v>45045</v>
      </c>
      <c r="C128" s="1188"/>
      <c r="D128" s="717"/>
      <c r="E128" s="1188"/>
      <c r="F128" s="1189"/>
    </row>
    <row r="129" spans="2:6">
      <c r="B129" s="1187">
        <v>45046</v>
      </c>
      <c r="C129" s="1188"/>
      <c r="D129" s="717"/>
      <c r="E129" s="1188"/>
      <c r="F129" s="1189"/>
    </row>
    <row r="130" spans="2:6">
      <c r="B130" s="1184"/>
      <c r="C130" s="1185"/>
      <c r="D130" s="1185"/>
      <c r="E130" s="1185"/>
      <c r="F130" s="1185"/>
    </row>
    <row r="131" spans="2:6">
      <c r="B131" s="1187">
        <v>45047</v>
      </c>
      <c r="C131" s="1188"/>
      <c r="D131" s="717"/>
      <c r="E131" s="1188"/>
      <c r="F131" s="1189"/>
    </row>
    <row r="132" spans="2:6">
      <c r="B132" s="1187">
        <v>45048</v>
      </c>
      <c r="C132" s="1188"/>
      <c r="D132" s="717"/>
      <c r="E132" s="1188"/>
      <c r="F132" s="1188"/>
    </row>
    <row r="133" spans="2:6">
      <c r="B133" s="1187">
        <v>45049</v>
      </c>
      <c r="C133" s="1188"/>
      <c r="D133" s="717"/>
      <c r="E133" s="1188"/>
      <c r="F133" s="1188"/>
    </row>
    <row r="134" spans="2:6">
      <c r="B134" s="1187">
        <v>45050</v>
      </c>
      <c r="C134" s="1181"/>
      <c r="D134" s="1181"/>
      <c r="E134" s="1181"/>
      <c r="F134" s="1181"/>
    </row>
    <row r="135" spans="2:6">
      <c r="B135" s="1187">
        <v>45051</v>
      </c>
      <c r="C135" s="1181"/>
      <c r="D135" s="1181"/>
      <c r="E135" s="1181"/>
      <c r="F135" s="1181"/>
    </row>
    <row r="136" spans="2:6">
      <c r="B136" s="1187">
        <v>45052</v>
      </c>
      <c r="C136" s="1181"/>
      <c r="D136" s="1181"/>
      <c r="E136" s="1181"/>
      <c r="F136" s="1181"/>
    </row>
    <row r="137" spans="2:6">
      <c r="B137" s="1187">
        <v>45053</v>
      </c>
      <c r="C137" s="1181"/>
      <c r="D137" s="1181"/>
      <c r="E137" s="1181"/>
      <c r="F137" s="1181"/>
    </row>
    <row r="138" spans="2:6">
      <c r="B138" s="1187">
        <v>45054</v>
      </c>
      <c r="C138" s="1181"/>
      <c r="D138" s="1181"/>
      <c r="E138" s="1181"/>
      <c r="F138" s="1181"/>
    </row>
    <row r="139" spans="2:6">
      <c r="B139" s="1187">
        <v>45055</v>
      </c>
      <c r="C139" s="1181"/>
      <c r="D139" s="1181"/>
      <c r="E139" s="1181"/>
      <c r="F139" s="1181"/>
    </row>
    <row r="140" spans="2:6">
      <c r="B140" s="1187">
        <v>45056</v>
      </c>
      <c r="C140" s="1181"/>
      <c r="D140" s="1181"/>
      <c r="E140" s="1181"/>
      <c r="F140" s="1181"/>
    </row>
    <row r="141" spans="2:6">
      <c r="B141" s="1187">
        <v>45057</v>
      </c>
      <c r="C141" s="1181"/>
      <c r="D141" s="1181"/>
      <c r="E141" s="1181"/>
      <c r="F141" s="1181"/>
    </row>
    <row r="142" spans="2:6">
      <c r="B142" s="1187">
        <v>45058</v>
      </c>
      <c r="C142" s="1181"/>
      <c r="D142" s="1181"/>
      <c r="E142" s="1181"/>
      <c r="F142" s="1181"/>
    </row>
    <row r="143" spans="2:6">
      <c r="B143" s="1187">
        <v>45059</v>
      </c>
      <c r="C143" s="1181"/>
      <c r="D143" s="1181"/>
      <c r="E143" s="1181"/>
      <c r="F143" s="1181"/>
    </row>
    <row r="144" spans="2:6">
      <c r="B144" s="1187">
        <v>45060</v>
      </c>
      <c r="C144" s="1181"/>
      <c r="D144" s="1181"/>
      <c r="E144" s="1181"/>
      <c r="F144" s="1181"/>
    </row>
    <row r="145" spans="2:6">
      <c r="B145" s="1187">
        <v>45061</v>
      </c>
      <c r="C145" s="1181"/>
      <c r="D145" s="1181"/>
      <c r="E145" s="1181"/>
      <c r="F145" s="1181"/>
    </row>
    <row r="146" spans="2:6">
      <c r="B146" s="1187">
        <v>45062</v>
      </c>
      <c r="C146" s="1181"/>
      <c r="D146" s="1181"/>
      <c r="E146" s="1181"/>
      <c r="F146" s="1181"/>
    </row>
    <row r="147" spans="2:6">
      <c r="B147" s="1187">
        <v>45063</v>
      </c>
      <c r="C147" s="1181"/>
      <c r="D147" s="1181"/>
      <c r="E147" s="1181"/>
      <c r="F147" s="1181"/>
    </row>
    <row r="148" spans="2:6">
      <c r="B148" s="1187">
        <v>45064</v>
      </c>
      <c r="C148" s="1181"/>
      <c r="D148" s="1181"/>
      <c r="E148" s="1181"/>
      <c r="F148" s="1181"/>
    </row>
    <row r="149" spans="2:6">
      <c r="B149" s="1187">
        <v>45065</v>
      </c>
      <c r="C149" s="1181"/>
      <c r="D149" s="1181"/>
      <c r="E149" s="1181"/>
      <c r="F149" s="1181"/>
    </row>
    <row r="150" spans="2:6">
      <c r="B150" s="1187">
        <v>45066</v>
      </c>
      <c r="C150" s="1181"/>
      <c r="D150" s="1181"/>
      <c r="E150" s="1181"/>
      <c r="F150" s="1181"/>
    </row>
    <row r="151" spans="2:6">
      <c r="B151" s="1187">
        <v>45067</v>
      </c>
      <c r="C151" s="1181"/>
      <c r="D151" s="1181"/>
      <c r="E151" s="1181"/>
      <c r="F151" s="1181"/>
    </row>
    <row r="152" spans="2:6">
      <c r="B152" s="1187">
        <v>45068</v>
      </c>
      <c r="C152" s="1181"/>
      <c r="D152" s="1181"/>
      <c r="E152" s="1181"/>
      <c r="F152" s="1181"/>
    </row>
    <row r="153" spans="2:6">
      <c r="B153" s="1187">
        <v>45069</v>
      </c>
      <c r="C153" s="1181"/>
      <c r="D153" s="1181"/>
      <c r="E153" s="1181"/>
      <c r="F153" s="1181"/>
    </row>
    <row r="154" spans="2:6">
      <c r="B154" s="1187">
        <v>45070</v>
      </c>
      <c r="C154" s="1181"/>
      <c r="D154" s="1181"/>
      <c r="E154" s="1181"/>
      <c r="F154" s="1181"/>
    </row>
    <row r="155" spans="2:6">
      <c r="B155" s="1187">
        <v>45071</v>
      </c>
      <c r="C155" s="1181"/>
      <c r="D155" s="1181"/>
      <c r="E155" s="1181"/>
      <c r="F155" s="1181"/>
    </row>
    <row r="156" spans="2:6">
      <c r="B156" s="1187">
        <v>45072</v>
      </c>
      <c r="C156" s="1181"/>
      <c r="D156" s="1181"/>
      <c r="E156" s="1181"/>
      <c r="F156" s="1181"/>
    </row>
    <row r="157" spans="2:6">
      <c r="B157" s="1187">
        <v>45073</v>
      </c>
      <c r="C157" s="1181"/>
      <c r="D157" s="1181"/>
      <c r="E157" s="1181"/>
      <c r="F157" s="1181"/>
    </row>
    <row r="158" spans="2:6">
      <c r="B158" s="1187">
        <v>45074</v>
      </c>
      <c r="C158" s="1181"/>
      <c r="D158" s="1181"/>
      <c r="E158" s="1181"/>
      <c r="F158" s="1181"/>
    </row>
    <row r="159" spans="2:6">
      <c r="B159" s="1187">
        <v>45075</v>
      </c>
      <c r="C159" s="1181"/>
      <c r="D159" s="1181"/>
      <c r="E159" s="1181"/>
      <c r="F159" s="1181"/>
    </row>
    <row r="160" spans="2:6">
      <c r="B160" s="1187">
        <v>45076</v>
      </c>
      <c r="C160" s="1181"/>
      <c r="D160" s="1181"/>
      <c r="E160" s="1181"/>
      <c r="F160" s="1181"/>
    </row>
    <row r="161" spans="2:6">
      <c r="B161" s="1187">
        <v>45077</v>
      </c>
      <c r="C161" s="1181"/>
      <c r="D161" s="1181"/>
      <c r="E161" s="1181"/>
      <c r="F161" s="1181"/>
    </row>
    <row r="162" spans="2:6">
      <c r="B162" s="1184"/>
      <c r="C162" s="1185"/>
      <c r="D162" s="1185"/>
      <c r="E162" s="1185"/>
      <c r="F162" s="1185"/>
    </row>
    <row r="163" spans="2:6">
      <c r="B163" s="1187">
        <v>45078</v>
      </c>
      <c r="C163" s="1181"/>
      <c r="D163" s="1181"/>
      <c r="E163" s="1181"/>
      <c r="F163" s="1181"/>
    </row>
    <row r="164" spans="2:6">
      <c r="B164" s="1187">
        <v>45079</v>
      </c>
      <c r="C164" s="1181"/>
      <c r="D164" s="1181"/>
      <c r="E164" s="1181"/>
      <c r="F164" s="1181"/>
    </row>
    <row r="165" spans="2:6">
      <c r="B165" s="1187">
        <v>45080</v>
      </c>
      <c r="C165" s="1181"/>
      <c r="D165" s="1181"/>
      <c r="E165" s="1181"/>
      <c r="F165" s="1181"/>
    </row>
    <row r="166" spans="2:6">
      <c r="B166" s="1187">
        <v>45081</v>
      </c>
      <c r="C166" s="1181"/>
      <c r="D166" s="1181"/>
      <c r="E166" s="1181"/>
      <c r="F166" s="1181"/>
    </row>
    <row r="167" spans="2:6">
      <c r="B167" s="1187">
        <v>45082</v>
      </c>
      <c r="C167" s="1181"/>
      <c r="D167" s="1181"/>
      <c r="E167" s="1181"/>
      <c r="F167" s="1181"/>
    </row>
    <row r="168" spans="2:6">
      <c r="B168" s="1187">
        <v>45083</v>
      </c>
      <c r="C168" s="1181"/>
      <c r="D168" s="1181"/>
      <c r="E168" s="1181"/>
      <c r="F168" s="1181"/>
    </row>
    <row r="169" spans="2:6">
      <c r="B169" s="1187">
        <v>45084</v>
      </c>
      <c r="C169" s="1181"/>
      <c r="D169" s="1181"/>
      <c r="E169" s="1181"/>
      <c r="F169" s="1181"/>
    </row>
    <row r="170" spans="2:6">
      <c r="B170" s="1187">
        <v>45085</v>
      </c>
      <c r="C170" s="1181"/>
      <c r="D170" s="1181"/>
      <c r="E170" s="1181"/>
      <c r="F170" s="1181"/>
    </row>
    <row r="171" spans="2:6">
      <c r="B171" s="1187">
        <v>45086</v>
      </c>
      <c r="C171" s="1181"/>
      <c r="D171" s="1181"/>
      <c r="E171" s="1181"/>
      <c r="F171" s="1181"/>
    </row>
    <row r="172" spans="2:6">
      <c r="B172" s="1187">
        <v>45087</v>
      </c>
      <c r="C172" s="1181"/>
      <c r="D172" s="1181"/>
      <c r="E172" s="1181"/>
      <c r="F172" s="1181"/>
    </row>
    <row r="173" spans="2:6">
      <c r="B173" s="1187">
        <v>45088</v>
      </c>
      <c r="C173" s="1181"/>
      <c r="D173" s="1181"/>
      <c r="E173" s="1181"/>
      <c r="F173" s="1181"/>
    </row>
    <row r="174" spans="2:6">
      <c r="B174" s="1187">
        <v>45089</v>
      </c>
      <c r="C174" s="1181"/>
      <c r="D174" s="1181"/>
      <c r="E174" s="1181"/>
      <c r="F174" s="1181"/>
    </row>
    <row r="175" spans="2:6">
      <c r="B175" s="1187">
        <v>45090</v>
      </c>
      <c r="C175" s="1181"/>
      <c r="D175" s="1181"/>
      <c r="E175" s="1181"/>
      <c r="F175" s="1181"/>
    </row>
    <row r="176" spans="2:6">
      <c r="B176" s="1187">
        <v>45091</v>
      </c>
      <c r="C176" s="1181"/>
      <c r="D176" s="1181"/>
      <c r="E176" s="1181"/>
      <c r="F176" s="1181"/>
    </row>
    <row r="177" spans="2:6">
      <c r="B177" s="1187">
        <v>45092</v>
      </c>
      <c r="C177" s="1181"/>
      <c r="D177" s="1181"/>
      <c r="E177" s="1181"/>
      <c r="F177" s="1181"/>
    </row>
    <row r="178" spans="2:6">
      <c r="B178" s="1187">
        <v>45093</v>
      </c>
      <c r="C178" s="1181"/>
      <c r="D178" s="1181"/>
      <c r="E178" s="1181"/>
      <c r="F178" s="1181"/>
    </row>
    <row r="179" spans="2:6">
      <c r="B179" s="1187">
        <v>45094</v>
      </c>
      <c r="C179" s="1181"/>
      <c r="D179" s="1181"/>
      <c r="E179" s="1181"/>
      <c r="F179" s="1181"/>
    </row>
    <row r="180" spans="2:6">
      <c r="B180" s="1187">
        <v>45095</v>
      </c>
      <c r="C180" s="1181"/>
      <c r="D180" s="1181"/>
      <c r="E180" s="1181"/>
      <c r="F180" s="1181"/>
    </row>
    <row r="181" spans="2:6">
      <c r="B181" s="1187">
        <v>45096</v>
      </c>
      <c r="C181" s="1181"/>
      <c r="D181" s="1181"/>
      <c r="E181" s="1181"/>
      <c r="F181" s="1181"/>
    </row>
    <row r="182" spans="2:6">
      <c r="B182" s="1187">
        <v>45097</v>
      </c>
      <c r="C182" s="1181"/>
      <c r="D182" s="1181"/>
      <c r="E182" s="1181"/>
      <c r="F182" s="1181"/>
    </row>
    <row r="183" spans="2:6">
      <c r="B183" s="1187">
        <v>45098</v>
      </c>
      <c r="C183" s="1181"/>
      <c r="D183" s="1181"/>
      <c r="E183" s="1181"/>
      <c r="F183" s="1181"/>
    </row>
    <row r="184" spans="2:6">
      <c r="B184" s="1187">
        <v>45099</v>
      </c>
      <c r="C184" s="1181"/>
      <c r="D184" s="1181"/>
      <c r="E184" s="1181"/>
      <c r="F184" s="1181"/>
    </row>
    <row r="185" spans="2:6">
      <c r="B185" s="1187">
        <v>45100</v>
      </c>
      <c r="C185" s="1181"/>
      <c r="D185" s="1181"/>
      <c r="E185" s="1181"/>
      <c r="F185" s="1181"/>
    </row>
    <row r="186" spans="2:6">
      <c r="B186" s="1187">
        <v>45101</v>
      </c>
      <c r="C186" s="1181"/>
      <c r="D186" s="1181"/>
      <c r="E186" s="1181"/>
      <c r="F186" s="1181"/>
    </row>
    <row r="187" spans="2:6">
      <c r="B187" s="1187">
        <v>45102</v>
      </c>
      <c r="C187" s="1181"/>
      <c r="D187" s="1181"/>
      <c r="E187" s="1181"/>
      <c r="F187" s="1181"/>
    </row>
    <row r="188" spans="2:6">
      <c r="B188" s="1187">
        <v>45103</v>
      </c>
      <c r="C188" s="1181"/>
      <c r="D188" s="1181"/>
      <c r="E188" s="1181"/>
      <c r="F188" s="1181"/>
    </row>
    <row r="189" spans="2:6">
      <c r="B189" s="1187">
        <v>45104</v>
      </c>
      <c r="C189" s="1181"/>
      <c r="D189" s="1181"/>
      <c r="E189" s="1181"/>
      <c r="F189" s="1181"/>
    </row>
    <row r="190" spans="2:6">
      <c r="B190" s="1187">
        <v>45105</v>
      </c>
      <c r="C190" s="1181"/>
      <c r="D190" s="1181"/>
      <c r="E190" s="1181"/>
      <c r="F190" s="1181"/>
    </row>
    <row r="191" spans="2:6">
      <c r="B191" s="1187">
        <v>45106</v>
      </c>
      <c r="C191" s="1181"/>
      <c r="D191" s="1181"/>
      <c r="E191" s="1181"/>
      <c r="F191" s="1181"/>
    </row>
    <row r="192" spans="2:6">
      <c r="B192" s="1187">
        <v>45107</v>
      </c>
      <c r="C192" s="1181"/>
      <c r="D192" s="1181"/>
      <c r="E192" s="1181"/>
      <c r="F192" s="1181"/>
    </row>
    <row r="193" spans="2:6">
      <c r="B193" s="1184"/>
      <c r="C193" s="1185"/>
      <c r="D193" s="1185"/>
      <c r="E193" s="1185"/>
      <c r="F193" s="1185"/>
    </row>
    <row r="194" spans="2:6">
      <c r="B194" s="1187">
        <v>45108</v>
      </c>
      <c r="C194" s="1181"/>
      <c r="D194" s="1181"/>
      <c r="E194" s="1181"/>
      <c r="F194" s="1181"/>
    </row>
    <row r="195" spans="2:6">
      <c r="B195" s="1187">
        <v>45109</v>
      </c>
      <c r="C195" s="1181"/>
      <c r="D195" s="1181"/>
      <c r="E195" s="1181"/>
      <c r="F195" s="1181"/>
    </row>
    <row r="196" spans="2:6">
      <c r="B196" s="1187">
        <v>45110</v>
      </c>
      <c r="C196" s="1181"/>
      <c r="D196" s="1181"/>
      <c r="E196" s="1181"/>
      <c r="F196" s="1181"/>
    </row>
    <row r="197" spans="2:6">
      <c r="B197" s="1187">
        <v>45111</v>
      </c>
      <c r="C197" s="1181"/>
      <c r="D197" s="1181"/>
      <c r="E197" s="1181"/>
      <c r="F197" s="1181"/>
    </row>
    <row r="198" spans="2:6">
      <c r="B198" s="1187">
        <v>45112</v>
      </c>
      <c r="C198" s="1181"/>
      <c r="D198" s="1181"/>
      <c r="E198" s="1181"/>
      <c r="F198" s="1181"/>
    </row>
    <row r="199" spans="2:6">
      <c r="B199" s="1187">
        <v>45113</v>
      </c>
      <c r="C199" s="1181"/>
      <c r="D199" s="1181"/>
      <c r="E199" s="1181"/>
      <c r="F199" s="1181"/>
    </row>
    <row r="200" spans="2:6">
      <c r="B200" s="1187">
        <v>45114</v>
      </c>
      <c r="C200" s="1181"/>
      <c r="D200" s="1181"/>
      <c r="E200" s="1181"/>
      <c r="F200" s="1181"/>
    </row>
    <row r="201" spans="2:6">
      <c r="B201" s="1187">
        <v>45115</v>
      </c>
      <c r="C201" s="1181"/>
      <c r="D201" s="1181"/>
      <c r="E201" s="1181"/>
      <c r="F201" s="1181"/>
    </row>
    <row r="202" spans="2:6">
      <c r="B202" s="1187">
        <v>45116</v>
      </c>
      <c r="C202" s="1181"/>
      <c r="D202" s="1181"/>
      <c r="E202" s="1181"/>
      <c r="F202" s="1181"/>
    </row>
    <row r="203" spans="2:6">
      <c r="B203" s="1187">
        <v>45117</v>
      </c>
      <c r="C203" s="1181"/>
      <c r="D203" s="1181"/>
      <c r="E203" s="1181"/>
      <c r="F203" s="1181"/>
    </row>
    <row r="204" spans="2:6">
      <c r="B204" s="1187">
        <v>45118</v>
      </c>
      <c r="C204" s="1181"/>
      <c r="D204" s="1181"/>
      <c r="E204" s="1181"/>
      <c r="F204" s="1181"/>
    </row>
    <row r="205" spans="2:6">
      <c r="B205" s="1187">
        <v>45119</v>
      </c>
      <c r="C205" s="1181"/>
      <c r="D205" s="1181"/>
      <c r="E205" s="1181"/>
      <c r="F205" s="1181"/>
    </row>
    <row r="206" spans="2:6">
      <c r="B206" s="1187">
        <v>45120</v>
      </c>
      <c r="C206" s="1181"/>
      <c r="D206" s="1181"/>
      <c r="E206" s="1181"/>
      <c r="F206" s="1181"/>
    </row>
    <row r="207" spans="2:6">
      <c r="B207" s="1187">
        <v>45121</v>
      </c>
      <c r="C207" s="1181"/>
      <c r="D207" s="1181"/>
      <c r="E207" s="1181"/>
      <c r="F207" s="1181"/>
    </row>
    <row r="208" spans="2:6">
      <c r="B208" s="1187">
        <v>45122</v>
      </c>
      <c r="C208" s="1181"/>
      <c r="D208" s="1181"/>
      <c r="E208" s="1181"/>
      <c r="F208" s="1181"/>
    </row>
    <row r="209" spans="2:6">
      <c r="B209" s="1187">
        <v>45123</v>
      </c>
      <c r="C209" s="1181"/>
      <c r="D209" s="1181"/>
      <c r="E209" s="1181"/>
      <c r="F209" s="1181"/>
    </row>
    <row r="210" spans="2:6">
      <c r="B210" s="1187">
        <v>45124</v>
      </c>
      <c r="C210" s="1181"/>
      <c r="D210" s="1181"/>
      <c r="E210" s="1181"/>
      <c r="F210" s="1181"/>
    </row>
    <row r="211" spans="2:6">
      <c r="B211" s="1187">
        <v>45125</v>
      </c>
      <c r="C211" s="1181"/>
      <c r="D211" s="1181"/>
      <c r="E211" s="1181"/>
      <c r="F211" s="1181"/>
    </row>
    <row r="212" spans="2:6">
      <c r="B212" s="1187">
        <v>45126</v>
      </c>
      <c r="C212" s="1181"/>
      <c r="D212" s="1181"/>
      <c r="E212" s="1181"/>
      <c r="F212" s="1181"/>
    </row>
    <row r="213" spans="2:6">
      <c r="B213" s="1187">
        <v>45127</v>
      </c>
      <c r="C213" s="1181"/>
      <c r="D213" s="1181"/>
      <c r="E213" s="1181"/>
      <c r="F213" s="1181"/>
    </row>
    <row r="214" spans="2:6">
      <c r="B214" s="1187">
        <v>45128</v>
      </c>
      <c r="C214" s="1181"/>
      <c r="D214" s="1181"/>
      <c r="E214" s="1181"/>
      <c r="F214" s="1181"/>
    </row>
    <row r="215" spans="2:6">
      <c r="B215" s="1187">
        <v>45129</v>
      </c>
      <c r="C215" s="1181"/>
      <c r="D215" s="1181"/>
      <c r="E215" s="1181"/>
      <c r="F215" s="1181"/>
    </row>
    <row r="216" spans="2:6">
      <c r="B216" s="1187">
        <v>45130</v>
      </c>
      <c r="C216" s="1181"/>
      <c r="D216" s="1181"/>
      <c r="E216" s="1181"/>
      <c r="F216" s="1181"/>
    </row>
    <row r="217" spans="2:6">
      <c r="B217" s="1187">
        <v>45131</v>
      </c>
      <c r="C217" s="1181"/>
      <c r="D217" s="1181"/>
      <c r="E217" s="1181"/>
      <c r="F217" s="1181"/>
    </row>
    <row r="218" spans="2:6">
      <c r="B218" s="1187">
        <v>45132</v>
      </c>
      <c r="C218" s="1181"/>
      <c r="D218" s="1181"/>
      <c r="E218" s="1181"/>
      <c r="F218" s="1181"/>
    </row>
    <row r="219" spans="2:6">
      <c r="B219" s="1187">
        <v>45133</v>
      </c>
      <c r="C219" s="1181"/>
      <c r="D219" s="1181"/>
      <c r="E219" s="1181"/>
      <c r="F219" s="1181"/>
    </row>
    <row r="220" spans="2:6">
      <c r="B220" s="1187">
        <v>45134</v>
      </c>
      <c r="C220" s="1181"/>
      <c r="D220" s="1181"/>
      <c r="E220" s="1181"/>
      <c r="F220" s="1181"/>
    </row>
    <row r="221" spans="2:6">
      <c r="B221" s="1187">
        <v>45135</v>
      </c>
      <c r="C221" s="1181"/>
      <c r="D221" s="1181"/>
      <c r="E221" s="1181"/>
      <c r="F221" s="1181"/>
    </row>
    <row r="222" spans="2:6">
      <c r="B222" s="1187">
        <v>45136</v>
      </c>
      <c r="C222" s="1181"/>
      <c r="D222" s="1181"/>
      <c r="E222" s="1181"/>
      <c r="F222" s="1181"/>
    </row>
    <row r="223" spans="2:6">
      <c r="B223" s="1187">
        <v>45137</v>
      </c>
      <c r="C223" s="1181"/>
      <c r="D223" s="1181"/>
      <c r="E223" s="1181"/>
      <c r="F223" s="1181"/>
    </row>
    <row r="224" spans="2:6">
      <c r="B224" s="1187">
        <v>45138</v>
      </c>
      <c r="C224" s="1181"/>
      <c r="D224" s="1181"/>
      <c r="E224" s="1181"/>
      <c r="F224" s="1181"/>
    </row>
    <row r="225" spans="2:6">
      <c r="B225" s="1184"/>
      <c r="C225" s="1185"/>
      <c r="D225" s="1185"/>
      <c r="E225" s="1185"/>
      <c r="F225" s="1185"/>
    </row>
    <row r="226" spans="2:6">
      <c r="B226" s="1187">
        <v>45139</v>
      </c>
      <c r="C226" s="1181"/>
      <c r="D226" s="1181"/>
      <c r="E226" s="1181"/>
      <c r="F226" s="1181"/>
    </row>
    <row r="227" spans="2:6">
      <c r="B227" s="1187">
        <v>45140</v>
      </c>
      <c r="C227" s="1181"/>
      <c r="D227" s="1181"/>
      <c r="E227" s="1181"/>
      <c r="F227" s="1181"/>
    </row>
    <row r="228" spans="2:6">
      <c r="B228" s="1187">
        <v>45141</v>
      </c>
      <c r="C228" s="1181"/>
      <c r="D228" s="1181"/>
      <c r="E228" s="1181"/>
      <c r="F228" s="1181"/>
    </row>
    <row r="229" spans="2:6">
      <c r="B229" s="1187">
        <v>45142</v>
      </c>
      <c r="C229" s="1181"/>
      <c r="D229" s="1181"/>
      <c r="E229" s="1181"/>
      <c r="F229" s="1181"/>
    </row>
    <row r="230" spans="2:6">
      <c r="B230" s="1187">
        <v>45143</v>
      </c>
      <c r="C230" s="1181"/>
      <c r="D230" s="1181"/>
      <c r="E230" s="1181"/>
      <c r="F230" s="1181"/>
    </row>
    <row r="231" spans="2:6">
      <c r="B231" s="1187">
        <v>45144</v>
      </c>
      <c r="C231" s="1181"/>
      <c r="D231" s="1181"/>
      <c r="E231" s="1181"/>
      <c r="F231" s="1181"/>
    </row>
    <row r="232" spans="2:6">
      <c r="B232" s="1187">
        <v>45145</v>
      </c>
      <c r="C232" s="1181"/>
      <c r="D232" s="1181"/>
      <c r="E232" s="1181"/>
      <c r="F232" s="1181"/>
    </row>
    <row r="233" spans="2:6">
      <c r="B233" s="1187">
        <v>45146</v>
      </c>
      <c r="C233" s="1190"/>
      <c r="D233" s="1190"/>
      <c r="E233" s="1190"/>
      <c r="F233" s="1190"/>
    </row>
    <row r="234" spans="2:6">
      <c r="B234" s="1187">
        <v>45147</v>
      </c>
      <c r="C234" s="1190"/>
      <c r="D234" s="1190"/>
      <c r="E234" s="1190"/>
      <c r="F234" s="1190"/>
    </row>
    <row r="235" spans="2:6">
      <c r="B235" s="1187">
        <v>45148</v>
      </c>
      <c r="C235" s="1190"/>
      <c r="D235" s="1190"/>
      <c r="E235" s="1190"/>
      <c r="F235" s="1190"/>
    </row>
    <row r="236" spans="2:6">
      <c r="B236" s="1187">
        <v>45149</v>
      </c>
      <c r="C236" s="1190"/>
      <c r="D236" s="1190"/>
      <c r="E236" s="1190"/>
      <c r="F236" s="1190"/>
    </row>
    <row r="237" spans="2:6">
      <c r="B237" s="1187">
        <v>45150</v>
      </c>
      <c r="C237" s="1190"/>
      <c r="D237" s="1190"/>
      <c r="E237" s="1190"/>
      <c r="F237" s="1190"/>
    </row>
    <row r="238" spans="2:6">
      <c r="B238" s="1187">
        <v>45151</v>
      </c>
      <c r="C238" s="1190"/>
      <c r="D238" s="1190"/>
      <c r="E238" s="1190"/>
      <c r="F238" s="1190"/>
    </row>
    <row r="239" spans="2:6">
      <c r="B239" s="1187">
        <v>45152</v>
      </c>
      <c r="C239" s="1190"/>
      <c r="D239" s="1190"/>
      <c r="E239" s="1190"/>
      <c r="F239" s="1190"/>
    </row>
    <row r="240" spans="2:6">
      <c r="B240" s="1187">
        <v>45153</v>
      </c>
      <c r="C240" s="1190"/>
      <c r="D240" s="1190"/>
      <c r="E240" s="1190"/>
      <c r="F240" s="1190"/>
    </row>
    <row r="241" spans="2:6">
      <c r="B241" s="1187">
        <v>45154</v>
      </c>
      <c r="C241" s="1190"/>
      <c r="D241" s="1190"/>
      <c r="E241" s="1190"/>
      <c r="F241" s="1190"/>
    </row>
    <row r="242" spans="2:6">
      <c r="B242" s="1187">
        <v>45155</v>
      </c>
      <c r="C242" s="1190"/>
      <c r="D242" s="1190"/>
      <c r="E242" s="1190"/>
      <c r="F242" s="1190"/>
    </row>
    <row r="243" spans="2:6">
      <c r="B243" s="1187">
        <v>45156</v>
      </c>
      <c r="C243" s="1190"/>
      <c r="D243" s="1190"/>
      <c r="E243" s="1190"/>
      <c r="F243" s="1190"/>
    </row>
    <row r="244" spans="2:6">
      <c r="B244" s="1187">
        <v>45157</v>
      </c>
      <c r="C244" s="1190"/>
      <c r="D244" s="1190"/>
      <c r="E244" s="1190"/>
      <c r="F244" s="1190"/>
    </row>
    <row r="245" spans="2:6">
      <c r="B245" s="1187">
        <v>45158</v>
      </c>
      <c r="C245" s="1190"/>
      <c r="D245" s="1190"/>
      <c r="E245" s="1190"/>
      <c r="F245" s="1190"/>
    </row>
    <row r="246" spans="2:6">
      <c r="B246" s="1187">
        <v>45159</v>
      </c>
      <c r="C246" s="1190"/>
      <c r="D246" s="1190"/>
      <c r="E246" s="1190"/>
      <c r="F246" s="1190"/>
    </row>
    <row r="247" spans="2:6">
      <c r="B247" s="1187">
        <v>45160</v>
      </c>
      <c r="C247" s="1190"/>
      <c r="D247" s="1190"/>
      <c r="E247" s="1190"/>
      <c r="F247" s="1190"/>
    </row>
    <row r="248" spans="2:6">
      <c r="B248" s="1187">
        <v>45161</v>
      </c>
      <c r="C248" s="1190"/>
      <c r="D248" s="1190"/>
      <c r="E248" s="1190"/>
      <c r="F248" s="1190"/>
    </row>
    <row r="249" spans="2:6">
      <c r="B249" s="1187">
        <v>45162</v>
      </c>
      <c r="C249" s="1190"/>
      <c r="D249" s="1190"/>
      <c r="E249" s="1190"/>
      <c r="F249" s="1190"/>
    </row>
    <row r="250" spans="2:6">
      <c r="B250" s="1187">
        <v>45163</v>
      </c>
      <c r="C250" s="1190"/>
      <c r="D250" s="1190"/>
      <c r="E250" s="1190"/>
      <c r="F250" s="1190"/>
    </row>
    <row r="251" spans="2:6">
      <c r="B251" s="1187">
        <v>45164</v>
      </c>
      <c r="C251" s="1190"/>
      <c r="D251" s="1190"/>
      <c r="E251" s="1190"/>
      <c r="F251" s="1190"/>
    </row>
    <row r="252" spans="2:6">
      <c r="B252" s="1187">
        <v>45165</v>
      </c>
      <c r="C252" s="1190"/>
      <c r="D252" s="1190"/>
      <c r="E252" s="1190"/>
      <c r="F252" s="1190"/>
    </row>
    <row r="253" spans="2:6">
      <c r="B253" s="1187">
        <v>45166</v>
      </c>
      <c r="C253" s="1190"/>
      <c r="D253" s="1190"/>
      <c r="E253" s="1190"/>
      <c r="F253" s="1190"/>
    </row>
    <row r="254" spans="2:6">
      <c r="B254" s="1187">
        <v>45167</v>
      </c>
      <c r="C254" s="1190"/>
      <c r="D254" s="1190"/>
      <c r="E254" s="1190"/>
      <c r="F254" s="1190"/>
    </row>
    <row r="255" spans="2:6">
      <c r="B255" s="1187">
        <v>45168</v>
      </c>
      <c r="C255" s="1190"/>
      <c r="D255" s="1190"/>
      <c r="E255" s="1190"/>
      <c r="F255" s="1190"/>
    </row>
    <row r="256" spans="2:6">
      <c r="B256" s="1187">
        <v>45169</v>
      </c>
      <c r="C256" s="1190"/>
      <c r="D256" s="1190"/>
      <c r="E256" s="1190"/>
      <c r="F256" s="1190"/>
    </row>
    <row r="257" spans="2:6">
      <c r="B257" s="1184"/>
      <c r="C257" s="1185"/>
      <c r="D257" s="1185"/>
      <c r="E257" s="1185"/>
      <c r="F257" s="1185"/>
    </row>
    <row r="258" spans="2:6">
      <c r="B258" s="1187">
        <v>45170</v>
      </c>
      <c r="C258" s="1190"/>
      <c r="D258" s="1190"/>
      <c r="E258" s="1190"/>
      <c r="F258" s="1190"/>
    </row>
    <row r="259" spans="2:6">
      <c r="B259" s="1187">
        <v>45171</v>
      </c>
      <c r="C259" s="1190"/>
      <c r="D259" s="1190"/>
      <c r="E259" s="1190"/>
      <c r="F259" s="1190"/>
    </row>
    <row r="260" spans="2:6">
      <c r="B260" s="1187">
        <v>45172</v>
      </c>
      <c r="C260" s="1190"/>
      <c r="D260" s="1190"/>
      <c r="E260" s="1190"/>
      <c r="F260" s="1190"/>
    </row>
    <row r="261" spans="2:6">
      <c r="B261" s="1187">
        <v>45173</v>
      </c>
      <c r="C261" s="1190"/>
      <c r="D261" s="1190"/>
      <c r="E261" s="1190"/>
      <c r="F261" s="1190"/>
    </row>
    <row r="262" spans="2:6">
      <c r="B262" s="1187">
        <v>45174</v>
      </c>
      <c r="C262" s="1190"/>
      <c r="D262" s="1190"/>
      <c r="E262" s="1190"/>
      <c r="F262" s="1190"/>
    </row>
    <row r="263" spans="2:6">
      <c r="B263" s="1187">
        <v>45175</v>
      </c>
      <c r="C263" s="1190"/>
      <c r="D263" s="1190"/>
      <c r="E263" s="1190"/>
      <c r="F263" s="1190"/>
    </row>
    <row r="264" spans="2:6">
      <c r="B264" s="1187">
        <v>45176</v>
      </c>
      <c r="C264" s="1190"/>
      <c r="D264" s="1190"/>
      <c r="E264" s="1190"/>
      <c r="F264" s="1190"/>
    </row>
    <row r="265" spans="2:6">
      <c r="B265" s="1187">
        <v>45177</v>
      </c>
      <c r="C265" s="1190"/>
      <c r="D265" s="1190"/>
      <c r="E265" s="1190"/>
      <c r="F265" s="1190"/>
    </row>
    <row r="266" spans="2:6">
      <c r="B266" s="1187">
        <v>45178</v>
      </c>
      <c r="C266" s="1190"/>
      <c r="D266" s="1190"/>
      <c r="E266" s="1190"/>
      <c r="F266" s="1190"/>
    </row>
    <row r="267" spans="2:6">
      <c r="B267" s="1187">
        <v>45179</v>
      </c>
      <c r="C267" s="1181"/>
      <c r="D267" s="1181"/>
      <c r="E267" s="1181"/>
      <c r="F267" s="1181"/>
    </row>
    <row r="268" spans="2:6">
      <c r="B268" s="1187">
        <v>45180</v>
      </c>
      <c r="C268" s="1181"/>
      <c r="D268" s="1181"/>
      <c r="E268" s="1181"/>
      <c r="F268" s="1181"/>
    </row>
    <row r="269" spans="2:6">
      <c r="B269" s="1187">
        <v>45181</v>
      </c>
      <c r="C269" s="1181"/>
      <c r="D269" s="1181">
        <v>55</v>
      </c>
      <c r="E269" s="1181"/>
      <c r="F269" s="1181"/>
    </row>
    <row r="270" spans="2:6">
      <c r="B270" s="1187">
        <v>45182</v>
      </c>
      <c r="C270" s="1181"/>
      <c r="D270" s="1181"/>
      <c r="E270" s="1181"/>
      <c r="F270" s="1181"/>
    </row>
    <row r="271" spans="2:6">
      <c r="B271" s="1187">
        <v>45183</v>
      </c>
      <c r="C271" s="1782"/>
      <c r="D271" s="1782"/>
      <c r="E271" s="1782"/>
      <c r="F271" s="1782">
        <v>5</v>
      </c>
    </row>
    <row r="272" spans="2:6">
      <c r="B272" s="1187">
        <v>45184</v>
      </c>
      <c r="C272" s="1181"/>
      <c r="D272" s="1181"/>
      <c r="E272" s="1181"/>
      <c r="F272" s="1181"/>
    </row>
    <row r="273" spans="2:6">
      <c r="B273" s="1187">
        <v>45185</v>
      </c>
      <c r="C273" s="1181"/>
      <c r="D273" s="1181"/>
      <c r="E273" s="1181"/>
      <c r="F273" s="1181"/>
    </row>
    <row r="274" spans="2:6">
      <c r="B274" s="1187">
        <v>45186</v>
      </c>
      <c r="C274" s="1181"/>
      <c r="D274" s="1181"/>
      <c r="E274" s="1181"/>
      <c r="F274" s="1181"/>
    </row>
    <row r="275" spans="2:6">
      <c r="B275" s="1187">
        <v>45187</v>
      </c>
      <c r="C275" s="1181"/>
      <c r="D275" s="1181"/>
      <c r="E275" s="1181"/>
      <c r="F275" s="1181"/>
    </row>
    <row r="276" spans="2:6">
      <c r="B276" s="1187">
        <v>45188</v>
      </c>
      <c r="C276" s="1181"/>
      <c r="D276" s="1181"/>
      <c r="E276" s="1181"/>
      <c r="F276" s="1181"/>
    </row>
    <row r="277" spans="2:6">
      <c r="B277" s="1187">
        <v>45189</v>
      </c>
      <c r="C277" s="1181"/>
      <c r="D277" s="1181"/>
      <c r="E277" s="1181"/>
      <c r="F277" s="1181"/>
    </row>
    <row r="278" spans="2:6">
      <c r="B278" s="1187">
        <v>45190</v>
      </c>
      <c r="C278" s="1181"/>
      <c r="D278" s="1181"/>
      <c r="E278" s="1181"/>
      <c r="F278" s="1181"/>
    </row>
    <row r="279" spans="2:6">
      <c r="B279" s="1187">
        <v>45191</v>
      </c>
      <c r="C279" s="1181"/>
      <c r="D279" s="1181"/>
      <c r="E279" s="1181"/>
      <c r="F279" s="1181"/>
    </row>
    <row r="280" spans="2:6">
      <c r="B280" s="1187">
        <v>45192</v>
      </c>
      <c r="C280" s="1181"/>
      <c r="D280" s="1181"/>
      <c r="E280" s="1181"/>
      <c r="F280" s="1181"/>
    </row>
    <row r="281" spans="2:6">
      <c r="B281" s="1187">
        <v>45193</v>
      </c>
      <c r="C281" s="1181"/>
      <c r="D281" s="1181"/>
      <c r="E281" s="1181"/>
      <c r="F281" s="1181"/>
    </row>
    <row r="282" spans="2:6">
      <c r="B282" s="1187">
        <v>45194</v>
      </c>
      <c r="C282" s="1181"/>
      <c r="D282" s="1181"/>
      <c r="E282" s="1181"/>
      <c r="F282" s="1181"/>
    </row>
    <row r="283" spans="2:6">
      <c r="B283" s="1187">
        <v>45195</v>
      </c>
      <c r="C283" s="1181"/>
      <c r="D283" s="1181"/>
      <c r="E283" s="1181"/>
      <c r="F283" s="1181"/>
    </row>
    <row r="284" spans="2:6">
      <c r="B284" s="1187">
        <v>45196</v>
      </c>
      <c r="C284" s="1181"/>
      <c r="D284" s="1181"/>
      <c r="E284" s="1181"/>
      <c r="F284" s="1181"/>
    </row>
    <row r="285" spans="2:6">
      <c r="B285" s="1187">
        <v>45197</v>
      </c>
      <c r="C285" s="1181"/>
      <c r="D285" s="1181"/>
      <c r="E285" s="1181"/>
      <c r="F285" s="1181">
        <v>5</v>
      </c>
    </row>
    <row r="286" spans="2:6">
      <c r="B286" s="1187">
        <v>45198</v>
      </c>
      <c r="C286" s="1181"/>
      <c r="D286" s="1181"/>
      <c r="E286" s="1181"/>
      <c r="F286" s="1181">
        <v>5</v>
      </c>
    </row>
    <row r="287" spans="2:6">
      <c r="B287" s="1187">
        <v>45199</v>
      </c>
      <c r="C287" s="1181"/>
      <c r="D287" s="1181"/>
      <c r="E287" s="1181"/>
      <c r="F287" s="1181">
        <v>5</v>
      </c>
    </row>
    <row r="288" spans="2:6">
      <c r="B288" s="1184"/>
      <c r="C288" s="1185"/>
      <c r="D288" s="1185"/>
      <c r="E288" s="1185"/>
      <c r="F288" s="1185"/>
    </row>
    <row r="289" spans="2:6">
      <c r="B289" s="1187">
        <v>45200</v>
      </c>
      <c r="C289" s="1181"/>
      <c r="D289" s="1181"/>
      <c r="E289" s="1181"/>
      <c r="F289" s="1181"/>
    </row>
    <row r="290" spans="2:6">
      <c r="B290" s="1187">
        <v>45201</v>
      </c>
      <c r="C290" s="1181"/>
      <c r="D290" s="1181"/>
      <c r="E290" s="1181"/>
      <c r="F290" s="1181">
        <v>3</v>
      </c>
    </row>
    <row r="291" spans="2:6">
      <c r="B291" s="1187">
        <v>45202</v>
      </c>
      <c r="C291" s="1181"/>
      <c r="D291" s="1181"/>
      <c r="E291" s="1181"/>
      <c r="F291" s="1181">
        <v>3</v>
      </c>
    </row>
    <row r="292" spans="2:6">
      <c r="B292" s="1187">
        <v>45203</v>
      </c>
      <c r="C292" s="1181"/>
      <c r="D292" s="1181"/>
      <c r="E292" s="1181"/>
      <c r="F292" s="1181">
        <v>4</v>
      </c>
    </row>
    <row r="293" spans="2:6">
      <c r="B293" s="1187">
        <v>45204</v>
      </c>
      <c r="C293" s="1181"/>
      <c r="D293" s="1181"/>
      <c r="E293" s="1181"/>
      <c r="F293" s="1181">
        <v>3</v>
      </c>
    </row>
    <row r="294" spans="2:6">
      <c r="B294" s="1187">
        <v>45205</v>
      </c>
      <c r="C294" s="1181"/>
      <c r="D294" s="1181"/>
      <c r="E294" s="1181"/>
      <c r="F294" s="1181"/>
    </row>
    <row r="295" spans="2:6">
      <c r="B295" s="1187">
        <v>45206</v>
      </c>
      <c r="C295" s="1181"/>
      <c r="D295" s="1181"/>
      <c r="E295" s="1181"/>
      <c r="F295" s="1181"/>
    </row>
    <row r="296" spans="2:6">
      <c r="B296" s="1187">
        <v>45207</v>
      </c>
      <c r="C296" s="1181"/>
      <c r="D296" s="1181"/>
      <c r="E296" s="1181"/>
      <c r="F296" s="1181"/>
    </row>
    <row r="297" spans="2:6">
      <c r="B297" s="1187">
        <v>45208</v>
      </c>
      <c r="C297" s="1181"/>
      <c r="D297" s="1181"/>
      <c r="E297" s="1181"/>
      <c r="F297" s="1181">
        <v>7</v>
      </c>
    </row>
    <row r="298" spans="2:6">
      <c r="B298" s="1187">
        <v>45209</v>
      </c>
      <c r="C298" s="1181"/>
      <c r="D298" s="1181"/>
      <c r="E298" s="1181"/>
      <c r="F298" s="1181"/>
    </row>
    <row r="299" spans="2:6">
      <c r="B299" s="1187">
        <v>45210</v>
      </c>
      <c r="C299" s="1181"/>
      <c r="D299" s="1181"/>
      <c r="E299" s="1181"/>
      <c r="F299" s="1181"/>
    </row>
    <row r="300" spans="2:6">
      <c r="B300" s="1187">
        <v>45211</v>
      </c>
      <c r="C300" s="1181"/>
      <c r="D300" s="1181"/>
      <c r="E300" s="1181"/>
      <c r="F300" s="1181"/>
    </row>
    <row r="301" spans="2:6">
      <c r="B301" s="1187">
        <v>45212</v>
      </c>
      <c r="C301" s="1181"/>
      <c r="D301" s="1181"/>
      <c r="E301" s="1181"/>
      <c r="F301" s="1181"/>
    </row>
    <row r="302" spans="2:6">
      <c r="B302" s="1187">
        <v>45213</v>
      </c>
      <c r="C302" s="1181"/>
      <c r="D302" s="1181"/>
      <c r="E302" s="1181"/>
      <c r="F302" s="1181"/>
    </row>
    <row r="303" spans="2:6">
      <c r="B303" s="1187">
        <v>45214</v>
      </c>
      <c r="C303" s="1181"/>
      <c r="D303" s="1181"/>
      <c r="E303" s="1181"/>
      <c r="F303" s="1181"/>
    </row>
    <row r="304" spans="2:6">
      <c r="B304" s="1187">
        <v>45215</v>
      </c>
      <c r="C304" s="1181"/>
      <c r="D304" s="1181"/>
      <c r="E304" s="1181"/>
      <c r="F304" s="1181">
        <v>10</v>
      </c>
    </row>
    <row r="305" spans="2:6">
      <c r="B305" s="1187">
        <v>45216</v>
      </c>
      <c r="C305" s="1181"/>
      <c r="D305" s="1181"/>
      <c r="E305" s="1181"/>
      <c r="F305" s="1181"/>
    </row>
    <row r="306" spans="2:6">
      <c r="B306" s="1187">
        <v>45217</v>
      </c>
      <c r="C306" s="1181"/>
      <c r="D306" s="1181"/>
      <c r="E306" s="1181"/>
      <c r="F306" s="1181"/>
    </row>
    <row r="307" spans="2:6">
      <c r="B307" s="1187">
        <v>45218</v>
      </c>
      <c r="C307" s="1181"/>
      <c r="D307" s="1181"/>
      <c r="E307" s="1181"/>
      <c r="F307" s="1181"/>
    </row>
    <row r="308" spans="2:6">
      <c r="B308" s="1187">
        <v>45219</v>
      </c>
      <c r="C308" s="1181"/>
      <c r="D308" s="1181"/>
      <c r="E308" s="1181"/>
      <c r="F308" s="1181"/>
    </row>
    <row r="309" spans="2:6">
      <c r="B309" s="1187">
        <v>45220</v>
      </c>
      <c r="C309" s="1181"/>
      <c r="D309" s="1181"/>
      <c r="E309" s="1181"/>
      <c r="F309" s="1181"/>
    </row>
    <row r="310" spans="2:6">
      <c r="B310" s="1187">
        <v>45221</v>
      </c>
      <c r="C310" s="1181"/>
      <c r="D310" s="1181"/>
      <c r="E310" s="1181"/>
      <c r="F310" s="1181"/>
    </row>
    <row r="311" spans="2:6">
      <c r="B311" s="1187">
        <v>45222</v>
      </c>
      <c r="C311" s="1181"/>
      <c r="D311" s="1181"/>
      <c r="E311" s="1181"/>
      <c r="F311" s="1181"/>
    </row>
    <row r="312" spans="2:6">
      <c r="B312" s="1187">
        <v>45223</v>
      </c>
      <c r="C312" s="1181"/>
      <c r="D312" s="1181"/>
      <c r="E312" s="1181"/>
      <c r="F312" s="1181"/>
    </row>
    <row r="313" spans="2:6">
      <c r="B313" s="1187">
        <v>45224</v>
      </c>
      <c r="C313" s="1181"/>
      <c r="D313" s="1181"/>
      <c r="E313" s="1181"/>
      <c r="F313" s="1181"/>
    </row>
    <row r="314" spans="2:6">
      <c r="B314" s="1187">
        <v>45225</v>
      </c>
      <c r="C314" s="1181"/>
      <c r="D314" s="1181"/>
      <c r="E314" s="1181"/>
      <c r="F314" s="1181"/>
    </row>
    <row r="315" spans="2:6">
      <c r="B315" s="1187">
        <v>45226</v>
      </c>
      <c r="C315" s="1181"/>
      <c r="D315" s="1181"/>
      <c r="E315" s="1181"/>
      <c r="F315" s="1181"/>
    </row>
    <row r="316" spans="2:6">
      <c r="B316" s="1187">
        <v>45227</v>
      </c>
      <c r="C316" s="1181"/>
      <c r="D316" s="1181"/>
      <c r="E316" s="1181"/>
      <c r="F316" s="1181"/>
    </row>
    <row r="317" spans="2:6">
      <c r="B317" s="1187">
        <v>45228</v>
      </c>
      <c r="C317" s="1181"/>
      <c r="D317" s="1181"/>
      <c r="E317" s="1181"/>
      <c r="F317" s="1181"/>
    </row>
    <row r="318" spans="2:6">
      <c r="B318" s="1187">
        <v>45229</v>
      </c>
      <c r="C318" s="1181"/>
      <c r="D318" s="1181"/>
      <c r="E318" s="1181"/>
      <c r="F318" s="1181"/>
    </row>
    <row r="319" spans="2:6">
      <c r="B319" s="1187">
        <v>45230</v>
      </c>
      <c r="C319" s="1181"/>
      <c r="D319" s="1181"/>
      <c r="E319" s="1181"/>
      <c r="F319" s="1181"/>
    </row>
    <row r="320" spans="2:6">
      <c r="B320" s="1184"/>
      <c r="C320" s="1185"/>
      <c r="D320" s="1185"/>
      <c r="E320" s="1185"/>
      <c r="F320" s="1185"/>
    </row>
    <row r="321" spans="2:6">
      <c r="B321" s="1187">
        <v>45231</v>
      </c>
      <c r="C321" s="1181"/>
      <c r="D321" s="1181"/>
      <c r="E321" s="1181"/>
      <c r="F321" s="1181"/>
    </row>
    <row r="322" spans="2:6">
      <c r="B322" s="1187">
        <v>45232</v>
      </c>
      <c r="C322" s="1181"/>
      <c r="D322" s="1181"/>
      <c r="E322" s="1181"/>
      <c r="F322" s="1181"/>
    </row>
    <row r="323" spans="2:6">
      <c r="B323" s="1187">
        <v>45233</v>
      </c>
      <c r="C323" s="1181"/>
      <c r="D323" s="1181"/>
      <c r="E323" s="1181"/>
      <c r="F323" s="1181"/>
    </row>
    <row r="324" spans="2:6">
      <c r="B324" s="1187">
        <v>45234</v>
      </c>
      <c r="C324" s="1181"/>
      <c r="D324" s="1181"/>
      <c r="E324" s="1181"/>
      <c r="F324" s="1181"/>
    </row>
    <row r="325" spans="2:6">
      <c r="B325" s="1187">
        <v>45235</v>
      </c>
      <c r="C325" s="1181"/>
      <c r="D325" s="1181"/>
      <c r="E325" s="1181"/>
      <c r="F325" s="1181"/>
    </row>
    <row r="326" spans="2:6">
      <c r="B326" s="1187">
        <v>45236</v>
      </c>
      <c r="C326" s="1181"/>
      <c r="D326" s="1181"/>
      <c r="E326" s="1181"/>
      <c r="F326" s="1181"/>
    </row>
    <row r="327" spans="2:6">
      <c r="B327" s="1187">
        <v>45237</v>
      </c>
      <c r="C327" s="1181"/>
      <c r="D327" s="1181"/>
      <c r="E327" s="1181"/>
      <c r="F327" s="1181"/>
    </row>
    <row r="328" spans="2:6">
      <c r="B328" s="1187">
        <v>45238</v>
      </c>
      <c r="C328" s="1181"/>
      <c r="D328" s="1181"/>
      <c r="E328" s="1181"/>
      <c r="F328" s="1181"/>
    </row>
    <row r="329" spans="2:6">
      <c r="B329" s="1187">
        <v>45239</v>
      </c>
      <c r="C329" s="1181"/>
      <c r="D329" s="1181"/>
      <c r="E329" s="1181"/>
      <c r="F329" s="1181"/>
    </row>
    <row r="330" spans="2:6">
      <c r="B330" s="1187">
        <v>45240</v>
      </c>
      <c r="C330" s="1181"/>
      <c r="D330" s="1181"/>
      <c r="E330" s="1181"/>
      <c r="F330" s="1181"/>
    </row>
    <row r="331" spans="2:6">
      <c r="B331" s="1187">
        <v>45241</v>
      </c>
      <c r="C331" s="1181"/>
      <c r="D331" s="1181"/>
      <c r="E331" s="1181"/>
      <c r="F331" s="1181"/>
    </row>
    <row r="332" spans="2:6">
      <c r="B332" s="1187">
        <v>45242</v>
      </c>
      <c r="C332" s="1181"/>
      <c r="D332" s="1181"/>
      <c r="E332" s="1181"/>
      <c r="F332" s="1181"/>
    </row>
    <row r="333" spans="2:6">
      <c r="B333" s="1187">
        <v>45243</v>
      </c>
      <c r="C333" s="1181"/>
      <c r="D333" s="1181"/>
      <c r="E333" s="1181"/>
      <c r="F333" s="1181"/>
    </row>
    <row r="334" spans="2:6">
      <c r="B334" s="1187">
        <v>45244</v>
      </c>
      <c r="C334" s="1181"/>
      <c r="D334" s="1181"/>
      <c r="E334" s="1181"/>
      <c r="F334" s="1181"/>
    </row>
    <row r="335" spans="2:6">
      <c r="B335" s="1187">
        <v>45245</v>
      </c>
      <c r="C335" s="1181"/>
      <c r="D335" s="1181"/>
      <c r="E335" s="1181"/>
      <c r="F335" s="1181"/>
    </row>
    <row r="336" spans="2:6">
      <c r="B336" s="1187">
        <v>45246</v>
      </c>
      <c r="C336" s="1181"/>
      <c r="D336" s="1181"/>
      <c r="E336" s="1181"/>
      <c r="F336" s="1181"/>
    </row>
    <row r="337" spans="2:6">
      <c r="B337" s="1187">
        <v>45247</v>
      </c>
      <c r="C337" s="1181"/>
      <c r="D337" s="1181"/>
      <c r="E337" s="1181"/>
      <c r="F337" s="1181"/>
    </row>
    <row r="338" spans="2:6">
      <c r="B338" s="1187">
        <v>45248</v>
      </c>
      <c r="C338" s="1181"/>
      <c r="D338" s="1181"/>
      <c r="E338" s="1181"/>
      <c r="F338" s="1181"/>
    </row>
    <row r="339" spans="2:6">
      <c r="B339" s="1187">
        <v>45249</v>
      </c>
      <c r="C339" s="1181"/>
      <c r="D339" s="1181"/>
      <c r="E339" s="1181"/>
      <c r="F339" s="1181"/>
    </row>
    <row r="340" spans="2:6">
      <c r="B340" s="1187">
        <v>45250</v>
      </c>
      <c r="C340" s="1181"/>
      <c r="D340" s="1181"/>
      <c r="E340" s="1181"/>
      <c r="F340" s="1181"/>
    </row>
    <row r="341" spans="2:6">
      <c r="B341" s="1187">
        <v>45251</v>
      </c>
      <c r="C341" s="1181"/>
      <c r="D341" s="1181"/>
      <c r="E341" s="1181"/>
      <c r="F341" s="1181"/>
    </row>
    <row r="342" spans="2:6">
      <c r="B342" s="1187">
        <v>45252</v>
      </c>
      <c r="C342" s="1181"/>
      <c r="D342" s="1181"/>
      <c r="E342" s="1181"/>
      <c r="F342" s="1181"/>
    </row>
    <row r="343" spans="2:6">
      <c r="B343" s="1187">
        <v>45253</v>
      </c>
      <c r="C343" s="1181"/>
      <c r="D343" s="1181"/>
      <c r="E343" s="1181"/>
      <c r="F343" s="1181"/>
    </row>
    <row r="344" spans="2:6">
      <c r="B344" s="1187">
        <v>45254</v>
      </c>
      <c r="C344" s="1181"/>
      <c r="D344" s="1181"/>
      <c r="E344" s="1181"/>
      <c r="F344" s="1181"/>
    </row>
    <row r="345" spans="2:6">
      <c r="B345" s="1187">
        <v>45255</v>
      </c>
      <c r="C345" s="1181"/>
      <c r="D345" s="1181"/>
      <c r="E345" s="1181"/>
      <c r="F345" s="1181"/>
    </row>
    <row r="346" spans="2:6">
      <c r="B346" s="1187">
        <v>45256</v>
      </c>
      <c r="C346" s="1181"/>
      <c r="D346" s="1181"/>
      <c r="E346" s="1181"/>
      <c r="F346" s="1181"/>
    </row>
    <row r="347" spans="2:6">
      <c r="B347" s="1187">
        <v>45257</v>
      </c>
      <c r="C347" s="1181"/>
      <c r="D347" s="1181"/>
      <c r="E347" s="1181"/>
      <c r="F347" s="1181"/>
    </row>
    <row r="348" spans="2:6">
      <c r="B348" s="1187">
        <v>45258</v>
      </c>
      <c r="C348" s="1181"/>
      <c r="D348" s="1181"/>
      <c r="E348" s="1181"/>
      <c r="F348" s="1181"/>
    </row>
    <row r="349" spans="2:6">
      <c r="B349" s="1187">
        <v>45259</v>
      </c>
      <c r="C349" s="1181"/>
      <c r="D349" s="1181"/>
      <c r="E349" s="1181"/>
      <c r="F349" s="1181"/>
    </row>
    <row r="350" spans="2:6">
      <c r="B350" s="1187">
        <v>45260</v>
      </c>
      <c r="C350" s="1181"/>
      <c r="D350" s="1181"/>
      <c r="E350" s="1181"/>
      <c r="F350" s="1181"/>
    </row>
    <row r="351" spans="2:6">
      <c r="B351" s="1184"/>
      <c r="C351" s="1185"/>
      <c r="D351" s="1185"/>
      <c r="E351" s="1185"/>
      <c r="F351" s="1185"/>
    </row>
    <row r="352" spans="2:6">
      <c r="B352" s="1187">
        <v>45261</v>
      </c>
      <c r="C352" s="1181"/>
      <c r="D352" s="1181"/>
      <c r="E352" s="1181"/>
      <c r="F352" s="1181"/>
    </row>
    <row r="353" spans="2:6">
      <c r="B353" s="1187">
        <v>45262</v>
      </c>
      <c r="C353" s="1181"/>
      <c r="D353" s="1181"/>
      <c r="E353" s="1181"/>
      <c r="F353" s="1181"/>
    </row>
    <row r="354" spans="2:6">
      <c r="B354" s="1187">
        <v>45263</v>
      </c>
      <c r="C354" s="1181"/>
      <c r="D354" s="1181"/>
      <c r="E354" s="1181"/>
      <c r="F354" s="1181"/>
    </row>
    <row r="355" spans="2:6">
      <c r="B355" s="1187">
        <v>45264</v>
      </c>
      <c r="C355" s="1181"/>
      <c r="D355" s="1181"/>
      <c r="E355" s="1181"/>
      <c r="F355" s="1181"/>
    </row>
    <row r="356" spans="2:6">
      <c r="B356" s="1187">
        <v>45265</v>
      </c>
      <c r="C356" s="1181"/>
      <c r="D356" s="1181"/>
      <c r="E356" s="1181"/>
      <c r="F356" s="1181"/>
    </row>
    <row r="357" spans="2:6">
      <c r="B357" s="1187">
        <v>45266</v>
      </c>
      <c r="C357" s="1181"/>
      <c r="D357" s="1181"/>
      <c r="E357" s="1181"/>
      <c r="F357" s="1181"/>
    </row>
    <row r="358" spans="2:6">
      <c r="B358" s="1187">
        <v>45267</v>
      </c>
      <c r="C358" s="1181"/>
      <c r="D358" s="1181"/>
      <c r="E358" s="1181"/>
      <c r="F358" s="1181"/>
    </row>
    <row r="359" spans="2:6">
      <c r="B359" s="1187">
        <v>45268</v>
      </c>
      <c r="C359" s="1181"/>
      <c r="D359" s="1181"/>
      <c r="E359" s="1181"/>
      <c r="F359" s="1181"/>
    </row>
    <row r="360" spans="2:6">
      <c r="B360" s="1187">
        <v>45269</v>
      </c>
      <c r="C360" s="1181"/>
      <c r="D360" s="1181"/>
      <c r="E360" s="1181"/>
      <c r="F360" s="1181"/>
    </row>
    <row r="361" spans="2:6">
      <c r="B361" s="1187">
        <v>45270</v>
      </c>
      <c r="C361" s="1181"/>
      <c r="D361" s="1181"/>
      <c r="E361" s="1181"/>
      <c r="F361" s="1181"/>
    </row>
    <row r="362" spans="2:6">
      <c r="B362" s="1187">
        <v>45271</v>
      </c>
      <c r="C362" s="1181"/>
      <c r="D362" s="1181"/>
      <c r="E362" s="1181"/>
      <c r="F362" s="1181"/>
    </row>
    <row r="363" spans="2:6">
      <c r="B363" s="1187">
        <v>45272</v>
      </c>
      <c r="C363" s="1181"/>
      <c r="D363" s="1181"/>
      <c r="E363" s="1181"/>
      <c r="F363" s="1181"/>
    </row>
    <row r="364" spans="2:6">
      <c r="B364" s="1187">
        <v>45273</v>
      </c>
      <c r="C364" s="1181"/>
      <c r="D364" s="1181"/>
      <c r="E364" s="1181"/>
      <c r="F364" s="1181"/>
    </row>
    <row r="365" spans="2:6">
      <c r="B365" s="1187">
        <v>45274</v>
      </c>
      <c r="C365" s="1181"/>
      <c r="D365" s="1181"/>
      <c r="E365" s="1181"/>
      <c r="F365" s="1181"/>
    </row>
    <row r="366" spans="2:6">
      <c r="B366" s="1187">
        <v>45275</v>
      </c>
      <c r="C366" s="1181"/>
      <c r="D366" s="1181"/>
      <c r="E366" s="1181"/>
      <c r="F366" s="1181"/>
    </row>
    <row r="367" spans="2:6">
      <c r="B367" s="1187">
        <v>45276</v>
      </c>
      <c r="C367" s="1181"/>
      <c r="D367" s="1181"/>
      <c r="E367" s="1181"/>
      <c r="F367" s="1181"/>
    </row>
    <row r="368" spans="2:6">
      <c r="B368" s="1187">
        <v>45277</v>
      </c>
      <c r="C368" s="1181"/>
      <c r="D368" s="1181"/>
      <c r="E368" s="1181"/>
      <c r="F368" s="1181"/>
    </row>
    <row r="369" spans="2:6">
      <c r="B369" s="1187">
        <v>45278</v>
      </c>
      <c r="C369" s="1181"/>
      <c r="D369" s="1181"/>
      <c r="E369" s="1181"/>
      <c r="F369" s="1181"/>
    </row>
    <row r="370" spans="2:6">
      <c r="B370" s="1187">
        <v>45279</v>
      </c>
      <c r="C370" s="1181"/>
      <c r="D370" s="1181"/>
      <c r="E370" s="1181"/>
      <c r="F370" s="1181"/>
    </row>
    <row r="371" spans="2:6">
      <c r="B371" s="1187">
        <v>45280</v>
      </c>
      <c r="C371" s="1181"/>
      <c r="D371" s="1181"/>
      <c r="E371" s="1181"/>
      <c r="F371" s="1181"/>
    </row>
    <row r="372" spans="2:6">
      <c r="B372" s="1187">
        <v>45281</v>
      </c>
      <c r="C372" s="1181"/>
      <c r="D372" s="1181"/>
      <c r="E372" s="1181"/>
      <c r="F372" s="1181"/>
    </row>
    <row r="373" spans="2:6">
      <c r="B373" s="1187">
        <v>45282</v>
      </c>
      <c r="C373" s="1181"/>
      <c r="D373" s="1181"/>
      <c r="E373" s="1181"/>
      <c r="F373" s="1181"/>
    </row>
    <row r="374" spans="2:6">
      <c r="B374" s="1187">
        <v>45283</v>
      </c>
      <c r="C374" s="1181"/>
      <c r="D374" s="1181"/>
      <c r="E374" s="1181"/>
      <c r="F374" s="1181"/>
    </row>
    <row r="375" spans="2:6">
      <c r="B375" s="1187">
        <v>45284</v>
      </c>
      <c r="C375" s="1181"/>
      <c r="D375" s="1181"/>
      <c r="E375" s="1181"/>
      <c r="F375" s="1181"/>
    </row>
    <row r="376" spans="2:6">
      <c r="B376" s="1187">
        <v>45285</v>
      </c>
      <c r="C376" s="1181"/>
      <c r="D376" s="1181"/>
      <c r="E376" s="1181"/>
      <c r="F376" s="1181"/>
    </row>
    <row r="377" spans="2:6">
      <c r="B377" s="1187">
        <v>45286</v>
      </c>
      <c r="C377" s="1181"/>
      <c r="D377" s="1181"/>
      <c r="E377" s="1181"/>
      <c r="F377" s="1181"/>
    </row>
    <row r="378" spans="2:6">
      <c r="B378" s="1187">
        <v>45287</v>
      </c>
      <c r="C378" s="1181"/>
      <c r="D378" s="1181"/>
      <c r="E378" s="1181"/>
      <c r="F378" s="1181"/>
    </row>
    <row r="379" spans="2:6">
      <c r="B379" s="1187">
        <v>45288</v>
      </c>
      <c r="C379" s="1181"/>
      <c r="D379" s="1181"/>
      <c r="E379" s="1181"/>
      <c r="F379" s="1181"/>
    </row>
    <row r="380" spans="2:6">
      <c r="B380" s="1187">
        <v>45289</v>
      </c>
      <c r="C380" s="1181"/>
      <c r="D380" s="1181"/>
      <c r="E380" s="1181"/>
      <c r="F380" s="1181"/>
    </row>
    <row r="381" spans="2:6">
      <c r="B381" s="1187">
        <v>45290</v>
      </c>
      <c r="C381" s="1181"/>
      <c r="D381" s="1181"/>
      <c r="E381" s="1181"/>
      <c r="F381" s="1181"/>
    </row>
    <row r="382" spans="2:6">
      <c r="B382" s="1187">
        <v>45291</v>
      </c>
      <c r="C382" s="1181"/>
      <c r="D382" s="1181"/>
      <c r="E382" s="1181"/>
      <c r="F382" s="1181"/>
    </row>
    <row r="383" spans="2:6" ht="15" thickBot="1">
      <c r="B383" s="1191"/>
      <c r="C383" s="1192"/>
      <c r="D383" s="1192"/>
      <c r="E383" s="1192"/>
      <c r="F383" s="1192"/>
    </row>
    <row r="384" spans="2:6">
      <c r="B384" s="1193" t="s">
        <v>175</v>
      </c>
      <c r="C384" s="1194">
        <f>SUMIF(C7:C37,"&gt;0")</f>
        <v>0</v>
      </c>
      <c r="D384" s="1194">
        <f>SUMIF(D7:D37,"&gt;0")</f>
        <v>0</v>
      </c>
      <c r="E384" s="1194">
        <f>SUMIF(E7:E37,"&gt;0")</f>
        <v>0</v>
      </c>
      <c r="F384" s="1194">
        <f>SUMIF(F7:F37,"&gt;0")</f>
        <v>0</v>
      </c>
    </row>
    <row r="385" spans="2:6">
      <c r="B385" s="1195" t="s">
        <v>176</v>
      </c>
      <c r="C385" s="1196">
        <f>SUMIF(C39:C66,"&gt;0")</f>
        <v>0</v>
      </c>
      <c r="D385" s="1196">
        <f>SUMIF(D39:D66,"&gt;0")</f>
        <v>0</v>
      </c>
      <c r="E385" s="1196">
        <f>SUMIF(E39:E66,"&gt;0")</f>
        <v>0</v>
      </c>
      <c r="F385" s="1196">
        <f>SUMIF(F39:F66,"&gt;0")</f>
        <v>0</v>
      </c>
    </row>
    <row r="386" spans="2:6">
      <c r="B386" s="1195" t="s">
        <v>177</v>
      </c>
      <c r="C386" s="1196">
        <f>SUMIF(C69:C100,"&gt;0")</f>
        <v>110</v>
      </c>
      <c r="D386" s="1196">
        <f>SUMIF(D69:D100,"&gt;0")</f>
        <v>110</v>
      </c>
      <c r="E386" s="1196">
        <f>SUMIF(E69:E100,"&gt;0")</f>
        <v>0</v>
      </c>
      <c r="F386" s="1196">
        <f>SUMIF(F69:F100,"&gt;0")</f>
        <v>0</v>
      </c>
    </row>
    <row r="387" spans="2:6">
      <c r="B387" s="1195" t="s">
        <v>178</v>
      </c>
      <c r="C387" s="1196">
        <f>SUMIF(C102:C132,"&gt;0")</f>
        <v>0</v>
      </c>
      <c r="D387" s="1196">
        <f>SUMIF(D102:D132,"&gt;0")</f>
        <v>0</v>
      </c>
      <c r="E387" s="1196">
        <f>SUMIF(E102:E132,"&gt;0")</f>
        <v>0</v>
      </c>
      <c r="F387" s="1196">
        <f>SUMIF(F102:F132,"&gt;0")</f>
        <v>0</v>
      </c>
    </row>
    <row r="388" spans="2:6">
      <c r="B388" s="1195" t="s">
        <v>179</v>
      </c>
      <c r="C388" s="1196">
        <f>SUMIF(C134:C165,"&gt;0")</f>
        <v>0</v>
      </c>
      <c r="D388" s="1196">
        <f>SUMIF(D134:D165,"&gt;0")</f>
        <v>0</v>
      </c>
      <c r="E388" s="1196">
        <f>SUMIF(E134:E165,"&gt;0")</f>
        <v>0</v>
      </c>
      <c r="F388" s="1196">
        <f>SUMIF(F134:F165,"&gt;0")</f>
        <v>0</v>
      </c>
    </row>
    <row r="389" spans="2:6">
      <c r="B389" s="1195" t="s">
        <v>181</v>
      </c>
      <c r="C389" s="1196">
        <f>SUMIF(C167:C197,"&gt;0")</f>
        <v>0</v>
      </c>
      <c r="D389" s="1196">
        <f>SUMIF(D167:D197,"&gt;0")</f>
        <v>0</v>
      </c>
      <c r="E389" s="1196">
        <f>SUMIF(E167:E197,"&gt;0")</f>
        <v>0</v>
      </c>
      <c r="F389" s="1196">
        <f>SUMIF(F167:F197,"&gt;0")</f>
        <v>0</v>
      </c>
    </row>
    <row r="390" spans="2:6">
      <c r="B390" s="1195" t="s">
        <v>182</v>
      </c>
      <c r="C390" s="1196">
        <f>SUMIF(C199:C230,"&gt;0")</f>
        <v>0</v>
      </c>
      <c r="D390" s="1196">
        <f>SUMIF(D199:D230,"&gt;0")</f>
        <v>0</v>
      </c>
      <c r="E390" s="1196">
        <f>SUMIF(E199:E230,"&gt;0")</f>
        <v>0</v>
      </c>
      <c r="F390" s="1196">
        <f>SUMIF(F199:F230,"&gt;0")</f>
        <v>0</v>
      </c>
    </row>
    <row r="391" spans="2:6">
      <c r="B391" s="1195" t="s">
        <v>183</v>
      </c>
      <c r="C391" s="1196">
        <f>SUMIF(C232:C263,"&gt;0")</f>
        <v>0</v>
      </c>
      <c r="D391" s="1196">
        <f>SUMIF(D232:D263,"&gt;0")</f>
        <v>0</v>
      </c>
      <c r="E391" s="1196">
        <f>SUMIF(E232:E263,"&gt;0")</f>
        <v>0</v>
      </c>
      <c r="F391" s="1196">
        <f>SUMIF(F232:F263,"&gt;0")</f>
        <v>0</v>
      </c>
    </row>
    <row r="392" spans="2:6">
      <c r="B392" s="1195" t="s">
        <v>184</v>
      </c>
      <c r="C392" s="1196">
        <f>SUMIF(C265:C295,"&gt;0")</f>
        <v>0</v>
      </c>
      <c r="D392" s="1196">
        <f>SUMIF(D265:D295,"&gt;0")</f>
        <v>55</v>
      </c>
      <c r="E392" s="1196">
        <f>SUMIF(E265:E295,"&gt;0")</f>
        <v>0</v>
      </c>
      <c r="F392" s="1196">
        <f>SUMIF(F265:F295,"&gt;0")</f>
        <v>33</v>
      </c>
    </row>
    <row r="393" spans="2:6">
      <c r="B393" s="1195" t="s">
        <v>185</v>
      </c>
      <c r="C393" s="1196">
        <f>SUMIF(C297:C328,"&gt;0")</f>
        <v>0</v>
      </c>
      <c r="D393" s="1196">
        <f>SUMIF(D297:D328,"&gt;0")</f>
        <v>0</v>
      </c>
      <c r="E393" s="1196">
        <f>SUMIF(E297:E328,"&gt;0")</f>
        <v>0</v>
      </c>
      <c r="F393" s="1196">
        <f>SUMIF(F297:F328,"&gt;0")</f>
        <v>17</v>
      </c>
    </row>
    <row r="394" spans="2:6">
      <c r="B394" s="1195" t="s">
        <v>186</v>
      </c>
      <c r="C394" s="1196">
        <f>SUMIF(C330:C360,"&gt;0")</f>
        <v>0</v>
      </c>
      <c r="D394" s="1196">
        <f>SUMIF(D330:D360,"&gt;0")</f>
        <v>0</v>
      </c>
      <c r="E394" s="1196">
        <f>SUMIF(E330:E360,"&gt;0")</f>
        <v>0</v>
      </c>
      <c r="F394" s="1196">
        <f>SUMIF(F330:F360,"&gt;0")</f>
        <v>0</v>
      </c>
    </row>
    <row r="395" spans="2:6" ht="15" thickBot="1">
      <c r="B395" s="1197" t="s">
        <v>187</v>
      </c>
      <c r="C395" s="1198">
        <f>SUMIF(C362:C382,"&gt;0")</f>
        <v>0</v>
      </c>
      <c r="D395" s="1198">
        <f>SUMIF(D362:D382,"&gt;0")</f>
        <v>0</v>
      </c>
      <c r="E395" s="1198">
        <f>SUMIF(E352:E382,"&gt;0")</f>
        <v>0</v>
      </c>
      <c r="F395" s="1198">
        <f>SUMIF(F362:F382,"&gt;0")</f>
        <v>0</v>
      </c>
    </row>
    <row r="396" spans="2:6" ht="15" thickBot="1">
      <c r="B396" s="1199" t="s">
        <v>229</v>
      </c>
      <c r="C396" s="1200">
        <f>SUM(C384:C395)</f>
        <v>110</v>
      </c>
      <c r="D396" s="1200">
        <f>SUM(D384:D395)</f>
        <v>165</v>
      </c>
      <c r="E396" s="1200">
        <f>SUM(E384:E395)</f>
        <v>0</v>
      </c>
      <c r="F396" s="1200">
        <f>SUM(F384:F395)</f>
        <v>50</v>
      </c>
    </row>
  </sheetData>
  <mergeCells count="1">
    <mergeCell ref="B5:F5"/>
  </mergeCells>
  <pageMargins left="0.7" right="0.7" top="0.75" bottom="0.75" header="0.3" footer="0.3"/>
  <pageSetup orientation="portrait" r:id="rId1"/>
  <ignoredErrors>
    <ignoredError sqref="E395"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C000"/>
  </sheetPr>
  <dimension ref="B60:E89"/>
  <sheetViews>
    <sheetView showGridLines="0" topLeftCell="D65" zoomScale="70" zoomScaleNormal="70" zoomScaleSheetLayoutView="50" workbookViewId="0">
      <selection activeCell="X18" sqref="X18"/>
    </sheetView>
  </sheetViews>
  <sheetFormatPr baseColWidth="10" defaultRowHeight="14.5"/>
  <cols>
    <col min="1" max="1" width="5.453125" customWidth="1"/>
    <col min="2" max="2" width="4.54296875" customWidth="1"/>
    <col min="12" max="12" width="7.453125" customWidth="1"/>
  </cols>
  <sheetData>
    <row r="60" spans="2:5">
      <c r="B60" s="417"/>
      <c r="C60" s="419"/>
      <c r="D60" s="419"/>
      <c r="E60" s="419"/>
    </row>
    <row r="61" spans="2:5">
      <c r="B61" s="417"/>
      <c r="C61" s="419"/>
      <c r="D61" s="419"/>
      <c r="E61" s="419"/>
    </row>
    <row r="62" spans="2:5">
      <c r="B62" s="417"/>
      <c r="C62" s="419"/>
      <c r="D62" s="419"/>
      <c r="E62" s="419"/>
    </row>
    <row r="63" spans="2:5">
      <c r="B63" s="417"/>
      <c r="C63" s="419"/>
      <c r="D63" s="419"/>
      <c r="E63" s="419"/>
    </row>
    <row r="64" spans="2:5">
      <c r="B64" s="417"/>
      <c r="C64" s="419"/>
      <c r="D64" s="419"/>
      <c r="E64" s="419"/>
    </row>
    <row r="65" spans="2:5">
      <c r="B65" s="417"/>
      <c r="C65" s="419"/>
      <c r="D65" s="419"/>
      <c r="E65" s="419"/>
    </row>
    <row r="66" spans="2:5">
      <c r="B66" s="417"/>
      <c r="C66" s="419"/>
      <c r="D66" s="419"/>
      <c r="E66" s="419"/>
    </row>
    <row r="67" spans="2:5">
      <c r="B67" s="417"/>
      <c r="C67" s="419"/>
      <c r="D67" s="419"/>
      <c r="E67" s="419"/>
    </row>
    <row r="68" spans="2:5">
      <c r="B68" s="417"/>
      <c r="C68" s="419"/>
      <c r="D68" s="419"/>
      <c r="E68" s="419"/>
    </row>
    <row r="69" spans="2:5">
      <c r="B69" s="417"/>
      <c r="C69" s="419"/>
      <c r="D69" s="419"/>
      <c r="E69" s="419"/>
    </row>
    <row r="70" spans="2:5">
      <c r="B70" s="417"/>
      <c r="C70" s="419"/>
      <c r="D70" s="419"/>
      <c r="E70" s="419"/>
    </row>
    <row r="71" spans="2:5">
      <c r="B71" s="417"/>
      <c r="C71" s="419"/>
      <c r="D71" s="419"/>
      <c r="E71" s="419"/>
    </row>
    <row r="72" spans="2:5">
      <c r="B72" s="417"/>
      <c r="C72" s="419"/>
      <c r="D72" s="419"/>
      <c r="E72" s="419"/>
    </row>
    <row r="73" spans="2:5">
      <c r="B73" s="417"/>
      <c r="C73" s="419"/>
      <c r="D73" s="419"/>
      <c r="E73" s="419"/>
    </row>
    <row r="74" spans="2:5">
      <c r="B74" s="417"/>
      <c r="C74" s="419"/>
      <c r="D74" s="419"/>
      <c r="E74" s="419"/>
    </row>
    <row r="75" spans="2:5">
      <c r="B75" s="417"/>
      <c r="C75" s="419"/>
      <c r="D75" s="419"/>
      <c r="E75" s="419"/>
    </row>
    <row r="76" spans="2:5">
      <c r="B76" s="417"/>
      <c r="C76" s="419"/>
      <c r="D76" s="419"/>
      <c r="E76" s="419"/>
    </row>
    <row r="77" spans="2:5">
      <c r="B77" s="417"/>
      <c r="C77" s="419"/>
      <c r="D77" s="419"/>
      <c r="E77" s="419"/>
    </row>
    <row r="78" spans="2:5">
      <c r="B78" s="417"/>
      <c r="C78" s="419"/>
      <c r="D78" s="419"/>
      <c r="E78" s="419"/>
    </row>
    <row r="79" spans="2:5">
      <c r="B79" s="417"/>
      <c r="C79" s="419"/>
      <c r="D79" s="419"/>
      <c r="E79" s="419"/>
    </row>
    <row r="80" spans="2:5">
      <c r="B80" s="417"/>
      <c r="C80" s="419"/>
      <c r="D80" s="419"/>
      <c r="E80" s="419"/>
    </row>
    <row r="81" spans="2:5">
      <c r="B81" s="417"/>
      <c r="C81" s="419"/>
      <c r="D81" s="419"/>
      <c r="E81" s="419"/>
    </row>
    <row r="82" spans="2:5">
      <c r="B82" s="417"/>
      <c r="C82" s="419"/>
      <c r="D82" s="419"/>
      <c r="E82" s="419"/>
    </row>
    <row r="83" spans="2:5">
      <c r="B83" s="417"/>
      <c r="C83" s="419"/>
      <c r="D83" s="419"/>
      <c r="E83" s="419"/>
    </row>
    <row r="84" spans="2:5">
      <c r="B84" s="417"/>
      <c r="C84" s="419"/>
      <c r="D84" s="419"/>
      <c r="E84" s="419"/>
    </row>
    <row r="85" spans="2:5">
      <c r="B85" s="417"/>
      <c r="C85" s="419"/>
      <c r="D85" s="419"/>
      <c r="E85" s="419"/>
    </row>
    <row r="86" spans="2:5">
      <c r="B86" s="417"/>
      <c r="C86" s="419"/>
      <c r="D86" s="419"/>
      <c r="E86" s="419"/>
    </row>
    <row r="87" spans="2:5">
      <c r="B87" s="417"/>
      <c r="C87" s="419"/>
      <c r="D87" s="419"/>
      <c r="E87" s="419"/>
    </row>
    <row r="88" spans="2:5">
      <c r="B88" s="417"/>
      <c r="C88" s="419"/>
      <c r="D88" s="419"/>
      <c r="E88" s="419"/>
    </row>
    <row r="89" spans="2:5">
      <c r="B89" s="417"/>
      <c r="C89" s="419"/>
      <c r="D89" s="419"/>
      <c r="E89" s="419"/>
    </row>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FF0000"/>
  </sheetPr>
  <dimension ref="A1:AC438"/>
  <sheetViews>
    <sheetView showGridLines="0" topLeftCell="H1" zoomScale="80" zoomScaleNormal="80" workbookViewId="0">
      <pane ySplit="10" topLeftCell="A297" activePane="bottomLeft" state="frozen"/>
      <selection activeCell="B23" sqref="B23"/>
      <selection pane="bottomLeft" activeCell="P392" sqref="P392"/>
    </sheetView>
  </sheetViews>
  <sheetFormatPr baseColWidth="10" defaultColWidth="11.453125" defaultRowHeight="14.5"/>
  <cols>
    <col min="1" max="1" width="1" style="1043" customWidth="1"/>
    <col min="2" max="2" width="12.81640625" style="1043" customWidth="1"/>
    <col min="3" max="3" width="13.54296875" style="1043" customWidth="1"/>
    <col min="4" max="4" width="13.1796875" style="1043" customWidth="1"/>
    <col min="5" max="5" width="13.54296875" style="1043" bestFit="1" customWidth="1"/>
    <col min="6" max="6" width="15.54296875" style="1043" customWidth="1"/>
    <col min="7" max="7" width="13.453125" style="1043" customWidth="1"/>
    <col min="8" max="9" width="15.453125" style="1043" customWidth="1"/>
    <col min="10" max="10" width="17.1796875" style="1043" customWidth="1"/>
    <col min="11" max="11" width="14.453125" style="1043" bestFit="1" customWidth="1"/>
    <col min="12" max="12" width="11.453125" style="1043" customWidth="1"/>
    <col min="13" max="13" width="15.81640625" style="1043" customWidth="1"/>
    <col min="14" max="14" width="18.1796875" style="1043" customWidth="1"/>
    <col min="15" max="15" width="15.90625" style="1043" bestFit="1" customWidth="1"/>
    <col min="16" max="16" width="13.453125" style="1043" customWidth="1"/>
    <col min="17" max="17" width="8.1796875" style="89" bestFit="1" customWidth="1"/>
    <col min="18" max="22" width="11.453125" style="1043" customWidth="1"/>
    <col min="23" max="24" width="11.453125" style="1043"/>
    <col min="25" max="25" width="11.453125" style="1043" customWidth="1"/>
    <col min="26" max="27" width="11.453125" style="1043"/>
    <col min="28" max="28" width="11.453125" style="1043" customWidth="1"/>
    <col min="29" max="16384" width="11.453125" style="1043"/>
  </cols>
  <sheetData>
    <row r="1" spans="1:29" ht="4.5" customHeight="1" thickBot="1"/>
    <row r="2" spans="1:29" ht="22" customHeight="1" thickTop="1">
      <c r="A2" s="112"/>
      <c r="B2" s="2491"/>
      <c r="C2" s="2491"/>
      <c r="D2" s="2491"/>
      <c r="E2" s="2491"/>
      <c r="F2" s="2472" t="s">
        <v>1000</v>
      </c>
      <c r="G2" s="2473"/>
      <c r="H2" s="2473"/>
      <c r="I2" s="2473"/>
      <c r="J2" s="2473"/>
      <c r="K2" s="2473"/>
      <c r="L2" s="2473"/>
      <c r="M2" s="2473"/>
      <c r="N2" s="2473"/>
      <c r="O2" s="2474"/>
      <c r="P2" s="2472"/>
      <c r="Q2" s="2473"/>
      <c r="R2" s="2474"/>
      <c r="S2" s="1271"/>
      <c r="T2" s="1271"/>
      <c r="U2" s="1271"/>
      <c r="V2" s="1271"/>
      <c r="W2" s="1271"/>
      <c r="X2" s="1271"/>
      <c r="Y2" s="1271"/>
      <c r="Z2" s="1271"/>
      <c r="AA2" s="1271"/>
      <c r="AB2" s="1271"/>
      <c r="AC2" s="1271"/>
    </row>
    <row r="3" spans="1:29" ht="14.5" customHeight="1">
      <c r="B3" s="2492"/>
      <c r="C3" s="2492"/>
      <c r="D3" s="2492"/>
      <c r="E3" s="2492"/>
      <c r="F3" s="2475"/>
      <c r="G3" s="2476"/>
      <c r="H3" s="2476"/>
      <c r="I3" s="2476"/>
      <c r="J3" s="2476"/>
      <c r="K3" s="2476"/>
      <c r="L3" s="2476"/>
      <c r="M3" s="2476"/>
      <c r="N3" s="2476"/>
      <c r="O3" s="2477"/>
      <c r="P3" s="2475"/>
      <c r="Q3" s="2476"/>
      <c r="R3" s="2477"/>
      <c r="S3" s="1271"/>
      <c r="T3" s="1271"/>
      <c r="U3" s="1271"/>
      <c r="V3" s="1271"/>
      <c r="W3" s="1271"/>
      <c r="X3" s="1271"/>
      <c r="Y3" s="1271"/>
      <c r="Z3" s="1271"/>
      <c r="AA3" s="1271"/>
      <c r="AB3" s="1271"/>
      <c r="AC3" s="1271"/>
    </row>
    <row r="4" spans="1:29" ht="14.5" customHeight="1">
      <c r="B4" s="2492"/>
      <c r="C4" s="2492"/>
      <c r="D4" s="2492"/>
      <c r="E4" s="2492"/>
      <c r="F4" s="2475"/>
      <c r="G4" s="2476"/>
      <c r="H4" s="2476"/>
      <c r="I4" s="2476"/>
      <c r="J4" s="2476"/>
      <c r="K4" s="2476"/>
      <c r="L4" s="2476"/>
      <c r="M4" s="2476"/>
      <c r="N4" s="2476"/>
      <c r="O4" s="2477"/>
      <c r="P4" s="2475"/>
      <c r="Q4" s="2476"/>
      <c r="R4" s="2477"/>
      <c r="S4" s="1271"/>
      <c r="T4" s="1271"/>
      <c r="U4" s="1271"/>
      <c r="V4" s="1271"/>
      <c r="W4" s="1271"/>
      <c r="X4" s="1271"/>
      <c r="Y4" s="1271"/>
      <c r="Z4" s="1271"/>
      <c r="AA4" s="1271"/>
      <c r="AB4" s="1271"/>
      <c r="AC4" s="1271"/>
    </row>
    <row r="5" spans="1:29" ht="15" customHeight="1" thickBot="1">
      <c r="B5" s="2493"/>
      <c r="C5" s="2493"/>
      <c r="D5" s="2493"/>
      <c r="E5" s="2493"/>
      <c r="F5" s="2478"/>
      <c r="G5" s="2479"/>
      <c r="H5" s="2479"/>
      <c r="I5" s="2479"/>
      <c r="J5" s="2479"/>
      <c r="K5" s="2479"/>
      <c r="L5" s="2479"/>
      <c r="M5" s="2479"/>
      <c r="N5" s="2479"/>
      <c r="O5" s="2480"/>
      <c r="P5" s="2478"/>
      <c r="Q5" s="2479"/>
      <c r="R5" s="2480"/>
      <c r="S5" s="1271"/>
      <c r="T5" s="1271"/>
      <c r="U5" s="1271"/>
      <c r="V5" s="1271"/>
      <c r="W5" s="1271"/>
      <c r="X5" s="1271"/>
      <c r="Y5" s="1271"/>
      <c r="Z5" s="1271"/>
      <c r="AA5" s="1271"/>
      <c r="AB5" s="1271"/>
      <c r="AC5" s="1271"/>
    </row>
    <row r="6" spans="1:29" ht="22" thickTop="1" thickBot="1">
      <c r="C6" s="2488" t="s">
        <v>974</v>
      </c>
      <c r="D6" s="2489"/>
      <c r="E6" s="2489"/>
      <c r="F6" s="2489"/>
      <c r="G6" s="2489"/>
      <c r="H6" s="2489"/>
      <c r="I6" s="2489"/>
      <c r="J6" s="2489"/>
      <c r="K6" s="2489"/>
      <c r="L6" s="2489"/>
      <c r="M6" s="2489"/>
      <c r="N6" s="2489"/>
      <c r="O6" s="2490"/>
      <c r="P6" s="1735" t="s">
        <v>1068</v>
      </c>
    </row>
    <row r="7" spans="1:29" ht="42.5" customHeight="1" thickBot="1">
      <c r="C7" s="2485" t="s">
        <v>975</v>
      </c>
      <c r="D7" s="2486"/>
      <c r="E7" s="2486"/>
      <c r="F7" s="2486"/>
      <c r="G7" s="2486"/>
      <c r="H7" s="2486"/>
      <c r="I7" s="2486"/>
      <c r="J7" s="2486"/>
      <c r="K7" s="2486"/>
      <c r="L7" s="2486"/>
      <c r="M7" s="2486"/>
      <c r="N7" s="2486"/>
      <c r="O7" s="2487"/>
      <c r="P7" s="1699" t="s">
        <v>1069</v>
      </c>
      <c r="Q7" s="1011" t="s">
        <v>1078</v>
      </c>
    </row>
    <row r="8" spans="1:29" ht="24">
      <c r="B8" s="2494" t="s">
        <v>399</v>
      </c>
      <c r="C8" s="2497" t="s">
        <v>1107</v>
      </c>
      <c r="D8" s="2498"/>
      <c r="E8" s="1004" t="s">
        <v>201</v>
      </c>
      <c r="F8" s="1004" t="s">
        <v>1111</v>
      </c>
      <c r="G8" s="1004" t="s">
        <v>1108</v>
      </c>
      <c r="H8" s="1004" t="s">
        <v>196</v>
      </c>
      <c r="I8" s="1004" t="s">
        <v>198</v>
      </c>
      <c r="J8" s="1004" t="s">
        <v>1109</v>
      </c>
      <c r="K8" s="1004" t="s">
        <v>195</v>
      </c>
      <c r="L8" s="1004" t="s">
        <v>199</v>
      </c>
      <c r="M8" s="1072" t="s">
        <v>1110</v>
      </c>
      <c r="N8" s="1004" t="s">
        <v>163</v>
      </c>
      <c r="O8" s="1004" t="s">
        <v>162</v>
      </c>
      <c r="P8" s="1003" t="s">
        <v>1116</v>
      </c>
      <c r="Q8" s="1003"/>
      <c r="R8" s="1111" t="s">
        <v>1217</v>
      </c>
    </row>
    <row r="9" spans="1:29" s="89" customFormat="1">
      <c r="B9" s="2495"/>
      <c r="C9" s="2499" t="s">
        <v>1046</v>
      </c>
      <c r="D9" s="2500"/>
      <c r="E9" s="1050" t="s">
        <v>981</v>
      </c>
      <c r="F9" s="1050" t="s">
        <v>1049</v>
      </c>
      <c r="G9" s="1050" t="s">
        <v>1051</v>
      </c>
      <c r="H9" s="1050" t="s">
        <v>1053</v>
      </c>
      <c r="I9" s="1050" t="s">
        <v>1055</v>
      </c>
      <c r="J9" s="1050" t="s">
        <v>1057</v>
      </c>
      <c r="K9" s="1050" t="s">
        <v>1059</v>
      </c>
      <c r="L9" s="1050" t="s">
        <v>1061</v>
      </c>
      <c r="M9" s="1073" t="s">
        <v>1063</v>
      </c>
      <c r="N9" s="1050" t="s">
        <v>978</v>
      </c>
      <c r="O9" s="1050" t="s">
        <v>1066</v>
      </c>
      <c r="P9" s="1050" t="s">
        <v>1115</v>
      </c>
      <c r="Q9" s="1050"/>
      <c r="R9" s="1050" t="s">
        <v>974</v>
      </c>
    </row>
    <row r="10" spans="1:29" s="1049" customFormat="1" ht="60">
      <c r="B10" s="2496"/>
      <c r="C10" s="1051" t="s">
        <v>1112</v>
      </c>
      <c r="D10" s="1051" t="s">
        <v>1113</v>
      </c>
      <c r="E10" s="1051" t="s">
        <v>1048</v>
      </c>
      <c r="F10" s="1051" t="s">
        <v>1050</v>
      </c>
      <c r="G10" s="1051" t="s">
        <v>1052</v>
      </c>
      <c r="H10" s="1051" t="s">
        <v>1054</v>
      </c>
      <c r="I10" s="1051" t="s">
        <v>1056</v>
      </c>
      <c r="J10" s="1051" t="s">
        <v>1058</v>
      </c>
      <c r="K10" s="1051" t="s">
        <v>1060</v>
      </c>
      <c r="L10" s="1051" t="s">
        <v>1062</v>
      </c>
      <c r="M10" s="1074" t="s">
        <v>1064</v>
      </c>
      <c r="N10" s="1051" t="s">
        <v>1065</v>
      </c>
      <c r="O10" s="1051" t="s">
        <v>1067</v>
      </c>
      <c r="P10" s="1051" t="s">
        <v>986</v>
      </c>
      <c r="Q10" s="1051" t="s">
        <v>1078</v>
      </c>
      <c r="R10" s="1088" t="s">
        <v>1218</v>
      </c>
    </row>
    <row r="11" spans="1:29">
      <c r="B11" s="220">
        <v>44927</v>
      </c>
      <c r="C11" s="1028">
        <f ca="1">DATOSAÑO!AJ11</f>
        <v>7.2299999999959255</v>
      </c>
      <c r="D11" s="1052">
        <f ca="1">DATOSAÑO!AK11</f>
        <v>14.880000000004657</v>
      </c>
      <c r="E11" s="1052">
        <f ca="1">DATOSAÑO!AD11</f>
        <v>157.19999999995343</v>
      </c>
      <c r="F11" s="1028">
        <v>0</v>
      </c>
      <c r="G11" s="1028">
        <v>0</v>
      </c>
      <c r="H11" s="1052">
        <f ca="1">DATOSAÑO!AI11</f>
        <v>41.92000000000553</v>
      </c>
      <c r="I11" s="1052">
        <f ca="1">DATOSAÑO!CA11</f>
        <v>5.3489999999884938</v>
      </c>
      <c r="J11" s="1028">
        <v>0</v>
      </c>
      <c r="K11" s="1052">
        <f ca="1">DATOSAÑO!AF11</f>
        <v>134.70000000001164</v>
      </c>
      <c r="L11" s="1028">
        <f ca="1">+DATOSAÑO!CB11</f>
        <v>1.8588000000000111</v>
      </c>
      <c r="M11" s="1028">
        <v>0</v>
      </c>
      <c r="N11" s="1028">
        <f ca="1">+DATOSAÑO!AH11</f>
        <v>8.0999999999985448</v>
      </c>
      <c r="O11" s="1052">
        <f ca="1">DATOSAÑO!AL11</f>
        <v>31.64999999997417</v>
      </c>
      <c r="P11" s="1053" t="e">
        <f>+(DATOSAÑO!#REF!)+DATOSAÑO!#REF!</f>
        <v>#REF!</v>
      </c>
      <c r="Q11" s="1052">
        <f ca="1">+DATOSAÑO!BH11</f>
        <v>5.8000000000029104</v>
      </c>
      <c r="R11" s="1201">
        <f ca="1">DATOSAÑO!BJ11+DATOSAÑO!BM11+DATOSAÑO!BP11+DATOSAÑO!BW11+DATOSAÑO!CC11</f>
        <v>21.892199999988208</v>
      </c>
    </row>
    <row r="12" spans="1:29">
      <c r="B12" s="220">
        <v>44928</v>
      </c>
      <c r="C12" s="1028">
        <f ca="1">DATOSAÑO!AJ12</f>
        <v>7.3600000000005821</v>
      </c>
      <c r="D12" s="1052">
        <f ca="1">DATOSAÑO!AK12</f>
        <v>16.100000000005821</v>
      </c>
      <c r="E12" s="1052">
        <f ca="1">DATOSAÑO!AD12</f>
        <v>162.30000000004657</v>
      </c>
      <c r="F12" s="1028">
        <v>0</v>
      </c>
      <c r="G12" s="1028">
        <v>0</v>
      </c>
      <c r="H12" s="1052">
        <f ca="1">DATOSAÑO!AI12</f>
        <v>43.020000000004075</v>
      </c>
      <c r="I12" s="1052">
        <f ca="1">DATOSAÑO!CA12</f>
        <v>3.8430000000173181</v>
      </c>
      <c r="J12" s="1028">
        <v>0</v>
      </c>
      <c r="K12" s="1052">
        <f ca="1">DATOSAÑO!AF12</f>
        <v>142.09999999997672</v>
      </c>
      <c r="L12" s="1028">
        <f ca="1">+DATOSAÑO!CB12</f>
        <v>2.7798000000001748</v>
      </c>
      <c r="M12" s="1028">
        <v>0</v>
      </c>
      <c r="N12" s="1028">
        <f ca="1">+DATOSAÑO!AH12</f>
        <v>11.19999999999709</v>
      </c>
      <c r="O12" s="1052">
        <f ca="1">DATOSAÑO!AL12</f>
        <v>33.070000000027051</v>
      </c>
      <c r="P12" s="1053" t="e">
        <f>+(DATOSAÑO!#REF!)+DATOSAÑO!#REF!</f>
        <v>#REF!</v>
      </c>
      <c r="Q12" s="1052">
        <f ca="1">+DATOSAÑO!BH12</f>
        <v>5</v>
      </c>
      <c r="R12" s="1201">
        <f ca="1">DATOSAÑO!BJ12+DATOSAÑO!BM12+DATOSAÑO!BP12+DATOSAÑO!BW12+DATOSAÑO!CC12</f>
        <v>20.977200000017433</v>
      </c>
    </row>
    <row r="13" spans="1:29">
      <c r="B13" s="220">
        <v>44929</v>
      </c>
      <c r="C13" s="1028">
        <f ca="1">DATOSAÑO!AJ13</f>
        <v>6.680000000007567</v>
      </c>
      <c r="D13" s="1052">
        <f ca="1">DATOSAÑO!AK13</f>
        <v>15.649999999994179</v>
      </c>
      <c r="E13" s="1052">
        <f ca="1">DATOSAÑO!AD13</f>
        <v>162</v>
      </c>
      <c r="F13" s="1028">
        <v>0</v>
      </c>
      <c r="G13" s="1028">
        <v>0</v>
      </c>
      <c r="H13" s="1052">
        <f ca="1">DATOSAÑO!AI13</f>
        <v>43.669999999998254</v>
      </c>
      <c r="I13" s="1052">
        <f ca="1">DATOSAÑO!CA13</f>
        <v>4.0700000000064058</v>
      </c>
      <c r="J13" s="1028">
        <v>0</v>
      </c>
      <c r="K13" s="1052">
        <f ca="1">DATOSAÑO!AF13</f>
        <v>148.90000000002328</v>
      </c>
      <c r="L13" s="1028">
        <f ca="1">+DATOSAÑO!CB13</f>
        <v>2.3867999999997775</v>
      </c>
      <c r="M13" s="1028">
        <v>0</v>
      </c>
      <c r="N13" s="1028">
        <f ca="1">+DATOSAÑO!AH13</f>
        <v>8.7000000000043656</v>
      </c>
      <c r="O13" s="1052">
        <f ca="1">DATOSAÑO!AL13</f>
        <v>33.465999999889561</v>
      </c>
      <c r="P13" s="1053" t="e">
        <f>+(DATOSAÑO!#REF!)+DATOSAÑO!#REF!</f>
        <v>#REF!</v>
      </c>
      <c r="Q13" s="1052">
        <f ca="1">+DATOSAÑO!BH13</f>
        <v>5</v>
      </c>
      <c r="R13" s="1201">
        <f ca="1">DATOSAÑO!BJ13+DATOSAÑO!BM13+DATOSAÑO!BP13+DATOSAÑO!BW13+DATOSAÑO!CC13</f>
        <v>22.04320000000655</v>
      </c>
    </row>
    <row r="14" spans="1:29">
      <c r="B14" s="220">
        <v>44930</v>
      </c>
      <c r="C14" s="1028">
        <f ca="1">DATOSAÑO!AJ14</f>
        <v>8.9099999999889405</v>
      </c>
      <c r="D14" s="1052">
        <f ca="1">DATOSAÑO!AK14</f>
        <v>16.309999999997672</v>
      </c>
      <c r="E14" s="1052">
        <f ca="1">DATOSAÑO!AD14</f>
        <v>162</v>
      </c>
      <c r="F14" s="1028">
        <v>0</v>
      </c>
      <c r="G14" s="1028">
        <v>0</v>
      </c>
      <c r="H14" s="1052">
        <f ca="1">DATOSAÑO!AI14</f>
        <v>45.089999999996508</v>
      </c>
      <c r="I14" s="1052">
        <f ca="1">DATOSAÑO!CA14</f>
        <v>3.6829999999932337</v>
      </c>
      <c r="J14" s="1028">
        <v>0</v>
      </c>
      <c r="K14" s="1052">
        <f ca="1">DATOSAÑO!AF14</f>
        <v>142.59999999997672</v>
      </c>
      <c r="L14" s="1028">
        <f ca="1">+DATOSAÑO!CB14</f>
        <v>2.3334000000003492</v>
      </c>
      <c r="M14" s="1028">
        <v>0</v>
      </c>
      <c r="N14" s="1028">
        <f ca="1">+DATOSAÑO!AH14</f>
        <v>13.19999999999709</v>
      </c>
      <c r="O14" s="1052">
        <f ca="1">DATOSAÑO!AL14</f>
        <v>33.270000000080472</v>
      </c>
      <c r="P14" s="1053" t="e">
        <f>+(DATOSAÑO!#REF!)+DATOSAÑO!#REF!</f>
        <v>#REF!</v>
      </c>
      <c r="Q14" s="1052">
        <f ca="1">+DATOSAÑO!BH14</f>
        <v>4.5999999999985448</v>
      </c>
      <c r="R14" s="1201">
        <f ca="1">DATOSAÑO!BJ14+DATOSAÑO!BM14+DATOSAÑO!BP14+DATOSAÑO!BW14+DATOSAÑO!CC14</f>
        <v>20.883599999993322</v>
      </c>
    </row>
    <row r="15" spans="1:29">
      <c r="B15" s="220">
        <v>44931</v>
      </c>
      <c r="C15" s="1028">
        <f ca="1">DATOSAÑO!AJ15</f>
        <v>10.660000000003492</v>
      </c>
      <c r="D15" s="1052">
        <f ca="1">DATOSAÑO!AK15</f>
        <v>14.799999999988358</v>
      </c>
      <c r="E15" s="1052">
        <f ca="1">DATOSAÑO!AD15</f>
        <v>161.90000000002328</v>
      </c>
      <c r="F15" s="1028">
        <v>0</v>
      </c>
      <c r="G15" s="1028">
        <v>0</v>
      </c>
      <c r="H15" s="1052">
        <f ca="1">DATOSAÑO!AI15</f>
        <v>46.279999999998836</v>
      </c>
      <c r="I15" s="1052">
        <f ca="1">DATOSAÑO!CA15</f>
        <v>1.9430000000121779</v>
      </c>
      <c r="J15" s="1028">
        <v>0</v>
      </c>
      <c r="K15" s="1052">
        <f ca="1">DATOSAÑO!AF15</f>
        <v>149.70000000001164</v>
      </c>
      <c r="L15" s="1028">
        <f ca="1">+DATOSAÑO!CB15</f>
        <v>2.1857999999999018</v>
      </c>
      <c r="M15" s="1028">
        <v>0</v>
      </c>
      <c r="N15" s="1028">
        <f ca="1">+DATOSAÑO!AH15</f>
        <v>4.4000000000014552</v>
      </c>
      <c r="O15" s="1052">
        <f ca="1">DATOSAÑO!AL15</f>
        <v>35.15999999994915</v>
      </c>
      <c r="P15" s="1053" t="e">
        <f>+(DATOSAÑO!#REF!)+DATOSAÑO!#REF!</f>
        <v>#REF!</v>
      </c>
      <c r="Q15" s="1052">
        <f ca="1">+DATOSAÑO!BH15</f>
        <v>5.4000000000014552</v>
      </c>
      <c r="R15" s="1201">
        <f ca="1">DATOSAÑO!BJ15+DATOSAÑO!BM15+DATOSAÑO!BP15+DATOSAÑO!BW15+DATOSAÑO!CC15</f>
        <v>20.971200000011933</v>
      </c>
    </row>
    <row r="16" spans="1:29">
      <c r="B16" s="220">
        <v>44932</v>
      </c>
      <c r="C16" s="1028">
        <f ca="1">DATOSAÑO!AJ16</f>
        <v>10.5</v>
      </c>
      <c r="D16" s="1052">
        <f ca="1">DATOSAÑO!AK16</f>
        <v>15</v>
      </c>
      <c r="E16" s="1052">
        <f ca="1">DATOSAÑO!AD16</f>
        <v>165.29999999993015</v>
      </c>
      <c r="F16" s="1028">
        <v>0</v>
      </c>
      <c r="G16" s="1028">
        <v>0</v>
      </c>
      <c r="H16" s="1052">
        <f ca="1">DATOSAÑO!AI16</f>
        <v>38.200000000004366</v>
      </c>
      <c r="I16" s="1052">
        <f ca="1">DATOSAÑO!CA16</f>
        <v>3.0924999999885401</v>
      </c>
      <c r="J16" s="1028">
        <v>0</v>
      </c>
      <c r="K16" s="1052">
        <f ca="1">DATOSAÑO!AF16</f>
        <v>25.5</v>
      </c>
      <c r="L16" s="1028">
        <f ca="1">+DATOSAÑO!CB16</f>
        <v>1.6583999999998909</v>
      </c>
      <c r="M16" s="1028">
        <v>0</v>
      </c>
      <c r="N16" s="1028">
        <f ca="1">+DATOSAÑO!AH16</f>
        <v>10.599999999998545</v>
      </c>
      <c r="O16" s="1052">
        <f ca="1">DATOSAÑO!AL16</f>
        <v>33.200000000135333</v>
      </c>
      <c r="P16" s="1053" t="e">
        <f>+(DATOSAÑO!#REF!)+DATOSAÑO!#REF!</f>
        <v>#REF!</v>
      </c>
      <c r="Q16" s="1052">
        <f ca="1">+DATOSAÑO!BH16</f>
        <v>5.6999999999970896</v>
      </c>
      <c r="R16" s="1201">
        <f ca="1">DATOSAÑO!BJ16+DATOSAÑO!BM16+DATOSAÑO!BP16+DATOSAÑO!BW16+DATOSAÑO!CC16</f>
        <v>18.44909999998865</v>
      </c>
    </row>
    <row r="17" spans="2:18">
      <c r="B17" s="220">
        <v>44933</v>
      </c>
      <c r="C17" s="1028">
        <f ca="1">DATOSAÑO!AJ17</f>
        <v>11</v>
      </c>
      <c r="D17" s="1052">
        <f ca="1">DATOSAÑO!AK17</f>
        <v>14.899999999994179</v>
      </c>
      <c r="E17" s="1052">
        <f ca="1">DATOSAÑO!AD17</f>
        <v>166.90000000002328</v>
      </c>
      <c r="F17" s="1028">
        <v>0</v>
      </c>
      <c r="G17" s="1028">
        <v>0</v>
      </c>
      <c r="H17" s="1052">
        <f ca="1">DATOSAÑO!AI17</f>
        <v>29.80000000000291</v>
      </c>
      <c r="I17" s="1052">
        <f ca="1">DATOSAÑO!CA17</f>
        <v>2.2469999999818953</v>
      </c>
      <c r="J17" s="1028">
        <v>0</v>
      </c>
      <c r="K17" s="1052">
        <f ca="1">DATOSAÑO!AF17</f>
        <v>95.200000000011642</v>
      </c>
      <c r="L17" s="1028">
        <f ca="1">+DATOSAÑO!CB17</f>
        <v>1.5798000000000061</v>
      </c>
      <c r="M17" s="1028">
        <v>0</v>
      </c>
      <c r="N17" s="1028">
        <f ca="1">+DATOSAÑO!AH17</f>
        <v>5.5</v>
      </c>
      <c r="O17" s="1052">
        <f ca="1">DATOSAÑO!AL17</f>
        <v>32.217999999911626</v>
      </c>
      <c r="P17" s="1053" t="e">
        <f>+(DATOSAÑO!#REF!)+DATOSAÑO!#REF!</f>
        <v>#REF!</v>
      </c>
      <c r="Q17" s="1052">
        <f ca="1">+DATOSAÑO!BH17</f>
        <v>5.2000000000043656</v>
      </c>
      <c r="R17" s="1201">
        <f ca="1">DATOSAÑO!BJ17+DATOSAÑO!BM17+DATOSAÑO!BP17+DATOSAÑO!BW17+DATOSAÑO!CC17</f>
        <v>12.773199999982081</v>
      </c>
    </row>
    <row r="18" spans="2:18">
      <c r="B18" s="220">
        <v>44934</v>
      </c>
      <c r="C18" s="1028">
        <f ca="1">DATOSAÑO!AJ18</f>
        <v>7.9000000000087311</v>
      </c>
      <c r="D18" s="1052">
        <f ca="1">DATOSAÑO!AK18</f>
        <v>15.5</v>
      </c>
      <c r="E18" s="1052">
        <f ca="1">DATOSAÑO!AD18</f>
        <v>165.90000000002328</v>
      </c>
      <c r="F18" s="1028">
        <v>0</v>
      </c>
      <c r="G18" s="1028">
        <v>0</v>
      </c>
      <c r="H18" s="1052">
        <f ca="1">DATOSAÑO!AI18</f>
        <v>31.19999999999709</v>
      </c>
      <c r="I18" s="1052">
        <f ca="1">DATOSAÑO!CA18</f>
        <v>4.2435000000300134</v>
      </c>
      <c r="J18" s="1028">
        <v>0</v>
      </c>
      <c r="K18" s="1052">
        <f ca="1">DATOSAÑO!AF18</f>
        <v>146.09999999997672</v>
      </c>
      <c r="L18" s="1028">
        <f ca="1">+DATOSAÑO!CB18</f>
        <v>2.0597999999997816</v>
      </c>
      <c r="M18" s="1028">
        <v>0</v>
      </c>
      <c r="N18" s="1028">
        <f ca="1">+DATOSAÑO!AH18</f>
        <v>14.30000000000291</v>
      </c>
      <c r="O18" s="1052">
        <f ca="1">DATOSAÑO!AL18</f>
        <v>32.099999999954946</v>
      </c>
      <c r="P18" s="1053" t="e">
        <f>+(DATOSAÑO!#REF!)+DATOSAÑO!#REF!</f>
        <v>#REF!</v>
      </c>
      <c r="Q18" s="1052">
        <f ca="1">+DATOSAÑO!BH18</f>
        <v>4.5</v>
      </c>
      <c r="R18" s="1201">
        <f ca="1">DATOSAÑO!BJ18+DATOSAÑO!BM18+DATOSAÑO!BP18+DATOSAÑO!BW18+DATOSAÑO!CC18</f>
        <v>21.496700000029506</v>
      </c>
    </row>
    <row r="19" spans="2:18">
      <c r="B19" s="220">
        <v>44935</v>
      </c>
      <c r="C19" s="1028">
        <f ca="1">DATOSAÑO!AJ19</f>
        <v>7.7999999999883585</v>
      </c>
      <c r="D19" s="1052">
        <f ca="1">DATOSAÑO!AK19</f>
        <v>15.800000000017462</v>
      </c>
      <c r="E19" s="1052">
        <f ca="1">DATOSAÑO!AD19</f>
        <v>159.59999999997672</v>
      </c>
      <c r="F19" s="1028">
        <v>0</v>
      </c>
      <c r="G19" s="1028">
        <v>0</v>
      </c>
      <c r="H19" s="1052">
        <f ca="1">DATOSAÑO!AI19</f>
        <v>31.999999999992724</v>
      </c>
      <c r="I19" s="1052">
        <f ca="1">DATOSAÑO!CA19</f>
        <v>4.0024999999823097</v>
      </c>
      <c r="J19" s="1028">
        <v>0</v>
      </c>
      <c r="K19" s="1052">
        <f ca="1">DATOSAÑO!AF19</f>
        <v>139.60000000003492</v>
      </c>
      <c r="L19" s="1028">
        <f ca="1">+DATOSAÑO!CB19</f>
        <v>2.081400000000273</v>
      </c>
      <c r="M19" s="1028">
        <v>0</v>
      </c>
      <c r="N19" s="1028">
        <f ca="1">+DATOSAÑO!AH19</f>
        <v>15.399999999994179</v>
      </c>
      <c r="O19" s="1052">
        <f ca="1">DATOSAÑO!AL19</f>
        <v>37.406000000075608</v>
      </c>
      <c r="P19" s="1053" t="e">
        <f>+(DATOSAÑO!#REF!)+DATOSAÑO!#REF!</f>
        <v>#REF!</v>
      </c>
      <c r="Q19" s="1052">
        <f ca="1">+DATOSAÑO!BH19</f>
        <v>4.9000000000014552</v>
      </c>
      <c r="R19" s="1201">
        <f ca="1">DATOSAÑO!BJ19+DATOSAÑO!BM19+DATOSAÑO!BP19+DATOSAÑO!BW19+DATOSAÑO!CC19</f>
        <v>22.316099999982491</v>
      </c>
    </row>
    <row r="20" spans="2:18">
      <c r="B20" s="220">
        <v>44936</v>
      </c>
      <c r="C20" s="1028">
        <f ca="1">DATOSAÑO!AJ20</f>
        <v>7.4000000000087311</v>
      </c>
      <c r="D20" s="1052">
        <f ca="1">DATOSAÑO!AK20</f>
        <v>14.399999999994179</v>
      </c>
      <c r="E20" s="1052">
        <f ca="1">DATOSAÑO!AD20</f>
        <v>161.30000000004657</v>
      </c>
      <c r="F20" s="1028">
        <v>0</v>
      </c>
      <c r="G20" s="1028">
        <v>0</v>
      </c>
      <c r="H20" s="1052">
        <f ca="1">DATOSAÑO!AI20</f>
        <v>39.300000000010186</v>
      </c>
      <c r="I20" s="1052">
        <f ca="1">DATOSAÑO!CA20</f>
        <v>4.0310000000053652</v>
      </c>
      <c r="J20" s="1028">
        <v>0</v>
      </c>
      <c r="K20" s="1052">
        <f ca="1">DATOSAÑO!AF20</f>
        <v>138.19999999995343</v>
      </c>
      <c r="L20" s="1028">
        <f ca="1">+DATOSAÑO!CB20</f>
        <v>1.8899999999998909</v>
      </c>
      <c r="M20" s="1028">
        <v>0</v>
      </c>
      <c r="N20" s="1028">
        <f ca="1">+DATOSAÑO!AH20</f>
        <v>8.9000000000014552</v>
      </c>
      <c r="O20" s="1052">
        <f ca="1">DATOSAÑO!AL20</f>
        <v>32.399999999954218</v>
      </c>
      <c r="P20" s="1053" t="e">
        <f>+(DATOSAÑO!#REF!)+DATOSAÑO!#REF!</f>
        <v>#REF!</v>
      </c>
      <c r="Q20" s="1052">
        <f ca="1">+DATOSAÑO!BH20</f>
        <v>5.3999999999941792</v>
      </c>
      <c r="R20" s="1201">
        <f ca="1">DATOSAÑO!BJ20+DATOSAÑO!BM20+DATOSAÑO!BP20+DATOSAÑO!BW20+DATOSAÑO!CC20</f>
        <v>22.079000000005657</v>
      </c>
    </row>
    <row r="21" spans="2:18">
      <c r="B21" s="220">
        <v>44937</v>
      </c>
      <c r="C21" s="1028">
        <f ca="1">DATOSAÑO!AJ21</f>
        <v>7.8999999999941792</v>
      </c>
      <c r="D21" s="1052">
        <f ca="1">DATOSAÑO!AK21</f>
        <v>13.899999999994179</v>
      </c>
      <c r="E21" s="1052">
        <f ca="1">DATOSAÑO!AD21</f>
        <v>162.59999999997672</v>
      </c>
      <c r="F21" s="1028">
        <v>0</v>
      </c>
      <c r="G21" s="1028">
        <v>0</v>
      </c>
      <c r="H21" s="1052">
        <f ca="1">DATOSAÑO!AI21</f>
        <v>43.799999999995634</v>
      </c>
      <c r="I21" s="1052">
        <f ca="1">DATOSAÑO!CA21</f>
        <v>4.9275000000000917</v>
      </c>
      <c r="J21" s="1028">
        <v>0</v>
      </c>
      <c r="K21" s="1052">
        <f ca="1">DATOSAÑO!AF21</f>
        <v>138.80000000004657</v>
      </c>
      <c r="L21" s="1028">
        <f ca="1">+DATOSAÑO!CB21</f>
        <v>1.3584000000001091</v>
      </c>
      <c r="M21" s="1028">
        <v>0</v>
      </c>
      <c r="N21" s="1028">
        <f ca="1">+DATOSAÑO!AH21</f>
        <v>5.4000000000014552</v>
      </c>
      <c r="O21" s="1052">
        <f ca="1">DATOSAÑO!AL21</f>
        <v>30.699999999988052</v>
      </c>
      <c r="P21" s="1053" t="e">
        <f>+(DATOSAÑO!#REF!)+DATOSAÑO!#REF!</f>
        <v>#REF!</v>
      </c>
      <c r="Q21" s="1052">
        <f ca="1">+DATOSAÑO!BH21</f>
        <v>5.5</v>
      </c>
      <c r="R21" s="1201">
        <f ca="1">DATOSAÑO!BJ21+DATOSAÑO!BM21+DATOSAÑO!BP21+DATOSAÑO!BW21+DATOSAÑO!CC21</f>
        <v>22.814100000000163</v>
      </c>
    </row>
    <row r="22" spans="2:18">
      <c r="B22" s="220">
        <v>44938</v>
      </c>
      <c r="C22" s="1028">
        <f ca="1">DATOSAÑO!AJ22</f>
        <v>7.8000000000029104</v>
      </c>
      <c r="D22" s="1052">
        <f ca="1">DATOSAÑO!AK22</f>
        <v>15.100000000005821</v>
      </c>
      <c r="E22" s="1052">
        <f ca="1">DATOSAÑO!AD22</f>
        <v>169.59999999997672</v>
      </c>
      <c r="F22" s="1028">
        <v>0</v>
      </c>
      <c r="G22" s="1028">
        <v>0</v>
      </c>
      <c r="H22" s="1052">
        <f ca="1">DATOSAÑO!AI22</f>
        <v>42.69999999999709</v>
      </c>
      <c r="I22" s="1052">
        <f ca="1">DATOSAÑO!CA22</f>
        <v>5.3650000000004603</v>
      </c>
      <c r="J22" s="1028">
        <v>0</v>
      </c>
      <c r="K22" s="1052">
        <f ca="1">DATOSAÑO!AF22</f>
        <v>137.59999999997672</v>
      </c>
      <c r="L22" s="1028">
        <f ca="1">+DATOSAÑO!CB22</f>
        <v>1.4873999999999952</v>
      </c>
      <c r="M22" s="1028">
        <v>0</v>
      </c>
      <c r="N22" s="1028">
        <f ca="1">+DATOSAÑO!AH22</f>
        <v>9.1999999999970896</v>
      </c>
      <c r="O22" s="1052">
        <f ca="1">DATOSAÑO!AL22</f>
        <v>39.800000000044747</v>
      </c>
      <c r="P22" s="1053" t="e">
        <f>+(DATOSAÑO!#REF!)+DATOSAÑO!#REF!</f>
        <v>#REF!</v>
      </c>
      <c r="Q22" s="1052">
        <f ca="1">+DATOSAÑO!BH22</f>
        <v>5.8000000000029104</v>
      </c>
      <c r="R22" s="1201">
        <f ca="1">DATOSAÑO!BJ22+DATOSAÑO!BM22+DATOSAÑO!BP22+DATOSAÑO!BW22+DATOSAÑO!CC22</f>
        <v>23.747599999999913</v>
      </c>
    </row>
    <row r="23" spans="2:18">
      <c r="B23" s="220">
        <v>44939</v>
      </c>
      <c r="C23" s="1028">
        <f ca="1">DATOSAÑO!AJ23</f>
        <v>8.5</v>
      </c>
      <c r="D23" s="1052">
        <f ca="1">DATOSAÑO!AK23</f>
        <v>16.5</v>
      </c>
      <c r="E23" s="1052">
        <f ca="1">DATOSAÑO!AD23</f>
        <v>167</v>
      </c>
      <c r="F23" s="1028">
        <v>0</v>
      </c>
      <c r="G23" s="1028">
        <v>0</v>
      </c>
      <c r="H23" s="1052">
        <f ca="1">DATOSAÑO!AI23</f>
        <v>41.700000000004366</v>
      </c>
      <c r="I23" s="1052">
        <f ca="1">DATOSAÑO!CA23</f>
        <v>4.9754999999996761</v>
      </c>
      <c r="J23" s="1028">
        <v>0</v>
      </c>
      <c r="K23" s="1052">
        <f ca="1">DATOSAÑO!AF23</f>
        <v>143</v>
      </c>
      <c r="L23" s="1028">
        <f ca="1">+DATOSAÑO!CB23</f>
        <v>1.5828000000001634</v>
      </c>
      <c r="M23" s="1028">
        <v>0</v>
      </c>
      <c r="N23" s="1028">
        <f ca="1">+DATOSAÑO!AH23</f>
        <v>16.5</v>
      </c>
      <c r="O23" s="1052">
        <f ca="1">DATOSAÑO!AL23</f>
        <v>31.399999999995998</v>
      </c>
      <c r="P23" s="1053" t="e">
        <f>+(DATOSAÑO!#REF!)+DATOSAÑO!#REF!</f>
        <v>#REF!</v>
      </c>
      <c r="Q23" s="1052">
        <f ca="1">+DATOSAÑO!BH23</f>
        <v>5</v>
      </c>
      <c r="R23" s="1201">
        <f ca="1">DATOSAÑO!BJ23+DATOSAÑO!BM23+DATOSAÑO!BP23+DATOSAÑO!BW23+DATOSAÑO!CC23</f>
        <v>22.841699999999786</v>
      </c>
    </row>
    <row r="24" spans="2:18">
      <c r="B24" s="220">
        <v>44940</v>
      </c>
      <c r="C24" s="1028">
        <f ca="1">DATOSAÑO!AJ24</f>
        <v>8.8999999999941792</v>
      </c>
      <c r="D24" s="1052">
        <f ca="1">DATOSAÑO!AK24</f>
        <v>14.700000000011642</v>
      </c>
      <c r="E24" s="1052">
        <f ca="1">DATOSAÑO!AD24</f>
        <v>168</v>
      </c>
      <c r="F24" s="1028">
        <v>0</v>
      </c>
      <c r="G24" s="1028">
        <v>0</v>
      </c>
      <c r="H24" s="1052">
        <f ca="1">DATOSAÑO!AI24</f>
        <v>45.599999999998545</v>
      </c>
      <c r="I24" s="1052">
        <f ca="1">DATOSAÑO!CA24</f>
        <v>4.7780000000002794</v>
      </c>
      <c r="J24" s="1028">
        <v>0</v>
      </c>
      <c r="K24" s="1052">
        <f ca="1">DATOSAÑO!AF24</f>
        <v>143</v>
      </c>
      <c r="L24" s="1028">
        <f ca="1">+DATOSAÑO!CB24</f>
        <v>1.6523999999995633</v>
      </c>
      <c r="M24" s="1028">
        <v>0</v>
      </c>
      <c r="N24" s="1028">
        <f ca="1">+DATOSAÑO!AH24</f>
        <v>5</v>
      </c>
      <c r="O24" s="1052">
        <f ca="1">DATOSAÑO!AL24</f>
        <v>33.799999999995578</v>
      </c>
      <c r="P24" s="1053" t="e">
        <f>+(DATOSAÑO!#REF!)+DATOSAÑO!#REF!</f>
        <v>#REF!</v>
      </c>
      <c r="Q24" s="1052">
        <f ca="1">+DATOSAÑO!BH24</f>
        <v>5</v>
      </c>
      <c r="R24" s="1201">
        <f ca="1">DATOSAÑO!BJ24+DATOSAÑO!BM24+DATOSAÑO!BP24+DATOSAÑO!BW24+DATOSAÑO!CC24</f>
        <v>22.569600000000172</v>
      </c>
    </row>
    <row r="25" spans="2:18">
      <c r="B25" s="220">
        <v>44941</v>
      </c>
      <c r="C25" s="1028">
        <f ca="1">DATOSAÑO!AJ25</f>
        <v>8.2000000000116415</v>
      </c>
      <c r="D25" s="1052">
        <f ca="1">DATOSAÑO!AK25</f>
        <v>15.5</v>
      </c>
      <c r="E25" s="1052">
        <f ca="1">DATOSAÑO!AD25</f>
        <v>166</v>
      </c>
      <c r="F25" s="1028">
        <v>0</v>
      </c>
      <c r="G25" s="1028">
        <v>0</v>
      </c>
      <c r="H25" s="1052">
        <f ca="1">DATOSAÑO!AI25</f>
        <v>46.900000000001455</v>
      </c>
      <c r="I25" s="1052">
        <f ca="1">DATOSAÑO!CA25</f>
        <v>5.1620000000002273</v>
      </c>
      <c r="J25" s="1028">
        <v>0</v>
      </c>
      <c r="K25" s="1052">
        <f ca="1">DATOSAÑO!AF25</f>
        <v>138</v>
      </c>
      <c r="L25" s="1028">
        <f ca="1">+DATOSAÑO!CB25</f>
        <v>1.7148000000000547</v>
      </c>
      <c r="M25" s="1028">
        <v>0</v>
      </c>
      <c r="N25" s="1028">
        <f ca="1">+DATOSAÑO!AH25</f>
        <v>12.80000000000291</v>
      </c>
      <c r="O25" s="1052">
        <f ca="1">DATOSAÑO!AL25</f>
        <v>32.999999999983686</v>
      </c>
      <c r="P25" s="1053" t="e">
        <f>+(DATOSAÑO!#REF!)+DATOSAÑO!#REF!</f>
        <v>#REF!</v>
      </c>
      <c r="Q25" s="1052">
        <f ca="1">+DATOSAÑO!BH25</f>
        <v>6</v>
      </c>
      <c r="R25" s="1201">
        <f ca="1">DATOSAÑO!BJ25+DATOSAÑO!BM25+DATOSAÑO!BP25+DATOSAÑO!BW25+DATOSAÑO!CC25</f>
        <v>22.723200000000084</v>
      </c>
    </row>
    <row r="26" spans="2:18">
      <c r="B26" s="220">
        <v>44942</v>
      </c>
      <c r="C26" s="1028">
        <f ca="1">DATOSAÑO!AJ26</f>
        <v>8.3999999999941792</v>
      </c>
      <c r="D26" s="1052">
        <f ca="1">DATOSAÑO!AK26</f>
        <v>15.399999999994179</v>
      </c>
      <c r="E26" s="1052">
        <f ca="1">DATOSAÑO!AD26</f>
        <v>165</v>
      </c>
      <c r="F26" s="1028">
        <v>0</v>
      </c>
      <c r="G26" s="1028">
        <v>0</v>
      </c>
      <c r="H26" s="1052">
        <f ca="1">DATOSAÑO!AI26</f>
        <v>45.099999999998545</v>
      </c>
      <c r="I26" s="1052">
        <f ca="1">DATOSAÑO!CA26</f>
        <v>4.842999999999499</v>
      </c>
      <c r="J26" s="1028">
        <v>0</v>
      </c>
      <c r="K26" s="1052">
        <f ca="1">DATOSAÑO!AF26</f>
        <v>144</v>
      </c>
      <c r="L26" s="1028">
        <f ca="1">+DATOSAÑO!CB26</f>
        <v>1.7064000000000545</v>
      </c>
      <c r="M26" s="1028">
        <v>0</v>
      </c>
      <c r="N26" s="1028">
        <f ca="1">+DATOSAÑO!AH26</f>
        <v>12</v>
      </c>
      <c r="O26" s="1052">
        <f ca="1">DATOSAÑO!AL26</f>
        <v>36.331000000014342</v>
      </c>
      <c r="P26" s="1053" t="e">
        <f>+(DATOSAÑO!#REF!)+DATOSAÑO!#REF!</f>
        <v>#REF!</v>
      </c>
      <c r="Q26" s="1052">
        <f ca="1">+DATOSAÑO!BH26</f>
        <v>5</v>
      </c>
      <c r="R26" s="1201">
        <f ca="1">DATOSAÑO!BJ26+DATOSAÑO!BM26+DATOSAÑO!BP26+DATOSAÑO!BW26+DATOSAÑO!CC26</f>
        <v>22.150599999999354</v>
      </c>
    </row>
    <row r="27" spans="2:18">
      <c r="B27" s="220">
        <v>44943</v>
      </c>
      <c r="C27" s="1028">
        <f ca="1">DATOSAÑO!AJ27</f>
        <v>9.3999999999941792</v>
      </c>
      <c r="D27" s="1052">
        <f ca="1">DATOSAÑO!AK27</f>
        <v>14.100000000005821</v>
      </c>
      <c r="E27" s="1052">
        <f ca="1">DATOSAÑO!AD27</f>
        <v>167</v>
      </c>
      <c r="F27" s="1028">
        <v>0</v>
      </c>
      <c r="G27" s="1028">
        <v>0</v>
      </c>
      <c r="H27" s="1052">
        <f ca="1">DATOSAÑO!AI27</f>
        <v>44.5</v>
      </c>
      <c r="I27" s="1052">
        <f ca="1">DATOSAÑO!CA27</f>
        <v>5.5110000000001342</v>
      </c>
      <c r="J27" s="1028">
        <v>0</v>
      </c>
      <c r="K27" s="1052">
        <f ca="1">DATOSAÑO!AF27</f>
        <v>142</v>
      </c>
      <c r="L27" s="1028">
        <f ca="1">+DATOSAÑO!CB27</f>
        <v>1.7184000000000497</v>
      </c>
      <c r="M27" s="1028">
        <v>0</v>
      </c>
      <c r="N27" s="1028">
        <f ca="1">+DATOSAÑO!AH27</f>
        <v>9</v>
      </c>
      <c r="O27" s="1052">
        <f ca="1">DATOSAÑO!AL27</f>
        <v>34.299999999999272</v>
      </c>
      <c r="P27" s="1053" t="e">
        <f>+(DATOSAÑO!#REF!)+DATOSAÑO!#REF!</f>
        <v>#REF!</v>
      </c>
      <c r="Q27" s="1052">
        <f ca="1">+DATOSAÑO!BH27</f>
        <v>6</v>
      </c>
      <c r="R27" s="1201">
        <f ca="1">DATOSAÑO!BJ27+DATOSAÑO!BM27+DATOSAÑO!BP27+DATOSAÑO!BW27+DATOSAÑO!CC27</f>
        <v>22.470600000000534</v>
      </c>
    </row>
    <row r="28" spans="2:18">
      <c r="B28" s="220">
        <v>44944</v>
      </c>
      <c r="C28" s="1028">
        <f ca="1">DATOSAÑO!AJ28</f>
        <v>9</v>
      </c>
      <c r="D28" s="1052">
        <f ca="1">DATOSAÑO!AK28</f>
        <v>14.699999999982538</v>
      </c>
      <c r="E28" s="1052">
        <f ca="1">DATOSAÑO!AD28</f>
        <v>164</v>
      </c>
      <c r="F28" s="1028">
        <v>0</v>
      </c>
      <c r="G28" s="1028">
        <v>0</v>
      </c>
      <c r="H28" s="1052">
        <f ca="1">DATOSAÑO!AI28</f>
        <v>43.400000000001455</v>
      </c>
      <c r="I28" s="1052">
        <f ca="1">DATOSAÑO!CA28</f>
        <v>4.0869999999999536</v>
      </c>
      <c r="J28" s="1028">
        <v>0</v>
      </c>
      <c r="K28" s="1052">
        <f ca="1">DATOSAÑO!AF28</f>
        <v>143</v>
      </c>
      <c r="L28" s="1028">
        <f ca="1">+DATOSAÑO!CB28</f>
        <v>1.489200000000273</v>
      </c>
      <c r="M28" s="1028">
        <v>0</v>
      </c>
      <c r="N28" s="1028">
        <f ca="1">+DATOSAÑO!AH28</f>
        <v>10.5</v>
      </c>
      <c r="O28" s="1052">
        <f ca="1">DATOSAÑO!AL28</f>
        <v>34.8000000000157</v>
      </c>
      <c r="P28" s="1053" t="e">
        <f>+(DATOSAÑO!#REF!)+DATOSAÑO!#REF!</f>
        <v>#REF!</v>
      </c>
      <c r="Q28" s="1052">
        <f ca="1">+DATOSAÑO!BH28</f>
        <v>6</v>
      </c>
      <c r="R28" s="1201">
        <f ca="1">DATOSAÑO!BJ28+DATOSAÑO!BM28+DATOSAÑO!BP28+DATOSAÑO!BW28+DATOSAÑO!CC28</f>
        <v>21.023800000000136</v>
      </c>
    </row>
    <row r="29" spans="2:18">
      <c r="B29" s="220">
        <v>44945</v>
      </c>
      <c r="C29" s="1028">
        <f ca="1">DATOSAÑO!AJ29</f>
        <v>9.2000000000116415</v>
      </c>
      <c r="D29" s="1052">
        <f ca="1">DATOSAÑO!AK29</f>
        <v>14.899999999994179</v>
      </c>
      <c r="E29" s="1052">
        <f ca="1">DATOSAÑO!AD29</f>
        <v>170.40000000002328</v>
      </c>
      <c r="F29" s="1028">
        <v>0</v>
      </c>
      <c r="G29" s="1028">
        <v>0</v>
      </c>
      <c r="H29" s="1052">
        <f ca="1">DATOSAÑO!AI29</f>
        <v>44.400000000001455</v>
      </c>
      <c r="I29" s="1052">
        <f ca="1">DATOSAÑO!CA29</f>
        <v>4.4159999999997765</v>
      </c>
      <c r="J29" s="1028">
        <v>0</v>
      </c>
      <c r="K29" s="1052">
        <f ca="1">DATOSAÑO!AF29</f>
        <v>142</v>
      </c>
      <c r="L29" s="1028">
        <f ca="1">+DATOSAÑO!CB29</f>
        <v>1.5671999999999453</v>
      </c>
      <c r="M29" s="1028">
        <v>0</v>
      </c>
      <c r="N29" s="1028">
        <f ca="1">+DATOSAÑO!AH29</f>
        <v>10.099999999998545</v>
      </c>
      <c r="O29" s="1052">
        <f ca="1">DATOSAÑO!AL29</f>
        <v>31.199999999971624</v>
      </c>
      <c r="P29" s="1053" t="e">
        <f>+(DATOSAÑO!#REF!)+DATOSAÑO!#REF!</f>
        <v>#REF!</v>
      </c>
      <c r="Q29" s="1052">
        <f ca="1">+DATOSAÑO!BH29</f>
        <v>5</v>
      </c>
      <c r="R29" s="1201">
        <f ca="1">DATOSAÑO!BJ29+DATOSAÑO!BM29+DATOSAÑO!BP29+DATOSAÑO!BW29+DATOSAÑO!CC29</f>
        <v>21.816799999999557</v>
      </c>
    </row>
    <row r="30" spans="2:18">
      <c r="B30" s="220">
        <v>44946</v>
      </c>
      <c r="C30" s="1028">
        <f ca="1">DATOSAÑO!AJ30</f>
        <v>8.5999999999912689</v>
      </c>
      <c r="D30" s="1052">
        <f ca="1">DATOSAÑO!AK30</f>
        <v>15.300000000017462</v>
      </c>
      <c r="E30" s="1052">
        <f ca="1">DATOSAÑO!AD30</f>
        <v>168.59999999997672</v>
      </c>
      <c r="F30" s="1028">
        <v>0</v>
      </c>
      <c r="G30" s="1028">
        <v>0</v>
      </c>
      <c r="H30" s="1052">
        <f ca="1">DATOSAÑO!AI30</f>
        <v>44.099999999998545</v>
      </c>
      <c r="I30" s="1052">
        <f ca="1">DATOSAÑO!CA30</f>
        <v>7.5</v>
      </c>
      <c r="J30" s="1028">
        <v>0</v>
      </c>
      <c r="K30" s="1052">
        <f ca="1">DATOSAÑO!AF30</f>
        <v>141</v>
      </c>
      <c r="L30" s="1028">
        <f ca="1">+DATOSAÑO!CB30</f>
        <v>1.5047999999999999</v>
      </c>
      <c r="M30" s="1028">
        <v>0</v>
      </c>
      <c r="N30" s="1028">
        <f ca="1">+DATOSAÑO!AH30</f>
        <v>11.5</v>
      </c>
      <c r="O30" s="1052">
        <f ca="1">DATOSAÑO!AL30</f>
        <v>33.900000000016007</v>
      </c>
      <c r="P30" s="1053" t="e">
        <f>+(DATOSAÑO!#REF!)+DATOSAÑO!#REF!</f>
        <v>#REF!</v>
      </c>
      <c r="Q30" s="1052">
        <f ca="1">+DATOSAÑO!BH30</f>
        <v>7</v>
      </c>
      <c r="R30" s="1201">
        <f ca="1">DATOSAÑO!BJ30+DATOSAÑO!BM30+DATOSAÑO!BP30+DATOSAÑO!BW30+DATOSAÑO!CC30</f>
        <v>19.995200000000001</v>
      </c>
    </row>
    <row r="31" spans="2:18">
      <c r="B31" s="220">
        <v>44947</v>
      </c>
      <c r="C31" s="1028">
        <f ca="1">DATOSAÑO!AJ31</f>
        <v>9.1000000000058208</v>
      </c>
      <c r="D31" s="1052">
        <f ca="1">DATOSAÑO!AK31</f>
        <v>14.899999999994179</v>
      </c>
      <c r="E31" s="1052">
        <f ca="1">DATOSAÑO!AD31</f>
        <v>170</v>
      </c>
      <c r="F31" s="1028">
        <v>0</v>
      </c>
      <c r="G31" s="1028">
        <v>0</v>
      </c>
      <c r="H31" s="1052">
        <f ca="1">DATOSAÑO!AI31</f>
        <v>42.899999999994179</v>
      </c>
      <c r="I31" s="1052">
        <f ca="1">DATOSAÑO!CA31</f>
        <v>4.9252500000004948</v>
      </c>
      <c r="J31" s="1028">
        <v>0</v>
      </c>
      <c r="K31" s="1052">
        <f ca="1">DATOSAÑO!AF31</f>
        <v>143</v>
      </c>
      <c r="L31" s="1028">
        <f ca="1">+DATOSAÑO!CB31</f>
        <v>1.5659999999999452</v>
      </c>
      <c r="M31" s="1028">
        <v>0</v>
      </c>
      <c r="N31" s="1028">
        <f ca="1">+DATOSAÑO!AH31</f>
        <v>9.8000000000029104</v>
      </c>
      <c r="O31" s="1052">
        <f ca="1">DATOSAÑO!AL31</f>
        <v>33.100000000002183</v>
      </c>
      <c r="P31" s="1053" t="e">
        <f>+(DATOSAÑO!#REF!)+DATOSAÑO!#REF!</f>
        <v>#REF!</v>
      </c>
      <c r="Q31" s="1052">
        <f ca="1">+DATOSAÑO!BH31</f>
        <v>3</v>
      </c>
      <c r="R31" s="1201">
        <f ca="1">DATOSAÑO!BJ31+DATOSAÑO!BM31+DATOSAÑO!BP31+DATOSAÑO!BW31+DATOSAÑO!CC31</f>
        <v>20.708750000000279</v>
      </c>
    </row>
    <row r="32" spans="2:18">
      <c r="B32" s="220">
        <v>44948</v>
      </c>
      <c r="C32" s="1028">
        <f ca="1">DATOSAÑO!AJ32</f>
        <v>8.3999999999941792</v>
      </c>
      <c r="D32" s="1052">
        <f ca="1">DATOSAÑO!AK32</f>
        <v>15.200000000011642</v>
      </c>
      <c r="E32" s="1052">
        <f ca="1">DATOSAÑO!AD32</f>
        <v>166</v>
      </c>
      <c r="F32" s="1028">
        <v>0</v>
      </c>
      <c r="G32" s="1028">
        <v>0</v>
      </c>
      <c r="H32" s="1052">
        <f ca="1">DATOSAÑO!AI32</f>
        <v>38.700000000004366</v>
      </c>
      <c r="I32" s="1052">
        <f ca="1">DATOSAÑO!CA32</f>
        <v>4.2339999999994085</v>
      </c>
      <c r="J32" s="1028">
        <v>0</v>
      </c>
      <c r="K32" s="1052">
        <f ca="1">DATOSAÑO!AF32</f>
        <v>144</v>
      </c>
      <c r="L32" s="1028">
        <f ca="1">+DATOSAÑO!CB32</f>
        <v>1.5323999999999451</v>
      </c>
      <c r="M32" s="1028">
        <v>0</v>
      </c>
      <c r="N32" s="1028">
        <f ca="1">+DATOSAÑO!AH32</f>
        <v>13.5</v>
      </c>
      <c r="O32" s="1052">
        <f ca="1">DATOSAÑO!AL32</f>
        <v>32.999999999990905</v>
      </c>
      <c r="P32" s="1053" t="e">
        <f>+(DATOSAÑO!#REF!)+DATOSAÑO!#REF!</f>
        <v>#REF!</v>
      </c>
      <c r="Q32" s="1052">
        <f ca="1">+DATOSAÑO!BH32</f>
        <v>5</v>
      </c>
      <c r="R32" s="1201">
        <f ca="1">DATOSAÑO!BJ32+DATOSAÑO!BM32+DATOSAÑO!BP32+DATOSAÑO!BW32+DATOSAÑO!CC32</f>
        <v>21.433599999999554</v>
      </c>
    </row>
    <row r="33" spans="2:18">
      <c r="B33" s="220">
        <v>44949</v>
      </c>
      <c r="C33" s="1028">
        <f ca="1">DATOSAÑO!AJ33</f>
        <v>8.9000000000087311</v>
      </c>
      <c r="D33" s="1052">
        <f ca="1">DATOSAÑO!AK33</f>
        <v>14.699999999982538</v>
      </c>
      <c r="E33" s="1052">
        <f ca="1">DATOSAÑO!AD33</f>
        <v>168</v>
      </c>
      <c r="F33" s="1028">
        <v>0</v>
      </c>
      <c r="G33" s="1028">
        <v>0</v>
      </c>
      <c r="H33" s="1052">
        <f ca="1">DATOSAÑO!AI33</f>
        <v>39.599999999998545</v>
      </c>
      <c r="I33" s="1052">
        <f ca="1">DATOSAÑO!CA33</f>
        <v>6.2670000000005466</v>
      </c>
      <c r="J33" s="1028">
        <v>0</v>
      </c>
      <c r="K33" s="1052">
        <f ca="1">DATOSAÑO!AF33</f>
        <v>142</v>
      </c>
      <c r="L33" s="1028">
        <f ca="1">+DATOSAÑO!CB33</f>
        <v>0.40559999999989083</v>
      </c>
      <c r="M33" s="1028">
        <v>0</v>
      </c>
      <c r="N33" s="1028">
        <f ca="1">+DATOSAÑO!AH33</f>
        <v>9.9000000000014552</v>
      </c>
      <c r="O33" s="1052">
        <f ca="1">DATOSAÑO!AL33</f>
        <v>33.600000000007583</v>
      </c>
      <c r="P33" s="1053" t="e">
        <f>+(DATOSAÑO!#REF!)+DATOSAÑO!#REF!</f>
        <v>#REF!</v>
      </c>
      <c r="Q33" s="1052">
        <f ca="1">+DATOSAÑO!BH33</f>
        <v>5</v>
      </c>
      <c r="R33" s="1201">
        <f ca="1">DATOSAÑO!BJ33+DATOSAÑO!BM33+DATOSAÑO!BP33+DATOSAÑO!BW33+DATOSAÑO!CC33</f>
        <v>22.627400000000659</v>
      </c>
    </row>
    <row r="34" spans="2:18">
      <c r="B34" s="220">
        <v>44950</v>
      </c>
      <c r="C34" s="1028">
        <f ca="1">DATOSAÑO!AJ34</f>
        <v>9</v>
      </c>
      <c r="D34" s="1052">
        <f ca="1">DATOSAÑO!AK34</f>
        <v>13.899999999994179</v>
      </c>
      <c r="E34" s="1052">
        <f ca="1">DATOSAÑO!AD34</f>
        <v>162</v>
      </c>
      <c r="F34" s="1028">
        <v>0</v>
      </c>
      <c r="G34" s="1028">
        <v>0</v>
      </c>
      <c r="H34" s="1052">
        <f ca="1">DATOSAÑO!AI34</f>
        <v>36.80000000000291</v>
      </c>
      <c r="I34" s="1052">
        <f ca="1">DATOSAÑO!CA34</f>
        <v>2.9939999999994589</v>
      </c>
      <c r="J34" s="1028">
        <v>0</v>
      </c>
      <c r="K34" s="1052">
        <f ca="1">DATOSAÑO!AF34</f>
        <v>141</v>
      </c>
      <c r="L34" s="1028">
        <f ca="1">+DATOSAÑO!CB34</f>
        <v>3.0516000000002133</v>
      </c>
      <c r="M34" s="1028">
        <v>0</v>
      </c>
      <c r="N34" s="1028">
        <f ca="1">+DATOSAÑO!AH34</f>
        <v>7.8999999999941792</v>
      </c>
      <c r="O34" s="1052">
        <f ca="1">DATOSAÑO!AL34</f>
        <v>34.15900000000903</v>
      </c>
      <c r="P34" s="1053" t="e">
        <f>+(DATOSAÑO!#REF!)+DATOSAÑO!#REF!</f>
        <v>#REF!</v>
      </c>
      <c r="Q34" s="1052">
        <f ca="1">+DATOSAÑO!BH34</f>
        <v>4.9000000000014552</v>
      </c>
      <c r="R34" s="1201">
        <f ca="1">DATOSAÑO!BJ34+DATOSAÑO!BM34+DATOSAÑO!BP34+DATOSAÑO!BW34+DATOSAÑO!CC34</f>
        <v>20.854399999999966</v>
      </c>
    </row>
    <row r="35" spans="2:18">
      <c r="B35" s="220">
        <v>44951</v>
      </c>
      <c r="C35" s="1028">
        <f ca="1">DATOSAÑO!AJ35</f>
        <v>9</v>
      </c>
      <c r="D35" s="1052">
        <f ca="1">DATOSAÑO!AK35</f>
        <v>15.700000000011642</v>
      </c>
      <c r="E35" s="1052">
        <f ca="1">DATOSAÑO!AD35</f>
        <v>167</v>
      </c>
      <c r="F35" s="1028">
        <v>0</v>
      </c>
      <c r="G35" s="1028">
        <v>0</v>
      </c>
      <c r="H35" s="1052">
        <f ca="1">DATOSAÑO!AI35</f>
        <v>38</v>
      </c>
      <c r="I35" s="1052">
        <f ca="1">DATOSAÑO!CA35</f>
        <v>5.1085000000002267</v>
      </c>
      <c r="J35" s="1028">
        <v>0</v>
      </c>
      <c r="K35" s="1052">
        <f ca="1">DATOSAÑO!AF35</f>
        <v>143</v>
      </c>
      <c r="L35" s="1028">
        <f ca="1">+DATOSAÑO!CB35</f>
        <v>1.4262000000000548</v>
      </c>
      <c r="M35" s="1028">
        <v>0</v>
      </c>
      <c r="N35" s="1028">
        <f ca="1">+DATOSAÑO!AH35</f>
        <v>13.30000000000291</v>
      </c>
      <c r="O35" s="1052">
        <f ca="1">DATOSAÑO!AL35</f>
        <v>31.699999999984357</v>
      </c>
      <c r="P35" s="1053" t="e">
        <f>+(DATOSAÑO!#REF!)+DATOSAÑO!#REF!</f>
        <v>#REF!</v>
      </c>
      <c r="Q35" s="1052">
        <f ca="1">+DATOSAÑO!BH35</f>
        <v>5.1999999999970896</v>
      </c>
      <c r="R35" s="1201">
        <f ca="1">DATOSAÑO!BJ35+DATOSAÑO!BM35+DATOSAÑO!BP35+DATOSAÑO!BW35+DATOSAÑO!CC35</f>
        <v>22.065300000000082</v>
      </c>
    </row>
    <row r="36" spans="2:18">
      <c r="B36" s="220">
        <v>44952</v>
      </c>
      <c r="C36" s="1028">
        <f ca="1">DATOSAÑO!AJ36</f>
        <v>8.3999999999941792</v>
      </c>
      <c r="D36" s="1052">
        <f ca="1">DATOSAÑO!AK36</f>
        <v>14</v>
      </c>
      <c r="E36" s="1052">
        <f ca="1">DATOSAÑO!AD36</f>
        <v>167.09999999997672</v>
      </c>
      <c r="F36" s="1028">
        <v>0</v>
      </c>
      <c r="G36" s="1028">
        <v>0</v>
      </c>
      <c r="H36" s="1052">
        <f ca="1">DATOSAÑO!AI36</f>
        <v>36.900000000001455</v>
      </c>
      <c r="I36" s="1052">
        <f ca="1">DATOSAÑO!CA36</f>
        <v>4.4615000000003624</v>
      </c>
      <c r="J36" s="1028">
        <v>0</v>
      </c>
      <c r="K36" s="1052">
        <f ca="1">DATOSAÑO!AF36</f>
        <v>139</v>
      </c>
      <c r="L36" s="1028">
        <f ca="1">+DATOSAÑO!CB36</f>
        <v>1.0217999999996725</v>
      </c>
      <c r="M36" s="1028">
        <v>0</v>
      </c>
      <c r="N36" s="1028">
        <f ca="1">+DATOSAÑO!AH36</f>
        <v>9.6999999999970896</v>
      </c>
      <c r="O36" s="1052">
        <f ca="1">DATOSAÑO!AL36</f>
        <v>33.600000000031287</v>
      </c>
      <c r="P36" s="1053" t="e">
        <f>+(DATOSAÑO!#REF!)+DATOSAÑO!#REF!</f>
        <v>#REF!</v>
      </c>
      <c r="Q36" s="1052">
        <f ca="1">+DATOSAÑO!BH36</f>
        <v>4.9000000000014552</v>
      </c>
      <c r="R36" s="1201">
        <f ca="1">DATOSAÑO!BJ36+DATOSAÑO!BM36+DATOSAÑO!BP36+DATOSAÑO!BW36+DATOSAÑO!CC36</f>
        <v>20.516699999999965</v>
      </c>
    </row>
    <row r="37" spans="2:18">
      <c r="B37" s="220">
        <v>44953</v>
      </c>
      <c r="C37" s="1028">
        <f ca="1">DATOSAÑO!AJ37</f>
        <v>8.5</v>
      </c>
      <c r="D37" s="1052">
        <f ca="1">DATOSAÑO!AK37</f>
        <v>15</v>
      </c>
      <c r="E37" s="1052">
        <f ca="1">DATOSAÑO!AD37</f>
        <v>162.09999999997672</v>
      </c>
      <c r="F37" s="1028">
        <v>0</v>
      </c>
      <c r="G37" s="1028">
        <v>0</v>
      </c>
      <c r="H37" s="1052">
        <f ca="1">DATOSAÑO!AI37</f>
        <v>37.299999999995634</v>
      </c>
      <c r="I37" s="1052">
        <f ca="1">DATOSAÑO!CA37</f>
        <v>4.3570000000001814</v>
      </c>
      <c r="J37" s="1028">
        <v>0</v>
      </c>
      <c r="K37" s="1052">
        <f ca="1">DATOSAÑO!AF37</f>
        <v>143</v>
      </c>
      <c r="L37" s="1028">
        <f ca="1">+DATOSAÑO!CB37</f>
        <v>1.0925999999998908</v>
      </c>
      <c r="M37" s="1028">
        <v>0</v>
      </c>
      <c r="N37" s="1028">
        <f ca="1">+DATOSAÑO!AH37</f>
        <v>10.900000000001455</v>
      </c>
      <c r="O37" s="1052">
        <f ca="1">DATOSAÑO!AL37</f>
        <v>31.600000000027592</v>
      </c>
      <c r="P37" s="1053" t="e">
        <f>+(DATOSAÑO!#REF!)+DATOSAÑO!#REF!</f>
        <v>#REF!</v>
      </c>
      <c r="Q37" s="1052">
        <f ca="1">+DATOSAÑO!BH37</f>
        <v>4.6999999999970896</v>
      </c>
      <c r="R37" s="1201">
        <f ca="1">DATOSAÑO!BJ37+DATOSAÑO!BM37+DATOSAÑO!BP37+DATOSAÑO!BW37+DATOSAÑO!CC37</f>
        <v>20.550399999999925</v>
      </c>
    </row>
    <row r="38" spans="2:18">
      <c r="B38" s="220">
        <v>44954</v>
      </c>
      <c r="C38" s="1028">
        <f ca="1">DATOSAÑO!AJ38</f>
        <v>7.5</v>
      </c>
      <c r="D38" s="1052">
        <f ca="1">DATOSAÑO!AK38</f>
        <v>16</v>
      </c>
      <c r="E38" s="1052">
        <f ca="1">DATOSAÑO!AD38</f>
        <v>164.80000000004657</v>
      </c>
      <c r="F38" s="1028">
        <v>0</v>
      </c>
      <c r="G38" s="1028">
        <v>0</v>
      </c>
      <c r="H38" s="1052">
        <f ca="1">DATOSAÑO!AI38</f>
        <v>40.200000000004366</v>
      </c>
      <c r="I38" s="1052">
        <f ca="1">DATOSAÑO!CA38</f>
        <v>5.5039999999934057</v>
      </c>
      <c r="J38" s="1028">
        <v>0</v>
      </c>
      <c r="K38" s="1052">
        <f ca="1">DATOSAÑO!AF38</f>
        <v>142</v>
      </c>
      <c r="L38" s="1028">
        <f ca="1">+DATOSAÑO!CB38</f>
        <v>1.1616000000003819</v>
      </c>
      <c r="M38" s="1028">
        <v>0</v>
      </c>
      <c r="N38" s="1028">
        <f ca="1">+DATOSAÑO!AH38</f>
        <v>13</v>
      </c>
      <c r="O38" s="1052">
        <f ca="1">DATOSAÑO!AL38</f>
        <v>30.607999999958508</v>
      </c>
      <c r="P38" s="1053" t="e">
        <f>+(DATOSAÑO!#REF!)+DATOSAÑO!#REF!</f>
        <v>#REF!</v>
      </c>
      <c r="Q38" s="1052">
        <f ca="1">+DATOSAÑO!BH38</f>
        <v>4.1000000000058208</v>
      </c>
      <c r="R38" s="1201">
        <f ca="1">DATOSAÑO!BJ38+DATOSAÑO!BM38+DATOSAÑO!BP38+DATOSAÑO!BW38+DATOSAÑO!CC38</f>
        <v>21.934399999993843</v>
      </c>
    </row>
    <row r="39" spans="2:18">
      <c r="B39" s="220">
        <v>44955</v>
      </c>
      <c r="C39" s="1028">
        <f ca="1">DATOSAÑO!AJ39</f>
        <v>6.1000000000058208</v>
      </c>
      <c r="D39" s="1052">
        <f ca="1">DATOSAÑO!AK39</f>
        <v>15.600000000005821</v>
      </c>
      <c r="E39" s="1052">
        <f ca="1">DATOSAÑO!AD39</f>
        <v>167.90000000002328</v>
      </c>
      <c r="F39" s="1028">
        <v>0</v>
      </c>
      <c r="G39" s="1028">
        <v>0</v>
      </c>
      <c r="H39" s="1052">
        <f ca="1">DATOSAÑO!AI39</f>
        <v>41.799999999995634</v>
      </c>
      <c r="I39" s="1052">
        <f ca="1">DATOSAÑO!CA39</f>
        <v>3.6825000000060921</v>
      </c>
      <c r="J39" s="1028">
        <v>0</v>
      </c>
      <c r="K39" s="1052">
        <f ca="1">DATOSAÑO!AF39</f>
        <v>144</v>
      </c>
      <c r="L39" s="1028">
        <f ca="1">+DATOSAÑO!CB39</f>
        <v>1.3181999999996725</v>
      </c>
      <c r="M39" s="1028">
        <v>0</v>
      </c>
      <c r="N39" s="1028">
        <f ca="1">+DATOSAÑO!AH39</f>
        <v>9.4000000000014552</v>
      </c>
      <c r="O39" s="1052">
        <f ca="1">DATOSAÑO!AL39</f>
        <v>32.599999999956708</v>
      </c>
      <c r="P39" s="1053" t="e">
        <f>+(DATOSAÑO!#REF!)+DATOSAÑO!#REF!</f>
        <v>#REF!</v>
      </c>
      <c r="Q39" s="1052">
        <f ca="1">+DATOSAÑO!BH39</f>
        <v>4.2999999999956344</v>
      </c>
      <c r="R39" s="1201">
        <f ca="1">DATOSAÑO!BJ39+DATOSAÑO!BM39+DATOSAÑO!BP39+DATOSAÑO!BW39+DATOSAÑO!CC39</f>
        <v>20.599300000005513</v>
      </c>
    </row>
    <row r="40" spans="2:18">
      <c r="B40" s="220">
        <v>44956</v>
      </c>
      <c r="C40" s="1028">
        <f ca="1">DATOSAÑO!AJ40</f>
        <v>5.5</v>
      </c>
      <c r="D40" s="1052">
        <f ca="1">DATOSAÑO!AK40</f>
        <v>15.399999999994179</v>
      </c>
      <c r="E40" s="1052">
        <f ca="1">DATOSAÑO!AD40</f>
        <v>165.19999999995343</v>
      </c>
      <c r="F40" s="1028">
        <v>0</v>
      </c>
      <c r="G40" s="1028">
        <v>0</v>
      </c>
      <c r="H40" s="1052">
        <f ca="1">DATOSAÑO!AI40</f>
        <v>40.900000000001455</v>
      </c>
      <c r="I40" s="1052">
        <f ca="1">DATOSAÑO!CA40</f>
        <v>4.3574999999995923</v>
      </c>
      <c r="J40" s="1028">
        <v>0</v>
      </c>
      <c r="K40" s="1052">
        <f ca="1">DATOSAÑO!AF40</f>
        <v>141</v>
      </c>
      <c r="L40" s="1028">
        <f ca="1">+DATOSAÑO!CB40</f>
        <v>2.0064000000001636</v>
      </c>
      <c r="M40" s="1028">
        <v>0</v>
      </c>
      <c r="N40" s="1028">
        <f ca="1">+DATOSAÑO!AH40</f>
        <v>8.3000000000029104</v>
      </c>
      <c r="O40" s="1052">
        <f ca="1">DATOSAÑO!AL40</f>
        <v>33.004000000024632</v>
      </c>
      <c r="P40" s="1053" t="e">
        <f>+(DATOSAÑO!#REF!)+DATOSAÑO!#REF!</f>
        <v>#REF!</v>
      </c>
      <c r="Q40" s="1052">
        <f ca="1">+DATOSAÑO!BH40</f>
        <v>4.7000000000043656</v>
      </c>
      <c r="R40" s="1201">
        <f ca="1">DATOSAÑO!BJ40+DATOSAÑO!BM40+DATOSAÑO!BP40+DATOSAÑO!BW40+DATOSAÑO!CC40</f>
        <v>21.636100000000248</v>
      </c>
    </row>
    <row r="41" spans="2:18" ht="15" thickBot="1">
      <c r="B41" s="220">
        <v>44957</v>
      </c>
      <c r="C41" s="1028">
        <f ca="1">DATOSAÑO!AJ41</f>
        <v>5.5999999999912689</v>
      </c>
      <c r="D41" s="1052">
        <f ca="1">DATOSAÑO!AK41</f>
        <v>16.5</v>
      </c>
      <c r="E41" s="1052">
        <f ca="1">DATOSAÑO!AD41</f>
        <v>166.40000000002328</v>
      </c>
      <c r="F41" s="1028">
        <v>0</v>
      </c>
      <c r="G41" s="1028">
        <v>0</v>
      </c>
      <c r="H41" s="1052">
        <f ca="1">DATOSAÑO!AI41</f>
        <v>39.799999999995634</v>
      </c>
      <c r="I41" s="1052">
        <f ca="1">DATOSAÑO!CA41</f>
        <v>4.5080000000120055</v>
      </c>
      <c r="J41" s="1028">
        <v>0</v>
      </c>
      <c r="K41" s="1052">
        <f ca="1">DATOSAÑO!AF41</f>
        <v>143</v>
      </c>
      <c r="L41" s="1028">
        <f ca="1">+DATOSAÑO!CB41</f>
        <v>1.106999999999891</v>
      </c>
      <c r="M41" s="1028">
        <f ca="1">+DATOSAÑO!AK41</f>
        <v>16.5</v>
      </c>
      <c r="N41" s="1028">
        <f ca="1">+DATOSAÑO!AH41</f>
        <v>12.69999999999709</v>
      </c>
      <c r="O41" s="1052">
        <f ca="1">DATOSAÑO!AL41</f>
        <v>30.72499999999485</v>
      </c>
      <c r="P41" s="1053" t="e">
        <f>+(DATOSAÑO!#REF!)+DATOSAÑO!#REF!</f>
        <v>#REF!</v>
      </c>
      <c r="Q41" s="1052">
        <f ca="1">+DATOSAÑO!BH41</f>
        <v>4.7999999999956344</v>
      </c>
      <c r="R41" s="1201">
        <f ca="1">DATOSAÑO!BJ41+DATOSAÑO!BM41+DATOSAÑO!BP41+DATOSAÑO!BW41+DATOSAÑO!CC41</f>
        <v>20.985000000012114</v>
      </c>
    </row>
    <row r="42" spans="2:18" ht="15" thickBot="1">
      <c r="B42" s="1308" t="s">
        <v>1114</v>
      </c>
      <c r="C42" s="1307">
        <f ca="1">SUM(C11:C41)</f>
        <v>257.33999999999651</v>
      </c>
      <c r="D42" s="1054">
        <f ca="1">SUM(D11:D41)</f>
        <v>470.33999999999651</v>
      </c>
      <c r="E42" s="1054">
        <f t="shared" ref="E42:R42" ca="1" si="0">SUM(E11:E41)</f>
        <v>5119.0999999999767</v>
      </c>
      <c r="F42" s="1054">
        <f t="shared" si="0"/>
        <v>0</v>
      </c>
      <c r="G42" s="1054">
        <f t="shared" si="0"/>
        <v>0</v>
      </c>
      <c r="H42" s="1054">
        <f t="shared" ca="1" si="0"/>
        <v>1265.5800000000017</v>
      </c>
      <c r="I42" s="1067">
        <f t="shared" ca="1" si="0"/>
        <v>138.46875000001765</v>
      </c>
      <c r="J42" s="1054">
        <f t="shared" si="0"/>
        <v>0</v>
      </c>
      <c r="K42" s="1054">
        <f t="shared" ca="1" si="0"/>
        <v>4240</v>
      </c>
      <c r="L42" s="1054">
        <f t="shared" ca="1" si="0"/>
        <v>52.285199999999989</v>
      </c>
      <c r="M42" s="1054">
        <f t="shared" ca="1" si="0"/>
        <v>16.5</v>
      </c>
      <c r="N42" s="1054">
        <f t="shared" ca="1" si="0"/>
        <v>320.69999999999709</v>
      </c>
      <c r="O42" s="1054">
        <f t="shared" ca="1" si="0"/>
        <v>1030.8669999999649</v>
      </c>
      <c r="P42" s="1054" t="e">
        <f t="shared" si="0"/>
        <v>#REF!</v>
      </c>
      <c r="Q42" s="1115">
        <f t="shared" ca="1" si="0"/>
        <v>158.40000000000146</v>
      </c>
      <c r="R42" s="1115">
        <f t="shared" ca="1" si="0"/>
        <v>659.94605000001786</v>
      </c>
    </row>
    <row r="43" spans="2:18">
      <c r="B43" s="410">
        <v>44958</v>
      </c>
      <c r="C43" s="1028">
        <f ca="1">DATOSAÑO!AJ42</f>
        <v>8.3000000000029104</v>
      </c>
      <c r="D43" s="1028">
        <f ca="1">DATOSAÑO!AK42</f>
        <v>15.299999999988358</v>
      </c>
      <c r="E43" s="1028">
        <f ca="1">DATOSAÑO!AD42</f>
        <v>167.30000000004657</v>
      </c>
      <c r="F43" s="1028">
        <v>0</v>
      </c>
      <c r="G43" s="1028">
        <v>0</v>
      </c>
      <c r="H43" s="1028">
        <f ca="1">DATOSAÑO!AI42</f>
        <v>40.700000000004366</v>
      </c>
      <c r="I43" s="1028">
        <f ca="1">DATOSAÑO!CA42</f>
        <v>5.1164999999879033</v>
      </c>
      <c r="J43" s="1028">
        <v>0</v>
      </c>
      <c r="K43" s="1028">
        <f ca="1">DATOSAÑO!AF42</f>
        <v>153.79999999998836</v>
      </c>
      <c r="L43" s="1028">
        <f ca="1">+DATOSAÑO!CB42</f>
        <v>0.81780000000043651</v>
      </c>
      <c r="M43" s="1028">
        <f ca="1">+DATOSAÑO!AK42</f>
        <v>15.299999999988358</v>
      </c>
      <c r="N43" s="1028">
        <f ca="1">+DATOSAÑO!AH42</f>
        <v>7.5</v>
      </c>
      <c r="O43" s="1028">
        <f ca="1">DATOSAÑO!AL42</f>
        <v>32.600000000014859</v>
      </c>
      <c r="P43" s="1029" t="e">
        <f>+(DATOSAÑO!#REF!)+DATOSAÑO!#REF!</f>
        <v>#REF!</v>
      </c>
      <c r="Q43" s="1028">
        <f ca="1">+DATOSAÑO!BH42</f>
        <v>4.8000000000029104</v>
      </c>
      <c r="R43" s="1114">
        <f ca="1">DATOSAÑO!BJ42+DATOSAÑO!BM42+DATOSAÑO!BP42+DATOSAÑO!BW42+DATOSAÑO!CC42</f>
        <v>21.065699999988016</v>
      </c>
    </row>
    <row r="44" spans="2:18">
      <c r="B44" s="410">
        <v>44959</v>
      </c>
      <c r="C44" s="1028">
        <f ca="1">DATOSAÑO!AJ43</f>
        <v>5.5</v>
      </c>
      <c r="D44" s="1028">
        <f ca="1">DATOSAÑO!AK43</f>
        <v>9.9000000000232831</v>
      </c>
      <c r="E44" s="1028">
        <f ca="1">DATOSAÑO!AD43</f>
        <v>62.699999999953434</v>
      </c>
      <c r="F44" s="1028">
        <v>0</v>
      </c>
      <c r="G44" s="1028">
        <v>0</v>
      </c>
      <c r="H44" s="1028">
        <f ca="1">DATOSAÑO!AI43</f>
        <v>43.299999999995634</v>
      </c>
      <c r="I44" s="1028">
        <f ca="1">DATOSAÑO!CA43</f>
        <v>5.2379999999830842</v>
      </c>
      <c r="J44" s="1028">
        <v>0</v>
      </c>
      <c r="K44" s="1028">
        <f ca="1">DATOSAÑO!AF43</f>
        <v>145.10000000003492</v>
      </c>
      <c r="L44" s="1028">
        <f ca="1">+DATOSAÑO!CB43</f>
        <v>0.99959999999967242</v>
      </c>
      <c r="M44" s="1028">
        <f ca="1">+DATOSAÑO!AK43</f>
        <v>9.9000000000232831</v>
      </c>
      <c r="N44" s="1028">
        <f ca="1">+DATOSAÑO!AH43</f>
        <v>10.30000000000291</v>
      </c>
      <c r="O44" s="1028">
        <f ca="1">DATOSAÑO!AL43</f>
        <v>30.999999999978229</v>
      </c>
      <c r="P44" s="1029" t="e">
        <f>+(DATOSAÑO!#REF!)+DATOSAÑO!#REF!</f>
        <v>#REF!</v>
      </c>
      <c r="Q44" s="1028">
        <f ca="1">+DATOSAÑO!BH43</f>
        <v>4.9000000000014552</v>
      </c>
      <c r="R44" s="1114">
        <f ca="1">DATOSAÑO!BJ43+DATOSAÑO!BM43+DATOSAÑO!BP43+DATOSAÑO!BW43+DATOSAÑO!CC43</f>
        <v>20.862399999983047</v>
      </c>
    </row>
    <row r="45" spans="2:18">
      <c r="B45" s="410">
        <v>44960</v>
      </c>
      <c r="C45" s="1028">
        <f ca="1">DATOSAÑO!AJ44</f>
        <v>8.8999999999941792</v>
      </c>
      <c r="D45" s="1028">
        <f ca="1">DATOSAÑO!AK44</f>
        <v>11.489999999990687</v>
      </c>
      <c r="E45" s="1028">
        <f ca="1">DATOSAÑO!AD44</f>
        <v>165</v>
      </c>
      <c r="F45" s="1028">
        <v>0</v>
      </c>
      <c r="G45" s="1028">
        <v>0</v>
      </c>
      <c r="H45" s="1028">
        <f ca="1">DATOSAÑO!AI44</f>
        <v>39.120000000002619</v>
      </c>
      <c r="I45" s="1028">
        <f ca="1">DATOSAÑO!CA44</f>
        <v>5.033000000025547</v>
      </c>
      <c r="J45" s="1028">
        <v>0</v>
      </c>
      <c r="K45" s="1028">
        <f ca="1">DATOSAÑO!AF44</f>
        <v>145.9199999999837</v>
      </c>
      <c r="L45" s="1028">
        <f ca="1">+DATOSAÑO!CB44</f>
        <v>0.8777999999996835</v>
      </c>
      <c r="M45" s="1028">
        <f ca="1">+DATOSAÑO!AK44</f>
        <v>11.489999999990687</v>
      </c>
      <c r="N45" s="1028">
        <f ca="1">+DATOSAÑO!AH44</f>
        <v>11</v>
      </c>
      <c r="O45" s="1028">
        <f ca="1">DATOSAÑO!AL44</f>
        <v>31.65999999999076</v>
      </c>
      <c r="P45" s="1029" t="e">
        <f>+(DATOSAÑO!#REF!)+DATOSAÑO!#REF!</f>
        <v>#REF!</v>
      </c>
      <c r="Q45" s="1028">
        <f ca="1">+DATOSAÑO!BH44</f>
        <v>4.7309999999997672</v>
      </c>
      <c r="R45" s="1114">
        <f ca="1">DATOSAÑO!BJ44+DATOSAÑO!BM44+DATOSAÑO!BP44+DATOSAÑO!BW44+DATOSAÑO!CC44</f>
        <v>21.469200000024902</v>
      </c>
    </row>
    <row r="46" spans="2:18">
      <c r="B46" s="410">
        <v>44961</v>
      </c>
      <c r="C46" s="1028">
        <f ca="1">DATOSAÑO!AJ45</f>
        <v>8.7200000000011642</v>
      </c>
      <c r="D46" s="1028">
        <f ca="1">DATOSAÑO!AK45</f>
        <v>13.85999999998603</v>
      </c>
      <c r="E46" s="1028">
        <f ca="1">DATOSAÑO!AD45</f>
        <v>164.68000000005122</v>
      </c>
      <c r="F46" s="1028">
        <v>0</v>
      </c>
      <c r="G46" s="1028">
        <v>0</v>
      </c>
      <c r="H46" s="1028">
        <f ca="1">DATOSAÑO!AI45</f>
        <v>38.760000000002037</v>
      </c>
      <c r="I46" s="1028">
        <f ca="1">DATOSAÑO!CA45</f>
        <v>4.7284999999906665</v>
      </c>
      <c r="J46" s="1028">
        <v>0</v>
      </c>
      <c r="K46" s="1028">
        <f ca="1">DATOSAÑO!AF45</f>
        <v>150.52000000001863</v>
      </c>
      <c r="L46" s="1028">
        <f ca="1">+DATOSAÑO!CB45</f>
        <v>1.9782000000003723</v>
      </c>
      <c r="M46" s="1028">
        <f ca="1">+DATOSAÑO!AK45</f>
        <v>13.85999999998603</v>
      </c>
      <c r="N46" s="1028">
        <f ca="1">+DATOSAÑO!AH45</f>
        <v>19.5</v>
      </c>
      <c r="O46" s="1028">
        <f ca="1">DATOSAÑO!AL45</f>
        <v>30.539999999919019</v>
      </c>
      <c r="P46" s="1029" t="e">
        <f>+(DATOSAÑO!#REF!)+DATOSAÑO!#REF!</f>
        <v>#REF!</v>
      </c>
      <c r="Q46" s="1028">
        <f ca="1">+DATOSAÑO!BH45</f>
        <v>4.1869999999980791</v>
      </c>
      <c r="R46" s="1114">
        <f ca="1">DATOSAÑO!BJ45+DATOSAÑO!BM45+DATOSAÑO!BP45+DATOSAÑO!BW45+DATOSAÑO!CC45</f>
        <v>21.573299999991427</v>
      </c>
    </row>
    <row r="47" spans="2:18">
      <c r="B47" s="410">
        <v>44962</v>
      </c>
      <c r="C47" s="1028">
        <f ca="1">DATOSAÑO!AJ46</f>
        <v>8.680000000007567</v>
      </c>
      <c r="D47" s="1028">
        <f ca="1">DATOSAÑO!AK46</f>
        <v>12.730000000010477</v>
      </c>
      <c r="E47" s="1028">
        <f ca="1">DATOSAÑO!AD46</f>
        <v>165.71999999997206</v>
      </c>
      <c r="F47" s="1028">
        <v>0</v>
      </c>
      <c r="G47" s="1028">
        <v>0</v>
      </c>
      <c r="H47" s="1028">
        <f ca="1">DATOSAÑO!AI46</f>
        <v>39.209999999999127</v>
      </c>
      <c r="I47" s="1028">
        <f ca="1">DATOSAÑO!CA46</f>
        <v>4.5239999999959428</v>
      </c>
      <c r="J47" s="1028">
        <v>0</v>
      </c>
      <c r="K47" s="1028">
        <f ca="1">DATOSAÑO!AF46</f>
        <v>152.85999999998603</v>
      </c>
      <c r="L47" s="1028">
        <f ca="1">+DATOSAÑO!CB46</f>
        <v>2.4839999999997815</v>
      </c>
      <c r="M47" s="1028">
        <f ca="1">+DATOSAÑO!AK46</f>
        <v>12.730000000010477</v>
      </c>
      <c r="N47" s="1028">
        <f ca="1">+DATOSAÑO!AH46</f>
        <v>10.599999999998545</v>
      </c>
      <c r="O47" s="1028">
        <f ca="1">DATOSAÑO!AL46</f>
        <v>32.550000000135697</v>
      </c>
      <c r="P47" s="1029" t="e">
        <f>+(DATOSAÑO!#REF!)+DATOSAÑO!#REF!</f>
        <v>#REF!</v>
      </c>
      <c r="Q47" s="1028">
        <f ca="1">+DATOSAÑO!BH46</f>
        <v>4.25</v>
      </c>
      <c r="R47" s="1114">
        <f ca="1">DATOSAÑO!BJ46+DATOSAÑO!BM46+DATOSAÑO!BP46+DATOSAÑO!BW46+DATOSAÑO!CC46</f>
        <v>21.831999999995325</v>
      </c>
    </row>
    <row r="48" spans="2:18">
      <c r="B48" s="410">
        <v>44963</v>
      </c>
      <c r="C48" s="1028">
        <f ca="1">DATOSAÑO!AJ47</f>
        <v>8.9199999999982538</v>
      </c>
      <c r="D48" s="1028">
        <f ca="1">DATOSAÑO!AK47</f>
        <v>12.64000000001397</v>
      </c>
      <c r="E48" s="1028">
        <f ca="1">DATOSAÑO!AD47</f>
        <v>164</v>
      </c>
      <c r="F48" s="1028">
        <v>0</v>
      </c>
      <c r="G48" s="1028">
        <v>0</v>
      </c>
      <c r="H48" s="1028">
        <f ca="1">DATOSAÑO!AI47</f>
        <v>40.180000000000291</v>
      </c>
      <c r="I48" s="1028">
        <f ca="1">DATOSAÑO!CA47</f>
        <v>4.2985000000143874</v>
      </c>
      <c r="J48" s="1028">
        <v>0</v>
      </c>
      <c r="K48" s="1028">
        <f ca="1">DATOSAÑO!AF47</f>
        <v>152.42999999999302</v>
      </c>
      <c r="L48" s="1028">
        <f ca="1">+DATOSAÑO!CB47</f>
        <v>2.6676000000000437</v>
      </c>
      <c r="M48" s="1028">
        <f ca="1">+DATOSAÑO!AK47</f>
        <v>12.64000000001397</v>
      </c>
      <c r="N48" s="1028">
        <f ca="1">+DATOSAÑO!AH47</f>
        <v>9.0999999999985448</v>
      </c>
      <c r="O48" s="1028">
        <f ca="1">DATOSAÑO!AL47</f>
        <v>34.25999999990745</v>
      </c>
      <c r="P48" s="1029" t="e">
        <f>+(DATOSAÑO!#REF!)+DATOSAÑO!#REF!</f>
        <v>#REF!</v>
      </c>
      <c r="Q48" s="1028">
        <f ca="1">+DATOSAÑO!BH47</f>
        <v>4.7799999999988358</v>
      </c>
      <c r="R48" s="1114">
        <f ca="1">DATOSAÑO!BJ47+DATOSAÑO!BM47+DATOSAÑO!BP47+DATOSAÑO!BW47+DATOSAÑO!CC47</f>
        <v>21.603900000014381</v>
      </c>
    </row>
    <row r="49" spans="2:18">
      <c r="B49" s="410">
        <v>44964</v>
      </c>
      <c r="C49" s="1028">
        <f ca="1">DATOSAÑO!AJ48</f>
        <v>10.380000000004657</v>
      </c>
      <c r="D49" s="1028">
        <f ca="1">DATOSAÑO!AK48</f>
        <v>14.279999999998836</v>
      </c>
      <c r="E49" s="1028">
        <f ca="1">DATOSAÑO!AD48</f>
        <v>164.69999999995343</v>
      </c>
      <c r="F49" s="1028">
        <v>0</v>
      </c>
      <c r="G49" s="1028">
        <v>0</v>
      </c>
      <c r="H49" s="1028">
        <f ca="1">DATOSAÑO!AI48</f>
        <v>42.129999999997381</v>
      </c>
      <c r="I49" s="1028">
        <f ca="1">DATOSAÑO!CA48</f>
        <v>4.6574999999908213</v>
      </c>
      <c r="J49" s="1028">
        <v>0</v>
      </c>
      <c r="K49" s="1028">
        <f ca="1">DATOSAÑO!AF48</f>
        <v>155.36999999999534</v>
      </c>
      <c r="L49" s="1028">
        <f ca="1">+DATOSAÑO!CB48</f>
        <v>2.5944000000001211</v>
      </c>
      <c r="M49" s="1028">
        <f ca="1">+DATOSAÑO!AK48</f>
        <v>14.279999999998836</v>
      </c>
      <c r="N49" s="1028">
        <f ca="1">+DATOSAÑO!AH48</f>
        <v>14</v>
      </c>
      <c r="O49" s="1028">
        <f ca="1">DATOSAÑO!AL48</f>
        <v>37.086000000077661</v>
      </c>
      <c r="P49" s="1029" t="e">
        <f>+(DATOSAÑO!#REF!)+DATOSAÑO!#REF!</f>
        <v>#REF!</v>
      </c>
      <c r="Q49" s="1028">
        <f ca="1">+DATOSAÑO!BH48</f>
        <v>4.7520000000004075</v>
      </c>
      <c r="R49" s="1114">
        <f ca="1">DATOSAÑO!BJ48+DATOSAÑO!BM48+DATOSAÑO!BP48+DATOSAÑO!BW48+DATOSAÑO!CC48</f>
        <v>22.078099999990794</v>
      </c>
    </row>
    <row r="50" spans="2:18">
      <c r="B50" s="410">
        <v>44965</v>
      </c>
      <c r="C50" s="1028">
        <f ca="1">DATOSAÑO!AJ49</f>
        <v>9.7999999999883585</v>
      </c>
      <c r="D50" s="1028">
        <f ca="1">DATOSAÑO!AK49</f>
        <v>12.699999999982538</v>
      </c>
      <c r="E50" s="1028">
        <f ca="1">DATOSAÑO!AD49</f>
        <v>152.80000000004657</v>
      </c>
      <c r="F50" s="1028">
        <v>0</v>
      </c>
      <c r="G50" s="1028">
        <v>0</v>
      </c>
      <c r="H50" s="1028">
        <f ca="1">DATOSAÑO!AI49</f>
        <v>42.200000000004366</v>
      </c>
      <c r="I50" s="1028">
        <f ca="1">DATOSAÑO!CA49</f>
        <v>2.8050000000004047</v>
      </c>
      <c r="J50" s="1028">
        <v>0</v>
      </c>
      <c r="K50" s="1028">
        <f ca="1">DATOSAÑO!AF49</f>
        <v>154</v>
      </c>
      <c r="L50" s="1028">
        <f ca="1">+DATOSAÑO!CB49</f>
        <v>2.3304000000000542</v>
      </c>
      <c r="M50" s="1028">
        <f ca="1">+DATOSAÑO!AK49</f>
        <v>12.699999999982538</v>
      </c>
      <c r="N50" s="1028">
        <f ca="1">+DATOSAÑO!AH49</f>
        <v>9.8000000000029104</v>
      </c>
      <c r="O50" s="1028">
        <f ca="1">DATOSAÑO!AL49</f>
        <v>36.295999999974583</v>
      </c>
      <c r="P50" s="1029" t="e">
        <f>+(DATOSAÑO!#REF!)+DATOSAÑO!#REF!</f>
        <v>#REF!</v>
      </c>
      <c r="Q50" s="1028">
        <f ca="1">+DATOSAÑO!BH49</f>
        <v>5</v>
      </c>
      <c r="R50" s="1114">
        <f ca="1">DATOSAÑO!BJ49+DATOSAÑO!BM49+DATOSAÑO!BP49+DATOSAÑO!BW49+DATOSAÑO!CC49</f>
        <v>19.564600000000262</v>
      </c>
    </row>
    <row r="51" spans="2:18">
      <c r="B51" s="410">
        <v>44966</v>
      </c>
      <c r="C51" s="1028">
        <f ca="1">DATOSAÑO!AJ50</f>
        <v>10.100000000005821</v>
      </c>
      <c r="D51" s="1028">
        <f ca="1">DATOSAÑO!AK50</f>
        <v>12.800000000017462</v>
      </c>
      <c r="E51" s="1028">
        <f ca="1">DATOSAÑO!AD50</f>
        <v>163.59999999997672</v>
      </c>
      <c r="F51" s="1028">
        <v>0</v>
      </c>
      <c r="G51" s="1028">
        <v>0</v>
      </c>
      <c r="H51" s="1028">
        <f ca="1">DATOSAÑO!AI50</f>
        <v>42.69999999999709</v>
      </c>
      <c r="I51" s="1028">
        <f ca="1">DATOSAÑO!CA50</f>
        <v>5.3799999999995975</v>
      </c>
      <c r="J51" s="1028">
        <v>0</v>
      </c>
      <c r="K51" s="1028">
        <f ca="1">DATOSAÑO!AF50</f>
        <v>152</v>
      </c>
      <c r="L51" s="1028">
        <f ca="1">+DATOSAÑO!CB50</f>
        <v>2.0627999999998332</v>
      </c>
      <c r="M51" s="1028">
        <f ca="1">+DATOSAÑO!AK50</f>
        <v>12.800000000017462</v>
      </c>
      <c r="N51" s="1028">
        <f ca="1">+DATOSAÑO!AH50</f>
        <v>9.5999999999985448</v>
      </c>
      <c r="O51" s="1028">
        <f ca="1">DATOSAÑO!AL50</f>
        <v>28.900000000005093</v>
      </c>
      <c r="P51" s="1029" t="e">
        <f>+(DATOSAÑO!#REF!)+DATOSAÑO!#REF!</f>
        <v>#REF!</v>
      </c>
      <c r="Q51" s="1028">
        <f ca="1">+DATOSAÑO!BH50</f>
        <v>5</v>
      </c>
      <c r="R51" s="1114">
        <f ca="1">DATOSAÑO!BJ50+DATOSAÑO!BM50+DATOSAÑO!BP50+DATOSAÑO!BW50+DATOSAÑO!CC50</f>
        <v>21.85719999999985</v>
      </c>
    </row>
    <row r="52" spans="2:18">
      <c r="B52" s="410">
        <v>44967</v>
      </c>
      <c r="C52" s="1028">
        <f ca="1">DATOSAÑO!AJ51</f>
        <v>9.6999999999970896</v>
      </c>
      <c r="D52" s="1028">
        <f ca="1">DATOSAÑO!AK51</f>
        <v>12.5</v>
      </c>
      <c r="E52" s="1028">
        <f ca="1">DATOSAÑO!AD51</f>
        <v>165</v>
      </c>
      <c r="F52" s="1028">
        <v>0</v>
      </c>
      <c r="G52" s="1028">
        <v>0</v>
      </c>
      <c r="H52" s="1028">
        <f ca="1">DATOSAÑO!AI51</f>
        <v>43.900000000001455</v>
      </c>
      <c r="I52" s="1028">
        <f ca="1">DATOSAÑO!CA51</f>
        <v>5.8519999999998635</v>
      </c>
      <c r="J52" s="1028">
        <v>0</v>
      </c>
      <c r="K52" s="1028">
        <f ca="1">DATOSAÑO!AF51</f>
        <v>140</v>
      </c>
      <c r="L52" s="1028">
        <f ca="1">+DATOSAÑO!CB51</f>
        <v>1.8216000000000545</v>
      </c>
      <c r="M52" s="1028">
        <f ca="1">+DATOSAÑO!AK51</f>
        <v>12.5</v>
      </c>
      <c r="N52" s="1028">
        <f ca="1">+DATOSAÑO!AH51</f>
        <v>9.1999999999970896</v>
      </c>
      <c r="O52" s="1028">
        <f ca="1">DATOSAÑO!AL51</f>
        <v>32.800000000004729</v>
      </c>
      <c r="P52" s="1029" t="e">
        <f>+(DATOSAÑO!#REF!)+DATOSAÑO!#REF!</f>
        <v>#REF!</v>
      </c>
      <c r="Q52" s="1028">
        <f ca="1">+DATOSAÑO!BH51</f>
        <v>6</v>
      </c>
      <c r="R52" s="1114">
        <f ca="1">DATOSAÑO!BJ51+DATOSAÑO!BM51+DATOSAÑO!BP51+DATOSAÑO!BW51+DATOSAÑO!CC51</f>
        <v>19.226399999999721</v>
      </c>
    </row>
    <row r="53" spans="2:18">
      <c r="B53" s="410">
        <v>44968</v>
      </c>
      <c r="C53" s="1028">
        <f ca="1">DATOSAÑO!AJ52</f>
        <v>10.100000000005821</v>
      </c>
      <c r="D53" s="1028">
        <f ca="1">DATOSAÑO!AK52</f>
        <v>15</v>
      </c>
      <c r="E53" s="1028">
        <f ca="1">DATOSAÑO!AD52</f>
        <v>166</v>
      </c>
      <c r="F53" s="1028">
        <v>0</v>
      </c>
      <c r="G53" s="1028">
        <v>0</v>
      </c>
      <c r="H53" s="1028">
        <f ca="1">DATOSAÑO!AI52</f>
        <v>42.900000000001455</v>
      </c>
      <c r="I53" s="1028">
        <f ca="1">DATOSAÑO!CA52</f>
        <v>4.4930000000005901</v>
      </c>
      <c r="J53" s="1028">
        <v>0</v>
      </c>
      <c r="K53" s="1028">
        <f ca="1">DATOSAÑO!AF52</f>
        <v>132</v>
      </c>
      <c r="L53" s="1028">
        <f ca="1">+DATOSAÑO!CB52</f>
        <v>1.3415999999999455</v>
      </c>
      <c r="M53" s="1028">
        <f ca="1">+DATOSAÑO!AK52</f>
        <v>15</v>
      </c>
      <c r="N53" s="1028">
        <f ca="1">+DATOSAÑO!AH52</f>
        <v>10</v>
      </c>
      <c r="O53" s="1028">
        <f ca="1">DATOSAÑO!AL52</f>
        <v>32.599999999991326</v>
      </c>
      <c r="P53" s="1029" t="e">
        <f>+(DATOSAÑO!#REF!)+DATOSAÑO!#REF!</f>
        <v>#REF!</v>
      </c>
      <c r="Q53" s="1028">
        <f ca="1">+DATOSAÑO!BH52</f>
        <v>5</v>
      </c>
      <c r="R53" s="1114">
        <f ca="1">DATOSAÑO!BJ52+DATOSAÑO!BM52+DATOSAÑO!BP52+DATOSAÑO!BW52+DATOSAÑO!CC52</f>
        <v>17.565400000000917</v>
      </c>
    </row>
    <row r="54" spans="2:18">
      <c r="B54" s="410">
        <v>44969</v>
      </c>
      <c r="C54" s="1028">
        <f ca="1">DATOSAÑO!AJ53</f>
        <v>8.3000000000029104</v>
      </c>
      <c r="D54" s="1028">
        <f ca="1">DATOSAÑO!AK53</f>
        <v>16.099999999976717</v>
      </c>
      <c r="E54" s="1028">
        <f ca="1">DATOSAÑO!AD53</f>
        <v>160</v>
      </c>
      <c r="F54" s="1028">
        <v>0</v>
      </c>
      <c r="G54" s="1028">
        <v>0</v>
      </c>
      <c r="H54" s="1028">
        <f ca="1">DATOSAÑO!AI53</f>
        <v>42.299999999995634</v>
      </c>
      <c r="I54" s="1028">
        <f ca="1">DATOSAÑO!CA53</f>
        <v>5.025999999998862</v>
      </c>
      <c r="J54" s="1028">
        <v>0</v>
      </c>
      <c r="K54" s="1028">
        <f ca="1">DATOSAÑO!AF53</f>
        <v>142</v>
      </c>
      <c r="L54" s="1028">
        <f ca="1">+DATOSAÑO!CB53</f>
        <v>1.5564000000002729</v>
      </c>
      <c r="M54" s="1028">
        <f ca="1">+DATOSAÑO!AK53</f>
        <v>16.099999999976717</v>
      </c>
      <c r="N54" s="1028">
        <f ca="1">+DATOSAÑO!AH53</f>
        <v>8.5999999999985448</v>
      </c>
      <c r="O54" s="1028">
        <f ca="1">DATOSAÑO!AL53</f>
        <v>33.300000000028376</v>
      </c>
      <c r="P54" s="1029" t="e">
        <f>+(DATOSAÑO!#REF!)+DATOSAÑO!#REF!</f>
        <v>#REF!</v>
      </c>
      <c r="Q54" s="1028">
        <f ca="1">+DATOSAÑO!BH53</f>
        <v>5</v>
      </c>
      <c r="R54" s="1114">
        <f ca="1">DATOSAÑO!BJ53+DATOSAÑO!BM53+DATOSAÑO!BP53+DATOSAÑO!BW53+DATOSAÑO!CC53</f>
        <v>20.817599999998681</v>
      </c>
    </row>
    <row r="55" spans="2:18">
      <c r="B55" s="410">
        <v>44970</v>
      </c>
      <c r="C55" s="1028">
        <f ca="1">DATOSAÑO!AJ54</f>
        <v>8.7999999999883585</v>
      </c>
      <c r="D55" s="1028">
        <f ca="1">DATOSAÑO!AK54</f>
        <v>15.900000000023283</v>
      </c>
      <c r="E55" s="1028">
        <f ca="1">DATOSAÑO!AD54</f>
        <v>162</v>
      </c>
      <c r="F55" s="1028">
        <v>0</v>
      </c>
      <c r="G55" s="1028">
        <v>0</v>
      </c>
      <c r="H55" s="1028">
        <f ca="1">DATOSAÑO!AI54</f>
        <v>42.69999999999709</v>
      </c>
      <c r="I55" s="1028">
        <f ca="1">DATOSAÑO!CA54</f>
        <v>5.1340000000003609</v>
      </c>
      <c r="J55" s="1028">
        <v>0</v>
      </c>
      <c r="K55" s="1028">
        <f ca="1">DATOSAÑO!AF54</f>
        <v>146</v>
      </c>
      <c r="L55" s="1028">
        <f ca="1">+DATOSAÑO!CB54</f>
        <v>1.6223999999996725</v>
      </c>
      <c r="M55" s="1028">
        <f ca="1">+DATOSAÑO!AK54</f>
        <v>15.900000000023283</v>
      </c>
      <c r="N55" s="1028">
        <f ca="1">+DATOSAÑO!AH54</f>
        <v>9</v>
      </c>
      <c r="O55" s="1028">
        <f ca="1">DATOSAÑO!AL54</f>
        <v>34.399999999990541</v>
      </c>
      <c r="P55" s="1029" t="e">
        <f>+(DATOSAÑO!#REF!)+DATOSAÑO!#REF!</f>
        <v>#REF!</v>
      </c>
      <c r="Q55" s="1028">
        <f ca="1">+DATOSAÑO!BH54</f>
        <v>5</v>
      </c>
      <c r="R55" s="1114">
        <f ca="1">DATOSAÑO!BJ54+DATOSAÑO!BM54+DATOSAÑO!BP54+DATOSAÑO!BW54+DATOSAÑO!CC54</f>
        <v>20.443600000000689</v>
      </c>
    </row>
    <row r="56" spans="2:18">
      <c r="B56" s="410">
        <v>44971</v>
      </c>
      <c r="C56" s="1028">
        <f ca="1">DATOSAÑO!AJ55</f>
        <v>7.3000000000029104</v>
      </c>
      <c r="D56" s="1028">
        <f ca="1">DATOSAÑO!AK55</f>
        <v>15.299999999988358</v>
      </c>
      <c r="E56" s="1028">
        <f ca="1">DATOSAÑO!AD55</f>
        <v>162.09999999997672</v>
      </c>
      <c r="F56" s="1028">
        <v>0</v>
      </c>
      <c r="G56" s="1028">
        <v>0</v>
      </c>
      <c r="H56" s="1028">
        <f ca="1">DATOSAÑO!AI55</f>
        <v>40.900000000008731</v>
      </c>
      <c r="I56" s="1028">
        <f ca="1">DATOSAÑO!CA55</f>
        <v>5.1645000000010901</v>
      </c>
      <c r="J56" s="1028">
        <v>0</v>
      </c>
      <c r="K56" s="1028">
        <f ca="1">DATOSAÑO!AF55</f>
        <v>138</v>
      </c>
      <c r="L56" s="1028">
        <f ca="1">+DATOSAÑO!CB55</f>
        <v>1.3488000000000002</v>
      </c>
      <c r="M56" s="1028">
        <f ca="1">+DATOSAÑO!AK55</f>
        <v>15.299999999988358</v>
      </c>
      <c r="N56" s="1028">
        <f ca="1">+DATOSAÑO!AH55</f>
        <v>7.9000000000014552</v>
      </c>
      <c r="O56" s="1028">
        <f ca="1">DATOSAÑO!AL55</f>
        <v>34.300000000021043</v>
      </c>
      <c r="P56" s="1029" t="e">
        <f>+(DATOSAÑO!#REF!)+DATOSAÑO!#REF!</f>
        <v>#REF!</v>
      </c>
      <c r="Q56" s="1028">
        <f ca="1">+DATOSAÑO!BH55</f>
        <v>6.0999999999985448</v>
      </c>
      <c r="R56" s="1114">
        <f ca="1">DATOSAÑO!BJ55+DATOSAÑO!BM55+DATOSAÑO!BP55+DATOSAÑO!BW55+DATOSAÑO!CC55</f>
        <v>20.386700000000364</v>
      </c>
    </row>
    <row r="57" spans="2:18">
      <c r="B57" s="410">
        <v>44972</v>
      </c>
      <c r="C57" s="1028">
        <f ca="1">DATOSAÑO!AJ56</f>
        <v>7.1999999999970896</v>
      </c>
      <c r="D57" s="1028">
        <f ca="1">DATOSAÑO!AK56</f>
        <v>16.600000000005821</v>
      </c>
      <c r="E57" s="1028">
        <f ca="1">DATOSAÑO!AD56</f>
        <v>163.90000000002328</v>
      </c>
      <c r="F57" s="1028">
        <v>0</v>
      </c>
      <c r="G57" s="1028">
        <v>0</v>
      </c>
      <c r="H57" s="1028">
        <f ca="1">DATOSAÑO!AI56</f>
        <v>47.099999999998545</v>
      </c>
      <c r="I57" s="1028">
        <f ca="1">DATOSAÑO!CA56</f>
        <v>4.9295000000049107</v>
      </c>
      <c r="J57" s="1028">
        <v>0</v>
      </c>
      <c r="K57" s="1028">
        <f ca="1">DATOSAÑO!AF56</f>
        <v>146</v>
      </c>
      <c r="L57" s="1028">
        <f ca="1">+DATOSAÑO!CB56</f>
        <v>1.6740000000003272</v>
      </c>
      <c r="M57" s="1028">
        <f ca="1">+DATOSAÑO!AK56</f>
        <v>16.600000000005821</v>
      </c>
      <c r="N57" s="1028">
        <f ca="1">+DATOSAÑO!AH56</f>
        <v>8.5999999999985448</v>
      </c>
      <c r="O57" s="1028">
        <f ca="1">DATOSAÑO!AL56</f>
        <v>32.299999999966531</v>
      </c>
      <c r="P57" s="1029" t="e">
        <f>+(DATOSAÑO!#REF!)+DATOSAÑO!#REF!</f>
        <v>#REF!</v>
      </c>
      <c r="Q57" s="1028">
        <f ca="1">+DATOSAÑO!BH56</f>
        <v>5.3000000000029104</v>
      </c>
      <c r="R57" s="1114">
        <f ca="1">DATOSAÑO!BJ56+DATOSAÑO!BM56+DATOSAÑO!BP56+DATOSAÑO!BW56+DATOSAÑO!CC56</f>
        <v>22.396500000005673</v>
      </c>
    </row>
    <row r="58" spans="2:18">
      <c r="B58" s="410">
        <v>44973</v>
      </c>
      <c r="C58" s="1028">
        <f ca="1">DATOSAÑO!AJ57</f>
        <v>6</v>
      </c>
      <c r="D58" s="1028">
        <f ca="1">DATOSAÑO!AK57</f>
        <v>14.399999999994179</v>
      </c>
      <c r="E58" s="1028">
        <f ca="1">DATOSAÑO!AD57</f>
        <v>158</v>
      </c>
      <c r="F58" s="1028">
        <v>0</v>
      </c>
      <c r="G58" s="1028">
        <v>0</v>
      </c>
      <c r="H58" s="1028">
        <f ca="1">DATOSAÑO!AI57</f>
        <v>43.599999999998545</v>
      </c>
      <c r="I58" s="1028">
        <f ca="1">DATOSAÑO!CA57</f>
        <v>4.4234999999941333</v>
      </c>
      <c r="J58" s="1028">
        <v>0</v>
      </c>
      <c r="K58" s="1028">
        <f ca="1">DATOSAÑO!AF57</f>
        <v>142</v>
      </c>
      <c r="L58" s="1028">
        <f ca="1">+DATOSAÑO!CB57</f>
        <v>2.2319999999999451</v>
      </c>
      <c r="M58" s="1028">
        <f ca="1">+DATOSAÑO!AK57</f>
        <v>14.399999999994179</v>
      </c>
      <c r="N58" s="1028">
        <f ca="1">+DATOSAÑO!AH57</f>
        <v>10</v>
      </c>
      <c r="O58" s="1028">
        <f ca="1">DATOSAÑO!AL57</f>
        <v>33.400000000016007</v>
      </c>
      <c r="P58" s="1029" t="e">
        <f>+(DATOSAÑO!#REF!)+DATOSAÑO!#REF!</f>
        <v>#REF!</v>
      </c>
      <c r="Q58" s="1028">
        <f ca="1">+DATOSAÑO!BH57</f>
        <v>5.0999999999985448</v>
      </c>
      <c r="R58" s="1114">
        <f ca="1">DATOSAÑO!BJ57+DATOSAÑO!BM57+DATOSAÑO!BP57+DATOSAÑO!BW57+DATOSAÑO!CC57</f>
        <v>21.644499999994277</v>
      </c>
    </row>
    <row r="59" spans="2:18">
      <c r="B59" s="410">
        <v>44974</v>
      </c>
      <c r="C59" s="1028">
        <f ca="1">DATOSAÑO!AJ58</f>
        <v>8.7000000000116415</v>
      </c>
      <c r="D59" s="1028">
        <f ca="1">DATOSAÑO!AK58</f>
        <v>16</v>
      </c>
      <c r="E59" s="1028">
        <f ca="1">DATOSAÑO!AD58</f>
        <v>163</v>
      </c>
      <c r="F59" s="1028">
        <v>0</v>
      </c>
      <c r="G59" s="1028">
        <v>0</v>
      </c>
      <c r="H59" s="1028">
        <f ca="1">DATOSAÑO!AI58</f>
        <v>39.299999999995634</v>
      </c>
      <c r="I59" s="1028">
        <f ca="1">DATOSAÑO!CA58</f>
        <v>5.5769999999991828</v>
      </c>
      <c r="J59" s="1028">
        <v>0</v>
      </c>
      <c r="K59" s="1028">
        <f ca="1">DATOSAÑO!AF58</f>
        <v>135</v>
      </c>
      <c r="L59" s="1028">
        <f ca="1">+DATOSAÑO!CB58</f>
        <v>2.0586000000001095</v>
      </c>
      <c r="M59" s="1028">
        <f ca="1">+DATOSAÑO!AK58</f>
        <v>16</v>
      </c>
      <c r="N59" s="1028">
        <f ca="1">+DATOSAÑO!AH58</f>
        <v>6.7000000000043656</v>
      </c>
      <c r="O59" s="1028">
        <f ca="1">DATOSAÑO!AL58</f>
        <v>31.099999999991212</v>
      </c>
      <c r="P59" s="1029" t="e">
        <f>+(DATOSAÑO!#REF!)+DATOSAÑO!#REF!</f>
        <v>#REF!</v>
      </c>
      <c r="Q59" s="1028">
        <f ca="1">+DATOSAÑO!BH58</f>
        <v>4.8000000000029104</v>
      </c>
      <c r="R59" s="1114">
        <f ca="1">DATOSAÑO!BJ58+DATOSAÑO!BM58+DATOSAÑO!BP58+DATOSAÑO!BW58+DATOSAÑO!CC58</f>
        <v>22.464399999999255</v>
      </c>
    </row>
    <row r="60" spans="2:18">
      <c r="B60" s="410">
        <v>44975</v>
      </c>
      <c r="C60" s="1028">
        <f ca="1">DATOSAÑO!AJ59</f>
        <v>9.1999999999970896</v>
      </c>
      <c r="D60" s="1028">
        <f ca="1">DATOSAÑO!AK59</f>
        <v>16</v>
      </c>
      <c r="E60" s="1028">
        <f ca="1">DATOSAÑO!AD59</f>
        <v>165</v>
      </c>
      <c r="F60" s="1028">
        <v>0</v>
      </c>
      <c r="G60" s="1028">
        <v>0</v>
      </c>
      <c r="H60" s="1028">
        <f ca="1">DATOSAÑO!AI59</f>
        <v>40.300000000010186</v>
      </c>
      <c r="I60" s="1028">
        <f ca="1">DATOSAÑO!CA59</f>
        <v>3.9909999999999988</v>
      </c>
      <c r="J60" s="1028">
        <v>0</v>
      </c>
      <c r="K60" s="1028">
        <f ca="1">DATOSAÑO!AF59</f>
        <v>148</v>
      </c>
      <c r="L60" s="1028">
        <f ca="1">+DATOSAÑO!CB59</f>
        <v>2.3436000000001087</v>
      </c>
      <c r="M60" s="1028">
        <f ca="1">+DATOSAÑO!AK59</f>
        <v>16</v>
      </c>
      <c r="N60" s="1028">
        <f ca="1">+DATOSAÑO!AH59</f>
        <v>11.099999999998545</v>
      </c>
      <c r="O60" s="1028">
        <f ca="1">DATOSAÑO!AL59</f>
        <v>33.299999999995634</v>
      </c>
      <c r="P60" s="1029" t="e">
        <f>+(DATOSAÑO!#REF!)+DATOSAÑO!#REF!</f>
        <v>#REF!</v>
      </c>
      <c r="Q60" s="1028">
        <f ca="1">+DATOSAÑO!BH59</f>
        <v>4.3999999999941792</v>
      </c>
      <c r="R60" s="1114">
        <f ca="1">DATOSAÑO!BJ59+DATOSAÑO!BM59+DATOSAÑO!BP59+DATOSAÑO!BW59+DATOSAÑO!CC59</f>
        <v>22.165399999999892</v>
      </c>
    </row>
    <row r="61" spans="2:18">
      <c r="B61" s="410">
        <v>44976</v>
      </c>
      <c r="C61" s="1028">
        <f ca="1">DATOSAÑO!AJ60</f>
        <v>9.1999999999970896</v>
      </c>
      <c r="D61" s="1028">
        <f ca="1">DATOSAÑO!AK60</f>
        <v>16</v>
      </c>
      <c r="E61" s="1028">
        <f ca="1">DATOSAÑO!AD60</f>
        <v>160</v>
      </c>
      <c r="F61" s="1028">
        <v>0</v>
      </c>
      <c r="G61" s="1028">
        <v>0</v>
      </c>
      <c r="H61" s="1028">
        <f ca="1">DATOSAÑO!AI60</f>
        <v>39.19999999999709</v>
      </c>
      <c r="I61" s="1028">
        <f ca="1">DATOSAÑO!CA60</f>
        <v>5.3305000000008178</v>
      </c>
      <c r="J61" s="1028">
        <v>0</v>
      </c>
      <c r="K61" s="1028">
        <f ca="1">DATOSAÑO!AF60</f>
        <v>143</v>
      </c>
      <c r="L61" s="1028">
        <f ca="1">+DATOSAÑO!CB60</f>
        <v>1.9061999999994543</v>
      </c>
      <c r="M61" s="1028">
        <f ca="1">+DATOSAÑO!AK60</f>
        <v>16</v>
      </c>
      <c r="N61" s="1028">
        <f ca="1">+DATOSAÑO!AH60</f>
        <v>11.400000000001455</v>
      </c>
      <c r="O61" s="1028">
        <f ca="1">DATOSAÑO!AL60</f>
        <v>32.100000000002183</v>
      </c>
      <c r="P61" s="1029" t="e">
        <f>+(DATOSAÑO!#REF!)+DATOSAÑO!#REF!</f>
        <v>#REF!</v>
      </c>
      <c r="Q61" s="1028">
        <f ca="1">+DATOSAÑO!BH60</f>
        <v>4.2000000000043656</v>
      </c>
      <c r="R61" s="1114">
        <f ca="1">DATOSAÑO!BJ60+DATOSAÑO!BM60+DATOSAÑO!BP60+DATOSAÑO!BW60+DATOSAÑO!CC60</f>
        <v>21.463300000000455</v>
      </c>
    </row>
    <row r="62" spans="2:18">
      <c r="B62" s="410">
        <v>44977</v>
      </c>
      <c r="C62" s="1028">
        <f ca="1">DATOSAÑO!AJ61</f>
        <v>9.6000000000058208</v>
      </c>
      <c r="D62" s="1028">
        <f ca="1">DATOSAÑO!AK61</f>
        <v>17</v>
      </c>
      <c r="E62" s="1028">
        <f ca="1">DATOSAÑO!AD61</f>
        <v>155</v>
      </c>
      <c r="F62" s="1028">
        <v>0</v>
      </c>
      <c r="G62" s="1028">
        <v>0</v>
      </c>
      <c r="H62" s="1028">
        <f ca="1">DATOSAÑO!AI61</f>
        <v>39.399999999994179</v>
      </c>
      <c r="I62" s="1028">
        <f ca="1">DATOSAÑO!CA61</f>
        <v>5.3429999999999547</v>
      </c>
      <c r="J62" s="1028">
        <v>0</v>
      </c>
      <c r="K62" s="1028">
        <f ca="1">DATOSAÑO!AF61</f>
        <v>147</v>
      </c>
      <c r="L62" s="1028">
        <f ca="1">+DATOSAÑO!CB61</f>
        <v>2.2355999999999452</v>
      </c>
      <c r="M62" s="1028">
        <f ca="1">+DATOSAÑO!AK61</f>
        <v>17</v>
      </c>
      <c r="N62" s="1028">
        <f ca="1">+DATOSAÑO!AH61</f>
        <v>10.5</v>
      </c>
      <c r="O62" s="1028">
        <f ca="1">DATOSAÑO!AL61</f>
        <v>39.30699999999905</v>
      </c>
      <c r="P62" s="1029" t="e">
        <f>+(DATOSAÑO!#REF!)+DATOSAÑO!#REF!</f>
        <v>#REF!</v>
      </c>
      <c r="Q62" s="1028">
        <f ca="1">+DATOSAÑO!BH61</f>
        <v>4.5999999999985448</v>
      </c>
      <c r="R62" s="1114">
        <f ca="1">DATOSAÑO!BJ61+DATOSAÑO!BM61+DATOSAÑO!BP61+DATOSAÑO!BW61+DATOSAÑO!CC61</f>
        <v>21.221399999999374</v>
      </c>
    </row>
    <row r="63" spans="2:18">
      <c r="B63" s="410">
        <v>44978</v>
      </c>
      <c r="C63" s="1028">
        <f ca="1">DATOSAÑO!AJ62</f>
        <v>10.069999999992433</v>
      </c>
      <c r="D63" s="1028">
        <f ca="1">DATOSAÑO!AK62</f>
        <v>16.700000000011642</v>
      </c>
      <c r="E63" s="1028">
        <f ca="1">DATOSAÑO!AD62</f>
        <v>169.40000000002328</v>
      </c>
      <c r="F63" s="1028">
        <v>0</v>
      </c>
      <c r="G63" s="1028">
        <v>0</v>
      </c>
      <c r="H63" s="1028">
        <f ca="1">DATOSAÑO!AI62</f>
        <v>38.69999999999709</v>
      </c>
      <c r="I63" s="1028">
        <f ca="1">DATOSAÑO!CA62</f>
        <v>5.238499999988222</v>
      </c>
      <c r="J63" s="1028">
        <v>0</v>
      </c>
      <c r="K63" s="1028">
        <f ca="1">DATOSAÑO!AF62</f>
        <v>150.70000000001164</v>
      </c>
      <c r="L63" s="1028">
        <f ca="1">+DATOSAÑO!CB62</f>
        <v>1.6746000000001637</v>
      </c>
      <c r="M63" s="1028">
        <f ca="1">+DATOSAÑO!AK62</f>
        <v>16.700000000011642</v>
      </c>
      <c r="N63" s="1028">
        <f ca="1">+DATOSAÑO!AH62</f>
        <v>8.7999999999956344</v>
      </c>
      <c r="O63" s="1028">
        <f ca="1">DATOSAÑO!AL62</f>
        <v>27.129999999993743</v>
      </c>
      <c r="P63" s="1029" t="e">
        <f>+(DATOSAÑO!#REF!)+DATOSAÑO!#REF!</f>
        <v>#REF!</v>
      </c>
      <c r="Q63" s="1028">
        <f ca="1">+DATOSAÑO!BH62</f>
        <v>4.9000000000014552</v>
      </c>
      <c r="R63" s="1114">
        <f ca="1">DATOSAÑO!BJ62+DATOSAÑO!BM62+DATOSAÑO!BP62+DATOSAÑO!BW62+DATOSAÑO!CC62</f>
        <v>21.686899999988334</v>
      </c>
    </row>
    <row r="64" spans="2:18">
      <c r="B64" s="410">
        <v>44979</v>
      </c>
      <c r="C64" s="1028">
        <f ca="1">DATOSAÑO!AJ63</f>
        <v>10.229999999995925</v>
      </c>
      <c r="D64" s="1028">
        <f ca="1">DATOSAÑO!AK63</f>
        <v>17</v>
      </c>
      <c r="E64" s="1028">
        <f ca="1">DATOSAÑO!AD63</f>
        <v>163.90000000002328</v>
      </c>
      <c r="F64" s="1028">
        <v>0</v>
      </c>
      <c r="G64" s="1028">
        <v>0</v>
      </c>
      <c r="H64" s="1028">
        <f ca="1">DATOSAÑO!AI63</f>
        <v>36.30000000000291</v>
      </c>
      <c r="I64" s="1028">
        <f ca="1">DATOSAÑO!CA63</f>
        <v>3.5784999999953166</v>
      </c>
      <c r="J64" s="1028">
        <v>0</v>
      </c>
      <c r="K64" s="1028">
        <f ca="1">DATOSAÑO!AF63</f>
        <v>150.20000000001164</v>
      </c>
      <c r="L64" s="1028">
        <f ca="1">+DATOSAÑO!CB63</f>
        <v>1.0890000000001636</v>
      </c>
      <c r="M64" s="1028">
        <f ca="1">+DATOSAÑO!AK63</f>
        <v>17</v>
      </c>
      <c r="N64" s="1028">
        <f ca="1">+DATOSAÑO!AH63</f>
        <v>10.200000000004366</v>
      </c>
      <c r="O64" s="1028">
        <f ca="1">DATOSAÑO!AL63</f>
        <v>33.769999999993217</v>
      </c>
      <c r="P64" s="1029" t="e">
        <f>+(DATOSAÑO!#REF!)+DATOSAÑO!#REF!</f>
        <v>#REF!</v>
      </c>
      <c r="Q64" s="1028">
        <f ca="1">+DATOSAÑO!BH63</f>
        <v>5.0999999999985448</v>
      </c>
      <c r="R64" s="1114">
        <f ca="1">DATOSAÑO!BJ63+DATOSAÑO!BM63+DATOSAÑO!BP63+DATOSAÑO!BW63+DATOSAÑO!CC63</f>
        <v>23.432499999995791</v>
      </c>
    </row>
    <row r="65" spans="2:18">
      <c r="B65" s="410">
        <v>44980</v>
      </c>
      <c r="C65" s="1028">
        <f ca="1">DATOSAÑO!AJ64</f>
        <v>9.9500000000116415</v>
      </c>
      <c r="D65" s="1028">
        <f ca="1">DATOSAÑO!AK64</f>
        <v>14.470000000001164</v>
      </c>
      <c r="E65" s="1028">
        <f ca="1">DATOSAÑO!AD64</f>
        <v>151.59999999997672</v>
      </c>
      <c r="F65" s="1028">
        <v>0</v>
      </c>
      <c r="G65" s="1028">
        <v>0</v>
      </c>
      <c r="H65" s="1028">
        <f ca="1">DATOSAÑO!AI64</f>
        <v>33.110000000007858</v>
      </c>
      <c r="I65" s="1028">
        <f ca="1">DATOSAÑO!CA64</f>
        <v>3.1170000000147131</v>
      </c>
      <c r="J65" s="1028">
        <v>0</v>
      </c>
      <c r="K65" s="1028">
        <f ca="1">DATOSAÑO!AF64</f>
        <v>123.88999999995576</v>
      </c>
      <c r="L65" s="1028">
        <f ca="1">+DATOSAÑO!CB64</f>
        <v>1.960200000000242</v>
      </c>
      <c r="M65" s="1028">
        <f ca="1">+DATOSAÑO!AK64</f>
        <v>14.470000000001164</v>
      </c>
      <c r="N65" s="1028">
        <f ca="1">+DATOSAÑO!AH64</f>
        <v>0.1000000000003638</v>
      </c>
      <c r="O65" s="1028">
        <f ca="1">DATOSAÑO!AL64</f>
        <v>35.470000000050334</v>
      </c>
      <c r="P65" s="1029" t="e">
        <f>+(DATOSAÑO!#REF!)+DATOSAÑO!#REF!</f>
        <v>#REF!</v>
      </c>
      <c r="Q65" s="1028">
        <f ca="1">+DATOSAÑO!BH64</f>
        <v>4.9389999999984866</v>
      </c>
      <c r="R65" s="1114">
        <f ca="1">DATOSAÑO!BJ64+DATOSAÑO!BM64+DATOSAÑO!BP64+DATOSAÑO!BW64+DATOSAÑO!CC64</f>
        <v>19.032800000014731</v>
      </c>
    </row>
    <row r="66" spans="2:18">
      <c r="B66" s="410">
        <v>44981</v>
      </c>
      <c r="C66" s="1028">
        <f ca="1">DATOSAÑO!AJ65</f>
        <v>8.3099999999976717</v>
      </c>
      <c r="D66" s="1028">
        <f ca="1">DATOSAÑO!AK65</f>
        <v>16.529999999998836</v>
      </c>
      <c r="E66" s="1028">
        <f ca="1">DATOSAÑO!AD65</f>
        <v>164.5</v>
      </c>
      <c r="F66" s="1028">
        <v>0</v>
      </c>
      <c r="G66" s="1028">
        <v>0</v>
      </c>
      <c r="H66" s="1028">
        <f ca="1">DATOSAÑO!AI65</f>
        <v>29.959999999999127</v>
      </c>
      <c r="I66" s="1028">
        <f ca="1">DATOSAÑO!CA65</f>
        <v>4.7410000000036927</v>
      </c>
      <c r="J66" s="1028">
        <v>0</v>
      </c>
      <c r="K66" s="1028">
        <f ca="1">DATOSAÑO!AF65</f>
        <v>142.28000000002794</v>
      </c>
      <c r="L66" s="1028">
        <f ca="1">+DATOSAÑO!CB65</f>
        <v>1.302599999999869</v>
      </c>
      <c r="M66" s="1028">
        <f ca="1">+DATOSAÑO!AK65</f>
        <v>16.529999999998836</v>
      </c>
      <c r="N66" s="1028">
        <f ca="1">+DATOSAÑO!AH65</f>
        <v>6.7999999999956344</v>
      </c>
      <c r="O66" s="1028">
        <f ca="1">DATOSAÑO!AL65</f>
        <v>39.349999999922147</v>
      </c>
      <c r="P66" s="1029" t="e">
        <f>+(DATOSAÑO!#REF!)+DATOSAÑO!#REF!</f>
        <v>#REF!</v>
      </c>
      <c r="Q66" s="1028">
        <f ca="1">+DATOSAÑO!BH65</f>
        <v>4.9310000000041327</v>
      </c>
      <c r="R66" s="1114">
        <f ca="1">DATOSAÑO!BJ65+DATOSAÑO!BM65+DATOSAÑO!BP65+DATOSAÑO!BW65+DATOSAÑO!CC65</f>
        <v>20.976400000004148</v>
      </c>
    </row>
    <row r="67" spans="2:18">
      <c r="B67" s="410">
        <v>44982</v>
      </c>
      <c r="C67" s="1028">
        <f ca="1">DATOSAÑO!AJ66</f>
        <v>8.9799999999959255</v>
      </c>
      <c r="D67" s="1028">
        <f ca="1">DATOSAÑO!AK66</f>
        <v>15.029999999998836</v>
      </c>
      <c r="E67" s="1028">
        <f ca="1">DATOSAÑO!AD66</f>
        <v>162.69999999995343</v>
      </c>
      <c r="F67" s="1028">
        <v>0</v>
      </c>
      <c r="G67" s="1028">
        <v>0</v>
      </c>
      <c r="H67" s="1028">
        <f ca="1">DATOSAÑO!AI66</f>
        <v>32.040000000000873</v>
      </c>
      <c r="I67" s="1028">
        <f ca="1">DATOSAÑO!CA66</f>
        <v>4.6514999999972986</v>
      </c>
      <c r="J67" s="1028">
        <v>0</v>
      </c>
      <c r="K67" s="1028">
        <f ca="1">DATOSAÑO!AF66</f>
        <v>139.5800000000163</v>
      </c>
      <c r="L67" s="1028">
        <f ca="1">+DATOSAÑO!CB66</f>
        <v>2.0802000000001635</v>
      </c>
      <c r="M67" s="1028">
        <f ca="1">+DATOSAÑO!AK66</f>
        <v>15.029999999998836</v>
      </c>
      <c r="N67" s="1028">
        <f ca="1">+DATOSAÑO!AH66</f>
        <v>17.600000000005821</v>
      </c>
      <c r="O67" s="1028">
        <f ca="1">DATOSAÑO!AL66</f>
        <v>27.930000000022062</v>
      </c>
      <c r="P67" s="1029" t="e">
        <f>+(DATOSAÑO!#REF!)+DATOSAÑO!#REF!</f>
        <v>#REF!</v>
      </c>
      <c r="Q67" s="1028">
        <f ca="1">+DATOSAÑO!BH66</f>
        <v>4.6419999999998254</v>
      </c>
      <c r="R67" s="1114">
        <f ca="1">DATOSAÑO!BJ66+DATOSAÑO!BM66+DATOSAÑO!BP66+DATOSAÑO!BW66+DATOSAÑO!CC66</f>
        <v>22.188299999997152</v>
      </c>
    </row>
    <row r="68" spans="2:18">
      <c r="B68" s="410">
        <v>44983</v>
      </c>
      <c r="C68" s="1028">
        <f ca="1">DATOSAÑO!AJ67</f>
        <v>8.6999999999970896</v>
      </c>
      <c r="D68" s="1028">
        <f ca="1">DATOSAÑO!AK67</f>
        <v>15.779999999998836</v>
      </c>
      <c r="E68" s="1028">
        <f ca="1">DATOSAÑO!AD67</f>
        <v>161.30000000004657</v>
      </c>
      <c r="F68" s="1028">
        <v>0</v>
      </c>
      <c r="G68" s="1028">
        <v>0</v>
      </c>
      <c r="H68" s="1028">
        <f ca="1">DATOSAÑO!AI67</f>
        <v>32.669999999998254</v>
      </c>
      <c r="I68" s="1028">
        <f ca="1">DATOSAÑO!CA67</f>
        <v>4.2075000000012635</v>
      </c>
      <c r="J68" s="1028">
        <v>0</v>
      </c>
      <c r="K68" s="1028">
        <f ca="1">DATOSAÑO!AF67</f>
        <v>137.84999999997672</v>
      </c>
      <c r="L68" s="1028">
        <f ca="1">+DATOSAÑO!CB67</f>
        <v>2.3327999999995526</v>
      </c>
      <c r="M68" s="1028">
        <f ca="1">+DATOSAÑO!AK67</f>
        <v>15.779999999998836</v>
      </c>
      <c r="N68" s="1028">
        <f ca="1">+DATOSAÑO!AH67</f>
        <v>10.199999999995271</v>
      </c>
      <c r="O68" s="1028">
        <f ca="1">DATOSAÑO!AL67</f>
        <v>33.169999999967274</v>
      </c>
      <c r="P68" s="1029" t="e">
        <f>+(DATOSAÑO!#REF!)+DATOSAÑO!#REF!</f>
        <v>#REF!</v>
      </c>
      <c r="Q68" s="1028">
        <f ca="1">+DATOSAÑO!BH67</f>
        <v>4.6440000000002328</v>
      </c>
      <c r="R68" s="1114">
        <f ca="1">DATOSAÑO!BJ67+DATOSAÑO!BM67+DATOSAÑO!BP67+DATOSAÑO!BW67+DATOSAÑO!CC67</f>
        <v>21.60970000000064</v>
      </c>
    </row>
    <row r="69" spans="2:18">
      <c r="B69" s="410">
        <v>44984</v>
      </c>
      <c r="C69" s="1028">
        <f ca="1">DATOSAÑO!AJ68</f>
        <v>8.8500000000058208</v>
      </c>
      <c r="D69" s="1028">
        <f ca="1">DATOSAÑO!AK68</f>
        <v>16.319999999977881</v>
      </c>
      <c r="E69" s="1028">
        <f ca="1">DATOSAÑO!AD68</f>
        <v>159.79999999993015</v>
      </c>
      <c r="F69" s="1028">
        <v>0</v>
      </c>
      <c r="G69" s="1028">
        <v>0</v>
      </c>
      <c r="H69" s="1028">
        <f ca="1">DATOSAÑO!AI68</f>
        <v>32.489999999997963</v>
      </c>
      <c r="I69" s="1028">
        <f ca="1">DATOSAÑO!CA68</f>
        <v>4.9274999999737608</v>
      </c>
      <c r="J69" s="1028">
        <v>0</v>
      </c>
      <c r="K69" s="1028">
        <f ca="1">DATOSAÑO!AF68</f>
        <v>139.03000000002794</v>
      </c>
      <c r="L69" s="1028">
        <f ca="1">+DATOSAÑO!CB68</f>
        <v>2.2578000000000107</v>
      </c>
      <c r="M69" s="1028">
        <f ca="1">+DATOSAÑO!AK68</f>
        <v>16.319999999977881</v>
      </c>
      <c r="N69" s="1028">
        <f ca="1">+DATOSAÑO!AH68</f>
        <v>13.80000000000291</v>
      </c>
      <c r="O69" s="1028">
        <f ca="1">DATOSAÑO!AL68</f>
        <v>35.240000000088912</v>
      </c>
      <c r="P69" s="1029" t="e">
        <f>+(DATOSAÑO!#REF!)+DATOSAÑO!#REF!</f>
        <v>#REF!</v>
      </c>
      <c r="Q69" s="1028">
        <f ca="1">+DATOSAÑO!BH68</f>
        <v>5.1519999999945867</v>
      </c>
      <c r="R69" s="1114">
        <f ca="1">DATOSAÑO!BJ68+DATOSAÑO!BM68+DATOSAÑO!BP68+DATOSAÑO!BW68+DATOSAÑO!CC68</f>
        <v>22.48469999997355</v>
      </c>
    </row>
    <row r="70" spans="2:18" ht="15" thickBot="1">
      <c r="B70" s="410">
        <v>44985</v>
      </c>
      <c r="C70" s="1028">
        <f ca="1">DATOSAÑO!AJ69</f>
        <v>8.5999999999912689</v>
      </c>
      <c r="D70" s="1028">
        <f ca="1">DATOSAÑO!AK69</f>
        <v>15.170000000012806</v>
      </c>
      <c r="E70" s="1028">
        <f ca="1">DATOSAÑO!AD69</f>
        <v>165.40000000002328</v>
      </c>
      <c r="F70" s="1028">
        <v>0</v>
      </c>
      <c r="G70" s="1028">
        <v>0</v>
      </c>
      <c r="H70" s="1028">
        <f ca="1">DATOSAÑO!AI69</f>
        <v>32.190000000002328</v>
      </c>
      <c r="I70" s="1028">
        <f ca="1">DATOSAÑO!CA69</f>
        <v>4.9160000000206896</v>
      </c>
      <c r="J70" s="1028">
        <v>0</v>
      </c>
      <c r="K70" s="1028">
        <f ca="1">DATOSAÑO!AF69</f>
        <v>139.46999999997206</v>
      </c>
      <c r="L70" s="1028">
        <f ca="1">+DATOSAÑO!CB69</f>
        <v>2.2422000000002953</v>
      </c>
      <c r="M70" s="1028">
        <f ca="1">+DATOSAÑO!AK69</f>
        <v>15.170000000012806</v>
      </c>
      <c r="N70" s="1028">
        <f ca="1">+DATOSAÑO!AH69</f>
        <v>8.5999999999985448</v>
      </c>
      <c r="O70" s="1028">
        <f ca="1">DATOSAÑO!AL69</f>
        <v>33.025000000036698</v>
      </c>
      <c r="P70" s="1029" t="e">
        <f>+(DATOSAÑO!#REF!)+DATOSAÑO!#REF!</f>
        <v>#REF!</v>
      </c>
      <c r="Q70" s="1028">
        <f ca="1">+DATOSAÑO!BH69</f>
        <v>5.2690000000002328</v>
      </c>
      <c r="R70" s="1114">
        <f ca="1">DATOSAÑO!BJ69+DATOSAÑO!BM69+DATOSAÑO!BP69+DATOSAÑO!BW69+DATOSAÑO!CC69</f>
        <v>22.871800000021505</v>
      </c>
    </row>
    <row r="71" spans="2:18" ht="15" thickBot="1">
      <c r="B71" s="1308" t="s">
        <v>1114</v>
      </c>
      <c r="C71" s="1307">
        <f t="shared" ref="C71:R71" ca="1" si="1">SUM(C43:C70)</f>
        <v>247.08999999999651</v>
      </c>
      <c r="D71" s="1054">
        <f t="shared" ca="1" si="1"/>
        <v>413.5</v>
      </c>
      <c r="E71" s="1054">
        <f t="shared" ca="1" si="1"/>
        <v>4449.0999999999767</v>
      </c>
      <c r="F71" s="1054">
        <f t="shared" si="1"/>
        <v>0</v>
      </c>
      <c r="G71" s="1054">
        <f t="shared" si="1"/>
        <v>0</v>
      </c>
      <c r="H71" s="1054">
        <f t="shared" ca="1" si="1"/>
        <v>1097.3600000000079</v>
      </c>
      <c r="I71" s="1054">
        <f t="shared" ca="1" si="1"/>
        <v>132.4224999999831</v>
      </c>
      <c r="J71" s="1054">
        <f t="shared" si="1"/>
        <v>0</v>
      </c>
      <c r="K71" s="1054">
        <f t="shared" ca="1" si="1"/>
        <v>4044</v>
      </c>
      <c r="L71" s="1054">
        <f t="shared" ca="1" si="1"/>
        <v>51.892800000000285</v>
      </c>
      <c r="M71" s="1054">
        <f t="shared" ca="1" si="1"/>
        <v>413.5</v>
      </c>
      <c r="N71" s="1054">
        <f t="shared" ca="1" si="1"/>
        <v>280.5</v>
      </c>
      <c r="O71" s="1054">
        <f t="shared" ca="1" si="1"/>
        <v>928.88400000008437</v>
      </c>
      <c r="P71" s="1054" t="e">
        <f t="shared" si="1"/>
        <v>#REF!</v>
      </c>
      <c r="Q71" s="1115">
        <f t="shared" ca="1" si="1"/>
        <v>137.47699999999895</v>
      </c>
      <c r="R71" s="1115">
        <f t="shared" ca="1" si="1"/>
        <v>595.98469999998338</v>
      </c>
    </row>
    <row r="72" spans="2:18">
      <c r="B72" s="410">
        <v>44986</v>
      </c>
      <c r="C72" s="1028">
        <f ca="1">DATOSAÑO!AJ70</f>
        <v>6.4100000000034925</v>
      </c>
      <c r="D72" s="1028">
        <f ca="1">DATOSAÑO!AK70</f>
        <v>15.200000000011642</v>
      </c>
      <c r="E72" s="1028">
        <f ca="1">DATOSAÑO!AD70</f>
        <v>158.80000000004657</v>
      </c>
      <c r="F72" s="1028">
        <v>0</v>
      </c>
      <c r="G72" s="1028">
        <v>0</v>
      </c>
      <c r="H72" s="1028">
        <f ca="1">DATOSAÑO!AI70</f>
        <v>32.839999999996508</v>
      </c>
      <c r="I72" s="1028">
        <f ca="1">DATOSAÑO!CA70</f>
        <v>5.2660000000234914</v>
      </c>
      <c r="J72" s="1028">
        <v>0</v>
      </c>
      <c r="K72" s="1028">
        <f ca="1">DATOSAÑO!AF70</f>
        <v>139.79999999998836</v>
      </c>
      <c r="L72" s="1028">
        <f ca="1">+DATOSAÑO!CB70</f>
        <v>1.7321999999997053</v>
      </c>
      <c r="M72" s="1028">
        <f ca="1">+DATOSAÑO!AK70</f>
        <v>15.200000000011642</v>
      </c>
      <c r="N72" s="1028">
        <f ca="1">+DATOSAÑO!AH70</f>
        <v>9</v>
      </c>
      <c r="O72" s="1028">
        <f ca="1">DATOSAÑO!AL70</f>
        <v>38.909999999897934</v>
      </c>
      <c r="P72" s="1053" t="e">
        <f>+(DATOSAÑO!#REF!)+DATOSAÑO!#REF!</f>
        <v>#REF!</v>
      </c>
      <c r="Q72" s="1028">
        <f ca="1">+DATOSAÑO!BH70</f>
        <v>5.25</v>
      </c>
      <c r="R72" s="1114">
        <f ca="1">DATOSAÑO!BJ70+DATOSAÑO!BM70+DATOSAÑO!BP70+DATOSAÑO!BW70+DATOSAÑO!CC70</f>
        <v>23.101800000022642</v>
      </c>
    </row>
    <row r="73" spans="2:18">
      <c r="B73" s="410">
        <v>44987</v>
      </c>
      <c r="C73" s="1028">
        <f ca="1">DATOSAÑO!AJ71</f>
        <v>7.4000000000087311</v>
      </c>
      <c r="D73" s="1028">
        <f ca="1">DATOSAÑO!AK71</f>
        <v>15.399999999994179</v>
      </c>
      <c r="E73" s="1028">
        <f ca="1">DATOSAÑO!AD71</f>
        <v>167.40000000002328</v>
      </c>
      <c r="F73" s="1028">
        <v>0</v>
      </c>
      <c r="G73" s="1028">
        <v>0</v>
      </c>
      <c r="H73" s="1028">
        <f ca="1">DATOSAÑO!AI71</f>
        <v>36.969999999993888</v>
      </c>
      <c r="I73" s="1028">
        <f ca="1">DATOSAÑO!CA71</f>
        <v>4.1384999999696497</v>
      </c>
      <c r="J73" s="1028">
        <v>0</v>
      </c>
      <c r="K73" s="1028">
        <f ca="1">DATOSAÑO!AF71</f>
        <v>139.20000000001164</v>
      </c>
      <c r="L73" s="1028">
        <f ca="1">+DATOSAÑO!CB71</f>
        <v>1.49880000000012</v>
      </c>
      <c r="M73" s="1028">
        <f ca="1">+DATOSAÑO!AK71</f>
        <v>15.399999999994179</v>
      </c>
      <c r="N73" s="1028">
        <f ca="1">+DATOSAÑO!AH71</f>
        <v>9.1000000000003638</v>
      </c>
      <c r="O73" s="1028">
        <f ca="1">DATOSAÑO!AL71</f>
        <v>29.429999999980282</v>
      </c>
      <c r="P73" s="1053" t="e">
        <f>+(DATOSAÑO!#REF!)+DATOSAÑO!#REF!</f>
        <v>#REF!</v>
      </c>
      <c r="Q73" s="1028">
        <f ca="1">+DATOSAÑO!BH71</f>
        <v>5.3729999999995925</v>
      </c>
      <c r="R73" s="1114">
        <f ca="1">DATOSAÑO!BJ71+DATOSAÑO!BM71+DATOSAÑO!BP71+DATOSAÑO!BW71+DATOSAÑO!CC71</f>
        <v>21.76269999996984</v>
      </c>
    </row>
    <row r="74" spans="2:18">
      <c r="B74" s="410">
        <v>44988</v>
      </c>
      <c r="C74" s="1028">
        <f ca="1">DATOSAÑO!AJ72</f>
        <v>7.1299999999901047</v>
      </c>
      <c r="D74" s="1028">
        <f ca="1">DATOSAÑO!AK72</f>
        <v>14.940000000002328</v>
      </c>
      <c r="E74" s="1028">
        <f ca="1">DATOSAÑO!AD72</f>
        <v>160.29999999993015</v>
      </c>
      <c r="F74" s="1047">
        <v>0</v>
      </c>
      <c r="G74" s="1047">
        <v>0</v>
      </c>
      <c r="H74" s="1028">
        <f ca="1">DATOSAÑO!AI72</f>
        <v>36.710000000006403</v>
      </c>
      <c r="I74" s="1028">
        <f ca="1">DATOSAÑO!CA72</f>
        <v>4.4225000000073758</v>
      </c>
      <c r="J74" s="1047">
        <v>0</v>
      </c>
      <c r="K74" s="1028">
        <f ca="1">DATOSAÑO!AF72</f>
        <v>137.90000000002328</v>
      </c>
      <c r="L74" s="1028">
        <f ca="1">+DATOSAÑO!CB72</f>
        <v>1.5917999999999017</v>
      </c>
      <c r="M74" s="1028">
        <f ca="1">+DATOSAÑO!AK72</f>
        <v>14.940000000002328</v>
      </c>
      <c r="N74" s="1028">
        <f ca="1">+DATOSAÑO!AH72</f>
        <v>10.599999999996726</v>
      </c>
      <c r="O74" s="1028">
        <f ca="1">DATOSAÑO!AL72</f>
        <v>33.800000000066575</v>
      </c>
      <c r="P74" s="1053" t="e">
        <f>+(DATOSAÑO!#REF!)+DATOSAÑO!#REF!</f>
        <v>#REF!</v>
      </c>
      <c r="Q74" s="1028">
        <f ca="1">+DATOSAÑO!BH72</f>
        <v>5.1000000000058208</v>
      </c>
      <c r="R74" s="1114">
        <f ca="1">DATOSAÑO!BJ72+DATOSAÑO!BM72+DATOSAÑO!BP72+DATOSAÑO!BW72+DATOSAÑO!CC72</f>
        <v>21.985700000007274</v>
      </c>
    </row>
    <row r="75" spans="2:18">
      <c r="B75" s="410">
        <v>44989</v>
      </c>
      <c r="C75" s="1028">
        <f ca="1">DATOSAÑO!AJ73</f>
        <v>8.4700000000011642</v>
      </c>
      <c r="D75" s="1028">
        <f ca="1">DATOSAÑO!AK73</f>
        <v>15.910000000003492</v>
      </c>
      <c r="E75" s="1028">
        <f ca="1">DATOSAÑO!AD73</f>
        <v>164.30000000004657</v>
      </c>
      <c r="F75" s="1028">
        <v>0</v>
      </c>
      <c r="G75" s="1028">
        <v>0</v>
      </c>
      <c r="H75" s="1028">
        <f ca="1">DATOSAÑO!AI73</f>
        <v>38.220000000001164</v>
      </c>
      <c r="I75" s="1028">
        <f ca="1">DATOSAÑO!CA73</f>
        <v>5.5604999999995544</v>
      </c>
      <c r="J75" s="1028">
        <v>0</v>
      </c>
      <c r="K75" s="1028">
        <f ca="1">DATOSAÑO!AF73</f>
        <v>137.79999999998836</v>
      </c>
      <c r="L75" s="1028">
        <f ca="1">+DATOSAÑO!CB73</f>
        <v>1.498799999999967</v>
      </c>
      <c r="M75" s="1028">
        <f ca="1">+DATOSAÑO!AK73</f>
        <v>15.910000000003492</v>
      </c>
      <c r="N75" s="1028">
        <f ca="1">+DATOSAÑO!AH73</f>
        <v>11.900000000005093</v>
      </c>
      <c r="O75" s="1028">
        <f ca="1">DATOSAÑO!AL73</f>
        <v>33.419999999929189</v>
      </c>
      <c r="P75" s="1053" t="e">
        <f>+(DATOSAÑO!#REF!)+DATOSAÑO!#REF!</f>
        <v>#REF!</v>
      </c>
      <c r="Q75" s="1028">
        <f ca="1">+DATOSAÑO!BH73</f>
        <v>4.6679999999978463</v>
      </c>
      <c r="R75" s="1114">
        <f ca="1">DATOSAÑO!BJ73+DATOSAÑO!BM73+DATOSAÑO!BP73+DATOSAÑO!BW73+DATOSAÑO!CC73</f>
        <v>23.240699999999748</v>
      </c>
    </row>
    <row r="76" spans="2:18">
      <c r="B76" s="410">
        <v>44990</v>
      </c>
      <c r="C76" s="1028">
        <f ca="1">DATOSAÑO!AJ74</f>
        <v>5.6699999999982538</v>
      </c>
      <c r="D76" s="1028">
        <f ca="1">DATOSAÑO!AK74</f>
        <v>14.379999999975553</v>
      </c>
      <c r="E76" s="1028">
        <f ca="1">DATOSAÑO!AD74</f>
        <v>162.40000000002328</v>
      </c>
      <c r="F76" s="1028">
        <v>0</v>
      </c>
      <c r="G76" s="1028">
        <v>0</v>
      </c>
      <c r="H76" s="1028">
        <f ca="1">DATOSAÑO!AI74</f>
        <v>38.229999999995925</v>
      </c>
      <c r="I76" s="1028">
        <f ca="1">DATOSAÑO!CA74</f>
        <v>4.6825000000170807</v>
      </c>
      <c r="J76" s="1028">
        <v>0</v>
      </c>
      <c r="K76" s="1028">
        <f ca="1">DATOSAÑO!AF74</f>
        <v>139.29999999998836</v>
      </c>
      <c r="L76" s="1028">
        <f ca="1">+DATOSAÑO!CB74</f>
        <v>1.4796000000001091</v>
      </c>
      <c r="M76" s="1028">
        <f ca="1">+DATOSAÑO!AK74</f>
        <v>14.379999999975553</v>
      </c>
      <c r="N76" s="1028">
        <f ca="1">+DATOSAÑO!AH74</f>
        <v>7.3999999999996362</v>
      </c>
      <c r="O76" s="1028">
        <f ca="1">DATOSAÑO!AL74</f>
        <v>32.969999999959384</v>
      </c>
      <c r="P76" s="1053" t="e">
        <f>+(DATOSAÑO!#REF!)+DATOSAÑO!#REF!</f>
        <v>#REF!</v>
      </c>
      <c r="Q76" s="1028">
        <f ca="1">+DATOSAÑO!BH74</f>
        <v>4.5230000000010477</v>
      </c>
      <c r="R76" s="1114">
        <f ca="1">DATOSAÑO!BJ74+DATOSAÑO!BM74+DATOSAÑO!BP74+DATOSAÑO!BW74+DATOSAÑO!CC74</f>
        <v>22.23790000001701</v>
      </c>
    </row>
    <row r="77" spans="2:18">
      <c r="B77" s="410">
        <v>44991</v>
      </c>
      <c r="C77" s="1028">
        <f ca="1">DATOSAÑO!AJ75</f>
        <v>8.6300000000046566</v>
      </c>
      <c r="D77" s="1028">
        <f ca="1">DATOSAÑO!AK75</f>
        <v>15.170000000012806</v>
      </c>
      <c r="E77" s="1028">
        <f ca="1">DATOSAÑO!AD75</f>
        <v>162.19999999995343</v>
      </c>
      <c r="F77" s="1028">
        <v>0</v>
      </c>
      <c r="G77" s="1028">
        <v>0</v>
      </c>
      <c r="H77" s="1028">
        <f ca="1">DATOSAÑO!AI75</f>
        <v>37.270000000004075</v>
      </c>
      <c r="I77" s="1028">
        <f ca="1">DATOSAÑO!CA75</f>
        <v>4.6644999999876591</v>
      </c>
      <c r="J77" s="1028">
        <v>0</v>
      </c>
      <c r="K77" s="1028">
        <f ca="1">DATOSAÑO!AF75</f>
        <v>136</v>
      </c>
      <c r="L77" s="1028">
        <f ca="1">+DATOSAÑO!CB75</f>
        <v>1.5455999999997925</v>
      </c>
      <c r="M77" s="1028">
        <f ca="1">+DATOSAÑO!AK75</f>
        <v>15.170000000012806</v>
      </c>
      <c r="N77" s="1028">
        <f ca="1">+DATOSAÑO!AH75</f>
        <v>10.600000000000364</v>
      </c>
      <c r="O77" s="1028">
        <f ca="1">DATOSAÑO!AL75</f>
        <v>34.680000000093116</v>
      </c>
      <c r="P77" s="1053" t="e">
        <f>+(DATOSAÑO!#REF!)+DATOSAÑO!#REF!</f>
        <v>#REF!</v>
      </c>
      <c r="Q77" s="1028">
        <f ca="1">+DATOSAÑO!BH75</f>
        <v>5.0089999999981956</v>
      </c>
      <c r="R77" s="1114">
        <f ca="1">DATOSAÑO!BJ75+DATOSAÑO!BM75+DATOSAÑO!BP75+DATOSAÑO!BW75+DATOSAÑO!CC75</f>
        <v>23.18989999998854</v>
      </c>
    </row>
    <row r="78" spans="2:18">
      <c r="B78" s="410">
        <v>44992</v>
      </c>
      <c r="C78" s="1028">
        <f ca="1">DATOSAÑO!AJ76</f>
        <v>9.8999999999941792</v>
      </c>
      <c r="D78" s="1028">
        <f ca="1">DATOSAÑO!AK76</f>
        <v>16</v>
      </c>
      <c r="E78" s="1028">
        <f ca="1">DATOSAÑO!AD76</f>
        <v>165</v>
      </c>
      <c r="F78" s="1028">
        <v>0</v>
      </c>
      <c r="G78" s="1028">
        <v>0</v>
      </c>
      <c r="H78" s="1028">
        <f ca="1">DATOSAÑO!AI76</f>
        <v>39</v>
      </c>
      <c r="I78" s="1028">
        <f ca="1">DATOSAÑO!CA76</f>
        <v>4.4090000000015461</v>
      </c>
      <c r="J78" s="1028">
        <v>0</v>
      </c>
      <c r="K78" s="1028">
        <f ca="1">DATOSAÑO!AF76</f>
        <v>145</v>
      </c>
      <c r="L78" s="1028">
        <f ca="1">+DATOSAÑO!CB76</f>
        <v>1.5029999999998906</v>
      </c>
      <c r="M78" s="1028">
        <f ca="1">+DATOSAÑO!AK76</f>
        <v>16</v>
      </c>
      <c r="N78" s="1028">
        <f ca="1">+DATOSAÑO!AH76</f>
        <v>10.600000000000364</v>
      </c>
      <c r="O78" s="1028">
        <f ca="1">DATOSAÑO!AL76</f>
        <v>36.000000000005514</v>
      </c>
      <c r="P78" s="1053" t="e">
        <f>+(DATOSAÑO!#REF!)+DATOSAÑO!#REF!</f>
        <v>#REF!</v>
      </c>
      <c r="Q78" s="1028">
        <f ca="1">+DATOSAÑO!BH76</f>
        <v>5</v>
      </c>
      <c r="R78" s="1114">
        <f ca="1">DATOSAÑO!BJ76+DATOSAÑO!BM76+DATOSAÑO!BP76+DATOSAÑO!BW76+DATOSAÑO!CC76</f>
        <v>24.188000000000745</v>
      </c>
    </row>
    <row r="79" spans="2:18">
      <c r="B79" s="410">
        <v>44993</v>
      </c>
      <c r="C79" s="1028">
        <f ca="1">DATOSAÑO!AJ77</f>
        <v>9.5</v>
      </c>
      <c r="D79" s="1028">
        <f ca="1">DATOSAÑO!AK77</f>
        <v>17</v>
      </c>
      <c r="E79" s="1028">
        <f ca="1">DATOSAÑO!AD77</f>
        <v>152</v>
      </c>
      <c r="F79" s="1028">
        <v>0</v>
      </c>
      <c r="G79" s="1028">
        <v>0</v>
      </c>
      <c r="H79" s="1028">
        <f ca="1">DATOSAÑO!AI77</f>
        <v>38.599999999998545</v>
      </c>
      <c r="I79" s="1028">
        <f ca="1">DATOSAÑO!CA77</f>
        <v>4.6300000000000496</v>
      </c>
      <c r="J79" s="1028">
        <v>0</v>
      </c>
      <c r="K79" s="1028">
        <f ca="1">DATOSAÑO!AF77</f>
        <v>147</v>
      </c>
      <c r="L79" s="1028">
        <f ca="1">+DATOSAÑO!CB77</f>
        <v>1.9056000000003752</v>
      </c>
      <c r="M79" s="1028">
        <f ca="1">+DATOSAÑO!AK77</f>
        <v>17</v>
      </c>
      <c r="N79" s="1028">
        <f ca="1">+DATOSAÑO!AH77</f>
        <v>11.599999999994907</v>
      </c>
      <c r="O79" s="1028">
        <f ca="1">DATOSAÑO!AL77</f>
        <v>38.200000000004366</v>
      </c>
      <c r="P79" s="1053" t="e">
        <f>+(DATOSAÑO!#REF!)+DATOSAÑO!#REF!</f>
        <v>#REF!</v>
      </c>
      <c r="Q79" s="1028">
        <f ca="1">+DATOSAÑO!BH77</f>
        <v>5.0999999999985448</v>
      </c>
      <c r="R79" s="1114">
        <f ca="1">DATOSAÑO!BJ77+DATOSAÑO!BM77+DATOSAÑO!BP77+DATOSAÑO!BW77+DATOSAÑO!CC77</f>
        <v>24.464399999999571</v>
      </c>
    </row>
    <row r="80" spans="2:18">
      <c r="B80" s="410">
        <v>44994</v>
      </c>
      <c r="C80" s="1028">
        <f ca="1">DATOSAÑO!AJ78</f>
        <v>7.4000000000087311</v>
      </c>
      <c r="D80" s="1028">
        <f ca="1">DATOSAÑO!AK78</f>
        <v>15</v>
      </c>
      <c r="E80" s="1028">
        <f ca="1">DATOSAÑO!AD78</f>
        <v>164</v>
      </c>
      <c r="F80" s="1028">
        <v>0</v>
      </c>
      <c r="G80" s="1028">
        <v>0</v>
      </c>
      <c r="H80" s="1028">
        <f ca="1">DATOSAÑO!AI78</f>
        <v>40</v>
      </c>
      <c r="I80" s="1028">
        <f ca="1">DATOSAÑO!CA78</f>
        <v>4.0124999999985356</v>
      </c>
      <c r="J80" s="1028">
        <v>0</v>
      </c>
      <c r="K80" s="1028">
        <f ca="1">DATOSAÑO!AF78</f>
        <v>137</v>
      </c>
      <c r="L80" s="1028">
        <f ca="1">+DATOSAÑO!CB78</f>
        <v>1.6380000000000108</v>
      </c>
      <c r="M80" s="1028">
        <f ca="1">+DATOSAÑO!AK78</f>
        <v>15</v>
      </c>
      <c r="N80" s="1028">
        <f ca="1">+DATOSAÑO!AH78</f>
        <v>11.30000000000291</v>
      </c>
      <c r="O80" s="1028">
        <f ca="1">DATOSAÑO!AL78</f>
        <v>30.699999999993508</v>
      </c>
      <c r="P80" s="1053" t="e">
        <f>+(DATOSAÑO!#REF!)+DATOSAÑO!#REF!</f>
        <v>#REF!</v>
      </c>
      <c r="Q80" s="1028">
        <f ca="1">+DATOSAÑO!BH78</f>
        <v>4.4000000000014552</v>
      </c>
      <c r="R80" s="1114">
        <f ca="1">DATOSAÑO!BJ78+DATOSAÑO!BM78+DATOSAÑO!BP78+DATOSAÑO!BW78+DATOSAÑO!CC78</f>
        <v>23.049499999998545</v>
      </c>
    </row>
    <row r="81" spans="2:18">
      <c r="B81" s="410">
        <v>44995</v>
      </c>
      <c r="C81" s="1028">
        <f ca="1">DATOSAÑO!AJ79</f>
        <v>5.5999999999912689</v>
      </c>
      <c r="D81" s="1028">
        <f ca="1">DATOSAÑO!AK79</f>
        <v>14</v>
      </c>
      <c r="E81" s="1028">
        <f ca="1">DATOSAÑO!AD79</f>
        <v>163</v>
      </c>
      <c r="F81" s="1028">
        <v>0</v>
      </c>
      <c r="G81" s="1028">
        <v>0</v>
      </c>
      <c r="H81" s="1028">
        <f ca="1">DATOSAÑO!AI79</f>
        <v>41.80000000000291</v>
      </c>
      <c r="I81" s="1028">
        <f ca="1">DATOSAÑO!CA79</f>
        <v>4.8864999999992715</v>
      </c>
      <c r="J81" s="1028">
        <v>0</v>
      </c>
      <c r="K81" s="1028">
        <f ca="1">DATOSAÑO!AF79</f>
        <v>145</v>
      </c>
      <c r="L81" s="1028">
        <f ca="1">+DATOSAÑO!CB79</f>
        <v>1.5228000000000002</v>
      </c>
      <c r="M81" s="1028">
        <f ca="1">+DATOSAÑO!AK79</f>
        <v>14</v>
      </c>
      <c r="N81" s="1028">
        <f ca="1">+DATOSAÑO!AH79</f>
        <v>7.0999999999985448</v>
      </c>
      <c r="O81" s="1028">
        <f ca="1">DATOSAÑO!AL79</f>
        <v>36.100000000005821</v>
      </c>
      <c r="P81" s="1053" t="e">
        <f>+(DATOSAÑO!#REF!)+DATOSAÑO!#REF!</f>
        <v>#REF!</v>
      </c>
      <c r="Q81" s="1028">
        <f ca="1">+DATOSAÑO!BH79</f>
        <v>4.5999999999985448</v>
      </c>
      <c r="R81" s="1114">
        <f ca="1">DATOSAÑO!BJ79+DATOSAÑO!BM79+DATOSAÑO!BP79+DATOSAÑO!BW79+DATOSAÑO!CC79</f>
        <v>24.090700000000727</v>
      </c>
    </row>
    <row r="82" spans="2:18">
      <c r="B82" s="410">
        <v>44996</v>
      </c>
      <c r="C82" s="1028">
        <f ca="1">DATOSAÑO!AJ80</f>
        <v>5.2000000000116415</v>
      </c>
      <c r="D82" s="1028">
        <f ca="1">DATOSAÑO!AK80</f>
        <v>14</v>
      </c>
      <c r="E82" s="1028">
        <f ca="1">DATOSAÑO!AD80</f>
        <v>162</v>
      </c>
      <c r="F82" s="1028">
        <v>0</v>
      </c>
      <c r="G82" s="1028">
        <v>0</v>
      </c>
      <c r="H82" s="1028">
        <f ca="1">DATOSAÑO!AI80</f>
        <v>36.5</v>
      </c>
      <c r="I82" s="1028">
        <f ca="1">DATOSAÑO!CA80</f>
        <v>4.3560000000012673</v>
      </c>
      <c r="J82" s="1028">
        <v>0</v>
      </c>
      <c r="K82" s="1028">
        <f ca="1">DATOSAÑO!AF80</f>
        <v>145</v>
      </c>
      <c r="L82" s="1028">
        <f ca="1">+DATOSAÑO!CB80</f>
        <v>1.5726</v>
      </c>
      <c r="M82" s="1028">
        <f ca="1">+DATOSAÑO!AK80</f>
        <v>14</v>
      </c>
      <c r="N82" s="1028">
        <f ca="1">+DATOSAÑO!AH80</f>
        <v>11.099999999998545</v>
      </c>
      <c r="O82" s="1028">
        <f ca="1">DATOSAÑO!AL80</f>
        <v>32.599999999987688</v>
      </c>
      <c r="P82" s="1053" t="e">
        <f>+(DATOSAÑO!#REF!)+DATOSAÑO!#REF!</f>
        <v>#REF!</v>
      </c>
      <c r="Q82" s="1028">
        <f ca="1">+DATOSAÑO!BH80</f>
        <v>4</v>
      </c>
      <c r="R82" s="1114">
        <f ca="1">DATOSAÑO!BJ80+DATOSAÑO!BM80+DATOSAÑO!BP80+DATOSAÑO!BW80+DATOSAÑO!CC80</f>
        <v>23.171400000000901</v>
      </c>
    </row>
    <row r="83" spans="2:18">
      <c r="B83" s="410">
        <v>44997</v>
      </c>
      <c r="C83" s="1028">
        <f ca="1">DATOSAÑO!AJ81</f>
        <v>5.1999999999970896</v>
      </c>
      <c r="D83" s="1028">
        <f ca="1">DATOSAÑO!AK81</f>
        <v>14</v>
      </c>
      <c r="E83" s="1028">
        <f ca="1">DATOSAÑO!AD81</f>
        <v>161</v>
      </c>
      <c r="F83" s="1028">
        <v>0</v>
      </c>
      <c r="G83" s="1028">
        <v>0</v>
      </c>
      <c r="H83" s="1028">
        <f ca="1">DATOSAÑO!AI81</f>
        <v>38.299999999995634</v>
      </c>
      <c r="I83" s="1028">
        <f ca="1">DATOSAÑO!CA81</f>
        <v>4.6334999999994579</v>
      </c>
      <c r="J83" s="1028">
        <v>0</v>
      </c>
      <c r="K83" s="1028">
        <f ca="1">DATOSAÑO!AF81</f>
        <v>144</v>
      </c>
      <c r="L83" s="1028">
        <f ca="1">+DATOSAÑO!CB81</f>
        <v>1.261799999999782</v>
      </c>
      <c r="M83" s="1028">
        <f ca="1">+DATOSAÑO!AK81</f>
        <v>14</v>
      </c>
      <c r="N83" s="1028">
        <f ca="1">+DATOSAÑO!AH81</f>
        <v>8.8000000000047294</v>
      </c>
      <c r="O83" s="1028">
        <f ca="1">DATOSAÑO!AL81</f>
        <v>31.300000000004729</v>
      </c>
      <c r="P83" s="1053" t="e">
        <f>+(DATOSAÑO!#REF!)+DATOSAÑO!#REF!</f>
        <v>#REF!</v>
      </c>
      <c r="Q83" s="1028">
        <f ca="1">+DATOSAÑO!BH81</f>
        <v>4</v>
      </c>
      <c r="R83" s="1114">
        <f ca="1">DATOSAÑO!BJ81+DATOSAÑO!BM81+DATOSAÑO!BP81+DATOSAÑO!BW81+DATOSAÑO!CC81</f>
        <v>23.004699999998586</v>
      </c>
    </row>
    <row r="84" spans="2:18">
      <c r="B84" s="410">
        <v>44998</v>
      </c>
      <c r="C84" s="1028">
        <f ca="1">DATOSAÑO!AJ82</f>
        <v>8.1999999999970896</v>
      </c>
      <c r="D84" s="1028">
        <f ca="1">DATOSAÑO!AK82</f>
        <v>15</v>
      </c>
      <c r="E84" s="1028">
        <f ca="1">DATOSAÑO!AD82</f>
        <v>162</v>
      </c>
      <c r="F84" s="1028">
        <v>0</v>
      </c>
      <c r="G84" s="1028">
        <v>0</v>
      </c>
      <c r="H84" s="1028">
        <f ca="1">DATOSAÑO!AI82</f>
        <v>38.30000000000291</v>
      </c>
      <c r="I84" s="1028">
        <f ca="1">DATOSAÑO!CA82</f>
        <v>4.5125000000015012</v>
      </c>
      <c r="J84" s="1028">
        <v>0</v>
      </c>
      <c r="K84" s="1028">
        <f ca="1">DATOSAÑO!AF82</f>
        <v>144</v>
      </c>
      <c r="L84" s="1028">
        <f ca="1">+DATOSAÑO!CB82</f>
        <v>1.4789999999999455</v>
      </c>
      <c r="M84" s="1028">
        <f ca="1">+DATOSAÑO!AK82</f>
        <v>15</v>
      </c>
      <c r="N84" s="1028">
        <f ca="1">+DATOSAÑO!AH82</f>
        <v>17</v>
      </c>
      <c r="O84" s="1028">
        <f ca="1">DATOSAÑO!AL82</f>
        <v>36.96799999999638</v>
      </c>
      <c r="P84" s="1053" t="e">
        <f>+(DATOSAÑO!#REF!)+DATOSAÑO!#REF!</f>
        <v>#REF!</v>
      </c>
      <c r="Q84" s="1028">
        <f ca="1">+DATOSAÑO!BH82</f>
        <v>4.8000000000029104</v>
      </c>
      <c r="R84" s="1114">
        <f ca="1">DATOSAÑO!BJ82+DATOSAÑO!BM82+DATOSAÑO!BP82+DATOSAÑO!BW82+DATOSAÑO!CC82</f>
        <v>23.308500000001466</v>
      </c>
    </row>
    <row r="85" spans="2:18">
      <c r="B85" s="410">
        <v>44999</v>
      </c>
      <c r="C85" s="1028">
        <f ca="1">DATOSAÑO!AJ83</f>
        <v>8.1000000000058208</v>
      </c>
      <c r="D85" s="1028">
        <f ca="1">DATOSAÑO!AK83</f>
        <v>15.700000000011642</v>
      </c>
      <c r="E85" s="1028">
        <f ca="1">DATOSAÑO!AD83</f>
        <v>157.40000000002328</v>
      </c>
      <c r="F85" s="1028">
        <v>0</v>
      </c>
      <c r="G85" s="1028">
        <v>0</v>
      </c>
      <c r="H85" s="1028">
        <f ca="1">DATOSAÑO!AI83</f>
        <v>39</v>
      </c>
      <c r="I85" s="1028">
        <f ca="1">DATOSAÑO!CA83</f>
        <v>5.3754999999925888</v>
      </c>
      <c r="J85" s="1028">
        <v>0</v>
      </c>
      <c r="K85" s="1028">
        <f ca="1">DATOSAÑO!AF83</f>
        <v>143.40000000002328</v>
      </c>
      <c r="L85" s="1028">
        <f ca="1">+DATOSAÑO!CB83</f>
        <v>1.9739999999999454</v>
      </c>
      <c r="M85" s="1028">
        <f ca="1">+DATOSAÑO!AK83</f>
        <v>15.700000000011642</v>
      </c>
      <c r="N85" s="1028">
        <f ca="1">+DATOSAÑO!AH83</f>
        <v>7.1999999999970896</v>
      </c>
      <c r="O85" s="1028">
        <f ca="1">DATOSAÑO!AL83</f>
        <v>33.299999999908266</v>
      </c>
      <c r="P85" s="1053" t="e">
        <f>+(DATOSAÑO!#REF!)+DATOSAÑO!#REF!</f>
        <v>#REF!</v>
      </c>
      <c r="Q85" s="1028">
        <f ca="1">+DATOSAÑO!BH83</f>
        <v>5.1999999999970896</v>
      </c>
      <c r="R85" s="1114">
        <f ca="1">DATOSAÑO!BJ83+DATOSAÑO!BM83+DATOSAÑO!BP83+DATOSAÑO!BW83+DATOSAÑO!CC83</f>
        <v>22.850499999993644</v>
      </c>
    </row>
    <row r="86" spans="2:18">
      <c r="B86" s="410">
        <v>45000</v>
      </c>
      <c r="C86" s="1028">
        <f ca="1">DATOSAÑO!AJ84</f>
        <v>6.6999999999970896</v>
      </c>
      <c r="D86" s="1028">
        <f ca="1">DATOSAÑO!AK84</f>
        <v>14.799999999988358</v>
      </c>
      <c r="E86" s="1028">
        <f ca="1">DATOSAÑO!AD84</f>
        <v>170.69999999995343</v>
      </c>
      <c r="F86" s="1028">
        <v>0</v>
      </c>
      <c r="G86" s="1028">
        <v>0</v>
      </c>
      <c r="H86" s="1028">
        <f ca="1">DATOSAÑO!AI84</f>
        <v>37.80000000000291</v>
      </c>
      <c r="I86" s="1028">
        <f ca="1">DATOSAÑO!CA84</f>
        <v>5.5079999999949916</v>
      </c>
      <c r="J86" s="1028">
        <v>0</v>
      </c>
      <c r="K86" s="1028">
        <f ca="1">DATOSAÑO!AF84</f>
        <v>143.79999999998836</v>
      </c>
      <c r="L86" s="1028">
        <f ca="1">+DATOSAÑO!CB84</f>
        <v>1.5120000000003275</v>
      </c>
      <c r="M86" s="1028">
        <f ca="1">+DATOSAÑO!AK84</f>
        <v>14.799999999988358</v>
      </c>
      <c r="N86" s="1028">
        <f ca="1">+DATOSAÑO!AH84</f>
        <v>8.3000000000029104</v>
      </c>
      <c r="O86" s="1028">
        <f ca="1">DATOSAÑO!AL84</f>
        <v>32.600000000122293</v>
      </c>
      <c r="P86" s="1053" t="e">
        <f>+(DATOSAÑO!#REF!)+DATOSAÑO!#REF!</f>
        <v>#REF!</v>
      </c>
      <c r="Q86" s="1028">
        <f ca="1">+DATOSAÑO!BH84</f>
        <v>5</v>
      </c>
      <c r="R86" s="1114">
        <f ca="1">DATOSAÑO!BJ84+DATOSAÑO!BM84+DATOSAÑO!BP84+DATOSAÑO!BW84+DATOSAÑO!CC84</f>
        <v>22.679999999994482</v>
      </c>
    </row>
    <row r="87" spans="2:18">
      <c r="B87" s="410">
        <v>45001</v>
      </c>
      <c r="C87" s="1028">
        <f ca="1">DATOSAÑO!AJ85</f>
        <v>6.8000000000029104</v>
      </c>
      <c r="D87" s="1028">
        <f ca="1">DATOSAÑO!AK85</f>
        <v>15.100000000005821</v>
      </c>
      <c r="E87" s="1028">
        <f ca="1">DATOSAÑO!AD85</f>
        <v>166.90000000002328</v>
      </c>
      <c r="F87" s="1028">
        <v>0</v>
      </c>
      <c r="G87" s="1028">
        <v>0</v>
      </c>
      <c r="H87" s="1028">
        <f ca="1">DATOSAÑO!AI85</f>
        <v>39.299999999995634</v>
      </c>
      <c r="I87" s="1028">
        <f ca="1">DATOSAÑO!CA85</f>
        <v>4.9607500000104103</v>
      </c>
      <c r="J87" s="1028">
        <v>0</v>
      </c>
      <c r="K87" s="1028">
        <f ca="1">DATOSAÑO!AF85</f>
        <v>144.79999999998836</v>
      </c>
      <c r="L87" s="1028">
        <f ca="1">+DATOSAÑO!CB85</f>
        <v>1.585199999999727</v>
      </c>
      <c r="M87" s="1028">
        <f ca="1">+DATOSAÑO!AK85</f>
        <v>15.100000000005821</v>
      </c>
      <c r="N87" s="1028">
        <f ca="1">+DATOSAÑO!AH85</f>
        <v>8.7999999999956344</v>
      </c>
      <c r="O87" s="1028">
        <f ca="1">DATOSAÑO!AL85</f>
        <v>38.499999999967258</v>
      </c>
      <c r="P87" s="1053" t="e">
        <f>+(DATOSAÑO!#REF!)+DATOSAÑO!#REF!</f>
        <v>#REF!</v>
      </c>
      <c r="Q87" s="1028">
        <f ca="1">+DATOSAÑO!BH85</f>
        <v>4.9000000000014552</v>
      </c>
      <c r="R87" s="1114">
        <f ca="1">DATOSAÑO!BJ85+DATOSAÑO!BM85+DATOSAÑO!BP85+DATOSAÑO!BW85+DATOSAÑO!CC85</f>
        <v>22.254050000010956</v>
      </c>
    </row>
    <row r="88" spans="2:18">
      <c r="B88" s="410">
        <v>45002</v>
      </c>
      <c r="C88" s="1028">
        <f ca="1">DATOSAÑO!AJ86</f>
        <v>7.3999999999941792</v>
      </c>
      <c r="D88" s="1028">
        <f ca="1">DATOSAÑO!AK86</f>
        <v>14.899999999994179</v>
      </c>
      <c r="E88" s="1028">
        <f ca="1">DATOSAÑO!AD86</f>
        <v>167</v>
      </c>
      <c r="F88" s="1028">
        <v>0</v>
      </c>
      <c r="G88" s="1028">
        <v>0</v>
      </c>
      <c r="H88" s="1028">
        <f ca="1">DATOSAÑO!AI86</f>
        <v>38.5</v>
      </c>
      <c r="I88" s="1028">
        <f ca="1">DATOSAÑO!CA86</f>
        <v>5.8210000000006419</v>
      </c>
      <c r="J88" s="1028">
        <v>0</v>
      </c>
      <c r="K88" s="1028">
        <f ca="1">DATOSAÑO!AF86</f>
        <v>144</v>
      </c>
      <c r="L88" s="1028">
        <f ca="1">+DATOSAÑO!CB86</f>
        <v>1.5072000000003274</v>
      </c>
      <c r="M88" s="1028">
        <f ca="1">+DATOSAÑO!AK86</f>
        <v>14.899999999994179</v>
      </c>
      <c r="N88" s="1028">
        <f ca="1">+DATOSAÑO!AH86</f>
        <v>8.2000000000043656</v>
      </c>
      <c r="O88" s="1028">
        <f ca="1">DATOSAÑO!AL86</f>
        <v>34.800000000006548</v>
      </c>
      <c r="P88" s="1053" t="e">
        <f>+(DATOSAÑO!#REF!)+DATOSAÑO!#REF!</f>
        <v>#REF!</v>
      </c>
      <c r="Q88" s="1028">
        <f ca="1">+DATOSAÑO!BH86</f>
        <v>5</v>
      </c>
      <c r="R88" s="1114">
        <f ca="1">DATOSAÑO!BJ86+DATOSAÑO!BM86+DATOSAÑO!BP86+DATOSAÑO!BW86+DATOSAÑO!CC86</f>
        <v>22.871799999999769</v>
      </c>
    </row>
    <row r="89" spans="2:18">
      <c r="B89" s="410">
        <v>45003</v>
      </c>
      <c r="C89" s="1028">
        <f ca="1">DATOSAÑO!AJ87</f>
        <v>9.3999999999941792</v>
      </c>
      <c r="D89" s="1028">
        <f ca="1">DATOSAÑO!AK87</f>
        <v>15.899999999994179</v>
      </c>
      <c r="E89" s="1028">
        <f ca="1">DATOSAÑO!AD87</f>
        <v>168</v>
      </c>
      <c r="F89" s="1028">
        <v>0</v>
      </c>
      <c r="G89" s="1028">
        <v>0</v>
      </c>
      <c r="H89" s="1028">
        <f ca="1">DATOSAÑO!AI87</f>
        <v>38.700000000004366</v>
      </c>
      <c r="I89" s="1028">
        <f ca="1">DATOSAÑO!CA87</f>
        <v>5.484500000000228</v>
      </c>
      <c r="J89" s="1028">
        <v>0</v>
      </c>
      <c r="K89" s="1028">
        <f ca="1">DATOSAÑO!AF87</f>
        <v>145</v>
      </c>
      <c r="L89" s="1028">
        <f ca="1">+DATOSAÑO!CB87</f>
        <v>1.5701999999999454</v>
      </c>
      <c r="M89" s="1028">
        <f ca="1">+DATOSAÑO!AK87</f>
        <v>15.899999999994179</v>
      </c>
      <c r="N89" s="1028">
        <f ca="1">+DATOSAÑO!AH87</f>
        <v>10.099999999998545</v>
      </c>
      <c r="O89" s="1028">
        <f ca="1">DATOSAÑO!AL87</f>
        <v>32.400000000008674</v>
      </c>
      <c r="P89" s="1053" t="e">
        <f>+(DATOSAÑO!#REF!)+DATOSAÑO!#REF!</f>
        <v>#REF!</v>
      </c>
      <c r="Q89" s="1028">
        <f ca="1">+DATOSAÑO!BH87</f>
        <v>5</v>
      </c>
      <c r="R89" s="1114">
        <f ca="1">DATOSAÑO!BJ87+DATOSAÑO!BM87+DATOSAÑO!BP87+DATOSAÑO!BW87+DATOSAÑO!CC87</f>
        <v>22.445299999999826</v>
      </c>
    </row>
    <row r="90" spans="2:18">
      <c r="B90" s="410">
        <v>45004</v>
      </c>
      <c r="C90" s="1028">
        <f ca="1">DATOSAÑO!AJ88</f>
        <v>9</v>
      </c>
      <c r="D90" s="1028">
        <f ca="1">DATOSAÑO!AK88</f>
        <v>15.200000000011642</v>
      </c>
      <c r="E90" s="1028">
        <f ca="1">DATOSAÑO!AD88</f>
        <v>168</v>
      </c>
      <c r="F90" s="1028">
        <v>0</v>
      </c>
      <c r="G90" s="1028">
        <v>0</v>
      </c>
      <c r="H90" s="1028">
        <f ca="1">DATOSAÑO!AI88</f>
        <v>38.899999999994179</v>
      </c>
      <c r="I90" s="1028">
        <f ca="1">DATOSAÑO!CA88</f>
        <v>5.3114999999998069</v>
      </c>
      <c r="J90" s="1028">
        <v>0</v>
      </c>
      <c r="K90" s="1028">
        <f ca="1">DATOSAÑO!AF88</f>
        <v>142</v>
      </c>
      <c r="L90" s="1028">
        <f ca="1">+DATOSAÑO!CB88</f>
        <v>1.4981999999997884</v>
      </c>
      <c r="M90" s="1028">
        <f ca="1">+DATOSAÑO!AK88</f>
        <v>15.200000000011642</v>
      </c>
      <c r="N90" s="1028">
        <f ca="1">+DATOSAÑO!AH88</f>
        <v>7.9000000000014552</v>
      </c>
      <c r="O90" s="1028">
        <f ca="1">DATOSAÑO!AL88</f>
        <v>37.799999999991996</v>
      </c>
      <c r="P90" s="1053" t="e">
        <f>+(DATOSAÑO!#REF!)+DATOSAÑO!#REF!</f>
        <v>#REF!</v>
      </c>
      <c r="Q90" s="1028">
        <f ca="1">+DATOSAÑO!BH88</f>
        <v>4</v>
      </c>
      <c r="R90" s="1114">
        <f ca="1">DATOSAÑO!BJ88+DATOSAÑO!BM88+DATOSAÑO!BP88+DATOSAÑO!BW88+DATOSAÑO!CC88</f>
        <v>22.390300000001123</v>
      </c>
    </row>
    <row r="91" spans="2:18">
      <c r="B91" s="410">
        <v>45005</v>
      </c>
      <c r="C91" s="1028">
        <f ca="1">DATOSAÑO!AJ89</f>
        <v>8.8000000000029104</v>
      </c>
      <c r="D91" s="1028">
        <f ca="1">DATOSAÑO!AK89</f>
        <v>16.199999999982538</v>
      </c>
      <c r="E91" s="1028">
        <f ca="1">DATOSAÑO!AD89</f>
        <v>168</v>
      </c>
      <c r="F91" s="1028">
        <v>0</v>
      </c>
      <c r="G91" s="1028">
        <v>0</v>
      </c>
      <c r="H91" s="1028">
        <f ca="1">DATOSAÑO!AI89</f>
        <v>41.599999999998545</v>
      </c>
      <c r="I91" s="1028">
        <f ca="1">DATOSAÑO!CA89</f>
        <v>5.3110000000014619</v>
      </c>
      <c r="J91" s="1028">
        <v>0</v>
      </c>
      <c r="K91" s="1028">
        <f ca="1">DATOSAÑO!AF89</f>
        <v>144</v>
      </c>
      <c r="L91" s="1028">
        <f ca="1">+DATOSAÑO!CB89</f>
        <v>1.7609999999997819</v>
      </c>
      <c r="M91" s="1028">
        <f ca="1">+DATOSAÑO!AK89</f>
        <v>16.199999999982538</v>
      </c>
      <c r="N91" s="1028">
        <f ca="1">+DATOSAÑO!AH89</f>
        <v>11.5</v>
      </c>
      <c r="O91" s="1028">
        <f ca="1">DATOSAÑO!AL89</f>
        <v>35.500000000014552</v>
      </c>
      <c r="P91" s="1053" t="e">
        <f>+(DATOSAÑO!#REF!)+DATOSAÑO!#REF!</f>
        <v>#REF!</v>
      </c>
      <c r="Q91" s="1028">
        <f ca="1">+DATOSAÑO!BH89</f>
        <v>5</v>
      </c>
      <c r="R91" s="1114">
        <f ca="1">DATOSAÑO!BJ89+DATOSAÑO!BM89+DATOSAÑO!BP89+DATOSAÑO!BW89+DATOSAÑO!CC89</f>
        <v>23.328000000000223</v>
      </c>
    </row>
    <row r="92" spans="2:18">
      <c r="B92" s="410">
        <v>45006</v>
      </c>
      <c r="C92" s="1028">
        <f ca="1">DATOSAÑO!AJ90</f>
        <v>8.5</v>
      </c>
      <c r="D92" s="1028">
        <f ca="1">DATOSAÑO!AK90</f>
        <v>16.5</v>
      </c>
      <c r="E92" s="1028">
        <f ca="1">DATOSAÑO!AD90</f>
        <v>170</v>
      </c>
      <c r="F92" s="1028">
        <v>0</v>
      </c>
      <c r="G92" s="1028">
        <v>0</v>
      </c>
      <c r="H92" s="1028">
        <f ca="1">DATOSAÑO!AI90</f>
        <v>43.600000000005821</v>
      </c>
      <c r="I92" s="1028">
        <f ca="1">DATOSAÑO!CA90</f>
        <v>3.9189999999995568</v>
      </c>
      <c r="J92" s="1028">
        <v>0</v>
      </c>
      <c r="K92" s="1028">
        <f ca="1">DATOSAÑO!AF90</f>
        <v>149</v>
      </c>
      <c r="L92" s="1028">
        <f ca="1">+DATOSAÑO!CB90</f>
        <v>1.5384000000005356</v>
      </c>
      <c r="M92" s="1028">
        <f ca="1">+DATOSAÑO!AK90</f>
        <v>16.5</v>
      </c>
      <c r="N92" s="1028">
        <f ca="1">+DATOSAÑO!AH90</f>
        <v>11.399999999994179</v>
      </c>
      <c r="O92" s="1028">
        <f ca="1">DATOSAÑO!AL90</f>
        <v>31.052999999999884</v>
      </c>
      <c r="P92" s="1053" t="e">
        <f>+(DATOSAÑO!#REF!)+DATOSAÑO!#REF!</f>
        <v>#REF!</v>
      </c>
      <c r="Q92" s="1028">
        <f ca="1">+DATOSAÑO!BH90</f>
        <v>5</v>
      </c>
      <c r="R92" s="1114">
        <f ca="1">DATOSAÑO!BJ90+DATOSAÑO!BM90+DATOSAÑO!BP90+DATOSAÑO!BW90+DATOSAÑO!CC90</f>
        <v>22.042599999999915</v>
      </c>
    </row>
    <row r="93" spans="2:18">
      <c r="B93" s="410">
        <v>45007</v>
      </c>
      <c r="C93" s="1028">
        <f ca="1">DATOSAÑO!AJ91</f>
        <v>8</v>
      </c>
      <c r="D93" s="1028">
        <f ca="1">DATOSAÑO!AK91</f>
        <v>15.700000000011642</v>
      </c>
      <c r="E93" s="1028">
        <f ca="1">DATOSAÑO!AD91</f>
        <v>166</v>
      </c>
      <c r="F93" s="1028">
        <v>0</v>
      </c>
      <c r="G93" s="1028">
        <v>0</v>
      </c>
      <c r="H93" s="1028">
        <f ca="1">DATOSAÑO!AI91</f>
        <v>39.19999999999709</v>
      </c>
      <c r="I93" s="1028">
        <f ca="1">DATOSAÑO!CA91</f>
        <v>5.7174999999993696</v>
      </c>
      <c r="J93" s="1028">
        <v>0</v>
      </c>
      <c r="K93" s="1028">
        <f ca="1">DATOSAÑO!AF91</f>
        <v>139</v>
      </c>
      <c r="L93" s="1028">
        <f ca="1">+DATOSAÑO!CB91</f>
        <v>1.3925999999998908</v>
      </c>
      <c r="M93" s="1028">
        <f ca="1">+DATOSAÑO!AK91</f>
        <v>15.700000000011642</v>
      </c>
      <c r="N93" s="1028">
        <f ca="1">+DATOSAÑO!AH91</f>
        <v>14.100000000005821</v>
      </c>
      <c r="O93" s="1028">
        <f ca="1">DATOSAÑO!AL91</f>
        <v>39.699999999986233</v>
      </c>
      <c r="P93" s="1053" t="e">
        <f>+(DATOSAÑO!#REF!)+DATOSAÑO!#REF!</f>
        <v>#REF!</v>
      </c>
      <c r="Q93" s="1028">
        <f ca="1">+DATOSAÑO!BH91</f>
        <v>5</v>
      </c>
      <c r="R93" s="1114">
        <f ca="1">DATOSAÑO!BJ91+DATOSAÑO!BM91+DATOSAÑO!BP91+DATOSAÑO!BW91+DATOSAÑO!CC91</f>
        <v>23.189900000000023</v>
      </c>
    </row>
    <row r="94" spans="2:18">
      <c r="B94" s="410">
        <v>45008</v>
      </c>
      <c r="C94" s="1028">
        <f ca="1">DATOSAÑO!AJ92</f>
        <v>8.3000000000029104</v>
      </c>
      <c r="D94" s="1028">
        <f ca="1">DATOSAÑO!AK92</f>
        <v>15.399999999994179</v>
      </c>
      <c r="E94" s="1028">
        <f ca="1">DATOSAÑO!AD92</f>
        <v>170</v>
      </c>
      <c r="F94" s="1028">
        <v>0</v>
      </c>
      <c r="G94" s="1028">
        <v>0</v>
      </c>
      <c r="H94" s="1028">
        <f ca="1">DATOSAÑO!AI92</f>
        <v>39.30000000000291</v>
      </c>
      <c r="I94" s="1028">
        <f ca="1">DATOSAÑO!CA92</f>
        <v>4.8779999999992274</v>
      </c>
      <c r="J94" s="1028">
        <v>0</v>
      </c>
      <c r="K94" s="1028">
        <f ca="1">DATOSAÑO!AF92</f>
        <v>143</v>
      </c>
      <c r="L94" s="1028">
        <f ca="1">+DATOSAÑO!CB92</f>
        <v>1.4429999999998362</v>
      </c>
      <c r="M94" s="1028">
        <f ca="1">+DATOSAÑO!AK92</f>
        <v>15.399999999994179</v>
      </c>
      <c r="N94" s="1028">
        <f ca="1">+DATOSAÑO!AH92</f>
        <v>11.599999999998545</v>
      </c>
      <c r="O94" s="1028">
        <f ca="1">DATOSAÑO!AL92</f>
        <v>32.300000000002854</v>
      </c>
      <c r="P94" s="1053" t="e">
        <f>+(DATOSAÑO!#REF!)+DATOSAÑO!#REF!</f>
        <v>#REF!</v>
      </c>
      <c r="Q94" s="1028">
        <f ca="1">+DATOSAÑO!BH92</f>
        <v>5</v>
      </c>
      <c r="R94" s="1114">
        <f ca="1">DATOSAÑO!BJ92+DATOSAÑO!BM92+DATOSAÑO!BP92+DATOSAÑO!BW92+DATOSAÑO!CC92</f>
        <v>22.778999999999485</v>
      </c>
    </row>
    <row r="95" spans="2:18">
      <c r="B95" s="410">
        <v>45009</v>
      </c>
      <c r="C95" s="1028">
        <f ca="1">DATOSAÑO!AJ93</f>
        <v>8.3000000000029104</v>
      </c>
      <c r="D95" s="1028">
        <f ca="1">DATOSAÑO!AK93</f>
        <v>14.200000000011642</v>
      </c>
      <c r="E95" s="1028">
        <f ca="1">DATOSAÑO!AD93</f>
        <v>168</v>
      </c>
      <c r="F95" s="1028">
        <v>0</v>
      </c>
      <c r="G95" s="1028">
        <v>0</v>
      </c>
      <c r="H95" s="1028">
        <f ca="1">DATOSAÑO!AI93</f>
        <v>40.299999999995634</v>
      </c>
      <c r="I95" s="1028">
        <f ca="1">DATOSAÑO!CA93</f>
        <v>4.9270000000012732</v>
      </c>
      <c r="J95" s="1028">
        <v>0</v>
      </c>
      <c r="K95" s="1028">
        <f ca="1">DATOSAÑO!AF93</f>
        <v>146</v>
      </c>
      <c r="L95" s="1028">
        <f ca="1">+DATOSAÑO!CB93</f>
        <v>1.4927999999997819</v>
      </c>
      <c r="M95" s="1028">
        <f ca="1">+DATOSAÑO!AK93</f>
        <v>14.200000000011642</v>
      </c>
      <c r="N95" s="1028">
        <f ca="1">+DATOSAÑO!AH93</f>
        <v>4.2999999999956344</v>
      </c>
      <c r="O95" s="1028">
        <f ca="1">DATOSAÑO!AL93</f>
        <v>34.699999999993452</v>
      </c>
      <c r="P95" s="1053" t="e">
        <f>+(DATOSAÑO!#REF!)+DATOSAÑO!#REF!</f>
        <v>#REF!</v>
      </c>
      <c r="Q95" s="1028">
        <f ca="1">+DATOSAÑO!BH93</f>
        <v>5</v>
      </c>
      <c r="R95" s="1114">
        <f ca="1">DATOSAÑO!BJ93+DATOSAÑO!BM93+DATOSAÑO!BP93+DATOSAÑO!BW93+DATOSAÑO!CC93</f>
        <v>22.780199999999674</v>
      </c>
    </row>
    <row r="96" spans="2:18">
      <c r="B96" s="410">
        <v>45010</v>
      </c>
      <c r="C96" s="1028">
        <f ca="1">DATOSAÑO!AJ94</f>
        <v>7.6999999999970896</v>
      </c>
      <c r="D96" s="1028">
        <f ca="1">DATOSAÑO!AK94</f>
        <v>14.5</v>
      </c>
      <c r="E96" s="1028">
        <f ca="1">DATOSAÑO!AD94</f>
        <v>164</v>
      </c>
      <c r="F96" s="1028">
        <v>0</v>
      </c>
      <c r="G96" s="1028">
        <v>0</v>
      </c>
      <c r="H96" s="1028">
        <f ca="1">DATOSAÑO!AI94</f>
        <v>40.099999999998545</v>
      </c>
      <c r="I96" s="1028">
        <f ca="1">DATOSAÑO!CA94</f>
        <v>4.8174999999991348</v>
      </c>
      <c r="J96" s="1028">
        <v>0</v>
      </c>
      <c r="K96" s="1028">
        <f ca="1">DATOSAÑO!AF94</f>
        <v>145</v>
      </c>
      <c r="L96" s="1028">
        <f ca="1">+DATOSAÑO!CB94</f>
        <v>1.4364000000003823</v>
      </c>
      <c r="M96" s="1028">
        <f ca="1">+DATOSAÑO!AK94</f>
        <v>14.5</v>
      </c>
      <c r="N96" s="1028">
        <f ca="1">+DATOSAÑO!AH94</f>
        <v>11.100000000005821</v>
      </c>
      <c r="O96" s="1028">
        <f ca="1">DATOSAÑO!AL94</f>
        <v>35.299999999999272</v>
      </c>
      <c r="P96" s="1053" t="e">
        <f>+(DATOSAÑO!#REF!)+DATOSAÑO!#REF!</f>
        <v>#REF!</v>
      </c>
      <c r="Q96" s="1028">
        <f ca="1">+DATOSAÑO!BH94</f>
        <v>5</v>
      </c>
      <c r="R96" s="1114">
        <f ca="1">DATOSAÑO!BJ94+DATOSAÑO!BM94+DATOSAÑO!BP94+DATOSAÑO!BW94+DATOSAÑO!CC94</f>
        <v>22.046099999999754</v>
      </c>
    </row>
    <row r="97" spans="2:18">
      <c r="B97" s="410">
        <v>45011</v>
      </c>
      <c r="C97" s="1028">
        <f ca="1">DATOSAÑO!AJ95</f>
        <v>8.1000000000058208</v>
      </c>
      <c r="D97" s="1028">
        <f ca="1">DATOSAÑO!AK95</f>
        <v>14.199999999982538</v>
      </c>
      <c r="E97" s="1028">
        <f ca="1">DATOSAÑO!AD95</f>
        <v>160</v>
      </c>
      <c r="F97" s="1028">
        <v>0</v>
      </c>
      <c r="G97" s="1028">
        <v>0</v>
      </c>
      <c r="H97" s="1028">
        <f ca="1">DATOSAÑO!AI95</f>
        <v>40.900000000001455</v>
      </c>
      <c r="I97" s="1028">
        <f ca="1">DATOSAÑO!CA95</f>
        <v>5.4609999999991343</v>
      </c>
      <c r="J97" s="1028">
        <v>0</v>
      </c>
      <c r="K97" s="1028">
        <f ca="1">DATOSAÑO!AF95</f>
        <v>146</v>
      </c>
      <c r="L97" s="1028">
        <f ca="1">+DATOSAÑO!CB95</f>
        <v>1.6836000000001636</v>
      </c>
      <c r="M97" s="1028">
        <f ca="1">+DATOSAÑO!AK95</f>
        <v>14.199999999982538</v>
      </c>
      <c r="N97" s="1028">
        <f ca="1">+DATOSAÑO!AH95</f>
        <v>8</v>
      </c>
      <c r="O97" s="1028">
        <f ca="1">DATOSAÑO!AL95</f>
        <v>35.500000000010857</v>
      </c>
      <c r="P97" s="1053" t="e">
        <f>+(DATOSAÑO!#REF!)+DATOSAÑO!#REF!</f>
        <v>#REF!</v>
      </c>
      <c r="Q97" s="1028">
        <f ca="1">+DATOSAÑO!BH95</f>
        <v>5</v>
      </c>
      <c r="R97" s="1114">
        <f ca="1">DATOSAÑO!BJ95+DATOSAÑO!BM95+DATOSAÑO!BP95+DATOSAÑO!BW95+DATOSAÑO!CC95</f>
        <v>22.155399999999972</v>
      </c>
    </row>
    <row r="98" spans="2:18">
      <c r="B98" s="410">
        <v>45012</v>
      </c>
      <c r="C98" s="1028">
        <f ca="1">DATOSAÑO!AJ96</f>
        <v>8</v>
      </c>
      <c r="D98" s="1028">
        <f ca="1">DATOSAÑO!AK96</f>
        <v>14.200000000011642</v>
      </c>
      <c r="E98" s="1028">
        <f ca="1">DATOSAÑO!AD96</f>
        <v>162</v>
      </c>
      <c r="F98" s="1028">
        <v>0</v>
      </c>
      <c r="G98" s="1028">
        <v>0</v>
      </c>
      <c r="H98" s="1028">
        <f ca="1">DATOSAÑO!AI96</f>
        <v>42</v>
      </c>
      <c r="I98" s="1028">
        <f ca="1">DATOSAÑO!CA96</f>
        <v>5.4220000000015007</v>
      </c>
      <c r="J98" s="1028">
        <v>0</v>
      </c>
      <c r="K98" s="1028">
        <f ca="1">DATOSAÑO!AF96</f>
        <v>146</v>
      </c>
      <c r="L98" s="1028">
        <f ca="1">+DATOSAÑO!CB96</f>
        <v>1.5827999999997271</v>
      </c>
      <c r="M98" s="1028">
        <f ca="1">+DATOSAÑO!AK96</f>
        <v>14.200000000011642</v>
      </c>
      <c r="N98" s="1028">
        <f ca="1">+DATOSAÑO!AH96</f>
        <v>9</v>
      </c>
      <c r="O98" s="1028">
        <f ca="1">DATOSAÑO!AL96</f>
        <v>36.320999999985361</v>
      </c>
      <c r="P98" s="1053" t="e">
        <f>+(DATOSAÑO!#REF!)+DATOSAÑO!#REF!</f>
        <v>#REF!</v>
      </c>
      <c r="Q98" s="1028">
        <f ca="1">+DATOSAÑO!BH96</f>
        <v>5</v>
      </c>
      <c r="R98" s="1114">
        <f ca="1">DATOSAÑO!BJ96+DATOSAÑO!BM96+DATOSAÑO!BP96+DATOSAÑO!BW96+DATOSAÑO!CC96</f>
        <v>21.795200000001678</v>
      </c>
    </row>
    <row r="99" spans="2:18">
      <c r="B99" s="410">
        <v>45013</v>
      </c>
      <c r="C99" s="1028">
        <f ca="1">DATOSAÑO!AJ97</f>
        <v>7.1999999999970896</v>
      </c>
      <c r="D99" s="1028">
        <f ca="1">DATOSAÑO!AK97</f>
        <v>13.5</v>
      </c>
      <c r="E99" s="1028">
        <f ca="1">DATOSAÑO!AD97</f>
        <v>165</v>
      </c>
      <c r="F99" s="1028">
        <v>0</v>
      </c>
      <c r="G99" s="1028">
        <v>0</v>
      </c>
      <c r="H99" s="1028">
        <f ca="1">DATOSAÑO!AI97</f>
        <v>41.30000000000291</v>
      </c>
      <c r="I99" s="1028">
        <f ca="1">DATOSAÑO!CA97</f>
        <v>5.7459999999994542</v>
      </c>
      <c r="J99" s="1028">
        <v>0</v>
      </c>
      <c r="K99" s="1028">
        <f ca="1">DATOSAÑO!AF97</f>
        <v>148</v>
      </c>
      <c r="L99" s="1028">
        <f ca="1">+DATOSAÑO!CB97</f>
        <v>1.7981999999997818</v>
      </c>
      <c r="M99" s="1028">
        <f ca="1">+DATOSAÑO!AK97</f>
        <v>13.5</v>
      </c>
      <c r="N99" s="1028">
        <f ca="1">+DATOSAÑO!AH97</f>
        <v>6.6999999999970896</v>
      </c>
      <c r="O99" s="1028">
        <f ca="1">DATOSAÑO!AL97</f>
        <v>32.062000000004275</v>
      </c>
      <c r="P99" s="1053" t="e">
        <f>+(DATOSAÑO!#REF!)+DATOSAÑO!#REF!</f>
        <v>#REF!</v>
      </c>
      <c r="Q99" s="1028">
        <f ca="1">+DATOSAÑO!BH97</f>
        <v>4</v>
      </c>
      <c r="R99" s="1114">
        <f ca="1">DATOSAÑO!BJ97+DATOSAÑO!BM97+DATOSAÑO!BP97+DATOSAÑO!BW97+DATOSAÑO!CC97</f>
        <v>23.055799999999309</v>
      </c>
    </row>
    <row r="100" spans="2:18">
      <c r="B100" s="410">
        <v>45014</v>
      </c>
      <c r="C100" s="1028">
        <f ca="1">DATOSAÑO!AJ98</f>
        <v>7.5999999999912689</v>
      </c>
      <c r="D100" s="1028">
        <f ca="1">DATOSAÑO!AK98</f>
        <v>14</v>
      </c>
      <c r="E100" s="1028">
        <f ca="1">DATOSAÑO!AD98</f>
        <v>163</v>
      </c>
      <c r="F100" s="1028">
        <v>0</v>
      </c>
      <c r="G100" s="1028">
        <v>0</v>
      </c>
      <c r="H100" s="1028">
        <f ca="1">DATOSAÑO!AI98</f>
        <v>40</v>
      </c>
      <c r="I100" s="1028">
        <f ca="1">DATOSAÑO!CA98</f>
        <v>5.1610000000012732</v>
      </c>
      <c r="J100" s="1028">
        <v>0</v>
      </c>
      <c r="K100" s="1028">
        <f ca="1">DATOSAÑO!AF98</f>
        <v>148</v>
      </c>
      <c r="L100" s="1028">
        <f ca="1">+DATOSAÑO!CB98</f>
        <v>1.9386000000002184</v>
      </c>
      <c r="M100" s="1028">
        <f ca="1">+DATOSAÑO!AK98</f>
        <v>14</v>
      </c>
      <c r="N100" s="1028">
        <f ca="1">+DATOSAÑO!AH98</f>
        <v>9</v>
      </c>
      <c r="O100" s="1028">
        <f ca="1">DATOSAÑO!AL98</f>
        <v>36.000000000007333</v>
      </c>
      <c r="P100" s="1053" t="e">
        <f>+(DATOSAÑO!#REF!)+DATOSAÑO!#REF!</f>
        <v>#REF!</v>
      </c>
      <c r="Q100" s="1028">
        <f ca="1">+DATOSAÑO!BH98</f>
        <v>5</v>
      </c>
      <c r="R100" s="1114">
        <f ca="1">DATOSAÑO!BJ98+DATOSAÑO!BM98+DATOSAÑO!BP98+DATOSAÑO!BW98+DATOSAÑO!CC98</f>
        <v>21.300399999999964</v>
      </c>
    </row>
    <row r="101" spans="2:18">
      <c r="B101" s="410">
        <v>45015</v>
      </c>
      <c r="C101" s="1028">
        <f ca="1">DATOSAÑO!AJ99</f>
        <v>7.9000000000087311</v>
      </c>
      <c r="D101" s="1028">
        <f ca="1">DATOSAÑO!AK99</f>
        <v>13</v>
      </c>
      <c r="E101" s="1028">
        <f ca="1">DATOSAÑO!AD99</f>
        <v>160</v>
      </c>
      <c r="F101" s="1028">
        <v>0</v>
      </c>
      <c r="G101" s="1028">
        <v>0</v>
      </c>
      <c r="H101" s="1028">
        <f ca="1">DATOSAÑO!AI99</f>
        <v>39.299999999995634</v>
      </c>
      <c r="I101" s="1028">
        <f ca="1">DATOSAÑO!CA99</f>
        <v>5.3454999999990918</v>
      </c>
      <c r="J101" s="1028">
        <v>0</v>
      </c>
      <c r="K101" s="1028">
        <f ca="1">DATOSAÑO!AF99</f>
        <v>146</v>
      </c>
      <c r="L101" s="1028">
        <f ca="1">+DATOSAÑO!CB99</f>
        <v>1.9332000000002181</v>
      </c>
      <c r="M101" s="1028">
        <f ca="1">+DATOSAÑO!AK99</f>
        <v>13</v>
      </c>
      <c r="N101" s="1028">
        <f ca="1">+DATOSAÑO!AH99</f>
        <v>0.69999999999708962</v>
      </c>
      <c r="O101" s="1028">
        <f ca="1">DATOSAÑO!AL99</f>
        <v>35.39999999999776</v>
      </c>
      <c r="P101" s="1053" t="e">
        <f>+(DATOSAÑO!#REF!)+DATOSAÑO!#REF!</f>
        <v>#REF!</v>
      </c>
      <c r="Q101" s="1028">
        <f ca="1">+DATOSAÑO!BH99</f>
        <v>5</v>
      </c>
      <c r="R101" s="1114">
        <f ca="1">DATOSAÑO!BJ99+DATOSAÑO!BM99+DATOSAÑO!BP99+DATOSAÑO!BW99+DATOSAÑO!CC99</f>
        <v>21.221300000000692</v>
      </c>
    </row>
    <row r="102" spans="2:18" ht="15" thickBot="1">
      <c r="B102" s="410">
        <v>45016</v>
      </c>
      <c r="C102" s="1028">
        <f ca="1">DATOSAÑO!AJ100</f>
        <v>7.0999999999912689</v>
      </c>
      <c r="D102" s="1028">
        <f ca="1">DATOSAÑO!AK100</f>
        <v>6.6000000000058208</v>
      </c>
      <c r="E102" s="1028">
        <f ca="1">DATOSAÑO!AD100</f>
        <v>164</v>
      </c>
      <c r="F102" s="1047">
        <v>0</v>
      </c>
      <c r="G102" s="1047">
        <v>0</v>
      </c>
      <c r="H102" s="1028">
        <f ca="1">DATOSAÑO!AI100</f>
        <v>40</v>
      </c>
      <c r="I102" s="1028">
        <f ca="1">DATOSAÑO!CA100</f>
        <v>6.3124999999993587</v>
      </c>
      <c r="J102" s="1047">
        <v>0</v>
      </c>
      <c r="K102" s="1028">
        <f ca="1">DATOSAÑO!AF100</f>
        <v>148</v>
      </c>
      <c r="L102" s="1028">
        <f ca="1">+DATOSAÑO!CB100</f>
        <v>1.6637999999998907</v>
      </c>
      <c r="M102" s="1028">
        <f ca="1">+DATOSAÑO!AK100</f>
        <v>6.6000000000058208</v>
      </c>
      <c r="N102" s="1028">
        <f ca="1">+DATOSAÑO!AH100</f>
        <v>16.80000000000291</v>
      </c>
      <c r="O102" s="1028">
        <f ca="1">DATOSAÑO!AL100</f>
        <v>44.800000000002854</v>
      </c>
      <c r="P102" s="1053" t="e">
        <f>+(DATOSAÑO!#REF!)+DATOSAÑO!#REF!</f>
        <v>#REF!</v>
      </c>
      <c r="Q102" s="1028">
        <f ca="1">+DATOSAÑO!BH100</f>
        <v>4.9000000000014552</v>
      </c>
      <c r="R102" s="1114">
        <f ca="1">DATOSAÑO!BJ100+DATOSAÑO!BM100+DATOSAÑO!BP100+DATOSAÑO!BW100+DATOSAÑO!CC100</f>
        <v>22.72369999999783</v>
      </c>
    </row>
    <row r="103" spans="2:18" ht="15" thickBot="1">
      <c r="B103" s="1308" t="s">
        <v>1114</v>
      </c>
      <c r="C103" s="1307">
        <f ca="1">SUM(C72:C102)</f>
        <v>237.61000000000058</v>
      </c>
      <c r="D103" s="1054">
        <f ca="1">SUM(D72:D102)</f>
        <v>455.60000000000582</v>
      </c>
      <c r="E103" s="1054">
        <f ca="1">SUM(E72:E102)</f>
        <v>5082.4000000000233</v>
      </c>
      <c r="F103" s="1054">
        <f>SUM(F72:F102)</f>
        <v>0</v>
      </c>
      <c r="G103" s="1054">
        <f t="shared" ref="G103:R103" si="2">SUM(G72:G102)</f>
        <v>0</v>
      </c>
      <c r="H103" s="1054">
        <f t="shared" ca="1" si="2"/>
        <v>1212.5399999999936</v>
      </c>
      <c r="I103" s="1054">
        <f t="shared" ca="1" si="2"/>
        <v>155.65375000000492</v>
      </c>
      <c r="J103" s="1054">
        <f t="shared" si="2"/>
        <v>0</v>
      </c>
      <c r="K103" s="1054">
        <f t="shared" ca="1" si="2"/>
        <v>4448</v>
      </c>
      <c r="L103" s="1054">
        <f t="shared" ca="1" si="2"/>
        <v>49.540799999999869</v>
      </c>
      <c r="M103" s="1054">
        <f t="shared" ca="1" si="2"/>
        <v>455.60000000000582</v>
      </c>
      <c r="N103" s="1054">
        <f t="shared" ca="1" si="2"/>
        <v>300.79999999999927</v>
      </c>
      <c r="O103" s="1054">
        <f t="shared" ca="1" si="2"/>
        <v>1083.1139999999343</v>
      </c>
      <c r="P103" s="1054" t="e">
        <f t="shared" si="2"/>
        <v>#REF!</v>
      </c>
      <c r="Q103" s="1115">
        <f t="shared" ca="1" si="2"/>
        <v>149.82300000000396</v>
      </c>
      <c r="R103" s="1115">
        <f t="shared" ca="1" si="2"/>
        <v>704.70545000000402</v>
      </c>
    </row>
    <row r="104" spans="2:18">
      <c r="B104" s="410">
        <v>45017</v>
      </c>
      <c r="C104" s="1028">
        <f ca="1">DATOSAÑO!AJ101</f>
        <v>7</v>
      </c>
      <c r="D104" s="1028">
        <f ca="1">DATOSAÑO!AK101</f>
        <v>24.399999999994179</v>
      </c>
      <c r="E104" s="1028">
        <f ca="1">DATOSAÑO!AD101</f>
        <v>166</v>
      </c>
      <c r="F104" s="1028">
        <v>0</v>
      </c>
      <c r="G104" s="1028">
        <v>0</v>
      </c>
      <c r="H104" s="1028">
        <f ca="1">DATOSAÑO!AI101</f>
        <v>39.100000000005821</v>
      </c>
      <c r="I104" s="1028">
        <f ca="1">DATOSAÑO!CA101</f>
        <v>5.5390000000011312</v>
      </c>
      <c r="J104" s="1028">
        <v>0</v>
      </c>
      <c r="K104" s="1028">
        <f ca="1">DATOSAÑO!AF101</f>
        <v>153</v>
      </c>
      <c r="L104" s="1028">
        <f ca="1">+DATOSAÑO!CB101</f>
        <v>1.6692000000003822</v>
      </c>
      <c r="M104" s="1028">
        <f ca="1">+DATOSAÑO!AK101</f>
        <v>24.399999999994179</v>
      </c>
      <c r="N104" s="1028">
        <f ca="1">+DATOSAÑO!AH101</f>
        <v>10.400000000001455</v>
      </c>
      <c r="O104" s="1028">
        <f ca="1">DATOSAÑO!AL101</f>
        <v>24.499999999996362</v>
      </c>
      <c r="P104" s="1029" t="e">
        <f>+(DATOSAÑO!#REF!)+DATOSAÑO!#REF!</f>
        <v>#REF!</v>
      </c>
      <c r="Q104" s="1028">
        <f ca="1">+DATOSAÑO!BH101</f>
        <v>4.5</v>
      </c>
      <c r="R104" s="1114">
        <f ca="1">DATOSAÑO!BJ101+DATOSAÑO!BM101+DATOSAÑO!BP101+DATOSAÑO!BW101+DATOSAÑO!CC101</f>
        <v>22.591800000001385</v>
      </c>
    </row>
    <row r="105" spans="2:18">
      <c r="B105" s="410">
        <v>45018</v>
      </c>
      <c r="C105" s="1028">
        <f ca="1">DATOSAÑO!AJ102</f>
        <v>7</v>
      </c>
      <c r="D105" s="1028">
        <f ca="1">DATOSAÑO!AK102</f>
        <v>16</v>
      </c>
      <c r="E105" s="1028">
        <f ca="1">DATOSAÑO!AD102</f>
        <v>165</v>
      </c>
      <c r="F105" s="1028">
        <v>0</v>
      </c>
      <c r="G105" s="1028">
        <v>0</v>
      </c>
      <c r="H105" s="1028">
        <f ca="1">DATOSAÑO!AI102</f>
        <v>39.099999999998545</v>
      </c>
      <c r="I105" s="1028">
        <f ca="1">DATOSAÑO!CA102</f>
        <v>5.2276999999987286</v>
      </c>
      <c r="J105" s="1028">
        <v>0</v>
      </c>
      <c r="K105" s="1028">
        <f ca="1">DATOSAÑO!AF102</f>
        <v>153</v>
      </c>
      <c r="L105" s="1028">
        <f ca="1">+DATOSAÑO!CB102</f>
        <v>2.3382000000001639</v>
      </c>
      <c r="M105" s="1028">
        <f ca="1">+DATOSAÑO!AK102</f>
        <v>16</v>
      </c>
      <c r="N105" s="1028">
        <f ca="1">+DATOSAÑO!AH102</f>
        <v>12.19999999999709</v>
      </c>
      <c r="O105" s="1028">
        <f ca="1">DATOSAÑO!AL102</f>
        <v>34.300000000006605</v>
      </c>
      <c r="P105" s="1029" t="e">
        <f>+(DATOSAÑO!#REF!)+DATOSAÑO!#REF!</f>
        <v>#REF!</v>
      </c>
      <c r="Q105" s="1028">
        <f ca="1">+DATOSAÑO!BH102</f>
        <v>4</v>
      </c>
      <c r="R105" s="1114">
        <f ca="1">DATOSAÑO!BJ102+DATOSAÑO!BM102+DATOSAÑO!BP102+DATOSAÑO!BW102+DATOSAÑO!CC102</f>
        <v>20.83409999999893</v>
      </c>
    </row>
    <row r="106" spans="2:18">
      <c r="B106" s="410">
        <v>45019</v>
      </c>
      <c r="C106" s="1028">
        <f ca="1">DATOSAÑO!AJ103</f>
        <v>8.9000000000087311</v>
      </c>
      <c r="D106" s="1028">
        <f ca="1">DATOSAÑO!AK103</f>
        <v>15.100000000005821</v>
      </c>
      <c r="E106" s="1028">
        <f ca="1">DATOSAÑO!AD103</f>
        <v>169</v>
      </c>
      <c r="F106" s="1028">
        <v>0</v>
      </c>
      <c r="G106" s="1028">
        <v>0</v>
      </c>
      <c r="H106" s="1028">
        <f ca="1">DATOSAÑO!AI103</f>
        <v>38.400000000001455</v>
      </c>
      <c r="I106" s="1028">
        <f ca="1">DATOSAÑO!CA103</f>
        <v>4.070000000000138</v>
      </c>
      <c r="J106" s="1028">
        <v>0</v>
      </c>
      <c r="K106" s="1028">
        <f ca="1">DATOSAÑO!AF103</f>
        <v>153</v>
      </c>
      <c r="L106" s="1028">
        <f ca="1">+DATOSAÑO!CB103</f>
        <v>1.6553999999993996</v>
      </c>
      <c r="M106" s="1028">
        <f ca="1">+DATOSAÑO!AK103</f>
        <v>15.100000000005821</v>
      </c>
      <c r="N106" s="1028">
        <f ca="1">+DATOSAÑO!AH103</f>
        <v>5</v>
      </c>
      <c r="O106" s="1028">
        <f ca="1">DATOSAÑO!AL103</f>
        <v>32.930999999985431</v>
      </c>
      <c r="P106" s="1029" t="e">
        <f>+(DATOSAÑO!#REF!)+DATOSAÑO!#REF!</f>
        <v>#REF!</v>
      </c>
      <c r="Q106" s="1028">
        <f ca="1">+DATOSAÑO!BH103</f>
        <v>4.6999999999970896</v>
      </c>
      <c r="R106" s="1114">
        <f ca="1">DATOSAÑO!BJ103+DATOSAÑO!BM103+DATOSAÑO!BP103+DATOSAÑO!BW103+DATOSAÑO!CC103</f>
        <v>22.574599999999737</v>
      </c>
    </row>
    <row r="107" spans="2:18">
      <c r="B107" s="410">
        <v>45020</v>
      </c>
      <c r="C107" s="1028">
        <f ca="1">DATOSAÑO!AJ104</f>
        <v>9.8999999999941792</v>
      </c>
      <c r="D107" s="1028">
        <f ca="1">DATOSAÑO!AK104</f>
        <v>17.299999999988358</v>
      </c>
      <c r="E107" s="1028">
        <f ca="1">DATOSAÑO!AD104</f>
        <v>168.90000000002328</v>
      </c>
      <c r="F107" s="1028">
        <v>0</v>
      </c>
      <c r="G107" s="1028">
        <v>0</v>
      </c>
      <c r="H107" s="1028">
        <f ca="1">DATOSAÑO!AI104</f>
        <v>36.899999999994179</v>
      </c>
      <c r="I107" s="1028">
        <f ca="1">DATOSAÑO!CA104</f>
        <v>4.8255000000122799</v>
      </c>
      <c r="J107" s="1028">
        <v>0</v>
      </c>
      <c r="K107" s="1028">
        <f ca="1">DATOSAÑO!AF104</f>
        <v>152.79999999998836</v>
      </c>
      <c r="L107" s="1028">
        <f ca="1">+DATOSAÑO!CB104</f>
        <v>1.7532000000001051</v>
      </c>
      <c r="M107" s="1028">
        <f ca="1">+DATOSAÑO!AK104</f>
        <v>17.299999999988358</v>
      </c>
      <c r="N107" s="1028">
        <f ca="1">+DATOSAÑO!AH104</f>
        <v>18.900000000001455</v>
      </c>
      <c r="O107" s="1028">
        <f ca="1">DATOSAÑO!AL104</f>
        <v>35.756000000007475</v>
      </c>
      <c r="P107" s="1029" t="e">
        <f>+(DATOSAÑO!#REF!)+DATOSAÑO!#REF!</f>
        <v>#REF!</v>
      </c>
      <c r="Q107" s="1028">
        <f ca="1">+DATOSAÑO!BH104</f>
        <v>5</v>
      </c>
      <c r="R107" s="1114">
        <f ca="1">DATOSAÑO!BJ104+DATOSAÑO!BM104+DATOSAÑO!BP104+DATOSAÑO!BW104+DATOSAÑO!CC104</f>
        <v>24.221300000012349</v>
      </c>
    </row>
    <row r="108" spans="2:18">
      <c r="B108" s="410">
        <v>45021</v>
      </c>
      <c r="C108" s="1028">
        <f ca="1">DATOSAÑO!AJ105</f>
        <v>9.1000000000058208</v>
      </c>
      <c r="D108" s="1028">
        <f ca="1">DATOSAÑO!AK105</f>
        <v>15.100000000005821</v>
      </c>
      <c r="E108" s="1028">
        <f ca="1">DATOSAÑO!AD105</f>
        <v>168.29999999993015</v>
      </c>
      <c r="F108" s="1028">
        <v>0</v>
      </c>
      <c r="G108" s="1028">
        <v>0</v>
      </c>
      <c r="H108" s="1028">
        <f ca="1">DATOSAÑO!AI105</f>
        <v>37.30000000000291</v>
      </c>
      <c r="I108" s="1028">
        <f ca="1">DATOSAÑO!CA105</f>
        <v>4.4844499999935916</v>
      </c>
      <c r="J108" s="1028">
        <v>0</v>
      </c>
      <c r="K108" s="1028">
        <f ca="1">DATOSAÑO!AF105</f>
        <v>152.40000000002328</v>
      </c>
      <c r="L108" s="1028">
        <f ca="1">+DATOSAÑO!CB105</f>
        <v>1.9242000000002184</v>
      </c>
      <c r="M108" s="1028">
        <f ca="1">+DATOSAÑO!AK105</f>
        <v>15.100000000005821</v>
      </c>
      <c r="N108" s="1028">
        <f ca="1">+DATOSAÑO!AH105</f>
        <v>7.3000000000029104</v>
      </c>
      <c r="O108" s="1028">
        <f ca="1">DATOSAÑO!AL105</f>
        <v>34.700000000066154</v>
      </c>
      <c r="P108" s="1029" t="e">
        <f>+(DATOSAÑO!#REF!)+DATOSAÑO!#REF!</f>
        <v>#REF!</v>
      </c>
      <c r="Q108" s="1028">
        <f ca="1">+DATOSAÑO!BH105</f>
        <v>4.5999999999985448</v>
      </c>
      <c r="R108" s="1114">
        <f ca="1">DATOSAÑO!BJ105+DATOSAÑO!BM105+DATOSAÑO!BP105+DATOSAÑO!BW105+DATOSAÑO!CC105</f>
        <v>22.191349999993829</v>
      </c>
    </row>
    <row r="109" spans="2:18">
      <c r="B109" s="410">
        <v>45022</v>
      </c>
      <c r="C109" s="1028">
        <f ca="1">DATOSAÑO!AJ106</f>
        <v>9.1999999999970896</v>
      </c>
      <c r="D109" s="1028">
        <f ca="1">DATOSAÑO!AK106</f>
        <v>15.299999999988358</v>
      </c>
      <c r="E109" s="1028">
        <f ca="1">DATOSAÑO!AD106</f>
        <v>168.80000000004657</v>
      </c>
      <c r="F109" s="1028">
        <v>0</v>
      </c>
      <c r="G109" s="1028">
        <v>0</v>
      </c>
      <c r="H109" s="1028">
        <f ca="1">DATOSAÑO!AI106</f>
        <v>39.69999999999709</v>
      </c>
      <c r="I109" s="1028">
        <f ca="1">DATOSAÑO!CA106</f>
        <v>4.1913499999941752</v>
      </c>
      <c r="J109" s="1028">
        <v>0</v>
      </c>
      <c r="K109" s="1028">
        <f ca="1">DATOSAÑO!AF106</f>
        <v>153.79999999998836</v>
      </c>
      <c r="L109" s="1028">
        <f ca="1">+DATOSAÑO!CB106</f>
        <v>1.8750000000001235</v>
      </c>
      <c r="M109" s="1028">
        <f ca="1">+DATOSAÑO!AK106</f>
        <v>15.299999999988358</v>
      </c>
      <c r="N109" s="1028">
        <f ca="1">+DATOSAÑO!AH106</f>
        <v>10.099999999998545</v>
      </c>
      <c r="O109" s="1028">
        <f ca="1">DATOSAÑO!AL106</f>
        <v>35.099999999947556</v>
      </c>
      <c r="P109" s="1029" t="e">
        <f>+(DATOSAÑO!#REF!)+DATOSAÑO!#REF!</f>
        <v>#REF!</v>
      </c>
      <c r="Q109" s="1028">
        <f ca="1">+DATOSAÑO!BH106</f>
        <v>4.3000000000029104</v>
      </c>
      <c r="R109" s="1114">
        <f ca="1">DATOSAÑO!BJ106+DATOSAÑO!BM106+DATOSAÑO!BP106+DATOSAÑO!BW106+DATOSAÑO!CC106</f>
        <v>21.933649999994799</v>
      </c>
    </row>
    <row r="110" spans="2:18">
      <c r="B110" s="410">
        <v>45023</v>
      </c>
      <c r="C110" s="1028">
        <f ca="1">DATOSAÑO!AJ107</f>
        <v>10</v>
      </c>
      <c r="D110" s="1028">
        <f ca="1">DATOSAÑO!AK107</f>
        <v>14.900000000023283</v>
      </c>
      <c r="E110" s="1028">
        <f ca="1">DATOSAÑO!AD107</f>
        <v>166</v>
      </c>
      <c r="F110" s="1028">
        <v>0</v>
      </c>
      <c r="G110" s="1028">
        <v>0</v>
      </c>
      <c r="H110" s="1028">
        <f ca="1">DATOSAÑO!AI107</f>
        <v>42.30000000000291</v>
      </c>
      <c r="I110" s="1028">
        <f ca="1">DATOSAÑO!CA107</f>
        <v>4.5504999999990465</v>
      </c>
      <c r="J110" s="1028">
        <v>0</v>
      </c>
      <c r="K110" s="1028">
        <f ca="1">DATOSAÑO!AF107</f>
        <v>154</v>
      </c>
      <c r="L110" s="1028">
        <f ca="1">+DATOSAÑO!CB107</f>
        <v>2.0315999999998366</v>
      </c>
      <c r="M110" s="1028">
        <f ca="1">+DATOSAÑO!AK107</f>
        <v>14.900000000023283</v>
      </c>
      <c r="N110" s="1028">
        <f ca="1">+DATOSAÑO!AH107</f>
        <v>12.399999999995998</v>
      </c>
      <c r="O110" s="1028">
        <f ca="1">DATOSAÑO!AL107</f>
        <v>33.799999999979264</v>
      </c>
      <c r="P110" s="1029" t="e">
        <f>+(DATOSAÑO!#REF!)+DATOSAÑO!#REF!</f>
        <v>#REF!</v>
      </c>
      <c r="Q110" s="1028">
        <f ca="1">+DATOSAÑO!BH107</f>
        <v>4</v>
      </c>
      <c r="R110" s="1114">
        <f ca="1">DATOSAÑO!BJ107+DATOSAÑO!BM107+DATOSAÑO!BP107+DATOSAÑO!BW107+DATOSAÑO!CC107</f>
        <v>22.017899999999663</v>
      </c>
    </row>
    <row r="111" spans="2:18">
      <c r="B111" s="410">
        <v>45024</v>
      </c>
      <c r="C111" s="1028">
        <f ca="1">DATOSAÑO!AJ108</f>
        <v>7.3000000000029104</v>
      </c>
      <c r="D111" s="1028">
        <f ca="1">DATOSAÑO!AK108</f>
        <v>14.599999999976717</v>
      </c>
      <c r="E111" s="1028">
        <f ca="1">DATOSAÑO!AD108</f>
        <v>162</v>
      </c>
      <c r="F111" s="1028">
        <v>0</v>
      </c>
      <c r="G111" s="1028">
        <v>0</v>
      </c>
      <c r="H111" s="1028">
        <f ca="1">DATOSAÑO!AI108</f>
        <v>41.69999999999709</v>
      </c>
      <c r="I111" s="1028">
        <f ca="1">DATOSAÑO!CA108</f>
        <v>4.3400000000009129</v>
      </c>
      <c r="J111" s="1028">
        <v>0</v>
      </c>
      <c r="K111" s="1028">
        <f ca="1">DATOSAÑO!AF108</f>
        <v>150</v>
      </c>
      <c r="L111" s="1028">
        <f ca="1">+DATOSAÑO!CB108</f>
        <v>2.2350000000002179</v>
      </c>
      <c r="M111" s="1028">
        <f ca="1">+DATOSAÑO!AK108</f>
        <v>14.599999999976717</v>
      </c>
      <c r="N111" s="1028">
        <f ca="1">+DATOSAÑO!AH108</f>
        <v>13.700000000004366</v>
      </c>
      <c r="O111" s="1028">
        <f ca="1">DATOSAÑO!AL108</f>
        <v>36.600000000016621</v>
      </c>
      <c r="P111" s="1029" t="e">
        <f>+(DATOSAÑO!#REF!)+DATOSAÑO!#REF!</f>
        <v>#REF!</v>
      </c>
      <c r="Q111" s="1028">
        <f ca="1">+DATOSAÑO!BH108</f>
        <v>4</v>
      </c>
      <c r="R111" s="1114">
        <f ca="1">DATOSAÑO!BJ108+DATOSAÑO!BM108+DATOSAÑO!BP108+DATOSAÑO!BW108+DATOSAÑO!CC108</f>
        <v>21.525000000001057</v>
      </c>
    </row>
    <row r="112" spans="2:18">
      <c r="B112" s="410">
        <v>45025</v>
      </c>
      <c r="C112" s="1028">
        <f ca="1">DATOSAÑO!AJ109</f>
        <v>6.3000000000029104</v>
      </c>
      <c r="D112" s="1028">
        <f ca="1">DATOSAÑO!AK109</f>
        <v>14.5</v>
      </c>
      <c r="E112" s="1028">
        <f ca="1">DATOSAÑO!AD109</f>
        <v>166</v>
      </c>
      <c r="F112" s="1028">
        <v>0</v>
      </c>
      <c r="G112" s="1028">
        <v>0</v>
      </c>
      <c r="H112" s="1028">
        <f ca="1">DATOSAÑO!AI109</f>
        <v>40.400000000001455</v>
      </c>
      <c r="I112" s="1028">
        <f ca="1">DATOSAÑO!CA109</f>
        <v>2.7140000000005928</v>
      </c>
      <c r="J112" s="1028">
        <v>0</v>
      </c>
      <c r="K112" s="1028">
        <f ca="1">DATOSAÑO!AF109</f>
        <v>149</v>
      </c>
      <c r="L112" s="1028">
        <f ca="1">+DATOSAÑO!CB109</f>
        <v>2.1623999999997285</v>
      </c>
      <c r="M112" s="1028">
        <f ca="1">+DATOSAÑO!AK109</f>
        <v>14.5</v>
      </c>
      <c r="N112" s="1028">
        <f ca="1">+DATOSAÑO!AH109</f>
        <v>12.19999999999709</v>
      </c>
      <c r="O112" s="1028">
        <f ca="1">DATOSAÑO!AL109</f>
        <v>34.299999999999272</v>
      </c>
      <c r="P112" s="1029" t="e">
        <f>+(DATOSAÑO!#REF!)+DATOSAÑO!#REF!</f>
        <v>#REF!</v>
      </c>
      <c r="Q112" s="1028">
        <f ca="1">+DATOSAÑO!BH109</f>
        <v>4</v>
      </c>
      <c r="R112" s="1114">
        <f ca="1">DATOSAÑO!BJ109+DATOSAÑO!BM109+DATOSAÑO!BP109+DATOSAÑO!BW109+DATOSAÑO!CC109</f>
        <v>20.423599999998956</v>
      </c>
    </row>
    <row r="113" spans="2:18">
      <c r="B113" s="410">
        <v>45026</v>
      </c>
      <c r="C113" s="1028">
        <f ca="1">DATOSAÑO!AJ110</f>
        <v>7.5999999999912689</v>
      </c>
      <c r="D113" s="1028">
        <f ca="1">DATOSAÑO!AK110</f>
        <v>14.600000000005821</v>
      </c>
      <c r="E113" s="1028">
        <f ca="1">DATOSAÑO!AD110</f>
        <v>162</v>
      </c>
      <c r="F113" s="1028">
        <v>0</v>
      </c>
      <c r="G113" s="1028">
        <v>0</v>
      </c>
      <c r="H113" s="1028">
        <f ca="1">DATOSAÑO!AI110</f>
        <v>40.099999999998545</v>
      </c>
      <c r="I113" s="1028">
        <f ca="1">DATOSAÑO!CA110</f>
        <v>5.4229999999998126</v>
      </c>
      <c r="J113" s="1028">
        <v>0</v>
      </c>
      <c r="K113" s="1028">
        <f ca="1">DATOSAÑO!AF110</f>
        <v>150</v>
      </c>
      <c r="L113" s="1028">
        <f ca="1">+DATOSAÑO!CB110</f>
        <v>2.2308000000002184</v>
      </c>
      <c r="M113" s="1028">
        <f ca="1">+DATOSAÑO!AK110</f>
        <v>14.600000000005821</v>
      </c>
      <c r="N113" s="1028">
        <f ca="1">+DATOSAÑO!AH110</f>
        <v>11.200000000004366</v>
      </c>
      <c r="O113" s="1028">
        <f ca="1">DATOSAÑO!AL110</f>
        <v>33.299999999999216</v>
      </c>
      <c r="P113" s="1029" t="e">
        <f>+(DATOSAÑO!#REF!)+DATOSAÑO!#REF!</f>
        <v>#REF!</v>
      </c>
      <c r="Q113" s="1028">
        <f ca="1">+DATOSAÑO!BH110</f>
        <v>5</v>
      </c>
      <c r="R113" s="1114">
        <f ca="1">DATOSAÑO!BJ110+DATOSAÑO!BM110+DATOSAÑO!BP110+DATOSAÑO!BW110+DATOSAÑO!CC110</f>
        <v>22.546200000000685</v>
      </c>
    </row>
    <row r="114" spans="2:18">
      <c r="B114" s="410">
        <v>45027</v>
      </c>
      <c r="C114" s="1028">
        <f ca="1">DATOSAÑO!AJ111</f>
        <v>5.6000000000058208</v>
      </c>
      <c r="D114" s="1028">
        <f ca="1">DATOSAÑO!AK111</f>
        <v>14.200000000011642</v>
      </c>
      <c r="E114" s="1028">
        <f ca="1">DATOSAÑO!AD111</f>
        <v>163</v>
      </c>
      <c r="F114" s="1028">
        <v>0</v>
      </c>
      <c r="G114" s="1028">
        <v>0</v>
      </c>
      <c r="H114" s="1028">
        <f ca="1">DATOSAÑO!AI111</f>
        <v>40.30000000000291</v>
      </c>
      <c r="I114" s="1028">
        <f ca="1">DATOSAÑO!CA111</f>
        <v>4.3490000000001467</v>
      </c>
      <c r="J114" s="1028">
        <v>0</v>
      </c>
      <c r="K114" s="1028">
        <f ca="1">DATOSAÑO!AF111</f>
        <v>152</v>
      </c>
      <c r="L114" s="1028">
        <f ca="1">+DATOSAÑO!CB111</f>
        <v>2.3627999999998313</v>
      </c>
      <c r="M114" s="1028">
        <f ca="1">+DATOSAÑO!AK111</f>
        <v>14.200000000011642</v>
      </c>
      <c r="N114" s="1028">
        <f ca="1">+DATOSAÑO!AH111</f>
        <v>8.0999999999985448</v>
      </c>
      <c r="O114" s="1028">
        <f ca="1">DATOSAÑO!AL111</f>
        <v>34.232999999981757</v>
      </c>
      <c r="P114" s="1029" t="e">
        <f>+(DATOSAÑO!#REF!)+DATOSAÑO!#REF!</f>
        <v>#REF!</v>
      </c>
      <c r="Q114" s="1028">
        <f ca="1">+DATOSAÑO!BH111</f>
        <v>5</v>
      </c>
      <c r="R114" s="1114">
        <f ca="1">DATOSAÑO!BJ111+DATOSAÑO!BM111+DATOSAÑO!BP111+DATOSAÑO!BW111+DATOSAÑO!CC111</f>
        <v>21.588199999999304</v>
      </c>
    </row>
    <row r="115" spans="2:18">
      <c r="B115" s="410">
        <v>45028</v>
      </c>
      <c r="C115" s="1028">
        <f ca="1">DATOSAÑO!AJ112</f>
        <v>5.6999999999970896</v>
      </c>
      <c r="D115" s="1028">
        <f ca="1">DATOSAÑO!AK112</f>
        <v>14.199999999982538</v>
      </c>
      <c r="E115" s="1028">
        <f ca="1">DATOSAÑO!AD112</f>
        <v>162</v>
      </c>
      <c r="F115" s="1028">
        <v>0</v>
      </c>
      <c r="G115" s="1028">
        <v>0</v>
      </c>
      <c r="H115" s="1028">
        <f ca="1">DATOSAÑO!AI112</f>
        <v>38.400000000001455</v>
      </c>
      <c r="I115" s="1028">
        <f ca="1">DATOSAÑO!CA112</f>
        <v>3.839500000000045</v>
      </c>
      <c r="J115" s="1028">
        <v>0</v>
      </c>
      <c r="K115" s="1028">
        <f ca="1">DATOSAÑO!AF112</f>
        <v>150</v>
      </c>
      <c r="L115" s="1028">
        <f ca="1">+DATOSAÑO!CB112</f>
        <v>2.3274000000003818</v>
      </c>
      <c r="M115" s="1028">
        <f ca="1">+DATOSAÑO!AK112</f>
        <v>14.199999999982538</v>
      </c>
      <c r="N115" s="1028">
        <f ca="1">+DATOSAÑO!AH112</f>
        <v>9.9000000000014552</v>
      </c>
      <c r="O115" s="1028">
        <f ca="1">DATOSAÑO!AL112</f>
        <v>33.400000000016007</v>
      </c>
      <c r="P115" s="1029" t="e">
        <f>+(DATOSAÑO!#REF!)+DATOSAÑO!#REF!</f>
        <v>#REF!</v>
      </c>
      <c r="Q115" s="1028">
        <f ca="1">+DATOSAÑO!BH112</f>
        <v>4</v>
      </c>
      <c r="R115" s="1114">
        <f ca="1">DATOSAÑO!BJ112+DATOSAÑO!BM112+DATOSAÑO!BP112+DATOSAÑO!BW112+DATOSAÑO!CC112</f>
        <v>20.233100000001031</v>
      </c>
    </row>
    <row r="116" spans="2:18">
      <c r="B116" s="410">
        <v>45029</v>
      </c>
      <c r="C116" s="1028">
        <f ca="1">DATOSAÑO!AJ113</f>
        <v>7.3999999999941792</v>
      </c>
      <c r="D116" s="1028">
        <f ca="1">DATOSAÑO!AK113</f>
        <v>15</v>
      </c>
      <c r="E116" s="1028">
        <f ca="1">DATOSAÑO!AD113</f>
        <v>163</v>
      </c>
      <c r="F116" s="1028">
        <v>0</v>
      </c>
      <c r="G116" s="1028">
        <v>0</v>
      </c>
      <c r="H116" s="1028">
        <f ca="1">DATOSAÑO!AI113</f>
        <v>38</v>
      </c>
      <c r="I116" s="1028">
        <f ca="1">DATOSAÑO!CA113</f>
        <v>4.9239999999988617</v>
      </c>
      <c r="J116" s="1028">
        <v>0</v>
      </c>
      <c r="K116" s="1028">
        <f ca="1">DATOSAÑO!AF113</f>
        <v>149</v>
      </c>
      <c r="L116" s="1028">
        <f ca="1">+DATOSAÑO!CB113</f>
        <v>2.2271999999993994</v>
      </c>
      <c r="M116" s="1028">
        <f ca="1">+DATOSAÑO!AK113</f>
        <v>15</v>
      </c>
      <c r="N116" s="1028">
        <f ca="1">+DATOSAÑO!AH113</f>
        <v>12</v>
      </c>
      <c r="O116" s="1028">
        <f ca="1">DATOSAÑO!AL113</f>
        <v>32.400000000008788</v>
      </c>
      <c r="P116" s="1029" t="e">
        <f>+(DATOSAÑO!#REF!)+DATOSAÑO!#REF!</f>
        <v>#REF!</v>
      </c>
      <c r="Q116" s="1028">
        <f ca="1">+DATOSAÑO!BH113</f>
        <v>5</v>
      </c>
      <c r="R116" s="1114">
        <f ca="1">DATOSAÑO!BJ113+DATOSAÑO!BM113+DATOSAÑO!BP113+DATOSAÑO!BW113+DATOSAÑO!CC113</f>
        <v>21.048799999998828</v>
      </c>
    </row>
    <row r="117" spans="2:18">
      <c r="B117" s="410">
        <v>45030</v>
      </c>
      <c r="C117" s="1028">
        <f ca="1">DATOSAÑO!AJ114</f>
        <v>7.6000000000058208</v>
      </c>
      <c r="D117" s="1028">
        <f ca="1">DATOSAÑO!AK114</f>
        <v>14.300000000017462</v>
      </c>
      <c r="E117" s="1028">
        <f ca="1">DATOSAÑO!AD114</f>
        <v>160</v>
      </c>
      <c r="F117" s="1028">
        <v>0</v>
      </c>
      <c r="G117" s="1028">
        <v>0</v>
      </c>
      <c r="H117" s="1028">
        <f ca="1">DATOSAÑO!AI114</f>
        <v>39.69999999999709</v>
      </c>
      <c r="I117" s="1028">
        <f ca="1">DATOSAÑO!CA114</f>
        <v>5.4155000000010398</v>
      </c>
      <c r="J117" s="1028">
        <v>0</v>
      </c>
      <c r="K117" s="1028">
        <f ca="1">DATOSAÑO!AF114</f>
        <v>150</v>
      </c>
      <c r="L117" s="1028">
        <f ca="1">+DATOSAÑO!CB114</f>
        <v>2.2200000000004909</v>
      </c>
      <c r="M117" s="1028">
        <f ca="1">+DATOSAÑO!AK114</f>
        <v>14.300000000017462</v>
      </c>
      <c r="N117" s="1028">
        <f ca="1">+DATOSAÑO!AH114</f>
        <v>5.8999999999941792</v>
      </c>
      <c r="O117" s="1028">
        <f ca="1">DATOSAÑO!AL114</f>
        <v>31.199999999982538</v>
      </c>
      <c r="P117" s="1029" t="e">
        <f>+(DATOSAÑO!#REF!)+DATOSAÑO!#REF!</f>
        <v>#REF!</v>
      </c>
      <c r="Q117" s="1028">
        <f ca="1">+DATOSAÑO!BH114</f>
        <v>5</v>
      </c>
      <c r="R117" s="1114">
        <f ca="1">DATOSAÑO!BJ114+DATOSAÑO!BM114+DATOSAÑO!BP114+DATOSAÑO!BW114+DATOSAÑO!CC114</f>
        <v>20.664500000001368</v>
      </c>
    </row>
    <row r="118" spans="2:18">
      <c r="B118" s="410">
        <v>45031</v>
      </c>
      <c r="C118" s="1028">
        <f ca="1">DATOSAÑO!AJ115</f>
        <v>8</v>
      </c>
      <c r="D118" s="1028">
        <f ca="1">DATOSAÑO!AK115</f>
        <v>15.199999999982538</v>
      </c>
      <c r="E118" s="1028">
        <f ca="1">DATOSAÑO!AD115</f>
        <v>162</v>
      </c>
      <c r="F118" s="1028">
        <v>0</v>
      </c>
      <c r="G118" s="1028">
        <v>0</v>
      </c>
      <c r="H118" s="1028">
        <f ca="1">DATOSAÑO!AI115</f>
        <v>41.099999999998545</v>
      </c>
      <c r="I118" s="1028">
        <f ca="1">DATOSAÑO!CA115</f>
        <v>5.2544999999996058</v>
      </c>
      <c r="J118" s="1028">
        <v>0</v>
      </c>
      <c r="K118" s="1028">
        <f ca="1">DATOSAÑO!AF115</f>
        <v>150</v>
      </c>
      <c r="L118" s="1028">
        <f ca="1">+DATOSAÑO!CB115</f>
        <v>2.3321999999998262</v>
      </c>
      <c r="M118" s="1028">
        <f ca="1">+DATOSAÑO!AK115</f>
        <v>15.199999999982538</v>
      </c>
      <c r="N118" s="1028">
        <f ca="1">+DATOSAÑO!AH115</f>
        <v>12.200000000004366</v>
      </c>
      <c r="O118" s="1028">
        <f ca="1">DATOSAÑO!AL115</f>
        <v>33.200000000015223</v>
      </c>
      <c r="P118" s="1029" t="e">
        <f>+(DATOSAÑO!#REF!)+DATOSAÑO!#REF!</f>
        <v>#REF!</v>
      </c>
      <c r="Q118" s="1028">
        <f ca="1">+DATOSAÑO!BH115</f>
        <v>5</v>
      </c>
      <c r="R118" s="1114">
        <f ca="1">DATOSAÑO!BJ115+DATOSAÑO!BM115+DATOSAÑO!BP115+DATOSAÑO!BW115+DATOSAÑO!CC115</f>
        <v>20.713299999999855</v>
      </c>
    </row>
    <row r="119" spans="2:18">
      <c r="B119" s="410">
        <v>45032</v>
      </c>
      <c r="C119" s="1028">
        <f ca="1">DATOSAÑO!AJ116</f>
        <v>7</v>
      </c>
      <c r="D119" s="1028">
        <f ca="1">DATOSAÑO!AK116</f>
        <v>14.5</v>
      </c>
      <c r="E119" s="1028">
        <f ca="1">DATOSAÑO!AD116</f>
        <v>162</v>
      </c>
      <c r="F119" s="1028">
        <v>0</v>
      </c>
      <c r="G119" s="1028">
        <v>0</v>
      </c>
      <c r="H119" s="1028">
        <f ca="1">DATOSAÑO!AI116</f>
        <v>41.30000000000291</v>
      </c>
      <c r="I119" s="1028">
        <f ca="1">DATOSAÑO!CA116</f>
        <v>3.6380000000001305</v>
      </c>
      <c r="J119" s="1028">
        <v>0</v>
      </c>
      <c r="K119" s="1028">
        <f ca="1">DATOSAÑO!AF116</f>
        <v>150</v>
      </c>
      <c r="L119" s="1028">
        <f ca="1">+DATOSAÑO!CB116</f>
        <v>2.3147999999996181</v>
      </c>
      <c r="M119" s="1028">
        <f ca="1">+DATOSAÑO!AK116</f>
        <v>14.5</v>
      </c>
      <c r="N119" s="1028">
        <f ca="1">+DATOSAÑO!AH116</f>
        <v>9.1999999999970896</v>
      </c>
      <c r="O119" s="1028">
        <f ca="1">DATOSAÑO!AL116</f>
        <v>36.935999999999183</v>
      </c>
      <c r="P119" s="1029" t="e">
        <f>+(DATOSAÑO!#REF!)+DATOSAÑO!#REF!</f>
        <v>#REF!</v>
      </c>
      <c r="Q119" s="1028">
        <f ca="1">+DATOSAÑO!BH116</f>
        <v>4</v>
      </c>
      <c r="R119" s="1114">
        <f ca="1">DATOSAÑO!BJ116+DATOSAÑO!BM116+DATOSAÑO!BP116+DATOSAÑO!BW116+DATOSAÑO!CC116</f>
        <v>19.347199999999511</v>
      </c>
    </row>
    <row r="120" spans="2:18">
      <c r="B120" s="410">
        <v>45033</v>
      </c>
      <c r="C120" s="1028">
        <f ca="1">DATOSAÑO!AJ117</f>
        <v>7</v>
      </c>
      <c r="D120" s="1028">
        <f ca="1">DATOSAÑO!AK117</f>
        <v>13.800000000017462</v>
      </c>
      <c r="E120" s="1028">
        <f ca="1">DATOSAÑO!AD117</f>
        <v>163</v>
      </c>
      <c r="F120" s="1028">
        <v>0</v>
      </c>
      <c r="G120" s="1028">
        <v>0</v>
      </c>
      <c r="H120" s="1028">
        <f ca="1">DATOSAÑO!AI117</f>
        <v>39.30000000000291</v>
      </c>
      <c r="I120" s="1028">
        <f ca="1">DATOSAÑO!CA117</f>
        <v>1.519500000001142</v>
      </c>
      <c r="J120" s="1028">
        <v>0</v>
      </c>
      <c r="K120" s="1028">
        <f ca="1">DATOSAÑO!AF117</f>
        <v>147</v>
      </c>
      <c r="L120" s="1028">
        <f ca="1">+DATOSAÑO!CB117</f>
        <v>2.3064000000001634</v>
      </c>
      <c r="M120" s="1028">
        <f ca="1">+DATOSAÑO!AK117</f>
        <v>13.800000000017462</v>
      </c>
      <c r="N120" s="1028">
        <f ca="1">+DATOSAÑO!AH117</f>
        <v>7.5999999999985448</v>
      </c>
      <c r="O120" s="1028">
        <f ca="1">DATOSAÑO!AL117</f>
        <v>38.543999999979633</v>
      </c>
      <c r="P120" s="1029" t="e">
        <f>+(DATOSAÑO!#REF!)+DATOSAÑO!#REF!</f>
        <v>#REF!</v>
      </c>
      <c r="Q120" s="1028">
        <f ca="1">+DATOSAÑO!BH117</f>
        <v>5</v>
      </c>
      <c r="R120" s="1114">
        <f ca="1">DATOSAÑO!BJ117+DATOSAÑO!BM117+DATOSAÑO!BP117+DATOSAÑO!BW117+DATOSAÑO!CC117</f>
        <v>16.574100000000161</v>
      </c>
    </row>
    <row r="121" spans="2:18">
      <c r="B121" s="410">
        <v>45034</v>
      </c>
      <c r="C121" s="1028">
        <f ca="1">DATOSAÑO!AJ118</f>
        <v>5.6000000000058208</v>
      </c>
      <c r="D121" s="1028">
        <f ca="1">DATOSAÑO!AK118</f>
        <v>14.399999999994179</v>
      </c>
      <c r="E121" s="1028">
        <f ca="1">DATOSAÑO!AD118</f>
        <v>166</v>
      </c>
      <c r="F121" s="1028">
        <v>0</v>
      </c>
      <c r="G121" s="1028">
        <v>0</v>
      </c>
      <c r="H121" s="1028">
        <f ca="1">DATOSAÑO!AI118</f>
        <v>39.799999999995634</v>
      </c>
      <c r="I121" s="1028">
        <f ca="1">DATOSAÑO!CA118</f>
        <v>0.28149999999836861</v>
      </c>
      <c r="J121" s="1028">
        <v>0</v>
      </c>
      <c r="K121" s="1028">
        <f ca="1">DATOSAÑO!AF118</f>
        <v>147</v>
      </c>
      <c r="L121" s="1028">
        <f ca="1">+DATOSAÑO!CB118</f>
        <v>2.2212000000002181</v>
      </c>
      <c r="M121" s="1028">
        <f ca="1">+DATOSAÑO!AK118</f>
        <v>14.399999999994179</v>
      </c>
      <c r="N121" s="1028">
        <f ca="1">+DATOSAÑO!AH118</f>
        <v>15.600000000005821</v>
      </c>
      <c r="O121" s="1028">
        <f ca="1">DATOSAÑO!AL118</f>
        <v>41.78200000000146</v>
      </c>
      <c r="P121" s="1029" t="e">
        <f>+(DATOSAÑO!#REF!)+DATOSAÑO!#REF!</f>
        <v>#REF!</v>
      </c>
      <c r="Q121" s="1028">
        <f ca="1">+DATOSAÑO!BH118</f>
        <v>5</v>
      </c>
      <c r="R121" s="1114">
        <f ca="1">DATOSAÑO!BJ118+DATOSAÑO!BM118+DATOSAÑO!BP118+DATOSAÑO!BW118+DATOSAÑO!CC118</f>
        <v>15.697299999998515</v>
      </c>
    </row>
    <row r="122" spans="2:18">
      <c r="B122" s="410">
        <v>45035</v>
      </c>
      <c r="C122" s="1028">
        <f ca="1">DATOSAÑO!AJ119</f>
        <v>6.5999999999912689</v>
      </c>
      <c r="D122" s="1028">
        <f ca="1">DATOSAÑO!AK119</f>
        <v>10</v>
      </c>
      <c r="E122" s="1028">
        <f ca="1">DATOSAÑO!AD119</f>
        <v>166</v>
      </c>
      <c r="F122" s="1028">
        <v>0</v>
      </c>
      <c r="G122" s="1028">
        <v>0</v>
      </c>
      <c r="H122" s="1028">
        <f ca="1">DATOSAÑO!AI119</f>
        <v>40.5</v>
      </c>
      <c r="I122" s="1028">
        <f ca="1">DATOSAÑO!CA119</f>
        <v>2.3029999999997712</v>
      </c>
      <c r="J122" s="1028">
        <v>0</v>
      </c>
      <c r="K122" s="1028">
        <f ca="1">DATOSAÑO!AF119</f>
        <v>41</v>
      </c>
      <c r="L122" s="1028">
        <f ca="1">+DATOSAÑO!CB119</f>
        <v>2.1504000000000545</v>
      </c>
      <c r="M122" s="1028">
        <f ca="1">+DATOSAÑO!AK119</f>
        <v>10</v>
      </c>
      <c r="N122" s="1028">
        <f ca="1">+DATOSAÑO!AH119</f>
        <v>7.1999999999970896</v>
      </c>
      <c r="O122" s="1028">
        <f ca="1">DATOSAÑO!AL119</f>
        <v>35.645000000011692</v>
      </c>
      <c r="P122" s="1029" t="e">
        <f>+(DATOSAÑO!#REF!)+DATOSAÑO!#REF!</f>
        <v>#REF!</v>
      </c>
      <c r="Q122" s="1028">
        <f ca="1">+DATOSAÑO!BH119</f>
        <v>5</v>
      </c>
      <c r="R122" s="1114">
        <f ca="1">DATOSAÑO!BJ119+DATOSAÑO!BM119+DATOSAÑO!BP119+DATOSAÑO!BW119+DATOSAÑO!CC119</f>
        <v>17.546600000000172</v>
      </c>
    </row>
    <row r="123" spans="2:18">
      <c r="B123" s="410">
        <v>45036</v>
      </c>
      <c r="C123" s="1028">
        <f ca="1">DATOSAÑO!AJ120</f>
        <v>6.6000000000058208</v>
      </c>
      <c r="D123" s="1028">
        <f ca="1">DATOSAÑO!AK120</f>
        <v>10</v>
      </c>
      <c r="E123" s="1028">
        <f ca="1">DATOSAÑO!AD120</f>
        <v>163.46900000004098</v>
      </c>
      <c r="F123" s="1028">
        <v>0</v>
      </c>
      <c r="G123" s="1028">
        <v>0</v>
      </c>
      <c r="H123" s="1028">
        <f ca="1">DATOSAÑO!AI120</f>
        <v>39.400000000001455</v>
      </c>
      <c r="I123" s="1028">
        <f ca="1">DATOSAÑO!CA120</f>
        <v>6.0025000000008664</v>
      </c>
      <c r="J123" s="1028">
        <v>0</v>
      </c>
      <c r="K123" s="1028">
        <f ca="1">DATOSAÑO!AF120</f>
        <v>78</v>
      </c>
      <c r="L123" s="1028">
        <f ca="1">+DATOSAÑO!CB120</f>
        <v>1.6793999999996181</v>
      </c>
      <c r="M123" s="1028">
        <f ca="1">+DATOSAÑO!AK120</f>
        <v>10</v>
      </c>
      <c r="N123" s="1028">
        <f ca="1">+DATOSAÑO!AH120</f>
        <v>7.1999999999970896</v>
      </c>
      <c r="O123" s="1028">
        <f ca="1">DATOSAÑO!AL120</f>
        <v>32.330999999958294</v>
      </c>
      <c r="P123" s="1029" t="e">
        <f>+(DATOSAÑO!#REF!)+DATOSAÑO!#REF!</f>
        <v>#REF!</v>
      </c>
      <c r="Q123" s="1028">
        <f ca="1">+DATOSAÑO!BH120</f>
        <v>4.6999999999970896</v>
      </c>
      <c r="R123" s="1114">
        <f ca="1">DATOSAÑO!BJ120+DATOSAÑO!BM120+DATOSAÑO!BP120+DATOSAÑO!BW120+DATOSAÑO!CC120</f>
        <v>20.518100000000249</v>
      </c>
    </row>
    <row r="124" spans="2:18">
      <c r="B124" s="410">
        <v>45037</v>
      </c>
      <c r="C124" s="1028">
        <f ca="1">DATOSAÑO!AJ121</f>
        <v>6.3000000000029104</v>
      </c>
      <c r="D124" s="1028">
        <f ca="1">DATOSAÑO!AK121</f>
        <v>12</v>
      </c>
      <c r="E124" s="1028">
        <f ca="1">DATOSAÑO!AD121</f>
        <v>125.53099999995902</v>
      </c>
      <c r="F124" s="1028">
        <v>0</v>
      </c>
      <c r="G124" s="1028">
        <v>0</v>
      </c>
      <c r="H124" s="1028">
        <f ca="1">DATOSAÑO!AI121</f>
        <v>37.900000000001455</v>
      </c>
      <c r="I124" s="1028">
        <f ca="1">DATOSAÑO!CA121</f>
        <v>4.4317500000003198</v>
      </c>
      <c r="J124" s="1028">
        <v>0</v>
      </c>
      <c r="K124" s="1028">
        <f ca="1">DATOSAÑO!AF121</f>
        <v>84</v>
      </c>
      <c r="L124" s="1028">
        <f ca="1">+DATOSAÑO!CB121</f>
        <v>0.31440000000049106</v>
      </c>
      <c r="M124" s="1028">
        <f ca="1">+DATOSAÑO!AK121</f>
        <v>12</v>
      </c>
      <c r="N124" s="1028">
        <f ca="1">+DATOSAÑO!AH121</f>
        <v>14.30000000000291</v>
      </c>
      <c r="O124" s="1028">
        <f ca="1">DATOSAÑO!AL121</f>
        <v>33.263000000027091</v>
      </c>
      <c r="P124" s="1029" t="e">
        <f>+(DATOSAÑO!#REF!)+DATOSAÑO!#REF!</f>
        <v>#REF!</v>
      </c>
      <c r="Q124" s="1028">
        <f ca="1">+DATOSAÑO!BH121</f>
        <v>4.9000000000014552</v>
      </c>
      <c r="R124" s="1114">
        <f ca="1">DATOSAÑO!BJ121+DATOSAÑO!BM121+DATOSAÑO!BP121+DATOSAÑO!BW121+DATOSAÑO!CC121</f>
        <v>14.353850000001376</v>
      </c>
    </row>
    <row r="125" spans="2:18">
      <c r="B125" s="410">
        <v>45038</v>
      </c>
      <c r="C125" s="1028">
        <f ca="1">DATOSAÑO!AJ122</f>
        <v>6.2999999999883585</v>
      </c>
      <c r="D125" s="1028">
        <f ca="1">DATOSAÑO!AK122</f>
        <v>13</v>
      </c>
      <c r="E125" s="1028">
        <f ca="1">DATOSAÑO!AD122</f>
        <v>165.80000000004657</v>
      </c>
      <c r="F125" s="1028">
        <v>0</v>
      </c>
      <c r="G125" s="1028">
        <v>0</v>
      </c>
      <c r="H125" s="1028">
        <f ca="1">DATOSAÑO!AI122</f>
        <v>35.599999999998545</v>
      </c>
      <c r="I125" s="1028">
        <f ca="1">DATOSAÑO!CA122</f>
        <v>4.7070000000117389</v>
      </c>
      <c r="J125" s="1028">
        <v>0</v>
      </c>
      <c r="K125" s="1028">
        <f ca="1">DATOSAÑO!AF122</f>
        <v>149</v>
      </c>
      <c r="L125" s="1028">
        <f ca="1">+DATOSAÑO!CB122</f>
        <v>1.6823999999998909</v>
      </c>
      <c r="M125" s="1028">
        <f ca="1">+DATOSAÑO!AK122</f>
        <v>13</v>
      </c>
      <c r="N125" s="1028">
        <f ca="1">+DATOSAÑO!AH122</f>
        <v>10</v>
      </c>
      <c r="O125" s="1028">
        <f ca="1">DATOSAÑO!AL122</f>
        <v>32.399999999943191</v>
      </c>
      <c r="P125" s="1029" t="e">
        <f>+(DATOSAÑO!#REF!)+DATOSAÑO!#REF!</f>
        <v>#REF!</v>
      </c>
      <c r="Q125" s="1028">
        <f ca="1">+DATOSAÑO!BH122</f>
        <v>4.5</v>
      </c>
      <c r="R125" s="1114">
        <f ca="1">DATOSAÑO!BJ122+DATOSAÑO!BM122+DATOSAÑO!BP122+DATOSAÑO!BW122+DATOSAÑO!CC122</f>
        <v>22.510600000011667</v>
      </c>
    </row>
    <row r="126" spans="2:18">
      <c r="B126" s="410">
        <v>45039</v>
      </c>
      <c r="C126" s="1028">
        <f ca="1">DATOSAÑO!AJ123</f>
        <v>6.2000000000116415</v>
      </c>
      <c r="D126" s="1028">
        <f ca="1">DATOSAÑO!AK123</f>
        <v>13</v>
      </c>
      <c r="E126" s="1028">
        <f ca="1">DATOSAÑO!AD123</f>
        <v>170.19999999995343</v>
      </c>
      <c r="F126" s="1028">
        <v>0</v>
      </c>
      <c r="G126" s="1028">
        <v>0</v>
      </c>
      <c r="H126" s="1028">
        <f ca="1">DATOSAÑO!AI123</f>
        <v>35.400000000001455</v>
      </c>
      <c r="I126" s="1028">
        <f ca="1">DATOSAÑO!CA123</f>
        <v>4.8464999999875333</v>
      </c>
      <c r="J126" s="1028">
        <v>0</v>
      </c>
      <c r="K126" s="1028">
        <f ca="1">DATOSAÑO!AF123</f>
        <v>156.5</v>
      </c>
      <c r="L126" s="1028">
        <f ca="1">+DATOSAÑO!CB123</f>
        <v>1.4364000000001091</v>
      </c>
      <c r="M126" s="1028">
        <f ca="1">+DATOSAÑO!AK123</f>
        <v>13</v>
      </c>
      <c r="N126" s="1028">
        <f ca="1">+DATOSAÑO!AH123</f>
        <v>6.6999999999970896</v>
      </c>
      <c r="O126" s="1028">
        <f ca="1">DATOSAÑO!AL123</f>
        <v>33.900000000063301</v>
      </c>
      <c r="P126" s="1029" t="e">
        <f>+(DATOSAÑO!#REF!)+DATOSAÑO!#REF!</f>
        <v>#REF!</v>
      </c>
      <c r="Q126" s="1028">
        <f ca="1">+DATOSAÑO!BH123</f>
        <v>4.4000000000014552</v>
      </c>
      <c r="R126" s="1114">
        <f ca="1">DATOSAÑO!BJ123+DATOSAÑO!BM123+DATOSAÑO!BP123+DATOSAÑO!BW123+DATOSAÑO!CC123</f>
        <v>22.217099999986875</v>
      </c>
    </row>
    <row r="127" spans="2:18">
      <c r="B127" s="410">
        <v>45040</v>
      </c>
      <c r="C127" s="1028">
        <f ca="1">DATOSAÑO!AJ124</f>
        <v>5.8999999999941792</v>
      </c>
      <c r="D127" s="1028">
        <f ca="1">DATOSAÑO!AK124</f>
        <v>14.299999999988358</v>
      </c>
      <c r="E127" s="1028">
        <f ca="1">DATOSAÑO!AD124</f>
        <v>163.09999999997672</v>
      </c>
      <c r="F127" s="1028">
        <v>0</v>
      </c>
      <c r="G127" s="1028">
        <v>0</v>
      </c>
      <c r="H127" s="1028">
        <f ca="1">DATOSAÑO!AI124</f>
        <v>34.900000000001455</v>
      </c>
      <c r="I127" s="1028">
        <f ca="1">DATOSAÑO!CA124</f>
        <v>5.0760000000011711</v>
      </c>
      <c r="J127" s="1028">
        <v>0</v>
      </c>
      <c r="K127" s="1028">
        <f ca="1">DATOSAÑO!AF124</f>
        <v>154.5</v>
      </c>
      <c r="L127" s="1028">
        <f ca="1">+DATOSAÑO!CB124</f>
        <v>1.8071999999999016</v>
      </c>
      <c r="M127" s="1028">
        <f ca="1">+DATOSAÑO!AK124</f>
        <v>14.299999999988358</v>
      </c>
      <c r="N127" s="1028">
        <f ca="1">+DATOSAÑO!AH124</f>
        <v>18.80000000000291</v>
      </c>
      <c r="O127" s="1028">
        <f ca="1">DATOSAÑO!AL124</f>
        <v>35.400000000034197</v>
      </c>
      <c r="P127" s="1029" t="e">
        <f>+(DATOSAÑO!#REF!)+DATOSAÑO!#REF!</f>
        <v>#REF!</v>
      </c>
      <c r="Q127" s="1028">
        <f ca="1">+DATOSAÑO!BH124</f>
        <v>5.1999999999970896</v>
      </c>
      <c r="R127" s="1114">
        <f ca="1">DATOSAÑO!BJ124+DATOSAÑO!BM124+DATOSAÑO!BP124+DATOSAÑO!BW124+DATOSAÑO!CC124</f>
        <v>21.216800000001108</v>
      </c>
    </row>
    <row r="128" spans="2:18">
      <c r="B128" s="410">
        <v>45041</v>
      </c>
      <c r="C128" s="1028">
        <f ca="1">DATOSAÑO!AJ125</f>
        <v>5.3000000000029104</v>
      </c>
      <c r="D128" s="1028">
        <f ca="1">DATOSAÑO!AK125</f>
        <v>11.700000000011642</v>
      </c>
      <c r="E128" s="1028">
        <f ca="1">DATOSAÑO!AD125</f>
        <v>168.5</v>
      </c>
      <c r="F128" s="1028">
        <v>0</v>
      </c>
      <c r="G128" s="1028">
        <v>0</v>
      </c>
      <c r="H128" s="1028">
        <f ca="1">DATOSAÑO!AI125</f>
        <v>36.099999999991269</v>
      </c>
      <c r="I128" s="1028">
        <f ca="1">DATOSAÑO!CA125</f>
        <v>4.4279999999988258</v>
      </c>
      <c r="J128" s="1028">
        <v>0</v>
      </c>
      <c r="K128" s="1028">
        <f ca="1">DATOSAÑO!AF125</f>
        <v>159</v>
      </c>
      <c r="L128" s="1028">
        <f ca="1">+DATOSAÑO!CB125</f>
        <v>1.9907999999998867</v>
      </c>
      <c r="M128" s="1028">
        <f ca="1">+DATOSAÑO!AK125</f>
        <v>11.700000000011642</v>
      </c>
      <c r="N128" s="1028">
        <f ca="1">+DATOSAÑO!AH125</f>
        <v>5</v>
      </c>
      <c r="O128" s="1028">
        <f ca="1">DATOSAÑO!AL125</f>
        <v>34.071999999996535</v>
      </c>
      <c r="P128" s="1029" t="e">
        <f>+(DATOSAÑO!#REF!)+DATOSAÑO!#REF!</f>
        <v>#REF!</v>
      </c>
      <c r="Q128" s="1028">
        <f ca="1">+DATOSAÑO!BH125</f>
        <v>4.8000000000029104</v>
      </c>
      <c r="R128" s="1114">
        <f ca="1">DATOSAÑO!BJ125+DATOSAÑO!BM125+DATOSAÑO!BP125+DATOSAÑO!BW125+DATOSAÑO!CC125</f>
        <v>22.981199999999113</v>
      </c>
    </row>
    <row r="129" spans="2:18">
      <c r="B129" s="410">
        <v>45042</v>
      </c>
      <c r="C129" s="1028">
        <f ca="1">DATOSAÑO!AJ126</f>
        <v>6.3499999999912689</v>
      </c>
      <c r="D129" s="1028">
        <f ca="1">DATOSAÑO!AK126</f>
        <v>11.260000000009313</v>
      </c>
      <c r="E129" s="1028">
        <f ca="1">DATOSAÑO!AD126</f>
        <v>160.40000000002328</v>
      </c>
      <c r="F129" s="1028">
        <v>0</v>
      </c>
      <c r="G129" s="1028">
        <v>0</v>
      </c>
      <c r="H129" s="1028">
        <f ca="1">DATOSAÑO!AI126</f>
        <v>34.660000000003492</v>
      </c>
      <c r="I129" s="1028">
        <f ca="1">DATOSAÑO!CA126</f>
        <v>4.0969999999896354</v>
      </c>
      <c r="J129" s="1028">
        <v>0</v>
      </c>
      <c r="K129" s="1028">
        <f ca="1">DATOSAÑO!AF126</f>
        <v>151.01000000000931</v>
      </c>
      <c r="L129" s="1028">
        <f ca="1">+DATOSAÑO!CB126</f>
        <v>2.1276000000002178</v>
      </c>
      <c r="M129" s="1028">
        <f ca="1">+DATOSAÑO!AK126</f>
        <v>11.260000000009313</v>
      </c>
      <c r="N129" s="1028">
        <f ca="1">+DATOSAÑO!AH126</f>
        <v>4.5999999999985448</v>
      </c>
      <c r="O129" s="1028">
        <f ca="1">DATOSAÑO!AL126</f>
        <v>33.769999999993161</v>
      </c>
      <c r="P129" s="1029" t="e">
        <f>+(DATOSAÑO!#REF!)+DATOSAÑO!#REF!</f>
        <v>#REF!</v>
      </c>
      <c r="Q129" s="1028">
        <f ca="1">+DATOSAÑO!BH126</f>
        <v>5.1070000000036089</v>
      </c>
      <c r="R129" s="1114">
        <f ca="1">DATOSAÑO!BJ126+DATOSAÑO!BM126+DATOSAÑO!BP126+DATOSAÑO!BW126+DATOSAÑO!CC126</f>
        <v>22.765399999989928</v>
      </c>
    </row>
    <row r="130" spans="2:18">
      <c r="B130" s="410">
        <v>45043</v>
      </c>
      <c r="C130" s="1028">
        <f ca="1">DATOSAÑO!AJ127</f>
        <v>6.5600000000122236</v>
      </c>
      <c r="D130" s="1028">
        <f ca="1">DATOSAÑO!AK127</f>
        <v>12.979999999981374</v>
      </c>
      <c r="E130" s="1028">
        <f ca="1">DATOSAÑO!AD127</f>
        <v>165.28000000002794</v>
      </c>
      <c r="F130" s="1028">
        <v>0</v>
      </c>
      <c r="G130" s="1028">
        <v>0</v>
      </c>
      <c r="H130" s="1028">
        <f ca="1">DATOSAÑO!AI127</f>
        <v>39.380000000004657</v>
      </c>
      <c r="I130" s="1028">
        <f ca="1">DATOSAÑO!CA127</f>
        <v>4.9625000000056536</v>
      </c>
      <c r="J130" s="1028">
        <v>0</v>
      </c>
      <c r="K130" s="1028">
        <f ca="1">DATOSAÑO!AF127</f>
        <v>156.89000000001397</v>
      </c>
      <c r="L130" s="1028">
        <f ca="1">+DATOSAÑO!CB127</f>
        <v>0.47759999999953823</v>
      </c>
      <c r="M130" s="1028">
        <f ca="1">+DATOSAÑO!AK127</f>
        <v>12.979999999981374</v>
      </c>
      <c r="N130" s="1028">
        <f ca="1">+DATOSAÑO!AH127</f>
        <v>13.400000000001455</v>
      </c>
      <c r="O130" s="1028">
        <f ca="1">DATOSAÑO!AL127</f>
        <v>35.269999999953143</v>
      </c>
      <c r="P130" s="1029" t="e">
        <f>+(DATOSAÑO!#REF!)+DATOSAÑO!#REF!</f>
        <v>#REF!</v>
      </c>
      <c r="Q130" s="1028">
        <f ca="1">+DATOSAÑO!BH127</f>
        <v>5.0999999999985448</v>
      </c>
      <c r="R130" s="1114">
        <f ca="1">DATOSAÑO!BJ127+DATOSAÑO!BM127+DATOSAÑO!BP127+DATOSAÑO!BW127+DATOSAÑO!CC127</f>
        <v>23.469900000005566</v>
      </c>
    </row>
    <row r="131" spans="2:18">
      <c r="B131" s="410">
        <v>45044</v>
      </c>
      <c r="C131" s="1028">
        <f ca="1">DATOSAÑO!AJ128</f>
        <v>6.3899999999994179</v>
      </c>
      <c r="D131" s="1028">
        <f ca="1">DATOSAÑO!AK128</f>
        <v>10.930000000022119</v>
      </c>
      <c r="E131" s="1028">
        <f ca="1">DATOSAÑO!AD128</f>
        <v>166.93000000005122</v>
      </c>
      <c r="F131" s="1028">
        <v>0</v>
      </c>
      <c r="G131" s="1028">
        <v>0</v>
      </c>
      <c r="H131" s="1028">
        <f ca="1">DATOSAÑO!AI128</f>
        <v>38.209999999991851</v>
      </c>
      <c r="I131" s="1028">
        <f ca="1">DATOSAÑO!CA128</f>
        <v>2.3449999999877162</v>
      </c>
      <c r="J131" s="1028">
        <v>0</v>
      </c>
      <c r="K131" s="1028">
        <f ca="1">DATOSAÑO!AF128</f>
        <v>154.79999999998836</v>
      </c>
      <c r="L131" s="1028">
        <f ca="1">+DATOSAÑO!CB128</f>
        <v>3.2874000000003822</v>
      </c>
      <c r="M131" s="1028">
        <f ca="1">+DATOSAÑO!AK128</f>
        <v>10.930000000022119</v>
      </c>
      <c r="N131" s="1028">
        <f ca="1">+DATOSAÑO!AH128</f>
        <v>10.69999999999709</v>
      </c>
      <c r="O131" s="1028">
        <f ca="1">DATOSAÑO!AL128</f>
        <v>34.439999999962367</v>
      </c>
      <c r="P131" s="1029" t="e">
        <f>+(DATOSAÑO!#REF!)+DATOSAÑO!#REF!</f>
        <v>#REF!</v>
      </c>
      <c r="Q131" s="1028">
        <f ca="1">+DATOSAÑO!BH128</f>
        <v>5.1999999999970896</v>
      </c>
      <c r="R131" s="1114">
        <f ca="1">DATOSAÑO!BJ128+DATOSAÑO!BM128+DATOSAÑO!BP128+DATOSAÑO!BW128+DATOSAÑO!CC128</f>
        <v>22.767599999987901</v>
      </c>
    </row>
    <row r="132" spans="2:18">
      <c r="B132" s="410">
        <v>45045</v>
      </c>
      <c r="C132" s="1028">
        <f ca="1">DATOSAÑO!AJ129</f>
        <v>6.5299999999988358</v>
      </c>
      <c r="D132" s="1028">
        <f ca="1">DATOSAÑO!AK129</f>
        <v>12.5</v>
      </c>
      <c r="E132" s="1028">
        <f ca="1">DATOSAÑO!AD129</f>
        <v>165.54000000003725</v>
      </c>
      <c r="F132" s="1028">
        <v>0</v>
      </c>
      <c r="G132" s="1028">
        <v>0</v>
      </c>
      <c r="H132" s="1028">
        <f ca="1">DATOSAÑO!AI129</f>
        <v>38.160000000003492</v>
      </c>
      <c r="I132" s="1028">
        <f ca="1">DATOSAÑO!CA129</f>
        <v>4.5695000000174861</v>
      </c>
      <c r="J132" s="1028">
        <v>0</v>
      </c>
      <c r="K132" s="1028">
        <f ca="1">DATOSAÑO!AF129</f>
        <v>143.85999999998603</v>
      </c>
      <c r="L132" s="1028">
        <f ca="1">+DATOSAÑO!CB129</f>
        <v>2.1089999999998472</v>
      </c>
      <c r="M132" s="1028">
        <f ca="1">+DATOSAÑO!AK129</f>
        <v>12.5</v>
      </c>
      <c r="N132" s="1028">
        <f ca="1">+DATOSAÑO!AH129</f>
        <v>9.2000000000043656</v>
      </c>
      <c r="O132" s="1028">
        <f ca="1">DATOSAÑO!AL129</f>
        <v>33.81999999996691</v>
      </c>
      <c r="P132" s="1029" t="e">
        <f>+(DATOSAÑO!#REF!)+DATOSAÑO!#REF!</f>
        <v>#REF!</v>
      </c>
      <c r="Q132" s="1028">
        <f ca="1">+DATOSAÑO!BH129</f>
        <v>4.6929999999993015</v>
      </c>
      <c r="R132" s="1114">
        <f ca="1">DATOSAÑO!BJ129+DATOSAÑO!BM129+DATOSAÑO!BP129+DATOSAÑO!BW129+DATOSAÑO!CC129</f>
        <v>23.261500000017747</v>
      </c>
    </row>
    <row r="133" spans="2:18" ht="15" thickBot="1">
      <c r="B133" s="410">
        <v>45046</v>
      </c>
      <c r="C133" s="1028">
        <f ca="1">DATOSAÑO!AJ130</f>
        <v>6.6999999999970896</v>
      </c>
      <c r="D133" s="1028">
        <f ca="1">DATOSAÑO!AK130</f>
        <v>12.429999999993015</v>
      </c>
      <c r="E133" s="1028">
        <f ca="1">DATOSAÑO!AD130</f>
        <v>163.19999999995343</v>
      </c>
      <c r="F133" s="1028">
        <v>0</v>
      </c>
      <c r="G133" s="1028">
        <v>0</v>
      </c>
      <c r="H133" s="1028">
        <f ca="1">DATOSAÑO!AI130</f>
        <v>38.279999999998836</v>
      </c>
      <c r="I133" s="1028">
        <f ca="1">DATOSAÑO!CA130</f>
        <v>3.2564999999833413</v>
      </c>
      <c r="J133" s="1028">
        <v>0</v>
      </c>
      <c r="K133" s="1028">
        <f ca="1">DATOSAÑO!AF130</f>
        <v>152.64000000001397</v>
      </c>
      <c r="L133" s="1028">
        <f ca="1">+DATOSAÑO!CB130</f>
        <v>1.6049999999997817</v>
      </c>
      <c r="M133" s="1028">
        <f ca="1">+DATOSAÑO!AK130</f>
        <v>12.429999999993015</v>
      </c>
      <c r="N133" s="1028">
        <f ca="1">+DATOSAÑO!AH130</f>
        <v>13.19999999999709</v>
      </c>
      <c r="O133" s="1028">
        <f ca="1">DATOSAÑO!AL130</f>
        <v>33.280000000071539</v>
      </c>
      <c r="P133" s="1029" t="e">
        <f>+(DATOSAÑO!#REF!)+DATOSAÑO!#REF!</f>
        <v>#REF!</v>
      </c>
      <c r="Q133" s="1028">
        <f ca="1">+DATOSAÑO!BH130</f>
        <v>4.7000000000043656</v>
      </c>
      <c r="R133" s="1114">
        <f ca="1">DATOSAÑO!BJ130+DATOSAÑO!BM130+DATOSAÑO!BP130+DATOSAÑO!BW130+DATOSAÑO!CC130</f>
        <v>22.39849999998254</v>
      </c>
    </row>
    <row r="134" spans="2:18" ht="15" thickBot="1">
      <c r="B134" s="1308" t="s">
        <v>1114</v>
      </c>
      <c r="C134" s="1307">
        <f ca="1">SUM(C104:C133)</f>
        <v>211.93000000000757</v>
      </c>
      <c r="D134" s="1054">
        <f ca="1">SUM(D104:D133)</f>
        <v>421.5</v>
      </c>
      <c r="E134" s="1054">
        <f t="shared" ref="E134:R134" ca="1" si="3">SUM(E104:E133)</f>
        <v>4906.9500000000698</v>
      </c>
      <c r="F134" s="1054">
        <f t="shared" si="3"/>
        <v>0</v>
      </c>
      <c r="G134" s="1054">
        <f t="shared" si="3"/>
        <v>0</v>
      </c>
      <c r="H134" s="1054">
        <f t="shared" ca="1" si="3"/>
        <v>1161.3899999999994</v>
      </c>
      <c r="I134" s="1054">
        <f t="shared" ca="1" si="3"/>
        <v>125.61224999998382</v>
      </c>
      <c r="J134" s="1054">
        <f t="shared" si="3"/>
        <v>0</v>
      </c>
      <c r="K134" s="1054">
        <f t="shared" ca="1" si="3"/>
        <v>4297.2000000000116</v>
      </c>
      <c r="L134" s="1054">
        <f t="shared" ca="1" si="3"/>
        <v>58.854600000000026</v>
      </c>
      <c r="M134" s="1054">
        <f t="shared" ca="1" si="3"/>
        <v>421.5</v>
      </c>
      <c r="N134" s="1054">
        <f t="shared" ca="1" si="3"/>
        <v>314.19999999999891</v>
      </c>
      <c r="O134" s="1054">
        <f t="shared" ca="1" si="3"/>
        <v>1024.5729999999701</v>
      </c>
      <c r="P134" s="1054" t="e">
        <f t="shared" si="3"/>
        <v>#REF!</v>
      </c>
      <c r="Q134" s="1115">
        <f t="shared" ca="1" si="3"/>
        <v>140.40000000000146</v>
      </c>
      <c r="R134" s="1115">
        <f t="shared" ca="1" si="3"/>
        <v>632.73314999998411</v>
      </c>
    </row>
    <row r="135" spans="2:18">
      <c r="B135" s="410">
        <v>45047</v>
      </c>
      <c r="C135" s="1028">
        <f ca="1">DATOSAÑO!AJ131</f>
        <v>8.1699999999982538</v>
      </c>
      <c r="D135" s="1028">
        <f ca="1">DATOSAÑO!AK131</f>
        <v>13.619999999995343</v>
      </c>
      <c r="E135" s="1028">
        <f ca="1">DATOSAÑO!AD131</f>
        <v>163.69999999999982</v>
      </c>
      <c r="F135" s="1028">
        <v>0</v>
      </c>
      <c r="G135" s="1028">
        <v>0</v>
      </c>
      <c r="H135" s="1028">
        <f ca="1">DATOSAÑO!AI131</f>
        <v>38.180000000007567</v>
      </c>
      <c r="I135" s="1028">
        <f ca="1">DATOSAÑO!CA131</f>
        <v>3.5649999999999387</v>
      </c>
      <c r="J135" s="1028">
        <v>0</v>
      </c>
      <c r="K135" s="1028">
        <f ca="1">DATOSAÑO!AF131</f>
        <v>153.05999999999767</v>
      </c>
      <c r="L135" s="1028">
        <f ca="1">+DATOSAÑO!CB131</f>
        <v>1.9188000000000764</v>
      </c>
      <c r="M135" s="1028">
        <f ca="1">+DATOSAÑO!AK131</f>
        <v>13.619999999995343</v>
      </c>
      <c r="N135" s="1028">
        <f ca="1">+DATOSAÑO!AH131</f>
        <v>12.900000000001455</v>
      </c>
      <c r="O135" s="1028">
        <f ca="1">DATOSAÑO!AL131</f>
        <v>34.080000000020846</v>
      </c>
      <c r="P135" s="1029" t="e">
        <f>+(DATOSAÑO!#REF!)+DATOSAÑO!#REF!</f>
        <v>#REF!</v>
      </c>
      <c r="Q135" s="1028">
        <f ca="1">+DATOSAÑO!BH131</f>
        <v>5.0999999999985448</v>
      </c>
      <c r="R135" s="1114">
        <f ca="1">DATOSAÑO!BJ131+DATOSAÑO!BM131+DATOSAÑO!BP131+DATOSAÑO!BW131+DATOSAÑO!CC131</f>
        <v>23.056200000000864</v>
      </c>
    </row>
    <row r="136" spans="2:18">
      <c r="B136" s="410">
        <v>45048</v>
      </c>
      <c r="C136" s="1028">
        <f ca="1">DATOSAÑO!AJ132</f>
        <v>7.1000000000058208</v>
      </c>
      <c r="D136" s="1028">
        <f ca="1">DATOSAÑO!AK132</f>
        <v>14.880000000004657</v>
      </c>
      <c r="E136" s="1028">
        <f ca="1">DATOSAÑO!AD132</f>
        <v>167.59999999999991</v>
      </c>
      <c r="F136" s="1055">
        <v>0</v>
      </c>
      <c r="G136" s="1055">
        <v>0</v>
      </c>
      <c r="H136" s="1028">
        <f ca="1">DATOSAÑO!AI132</f>
        <v>38.529999999998836</v>
      </c>
      <c r="I136" s="1028">
        <f ca="1">DATOSAÑO!CA132</f>
        <v>3.7405000000171569</v>
      </c>
      <c r="J136" s="1055">
        <v>0</v>
      </c>
      <c r="K136" s="1028">
        <f ca="1">DATOSAÑO!AF132</f>
        <v>153.73999999999069</v>
      </c>
      <c r="L136" s="1028">
        <f ca="1">+DATOSAÑO!CB132</f>
        <v>1.8683999999999343</v>
      </c>
      <c r="M136" s="1028">
        <f ca="1">+DATOSAÑO!AK132</f>
        <v>14.880000000004657</v>
      </c>
      <c r="N136" s="1028">
        <f ca="1">+DATOSAÑO!AH132</f>
        <v>14.30000000000291</v>
      </c>
      <c r="O136" s="1028">
        <f ca="1">DATOSAÑO!AL132</f>
        <v>36.068999999917196</v>
      </c>
      <c r="P136" s="1029" t="e">
        <f>+(DATOSAÑO!#REF!)+DATOSAÑO!#REF!</f>
        <v>#REF!</v>
      </c>
      <c r="Q136" s="1028">
        <f ca="1">+DATOSAÑO!BH132</f>
        <v>4.9000000000014552</v>
      </c>
      <c r="R136" s="1114">
        <f ca="1">DATOSAÑO!BJ132+DATOSAÑO!BM132+DATOSAÑO!BP132+DATOSAÑO!BW132+DATOSAÑO!CC132</f>
        <v>23.25110000001624</v>
      </c>
    </row>
    <row r="137" spans="2:18">
      <c r="B137" s="410">
        <v>45049</v>
      </c>
      <c r="C137" s="1028">
        <f ca="1">DATOSAÑO!AJ133</f>
        <v>4.1999999999970896</v>
      </c>
      <c r="D137" s="1028">
        <f ca="1">DATOSAÑO!AK133</f>
        <v>13.399999999994179</v>
      </c>
      <c r="E137" s="1028">
        <f ca="1">DATOSAÑO!AD133</f>
        <v>155</v>
      </c>
      <c r="F137" s="1028">
        <v>0</v>
      </c>
      <c r="G137" s="1028">
        <v>0</v>
      </c>
      <c r="H137" s="1028">
        <f ca="1">DATOSAÑO!AI133</f>
        <v>38.5</v>
      </c>
      <c r="I137" s="1028">
        <f ca="1">DATOSAÑO!CA133</f>
        <v>3.9579999999999567</v>
      </c>
      <c r="J137" s="1028">
        <v>0</v>
      </c>
      <c r="K137" s="1028">
        <f ca="1">DATOSAÑO!AF133</f>
        <v>152</v>
      </c>
      <c r="L137" s="1028">
        <f ca="1">+DATOSAÑO!CB133</f>
        <v>2.0130000000000545</v>
      </c>
      <c r="M137" s="1028">
        <f ca="1">+DATOSAÑO!AK133</f>
        <v>13.399999999994179</v>
      </c>
      <c r="N137" s="1028">
        <f ca="1">+DATOSAÑO!AH133</f>
        <v>6.1999999999989086</v>
      </c>
      <c r="O137" s="1028">
        <f ca="1">DATOSAÑO!AL133</f>
        <v>33.000000000009095</v>
      </c>
      <c r="P137" s="1029" t="e">
        <f>+(DATOSAÑO!#REF!)+DATOSAÑO!#REF!</f>
        <v>#REF!</v>
      </c>
      <c r="Q137" s="1028">
        <f ca="1">+DATOSAÑO!BH133</f>
        <v>5.2999999999956344</v>
      </c>
      <c r="R137" s="1114">
        <f ca="1">DATOSAÑO!BJ133+DATOSAÑO!BM133+DATOSAÑO!BP133+DATOSAÑO!BW133+DATOSAÑO!CC133</f>
        <v>23.72900000000072</v>
      </c>
    </row>
    <row r="138" spans="2:18">
      <c r="B138" s="410">
        <v>45050</v>
      </c>
      <c r="C138" s="1028">
        <f ca="1">DATOSAÑO!AJ134</f>
        <v>4.8000000000029104</v>
      </c>
      <c r="D138" s="1028">
        <f ca="1">DATOSAÑO!AK134</f>
        <v>12.700000000011642</v>
      </c>
      <c r="E138" s="1028">
        <f ca="1">DATOSAÑO!AD134</f>
        <v>165.40000000000009</v>
      </c>
      <c r="F138" s="1028">
        <v>0</v>
      </c>
      <c r="G138" s="1028">
        <v>0</v>
      </c>
      <c r="H138" s="1028">
        <f ca="1">DATOSAÑO!AI134</f>
        <v>38.599999999991269</v>
      </c>
      <c r="I138" s="1028">
        <f ca="1">DATOSAÑO!CA134</f>
        <v>2.975999999999507</v>
      </c>
      <c r="J138" s="1028">
        <v>0</v>
      </c>
      <c r="K138" s="1028">
        <f ca="1">DATOSAÑO!AF134</f>
        <v>154</v>
      </c>
      <c r="L138" s="1028">
        <f ca="1">+DATOSAÑO!CB134</f>
        <v>2.3183999999999445</v>
      </c>
      <c r="M138" s="1028">
        <f ca="1">+DATOSAÑO!AK134</f>
        <v>12.700000000011642</v>
      </c>
      <c r="N138" s="1028">
        <f ca="1">+DATOSAÑO!AH134</f>
        <v>7.2999999999956344</v>
      </c>
      <c r="O138" s="1028">
        <f ca="1">DATOSAÑO!AL134</f>
        <v>34.099999999999966</v>
      </c>
      <c r="P138" s="1029" t="e">
        <f>+(DATOSAÑO!#REF!)+DATOSAÑO!#REF!</f>
        <v>#REF!</v>
      </c>
      <c r="Q138" s="1028">
        <f ca="1">+DATOSAÑO!BH134</f>
        <v>5.4000000000014552</v>
      </c>
      <c r="R138" s="1114">
        <f ca="1">DATOSAÑO!BJ134+DATOSAÑO!BM134+DATOSAÑO!BP134+DATOSAÑO!BW134+DATOSAÑO!CC134</f>
        <v>22.805599999999107</v>
      </c>
    </row>
    <row r="139" spans="2:18">
      <c r="B139" s="410">
        <v>45051</v>
      </c>
      <c r="C139" s="1028">
        <f ca="1">DATOSAÑO!AJ135</f>
        <v>8.0999999999912689</v>
      </c>
      <c r="D139" s="1028">
        <f ca="1">DATOSAÑO!AK135</f>
        <v>15.099999999976717</v>
      </c>
      <c r="E139" s="1028">
        <f ca="1">DATOSAÑO!AD135</f>
        <v>164</v>
      </c>
      <c r="F139" s="1028">
        <v>0</v>
      </c>
      <c r="G139" s="1028">
        <v>0</v>
      </c>
      <c r="H139" s="1028">
        <f ca="1">DATOSAÑO!AI135</f>
        <v>38.80000000000291</v>
      </c>
      <c r="I139" s="1028">
        <f ca="1">DATOSAÑO!CA135</f>
        <v>3.4119999999998223</v>
      </c>
      <c r="J139" s="1028">
        <v>0</v>
      </c>
      <c r="K139" s="1028">
        <f ca="1">DATOSAÑO!AF135</f>
        <v>152</v>
      </c>
      <c r="L139" s="1028">
        <f ca="1">+DATOSAÑO!CB135</f>
        <v>2.1366000000002181</v>
      </c>
      <c r="M139" s="1028">
        <f ca="1">+DATOSAÑO!AK135</f>
        <v>15.099999999976717</v>
      </c>
      <c r="N139" s="1028">
        <f ca="1">+DATOSAÑO!AH135</f>
        <v>20.100000000005821</v>
      </c>
      <c r="O139" s="1028">
        <f ca="1">DATOSAÑO!AL135</f>
        <v>34.90000000002334</v>
      </c>
      <c r="P139" s="1029" t="e">
        <f>+(DATOSAÑO!#REF!)+DATOSAÑO!#REF!</f>
        <v>#REF!</v>
      </c>
      <c r="Q139" s="1028">
        <f ca="1">+DATOSAÑO!BH135</f>
        <v>5</v>
      </c>
      <c r="R139" s="1114">
        <f ca="1">DATOSAÑO!BJ135+DATOSAÑO!BM135+DATOSAÑO!BP135+DATOSAÑO!BW135+DATOSAÑO!CC135</f>
        <v>23.451399999999968</v>
      </c>
    </row>
    <row r="140" spans="2:18">
      <c r="B140" s="410">
        <v>45052</v>
      </c>
      <c r="C140" s="1028">
        <f ca="1">DATOSAÑO!AJ136</f>
        <v>7.8000000000029104</v>
      </c>
      <c r="D140" s="1028">
        <f ca="1">DATOSAÑO!AK136</f>
        <v>13.5</v>
      </c>
      <c r="E140" s="1028">
        <f ca="1">DATOSAÑO!AD136</f>
        <v>165</v>
      </c>
      <c r="F140" s="1028">
        <v>0</v>
      </c>
      <c r="G140" s="1028">
        <v>0</v>
      </c>
      <c r="H140" s="1028">
        <f ca="1">DATOSAÑO!AI136</f>
        <v>40.5</v>
      </c>
      <c r="I140" s="1028">
        <f ca="1">DATOSAÑO!CA136</f>
        <v>3.5239999999999965</v>
      </c>
      <c r="J140" s="1028">
        <v>0</v>
      </c>
      <c r="K140" s="1028">
        <f ca="1">DATOSAÑO!AF136</f>
        <v>152</v>
      </c>
      <c r="L140" s="1028">
        <f ca="1">+DATOSAÑO!CB136</f>
        <v>1.8540000000002184</v>
      </c>
      <c r="M140" s="1028">
        <f ca="1">+DATOSAÑO!AK136</f>
        <v>13.5</v>
      </c>
      <c r="N140" s="1028">
        <f ca="1">+DATOSAÑO!AH136</f>
        <v>12.19999999999709</v>
      </c>
      <c r="O140" s="1028">
        <f ca="1">DATOSAÑO!AL136</f>
        <v>34</v>
      </c>
      <c r="P140" s="1029" t="e">
        <f>+(DATOSAÑO!#REF!)+DATOSAÑO!#REF!</f>
        <v>#REF!</v>
      </c>
      <c r="Q140" s="1028">
        <f ca="1">+DATOSAÑO!BH136</f>
        <v>5</v>
      </c>
      <c r="R140" s="1114">
        <f ca="1">DATOSAÑO!BJ136+DATOSAÑO!BM136+DATOSAÑO!BP136+DATOSAÑO!BW136+DATOSAÑO!CC136</f>
        <v>23.62199999999978</v>
      </c>
    </row>
    <row r="141" spans="2:18">
      <c r="B141" s="410">
        <v>45053</v>
      </c>
      <c r="C141" s="1028">
        <f ca="1">DATOSAÑO!AJ137</f>
        <v>7.3000000000029104</v>
      </c>
      <c r="D141" s="1028">
        <f ca="1">DATOSAÑO!AK137</f>
        <v>12.5</v>
      </c>
      <c r="E141" s="1028">
        <f ca="1">DATOSAÑO!AD137</f>
        <v>168</v>
      </c>
      <c r="F141" s="1028">
        <v>0</v>
      </c>
      <c r="G141" s="1028">
        <v>0</v>
      </c>
      <c r="H141" s="1028">
        <f ca="1">DATOSAÑO!AI137</f>
        <v>40.30000000000291</v>
      </c>
      <c r="I141" s="1028">
        <f ca="1">DATOSAÑO!CA137</f>
        <v>4.5739999999994616</v>
      </c>
      <c r="J141" s="1028">
        <v>0</v>
      </c>
      <c r="K141" s="1028">
        <f ca="1">DATOSAÑO!AF137</f>
        <v>152</v>
      </c>
      <c r="L141" s="1028">
        <f ca="1">+DATOSAÑO!CB137</f>
        <v>1.5036</v>
      </c>
      <c r="M141" s="1028">
        <f ca="1">+DATOSAÑO!AK137</f>
        <v>12.5</v>
      </c>
      <c r="N141" s="1028">
        <f ca="1">+DATOSAÑO!AH137</f>
        <v>7.4000000000014552</v>
      </c>
      <c r="O141" s="1028">
        <f ca="1">DATOSAÑO!AL137</f>
        <v>32.499999999992781</v>
      </c>
      <c r="P141" s="1029" t="e">
        <f>+(DATOSAÑO!#REF!)+DATOSAÑO!#REF!</f>
        <v>#REF!</v>
      </c>
      <c r="Q141" s="1028">
        <f ca="1">+DATOSAÑO!BH137</f>
        <v>5</v>
      </c>
      <c r="R141" s="1114">
        <f ca="1">DATOSAÑO!BJ137+DATOSAÑO!BM137+DATOSAÑO!BP137+DATOSAÑO!BW137+DATOSAÑO!CC137</f>
        <v>23.922400000000554</v>
      </c>
    </row>
    <row r="142" spans="2:18">
      <c r="B142" s="410">
        <v>45054</v>
      </c>
      <c r="C142" s="1028">
        <f ca="1">DATOSAÑO!AJ138</f>
        <v>6.5999999999912689</v>
      </c>
      <c r="D142" s="1028">
        <f ca="1">DATOSAÑO!AK138</f>
        <v>13.400000000023283</v>
      </c>
      <c r="E142" s="1028">
        <f ca="1">DATOSAÑO!AD138</f>
        <v>156</v>
      </c>
      <c r="F142" s="1028">
        <v>0</v>
      </c>
      <c r="G142" s="1028">
        <v>0</v>
      </c>
      <c r="H142" s="1028">
        <f ca="1">DATOSAÑO!AI138</f>
        <v>38.600000000005821</v>
      </c>
      <c r="I142" s="1028">
        <f ca="1">DATOSAÑO!CA138</f>
        <v>3.2680000000005456</v>
      </c>
      <c r="J142" s="1028">
        <v>0</v>
      </c>
      <c r="K142" s="1028">
        <f ca="1">DATOSAÑO!AF138</f>
        <v>152</v>
      </c>
      <c r="L142" s="1028">
        <f ca="1">+DATOSAÑO!CB138</f>
        <v>1.9595999999995635</v>
      </c>
      <c r="M142" s="1028">
        <f ca="1">+DATOSAÑO!AK138</f>
        <v>13.400000000023283</v>
      </c>
      <c r="N142" s="1028">
        <f ca="1">+DATOSAÑO!AH138</f>
        <v>12</v>
      </c>
      <c r="O142" s="1028">
        <f ca="1">DATOSAÑO!AL138</f>
        <v>34.094999999979848</v>
      </c>
      <c r="P142" s="1029" t="e">
        <f>+(DATOSAÑO!#REF!)+DATOSAÑO!#REF!</f>
        <v>#REF!</v>
      </c>
      <c r="Q142" s="1028">
        <f ca="1">+DATOSAÑO!BH138</f>
        <v>6</v>
      </c>
      <c r="R142" s="1114">
        <f ca="1">DATOSAÑO!BJ138+DATOSAÑO!BM138+DATOSAÑO!BP138+DATOSAÑO!BW138+DATOSAÑO!CC138</f>
        <v>22.772399999999891</v>
      </c>
    </row>
    <row r="143" spans="2:18">
      <c r="B143" s="410">
        <v>45055</v>
      </c>
      <c r="C143" s="1028">
        <f ca="1">DATOSAÑO!AJ139</f>
        <v>5.3000000000029104</v>
      </c>
      <c r="D143" s="1028">
        <f ca="1">DATOSAÑO!AK139</f>
        <v>12.099999999976717</v>
      </c>
      <c r="E143" s="1028">
        <f ca="1">DATOSAÑO!AD139</f>
        <v>167.80000000000018</v>
      </c>
      <c r="F143" s="1028">
        <v>0</v>
      </c>
      <c r="G143" s="1028">
        <v>0</v>
      </c>
      <c r="H143" s="1028">
        <f ca="1">DATOSAÑO!AI139</f>
        <v>38.19999999999709</v>
      </c>
      <c r="I143" s="1028">
        <f ca="1">DATOSAÑO!CA139</f>
        <v>5.3179999999878511</v>
      </c>
      <c r="J143" s="1028">
        <v>0</v>
      </c>
      <c r="K143" s="1028">
        <f ca="1">DATOSAÑO!AF139</f>
        <v>152.20000000001164</v>
      </c>
      <c r="L143" s="1028">
        <f ca="1">+DATOSAÑO!CB139</f>
        <v>1.9500000000001636</v>
      </c>
      <c r="M143" s="1028">
        <f ca="1">+DATOSAÑO!AK139</f>
        <v>12.099999999976717</v>
      </c>
      <c r="N143" s="1028">
        <f ca="1">+DATOSAÑO!AH139</f>
        <v>5.5</v>
      </c>
      <c r="O143" s="1028">
        <f ca="1">DATOSAÑO!AL139</f>
        <v>36.400000000084219</v>
      </c>
      <c r="P143" s="1029" t="e">
        <f>+(DATOSAÑO!#REF!)+DATOSAÑO!#REF!</f>
        <v>#REF!</v>
      </c>
      <c r="Q143" s="1028">
        <f ca="1">+DATOSAÑO!BH139</f>
        <v>5</v>
      </c>
      <c r="R143" s="1114">
        <f ca="1">DATOSAÑO!BJ139+DATOSAÑO!BM139+DATOSAÑO!BP139+DATOSAÑO!BW139+DATOSAÑO!CC139</f>
        <v>23.431999999987234</v>
      </c>
    </row>
    <row r="144" spans="2:18">
      <c r="B144" s="410">
        <v>45056</v>
      </c>
      <c r="C144" s="1028">
        <f ca="1">DATOSAÑO!AJ140</f>
        <v>5.1999999999970896</v>
      </c>
      <c r="D144" s="1028">
        <f ca="1">DATOSAÑO!AK140</f>
        <v>10.800000000017462</v>
      </c>
      <c r="E144" s="1028">
        <f ca="1">DATOSAÑO!AD140</f>
        <v>165.39999999999964</v>
      </c>
      <c r="F144" s="1028">
        <v>0</v>
      </c>
      <c r="G144" s="1028">
        <v>0</v>
      </c>
      <c r="H144" s="1028">
        <f ca="1">DATOSAÑO!AI140</f>
        <v>37.099999999991269</v>
      </c>
      <c r="I144" s="1028">
        <f ca="1">DATOSAÑO!CA140</f>
        <v>4.2977500000184659</v>
      </c>
      <c r="J144" s="1028">
        <v>0</v>
      </c>
      <c r="K144" s="1028">
        <f ca="1">DATOSAÑO!AF140</f>
        <v>147.5</v>
      </c>
      <c r="L144" s="1028">
        <f ca="1">+DATOSAÑO!CB140</f>
        <v>1.9913999999998906</v>
      </c>
      <c r="M144" s="1028">
        <f ca="1">+DATOSAÑO!AK140</f>
        <v>10.800000000017462</v>
      </c>
      <c r="N144" s="1028">
        <f ca="1">+DATOSAÑO!AH140</f>
        <v>12.299999999995634</v>
      </c>
      <c r="O144" s="1028">
        <f ca="1">DATOSAÑO!AL140</f>
        <v>33.499999999939917</v>
      </c>
      <c r="P144" s="1029" t="e">
        <f>+(DATOSAÑO!#REF!)+DATOSAÑO!#REF!</f>
        <v>#REF!</v>
      </c>
      <c r="Q144" s="1028">
        <f ca="1">+DATOSAÑO!BH140</f>
        <v>5</v>
      </c>
      <c r="R144" s="1114">
        <f ca="1">DATOSAÑO!BJ140+DATOSAÑO!BM140+DATOSAÑO!BP140+DATOSAÑO!BW140+DATOSAÑO!CC140</f>
        <v>21.410850000018755</v>
      </c>
    </row>
    <row r="145" spans="2:18">
      <c r="B145" s="410">
        <v>45057</v>
      </c>
      <c r="C145" s="1028">
        <f ca="1">DATOSAÑO!AJ141</f>
        <v>6.1000000000058208</v>
      </c>
      <c r="D145" s="1028">
        <f ca="1">DATOSAÑO!AK141</f>
        <v>13.399999999994179</v>
      </c>
      <c r="E145" s="1028">
        <f ca="1">DATOSAÑO!AD141</f>
        <v>168.40000000000055</v>
      </c>
      <c r="F145" s="1028">
        <v>0</v>
      </c>
      <c r="G145" s="1028">
        <v>0</v>
      </c>
      <c r="H145" s="1028">
        <f ca="1">DATOSAÑO!AI141</f>
        <v>37.900000000008731</v>
      </c>
      <c r="I145" s="1028">
        <f ca="1">DATOSAÑO!CA141</f>
        <v>4.7244999999939052</v>
      </c>
      <c r="J145" s="1028">
        <v>0</v>
      </c>
      <c r="K145" s="1028">
        <f ca="1">DATOSAÑO!AF141</f>
        <v>147.39999999996508</v>
      </c>
      <c r="L145" s="1028">
        <f ca="1">+DATOSAÑO!CB141</f>
        <v>2.0232000000003274</v>
      </c>
      <c r="M145" s="1028">
        <f ca="1">+DATOSAÑO!AK141</f>
        <v>13.399999999994179</v>
      </c>
      <c r="N145" s="1028">
        <f ca="1">+DATOSAÑO!AH141</f>
        <v>17.80000000000291</v>
      </c>
      <c r="O145" s="1028">
        <f ca="1">DATOSAÑO!AL141</f>
        <v>35.100000000010368</v>
      </c>
      <c r="P145" s="1029" t="e">
        <f>+(DATOSAÑO!#REF!)+DATOSAÑO!#REF!</f>
        <v>#REF!</v>
      </c>
      <c r="Q145" s="1028">
        <f ca="1">+DATOSAÑO!BH141</f>
        <v>5</v>
      </c>
      <c r="R145" s="1114">
        <f ca="1">DATOSAÑO!BJ141+DATOSAÑO!BM141+DATOSAÑO!BP141+DATOSAÑO!BW141+DATOSAÑO!CC141</f>
        <v>22.352299999993399</v>
      </c>
    </row>
    <row r="146" spans="2:18">
      <c r="B146" s="410">
        <v>45058</v>
      </c>
      <c r="C146" s="1028">
        <f ca="1">DATOSAÑO!AJ142</f>
        <v>5.8999999999941792</v>
      </c>
      <c r="D146" s="1028">
        <f ca="1">DATOSAÑO!AK142</f>
        <v>12</v>
      </c>
      <c r="E146" s="1028">
        <f ca="1">DATOSAÑO!AD142</f>
        <v>169.39999999999964</v>
      </c>
      <c r="F146" s="1028">
        <v>0</v>
      </c>
      <c r="G146" s="1028">
        <v>0</v>
      </c>
      <c r="H146" s="1028">
        <f ca="1">DATOSAÑO!AI142</f>
        <v>36.899999999994179</v>
      </c>
      <c r="I146" s="1028">
        <f ca="1">DATOSAÑO!CA142</f>
        <v>5.3420000000000014</v>
      </c>
      <c r="J146" s="1028">
        <v>0</v>
      </c>
      <c r="K146" s="1028">
        <f ca="1">DATOSAÑO!AF142</f>
        <v>146.90000000002328</v>
      </c>
      <c r="L146" s="1028">
        <f ca="1">+DATOSAÑO!CB142</f>
        <v>2.0027999999997812</v>
      </c>
      <c r="M146" s="1028">
        <f ca="1">+DATOSAÑO!AK142</f>
        <v>12</v>
      </c>
      <c r="N146" s="1028">
        <f ca="1">+DATOSAÑO!AH142</f>
        <v>10.69999999999709</v>
      </c>
      <c r="O146" s="1028">
        <f ca="1">DATOSAÑO!AL142</f>
        <v>34.099999999989507</v>
      </c>
      <c r="P146" s="1029" t="e">
        <f>+(DATOSAÑO!#REF!)+DATOSAÑO!#REF!</f>
        <v>#REF!</v>
      </c>
      <c r="Q146" s="1028">
        <f ca="1">+DATOSAÑO!BH142</f>
        <v>5</v>
      </c>
      <c r="R146" s="1114">
        <f ca="1">DATOSAÑO!BJ142+DATOSAÑO!BM142+DATOSAÑO!BP142+DATOSAÑO!BW142+DATOSAÑO!CC142</f>
        <v>22.855200000000949</v>
      </c>
    </row>
    <row r="147" spans="2:18">
      <c r="B147" s="410">
        <v>45059</v>
      </c>
      <c r="C147" s="1028">
        <f ca="1">DATOSAÑO!AJ143</f>
        <v>4.7000000000116415</v>
      </c>
      <c r="D147" s="1028">
        <f ca="1">DATOSAÑO!AK143</f>
        <v>9.7999999999883585</v>
      </c>
      <c r="E147" s="1028">
        <f ca="1">DATOSAÑO!AD143</f>
        <v>168</v>
      </c>
      <c r="F147" s="1028">
        <v>0</v>
      </c>
      <c r="G147" s="1028">
        <v>0</v>
      </c>
      <c r="H147" s="1028">
        <f ca="1">DATOSAÑO!AI143</f>
        <v>36.900000000008731</v>
      </c>
      <c r="I147" s="1028">
        <f ca="1">DATOSAÑO!CA143</f>
        <v>4.1319999999992261</v>
      </c>
      <c r="J147" s="1028">
        <v>0</v>
      </c>
      <c r="K147" s="1028">
        <f ca="1">DATOSAÑO!AF143</f>
        <v>148</v>
      </c>
      <c r="L147" s="1028">
        <f ca="1">+DATOSAÑO!CB143</f>
        <v>1.7022000000000548</v>
      </c>
      <c r="M147" s="1028">
        <f ca="1">+DATOSAÑO!AK143</f>
        <v>9.7999999999883585</v>
      </c>
      <c r="N147" s="1028">
        <f ca="1">+DATOSAÑO!AH143</f>
        <v>0</v>
      </c>
      <c r="O147" s="1028">
        <f ca="1">DATOSAÑO!AL143</f>
        <v>35.199999999993452</v>
      </c>
      <c r="P147" s="1029" t="e">
        <f>+(DATOSAÑO!#REF!)+DATOSAÑO!#REF!</f>
        <v>#REF!</v>
      </c>
      <c r="Q147" s="1028">
        <f ca="1">+DATOSAÑO!BH143</f>
        <v>5</v>
      </c>
      <c r="R147" s="1114">
        <f ca="1">DATOSAÑO!BJ143+DATOSAÑO!BM143+DATOSAÑO!BP143+DATOSAÑO!BW143+DATOSAÑO!CC143</f>
        <v>21.565799999998536</v>
      </c>
    </row>
    <row r="148" spans="2:18">
      <c r="B148" s="410">
        <v>45060</v>
      </c>
      <c r="C148" s="1028">
        <f ca="1">DATOSAÑO!AJ144</f>
        <v>3.8999999999941792</v>
      </c>
      <c r="D148" s="1028">
        <f ca="1">DATOSAÑO!AK144</f>
        <v>11.900000000023283</v>
      </c>
      <c r="E148" s="1028">
        <f ca="1">DATOSAÑO!AD144</f>
        <v>156</v>
      </c>
      <c r="F148" s="1028">
        <v>0</v>
      </c>
      <c r="G148" s="1028">
        <v>0</v>
      </c>
      <c r="H148" s="1028">
        <f ca="1">DATOSAÑO!AI144</f>
        <v>35.899999999994179</v>
      </c>
      <c r="I148" s="1028">
        <f ca="1">DATOSAÑO!CA144</f>
        <v>4.333499999999999</v>
      </c>
      <c r="J148" s="1028">
        <v>0</v>
      </c>
      <c r="K148" s="1028">
        <f ca="1">DATOSAÑO!AF144</f>
        <v>150</v>
      </c>
      <c r="L148" s="1028">
        <f ca="1">+DATOSAÑO!CB144</f>
        <v>1.5498000000002183</v>
      </c>
      <c r="M148" s="1028">
        <f ca="1">+DATOSAÑO!AK144</f>
        <v>11.900000000023283</v>
      </c>
      <c r="N148" s="1028">
        <f ca="1">+DATOSAÑO!AH144</f>
        <v>10.600000000000364</v>
      </c>
      <c r="O148" s="1028">
        <f ca="1">DATOSAÑO!AL144</f>
        <v>31.58099999998791</v>
      </c>
      <c r="P148" s="1029" t="e">
        <f>+(DATOSAÑO!#REF!)+DATOSAÑO!#REF!</f>
        <v>#REF!</v>
      </c>
      <c r="Q148" s="1028">
        <f ca="1">+DATOSAÑO!BH144</f>
        <v>5</v>
      </c>
      <c r="R148" s="1114">
        <f ca="1">DATOSAÑO!BJ144+DATOSAÑO!BM144+DATOSAÑO!BP144+DATOSAÑO!BW144+DATOSAÑO!CC144</f>
        <v>22.116699999999781</v>
      </c>
    </row>
    <row r="149" spans="2:18">
      <c r="B149" s="410">
        <v>45061</v>
      </c>
      <c r="C149" s="1028">
        <f ca="1">DATOSAÑO!AJ145</f>
        <v>5.5</v>
      </c>
      <c r="D149" s="1028">
        <f ca="1">DATOSAÑO!AK145</f>
        <v>13.799999999988358</v>
      </c>
      <c r="E149" s="1028">
        <f ca="1">DATOSAÑO!AD145</f>
        <v>163</v>
      </c>
      <c r="F149" s="1028">
        <v>0</v>
      </c>
      <c r="G149" s="1028">
        <v>0</v>
      </c>
      <c r="H149" s="1028">
        <f ca="1">DATOSAÑO!AI145</f>
        <v>34.899999999994179</v>
      </c>
      <c r="I149" s="1028">
        <f ca="1">DATOSAÑO!CA145</f>
        <v>4.3690000000009546</v>
      </c>
      <c r="J149" s="1028">
        <v>0</v>
      </c>
      <c r="K149" s="1028">
        <f ca="1">DATOSAÑO!AF145</f>
        <v>146</v>
      </c>
      <c r="L149" s="1028">
        <f ca="1">+DATOSAÑO!CB145</f>
        <v>2.2667999999999453</v>
      </c>
      <c r="M149" s="1028">
        <f ca="1">+DATOSAÑO!AK145</f>
        <v>13.799999999988358</v>
      </c>
      <c r="N149" s="1028">
        <f ca="1">+DATOSAÑO!AH145</f>
        <v>21.100000000005821</v>
      </c>
      <c r="O149" s="1028">
        <f ca="1">DATOSAÑO!AL145</f>
        <v>35.900000000008731</v>
      </c>
      <c r="P149" s="1029" t="e">
        <f>+(DATOSAÑO!#REF!)+DATOSAÑO!#REF!</f>
        <v>#REF!</v>
      </c>
      <c r="Q149" s="1028">
        <f ca="1">+DATOSAÑO!BH145</f>
        <v>5</v>
      </c>
      <c r="R149" s="1114">
        <f ca="1">DATOSAÑO!BJ145+DATOSAÑO!BM145+DATOSAÑO!BP145+DATOSAÑO!BW145+DATOSAÑO!CC145</f>
        <v>21.164200000002012</v>
      </c>
    </row>
    <row r="150" spans="2:18">
      <c r="B150" s="410">
        <v>45062</v>
      </c>
      <c r="C150" s="1028">
        <f ca="1">DATOSAÑO!AJ146</f>
        <v>6.6999999999970896</v>
      </c>
      <c r="D150" s="1028">
        <f ca="1">DATOSAÑO!AK146</f>
        <v>12.299999999988358</v>
      </c>
      <c r="E150" s="1028">
        <f ca="1">DATOSAÑO!AD146</f>
        <v>166</v>
      </c>
      <c r="F150" s="1028">
        <v>0</v>
      </c>
      <c r="G150" s="1028">
        <v>0</v>
      </c>
      <c r="H150" s="1028">
        <f ca="1">DATOSAÑO!AI146</f>
        <v>35.100000000005821</v>
      </c>
      <c r="I150" s="1028">
        <f ca="1">DATOSAÑO!CA146</f>
        <v>4.1434999999988582</v>
      </c>
      <c r="J150" s="1028">
        <v>0</v>
      </c>
      <c r="K150" s="1028">
        <f ca="1">DATOSAÑO!AF146</f>
        <v>147</v>
      </c>
      <c r="L150" s="1028">
        <f ca="1">+DATOSAÑO!CB146</f>
        <v>2.4041999999998405</v>
      </c>
      <c r="M150" s="1028">
        <f ca="1">+DATOSAÑO!AK146</f>
        <v>12.299999999988358</v>
      </c>
      <c r="N150" s="1028">
        <f ca="1">+DATOSAÑO!AH146</f>
        <v>6.5</v>
      </c>
      <c r="O150" s="1028">
        <f ca="1">DATOSAÑO!AL146</f>
        <v>33.888000000011459</v>
      </c>
      <c r="P150" s="1029" t="e">
        <f>+(DATOSAÑO!#REF!)+DATOSAÑO!#REF!</f>
        <v>#REF!</v>
      </c>
      <c r="Q150" s="1028">
        <f ca="1">+DATOSAÑO!BH146</f>
        <v>5</v>
      </c>
      <c r="R150" s="1114">
        <f ca="1">DATOSAÑO!BJ146+DATOSAÑO!BM146+DATOSAÑO!BP146+DATOSAÑO!BW146+DATOSAÑO!CC146</f>
        <v>22.652299999998391</v>
      </c>
    </row>
    <row r="151" spans="2:18">
      <c r="B151" s="410">
        <v>45063</v>
      </c>
      <c r="C151" s="1028">
        <f ca="1">DATOSAÑO!AJ147</f>
        <v>5.3700000000098953</v>
      </c>
      <c r="D151" s="1028">
        <f ca="1">DATOSAÑO!AK147</f>
        <v>13.220000000001164</v>
      </c>
      <c r="E151" s="1028">
        <f ca="1">DATOSAÑO!AD147</f>
        <v>165.77000000000044</v>
      </c>
      <c r="F151" s="1028">
        <v>0</v>
      </c>
      <c r="G151" s="1028">
        <v>0</v>
      </c>
      <c r="H151" s="1028">
        <f ca="1">DATOSAÑO!AI147</f>
        <v>35.600000000005821</v>
      </c>
      <c r="I151" s="1028">
        <f ca="1">DATOSAÑO!CA147</f>
        <v>4.1469999999886333</v>
      </c>
      <c r="J151" s="1028">
        <v>0</v>
      </c>
      <c r="K151" s="1028">
        <f ca="1">DATOSAÑO!AF147</f>
        <v>146.95000000001164</v>
      </c>
      <c r="L151" s="1028">
        <f ca="1">+DATOSAÑO!CB147</f>
        <v>2.0075999999998446</v>
      </c>
      <c r="M151" s="1028">
        <f ca="1">+DATOSAÑO!AK147</f>
        <v>13.220000000001164</v>
      </c>
      <c r="N151" s="1028">
        <f ca="1">+DATOSAÑO!AH147</f>
        <v>10</v>
      </c>
      <c r="O151" s="1028">
        <f ca="1">DATOSAÑO!AL147</f>
        <v>34.679999999982158</v>
      </c>
      <c r="P151" s="1029" t="e">
        <f>+(DATOSAÑO!#REF!)+DATOSAÑO!#REF!</f>
        <v>#REF!</v>
      </c>
      <c r="Q151" s="1028">
        <f ca="1">+DATOSAÑO!BH147</f>
        <v>4.6920000000027358</v>
      </c>
      <c r="R151" s="1114">
        <f ca="1">DATOSAÑO!BJ147+DATOSAÑO!BM147+DATOSAÑO!BP147+DATOSAÑO!BW147+DATOSAÑO!CC147</f>
        <v>21.69539999998824</v>
      </c>
    </row>
    <row r="152" spans="2:18">
      <c r="B152" s="410">
        <v>45064</v>
      </c>
      <c r="C152" s="1028">
        <f ca="1">DATOSAÑO!AJ148</f>
        <v>4.8799999999901047</v>
      </c>
      <c r="D152" s="1028">
        <f ca="1">DATOSAÑO!AK148</f>
        <v>12.550000000017462</v>
      </c>
      <c r="E152" s="1028">
        <f ca="1">DATOSAÑO!AD148</f>
        <v>167.73199999999997</v>
      </c>
      <c r="F152" s="1028">
        <v>0</v>
      </c>
      <c r="G152" s="1028">
        <v>0</v>
      </c>
      <c r="H152" s="1028">
        <f ca="1">DATOSAÑO!AI148</f>
        <v>36.720000000001164</v>
      </c>
      <c r="I152" s="1028">
        <f ca="1">DATOSAÑO!CA148</f>
        <v>3.8754500000297685</v>
      </c>
      <c r="J152" s="1028">
        <v>0</v>
      </c>
      <c r="K152" s="1028">
        <f ca="1">DATOSAÑO!AF148</f>
        <v>150.64999999996508</v>
      </c>
      <c r="L152" s="1028">
        <f ca="1">+DATOSAÑO!CB148</f>
        <v>1.8174000000001975</v>
      </c>
      <c r="M152" s="1028">
        <f ca="1">+DATOSAÑO!AK148</f>
        <v>12.550000000017462</v>
      </c>
      <c r="N152" s="1028">
        <f ca="1">+DATOSAÑO!AH148</f>
        <v>10.399999999994179</v>
      </c>
      <c r="O152" s="1028">
        <f ca="1">DATOSAÑO!AL148</f>
        <v>35.570999999999913</v>
      </c>
      <c r="P152" s="1029" t="e">
        <f>+(DATOSAÑO!#REF!)+DATOSAÑO!#REF!</f>
        <v>#REF!</v>
      </c>
      <c r="Q152" s="1028">
        <f ca="1">+DATOSAÑO!BH148</f>
        <v>5.2379999999975553</v>
      </c>
      <c r="R152" s="1114">
        <f ca="1">DATOSAÑO!BJ148+DATOSAÑO!BM148+DATOSAÑO!BP148+DATOSAÑO!BW148+DATOSAÑO!CC148</f>
        <v>20.957150000029703</v>
      </c>
    </row>
    <row r="153" spans="2:18">
      <c r="B153" s="410">
        <v>45065</v>
      </c>
      <c r="C153" s="1028">
        <f ca="1">DATOSAÑO!AJ149</f>
        <v>6.8700000000098953</v>
      </c>
      <c r="D153" s="1028">
        <f ca="1">DATOSAÑO!AK149</f>
        <v>12.299999999988358</v>
      </c>
      <c r="E153" s="1028">
        <f ca="1">DATOSAÑO!AD149</f>
        <v>165.33799999999974</v>
      </c>
      <c r="F153" s="1028">
        <v>0</v>
      </c>
      <c r="G153" s="1028">
        <v>0</v>
      </c>
      <c r="H153" s="1028">
        <f ca="1">DATOSAÑO!AI149</f>
        <v>34.969999999986612</v>
      </c>
      <c r="I153" s="1028">
        <f ca="1">DATOSAÑO!CA149</f>
        <v>6.6189999999789055</v>
      </c>
      <c r="J153" s="1028">
        <v>0</v>
      </c>
      <c r="K153" s="1028">
        <f ca="1">DATOSAÑO!AF149</f>
        <v>145.50900000002002</v>
      </c>
      <c r="L153" s="1028">
        <f ca="1">+DATOSAÑO!CB149</f>
        <v>0.46979999999959132</v>
      </c>
      <c r="M153" s="1028">
        <f ca="1">+DATOSAÑO!AK149</f>
        <v>12.299999999988358</v>
      </c>
      <c r="N153" s="1028">
        <f ca="1">+DATOSAÑO!AH149</f>
        <v>10.400000000001455</v>
      </c>
      <c r="O153" s="1028">
        <f ca="1">DATOSAÑO!AL149</f>
        <v>34.189999999976976</v>
      </c>
      <c r="P153" s="1029" t="e">
        <f>+(DATOSAÑO!#REF!)+DATOSAÑO!#REF!</f>
        <v>#REF!</v>
      </c>
      <c r="Q153" s="1028">
        <f ca="1">+DATOSAÑO!BH149</f>
        <v>4.9479999999966822</v>
      </c>
      <c r="R153" s="1114">
        <f ca="1">DATOSAÑO!BJ149+DATOSAÑO!BM149+DATOSAÑO!BP149+DATOSAÑO!BW149+DATOSAÑO!CC149</f>
        <v>22.402199999979654</v>
      </c>
    </row>
    <row r="154" spans="2:18">
      <c r="B154" s="410">
        <v>45066</v>
      </c>
      <c r="C154" s="1028">
        <f ca="1">DATOSAÑO!AJ150</f>
        <v>10.369999999995343</v>
      </c>
      <c r="D154" s="1028">
        <f ca="1">DATOSAÑO!AK150</f>
        <v>14.540000000008149</v>
      </c>
      <c r="E154" s="1028">
        <f ca="1">DATOSAÑO!AD150</f>
        <v>173.96000000000004</v>
      </c>
      <c r="F154" s="1028">
        <v>0</v>
      </c>
      <c r="G154" s="1028">
        <v>0</v>
      </c>
      <c r="H154" s="1028">
        <f ca="1">DATOSAÑO!AI150</f>
        <v>34.690000000002328</v>
      </c>
      <c r="I154" s="1028">
        <f ca="1">DATOSAÑO!CA150</f>
        <v>4.943550000010136</v>
      </c>
      <c r="J154" s="1028">
        <v>0</v>
      </c>
      <c r="K154" s="1028">
        <f ca="1">DATOSAÑO!AF150</f>
        <v>150.39100000000326</v>
      </c>
      <c r="L154" s="1028">
        <f ca="1">+DATOSAÑO!CB150</f>
        <v>0.13500000000021828</v>
      </c>
      <c r="M154" s="1028">
        <f ca="1">+DATOSAÑO!AK150</f>
        <v>14.540000000008149</v>
      </c>
      <c r="N154" s="1028">
        <f ca="1">+DATOSAÑO!AH150</f>
        <v>13.30000000000291</v>
      </c>
      <c r="O154" s="1028">
        <f ca="1">DATOSAÑO!AL150</f>
        <v>35.052000000009684</v>
      </c>
      <c r="P154" s="1029" t="e">
        <f>+(DATOSAÑO!#REF!)+DATOSAÑO!#REF!</f>
        <v>#REF!</v>
      </c>
      <c r="Q154" s="1028">
        <f ca="1">+DATOSAÑO!BH150</f>
        <v>5.0140000000028522</v>
      </c>
      <c r="R154" s="1114">
        <f ca="1">DATOSAÑO!BJ150+DATOSAÑO!BM150+DATOSAÑO!BP150+DATOSAÑO!BW150+DATOSAÑO!CC150</f>
        <v>17.930450000009678</v>
      </c>
    </row>
    <row r="155" spans="2:18">
      <c r="B155" s="410">
        <v>45067</v>
      </c>
      <c r="C155" s="1028">
        <f ca="1">DATOSAÑO!AJ151</f>
        <v>8.6499999999941792</v>
      </c>
      <c r="D155" s="1028">
        <f ca="1">DATOSAÑO!AK151</f>
        <v>14.049999999988358</v>
      </c>
      <c r="E155" s="1028">
        <f ca="1">DATOSAÑO!AD151</f>
        <v>177.59999999999945</v>
      </c>
      <c r="F155" s="1028">
        <v>0</v>
      </c>
      <c r="G155" s="1028">
        <v>0</v>
      </c>
      <c r="H155" s="1028">
        <f ca="1">DATOSAÑO!AI151</f>
        <v>34.669999999998254</v>
      </c>
      <c r="I155" s="1028">
        <f ca="1">DATOSAÑO!CA151</f>
        <v>5.2949999999931592</v>
      </c>
      <c r="J155" s="1028">
        <v>0</v>
      </c>
      <c r="K155" s="1028">
        <f ca="1">DATOSAÑO!AF151</f>
        <v>147.09999999997672</v>
      </c>
      <c r="L155" s="1028">
        <f ca="1">+DATOSAÑO!CB151</f>
        <v>0.73679999999983625</v>
      </c>
      <c r="M155" s="1028">
        <f ca="1">+DATOSAÑO!AK151</f>
        <v>14.049999999988358</v>
      </c>
      <c r="N155" s="1028">
        <f ca="1">+DATOSAÑO!AH151</f>
        <v>11</v>
      </c>
      <c r="O155" s="1028">
        <f ca="1">DATOSAÑO!AL151</f>
        <v>31.303000000057239</v>
      </c>
      <c r="P155" s="1029" t="e">
        <f>+(DATOSAÑO!#REF!)+DATOSAÑO!#REF!</f>
        <v>#REF!</v>
      </c>
      <c r="Q155" s="1028">
        <f ca="1">+DATOSAÑO!BH151</f>
        <v>4.6840000000011059</v>
      </c>
      <c r="R155" s="1114">
        <f ca="1">DATOSAÑO!BJ151+DATOSAÑO!BM151+DATOSAÑO!BP151+DATOSAÑO!BW151+DATOSAÑO!CC151</f>
        <v>20.468199999992468</v>
      </c>
    </row>
    <row r="156" spans="2:18">
      <c r="B156" s="410">
        <v>45068</v>
      </c>
      <c r="C156" s="1028">
        <f ca="1">DATOSAÑO!AJ152</f>
        <v>8.6699999999982538</v>
      </c>
      <c r="D156" s="1028">
        <f ca="1">DATOSAÑO!AK152</f>
        <v>13.990000000019791</v>
      </c>
      <c r="E156" s="1028">
        <f ca="1">DATOSAÑO!AD152</f>
        <v>178</v>
      </c>
      <c r="F156" s="1028">
        <v>0</v>
      </c>
      <c r="G156" s="1028">
        <v>0</v>
      </c>
      <c r="H156" s="1028">
        <f ca="1">DATOSAÑO!AI152</f>
        <v>32.389999999999418</v>
      </c>
      <c r="I156" s="1028">
        <f ca="1">DATOSAÑO!CA152</f>
        <v>3.522000000000046</v>
      </c>
      <c r="J156" s="1028">
        <v>0</v>
      </c>
      <c r="K156" s="1028">
        <f ca="1">DATOSAÑO!AF152</f>
        <v>147.20000000001164</v>
      </c>
      <c r="L156" s="1028">
        <f ca="1">+DATOSAÑO!CB152</f>
        <v>0.61320000000016373</v>
      </c>
      <c r="M156" s="1028">
        <f ca="1">+DATOSAÑO!AK152</f>
        <v>13.990000000019791</v>
      </c>
      <c r="N156" s="1028">
        <f ca="1">+DATOSAÑO!AH152</f>
        <v>14.099999999998545</v>
      </c>
      <c r="O156" s="1028">
        <f ca="1">DATOSAÑO!AL152</f>
        <v>40.108000000030813</v>
      </c>
      <c r="P156" s="1029" t="e">
        <f>+(DATOSAÑO!#REF!)+DATOSAÑO!#REF!</f>
        <v>#REF!</v>
      </c>
      <c r="Q156" s="1028">
        <f ca="1">+DATOSAÑO!BH152</f>
        <v>4.6710000000020955</v>
      </c>
      <c r="R156" s="1114">
        <f ca="1">DATOSAÑO!BJ152+DATOSAÑO!BM152+DATOSAÑO!BP152+DATOSAÑO!BW152+DATOSAÑO!CC152</f>
        <v>19.06480000000052</v>
      </c>
    </row>
    <row r="157" spans="2:18">
      <c r="B157" s="410">
        <v>45069</v>
      </c>
      <c r="C157" s="1028">
        <f ca="1">DATOSAÑO!AJ153</f>
        <v>7.9900000000052387</v>
      </c>
      <c r="D157" s="1028">
        <f ca="1">DATOSAÑO!AK153</f>
        <v>12.049999999988358</v>
      </c>
      <c r="E157" s="1028">
        <f ca="1">DATOSAÑO!AD153</f>
        <v>103.10000000000036</v>
      </c>
      <c r="F157" s="1028">
        <v>0</v>
      </c>
      <c r="G157" s="1028">
        <v>0</v>
      </c>
      <c r="H157" s="1028">
        <f ca="1">DATOSAÑO!AI153</f>
        <v>32.760000000009313</v>
      </c>
      <c r="I157" s="1028">
        <f ca="1">DATOSAÑO!CA153</f>
        <v>6.4185000000009964</v>
      </c>
      <c r="J157" s="1028">
        <v>0</v>
      </c>
      <c r="K157" s="1028">
        <f ca="1">DATOSAÑO!AF153</f>
        <v>143.20000000001164</v>
      </c>
      <c r="L157" s="1028">
        <f ca="1">+DATOSAÑO!CB153</f>
        <v>1.8803999999999363</v>
      </c>
      <c r="M157" s="1028">
        <f ca="1">+DATOSAÑO!AK153</f>
        <v>12.049999999988358</v>
      </c>
      <c r="N157" s="1028">
        <f ca="1">+DATOSAÑO!AH153</f>
        <v>9.0999999999985448</v>
      </c>
      <c r="O157" s="1028">
        <f ca="1">DATOSAÑO!AL153</f>
        <v>35.049999999928275</v>
      </c>
      <c r="P157" s="1029" t="e">
        <f>+(DATOSAÑO!#REF!)+DATOSAÑO!#REF!</f>
        <v>#REF!</v>
      </c>
      <c r="Q157" s="1028">
        <f ca="1">+DATOSAÑO!BH153</f>
        <v>5.7529999999969732</v>
      </c>
      <c r="R157" s="1114">
        <f ca="1">DATOSAÑO!BJ153+DATOSAÑO!BM153+DATOSAÑO!BP153+DATOSAÑO!BW153+DATOSAÑO!CC153</f>
        <v>22.601100000000518</v>
      </c>
    </row>
    <row r="158" spans="2:18">
      <c r="B158" s="410">
        <v>45070</v>
      </c>
      <c r="C158" s="1028">
        <f ca="1">DATOSAÑO!AJ154</f>
        <v>5.3000000000029104</v>
      </c>
      <c r="D158" s="1028">
        <f ca="1">DATOSAÑO!AK154</f>
        <v>12</v>
      </c>
      <c r="E158" s="1028">
        <f ca="1">DATOSAÑO!AD154</f>
        <v>0</v>
      </c>
      <c r="F158" s="1028">
        <v>0</v>
      </c>
      <c r="G158" s="1028">
        <v>0</v>
      </c>
      <c r="H158" s="1028">
        <f ca="1">DATOSAÑO!AI154</f>
        <v>34.80000000000291</v>
      </c>
      <c r="I158" s="1028">
        <f ca="1">DATOSAÑO!CA154</f>
        <v>4.891499999998457</v>
      </c>
      <c r="J158" s="1028">
        <v>0</v>
      </c>
      <c r="K158" s="1028">
        <f ca="1">DATOSAÑO!AF154</f>
        <v>134</v>
      </c>
      <c r="L158" s="1028">
        <f ca="1">+DATOSAÑO!CB154</f>
        <v>1.7736000000003274</v>
      </c>
      <c r="M158" s="1028">
        <f ca="1">+DATOSAÑO!AK154</f>
        <v>12</v>
      </c>
      <c r="N158" s="1028">
        <f ca="1">+DATOSAÑO!AH154</f>
        <v>5.2000000000043656</v>
      </c>
      <c r="O158" s="1028">
        <f ca="1">DATOSAÑO!AL154</f>
        <v>31.599999999991297</v>
      </c>
      <c r="P158" s="1029" t="e">
        <f>+(DATOSAÑO!#REF!)+DATOSAÑO!#REF!</f>
        <v>#REF!</v>
      </c>
      <c r="Q158" s="1028">
        <f ca="1">+DATOSAÑO!BH154</f>
        <v>5</v>
      </c>
      <c r="R158" s="1114">
        <f ca="1">DATOSAÑO!BJ154+DATOSAÑO!BM154+DATOSAÑO!BP154+DATOSAÑO!BW154+DATOSAÑO!CC154</f>
        <v>20.434899999999764</v>
      </c>
    </row>
    <row r="159" spans="2:18">
      <c r="B159" s="410">
        <v>45071</v>
      </c>
      <c r="C159" s="1028">
        <f ca="1">DATOSAÑO!AJ155</f>
        <v>6.3000000000029104</v>
      </c>
      <c r="D159" s="1028">
        <f ca="1">DATOSAÑO!AK155</f>
        <v>11</v>
      </c>
      <c r="E159" s="1028">
        <f ca="1">DATOSAÑO!AD155</f>
        <v>0</v>
      </c>
      <c r="F159" s="1028">
        <v>0</v>
      </c>
      <c r="G159" s="1028">
        <v>0</v>
      </c>
      <c r="H159" s="1028">
        <f ca="1">DATOSAÑO!AI155</f>
        <v>36.399999999994179</v>
      </c>
      <c r="I159" s="1028">
        <f ca="1">DATOSAÑO!CA155</f>
        <v>5.2550000000017265</v>
      </c>
      <c r="J159" s="1028">
        <v>0</v>
      </c>
      <c r="K159" s="1028">
        <f ca="1">DATOSAÑO!AF155</f>
        <v>147</v>
      </c>
      <c r="L159" s="1028">
        <f ca="1">+DATOSAÑO!CB155</f>
        <v>2.4953999999996723</v>
      </c>
      <c r="M159" s="1028">
        <f ca="1">+DATOSAÑO!AK155</f>
        <v>11</v>
      </c>
      <c r="N159" s="1028">
        <f ca="1">+DATOSAÑO!AH155</f>
        <v>9.0999999999985448</v>
      </c>
      <c r="O159" s="1028">
        <f ca="1">DATOSAÑO!AL155</f>
        <v>33.600000000002183</v>
      </c>
      <c r="P159" s="1029" t="e">
        <f>+(DATOSAÑO!#REF!)+DATOSAÑO!#REF!</f>
        <v>#REF!</v>
      </c>
      <c r="Q159" s="1028">
        <f ca="1">+DATOSAÑO!BH155</f>
        <v>6</v>
      </c>
      <c r="R159" s="1114">
        <f ca="1">DATOSAÑO!BJ155+DATOSAÑO!BM155+DATOSAÑO!BP155+DATOSAÑO!BW155+DATOSAÑO!CC155</f>
        <v>20.84960000000078</v>
      </c>
    </row>
    <row r="160" spans="2:18">
      <c r="B160" s="410">
        <v>45072</v>
      </c>
      <c r="C160" s="1028">
        <f ca="1">DATOSAÑO!AJ156</f>
        <v>7.6999999999970896</v>
      </c>
      <c r="D160" s="1028">
        <f ca="1">DATOSAÑO!AK156</f>
        <v>12</v>
      </c>
      <c r="E160" s="1028">
        <f ca="1">DATOSAÑO!AD156</f>
        <v>0</v>
      </c>
      <c r="F160" s="1028">
        <v>0</v>
      </c>
      <c r="G160" s="1028">
        <v>0</v>
      </c>
      <c r="H160" s="1028">
        <f ca="1">DATOSAÑO!AI156</f>
        <v>34</v>
      </c>
      <c r="I160" s="1028">
        <f ca="1">DATOSAÑO!CA156</f>
        <v>4.8364999999994547</v>
      </c>
      <c r="J160" s="1028">
        <v>0</v>
      </c>
      <c r="K160" s="1028">
        <f ca="1">DATOSAÑO!AF156</f>
        <v>153</v>
      </c>
      <c r="L160" s="1028">
        <f ca="1">+DATOSAÑO!CB156</f>
        <v>2.5368000000004365</v>
      </c>
      <c r="M160" s="1028">
        <f ca="1">+DATOSAÑO!AK156</f>
        <v>12</v>
      </c>
      <c r="N160" s="1028">
        <f ca="1">+DATOSAÑO!AH156</f>
        <v>16.299999999995634</v>
      </c>
      <c r="O160" s="1028">
        <f ca="1">DATOSAÑO!AL156</f>
        <v>27.500000000007276</v>
      </c>
      <c r="P160" s="1029" t="e">
        <f>+(DATOSAÑO!#REF!)+DATOSAÑO!#REF!</f>
        <v>#REF!</v>
      </c>
      <c r="Q160" s="1028">
        <f ca="1">+DATOSAÑO!BH156</f>
        <v>5</v>
      </c>
      <c r="R160" s="1114">
        <f ca="1">DATOSAÑO!BJ156+DATOSAÑO!BM156+DATOSAÑO!BP156+DATOSAÑO!BW156+DATOSAÑO!CC156</f>
        <v>20.12670000000011</v>
      </c>
    </row>
    <row r="161" spans="2:18">
      <c r="B161" s="410">
        <v>45073</v>
      </c>
      <c r="C161" s="1028">
        <f ca="1">DATOSAÑO!AJ157</f>
        <v>8.3999999999941792</v>
      </c>
      <c r="D161" s="1028">
        <f ca="1">DATOSAÑO!AK157</f>
        <v>9</v>
      </c>
      <c r="E161" s="1028">
        <f ca="1">DATOSAÑO!AD157</f>
        <v>43</v>
      </c>
      <c r="F161" s="1028">
        <v>0</v>
      </c>
      <c r="G161" s="1028">
        <v>0</v>
      </c>
      <c r="H161" s="1028">
        <f ca="1">DATOSAÑO!AI157</f>
        <v>34.19999999999709</v>
      </c>
      <c r="I161" s="1028">
        <f ca="1">DATOSAÑO!CA157</f>
        <v>4.1249999999995977</v>
      </c>
      <c r="J161" s="1028">
        <v>0</v>
      </c>
      <c r="K161" s="1028">
        <f ca="1">DATOSAÑO!AF157</f>
        <v>158</v>
      </c>
      <c r="L161" s="1028">
        <f ca="1">+DATOSAÑO!CB157</f>
        <v>2.8913999999996083</v>
      </c>
      <c r="M161" s="1028">
        <f ca="1">+DATOSAÑO!AK157</f>
        <v>9</v>
      </c>
      <c r="N161" s="1028">
        <f ca="1">+DATOSAÑO!AH157</f>
        <v>9.5</v>
      </c>
      <c r="O161" s="1028">
        <f ca="1">DATOSAÑO!AL157</f>
        <v>32.500000000010914</v>
      </c>
      <c r="P161" s="1029" t="e">
        <f>+(DATOSAÑO!#REF!)+DATOSAÑO!#REF!</f>
        <v>#REF!</v>
      </c>
      <c r="Q161" s="1028">
        <f ca="1">+DATOSAÑO!BH157</f>
        <v>5</v>
      </c>
      <c r="R161" s="1114">
        <f ca="1">DATOSAÑO!BJ157+DATOSAÑO!BM157+DATOSAÑO!BP157+DATOSAÑO!BW157+DATOSAÑO!CC157</f>
        <v>21.383599999998609</v>
      </c>
    </row>
    <row r="162" spans="2:18">
      <c r="B162" s="410">
        <v>45074</v>
      </c>
      <c r="C162" s="1028">
        <f ca="1">DATOSAÑO!AJ158</f>
        <v>7.1000000000058208</v>
      </c>
      <c r="D162" s="1028">
        <f ca="1">DATOSAÑO!AK158</f>
        <v>13</v>
      </c>
      <c r="E162" s="1028">
        <f ca="1">DATOSAÑO!AD158</f>
        <v>166.16499999999996</v>
      </c>
      <c r="F162" s="1028">
        <v>0</v>
      </c>
      <c r="G162" s="1028">
        <v>0</v>
      </c>
      <c r="H162" s="1028">
        <f ca="1">DATOSAÑO!AI158</f>
        <v>35.19999999999709</v>
      </c>
      <c r="I162" s="1028">
        <f ca="1">DATOSAÑO!CA158</f>
        <v>5.603999999999143</v>
      </c>
      <c r="J162" s="1028">
        <v>0</v>
      </c>
      <c r="K162" s="1028">
        <f ca="1">DATOSAÑO!AF158</f>
        <v>155</v>
      </c>
      <c r="L162" s="1028">
        <f ca="1">+DATOSAÑO!CB158</f>
        <v>2.659800000000164</v>
      </c>
      <c r="M162" s="1028">
        <f ca="1">+DATOSAÑO!AK158</f>
        <v>13</v>
      </c>
      <c r="N162" s="1028">
        <f ca="1">+DATOSAÑO!AH158</f>
        <v>11.799999999999272</v>
      </c>
      <c r="O162" s="1028">
        <f ca="1">DATOSAÑO!AL158</f>
        <v>34.834999999996398</v>
      </c>
      <c r="P162" s="1029" t="e">
        <f>+(DATOSAÑO!#REF!)+DATOSAÑO!#REF!</f>
        <v>#REF!</v>
      </c>
      <c r="Q162" s="1028">
        <f ca="1">+DATOSAÑO!BH158</f>
        <v>4.8000000000029104</v>
      </c>
      <c r="R162" s="1114">
        <f ca="1">DATOSAÑO!BJ158+DATOSAÑO!BM158+DATOSAÑO!BP158+DATOSAÑO!BW158+DATOSAÑO!CC158</f>
        <v>22.236200000000707</v>
      </c>
    </row>
    <row r="163" spans="2:18">
      <c r="B163" s="410">
        <v>45075</v>
      </c>
      <c r="C163" s="1028">
        <f ca="1">DATOSAÑO!AJ159</f>
        <v>6.5</v>
      </c>
      <c r="D163" s="1028">
        <f ca="1">DATOSAÑO!AK159</f>
        <v>12</v>
      </c>
      <c r="E163" s="1028">
        <f ca="1">DATOSAÑO!AD159</f>
        <v>164.55599999999959</v>
      </c>
      <c r="F163" s="1028">
        <v>0</v>
      </c>
      <c r="G163" s="1028">
        <v>0</v>
      </c>
      <c r="H163" s="1028">
        <f ca="1">DATOSAÑO!AI159</f>
        <v>35.400000000008731</v>
      </c>
      <c r="I163" s="1028">
        <f ca="1">DATOSAÑO!CA159</f>
        <v>6.9060000000006374</v>
      </c>
      <c r="J163" s="1028">
        <v>0</v>
      </c>
      <c r="K163" s="1028">
        <f ca="1">DATOSAÑO!AF159</f>
        <v>154</v>
      </c>
      <c r="L163" s="1028">
        <f ca="1">+DATOSAÑO!CB159</f>
        <v>2.5697999999998906</v>
      </c>
      <c r="M163" s="1028">
        <f ca="1">+DATOSAÑO!AK159</f>
        <v>12</v>
      </c>
      <c r="N163" s="1028">
        <f ca="1">+DATOSAÑO!AH159</f>
        <v>11</v>
      </c>
      <c r="O163" s="1028">
        <f ca="1">DATOSAÑO!AL159</f>
        <v>35.343999999994651</v>
      </c>
      <c r="P163" s="1029" t="e">
        <f>+(DATOSAÑO!#REF!)+DATOSAÑO!#REF!</f>
        <v>#REF!</v>
      </c>
      <c r="Q163" s="1028">
        <f ca="1">+DATOSAÑO!BH159</f>
        <v>5.2999999999956344</v>
      </c>
      <c r="R163" s="1114">
        <f ca="1">DATOSAÑO!BJ159+DATOSAÑO!BM159+DATOSAÑO!BP159+DATOSAÑO!BW159+DATOSAÑO!CC159</f>
        <v>22.024199999999475</v>
      </c>
    </row>
    <row r="164" spans="2:18">
      <c r="B164" s="410">
        <v>45076</v>
      </c>
      <c r="C164" s="1028">
        <f ca="1">DATOSAÑO!AJ160</f>
        <v>7.8000000000029104</v>
      </c>
      <c r="D164" s="1028">
        <f ca="1">DATOSAÑO!AK160</f>
        <v>14.399999999994179</v>
      </c>
      <c r="E164" s="1028">
        <f ca="1">DATOSAÑO!AD160</f>
        <v>163.8690000000006</v>
      </c>
      <c r="F164" s="1028">
        <v>0</v>
      </c>
      <c r="G164" s="1028">
        <v>0</v>
      </c>
      <c r="H164" s="1028">
        <f ca="1">DATOSAÑO!AI160</f>
        <v>35.5</v>
      </c>
      <c r="I164" s="1028">
        <f ca="1">DATOSAÑO!CA160</f>
        <v>4.8259000000065466</v>
      </c>
      <c r="J164" s="1028">
        <v>0</v>
      </c>
      <c r="K164" s="1028">
        <f ca="1">DATOSAÑO!AF160</f>
        <v>160</v>
      </c>
      <c r="L164" s="1028">
        <f ca="1">+DATOSAÑO!CB160</f>
        <v>2.6082000000001089</v>
      </c>
      <c r="M164" s="1028">
        <f ca="1">+DATOSAÑO!AK160</f>
        <v>14.399999999994179</v>
      </c>
      <c r="N164" s="1028">
        <f ca="1">+DATOSAÑO!AH160</f>
        <v>11.5</v>
      </c>
      <c r="O164" s="1028">
        <f ca="1">DATOSAÑO!AL160</f>
        <v>35.431000000035056</v>
      </c>
      <c r="P164" s="1029" t="e">
        <f>+(DATOSAÑO!#REF!)+DATOSAÑO!#REF!</f>
        <v>#REF!</v>
      </c>
      <c r="Q164" s="1028">
        <f ca="1">+DATOSAÑO!BH160</f>
        <v>5.9000000000014552</v>
      </c>
      <c r="R164" s="1114">
        <f ca="1">DATOSAÑO!BJ160+DATOSAÑO!BM160+DATOSAÑO!BP160+DATOSAÑO!BW160+DATOSAÑO!CC160</f>
        <v>22.365900000007169</v>
      </c>
    </row>
    <row r="165" spans="2:18" ht="15" thickBot="1">
      <c r="B165" s="410">
        <v>45077</v>
      </c>
      <c r="C165" s="1028">
        <f ca="1">DATOSAÑO!AJ161</f>
        <v>6.7999999999883585</v>
      </c>
      <c r="D165" s="1028">
        <f ca="1">DATOSAÑO!AK161</f>
        <v>13.200000000011642</v>
      </c>
      <c r="E165" s="1028">
        <f ca="1">DATOSAÑO!AD161</f>
        <v>164.90999999999985</v>
      </c>
      <c r="F165" s="1028">
        <v>0</v>
      </c>
      <c r="G165" s="1028">
        <v>0</v>
      </c>
      <c r="H165" s="1028">
        <f ca="1">DATOSAÑO!AI161</f>
        <v>36.30000000000291</v>
      </c>
      <c r="I165" s="1028">
        <f ca="1">DATOSAÑO!CA161</f>
        <v>5.035099999994185</v>
      </c>
      <c r="J165" s="1028">
        <v>0</v>
      </c>
      <c r="K165" s="1028">
        <f ca="1">DATOSAÑO!AF161</f>
        <v>153</v>
      </c>
      <c r="L165" s="1028">
        <f ca="1">+DATOSAÑO!CB161</f>
        <v>2.9003999999998862</v>
      </c>
      <c r="M165" s="1028">
        <f ca="1">+DATOSAÑO!AK161</f>
        <v>13.200000000011642</v>
      </c>
      <c r="N165" s="1028">
        <f ca="1">+DATOSAÑO!AH161</f>
        <v>11.100000000005821</v>
      </c>
      <c r="O165" s="1028">
        <f ca="1">DATOSAÑO!AL161</f>
        <v>35.389999999955762</v>
      </c>
      <c r="P165" s="1029" t="e">
        <f>+(DATOSAÑO!#REF!)+DATOSAÑO!#REF!</f>
        <v>#REF!</v>
      </c>
      <c r="Q165" s="1028">
        <f ca="1">+DATOSAÑO!BH161</f>
        <v>5</v>
      </c>
      <c r="R165" s="1114">
        <f ca="1">DATOSAÑO!BJ161+DATOSAÑO!BM161+DATOSAÑO!BP161+DATOSAÑO!BW161+DATOSAÑO!CC161</f>
        <v>22.164499999993559</v>
      </c>
    </row>
    <row r="166" spans="2:18" ht="15" thickBot="1">
      <c r="B166" s="1308" t="s">
        <v>1114</v>
      </c>
      <c r="C166" s="1307">
        <f ca="1">SUM(C135:C165)</f>
        <v>206.06999999999243</v>
      </c>
      <c r="D166" s="1054">
        <f ca="1">SUM(D135:D165)</f>
        <v>394.5</v>
      </c>
      <c r="E166" s="1054">
        <f t="shared" ref="E166:R166" ca="1" si="4">SUM(E135:E165)</f>
        <v>4462.7</v>
      </c>
      <c r="F166" s="1054">
        <f t="shared" si="4"/>
        <v>0</v>
      </c>
      <c r="G166" s="1054">
        <f t="shared" si="4"/>
        <v>0</v>
      </c>
      <c r="H166" s="1054">
        <f t="shared" ca="1" si="4"/>
        <v>1128.5100000000093</v>
      </c>
      <c r="I166" s="1054">
        <f t="shared" ca="1" si="4"/>
        <v>141.97725000001705</v>
      </c>
      <c r="J166" s="1054">
        <f t="shared" si="4"/>
        <v>0</v>
      </c>
      <c r="K166" s="1054">
        <f t="shared" ca="1" si="4"/>
        <v>4650.7999999999884</v>
      </c>
      <c r="L166" s="1054">
        <f t="shared" ca="1" si="4"/>
        <v>59.558400000000113</v>
      </c>
      <c r="M166" s="1054">
        <f t="shared" ca="1" si="4"/>
        <v>394.5</v>
      </c>
      <c r="N166" s="1054">
        <f t="shared" ca="1" si="4"/>
        <v>340.70000000000437</v>
      </c>
      <c r="O166" s="1054">
        <f t="shared" ca="1" si="4"/>
        <v>1060.5669999999473</v>
      </c>
      <c r="P166" s="1054" t="e">
        <f t="shared" si="4"/>
        <v>#REF!</v>
      </c>
      <c r="Q166" s="1115">
        <f t="shared" ca="1" si="4"/>
        <v>158.69999999999709</v>
      </c>
      <c r="R166" s="1115">
        <f t="shared" ca="1" si="4"/>
        <v>680.86435000001723</v>
      </c>
    </row>
    <row r="167" spans="2:18">
      <c r="B167" s="410">
        <v>45078</v>
      </c>
      <c r="C167" s="1028">
        <f ca="1">DATOSAÑO!AJ162</f>
        <v>5.4000000000087311</v>
      </c>
      <c r="D167" s="1028">
        <f ca="1">DATOSAÑO!AK162</f>
        <v>13</v>
      </c>
      <c r="E167" s="1028">
        <f ca="1">DATOSAÑO!AD162</f>
        <v>166</v>
      </c>
      <c r="F167" s="1028">
        <v>0</v>
      </c>
      <c r="G167" s="1028">
        <v>0</v>
      </c>
      <c r="H167" s="1028">
        <f ca="1">DATOSAÑO!AI162</f>
        <v>36.69999999999709</v>
      </c>
      <c r="I167" s="1028">
        <f ca="1">DATOSAÑO!CA162</f>
        <v>5.6279999999991821</v>
      </c>
      <c r="J167" s="1028">
        <v>0</v>
      </c>
      <c r="K167" s="1028">
        <f ca="1">DATOSAÑO!AF162</f>
        <v>145</v>
      </c>
      <c r="L167" s="1028">
        <f ca="1">+DATOSAÑO!CB162</f>
        <v>2.6081999999998908</v>
      </c>
      <c r="M167" s="1028">
        <f ca="1">+DATOSAÑO!AK162</f>
        <v>13</v>
      </c>
      <c r="N167" s="1028">
        <f ca="1">+DATOSAÑO!AH162</f>
        <v>12.599999999998545</v>
      </c>
      <c r="O167" s="1028">
        <f ca="1">DATOSAÑO!AL162</f>
        <v>34.999999999996362</v>
      </c>
      <c r="P167" s="1029" t="e">
        <f>+(DATOSAÑO!#REF!)+DATOSAÑO!#REF!</f>
        <v>#REF!</v>
      </c>
      <c r="Q167" s="1028">
        <f ca="1">+DATOSAÑO!BH162</f>
        <v>6</v>
      </c>
      <c r="R167" s="1114">
        <f ca="1">DATOSAÑO!BJ162+DATOSAÑO!BM162+DATOSAÑO!BP162+DATOSAÑO!BW162+DATOSAÑO!CC162</f>
        <v>22.063800000000203</v>
      </c>
    </row>
    <row r="168" spans="2:18">
      <c r="B168" s="410">
        <v>45079</v>
      </c>
      <c r="C168" s="1028">
        <f ca="1">DATOSAÑO!AJ163</f>
        <v>5.5</v>
      </c>
      <c r="D168" s="1028">
        <f ca="1">DATOSAÑO!AK163</f>
        <v>13</v>
      </c>
      <c r="E168" s="1028">
        <f ca="1">DATOSAÑO!AD163</f>
        <v>170</v>
      </c>
      <c r="F168" s="1028">
        <v>0</v>
      </c>
      <c r="G168" s="1028">
        <v>0</v>
      </c>
      <c r="H168" s="1028">
        <f ca="1">DATOSAÑO!AI163</f>
        <v>35.599999999991269</v>
      </c>
      <c r="I168" s="1028">
        <f ca="1">DATOSAÑO!CA163</f>
        <v>4.5035000000000522</v>
      </c>
      <c r="J168" s="1028">
        <v>0</v>
      </c>
      <c r="K168" s="1028">
        <f ca="1">DATOSAÑO!AF163</f>
        <v>147</v>
      </c>
      <c r="L168" s="1028">
        <f ca="1">+DATOSAÑO!CB163</f>
        <v>2.8860000000001635</v>
      </c>
      <c r="M168" s="1028">
        <f ca="1">+DATOSAÑO!AK163</f>
        <v>13</v>
      </c>
      <c r="N168" s="1028">
        <f ca="1">+DATOSAÑO!AH163</f>
        <v>9.6999999999970896</v>
      </c>
      <c r="O168" s="1028">
        <f ca="1">DATOSAÑO!AL163</f>
        <v>32.700000000011698</v>
      </c>
      <c r="P168" s="1029" t="e">
        <f>+(DATOSAÑO!#REF!)+DATOSAÑO!#REF!</f>
        <v>#REF!</v>
      </c>
      <c r="Q168" s="1028">
        <f ca="1">+DATOSAÑO!BH163</f>
        <v>5</v>
      </c>
      <c r="R168" s="1114">
        <f ca="1">DATOSAÑO!BJ163+DATOSAÑO!BM163+DATOSAÑO!BP163+DATOSAÑO!BW163+DATOSAÑO!CC163</f>
        <v>21.110499999999799</v>
      </c>
    </row>
    <row r="169" spans="2:18">
      <c r="B169" s="410">
        <v>45080</v>
      </c>
      <c r="C169" s="1028">
        <f ca="1">DATOSAÑO!AJ164</f>
        <v>5.6999999999970896</v>
      </c>
      <c r="D169" s="1028">
        <f ca="1">DATOSAÑO!AK164</f>
        <v>13</v>
      </c>
      <c r="E169" s="1028">
        <f ca="1">DATOSAÑO!AD164</f>
        <v>164</v>
      </c>
      <c r="F169" s="1028">
        <v>0</v>
      </c>
      <c r="G169" s="1028">
        <v>0</v>
      </c>
      <c r="H169" s="1028">
        <f ca="1">DATOSAÑO!AI164</f>
        <v>35</v>
      </c>
      <c r="I169" s="1028">
        <f ca="1">DATOSAÑO!CA164</f>
        <v>5.1369999999998166</v>
      </c>
      <c r="J169" s="1028">
        <v>0</v>
      </c>
      <c r="K169" s="1028">
        <f ca="1">DATOSAÑO!AF164</f>
        <v>145</v>
      </c>
      <c r="L169" s="1028">
        <f ca="1">+DATOSAÑO!CB164</f>
        <v>2.7804000000000073</v>
      </c>
      <c r="M169" s="1028">
        <f ca="1">+DATOSAÑO!AK164</f>
        <v>13</v>
      </c>
      <c r="N169" s="1028">
        <f ca="1">+DATOSAÑO!AH164</f>
        <v>9.8000000000047294</v>
      </c>
      <c r="O169" s="1028">
        <f ca="1">DATOSAÑO!AL164</f>
        <v>36.399999999999636</v>
      </c>
      <c r="P169" s="1029" t="e">
        <f>+(DATOSAÑO!#REF!)+DATOSAÑO!#REF!</f>
        <v>#REF!</v>
      </c>
      <c r="Q169" s="1028">
        <f ca="1">+DATOSAÑO!BH164</f>
        <v>5</v>
      </c>
      <c r="R169" s="1114">
        <f ca="1">DATOSAÑO!BJ164+DATOSAÑO!BM164+DATOSAÑO!BP164+DATOSAÑO!BW164+DATOSAÑO!CC164</f>
        <v>21.182599999998729</v>
      </c>
    </row>
    <row r="170" spans="2:18">
      <c r="B170" s="410">
        <v>45081</v>
      </c>
      <c r="C170" s="1028">
        <f ca="1">DATOSAÑO!AJ165</f>
        <v>7.5</v>
      </c>
      <c r="D170" s="1028">
        <f ca="1">DATOSAÑO!AK165</f>
        <v>12.899999999994179</v>
      </c>
      <c r="E170" s="1028">
        <f ca="1">DATOSAÑO!AD165</f>
        <v>164</v>
      </c>
      <c r="F170" s="1028">
        <v>0</v>
      </c>
      <c r="G170" s="1028">
        <v>0</v>
      </c>
      <c r="H170" s="1028">
        <f ca="1">DATOSAÑO!AI165</f>
        <v>37.30000000000291</v>
      </c>
      <c r="I170" s="1028">
        <f ca="1">DATOSAÑO!CA165</f>
        <v>5.6194999999998636</v>
      </c>
      <c r="J170" s="1028">
        <v>0</v>
      </c>
      <c r="K170" s="1028">
        <f ca="1">DATOSAÑO!AF165</f>
        <v>152</v>
      </c>
      <c r="L170" s="1028">
        <f ca="1">+DATOSAÑO!CB165</f>
        <v>2.8422000000001635</v>
      </c>
      <c r="M170" s="1028">
        <f ca="1">+DATOSAÑO!AK165</f>
        <v>12.899999999994179</v>
      </c>
      <c r="N170" s="1028">
        <f ca="1">+DATOSAÑO!AH165</f>
        <v>10.69999999999709</v>
      </c>
      <c r="O170" s="1028">
        <f ca="1">DATOSAÑO!AL165</f>
        <v>32.600000000005878</v>
      </c>
      <c r="P170" s="1029" t="e">
        <f>+(DATOSAÑO!#REF!)+DATOSAÑO!#REF!</f>
        <v>#REF!</v>
      </c>
      <c r="Q170" s="1028">
        <f ca="1">+DATOSAÑO!BH165</f>
        <v>5</v>
      </c>
      <c r="R170" s="1114">
        <f ca="1">DATOSAÑO!BJ165+DATOSAÑO!BM165+DATOSAÑO!BP165+DATOSAÑO!BW165+DATOSAÑO!CC165</f>
        <v>22.538299999999971</v>
      </c>
    </row>
    <row r="171" spans="2:18">
      <c r="B171" s="410">
        <v>45082</v>
      </c>
      <c r="C171" s="1028">
        <f ca="1">DATOSAÑO!AJ166</f>
        <v>6.6000000000058208</v>
      </c>
      <c r="D171" s="1028">
        <f ca="1">DATOSAÑO!AK166</f>
        <v>11.299999999988358</v>
      </c>
      <c r="E171" s="1028">
        <f ca="1">DATOSAÑO!AD166</f>
        <v>157</v>
      </c>
      <c r="F171" s="1028">
        <v>0</v>
      </c>
      <c r="G171" s="1028">
        <v>0</v>
      </c>
      <c r="H171" s="1028">
        <f ca="1">DATOSAÑO!AI166</f>
        <v>38.5</v>
      </c>
      <c r="I171" s="1028">
        <f ca="1">DATOSAÑO!CA166</f>
        <v>4.4475000000000966</v>
      </c>
      <c r="J171" s="1028">
        <v>0</v>
      </c>
      <c r="K171" s="1028">
        <f ca="1">DATOSAÑO!AF166</f>
        <v>149</v>
      </c>
      <c r="L171" s="1028">
        <f ca="1">+DATOSAÑO!CB166</f>
        <v>2.5655999999996726</v>
      </c>
      <c r="M171" s="1028">
        <f ca="1">+DATOSAÑO!AK166</f>
        <v>11.299999999988358</v>
      </c>
      <c r="N171" s="1028">
        <f ca="1">+DATOSAÑO!AH166</f>
        <v>0.80000000000291038</v>
      </c>
      <c r="O171" s="1028">
        <f ca="1">DATOSAÑO!AL166</f>
        <v>34.73400000000214</v>
      </c>
      <c r="P171" s="1029" t="e">
        <f>+(DATOSAÑO!#REF!)+DATOSAÑO!#REF!</f>
        <v>#REF!</v>
      </c>
      <c r="Q171" s="1028">
        <f ca="1">+DATOSAÑO!BH166</f>
        <v>5</v>
      </c>
      <c r="R171" s="1114">
        <f ca="1">DATOSAÑO!BJ166+DATOSAÑO!BM166+DATOSAÑO!BP166+DATOSAÑO!BW166+DATOSAÑO!CC166</f>
        <v>20.686900000000971</v>
      </c>
    </row>
    <row r="172" spans="2:18">
      <c r="B172" s="410">
        <v>45083</v>
      </c>
      <c r="C172" s="1028">
        <f ca="1">DATOSAÑO!AJ167</f>
        <v>5.2999999999883585</v>
      </c>
      <c r="D172" s="1028">
        <f ca="1">DATOSAÑO!AK167</f>
        <v>14.25</v>
      </c>
      <c r="E172" s="1028">
        <f ca="1">DATOSAÑO!AD167</f>
        <v>164.48999999999978</v>
      </c>
      <c r="F172" s="1028">
        <v>0</v>
      </c>
      <c r="G172" s="1028">
        <v>0</v>
      </c>
      <c r="H172" s="1028">
        <f ca="1">DATOSAÑO!AI167</f>
        <v>39.470000000001164</v>
      </c>
      <c r="I172" s="1028">
        <f ca="1">DATOSAÑO!CA167</f>
        <v>7.5999999999940027</v>
      </c>
      <c r="J172" s="1028">
        <v>0</v>
      </c>
      <c r="K172" s="1028">
        <f ca="1">DATOSAÑO!AF167</f>
        <v>151</v>
      </c>
      <c r="L172" s="1028">
        <f ca="1">+DATOSAÑO!CB167</f>
        <v>2.7072000000003005</v>
      </c>
      <c r="M172" s="1028">
        <f ca="1">+DATOSAÑO!AK167</f>
        <v>14.25</v>
      </c>
      <c r="N172" s="1028">
        <f ca="1">+DATOSAÑO!AH167</f>
        <v>18.599999999998545</v>
      </c>
      <c r="O172" s="1028">
        <f ca="1">DATOSAÑO!AL167</f>
        <v>36.597000000010667</v>
      </c>
      <c r="P172" s="1029" t="e">
        <f>+(DATOSAÑO!#REF!)+DATOSAÑO!#REF!</f>
        <v>#REF!</v>
      </c>
      <c r="Q172" s="1028">
        <f ca="1">+DATOSAÑO!BH167</f>
        <v>5</v>
      </c>
      <c r="R172" s="1114">
        <f ca="1">DATOSAÑO!BJ167+DATOSAÑO!BM167+DATOSAÑO!BP167+DATOSAÑO!BW167+DATOSAÑO!CC167</f>
        <v>24.792799999993328</v>
      </c>
    </row>
    <row r="173" spans="2:18">
      <c r="B173" s="410">
        <v>45084</v>
      </c>
      <c r="C173" s="1028">
        <f ca="1">DATOSAÑO!AJ168</f>
        <v>6.8800000000046566</v>
      </c>
      <c r="D173" s="1028">
        <f ca="1">DATOSAÑO!AK168</f>
        <v>13.020000000018626</v>
      </c>
      <c r="E173" s="1028">
        <f ca="1">DATOSAÑO!AD168</f>
        <v>158.17699999999968</v>
      </c>
      <c r="F173" s="1028">
        <v>0</v>
      </c>
      <c r="G173" s="1028">
        <v>0</v>
      </c>
      <c r="H173" s="1028">
        <f ca="1">DATOSAÑO!AI168</f>
        <v>37.339999999996508</v>
      </c>
      <c r="I173" s="1028">
        <f ca="1">DATOSAÑO!CA168</f>
        <v>3.4580000000123392</v>
      </c>
      <c r="J173" s="1028">
        <v>0</v>
      </c>
      <c r="K173" s="1028">
        <f ca="1">DATOSAÑO!AF168</f>
        <v>152</v>
      </c>
      <c r="L173" s="1028">
        <f ca="1">+DATOSAÑO!CB168</f>
        <v>2.8158000000001717</v>
      </c>
      <c r="M173" s="1028">
        <f ca="1">+DATOSAÑO!AK168</f>
        <v>13.020000000018626</v>
      </c>
      <c r="N173" s="1028">
        <f ca="1">+DATOSAÑO!AH168</f>
        <v>11.69999999999709</v>
      </c>
      <c r="O173" s="1028">
        <f ca="1">DATOSAÑO!AL168</f>
        <v>34.425999999923022</v>
      </c>
      <c r="P173" s="1029" t="e">
        <f>+(DATOSAÑO!#REF!)+DATOSAÑO!#REF!</f>
        <v>#REF!</v>
      </c>
      <c r="Q173" s="1028">
        <f ca="1">+DATOSAÑO!BH168</f>
        <v>6</v>
      </c>
      <c r="R173" s="1114">
        <f ca="1">DATOSAÑO!BJ168+DATOSAÑO!BM168+DATOSAÑO!BP168+DATOSAÑO!BW168+DATOSAÑO!CC168</f>
        <v>20.426200000013687</v>
      </c>
    </row>
    <row r="174" spans="2:18">
      <c r="B174" s="410">
        <v>45085</v>
      </c>
      <c r="C174" s="1028">
        <f ca="1">DATOSAÑO!AJ169</f>
        <v>3.3200000000069849</v>
      </c>
      <c r="D174" s="1028">
        <f ca="1">DATOSAÑO!AK169</f>
        <v>12.070000000006985</v>
      </c>
      <c r="E174" s="1028">
        <f ca="1">DATOSAÑO!AD169</f>
        <v>156.57300000000032</v>
      </c>
      <c r="F174" s="1028">
        <v>0</v>
      </c>
      <c r="G174" s="1028">
        <v>0</v>
      </c>
      <c r="H174" s="1028">
        <f ca="1">DATOSAÑO!AI169</f>
        <v>39.169999999998254</v>
      </c>
      <c r="I174" s="1028">
        <f ca="1">DATOSAÑO!CA169</f>
        <v>4.3199999999944456</v>
      </c>
      <c r="J174" s="1028">
        <v>0</v>
      </c>
      <c r="K174" s="1028">
        <f ca="1">DATOSAÑO!AF169</f>
        <v>150.90000000002328</v>
      </c>
      <c r="L174" s="1028">
        <f ca="1">+DATOSAÑO!CB169</f>
        <v>2.1683999999998171</v>
      </c>
      <c r="M174" s="1028">
        <f ca="1">+DATOSAÑO!AK169</f>
        <v>12.070000000006985</v>
      </c>
      <c r="N174" s="1028">
        <f ca="1">+DATOSAÑO!AH169</f>
        <v>6.8000000000029104</v>
      </c>
      <c r="O174" s="1028">
        <f ca="1">DATOSAÑO!AL169</f>
        <v>33.241000000067288</v>
      </c>
      <c r="P174" s="1029" t="e">
        <f>+(DATOSAÑO!#REF!)+DATOSAÑO!#REF!</f>
        <v>#REF!</v>
      </c>
      <c r="Q174" s="1028">
        <f ca="1">+DATOSAÑO!BH169</f>
        <v>4</v>
      </c>
      <c r="R174" s="1114">
        <f ca="1">DATOSAÑO!BJ169+DATOSAÑO!BM169+DATOSAÑO!BP169+DATOSAÑO!BW169+DATOSAÑO!CC169</f>
        <v>20.611599999993377</v>
      </c>
    </row>
    <row r="175" spans="2:18">
      <c r="B175" s="410">
        <v>45086</v>
      </c>
      <c r="C175" s="1028">
        <f ca="1">DATOSAÑO!AJ170</f>
        <v>7.5799999999871943</v>
      </c>
      <c r="D175" s="1028">
        <f ca="1">DATOSAÑO!AK170</f>
        <v>12.119999999995343</v>
      </c>
      <c r="E175" s="1028">
        <f ca="1">DATOSAÑO!AD170</f>
        <v>168.76000000000022</v>
      </c>
      <c r="F175" s="1028">
        <v>0</v>
      </c>
      <c r="G175" s="1028">
        <v>0</v>
      </c>
      <c r="H175" s="1028">
        <f ca="1">DATOSAÑO!AI170</f>
        <v>40.160000000003492</v>
      </c>
      <c r="I175" s="1028">
        <f ca="1">DATOSAÑO!CA170</f>
        <v>5.0095999999874827</v>
      </c>
      <c r="J175" s="1028">
        <v>0</v>
      </c>
      <c r="K175" s="1028">
        <f ca="1">DATOSAÑO!AF170</f>
        <v>143</v>
      </c>
      <c r="L175" s="1028">
        <f ca="1">+DATOSAÑO!CB170</f>
        <v>1.8371999999998914</v>
      </c>
      <c r="M175" s="1028">
        <f ca="1">+DATOSAÑO!AK170</f>
        <v>12.119999999995343</v>
      </c>
      <c r="N175" s="1028">
        <f ca="1">+DATOSAÑO!AH170</f>
        <v>4.7099999999991269</v>
      </c>
      <c r="O175" s="1028">
        <f ca="1">DATOSAÑO!AL170</f>
        <v>35.931999999962557</v>
      </c>
      <c r="P175" s="1029" t="e">
        <f>+(DATOSAÑO!#REF!)+DATOSAÑO!#REF!</f>
        <v>#REF!</v>
      </c>
      <c r="Q175" s="1028">
        <f ca="1">+DATOSAÑO!BH170</f>
        <v>6.0639999999984866</v>
      </c>
      <c r="R175" s="1114">
        <f ca="1">DATOSAÑO!BJ170+DATOSAÑO!BM170+DATOSAÑO!BP170+DATOSAÑO!BW170+DATOSAÑO!CC170</f>
        <v>20.153199999987148</v>
      </c>
    </row>
    <row r="176" spans="2:18">
      <c r="B176" s="410">
        <v>45087</v>
      </c>
      <c r="C176" s="1028">
        <f ca="1">DATOSAÑO!AJ171</f>
        <v>8.9200000000128057</v>
      </c>
      <c r="D176" s="1028">
        <f ca="1">DATOSAÑO!AK171</f>
        <v>12.380000000004657</v>
      </c>
      <c r="E176" s="1028">
        <f ca="1">DATOSAÑO!AD171</f>
        <v>165.79999999999927</v>
      </c>
      <c r="F176" s="1028">
        <v>0</v>
      </c>
      <c r="G176" s="1028">
        <v>0</v>
      </c>
      <c r="H176" s="1028">
        <f ca="1">DATOSAÑO!AI171</f>
        <v>36.080000000001746</v>
      </c>
      <c r="I176" s="1028">
        <f ca="1">DATOSAÑO!CA171</f>
        <v>4.9180000000185364</v>
      </c>
      <c r="J176" s="1028">
        <v>0</v>
      </c>
      <c r="K176" s="1028">
        <f ca="1">DATOSAÑO!AF171</f>
        <v>137.25999999995111</v>
      </c>
      <c r="L176" s="1028">
        <f ca="1">+DATOSAÑO!CB171</f>
        <v>1.3776000000000219</v>
      </c>
      <c r="M176" s="1028">
        <f ca="1">+DATOSAÑO!AK171</f>
        <v>12.380000000004657</v>
      </c>
      <c r="N176" s="1028">
        <f ca="1">+DATOSAÑO!AH171</f>
        <v>10.389999999999418</v>
      </c>
      <c r="O176" s="1028">
        <f ca="1">DATOSAÑO!AL171</f>
        <v>31.6840000000484</v>
      </c>
      <c r="P176" s="1029" t="e">
        <f>+(DATOSAÑO!#REF!)+DATOSAÑO!#REF!</f>
        <v>#REF!</v>
      </c>
      <c r="Q176" s="1028">
        <f ca="1">+DATOSAÑO!BH171</f>
        <v>5.0999999999985448</v>
      </c>
      <c r="R176" s="1114">
        <f ca="1">DATOSAÑO!BJ171+DATOSAÑO!BM171+DATOSAÑO!BP171+DATOSAÑO!BW171+DATOSAÑO!CC171</f>
        <v>20.244400000018697</v>
      </c>
    </row>
    <row r="177" spans="2:18">
      <c r="B177" s="410">
        <v>45088</v>
      </c>
      <c r="C177" s="1028">
        <f ca="1">DATOSAÑO!AJ172</f>
        <v>6.5099999999947613</v>
      </c>
      <c r="D177" s="1028">
        <f ca="1">DATOSAÑO!AK172</f>
        <v>12.569999999977881</v>
      </c>
      <c r="E177" s="1028">
        <f ca="1">DATOSAÑO!AD172</f>
        <v>162.30000000000109</v>
      </c>
      <c r="F177" s="1028">
        <v>0</v>
      </c>
      <c r="G177" s="1028">
        <v>0</v>
      </c>
      <c r="H177" s="1028">
        <f ca="1">DATOSAÑO!AI172</f>
        <v>36.619999999995343</v>
      </c>
      <c r="I177" s="1028">
        <f ca="1">DATOSAÑO!CA172</f>
        <v>5.3934999999886211</v>
      </c>
      <c r="J177" s="1028">
        <v>0</v>
      </c>
      <c r="K177" s="1028">
        <f ca="1">DATOSAÑO!AF172</f>
        <v>135.04000000003725</v>
      </c>
      <c r="L177" s="1028">
        <f ca="1">+DATOSAÑO!CB172</f>
        <v>1.3476000000002073</v>
      </c>
      <c r="M177" s="1028">
        <f ca="1">+DATOSAÑO!AK172</f>
        <v>12.569999999977881</v>
      </c>
      <c r="N177" s="1028">
        <f ca="1">+DATOSAÑO!AH172</f>
        <v>8.5</v>
      </c>
      <c r="O177" s="1028">
        <f ca="1">DATOSAÑO!AL172</f>
        <v>31.210000000015441</v>
      </c>
      <c r="P177" s="1029" t="e">
        <f>+(DATOSAÑO!#REF!)+DATOSAÑO!#REF!</f>
        <v>#REF!</v>
      </c>
      <c r="Q177" s="1028">
        <f ca="1">+DATOSAÑO!BH172</f>
        <v>4.8630000000048312</v>
      </c>
      <c r="R177" s="1114">
        <f ca="1">DATOSAÑO!BJ172+DATOSAÑO!BM172+DATOSAÑO!BP172+DATOSAÑO!BW172+DATOSAÑO!CC172</f>
        <v>21.218899999988469</v>
      </c>
    </row>
    <row r="178" spans="2:18">
      <c r="B178" s="410">
        <v>45089</v>
      </c>
      <c r="C178" s="1028">
        <f ca="1">DATOSAÑO!AJ173</f>
        <v>6.0099999999947613</v>
      </c>
      <c r="D178" s="1028">
        <f ca="1">DATOSAÑO!AK173</f>
        <v>12.360000000015134</v>
      </c>
      <c r="E178" s="1028">
        <f ca="1">DATOSAÑO!AD173</f>
        <v>164.19999999999891</v>
      </c>
      <c r="F178" s="1028">
        <v>0</v>
      </c>
      <c r="G178" s="1028">
        <v>0</v>
      </c>
      <c r="H178" s="1028">
        <f ca="1">DATOSAÑO!AI173</f>
        <v>34.460000000006403</v>
      </c>
      <c r="I178" s="1028">
        <f ca="1">DATOSAÑO!CA173</f>
        <v>4.4695000000060547</v>
      </c>
      <c r="J178" s="1028">
        <v>0</v>
      </c>
      <c r="K178" s="1028">
        <f ca="1">DATOSAÑO!AF173</f>
        <v>134.59999999997672</v>
      </c>
      <c r="L178" s="1028">
        <f ca="1">+DATOSAÑO!CB173</f>
        <v>1.1843999999999781</v>
      </c>
      <c r="M178" s="1028">
        <f ca="1">+DATOSAÑO!AK173</f>
        <v>12.360000000015134</v>
      </c>
      <c r="N178" s="1028">
        <f ca="1">+DATOSAÑO!AH173</f>
        <v>9.5</v>
      </c>
      <c r="O178" s="1028">
        <f ca="1">DATOSAÑO!AL173</f>
        <v>36.514999999953375</v>
      </c>
      <c r="P178" s="1029" t="e">
        <f>+(DATOSAÑO!#REF!)+DATOSAÑO!#REF!</f>
        <v>#REF!</v>
      </c>
      <c r="Q178" s="1028">
        <f ca="1">+DATOSAÑO!BH173</f>
        <v>4.4519999999974971</v>
      </c>
      <c r="R178" s="1114">
        <f ca="1">DATOSAÑO!BJ173+DATOSAÑO!BM173+DATOSAÑO!BP173+DATOSAÑO!BW173+DATOSAÑO!CC173</f>
        <v>19.546100000005602</v>
      </c>
    </row>
    <row r="179" spans="2:18">
      <c r="B179" s="410">
        <v>45090</v>
      </c>
      <c r="C179" s="1028">
        <f ca="1">DATOSAÑO!AJ174</f>
        <v>6.9800000000104774</v>
      </c>
      <c r="D179" s="1028">
        <f ca="1">DATOSAÑO!AK174</f>
        <v>11.429999999993015</v>
      </c>
      <c r="E179" s="1028">
        <f ca="1">DATOSAÑO!AD174</f>
        <v>159.90000000000146</v>
      </c>
      <c r="F179" s="1028">
        <v>0</v>
      </c>
      <c r="G179" s="1028">
        <v>0</v>
      </c>
      <c r="H179" s="1028">
        <f ca="1">DATOSAÑO!AI174</f>
        <v>35.5</v>
      </c>
      <c r="I179" s="1028">
        <f ca="1">DATOSAÑO!CA174</f>
        <v>4.7635000000053473</v>
      </c>
      <c r="J179" s="1028">
        <v>0</v>
      </c>
      <c r="K179" s="1028">
        <f ca="1">DATOSAÑO!AF174</f>
        <v>142</v>
      </c>
      <c r="L179" s="1028">
        <f ca="1">+DATOSAÑO!CB174</f>
        <v>1.6530000000000435</v>
      </c>
      <c r="M179" s="1028">
        <f ca="1">+DATOSAÑO!AK174</f>
        <v>11.429999999993015</v>
      </c>
      <c r="N179" s="1028">
        <f ca="1">+DATOSAÑO!AH174</f>
        <v>10.30000000000291</v>
      </c>
      <c r="O179" s="1028">
        <f ca="1">DATOSAÑO!AL174</f>
        <v>37.585999999948342</v>
      </c>
      <c r="P179" s="1029" t="e">
        <f>+(DATOSAÑO!#REF!)+DATOSAÑO!#REF!</f>
        <v>#REF!</v>
      </c>
      <c r="Q179" s="1028">
        <f ca="1">+DATOSAÑO!BH174</f>
        <v>5.2209999999977299</v>
      </c>
      <c r="R179" s="1114">
        <f ca="1">DATOSAÑO!BJ174+DATOSAÑO!BM174+DATOSAÑO!BP174+DATOSAÑO!BW174+DATOSAÑO!CC174</f>
        <v>21.083500000005522</v>
      </c>
    </row>
    <row r="180" spans="2:18">
      <c r="B180" s="410">
        <v>45091</v>
      </c>
      <c r="C180" s="1028">
        <f ca="1">DATOSAÑO!AJ175</f>
        <v>4</v>
      </c>
      <c r="D180" s="1028">
        <f ca="1">DATOSAÑO!AK175</f>
        <v>13</v>
      </c>
      <c r="E180" s="1028">
        <f ca="1">DATOSAÑO!AD175</f>
        <v>162.59999999999854</v>
      </c>
      <c r="F180" s="1028">
        <v>0</v>
      </c>
      <c r="G180" s="1028">
        <v>0</v>
      </c>
      <c r="H180" s="1028">
        <f ca="1">DATOSAÑO!AI175</f>
        <v>36.899999999994179</v>
      </c>
      <c r="I180" s="1028">
        <f ca="1">DATOSAÑO!CA175</f>
        <v>5.8379999999924514</v>
      </c>
      <c r="J180" s="1028">
        <v>0</v>
      </c>
      <c r="K180" s="1028">
        <f ca="1">DATOSAÑO!AF175</f>
        <v>147.20000000001164</v>
      </c>
      <c r="L180" s="1028">
        <f ca="1">+DATOSAÑO!CB175</f>
        <v>2.0880000000001089</v>
      </c>
      <c r="M180" s="1028">
        <f ca="1">+DATOSAÑO!AK175</f>
        <v>13</v>
      </c>
      <c r="N180" s="1028">
        <f ca="1">+DATOSAÑO!AH175</f>
        <v>10.69999999999709</v>
      </c>
      <c r="O180" s="1028">
        <f ca="1">DATOSAÑO!AL175</f>
        <v>31.656000000086351</v>
      </c>
      <c r="P180" s="1029" t="e">
        <f>+(DATOSAÑO!#REF!)+DATOSAÑO!#REF!</f>
        <v>#REF!</v>
      </c>
      <c r="Q180" s="1028">
        <f ca="1">+DATOSAÑO!BH175</f>
        <v>4.5</v>
      </c>
      <c r="R180" s="1114">
        <f ca="1">DATOSAÑO!BJ175+DATOSAÑO!BM175+DATOSAÑO!BP175+DATOSAÑO!BW175+DATOSAÑO!CC175</f>
        <v>22.273999999993613</v>
      </c>
    </row>
    <row r="181" spans="2:18">
      <c r="B181" s="410">
        <v>45092</v>
      </c>
      <c r="C181" s="1028">
        <f ca="1">DATOSAÑO!AJ176</f>
        <v>4.2999999999883585</v>
      </c>
      <c r="D181" s="1028">
        <f ca="1">DATOSAÑO!AK176</f>
        <v>12</v>
      </c>
      <c r="E181" s="1028">
        <f ca="1">DATOSAÑO!AD176</f>
        <v>165.70000000000073</v>
      </c>
      <c r="F181" s="1028">
        <v>0</v>
      </c>
      <c r="G181" s="1028">
        <v>0</v>
      </c>
      <c r="H181" s="1028">
        <f ca="1">DATOSAÑO!AI176</f>
        <v>36.80000000000291</v>
      </c>
      <c r="I181" s="1028">
        <f ca="1">DATOSAÑO!CA176</f>
        <v>3.6554999999961337</v>
      </c>
      <c r="J181" s="1028">
        <v>0</v>
      </c>
      <c r="K181" s="1028">
        <f ca="1">DATOSAÑO!AF176</f>
        <v>151.70000000001164</v>
      </c>
      <c r="L181" s="1028">
        <f ca="1">+DATOSAÑO!CB176</f>
        <v>2.0255999999996179</v>
      </c>
      <c r="M181" s="1028">
        <f ca="1">+DATOSAÑO!AK176</f>
        <v>12</v>
      </c>
      <c r="N181" s="1028">
        <f ca="1">+DATOSAÑO!AH176</f>
        <v>10.5</v>
      </c>
      <c r="O181" s="1028">
        <f ca="1">DATOSAÑO!AL176</f>
        <v>38.065999999984285</v>
      </c>
      <c r="P181" s="1029" t="e">
        <f>+(DATOSAÑO!#REF!)+DATOSAÑO!#REF!</f>
        <v>#REF!</v>
      </c>
      <c r="Q181" s="1028">
        <f ca="1">+DATOSAÑO!BH176</f>
        <v>5.3000000000029104</v>
      </c>
      <c r="R181" s="1114">
        <f ca="1">DATOSAÑO!BJ176+DATOSAÑO!BM176+DATOSAÑO!BP176+DATOSAÑO!BW176+DATOSAÑO!CC176</f>
        <v>19.71889999999479</v>
      </c>
    </row>
    <row r="182" spans="2:18">
      <c r="B182" s="410">
        <v>45093</v>
      </c>
      <c r="C182" s="1028">
        <f ca="1">DATOSAÑO!AJ177</f>
        <v>3.6000000000058208</v>
      </c>
      <c r="D182" s="1028">
        <f ca="1">DATOSAÑO!AK177</f>
        <v>11</v>
      </c>
      <c r="E182" s="1028">
        <f ca="1">DATOSAÑO!AD177</f>
        <v>166.60000000000036</v>
      </c>
      <c r="F182" s="1028">
        <v>0</v>
      </c>
      <c r="G182" s="1028">
        <v>0</v>
      </c>
      <c r="H182" s="1028">
        <f ca="1">DATOSAÑO!AI177</f>
        <v>37.400000000008731</v>
      </c>
      <c r="I182" s="1028">
        <f ca="1">DATOSAÑO!CA177</f>
        <v>6.8100000000041367</v>
      </c>
      <c r="J182" s="1028">
        <v>0</v>
      </c>
      <c r="K182" s="1028">
        <f ca="1">DATOSAÑO!AF177</f>
        <v>150.29999999998836</v>
      </c>
      <c r="L182" s="1028">
        <f ca="1">+DATOSAÑO!CB177</f>
        <v>2.1732000000000546</v>
      </c>
      <c r="M182" s="1028">
        <f ca="1">+DATOSAÑO!AK177</f>
        <v>11</v>
      </c>
      <c r="N182" s="1028">
        <f ca="1">+DATOSAÑO!AH177</f>
        <v>6.1999999999970896</v>
      </c>
      <c r="O182" s="1028">
        <f ca="1">DATOSAÑO!AL177</f>
        <v>32.349999999993031</v>
      </c>
      <c r="P182" s="1029" t="e">
        <f>+(DATOSAÑO!#REF!)+DATOSAÑO!#REF!</f>
        <v>#REF!</v>
      </c>
      <c r="Q182" s="1028">
        <f ca="1">+DATOSAÑO!BH177</f>
        <v>4.1999999999970896</v>
      </c>
      <c r="R182" s="1114">
        <f ca="1">DATOSAÑO!BJ177+DATOSAÑO!BM177+DATOSAÑO!BP177+DATOSAÑO!BW177+DATOSAÑO!CC177</f>
        <v>23.116800000005266</v>
      </c>
    </row>
    <row r="183" spans="2:18">
      <c r="B183" s="410">
        <v>45094</v>
      </c>
      <c r="C183" s="1028">
        <f ca="1">DATOSAÑO!AJ178</f>
        <v>3.8999999999941792</v>
      </c>
      <c r="D183" s="1028">
        <f ca="1">DATOSAÑO!AK178</f>
        <v>12</v>
      </c>
      <c r="E183" s="1028">
        <f ca="1">DATOSAÑO!AD178</f>
        <v>164.69999999999891</v>
      </c>
      <c r="F183" s="1028">
        <v>0</v>
      </c>
      <c r="G183" s="1028">
        <v>0</v>
      </c>
      <c r="H183" s="1028">
        <f ca="1">DATOSAÑO!AI178</f>
        <v>35.69999999999709</v>
      </c>
      <c r="I183" s="1028">
        <f ca="1">DATOSAÑO!CA178</f>
        <v>3.4505000000014538</v>
      </c>
      <c r="J183" s="1028">
        <v>0</v>
      </c>
      <c r="K183" s="1028">
        <f ca="1">DATOSAÑO!AF178</f>
        <v>153</v>
      </c>
      <c r="L183" s="1028">
        <f ca="1">+DATOSAÑO!CB178</f>
        <v>1.9656000000002183</v>
      </c>
      <c r="M183" s="1028">
        <f ca="1">+DATOSAÑO!AK178</f>
        <v>12</v>
      </c>
      <c r="N183" s="1028">
        <f ca="1">+DATOSAÑO!AH178</f>
        <v>14.80000000000291</v>
      </c>
      <c r="O183" s="1028">
        <f ca="1">DATOSAÑO!AL178</f>
        <v>31.700000000006185</v>
      </c>
      <c r="P183" s="1029" t="e">
        <f>+(DATOSAÑO!#REF!)+DATOSAÑO!#REF!</f>
        <v>#REF!</v>
      </c>
      <c r="Q183" s="1028">
        <f ca="1">+DATOSAÑO!BH178</f>
        <v>4.5</v>
      </c>
      <c r="R183" s="1114">
        <f ca="1">DATOSAÑO!BJ178+DATOSAÑO!BM178+DATOSAÑO!BP178+DATOSAÑO!BW178+DATOSAÑO!CC178</f>
        <v>19.683900000000509</v>
      </c>
    </row>
    <row r="184" spans="2:18">
      <c r="B184" s="410">
        <v>45095</v>
      </c>
      <c r="C184" s="1028">
        <f ca="1">DATOSAÑO!AJ179</f>
        <v>5.4000000000087311</v>
      </c>
      <c r="D184" s="1028">
        <f ca="1">DATOSAÑO!AK179</f>
        <v>10</v>
      </c>
      <c r="E184" s="1028">
        <f ca="1">DATOSAÑO!AD179</f>
        <v>162.31000000000131</v>
      </c>
      <c r="F184" s="1028">
        <v>0</v>
      </c>
      <c r="G184" s="1028">
        <v>0</v>
      </c>
      <c r="H184" s="1028">
        <f ca="1">DATOSAÑO!AI179</f>
        <v>35.69999999999709</v>
      </c>
      <c r="I184" s="1028">
        <f ca="1">DATOSAÑO!CA179</f>
        <v>5.4799999999990456</v>
      </c>
      <c r="J184" s="1028">
        <v>0</v>
      </c>
      <c r="K184" s="1028">
        <f ca="1">DATOSAÑO!AF179</f>
        <v>152</v>
      </c>
      <c r="L184" s="1028">
        <f ca="1">+DATOSAÑO!CB179</f>
        <v>2.0591999999998363</v>
      </c>
      <c r="M184" s="1028">
        <f ca="1">+DATOSAÑO!AK179</f>
        <v>10</v>
      </c>
      <c r="N184" s="1028">
        <f ca="1">+DATOSAÑO!AH179</f>
        <v>0</v>
      </c>
      <c r="O184" s="1028">
        <f ca="1">DATOSAÑO!AL179</f>
        <v>32.289999999989959</v>
      </c>
      <c r="P184" s="1029" t="e">
        <f>+(DATOSAÑO!#REF!)+DATOSAÑO!#REF!</f>
        <v>#REF!</v>
      </c>
      <c r="Q184" s="1028">
        <f ca="1">+DATOSAÑO!BH179</f>
        <v>3.8000000000029104</v>
      </c>
      <c r="R184" s="1114">
        <f ca="1">DATOSAÑO!BJ179+DATOSAÑO!BM179+DATOSAÑO!BP179+DATOSAÑO!BW179+DATOSAÑO!CC179</f>
        <v>21.560799999999663</v>
      </c>
    </row>
    <row r="185" spans="2:18">
      <c r="B185" s="410">
        <v>45096</v>
      </c>
      <c r="C185" s="1028">
        <f ca="1">DATOSAÑO!AJ180</f>
        <v>7.8999999999941792</v>
      </c>
      <c r="D185" s="1028">
        <f ca="1">DATOSAÑO!AK180</f>
        <v>11</v>
      </c>
      <c r="E185" s="1028">
        <f ca="1">DATOSAÑO!AD180</f>
        <v>163.56599999999889</v>
      </c>
      <c r="F185" s="1028">
        <v>0</v>
      </c>
      <c r="G185" s="1028">
        <v>0</v>
      </c>
      <c r="H185" s="1028">
        <f ca="1">DATOSAÑO!AI180</f>
        <v>36.19999999999709</v>
      </c>
      <c r="I185" s="1028">
        <f ca="1">DATOSAÑO!CA180</f>
        <v>4.4995000000008627</v>
      </c>
      <c r="J185" s="1028">
        <v>0</v>
      </c>
      <c r="K185" s="1028">
        <f ca="1">DATOSAÑO!AF180</f>
        <v>153</v>
      </c>
      <c r="L185" s="1028">
        <f ca="1">+DATOSAÑO!CB180</f>
        <v>1.8606000000002727</v>
      </c>
      <c r="M185" s="1028">
        <f ca="1">+DATOSAÑO!AK180</f>
        <v>11</v>
      </c>
      <c r="N185" s="1028">
        <f ca="1">+DATOSAÑO!AH180</f>
        <v>12.099999999998545</v>
      </c>
      <c r="O185" s="1028">
        <f ca="1">DATOSAÑO!AL180</f>
        <v>34.834000000009837</v>
      </c>
      <c r="P185" s="1029" t="e">
        <f>+(DATOSAÑO!#REF!)+DATOSAÑO!#REF!</f>
        <v>#REF!</v>
      </c>
      <c r="Q185" s="1028">
        <f ca="1">+DATOSAÑO!BH180</f>
        <v>4.3000000000029104</v>
      </c>
      <c r="R185" s="1114">
        <f ca="1">DATOSAÑO!BJ180+DATOSAÑO!BM180+DATOSAÑO!BP180+DATOSAÑO!BW180+DATOSAÑO!CC180</f>
        <v>21.039900000000319</v>
      </c>
    </row>
    <row r="186" spans="2:18">
      <c r="B186" s="410">
        <v>45097</v>
      </c>
      <c r="C186" s="1028">
        <f ca="1">DATOSAÑO!AJ181</f>
        <v>7.6999999999970896</v>
      </c>
      <c r="D186" s="1028">
        <f ca="1">DATOSAÑO!AK181</f>
        <v>12</v>
      </c>
      <c r="E186" s="1028">
        <f ca="1">DATOSAÑO!AD181</f>
        <v>161.32400000000052</v>
      </c>
      <c r="F186" s="1028">
        <v>0</v>
      </c>
      <c r="G186" s="1028">
        <v>0</v>
      </c>
      <c r="H186" s="1028">
        <f ca="1">DATOSAÑO!AI181</f>
        <v>36</v>
      </c>
      <c r="I186" s="1028">
        <f ca="1">DATOSAÑO!CA181</f>
        <v>5.2119999999996827</v>
      </c>
      <c r="J186" s="1028">
        <v>0</v>
      </c>
      <c r="K186" s="1028">
        <f ca="1">DATOSAÑO!AF181</f>
        <v>153</v>
      </c>
      <c r="L186" s="1028">
        <f ca="1">+DATOSAÑO!CB181</f>
        <v>2.0603999999995084</v>
      </c>
      <c r="M186" s="1028">
        <f ca="1">+DATOSAÑO!AK181</f>
        <v>12</v>
      </c>
      <c r="N186" s="1028">
        <f ca="1">+DATOSAÑO!AH181</f>
        <v>9.9000000000014552</v>
      </c>
      <c r="O186" s="1028">
        <f ca="1">DATOSAÑO!AL181</f>
        <v>34.218000000003769</v>
      </c>
      <c r="P186" s="1029" t="e">
        <f>+(DATOSAÑO!#REF!)+DATOSAÑO!#REF!</f>
        <v>#REF!</v>
      </c>
      <c r="Q186" s="1028">
        <f ca="1">+DATOSAÑO!BH181</f>
        <v>4.6999999999970896</v>
      </c>
      <c r="R186" s="1114">
        <f ca="1">DATOSAÑO!BJ181+DATOSAÑO!BM181+DATOSAÑO!BP181+DATOSAÑO!BW181+DATOSAÑO!CC181</f>
        <v>22.327599999999357</v>
      </c>
    </row>
    <row r="187" spans="2:18">
      <c r="B187" s="410">
        <v>45098</v>
      </c>
      <c r="C187" s="1028">
        <f ca="1">DATOSAÑO!AJ182</f>
        <v>6.8000000000029104</v>
      </c>
      <c r="D187" s="1028">
        <f ca="1">DATOSAÑO!AK182</f>
        <v>11</v>
      </c>
      <c r="E187" s="1028">
        <f ca="1">DATOSAÑO!AD182</f>
        <v>162</v>
      </c>
      <c r="F187" s="1028">
        <v>0</v>
      </c>
      <c r="G187" s="1028">
        <v>0</v>
      </c>
      <c r="H187" s="1028">
        <f ca="1">DATOSAÑO!AI182</f>
        <v>35.30000000000291</v>
      </c>
      <c r="I187" s="1028">
        <f ca="1">DATOSAÑO!CA182</f>
        <v>4.7771999999996408</v>
      </c>
      <c r="J187" s="1028">
        <v>0</v>
      </c>
      <c r="K187" s="1028">
        <f ca="1">DATOSAÑO!AF182</f>
        <v>152</v>
      </c>
      <c r="L187" s="1028">
        <f ca="1">+DATOSAÑO!CB182</f>
        <v>2.4828000000000001</v>
      </c>
      <c r="M187" s="1028">
        <f ca="1">+DATOSAÑO!AK182</f>
        <v>11</v>
      </c>
      <c r="N187" s="1028">
        <f ca="1">+DATOSAÑO!AH182</f>
        <v>9.5999999999985448</v>
      </c>
      <c r="O187" s="1028">
        <f ca="1">DATOSAÑO!AL182</f>
        <v>33.299999999995634</v>
      </c>
      <c r="P187" s="1029" t="e">
        <f>+(DATOSAÑO!#REF!)+DATOSAÑO!#REF!</f>
        <v>#REF!</v>
      </c>
      <c r="Q187" s="1028">
        <f ca="1">+DATOSAÑO!BH182</f>
        <v>5</v>
      </c>
      <c r="R187" s="1114">
        <f ca="1">DATOSAÑO!BJ182+DATOSAÑO!BM182+DATOSAÑO!BP182+DATOSAÑO!BW182+DATOSAÑO!CC182</f>
        <v>21.740000000000361</v>
      </c>
    </row>
    <row r="188" spans="2:18">
      <c r="B188" s="410">
        <v>45099</v>
      </c>
      <c r="C188" s="1028">
        <f ca="1">DATOSAÑO!AJ183</f>
        <v>6.3000000000029104</v>
      </c>
      <c r="D188" s="1028">
        <f ca="1">DATOSAÑO!AK183</f>
        <v>11</v>
      </c>
      <c r="E188" s="1028">
        <f ca="1">DATOSAÑO!AD183</f>
        <v>163</v>
      </c>
      <c r="F188" s="1028">
        <v>0</v>
      </c>
      <c r="G188" s="1028">
        <v>0</v>
      </c>
      <c r="H188" s="1028">
        <f ca="1">DATOSAÑO!AI183</f>
        <v>35.80000000000291</v>
      </c>
      <c r="I188" s="1028">
        <f ca="1">DATOSAÑO!CA183</f>
        <v>4.8165000000008096</v>
      </c>
      <c r="J188" s="1028">
        <v>0</v>
      </c>
      <c r="K188" s="1028">
        <f ca="1">DATOSAÑO!AF183</f>
        <v>154</v>
      </c>
      <c r="L188" s="1028">
        <f ca="1">+DATOSAÑO!CB183</f>
        <v>2.3562000000001166</v>
      </c>
      <c r="M188" s="1028">
        <f ca="1">+DATOSAÑO!AK183</f>
        <v>11</v>
      </c>
      <c r="N188" s="1028">
        <f ca="1">+DATOSAÑO!AH183</f>
        <v>11.200000000004366</v>
      </c>
      <c r="O188" s="1028">
        <f ca="1">DATOSAÑO!AL183</f>
        <v>34.807999999988454</v>
      </c>
      <c r="P188" s="1029" t="e">
        <f>+(DATOSAÑO!#REF!)+DATOSAÑO!#REF!</f>
        <v>#REF!</v>
      </c>
      <c r="Q188" s="1028">
        <f ca="1">+DATOSAÑO!BH183</f>
        <v>5</v>
      </c>
      <c r="R188" s="1114">
        <f ca="1">DATOSAÑO!BJ183+DATOSAÑO!BM183+DATOSAÑO!BP183+DATOSAÑO!BW183+DATOSAÑO!CC183</f>
        <v>20.727300000000525</v>
      </c>
    </row>
    <row r="189" spans="2:18">
      <c r="B189" s="410">
        <v>45100</v>
      </c>
      <c r="C189" s="1028">
        <f ca="1">DATOSAÑO!AJ184</f>
        <v>6.8000000000029104</v>
      </c>
      <c r="D189" s="1028">
        <f ca="1">DATOSAÑO!AK184</f>
        <v>11</v>
      </c>
      <c r="E189" s="1028">
        <f ca="1">DATOSAÑO!AD184</f>
        <v>161</v>
      </c>
      <c r="F189" s="1028">
        <v>0</v>
      </c>
      <c r="G189" s="1028">
        <v>0</v>
      </c>
      <c r="H189" s="1028">
        <f ca="1">DATOSAÑO!AI184</f>
        <v>36.19999999999709</v>
      </c>
      <c r="I189" s="1028">
        <f ca="1">DATOSAÑO!CA184</f>
        <v>4.2650000000006347</v>
      </c>
      <c r="J189" s="1028">
        <v>0</v>
      </c>
      <c r="K189" s="1028">
        <f ca="1">DATOSAÑO!AF184</f>
        <v>152</v>
      </c>
      <c r="L189" s="1028">
        <f ca="1">+DATOSAÑO!CB184</f>
        <v>2.341200000000109</v>
      </c>
      <c r="M189" s="1028">
        <f ca="1">+DATOSAÑO!AK184</f>
        <v>11</v>
      </c>
      <c r="N189" s="1028">
        <f ca="1">+DATOSAÑO!AH184</f>
        <v>8</v>
      </c>
      <c r="O189" s="1028">
        <f ca="1">DATOSAÑO!AL184</f>
        <v>33.799999999999329</v>
      </c>
      <c r="P189" s="1029" t="e">
        <f>+(DATOSAÑO!#REF!)+DATOSAÑO!#REF!</f>
        <v>#REF!</v>
      </c>
      <c r="Q189" s="1028">
        <f ca="1">+DATOSAÑO!BH184</f>
        <v>5</v>
      </c>
      <c r="R189" s="1114">
        <f ca="1">DATOSAÑO!BJ184+DATOSAÑO!BM184+DATOSAÑO!BP184+DATOSAÑO!BW184+DATOSAÑO!CC184</f>
        <v>20.59379999999998</v>
      </c>
    </row>
    <row r="190" spans="2:18">
      <c r="B190" s="410">
        <v>45101</v>
      </c>
      <c r="C190" s="1028">
        <f ca="1">DATOSAÑO!AJ185</f>
        <v>6.5999999999912689</v>
      </c>
      <c r="D190" s="1028">
        <f ca="1">DATOSAÑO!AK185</f>
        <v>10</v>
      </c>
      <c r="E190" s="1028">
        <f ca="1">DATOSAÑO!AD185</f>
        <v>164</v>
      </c>
      <c r="F190" s="1028">
        <v>0</v>
      </c>
      <c r="G190" s="1028">
        <v>0</v>
      </c>
      <c r="H190" s="1028">
        <f ca="1">DATOSAÑO!AI185</f>
        <v>37.399999999994179</v>
      </c>
      <c r="I190" s="1028">
        <f ca="1">DATOSAÑO!CA185</f>
        <v>5.3700000000000871</v>
      </c>
      <c r="J190" s="1028">
        <v>0</v>
      </c>
      <c r="K190" s="1028">
        <f ca="1">DATOSAÑO!AF185</f>
        <v>152</v>
      </c>
      <c r="L190" s="1028">
        <f ca="1">+DATOSAÑO!CB185</f>
        <v>2.2955999999998906</v>
      </c>
      <c r="M190" s="1028">
        <f ca="1">+DATOSAÑO!AK185</f>
        <v>10</v>
      </c>
      <c r="N190" s="1028">
        <f ca="1">+DATOSAÑO!AH185</f>
        <v>9.1999999999989086</v>
      </c>
      <c r="O190" s="1028">
        <f ca="1">DATOSAÑO!AL185</f>
        <v>34.3000000000157</v>
      </c>
      <c r="P190" s="1029" t="e">
        <f>+(DATOSAÑO!#REF!)+DATOSAÑO!#REF!</f>
        <v>#REF!</v>
      </c>
      <c r="Q190" s="1028">
        <f ca="1">+DATOSAÑO!BH185</f>
        <v>4</v>
      </c>
      <c r="R190" s="1114">
        <f ca="1">DATOSAÑO!BJ185+DATOSAÑO!BM185+DATOSAÑO!BP185+DATOSAÑO!BW185+DATOSAÑO!CC185</f>
        <v>20.834400000000013</v>
      </c>
    </row>
    <row r="191" spans="2:18">
      <c r="B191" s="410">
        <v>45102</v>
      </c>
      <c r="C191" s="1028">
        <f ca="1">DATOSAÑO!AJ186</f>
        <v>7.1000000000058208</v>
      </c>
      <c r="D191" s="1028">
        <f ca="1">DATOSAÑO!AK186</f>
        <v>11</v>
      </c>
      <c r="E191" s="1028">
        <f ca="1">DATOSAÑO!AD186</f>
        <v>162</v>
      </c>
      <c r="F191" s="1028">
        <v>0</v>
      </c>
      <c r="G191" s="1028">
        <v>0</v>
      </c>
      <c r="H191" s="1028">
        <f ca="1">DATOSAÑO!AI186</f>
        <v>37.200000000011642</v>
      </c>
      <c r="I191" s="1028">
        <f ca="1">DATOSAÑO!CA186</f>
        <v>5.4091999999982159</v>
      </c>
      <c r="J191" s="1028">
        <v>0</v>
      </c>
      <c r="K191" s="1028">
        <f ca="1">DATOSAÑO!AF186</f>
        <v>154</v>
      </c>
      <c r="L191" s="1028">
        <f ca="1">+DATOSAÑO!CB186</f>
        <v>2.4756000000002727</v>
      </c>
      <c r="M191" s="1028">
        <f ca="1">+DATOSAÑO!AK186</f>
        <v>11</v>
      </c>
      <c r="N191" s="1028">
        <f ca="1">+DATOSAÑO!AH186</f>
        <v>11.69999999999709</v>
      </c>
      <c r="O191" s="1028">
        <f ca="1">DATOSAÑO!AL186</f>
        <v>33.399999999986846</v>
      </c>
      <c r="P191" s="1029" t="e">
        <f>+(DATOSAÑO!#REF!)+DATOSAÑO!#REF!</f>
        <v>#REF!</v>
      </c>
      <c r="Q191" s="1028">
        <f ca="1">+DATOSAÑO!BH186</f>
        <v>4</v>
      </c>
      <c r="R191" s="1114">
        <f ca="1">DATOSAÑO!BJ186+DATOSAÑO!BM186+DATOSAÑO!BP186+DATOSAÑO!BW186+DATOSAÑO!CC186</f>
        <v>19.715200000000046</v>
      </c>
    </row>
    <row r="192" spans="2:18">
      <c r="B192" s="410">
        <v>45103</v>
      </c>
      <c r="C192" s="1028">
        <f ca="1">DATOSAÑO!AJ187</f>
        <v>5.5</v>
      </c>
      <c r="D192" s="1028">
        <f ca="1">DATOSAÑO!AK187</f>
        <v>10</v>
      </c>
      <c r="E192" s="1028">
        <f ca="1">DATOSAÑO!AD187</f>
        <v>162</v>
      </c>
      <c r="F192" s="1028">
        <v>0</v>
      </c>
      <c r="G192" s="1028">
        <v>0</v>
      </c>
      <c r="H192" s="1028">
        <f ca="1">DATOSAÑO!AI187</f>
        <v>36.899999999994179</v>
      </c>
      <c r="I192" s="1028">
        <f ca="1">DATOSAÑO!CA187</f>
        <v>6.3660000000001844</v>
      </c>
      <c r="J192" s="1028">
        <v>0</v>
      </c>
      <c r="K192" s="1028">
        <f ca="1">DATOSAÑO!AF187</f>
        <v>152</v>
      </c>
      <c r="L192" s="1028">
        <f ca="1">+DATOSAÑO!CB187</f>
        <v>2.1623999999997814</v>
      </c>
      <c r="M192" s="1028">
        <f ca="1">+DATOSAÑO!AK187</f>
        <v>10</v>
      </c>
      <c r="N192" s="1028">
        <f ca="1">+DATOSAÑO!AH187</f>
        <v>11</v>
      </c>
      <c r="O192" s="1028">
        <f ca="1">DATOSAÑO!AL187</f>
        <v>33.800000000006492</v>
      </c>
      <c r="P192" s="1029" t="e">
        <f>+(DATOSAÑO!#REF!)+DATOSAÑO!#REF!</f>
        <v>#REF!</v>
      </c>
      <c r="Q192" s="1028">
        <f ca="1">+DATOSAÑO!BH187</f>
        <v>5</v>
      </c>
      <c r="R192" s="1114">
        <f ca="1">DATOSAÑO!BJ187+DATOSAÑO!BM187+DATOSAÑO!BP187+DATOSAÑO!BW187+DATOSAÑO!CC187</f>
        <v>20.271599999999314</v>
      </c>
    </row>
    <row r="193" spans="2:18">
      <c r="B193" s="410">
        <v>45104</v>
      </c>
      <c r="C193" s="1028">
        <f ca="1">DATOSAÑO!AJ188</f>
        <v>6.1799999999930151</v>
      </c>
      <c r="D193" s="1028">
        <f ca="1">DATOSAÑO!AK188</f>
        <v>9.6799999999930151</v>
      </c>
      <c r="E193" s="1028">
        <f ca="1">DATOSAÑO!AD188</f>
        <v>161.60000000000036</v>
      </c>
      <c r="F193" s="1028">
        <v>0</v>
      </c>
      <c r="G193" s="1028">
        <v>0</v>
      </c>
      <c r="H193" s="1028">
        <f ca="1">DATOSAÑO!AI188</f>
        <v>34.350000000005821</v>
      </c>
      <c r="I193" s="1028">
        <f ca="1">DATOSAÑO!CA188</f>
        <v>6.7800000000066447</v>
      </c>
      <c r="J193" s="1028">
        <v>0</v>
      </c>
      <c r="K193" s="1028">
        <f ca="1">DATOSAÑO!AF188</f>
        <v>150.70000000001164</v>
      </c>
      <c r="L193" s="1028">
        <f ca="1">+DATOSAÑO!CB188</f>
        <v>1.3440000000003636</v>
      </c>
      <c r="M193" s="1028">
        <f ca="1">+DATOSAÑO!AK188</f>
        <v>9.6799999999930151</v>
      </c>
      <c r="N193" s="1028">
        <f ca="1">+DATOSAÑO!AH188</f>
        <v>12.700000000004366</v>
      </c>
      <c r="O193" s="1028">
        <f ca="1">DATOSAÑO!AL188</f>
        <v>31.969000000037113</v>
      </c>
      <c r="P193" s="1029" t="e">
        <f>+(DATOSAÑO!#REF!)+DATOSAÑO!#REF!</f>
        <v>#REF!</v>
      </c>
      <c r="Q193" s="1028">
        <f ca="1">+DATOSAÑO!BH188</f>
        <v>4.3899999999994179</v>
      </c>
      <c r="R193" s="1114">
        <f ca="1">DATOSAÑO!BJ188+DATOSAÑO!BM188+DATOSAÑO!BP188+DATOSAÑO!BW188+DATOSAÑO!CC188</f>
        <v>20.176000000006816</v>
      </c>
    </row>
    <row r="194" spans="2:18">
      <c r="B194" s="410">
        <v>45105</v>
      </c>
      <c r="C194" s="1028">
        <f ca="1">DATOSAÑO!AJ189</f>
        <v>6.1400000000139698</v>
      </c>
      <c r="D194" s="1028">
        <f ca="1">DATOSAÑO!AK189</f>
        <v>8.4299999999930151</v>
      </c>
      <c r="E194" s="1028">
        <f ca="1">DATOSAÑO!AD189</f>
        <v>160.77999999999884</v>
      </c>
      <c r="F194" s="1028">
        <v>0</v>
      </c>
      <c r="G194" s="1028">
        <v>0</v>
      </c>
      <c r="H194" s="1028">
        <f ca="1">DATOSAÑO!AI189</f>
        <v>35.819999999992433</v>
      </c>
      <c r="I194" s="1028">
        <f ca="1">DATOSAÑO!CA189</f>
        <v>6.837999999972614</v>
      </c>
      <c r="J194" s="1028">
        <v>0</v>
      </c>
      <c r="K194" s="1028">
        <f ca="1">DATOSAÑO!AF189</f>
        <v>150.32000000000698</v>
      </c>
      <c r="L194" s="1028">
        <f ca="1">+DATOSAÑO!CB189</f>
        <v>1.4423999999998158</v>
      </c>
      <c r="M194" s="1028">
        <f ca="1">+DATOSAÑO!AK189</f>
        <v>8.4299999999930151</v>
      </c>
      <c r="N194" s="1028">
        <f ca="1">+DATOSAÑO!AH189</f>
        <v>6.0999999999985448</v>
      </c>
      <c r="O194" s="1028">
        <f ca="1">DATOSAÑO!AL189</f>
        <v>32.699999999957015</v>
      </c>
      <c r="P194" s="1029" t="e">
        <f>+(DATOSAÑO!#REF!)+DATOSAÑO!#REF!</f>
        <v>#REF!</v>
      </c>
      <c r="Q194" s="1028">
        <f ca="1">+DATOSAÑO!BH189</f>
        <v>4.9100000000034925</v>
      </c>
      <c r="R194" s="1114">
        <f ca="1">DATOSAÑO!BJ189+DATOSAÑO!BM189+DATOSAÑO!BP189+DATOSAÑO!BW189+DATOSAÑO!CC189</f>
        <v>21.39959999997329</v>
      </c>
    </row>
    <row r="195" spans="2:18">
      <c r="B195" s="410">
        <v>45106</v>
      </c>
      <c r="C195" s="1028">
        <f ca="1">DATOSAÑO!AJ190</f>
        <v>5.7799999999988358</v>
      </c>
      <c r="D195" s="1028">
        <f ca="1">DATOSAÑO!AK190</f>
        <v>8.4100000000034925</v>
      </c>
      <c r="E195" s="1028">
        <f ca="1">DATOSAÑO!AD190</f>
        <v>161.6200000000008</v>
      </c>
      <c r="F195" s="1028">
        <v>0</v>
      </c>
      <c r="G195" s="1028">
        <v>0</v>
      </c>
      <c r="H195" s="1028">
        <f ca="1">DATOSAÑO!AI190</f>
        <v>35.44999999999709</v>
      </c>
      <c r="I195" s="1028">
        <f ca="1">DATOSAÑO!CA190</f>
        <v>4.1715000000449658</v>
      </c>
      <c r="J195" s="1028">
        <v>0</v>
      </c>
      <c r="K195" s="1028">
        <f ca="1">DATOSAÑO!AF190</f>
        <v>156.07999999995809</v>
      </c>
      <c r="L195" s="1028">
        <f ca="1">+DATOSAÑO!CB190</f>
        <v>1.4531999999998255</v>
      </c>
      <c r="M195" s="1028">
        <f ca="1">+DATOSAÑO!AK190</f>
        <v>8.4100000000034925</v>
      </c>
      <c r="N195" s="1028">
        <f ca="1">+DATOSAÑO!AH190</f>
        <v>12.900000000001455</v>
      </c>
      <c r="O195" s="1028">
        <f ca="1">DATOSAÑO!AL190</f>
        <v>32.915999999988401</v>
      </c>
      <c r="P195" s="1029" t="e">
        <f>+(DATOSAÑO!#REF!)+DATOSAÑO!#REF!</f>
        <v>#REF!</v>
      </c>
      <c r="Q195" s="1028">
        <f ca="1">+DATOSAÑO!BH190</f>
        <v>5.1929999999993015</v>
      </c>
      <c r="R195" s="1114">
        <f ca="1">DATOSAÑO!BJ190+DATOSAÑO!BM190+DATOSAÑO!BP190+DATOSAÑO!BW190+DATOSAÑO!CC190</f>
        <v>19.795300000044413</v>
      </c>
    </row>
    <row r="196" spans="2:18" ht="15" thickBot="1">
      <c r="B196" s="410">
        <v>45107</v>
      </c>
      <c r="C196" s="1028">
        <f ca="1">DATOSAÑO!AJ191</f>
        <v>5.3699999999953434</v>
      </c>
      <c r="D196" s="1028">
        <f ca="1">DATOSAÑO!AK191</f>
        <v>7.9600000000209548</v>
      </c>
      <c r="E196" s="1028">
        <f ca="1">DATOSAÑO!AD191</f>
        <v>162.12299999999959</v>
      </c>
      <c r="F196" s="1028">
        <v>0</v>
      </c>
      <c r="G196" s="1028">
        <v>0</v>
      </c>
      <c r="H196" s="1028">
        <f ca="1">DATOSAÑO!AI191</f>
        <v>36.360000000000582</v>
      </c>
      <c r="I196" s="1028">
        <f ca="1">DATOSAÑO!CA191</f>
        <v>5.8964999999776992</v>
      </c>
      <c r="J196" s="1028">
        <v>0</v>
      </c>
      <c r="K196" s="1028">
        <f ca="1">DATOSAÑO!AF191</f>
        <v>151.30999999999767</v>
      </c>
      <c r="L196" s="1028">
        <f ca="1">+DATOSAÑO!CB191</f>
        <v>1.2558000000002618</v>
      </c>
      <c r="M196" s="1028">
        <f ca="1">+DATOSAÑO!AK191</f>
        <v>7.9600000000209548</v>
      </c>
      <c r="N196" s="1028">
        <f ca="1">+DATOSAÑO!AH191</f>
        <v>3.7999999999956344</v>
      </c>
      <c r="O196" s="1028">
        <f ca="1">DATOSAÑO!AL191</f>
        <v>33.367000000031055</v>
      </c>
      <c r="P196" s="1029" t="e">
        <f>+(DATOSAÑO!#REF!)+DATOSAÑO!#REF!</f>
        <v>#REF!</v>
      </c>
      <c r="Q196" s="1028">
        <f ca="1">+DATOSAÑO!BH191</f>
        <v>5.1829999999972642</v>
      </c>
      <c r="R196" s="1114">
        <f ca="1">DATOSAÑO!BJ191+DATOSAÑO!BM191+DATOSAÑO!BP191+DATOSAÑO!BW191+DATOSAÑO!CC191</f>
        <v>22.537699999977072</v>
      </c>
    </row>
    <row r="197" spans="2:18" ht="15" thickBot="1">
      <c r="B197" s="1308" t="s">
        <v>1114</v>
      </c>
      <c r="C197" s="1307">
        <f ca="1">SUM(C167:C196)</f>
        <v>181.57000000000698</v>
      </c>
      <c r="D197" s="1054">
        <f ca="1">SUM(D167:D196)</f>
        <v>342.88000000000466</v>
      </c>
      <c r="E197" s="1054">
        <f t="shared" ref="E197:R197" ca="1" si="5">SUM(E167:E196)</f>
        <v>4888.1229999999996</v>
      </c>
      <c r="F197" s="1054">
        <f t="shared" si="5"/>
        <v>0</v>
      </c>
      <c r="G197" s="1054">
        <f t="shared" si="5"/>
        <v>0</v>
      </c>
      <c r="H197" s="1054">
        <f t="shared" ca="1" si="5"/>
        <v>1097.3799999999901</v>
      </c>
      <c r="I197" s="1054">
        <f t="shared" ca="1" si="5"/>
        <v>154.90300000000113</v>
      </c>
      <c r="J197" s="1054">
        <f t="shared" si="5"/>
        <v>0</v>
      </c>
      <c r="K197" s="1054">
        <f t="shared" ca="1" si="5"/>
        <v>4468.4099999999744</v>
      </c>
      <c r="L197" s="1054">
        <f t="shared" ca="1" si="5"/>
        <v>62.615400000000385</v>
      </c>
      <c r="M197" s="1054">
        <f t="shared" ca="1" si="5"/>
        <v>342.88000000000466</v>
      </c>
      <c r="N197" s="1054">
        <f t="shared" ca="1" si="5"/>
        <v>284.49999999999636</v>
      </c>
      <c r="O197" s="1054">
        <f t="shared" ca="1" si="5"/>
        <v>1018.0990000000243</v>
      </c>
      <c r="P197" s="1054" t="e">
        <f t="shared" si="5"/>
        <v>#REF!</v>
      </c>
      <c r="Q197" s="1115">
        <f t="shared" ca="1" si="5"/>
        <v>145.67599999999948</v>
      </c>
      <c r="R197" s="1115">
        <f t="shared" ca="1" si="5"/>
        <v>633.17160000000104</v>
      </c>
    </row>
    <row r="198" spans="2:18">
      <c r="B198" s="410">
        <v>45108</v>
      </c>
      <c r="C198" s="1028">
        <f ca="1">DATOSAÑO!AJ192</f>
        <v>5.9100000000034925</v>
      </c>
      <c r="D198" s="1028">
        <f ca="1">DATOSAÑO!AK192</f>
        <v>9.9599999999918509</v>
      </c>
      <c r="E198" s="1028">
        <f ca="1">DATOSAÑO!AD192</f>
        <v>161.72700000000077</v>
      </c>
      <c r="F198" s="1028">
        <v>0</v>
      </c>
      <c r="G198" s="1028">
        <v>0</v>
      </c>
      <c r="H198" s="1028">
        <f ca="1">DATOSAÑO!AI192</f>
        <v>33.570000000006985</v>
      </c>
      <c r="I198" s="1028">
        <f ca="1">DATOSAÑO!CA192</f>
        <v>4.9534999999930971</v>
      </c>
      <c r="J198" s="1028">
        <v>0</v>
      </c>
      <c r="K198" s="1028">
        <f ca="1">DATOSAÑO!AF192</f>
        <v>145.29000000003725</v>
      </c>
      <c r="L198" s="1028">
        <f ca="1">+DATOSAÑO!CB192</f>
        <v>1.4387999999994214</v>
      </c>
      <c r="M198" s="1028">
        <f ca="1">+DATOSAÑO!AK192</f>
        <v>9.9599999999918509</v>
      </c>
      <c r="N198" s="1028">
        <f ca="1">+DATOSAÑO!AH192</f>
        <v>13.400000000001455</v>
      </c>
      <c r="O198" s="1028">
        <f ca="1">DATOSAÑO!AL192</f>
        <v>32.006999999985112</v>
      </c>
      <c r="P198" s="1029" t="e">
        <f>+(DATOSAÑO!#REF!)+DATOSAÑO!#REF!</f>
        <v>#REF!</v>
      </c>
      <c r="Q198" s="1028">
        <f ca="1">+DATOSAÑO!BH192</f>
        <v>4.5740000000005239</v>
      </c>
      <c r="R198" s="1114">
        <f ca="1">DATOSAÑO!BJ192+DATOSAÑO!BM192+DATOSAÑO!BP192+DATOSAÑO!BW192+DATOSAÑO!CC192</f>
        <v>21.917699999994237</v>
      </c>
    </row>
    <row r="199" spans="2:18">
      <c r="B199" s="410">
        <v>45109</v>
      </c>
      <c r="C199" s="1028">
        <f ca="1">DATOSAÑO!AJ193</f>
        <v>5.4700000000011642</v>
      </c>
      <c r="D199" s="1028">
        <f ca="1">DATOSAÑO!AK193</f>
        <v>9.9800000000104774</v>
      </c>
      <c r="E199" s="1028">
        <f ca="1">DATOSAÑO!AD193</f>
        <v>163.14999999999964</v>
      </c>
      <c r="F199" s="1028">
        <v>0</v>
      </c>
      <c r="G199" s="1028">
        <v>0</v>
      </c>
      <c r="H199" s="1028">
        <f ca="1">DATOSAÑO!AI193</f>
        <v>32.869999999995343</v>
      </c>
      <c r="I199" s="1028">
        <f ca="1">DATOSAÑO!CA193</f>
        <v>3.6639999999945418</v>
      </c>
      <c r="J199" s="1028">
        <v>0</v>
      </c>
      <c r="K199" s="1028">
        <f ca="1">DATOSAÑO!AF193</f>
        <v>154.29999999998836</v>
      </c>
      <c r="L199" s="1028">
        <f ca="1">+DATOSAÑO!CB193</f>
        <v>0.79680000000039286</v>
      </c>
      <c r="M199" s="1028">
        <f ca="1">+DATOSAÑO!AK193</f>
        <v>9.9800000000104774</v>
      </c>
      <c r="N199" s="1028">
        <f ca="1">+DATOSAÑO!AH193</f>
        <v>10.900000000001455</v>
      </c>
      <c r="O199" s="1028">
        <f ca="1">DATOSAÑO!AL193</f>
        <v>34.039999999944484</v>
      </c>
      <c r="P199" s="1029" t="e">
        <f>+(DATOSAÑO!#REF!)+DATOSAÑO!#REF!</f>
        <v>#REF!</v>
      </c>
      <c r="Q199" s="1028">
        <f ca="1">+DATOSAÑO!BH193</f>
        <v>4.4060000000026776</v>
      </c>
      <c r="R199" s="1114">
        <f ca="1">DATOSAÑO!BJ193+DATOSAÑO!BM193+DATOSAÑO!BP193+DATOSAÑO!BW193+DATOSAÑO!CC193</f>
        <v>21.339199999993422</v>
      </c>
    </row>
    <row r="200" spans="2:18">
      <c r="B200" s="410">
        <v>45110</v>
      </c>
      <c r="C200" s="1028">
        <f ca="1">DATOSAÑO!AJ194</f>
        <v>5.4399999999877764</v>
      </c>
      <c r="D200" s="1028">
        <f ca="1">DATOSAÑO!AK194</f>
        <v>10.189999999973224</v>
      </c>
      <c r="E200" s="1028">
        <f ca="1">DATOSAÑO!AD194</f>
        <v>161.82999999999993</v>
      </c>
      <c r="F200" s="1028">
        <v>0</v>
      </c>
      <c r="G200" s="1028">
        <v>0</v>
      </c>
      <c r="H200" s="1028">
        <f ca="1">DATOSAÑO!AI194</f>
        <v>32.900000000008731</v>
      </c>
      <c r="I200" s="1028">
        <f ca="1">DATOSAÑO!CA194</f>
        <v>4.9925000000165323</v>
      </c>
      <c r="J200" s="1028">
        <v>0</v>
      </c>
      <c r="K200" s="1028">
        <f ca="1">DATOSAÑO!AF194</f>
        <v>149.75</v>
      </c>
      <c r="L200" s="1028">
        <f ca="1">+DATOSAÑO!CB194</f>
        <v>1.9553999999996741</v>
      </c>
      <c r="M200" s="1028">
        <f ca="1">+DATOSAÑO!AK194</f>
        <v>10.189999999973224</v>
      </c>
      <c r="N200" s="1028">
        <f ca="1">+DATOSAÑO!AH194</f>
        <v>12.599999999998545</v>
      </c>
      <c r="O200" s="1028">
        <f ca="1">DATOSAÑO!AL194</f>
        <v>30.600000000058571</v>
      </c>
      <c r="P200" s="1029" t="e">
        <f>+(DATOSAÑO!#REF!)+DATOSAÑO!#REF!</f>
        <v>#REF!</v>
      </c>
      <c r="Q200" s="1028">
        <f ca="1">+DATOSAÑO!BH194</f>
        <v>4.5079999999943539</v>
      </c>
      <c r="R200" s="1114">
        <f ca="1">DATOSAÑO!BJ194+DATOSAÑO!BM194+DATOSAÑO!BP194+DATOSAÑO!BW194+DATOSAÑO!CC194</f>
        <v>22.502100000017261</v>
      </c>
    </row>
    <row r="201" spans="2:18">
      <c r="B201" s="410">
        <v>45111</v>
      </c>
      <c r="C201" s="1028">
        <f ca="1">DATOSAÑO!AJ195</f>
        <v>8.2100000000064028</v>
      </c>
      <c r="D201" s="1028">
        <f ca="1">DATOSAÑO!AK195</f>
        <v>9.3900000000139698</v>
      </c>
      <c r="E201" s="1028">
        <f ca="1">DATOSAÑO!AD195</f>
        <v>165.46000000000095</v>
      </c>
      <c r="F201" s="1028">
        <v>0</v>
      </c>
      <c r="G201" s="1028">
        <v>0</v>
      </c>
      <c r="H201" s="1028">
        <f ca="1">DATOSAÑO!AI195</f>
        <v>34.079999999987194</v>
      </c>
      <c r="I201" s="1028">
        <f ca="1">DATOSAÑO!CA195</f>
        <v>4.6054999999935093</v>
      </c>
      <c r="J201" s="1028">
        <v>0</v>
      </c>
      <c r="K201" s="1028">
        <f ca="1">DATOSAÑO!AF195</f>
        <v>154.25</v>
      </c>
      <c r="L201" s="1028">
        <f ca="1">+DATOSAÑO!CB195</f>
        <v>1.4658000000000615</v>
      </c>
      <c r="M201" s="1028">
        <f ca="1">+DATOSAÑO!AK195</f>
        <v>9.3900000000139698</v>
      </c>
      <c r="N201" s="1028">
        <f ca="1">+DATOSAÑO!AH195</f>
        <v>4.2000000000007276</v>
      </c>
      <c r="O201" s="1028">
        <f ca="1">DATOSAÑO!AL195</f>
        <v>36.253000000001009</v>
      </c>
      <c r="P201" s="1029" t="e">
        <f>+(DATOSAÑO!#REF!)+DATOSAÑO!#REF!</f>
        <v>#REF!</v>
      </c>
      <c r="Q201" s="1028">
        <f ca="1">+DATOSAÑO!BH195</f>
        <v>5.2360000000044238</v>
      </c>
      <c r="R201" s="1114">
        <f ca="1">DATOSAÑO!BJ195+DATOSAÑO!BM195+DATOSAÑO!BP195+DATOSAÑO!BW195+DATOSAÑO!CC195</f>
        <v>22.278699999994057</v>
      </c>
    </row>
    <row r="202" spans="2:18">
      <c r="B202" s="410">
        <v>45112</v>
      </c>
      <c r="C202" s="1028">
        <f ca="1">DATOSAÑO!AJ196</f>
        <v>10.30000000000291</v>
      </c>
      <c r="D202" s="1028">
        <f ca="1">DATOSAÑO!AK196</f>
        <v>11</v>
      </c>
      <c r="E202" s="1028">
        <f ca="1">DATOSAÑO!AD196</f>
        <v>167.5099999999984</v>
      </c>
      <c r="F202" s="1028">
        <v>0</v>
      </c>
      <c r="G202" s="1028">
        <v>0</v>
      </c>
      <c r="H202" s="1028">
        <f ca="1">DATOSAÑO!AI196</f>
        <v>33.30000000000291</v>
      </c>
      <c r="I202" s="1028">
        <f ca="1">DATOSAÑO!CA196</f>
        <v>3.225499999993751</v>
      </c>
      <c r="J202" s="1028">
        <v>0</v>
      </c>
      <c r="K202" s="1028">
        <f ca="1">DATOSAÑO!AF196</f>
        <v>152.70000000001164</v>
      </c>
      <c r="L202" s="1028">
        <f ca="1">+DATOSAÑO!CB196</f>
        <v>1.4946000000000765</v>
      </c>
      <c r="M202" s="1028">
        <f ca="1">+DATOSAÑO!AK196</f>
        <v>11</v>
      </c>
      <c r="N202" s="1028">
        <f ca="1">+DATOSAÑO!AH196</f>
        <v>10.599999999998545</v>
      </c>
      <c r="O202" s="1028">
        <f ca="1">DATOSAÑO!AL196</f>
        <v>33.489999999997963</v>
      </c>
      <c r="P202" s="1029" t="e">
        <f>+(DATOSAÑO!#REF!)+DATOSAÑO!#REF!</f>
        <v>#REF!</v>
      </c>
      <c r="Q202" s="1028">
        <f ca="1">+DATOSAÑO!BH196</f>
        <v>4.9000000000014552</v>
      </c>
      <c r="R202" s="1114">
        <f ca="1">DATOSAÑO!BJ196+DATOSAÑO!BM196+DATOSAÑO!BP196+DATOSAÑO!BW196+DATOSAÑO!CC196</f>
        <v>20.379899999993803</v>
      </c>
    </row>
    <row r="203" spans="2:18">
      <c r="B203" s="410">
        <v>45113</v>
      </c>
      <c r="C203" s="1028">
        <f ca="1">DATOSAÑO!AJ197</f>
        <v>10.30000000000291</v>
      </c>
      <c r="D203" s="1028">
        <f ca="1">DATOSAÑO!AK197</f>
        <v>11</v>
      </c>
      <c r="E203" s="1028">
        <f ca="1">DATOSAÑO!AD197</f>
        <v>167.82300000000032</v>
      </c>
      <c r="F203" s="1028">
        <v>0</v>
      </c>
      <c r="G203" s="1028">
        <v>0</v>
      </c>
      <c r="H203" s="1028">
        <f ca="1">DATOSAÑO!AI197</f>
        <v>36.400000000008731</v>
      </c>
      <c r="I203" s="1028">
        <f ca="1">DATOSAÑO!CA197</f>
        <v>4.3455000000072754</v>
      </c>
      <c r="J203" s="1028">
        <v>0</v>
      </c>
      <c r="K203" s="1028">
        <f ca="1">DATOSAÑO!AF197</f>
        <v>150.29999999998836</v>
      </c>
      <c r="L203" s="1028">
        <f ca="1">+DATOSAÑO!CB197</f>
        <v>1.6332000000002183</v>
      </c>
      <c r="M203" s="1028">
        <f ca="1">+DATOSAÑO!AK197</f>
        <v>11</v>
      </c>
      <c r="N203" s="1028">
        <f ca="1">+DATOSAÑO!AH197</f>
        <v>7.0999999999985448</v>
      </c>
      <c r="O203" s="1028">
        <f ca="1">DATOSAÑO!AL197</f>
        <v>34.976999999987981</v>
      </c>
      <c r="P203" s="1029" t="e">
        <f>+(DATOSAÑO!#REF!)+DATOSAÑO!#REF!</f>
        <v>#REF!</v>
      </c>
      <c r="Q203" s="1028">
        <f ca="1">+DATOSAÑO!BH197</f>
        <v>5.0999999999985448</v>
      </c>
      <c r="R203" s="1114">
        <f ca="1">DATOSAÑO!BJ197+DATOSAÑO!BM197+DATOSAÑO!BP197+DATOSAÑO!BW197+DATOSAÑO!CC197</f>
        <v>23.521300000007056</v>
      </c>
    </row>
    <row r="204" spans="2:18">
      <c r="B204" s="410">
        <v>45114</v>
      </c>
      <c r="C204" s="1028">
        <f ca="1">DATOSAÑO!AJ198</f>
        <v>10.69999999999709</v>
      </c>
      <c r="D204" s="1028">
        <f ca="1">DATOSAÑO!AK198</f>
        <v>10</v>
      </c>
      <c r="E204" s="1028">
        <f ca="1">DATOSAÑO!AD198</f>
        <v>146.97700000000077</v>
      </c>
      <c r="F204" s="1028">
        <v>0</v>
      </c>
      <c r="G204" s="1028">
        <v>0</v>
      </c>
      <c r="H204" s="1028">
        <f ca="1">DATOSAÑO!AI198</f>
        <v>37.5</v>
      </c>
      <c r="I204" s="1028">
        <f ca="1">DATOSAÑO!CA198</f>
        <v>4.2964999999997833</v>
      </c>
      <c r="J204" s="1028">
        <v>0</v>
      </c>
      <c r="K204" s="1028">
        <f ca="1">DATOSAÑO!AF198</f>
        <v>151</v>
      </c>
      <c r="L204" s="1028">
        <f ca="1">+DATOSAÑO!CB198</f>
        <v>1.4838000000000413</v>
      </c>
      <c r="M204" s="1028">
        <f ca="1">+DATOSAÑO!AK198</f>
        <v>10</v>
      </c>
      <c r="N204" s="1028">
        <f ca="1">+DATOSAÑO!AH198</f>
        <v>13</v>
      </c>
      <c r="O204" s="1028">
        <f ca="1">DATOSAÑO!AL198</f>
        <v>33.05700000000229</v>
      </c>
      <c r="P204" s="1029" t="e">
        <f>+(DATOSAÑO!#REF!)+DATOSAÑO!#REF!</f>
        <v>#REF!</v>
      </c>
      <c r="Q204" s="1028">
        <f ca="1">+DATOSAÑO!BH198</f>
        <v>5.0999999999985448</v>
      </c>
      <c r="R204" s="1114">
        <f ca="1">DATOSAÑO!BJ198+DATOSAÑO!BM198+DATOSAÑO!BP198+DATOSAÑO!BW198+DATOSAÑO!CC198</f>
        <v>23.819699999998722</v>
      </c>
    </row>
    <row r="205" spans="2:18">
      <c r="B205" s="410">
        <v>45115</v>
      </c>
      <c r="C205" s="1028">
        <f ca="1">DATOSAÑO!AJ199</f>
        <v>8.8000000000029104</v>
      </c>
      <c r="D205" s="1028">
        <f ca="1">DATOSAÑO!AK199</f>
        <v>11</v>
      </c>
      <c r="E205" s="1028">
        <f ca="1">DATOSAÑO!AD199</f>
        <v>159.29999999999927</v>
      </c>
      <c r="F205" s="1028">
        <v>0</v>
      </c>
      <c r="G205" s="1028">
        <v>0</v>
      </c>
      <c r="H205" s="1028">
        <f ca="1">DATOSAÑO!AI199</f>
        <v>37.399999999994179</v>
      </c>
      <c r="I205" s="1028">
        <f ca="1">DATOSAÑO!CA199</f>
        <v>3.3948999999991845</v>
      </c>
      <c r="J205" s="1028">
        <v>0</v>
      </c>
      <c r="K205" s="1028">
        <f ca="1">DATOSAÑO!AF199</f>
        <v>155</v>
      </c>
      <c r="L205" s="1028">
        <f ca="1">+DATOSAÑO!CB199</f>
        <v>1.3019999999997816</v>
      </c>
      <c r="M205" s="1028">
        <f ca="1">+DATOSAÑO!AK199</f>
        <v>11</v>
      </c>
      <c r="N205" s="1028">
        <f ca="1">+DATOSAÑO!AH199</f>
        <v>13.599999999998545</v>
      </c>
      <c r="O205" s="1028">
        <f ca="1">DATOSAÑO!AL199</f>
        <v>33.30000000000291</v>
      </c>
      <c r="P205" s="1029" t="e">
        <f>+(DATOSAÑO!#REF!)+DATOSAÑO!#REF!</f>
        <v>#REF!</v>
      </c>
      <c r="Q205" s="1028">
        <f ca="1">+DATOSAÑO!BH199</f>
        <v>4.5</v>
      </c>
      <c r="R205" s="1114">
        <f ca="1">DATOSAÑO!BJ199+DATOSAÑO!BM199+DATOSAÑO!BP199+DATOSAÑO!BW199+DATOSAÑO!CC199</f>
        <v>22.603100000000314</v>
      </c>
    </row>
    <row r="206" spans="2:18">
      <c r="B206" s="410">
        <v>45116</v>
      </c>
      <c r="C206" s="1028">
        <f ca="1">DATOSAÑO!AJ200</f>
        <v>9.5</v>
      </c>
      <c r="D206" s="1028">
        <f ca="1">DATOSAÑO!AK200</f>
        <v>10</v>
      </c>
      <c r="E206" s="1028">
        <f ca="1">DATOSAÑO!AD200</f>
        <v>162.70000000000073</v>
      </c>
      <c r="F206" s="1028">
        <v>0</v>
      </c>
      <c r="G206" s="1028">
        <v>0</v>
      </c>
      <c r="H206" s="1028">
        <f ca="1">DATOSAÑO!AI200</f>
        <v>37.5</v>
      </c>
      <c r="I206" s="1028">
        <f ca="1">DATOSAÑO!CA200</f>
        <v>4.3382000000002154</v>
      </c>
      <c r="J206" s="1028">
        <v>0</v>
      </c>
      <c r="K206" s="1028">
        <f ca="1">DATOSAÑO!AF200</f>
        <v>150</v>
      </c>
      <c r="L206" s="1028">
        <f ca="1">+DATOSAÑO!CB200</f>
        <v>1.5425999999999032</v>
      </c>
      <c r="M206" s="1028">
        <f ca="1">+DATOSAÑO!AK200</f>
        <v>10</v>
      </c>
      <c r="N206" s="1028">
        <f ca="1">+DATOSAÑO!AH200</f>
        <v>14.80000000000291</v>
      </c>
      <c r="O206" s="1028">
        <f ca="1">DATOSAÑO!AL200</f>
        <v>32.299999999995691</v>
      </c>
      <c r="P206" s="1029" t="e">
        <f>+(DATOSAÑO!#REF!)+DATOSAÑO!#REF!</f>
        <v>#REF!</v>
      </c>
      <c r="Q206" s="1028">
        <f ca="1">+DATOSAÑO!BH200</f>
        <v>4.0999999999985448</v>
      </c>
      <c r="R206" s="1114">
        <f ca="1">DATOSAÑO!BJ200+DATOSAÑO!BM200+DATOSAÑO!BP200+DATOSAÑO!BW200+DATOSAÑO!CC200</f>
        <v>22.819200000000606</v>
      </c>
    </row>
    <row r="207" spans="2:18">
      <c r="B207" s="410">
        <v>45117</v>
      </c>
      <c r="C207" s="1028">
        <f ca="1">DATOSAÑO!AJ201</f>
        <v>7.2999999999883585</v>
      </c>
      <c r="D207" s="1028">
        <f ca="1">DATOSAÑO!AK201</f>
        <v>9</v>
      </c>
      <c r="E207" s="1028">
        <f ca="1">DATOSAÑO!AD201</f>
        <v>164</v>
      </c>
      <c r="F207" s="1028">
        <v>0</v>
      </c>
      <c r="G207" s="1028">
        <v>0</v>
      </c>
      <c r="H207" s="1028">
        <f ca="1">DATOSAÑO!AI201</f>
        <v>37.19999999999709</v>
      </c>
      <c r="I207" s="1028">
        <f ca="1">DATOSAÑO!CA201</f>
        <v>4.3515000000002741</v>
      </c>
      <c r="J207" s="1028">
        <v>0</v>
      </c>
      <c r="K207" s="1028">
        <f ca="1">DATOSAÑO!AF201</f>
        <v>152</v>
      </c>
      <c r="L207" s="1028">
        <f ca="1">+DATOSAÑO!CB201</f>
        <v>1.2174000000003273</v>
      </c>
      <c r="M207" s="1028">
        <f ca="1">+DATOSAÑO!AK201</f>
        <v>9</v>
      </c>
      <c r="N207" s="1028">
        <f ca="1">+DATOSAÑO!AH201</f>
        <v>3.9000000000014552</v>
      </c>
      <c r="O207" s="1028">
        <f ca="1">DATOSAÑO!AL201</f>
        <v>33.000000000014552</v>
      </c>
      <c r="P207" s="1029" t="e">
        <f>+(DATOSAÑO!#REF!)+DATOSAÑO!#REF!</f>
        <v>#REF!</v>
      </c>
      <c r="Q207" s="1028">
        <f ca="1">+DATOSAÑO!BH201</f>
        <v>4.4000000000014552</v>
      </c>
      <c r="R207" s="1114">
        <f ca="1">DATOSAÑO!BJ201+DATOSAÑO!BM201+DATOSAÑO!BP201+DATOSAÑO!BW201+DATOSAÑO!CC201</f>
        <v>21.9310999999994</v>
      </c>
    </row>
    <row r="208" spans="2:18">
      <c r="B208" s="410">
        <v>45118</v>
      </c>
      <c r="C208" s="1028">
        <f ca="1">DATOSAÑO!AJ202</f>
        <v>7.6000000000058208</v>
      </c>
      <c r="D208" s="1028">
        <f ca="1">DATOSAÑO!AK202</f>
        <v>9</v>
      </c>
      <c r="E208" s="1028">
        <f ca="1">DATOSAÑO!AD202</f>
        <v>165.39999999999964</v>
      </c>
      <c r="F208" s="1028">
        <v>0</v>
      </c>
      <c r="G208" s="1028">
        <v>0</v>
      </c>
      <c r="H208" s="1028">
        <f ca="1">DATOSAÑO!AI202</f>
        <v>36</v>
      </c>
      <c r="I208" s="1028">
        <f ca="1">DATOSAÑO!CA202</f>
        <v>4.15450000000033</v>
      </c>
      <c r="J208" s="1028">
        <v>0</v>
      </c>
      <c r="K208" s="1028">
        <f ca="1">DATOSAÑO!AF202</f>
        <v>153</v>
      </c>
      <c r="L208" s="1028">
        <f ca="1">+DATOSAÑO!CB202</f>
        <v>1.8233999999998314</v>
      </c>
      <c r="M208" s="1028">
        <f ca="1">+DATOSAÑO!AK202</f>
        <v>9</v>
      </c>
      <c r="N208" s="1028">
        <f ca="1">+DATOSAÑO!AH202</f>
        <v>7.1999999999970896</v>
      </c>
      <c r="O208" s="1028">
        <f ca="1">DATOSAÑO!AL202</f>
        <v>32.562999999997487</v>
      </c>
      <c r="P208" s="1029" t="e">
        <f>+(DATOSAÑO!#REF!)+DATOSAÑO!#REF!</f>
        <v>#REF!</v>
      </c>
      <c r="Q208" s="1028">
        <f ca="1">+DATOSAÑO!BH202</f>
        <v>5.5</v>
      </c>
      <c r="R208" s="1114">
        <f ca="1">DATOSAÑO!BJ202+DATOSAÑO!BM202+DATOSAÑO!BP202+DATOSAÑO!BW202+DATOSAÑO!CC202</f>
        <v>22.922100000001308</v>
      </c>
    </row>
    <row r="209" spans="2:18">
      <c r="B209" s="410">
        <v>45119</v>
      </c>
      <c r="C209" s="1028">
        <f ca="1">DATOSAÑO!AJ203</f>
        <v>6.1000000000058208</v>
      </c>
      <c r="D209" s="1028">
        <f ca="1">DATOSAÑO!AK203</f>
        <v>10</v>
      </c>
      <c r="E209" s="1028">
        <f ca="1">DATOSAÑO!AD203</f>
        <v>164</v>
      </c>
      <c r="F209" s="1028">
        <v>0</v>
      </c>
      <c r="G209" s="1028">
        <v>0</v>
      </c>
      <c r="H209" s="1028">
        <f ca="1">DATOSAÑO!AI203</f>
        <v>37.30000000000291</v>
      </c>
      <c r="I209" s="1028">
        <f ca="1">DATOSAÑO!CA203</f>
        <v>3.6219999999997281</v>
      </c>
      <c r="J209" s="1028">
        <v>0</v>
      </c>
      <c r="K209" s="1028">
        <f ca="1">DATOSAÑO!AF203</f>
        <v>152</v>
      </c>
      <c r="L209" s="1028">
        <f ca="1">+DATOSAÑO!CB203</f>
        <v>1.7136000000003273</v>
      </c>
      <c r="M209" s="1028">
        <f ca="1">+DATOSAÑO!AK203</f>
        <v>10</v>
      </c>
      <c r="N209" s="1028">
        <f ca="1">+DATOSAÑO!AH203</f>
        <v>13.400000000001455</v>
      </c>
      <c r="O209" s="1028">
        <f ca="1">DATOSAÑO!AL203</f>
        <v>34.899999999990541</v>
      </c>
      <c r="P209" s="1029" t="e">
        <f>+(DATOSAÑO!#REF!)+DATOSAÑO!#REF!</f>
        <v>#REF!</v>
      </c>
      <c r="Q209" s="1028">
        <f ca="1">+DATOSAÑO!BH203</f>
        <v>5</v>
      </c>
      <c r="R209" s="1114">
        <f ca="1">DATOSAÑO!BJ203+DATOSAÑO!BM203+DATOSAÑO!BP203+DATOSAÑO!BW203+DATOSAÑO!CC203</f>
        <v>22.96439999999922</v>
      </c>
    </row>
    <row r="210" spans="2:18">
      <c r="B210" s="410">
        <v>45120</v>
      </c>
      <c r="C210" s="1028">
        <f ca="1">DATOSAÑO!AJ204</f>
        <v>8.1999999999970896</v>
      </c>
      <c r="D210" s="1028">
        <f ca="1">DATOSAÑO!AK204</f>
        <v>10</v>
      </c>
      <c r="E210" s="1028">
        <f ca="1">DATOSAÑO!AD204</f>
        <v>163</v>
      </c>
      <c r="F210" s="1028">
        <v>0</v>
      </c>
      <c r="G210" s="1028">
        <v>0</v>
      </c>
      <c r="H210" s="1028">
        <f ca="1">DATOSAÑO!AI204</f>
        <v>37.30000000000291</v>
      </c>
      <c r="I210" s="1028">
        <f ca="1">DATOSAÑO!CA204</f>
        <v>3.394999999999226</v>
      </c>
      <c r="J210" s="1028">
        <v>0</v>
      </c>
      <c r="K210" s="1028">
        <f ca="1">DATOSAÑO!AF204</f>
        <v>152</v>
      </c>
      <c r="L210" s="1028">
        <f ca="1">+DATOSAÑO!CB204</f>
        <v>1.9355999999998363</v>
      </c>
      <c r="M210" s="1028">
        <f ca="1">+DATOSAÑO!AK204</f>
        <v>10</v>
      </c>
      <c r="N210" s="1028">
        <f ca="1">+DATOSAÑO!AH204</f>
        <v>13.799999999999272</v>
      </c>
      <c r="O210" s="1028">
        <f ca="1">DATOSAÑO!AL204</f>
        <v>35.300000000002854</v>
      </c>
      <c r="P210" s="1029" t="e">
        <f>+(DATOSAÑO!#REF!)+DATOSAÑO!#REF!</f>
        <v>#REF!</v>
      </c>
      <c r="Q210" s="1028">
        <f ca="1">+DATOSAÑO!BH204</f>
        <v>5</v>
      </c>
      <c r="R210" s="1114">
        <f ca="1">DATOSAÑO!BJ204+DATOSAÑO!BM204+DATOSAÑO!BP204+DATOSAÑO!BW204+DATOSAÑO!CC204</f>
        <v>23.069399999998751</v>
      </c>
    </row>
    <row r="211" spans="2:18">
      <c r="B211" s="410">
        <v>45121</v>
      </c>
      <c r="C211" s="1028">
        <f ca="1">DATOSAÑO!AJ205</f>
        <v>5.6999999999970896</v>
      </c>
      <c r="D211" s="1028">
        <f ca="1">DATOSAÑO!AK205</f>
        <v>9</v>
      </c>
      <c r="E211" s="1028">
        <f ca="1">DATOSAÑO!AD205</f>
        <v>163</v>
      </c>
      <c r="F211" s="1028">
        <v>0</v>
      </c>
      <c r="G211" s="1028">
        <v>0</v>
      </c>
      <c r="H211" s="1028">
        <f ca="1">DATOSAÑO!AI205</f>
        <v>35.899999999994179</v>
      </c>
      <c r="I211" s="1028">
        <f ca="1">DATOSAÑO!CA205</f>
        <v>4.0425000000002704</v>
      </c>
      <c r="J211" s="1028">
        <v>0</v>
      </c>
      <c r="K211" s="1028">
        <f ca="1">DATOSAÑO!AF205</f>
        <v>150</v>
      </c>
      <c r="L211" s="1028">
        <f ca="1">+DATOSAÑO!CB205</f>
        <v>1.9163999999998906</v>
      </c>
      <c r="M211" s="1028">
        <f ca="1">+DATOSAÑO!AK205</f>
        <v>9</v>
      </c>
      <c r="N211" s="1028">
        <f ca="1">+DATOSAÑO!AH205</f>
        <v>4.5999999999985448</v>
      </c>
      <c r="O211" s="1028">
        <f ca="1">DATOSAÑO!AL205</f>
        <v>31.900000000008788</v>
      </c>
      <c r="P211" s="1029" t="e">
        <f>+(DATOSAÑO!#REF!)+DATOSAÑO!#REF!</f>
        <v>#REF!</v>
      </c>
      <c r="Q211" s="1028">
        <f ca="1">+DATOSAÑO!BH205</f>
        <v>5</v>
      </c>
      <c r="R211" s="1114">
        <f ca="1">DATOSAÑO!BJ205+DATOSAÑO!BM205+DATOSAÑO!BP205+DATOSAÑO!BW205+DATOSAÑO!CC205</f>
        <v>21.941100000001292</v>
      </c>
    </row>
    <row r="212" spans="2:18">
      <c r="B212" s="410">
        <v>45122</v>
      </c>
      <c r="C212" s="1028">
        <f ca="1">DATOSAÑO!AJ206</f>
        <v>6.6999999999970896</v>
      </c>
      <c r="D212" s="1028">
        <f ca="1">DATOSAÑO!AK206</f>
        <v>9</v>
      </c>
      <c r="E212" s="1028">
        <f ca="1">DATOSAÑO!AD206</f>
        <v>164</v>
      </c>
      <c r="F212" s="1028">
        <v>0</v>
      </c>
      <c r="G212" s="1028">
        <v>0</v>
      </c>
      <c r="H212" s="1028">
        <f ca="1">DATOSAÑO!AI206</f>
        <v>35.30000000000291</v>
      </c>
      <c r="I212" s="1028">
        <f ca="1">DATOSAÑO!CA206</f>
        <v>4.5190000000008581</v>
      </c>
      <c r="J212" s="1028">
        <v>0</v>
      </c>
      <c r="K212" s="1028">
        <f ca="1">DATOSAÑO!AF206</f>
        <v>152</v>
      </c>
      <c r="L212" s="1028">
        <f ca="1">+DATOSAÑO!CB206</f>
        <v>2.0772000000002726</v>
      </c>
      <c r="M212" s="1028">
        <f ca="1">+DATOSAÑO!AK206</f>
        <v>9</v>
      </c>
      <c r="N212" s="1028">
        <f ca="1">+DATOSAÑO!AH206</f>
        <v>8.5</v>
      </c>
      <c r="O212" s="1028">
        <f ca="1">DATOSAÑO!AL206</f>
        <v>33.799999999999272</v>
      </c>
      <c r="P212" s="1029" t="e">
        <f>+(DATOSAÑO!#REF!)+DATOSAÑO!#REF!</f>
        <v>#REF!</v>
      </c>
      <c r="Q212" s="1028">
        <f ca="1">+DATOSAÑO!BH206</f>
        <v>4</v>
      </c>
      <c r="R212" s="1114">
        <f ca="1">DATOSAÑO!BJ206+DATOSAÑO!BM206+DATOSAÑO!BP206+DATOSAÑO!BW206+DATOSAÑO!CC206</f>
        <v>22.103799999999588</v>
      </c>
    </row>
    <row r="213" spans="2:18">
      <c r="B213" s="410">
        <v>45123</v>
      </c>
      <c r="C213" s="1028">
        <f ca="1">DATOSAÑO!AJ207</f>
        <v>6.6999999999970896</v>
      </c>
      <c r="D213" s="1028">
        <f ca="1">DATOSAÑO!AK207</f>
        <v>10</v>
      </c>
      <c r="E213" s="1028">
        <f ca="1">DATOSAÑO!AD207</f>
        <v>166</v>
      </c>
      <c r="F213" s="1028">
        <v>0</v>
      </c>
      <c r="G213" s="1028">
        <v>0</v>
      </c>
      <c r="H213" s="1028">
        <f ca="1">DATOSAÑO!AI207</f>
        <v>35.19999999999709</v>
      </c>
      <c r="I213" s="1028">
        <f ca="1">DATOSAÑO!CA207</f>
        <v>3.8229999999992748</v>
      </c>
      <c r="J213" s="1028">
        <v>0</v>
      </c>
      <c r="K213" s="1028">
        <f ca="1">DATOSAÑO!AF207</f>
        <v>152</v>
      </c>
      <c r="L213" s="1028">
        <f ca="1">+DATOSAÑO!CB207</f>
        <v>1.9919999999997815</v>
      </c>
      <c r="M213" s="1028">
        <f ca="1">+DATOSAÑO!AK207</f>
        <v>10</v>
      </c>
      <c r="N213" s="1028">
        <f ca="1">+DATOSAÑO!AH207</f>
        <v>13.000000000001819</v>
      </c>
      <c r="O213" s="1028">
        <f ca="1">DATOSAÑO!AL207</f>
        <v>33.300000000004673</v>
      </c>
      <c r="P213" s="1029" t="e">
        <f>+(DATOSAÑO!#REF!)+DATOSAÑO!#REF!</f>
        <v>#REF!</v>
      </c>
      <c r="Q213" s="1028">
        <f ca="1">+DATOSAÑO!BH207</f>
        <v>4</v>
      </c>
      <c r="R213" s="1114">
        <f ca="1">DATOSAÑO!BJ207+DATOSAÑO!BM207+DATOSAÑO!BP207+DATOSAÑO!BW207+DATOSAÑO!CC207</f>
        <v>21.985000000000223</v>
      </c>
    </row>
    <row r="214" spans="2:18">
      <c r="B214" s="410">
        <v>45124</v>
      </c>
      <c r="C214" s="1028">
        <f ca="1">DATOSAÑO!AJ208</f>
        <v>4.3000000000029104</v>
      </c>
      <c r="D214" s="1028">
        <f ca="1">DATOSAÑO!AK208</f>
        <v>10</v>
      </c>
      <c r="E214" s="1028">
        <f ca="1">DATOSAÑO!AD208</f>
        <v>166</v>
      </c>
      <c r="F214" s="1028">
        <v>0</v>
      </c>
      <c r="G214" s="1028">
        <v>0</v>
      </c>
      <c r="H214" s="1028">
        <f ca="1">DATOSAÑO!AI208</f>
        <v>35.400000000008731</v>
      </c>
      <c r="I214" s="1028">
        <f ca="1">DATOSAÑO!CA208</f>
        <v>5.0649000000013267</v>
      </c>
      <c r="J214" s="1028">
        <v>0</v>
      </c>
      <c r="K214" s="1028">
        <f ca="1">DATOSAÑO!AF208</f>
        <v>150</v>
      </c>
      <c r="L214" s="1028">
        <f ca="1">+DATOSAÑO!CB208</f>
        <v>1.968000000000109</v>
      </c>
      <c r="M214" s="1028">
        <f ca="1">+DATOSAÑO!AK208</f>
        <v>10</v>
      </c>
      <c r="N214" s="1028">
        <f ca="1">+DATOSAÑO!AH208</f>
        <v>12.80000000000291</v>
      </c>
      <c r="O214" s="1028">
        <f ca="1">DATOSAÑO!AL208</f>
        <v>31.599999999983936</v>
      </c>
      <c r="P214" s="1029" t="e">
        <f>+(DATOSAÑO!#REF!)+DATOSAÑO!#REF!</f>
        <v>#REF!</v>
      </c>
      <c r="Q214" s="1028">
        <f ca="1">+DATOSAÑO!BH208</f>
        <v>5</v>
      </c>
      <c r="R214" s="1114">
        <f ca="1">DATOSAÑO!BJ208+DATOSAÑO!BM208+DATOSAÑO!BP208+DATOSAÑO!BW208+DATOSAÑO!CC208</f>
        <v>22.867100000000029</v>
      </c>
    </row>
    <row r="215" spans="2:18">
      <c r="B215" s="410">
        <v>45125</v>
      </c>
      <c r="C215" s="1028">
        <f ca="1">DATOSAÑO!AJ209</f>
        <v>4.3000000000029104</v>
      </c>
      <c r="D215" s="1028">
        <f ca="1">DATOSAÑO!AK209</f>
        <v>10</v>
      </c>
      <c r="E215" s="1028">
        <f ca="1">DATOSAÑO!AD209</f>
        <v>166</v>
      </c>
      <c r="F215" s="1028">
        <v>0</v>
      </c>
      <c r="G215" s="1028">
        <v>0</v>
      </c>
      <c r="H215" s="1028">
        <f ca="1">DATOSAÑO!AI209</f>
        <v>38.099999999991269</v>
      </c>
      <c r="I215" s="1028">
        <f ca="1">DATOSAÑO!CA209</f>
        <v>2.6009999999997753</v>
      </c>
      <c r="J215" s="1028">
        <v>0</v>
      </c>
      <c r="K215" s="1028">
        <f ca="1">DATOSAÑO!AF209</f>
        <v>124</v>
      </c>
      <c r="L215" s="1028">
        <f ca="1">+DATOSAÑO!CB209</f>
        <v>1.9271999999996179</v>
      </c>
      <c r="M215" s="1028">
        <f ca="1">+DATOSAÑO!AK209</f>
        <v>10</v>
      </c>
      <c r="N215" s="1028">
        <f ca="1">+DATOSAÑO!AH209</f>
        <v>12.099999999998545</v>
      </c>
      <c r="O215" s="1028">
        <f ca="1">DATOSAÑO!AL209</f>
        <v>35.909000000007268</v>
      </c>
      <c r="P215" s="1029" t="e">
        <f>+(DATOSAÑO!#REF!)+DATOSAÑO!#REF!</f>
        <v>#REF!</v>
      </c>
      <c r="Q215" s="1028">
        <f ca="1">+DATOSAÑO!BH209</f>
        <v>5</v>
      </c>
      <c r="R215" s="1114">
        <f ca="1">DATOSAÑO!BJ209+DATOSAÑO!BM209+DATOSAÑO!BP209+DATOSAÑO!BW209+DATOSAÑO!CC209</f>
        <v>17.471800000000613</v>
      </c>
    </row>
    <row r="216" spans="2:18">
      <c r="B216" s="410">
        <v>45126</v>
      </c>
      <c r="C216" s="1028">
        <f ca="1">DATOSAÑO!AJ210</f>
        <v>4.6000000000058208</v>
      </c>
      <c r="D216" s="1028">
        <f ca="1">DATOSAÑO!AK210</f>
        <v>9</v>
      </c>
      <c r="E216" s="1028">
        <f ca="1">DATOSAÑO!AD210</f>
        <v>170</v>
      </c>
      <c r="F216" s="1028">
        <v>0</v>
      </c>
      <c r="G216" s="1028">
        <v>0</v>
      </c>
      <c r="H216" s="1028">
        <f ca="1">DATOSAÑO!AI210</f>
        <v>38.900000000008731</v>
      </c>
      <c r="I216" s="1028">
        <f ca="1">DATOSAÑO!CA210</f>
        <v>4.7490000000000956</v>
      </c>
      <c r="J216" s="1028">
        <v>0</v>
      </c>
      <c r="K216" s="1028">
        <f ca="1">DATOSAÑO!AF210</f>
        <v>148</v>
      </c>
      <c r="L216" s="1028">
        <f ca="1">+DATOSAÑO!CB210</f>
        <v>1.4148000000003274</v>
      </c>
      <c r="M216" s="1028">
        <f ca="1">+DATOSAÑO!AK210</f>
        <v>9</v>
      </c>
      <c r="N216" s="1028">
        <f ca="1">+DATOSAÑO!AH210</f>
        <v>3.1999999999989086</v>
      </c>
      <c r="O216" s="1028">
        <f ca="1">DATOSAÑO!AL210</f>
        <v>32.538999999986572</v>
      </c>
      <c r="P216" s="1029" t="e">
        <f>+(DATOSAÑO!#REF!)+DATOSAÑO!#REF!</f>
        <v>#REF!</v>
      </c>
      <c r="Q216" s="1028">
        <f ca="1">+DATOSAÑO!BH210</f>
        <v>5</v>
      </c>
      <c r="R216" s="1114">
        <f ca="1">DATOSAÑO!BJ210+DATOSAÑO!BM210+DATOSAÑO!BP210+DATOSAÑO!BW210+DATOSAÑO!CC210</f>
        <v>21.836199999999586</v>
      </c>
    </row>
    <row r="217" spans="2:18">
      <c r="B217" s="410">
        <v>45127</v>
      </c>
      <c r="C217" s="1028">
        <f ca="1">DATOSAÑO!AJ211</f>
        <v>7.569999999992433</v>
      </c>
      <c r="D217" s="1028">
        <f ca="1">DATOSAÑO!AK211</f>
        <v>9.8999999999941792</v>
      </c>
      <c r="E217" s="1028">
        <f ca="1">DATOSAÑO!AD211</f>
        <v>165.68000000000029</v>
      </c>
      <c r="F217" s="1028">
        <v>0</v>
      </c>
      <c r="G217" s="1028">
        <v>0</v>
      </c>
      <c r="H217" s="1028">
        <f ca="1">DATOSAÑO!AI211</f>
        <v>40.399999999994179</v>
      </c>
      <c r="I217" s="1028">
        <f ca="1">DATOSAÑO!CA211</f>
        <v>4.1690000000063803</v>
      </c>
      <c r="J217" s="1028">
        <v>0</v>
      </c>
      <c r="K217" s="1028">
        <f ca="1">DATOSAÑO!AF211</f>
        <v>153.05999999999767</v>
      </c>
      <c r="L217" s="1028">
        <f ca="1">+DATOSAÑO!CB211</f>
        <v>2.062199999999716</v>
      </c>
      <c r="M217" s="1028">
        <f ca="1">+DATOSAÑO!AK211</f>
        <v>9.8999999999941792</v>
      </c>
      <c r="N217" s="1028">
        <f ca="1">+DATOSAÑO!AH211</f>
        <v>11.900000000003274</v>
      </c>
      <c r="O217" s="1028">
        <f ca="1">DATOSAÑO!AL211</f>
        <v>33.090000000020154</v>
      </c>
      <c r="P217" s="1029" t="e">
        <f>+(DATOSAÑO!#REF!)+DATOSAÑO!#REF!</f>
        <v>#REF!</v>
      </c>
      <c r="Q217" s="1028">
        <f ca="1">+DATOSAÑO!BH211</f>
        <v>4.0009999999965657</v>
      </c>
      <c r="R217" s="1114">
        <f ca="1">DATOSAÑO!BJ211+DATOSAÑO!BM211+DATOSAÑO!BP211+DATOSAÑO!BW211+DATOSAÑO!CC211</f>
        <v>22.208800000007137</v>
      </c>
    </row>
    <row r="218" spans="2:18">
      <c r="B218" s="410">
        <v>45128</v>
      </c>
      <c r="C218" s="1028">
        <f ca="1">DATOSAÑO!AJ212</f>
        <v>7.0299999999988358</v>
      </c>
      <c r="D218" s="1028">
        <f ca="1">DATOSAÑO!AK212</f>
        <v>9.7000000000116415</v>
      </c>
      <c r="E218" s="1028">
        <f ca="1">DATOSAÑO!AD212</f>
        <v>162.42000000000007</v>
      </c>
      <c r="F218" s="1028">
        <v>0</v>
      </c>
      <c r="G218" s="1028">
        <v>0</v>
      </c>
      <c r="H218" s="1028">
        <f ca="1">DATOSAÑO!AI212</f>
        <v>38.5</v>
      </c>
      <c r="I218" s="1028">
        <f ca="1">DATOSAÑO!CA212</f>
        <v>2.7309999999808792</v>
      </c>
      <c r="J218" s="1028">
        <v>0</v>
      </c>
      <c r="K218" s="1028">
        <f ca="1">DATOSAÑO!AF212</f>
        <v>147.94000000000233</v>
      </c>
      <c r="L218" s="1028">
        <f ca="1">+DATOSAÑO!CB212</f>
        <v>1.6824000000000654</v>
      </c>
      <c r="M218" s="1028">
        <f ca="1">+DATOSAÑO!AK212</f>
        <v>9.7000000000116415</v>
      </c>
      <c r="N218" s="1028">
        <f ca="1">+DATOSAÑO!AH212</f>
        <v>11.299999999997453</v>
      </c>
      <c r="O218" s="1028">
        <f ca="1">DATOSAÑO!AL212</f>
        <v>33.310000000059517</v>
      </c>
      <c r="P218" s="1029" t="e">
        <f>+(DATOSAÑO!#REF!)+DATOSAÑO!#REF!</f>
        <v>#REF!</v>
      </c>
      <c r="Q218" s="1028">
        <f ca="1">+DATOSAÑO!BH212</f>
        <v>4.7990000000063446</v>
      </c>
      <c r="R218" s="1114">
        <f ca="1">DATOSAÑO!BJ212+DATOSAÑO!BM212+DATOSAÑO!BP212+DATOSAÑO!BW212+DATOSAÑO!CC212</f>
        <v>20.146599999980342</v>
      </c>
    </row>
    <row r="219" spans="2:18">
      <c r="B219" s="410">
        <v>45129</v>
      </c>
      <c r="C219" s="1028">
        <f ca="1">DATOSAÑO!AJ213</f>
        <v>8.3300000000017462</v>
      </c>
      <c r="D219" s="1028">
        <f ca="1">DATOSAÑO!AK213</f>
        <v>9.4499999999825377</v>
      </c>
      <c r="E219" s="1028">
        <f ca="1">DATOSAÑO!AD213</f>
        <v>166.79999999999927</v>
      </c>
      <c r="F219" s="1028">
        <v>0</v>
      </c>
      <c r="G219" s="1028">
        <v>0</v>
      </c>
      <c r="H219" s="1028">
        <f ca="1">DATOSAÑO!AI213</f>
        <v>39.940000000002328</v>
      </c>
      <c r="I219" s="1028">
        <f ca="1">DATOSAÑO!CA213</f>
        <v>4.3875000000066358</v>
      </c>
      <c r="J219" s="1028">
        <v>0</v>
      </c>
      <c r="K219" s="1028">
        <f ca="1">DATOSAÑO!AF213</f>
        <v>146.29999999998836</v>
      </c>
      <c r="L219" s="1028">
        <f ca="1">+DATOSAÑO!CB213</f>
        <v>1.9847999999998143</v>
      </c>
      <c r="M219" s="1028">
        <f ca="1">+DATOSAÑO!AK213</f>
        <v>9.4499999999825377</v>
      </c>
      <c r="N219" s="1028">
        <f ca="1">+DATOSAÑO!AH213</f>
        <v>6.6999999999970896</v>
      </c>
      <c r="O219" s="1028">
        <f ca="1">DATOSAÑO!AL213</f>
        <v>33.113000000026659</v>
      </c>
      <c r="P219" s="1029" t="e">
        <f>+(DATOSAÑO!#REF!)+DATOSAÑO!#REF!</f>
        <v>#REF!</v>
      </c>
      <c r="Q219" s="1028">
        <f ca="1">+DATOSAÑO!BH213</f>
        <v>4.3399999999965075</v>
      </c>
      <c r="R219" s="1114">
        <f ca="1">DATOSAÑO!BJ213+DATOSAÑO!BM213+DATOSAÑO!BP213+DATOSAÑO!BW213+DATOSAÑO!CC213</f>
        <v>23.027700000005929</v>
      </c>
    </row>
    <row r="220" spans="2:18">
      <c r="B220" s="410">
        <v>45130</v>
      </c>
      <c r="C220" s="1028">
        <f ca="1">DATOSAÑO!AJ214</f>
        <v>7.3600000000005821</v>
      </c>
      <c r="D220" s="1028">
        <f ca="1">DATOSAÑO!AK214</f>
        <v>10.14000000001397</v>
      </c>
      <c r="E220" s="1028">
        <f ca="1">DATOSAÑO!AD214</f>
        <v>164.39999999999964</v>
      </c>
      <c r="F220" s="1028">
        <v>0</v>
      </c>
      <c r="G220" s="1028">
        <v>0</v>
      </c>
      <c r="H220" s="1028">
        <f ca="1">DATOSAÑO!AI214</f>
        <v>39.05000000000291</v>
      </c>
      <c r="I220" s="1028">
        <f ca="1">DATOSAÑO!CA214</f>
        <v>3.5700000000052494</v>
      </c>
      <c r="J220" s="1028">
        <v>0</v>
      </c>
      <c r="K220" s="1028">
        <f ca="1">DATOSAÑO!AF214</f>
        <v>143.70000000001164</v>
      </c>
      <c r="L220" s="1028">
        <f ca="1">+DATOSAÑO!CB214</f>
        <v>2.0232000000000765</v>
      </c>
      <c r="M220" s="1028">
        <f ca="1">+DATOSAÑO!AK214</f>
        <v>10.14000000001397</v>
      </c>
      <c r="N220" s="1028">
        <f ca="1">+DATOSAÑO!AH214</f>
        <v>13.400000000001455</v>
      </c>
      <c r="O220" s="1028">
        <f ca="1">DATOSAÑO!AL214</f>
        <v>33.521999999948093</v>
      </c>
      <c r="P220" s="1029" t="e">
        <f>+(DATOSAÑO!#REF!)+DATOSAÑO!#REF!</f>
        <v>#REF!</v>
      </c>
      <c r="Q220" s="1028">
        <f ca="1">+DATOSAÑO!BH214</f>
        <v>4.1699999999982538</v>
      </c>
      <c r="R220" s="1114">
        <f ca="1">DATOSAÑO!BJ214+DATOSAÑO!BM214+DATOSAÑO!BP214+DATOSAÑO!BW214+DATOSAÑO!CC214</f>
        <v>21.60680000000632</v>
      </c>
    </row>
    <row r="221" spans="2:18">
      <c r="B221" s="410">
        <v>45131</v>
      </c>
      <c r="C221" s="1028">
        <f ca="1">DATOSAÑO!AJ215</f>
        <v>8.3600000000005821</v>
      </c>
      <c r="D221" s="1028">
        <f ca="1">DATOSAÑO!AK215</f>
        <v>10</v>
      </c>
      <c r="E221" s="1028">
        <f ca="1">DATOSAÑO!AD215</f>
        <v>164.90000000000146</v>
      </c>
      <c r="F221" s="1028">
        <v>0</v>
      </c>
      <c r="G221" s="1028">
        <v>0</v>
      </c>
      <c r="H221" s="1028">
        <f ca="1">DATOSAÑO!AI215</f>
        <v>39.039999999993597</v>
      </c>
      <c r="I221" s="1028">
        <f ca="1">DATOSAÑO!CA215</f>
        <v>4.5730000000180473</v>
      </c>
      <c r="J221" s="1028">
        <v>0</v>
      </c>
      <c r="K221" s="1028">
        <f ca="1">DATOSAÑO!AF215</f>
        <v>145.79999999998836</v>
      </c>
      <c r="L221" s="1028">
        <f ca="1">+DATOSAÑO!CB215</f>
        <v>2.1108000000003382</v>
      </c>
      <c r="M221" s="1028">
        <f ca="1">+DATOSAÑO!AK215</f>
        <v>10</v>
      </c>
      <c r="N221" s="1028">
        <f ca="1">+DATOSAÑO!AH215</f>
        <v>13.30000000000291</v>
      </c>
      <c r="O221" s="1028">
        <f ca="1">DATOSAÑO!AL215</f>
        <v>33.521999999877153</v>
      </c>
      <c r="P221" s="1029" t="e">
        <f>+(DATOSAÑO!#REF!)+DATOSAÑO!#REF!</f>
        <v>#REF!</v>
      </c>
      <c r="Q221" s="1028">
        <f ca="1">+DATOSAÑO!BH215</f>
        <v>5.0410000000047148</v>
      </c>
      <c r="R221" s="1114">
        <f ca="1">DATOSAÑO!BJ215+DATOSAÑO!BM215+DATOSAÑO!BP215+DATOSAÑO!BW215+DATOSAÑO!CC215</f>
        <v>21.616200000017255</v>
      </c>
    </row>
    <row r="222" spans="2:18">
      <c r="B222" s="410">
        <v>45132</v>
      </c>
      <c r="C222" s="1028">
        <f ca="1">DATOSAÑO!AJ216</f>
        <v>9.1000000000058208</v>
      </c>
      <c r="D222" s="1028">
        <f ca="1">DATOSAÑO!AK216</f>
        <v>9.5599999999976717</v>
      </c>
      <c r="E222" s="1028">
        <f ca="1">DATOSAÑO!AD216</f>
        <v>163.73499999999876</v>
      </c>
      <c r="F222" s="1028">
        <v>0</v>
      </c>
      <c r="G222" s="1028">
        <v>0</v>
      </c>
      <c r="H222" s="1028">
        <f ca="1">DATOSAÑO!AI216</f>
        <v>37.540000000008149</v>
      </c>
      <c r="I222" s="1028">
        <f ca="1">DATOSAÑO!CA216</f>
        <v>5.3944999999767624</v>
      </c>
      <c r="J222" s="1028">
        <v>0</v>
      </c>
      <c r="K222" s="1028">
        <f ca="1">DATOSAÑO!AF216</f>
        <v>142.51000000000931</v>
      </c>
      <c r="L222" s="1028">
        <f ca="1">+DATOSAÑO!CB216</f>
        <v>2.0010000000000288</v>
      </c>
      <c r="M222" s="1028">
        <f ca="1">+DATOSAÑO!AK216</f>
        <v>9.5599999999976717</v>
      </c>
      <c r="N222" s="1028">
        <f ca="1">+DATOSAÑO!AH216</f>
        <v>11.299999999995634</v>
      </c>
      <c r="O222" s="1028">
        <f ca="1">DATOSAÑO!AL216</f>
        <v>33.422000000108198</v>
      </c>
      <c r="P222" s="1029" t="e">
        <f>+(DATOSAÑO!#REF!)+DATOSAÑO!#REF!</f>
        <v>#REF!</v>
      </c>
      <c r="Q222" s="1028">
        <f ca="1">+DATOSAÑO!BH216</f>
        <v>4.7520000000004075</v>
      </c>
      <c r="R222" s="1114">
        <f ca="1">DATOSAÑO!BJ216+DATOSAÑO!BM216+DATOSAÑO!BP216+DATOSAÑO!BW216+DATOSAÑO!CC216</f>
        <v>22.094499999977508</v>
      </c>
    </row>
    <row r="223" spans="2:18">
      <c r="B223" s="410">
        <v>45133</v>
      </c>
      <c r="C223" s="1028">
        <f ca="1">DATOSAÑO!AJ217</f>
        <v>8.0499999999883585</v>
      </c>
      <c r="D223" s="1028">
        <f ca="1">DATOSAÑO!AK217</f>
        <v>9.25</v>
      </c>
      <c r="E223" s="1028">
        <f ca="1">DATOSAÑO!AD217</f>
        <v>164.86499999999978</v>
      </c>
      <c r="F223" s="1028">
        <v>0</v>
      </c>
      <c r="G223" s="1028">
        <v>0</v>
      </c>
      <c r="H223" s="1028">
        <f ca="1">DATOSAÑO!AI217</f>
        <v>39.029999999998836</v>
      </c>
      <c r="I223" s="1028">
        <f ca="1">DATOSAÑO!CA217</f>
        <v>4.5614999999998522</v>
      </c>
      <c r="J223" s="1028">
        <v>0</v>
      </c>
      <c r="K223" s="1028">
        <f ca="1">DATOSAÑO!AF217</f>
        <v>146.89000000001397</v>
      </c>
      <c r="L223" s="1028">
        <f ca="1">+DATOSAÑO!CB217</f>
        <v>1.8773999999995308</v>
      </c>
      <c r="M223" s="1028">
        <f ca="1">+DATOSAÑO!AK217</f>
        <v>9.25</v>
      </c>
      <c r="N223" s="1028">
        <f ca="1">+DATOSAÑO!AH217</f>
        <v>6.2000000000007276</v>
      </c>
      <c r="O223" s="1028">
        <f ca="1">DATOSAÑO!AL217</f>
        <v>32.011000000029526</v>
      </c>
      <c r="P223" s="1029" t="e">
        <f>+(DATOSAÑO!#REF!)+DATOSAÑO!#REF!</f>
        <v>#REF!</v>
      </c>
      <c r="Q223" s="1028">
        <f ca="1">+DATOSAÑO!BH217</f>
        <v>5.1970000000001164</v>
      </c>
      <c r="R223" s="1114">
        <f ca="1">DATOSAÑO!BJ217+DATOSAÑO!BM217+DATOSAÑO!BP217+DATOSAÑO!BW217+DATOSAÑO!CC217</f>
        <v>21.771099999999755</v>
      </c>
    </row>
    <row r="224" spans="2:18">
      <c r="B224" s="410">
        <v>45134</v>
      </c>
      <c r="C224" s="1028">
        <f ca="1">DATOSAÑO!AJ218</f>
        <v>5.4000000000087311</v>
      </c>
      <c r="D224" s="1028">
        <f ca="1">DATOSAÑO!AK218</f>
        <v>9</v>
      </c>
      <c r="E224" s="1028">
        <f ca="1">DATOSAÑO!AD218</f>
        <v>168.20000000000073</v>
      </c>
      <c r="F224" s="1028">
        <v>0</v>
      </c>
      <c r="G224" s="1028">
        <v>0</v>
      </c>
      <c r="H224" s="1028">
        <f ca="1">DATOSAÑO!AI218</f>
        <v>40.599999999991269</v>
      </c>
      <c r="I224" s="1028">
        <f ca="1">DATOSAÑO!CA218</f>
        <v>5.3330000000055984</v>
      </c>
      <c r="J224" s="1028">
        <v>0</v>
      </c>
      <c r="K224" s="1028">
        <f ca="1">DATOSAÑO!AF218</f>
        <v>143.79999999998836</v>
      </c>
      <c r="L224" s="1028">
        <f ca="1">+DATOSAÑO!CB218</f>
        <v>2.1348000000000544</v>
      </c>
      <c r="M224" s="1028">
        <f ca="1">+DATOSAÑO!AK218</f>
        <v>9</v>
      </c>
      <c r="N224" s="1028">
        <f ca="1">+DATOSAÑO!AH218</f>
        <v>8.4000000000014552</v>
      </c>
      <c r="O224" s="1028">
        <f ca="1">DATOSAÑO!AL218</f>
        <v>35.973999999943771</v>
      </c>
      <c r="P224" s="1029" t="e">
        <f>+(DATOSAÑO!#REF!)+DATOSAÑO!#REF!</f>
        <v>#REF!</v>
      </c>
      <c r="Q224" s="1028">
        <f ca="1">+DATOSAÑO!BH218</f>
        <v>4.6999999999970896</v>
      </c>
      <c r="R224" s="1114">
        <f ca="1">DATOSAÑO!BJ218+DATOSAÑO!BM218+DATOSAÑO!BP218+DATOSAÑO!BW218+DATOSAÑO!CC218</f>
        <v>22.032200000005268</v>
      </c>
    </row>
    <row r="225" spans="2:18">
      <c r="B225" s="410">
        <v>45135</v>
      </c>
      <c r="C225" s="1028">
        <f ca="1">DATOSAÑO!AJ219</f>
        <v>7.1999999999970896</v>
      </c>
      <c r="D225" s="1028">
        <f ca="1">DATOSAÑO!AK219</f>
        <v>10</v>
      </c>
      <c r="E225" s="1028">
        <f ca="1">DATOSAÑO!AD219</f>
        <v>164</v>
      </c>
      <c r="F225" s="1028">
        <v>0</v>
      </c>
      <c r="G225" s="1028">
        <v>0</v>
      </c>
      <c r="H225" s="1028">
        <f ca="1">DATOSAÑO!AI219</f>
        <v>38.400000000008731</v>
      </c>
      <c r="I225" s="1028">
        <f ca="1">DATOSAÑO!CA219</f>
        <v>4.7539999999996887</v>
      </c>
      <c r="J225" s="1028">
        <v>0</v>
      </c>
      <c r="K225" s="1028">
        <f ca="1">DATOSAÑO!AF219</f>
        <v>129</v>
      </c>
      <c r="L225" s="1028">
        <f ca="1">+DATOSAÑO!CB219</f>
        <v>2.0616000000003671</v>
      </c>
      <c r="M225" s="1028">
        <f ca="1">+DATOSAÑO!AK219</f>
        <v>10</v>
      </c>
      <c r="N225" s="1028">
        <f ca="1">+DATOSAÑO!AH219</f>
        <v>12.900000000003274</v>
      </c>
      <c r="O225" s="1028">
        <f ca="1">DATOSAÑO!AL219</f>
        <v>34.299999999990177</v>
      </c>
      <c r="P225" s="1029" t="e">
        <f>+(DATOSAÑO!#REF!)+DATOSAÑO!#REF!</f>
        <v>#REF!</v>
      </c>
      <c r="Q225" s="1028">
        <f ca="1">+DATOSAÑO!BH219</f>
        <v>5</v>
      </c>
      <c r="R225" s="1114">
        <f ca="1">DATOSAÑO!BJ219+DATOSAÑO!BM219+DATOSAÑO!BP219+DATOSAÑO!BW219+DATOSAÑO!CC219</f>
        <v>21.38440000000066</v>
      </c>
    </row>
    <row r="226" spans="2:18">
      <c r="B226" s="410">
        <v>45136</v>
      </c>
      <c r="C226" s="1028">
        <f ca="1">DATOSAÑO!AJ220</f>
        <v>8.8000000000029104</v>
      </c>
      <c r="D226" s="1028">
        <f ca="1">DATOSAÑO!AK220</f>
        <v>10</v>
      </c>
      <c r="E226" s="1028">
        <f ca="1">DATOSAÑO!AD220</f>
        <v>166</v>
      </c>
      <c r="F226" s="1028">
        <v>0</v>
      </c>
      <c r="G226" s="1028">
        <v>0</v>
      </c>
      <c r="H226" s="1028">
        <f ca="1">DATOSAÑO!AI220</f>
        <v>37.299999999988358</v>
      </c>
      <c r="I226" s="1028">
        <f ca="1">DATOSAÑO!CA220</f>
        <v>6.5325000000007742</v>
      </c>
      <c r="J226" s="1028">
        <v>0</v>
      </c>
      <c r="K226" s="1028">
        <f ca="1">DATOSAÑO!AF220</f>
        <v>146</v>
      </c>
      <c r="L226" s="1028">
        <f ca="1">+DATOSAÑO!CB220</f>
        <v>1.9517999999999454</v>
      </c>
      <c r="M226" s="1028">
        <f ca="1">+DATOSAÑO!AK220</f>
        <v>10</v>
      </c>
      <c r="N226" s="1028">
        <f ca="1">+DATOSAÑO!AH220</f>
        <v>13.799999999995634</v>
      </c>
      <c r="O226" s="1028">
        <f ca="1">DATOSAÑO!AL220</f>
        <v>29.900000000012369</v>
      </c>
      <c r="P226" s="1029" t="e">
        <f>+(DATOSAÑO!#REF!)+DATOSAÑO!#REF!</f>
        <v>#REF!</v>
      </c>
      <c r="Q226" s="1028">
        <f ca="1">+DATOSAÑO!BH220</f>
        <v>4</v>
      </c>
      <c r="R226" s="1114">
        <f ca="1">DATOSAÑO!BJ220+DATOSAÑO!BM220+DATOSAÑO!BP220+DATOSAÑO!BW220+DATOSAÑO!CC220</f>
        <v>21.715700000000009</v>
      </c>
    </row>
    <row r="227" spans="2:18">
      <c r="B227" s="410">
        <v>45137</v>
      </c>
      <c r="C227" s="1028">
        <f ca="1">DATOSAÑO!AJ221</f>
        <v>8.8999999999941792</v>
      </c>
      <c r="D227" s="1028">
        <f ca="1">DATOSAÑO!AK221</f>
        <v>10</v>
      </c>
      <c r="E227" s="1028">
        <f ca="1">DATOSAÑO!AD221</f>
        <v>166</v>
      </c>
      <c r="F227" s="1028">
        <v>0</v>
      </c>
      <c r="G227" s="1028">
        <v>0</v>
      </c>
      <c r="H227" s="1028">
        <f ca="1">DATOSAÑO!AI221</f>
        <v>37.900000000008731</v>
      </c>
      <c r="I227" s="1028">
        <f ca="1">DATOSAÑO!CA221</f>
        <v>5.5704999999990488</v>
      </c>
      <c r="J227" s="1028">
        <v>0</v>
      </c>
      <c r="K227" s="1028">
        <f ca="1">DATOSAÑO!AF221</f>
        <v>147</v>
      </c>
      <c r="L227" s="1028">
        <f ca="1">+DATOSAÑO!CB221</f>
        <v>2.1012000000000546</v>
      </c>
      <c r="M227" s="1028">
        <f ca="1">+DATOSAÑO!AK221</f>
        <v>10</v>
      </c>
      <c r="N227" s="1028">
        <f ca="1">+DATOSAÑO!AH221</f>
        <v>12.300000000004729</v>
      </c>
      <c r="O227" s="1028">
        <f ca="1">DATOSAÑO!AL221</f>
        <v>33.499999999994486</v>
      </c>
      <c r="P227" s="1029" t="e">
        <f>+(DATOSAÑO!#REF!)+DATOSAÑO!#REF!</f>
        <v>#REF!</v>
      </c>
      <c r="Q227" s="1028">
        <f ca="1">+DATOSAÑO!BH221</f>
        <v>4</v>
      </c>
      <c r="R227" s="1114">
        <f ca="1">DATOSAÑO!BJ221+DATOSAÑO!BM221+DATOSAÑO!BP221+DATOSAÑO!BW221+DATOSAÑO!CC221</f>
        <v>20.728299999998718</v>
      </c>
    </row>
    <row r="228" spans="2:18" ht="15" thickBot="1">
      <c r="B228" s="410">
        <v>45138</v>
      </c>
      <c r="C228" s="1028">
        <f ca="1">DATOSAÑO!AJ222</f>
        <v>7.3000000000029104</v>
      </c>
      <c r="D228" s="1028">
        <f ca="1">DATOSAÑO!AK222</f>
        <v>8</v>
      </c>
      <c r="E228" s="1028">
        <f ca="1">DATOSAÑO!AD222</f>
        <v>162</v>
      </c>
      <c r="F228" s="1028">
        <v>0</v>
      </c>
      <c r="G228" s="1028">
        <v>0</v>
      </c>
      <c r="H228" s="1028">
        <f ca="1">DATOSAÑO!AI222</f>
        <v>36.599999999991269</v>
      </c>
      <c r="I228" s="1028">
        <f ca="1">DATOSAÑO!CA222</f>
        <v>5.3405000000000431</v>
      </c>
      <c r="J228" s="1028">
        <v>0</v>
      </c>
      <c r="K228" s="1028">
        <f ca="1">DATOSAÑO!AF222</f>
        <v>145</v>
      </c>
      <c r="L228" s="1028">
        <f ca="1">+DATOSAÑO!CB222</f>
        <v>1.6776000000001636</v>
      </c>
      <c r="M228" s="1028">
        <f ca="1">+DATOSAÑO!AK222</f>
        <v>8</v>
      </c>
      <c r="N228" s="1028">
        <f ca="1">+DATOSAÑO!AH222</f>
        <v>1.499999999994543</v>
      </c>
      <c r="O228" s="1028">
        <f ca="1">DATOSAÑO!AL222</f>
        <v>33.422000000011337</v>
      </c>
      <c r="P228" s="1029" t="e">
        <f>+(DATOSAÑO!#REF!)+DATOSAÑO!#REF!</f>
        <v>#REF!</v>
      </c>
      <c r="Q228" s="1028">
        <f ca="1">+DATOSAÑO!BH222</f>
        <v>4</v>
      </c>
      <c r="R228" s="1114">
        <f ca="1">DATOSAÑO!BJ222+DATOSAÑO!BM222+DATOSAÑO!BP222+DATOSAÑO!BW222+DATOSAÑO!CC222</f>
        <v>19.98189999999979</v>
      </c>
    </row>
    <row r="229" spans="2:18" ht="15" thickBot="1">
      <c r="B229" s="1308" t="s">
        <v>1114</v>
      </c>
      <c r="C229" s="1307">
        <f ca="1">SUM(C198:C228)</f>
        <v>229.52999999999884</v>
      </c>
      <c r="D229" s="1054">
        <f ca="1">SUM(D198:D228)</f>
        <v>302.51999999998952</v>
      </c>
      <c r="E229" s="1054">
        <f t="shared" ref="E229:R229" ca="1" si="6">SUM(E198:E228)</f>
        <v>5086.8770000000004</v>
      </c>
      <c r="F229" s="1054">
        <f t="shared" si="6"/>
        <v>0</v>
      </c>
      <c r="G229" s="1054">
        <f t="shared" si="6"/>
        <v>0</v>
      </c>
      <c r="H229" s="1054">
        <f t="shared" ca="1" si="6"/>
        <v>1146.4199999999983</v>
      </c>
      <c r="I229" s="1054">
        <f t="shared" ca="1" si="6"/>
        <v>135.05549999999801</v>
      </c>
      <c r="J229" s="1054">
        <f t="shared" si="6"/>
        <v>0</v>
      </c>
      <c r="K229" s="1054">
        <f t="shared" ca="1" si="6"/>
        <v>4584.5900000000256</v>
      </c>
      <c r="L229" s="1054">
        <f t="shared" ca="1" si="6"/>
        <v>54.767400000000038</v>
      </c>
      <c r="M229" s="1054">
        <f t="shared" ca="1" si="6"/>
        <v>302.51999999998952</v>
      </c>
      <c r="N229" s="1054">
        <f t="shared" ca="1" si="6"/>
        <v>315.69999999999891</v>
      </c>
      <c r="O229" s="1054">
        <f t="shared" ca="1" si="6"/>
        <v>1033.9209999999935</v>
      </c>
      <c r="P229" s="1054" t="e">
        <f t="shared" si="6"/>
        <v>#REF!</v>
      </c>
      <c r="Q229" s="1115">
        <f t="shared" ca="1" si="6"/>
        <v>144.32400000000052</v>
      </c>
      <c r="R229" s="1115">
        <f t="shared" ca="1" si="6"/>
        <v>678.58709999999826</v>
      </c>
    </row>
    <row r="230" spans="2:18">
      <c r="B230" s="410">
        <v>45139</v>
      </c>
      <c r="C230" s="1028">
        <f ca="1">DATOSAÑO!AJ223</f>
        <v>4.3000000000029104</v>
      </c>
      <c r="D230" s="1028">
        <f ca="1">DATOSAÑO!AK223</f>
        <v>12</v>
      </c>
      <c r="E230" s="1028">
        <f ca="1">DATOSAÑO!AD223</f>
        <v>166</v>
      </c>
      <c r="F230" s="1028">
        <v>0</v>
      </c>
      <c r="G230" s="1028">
        <v>0</v>
      </c>
      <c r="H230" s="1028">
        <f ca="1">DATOSAÑO!AI223</f>
        <v>37.100000000005821</v>
      </c>
      <c r="I230" s="1028">
        <f ca="1">DATOSAÑO!CA223</f>
        <v>5.8359999999999888</v>
      </c>
      <c r="J230" s="1028">
        <v>0</v>
      </c>
      <c r="K230" s="1028">
        <f ca="1">DATOSAÑO!AF223</f>
        <v>149</v>
      </c>
      <c r="L230" s="1028">
        <f ca="1">+DATOSAÑO!CB223</f>
        <v>1.7537999999995757</v>
      </c>
      <c r="M230" s="1028">
        <f ca="1">+DATOSAÑO!AK223</f>
        <v>12</v>
      </c>
      <c r="N230" s="1028">
        <f ca="1">+DATOSAÑO!AH223</f>
        <v>16.300000000004729</v>
      </c>
      <c r="O230" s="1028">
        <f ca="1">DATOSAÑO!AL223</f>
        <v>30.999999999987267</v>
      </c>
      <c r="P230" s="1029" t="e">
        <f>+(DATOSAÑO!#REF!)+DATOSAÑO!#REF!</f>
        <v>#REF!</v>
      </c>
      <c r="Q230" s="1028">
        <f ca="1">+DATOSAÑO!BH223</f>
        <v>5</v>
      </c>
      <c r="R230" s="1114">
        <f ca="1">DATOSAÑO!BJ223+DATOSAÑO!BM223+DATOSAÑO!BP223+DATOSAÑO!BW223+DATOSAÑO!CC223</f>
        <v>20.710199999999706</v>
      </c>
    </row>
    <row r="231" spans="2:18">
      <c r="B231" s="410">
        <v>45140</v>
      </c>
      <c r="C231" s="1028">
        <f ca="1">DATOSAÑO!AJ224</f>
        <v>4.0999999999912689</v>
      </c>
      <c r="D231" s="1028">
        <f ca="1">DATOSAÑO!AK224</f>
        <v>9</v>
      </c>
      <c r="E231" s="1028">
        <f ca="1">DATOSAÑO!AD224</f>
        <v>164</v>
      </c>
      <c r="F231" s="1028">
        <v>0</v>
      </c>
      <c r="G231" s="1028">
        <v>0</v>
      </c>
      <c r="H231" s="1028">
        <f ca="1">DATOSAÑO!AI224</f>
        <v>36.80000000000291</v>
      </c>
      <c r="I231" s="1028">
        <f ca="1">DATOSAÑO!CA224</f>
        <v>5.5135000000001853</v>
      </c>
      <c r="J231" s="1028">
        <v>0</v>
      </c>
      <c r="K231" s="1028">
        <f ca="1">DATOSAÑO!AF224</f>
        <v>147</v>
      </c>
      <c r="L231" s="1028">
        <f ca="1">+DATOSAÑO!CB224</f>
        <v>1.4573999999997818</v>
      </c>
      <c r="M231" s="1028">
        <f ca="1">+DATOSAÑO!AK224</f>
        <v>9</v>
      </c>
      <c r="N231" s="1028">
        <f ca="1">+DATOSAÑO!AH224</f>
        <v>7.999999999996362</v>
      </c>
      <c r="O231" s="1028">
        <f ca="1">DATOSAÑO!AL224</f>
        <v>33.200000000007947</v>
      </c>
      <c r="P231" s="1029" t="e">
        <f>+(DATOSAÑO!#REF!)+DATOSAÑO!#REF!</f>
        <v>#REF!</v>
      </c>
      <c r="Q231" s="1028">
        <f ca="1">+DATOSAÑO!BH224</f>
        <v>5</v>
      </c>
      <c r="R231" s="1114">
        <f ca="1">DATOSAÑO!BJ224+DATOSAÑO!BM224+DATOSAÑO!BP224+DATOSAÑO!BW224+DATOSAÑO!CC224</f>
        <v>20.929100000001494</v>
      </c>
    </row>
    <row r="232" spans="2:18">
      <c r="B232" s="410">
        <v>45141</v>
      </c>
      <c r="C232" s="1028">
        <f ca="1">DATOSAÑO!AJ225</f>
        <v>3.9000000000087311</v>
      </c>
      <c r="D232" s="1028">
        <f ca="1">DATOSAÑO!AK225</f>
        <v>9</v>
      </c>
      <c r="E232" s="1028">
        <f ca="1">DATOSAÑO!AD225</f>
        <v>163</v>
      </c>
      <c r="F232" s="1028">
        <v>0</v>
      </c>
      <c r="G232" s="1028">
        <v>0</v>
      </c>
      <c r="H232" s="1028">
        <f ca="1">DATOSAÑO!AI225</f>
        <v>36.099999999991269</v>
      </c>
      <c r="I232" s="1028">
        <f ca="1">DATOSAÑO!CA225</f>
        <v>5.671500000000365</v>
      </c>
      <c r="J232" s="1028">
        <v>0</v>
      </c>
      <c r="K232" s="1028">
        <f ca="1">DATOSAÑO!AF225</f>
        <v>146</v>
      </c>
      <c r="L232" s="1028">
        <f ca="1">+DATOSAÑO!CB225</f>
        <v>1.6194000000004365</v>
      </c>
      <c r="M232" s="1028">
        <f ca="1">+DATOSAÑO!AK225</f>
        <v>9</v>
      </c>
      <c r="N232" s="1028">
        <f ca="1">+DATOSAÑO!AH225</f>
        <v>9.6000000000003638</v>
      </c>
      <c r="O232" s="1028">
        <f ca="1">DATOSAÑO!AL225</f>
        <v>32.999999999998181</v>
      </c>
      <c r="P232" s="1029" t="e">
        <f>+(DATOSAÑO!#REF!)+DATOSAÑO!#REF!</f>
        <v>#REF!</v>
      </c>
      <c r="Q232" s="1028">
        <f ca="1">+DATOSAÑO!BH225</f>
        <v>5</v>
      </c>
      <c r="R232" s="1114">
        <f ca="1">DATOSAÑO!BJ225+DATOSAÑO!BM225+DATOSAÑO!BP225+DATOSAÑO!BW225+DATOSAÑO!CC225</f>
        <v>21.109100000000655</v>
      </c>
    </row>
    <row r="233" spans="2:18">
      <c r="B233" s="410">
        <v>45142</v>
      </c>
      <c r="C233" s="1028">
        <f ca="1">DATOSAÑO!AJ226</f>
        <v>7.3999999999941792</v>
      </c>
      <c r="D233" s="1028">
        <f ca="1">DATOSAÑO!AK226</f>
        <v>10</v>
      </c>
      <c r="E233" s="1028">
        <f ca="1">DATOSAÑO!AD226</f>
        <v>159</v>
      </c>
      <c r="F233" s="1028">
        <v>0</v>
      </c>
      <c r="G233" s="1028">
        <v>0</v>
      </c>
      <c r="H233" s="1028">
        <f ca="1">DATOSAÑO!AI226</f>
        <v>36.700000000011642</v>
      </c>
      <c r="I233" s="1028">
        <f ca="1">DATOSAÑO!CA226</f>
        <v>5.6109999999994997</v>
      </c>
      <c r="J233" s="1028">
        <v>0</v>
      </c>
      <c r="K233" s="1028">
        <f ca="1">DATOSAÑO!AF226</f>
        <v>151</v>
      </c>
      <c r="L233" s="1028">
        <f ca="1">+DATOSAÑO!CB226</f>
        <v>1.6776000000001636</v>
      </c>
      <c r="M233" s="1028">
        <f ca="1">+DATOSAÑO!AK226</f>
        <v>10</v>
      </c>
      <c r="N233" s="1028">
        <f ca="1">+DATOSAÑO!AH226</f>
        <v>11.500000000001819</v>
      </c>
      <c r="O233" s="1028">
        <f ca="1">DATOSAÑO!AL226</f>
        <v>33.03499999999309</v>
      </c>
      <c r="P233" s="1029" t="e">
        <f>+(DATOSAÑO!#REF!)+DATOSAÑO!#REF!</f>
        <v>#REF!</v>
      </c>
      <c r="Q233" s="1028">
        <f ca="1">+DATOSAÑO!BH226</f>
        <v>4</v>
      </c>
      <c r="R233" s="1114">
        <f ca="1">DATOSAÑO!BJ226+DATOSAÑO!BM226+DATOSAÑO!BP226+DATOSAÑO!BW226+DATOSAÑO!CC226</f>
        <v>22.511399999999611</v>
      </c>
    </row>
    <row r="234" spans="2:18">
      <c r="B234" s="410">
        <v>45143</v>
      </c>
      <c r="C234" s="1028">
        <f ca="1">DATOSAÑO!AJ227</f>
        <v>7</v>
      </c>
      <c r="D234" s="1028">
        <f ca="1">DATOSAÑO!AK227</f>
        <v>10</v>
      </c>
      <c r="E234" s="1028">
        <f ca="1">DATOSAÑO!AD227</f>
        <v>160</v>
      </c>
      <c r="F234" s="1028">
        <v>0</v>
      </c>
      <c r="G234" s="1028">
        <v>0</v>
      </c>
      <c r="H234" s="1028">
        <f ca="1">DATOSAÑO!AI227</f>
        <v>35.5</v>
      </c>
      <c r="I234" s="1028">
        <f ca="1">DATOSAÑO!CA227</f>
        <v>6.8600000000001353</v>
      </c>
      <c r="J234" s="1028">
        <v>0</v>
      </c>
      <c r="K234" s="1028">
        <f ca="1">DATOSAÑO!AF227</f>
        <v>150</v>
      </c>
      <c r="L234" s="1028">
        <f ca="1">+DATOSAÑO!CB227</f>
        <v>2.0340000000000549</v>
      </c>
      <c r="M234" s="1028">
        <f ca="1">+DATOSAÑO!AK227</f>
        <v>10</v>
      </c>
      <c r="N234" s="1028">
        <f ca="1">+DATOSAÑO!AH227</f>
        <v>9.7999999999974534</v>
      </c>
      <c r="O234" s="1028">
        <f ca="1">DATOSAÑO!AL227</f>
        <v>33.200000000002603</v>
      </c>
      <c r="P234" s="1029" t="e">
        <f>+(DATOSAÑO!#REF!)+DATOSAÑO!#REF!</f>
        <v>#REF!</v>
      </c>
      <c r="Q234" s="1028">
        <f ca="1">+DATOSAÑO!BH227</f>
        <v>5</v>
      </c>
      <c r="R234" s="1114">
        <f ca="1">DATOSAÑO!BJ227+DATOSAÑO!BM227+DATOSAÑO!BP227+DATOSAÑO!BW227+DATOSAÑO!CC227</f>
        <v>22.605999999999806</v>
      </c>
    </row>
    <row r="235" spans="2:18">
      <c r="B235" s="410">
        <v>45144</v>
      </c>
      <c r="C235" s="1028">
        <f ca="1">DATOSAÑO!AJ228</f>
        <v>8.6000000000058208</v>
      </c>
      <c r="D235" s="1028">
        <f ca="1">DATOSAÑO!AK228</f>
        <v>10</v>
      </c>
      <c r="E235" s="1028">
        <f ca="1">DATOSAÑO!AD228</f>
        <v>164</v>
      </c>
      <c r="F235" s="1028">
        <v>0</v>
      </c>
      <c r="G235" s="1028">
        <v>0</v>
      </c>
      <c r="H235" s="1028">
        <f ca="1">DATOSAÑO!AI228</f>
        <v>36.399999999994179</v>
      </c>
      <c r="I235" s="1028">
        <f ca="1">DATOSAÑO!CA228</f>
        <v>4.6459999999989146</v>
      </c>
      <c r="J235" s="1028">
        <v>0</v>
      </c>
      <c r="K235" s="1028">
        <f ca="1">DATOSAÑO!AF228</f>
        <v>156</v>
      </c>
      <c r="L235" s="1028">
        <f ca="1">+DATOSAÑO!CB228</f>
        <v>1.9817999999997817</v>
      </c>
      <c r="M235" s="1028">
        <f ca="1">+DATOSAÑO!AK228</f>
        <v>10</v>
      </c>
      <c r="N235" s="1028">
        <f ca="1">+DATOSAÑO!AH228</f>
        <v>12.299999999997453</v>
      </c>
      <c r="O235" s="1028">
        <f ca="1">DATOSAÑO!AL228</f>
        <v>34.300000000004673</v>
      </c>
      <c r="P235" s="1029" t="e">
        <f>+(DATOSAÑO!#REF!)+DATOSAÑO!#REF!</f>
        <v>#REF!</v>
      </c>
      <c r="Q235" s="1028">
        <f ca="1">+DATOSAÑO!BH228</f>
        <v>5</v>
      </c>
      <c r="R235" s="1114">
        <f ca="1">DATOSAÑO!BJ228+DATOSAÑO!BM228+DATOSAÑO!BP228+DATOSAÑO!BW228+DATOSAÑO!CC228</f>
        <v>19.772199999999131</v>
      </c>
    </row>
    <row r="236" spans="2:18">
      <c r="B236" s="410">
        <v>45145</v>
      </c>
      <c r="C236" s="1028">
        <f ca="1">DATOSAÑO!AJ229</f>
        <v>8</v>
      </c>
      <c r="D236" s="1028">
        <f ca="1">DATOSAÑO!AK229</f>
        <v>10</v>
      </c>
      <c r="E236" s="1028">
        <f ca="1">DATOSAÑO!AD229</f>
        <v>160</v>
      </c>
      <c r="F236" s="1028">
        <v>0</v>
      </c>
      <c r="G236" s="1028">
        <v>0</v>
      </c>
      <c r="H236" s="1028">
        <f ca="1">DATOSAÑO!AI229</f>
        <v>36.399999999994179</v>
      </c>
      <c r="I236" s="1028">
        <f ca="1">DATOSAÑO!CA229</f>
        <v>6.0860000000017767</v>
      </c>
      <c r="J236" s="1028">
        <v>0</v>
      </c>
      <c r="K236" s="1028">
        <f ca="1">DATOSAÑO!AF229</f>
        <v>151</v>
      </c>
      <c r="L236" s="1028">
        <f ca="1">+DATOSAÑO!CB229</f>
        <v>1.9847999999998363</v>
      </c>
      <c r="M236" s="1028">
        <f ca="1">+DATOSAÑO!AK229</f>
        <v>10</v>
      </c>
      <c r="N236" s="1028">
        <f ca="1">+DATOSAÑO!AH229</f>
        <v>7.500000000001819</v>
      </c>
      <c r="O236" s="1028">
        <f ca="1">DATOSAÑO!AL229</f>
        <v>31.800000000001091</v>
      </c>
      <c r="P236" s="1029" t="e">
        <f>+(DATOSAÑO!#REF!)+DATOSAÑO!#REF!</f>
        <v>#REF!</v>
      </c>
      <c r="Q236" s="1028">
        <f ca="1">+DATOSAÑO!BH229</f>
        <v>4</v>
      </c>
      <c r="R236" s="1114">
        <f ca="1">DATOSAÑO!BJ229+DATOSAÑO!BM229+DATOSAÑO!BP229+DATOSAÑO!BW229+DATOSAÑO!CC229</f>
        <v>21.229200000001303</v>
      </c>
    </row>
    <row r="237" spans="2:18">
      <c r="B237" s="410">
        <v>45146</v>
      </c>
      <c r="C237" s="1028">
        <f ca="1">DATOSAÑO!AJ230</f>
        <v>8.5999999999912689</v>
      </c>
      <c r="D237" s="1028">
        <f ca="1">DATOSAÑO!AK230</f>
        <v>10</v>
      </c>
      <c r="E237" s="1028">
        <f ca="1">DATOSAÑO!AD230</f>
        <v>162</v>
      </c>
      <c r="F237" s="1028">
        <v>0</v>
      </c>
      <c r="G237" s="1028">
        <v>0</v>
      </c>
      <c r="H237" s="1028">
        <f ca="1">DATOSAÑO!AI230</f>
        <v>36.200000000011642</v>
      </c>
      <c r="I237" s="1028">
        <f ca="1">DATOSAÑO!CA230</f>
        <v>5.4839999999988116</v>
      </c>
      <c r="J237" s="1028">
        <v>0</v>
      </c>
      <c r="K237" s="1028">
        <f ca="1">DATOSAÑO!AF230</f>
        <v>150</v>
      </c>
      <c r="L237" s="1028">
        <f ca="1">+DATOSAÑO!CB230</f>
        <v>2.7659999999998952</v>
      </c>
      <c r="M237" s="1028">
        <f ca="1">+DATOSAÑO!AK230</f>
        <v>10</v>
      </c>
      <c r="N237" s="1028">
        <f ca="1">+DATOSAÑO!AH230</f>
        <v>12.699999999998909</v>
      </c>
      <c r="O237" s="1028">
        <f ca="1">DATOSAÑO!AL230</f>
        <v>32.977000000000487</v>
      </c>
      <c r="P237" s="1029" t="e">
        <f>+(DATOSAÑO!#REF!)+DATOSAÑO!#REF!</f>
        <v>#REF!</v>
      </c>
      <c r="Q237" s="1028">
        <f ca="1">+DATOSAÑO!BH230</f>
        <v>5</v>
      </c>
      <c r="R237" s="1114">
        <f ca="1">DATOSAÑO!BJ230+DATOSAÑO!BM230+DATOSAÑO!BP230+DATOSAÑO!BW230+DATOSAÑO!CC230</f>
        <v>20.649999999999107</v>
      </c>
    </row>
    <row r="238" spans="2:18">
      <c r="B238" s="410">
        <v>45147</v>
      </c>
      <c r="C238" s="1028">
        <f ca="1">DATOSAÑO!AJ231</f>
        <v>8.6000000000058208</v>
      </c>
      <c r="D238" s="1028">
        <f ca="1">DATOSAÑO!AK231</f>
        <v>10</v>
      </c>
      <c r="E238" s="1028">
        <f ca="1">DATOSAÑO!AD231</f>
        <v>160</v>
      </c>
      <c r="F238" s="1028">
        <v>0</v>
      </c>
      <c r="G238" s="1028">
        <v>0</v>
      </c>
      <c r="H238" s="1028">
        <f ca="1">DATOSAÑO!AI231</f>
        <v>36.19999999999709</v>
      </c>
      <c r="I238" s="1028">
        <f ca="1">DATOSAÑO!CA231</f>
        <v>5.5530000000014059</v>
      </c>
      <c r="J238" s="1028">
        <v>0</v>
      </c>
      <c r="K238" s="1028">
        <f ca="1">DATOSAÑO!AF231</f>
        <v>152</v>
      </c>
      <c r="L238" s="1028">
        <f ca="1">+DATOSAÑO!CB231</f>
        <v>2.0574000000000545</v>
      </c>
      <c r="M238" s="1028">
        <f ca="1">+DATOSAÑO!AK231</f>
        <v>10</v>
      </c>
      <c r="N238" s="1028">
        <f ca="1">+DATOSAÑO!AH231</f>
        <v>15.600000000000364</v>
      </c>
      <c r="O238" s="1028">
        <f ca="1">DATOSAÑO!AL231</f>
        <v>35.699999999995271</v>
      </c>
      <c r="P238" s="1029" t="e">
        <f>+(DATOSAÑO!#REF!)+DATOSAÑO!#REF!</f>
        <v>#REF!</v>
      </c>
      <c r="Q238" s="1028">
        <f ca="1">+DATOSAÑO!BH231</f>
        <v>5</v>
      </c>
      <c r="R238" s="1114">
        <f ca="1">DATOSAÑO!BJ231+DATOSAÑO!BM231+DATOSAÑO!BP231+DATOSAÑO!BW231+DATOSAÑO!CC231</f>
        <v>20.289599999999989</v>
      </c>
    </row>
    <row r="239" spans="2:18">
      <c r="B239" s="410">
        <v>45148</v>
      </c>
      <c r="C239" s="1028">
        <f ca="1">DATOSAÑO!AJ232</f>
        <v>8.8999999999941792</v>
      </c>
      <c r="D239" s="1028">
        <f ca="1">DATOSAÑO!AK232</f>
        <v>9.7000000000116415</v>
      </c>
      <c r="E239" s="1028">
        <f ca="1">DATOSAÑO!AD232</f>
        <v>162.79999999999927</v>
      </c>
      <c r="F239" s="1028">
        <v>0</v>
      </c>
      <c r="G239" s="1028">
        <v>0</v>
      </c>
      <c r="H239" s="1028">
        <f ca="1">DATOSAÑO!AI232</f>
        <v>34.399999999994179</v>
      </c>
      <c r="I239" s="1028">
        <f ca="1">DATOSAÑO!CA232</f>
        <v>5.33099999999971</v>
      </c>
      <c r="J239" s="1028">
        <v>0</v>
      </c>
      <c r="K239" s="1028">
        <f ca="1">DATOSAÑO!AF232</f>
        <v>153.79999999998836</v>
      </c>
      <c r="L239" s="1028">
        <f ca="1">+DATOSAÑO!CB232</f>
        <v>2.0454000000002619</v>
      </c>
      <c r="M239" s="1028">
        <f ca="1">+DATOSAÑO!AK232</f>
        <v>9.7000000000116415</v>
      </c>
      <c r="N239" s="1028">
        <f ca="1">+DATOSAÑO!AH232</f>
        <v>6.000000000001819</v>
      </c>
      <c r="O239" s="1028">
        <f ca="1">DATOSAÑO!AL232</f>
        <v>31.622999999964975</v>
      </c>
      <c r="P239" s="1029" t="e">
        <f>+(DATOSAÑO!#REF!)+DATOSAÑO!#REF!</f>
        <v>#REF!</v>
      </c>
      <c r="Q239" s="1028">
        <f ca="1">+DATOSAÑO!BH232</f>
        <v>5.4700000000011642</v>
      </c>
      <c r="R239" s="1114">
        <f ca="1">DATOSAÑO!BJ232+DATOSAÑO!BM232+DATOSAÑO!BP232+DATOSAÑO!BW232+DATOSAÑO!CC232</f>
        <v>20.123600000000032</v>
      </c>
    </row>
    <row r="240" spans="2:18">
      <c r="B240" s="410">
        <v>45149</v>
      </c>
      <c r="C240" s="1028">
        <f ca="1">DATOSAÑO!AJ233</f>
        <v>8.5200000000040745</v>
      </c>
      <c r="D240" s="1028">
        <f ca="1">DATOSAÑO!AK233</f>
        <v>8.5</v>
      </c>
      <c r="E240" s="1028">
        <f ca="1">DATOSAÑO!AD233</f>
        <v>164.90000000000146</v>
      </c>
      <c r="F240" s="1028">
        <v>0</v>
      </c>
      <c r="G240" s="1028">
        <v>0</v>
      </c>
      <c r="H240" s="1028">
        <f ca="1">DATOSAÑO!AI233</f>
        <v>35.30000000000291</v>
      </c>
      <c r="I240" s="1028">
        <f ca="1">DATOSAÑO!CA233</f>
        <v>6.497999999982059</v>
      </c>
      <c r="J240" s="1028">
        <v>0</v>
      </c>
      <c r="K240" s="1028">
        <f ca="1">DATOSAÑO!AF233</f>
        <v>150.90000000002328</v>
      </c>
      <c r="L240" s="1028">
        <f ca="1">+DATOSAÑO!CB233</f>
        <v>2.1065999999999234</v>
      </c>
      <c r="M240" s="1028">
        <f ca="1">+DATOSAÑO!AK233</f>
        <v>8.5</v>
      </c>
      <c r="N240" s="1028">
        <f ca="1">+DATOSAÑO!AH233</f>
        <v>6.5999999999985448</v>
      </c>
      <c r="O240" s="1028">
        <f ca="1">DATOSAÑO!AL233</f>
        <v>36.745000000075322</v>
      </c>
      <c r="P240" s="1029" t="e">
        <f>+(DATOSAÑO!#REF!)+DATOSAÑO!#REF!</f>
        <v>#REF!</v>
      </c>
      <c r="Q240" s="1028">
        <f ca="1">+DATOSAÑO!BH233</f>
        <v>5.0179999999963911</v>
      </c>
      <c r="R240" s="1114">
        <f ca="1">DATOSAÑO!BJ233+DATOSAÑO!BM233+DATOSAÑO!BP233+DATOSAÑO!BW233+DATOSAÑO!CC233</f>
        <v>21.795399999983104</v>
      </c>
    </row>
    <row r="241" spans="2:18">
      <c r="B241" s="410">
        <v>45150</v>
      </c>
      <c r="C241" s="1028">
        <f ca="1">DATOSAÑO!AJ234</f>
        <v>7.6999999999970896</v>
      </c>
      <c r="D241" s="1028">
        <f ca="1">DATOSAÑO!AK234</f>
        <v>9.6099999999860302</v>
      </c>
      <c r="E241" s="1028">
        <f ca="1">DATOSAÑO!AD234</f>
        <v>162.59999999999854</v>
      </c>
      <c r="F241" s="1028">
        <v>0</v>
      </c>
      <c r="G241" s="1028">
        <v>0</v>
      </c>
      <c r="H241" s="1028">
        <f ca="1">DATOSAÑO!AI234</f>
        <v>37.19999999999709</v>
      </c>
      <c r="I241" s="1028">
        <f ca="1">DATOSAÑO!CA234</f>
        <v>5.109500000016463</v>
      </c>
      <c r="J241" s="1028">
        <v>0</v>
      </c>
      <c r="K241" s="1028">
        <f ca="1">DATOSAÑO!AF234</f>
        <v>151.20000000001164</v>
      </c>
      <c r="L241" s="1028">
        <f ca="1">+DATOSAÑO!CB234</f>
        <v>1.7267999999998471</v>
      </c>
      <c r="M241" s="1028">
        <f ca="1">+DATOSAÑO!AK234</f>
        <v>9.6099999999860302</v>
      </c>
      <c r="N241" s="1028">
        <f ca="1">+DATOSAÑO!AH234</f>
        <v>11.300000000004729</v>
      </c>
      <c r="O241" s="1028">
        <f ca="1">DATOSAÑO!AL234</f>
        <v>30.944999999892389</v>
      </c>
      <c r="P241" s="1029" t="e">
        <f>+(DATOSAÑO!#REF!)+DATOSAÑO!#REF!</f>
        <v>#REF!</v>
      </c>
      <c r="Q241" s="1028">
        <f ca="1">+DATOSAÑO!BH234</f>
        <v>4.4370000000053551</v>
      </c>
      <c r="R241" s="1114">
        <f ca="1">DATOSAÑO!BJ234+DATOSAÑO!BM234+DATOSAÑO!BP234+DATOSAÑO!BW234+DATOSAÑO!CC234</f>
        <v>20.663700000016433</v>
      </c>
    </row>
    <row r="242" spans="2:18">
      <c r="B242" s="410">
        <v>45151</v>
      </c>
      <c r="C242" s="1028">
        <f ca="1">DATOSAÑO!AJ235</f>
        <v>9.2900000000081491</v>
      </c>
      <c r="D242" s="1028">
        <f ca="1">DATOSAÑO!AK235</f>
        <v>9.7399999999906868</v>
      </c>
      <c r="E242" s="1028">
        <f ca="1">DATOSAÑO!AD235</f>
        <v>164.70000000000073</v>
      </c>
      <c r="F242" s="1028">
        <v>0</v>
      </c>
      <c r="G242" s="1028">
        <v>0</v>
      </c>
      <c r="H242" s="1028">
        <f ca="1">DATOSAÑO!AI235</f>
        <v>36.600000000005821</v>
      </c>
      <c r="I242" s="1028">
        <f ca="1">DATOSAÑO!CA235</f>
        <v>5.043500000006377</v>
      </c>
      <c r="J242" s="1028">
        <v>0</v>
      </c>
      <c r="K242" s="1028">
        <f ca="1">DATOSAÑO!AF235</f>
        <v>149.09999999997672</v>
      </c>
      <c r="L242" s="1028">
        <f ca="1">+DATOSAÑO!CB235</f>
        <v>2.0754000000000765</v>
      </c>
      <c r="M242" s="1028">
        <f ca="1">+DATOSAÑO!AK235</f>
        <v>9.7399999999906868</v>
      </c>
      <c r="N242" s="1028">
        <f ca="1">+DATOSAÑO!AH235</f>
        <v>10.199999999998909</v>
      </c>
      <c r="O242" s="1028">
        <f ca="1">DATOSAÑO!AL235</f>
        <v>33.984000000085871</v>
      </c>
      <c r="P242" s="1029" t="e">
        <f>+(DATOSAÑO!#REF!)+DATOSAÑO!#REF!</f>
        <v>#REF!</v>
      </c>
      <c r="Q242" s="1028">
        <f ca="1">+DATOSAÑO!BH235</f>
        <v>4.3099999999976717</v>
      </c>
      <c r="R242" s="1114">
        <f ca="1">DATOSAÑO!BJ235+DATOSAÑO!BM235+DATOSAÑO!BP235+DATOSAÑO!BW235+DATOSAÑO!CC235</f>
        <v>21.481100000006645</v>
      </c>
    </row>
    <row r="243" spans="2:18">
      <c r="B243" s="410">
        <v>45152</v>
      </c>
      <c r="C243" s="1028">
        <f ca="1">DATOSAÑO!AJ236</f>
        <v>8.1900000000023283</v>
      </c>
      <c r="D243" s="1028">
        <f ca="1">DATOSAÑO!AK236</f>
        <v>11.580000000016298</v>
      </c>
      <c r="E243" s="1028">
        <f ca="1">DATOSAÑO!AD236</f>
        <v>166.29999999999927</v>
      </c>
      <c r="F243" s="1028">
        <v>0</v>
      </c>
      <c r="G243" s="1028">
        <v>0</v>
      </c>
      <c r="H243" s="1028">
        <f ca="1">DATOSAÑO!AI236</f>
        <v>34.440000000002328</v>
      </c>
      <c r="I243" s="1028">
        <f ca="1">DATOSAÑO!CA236</f>
        <v>5.0835000000123696</v>
      </c>
      <c r="J243" s="1028">
        <v>0</v>
      </c>
      <c r="K243" s="1028">
        <f ca="1">DATOSAÑO!AF236</f>
        <v>146.59999999997672</v>
      </c>
      <c r="L243" s="1028">
        <f ca="1">+DATOSAÑO!CB236</f>
        <v>2.0700000000000873</v>
      </c>
      <c r="M243" s="1028">
        <f ca="1">+DATOSAÑO!AK236</f>
        <v>11.580000000016298</v>
      </c>
      <c r="N243" s="1028">
        <f ca="1">+DATOSAÑO!AH236</f>
        <v>11.600000000000364</v>
      </c>
      <c r="O243" s="1028">
        <f ca="1">DATOSAÑO!AL236</f>
        <v>36.290999999950259</v>
      </c>
      <c r="P243" s="1029" t="e">
        <f>+(DATOSAÑO!#REF!)+DATOSAÑO!#REF!</f>
        <v>#REF!</v>
      </c>
      <c r="Q243" s="1028">
        <f ca="1">+DATOSAÑO!BH236</f>
        <v>4.771999999997206</v>
      </c>
      <c r="R243" s="1114">
        <f ca="1">DATOSAÑO!BJ236+DATOSAÑO!BM236+DATOSAÑO!BP236+DATOSAÑO!BW236+DATOSAÑO!CC236</f>
        <v>21.146500000012281</v>
      </c>
    </row>
    <row r="244" spans="2:18">
      <c r="B244" s="410">
        <v>45153</v>
      </c>
      <c r="C244" s="1028">
        <f ca="1">DATOSAÑO!AJ237</f>
        <v>8.3999999999941792</v>
      </c>
      <c r="D244" s="1028">
        <f ca="1">DATOSAÑO!AK237</f>
        <v>11.869999999995343</v>
      </c>
      <c r="E244" s="1028">
        <f ca="1">DATOSAÑO!AD237</f>
        <v>166.29999999999927</v>
      </c>
      <c r="F244" s="1028">
        <v>0</v>
      </c>
      <c r="G244" s="1028">
        <v>0</v>
      </c>
      <c r="H244" s="1028">
        <f ca="1">DATOSAÑO!AI237</f>
        <v>32.759999999994761</v>
      </c>
      <c r="I244" s="1028">
        <f ca="1">DATOSAÑO!CA237</f>
        <v>5.976499999975271</v>
      </c>
      <c r="J244" s="1028">
        <v>0</v>
      </c>
      <c r="K244" s="1028">
        <f ca="1">DATOSAÑO!AF237</f>
        <v>146.10000000003492</v>
      </c>
      <c r="L244" s="1028">
        <f ca="1">+DATOSAÑO!CB237</f>
        <v>2.0490000000000759</v>
      </c>
      <c r="M244" s="1028">
        <f ca="1">+DATOSAÑO!AK237</f>
        <v>11.869999999995343</v>
      </c>
      <c r="N244" s="1028">
        <f ca="1">+DATOSAÑO!AH237</f>
        <v>11.699999999998909</v>
      </c>
      <c r="O244" s="1028">
        <f ca="1">DATOSAÑO!AL237</f>
        <v>33.875000000009095</v>
      </c>
      <c r="P244" s="1029" t="e">
        <f>+(DATOSAÑO!#REF!)+DATOSAÑO!#REF!</f>
        <v>#REF!</v>
      </c>
      <c r="Q244" s="1028">
        <f ca="1">+DATOSAÑO!BH237</f>
        <v>4.5930000000080327</v>
      </c>
      <c r="R244" s="1114">
        <f ca="1">DATOSAÑO!BJ237+DATOSAÑO!BM237+DATOSAÑO!BP237+DATOSAÑO!BW237+DATOSAÑO!CC237</f>
        <v>22.374499999975175</v>
      </c>
    </row>
    <row r="245" spans="2:18">
      <c r="B245" s="410">
        <v>45154</v>
      </c>
      <c r="C245" s="1028">
        <f ca="1">DATOSAÑO!AJ238</f>
        <v>7.6000000000058208</v>
      </c>
      <c r="D245" s="1028">
        <f ca="1">DATOSAÑO!AK238</f>
        <v>13</v>
      </c>
      <c r="E245" s="1028">
        <f ca="1">DATOSAÑO!AD238</f>
        <v>166.10000000000218</v>
      </c>
      <c r="F245" s="1028">
        <v>0</v>
      </c>
      <c r="G245" s="1028">
        <v>0</v>
      </c>
      <c r="H245" s="1028">
        <f ca="1">DATOSAÑO!AI238</f>
        <v>31</v>
      </c>
      <c r="I245" s="1028">
        <f ca="1">DATOSAÑO!CA238</f>
        <v>4.985500000012534</v>
      </c>
      <c r="J245" s="1028">
        <v>0</v>
      </c>
      <c r="K245" s="1028">
        <f ca="1">DATOSAÑO!AF238</f>
        <v>146.09999999997672</v>
      </c>
      <c r="L245" s="1028">
        <f ca="1">+DATOSAÑO!CB238</f>
        <v>1.9175999999996725</v>
      </c>
      <c r="M245" s="1028">
        <f ca="1">+DATOSAÑO!AK238</f>
        <v>13</v>
      </c>
      <c r="N245" s="1028">
        <f ca="1">+DATOSAÑO!AH238</f>
        <v>10.400000000001455</v>
      </c>
      <c r="O245" s="1028">
        <f ca="1">DATOSAÑO!AL238</f>
        <v>37.360000000062485</v>
      </c>
      <c r="P245" s="1029" t="e">
        <f>+(DATOSAÑO!#REF!)+DATOSAÑO!#REF!</f>
        <v>#REF!</v>
      </c>
      <c r="Q245" s="1028">
        <f ca="1">+DATOSAÑO!BH238</f>
        <v>4.6999999999970896</v>
      </c>
      <c r="R245" s="1114">
        <f ca="1">DATOSAÑO!BJ238+DATOSAÑO!BM238+DATOSAÑO!BP238+DATOSAÑO!BW238+DATOSAÑO!CC238</f>
        <v>20.896900000012536</v>
      </c>
    </row>
    <row r="246" spans="2:18">
      <c r="B246" s="410">
        <v>45155</v>
      </c>
      <c r="C246" s="1028">
        <f ca="1">DATOSAÑO!AJ239</f>
        <v>8.6999999999970896</v>
      </c>
      <c r="D246" s="1028">
        <f ca="1">DATOSAÑO!AK239</f>
        <v>13</v>
      </c>
      <c r="E246" s="1028">
        <f ca="1">DATOSAÑO!AD239</f>
        <v>169.29999999999927</v>
      </c>
      <c r="F246" s="1028">
        <v>0</v>
      </c>
      <c r="G246" s="1028">
        <v>0</v>
      </c>
      <c r="H246" s="1028">
        <f ca="1">DATOSAÑO!AI239</f>
        <v>30.80000000000291</v>
      </c>
      <c r="I246" s="1028">
        <f ca="1">DATOSAÑO!CA239</f>
        <v>6.2279999999936884</v>
      </c>
      <c r="J246" s="1028">
        <v>0</v>
      </c>
      <c r="K246" s="1028">
        <f ca="1">DATOSAÑO!AF239</f>
        <v>144.20000000001164</v>
      </c>
      <c r="L246" s="1028">
        <f ca="1">+DATOSAÑO!CB239</f>
        <v>2.0106000000001534</v>
      </c>
      <c r="M246" s="1028">
        <f ca="1">+DATOSAÑO!AK239</f>
        <v>13</v>
      </c>
      <c r="N246" s="1028">
        <f ca="1">+DATOSAÑO!AH239</f>
        <v>5.0999999999985448</v>
      </c>
      <c r="O246" s="1028">
        <f ca="1">DATOSAÑO!AL239</f>
        <v>33.816999999955385</v>
      </c>
      <c r="P246" s="1029" t="e">
        <f>+(DATOSAÑO!#REF!)+DATOSAÑO!#REF!</f>
        <v>#REF!</v>
      </c>
      <c r="Q246" s="1028">
        <f ca="1">+DATOSAÑO!BH239</f>
        <v>4.6999999999970896</v>
      </c>
      <c r="R246" s="1114">
        <f ca="1">DATOSAÑO!BJ239+DATOSAÑO!BM239+DATOSAÑO!BP239+DATOSAÑO!BW239+DATOSAÑO!CC239</f>
        <v>22.661399999993066</v>
      </c>
    </row>
    <row r="247" spans="2:18">
      <c r="B247" s="410">
        <v>45156</v>
      </c>
      <c r="C247" s="1028">
        <f ca="1">DATOSAÑO!AJ240</f>
        <v>7.3999999999941792</v>
      </c>
      <c r="D247" s="1028">
        <f ca="1">DATOSAÑO!AK240</f>
        <v>12</v>
      </c>
      <c r="E247" s="1028">
        <f ca="1">DATOSAÑO!AD240</f>
        <v>168</v>
      </c>
      <c r="F247" s="1028">
        <v>0</v>
      </c>
      <c r="G247" s="1028">
        <v>0</v>
      </c>
      <c r="H247" s="1028">
        <f ca="1">DATOSAÑO!AI240</f>
        <v>33.30000000000291</v>
      </c>
      <c r="I247" s="1028">
        <f ca="1">DATOSAÑO!CA240</f>
        <v>6.1280000000010002</v>
      </c>
      <c r="J247" s="1028">
        <v>0</v>
      </c>
      <c r="K247" s="1028">
        <f ca="1">DATOSAÑO!AF240</f>
        <v>147</v>
      </c>
      <c r="L247" s="1028">
        <f ca="1">+DATOSAÑO!CB240</f>
        <v>1.732200000000109</v>
      </c>
      <c r="M247" s="1028">
        <f ca="1">+DATOSAÑO!AK240</f>
        <v>12</v>
      </c>
      <c r="N247" s="1028">
        <f ca="1">+DATOSAÑO!AH240</f>
        <v>11.399999999997817</v>
      </c>
      <c r="O247" s="1028">
        <f ca="1">DATOSAÑO!AL240</f>
        <v>35.500000000003581</v>
      </c>
      <c r="P247" s="1029" t="e">
        <f>+(DATOSAÑO!#REF!)+DATOSAÑO!#REF!</f>
        <v>#REF!</v>
      </c>
      <c r="Q247" s="1028">
        <f ca="1">+DATOSAÑO!BH240</f>
        <v>5</v>
      </c>
      <c r="R247" s="1114">
        <f ca="1">DATOSAÑO!BJ240+DATOSAÑO!BM240+DATOSAÑO!BP240+DATOSAÑO!BW240+DATOSAÑO!CC240</f>
        <v>22.539800000000344</v>
      </c>
    </row>
    <row r="248" spans="2:18">
      <c r="B248" s="410">
        <v>45157</v>
      </c>
      <c r="C248" s="1028">
        <f ca="1">DATOSAÑO!AJ241</f>
        <v>9.3000000000029104</v>
      </c>
      <c r="D248" s="1028">
        <f ca="1">DATOSAÑO!AK241</f>
        <v>14</v>
      </c>
      <c r="E248" s="1028">
        <f ca="1">DATOSAÑO!AD241</f>
        <v>173</v>
      </c>
      <c r="F248" s="1028">
        <v>0</v>
      </c>
      <c r="G248" s="1028">
        <v>0</v>
      </c>
      <c r="H248" s="1028">
        <f ca="1">DATOSAÑO!AI241</f>
        <v>38.799999999988358</v>
      </c>
      <c r="I248" s="1028">
        <f ca="1">DATOSAÑO!CA241</f>
        <v>6.2909999999997739</v>
      </c>
      <c r="J248" s="1028">
        <v>0</v>
      </c>
      <c r="K248" s="1028">
        <f ca="1">DATOSAÑO!AF241</f>
        <v>147</v>
      </c>
      <c r="L248" s="1028">
        <f ca="1">+DATOSAÑO!CB241</f>
        <v>1.4159999999998363</v>
      </c>
      <c r="M248" s="1028">
        <f ca="1">+DATOSAÑO!AK241</f>
        <v>14</v>
      </c>
      <c r="N248" s="1028">
        <f ca="1">+DATOSAÑO!AH241</f>
        <v>14.100000000000364</v>
      </c>
      <c r="O248" s="1028">
        <f ca="1">DATOSAÑO!AL241</f>
        <v>35.800000000008367</v>
      </c>
      <c r="P248" s="1029" t="e">
        <f>+(DATOSAÑO!#REF!)+DATOSAÑO!#REF!</f>
        <v>#REF!</v>
      </c>
      <c r="Q248" s="1028">
        <f ca="1">+DATOSAÑO!BH241</f>
        <v>5</v>
      </c>
      <c r="R248" s="1114">
        <f ca="1">DATOSAÑO!BJ241+DATOSAÑO!BM241+DATOSAÑO!BP241+DATOSAÑO!BW241+DATOSAÑO!CC241</f>
        <v>22.29300000000039</v>
      </c>
    </row>
    <row r="249" spans="2:18">
      <c r="B249" s="410">
        <v>45158</v>
      </c>
      <c r="C249" s="1028">
        <f ca="1">DATOSAÑO!AJ242</f>
        <v>10.80000000000291</v>
      </c>
      <c r="D249" s="1028">
        <f ca="1">DATOSAÑO!AK242</f>
        <v>14</v>
      </c>
      <c r="E249" s="1028">
        <f ca="1">DATOSAÑO!AD242</f>
        <v>168</v>
      </c>
      <c r="F249" s="1028">
        <v>0</v>
      </c>
      <c r="G249" s="1028">
        <v>0</v>
      </c>
      <c r="H249" s="1028">
        <f ca="1">DATOSAÑO!AI242</f>
        <v>37.200000000011642</v>
      </c>
      <c r="I249" s="1028">
        <f ca="1">DATOSAÑO!CA242</f>
        <v>5.6709999999995437</v>
      </c>
      <c r="J249" s="1028">
        <v>0</v>
      </c>
      <c r="K249" s="1028">
        <f ca="1">DATOSAÑO!AF242</f>
        <v>143</v>
      </c>
      <c r="L249" s="1028">
        <f ca="1">+DATOSAÑO!CB242</f>
        <v>0.87480000000010905</v>
      </c>
      <c r="M249" s="1028">
        <f ca="1">+DATOSAÑO!AK242</f>
        <v>14</v>
      </c>
      <c r="N249" s="1028">
        <f ca="1">+DATOSAÑO!AH242</f>
        <v>9.500000000001819</v>
      </c>
      <c r="O249" s="1028">
        <f ca="1">DATOSAÑO!AL242</f>
        <v>35.899999999985084</v>
      </c>
      <c r="P249" s="1029" t="e">
        <f>+(DATOSAÑO!#REF!)+DATOSAÑO!#REF!</f>
        <v>#REF!</v>
      </c>
      <c r="Q249" s="1028">
        <f ca="1">+DATOSAÑO!BH242</f>
        <v>4</v>
      </c>
      <c r="R249" s="1114">
        <f ca="1">DATOSAÑO!BJ242+DATOSAÑO!BM242+DATOSAÑO!BP242+DATOSAÑO!BW242+DATOSAÑO!CC242</f>
        <v>21.05419999999889</v>
      </c>
    </row>
    <row r="250" spans="2:18">
      <c r="B250" s="410">
        <v>45159</v>
      </c>
      <c r="C250" s="1028">
        <f ca="1">DATOSAÑO!AJ243</f>
        <v>11.099999999991269</v>
      </c>
      <c r="D250" s="1028">
        <f ca="1">DATOSAÑO!AK243</f>
        <v>13</v>
      </c>
      <c r="E250" s="1028">
        <f ca="1">DATOSAÑO!AD243</f>
        <v>172</v>
      </c>
      <c r="F250" s="1028">
        <v>0</v>
      </c>
      <c r="G250" s="1028">
        <v>0</v>
      </c>
      <c r="H250" s="1028">
        <f ca="1">DATOSAÑO!AI243</f>
        <v>37.799999999988358</v>
      </c>
      <c r="I250" s="1028">
        <f ca="1">DATOSAÑO!CA243</f>
        <v>5.7799999999999141</v>
      </c>
      <c r="J250" s="1028">
        <v>0</v>
      </c>
      <c r="K250" s="1028">
        <f ca="1">DATOSAÑO!AF243</f>
        <v>149</v>
      </c>
      <c r="L250" s="1028">
        <f ca="1">+DATOSAÑO!CB243</f>
        <v>0.82320000000010918</v>
      </c>
      <c r="M250" s="1028">
        <f ca="1">+DATOSAÑO!AK243</f>
        <v>13</v>
      </c>
      <c r="N250" s="1028">
        <f ca="1">+DATOSAÑO!AH243</f>
        <v>11.599999999998545</v>
      </c>
      <c r="O250" s="1028">
        <f ca="1">DATOSAÑO!AL243</f>
        <v>36.000000000021828</v>
      </c>
      <c r="P250" s="1029" t="e">
        <f>+(DATOSAÑO!#REF!)+DATOSAÑO!#REF!</f>
        <v>#REF!</v>
      </c>
      <c r="Q250" s="1028">
        <f ca="1">+DATOSAÑO!BH243</f>
        <v>4</v>
      </c>
      <c r="R250" s="1114">
        <f ca="1">DATOSAÑO!BJ243+DATOSAÑO!BM243+DATOSAÑO!BP243+DATOSAÑO!BW243+DATOSAÑO!CC243</f>
        <v>24.896799999999988</v>
      </c>
    </row>
    <row r="251" spans="2:18">
      <c r="B251" s="410">
        <v>45160</v>
      </c>
      <c r="C251" s="1028">
        <f ca="1">DATOSAÑO!AJ244</f>
        <v>10.900000000008731</v>
      </c>
      <c r="D251" s="1028">
        <f ca="1">DATOSAÑO!AK244</f>
        <v>14</v>
      </c>
      <c r="E251" s="1028">
        <f ca="1">DATOSAÑO!AD244</f>
        <v>175</v>
      </c>
      <c r="F251" s="1028">
        <v>0</v>
      </c>
      <c r="G251" s="1028">
        <v>0</v>
      </c>
      <c r="H251" s="1028">
        <f ca="1">DATOSAÑO!AI244</f>
        <v>37.5</v>
      </c>
      <c r="I251" s="1028">
        <f ca="1">DATOSAÑO!CA244</f>
        <v>5.9870000000003971</v>
      </c>
      <c r="J251" s="1028">
        <v>0</v>
      </c>
      <c r="K251" s="1028">
        <f ca="1">DATOSAÑO!AF244</f>
        <v>152</v>
      </c>
      <c r="L251" s="1028">
        <f ca="1">+DATOSAÑO!CB244</f>
        <v>1.8809999999999529</v>
      </c>
      <c r="M251" s="1028">
        <f ca="1">+DATOSAÑO!AK244</f>
        <v>14</v>
      </c>
      <c r="N251" s="1028">
        <f ca="1">+DATOSAÑO!AH244</f>
        <v>12.5</v>
      </c>
      <c r="O251" s="1028">
        <f ca="1">DATOSAÑO!AL244</f>
        <v>35.999999999989029</v>
      </c>
      <c r="P251" s="1029" t="e">
        <f>+(DATOSAÑO!#REF!)+DATOSAÑO!#REF!</f>
        <v>#REF!</v>
      </c>
      <c r="Q251" s="1028">
        <f ca="1">+DATOSAÑO!BH244</f>
        <v>4</v>
      </c>
      <c r="R251" s="1114">
        <f ca="1">DATOSAÑO!BJ244+DATOSAÑO!BM244+DATOSAÑO!BP244+DATOSAÑO!BW244+DATOSAÑO!CC244</f>
        <v>24.232000000001818</v>
      </c>
    </row>
    <row r="252" spans="2:18">
      <c r="B252" s="410">
        <v>45161</v>
      </c>
      <c r="C252" s="1028">
        <f ca="1">DATOSAÑO!AJ245</f>
        <v>10.69999999999709</v>
      </c>
      <c r="D252" s="1028">
        <f ca="1">DATOSAÑO!AK245</f>
        <v>15</v>
      </c>
      <c r="E252" s="1028">
        <f ca="1">DATOSAÑO!AD245</f>
        <v>170</v>
      </c>
      <c r="F252" s="1028">
        <v>0</v>
      </c>
      <c r="G252" s="1028">
        <v>0</v>
      </c>
      <c r="H252" s="1028">
        <f ca="1">DATOSAÑO!AI245</f>
        <v>37.30000000000291</v>
      </c>
      <c r="I252" s="1028">
        <f ca="1">DATOSAÑO!CA245</f>
        <v>5.9220000000009989</v>
      </c>
      <c r="J252" s="1028">
        <v>0</v>
      </c>
      <c r="K252" s="1028">
        <f ca="1">DATOSAÑO!AF245</f>
        <v>150</v>
      </c>
      <c r="L252" s="1028">
        <f ca="1">+DATOSAÑO!CB245</f>
        <v>1.1658000000001092</v>
      </c>
      <c r="M252" s="1028">
        <f ca="1">+DATOSAÑO!AK245</f>
        <v>15</v>
      </c>
      <c r="N252" s="1028">
        <f ca="1">+DATOSAÑO!AH245</f>
        <v>12.500000000003638</v>
      </c>
      <c r="O252" s="1028">
        <f ca="1">DATOSAÑO!AL245</f>
        <v>37.397999999995591</v>
      </c>
      <c r="P252" s="1029" t="e">
        <f>+(DATOSAÑO!#REF!)+DATOSAÑO!#REF!</f>
        <v>#REF!</v>
      </c>
      <c r="Q252" s="1028">
        <f ca="1">+DATOSAÑO!BH245</f>
        <v>5</v>
      </c>
      <c r="R252" s="1114">
        <f ca="1">DATOSAÑO!BJ245+DATOSAÑO!BM245+DATOSAÑO!BP245+DATOSAÑO!BW245+DATOSAÑO!CC245</f>
        <v>23.612199999999618</v>
      </c>
    </row>
    <row r="253" spans="2:18">
      <c r="B253" s="410">
        <v>45162</v>
      </c>
      <c r="C253" s="1028">
        <f ca="1">DATOSAÑO!AJ246</f>
        <v>10.80000000000291</v>
      </c>
      <c r="D253" s="1028">
        <f ca="1">DATOSAÑO!AK246</f>
        <v>12</v>
      </c>
      <c r="E253" s="1028">
        <f ca="1">DATOSAÑO!AD246</f>
        <v>174</v>
      </c>
      <c r="F253" s="1028">
        <v>0</v>
      </c>
      <c r="G253" s="1028">
        <v>0</v>
      </c>
      <c r="H253" s="1028">
        <f ca="1">DATOSAÑO!AI246</f>
        <v>38</v>
      </c>
      <c r="I253" s="1028">
        <f ca="1">DATOSAÑO!CA246</f>
        <v>6.3009999999984085</v>
      </c>
      <c r="J253" s="1028">
        <v>0</v>
      </c>
      <c r="K253" s="1028">
        <f ca="1">DATOSAÑO!AF246</f>
        <v>152</v>
      </c>
      <c r="L253" s="1028">
        <f ca="1">+DATOSAÑO!CB246</f>
        <v>1.5551999999999453</v>
      </c>
      <c r="M253" s="1028">
        <f ca="1">+DATOSAÑO!AK246</f>
        <v>12</v>
      </c>
      <c r="N253" s="1028">
        <f ca="1">+DATOSAÑO!AH246</f>
        <v>1.1000000000003638</v>
      </c>
      <c r="O253" s="1028">
        <f ca="1">DATOSAÑO!AL246</f>
        <v>38.399999999999636</v>
      </c>
      <c r="P253" s="1029" t="e">
        <f>+(DATOSAÑO!#REF!)+DATOSAÑO!#REF!</f>
        <v>#REF!</v>
      </c>
      <c r="Q253" s="1028">
        <f ca="1">+DATOSAÑO!BH246</f>
        <v>5</v>
      </c>
      <c r="R253" s="1114">
        <f ca="1">DATOSAÑO!BJ246+DATOSAÑO!BM246+DATOSAÑO!BP246+DATOSAÑO!BW246+DATOSAÑO!CC246</f>
        <v>25.843799999998733</v>
      </c>
    </row>
    <row r="254" spans="2:18">
      <c r="B254" s="410">
        <v>45163</v>
      </c>
      <c r="C254" s="1028">
        <f ca="1">DATOSAÑO!AJ247</f>
        <v>10.099999999991269</v>
      </c>
      <c r="D254" s="1028">
        <f ca="1">DATOSAÑO!AK247</f>
        <v>13</v>
      </c>
      <c r="E254" s="1028">
        <f ca="1">DATOSAÑO!AD247</f>
        <v>176</v>
      </c>
      <c r="F254" s="1028">
        <v>0</v>
      </c>
      <c r="G254" s="1028">
        <v>0</v>
      </c>
      <c r="H254" s="1028">
        <f ca="1">DATOSAÑO!AI247</f>
        <v>37.19999999999709</v>
      </c>
      <c r="I254" s="1028">
        <f ca="1">DATOSAÑO!CA247</f>
        <v>4.3785000000001872</v>
      </c>
      <c r="J254" s="1028">
        <v>0</v>
      </c>
      <c r="K254" s="1028">
        <f ca="1">DATOSAÑO!AF247</f>
        <v>152</v>
      </c>
      <c r="L254" s="1028">
        <f ca="1">+DATOSAÑO!CB247</f>
        <v>1.992</v>
      </c>
      <c r="M254" s="1028">
        <f ca="1">+DATOSAÑO!AK247</f>
        <v>13</v>
      </c>
      <c r="N254" s="1028">
        <f ca="1">+DATOSAÑO!AH247</f>
        <v>14.19999999999709</v>
      </c>
      <c r="O254" s="1028">
        <f ca="1">DATOSAÑO!AL247</f>
        <v>37.800000000013767</v>
      </c>
      <c r="P254" s="1029" t="e">
        <f>+(DATOSAÑO!#REF!)+DATOSAÑO!#REF!</f>
        <v>#REF!</v>
      </c>
      <c r="Q254" s="1028">
        <f ca="1">+DATOSAÑO!BH247</f>
        <v>6</v>
      </c>
      <c r="R254" s="1114">
        <f ca="1">DATOSAÑO!BJ247+DATOSAÑO!BM247+DATOSAÑO!BP247+DATOSAÑO!BW247+DATOSAÑO!CC247</f>
        <v>19.32950000000055</v>
      </c>
    </row>
    <row r="255" spans="2:18">
      <c r="B255" s="410">
        <v>45164</v>
      </c>
      <c r="C255" s="1028">
        <f ca="1">DATOSAÑO!AJ248</f>
        <v>10.80000000000291</v>
      </c>
      <c r="D255" s="1028">
        <f ca="1">DATOSAÑO!AK248</f>
        <v>13</v>
      </c>
      <c r="E255" s="1028">
        <f ca="1">DATOSAÑO!AD248</f>
        <v>155</v>
      </c>
      <c r="F255" s="1028">
        <v>0</v>
      </c>
      <c r="G255" s="1028">
        <v>0</v>
      </c>
      <c r="H255" s="1028">
        <f ca="1">DATOSAÑO!AI248</f>
        <v>36.700000000011642</v>
      </c>
      <c r="I255" s="1028">
        <f ca="1">DATOSAÑO!CA248</f>
        <v>0.99700000000022526</v>
      </c>
      <c r="J255" s="1028">
        <v>0</v>
      </c>
      <c r="K255" s="1028">
        <f ca="1">DATOSAÑO!AF248</f>
        <v>155</v>
      </c>
      <c r="L255" s="1028">
        <f ca="1">+DATOSAÑO!CB248</f>
        <v>2.1269999999999474</v>
      </c>
      <c r="M255" s="1028">
        <f ca="1">+DATOSAÑO!AK248</f>
        <v>13</v>
      </c>
      <c r="N255" s="1028">
        <f ca="1">+DATOSAÑO!AH248</f>
        <v>11.5</v>
      </c>
      <c r="O255" s="1028">
        <f ca="1">DATOSAÑO!AL248</f>
        <v>42.681999999985408</v>
      </c>
      <c r="P255" s="1029" t="e">
        <f>+(DATOSAÑO!#REF!)+DATOSAÑO!#REF!</f>
        <v>#REF!</v>
      </c>
      <c r="Q255" s="1028">
        <f ca="1">+DATOSAÑO!BH248</f>
        <v>4</v>
      </c>
      <c r="R255" s="1114">
        <f ca="1">DATOSAÑO!BJ248+DATOSAÑO!BM248+DATOSAÑO!BP248+DATOSAÑO!BW248+DATOSAÑO!CC248</f>
        <v>18.375999999999827</v>
      </c>
    </row>
    <row r="256" spans="2:18">
      <c r="B256" s="410">
        <v>45165</v>
      </c>
      <c r="C256" s="1028">
        <f ca="1">DATOSAÑO!AJ249</f>
        <v>8.6999999999970896</v>
      </c>
      <c r="D256" s="1028">
        <f ca="1">DATOSAÑO!AK249</f>
        <v>12</v>
      </c>
      <c r="E256" s="1028">
        <f ca="1">DATOSAÑO!AD249</f>
        <v>161</v>
      </c>
      <c r="F256" s="1028">
        <v>0</v>
      </c>
      <c r="G256" s="1028">
        <v>0</v>
      </c>
      <c r="H256" s="1028">
        <f ca="1">DATOSAÑO!AI249</f>
        <v>37.399999999994179</v>
      </c>
      <c r="I256" s="1028">
        <f ca="1">DATOSAÑO!CA249</f>
        <v>4.3105000000002276</v>
      </c>
      <c r="J256" s="1028">
        <v>0</v>
      </c>
      <c r="K256" s="1028">
        <f ca="1">DATOSAÑO!AF249</f>
        <v>152</v>
      </c>
      <c r="L256" s="1028">
        <f ca="1">+DATOSAÑO!CB249</f>
        <v>2.4197999999997268</v>
      </c>
      <c r="M256" s="1028">
        <f ca="1">+DATOSAÑO!AK249</f>
        <v>12</v>
      </c>
      <c r="N256" s="1028">
        <f ca="1">+DATOSAÑO!AH249</f>
        <v>6.3000000000029104</v>
      </c>
      <c r="O256" s="1028">
        <f ca="1">DATOSAÑO!AL249</f>
        <v>37.100000000005821</v>
      </c>
      <c r="P256" s="1029" t="e">
        <f>+(DATOSAÑO!#REF!)+DATOSAÑO!#REF!</f>
        <v>#REF!</v>
      </c>
      <c r="Q256" s="1028">
        <f ca="1">+DATOSAÑO!BH249</f>
        <v>5</v>
      </c>
      <c r="R256" s="1114">
        <f ca="1">DATOSAÑO!BJ249+DATOSAÑO!BM249+DATOSAÑO!BP249+DATOSAÑO!BW249+DATOSAÑO!CC249</f>
        <v>21.769700000000046</v>
      </c>
    </row>
    <row r="257" spans="2:18">
      <c r="B257" s="410">
        <v>45166</v>
      </c>
      <c r="C257" s="1028">
        <f ca="1">DATOSAÑO!AJ250</f>
        <v>7.1000000000058208</v>
      </c>
      <c r="D257" s="1028">
        <f ca="1">DATOSAÑO!AK250</f>
        <v>11</v>
      </c>
      <c r="E257" s="1028">
        <f ca="1">DATOSAÑO!AD250</f>
        <v>166</v>
      </c>
      <c r="F257" s="1028">
        <v>0</v>
      </c>
      <c r="G257" s="1028">
        <v>0</v>
      </c>
      <c r="H257" s="1028">
        <f ca="1">DATOSAÑO!AI250</f>
        <v>38.899999999994179</v>
      </c>
      <c r="I257" s="1028">
        <f ca="1">DATOSAÑO!CA250</f>
        <v>5.2520000000005451</v>
      </c>
      <c r="J257" s="1028">
        <v>0</v>
      </c>
      <c r="K257" s="1028">
        <f ca="1">DATOSAÑO!AF250</f>
        <v>150</v>
      </c>
      <c r="L257" s="1028">
        <f ca="1">+DATOSAÑO!CB250</f>
        <v>2.5488000000004365</v>
      </c>
      <c r="M257" s="1028">
        <f ca="1">+DATOSAÑO!AK250</f>
        <v>11</v>
      </c>
      <c r="N257" s="1028">
        <f ca="1">+DATOSAÑO!AH250</f>
        <v>10.599999999998545</v>
      </c>
      <c r="O257" s="1028">
        <f ca="1">DATOSAÑO!AL250</f>
        <v>35.799999999999272</v>
      </c>
      <c r="P257" s="1029" t="e">
        <f>+(DATOSAÑO!#REF!)+DATOSAÑO!#REF!</f>
        <v>#REF!</v>
      </c>
      <c r="Q257" s="1028">
        <f ca="1">+DATOSAÑO!BH250</f>
        <v>6</v>
      </c>
      <c r="R257" s="1114">
        <f ca="1">DATOSAÑO!BJ250+DATOSAÑO!BM250+DATOSAÑO!BP250+DATOSAÑO!BW250+DATOSAÑO!CC250</f>
        <v>22.7992000000012</v>
      </c>
    </row>
    <row r="258" spans="2:18">
      <c r="B258" s="410">
        <v>45167</v>
      </c>
      <c r="C258" s="1028">
        <f ca="1">DATOSAÑO!AJ251</f>
        <v>8</v>
      </c>
      <c r="D258" s="1028">
        <f ca="1">DATOSAÑO!AK251</f>
        <v>13</v>
      </c>
      <c r="E258" s="1028">
        <f ca="1">DATOSAÑO!AD251</f>
        <v>166</v>
      </c>
      <c r="F258" s="1028">
        <v>0</v>
      </c>
      <c r="G258" s="1028">
        <v>0</v>
      </c>
      <c r="H258" s="1028">
        <f ca="1">DATOSAÑO!AI251</f>
        <v>39.100000000005821</v>
      </c>
      <c r="I258" s="1028">
        <f ca="1">DATOSAÑO!CA251</f>
        <v>4.4689999999985943</v>
      </c>
      <c r="J258" s="1028">
        <v>0</v>
      </c>
      <c r="K258" s="1028">
        <f ca="1">DATOSAÑO!AF251</f>
        <v>155</v>
      </c>
      <c r="L258" s="1028">
        <f ca="1">+DATOSAÑO!CB251</f>
        <v>2.4563999999999404</v>
      </c>
      <c r="M258" s="1028">
        <f ca="1">+DATOSAÑO!AK251</f>
        <v>13</v>
      </c>
      <c r="N258" s="1028">
        <f ca="1">+DATOSAÑO!AH251</f>
        <v>14.799999999995634</v>
      </c>
      <c r="O258" s="1028">
        <f ca="1">DATOSAÑO!AL251</f>
        <v>35.536000000001707</v>
      </c>
      <c r="P258" s="1029" t="e">
        <f>+(DATOSAÑO!#REF!)+DATOSAÑO!#REF!</f>
        <v>#REF!</v>
      </c>
      <c r="Q258" s="1028">
        <f ca="1">+DATOSAÑO!BH251</f>
        <v>6</v>
      </c>
      <c r="R258" s="1114">
        <f ca="1">DATOSAÑO!BJ251+DATOSAÑO!BM251+DATOSAÑO!BP251+DATOSAÑO!BW251+DATOSAÑO!CC251</f>
        <v>21.274599999998554</v>
      </c>
    </row>
    <row r="259" spans="2:18">
      <c r="B259" s="410">
        <v>45168</v>
      </c>
      <c r="C259" s="1028">
        <f ca="1">DATOSAÑO!AJ252</f>
        <v>8.6000000000058208</v>
      </c>
      <c r="D259" s="1028">
        <f ca="1">DATOSAÑO!AK252</f>
        <v>12</v>
      </c>
      <c r="E259" s="1028">
        <f ca="1">DATOSAÑO!AD252</f>
        <v>164</v>
      </c>
      <c r="F259" s="1028">
        <v>0</v>
      </c>
      <c r="G259" s="1028">
        <v>0</v>
      </c>
      <c r="H259" s="1028">
        <f ca="1">DATOSAÑO!AI252</f>
        <v>38</v>
      </c>
      <c r="I259" s="1028">
        <f ca="1">DATOSAÑO!CA252</f>
        <v>5.1200000000015011</v>
      </c>
      <c r="J259" s="1028">
        <v>0</v>
      </c>
      <c r="K259" s="1028">
        <f ca="1">DATOSAÑO!AF252</f>
        <v>151</v>
      </c>
      <c r="L259" s="1028">
        <f ca="1">+DATOSAÑO!CB252</f>
        <v>2.1731999999999454</v>
      </c>
      <c r="M259" s="1028">
        <f ca="1">+DATOSAÑO!AK252</f>
        <v>12</v>
      </c>
      <c r="N259" s="1028">
        <f ca="1">+DATOSAÑO!AH252</f>
        <v>8.7000000000061846</v>
      </c>
      <c r="O259" s="1028">
        <f ca="1">DATOSAÑO!AL252</f>
        <v>34.399999999985084</v>
      </c>
      <c r="P259" s="1029" t="e">
        <f>+(DATOSAÑO!#REF!)+DATOSAÑO!#REF!</f>
        <v>#REF!</v>
      </c>
      <c r="Q259" s="1028">
        <f ca="1">+DATOSAÑO!BH252</f>
        <v>5</v>
      </c>
      <c r="R259" s="1114">
        <f ca="1">DATOSAÑO!BJ252+DATOSAÑO!BM252+DATOSAÑO!BP252+DATOSAÑO!BW252+DATOSAÑO!CC252</f>
        <v>22.006800000001466</v>
      </c>
    </row>
    <row r="260" spans="2:18" ht="15" thickBot="1">
      <c r="B260" s="410">
        <v>45169</v>
      </c>
      <c r="C260" s="1028">
        <f ca="1">DATOSAÑO!AJ253</f>
        <v>9</v>
      </c>
      <c r="D260" s="1028">
        <f ca="1">DATOSAÑO!AK253</f>
        <v>11.299999999988358</v>
      </c>
      <c r="E260" s="1028">
        <f ca="1">DATOSAÑO!AD253</f>
        <v>161.70000000000073</v>
      </c>
      <c r="F260" s="1028">
        <v>0</v>
      </c>
      <c r="G260" s="1028">
        <v>0</v>
      </c>
      <c r="H260" s="1028">
        <f ca="1">DATOSAÑO!AI253</f>
        <v>38.100000000005821</v>
      </c>
      <c r="I260" s="1028">
        <f ca="1">DATOSAÑO!CA253</f>
        <v>3.5245000000061379</v>
      </c>
      <c r="J260" s="1028">
        <v>0</v>
      </c>
      <c r="K260" s="1028">
        <f ca="1">DATOSAÑO!AF253</f>
        <v>151.70000000001164</v>
      </c>
      <c r="L260" s="1028">
        <f ca="1">+DATOSAÑO!CB253</f>
        <v>1.6739999999998363</v>
      </c>
      <c r="M260" s="1028">
        <f ca="1">+DATOSAÑO!AK253</f>
        <v>11.299999999988358</v>
      </c>
      <c r="N260" s="1028">
        <f ca="1">+DATOSAÑO!AH253</f>
        <v>12</v>
      </c>
      <c r="O260" s="1028">
        <f ca="1">DATOSAÑO!AL253</f>
        <v>36.700000000029831</v>
      </c>
      <c r="P260" s="1029" t="e">
        <f>+(DATOSAÑO!#REF!)+DATOSAÑO!#REF!</f>
        <v>#REF!</v>
      </c>
      <c r="Q260" s="1028">
        <f ca="1">+DATOSAÑO!BH253</f>
        <v>5.5</v>
      </c>
      <c r="R260" s="1114">
        <f ca="1">DATOSAÑO!BJ253+DATOSAÑO!BM253+DATOSAÑO!BP253+DATOSAÑO!BW253+DATOSAÑO!CC253</f>
        <v>20.001500000005667</v>
      </c>
    </row>
    <row r="261" spans="2:18" ht="15" thickBot="1">
      <c r="B261" s="1308" t="s">
        <v>1114</v>
      </c>
      <c r="C261" s="1307">
        <f t="shared" ref="C261:R261" ca="1" si="7">SUM(C230:C260)</f>
        <v>261.10000000000582</v>
      </c>
      <c r="D261" s="1054">
        <f t="shared" ca="1" si="7"/>
        <v>356.29999999998836</v>
      </c>
      <c r="E261" s="1054">
        <f t="shared" ca="1" si="7"/>
        <v>5130.7000000000007</v>
      </c>
      <c r="F261" s="1054">
        <f t="shared" si="7"/>
        <v>0</v>
      </c>
      <c r="G261" s="1054">
        <f t="shared" si="7"/>
        <v>0</v>
      </c>
      <c r="H261" s="1054">
        <f t="shared" ca="1" si="7"/>
        <v>1125.2000000000116</v>
      </c>
      <c r="I261" s="1054">
        <f t="shared" ca="1" si="7"/>
        <v>165.64800000000696</v>
      </c>
      <c r="J261" s="1054">
        <f t="shared" si="7"/>
        <v>0</v>
      </c>
      <c r="K261" s="1054">
        <f t="shared" ca="1" si="7"/>
        <v>4646.7000000000116</v>
      </c>
      <c r="L261" s="1054">
        <f t="shared" ca="1" si="7"/>
        <v>58.172999999999668</v>
      </c>
      <c r="M261" s="1054">
        <f t="shared" ca="1" si="7"/>
        <v>356.29999999998836</v>
      </c>
      <c r="N261" s="1054">
        <f t="shared" ca="1" si="7"/>
        <v>327.00000000000546</v>
      </c>
      <c r="O261" s="1054">
        <f t="shared" ca="1" si="7"/>
        <v>1087.8680000000106</v>
      </c>
      <c r="P261" s="1054" t="e">
        <f t="shared" si="7"/>
        <v>#REF!</v>
      </c>
      <c r="Q261" s="1115">
        <f t="shared" ca="1" si="7"/>
        <v>150.5</v>
      </c>
      <c r="R261" s="1115">
        <f t="shared" ca="1" si="7"/>
        <v>670.97900000000709</v>
      </c>
    </row>
    <row r="262" spans="2:18">
      <c r="B262" s="410">
        <v>45170</v>
      </c>
      <c r="C262" s="1028">
        <f ca="1">DATOSAÑO!AJ254</f>
        <v>11.139999999999418</v>
      </c>
      <c r="D262" s="1028">
        <f ca="1">DATOSAÑO!AK254</f>
        <v>12.080000000016298</v>
      </c>
      <c r="E262" s="1028">
        <f ca="1">DATOSAÑO!AD254</f>
        <v>165.68699999999808</v>
      </c>
      <c r="F262" s="1028">
        <v>0</v>
      </c>
      <c r="G262" s="1028">
        <v>0</v>
      </c>
      <c r="H262" s="1028">
        <f ca="1">DATOSAÑO!AI254</f>
        <v>39.819999999992433</v>
      </c>
      <c r="I262" s="1028">
        <f ca="1">DATOSAÑO!CA254</f>
        <v>6.3595000000098683</v>
      </c>
      <c r="J262" s="1028">
        <v>0</v>
      </c>
      <c r="K262" s="1028">
        <f ca="1">DATOSAÑO!AF254</f>
        <v>151.09999999997672</v>
      </c>
      <c r="L262" s="1028">
        <f ca="1">+DATOSAÑO!CB254</f>
        <v>1.4519999999997708</v>
      </c>
      <c r="M262" s="1028">
        <f ca="1">+DATOSAÑO!AK254</f>
        <v>12.080000000016298</v>
      </c>
      <c r="N262" s="1028">
        <f ca="1">+DATOSAÑO!AH254</f>
        <v>11.399999999994179</v>
      </c>
      <c r="O262" s="1028">
        <f ca="1">DATOSAÑO!AL254</f>
        <v>36.692999999962922</v>
      </c>
      <c r="P262" s="1029" t="e">
        <f>+(DATOSAÑO!#REF!)+DATOSAÑO!#REF!</f>
        <v>#REF!</v>
      </c>
      <c r="Q262" s="1028">
        <f ca="1">+DATOSAÑO!BH254</f>
        <v>5.0910000000003492</v>
      </c>
      <c r="R262" s="1114">
        <f ca="1">DATOSAÑO!BJ254+DATOSAÑO!BM254+DATOSAÑO!BP254+DATOSAÑO!BW254+DATOSAÑO!CC254</f>
        <v>22.788500000010735</v>
      </c>
    </row>
    <row r="263" spans="2:18">
      <c r="B263" s="410">
        <v>45171</v>
      </c>
      <c r="C263" s="1028">
        <f ca="1">DATOSAÑO!AJ255</f>
        <v>10</v>
      </c>
      <c r="D263" s="1028">
        <f ca="1">DATOSAÑO!AK255</f>
        <v>11.820000000006985</v>
      </c>
      <c r="E263" s="1028">
        <f ca="1">DATOSAÑO!AD255</f>
        <v>162.91300000000047</v>
      </c>
      <c r="F263" s="1028">
        <v>0</v>
      </c>
      <c r="G263" s="1028">
        <v>0</v>
      </c>
      <c r="H263" s="1028">
        <f ca="1">DATOSAÑO!AI255</f>
        <v>37.850000000005821</v>
      </c>
      <c r="I263" s="1028">
        <f ca="1">DATOSAÑO!CA255</f>
        <v>4.1239999999724608</v>
      </c>
      <c r="J263" s="1028">
        <v>0</v>
      </c>
      <c r="K263" s="1028">
        <f ca="1">DATOSAÑO!AF255</f>
        <v>149.90000000002328</v>
      </c>
      <c r="L263" s="1028">
        <f ca="1">+DATOSAÑO!CB255</f>
        <v>1.7999999999999998</v>
      </c>
      <c r="M263" s="1028">
        <f ca="1">+DATOSAÑO!AK255</f>
        <v>11.820000000006985</v>
      </c>
      <c r="N263" s="1028">
        <f ca="1">+DATOSAÑO!AH255</f>
        <v>8.7000000000043656</v>
      </c>
      <c r="O263" s="1028">
        <f ca="1">DATOSAÑO!AL255</f>
        <v>33.92700000005425</v>
      </c>
      <c r="P263" s="1029" t="e">
        <f>+(DATOSAÑO!#REF!)+DATOSAÑO!#REF!</f>
        <v>#REF!</v>
      </c>
      <c r="Q263" s="1028">
        <f ca="1">+DATOSAÑO!BH255</f>
        <v>4.6239999999961583</v>
      </c>
      <c r="R263" s="1114">
        <f ca="1">DATOSAÑO!BJ255+DATOSAÑO!BM255+DATOSAÑO!BP255+DATOSAÑO!BW255+DATOSAÑO!CC255</f>
        <v>19.875999999972244</v>
      </c>
    </row>
    <row r="264" spans="2:18">
      <c r="B264" s="410">
        <v>45172</v>
      </c>
      <c r="C264" s="1028">
        <f ca="1">DATOSAÑO!AJ256</f>
        <v>8.6199999999953434</v>
      </c>
      <c r="D264" s="1028">
        <f ca="1">DATOSAÑO!AK256</f>
        <v>11.349999999976717</v>
      </c>
      <c r="E264" s="1028">
        <f ca="1">DATOSAÑO!AD256</f>
        <v>161.70000000000073</v>
      </c>
      <c r="F264" s="1028">
        <v>0</v>
      </c>
      <c r="G264" s="1028">
        <v>0</v>
      </c>
      <c r="H264" s="1028">
        <f ca="1">DATOSAÑO!AI256</f>
        <v>38.059999999997672</v>
      </c>
      <c r="I264" s="1028">
        <f ca="1">DATOSAÑO!CA256</f>
        <v>4.601000000010333</v>
      </c>
      <c r="J264" s="1028">
        <v>0</v>
      </c>
      <c r="K264" s="1028">
        <f ca="1">DATOSAÑO!AF256</f>
        <v>148.70000000001164</v>
      </c>
      <c r="L264" s="1028">
        <f ca="1">+DATOSAÑO!CB256</f>
        <v>2.6160000000003492</v>
      </c>
      <c r="M264" s="1028">
        <f ca="1">+DATOSAÑO!AK256</f>
        <v>11.349999999976717</v>
      </c>
      <c r="N264" s="1028">
        <f ca="1">+DATOSAÑO!AH256</f>
        <v>10</v>
      </c>
      <c r="O264" s="1028">
        <f ca="1">DATOSAÑO!AL256</f>
        <v>35.900000000005093</v>
      </c>
      <c r="P264" s="1029" t="e">
        <f>+(DATOSAÑO!#REF!)+DATOSAÑO!#REF!</f>
        <v>#REF!</v>
      </c>
      <c r="Q264" s="1028">
        <f ca="1">+DATOSAÑO!BH256</f>
        <v>4.8010000000067521</v>
      </c>
      <c r="R264" s="1114">
        <f ca="1">DATOSAÑO!BJ256+DATOSAÑO!BM256+DATOSAÑO!BP256+DATOSAÑO!BW256+DATOSAÑO!CC256</f>
        <v>21.883000000009694</v>
      </c>
    </row>
    <row r="265" spans="2:18">
      <c r="B265" s="410">
        <v>45173</v>
      </c>
      <c r="C265" s="1028">
        <f ca="1">DATOSAÑO!AJ257</f>
        <v>8.7700000000040745</v>
      </c>
      <c r="D265" s="1028">
        <f ca="1">DATOSAÑO!AK257</f>
        <v>11.400000000023283</v>
      </c>
      <c r="E265" s="1028">
        <f ca="1">DATOSAÑO!AD257</f>
        <v>161.40000000000146</v>
      </c>
      <c r="F265" s="1028">
        <v>0</v>
      </c>
      <c r="G265" s="1028">
        <v>0</v>
      </c>
      <c r="H265" s="1028">
        <f ca="1">DATOSAÑO!AI257</f>
        <v>38.440000000002328</v>
      </c>
      <c r="I265" s="1028">
        <f ca="1">DATOSAÑO!CA257</f>
        <v>5.2654999999949537</v>
      </c>
      <c r="J265" s="1028">
        <v>0</v>
      </c>
      <c r="K265" s="1028">
        <f ca="1">DATOSAÑO!AF257</f>
        <v>150.29999999998836</v>
      </c>
      <c r="L265" s="1028">
        <f ca="1">+DATOSAÑO!CB257</f>
        <v>2.5979999999996837</v>
      </c>
      <c r="M265" s="1028">
        <f ca="1">+DATOSAÑO!AK257</f>
        <v>11.400000000023283</v>
      </c>
      <c r="N265" s="1028">
        <f ca="1">+DATOSAÑO!AH257</f>
        <v>11.19999999999709</v>
      </c>
      <c r="O265" s="1028">
        <f ca="1">DATOSAÑO!AL257</f>
        <v>34.785999999933949</v>
      </c>
      <c r="P265" s="1029" t="e">
        <f>+(DATOSAÑO!#REF!)+DATOSAÑO!#REF!</f>
        <v>#REF!</v>
      </c>
      <c r="Q265" s="1028">
        <f ca="1">+DATOSAÑO!BH257</f>
        <v>5.1779999999998836</v>
      </c>
      <c r="R265" s="1114">
        <f ca="1">DATOSAÑO!BJ257+DATOSAÑO!BM257+DATOSAÑO!BP257+DATOSAÑO!BW257+DATOSAÑO!CC257</f>
        <v>21.536499999995907</v>
      </c>
    </row>
    <row r="266" spans="2:18">
      <c r="B266" s="410">
        <v>45174</v>
      </c>
      <c r="C266" s="1028">
        <f ca="1">DATOSAÑO!AJ258</f>
        <v>8.2699999999895226</v>
      </c>
      <c r="D266" s="1028">
        <f ca="1">DATOSAÑO!AK258</f>
        <v>11.049999999988358</v>
      </c>
      <c r="E266" s="1028">
        <f ca="1">DATOSAÑO!AD258</f>
        <v>161.79999999999927</v>
      </c>
      <c r="F266" s="1028">
        <v>0</v>
      </c>
      <c r="G266" s="1028">
        <v>0</v>
      </c>
      <c r="H266" s="1028">
        <f ca="1">DATOSAÑO!AI258</f>
        <v>37.830000000001746</v>
      </c>
      <c r="I266" s="1028">
        <f ca="1">DATOSAÑO!CA258</f>
        <v>4.4835000000007472</v>
      </c>
      <c r="J266" s="1028">
        <v>0</v>
      </c>
      <c r="K266" s="1028">
        <f ca="1">DATOSAÑO!AF258</f>
        <v>150</v>
      </c>
      <c r="L266" s="1028">
        <f ca="1">+DATOSAÑO!CB258</f>
        <v>2.6520000000003678</v>
      </c>
      <c r="M266" s="1028">
        <f ca="1">+DATOSAÑO!AK258</f>
        <v>11.049999999988358</v>
      </c>
      <c r="N266" s="1028">
        <f ca="1">+DATOSAÑO!AH258</f>
        <v>10.700000000004366</v>
      </c>
      <c r="O266" s="1028">
        <f ca="1">DATOSAÑO!AL258</f>
        <v>37.520000000062282</v>
      </c>
      <c r="P266" s="1029" t="e">
        <f>+(DATOSAÑO!#REF!)+DATOSAÑO!#REF!</f>
        <v>#REF!</v>
      </c>
      <c r="Q266" s="1028">
        <f ca="1">+DATOSAÑO!BH258</f>
        <v>5.4060000000026776</v>
      </c>
      <c r="R266" s="1114">
        <f ca="1">DATOSAÑO!BJ258+DATOSAÑO!BM258+DATOSAÑO!BP258+DATOSAÑO!BW258+DATOSAÑO!CC258</f>
        <v>22.064499999999612</v>
      </c>
    </row>
    <row r="267" spans="2:18">
      <c r="B267" s="410">
        <v>45175</v>
      </c>
      <c r="C267" s="1028">
        <f ca="1">DATOSAÑO!AJ259</f>
        <v>8.9000000000087311</v>
      </c>
      <c r="D267" s="1028">
        <f ca="1">DATOSAÑO!AK259</f>
        <v>11</v>
      </c>
      <c r="E267" s="1028">
        <f ca="1">DATOSAÑO!AD259</f>
        <v>159.22999999999956</v>
      </c>
      <c r="F267" s="1028">
        <v>0</v>
      </c>
      <c r="G267" s="1028">
        <v>0</v>
      </c>
      <c r="H267" s="1028">
        <f ca="1">DATOSAÑO!AI259</f>
        <v>37.19999999999709</v>
      </c>
      <c r="I267" s="1028">
        <f ca="1">DATOSAÑO!CA259</f>
        <v>5.645500000005212</v>
      </c>
      <c r="J267" s="1028">
        <v>0</v>
      </c>
      <c r="K267" s="1028">
        <f ca="1">DATOSAÑO!AF259</f>
        <v>146.29999999998836</v>
      </c>
      <c r="L267" s="1028">
        <f ca="1">+DATOSAÑO!CB259</f>
        <v>2.4599999999999453</v>
      </c>
      <c r="M267" s="1028">
        <f ca="1">+DATOSAÑO!AK259</f>
        <v>11</v>
      </c>
      <c r="N267" s="1028">
        <f ca="1">+DATOSAÑO!AH259</f>
        <v>3.2999999999956344</v>
      </c>
      <c r="O267" s="1028">
        <f ca="1">DATOSAÑO!AL259</f>
        <v>33.399999999954161</v>
      </c>
      <c r="P267" s="1029" t="e">
        <f>+(DATOSAÑO!#REF!)+DATOSAÑO!#REF!</f>
        <v>#REF!</v>
      </c>
      <c r="Q267" s="1028">
        <f ca="1">+DATOSAÑO!BH259</f>
        <v>4.5999999999912689</v>
      </c>
      <c r="R267" s="1114">
        <f ca="1">DATOSAÑO!BJ259+DATOSAÑO!BM259+DATOSAÑO!BP259+DATOSAÑO!BW259+DATOSAÑO!CC259</f>
        <v>24.194500000005032</v>
      </c>
    </row>
    <row r="268" spans="2:18">
      <c r="B268" s="410">
        <v>45176</v>
      </c>
      <c r="C268" s="1028">
        <f ca="1">DATOSAÑO!AJ260</f>
        <v>8</v>
      </c>
      <c r="D268" s="1028">
        <f ca="1">DATOSAÑO!AK260</f>
        <v>11</v>
      </c>
      <c r="E268" s="1028">
        <f ca="1">DATOSAÑO!AD260</f>
        <v>163.56999999999971</v>
      </c>
      <c r="F268" s="1028">
        <v>0</v>
      </c>
      <c r="G268" s="1028">
        <v>0</v>
      </c>
      <c r="H268" s="1028">
        <f ca="1">DATOSAÑO!AI260</f>
        <v>36.599999999991269</v>
      </c>
      <c r="I268" s="1028">
        <f ca="1">DATOSAÑO!CA260</f>
        <v>4.6450000000000173</v>
      </c>
      <c r="J268" s="1028">
        <v>0</v>
      </c>
      <c r="K268" s="1028">
        <f ca="1">DATOSAÑO!AF260</f>
        <v>151</v>
      </c>
      <c r="L268" s="1028">
        <f ca="1">+DATOSAÑO!CB260</f>
        <v>2.5619999999997161</v>
      </c>
      <c r="M268" s="1028">
        <f ca="1">+DATOSAÑO!AK260</f>
        <v>11</v>
      </c>
      <c r="N268" s="1028">
        <f ca="1">+DATOSAÑO!AH260</f>
        <v>12.099999999998545</v>
      </c>
      <c r="O268" s="1028">
        <f ca="1">DATOSAÑO!AL260</f>
        <v>36.030000000013331</v>
      </c>
      <c r="P268" s="1029" t="e">
        <f>+(DATOSAÑO!#REF!)+DATOSAÑO!#REF!</f>
        <v>#REF!</v>
      </c>
      <c r="Q268" s="1028">
        <f ca="1">+DATOSAÑO!BH260</f>
        <v>5.8000000000029104</v>
      </c>
      <c r="R268" s="1114">
        <f ca="1">DATOSAÑO!BJ260+DATOSAÑO!BM260+DATOSAÑO!BP260+DATOSAÑO!BW260+DATOSAÑO!CC260</f>
        <v>23.793000000000266</v>
      </c>
    </row>
    <row r="269" spans="2:18">
      <c r="B269" s="410">
        <v>45177</v>
      </c>
      <c r="C269" s="1028">
        <f ca="1">DATOSAÑO!AJ261</f>
        <v>7.1999999999970896</v>
      </c>
      <c r="D269" s="1028">
        <f ca="1">DATOSAÑO!AK261</f>
        <v>11</v>
      </c>
      <c r="E269" s="1028">
        <f ca="1">DATOSAÑO!AD261</f>
        <v>158</v>
      </c>
      <c r="F269" s="1028">
        <v>0</v>
      </c>
      <c r="G269" s="1028">
        <v>0</v>
      </c>
      <c r="H269" s="1028">
        <f ca="1">DATOSAÑO!AI261</f>
        <v>36.100000000005821</v>
      </c>
      <c r="I269" s="1028">
        <f ca="1">DATOSAÑO!CA261</f>
        <v>5.0484999999999092</v>
      </c>
      <c r="J269" s="1028">
        <v>0</v>
      </c>
      <c r="K269" s="1028">
        <f ca="1">DATOSAÑO!AF261</f>
        <v>147</v>
      </c>
      <c r="L269" s="1028">
        <f ca="1">+DATOSAÑO!CB261</f>
        <v>2.5800000000001093</v>
      </c>
      <c r="M269" s="1028">
        <f ca="1">+DATOSAÑO!AK261</f>
        <v>11</v>
      </c>
      <c r="N269" s="1028">
        <f ca="1">+DATOSAÑO!AH261</f>
        <v>9.5999999999985448</v>
      </c>
      <c r="O269" s="1028">
        <f ca="1">DATOSAÑO!AL261</f>
        <v>35.756999999997731</v>
      </c>
      <c r="P269" s="1029" t="e">
        <f>+(DATOSAÑO!#REF!)+DATOSAÑO!#REF!</f>
        <v>#REF!</v>
      </c>
      <c r="Q269" s="1028">
        <f ca="1">+DATOSAÑO!BH261</f>
        <v>5</v>
      </c>
      <c r="R269" s="1114">
        <f ca="1">DATOSAÑO!BJ261+DATOSAÑO!BM261+DATOSAÑO!BP261+DATOSAÑO!BW261+DATOSAÑO!CC261</f>
        <v>22.071500000000707</v>
      </c>
    </row>
    <row r="270" spans="2:18">
      <c r="B270" s="410">
        <v>45178</v>
      </c>
      <c r="C270" s="1028">
        <f ca="1">DATOSAÑO!AJ262</f>
        <v>10.30000000000291</v>
      </c>
      <c r="D270" s="1028">
        <f ca="1">DATOSAÑO!AK262</f>
        <v>12</v>
      </c>
      <c r="E270" s="1028">
        <f ca="1">DATOSAÑO!AD262</f>
        <v>162</v>
      </c>
      <c r="F270" s="1028">
        <v>0</v>
      </c>
      <c r="G270" s="1028">
        <v>0</v>
      </c>
      <c r="H270" s="1028">
        <f ca="1">DATOSAÑO!AI262</f>
        <v>38.30000000000291</v>
      </c>
      <c r="I270" s="1028">
        <f ca="1">DATOSAÑO!CA262</f>
        <v>4.2854999999999031</v>
      </c>
      <c r="J270" s="1028">
        <v>0</v>
      </c>
      <c r="K270" s="1028">
        <f ca="1">DATOSAÑO!AF262</f>
        <v>151</v>
      </c>
      <c r="L270" s="1028">
        <f ca="1">+DATOSAÑO!CB262</f>
        <v>2.8380000000003349</v>
      </c>
      <c r="M270" s="1028">
        <f ca="1">+DATOSAÑO!AK262</f>
        <v>12</v>
      </c>
      <c r="N270" s="1028">
        <f ca="1">+DATOSAÑO!AH262</f>
        <v>10.200000000004366</v>
      </c>
      <c r="O270" s="1028">
        <f ca="1">DATOSAÑO!AL262</f>
        <v>33.199999999989757</v>
      </c>
      <c r="P270" s="1029" t="e">
        <f>+(DATOSAÑO!#REF!)+DATOSAÑO!#REF!</f>
        <v>#REF!</v>
      </c>
      <c r="Q270" s="1028">
        <f ca="1">+DATOSAÑO!BH262</f>
        <v>5</v>
      </c>
      <c r="R270" s="1114">
        <f ca="1">DATOSAÑO!BJ262+DATOSAÑO!BM262+DATOSAÑO!BP262+DATOSAÑO!BW262+DATOSAÑO!CC262</f>
        <v>21.876499999999762</v>
      </c>
    </row>
    <row r="271" spans="2:18">
      <c r="B271" s="410">
        <v>45179</v>
      </c>
      <c r="C271" s="1028">
        <f ca="1">DATOSAÑO!AJ263</f>
        <v>6.6999999999970896</v>
      </c>
      <c r="D271" s="1028">
        <f ca="1">DATOSAÑO!AK263</f>
        <v>10</v>
      </c>
      <c r="E271" s="1028">
        <f ca="1">DATOSAÑO!AD263</f>
        <v>164</v>
      </c>
      <c r="F271" s="1028">
        <v>0</v>
      </c>
      <c r="G271" s="1028">
        <v>0</v>
      </c>
      <c r="H271" s="1028">
        <f ca="1">DATOSAÑO!AI263</f>
        <v>36.69999999999709</v>
      </c>
      <c r="I271" s="1028">
        <f ca="1">DATOSAÑO!CA263</f>
        <v>5.0474999999995909</v>
      </c>
      <c r="J271" s="1028">
        <v>0</v>
      </c>
      <c r="K271" s="1028">
        <f ca="1">DATOSAÑO!AF263</f>
        <v>149</v>
      </c>
      <c r="L271" s="1028">
        <f ca="1">+DATOSAÑO!CB263</f>
        <v>2.5199999999996177</v>
      </c>
      <c r="M271" s="1028">
        <f ca="1">+DATOSAÑO!AK263</f>
        <v>10</v>
      </c>
      <c r="N271" s="1028">
        <f ca="1">+DATOSAÑO!AH263</f>
        <v>7.1999999999970896</v>
      </c>
      <c r="O271" s="1028">
        <f ca="1">DATOSAÑO!AL263</f>
        <v>36.901000000010015</v>
      </c>
      <c r="P271" s="1029" t="e">
        <f>+(DATOSAÑO!#REF!)+DATOSAÑO!#REF!</f>
        <v>#REF!</v>
      </c>
      <c r="Q271" s="1028">
        <f ca="1">+DATOSAÑO!BH263</f>
        <v>5</v>
      </c>
      <c r="R271" s="1114">
        <f ca="1">DATOSAÑO!BJ263+DATOSAÑO!BM263+DATOSAÑO!BP263+DATOSAÑO!BW263+DATOSAÑO!CC263</f>
        <v>22.032499999999335</v>
      </c>
    </row>
    <row r="272" spans="2:18">
      <c r="B272" s="410">
        <v>45180</v>
      </c>
      <c r="C272" s="1028">
        <f ca="1">DATOSAÑO!AJ264</f>
        <v>9.5</v>
      </c>
      <c r="D272" s="1028">
        <f ca="1">DATOSAÑO!AK264</f>
        <v>12</v>
      </c>
      <c r="E272" s="1028">
        <f ca="1">DATOSAÑO!AD264</f>
        <v>162</v>
      </c>
      <c r="F272" s="1028">
        <v>0</v>
      </c>
      <c r="G272" s="1028">
        <v>0</v>
      </c>
      <c r="H272" s="1028">
        <f ca="1">DATOSAÑO!AI264</f>
        <v>37.69999999999709</v>
      </c>
      <c r="I272" s="1028">
        <f ca="1">DATOSAÑO!CA264</f>
        <v>5.5159999999999538</v>
      </c>
      <c r="J272" s="1028">
        <v>0</v>
      </c>
      <c r="K272" s="1028">
        <f ca="1">DATOSAÑO!AF264</f>
        <v>149</v>
      </c>
      <c r="L272" s="1028">
        <f ca="1">+DATOSAÑO!CB264</f>
        <v>2.0400000000000542</v>
      </c>
      <c r="M272" s="1028">
        <f ca="1">+DATOSAÑO!AK264</f>
        <v>12</v>
      </c>
      <c r="N272" s="1028">
        <f ca="1">+DATOSAÑO!AH264</f>
        <v>15.700000000004366</v>
      </c>
      <c r="O272" s="1028">
        <f ca="1">DATOSAÑO!AL264</f>
        <v>35.239999999999327</v>
      </c>
      <c r="P272" s="1029" t="e">
        <f>+(DATOSAÑO!#REF!)+DATOSAÑO!#REF!</f>
        <v>#REF!</v>
      </c>
      <c r="Q272" s="1028">
        <f ca="1">+DATOSAÑO!BH264</f>
        <v>5</v>
      </c>
      <c r="R272" s="1114">
        <f ca="1">DATOSAÑO!BJ264+DATOSAÑO!BM264+DATOSAÑO!BP264+DATOSAÑO!BW264+DATOSAÑO!CC264</f>
        <v>21.743999999999261</v>
      </c>
    </row>
    <row r="273" spans="2:18">
      <c r="B273" s="410">
        <v>45181</v>
      </c>
      <c r="C273" s="1028">
        <f ca="1">DATOSAÑO!AJ265</f>
        <v>10</v>
      </c>
      <c r="D273" s="1028">
        <f ca="1">DATOSAÑO!AK265</f>
        <v>12</v>
      </c>
      <c r="E273" s="1028">
        <f ca="1">DATOSAÑO!AD265</f>
        <v>164</v>
      </c>
      <c r="F273" s="1028">
        <v>0</v>
      </c>
      <c r="G273" s="1028">
        <v>0</v>
      </c>
      <c r="H273" s="1028">
        <f ca="1">DATOSAÑO!AI265</f>
        <v>39.80000000000291</v>
      </c>
      <c r="I273" s="1028">
        <f ca="1">DATOSAÑO!CA265</f>
        <v>4.4890000000004093</v>
      </c>
      <c r="J273" s="1028">
        <v>0</v>
      </c>
      <c r="K273" s="1028">
        <f ca="1">DATOSAÑO!AF265</f>
        <v>148</v>
      </c>
      <c r="L273" s="1028">
        <f ca="1">+DATOSAÑO!CB265</f>
        <v>3.3599999999999453</v>
      </c>
      <c r="M273" s="1028">
        <f ca="1">+DATOSAÑO!AK265</f>
        <v>12</v>
      </c>
      <c r="N273" s="1028">
        <f ca="1">+DATOSAÑO!AH265</f>
        <v>7.1999999999989086</v>
      </c>
      <c r="O273" s="1028">
        <f ca="1">DATOSAÑO!AL265</f>
        <v>33.178999999996734</v>
      </c>
      <c r="P273" s="1029" t="e">
        <f>+(DATOSAÑO!#REF!)+DATOSAÑO!#REF!</f>
        <v>#REF!</v>
      </c>
      <c r="Q273" s="1028">
        <f ca="1">+DATOSAÑO!BH265</f>
        <v>5</v>
      </c>
      <c r="R273" s="1114">
        <f ca="1">DATOSAÑO!BJ265+DATOSAÑO!BM265+DATOSAÑO!BP265+DATOSAÑO!BW265+DATOSAÑO!CC265</f>
        <v>21.5510000000011</v>
      </c>
    </row>
    <row r="274" spans="2:18">
      <c r="B274" s="410">
        <v>45182</v>
      </c>
      <c r="C274" s="1028">
        <f ca="1">DATOSAÑO!AJ266</f>
        <v>10.19999999999709</v>
      </c>
      <c r="D274" s="1028">
        <f ca="1">DATOSAÑO!AK266</f>
        <v>12</v>
      </c>
      <c r="E274" s="1028">
        <f ca="1">DATOSAÑO!AD266</f>
        <v>164</v>
      </c>
      <c r="F274" s="1028">
        <v>0</v>
      </c>
      <c r="G274" s="1028">
        <v>0</v>
      </c>
      <c r="H274" s="1028">
        <f ca="1">DATOSAÑO!AI266</f>
        <v>39.899999999994179</v>
      </c>
      <c r="I274" s="1028">
        <f ca="1">DATOSAÑO!CA266</f>
        <v>5.1920000000003634</v>
      </c>
      <c r="J274" s="1028">
        <v>0</v>
      </c>
      <c r="K274" s="1028">
        <f ca="1">DATOSAÑO!AF266</f>
        <v>150</v>
      </c>
      <c r="L274" s="1028">
        <f ca="1">+DATOSAÑO!CB266</f>
        <v>2.4</v>
      </c>
      <c r="M274" s="1028">
        <f ca="1">+DATOSAÑO!AK266</f>
        <v>12</v>
      </c>
      <c r="N274" s="1028">
        <f ca="1">+DATOSAÑO!AH266</f>
        <v>12.19999999999709</v>
      </c>
      <c r="O274" s="1028">
        <f ca="1">DATOSAÑO!AL266</f>
        <v>38.200000000011698</v>
      </c>
      <c r="P274" s="1029" t="e">
        <f>+(DATOSAÑO!#REF!)+DATOSAÑO!#REF!</f>
        <v>#REF!</v>
      </c>
      <c r="Q274" s="1028">
        <f ca="1">+DATOSAÑO!BH266</f>
        <v>5</v>
      </c>
      <c r="R274" s="1114">
        <f ca="1">DATOSAÑO!BJ266+DATOSAÑO!BM266+DATOSAÑO!BP266+DATOSAÑO!BW266+DATOSAÑO!CC266</f>
        <v>21.907999999999635</v>
      </c>
    </row>
    <row r="275" spans="2:18">
      <c r="B275" s="410">
        <v>45183</v>
      </c>
      <c r="C275" s="1028">
        <f ca="1">DATOSAÑO!AJ267</f>
        <v>9.5</v>
      </c>
      <c r="D275" s="1028">
        <f ca="1">DATOSAÑO!AK267</f>
        <v>12</v>
      </c>
      <c r="E275" s="1028">
        <f ca="1">DATOSAÑO!AD267</f>
        <v>163</v>
      </c>
      <c r="F275" s="1028">
        <v>0</v>
      </c>
      <c r="G275" s="1028">
        <v>0</v>
      </c>
      <c r="H275" s="1028">
        <f ca="1">DATOSAÑO!AI267</f>
        <v>38.600000000005821</v>
      </c>
      <c r="I275" s="1028">
        <f ca="1">DATOSAÑO!CA267</f>
        <v>4.5540000000002827</v>
      </c>
      <c r="J275" s="1028">
        <v>0</v>
      </c>
      <c r="K275" s="1028">
        <f ca="1">DATOSAÑO!AF267</f>
        <v>150</v>
      </c>
      <c r="L275" s="1028">
        <f ca="1">+DATOSAÑO!CB267</f>
        <v>2.5499999999998808</v>
      </c>
      <c r="M275" s="1028">
        <f ca="1">+DATOSAÑO!AK267</f>
        <v>12</v>
      </c>
      <c r="N275" s="1028">
        <f ca="1">+DATOSAÑO!AH267</f>
        <v>15.400000000003274</v>
      </c>
      <c r="O275" s="1028">
        <f ca="1">DATOSAÑO!AL267</f>
        <v>34.272999999989509</v>
      </c>
      <c r="P275" s="1029" t="e">
        <f>+(DATOSAÑO!#REF!)+DATOSAÑO!#REF!</f>
        <v>#REF!</v>
      </c>
      <c r="Q275" s="1028">
        <f ca="1">+DATOSAÑO!BH267</f>
        <v>6</v>
      </c>
      <c r="R275" s="1114">
        <f ca="1">DATOSAÑO!BJ267+DATOSAÑO!BM267+DATOSAÑO!BP267+DATOSAÑO!BW267+DATOSAÑO!CC267</f>
        <v>21.296000000001293</v>
      </c>
    </row>
    <row r="276" spans="2:18">
      <c r="B276" s="410">
        <v>45184</v>
      </c>
      <c r="C276" s="1028">
        <f ca="1">DATOSAÑO!AJ268</f>
        <v>9.6999999999970896</v>
      </c>
      <c r="D276" s="1028">
        <f ca="1">DATOSAÑO!AK268</f>
        <v>12</v>
      </c>
      <c r="E276" s="1028">
        <f ca="1">DATOSAÑO!AD268</f>
        <v>163</v>
      </c>
      <c r="F276" s="1028">
        <v>0</v>
      </c>
      <c r="G276" s="1028">
        <v>0</v>
      </c>
      <c r="H276" s="1028">
        <f ca="1">DATOSAÑO!AI268</f>
        <v>39.30000000000291</v>
      </c>
      <c r="I276" s="1028">
        <f ca="1">DATOSAÑO!CA268</f>
        <v>4.621999999999387</v>
      </c>
      <c r="J276" s="1028">
        <v>0</v>
      </c>
      <c r="K276" s="1028">
        <f ca="1">DATOSAÑO!AF268</f>
        <v>150</v>
      </c>
      <c r="L276" s="1028">
        <f ca="1">+DATOSAÑO!CB268</f>
        <v>2.3040000000000873</v>
      </c>
      <c r="M276" s="1028">
        <f ca="1">+DATOSAÑO!AK268</f>
        <v>12</v>
      </c>
      <c r="N276" s="1028">
        <f ca="1">+DATOSAÑO!AH268</f>
        <v>7.1999999999970896</v>
      </c>
      <c r="O276" s="1028">
        <f ca="1">DATOSAÑO!AL268</f>
        <v>37.700000000004366</v>
      </c>
      <c r="P276" s="1029" t="e">
        <f>+(DATOSAÑO!#REF!)+DATOSAÑO!#REF!</f>
        <v>#REF!</v>
      </c>
      <c r="Q276" s="1028">
        <f ca="1">+DATOSAÑO!BH268</f>
        <v>4</v>
      </c>
      <c r="R276" s="1114">
        <f ca="1">DATOSAÑO!BJ268+DATOSAÑO!BM268+DATOSAÑO!BP268+DATOSAÑO!BW268+DATOSAÑO!CC268</f>
        <v>22.173999999999079</v>
      </c>
    </row>
    <row r="277" spans="2:18">
      <c r="B277" s="410">
        <v>45185</v>
      </c>
      <c r="C277" s="1028">
        <f ca="1">DATOSAÑO!AJ269</f>
        <v>11.100000000005821</v>
      </c>
      <c r="D277" s="1028">
        <f ca="1">DATOSAÑO!AK269</f>
        <v>12</v>
      </c>
      <c r="E277" s="1028">
        <f ca="1">DATOSAÑO!AD269</f>
        <v>169</v>
      </c>
      <c r="F277" s="1028">
        <v>0</v>
      </c>
      <c r="G277" s="1028">
        <v>0</v>
      </c>
      <c r="H277" s="1028">
        <f ca="1">DATOSAÑO!AI269</f>
        <v>37.099999999991269</v>
      </c>
      <c r="I277" s="1028">
        <f ca="1">DATOSAÑO!CA269</f>
        <v>5.6210000000009117</v>
      </c>
      <c r="J277" s="1028">
        <v>0</v>
      </c>
      <c r="K277" s="1028">
        <f ca="1">DATOSAÑO!AF269</f>
        <v>151</v>
      </c>
      <c r="L277" s="1028">
        <f ca="1">+DATOSAÑO!CB269</f>
        <v>1.4399999999997817</v>
      </c>
      <c r="M277" s="1028">
        <f ca="1">+DATOSAÑO!AK269</f>
        <v>12</v>
      </c>
      <c r="N277" s="1028">
        <f ca="1">+DATOSAÑO!AH269</f>
        <v>4.0999999999985448</v>
      </c>
      <c r="O277" s="1028">
        <f ca="1">DATOSAÑO!AL269</f>
        <v>35.000000000003638</v>
      </c>
      <c r="P277" s="1029" t="e">
        <f>+(DATOSAÑO!#REF!)+DATOSAÑO!#REF!</f>
        <v>#REF!</v>
      </c>
      <c r="Q277" s="1028">
        <f ca="1">+DATOSAÑO!BH269</f>
        <v>6</v>
      </c>
      <c r="R277" s="1114">
        <f ca="1">DATOSAÑO!BJ269+DATOSAÑO!BM269+DATOSAÑO!BP269+DATOSAÑO!BW269+DATOSAÑO!CC269</f>
        <v>21.639000000000038</v>
      </c>
    </row>
    <row r="278" spans="2:18">
      <c r="B278" s="410">
        <v>45186</v>
      </c>
      <c r="C278" s="1028">
        <f ca="1">DATOSAÑO!AJ270</f>
        <v>10.399999999994179</v>
      </c>
      <c r="D278" s="1028">
        <f ca="1">DATOSAÑO!AK270</f>
        <v>13</v>
      </c>
      <c r="E278" s="1028">
        <f ca="1">DATOSAÑO!AD270</f>
        <v>168</v>
      </c>
      <c r="F278" s="1028">
        <v>0</v>
      </c>
      <c r="G278" s="1028">
        <v>0</v>
      </c>
      <c r="H278" s="1028">
        <f ca="1">DATOSAÑO!AI270</f>
        <v>35.5</v>
      </c>
      <c r="I278" s="1028">
        <f ca="1">DATOSAÑO!CA270</f>
        <v>4.6899999999997295</v>
      </c>
      <c r="J278" s="1028">
        <v>0</v>
      </c>
      <c r="K278" s="1028">
        <f ca="1">DATOSAÑO!AF270</f>
        <v>152</v>
      </c>
      <c r="L278" s="1028">
        <f ca="1">+DATOSAÑO!CB270</f>
        <v>1.3800000000001091</v>
      </c>
      <c r="M278" s="1028">
        <f ca="1">+DATOSAÑO!AK270</f>
        <v>13</v>
      </c>
      <c r="N278" s="1028">
        <f ca="1">+DATOSAÑO!AH270</f>
        <v>12</v>
      </c>
      <c r="O278" s="1028">
        <f ca="1">DATOSAÑO!AL270</f>
        <v>34.100000000005821</v>
      </c>
      <c r="P278" s="1029" t="e">
        <f>+(DATOSAÑO!#REF!)+DATOSAÑO!#REF!</f>
        <v>#REF!</v>
      </c>
      <c r="Q278" s="1028">
        <f ca="1">+DATOSAÑO!BH270</f>
        <v>5</v>
      </c>
      <c r="R278" s="1114">
        <f ca="1">DATOSAÑO!BJ270+DATOSAÑO!BM270+DATOSAÑO!BP270+DATOSAÑO!BW270+DATOSAÑO!CC270</f>
        <v>20.930000000000167</v>
      </c>
    </row>
    <row r="279" spans="2:18">
      <c r="B279" s="410">
        <v>45187</v>
      </c>
      <c r="C279" s="1028">
        <f ca="1">DATOSAÑO!AJ271</f>
        <v>11.100000000005821</v>
      </c>
      <c r="D279" s="1028">
        <f ca="1">DATOSAÑO!AK271</f>
        <v>13</v>
      </c>
      <c r="E279" s="1028">
        <f ca="1">DATOSAÑO!AD271</f>
        <v>174</v>
      </c>
      <c r="F279" s="1028">
        <v>0</v>
      </c>
      <c r="G279" s="1028">
        <v>0</v>
      </c>
      <c r="H279" s="1028">
        <f ca="1">DATOSAÑO!AI271</f>
        <v>38.100000000005821</v>
      </c>
      <c r="I279" s="1028">
        <f ca="1">DATOSAÑO!CA271</f>
        <v>5.4969999999988959</v>
      </c>
      <c r="J279" s="1028">
        <v>0</v>
      </c>
      <c r="K279" s="1028">
        <f ca="1">DATOSAÑO!AF271</f>
        <v>153</v>
      </c>
      <c r="L279" s="1028">
        <f ca="1">+DATOSAÑO!CB271</f>
        <v>1.4460000000004585</v>
      </c>
      <c r="M279" s="1028">
        <f ca="1">+DATOSAÑO!AK271</f>
        <v>13</v>
      </c>
      <c r="N279" s="1028">
        <f ca="1">+DATOSAÑO!AH271</f>
        <v>10.400000000003274</v>
      </c>
      <c r="O279" s="1028">
        <f ca="1">DATOSAÑO!AL271</f>
        <v>37.299999999986539</v>
      </c>
      <c r="P279" s="1029" t="e">
        <f>+(DATOSAÑO!#REF!)+DATOSAÑO!#REF!</f>
        <v>#REF!</v>
      </c>
      <c r="Q279" s="1028">
        <f ca="1">+DATOSAÑO!BH271</f>
        <v>4</v>
      </c>
      <c r="R279" s="1114">
        <f ca="1">DATOSAÑO!BJ271+DATOSAÑO!BM271+DATOSAÑO!BP271+DATOSAÑO!BW271+DATOSAÑO!CC271</f>
        <v>21.156999999999201</v>
      </c>
    </row>
    <row r="280" spans="2:18">
      <c r="B280" s="410">
        <v>45188</v>
      </c>
      <c r="C280" s="1028">
        <f ca="1">DATOSAÑO!AJ272</f>
        <v>6.8000000000029104</v>
      </c>
      <c r="D280" s="1028">
        <f ca="1">DATOSAÑO!AK272</f>
        <v>12</v>
      </c>
      <c r="E280" s="1028">
        <f ca="1">DATOSAÑO!AD272</f>
        <v>165</v>
      </c>
      <c r="F280" s="1028">
        <v>0</v>
      </c>
      <c r="G280" s="1028">
        <v>0</v>
      </c>
      <c r="H280" s="1028">
        <f ca="1">DATOSAÑO!AI272</f>
        <v>40.30000000000291</v>
      </c>
      <c r="I280" s="1028">
        <f ca="1">DATOSAÑO!CA272</f>
        <v>4.3830000000014095</v>
      </c>
      <c r="J280" s="1028">
        <v>0</v>
      </c>
      <c r="K280" s="1028">
        <f ca="1">DATOSAÑO!AF272</f>
        <v>124</v>
      </c>
      <c r="L280" s="1028">
        <f ca="1">+DATOSAÑO!CB272</f>
        <v>2.8559999999998409</v>
      </c>
      <c r="M280" s="1028">
        <f ca="1">+DATOSAÑO!AK272</f>
        <v>12</v>
      </c>
      <c r="N280" s="1028">
        <f ca="1">+DATOSAÑO!AH272</f>
        <v>11.400000000001455</v>
      </c>
      <c r="O280" s="1028">
        <f ca="1">DATOSAÑO!AL272</f>
        <v>33.399999999990541</v>
      </c>
      <c r="P280" s="1029" t="e">
        <f>+(DATOSAÑO!#REF!)+DATOSAÑO!#REF!</f>
        <v>#REF!</v>
      </c>
      <c r="Q280" s="1028">
        <f ca="1">+DATOSAÑO!BH272</f>
        <v>5</v>
      </c>
      <c r="R280" s="1114">
        <f ca="1">DATOSAÑO!BJ272+DATOSAÑO!BM272+DATOSAÑO!BP272+DATOSAÑO!BW272+DATOSAÑO!CC272</f>
        <v>19.861000000000939</v>
      </c>
    </row>
    <row r="281" spans="2:18">
      <c r="B281" s="410">
        <v>45189</v>
      </c>
      <c r="C281" s="1028">
        <f ca="1">DATOSAÑO!AJ273</f>
        <v>4.5999999999912689</v>
      </c>
      <c r="D281" s="1028">
        <f ca="1">DATOSAÑO!AK273</f>
        <v>11</v>
      </c>
      <c r="E281" s="1028">
        <f ca="1">DATOSAÑO!AD273</f>
        <v>162</v>
      </c>
      <c r="F281" s="1028">
        <v>0</v>
      </c>
      <c r="G281" s="1028">
        <v>0</v>
      </c>
      <c r="H281" s="1028">
        <f ca="1">DATOSAÑO!AI273</f>
        <v>39.19999999999709</v>
      </c>
      <c r="I281" s="1028">
        <f ca="1">DATOSAÑO!CA273</f>
        <v>4.5669999999991386</v>
      </c>
      <c r="J281" s="1028">
        <v>0</v>
      </c>
      <c r="K281" s="1028">
        <f ca="1">DATOSAÑO!AF273</f>
        <v>150</v>
      </c>
      <c r="L281" s="1028">
        <f ca="1">+DATOSAÑO!CB273</f>
        <v>2.4599999999999453</v>
      </c>
      <c r="M281" s="1028">
        <f ca="1">+DATOSAÑO!AK273</f>
        <v>11</v>
      </c>
      <c r="N281" s="1028">
        <f ca="1">+DATOSAÑO!AH273</f>
        <v>10.5</v>
      </c>
      <c r="O281" s="1028">
        <f ca="1">DATOSAÑO!AL273</f>
        <v>37.830000000013001</v>
      </c>
      <c r="P281" s="1029" t="e">
        <f>+(DATOSAÑO!#REF!)+DATOSAÑO!#REF!</f>
        <v>#REF!</v>
      </c>
      <c r="Q281" s="1028">
        <f ca="1">+DATOSAÑO!BH273</f>
        <v>5</v>
      </c>
      <c r="R281" s="1114">
        <f ca="1">DATOSAÑO!BJ273+DATOSAÑO!BM273+DATOSAÑO!BP273+DATOSAÑO!BW273+DATOSAÑO!CC273</f>
        <v>22.572999999999467</v>
      </c>
    </row>
    <row r="282" spans="2:18">
      <c r="B282" s="410">
        <v>45190</v>
      </c>
      <c r="C282" s="1028">
        <f ca="1">DATOSAÑO!AJ274</f>
        <v>7.9000000000087311</v>
      </c>
      <c r="D282" s="1028">
        <f ca="1">DATOSAÑO!AK274</f>
        <v>11.119999999995343</v>
      </c>
      <c r="E282" s="1028">
        <f ca="1">DATOSAÑO!AD274</f>
        <v>160.79999999999927</v>
      </c>
      <c r="F282" s="1028">
        <v>0</v>
      </c>
      <c r="G282" s="1028">
        <v>0</v>
      </c>
      <c r="H282" s="1028">
        <f ca="1">DATOSAÑO!AI274</f>
        <v>38.070000000006985</v>
      </c>
      <c r="I282" s="1028">
        <f ca="1">DATOSAÑO!CA274</f>
        <v>3.3374999999988568</v>
      </c>
      <c r="J282" s="1028">
        <v>0</v>
      </c>
      <c r="K282" s="1028">
        <f ca="1">DATOSAÑO!AF274</f>
        <v>149.69000000000233</v>
      </c>
      <c r="L282" s="1028">
        <f ca="1">+DATOSAÑO!CB274</f>
        <v>2.6099999999996726</v>
      </c>
      <c r="M282" s="1028">
        <f ca="1">+DATOSAÑO!AK274</f>
        <v>11.119999999995343</v>
      </c>
      <c r="N282" s="1028">
        <f ca="1">+DATOSAÑO!AH274</f>
        <v>10.899999999995998</v>
      </c>
      <c r="O282" s="1028">
        <f ca="1">DATOSAÑO!AL274</f>
        <v>37.010000000029322</v>
      </c>
      <c r="P282" s="1029" t="e">
        <f>+(DATOSAÑO!#REF!)+DATOSAÑO!#REF!</f>
        <v>#REF!</v>
      </c>
      <c r="Q282" s="1028">
        <f ca="1">+DATOSAÑO!BH274</f>
        <v>5.6790000000037253</v>
      </c>
      <c r="R282" s="1114">
        <f ca="1">DATOSAÑO!BJ274+DATOSAÑO!BM274+DATOSAÑO!BP274+DATOSAÑO!BW274+DATOSAÑO!CC274</f>
        <v>21.16249999999842</v>
      </c>
    </row>
    <row r="283" spans="2:18">
      <c r="B283" s="410">
        <v>45191</v>
      </c>
      <c r="C283" s="1028">
        <f ca="1">DATOSAÑO!AJ275</f>
        <v>6.8699999999953434</v>
      </c>
      <c r="D283" s="1028">
        <f ca="1">DATOSAÑO!AK275</f>
        <v>10.980000000010477</v>
      </c>
      <c r="E283" s="1028">
        <f ca="1">DATOSAÑO!AD275</f>
        <v>163.97000000000116</v>
      </c>
      <c r="F283" s="1028">
        <v>0</v>
      </c>
      <c r="G283" s="1028">
        <v>0</v>
      </c>
      <c r="H283" s="1028">
        <f ca="1">DATOSAÑO!AI275</f>
        <v>39.629999999990105</v>
      </c>
      <c r="I283" s="1028">
        <f ca="1">DATOSAÑO!CA275</f>
        <v>6.0861999999988248</v>
      </c>
      <c r="J283" s="1028">
        <v>0</v>
      </c>
      <c r="K283" s="1028">
        <f ca="1">DATOSAÑO!AF275</f>
        <v>151.73999999999069</v>
      </c>
      <c r="L283" s="1028">
        <f ca="1">+DATOSAÑO!CB275</f>
        <v>2.706000000000131</v>
      </c>
      <c r="M283" s="1028">
        <f ca="1">+DATOSAÑO!AK275</f>
        <v>10.980000000010477</v>
      </c>
      <c r="N283" s="1028">
        <f ca="1">+DATOSAÑO!AH275</f>
        <v>3.3000000000029104</v>
      </c>
      <c r="O283" s="1028">
        <f ca="1">DATOSAÑO!AL275</f>
        <v>34.509999999936554</v>
      </c>
      <c r="P283" s="1029" t="e">
        <f>+(DATOSAÑO!#REF!)+DATOSAÑO!#REF!</f>
        <v>#REF!</v>
      </c>
      <c r="Q283" s="1028">
        <f ca="1">+DATOSAÑO!BH275</f>
        <v>5.1710000000020955</v>
      </c>
      <c r="R283" s="1114">
        <f ca="1">DATOSAÑO!BJ275+DATOSAÑO!BM275+DATOSAÑO!BP275+DATOSAÑO!BW275+DATOSAÑO!CC275</f>
        <v>22.767799999998715</v>
      </c>
    </row>
    <row r="284" spans="2:18">
      <c r="B284" s="410">
        <v>45192</v>
      </c>
      <c r="C284" s="1028">
        <f ca="1">DATOSAÑO!AJ276</f>
        <v>6.8500000000058208</v>
      </c>
      <c r="D284" s="1028">
        <f ca="1">DATOSAÑO!AK276</f>
        <v>12.579999999987194</v>
      </c>
      <c r="E284" s="1028">
        <f ca="1">DATOSAÑO!AD276</f>
        <v>164.63000000000102</v>
      </c>
      <c r="F284" s="1028">
        <v>0</v>
      </c>
      <c r="G284" s="1028">
        <v>0</v>
      </c>
      <c r="H284" s="1028">
        <f ca="1">DATOSAÑO!AI276</f>
        <v>37.69999999999709</v>
      </c>
      <c r="I284" s="1028">
        <f ca="1">DATOSAÑO!CA276</f>
        <v>4.2705000000127011</v>
      </c>
      <c r="J284" s="1028">
        <v>0</v>
      </c>
      <c r="K284" s="1028">
        <f ca="1">DATOSAÑO!AF276</f>
        <v>150.36999999999534</v>
      </c>
      <c r="L284" s="1028">
        <f ca="1">+DATOSAÑO!CB276</f>
        <v>2.7480000000001268</v>
      </c>
      <c r="M284" s="1028">
        <f ca="1">+DATOSAÑO!AK276</f>
        <v>12.579999999987194</v>
      </c>
      <c r="N284" s="1028">
        <f ca="1">+DATOSAÑO!AH276</f>
        <v>9.0999999999985448</v>
      </c>
      <c r="O284" s="1028">
        <f ca="1">DATOSAÑO!AL276</f>
        <v>35.220000000030268</v>
      </c>
      <c r="P284" s="1029" t="e">
        <f>+(DATOSAÑO!#REF!)+DATOSAÑO!#REF!</f>
        <v>#REF!</v>
      </c>
      <c r="Q284" s="1028">
        <f ca="1">+DATOSAÑO!BH276</f>
        <v>4.6039999999920838</v>
      </c>
      <c r="R284" s="1114">
        <f ca="1">DATOSAÑO!BJ276+DATOSAÑO!BM276+DATOSAÑO!BP276+DATOSAÑO!BW276+DATOSAÑO!CC276</f>
        <v>19.311500000014387</v>
      </c>
    </row>
    <row r="285" spans="2:18">
      <c r="B285" s="410">
        <v>45193</v>
      </c>
      <c r="C285" s="1028">
        <f ca="1">DATOSAÑO!AJ277</f>
        <v>6.2799999999988358</v>
      </c>
      <c r="D285" s="1028">
        <f ca="1">DATOSAÑO!AK277</f>
        <v>12.660000000003492</v>
      </c>
      <c r="E285" s="1028">
        <f ca="1">DATOSAÑO!AD277</f>
        <v>166.69999999999709</v>
      </c>
      <c r="F285" s="1028">
        <v>0</v>
      </c>
      <c r="G285" s="1028">
        <v>0</v>
      </c>
      <c r="H285" s="1028">
        <f ca="1">DATOSAÑO!AI277</f>
        <v>37.639999999999418</v>
      </c>
      <c r="I285" s="1028">
        <f ca="1">DATOSAÑO!CA277</f>
        <v>5.1974999999833544</v>
      </c>
      <c r="J285" s="1028">
        <v>0</v>
      </c>
      <c r="K285" s="1028">
        <f ca="1">DATOSAÑO!AF277</f>
        <v>150.5</v>
      </c>
      <c r="L285" s="1028">
        <f ca="1">+DATOSAÑO!CB277</f>
        <v>2.7360000000001037</v>
      </c>
      <c r="M285" s="1028">
        <f ca="1">+DATOSAÑO!AK277</f>
        <v>12.660000000003492</v>
      </c>
      <c r="N285" s="1028">
        <f ca="1">+DATOSAÑO!AH277</f>
        <v>11.099999999998545</v>
      </c>
      <c r="O285" s="1028">
        <f ca="1">DATOSAÑO!AL277</f>
        <v>35.320000000039727</v>
      </c>
      <c r="P285" s="1029" t="e">
        <f>+(DATOSAÑO!#REF!)+DATOSAÑO!#REF!</f>
        <v>#REF!</v>
      </c>
      <c r="Q285" s="1028">
        <f ca="1">+DATOSAÑO!BH277</f>
        <v>4.5899999999965075</v>
      </c>
      <c r="R285" s="1114">
        <f ca="1">DATOSAÑO!BJ277+DATOSAÑO!BM277+DATOSAÑO!BP277+DATOSAÑO!BW277+DATOSAÑO!CC277</f>
        <v>21.666499999982328</v>
      </c>
    </row>
    <row r="286" spans="2:18">
      <c r="B286" s="410">
        <v>45194</v>
      </c>
      <c r="C286" s="1028">
        <f ca="1">DATOSAÑO!AJ278</f>
        <v>7.8099999999976717</v>
      </c>
      <c r="D286" s="1028">
        <f ca="1">DATOSAÑO!AK278</f>
        <v>12.309999999997672</v>
      </c>
      <c r="E286" s="1028">
        <f ca="1">DATOSAÑO!AD278</f>
        <v>161.30000000000291</v>
      </c>
      <c r="F286" s="1028">
        <v>0</v>
      </c>
      <c r="G286" s="1028">
        <v>0</v>
      </c>
      <c r="H286" s="1028">
        <f ca="1">DATOSAÑO!AI278</f>
        <v>37.280000000013388</v>
      </c>
      <c r="I286" s="1028">
        <f ca="1">DATOSAÑO!CA278</f>
        <v>6.0335000000053256</v>
      </c>
      <c r="J286" s="1028">
        <v>0</v>
      </c>
      <c r="K286" s="1028">
        <f ca="1">DATOSAÑO!AF278</f>
        <v>148.89000000001397</v>
      </c>
      <c r="L286" s="1028">
        <f ca="1">+DATOSAÑO!CB278</f>
        <v>2.7300000000001088</v>
      </c>
      <c r="M286" s="1028">
        <f ca="1">+DATOSAÑO!AK278</f>
        <v>12.309999999997672</v>
      </c>
      <c r="N286" s="1028">
        <f ca="1">+DATOSAÑO!AH278</f>
        <v>10.100000000000364</v>
      </c>
      <c r="O286" s="1028">
        <f ca="1">DATOSAÑO!AL278</f>
        <v>35.551999999909299</v>
      </c>
      <c r="P286" s="1029" t="e">
        <f>+(DATOSAÑO!#REF!)+DATOSAÑO!#REF!</f>
        <v>#REF!</v>
      </c>
      <c r="Q286" s="1028">
        <f ca="1">+DATOSAÑO!BH278</f>
        <v>5.4680000000080327</v>
      </c>
      <c r="R286" s="1114">
        <f ca="1">DATOSAÑO!BJ278+DATOSAÑO!BM278+DATOSAÑO!BP278+DATOSAÑO!BW278+DATOSAÑO!CC278</f>
        <v>21.146500000005325</v>
      </c>
    </row>
    <row r="287" spans="2:18">
      <c r="B287" s="410">
        <v>45195</v>
      </c>
      <c r="C287" s="1028">
        <f ca="1">DATOSAÑO!AJ279</f>
        <v>8.5599999999976717</v>
      </c>
      <c r="D287" s="1028">
        <f ca="1">DATOSAÑO!AK279</f>
        <v>12.14000000001397</v>
      </c>
      <c r="E287" s="1028">
        <f ca="1">DATOSAÑO!AD279</f>
        <v>163.71999999999753</v>
      </c>
      <c r="F287" s="1028">
        <v>0</v>
      </c>
      <c r="G287" s="1028">
        <v>0</v>
      </c>
      <c r="H287" s="1028">
        <f ca="1">DATOSAÑO!AI279</f>
        <v>38.879999999990105</v>
      </c>
      <c r="I287" s="1028">
        <f ca="1">DATOSAÑO!CA279</f>
        <v>4.248999999999711</v>
      </c>
      <c r="J287" s="1028">
        <v>0</v>
      </c>
      <c r="K287" s="1028">
        <f ca="1">DATOSAÑO!AF279</f>
        <v>150.20000000001164</v>
      </c>
      <c r="L287" s="1028">
        <f ca="1">+DATOSAÑO!CB279</f>
        <v>2.7779999999995537</v>
      </c>
      <c r="M287" s="1028">
        <f ca="1">+DATOSAÑO!AK279</f>
        <v>12.14000000001397</v>
      </c>
      <c r="N287" s="1028">
        <f ca="1">+DATOSAÑO!AH279</f>
        <v>6.0999999999985448</v>
      </c>
      <c r="O287" s="1028">
        <f ca="1">DATOSAÑO!AL279</f>
        <v>41.195000000033133</v>
      </c>
      <c r="P287" s="1029" t="e">
        <f>+(DATOSAÑO!#REF!)+DATOSAÑO!#REF!</f>
        <v>#REF!</v>
      </c>
      <c r="Q287" s="1028">
        <f ca="1">+DATOSAÑO!BH279</f>
        <v>5.6929999999993015</v>
      </c>
      <c r="R287" s="1114">
        <f ca="1">DATOSAÑO!BJ279+DATOSAÑO!BM279+DATOSAÑO!BP279+DATOSAÑO!BW279+DATOSAÑO!CC279</f>
        <v>19.772999999999993</v>
      </c>
    </row>
    <row r="288" spans="2:18">
      <c r="B288" s="410">
        <v>45196</v>
      </c>
      <c r="C288" s="1028">
        <f ca="1">DATOSAÑO!AJ280</f>
        <v>9.7299999999959255</v>
      </c>
      <c r="D288" s="1028">
        <f ca="1">DATOSAÑO!AK280</f>
        <v>12.209999999991851</v>
      </c>
      <c r="E288" s="1028">
        <f ca="1">DATOSAÑO!AD280</f>
        <v>162.46900000000096</v>
      </c>
      <c r="F288" s="1028">
        <v>0</v>
      </c>
      <c r="G288" s="1028">
        <v>0</v>
      </c>
      <c r="H288" s="1028">
        <f ca="1">DATOSAÑO!AI280</f>
        <v>38.900000000008731</v>
      </c>
      <c r="I288" s="1028">
        <f ca="1">DATOSAÑO!CA280</f>
        <v>1.1015000000008512</v>
      </c>
      <c r="J288" s="1028">
        <v>0</v>
      </c>
      <c r="K288" s="1028">
        <f ca="1">DATOSAÑO!AF280</f>
        <v>145.60999999998603</v>
      </c>
      <c r="L288" s="1028">
        <f ca="1">+DATOSAÑO!CB280</f>
        <v>2.6640000000000326</v>
      </c>
      <c r="M288" s="1028">
        <f ca="1">+DATOSAÑO!AK280</f>
        <v>12.209999999991851</v>
      </c>
      <c r="N288" s="1028">
        <f ca="1">+DATOSAÑO!AH280</f>
        <v>13.80000000000291</v>
      </c>
      <c r="O288" s="1028">
        <f ca="1">DATOSAÑO!AL280</f>
        <v>38.554000000025326</v>
      </c>
      <c r="P288" s="1029" t="e">
        <f>+(DATOSAÑO!#REF!)+DATOSAÑO!#REF!</f>
        <v>#REF!</v>
      </c>
      <c r="Q288" s="1028">
        <f ca="1">+DATOSAÑO!BH280</f>
        <v>5.694999999992433</v>
      </c>
      <c r="R288" s="1114">
        <f ca="1">DATOSAÑO!BJ280+DATOSAÑO!BM280+DATOSAÑO!BP280+DATOSAÑO!BW280+DATOSAÑO!CC280</f>
        <v>17.424500000001455</v>
      </c>
    </row>
    <row r="289" spans="2:18">
      <c r="B289" s="410">
        <v>45197</v>
      </c>
      <c r="C289" s="1028">
        <f ca="1">DATOSAÑO!AJ281</f>
        <v>9.1000000000058208</v>
      </c>
      <c r="D289" s="1028">
        <f ca="1">DATOSAÑO!AK281</f>
        <v>10</v>
      </c>
      <c r="E289" s="1028">
        <f ca="1">DATOSAÑO!AD281</f>
        <v>160.41100000000006</v>
      </c>
      <c r="F289" s="1028">
        <v>0</v>
      </c>
      <c r="G289" s="1028">
        <v>0</v>
      </c>
      <c r="H289" s="1028">
        <f ca="1">DATOSAÑO!AI281</f>
        <v>40.299999999988358</v>
      </c>
      <c r="I289" s="1028">
        <f ca="1">DATOSAÑO!CA281</f>
        <v>0.76429999999899378</v>
      </c>
      <c r="J289" s="1028">
        <v>0</v>
      </c>
      <c r="K289" s="1028">
        <f ca="1">DATOSAÑO!AF281</f>
        <v>151</v>
      </c>
      <c r="L289" s="1028">
        <f ca="1">+DATOSAÑO!CB281</f>
        <v>2.580000000000382</v>
      </c>
      <c r="M289" s="1028">
        <f ca="1">+DATOSAÑO!AK281</f>
        <v>10</v>
      </c>
      <c r="N289" s="1028">
        <f ca="1">+DATOSAÑO!AH281</f>
        <v>7.9000000000014552</v>
      </c>
      <c r="O289" s="1028">
        <f ca="1">DATOSAÑO!AL281</f>
        <v>47.922999999998808</v>
      </c>
      <c r="P289" s="1029" t="e">
        <f>+(DATOSAÑO!#REF!)+DATOSAÑO!#REF!</f>
        <v>#REF!</v>
      </c>
      <c r="Q289" s="1028">
        <f ca="1">+DATOSAÑO!BH281</f>
        <v>5.1000000000058208</v>
      </c>
      <c r="R289" s="1114">
        <f ca="1">DATOSAÑO!BJ281+DATOSAÑO!BM281+DATOSAÑO!BP281+DATOSAÑO!BW281+DATOSAÑO!CC281</f>
        <v>16.255699999999159</v>
      </c>
    </row>
    <row r="290" spans="2:18">
      <c r="B290" s="410">
        <v>45198</v>
      </c>
      <c r="C290" s="1028">
        <f ca="1">DATOSAÑO!AJ282</f>
        <v>8.5</v>
      </c>
      <c r="D290" s="1028">
        <f ca="1">DATOSAÑO!AK282</f>
        <v>9</v>
      </c>
      <c r="E290" s="1028">
        <f ca="1">DATOSAÑO!AD282</f>
        <v>166</v>
      </c>
      <c r="F290" s="1028">
        <v>0</v>
      </c>
      <c r="G290" s="1028">
        <v>0</v>
      </c>
      <c r="H290" s="1028">
        <f ca="1">DATOSAÑO!AI282</f>
        <v>40.80000000000291</v>
      </c>
      <c r="I290" s="1028">
        <f ca="1">DATOSAÑO!CA282</f>
        <v>0.49200000000150079</v>
      </c>
      <c r="J290" s="1028">
        <v>0</v>
      </c>
      <c r="K290" s="1028">
        <f ca="1">DATOSAÑO!AF282</f>
        <v>150</v>
      </c>
      <c r="L290" s="1028">
        <f ca="1">+DATOSAÑO!CB282</f>
        <v>2.5200000000001639</v>
      </c>
      <c r="M290" s="1028">
        <f ca="1">+DATOSAÑO!AK282</f>
        <v>9</v>
      </c>
      <c r="N290" s="1028">
        <f ca="1">+DATOSAÑO!AH282</f>
        <v>6.5999999999985448</v>
      </c>
      <c r="O290" s="1028">
        <f ca="1">DATOSAÑO!AL282</f>
        <v>43.994999999996367</v>
      </c>
      <c r="P290" s="1029" t="e">
        <f>+(DATOSAÑO!#REF!)+DATOSAÑO!#REF!</f>
        <v>#REF!</v>
      </c>
      <c r="Q290" s="1028">
        <f ca="1">+DATOSAÑO!BH282</f>
        <v>6</v>
      </c>
      <c r="R290" s="1114">
        <f ca="1">DATOSAÑO!BJ282+DATOSAÑO!BM282+DATOSAÑO!BP282+DATOSAÑO!BW282+DATOSAÑO!CC282</f>
        <v>16.08800000000052</v>
      </c>
    </row>
    <row r="291" spans="2:18" ht="15" thickBot="1">
      <c r="B291" s="410">
        <v>45199</v>
      </c>
      <c r="C291" s="1028">
        <f ca="1">DATOSAÑO!AJ283</f>
        <v>8.8999999999941792</v>
      </c>
      <c r="D291" s="1028">
        <f ca="1">DATOSAÑO!AK283</f>
        <v>10</v>
      </c>
      <c r="E291" s="1028">
        <f ca="1">DATOSAÑO!AD283</f>
        <v>162</v>
      </c>
      <c r="F291" s="1028">
        <v>0</v>
      </c>
      <c r="G291" s="1028">
        <v>0</v>
      </c>
      <c r="H291" s="1028">
        <f ca="1">DATOSAÑO!AI283</f>
        <v>39.600000000005821</v>
      </c>
      <c r="I291" s="1028">
        <f ca="1">DATOSAÑO!CA283</f>
        <v>9.2499999999229754E-2</v>
      </c>
      <c r="J291" s="1028">
        <v>0</v>
      </c>
      <c r="K291" s="1028">
        <f ca="1">DATOSAÑO!AF283</f>
        <v>148</v>
      </c>
      <c r="L291" s="1028">
        <f ca="1">+DATOSAÑO!CB283</f>
        <v>2.8799999999998365</v>
      </c>
      <c r="M291" s="1028">
        <f ca="1">+DATOSAÑO!AK283</f>
        <v>10</v>
      </c>
      <c r="N291" s="1028">
        <f ca="1">+DATOSAÑO!AH283</f>
        <v>10.800000000001091</v>
      </c>
      <c r="O291" s="1028">
        <f ca="1">DATOSAÑO!AL283</f>
        <v>44.434000000001049</v>
      </c>
      <c r="P291" s="1029" t="e">
        <f>+(DATOSAÑO!#REF!)+DATOSAÑO!#REF!</f>
        <v>#REF!</v>
      </c>
      <c r="Q291" s="1028">
        <f ca="1">+DATOSAÑO!BH283</f>
        <v>5</v>
      </c>
      <c r="R291" s="1114">
        <f ca="1">DATOSAÑO!BJ283+DATOSAÑO!BM283+DATOSAÑO!BP283+DATOSAÑO!BW283+DATOSAÑO!CC283</f>
        <v>14.927499999998757</v>
      </c>
    </row>
    <row r="292" spans="2:18" ht="15" thickBot="1">
      <c r="B292" s="1308" t="s">
        <v>1114</v>
      </c>
      <c r="C292" s="1307">
        <f ca="1">SUM(C262:C291)</f>
        <v>261.29999999998836</v>
      </c>
      <c r="D292" s="1054">
        <f ca="1">SUM(D262:D291)</f>
        <v>346.70000000001164</v>
      </c>
      <c r="E292" s="1054">
        <f t="shared" ref="E292:Q292" ca="1" si="8">SUM(E262:E291)</f>
        <v>4906.2999999999993</v>
      </c>
      <c r="F292" s="1054">
        <f t="shared" si="8"/>
        <v>0</v>
      </c>
      <c r="G292" s="1054">
        <f t="shared" si="8"/>
        <v>0</v>
      </c>
      <c r="H292" s="1054">
        <f t="shared" ca="1" si="8"/>
        <v>1151.1999999999971</v>
      </c>
      <c r="I292" s="1054">
        <f t="shared" ca="1" si="8"/>
        <v>130.2609999999928</v>
      </c>
      <c r="J292" s="1054">
        <f t="shared" si="8"/>
        <v>0</v>
      </c>
      <c r="K292" s="1054">
        <f t="shared" ca="1" si="8"/>
        <v>4467.2999999999884</v>
      </c>
      <c r="L292" s="1054">
        <f t="shared" ca="1" si="8"/>
        <v>73.266000000000105</v>
      </c>
      <c r="M292" s="1054">
        <f t="shared" ca="1" si="8"/>
        <v>346.70000000001164</v>
      </c>
      <c r="N292" s="1054">
        <f t="shared" ca="1" si="8"/>
        <v>290.19999999999709</v>
      </c>
      <c r="O292" s="1054">
        <f t="shared" ca="1" si="8"/>
        <v>1104.0489999999845</v>
      </c>
      <c r="P292" s="1054" t="e">
        <f t="shared" si="8"/>
        <v>#REF!</v>
      </c>
      <c r="Q292" s="1115">
        <f t="shared" ca="1" si="8"/>
        <v>153.5</v>
      </c>
      <c r="R292" s="1115">
        <f ca="1">SUM(R262:R291)</f>
        <v>627.47299999999257</v>
      </c>
    </row>
    <row r="293" spans="2:18">
      <c r="B293" s="410">
        <v>45200</v>
      </c>
      <c r="C293" s="1028">
        <f ca="1">DATOSAÑO!AJ284</f>
        <v>8.8000000000029104</v>
      </c>
      <c r="D293" s="1028">
        <f ca="1">DATOSAÑO!AK284</f>
        <v>10</v>
      </c>
      <c r="E293" s="1028">
        <f ca="1">DATOSAÑO!AD284</f>
        <v>166</v>
      </c>
      <c r="F293" s="1028">
        <v>0</v>
      </c>
      <c r="G293" s="1028">
        <v>0</v>
      </c>
      <c r="H293" s="1028">
        <f ca="1">DATOSAÑO!AI284</f>
        <v>39.80000000000291</v>
      </c>
      <c r="I293" s="1028">
        <f ca="1">DATOSAÑO!CA284</f>
        <v>3.2500000000004605</v>
      </c>
      <c r="J293" s="1028">
        <v>0</v>
      </c>
      <c r="K293" s="1028">
        <f ca="1">DATOSAÑO!AF284</f>
        <v>150</v>
      </c>
      <c r="L293" s="1028">
        <f ca="1">DATOSAÑO!CB284</f>
        <v>2.308800000000109</v>
      </c>
      <c r="M293" s="1028">
        <f ca="1">+DATOSAÑO!AK284</f>
        <v>10</v>
      </c>
      <c r="N293" s="1028">
        <f ca="1">+DATOSAÑO!AH284</f>
        <v>11.19999999999709</v>
      </c>
      <c r="O293" s="1106">
        <f ca="1">DATOSAÑO!AL284</f>
        <v>36.799999999995634</v>
      </c>
      <c r="P293" s="1029" t="e">
        <f>+(DATOSAÑO!#REF!)+DATOSAÑO!#REF!</f>
        <v>#REF!</v>
      </c>
      <c r="Q293" s="1028">
        <f ca="1">+DATOSAÑO!BH284</f>
        <v>4</v>
      </c>
      <c r="R293" s="1114">
        <f ca="1">DATOSAÑO!BJ284+DATOSAÑO!BM284+DATOSAÑO!BP284+DATOSAÑO!BW284+DATOSAÑO!CC284</f>
        <v>20.403200000000897</v>
      </c>
    </row>
    <row r="294" spans="2:18">
      <c r="B294" s="410">
        <v>45201</v>
      </c>
      <c r="C294" s="1028">
        <f ca="1">DATOSAÑO!AJ285</f>
        <v>9</v>
      </c>
      <c r="D294" s="1028">
        <f ca="1">DATOSAÑO!AK285</f>
        <v>10</v>
      </c>
      <c r="E294" s="1028">
        <f ca="1">DATOSAÑO!AD285</f>
        <v>167</v>
      </c>
      <c r="F294" s="1028">
        <v>0</v>
      </c>
      <c r="G294" s="1028">
        <v>0</v>
      </c>
      <c r="H294" s="1028">
        <f ca="1">DATOSAÑO!AI285</f>
        <v>39.599999999991269</v>
      </c>
      <c r="I294" s="1028">
        <f ca="1">DATOSAÑO!CA285</f>
        <v>5.1810000000006511</v>
      </c>
      <c r="J294" s="1028">
        <v>0</v>
      </c>
      <c r="K294" s="1028">
        <f ca="1">DATOSAÑO!AF285</f>
        <v>151</v>
      </c>
      <c r="L294" s="1028">
        <f ca="1">+DATOSAÑO!CB285</f>
        <v>2.0418000000000545</v>
      </c>
      <c r="M294" s="1028">
        <f ca="1">+DATOSAÑO!AK285</f>
        <v>10</v>
      </c>
      <c r="N294" s="1028">
        <f ca="1">+DATOSAÑO!AH285</f>
        <v>11.599999999998545</v>
      </c>
      <c r="O294" s="1028">
        <f ca="1">DATOSAÑO!AL285</f>
        <v>31.792000000008557</v>
      </c>
      <c r="P294" s="1029" t="e">
        <f>+(DATOSAÑO!#REF!)+DATOSAÑO!#REF!</f>
        <v>#REF!</v>
      </c>
      <c r="Q294" s="1028">
        <f ca="1">+DATOSAÑO!BH285</f>
        <v>6</v>
      </c>
      <c r="R294" s="1114">
        <f ca="1">DATOSAÑO!BJ285+DATOSAÑO!BM285+DATOSAÑO!BP285+DATOSAÑO!BW285+DATOSAÑO!CC285</f>
        <v>23.588200000000686</v>
      </c>
    </row>
    <row r="295" spans="2:18">
      <c r="B295" s="410">
        <v>45202</v>
      </c>
      <c r="C295" s="1028">
        <f ca="1">DATOSAÑO!AJ286</f>
        <v>9</v>
      </c>
      <c r="D295" s="1028">
        <f ca="1">DATOSAÑO!AK286</f>
        <v>11</v>
      </c>
      <c r="E295" s="1028">
        <f ca="1">DATOSAÑO!AD286</f>
        <v>165</v>
      </c>
      <c r="F295" s="1028">
        <v>0</v>
      </c>
      <c r="G295" s="1028">
        <v>0</v>
      </c>
      <c r="H295" s="1028">
        <f ca="1">DATOSAÑO!AI286</f>
        <v>38.900000000008731</v>
      </c>
      <c r="I295" s="1028">
        <f ca="1">DATOSAÑO!CA286</f>
        <v>4.5279999999986931</v>
      </c>
      <c r="J295" s="1028">
        <v>0</v>
      </c>
      <c r="K295" s="1028">
        <f ca="1">DATOSAÑO!AF286</f>
        <v>150</v>
      </c>
      <c r="L295" s="1028">
        <f ca="1">+DATOSAÑO!CB286</f>
        <v>2.4348000000000489</v>
      </c>
      <c r="M295" s="1028">
        <f ca="1">+DATOSAÑO!AK286</f>
        <v>11</v>
      </c>
      <c r="N295" s="1028">
        <f ca="1">+DATOSAÑO!AH286</f>
        <v>13.300000000004729</v>
      </c>
      <c r="O295" s="1028">
        <f ca="1">DATOSAÑO!AL286</f>
        <v>33.199999999987938</v>
      </c>
      <c r="P295" s="1029" t="e">
        <f>+(DATOSAÑO!#REF!)+DATOSAÑO!#REF!</f>
        <v>#REF!</v>
      </c>
      <c r="Q295" s="1028">
        <f ca="1">+DATOSAÑO!BH286</f>
        <v>6</v>
      </c>
      <c r="R295" s="1114">
        <f ca="1">DATOSAÑO!BJ286+DATOSAÑO!BM286+DATOSAÑO!BP286+DATOSAÑO!BW286+DATOSAÑO!CC286</f>
        <v>22.184199999999816</v>
      </c>
    </row>
    <row r="296" spans="2:18">
      <c r="B296" s="410">
        <v>45203</v>
      </c>
      <c r="C296" s="1028">
        <f ca="1">DATOSAÑO!AJ287</f>
        <v>8.9000000000087311</v>
      </c>
      <c r="D296" s="1028">
        <f ca="1">DATOSAÑO!AK287</f>
        <v>9</v>
      </c>
      <c r="E296" s="1028">
        <f ca="1">DATOSAÑO!AD287</f>
        <v>164</v>
      </c>
      <c r="F296" s="1028">
        <v>0</v>
      </c>
      <c r="G296" s="1028">
        <v>0</v>
      </c>
      <c r="H296" s="1028">
        <f ca="1">DATOSAÑO!AI287</f>
        <v>39.19999999999709</v>
      </c>
      <c r="I296" s="1028">
        <f ca="1">DATOSAÑO!CA287</f>
        <v>5.5975000000012773</v>
      </c>
      <c r="J296" s="1028">
        <v>0</v>
      </c>
      <c r="K296" s="1028">
        <f ca="1">DATOSAÑO!AF287</f>
        <v>148</v>
      </c>
      <c r="L296" s="1028">
        <f ca="1">+DATOSAÑO!CB287</f>
        <v>2.0897999999995633</v>
      </c>
      <c r="M296" s="1028">
        <f ca="1">+DATOSAÑO!AK287</f>
        <v>9</v>
      </c>
      <c r="N296" s="1028">
        <f ca="1">+DATOSAÑO!AH287</f>
        <v>7.5</v>
      </c>
      <c r="O296" s="1028">
        <f ca="1">DATOSAÑO!AL287</f>
        <v>31.999999999992724</v>
      </c>
      <c r="P296" s="1029" t="e">
        <f>+(DATOSAÑO!#REF!)+DATOSAÑO!#REF!</f>
        <v>#REF!</v>
      </c>
      <c r="Q296" s="1028">
        <f ca="1">+DATOSAÑO!BH287</f>
        <v>5</v>
      </c>
      <c r="R296" s="1114">
        <f ca="1">DATOSAÑO!BJ287+DATOSAÑO!BM287+DATOSAÑO!BP287+DATOSAÑO!BW287+DATOSAÑO!CC287</f>
        <v>21.716700000000621</v>
      </c>
    </row>
    <row r="297" spans="2:18">
      <c r="B297" s="410">
        <v>45204</v>
      </c>
      <c r="C297" s="1028">
        <f ca="1">DATOSAÑO!AJ288</f>
        <v>9.1999999999970896</v>
      </c>
      <c r="D297" s="1028">
        <f ca="1">DATOSAÑO!AK288</f>
        <v>9</v>
      </c>
      <c r="E297" s="1028">
        <f ca="1">DATOSAÑO!AD288</f>
        <v>162</v>
      </c>
      <c r="F297" s="1028">
        <v>0</v>
      </c>
      <c r="G297" s="1028">
        <v>0</v>
      </c>
      <c r="H297" s="1028">
        <f ca="1">DATOSAÑO!AI288</f>
        <v>39.19999999999709</v>
      </c>
      <c r="I297" s="1028">
        <f ca="1">DATOSAÑO!CA288</f>
        <v>5.7595000000004619</v>
      </c>
      <c r="J297" s="1028">
        <v>0</v>
      </c>
      <c r="K297" s="1028">
        <f ca="1">DATOSAÑO!AF288</f>
        <v>147</v>
      </c>
      <c r="L297" s="1028">
        <f ca="1">+DATOSAÑO!CB288</f>
        <v>2.1768000000000542</v>
      </c>
      <c r="M297" s="1028">
        <f ca="1">+DATOSAÑO!AK288</f>
        <v>9</v>
      </c>
      <c r="N297" s="1028">
        <f ca="1">+DATOSAÑO!AH288</f>
        <v>7.6999999999989086</v>
      </c>
      <c r="O297" s="1028">
        <f ca="1">DATOSAÑO!AL288</f>
        <v>34.400000000006969</v>
      </c>
      <c r="P297" s="1029" t="e">
        <f>+(DATOSAÑO!#REF!)+DATOSAÑO!#REF!</f>
        <v>#REF!</v>
      </c>
      <c r="Q297" s="1028">
        <f ca="1">+DATOSAÑO!BH288</f>
        <v>5</v>
      </c>
      <c r="R297" s="1114">
        <f ca="1">DATOSAÑO!BJ288+DATOSAÑO!BM288+DATOSAÑO!BP288+DATOSAÑO!BW288+DATOSAÑO!CC288</f>
        <v>20.792699999999407</v>
      </c>
    </row>
    <row r="298" spans="2:18">
      <c r="B298" s="410">
        <v>45205</v>
      </c>
      <c r="C298" s="1028">
        <f ca="1">DATOSAÑO!AJ289</f>
        <v>8.5</v>
      </c>
      <c r="D298" s="1028">
        <f ca="1">DATOSAÑO!AK289</f>
        <v>9</v>
      </c>
      <c r="E298" s="1028">
        <f ca="1">DATOSAÑO!AD289</f>
        <v>166</v>
      </c>
      <c r="F298" s="1028">
        <v>0</v>
      </c>
      <c r="G298" s="1028">
        <v>0</v>
      </c>
      <c r="H298" s="1028">
        <f ca="1">DATOSAÑO!AI289</f>
        <v>38.899999999994179</v>
      </c>
      <c r="I298" s="1028">
        <f ca="1">DATOSAÑO!CA289</f>
        <v>6.6959999999982429</v>
      </c>
      <c r="J298" s="1028">
        <v>0</v>
      </c>
      <c r="K298" s="1028">
        <f ca="1">DATOSAÑO!AF289</f>
        <v>150</v>
      </c>
      <c r="L298" s="1028">
        <f ca="1">+DATOSAÑO!CB289</f>
        <v>1.9194000000001636</v>
      </c>
      <c r="M298" s="1028">
        <f ca="1">+DATOSAÑO!AK289</f>
        <v>9</v>
      </c>
      <c r="N298" s="1028">
        <f ca="1">+DATOSAÑO!AH289</f>
        <v>9.8000000000029104</v>
      </c>
      <c r="O298" s="1028">
        <f ca="1">DATOSAÑO!AL289</f>
        <v>35.400000000005093</v>
      </c>
      <c r="P298" s="1029" t="e">
        <f>+(DATOSAÑO!#REF!)+DATOSAÑO!#REF!</f>
        <v>#REF!</v>
      </c>
      <c r="Q298" s="1028">
        <f ca="1">+DATOSAÑO!BH289</f>
        <v>6</v>
      </c>
      <c r="R298" s="1114">
        <f ca="1">DATOSAÑO!BJ289+DATOSAÑO!BM289+DATOSAÑO!BP289+DATOSAÑO!BW289+DATOSAÑO!CC289</f>
        <v>22.417599999999442</v>
      </c>
    </row>
    <row r="299" spans="2:18">
      <c r="B299" s="410">
        <v>45206</v>
      </c>
      <c r="C299" s="1028">
        <f ca="1">DATOSAÑO!AJ290</f>
        <v>5</v>
      </c>
      <c r="D299" s="1028">
        <f ca="1">DATOSAÑO!AK290</f>
        <v>9</v>
      </c>
      <c r="E299" s="1028">
        <f ca="1">DATOSAÑO!AD290</f>
        <v>162</v>
      </c>
      <c r="F299" s="1028">
        <v>0</v>
      </c>
      <c r="G299" s="1028">
        <v>0</v>
      </c>
      <c r="H299" s="1028">
        <f ca="1">DATOSAÑO!AI290</f>
        <v>36.30000000000291</v>
      </c>
      <c r="I299" s="1028">
        <f ca="1">DATOSAÑO!CA290</f>
        <v>5.2305000000011983</v>
      </c>
      <c r="J299" s="1028">
        <v>0</v>
      </c>
      <c r="K299" s="1028">
        <f ca="1">DATOSAÑO!AF290</f>
        <v>145</v>
      </c>
      <c r="L299" s="1028">
        <f ca="1">+DATOSAÑO!CB290</f>
        <v>1.7976000000000545</v>
      </c>
      <c r="M299" s="1028">
        <f ca="1">+DATOSAÑO!AK290</f>
        <v>9</v>
      </c>
      <c r="N299" s="1028">
        <f ca="1">+DATOSAÑO!AH290</f>
        <v>10.600000000000364</v>
      </c>
      <c r="O299" s="1028">
        <f ca="1">DATOSAÑO!AL290</f>
        <v>31.499999999994543</v>
      </c>
      <c r="P299" s="1029" t="e">
        <f>+(DATOSAÑO!#REF!)+DATOSAÑO!#REF!</f>
        <v>#REF!</v>
      </c>
      <c r="Q299" s="1028">
        <f ca="1">+DATOSAÑO!BH290</f>
        <v>5</v>
      </c>
      <c r="R299" s="1114">
        <f ca="1">DATOSAÑO!BJ290+DATOSAÑO!BM290+DATOSAÑO!BP290+DATOSAÑO!BW290+DATOSAÑO!CC290</f>
        <v>21.17990000000087</v>
      </c>
    </row>
    <row r="300" spans="2:18">
      <c r="B300" s="410">
        <v>45207</v>
      </c>
      <c r="C300" s="1028">
        <f ca="1">DATOSAÑO!AJ291</f>
        <v>5.6999999999970896</v>
      </c>
      <c r="D300" s="1028">
        <f ca="1">DATOSAÑO!AK291</f>
        <v>9</v>
      </c>
      <c r="E300" s="1028">
        <f ca="1">DATOSAÑO!AD291</f>
        <v>165</v>
      </c>
      <c r="F300" s="1028">
        <v>0</v>
      </c>
      <c r="G300" s="1028">
        <v>0</v>
      </c>
      <c r="H300" s="1028">
        <f ca="1">DATOSAÑO!AI291</f>
        <v>38.80000000000291</v>
      </c>
      <c r="I300" s="1028">
        <f ca="1">DATOSAÑO!CA291</f>
        <v>6.0204999999987221</v>
      </c>
      <c r="J300" s="1028">
        <v>0</v>
      </c>
      <c r="K300" s="1028">
        <f ca="1">DATOSAÑO!AF291</f>
        <v>150</v>
      </c>
      <c r="L300" s="1028">
        <f ca="1">+DATOSAÑO!CB291</f>
        <v>2.0652000000000541</v>
      </c>
      <c r="M300" s="1028">
        <f ca="1">+DATOSAÑO!AK291</f>
        <v>9</v>
      </c>
      <c r="N300" s="1028">
        <f ca="1">+DATOSAÑO!AH291</f>
        <v>6</v>
      </c>
      <c r="O300" s="1028">
        <f ca="1">DATOSAÑO!AL291</f>
        <v>28.300000000002967</v>
      </c>
      <c r="P300" s="1029" t="e">
        <f>+(DATOSAÑO!#REF!)+DATOSAÑO!#REF!</f>
        <v>#REF!</v>
      </c>
      <c r="Q300" s="1028">
        <f ca="1">+DATOSAÑO!BH291</f>
        <v>5</v>
      </c>
      <c r="R300" s="1114">
        <f ca="1">DATOSAÑO!BJ291+DATOSAÑO!BM291+DATOSAÑO!BP291+DATOSAÑO!BW291+DATOSAÑO!CC291</f>
        <v>22.365299999998395</v>
      </c>
    </row>
    <row r="301" spans="2:18">
      <c r="B301" s="410">
        <v>45208</v>
      </c>
      <c r="C301" s="1028">
        <f ca="1">DATOSAÑO!AJ292</f>
        <v>5.5</v>
      </c>
      <c r="D301" s="1028">
        <f ca="1">DATOSAÑO!AK292</f>
        <v>9</v>
      </c>
      <c r="E301" s="1028">
        <f ca="1">DATOSAÑO!AD292</f>
        <v>163</v>
      </c>
      <c r="F301" s="1028">
        <v>0</v>
      </c>
      <c r="G301" s="1028">
        <v>0</v>
      </c>
      <c r="H301" s="1028">
        <f ca="1">DATOSAÑO!AI292</f>
        <v>39.30000000000291</v>
      </c>
      <c r="I301" s="1028">
        <f ca="1">DATOSAÑO!CA292</f>
        <v>5.7815000000003627</v>
      </c>
      <c r="J301" s="1028">
        <v>0</v>
      </c>
      <c r="K301" s="1028">
        <f ca="1">DATOSAÑO!AF292</f>
        <v>149</v>
      </c>
      <c r="L301" s="1028">
        <f ca="1">+DATOSAÑO!CB292</f>
        <v>2.0423999999997817</v>
      </c>
      <c r="M301" s="1028">
        <f ca="1">+DATOSAÑO!AK292</f>
        <v>9</v>
      </c>
      <c r="N301" s="1028">
        <f ca="1">+DATOSAÑO!AH292</f>
        <v>8.7999999999974534</v>
      </c>
      <c r="O301" s="1028">
        <f ca="1">DATOSAÑO!AL292</f>
        <v>32.499999999998238</v>
      </c>
      <c r="P301" s="1029" t="e">
        <f>+(DATOSAÑO!#REF!)+DATOSAÑO!#REF!</f>
        <v>#REF!</v>
      </c>
      <c r="Q301" s="1028">
        <f ca="1">+DATOSAÑO!BH292</f>
        <v>5</v>
      </c>
      <c r="R301" s="1114">
        <f ca="1">DATOSAÑO!BJ292+DATOSAÑO!BM292+DATOSAÑO!BP292+DATOSAÑO!BW292+DATOSAÑO!CC292</f>
        <v>22.02310000000131</v>
      </c>
    </row>
    <row r="302" spans="2:18">
      <c r="B302" s="410">
        <v>45209</v>
      </c>
      <c r="C302" s="1028">
        <f ca="1">DATOSAÑO!AJ293</f>
        <v>5.6999999999970896</v>
      </c>
      <c r="D302" s="1028">
        <f ca="1">DATOSAÑO!AK293</f>
        <v>10</v>
      </c>
      <c r="E302" s="1028">
        <f ca="1">DATOSAÑO!AD293</f>
        <v>164</v>
      </c>
      <c r="F302" s="1028">
        <v>0</v>
      </c>
      <c r="G302" s="1028">
        <v>0</v>
      </c>
      <c r="H302" s="1028">
        <f ca="1">DATOSAÑO!AI293</f>
        <v>38.599999999991269</v>
      </c>
      <c r="I302" s="1028">
        <f ca="1">DATOSAÑO!CA293</f>
        <v>5.4720000000012643</v>
      </c>
      <c r="J302" s="1028">
        <v>0</v>
      </c>
      <c r="K302" s="1028">
        <f ca="1">DATOSAÑO!AF293</f>
        <v>150</v>
      </c>
      <c r="L302" s="1028">
        <f ca="1">+DATOSAÑO!CB293</f>
        <v>2.1738</v>
      </c>
      <c r="M302" s="1028">
        <f ca="1">+DATOSAÑO!AK293</f>
        <v>10</v>
      </c>
      <c r="N302" s="1028">
        <f ca="1">+DATOSAÑO!AH293</f>
        <v>11.5</v>
      </c>
      <c r="O302" s="1028">
        <f ca="1">DATOSAÑO!AL293</f>
        <v>32.300000000010186</v>
      </c>
      <c r="P302" s="1029" t="e">
        <f>+(DATOSAÑO!#REF!)+DATOSAÑO!#REF!</f>
        <v>#REF!</v>
      </c>
      <c r="Q302" s="1028">
        <f ca="1">+DATOSAÑO!BH293</f>
        <v>5</v>
      </c>
      <c r="R302" s="1114">
        <f ca="1">DATOSAÑO!BJ293+DATOSAÑO!BM293+DATOSAÑO!BP293+DATOSAÑO!BW293+DATOSAÑO!CC293</f>
        <v>21.56720000000017</v>
      </c>
    </row>
    <row r="303" spans="2:18">
      <c r="B303" s="410">
        <v>45210</v>
      </c>
      <c r="C303" s="1028">
        <f ca="1">DATOSAÑO!AJ294</f>
        <v>8.1000000000058208</v>
      </c>
      <c r="D303" s="1028">
        <f ca="1">DATOSAÑO!AK294</f>
        <v>10</v>
      </c>
      <c r="E303" s="1028">
        <f ca="1">DATOSAÑO!AD294</f>
        <v>166</v>
      </c>
      <c r="F303" s="1028">
        <v>0</v>
      </c>
      <c r="G303" s="1028">
        <v>0</v>
      </c>
      <c r="H303" s="1028">
        <f ca="1">DATOSAÑO!AI294</f>
        <v>39.600000000005821</v>
      </c>
      <c r="I303" s="1028">
        <f ca="1">DATOSAÑO!CA294</f>
        <v>6.79399999999832</v>
      </c>
      <c r="J303" s="1028">
        <v>0</v>
      </c>
      <c r="K303" s="1028">
        <f ca="1">DATOSAÑO!AF294</f>
        <v>150</v>
      </c>
      <c r="L303" s="1028">
        <f ca="1">+DATOSAÑO!CB294</f>
        <v>1.524</v>
      </c>
      <c r="M303" s="1028">
        <f ca="1">+DATOSAÑO!AK294</f>
        <v>10</v>
      </c>
      <c r="N303" s="1028">
        <f ca="1">+DATOSAÑO!AH294</f>
        <v>14.19999999999709</v>
      </c>
      <c r="O303" s="1028">
        <f ca="1">DATOSAÑO!AL294</f>
        <v>32.648999999994203</v>
      </c>
      <c r="P303" s="1029" t="e">
        <f>+(DATOSAÑO!#REF!)+DATOSAÑO!#REF!</f>
        <v>#REF!</v>
      </c>
      <c r="Q303" s="1028">
        <f ca="1">+DATOSAÑO!BH294</f>
        <v>5</v>
      </c>
      <c r="R303" s="1114">
        <f ca="1">DATOSAÑO!BJ294+DATOSAÑO!BM294+DATOSAÑO!BP294+DATOSAÑO!BW294+DATOSAÑO!CC294</f>
        <v>22.495999999998681</v>
      </c>
    </row>
    <row r="304" spans="2:18">
      <c r="B304" s="410">
        <v>45211</v>
      </c>
      <c r="C304" s="1028">
        <f ca="1">DATOSAÑO!AJ295</f>
        <v>8.5500000000029104</v>
      </c>
      <c r="D304" s="1028">
        <f ca="1">DATOSAÑO!AK295</f>
        <v>8.4299999999930151</v>
      </c>
      <c r="E304" s="1028">
        <f ca="1">DATOSAÑO!AD295</f>
        <v>167.79999999999927</v>
      </c>
      <c r="F304" s="1028">
        <v>0</v>
      </c>
      <c r="G304" s="1028">
        <v>0</v>
      </c>
      <c r="H304" s="1028">
        <f ca="1">DATOSAÑO!AI295</f>
        <v>39.169999999998254</v>
      </c>
      <c r="I304" s="1028">
        <f ca="1">DATOSAÑO!CA295</f>
        <v>4.7485000000052802</v>
      </c>
      <c r="J304" s="1028">
        <v>0</v>
      </c>
      <c r="K304" s="1028">
        <f ca="1">DATOSAÑO!AF295</f>
        <v>151.20000000001164</v>
      </c>
      <c r="L304" s="1028">
        <f ca="1">+DATOSAÑO!CB295</f>
        <v>1.2924000000002183</v>
      </c>
      <c r="M304" s="1028">
        <f ca="1">+DATOSAÑO!AK295</f>
        <v>8.4299999999930151</v>
      </c>
      <c r="N304" s="1028">
        <f ca="1">+DATOSAÑO!AH295</f>
        <v>3</v>
      </c>
      <c r="O304" s="1028">
        <f ca="1">DATOSAÑO!AL295</f>
        <v>34.719999999932099</v>
      </c>
      <c r="P304" s="1029" t="e">
        <f>+(DATOSAÑO!#REF!)+DATOSAÑO!#REF!</f>
        <v>#REF!</v>
      </c>
      <c r="Q304" s="1028">
        <f ca="1">+DATOSAÑO!BH295</f>
        <v>6.2480000000068685</v>
      </c>
      <c r="R304" s="1114">
        <f ca="1">DATOSAÑO!BJ295+DATOSAÑO!BM295+DATOSAÑO!BP295+DATOSAÑO!BW295+DATOSAÑO!CC295</f>
        <v>20.659100000006152</v>
      </c>
    </row>
    <row r="305" spans="2:18">
      <c r="B305" s="410">
        <v>45212</v>
      </c>
      <c r="C305" s="1028">
        <f ca="1">DATOSAÑO!AJ296</f>
        <v>8.3799999999901047</v>
      </c>
      <c r="D305" s="1028">
        <f ca="1">DATOSAÑO!AK296</f>
        <v>8.7300000000104774</v>
      </c>
      <c r="E305" s="1028">
        <f ca="1">DATOSAÑO!AD296</f>
        <v>162.7400000000016</v>
      </c>
      <c r="F305" s="1028">
        <v>0</v>
      </c>
      <c r="G305" s="1028">
        <v>0</v>
      </c>
      <c r="H305" s="1028">
        <f ca="1">DATOSAÑO!AI296</f>
        <v>38.130000000004657</v>
      </c>
      <c r="I305" s="1028">
        <f ca="1">DATOSAÑO!CA296</f>
        <v>4.082000000001516</v>
      </c>
      <c r="J305" s="1028">
        <v>0</v>
      </c>
      <c r="K305" s="1028">
        <f ca="1">DATOSAÑO!AF296</f>
        <v>148</v>
      </c>
      <c r="L305" s="1028">
        <f ca="1">+DATOSAÑO!CB296</f>
        <v>1.8209999999999344</v>
      </c>
      <c r="M305" s="1028">
        <f ca="1">+DATOSAÑO!AK296</f>
        <v>8.7300000000104774</v>
      </c>
      <c r="N305" s="1028">
        <f ca="1">+DATOSAÑO!AH296</f>
        <v>9.4000000000014552</v>
      </c>
      <c r="O305" s="1028">
        <f ca="1">DATOSAÑO!AL296</f>
        <v>34.575000000018008</v>
      </c>
      <c r="P305" s="1029" t="e">
        <f>+(DATOSAÑO!#REF!)+DATOSAÑO!#REF!</f>
        <v>#REF!</v>
      </c>
      <c r="Q305" s="1028">
        <f ca="1">+DATOSAÑO!BH296</f>
        <v>5.1219999999884749</v>
      </c>
      <c r="R305" s="1114">
        <f ca="1">DATOSAÑO!BJ296+DATOSAÑO!BM296+DATOSAÑO!BP296+DATOSAÑO!BW296+DATOSAÑO!CC296</f>
        <v>20.197000000000745</v>
      </c>
    </row>
    <row r="306" spans="2:18">
      <c r="B306" s="410">
        <v>45213</v>
      </c>
      <c r="C306" s="1028">
        <f ca="1">DATOSAÑO!AJ297</f>
        <v>8.7700000000040745</v>
      </c>
      <c r="D306" s="1028">
        <f ca="1">DATOSAÑO!AK297</f>
        <v>9.2399999999906868</v>
      </c>
      <c r="E306" s="1028">
        <f ca="1">DATOSAÑO!AD297</f>
        <v>170.05999999999767</v>
      </c>
      <c r="F306" s="1028">
        <v>0</v>
      </c>
      <c r="G306" s="1028">
        <v>0</v>
      </c>
      <c r="H306" s="1028">
        <f ca="1">DATOSAÑO!AI297</f>
        <v>36.599999999991269</v>
      </c>
      <c r="I306" s="1028">
        <f ca="1">DATOSAÑO!CA297</f>
        <v>7.8724999999878493</v>
      </c>
      <c r="J306" s="1028">
        <v>0</v>
      </c>
      <c r="K306" s="1028">
        <f ca="1">DATOSAÑO!AF297</f>
        <v>147.09999999997672</v>
      </c>
      <c r="L306" s="1028">
        <f ca="1">+DATOSAÑO!CB297</f>
        <v>1.7873999999997381</v>
      </c>
      <c r="M306" s="1028">
        <f ca="1">+DATOSAÑO!AK297</f>
        <v>9.2399999999906868</v>
      </c>
      <c r="N306" s="1028">
        <f ca="1">+DATOSAÑO!AH297</f>
        <v>12.199999999998909</v>
      </c>
      <c r="O306" s="1028">
        <f ca="1">DATOSAÑO!AL297</f>
        <v>33.970000000093989</v>
      </c>
      <c r="P306" s="1029" t="e">
        <f>+(DATOSAÑO!#REF!)+DATOSAÑO!#REF!</f>
        <v>#REF!</v>
      </c>
      <c r="Q306" s="1028">
        <f ca="1">+DATOSAÑO!BH297</f>
        <v>3.930000000007567</v>
      </c>
      <c r="R306" s="1114">
        <f ca="1">DATOSAÑO!BJ297+DATOSAÑO!BM297+DATOSAÑO!BP297+DATOSAÑO!BW297+DATOSAÑO!CC297</f>
        <v>23.040099999987671</v>
      </c>
    </row>
    <row r="307" spans="2:18">
      <c r="B307" s="410">
        <v>45214</v>
      </c>
      <c r="C307" s="1028">
        <f ca="1">DATOSAÑO!AJ298</f>
        <v>7.1000000000058208</v>
      </c>
      <c r="D307" s="1028">
        <f ca="1">DATOSAÑO!AK298</f>
        <v>9.6000000000058208</v>
      </c>
      <c r="E307" s="1028">
        <f ca="1">DATOSAÑO!AD298</f>
        <v>163.40000000000146</v>
      </c>
      <c r="F307" s="1028">
        <v>0</v>
      </c>
      <c r="G307" s="1028">
        <v>0</v>
      </c>
      <c r="H307" s="1028">
        <f ca="1">DATOSAÑO!AI298</f>
        <v>36.5</v>
      </c>
      <c r="I307" s="1028">
        <f ca="1">DATOSAÑO!CA298</f>
        <v>5.2415000000060932</v>
      </c>
      <c r="J307" s="1028">
        <v>0</v>
      </c>
      <c r="K307" s="1028">
        <f ca="1">DATOSAÑO!AF298</f>
        <v>150.70000000001164</v>
      </c>
      <c r="L307" s="1028">
        <f ca="1">+DATOSAÑO!CB298</f>
        <v>1.9020000000001092</v>
      </c>
      <c r="M307" s="1028">
        <f ca="1">+DATOSAÑO!AK298</f>
        <v>9.6000000000058208</v>
      </c>
      <c r="N307" s="1028">
        <f ca="1">+DATOSAÑO!AH298</f>
        <v>11.599999999998545</v>
      </c>
      <c r="O307" s="1028">
        <f ca="1">DATOSAÑO!AL298</f>
        <v>29.857999999959247</v>
      </c>
      <c r="P307" s="1029" t="e">
        <f>+(DATOSAÑO!#REF!)+DATOSAÑO!#REF!</f>
        <v>#REF!</v>
      </c>
      <c r="Q307" s="1028">
        <f ca="1">+DATOSAÑO!BH298</f>
        <v>4.6999999999970896</v>
      </c>
      <c r="R307" s="1114">
        <f ca="1">DATOSAÑO!BJ298+DATOSAÑO!BM298+DATOSAÑO!BP298+DATOSAÑO!BW298+DATOSAÑO!CC298</f>
        <v>22.056500000005435</v>
      </c>
    </row>
    <row r="308" spans="2:18">
      <c r="B308" s="410">
        <v>45215</v>
      </c>
      <c r="C308" s="1028">
        <f ca="1">DATOSAÑO!AJ299</f>
        <v>5.7999999999883585</v>
      </c>
      <c r="D308" s="1028">
        <f ca="1">DATOSAÑO!AK299</f>
        <v>8</v>
      </c>
      <c r="E308" s="1028">
        <f ca="1">DATOSAÑO!AD299</f>
        <v>165</v>
      </c>
      <c r="F308" s="1028">
        <v>0</v>
      </c>
      <c r="G308" s="1028">
        <v>0</v>
      </c>
      <c r="H308" s="1028">
        <f ca="1">DATOSAÑO!AI299</f>
        <v>34</v>
      </c>
      <c r="I308" s="1028">
        <f ca="1">DATOSAÑO!CA299</f>
        <v>5.0609999999996909</v>
      </c>
      <c r="J308" s="1028">
        <v>0</v>
      </c>
      <c r="K308" s="1028">
        <f ca="1">DATOSAÑO!AF299</f>
        <v>150</v>
      </c>
      <c r="L308" s="1028">
        <f ca="1">+DATOSAÑO!CB299</f>
        <v>1.723800000000218</v>
      </c>
      <c r="M308" s="1028">
        <f ca="1">+DATOSAÑO!AK299</f>
        <v>8</v>
      </c>
      <c r="N308" s="1028">
        <f ca="1">+DATOSAÑO!AH299</f>
        <v>6.9000000000014552</v>
      </c>
      <c r="O308" s="1028">
        <f ca="1">DATOSAÑO!AL299</f>
        <v>36.600000000009459</v>
      </c>
      <c r="P308" s="1029" t="e">
        <f>+(DATOSAÑO!#REF!)+DATOSAÑO!#REF!</f>
        <v>#REF!</v>
      </c>
      <c r="Q308" s="1028">
        <f ca="1">+DATOSAÑO!BH299</f>
        <v>4</v>
      </c>
      <c r="R308" s="1114">
        <f ca="1">DATOSAÑO!BJ299+DATOSAÑO!BM299+DATOSAÑO!BP299+DATOSAÑO!BW299+DATOSAÑO!CC299</f>
        <v>20.483200000000927</v>
      </c>
    </row>
    <row r="309" spans="2:18">
      <c r="B309" s="410">
        <v>45216</v>
      </c>
      <c r="C309" s="1028">
        <f ca="1">DATOSAÑO!AJ300</f>
        <v>7.8000000000029104</v>
      </c>
      <c r="D309" s="1028">
        <f ca="1">DATOSAÑO!AK300</f>
        <v>8</v>
      </c>
      <c r="E309" s="1028">
        <f ca="1">DATOSAÑO!AD300</f>
        <v>166</v>
      </c>
      <c r="F309" s="1028">
        <v>0</v>
      </c>
      <c r="G309" s="1028">
        <v>0</v>
      </c>
      <c r="H309" s="1028">
        <f ca="1">DATOSAÑO!AI300</f>
        <v>33.700000000011642</v>
      </c>
      <c r="I309" s="1028">
        <f ca="1">DATOSAÑO!CA300</f>
        <v>6.1964999999999506</v>
      </c>
      <c r="J309" s="1028">
        <v>0</v>
      </c>
      <c r="K309" s="1028">
        <f ca="1">DATOSAÑO!AF300</f>
        <v>149</v>
      </c>
      <c r="L309" s="1028">
        <f ca="1">+DATOSAÑO!CB300</f>
        <v>2.1149999999998439</v>
      </c>
      <c r="M309" s="1028">
        <f ca="1">+DATOSAÑO!AK300</f>
        <v>8</v>
      </c>
      <c r="N309" s="1028">
        <f ca="1">+DATOSAÑO!AH300</f>
        <v>7.8000000000047294</v>
      </c>
      <c r="O309" s="1028">
        <f ca="1">DATOSAÑO!AL300</f>
        <v>29.765999999982341</v>
      </c>
      <c r="P309" s="1029" t="e">
        <f>+(DATOSAÑO!#REF!)+DATOSAÑO!#REF!</f>
        <v>#REF!</v>
      </c>
      <c r="Q309" s="1028">
        <f ca="1">+DATOSAÑO!BH300</f>
        <v>5</v>
      </c>
      <c r="R309" s="1114">
        <f ca="1">DATOSAÑO!BJ300+DATOSAÑO!BM300+DATOSAÑO!BP300+DATOSAÑO!BW300+DATOSAÑO!CC300</f>
        <v>22.288499999998756</v>
      </c>
    </row>
    <row r="310" spans="2:18">
      <c r="B310" s="410">
        <v>45217</v>
      </c>
      <c r="C310" s="1028">
        <f ca="1">DATOSAÑO!AJ301</f>
        <v>7.1999999999970896</v>
      </c>
      <c r="D310" s="1028">
        <f ca="1">DATOSAÑO!AK301</f>
        <v>10</v>
      </c>
      <c r="E310" s="1028">
        <f ca="1">DATOSAÑO!AD301</f>
        <v>164</v>
      </c>
      <c r="F310" s="1028">
        <v>0</v>
      </c>
      <c r="G310" s="1028">
        <v>0</v>
      </c>
      <c r="H310" s="1028">
        <f ca="1">DATOSAÑO!AI301</f>
        <v>36.899999999994179</v>
      </c>
      <c r="I310" s="1028">
        <f ca="1">DATOSAÑO!CA301</f>
        <v>5.2679999999999518</v>
      </c>
      <c r="J310" s="1028">
        <v>0</v>
      </c>
      <c r="K310" s="1028">
        <f ca="1">DATOSAÑO!AF301</f>
        <v>150</v>
      </c>
      <c r="L310" s="1028">
        <f ca="1">+DATOSAÑO!CB301</f>
        <v>2.4720000000000546</v>
      </c>
      <c r="M310" s="1028">
        <f ca="1">+DATOSAÑO!AK301</f>
        <v>10</v>
      </c>
      <c r="N310" s="1028">
        <f ca="1">+DATOSAÑO!AH301</f>
        <v>11.399999999994179</v>
      </c>
      <c r="O310" s="1028">
        <f ca="1">DATOSAÑO!AL301</f>
        <v>31.000000000014552</v>
      </c>
      <c r="P310" s="1029" t="e">
        <f>+(DATOSAÑO!#REF!)+DATOSAÑO!#REF!</f>
        <v>#REF!</v>
      </c>
      <c r="Q310" s="1028">
        <f ca="1">+DATOSAÑO!BH301</f>
        <v>6</v>
      </c>
      <c r="R310" s="1114">
        <f ca="1">DATOSAÑO!BJ301+DATOSAÑO!BM301+DATOSAÑO!BP301+DATOSAÑO!BW301+DATOSAÑO!CC301</f>
        <v>21.759999999999987</v>
      </c>
    </row>
    <row r="311" spans="2:18">
      <c r="B311" s="410">
        <v>45218</v>
      </c>
      <c r="C311" s="1028">
        <f ca="1">DATOSAÑO!AJ302</f>
        <v>4.8000000000029104</v>
      </c>
      <c r="D311" s="1028">
        <f ca="1">DATOSAÑO!AK302</f>
        <v>8</v>
      </c>
      <c r="E311" s="1028">
        <f ca="1">DATOSAÑO!AD302</f>
        <v>164</v>
      </c>
      <c r="F311" s="1028">
        <v>0</v>
      </c>
      <c r="G311" s="1028">
        <v>0</v>
      </c>
      <c r="H311" s="1028">
        <f ca="1">DATOSAÑO!AI302</f>
        <v>36.5</v>
      </c>
      <c r="I311" s="1028">
        <f ca="1">DATOSAÑO!CA302</f>
        <v>5.1890000000008145</v>
      </c>
      <c r="J311" s="1028">
        <v>0</v>
      </c>
      <c r="K311" s="1028">
        <f ca="1">DATOSAÑO!AF302</f>
        <v>147</v>
      </c>
      <c r="L311" s="1028">
        <f ca="1">+DATOSAÑO!CB302</f>
        <v>2.3316000000001091</v>
      </c>
      <c r="M311" s="1028">
        <f ca="1">+DATOSAÑO!AK302</f>
        <v>8</v>
      </c>
      <c r="N311" s="1028">
        <f ca="1">+DATOSAÑO!AH302</f>
        <v>9.4000000000014552</v>
      </c>
      <c r="O311" s="1028">
        <f ca="1">DATOSAÑO!AL302</f>
        <v>36.999999999992724</v>
      </c>
      <c r="P311" s="1029" t="e">
        <f>+(DATOSAÑO!#REF!)+DATOSAÑO!#REF!</f>
        <v>#REF!</v>
      </c>
      <c r="Q311" s="1028">
        <f ca="1">+DATOSAÑO!BH302</f>
        <v>5</v>
      </c>
      <c r="R311" s="1114">
        <f ca="1">DATOSAÑO!BJ302+DATOSAÑO!BM302+DATOSAÑO!BP302+DATOSAÑO!BW302+DATOSAÑO!CC302</f>
        <v>21.779400000001978</v>
      </c>
    </row>
    <row r="312" spans="2:18">
      <c r="B312" s="410">
        <v>45219</v>
      </c>
      <c r="C312" s="1028">
        <f ca="1">DATOSAÑO!AJ303</f>
        <v>5.6000000000058208</v>
      </c>
      <c r="D312" s="1028">
        <f ca="1">DATOSAÑO!AK303</f>
        <v>10</v>
      </c>
      <c r="E312" s="1028">
        <f ca="1">DATOSAÑO!AD303</f>
        <v>164</v>
      </c>
      <c r="F312" s="1028">
        <v>0</v>
      </c>
      <c r="G312" s="1028">
        <v>0</v>
      </c>
      <c r="H312" s="1028">
        <f ca="1">DATOSAÑO!AI303</f>
        <v>38.5</v>
      </c>
      <c r="I312" s="1028">
        <f ca="1">DATOSAÑO!CA303</f>
        <v>6.1209999999993627</v>
      </c>
      <c r="J312" s="1028">
        <v>0</v>
      </c>
      <c r="K312" s="1028">
        <f ca="1">DATOSAÑO!AF303</f>
        <v>148</v>
      </c>
      <c r="L312" s="1028">
        <f ca="1">+DATOSAÑO!CB303</f>
        <v>2.1755999999996725</v>
      </c>
      <c r="M312" s="1028">
        <f ca="1">+DATOSAÑO!AK303</f>
        <v>10</v>
      </c>
      <c r="N312" s="1028">
        <f ca="1">+DATOSAÑO!AH303</f>
        <v>9.9000000000032742</v>
      </c>
      <c r="O312" s="1028">
        <f ca="1">DATOSAÑO!AL303</f>
        <v>32.099999999993088</v>
      </c>
      <c r="P312" s="1029" t="e">
        <f>+(DATOSAÑO!#REF!)+DATOSAÑO!#REF!</f>
        <v>#REF!</v>
      </c>
      <c r="Q312" s="1028">
        <f ca="1">+DATOSAÑO!BH303</f>
        <v>6</v>
      </c>
      <c r="R312" s="1114">
        <f ca="1">DATOSAÑO!BJ303+DATOSAÑO!BM303+DATOSAÑO!BP303+DATOSAÑO!BW303+DATOSAÑO!CC303</f>
        <v>23.603399999998782</v>
      </c>
    </row>
    <row r="313" spans="2:18">
      <c r="B313" s="410">
        <v>45220</v>
      </c>
      <c r="C313" s="1028">
        <f ca="1">DATOSAÑO!AJ304</f>
        <v>6.5</v>
      </c>
      <c r="D313" s="1028">
        <f ca="1">DATOSAÑO!AK304</f>
        <v>9</v>
      </c>
      <c r="E313" s="1028">
        <f ca="1">DATOSAÑO!AD304</f>
        <v>167</v>
      </c>
      <c r="F313" s="1028">
        <v>0</v>
      </c>
      <c r="G313" s="1028">
        <v>0</v>
      </c>
      <c r="H313" s="1028">
        <f ca="1">DATOSAÑO!AI304</f>
        <v>40.30000000000291</v>
      </c>
      <c r="I313" s="1028">
        <f ca="1">DATOSAÑO!CA304</f>
        <v>5.9210000000008218</v>
      </c>
      <c r="J313" s="1028">
        <v>0</v>
      </c>
      <c r="K313" s="1028">
        <f ca="1">DATOSAÑO!AF304</f>
        <v>151</v>
      </c>
      <c r="L313" s="1028">
        <f ca="1">+DATOSAÑO!CB304</f>
        <v>1.9271999999998908</v>
      </c>
      <c r="M313" s="1028">
        <f ca="1">+DATOSAÑO!AK304</f>
        <v>9</v>
      </c>
      <c r="N313" s="1028">
        <f ca="1">+DATOSAÑO!AH304</f>
        <v>10.600000000000364</v>
      </c>
      <c r="O313" s="1028">
        <f ca="1">DATOSAÑO!AL304</f>
        <v>34.399999999995941</v>
      </c>
      <c r="P313" s="1029" t="e">
        <f>+(DATOSAÑO!#REF!)+DATOSAÑO!#REF!</f>
        <v>#REF!</v>
      </c>
      <c r="Q313" s="1028">
        <f ca="1">+DATOSAÑO!BH304</f>
        <v>5</v>
      </c>
      <c r="R313" s="1114">
        <f ca="1">DATOSAÑO!BJ304+DATOSAÑO!BM304+DATOSAÑO!BP304+DATOSAÑO!BW304+DATOSAÑO!CC304</f>
        <v>23.351800000000019</v>
      </c>
    </row>
    <row r="314" spans="2:18">
      <c r="B314" s="410">
        <v>45221</v>
      </c>
      <c r="C314" s="1028">
        <f ca="1">DATOSAÑO!AJ305</f>
        <v>5.1999999999970896</v>
      </c>
      <c r="D314" s="1028">
        <f ca="1">DATOSAÑO!AK305</f>
        <v>9</v>
      </c>
      <c r="E314" s="1028">
        <f ca="1">DATOSAÑO!AD305</f>
        <v>168</v>
      </c>
      <c r="F314" s="1028">
        <v>0</v>
      </c>
      <c r="G314" s="1028">
        <v>0</v>
      </c>
      <c r="H314" s="1028">
        <f ca="1">DATOSAÑO!AI305</f>
        <v>38.599999999991269</v>
      </c>
      <c r="I314" s="1028">
        <f ca="1">DATOSAÑO!CA305</f>
        <v>5.949499999999242</v>
      </c>
      <c r="J314" s="1028">
        <v>0</v>
      </c>
      <c r="K314" s="1028">
        <f ca="1">DATOSAÑO!AF305</f>
        <v>153</v>
      </c>
      <c r="L314" s="1028">
        <f ca="1">+DATOSAÑO!CB305</f>
        <v>2.4539999999999997</v>
      </c>
      <c r="M314" s="1028">
        <f ca="1">+DATOSAÑO!AK305</f>
        <v>9</v>
      </c>
      <c r="N314" s="1028">
        <f ca="1">+DATOSAÑO!AH305</f>
        <v>8</v>
      </c>
      <c r="O314" s="1028">
        <f ca="1">DATOSAÑO!AL305</f>
        <v>28.900000000012369</v>
      </c>
      <c r="P314" s="1029" t="e">
        <f>+(DATOSAÑO!#REF!)+DATOSAÑO!#REF!</f>
        <v>#REF!</v>
      </c>
      <c r="Q314" s="1028">
        <f ca="1">+DATOSAÑO!BH305</f>
        <v>5</v>
      </c>
      <c r="R314" s="1114">
        <f ca="1">DATOSAÑO!BJ305+DATOSAÑO!BM305+DATOSAÑO!BP305+DATOSAÑO!BW305+DATOSAÑO!CC305</f>
        <v>22.355499999999971</v>
      </c>
    </row>
    <row r="315" spans="2:18">
      <c r="B315" s="410">
        <v>45222</v>
      </c>
      <c r="C315" s="1028">
        <f ca="1">DATOSAÑO!AJ306</f>
        <v>6.1999999999970896</v>
      </c>
      <c r="D315" s="1028">
        <f ca="1">DATOSAÑO!AK306</f>
        <v>9</v>
      </c>
      <c r="E315" s="1028">
        <f ca="1">DATOSAÑO!AD306</f>
        <v>163</v>
      </c>
      <c r="F315" s="1028">
        <v>0</v>
      </c>
      <c r="G315" s="1028">
        <v>0</v>
      </c>
      <c r="H315" s="1028">
        <f ca="1">DATOSAÑO!AI306</f>
        <v>34.600000000005821</v>
      </c>
      <c r="I315" s="1028">
        <f ca="1">DATOSAÑO!CA306</f>
        <v>3.7324999999997255</v>
      </c>
      <c r="J315" s="1028">
        <v>0</v>
      </c>
      <c r="K315" s="1028">
        <f ca="1">DATOSAÑO!AF306</f>
        <v>98</v>
      </c>
      <c r="L315" s="1028">
        <f ca="1">+DATOSAÑO!CB306</f>
        <v>2.3988000000001088</v>
      </c>
      <c r="M315" s="1028">
        <f ca="1">+DATOSAÑO!AK306</f>
        <v>9</v>
      </c>
      <c r="N315" s="1028">
        <f ca="1">+DATOSAÑO!AH306</f>
        <v>6.2999999999956344</v>
      </c>
      <c r="O315" s="1028">
        <f ca="1">DATOSAÑO!AL306</f>
        <v>38.100000000002183</v>
      </c>
      <c r="P315" s="1029" t="e">
        <f>+(DATOSAÑO!#REF!)+DATOSAÑO!#REF!</f>
        <v>#REF!</v>
      </c>
      <c r="Q315" s="1028">
        <f ca="1">+DATOSAÑO!BH306</f>
        <v>5</v>
      </c>
      <c r="R315" s="1114">
        <f ca="1">DATOSAÑO!BJ306+DATOSAÑO!BM306+DATOSAÑO!BP306+DATOSAÑO!BW306+DATOSAÑO!CC306</f>
        <v>18.668699999999433</v>
      </c>
    </row>
    <row r="316" spans="2:18">
      <c r="B316" s="410">
        <v>45223</v>
      </c>
      <c r="C316" s="1028">
        <f ca="1">DATOSAÑO!AJ307</f>
        <v>6.4000000000087311</v>
      </c>
      <c r="D316" s="1028">
        <f ca="1">DATOSAÑO!AK307</f>
        <v>9</v>
      </c>
      <c r="E316" s="1028">
        <f ca="1">DATOSAÑO!AD307</f>
        <v>166</v>
      </c>
      <c r="F316" s="1028">
        <v>0</v>
      </c>
      <c r="G316" s="1028">
        <v>0</v>
      </c>
      <c r="H316" s="1028">
        <f ca="1">DATOSAÑO!AI307</f>
        <v>40.30000000000291</v>
      </c>
      <c r="I316" s="1028">
        <f ca="1">DATOSAÑO!CA307</f>
        <v>5.5135000000007279</v>
      </c>
      <c r="J316" s="1028">
        <v>0</v>
      </c>
      <c r="K316" s="1028">
        <f ca="1">DATOSAÑO!AF307</f>
        <v>110</v>
      </c>
      <c r="L316" s="1028">
        <f ca="1">+DATOSAÑO!CB307</f>
        <v>2.3237999999997818</v>
      </c>
      <c r="M316" s="1028">
        <f ca="1">+DATOSAÑO!AK307</f>
        <v>9</v>
      </c>
      <c r="N316" s="1028">
        <f ca="1">+DATOSAÑO!AH307</f>
        <v>7.3000000000029104</v>
      </c>
      <c r="O316" s="1028">
        <f ca="1">DATOSAÑO!AL307</f>
        <v>30.899999999983265</v>
      </c>
      <c r="P316" s="1029" t="e">
        <f>+(DATOSAÑO!#REF!)+DATOSAÑO!#REF!</f>
        <v>#REF!</v>
      </c>
      <c r="Q316" s="1028">
        <f ca="1">+DATOSAÑO!BH307</f>
        <v>6</v>
      </c>
      <c r="R316" s="1114">
        <f ca="1">DATOSAÑO!BJ307+DATOSAÑO!BM307+DATOSAÑO!BP307+DATOSAÑO!BW307+DATOSAÑO!CC307</f>
        <v>24.262700000001676</v>
      </c>
    </row>
    <row r="317" spans="2:18">
      <c r="B317" s="410">
        <v>45224</v>
      </c>
      <c r="C317" s="1028">
        <f ca="1">DATOSAÑO!AJ308</f>
        <v>6.3999999999941792</v>
      </c>
      <c r="D317" s="1028">
        <f ca="1">DATOSAÑO!AK308</f>
        <v>10</v>
      </c>
      <c r="E317" s="1028">
        <f ca="1">DATOSAÑO!AD308</f>
        <v>167</v>
      </c>
      <c r="F317" s="1028">
        <v>0</v>
      </c>
      <c r="G317" s="1028">
        <v>0</v>
      </c>
      <c r="H317" s="1028">
        <f ca="1">DATOSAÑO!AI308</f>
        <v>38.69999999999709</v>
      </c>
      <c r="I317" s="1028">
        <f ca="1">DATOSAÑO!CA308</f>
        <v>4.6505000000005898</v>
      </c>
      <c r="J317" s="1028">
        <v>0</v>
      </c>
      <c r="K317" s="1028">
        <f ca="1">DATOSAÑO!AF308</f>
        <v>150</v>
      </c>
      <c r="L317" s="1028">
        <f ca="1">+DATOSAÑO!CB308</f>
        <v>2.8470000000001638</v>
      </c>
      <c r="M317" s="1028">
        <f ca="1">+DATOSAÑO!AK308</f>
        <v>10</v>
      </c>
      <c r="N317" s="1028">
        <f ca="1">+DATOSAÑO!AH308</f>
        <v>14.19999999999709</v>
      </c>
      <c r="O317" s="1028">
        <f ca="1">DATOSAÑO!AL308</f>
        <v>32.700000000011642</v>
      </c>
      <c r="P317" s="1029" t="e">
        <f>+(DATOSAÑO!#REF!)+DATOSAÑO!#REF!</f>
        <v>#REF!</v>
      </c>
      <c r="Q317" s="1028">
        <f ca="1">+DATOSAÑO!BH308</f>
        <v>5</v>
      </c>
      <c r="R317" s="1114">
        <f ca="1">DATOSAÑO!BJ308+DATOSAÑO!BM308+DATOSAÑO!BP308+DATOSAÑO!BW308+DATOSAÑO!CC308</f>
        <v>23.502499999999245</v>
      </c>
    </row>
    <row r="318" spans="2:18">
      <c r="B318" s="410">
        <v>45225</v>
      </c>
      <c r="C318" s="1028">
        <f ca="1">DATOSAÑO!AJ309</f>
        <v>6</v>
      </c>
      <c r="D318" s="1028">
        <f ca="1">DATOSAÑO!AK309</f>
        <v>9</v>
      </c>
      <c r="E318" s="1028">
        <f ca="1">DATOSAÑO!AD309</f>
        <v>168</v>
      </c>
      <c r="F318" s="1028">
        <v>0</v>
      </c>
      <c r="G318" s="1028">
        <v>0</v>
      </c>
      <c r="H318" s="1028">
        <f ca="1">DATOSAÑO!AI309</f>
        <v>37.600000000005821</v>
      </c>
      <c r="I318" s="1028">
        <f ca="1">DATOSAÑO!CA309</f>
        <v>4.2554999999987277</v>
      </c>
      <c r="J318" s="1028">
        <v>0</v>
      </c>
      <c r="K318" s="1028">
        <f ca="1">DATOSAÑO!AF309</f>
        <v>152</v>
      </c>
      <c r="L318" s="1028">
        <f ca="1">+DATOSAÑO!CB309</f>
        <v>2.6892</v>
      </c>
      <c r="M318" s="1028">
        <f ca="1">+DATOSAÑO!AK309</f>
        <v>9</v>
      </c>
      <c r="N318" s="1028">
        <f ca="1">+DATOSAÑO!AH309</f>
        <v>6.1999999999989086</v>
      </c>
      <c r="O318" s="1028">
        <f ca="1">DATOSAÑO!AL309</f>
        <v>34.599999999996726</v>
      </c>
      <c r="P318" s="1029" t="e">
        <f>+(DATOSAÑO!#REF!)+DATOSAÑO!#REF!</f>
        <v>#REF!</v>
      </c>
      <c r="Q318" s="1028">
        <f ca="1">+DATOSAÑO!BH309</f>
        <v>5</v>
      </c>
      <c r="R318" s="1114">
        <f ca="1">DATOSAÑO!BJ309+DATOSAÑO!BM309+DATOSAÑO!BP309+DATOSAÑO!BW309+DATOSAÑO!CC309</f>
        <v>23.655299999999819</v>
      </c>
    </row>
    <row r="319" spans="2:18">
      <c r="B319" s="410">
        <v>45226</v>
      </c>
      <c r="C319" s="1028">
        <f ca="1">DATOSAÑO!AJ310</f>
        <v>7.1000000000058208</v>
      </c>
      <c r="D319" s="1028">
        <f ca="1">DATOSAÑO!AK310</f>
        <v>9</v>
      </c>
      <c r="E319" s="1028">
        <f ca="1">DATOSAÑO!AD310</f>
        <v>166</v>
      </c>
      <c r="F319" s="1028">
        <v>0</v>
      </c>
      <c r="G319" s="1028">
        <v>0</v>
      </c>
      <c r="H319" s="1028">
        <f ca="1">DATOSAÑO!AI310</f>
        <v>37</v>
      </c>
      <c r="I319" s="1028">
        <f ca="1">DATOSAÑO!CA310</f>
        <v>5.1530000000000467</v>
      </c>
      <c r="J319" s="1028">
        <v>0</v>
      </c>
      <c r="K319" s="1028">
        <f ca="1">DATOSAÑO!AF310</f>
        <v>150</v>
      </c>
      <c r="L319" s="1028">
        <f ca="1">+DATOSAÑO!CB310</f>
        <v>2.007600000000382</v>
      </c>
      <c r="M319" s="1028">
        <f ca="1">+DATOSAÑO!AK310</f>
        <v>9</v>
      </c>
      <c r="N319" s="1028">
        <f ca="1">+DATOSAÑO!AH310</f>
        <v>9.6000000000003638</v>
      </c>
      <c r="O319" s="1028">
        <f ca="1">DATOSAÑO!AL310</f>
        <v>31.099999999993088</v>
      </c>
      <c r="P319" s="1029" t="e">
        <f>+(DATOSAÑO!#REF!)+DATOSAÑO!#REF!</f>
        <v>#REF!</v>
      </c>
      <c r="Q319" s="1028">
        <f ca="1">+DATOSAÑO!BH310</f>
        <v>5</v>
      </c>
      <c r="R319" s="1114">
        <f ca="1">DATOSAÑO!BJ310+DATOSAÑO!BM310+DATOSAÑO!BP310+DATOSAÑO!BW310+DATOSAÑO!CC310</f>
        <v>23.039400000000299</v>
      </c>
    </row>
    <row r="320" spans="2:18">
      <c r="B320" s="410">
        <v>45227</v>
      </c>
      <c r="C320" s="1028">
        <f ca="1">DATOSAÑO!AJ311</f>
        <v>8</v>
      </c>
      <c r="D320" s="1028">
        <f ca="1">DATOSAÑO!AK311</f>
        <v>8</v>
      </c>
      <c r="E320" s="1028">
        <f ca="1">DATOSAÑO!AD311</f>
        <v>166</v>
      </c>
      <c r="F320" s="1028">
        <v>0</v>
      </c>
      <c r="G320" s="1028">
        <v>0</v>
      </c>
      <c r="H320" s="1028">
        <f ca="1">DATOSAÑO!AI311</f>
        <v>40.19999999999709</v>
      </c>
      <c r="I320" s="1028">
        <f ca="1">DATOSAÑO!CA311</f>
        <v>5.1825000000016468</v>
      </c>
      <c r="J320" s="1028">
        <v>0</v>
      </c>
      <c r="K320" s="1028">
        <f ca="1">DATOSAÑO!AF311</f>
        <v>151</v>
      </c>
      <c r="L320" s="1028">
        <f ca="1">+DATOSAÑO!CB311</f>
        <v>2.0111999999995529</v>
      </c>
      <c r="M320" s="1028">
        <f ca="1">+DATOSAÑO!AK311</f>
        <v>8</v>
      </c>
      <c r="N320" s="1028">
        <f ca="1">+DATOSAÑO!AH311</f>
        <v>5.7000000000043656</v>
      </c>
      <c r="O320" s="1028">
        <f ca="1">DATOSAÑO!AL311</f>
        <v>34.69999999999709</v>
      </c>
      <c r="P320" s="1029" t="e">
        <f>+(DATOSAÑO!#REF!)+DATOSAÑO!#REF!</f>
        <v>#REF!</v>
      </c>
      <c r="Q320" s="1028">
        <f ca="1">+DATOSAÑO!BH311</f>
        <v>5</v>
      </c>
      <c r="R320" s="1114">
        <f ca="1">DATOSAÑO!BJ311+DATOSAÑO!BM311+DATOSAÑO!BP311+DATOSAÑO!BW311+DATOSAÑO!CC311</f>
        <v>23.206300000000255</v>
      </c>
    </row>
    <row r="321" spans="2:18">
      <c r="B321" s="410">
        <v>45228</v>
      </c>
      <c r="C321" s="1028">
        <f ca="1">DATOSAÑO!AJ312</f>
        <v>6.1999999999970896</v>
      </c>
      <c r="D321" s="1028">
        <f ca="1">DATOSAÑO!AK312</f>
        <v>8</v>
      </c>
      <c r="E321" s="1028">
        <f ca="1">DATOSAÑO!AD312</f>
        <v>164</v>
      </c>
      <c r="F321" s="1028">
        <v>0</v>
      </c>
      <c r="G321" s="1028">
        <v>0</v>
      </c>
      <c r="H321" s="1028">
        <f ca="1">DATOSAÑO!AI312</f>
        <v>40.19999999999709</v>
      </c>
      <c r="I321" s="1028">
        <f ca="1">DATOSAÑO!CA312</f>
        <v>6.2444999999987729</v>
      </c>
      <c r="J321" s="1028">
        <v>0</v>
      </c>
      <c r="K321" s="1028">
        <f ca="1">DATOSAÑO!AF312</f>
        <v>151</v>
      </c>
      <c r="L321" s="1028">
        <f ca="1">+DATOSAÑO!CB312</f>
        <v>2.0268000000003821</v>
      </c>
      <c r="M321" s="1028">
        <f ca="1">+DATOSAÑO!AK312</f>
        <v>8</v>
      </c>
      <c r="N321" s="1028">
        <f ca="1">+DATOSAÑO!AH312</f>
        <v>9.0999999999985448</v>
      </c>
      <c r="O321" s="1028">
        <f ca="1">DATOSAÑO!AL312</f>
        <v>31.200000000008004</v>
      </c>
      <c r="P321" s="1029" t="e">
        <f>+(DATOSAÑO!#REF!)+DATOSAÑO!#REF!</f>
        <v>#REF!</v>
      </c>
      <c r="Q321" s="1028">
        <f ca="1">+DATOSAÑO!BH312</f>
        <v>5</v>
      </c>
      <c r="R321" s="1114">
        <f ca="1">DATOSAÑO!BJ312+DATOSAÑO!BM312+DATOSAÑO!BP312+DATOSAÑO!BW312+DATOSAÑO!CC312</f>
        <v>22.028700000000118</v>
      </c>
    </row>
    <row r="322" spans="2:18">
      <c r="B322" s="410">
        <v>45229</v>
      </c>
      <c r="C322" s="1028">
        <f ca="1">DATOSAÑO!AJ313</f>
        <v>7</v>
      </c>
      <c r="D322" s="1028">
        <f ca="1">DATOSAÑO!AK313</f>
        <v>8</v>
      </c>
      <c r="E322" s="1028">
        <f ca="1">DATOSAÑO!AD313</f>
        <v>160</v>
      </c>
      <c r="F322" s="1028">
        <v>0</v>
      </c>
      <c r="G322" s="1028">
        <v>0</v>
      </c>
      <c r="H322" s="1028">
        <f ca="1">DATOSAÑO!AI313</f>
        <v>39.899999999994179</v>
      </c>
      <c r="I322" s="1028">
        <f ca="1">DATOSAÑO!CA313</f>
        <v>4.9980000000010918</v>
      </c>
      <c r="J322" s="1028">
        <v>0</v>
      </c>
      <c r="K322" s="1028">
        <f ca="1">DATOSAÑO!AF313</f>
        <v>150</v>
      </c>
      <c r="L322" s="1028">
        <f ca="1">+DATOSAÑO!CB313</f>
        <v>2.0507999999997812</v>
      </c>
      <c r="M322" s="1028">
        <f ca="1">+DATOSAÑO!AK313</f>
        <v>8</v>
      </c>
      <c r="N322" s="1028">
        <f ca="1">+DATOSAÑO!AH313</f>
        <v>8.2999999999974534</v>
      </c>
      <c r="O322" s="1028">
        <f ca="1">DATOSAÑO!AL313</f>
        <v>32.60000000000764</v>
      </c>
      <c r="P322" s="1029" t="e">
        <f>+(DATOSAÑO!#REF!)+DATOSAÑO!#REF!</f>
        <v>#REF!</v>
      </c>
      <c r="Q322" s="1028">
        <f ca="1">+DATOSAÑO!BH313</f>
        <v>5</v>
      </c>
      <c r="R322" s="1114">
        <f ca="1">DATOSAÑO!BJ313+DATOSAÑO!BM313+DATOSAÑO!BP313+DATOSAÑO!BW313+DATOSAÑO!CC313</f>
        <v>21.151199999999854</v>
      </c>
    </row>
    <row r="323" spans="2:18" ht="15" thickBot="1">
      <c r="B323" s="410">
        <v>45230</v>
      </c>
      <c r="C323" s="1028">
        <f ca="1">DATOSAÑO!AJ314</f>
        <v>6</v>
      </c>
      <c r="D323" s="1028">
        <f ca="1">DATOSAÑO!AK314</f>
        <v>9</v>
      </c>
      <c r="E323" s="1028">
        <f ca="1">DATOSAÑO!AD314</f>
        <v>167</v>
      </c>
      <c r="F323" s="1028">
        <v>0</v>
      </c>
      <c r="G323" s="1028">
        <v>0</v>
      </c>
      <c r="H323" s="1028">
        <f ca="1">DATOSAÑO!AI314</f>
        <v>41.400000000008731</v>
      </c>
      <c r="I323" s="1028">
        <f ca="1">DATOSAÑO!CA314</f>
        <v>6.6234999999988844</v>
      </c>
      <c r="J323" s="1028">
        <v>0</v>
      </c>
      <c r="K323" s="1028">
        <f ca="1">DATOSAÑO!AF314</f>
        <v>150</v>
      </c>
      <c r="L323" s="1028">
        <f ca="1">+DATOSAÑO!CB314</f>
        <v>1.9997999999998477</v>
      </c>
      <c r="M323" s="1028">
        <f ca="1">+DATOSAÑO!AK314</f>
        <v>9</v>
      </c>
      <c r="N323" s="1028">
        <f ca="1">+DATOSAÑO!AH314</f>
        <v>10.100000000005821</v>
      </c>
      <c r="O323" s="1028">
        <f ca="1">DATOSAÑO!AL314</f>
        <v>33.899999999986903</v>
      </c>
      <c r="P323" s="1029" t="e">
        <f>+(DATOSAÑO!#REF!)+DATOSAÑO!#REF!</f>
        <v>#REF!</v>
      </c>
      <c r="Q323" s="1028">
        <f ca="1">+DATOSAÑO!BH314</f>
        <v>5</v>
      </c>
      <c r="R323" s="1114">
        <f ca="1">DATOSAÑO!BJ314+DATOSAÑO!BM314+DATOSAÑO!BP314+DATOSAÑO!BW314+DATOSAÑO!CC314</f>
        <v>23.233699999999875</v>
      </c>
    </row>
    <row r="324" spans="2:18" ht="15" thickBot="1">
      <c r="B324" s="1308" t="s">
        <v>1114</v>
      </c>
      <c r="C324" s="1307">
        <f ca="1">SUM(C293:C323)</f>
        <v>218.40000000000873</v>
      </c>
      <c r="D324" s="1054">
        <f ca="1">SUM(D293:D323)</f>
        <v>282</v>
      </c>
      <c r="E324" s="1054">
        <f t="shared" ref="E324:R324" ca="1" si="9">SUM(E293:E323)</f>
        <v>5119</v>
      </c>
      <c r="F324" s="1054">
        <f t="shared" si="9"/>
        <v>0</v>
      </c>
      <c r="G324" s="1054">
        <f t="shared" si="9"/>
        <v>0</v>
      </c>
      <c r="H324" s="1054">
        <f t="shared" ca="1" si="9"/>
        <v>1187</v>
      </c>
      <c r="I324" s="1054">
        <f t="shared" ca="1" si="9"/>
        <v>168.31450000000046</v>
      </c>
      <c r="J324" s="1054">
        <f t="shared" si="9"/>
        <v>0</v>
      </c>
      <c r="K324" s="1054">
        <f t="shared" ca="1" si="9"/>
        <v>4547</v>
      </c>
      <c r="L324" s="1054">
        <f t="shared" ca="1" si="9"/>
        <v>64.931399999999684</v>
      </c>
      <c r="M324" s="1054">
        <f t="shared" ca="1" si="9"/>
        <v>282</v>
      </c>
      <c r="N324" s="1054">
        <f t="shared" ca="1" si="9"/>
        <v>289.20000000000255</v>
      </c>
      <c r="O324" s="1054">
        <f t="shared" ca="1" si="9"/>
        <v>1023.5299999999875</v>
      </c>
      <c r="P324" s="1054" t="e">
        <f t="shared" si="9"/>
        <v>#REF!</v>
      </c>
      <c r="Q324" s="1115">
        <f t="shared" ca="1" si="9"/>
        <v>159</v>
      </c>
      <c r="R324" s="1115">
        <f t="shared" ca="1" si="9"/>
        <v>685.05710000000136</v>
      </c>
    </row>
    <row r="325" spans="2:18">
      <c r="B325" s="410">
        <v>45231</v>
      </c>
      <c r="C325" s="1028">
        <f ca="1">DATOSAÑO!AJ315</f>
        <v>5</v>
      </c>
      <c r="D325" s="1028">
        <f ca="1">DATOSAÑO!AK315</f>
        <v>9</v>
      </c>
      <c r="E325" s="1028">
        <f ca="1">DATOSAÑO!AD315</f>
        <v>163.20000000000073</v>
      </c>
      <c r="F325" s="1028">
        <v>0</v>
      </c>
      <c r="G325" s="1028">
        <v>0</v>
      </c>
      <c r="H325" s="1028">
        <f ca="1">DATOSAÑO!AI315</f>
        <v>38.69999999999709</v>
      </c>
      <c r="I325" s="1028">
        <f ca="1">DATOSAÑO!CA315</f>
        <v>5.8614999999987782</v>
      </c>
      <c r="J325" s="1028">
        <v>0</v>
      </c>
      <c r="K325" s="1028">
        <f ca="1">DATOSAÑO!AF315</f>
        <v>151</v>
      </c>
      <c r="L325" s="1028">
        <f ca="1">+DATOSAÑO!CB315</f>
        <v>2.0268000000003763</v>
      </c>
      <c r="M325" s="1028">
        <f ca="1">+DATOSAÑO!AK315</f>
        <v>9</v>
      </c>
      <c r="N325" s="1028">
        <f ca="1">+DATOSAÑO!AH315</f>
        <v>9.6999999999989086</v>
      </c>
      <c r="O325" s="1028">
        <f ca="1">DATOSAÑO!AL315</f>
        <v>33.300000000004673</v>
      </c>
      <c r="P325" s="1029" t="e">
        <f>+(DATOSAÑO!#REF!)+DATOSAÑO!#REF!</f>
        <v>#REF!</v>
      </c>
      <c r="Q325" s="1028">
        <f ca="1">+DATOSAÑO!BH315</f>
        <v>6</v>
      </c>
      <c r="R325" s="1114">
        <f ca="1">DATOSAÑO!BJ315+DATOSAÑO!BM315+DATOSAÑO!BP315+DATOSAÑO!BW315+DATOSAÑO!CC315</f>
        <v>22.211699999999389</v>
      </c>
    </row>
    <row r="326" spans="2:18">
      <c r="B326" s="410">
        <v>45232</v>
      </c>
      <c r="C326" s="1028">
        <f ca="1">DATOSAÑO!AJ316</f>
        <v>0</v>
      </c>
      <c r="D326" s="1028">
        <f ca="1">DATOSAÑO!AK316</f>
        <v>0</v>
      </c>
      <c r="E326" s="1028">
        <f ca="1">DATOSAÑO!AD316</f>
        <v>0</v>
      </c>
      <c r="F326" s="1028">
        <v>0</v>
      </c>
      <c r="G326" s="1028">
        <v>0</v>
      </c>
      <c r="H326" s="1028">
        <f ca="1">DATOSAÑO!AI316</f>
        <v>0</v>
      </c>
      <c r="I326" s="1028">
        <f ca="1">DATOSAÑO!CA316</f>
        <v>0</v>
      </c>
      <c r="J326" s="1028">
        <v>0</v>
      </c>
      <c r="K326" s="1028">
        <f ca="1">DATOSAÑO!AF316</f>
        <v>0</v>
      </c>
      <c r="L326" s="1028">
        <f ca="1">+DATOSAÑO!CB316</f>
        <v>0</v>
      </c>
      <c r="M326" s="1028">
        <f ca="1">+DATOSAÑO!AK316</f>
        <v>0</v>
      </c>
      <c r="N326" s="1028">
        <f ca="1">+DATOSAÑO!AH316</f>
        <v>0</v>
      </c>
      <c r="O326" s="1028">
        <f ca="1">DATOSAÑO!AL316</f>
        <v>0</v>
      </c>
      <c r="P326" s="1029" t="e">
        <f>+(DATOSAÑO!#REF!)+DATOSAÑO!#REF!</f>
        <v>#REF!</v>
      </c>
      <c r="Q326" s="1028">
        <f ca="1">+DATOSAÑO!BH316</f>
        <v>0</v>
      </c>
      <c r="R326" s="1114">
        <f ca="1">DATOSAÑO!BJ316+DATOSAÑO!BM316+DATOSAÑO!BP316+DATOSAÑO!BW316+DATOSAÑO!CC316</f>
        <v>0</v>
      </c>
    </row>
    <row r="327" spans="2:18">
      <c r="B327" s="410">
        <v>45233</v>
      </c>
      <c r="C327" s="1028">
        <f ca="1">DATOSAÑO!AJ317</f>
        <v>0</v>
      </c>
      <c r="D327" s="1028">
        <f ca="1">DATOSAÑO!AK317</f>
        <v>0</v>
      </c>
      <c r="E327" s="1028">
        <f ca="1">DATOSAÑO!AD317</f>
        <v>0</v>
      </c>
      <c r="F327" s="1028">
        <v>0</v>
      </c>
      <c r="G327" s="1028">
        <v>0</v>
      </c>
      <c r="H327" s="1028">
        <f ca="1">DATOSAÑO!AI317</f>
        <v>0</v>
      </c>
      <c r="I327" s="1028">
        <f ca="1">DATOSAÑO!CA317</f>
        <v>0</v>
      </c>
      <c r="J327" s="1028">
        <v>0</v>
      </c>
      <c r="K327" s="1028">
        <f ca="1">DATOSAÑO!AF317</f>
        <v>0</v>
      </c>
      <c r="L327" s="1028">
        <f ca="1">+DATOSAÑO!CB317</f>
        <v>0</v>
      </c>
      <c r="M327" s="1028">
        <f ca="1">+DATOSAÑO!AK317</f>
        <v>0</v>
      </c>
      <c r="N327" s="1028">
        <f ca="1">+DATOSAÑO!AH317</f>
        <v>0</v>
      </c>
      <c r="O327" s="1028">
        <f ca="1">DATOSAÑO!AL317</f>
        <v>0</v>
      </c>
      <c r="P327" s="1029" t="e">
        <f>+(DATOSAÑO!#REF!)+DATOSAÑO!#REF!</f>
        <v>#REF!</v>
      </c>
      <c r="Q327" s="1028">
        <f ca="1">+DATOSAÑO!BH317</f>
        <v>0</v>
      </c>
      <c r="R327" s="1114">
        <f ca="1">DATOSAÑO!BJ317+DATOSAÑO!BM317+DATOSAÑO!BP317+DATOSAÑO!BW317+DATOSAÑO!CC317</f>
        <v>0</v>
      </c>
    </row>
    <row r="328" spans="2:18">
      <c r="B328" s="410">
        <v>45234</v>
      </c>
      <c r="C328" s="1028">
        <f ca="1">DATOSAÑO!AJ318</f>
        <v>0</v>
      </c>
      <c r="D328" s="1028">
        <f ca="1">DATOSAÑO!AK318</f>
        <v>0</v>
      </c>
      <c r="E328" s="1028">
        <f ca="1">DATOSAÑO!AD318</f>
        <v>0</v>
      </c>
      <c r="F328" s="1028">
        <v>0</v>
      </c>
      <c r="G328" s="1028">
        <v>0</v>
      </c>
      <c r="H328" s="1028">
        <f ca="1">DATOSAÑO!AI318</f>
        <v>0</v>
      </c>
      <c r="I328" s="1028">
        <f ca="1">DATOSAÑO!CA318</f>
        <v>0</v>
      </c>
      <c r="J328" s="1028">
        <v>0</v>
      </c>
      <c r="K328" s="1028">
        <f ca="1">DATOSAÑO!AF318</f>
        <v>0</v>
      </c>
      <c r="L328" s="1028">
        <f ca="1">+DATOSAÑO!CB318</f>
        <v>0</v>
      </c>
      <c r="M328" s="1028">
        <f ca="1">+DATOSAÑO!AK318</f>
        <v>0</v>
      </c>
      <c r="N328" s="1028">
        <f ca="1">+DATOSAÑO!AH318</f>
        <v>0</v>
      </c>
      <c r="O328" s="1028">
        <f ca="1">DATOSAÑO!AL318</f>
        <v>0</v>
      </c>
      <c r="P328" s="1029" t="e">
        <f>+(DATOSAÑO!#REF!)+DATOSAÑO!#REF!</f>
        <v>#REF!</v>
      </c>
      <c r="Q328" s="1028">
        <f ca="1">+DATOSAÑO!BH318</f>
        <v>0</v>
      </c>
      <c r="R328" s="1114">
        <f ca="1">DATOSAÑO!BJ318+DATOSAÑO!BM318+DATOSAÑO!BP318+DATOSAÑO!BW318+DATOSAÑO!CC318</f>
        <v>0</v>
      </c>
    </row>
    <row r="329" spans="2:18">
      <c r="B329" s="410">
        <v>45235</v>
      </c>
      <c r="C329" s="1028">
        <f ca="1">DATOSAÑO!AJ319</f>
        <v>0</v>
      </c>
      <c r="D329" s="1028">
        <f ca="1">DATOSAÑO!AK319</f>
        <v>0</v>
      </c>
      <c r="E329" s="1028">
        <f ca="1">DATOSAÑO!AD319</f>
        <v>0</v>
      </c>
      <c r="F329" s="1028">
        <v>0</v>
      </c>
      <c r="G329" s="1028">
        <v>0</v>
      </c>
      <c r="H329" s="1028">
        <f ca="1">DATOSAÑO!AI319</f>
        <v>0</v>
      </c>
      <c r="I329" s="1028">
        <f ca="1">DATOSAÑO!CA319</f>
        <v>0</v>
      </c>
      <c r="J329" s="1028">
        <v>0</v>
      </c>
      <c r="K329" s="1028">
        <f ca="1">DATOSAÑO!AF319</f>
        <v>0</v>
      </c>
      <c r="L329" s="1028">
        <f ca="1">+DATOSAÑO!CB319</f>
        <v>0</v>
      </c>
      <c r="M329" s="1028">
        <f ca="1">+DATOSAÑO!AK319</f>
        <v>0</v>
      </c>
      <c r="N329" s="1028">
        <f ca="1">+DATOSAÑO!AH319</f>
        <v>0</v>
      </c>
      <c r="O329" s="1028">
        <f ca="1">DATOSAÑO!AL319</f>
        <v>0</v>
      </c>
      <c r="P329" s="1029" t="e">
        <f>+(DATOSAÑO!#REF!)+DATOSAÑO!#REF!</f>
        <v>#REF!</v>
      </c>
      <c r="Q329" s="1028">
        <f ca="1">+DATOSAÑO!BH319</f>
        <v>0</v>
      </c>
      <c r="R329" s="1114">
        <f ca="1">DATOSAÑO!BJ319+DATOSAÑO!BM319+DATOSAÑO!BP319+DATOSAÑO!BW319+DATOSAÑO!CC319</f>
        <v>0</v>
      </c>
    </row>
    <row r="330" spans="2:18">
      <c r="B330" s="410">
        <v>45236</v>
      </c>
      <c r="C330" s="1028">
        <f ca="1">DATOSAÑO!AJ320</f>
        <v>0</v>
      </c>
      <c r="D330" s="1028">
        <f ca="1">DATOSAÑO!AK320</f>
        <v>0</v>
      </c>
      <c r="E330" s="1028">
        <f ca="1">DATOSAÑO!AD320</f>
        <v>0</v>
      </c>
      <c r="F330" s="1028">
        <v>0</v>
      </c>
      <c r="G330" s="1028">
        <v>0</v>
      </c>
      <c r="H330" s="1028">
        <f ca="1">DATOSAÑO!AI320</f>
        <v>0</v>
      </c>
      <c r="I330" s="1028">
        <f ca="1">DATOSAÑO!CA320</f>
        <v>0</v>
      </c>
      <c r="J330" s="1028">
        <v>0</v>
      </c>
      <c r="K330" s="1028">
        <f ca="1">DATOSAÑO!AF320</f>
        <v>0</v>
      </c>
      <c r="L330" s="1028">
        <f ca="1">+DATOSAÑO!CB320</f>
        <v>0</v>
      </c>
      <c r="M330" s="1028">
        <f ca="1">+DATOSAÑO!AK320</f>
        <v>0</v>
      </c>
      <c r="N330" s="1028">
        <f ca="1">+DATOSAÑO!AH320</f>
        <v>0</v>
      </c>
      <c r="O330" s="1028">
        <f ca="1">DATOSAÑO!AL320</f>
        <v>0</v>
      </c>
      <c r="P330" s="1029" t="e">
        <f>+(DATOSAÑO!#REF!)+DATOSAÑO!#REF!</f>
        <v>#REF!</v>
      </c>
      <c r="Q330" s="1028">
        <f ca="1">+DATOSAÑO!BH320</f>
        <v>0</v>
      </c>
      <c r="R330" s="1114">
        <f ca="1">DATOSAÑO!BJ320+DATOSAÑO!BM320+DATOSAÑO!BP320+DATOSAÑO!BW320+DATOSAÑO!CC320</f>
        <v>0</v>
      </c>
    </row>
    <row r="331" spans="2:18">
      <c r="B331" s="410">
        <v>45237</v>
      </c>
      <c r="C331" s="1028">
        <f ca="1">DATOSAÑO!AJ321</f>
        <v>0</v>
      </c>
      <c r="D331" s="1028">
        <f ca="1">DATOSAÑO!AK321</f>
        <v>0</v>
      </c>
      <c r="E331" s="1028">
        <f ca="1">DATOSAÑO!AD321</f>
        <v>0</v>
      </c>
      <c r="F331" s="1028">
        <v>0</v>
      </c>
      <c r="G331" s="1028">
        <v>0</v>
      </c>
      <c r="H331" s="1028">
        <f ca="1">DATOSAÑO!AI321</f>
        <v>0</v>
      </c>
      <c r="I331" s="1028">
        <f ca="1">DATOSAÑO!CA321</f>
        <v>0</v>
      </c>
      <c r="J331" s="1028">
        <v>0</v>
      </c>
      <c r="K331" s="1028">
        <f ca="1">DATOSAÑO!AF321</f>
        <v>0</v>
      </c>
      <c r="L331" s="1028">
        <f ca="1">+DATOSAÑO!CB321</f>
        <v>0</v>
      </c>
      <c r="M331" s="1028">
        <f ca="1">+DATOSAÑO!AK321</f>
        <v>0</v>
      </c>
      <c r="N331" s="1028">
        <f ca="1">+DATOSAÑO!AH321</f>
        <v>0</v>
      </c>
      <c r="O331" s="1028">
        <f ca="1">DATOSAÑO!AL321</f>
        <v>0</v>
      </c>
      <c r="P331" s="1029" t="e">
        <f>+(DATOSAÑO!#REF!)+DATOSAÑO!#REF!</f>
        <v>#REF!</v>
      </c>
      <c r="Q331" s="1028">
        <f ca="1">+DATOSAÑO!BH321</f>
        <v>0</v>
      </c>
      <c r="R331" s="1114">
        <f ca="1">DATOSAÑO!BJ321+DATOSAÑO!BM321+DATOSAÑO!BP321+DATOSAÑO!BW321+DATOSAÑO!CC321</f>
        <v>0</v>
      </c>
    </row>
    <row r="332" spans="2:18">
      <c r="B332" s="410">
        <v>45238</v>
      </c>
      <c r="C332" s="1028">
        <f ca="1">DATOSAÑO!AJ322</f>
        <v>0</v>
      </c>
      <c r="D332" s="1028">
        <f ca="1">DATOSAÑO!AK322</f>
        <v>0</v>
      </c>
      <c r="E332" s="1028">
        <f ca="1">DATOSAÑO!AD322</f>
        <v>0</v>
      </c>
      <c r="F332" s="1028">
        <v>0</v>
      </c>
      <c r="G332" s="1028">
        <v>0</v>
      </c>
      <c r="H332" s="1028">
        <f ca="1">DATOSAÑO!AI322</f>
        <v>0</v>
      </c>
      <c r="I332" s="1028">
        <f ca="1">DATOSAÑO!CA322</f>
        <v>0</v>
      </c>
      <c r="J332" s="1028">
        <v>0</v>
      </c>
      <c r="K332" s="1028">
        <f ca="1">DATOSAÑO!AF322</f>
        <v>0</v>
      </c>
      <c r="L332" s="1028">
        <f ca="1">+DATOSAÑO!CB322</f>
        <v>0</v>
      </c>
      <c r="M332" s="1028">
        <f ca="1">+DATOSAÑO!AK322</f>
        <v>0</v>
      </c>
      <c r="N332" s="1028">
        <f ca="1">+DATOSAÑO!AH322</f>
        <v>0</v>
      </c>
      <c r="O332" s="1028">
        <f ca="1">DATOSAÑO!AL322</f>
        <v>0</v>
      </c>
      <c r="P332" s="1029" t="e">
        <f>+(DATOSAÑO!#REF!)+DATOSAÑO!#REF!</f>
        <v>#REF!</v>
      </c>
      <c r="Q332" s="1028">
        <f ca="1">+DATOSAÑO!BH322</f>
        <v>0</v>
      </c>
      <c r="R332" s="1114">
        <f ca="1">DATOSAÑO!BJ322+DATOSAÑO!BM322+DATOSAÑO!BP322+DATOSAÑO!BW322+DATOSAÑO!CC322</f>
        <v>0</v>
      </c>
    </row>
    <row r="333" spans="2:18">
      <c r="B333" s="410">
        <v>45239</v>
      </c>
      <c r="C333" s="1028">
        <f ca="1">DATOSAÑO!AJ323</f>
        <v>0</v>
      </c>
      <c r="D333" s="1028">
        <f ca="1">DATOSAÑO!AK323</f>
        <v>0</v>
      </c>
      <c r="E333" s="1028">
        <f ca="1">DATOSAÑO!AD323</f>
        <v>0</v>
      </c>
      <c r="F333" s="1028">
        <v>0</v>
      </c>
      <c r="G333" s="1028">
        <v>0</v>
      </c>
      <c r="H333" s="1028">
        <f ca="1">DATOSAÑO!AI323</f>
        <v>0</v>
      </c>
      <c r="I333" s="1028">
        <f ca="1">DATOSAÑO!CA323</f>
        <v>0</v>
      </c>
      <c r="J333" s="1028">
        <v>0</v>
      </c>
      <c r="K333" s="1028">
        <f ca="1">DATOSAÑO!AF323</f>
        <v>0</v>
      </c>
      <c r="L333" s="1028">
        <f ca="1">+DATOSAÑO!CB323</f>
        <v>0</v>
      </c>
      <c r="M333" s="1028">
        <f ca="1">+DATOSAÑO!AK323</f>
        <v>0</v>
      </c>
      <c r="N333" s="1028">
        <f ca="1">+DATOSAÑO!AH323</f>
        <v>0</v>
      </c>
      <c r="O333" s="1028">
        <f ca="1">DATOSAÑO!AL323</f>
        <v>0</v>
      </c>
      <c r="P333" s="1029" t="e">
        <f>+(DATOSAÑO!#REF!)+DATOSAÑO!#REF!</f>
        <v>#REF!</v>
      </c>
      <c r="Q333" s="1028">
        <f ca="1">+DATOSAÑO!BH323</f>
        <v>0</v>
      </c>
      <c r="R333" s="1114">
        <f ca="1">DATOSAÑO!BJ323+DATOSAÑO!BM323+DATOSAÑO!BP323+DATOSAÑO!BW323+DATOSAÑO!CC323</f>
        <v>0</v>
      </c>
    </row>
    <row r="334" spans="2:18">
      <c r="B334" s="410">
        <v>45240</v>
      </c>
      <c r="C334" s="1028">
        <f ca="1">DATOSAÑO!AJ324</f>
        <v>0</v>
      </c>
      <c r="D334" s="1028">
        <f ca="1">DATOSAÑO!AK324</f>
        <v>0</v>
      </c>
      <c r="E334" s="1028">
        <f ca="1">DATOSAÑO!AD324</f>
        <v>0</v>
      </c>
      <c r="F334" s="1028">
        <v>0</v>
      </c>
      <c r="G334" s="1028">
        <v>0</v>
      </c>
      <c r="H334" s="1028">
        <f ca="1">DATOSAÑO!AI324</f>
        <v>0</v>
      </c>
      <c r="I334" s="1028">
        <f ca="1">DATOSAÑO!CA324</f>
        <v>0</v>
      </c>
      <c r="J334" s="1028">
        <v>0</v>
      </c>
      <c r="K334" s="1028">
        <f ca="1">DATOSAÑO!AF324</f>
        <v>0</v>
      </c>
      <c r="L334" s="1028">
        <f ca="1">+DATOSAÑO!CB324</f>
        <v>0</v>
      </c>
      <c r="M334" s="1028">
        <f ca="1">+DATOSAÑO!AK324</f>
        <v>0</v>
      </c>
      <c r="N334" s="1028">
        <f ca="1">+DATOSAÑO!AH324</f>
        <v>0</v>
      </c>
      <c r="O334" s="1028">
        <f ca="1">DATOSAÑO!AL324</f>
        <v>0</v>
      </c>
      <c r="P334" s="1029" t="e">
        <f>+(DATOSAÑO!#REF!)+DATOSAÑO!#REF!</f>
        <v>#REF!</v>
      </c>
      <c r="Q334" s="1028">
        <f ca="1">+DATOSAÑO!BH324</f>
        <v>0</v>
      </c>
      <c r="R334" s="1114">
        <f ca="1">DATOSAÑO!BJ324+DATOSAÑO!BM324+DATOSAÑO!BP324+DATOSAÑO!BW324+DATOSAÑO!CC324</f>
        <v>0</v>
      </c>
    </row>
    <row r="335" spans="2:18">
      <c r="B335" s="410">
        <v>45241</v>
      </c>
      <c r="C335" s="1028">
        <f ca="1">DATOSAÑO!AJ325</f>
        <v>0</v>
      </c>
      <c r="D335" s="1028">
        <f ca="1">DATOSAÑO!AK325</f>
        <v>0</v>
      </c>
      <c r="E335" s="1028">
        <f ca="1">DATOSAÑO!AD325</f>
        <v>0</v>
      </c>
      <c r="F335" s="1028">
        <v>0</v>
      </c>
      <c r="G335" s="1028">
        <v>0</v>
      </c>
      <c r="H335" s="1028">
        <f ca="1">DATOSAÑO!AI325</f>
        <v>0</v>
      </c>
      <c r="I335" s="1028">
        <f ca="1">DATOSAÑO!CA325</f>
        <v>0</v>
      </c>
      <c r="J335" s="1028">
        <v>0</v>
      </c>
      <c r="K335" s="1028">
        <f ca="1">DATOSAÑO!AF325</f>
        <v>0</v>
      </c>
      <c r="L335" s="1028">
        <f ca="1">+DATOSAÑO!CB325</f>
        <v>0</v>
      </c>
      <c r="M335" s="1028">
        <f ca="1">+DATOSAÑO!AK325</f>
        <v>0</v>
      </c>
      <c r="N335" s="1028">
        <f ca="1">+DATOSAÑO!AH325</f>
        <v>0</v>
      </c>
      <c r="O335" s="1028">
        <f ca="1">DATOSAÑO!AL325</f>
        <v>0</v>
      </c>
      <c r="P335" s="1029" t="e">
        <f>+(DATOSAÑO!#REF!)+DATOSAÑO!#REF!</f>
        <v>#REF!</v>
      </c>
      <c r="Q335" s="1028">
        <f ca="1">+DATOSAÑO!BH325</f>
        <v>0</v>
      </c>
      <c r="R335" s="1114">
        <f ca="1">DATOSAÑO!BJ325+DATOSAÑO!BM325+DATOSAÑO!BP325+DATOSAÑO!BW325+DATOSAÑO!CC325</f>
        <v>0</v>
      </c>
    </row>
    <row r="336" spans="2:18">
      <c r="B336" s="410">
        <v>45242</v>
      </c>
      <c r="C336" s="1028">
        <f ca="1">DATOSAÑO!AJ326</f>
        <v>0</v>
      </c>
      <c r="D336" s="1028">
        <f ca="1">DATOSAÑO!AK326</f>
        <v>0</v>
      </c>
      <c r="E336" s="1028">
        <f ca="1">DATOSAÑO!AD326</f>
        <v>0</v>
      </c>
      <c r="F336" s="1028">
        <v>0</v>
      </c>
      <c r="G336" s="1028">
        <v>0</v>
      </c>
      <c r="H336" s="1028">
        <f ca="1">DATOSAÑO!AI326</f>
        <v>0</v>
      </c>
      <c r="I336" s="1028">
        <f ca="1">DATOSAÑO!CA326</f>
        <v>0</v>
      </c>
      <c r="J336" s="1028">
        <v>0</v>
      </c>
      <c r="K336" s="1028">
        <f ca="1">DATOSAÑO!AF326</f>
        <v>0</v>
      </c>
      <c r="L336" s="1028">
        <f ca="1">+DATOSAÑO!CB326</f>
        <v>0</v>
      </c>
      <c r="M336" s="1028">
        <f ca="1">+DATOSAÑO!AK326</f>
        <v>0</v>
      </c>
      <c r="N336" s="1028">
        <f ca="1">+DATOSAÑO!AH326</f>
        <v>0</v>
      </c>
      <c r="O336" s="1028">
        <f ca="1">DATOSAÑO!AL326</f>
        <v>0</v>
      </c>
      <c r="P336" s="1029" t="e">
        <f>+(DATOSAÑO!#REF!)+DATOSAÑO!#REF!</f>
        <v>#REF!</v>
      </c>
      <c r="Q336" s="1028">
        <f ca="1">+DATOSAÑO!BH326</f>
        <v>0</v>
      </c>
      <c r="R336" s="1114">
        <f ca="1">DATOSAÑO!BJ326+DATOSAÑO!BM326+DATOSAÑO!BP326+DATOSAÑO!BW326+DATOSAÑO!CC326</f>
        <v>0</v>
      </c>
    </row>
    <row r="337" spans="2:18">
      <c r="B337" s="410">
        <v>45243</v>
      </c>
      <c r="C337" s="1028">
        <f ca="1">DATOSAÑO!AJ327</f>
        <v>0</v>
      </c>
      <c r="D337" s="1028">
        <f ca="1">DATOSAÑO!AK327</f>
        <v>0</v>
      </c>
      <c r="E337" s="1028">
        <f ca="1">DATOSAÑO!AD327</f>
        <v>0</v>
      </c>
      <c r="F337" s="1028">
        <v>0</v>
      </c>
      <c r="G337" s="1028">
        <v>0</v>
      </c>
      <c r="H337" s="1028">
        <f ca="1">DATOSAÑO!AI327</f>
        <v>0</v>
      </c>
      <c r="I337" s="1028">
        <f ca="1">DATOSAÑO!CA327</f>
        <v>0</v>
      </c>
      <c r="J337" s="1028">
        <v>0</v>
      </c>
      <c r="K337" s="1028">
        <f ca="1">DATOSAÑO!AF327</f>
        <v>0</v>
      </c>
      <c r="L337" s="1028">
        <f ca="1">+DATOSAÑO!CB327</f>
        <v>0</v>
      </c>
      <c r="M337" s="1028">
        <f ca="1">+DATOSAÑO!AK327</f>
        <v>0</v>
      </c>
      <c r="N337" s="1028">
        <f ca="1">+DATOSAÑO!AH327</f>
        <v>0</v>
      </c>
      <c r="O337" s="1028">
        <f ca="1">DATOSAÑO!AL327</f>
        <v>0</v>
      </c>
      <c r="P337" s="1029" t="e">
        <f>+(DATOSAÑO!#REF!)+DATOSAÑO!#REF!</f>
        <v>#REF!</v>
      </c>
      <c r="Q337" s="1028">
        <f ca="1">+DATOSAÑO!BH327</f>
        <v>0</v>
      </c>
      <c r="R337" s="1114">
        <f ca="1">DATOSAÑO!BJ327+DATOSAÑO!BM327+DATOSAÑO!BP327+DATOSAÑO!BW327+DATOSAÑO!CC327</f>
        <v>0</v>
      </c>
    </row>
    <row r="338" spans="2:18">
      <c r="B338" s="410">
        <v>45244</v>
      </c>
      <c r="C338" s="1028">
        <f ca="1">DATOSAÑO!AJ328</f>
        <v>0</v>
      </c>
      <c r="D338" s="1028">
        <f ca="1">DATOSAÑO!AK328</f>
        <v>0</v>
      </c>
      <c r="E338" s="1028">
        <f ca="1">DATOSAÑO!AD328</f>
        <v>0</v>
      </c>
      <c r="F338" s="1028">
        <v>0</v>
      </c>
      <c r="G338" s="1028">
        <v>0</v>
      </c>
      <c r="H338" s="1028">
        <f ca="1">DATOSAÑO!AI328</f>
        <v>0</v>
      </c>
      <c r="I338" s="1028">
        <f ca="1">DATOSAÑO!CA328</f>
        <v>0</v>
      </c>
      <c r="J338" s="1028">
        <v>0</v>
      </c>
      <c r="K338" s="1028">
        <f ca="1">DATOSAÑO!AF328</f>
        <v>0</v>
      </c>
      <c r="L338" s="1028">
        <f ca="1">+DATOSAÑO!CB328</f>
        <v>0</v>
      </c>
      <c r="M338" s="1028">
        <f ca="1">+DATOSAÑO!AK328</f>
        <v>0</v>
      </c>
      <c r="N338" s="1028">
        <f ca="1">+DATOSAÑO!AH328</f>
        <v>0</v>
      </c>
      <c r="O338" s="1028">
        <f ca="1">DATOSAÑO!AL328</f>
        <v>0</v>
      </c>
      <c r="P338" s="1029" t="e">
        <f>+(DATOSAÑO!#REF!)+DATOSAÑO!#REF!</f>
        <v>#REF!</v>
      </c>
      <c r="Q338" s="1028">
        <f ca="1">+DATOSAÑO!BH328</f>
        <v>0</v>
      </c>
      <c r="R338" s="1114">
        <f ca="1">DATOSAÑO!BJ328+DATOSAÑO!BM328+DATOSAÑO!BP328+DATOSAÑO!BW328+DATOSAÑO!CC328</f>
        <v>0</v>
      </c>
    </row>
    <row r="339" spans="2:18">
      <c r="B339" s="410">
        <v>45245</v>
      </c>
      <c r="C339" s="1028">
        <f ca="1">DATOSAÑO!AJ329</f>
        <v>0</v>
      </c>
      <c r="D339" s="1028">
        <f ca="1">DATOSAÑO!AK329</f>
        <v>0</v>
      </c>
      <c r="E339" s="1028">
        <f ca="1">DATOSAÑO!AD329</f>
        <v>0</v>
      </c>
      <c r="F339" s="1028">
        <v>0</v>
      </c>
      <c r="G339" s="1028">
        <v>0</v>
      </c>
      <c r="H339" s="1028">
        <f ca="1">DATOSAÑO!AI329</f>
        <v>0</v>
      </c>
      <c r="I339" s="1028">
        <f ca="1">DATOSAÑO!CA329</f>
        <v>0</v>
      </c>
      <c r="J339" s="1028">
        <v>0</v>
      </c>
      <c r="K339" s="1028">
        <f ca="1">DATOSAÑO!AF329</f>
        <v>0</v>
      </c>
      <c r="L339" s="1028">
        <f ca="1">+DATOSAÑO!CB329</f>
        <v>0</v>
      </c>
      <c r="M339" s="1028">
        <f ca="1">+DATOSAÑO!AK329</f>
        <v>0</v>
      </c>
      <c r="N339" s="1028">
        <f ca="1">+DATOSAÑO!AH329</f>
        <v>0</v>
      </c>
      <c r="O339" s="1028">
        <f ca="1">DATOSAÑO!AL329</f>
        <v>0</v>
      </c>
      <c r="P339" s="1029" t="e">
        <f>+(DATOSAÑO!#REF!)+DATOSAÑO!#REF!</f>
        <v>#REF!</v>
      </c>
      <c r="Q339" s="1028">
        <f ca="1">+DATOSAÑO!BH329</f>
        <v>0</v>
      </c>
      <c r="R339" s="1114">
        <f ca="1">DATOSAÑO!BJ329+DATOSAÑO!BM329+DATOSAÑO!BP329+DATOSAÑO!BW329+DATOSAÑO!CC329</f>
        <v>0</v>
      </c>
    </row>
    <row r="340" spans="2:18">
      <c r="B340" s="410">
        <v>45246</v>
      </c>
      <c r="C340" s="1028">
        <f ca="1">DATOSAÑO!AJ330</f>
        <v>0</v>
      </c>
      <c r="D340" s="1028">
        <f ca="1">DATOSAÑO!AK330</f>
        <v>0</v>
      </c>
      <c r="E340" s="1028">
        <f ca="1">DATOSAÑO!AD330</f>
        <v>0</v>
      </c>
      <c r="F340" s="1028">
        <v>0</v>
      </c>
      <c r="G340" s="1028">
        <v>0</v>
      </c>
      <c r="H340" s="1028">
        <f ca="1">DATOSAÑO!AI330</f>
        <v>0</v>
      </c>
      <c r="I340" s="1028">
        <f ca="1">DATOSAÑO!CA330</f>
        <v>0</v>
      </c>
      <c r="J340" s="1028">
        <v>0</v>
      </c>
      <c r="K340" s="1028">
        <f ca="1">DATOSAÑO!AF330</f>
        <v>0</v>
      </c>
      <c r="L340" s="1028">
        <f ca="1">+DATOSAÑO!CB330</f>
        <v>0</v>
      </c>
      <c r="M340" s="1028">
        <f ca="1">+DATOSAÑO!AK330</f>
        <v>0</v>
      </c>
      <c r="N340" s="1028">
        <f ca="1">+DATOSAÑO!AH330</f>
        <v>0</v>
      </c>
      <c r="O340" s="1028">
        <f ca="1">DATOSAÑO!AL330</f>
        <v>0</v>
      </c>
      <c r="P340" s="1029" t="e">
        <f>+(DATOSAÑO!#REF!)+DATOSAÑO!#REF!</f>
        <v>#REF!</v>
      </c>
      <c r="Q340" s="1028">
        <f ca="1">+DATOSAÑO!BH330</f>
        <v>0</v>
      </c>
      <c r="R340" s="1114">
        <f ca="1">DATOSAÑO!BJ330+DATOSAÑO!BM330+DATOSAÑO!BP330+DATOSAÑO!BW330+DATOSAÑO!CC330</f>
        <v>0</v>
      </c>
    </row>
    <row r="341" spans="2:18">
      <c r="B341" s="410">
        <v>45247</v>
      </c>
      <c r="C341" s="1028">
        <f ca="1">DATOSAÑO!AJ331</f>
        <v>0</v>
      </c>
      <c r="D341" s="1028">
        <f ca="1">DATOSAÑO!AK331</f>
        <v>0</v>
      </c>
      <c r="E341" s="1028">
        <f ca="1">DATOSAÑO!AD331</f>
        <v>0</v>
      </c>
      <c r="F341" s="1028">
        <v>0</v>
      </c>
      <c r="G341" s="1028">
        <v>0</v>
      </c>
      <c r="H341" s="1028">
        <f ca="1">DATOSAÑO!AI331</f>
        <v>0</v>
      </c>
      <c r="I341" s="1028">
        <f ca="1">DATOSAÑO!CA331</f>
        <v>0</v>
      </c>
      <c r="J341" s="1028">
        <v>0</v>
      </c>
      <c r="K341" s="1028">
        <f ca="1">DATOSAÑO!AF331</f>
        <v>0</v>
      </c>
      <c r="L341" s="1028">
        <f ca="1">+DATOSAÑO!CB331</f>
        <v>0</v>
      </c>
      <c r="M341" s="1028">
        <f ca="1">+DATOSAÑO!AK331</f>
        <v>0</v>
      </c>
      <c r="N341" s="1028">
        <f ca="1">+DATOSAÑO!AH331</f>
        <v>0</v>
      </c>
      <c r="O341" s="1028">
        <f ca="1">DATOSAÑO!AL331</f>
        <v>0</v>
      </c>
      <c r="P341" s="1029" t="e">
        <f>+(DATOSAÑO!#REF!)+DATOSAÑO!#REF!</f>
        <v>#REF!</v>
      </c>
      <c r="Q341" s="1028">
        <f ca="1">+DATOSAÑO!BH331</f>
        <v>0</v>
      </c>
      <c r="R341" s="1114">
        <f ca="1">DATOSAÑO!BJ331+DATOSAÑO!BM331+DATOSAÑO!BP331+DATOSAÑO!BW331+DATOSAÑO!CC331</f>
        <v>0</v>
      </c>
    </row>
    <row r="342" spans="2:18">
      <c r="B342" s="410">
        <v>45248</v>
      </c>
      <c r="C342" s="1028">
        <f ca="1">DATOSAÑO!AJ332</f>
        <v>0</v>
      </c>
      <c r="D342" s="1028">
        <f ca="1">DATOSAÑO!AK332</f>
        <v>0</v>
      </c>
      <c r="E342" s="1028">
        <f ca="1">DATOSAÑO!AD332</f>
        <v>0</v>
      </c>
      <c r="F342" s="1028">
        <v>0</v>
      </c>
      <c r="G342" s="1028">
        <v>0</v>
      </c>
      <c r="H342" s="1028">
        <f ca="1">DATOSAÑO!AI332</f>
        <v>0</v>
      </c>
      <c r="I342" s="1028">
        <f ca="1">DATOSAÑO!CA332</f>
        <v>0</v>
      </c>
      <c r="J342" s="1028">
        <v>0</v>
      </c>
      <c r="K342" s="1028">
        <f ca="1">DATOSAÑO!AF332</f>
        <v>0</v>
      </c>
      <c r="L342" s="1028">
        <f ca="1">+DATOSAÑO!CB332</f>
        <v>0</v>
      </c>
      <c r="M342" s="1028">
        <f ca="1">+DATOSAÑO!AK332</f>
        <v>0</v>
      </c>
      <c r="N342" s="1028">
        <f ca="1">+DATOSAÑO!AH332</f>
        <v>0</v>
      </c>
      <c r="O342" s="1028">
        <f ca="1">DATOSAÑO!AL332</f>
        <v>0</v>
      </c>
      <c r="P342" s="1029" t="e">
        <f>+(DATOSAÑO!#REF!)+DATOSAÑO!#REF!</f>
        <v>#REF!</v>
      </c>
      <c r="Q342" s="1028">
        <f ca="1">+DATOSAÑO!BH332</f>
        <v>0</v>
      </c>
      <c r="R342" s="1114">
        <f ca="1">DATOSAÑO!BJ332+DATOSAÑO!BM332+DATOSAÑO!BP332+DATOSAÑO!BW332+DATOSAÑO!CC332</f>
        <v>0</v>
      </c>
    </row>
    <row r="343" spans="2:18">
      <c r="B343" s="410">
        <v>45249</v>
      </c>
      <c r="C343" s="1028">
        <f ca="1">DATOSAÑO!AJ333</f>
        <v>0</v>
      </c>
      <c r="D343" s="1028">
        <f ca="1">DATOSAÑO!AK333</f>
        <v>0</v>
      </c>
      <c r="E343" s="1028">
        <f ca="1">DATOSAÑO!AD333</f>
        <v>0</v>
      </c>
      <c r="F343" s="1028">
        <v>0</v>
      </c>
      <c r="G343" s="1028">
        <v>0</v>
      </c>
      <c r="H343" s="1028">
        <f ca="1">DATOSAÑO!AI333</f>
        <v>0</v>
      </c>
      <c r="I343" s="1028">
        <f ca="1">DATOSAÑO!CA333</f>
        <v>0</v>
      </c>
      <c r="J343" s="1028">
        <v>0</v>
      </c>
      <c r="K343" s="1028">
        <f ca="1">DATOSAÑO!AF333</f>
        <v>0</v>
      </c>
      <c r="L343" s="1028">
        <f ca="1">+DATOSAÑO!CB333</f>
        <v>0</v>
      </c>
      <c r="M343" s="1028">
        <f ca="1">+DATOSAÑO!AK333</f>
        <v>0</v>
      </c>
      <c r="N343" s="1028">
        <f ca="1">+DATOSAÑO!AH333</f>
        <v>0</v>
      </c>
      <c r="O343" s="1028">
        <f ca="1">DATOSAÑO!AL333</f>
        <v>0</v>
      </c>
      <c r="P343" s="1029" t="e">
        <f>+(DATOSAÑO!#REF!)+DATOSAÑO!#REF!</f>
        <v>#REF!</v>
      </c>
      <c r="Q343" s="1028">
        <f ca="1">+DATOSAÑO!BH333</f>
        <v>0</v>
      </c>
      <c r="R343" s="1114">
        <f ca="1">DATOSAÑO!BJ333+DATOSAÑO!BM333+DATOSAÑO!BP333+DATOSAÑO!BW333+DATOSAÑO!CC333</f>
        <v>0</v>
      </c>
    </row>
    <row r="344" spans="2:18">
      <c r="B344" s="410">
        <v>45250</v>
      </c>
      <c r="C344" s="1028">
        <f ca="1">DATOSAÑO!AJ334</f>
        <v>0</v>
      </c>
      <c r="D344" s="1028">
        <f ca="1">DATOSAÑO!AK334</f>
        <v>0</v>
      </c>
      <c r="E344" s="1028">
        <f ca="1">DATOSAÑO!AD334</f>
        <v>0</v>
      </c>
      <c r="F344" s="1028">
        <v>0</v>
      </c>
      <c r="G344" s="1028">
        <v>0</v>
      </c>
      <c r="H344" s="1028">
        <f ca="1">DATOSAÑO!AI334</f>
        <v>0</v>
      </c>
      <c r="I344" s="1028">
        <f ca="1">DATOSAÑO!CA334</f>
        <v>0</v>
      </c>
      <c r="J344" s="1028">
        <v>0</v>
      </c>
      <c r="K344" s="1028">
        <f ca="1">DATOSAÑO!AF334</f>
        <v>0</v>
      </c>
      <c r="L344" s="1028">
        <f ca="1">+DATOSAÑO!CB334</f>
        <v>0</v>
      </c>
      <c r="M344" s="1028">
        <f ca="1">+DATOSAÑO!AK334</f>
        <v>0</v>
      </c>
      <c r="N344" s="1028">
        <f ca="1">+DATOSAÑO!AH334</f>
        <v>0</v>
      </c>
      <c r="O344" s="1028">
        <f ca="1">DATOSAÑO!AL334</f>
        <v>0</v>
      </c>
      <c r="P344" s="1029" t="e">
        <f>+(DATOSAÑO!#REF!)+DATOSAÑO!#REF!</f>
        <v>#REF!</v>
      </c>
      <c r="Q344" s="1028">
        <f ca="1">+DATOSAÑO!BH334</f>
        <v>0</v>
      </c>
      <c r="R344" s="1114">
        <f ca="1">DATOSAÑO!BJ334+DATOSAÑO!BM334+DATOSAÑO!BP334+DATOSAÑO!BW334+DATOSAÑO!CC334</f>
        <v>0</v>
      </c>
    </row>
    <row r="345" spans="2:18">
      <c r="B345" s="410">
        <v>45251</v>
      </c>
      <c r="C345" s="1028">
        <f ca="1">DATOSAÑO!AJ335</f>
        <v>0</v>
      </c>
      <c r="D345" s="1028">
        <f ca="1">DATOSAÑO!AK335</f>
        <v>0</v>
      </c>
      <c r="E345" s="1028">
        <f ca="1">DATOSAÑO!AD335</f>
        <v>0</v>
      </c>
      <c r="F345" s="1028">
        <v>0</v>
      </c>
      <c r="G345" s="1028">
        <v>0</v>
      </c>
      <c r="H345" s="1028">
        <f ca="1">DATOSAÑO!AI335</f>
        <v>0</v>
      </c>
      <c r="I345" s="1028">
        <f ca="1">DATOSAÑO!CA335</f>
        <v>0</v>
      </c>
      <c r="J345" s="1028">
        <v>0</v>
      </c>
      <c r="K345" s="1028">
        <f ca="1">DATOSAÑO!AF335</f>
        <v>0</v>
      </c>
      <c r="L345" s="1028">
        <f ca="1">+DATOSAÑO!CB335</f>
        <v>0</v>
      </c>
      <c r="M345" s="1028">
        <f ca="1">+DATOSAÑO!AK335</f>
        <v>0</v>
      </c>
      <c r="N345" s="1028">
        <f ca="1">+DATOSAÑO!AH335</f>
        <v>0</v>
      </c>
      <c r="O345" s="1028">
        <f ca="1">DATOSAÑO!AL335</f>
        <v>0</v>
      </c>
      <c r="P345" s="1029" t="e">
        <f>+(DATOSAÑO!#REF!)+DATOSAÑO!#REF!</f>
        <v>#REF!</v>
      </c>
      <c r="Q345" s="1028">
        <f ca="1">+DATOSAÑO!BH335</f>
        <v>0</v>
      </c>
      <c r="R345" s="1114">
        <f ca="1">DATOSAÑO!BJ335+DATOSAÑO!BM335+DATOSAÑO!BP335+DATOSAÑO!BW335+DATOSAÑO!CC335</f>
        <v>0</v>
      </c>
    </row>
    <row r="346" spans="2:18">
      <c r="B346" s="410">
        <v>45252</v>
      </c>
      <c r="C346" s="1028">
        <f ca="1">DATOSAÑO!AJ336</f>
        <v>0</v>
      </c>
      <c r="D346" s="1028">
        <f ca="1">DATOSAÑO!AK336</f>
        <v>0</v>
      </c>
      <c r="E346" s="1028">
        <f ca="1">DATOSAÑO!AD336</f>
        <v>0</v>
      </c>
      <c r="F346" s="1028">
        <v>0</v>
      </c>
      <c r="G346" s="1028">
        <v>0</v>
      </c>
      <c r="H346" s="1028">
        <f ca="1">DATOSAÑO!AI336</f>
        <v>0</v>
      </c>
      <c r="I346" s="1028">
        <f ca="1">DATOSAÑO!CA336</f>
        <v>0</v>
      </c>
      <c r="J346" s="1028">
        <v>0</v>
      </c>
      <c r="K346" s="1028">
        <f ca="1">DATOSAÑO!AF336</f>
        <v>0</v>
      </c>
      <c r="L346" s="1028">
        <f ca="1">+DATOSAÑO!CB336</f>
        <v>0</v>
      </c>
      <c r="M346" s="1028">
        <f ca="1">+DATOSAÑO!AK336</f>
        <v>0</v>
      </c>
      <c r="N346" s="1028">
        <f ca="1">+DATOSAÑO!AH336</f>
        <v>0</v>
      </c>
      <c r="O346" s="1028">
        <f ca="1">DATOSAÑO!AL336</f>
        <v>0</v>
      </c>
      <c r="P346" s="1029" t="e">
        <f>+(DATOSAÑO!#REF!)+DATOSAÑO!#REF!</f>
        <v>#REF!</v>
      </c>
      <c r="Q346" s="1028">
        <f ca="1">+DATOSAÑO!BH336</f>
        <v>0</v>
      </c>
      <c r="R346" s="1114">
        <f ca="1">DATOSAÑO!BJ336+DATOSAÑO!BM336+DATOSAÑO!BP336+DATOSAÑO!BW336+DATOSAÑO!CC336</f>
        <v>0</v>
      </c>
    </row>
    <row r="347" spans="2:18">
      <c r="B347" s="410">
        <v>45253</v>
      </c>
      <c r="C347" s="1028">
        <f ca="1">DATOSAÑO!AJ337</f>
        <v>0</v>
      </c>
      <c r="D347" s="1028">
        <f ca="1">DATOSAÑO!AK337</f>
        <v>0</v>
      </c>
      <c r="E347" s="1028">
        <f ca="1">DATOSAÑO!AD337</f>
        <v>0</v>
      </c>
      <c r="F347" s="1028">
        <v>0</v>
      </c>
      <c r="G347" s="1028">
        <v>0</v>
      </c>
      <c r="H347" s="1028">
        <f ca="1">DATOSAÑO!AI337</f>
        <v>0</v>
      </c>
      <c r="I347" s="1028">
        <f ca="1">DATOSAÑO!CA337</f>
        <v>0</v>
      </c>
      <c r="J347" s="1028">
        <v>0</v>
      </c>
      <c r="K347" s="1028">
        <f ca="1">DATOSAÑO!AF337</f>
        <v>0</v>
      </c>
      <c r="L347" s="1028">
        <f ca="1">+DATOSAÑO!CB337</f>
        <v>0</v>
      </c>
      <c r="M347" s="1028">
        <f ca="1">+DATOSAÑO!AK337</f>
        <v>0</v>
      </c>
      <c r="N347" s="1028">
        <f ca="1">+DATOSAÑO!AH337</f>
        <v>0</v>
      </c>
      <c r="O347" s="1028">
        <f ca="1">DATOSAÑO!AL337</f>
        <v>0</v>
      </c>
      <c r="P347" s="1029" t="e">
        <f>+(DATOSAÑO!#REF!)+DATOSAÑO!#REF!</f>
        <v>#REF!</v>
      </c>
      <c r="Q347" s="1028">
        <f ca="1">+DATOSAÑO!BH337</f>
        <v>0</v>
      </c>
      <c r="R347" s="1114">
        <f ca="1">DATOSAÑO!BJ337+DATOSAÑO!BM337+DATOSAÑO!BP337+DATOSAÑO!BW337+DATOSAÑO!CC337</f>
        <v>0</v>
      </c>
    </row>
    <row r="348" spans="2:18">
      <c r="B348" s="410">
        <v>45254</v>
      </c>
      <c r="C348" s="1028">
        <f ca="1">DATOSAÑO!AJ338</f>
        <v>0</v>
      </c>
      <c r="D348" s="1028">
        <f ca="1">DATOSAÑO!AK338</f>
        <v>0</v>
      </c>
      <c r="E348" s="1028">
        <f ca="1">DATOSAÑO!AD338</f>
        <v>0</v>
      </c>
      <c r="F348" s="1028">
        <v>0</v>
      </c>
      <c r="G348" s="1028">
        <v>0</v>
      </c>
      <c r="H348" s="1028">
        <f ca="1">DATOSAÑO!AI338</f>
        <v>0</v>
      </c>
      <c r="I348" s="1028">
        <f ca="1">DATOSAÑO!CA338</f>
        <v>0</v>
      </c>
      <c r="J348" s="1028">
        <v>0</v>
      </c>
      <c r="K348" s="1028">
        <f ca="1">DATOSAÑO!AF338</f>
        <v>0</v>
      </c>
      <c r="L348" s="1028">
        <f ca="1">+DATOSAÑO!CB338</f>
        <v>0</v>
      </c>
      <c r="M348" s="1028">
        <f ca="1">+DATOSAÑO!AK338</f>
        <v>0</v>
      </c>
      <c r="N348" s="1028">
        <f ca="1">+DATOSAÑO!AH338</f>
        <v>0</v>
      </c>
      <c r="O348" s="1028">
        <f ca="1">DATOSAÑO!AL338</f>
        <v>0</v>
      </c>
      <c r="P348" s="1029" t="e">
        <f>+(DATOSAÑO!#REF!)+DATOSAÑO!#REF!</f>
        <v>#REF!</v>
      </c>
      <c r="Q348" s="1028">
        <f ca="1">+DATOSAÑO!BH338</f>
        <v>0</v>
      </c>
      <c r="R348" s="1114">
        <f ca="1">DATOSAÑO!BJ338+DATOSAÑO!BM338+DATOSAÑO!BP338+DATOSAÑO!BW338+DATOSAÑO!CC338</f>
        <v>0</v>
      </c>
    </row>
    <row r="349" spans="2:18">
      <c r="B349" s="410">
        <v>45255</v>
      </c>
      <c r="C349" s="1028">
        <f ca="1">DATOSAÑO!AJ339</f>
        <v>0</v>
      </c>
      <c r="D349" s="1028">
        <f ca="1">DATOSAÑO!AK339</f>
        <v>0</v>
      </c>
      <c r="E349" s="1028">
        <f ca="1">DATOSAÑO!AD339</f>
        <v>0</v>
      </c>
      <c r="F349" s="1028">
        <v>0</v>
      </c>
      <c r="G349" s="1028">
        <v>0</v>
      </c>
      <c r="H349" s="1028">
        <f ca="1">DATOSAÑO!AI339</f>
        <v>0</v>
      </c>
      <c r="I349" s="1028">
        <f ca="1">DATOSAÑO!CA339</f>
        <v>0</v>
      </c>
      <c r="J349" s="1028">
        <v>0</v>
      </c>
      <c r="K349" s="1028">
        <f ca="1">DATOSAÑO!AF339</f>
        <v>0</v>
      </c>
      <c r="L349" s="1028">
        <f ca="1">+DATOSAÑO!CB339</f>
        <v>0</v>
      </c>
      <c r="M349" s="1028">
        <f ca="1">+DATOSAÑO!AK339</f>
        <v>0</v>
      </c>
      <c r="N349" s="1028">
        <f ca="1">+DATOSAÑO!AH339</f>
        <v>0</v>
      </c>
      <c r="O349" s="1028">
        <f ca="1">DATOSAÑO!AL339</f>
        <v>0</v>
      </c>
      <c r="P349" s="1029" t="e">
        <f>+(DATOSAÑO!#REF!)+DATOSAÑO!#REF!</f>
        <v>#REF!</v>
      </c>
      <c r="Q349" s="1028">
        <f ca="1">+DATOSAÑO!BH339</f>
        <v>0</v>
      </c>
      <c r="R349" s="1114">
        <f ca="1">DATOSAÑO!BJ339+DATOSAÑO!BM339+DATOSAÑO!BP339+DATOSAÑO!BW339+DATOSAÑO!CC339</f>
        <v>0</v>
      </c>
    </row>
    <row r="350" spans="2:18">
      <c r="B350" s="410">
        <v>45256</v>
      </c>
      <c r="C350" s="1028">
        <f ca="1">DATOSAÑO!AJ340</f>
        <v>0</v>
      </c>
      <c r="D350" s="1028">
        <f ca="1">DATOSAÑO!AK340</f>
        <v>0</v>
      </c>
      <c r="E350" s="1028">
        <f ca="1">DATOSAÑO!AD340</f>
        <v>0</v>
      </c>
      <c r="F350" s="1028">
        <v>0</v>
      </c>
      <c r="G350" s="1028">
        <v>0</v>
      </c>
      <c r="H350" s="1028">
        <f ca="1">DATOSAÑO!AI340</f>
        <v>0</v>
      </c>
      <c r="I350" s="1028">
        <f ca="1">DATOSAÑO!CA340</f>
        <v>0</v>
      </c>
      <c r="J350" s="1028">
        <v>0</v>
      </c>
      <c r="K350" s="1028">
        <f ca="1">DATOSAÑO!AF340</f>
        <v>0</v>
      </c>
      <c r="L350" s="1028">
        <f ca="1">+DATOSAÑO!CB340</f>
        <v>0</v>
      </c>
      <c r="M350" s="1028">
        <f ca="1">+DATOSAÑO!AK340</f>
        <v>0</v>
      </c>
      <c r="N350" s="1028">
        <f ca="1">+DATOSAÑO!AH340</f>
        <v>0</v>
      </c>
      <c r="O350" s="1028">
        <f ca="1">DATOSAÑO!AL340</f>
        <v>0</v>
      </c>
      <c r="P350" s="1029" t="e">
        <f>+(DATOSAÑO!#REF!)+DATOSAÑO!#REF!</f>
        <v>#REF!</v>
      </c>
      <c r="Q350" s="1028">
        <f ca="1">+DATOSAÑO!BH340</f>
        <v>0</v>
      </c>
      <c r="R350" s="1114">
        <f ca="1">DATOSAÑO!BJ340+DATOSAÑO!BM340+DATOSAÑO!BP340+DATOSAÑO!BW340+DATOSAÑO!CC340</f>
        <v>0</v>
      </c>
    </row>
    <row r="351" spans="2:18">
      <c r="B351" s="410">
        <v>45257</v>
      </c>
      <c r="C351" s="1028">
        <f ca="1">DATOSAÑO!AJ341</f>
        <v>0</v>
      </c>
      <c r="D351" s="1028">
        <f ca="1">DATOSAÑO!AK341</f>
        <v>0</v>
      </c>
      <c r="E351" s="1028">
        <f ca="1">DATOSAÑO!AD341</f>
        <v>0</v>
      </c>
      <c r="F351" s="1028">
        <v>0</v>
      </c>
      <c r="G351" s="1028">
        <v>0</v>
      </c>
      <c r="H351" s="1028">
        <f ca="1">DATOSAÑO!AI341</f>
        <v>0</v>
      </c>
      <c r="I351" s="1028">
        <f ca="1">DATOSAÑO!CA341</f>
        <v>0</v>
      </c>
      <c r="J351" s="1028">
        <v>0</v>
      </c>
      <c r="K351" s="1028">
        <f ca="1">DATOSAÑO!AF341</f>
        <v>0</v>
      </c>
      <c r="L351" s="1028">
        <f ca="1">+DATOSAÑO!CB341</f>
        <v>0</v>
      </c>
      <c r="M351" s="1028">
        <f ca="1">+DATOSAÑO!AK341</f>
        <v>0</v>
      </c>
      <c r="N351" s="1028">
        <f ca="1">+DATOSAÑO!AH341</f>
        <v>0</v>
      </c>
      <c r="O351" s="1028">
        <f ca="1">DATOSAÑO!AL341</f>
        <v>0</v>
      </c>
      <c r="P351" s="1029" t="e">
        <f>+(DATOSAÑO!#REF!)+DATOSAÑO!#REF!</f>
        <v>#REF!</v>
      </c>
      <c r="Q351" s="1028">
        <f ca="1">+DATOSAÑO!BH341</f>
        <v>0</v>
      </c>
      <c r="R351" s="1114">
        <f ca="1">DATOSAÑO!BJ341+DATOSAÑO!BM341+DATOSAÑO!BP341+DATOSAÑO!BW341+DATOSAÑO!CC341</f>
        <v>0</v>
      </c>
    </row>
    <row r="352" spans="2:18">
      <c r="B352" s="410">
        <v>45258</v>
      </c>
      <c r="C352" s="1028">
        <f ca="1">DATOSAÑO!AJ342</f>
        <v>0</v>
      </c>
      <c r="D352" s="1028">
        <f ca="1">DATOSAÑO!AK342</f>
        <v>0</v>
      </c>
      <c r="E352" s="1028">
        <f ca="1">DATOSAÑO!AD342</f>
        <v>0</v>
      </c>
      <c r="F352" s="1028">
        <v>0</v>
      </c>
      <c r="G352" s="1028">
        <v>0</v>
      </c>
      <c r="H352" s="1028">
        <f ca="1">DATOSAÑO!AI342</f>
        <v>0</v>
      </c>
      <c r="I352" s="1028">
        <f ca="1">DATOSAÑO!CA342</f>
        <v>0</v>
      </c>
      <c r="J352" s="1028">
        <v>0</v>
      </c>
      <c r="K352" s="1028">
        <f ca="1">DATOSAÑO!AF342</f>
        <v>0</v>
      </c>
      <c r="L352" s="1028">
        <f ca="1">+DATOSAÑO!CB342</f>
        <v>0</v>
      </c>
      <c r="M352" s="1028">
        <f ca="1">+DATOSAÑO!AK342</f>
        <v>0</v>
      </c>
      <c r="N352" s="1028">
        <f ca="1">+DATOSAÑO!AH342</f>
        <v>0</v>
      </c>
      <c r="O352" s="1028">
        <f ca="1">DATOSAÑO!AL342</f>
        <v>0</v>
      </c>
      <c r="P352" s="1029" t="e">
        <f>+(DATOSAÑO!#REF!)+DATOSAÑO!#REF!</f>
        <v>#REF!</v>
      </c>
      <c r="Q352" s="1028">
        <f ca="1">+DATOSAÑO!BH342</f>
        <v>0</v>
      </c>
      <c r="R352" s="1114">
        <f ca="1">DATOSAÑO!BJ342+DATOSAÑO!BM342+DATOSAÑO!BP342+DATOSAÑO!BW342+DATOSAÑO!CC342</f>
        <v>0</v>
      </c>
    </row>
    <row r="353" spans="2:18">
      <c r="B353" s="410">
        <v>45259</v>
      </c>
      <c r="C353" s="1028">
        <f ca="1">DATOSAÑO!AJ343</f>
        <v>0</v>
      </c>
      <c r="D353" s="1028">
        <f ca="1">DATOSAÑO!AK343</f>
        <v>0</v>
      </c>
      <c r="E353" s="1028">
        <f ca="1">DATOSAÑO!AD343</f>
        <v>0</v>
      </c>
      <c r="F353" s="1028">
        <v>0</v>
      </c>
      <c r="G353" s="1028">
        <v>0</v>
      </c>
      <c r="H353" s="1028">
        <f ca="1">DATOSAÑO!AI343</f>
        <v>0</v>
      </c>
      <c r="I353" s="1028">
        <f ca="1">DATOSAÑO!CA343</f>
        <v>0</v>
      </c>
      <c r="J353" s="1028">
        <v>0</v>
      </c>
      <c r="K353" s="1028">
        <f ca="1">DATOSAÑO!AF343</f>
        <v>0</v>
      </c>
      <c r="L353" s="1028">
        <f ca="1">+DATOSAÑO!CB343</f>
        <v>0</v>
      </c>
      <c r="M353" s="1028">
        <f ca="1">+DATOSAÑO!AK343</f>
        <v>0</v>
      </c>
      <c r="N353" s="1028">
        <f ca="1">+DATOSAÑO!AH343</f>
        <v>0</v>
      </c>
      <c r="O353" s="1028">
        <f ca="1">DATOSAÑO!AL343</f>
        <v>0</v>
      </c>
      <c r="P353" s="1029" t="e">
        <f>+(DATOSAÑO!#REF!)+DATOSAÑO!#REF!</f>
        <v>#REF!</v>
      </c>
      <c r="Q353" s="1028">
        <f ca="1">+DATOSAÑO!BH343</f>
        <v>0</v>
      </c>
      <c r="R353" s="1114">
        <f ca="1">DATOSAÑO!BJ343+DATOSAÑO!BM343+DATOSAÑO!BP343+DATOSAÑO!BW343+DATOSAÑO!CC343</f>
        <v>0</v>
      </c>
    </row>
    <row r="354" spans="2:18" ht="15" thickBot="1">
      <c r="B354" s="410">
        <v>45260</v>
      </c>
      <c r="C354" s="1028">
        <f ca="1">DATOSAÑO!AJ344</f>
        <v>0</v>
      </c>
      <c r="D354" s="1028">
        <f ca="1">DATOSAÑO!AK344</f>
        <v>0</v>
      </c>
      <c r="E354" s="1028">
        <f ca="1">DATOSAÑO!AD344</f>
        <v>0</v>
      </c>
      <c r="F354" s="1028">
        <v>0</v>
      </c>
      <c r="G354" s="1028">
        <v>0</v>
      </c>
      <c r="H354" s="1028">
        <f ca="1">DATOSAÑO!AI344</f>
        <v>0</v>
      </c>
      <c r="I354" s="1028">
        <f ca="1">DATOSAÑO!CA344</f>
        <v>0</v>
      </c>
      <c r="J354" s="1028">
        <v>0</v>
      </c>
      <c r="K354" s="1028">
        <f ca="1">DATOSAÑO!AF344</f>
        <v>0</v>
      </c>
      <c r="L354" s="1028">
        <f ca="1">+DATOSAÑO!CB344</f>
        <v>0</v>
      </c>
      <c r="M354" s="1028">
        <f ca="1">+DATOSAÑO!AK344</f>
        <v>0</v>
      </c>
      <c r="N354" s="1028">
        <f ca="1">+DATOSAÑO!AH344</f>
        <v>0</v>
      </c>
      <c r="O354" s="1028">
        <f ca="1">DATOSAÑO!AL344</f>
        <v>0</v>
      </c>
      <c r="P354" s="1029" t="e">
        <f>+(DATOSAÑO!#REF!)+DATOSAÑO!#REF!</f>
        <v>#REF!</v>
      </c>
      <c r="Q354" s="1028">
        <f ca="1">+DATOSAÑO!BH344</f>
        <v>0</v>
      </c>
      <c r="R354" s="1114">
        <f ca="1">DATOSAÑO!BJ344+DATOSAÑO!BM344+DATOSAÑO!BP344+DATOSAÑO!BW344+DATOSAÑO!CC344</f>
        <v>0</v>
      </c>
    </row>
    <row r="355" spans="2:18" ht="15" thickBot="1">
      <c r="B355" s="1308" t="s">
        <v>1114</v>
      </c>
      <c r="C355" s="1307">
        <f ca="1">SUM(C325:C354)</f>
        <v>5</v>
      </c>
      <c r="D355" s="1054">
        <f ca="1">SUM(D325:D354)</f>
        <v>9</v>
      </c>
      <c r="E355" s="1054">
        <f t="shared" ref="E355:Q355" ca="1" si="10">SUM(E325:E354)</f>
        <v>163.20000000000073</v>
      </c>
      <c r="F355" s="1054">
        <f t="shared" si="10"/>
        <v>0</v>
      </c>
      <c r="G355" s="1054">
        <f t="shared" si="10"/>
        <v>0</v>
      </c>
      <c r="H355" s="1054">
        <f t="shared" ca="1" si="10"/>
        <v>38.69999999999709</v>
      </c>
      <c r="I355" s="1054">
        <f t="shared" ca="1" si="10"/>
        <v>5.8614999999987782</v>
      </c>
      <c r="J355" s="1054">
        <f t="shared" si="10"/>
        <v>0</v>
      </c>
      <c r="K355" s="1054">
        <f t="shared" ca="1" si="10"/>
        <v>151</v>
      </c>
      <c r="L355" s="1054">
        <f t="shared" ca="1" si="10"/>
        <v>2.0268000000003763</v>
      </c>
      <c r="M355" s="1054">
        <f t="shared" ca="1" si="10"/>
        <v>9</v>
      </c>
      <c r="N355" s="1054">
        <f t="shared" ca="1" si="10"/>
        <v>9.6999999999989086</v>
      </c>
      <c r="O355" s="1054">
        <f t="shared" ca="1" si="10"/>
        <v>33.300000000004673</v>
      </c>
      <c r="P355" s="1054" t="e">
        <f t="shared" si="10"/>
        <v>#REF!</v>
      </c>
      <c r="Q355" s="1115">
        <f t="shared" ca="1" si="10"/>
        <v>6</v>
      </c>
      <c r="R355" s="1115">
        <f ca="1">SUM(R325:R354)</f>
        <v>22.211699999999389</v>
      </c>
    </row>
    <row r="356" spans="2:18">
      <c r="B356" s="410">
        <v>45261</v>
      </c>
      <c r="C356" s="1028">
        <f ca="1">DATOSAÑO!AJ345</f>
        <v>0</v>
      </c>
      <c r="D356" s="1028">
        <f ca="1">DATOSAÑO!AK345</f>
        <v>0</v>
      </c>
      <c r="E356" s="1028">
        <f ca="1">DATOSAÑO!AD345</f>
        <v>0</v>
      </c>
      <c r="F356" s="1028">
        <v>0</v>
      </c>
      <c r="G356" s="1028">
        <v>0</v>
      </c>
      <c r="H356" s="1028">
        <f ca="1">DATOSAÑO!AI345</f>
        <v>0</v>
      </c>
      <c r="I356" s="1028">
        <f ca="1">DATOSAÑO!CA345</f>
        <v>0</v>
      </c>
      <c r="J356" s="1028">
        <v>0</v>
      </c>
      <c r="K356" s="1028">
        <f ca="1">DATOSAÑO!AF345</f>
        <v>0</v>
      </c>
      <c r="L356" s="1028">
        <f ca="1">+DATOSAÑO!CB345</f>
        <v>0</v>
      </c>
      <c r="M356" s="1028">
        <f ca="1">+DATOSAÑO!AK345</f>
        <v>0</v>
      </c>
      <c r="N356" s="1028">
        <f ca="1">+DATOSAÑO!AH345</f>
        <v>0</v>
      </c>
      <c r="O356" s="1028">
        <f ca="1">DATOSAÑO!AL345</f>
        <v>0</v>
      </c>
      <c r="P356" s="1029" t="e">
        <f>+(DATOSAÑO!#REF!)+DATOSAÑO!#REF!</f>
        <v>#REF!</v>
      </c>
      <c r="Q356" s="1028">
        <f ca="1">+DATOSAÑO!BH345</f>
        <v>0</v>
      </c>
      <c r="R356" s="1114">
        <f ca="1">DATOSAÑO!BJ345+DATOSAÑO!BM345+DATOSAÑO!BP345+DATOSAÑO!BW345+DATOSAÑO!CC345</f>
        <v>0</v>
      </c>
    </row>
    <row r="357" spans="2:18">
      <c r="B357" s="410">
        <v>45262</v>
      </c>
      <c r="C357" s="1028">
        <f ca="1">DATOSAÑO!AJ346</f>
        <v>0</v>
      </c>
      <c r="D357" s="1028">
        <f ca="1">DATOSAÑO!AK346</f>
        <v>0</v>
      </c>
      <c r="E357" s="1028">
        <f ca="1">DATOSAÑO!AD346</f>
        <v>0</v>
      </c>
      <c r="F357" s="1028">
        <v>0</v>
      </c>
      <c r="G357" s="1028">
        <v>0</v>
      </c>
      <c r="H357" s="1028">
        <f ca="1">DATOSAÑO!AI346</f>
        <v>0</v>
      </c>
      <c r="I357" s="1028">
        <f ca="1">DATOSAÑO!CA346</f>
        <v>0</v>
      </c>
      <c r="J357" s="1028">
        <v>0</v>
      </c>
      <c r="K357" s="1028">
        <f ca="1">DATOSAÑO!AF346</f>
        <v>0</v>
      </c>
      <c r="L357" s="1028">
        <f ca="1">+DATOSAÑO!CB346</f>
        <v>0</v>
      </c>
      <c r="M357" s="1028">
        <f ca="1">+DATOSAÑO!AK346</f>
        <v>0</v>
      </c>
      <c r="N357" s="1028">
        <f ca="1">+DATOSAÑO!AH346</f>
        <v>0</v>
      </c>
      <c r="O357" s="1028">
        <f ca="1">DATOSAÑO!AL346</f>
        <v>0</v>
      </c>
      <c r="P357" s="1029" t="e">
        <f>+(DATOSAÑO!#REF!)+DATOSAÑO!#REF!</f>
        <v>#REF!</v>
      </c>
      <c r="Q357" s="1028">
        <f ca="1">+DATOSAÑO!BH346</f>
        <v>0</v>
      </c>
      <c r="R357" s="1114">
        <f ca="1">DATOSAÑO!BJ346+DATOSAÑO!BM346+DATOSAÑO!BP346+DATOSAÑO!BW346+DATOSAÑO!CC346</f>
        <v>0</v>
      </c>
    </row>
    <row r="358" spans="2:18">
      <c r="B358" s="410">
        <v>45263</v>
      </c>
      <c r="C358" s="1028">
        <f ca="1">DATOSAÑO!AJ347</f>
        <v>0</v>
      </c>
      <c r="D358" s="1028">
        <f ca="1">DATOSAÑO!AK347</f>
        <v>0</v>
      </c>
      <c r="E358" s="1028">
        <f ca="1">DATOSAÑO!AD347</f>
        <v>0</v>
      </c>
      <c r="F358" s="1028">
        <v>0</v>
      </c>
      <c r="G358" s="1028">
        <v>0</v>
      </c>
      <c r="H358" s="1028">
        <f ca="1">DATOSAÑO!AI347</f>
        <v>0</v>
      </c>
      <c r="I358" s="1028">
        <f ca="1">DATOSAÑO!CA347</f>
        <v>0</v>
      </c>
      <c r="J358" s="1028">
        <v>0</v>
      </c>
      <c r="K358" s="1028">
        <f ca="1">DATOSAÑO!AF347</f>
        <v>0</v>
      </c>
      <c r="L358" s="1028">
        <f ca="1">+DATOSAÑO!CB347</f>
        <v>0</v>
      </c>
      <c r="M358" s="1028">
        <f ca="1">+DATOSAÑO!AK347</f>
        <v>0</v>
      </c>
      <c r="N358" s="1028">
        <f ca="1">+DATOSAÑO!AH347</f>
        <v>0</v>
      </c>
      <c r="O358" s="1028">
        <f ca="1">DATOSAÑO!AL347</f>
        <v>0</v>
      </c>
      <c r="P358" s="1029" t="e">
        <f>+(DATOSAÑO!#REF!)+DATOSAÑO!#REF!</f>
        <v>#REF!</v>
      </c>
      <c r="Q358" s="1028">
        <f ca="1">+DATOSAÑO!BH347</f>
        <v>0</v>
      </c>
      <c r="R358" s="1114">
        <f ca="1">DATOSAÑO!BJ347+DATOSAÑO!BM347+DATOSAÑO!BP347+DATOSAÑO!BW347+DATOSAÑO!CC347</f>
        <v>0</v>
      </c>
    </row>
    <row r="359" spans="2:18">
      <c r="B359" s="410">
        <v>45264</v>
      </c>
      <c r="C359" s="1028">
        <f ca="1">DATOSAÑO!AJ348</f>
        <v>0</v>
      </c>
      <c r="D359" s="1028">
        <f ca="1">DATOSAÑO!AK348</f>
        <v>0</v>
      </c>
      <c r="E359" s="1028">
        <f ca="1">DATOSAÑO!AD348</f>
        <v>0</v>
      </c>
      <c r="F359" s="1028">
        <v>0</v>
      </c>
      <c r="G359" s="1028">
        <v>0</v>
      </c>
      <c r="H359" s="1028">
        <f ca="1">DATOSAÑO!AI348</f>
        <v>0</v>
      </c>
      <c r="I359" s="1028">
        <f ca="1">DATOSAÑO!CA348</f>
        <v>0</v>
      </c>
      <c r="J359" s="1028">
        <v>0</v>
      </c>
      <c r="K359" s="1028">
        <f ca="1">DATOSAÑO!AF348</f>
        <v>0</v>
      </c>
      <c r="L359" s="1028">
        <f ca="1">+DATOSAÑO!CB348</f>
        <v>0</v>
      </c>
      <c r="M359" s="1028">
        <f ca="1">+DATOSAÑO!AK348</f>
        <v>0</v>
      </c>
      <c r="N359" s="1028">
        <f ca="1">+DATOSAÑO!AH348</f>
        <v>0</v>
      </c>
      <c r="O359" s="1028">
        <f ca="1">DATOSAÑO!AL348</f>
        <v>0</v>
      </c>
      <c r="P359" s="1029" t="e">
        <f>+(DATOSAÑO!#REF!)+DATOSAÑO!#REF!</f>
        <v>#REF!</v>
      </c>
      <c r="Q359" s="1028">
        <f ca="1">+DATOSAÑO!BH348</f>
        <v>0</v>
      </c>
      <c r="R359" s="1114">
        <f ca="1">DATOSAÑO!BJ348+DATOSAÑO!BM348+DATOSAÑO!BP348+DATOSAÑO!BW348+DATOSAÑO!CC348</f>
        <v>0</v>
      </c>
    </row>
    <row r="360" spans="2:18">
      <c r="B360" s="410">
        <v>45265</v>
      </c>
      <c r="C360" s="1028">
        <f ca="1">DATOSAÑO!AJ349</f>
        <v>0</v>
      </c>
      <c r="D360" s="1028">
        <f ca="1">DATOSAÑO!AK349</f>
        <v>0</v>
      </c>
      <c r="E360" s="1028">
        <f ca="1">DATOSAÑO!AD349</f>
        <v>0</v>
      </c>
      <c r="F360" s="1028">
        <v>0</v>
      </c>
      <c r="G360" s="1028">
        <v>0</v>
      </c>
      <c r="H360" s="1028">
        <f ca="1">DATOSAÑO!AI349</f>
        <v>0</v>
      </c>
      <c r="I360" s="1028">
        <f ca="1">DATOSAÑO!CA349</f>
        <v>0</v>
      </c>
      <c r="J360" s="1028">
        <v>0</v>
      </c>
      <c r="K360" s="1028">
        <f ca="1">DATOSAÑO!AF349</f>
        <v>0</v>
      </c>
      <c r="L360" s="1028">
        <f ca="1">+DATOSAÑO!CB349</f>
        <v>0</v>
      </c>
      <c r="M360" s="1028">
        <f ca="1">+DATOSAÑO!AK349</f>
        <v>0</v>
      </c>
      <c r="N360" s="1028">
        <f ca="1">+DATOSAÑO!AH349</f>
        <v>0</v>
      </c>
      <c r="O360" s="1028">
        <f ca="1">DATOSAÑO!AL349</f>
        <v>0</v>
      </c>
      <c r="P360" s="1029" t="e">
        <f>+(DATOSAÑO!#REF!)+DATOSAÑO!#REF!</f>
        <v>#REF!</v>
      </c>
      <c r="Q360" s="1028">
        <f ca="1">+DATOSAÑO!BH349</f>
        <v>0</v>
      </c>
      <c r="R360" s="1114">
        <f ca="1">DATOSAÑO!BJ349+DATOSAÑO!BM349+DATOSAÑO!BP349+DATOSAÑO!BW349+DATOSAÑO!CC349</f>
        <v>0</v>
      </c>
    </row>
    <row r="361" spans="2:18">
      <c r="B361" s="410">
        <v>45266</v>
      </c>
      <c r="C361" s="1028">
        <f ca="1">DATOSAÑO!AJ350</f>
        <v>0</v>
      </c>
      <c r="D361" s="1028">
        <f ca="1">DATOSAÑO!AK350</f>
        <v>0</v>
      </c>
      <c r="E361" s="1028">
        <f ca="1">DATOSAÑO!AD350</f>
        <v>0</v>
      </c>
      <c r="F361" s="1028">
        <v>0</v>
      </c>
      <c r="G361" s="1028">
        <v>0</v>
      </c>
      <c r="H361" s="1028">
        <f ca="1">DATOSAÑO!AI350</f>
        <v>0</v>
      </c>
      <c r="I361" s="1028">
        <f ca="1">DATOSAÑO!CA350</f>
        <v>0</v>
      </c>
      <c r="J361" s="1028">
        <v>0</v>
      </c>
      <c r="K361" s="1028">
        <f ca="1">DATOSAÑO!AF350</f>
        <v>0</v>
      </c>
      <c r="L361" s="1028">
        <f ca="1">+DATOSAÑO!CB350</f>
        <v>0</v>
      </c>
      <c r="M361" s="1028">
        <f ca="1">+DATOSAÑO!AK350</f>
        <v>0</v>
      </c>
      <c r="N361" s="1028">
        <f ca="1">+DATOSAÑO!AH350</f>
        <v>0</v>
      </c>
      <c r="O361" s="1028">
        <f ca="1">DATOSAÑO!AL350</f>
        <v>0</v>
      </c>
      <c r="P361" s="1029" t="e">
        <f>+(DATOSAÑO!#REF!)+DATOSAÑO!#REF!</f>
        <v>#REF!</v>
      </c>
      <c r="Q361" s="1028">
        <f ca="1">+DATOSAÑO!BH350</f>
        <v>0</v>
      </c>
      <c r="R361" s="1114">
        <f ca="1">DATOSAÑO!BJ350+DATOSAÑO!BM350+DATOSAÑO!BP350+DATOSAÑO!BW350+DATOSAÑO!CC350</f>
        <v>0</v>
      </c>
    </row>
    <row r="362" spans="2:18">
      <c r="B362" s="410">
        <v>45267</v>
      </c>
      <c r="C362" s="1028">
        <f ca="1">DATOSAÑO!AJ351</f>
        <v>0</v>
      </c>
      <c r="D362" s="1028">
        <f ca="1">DATOSAÑO!AK351</f>
        <v>0</v>
      </c>
      <c r="E362" s="1028">
        <f ca="1">DATOSAÑO!AD351</f>
        <v>0</v>
      </c>
      <c r="F362" s="1028">
        <v>0</v>
      </c>
      <c r="G362" s="1028">
        <v>0</v>
      </c>
      <c r="H362" s="1028">
        <f ca="1">DATOSAÑO!AI351</f>
        <v>0</v>
      </c>
      <c r="I362" s="1028">
        <f ca="1">DATOSAÑO!CA351</f>
        <v>0</v>
      </c>
      <c r="J362" s="1028">
        <v>0</v>
      </c>
      <c r="K362" s="1028">
        <f ca="1">DATOSAÑO!AF351</f>
        <v>0</v>
      </c>
      <c r="L362" s="1028">
        <f ca="1">+DATOSAÑO!CB351</f>
        <v>0</v>
      </c>
      <c r="M362" s="1028">
        <f ca="1">+DATOSAÑO!AK351</f>
        <v>0</v>
      </c>
      <c r="N362" s="1028">
        <f ca="1">+DATOSAÑO!AH351</f>
        <v>0</v>
      </c>
      <c r="O362" s="1028">
        <f ca="1">DATOSAÑO!AL351</f>
        <v>0</v>
      </c>
      <c r="P362" s="1029" t="e">
        <f>+(DATOSAÑO!#REF!)+DATOSAÑO!#REF!</f>
        <v>#REF!</v>
      </c>
      <c r="Q362" s="1028">
        <f ca="1">+DATOSAÑO!BH351</f>
        <v>0</v>
      </c>
      <c r="R362" s="1114">
        <f ca="1">DATOSAÑO!BJ351+DATOSAÑO!BM351+DATOSAÑO!BP351+DATOSAÑO!BW351+DATOSAÑO!CC351</f>
        <v>0</v>
      </c>
    </row>
    <row r="363" spans="2:18">
      <c r="B363" s="410">
        <v>45268</v>
      </c>
      <c r="C363" s="1028">
        <f ca="1">DATOSAÑO!AJ352</f>
        <v>0</v>
      </c>
      <c r="D363" s="1028">
        <f ca="1">DATOSAÑO!AK352</f>
        <v>0</v>
      </c>
      <c r="E363" s="1028">
        <f ca="1">DATOSAÑO!AD352</f>
        <v>0</v>
      </c>
      <c r="F363" s="1028">
        <v>0</v>
      </c>
      <c r="G363" s="1028">
        <v>0</v>
      </c>
      <c r="H363" s="1028">
        <f ca="1">DATOSAÑO!AI352</f>
        <v>0</v>
      </c>
      <c r="I363" s="1028">
        <f ca="1">DATOSAÑO!CA352</f>
        <v>0</v>
      </c>
      <c r="J363" s="1028">
        <v>0</v>
      </c>
      <c r="K363" s="1028">
        <f ca="1">DATOSAÑO!AF352</f>
        <v>0</v>
      </c>
      <c r="L363" s="1028">
        <f ca="1">+DATOSAÑO!CB352</f>
        <v>0</v>
      </c>
      <c r="M363" s="1028">
        <f ca="1">+DATOSAÑO!AK352</f>
        <v>0</v>
      </c>
      <c r="N363" s="1028">
        <f ca="1">+DATOSAÑO!AH352</f>
        <v>0</v>
      </c>
      <c r="O363" s="1028">
        <f ca="1">DATOSAÑO!AL352</f>
        <v>0</v>
      </c>
      <c r="P363" s="1029" t="e">
        <f>+(DATOSAÑO!#REF!)+DATOSAÑO!#REF!</f>
        <v>#REF!</v>
      </c>
      <c r="Q363" s="1028">
        <f ca="1">+DATOSAÑO!BH352</f>
        <v>0</v>
      </c>
      <c r="R363" s="1114">
        <f ca="1">DATOSAÑO!BJ352+DATOSAÑO!BM352+DATOSAÑO!BP352+DATOSAÑO!BW352+DATOSAÑO!CC352</f>
        <v>0</v>
      </c>
    </row>
    <row r="364" spans="2:18">
      <c r="B364" s="410">
        <v>45269</v>
      </c>
      <c r="C364" s="1028">
        <f ca="1">DATOSAÑO!AJ353</f>
        <v>0</v>
      </c>
      <c r="D364" s="1028">
        <f ca="1">DATOSAÑO!AK353</f>
        <v>0</v>
      </c>
      <c r="E364" s="1028">
        <f ca="1">DATOSAÑO!AD353</f>
        <v>0</v>
      </c>
      <c r="F364" s="1028">
        <v>0</v>
      </c>
      <c r="G364" s="1028">
        <v>0</v>
      </c>
      <c r="H364" s="1028">
        <f ca="1">DATOSAÑO!AI353</f>
        <v>0</v>
      </c>
      <c r="I364" s="1028">
        <f ca="1">DATOSAÑO!CA353</f>
        <v>0</v>
      </c>
      <c r="J364" s="1028">
        <v>0</v>
      </c>
      <c r="K364" s="1028">
        <f ca="1">DATOSAÑO!AF353</f>
        <v>0</v>
      </c>
      <c r="L364" s="1028">
        <f ca="1">+DATOSAÑO!CB353</f>
        <v>0</v>
      </c>
      <c r="M364" s="1028">
        <f ca="1">+DATOSAÑO!AK353</f>
        <v>0</v>
      </c>
      <c r="N364" s="1028">
        <f ca="1">+DATOSAÑO!AH353</f>
        <v>0</v>
      </c>
      <c r="O364" s="1028">
        <f ca="1">DATOSAÑO!AL353</f>
        <v>0</v>
      </c>
      <c r="P364" s="1029" t="e">
        <f>+(DATOSAÑO!#REF!)+DATOSAÑO!#REF!</f>
        <v>#REF!</v>
      </c>
      <c r="Q364" s="1028">
        <f ca="1">+DATOSAÑO!BH353</f>
        <v>0</v>
      </c>
      <c r="R364" s="1114">
        <f ca="1">DATOSAÑO!BJ353+DATOSAÑO!BM353+DATOSAÑO!BP353+DATOSAÑO!BW353+DATOSAÑO!CC353</f>
        <v>0</v>
      </c>
    </row>
    <row r="365" spans="2:18">
      <c r="B365" s="410">
        <v>45270</v>
      </c>
      <c r="C365" s="1028">
        <f ca="1">DATOSAÑO!AJ354</f>
        <v>0</v>
      </c>
      <c r="D365" s="1028">
        <f ca="1">DATOSAÑO!AK354</f>
        <v>0</v>
      </c>
      <c r="E365" s="1028">
        <f ca="1">DATOSAÑO!AD354</f>
        <v>0</v>
      </c>
      <c r="F365" s="1028">
        <v>0</v>
      </c>
      <c r="G365" s="1028">
        <v>0</v>
      </c>
      <c r="H365" s="1028">
        <f ca="1">DATOSAÑO!AI354</f>
        <v>0</v>
      </c>
      <c r="I365" s="1028">
        <f ca="1">DATOSAÑO!CA354</f>
        <v>0</v>
      </c>
      <c r="J365" s="1028">
        <v>0</v>
      </c>
      <c r="K365" s="1028">
        <f ca="1">DATOSAÑO!AF354</f>
        <v>0</v>
      </c>
      <c r="L365" s="1028">
        <f ca="1">+DATOSAÑO!CB354</f>
        <v>0</v>
      </c>
      <c r="M365" s="1028">
        <f ca="1">+DATOSAÑO!AK354</f>
        <v>0</v>
      </c>
      <c r="N365" s="1028">
        <f ca="1">+DATOSAÑO!AH354</f>
        <v>0</v>
      </c>
      <c r="O365" s="1028">
        <f ca="1">DATOSAÑO!AL354</f>
        <v>0</v>
      </c>
      <c r="P365" s="1029" t="e">
        <f>+(DATOSAÑO!#REF!)+DATOSAÑO!#REF!</f>
        <v>#REF!</v>
      </c>
      <c r="Q365" s="1028">
        <f ca="1">+DATOSAÑO!BH354</f>
        <v>0</v>
      </c>
      <c r="R365" s="1114">
        <f ca="1">DATOSAÑO!BJ354+DATOSAÑO!BM354+DATOSAÑO!BP354+DATOSAÑO!BW354+DATOSAÑO!CC354</f>
        <v>0</v>
      </c>
    </row>
    <row r="366" spans="2:18">
      <c r="B366" s="410">
        <v>45271</v>
      </c>
      <c r="C366" s="1028">
        <f ca="1">DATOSAÑO!AJ355</f>
        <v>0</v>
      </c>
      <c r="D366" s="1028">
        <f ca="1">DATOSAÑO!AK355</f>
        <v>0</v>
      </c>
      <c r="E366" s="1028">
        <f ca="1">DATOSAÑO!AD355</f>
        <v>0</v>
      </c>
      <c r="F366" s="1028">
        <v>0</v>
      </c>
      <c r="G366" s="1028">
        <v>0</v>
      </c>
      <c r="H366" s="1028">
        <f ca="1">DATOSAÑO!AI355</f>
        <v>0</v>
      </c>
      <c r="I366" s="1028">
        <f ca="1">DATOSAÑO!CA355</f>
        <v>0</v>
      </c>
      <c r="J366" s="1028">
        <v>0</v>
      </c>
      <c r="K366" s="1028">
        <f ca="1">DATOSAÑO!AF355</f>
        <v>0</v>
      </c>
      <c r="L366" s="1028">
        <f ca="1">+DATOSAÑO!CB355</f>
        <v>0</v>
      </c>
      <c r="M366" s="1028">
        <f ca="1">+DATOSAÑO!AK355</f>
        <v>0</v>
      </c>
      <c r="N366" s="1028">
        <f ca="1">+DATOSAÑO!AH355</f>
        <v>0</v>
      </c>
      <c r="O366" s="1028">
        <f ca="1">DATOSAÑO!AL355</f>
        <v>0</v>
      </c>
      <c r="P366" s="1029" t="e">
        <f>+(DATOSAÑO!#REF!)+DATOSAÑO!#REF!</f>
        <v>#REF!</v>
      </c>
      <c r="Q366" s="1028">
        <f ca="1">+DATOSAÑO!BH355</f>
        <v>0</v>
      </c>
      <c r="R366" s="1114">
        <f ca="1">DATOSAÑO!BJ355+DATOSAÑO!BM355+DATOSAÑO!BP355+DATOSAÑO!BW355+DATOSAÑO!CC355</f>
        <v>0</v>
      </c>
    </row>
    <row r="367" spans="2:18">
      <c r="B367" s="410">
        <v>45272</v>
      </c>
      <c r="C367" s="1028">
        <f ca="1">DATOSAÑO!AJ356</f>
        <v>0</v>
      </c>
      <c r="D367" s="1028">
        <f ca="1">DATOSAÑO!AK356</f>
        <v>0</v>
      </c>
      <c r="E367" s="1028">
        <f ca="1">DATOSAÑO!AD356</f>
        <v>0</v>
      </c>
      <c r="F367" s="1028">
        <v>0</v>
      </c>
      <c r="G367" s="1028">
        <v>0</v>
      </c>
      <c r="H367" s="1028">
        <f ca="1">DATOSAÑO!AI356</f>
        <v>0</v>
      </c>
      <c r="I367" s="1028">
        <f ca="1">DATOSAÑO!CA356</f>
        <v>0</v>
      </c>
      <c r="J367" s="1028">
        <v>0</v>
      </c>
      <c r="K367" s="1028">
        <f ca="1">DATOSAÑO!AF356</f>
        <v>0</v>
      </c>
      <c r="L367" s="1028">
        <f ca="1">+DATOSAÑO!CB356</f>
        <v>0</v>
      </c>
      <c r="M367" s="1028">
        <f ca="1">+DATOSAÑO!AK356</f>
        <v>0</v>
      </c>
      <c r="N367" s="1028">
        <f ca="1">+DATOSAÑO!AH356</f>
        <v>0</v>
      </c>
      <c r="O367" s="1028">
        <f ca="1">DATOSAÑO!AL356</f>
        <v>0</v>
      </c>
      <c r="P367" s="1029" t="e">
        <f>+(DATOSAÑO!#REF!)+DATOSAÑO!#REF!</f>
        <v>#REF!</v>
      </c>
      <c r="Q367" s="1028">
        <f ca="1">+DATOSAÑO!BH356</f>
        <v>0</v>
      </c>
      <c r="R367" s="1114">
        <f ca="1">DATOSAÑO!BJ356+DATOSAÑO!BM356+DATOSAÑO!BP356+DATOSAÑO!BW356+DATOSAÑO!CC356</f>
        <v>0</v>
      </c>
    </row>
    <row r="368" spans="2:18">
      <c r="B368" s="410">
        <v>45273</v>
      </c>
      <c r="C368" s="1028">
        <f ca="1">DATOSAÑO!AJ357</f>
        <v>0</v>
      </c>
      <c r="D368" s="1028">
        <f ca="1">DATOSAÑO!AK357</f>
        <v>0</v>
      </c>
      <c r="E368" s="1028">
        <f ca="1">DATOSAÑO!AD357</f>
        <v>0</v>
      </c>
      <c r="F368" s="1028">
        <v>0</v>
      </c>
      <c r="G368" s="1028">
        <v>0</v>
      </c>
      <c r="H368" s="1028">
        <f ca="1">DATOSAÑO!AI357</f>
        <v>0</v>
      </c>
      <c r="I368" s="1028">
        <f ca="1">DATOSAÑO!CA357</f>
        <v>0</v>
      </c>
      <c r="J368" s="1028">
        <v>0</v>
      </c>
      <c r="K368" s="1028">
        <f ca="1">DATOSAÑO!AF357</f>
        <v>0</v>
      </c>
      <c r="L368" s="1028">
        <f ca="1">+DATOSAÑO!CB357</f>
        <v>0</v>
      </c>
      <c r="M368" s="1028">
        <f ca="1">+DATOSAÑO!AK357</f>
        <v>0</v>
      </c>
      <c r="N368" s="1028">
        <f ca="1">+DATOSAÑO!AH357</f>
        <v>0</v>
      </c>
      <c r="O368" s="1028">
        <f ca="1">DATOSAÑO!AL357</f>
        <v>0</v>
      </c>
      <c r="P368" s="1029" t="e">
        <f>+(DATOSAÑO!#REF!)+DATOSAÑO!#REF!</f>
        <v>#REF!</v>
      </c>
      <c r="Q368" s="1028">
        <f ca="1">+DATOSAÑO!BH357</f>
        <v>0</v>
      </c>
      <c r="R368" s="1114">
        <f ca="1">DATOSAÑO!BJ357+DATOSAÑO!BM357+DATOSAÑO!BP357+DATOSAÑO!BW357+DATOSAÑO!CC357</f>
        <v>0</v>
      </c>
    </row>
    <row r="369" spans="2:18">
      <c r="B369" s="410">
        <v>45274</v>
      </c>
      <c r="C369" s="1028">
        <f ca="1">DATOSAÑO!AJ358</f>
        <v>0</v>
      </c>
      <c r="D369" s="1028">
        <f ca="1">DATOSAÑO!AK358</f>
        <v>0</v>
      </c>
      <c r="E369" s="1028">
        <f ca="1">DATOSAÑO!AD358</f>
        <v>0</v>
      </c>
      <c r="F369" s="1028">
        <v>0</v>
      </c>
      <c r="G369" s="1028">
        <v>0</v>
      </c>
      <c r="H369" s="1028">
        <f ca="1">DATOSAÑO!AI358</f>
        <v>0</v>
      </c>
      <c r="I369" s="1028">
        <f ca="1">DATOSAÑO!CA358</f>
        <v>0</v>
      </c>
      <c r="J369" s="1028">
        <v>0</v>
      </c>
      <c r="K369" s="1028">
        <f ca="1">DATOSAÑO!AF358</f>
        <v>0</v>
      </c>
      <c r="L369" s="1028">
        <f ca="1">+DATOSAÑO!CB358</f>
        <v>0</v>
      </c>
      <c r="M369" s="1028">
        <f ca="1">+DATOSAÑO!AK358</f>
        <v>0</v>
      </c>
      <c r="N369" s="1028">
        <f ca="1">+DATOSAÑO!AH358</f>
        <v>0</v>
      </c>
      <c r="O369" s="1028">
        <f ca="1">DATOSAÑO!AL358</f>
        <v>0</v>
      </c>
      <c r="P369" s="1029" t="e">
        <f>+(DATOSAÑO!#REF!)+DATOSAÑO!#REF!</f>
        <v>#REF!</v>
      </c>
      <c r="Q369" s="1028">
        <f ca="1">+DATOSAÑO!BH358</f>
        <v>0</v>
      </c>
      <c r="R369" s="1114">
        <f ca="1">DATOSAÑO!BJ358+DATOSAÑO!BM358+DATOSAÑO!BP358+DATOSAÑO!BW358+DATOSAÑO!CC358</f>
        <v>0</v>
      </c>
    </row>
    <row r="370" spans="2:18">
      <c r="B370" s="410">
        <v>45275</v>
      </c>
      <c r="C370" s="1028">
        <f ca="1">DATOSAÑO!AJ359</f>
        <v>0</v>
      </c>
      <c r="D370" s="1028">
        <f ca="1">DATOSAÑO!AK359</f>
        <v>0</v>
      </c>
      <c r="E370" s="1028">
        <f ca="1">DATOSAÑO!AD359</f>
        <v>0</v>
      </c>
      <c r="F370" s="1028">
        <v>0</v>
      </c>
      <c r="G370" s="1028">
        <v>0</v>
      </c>
      <c r="H370" s="1028">
        <f ca="1">DATOSAÑO!AI359</f>
        <v>0</v>
      </c>
      <c r="I370" s="1028">
        <f ca="1">DATOSAÑO!CA359</f>
        <v>0</v>
      </c>
      <c r="J370" s="1028">
        <v>0</v>
      </c>
      <c r="K370" s="1028">
        <f ca="1">DATOSAÑO!AF359</f>
        <v>0</v>
      </c>
      <c r="L370" s="1028">
        <f ca="1">+DATOSAÑO!CB359</f>
        <v>0</v>
      </c>
      <c r="M370" s="1028">
        <f ca="1">+DATOSAÑO!AK359</f>
        <v>0</v>
      </c>
      <c r="N370" s="1028">
        <f ca="1">+DATOSAÑO!AH359</f>
        <v>0</v>
      </c>
      <c r="O370" s="1028">
        <f ca="1">DATOSAÑO!AL359</f>
        <v>0</v>
      </c>
      <c r="P370" s="1029" t="e">
        <f>+(DATOSAÑO!#REF!)+DATOSAÑO!#REF!</f>
        <v>#REF!</v>
      </c>
      <c r="Q370" s="1028">
        <f ca="1">+DATOSAÑO!BH359</f>
        <v>0</v>
      </c>
      <c r="R370" s="1114">
        <f ca="1">DATOSAÑO!BJ359+DATOSAÑO!BM359+DATOSAÑO!BP359+DATOSAÑO!BW359+DATOSAÑO!CC359</f>
        <v>0</v>
      </c>
    </row>
    <row r="371" spans="2:18">
      <c r="B371" s="410">
        <v>45276</v>
      </c>
      <c r="C371" s="1028">
        <f ca="1">DATOSAÑO!AJ360</f>
        <v>0</v>
      </c>
      <c r="D371" s="1028">
        <f ca="1">DATOSAÑO!AK360</f>
        <v>0</v>
      </c>
      <c r="E371" s="1028">
        <f ca="1">DATOSAÑO!AD360</f>
        <v>0</v>
      </c>
      <c r="F371" s="1028">
        <v>0</v>
      </c>
      <c r="G371" s="1028">
        <v>0</v>
      </c>
      <c r="H371" s="1028">
        <f ca="1">DATOSAÑO!AI360</f>
        <v>0</v>
      </c>
      <c r="I371" s="1028">
        <f ca="1">DATOSAÑO!CA360</f>
        <v>0</v>
      </c>
      <c r="J371" s="1028">
        <v>0</v>
      </c>
      <c r="K371" s="1028">
        <f ca="1">DATOSAÑO!AF360</f>
        <v>0</v>
      </c>
      <c r="L371" s="1028">
        <f ca="1">+DATOSAÑO!CB360</f>
        <v>0</v>
      </c>
      <c r="M371" s="1028">
        <f ca="1">+DATOSAÑO!AK360</f>
        <v>0</v>
      </c>
      <c r="N371" s="1028">
        <f ca="1">+DATOSAÑO!AH360</f>
        <v>0</v>
      </c>
      <c r="O371" s="1028">
        <f ca="1">DATOSAÑO!AL360</f>
        <v>0</v>
      </c>
      <c r="P371" s="1029" t="e">
        <f>+(DATOSAÑO!#REF!)+DATOSAÑO!#REF!</f>
        <v>#REF!</v>
      </c>
      <c r="Q371" s="1028">
        <f ca="1">+DATOSAÑO!BH360</f>
        <v>0</v>
      </c>
      <c r="R371" s="1114">
        <f ca="1">DATOSAÑO!BJ360+DATOSAÑO!BM360+DATOSAÑO!BP360+DATOSAÑO!BW360+DATOSAÑO!CC360</f>
        <v>0</v>
      </c>
    </row>
    <row r="372" spans="2:18">
      <c r="B372" s="410">
        <v>45277</v>
      </c>
      <c r="C372" s="1028">
        <f ca="1">DATOSAÑO!AJ361</f>
        <v>0</v>
      </c>
      <c r="D372" s="1028">
        <f ca="1">DATOSAÑO!AK361</f>
        <v>0</v>
      </c>
      <c r="E372" s="1028">
        <f ca="1">DATOSAÑO!AD361</f>
        <v>0</v>
      </c>
      <c r="F372" s="1028">
        <v>0</v>
      </c>
      <c r="G372" s="1028">
        <v>0</v>
      </c>
      <c r="H372" s="1028">
        <f ca="1">DATOSAÑO!AI361</f>
        <v>0</v>
      </c>
      <c r="I372" s="1028">
        <f ca="1">DATOSAÑO!CA361</f>
        <v>0</v>
      </c>
      <c r="J372" s="1028">
        <v>0</v>
      </c>
      <c r="K372" s="1028">
        <f ca="1">DATOSAÑO!AF361</f>
        <v>0</v>
      </c>
      <c r="L372" s="1028">
        <f ca="1">+DATOSAÑO!CB361</f>
        <v>0</v>
      </c>
      <c r="M372" s="1028">
        <f ca="1">+DATOSAÑO!AK361</f>
        <v>0</v>
      </c>
      <c r="N372" s="1028">
        <f ca="1">+DATOSAÑO!AH361</f>
        <v>0</v>
      </c>
      <c r="O372" s="1028">
        <f ca="1">DATOSAÑO!AL361</f>
        <v>0</v>
      </c>
      <c r="P372" s="1029" t="e">
        <f>+(DATOSAÑO!#REF!)+DATOSAÑO!#REF!</f>
        <v>#REF!</v>
      </c>
      <c r="Q372" s="1028">
        <f ca="1">+DATOSAÑO!BH361</f>
        <v>0</v>
      </c>
      <c r="R372" s="1114">
        <f ca="1">DATOSAÑO!BJ361+DATOSAÑO!BM361+DATOSAÑO!BP361+DATOSAÑO!BW361+DATOSAÑO!CC361</f>
        <v>0</v>
      </c>
    </row>
    <row r="373" spans="2:18">
      <c r="B373" s="410">
        <v>45278</v>
      </c>
      <c r="C373" s="1028">
        <f ca="1">DATOSAÑO!AJ362</f>
        <v>0</v>
      </c>
      <c r="D373" s="1028">
        <f ca="1">DATOSAÑO!AK362</f>
        <v>0</v>
      </c>
      <c r="E373" s="1028">
        <f ca="1">DATOSAÑO!AD362</f>
        <v>0</v>
      </c>
      <c r="F373" s="1028">
        <v>0</v>
      </c>
      <c r="G373" s="1028">
        <v>0</v>
      </c>
      <c r="H373" s="1028">
        <f ca="1">DATOSAÑO!AI362</f>
        <v>0</v>
      </c>
      <c r="I373" s="1028">
        <f ca="1">DATOSAÑO!CA362</f>
        <v>0</v>
      </c>
      <c r="J373" s="1028">
        <v>0</v>
      </c>
      <c r="K373" s="1028">
        <f ca="1">DATOSAÑO!AF362</f>
        <v>0</v>
      </c>
      <c r="L373" s="1028">
        <f ca="1">+DATOSAÑO!CB362</f>
        <v>0</v>
      </c>
      <c r="M373" s="1028">
        <f ca="1">+DATOSAÑO!AK362</f>
        <v>0</v>
      </c>
      <c r="N373" s="1028">
        <f ca="1">+DATOSAÑO!AH362</f>
        <v>0</v>
      </c>
      <c r="O373" s="1028">
        <f ca="1">DATOSAÑO!AL362</f>
        <v>0</v>
      </c>
      <c r="P373" s="1029" t="e">
        <f>+(DATOSAÑO!#REF!)+DATOSAÑO!#REF!</f>
        <v>#REF!</v>
      </c>
      <c r="Q373" s="1028">
        <f ca="1">+DATOSAÑO!BH362</f>
        <v>0</v>
      </c>
      <c r="R373" s="1114">
        <f ca="1">DATOSAÑO!BJ362+DATOSAÑO!BM362+DATOSAÑO!BP362+DATOSAÑO!BW362+DATOSAÑO!CC362</f>
        <v>0</v>
      </c>
    </row>
    <row r="374" spans="2:18">
      <c r="B374" s="410">
        <v>45279</v>
      </c>
      <c r="C374" s="1028">
        <f ca="1">DATOSAÑO!AJ363</f>
        <v>0</v>
      </c>
      <c r="D374" s="1028">
        <f ca="1">DATOSAÑO!AK363</f>
        <v>0</v>
      </c>
      <c r="E374" s="1028">
        <f ca="1">DATOSAÑO!AD363</f>
        <v>0</v>
      </c>
      <c r="F374" s="1028">
        <v>0</v>
      </c>
      <c r="G374" s="1028">
        <v>0</v>
      </c>
      <c r="H374" s="1028">
        <f ca="1">DATOSAÑO!AI363</f>
        <v>0</v>
      </c>
      <c r="I374" s="1028">
        <f ca="1">DATOSAÑO!CA363</f>
        <v>0</v>
      </c>
      <c r="J374" s="1028">
        <v>0</v>
      </c>
      <c r="K374" s="1028">
        <f ca="1">DATOSAÑO!AF363</f>
        <v>0</v>
      </c>
      <c r="L374" s="1028">
        <f ca="1">+DATOSAÑO!CB363</f>
        <v>0</v>
      </c>
      <c r="M374" s="1028">
        <f ca="1">+DATOSAÑO!AK363</f>
        <v>0</v>
      </c>
      <c r="N374" s="1028">
        <f ca="1">+DATOSAÑO!AH363</f>
        <v>0</v>
      </c>
      <c r="O374" s="1028">
        <f ca="1">DATOSAÑO!AL363</f>
        <v>0</v>
      </c>
      <c r="P374" s="1029" t="e">
        <f>+(DATOSAÑO!#REF!)+DATOSAÑO!#REF!</f>
        <v>#REF!</v>
      </c>
      <c r="Q374" s="1028">
        <f ca="1">+DATOSAÑO!BH363</f>
        <v>0</v>
      </c>
      <c r="R374" s="1114">
        <f ca="1">DATOSAÑO!BJ363+DATOSAÑO!BM363+DATOSAÑO!BP363+DATOSAÑO!BW363+DATOSAÑO!CC363</f>
        <v>0</v>
      </c>
    </row>
    <row r="375" spans="2:18">
      <c r="B375" s="410">
        <v>45280</v>
      </c>
      <c r="C375" s="1028">
        <f ca="1">DATOSAÑO!AJ364</f>
        <v>0</v>
      </c>
      <c r="D375" s="1028">
        <f ca="1">DATOSAÑO!AK364</f>
        <v>0</v>
      </c>
      <c r="E375" s="1028">
        <f ca="1">DATOSAÑO!AD364</f>
        <v>0</v>
      </c>
      <c r="F375" s="1028">
        <v>0</v>
      </c>
      <c r="G375" s="1028">
        <v>0</v>
      </c>
      <c r="H375" s="1028">
        <f ca="1">DATOSAÑO!AI364</f>
        <v>0</v>
      </c>
      <c r="I375" s="1028">
        <f ca="1">DATOSAÑO!CA364</f>
        <v>0</v>
      </c>
      <c r="J375" s="1028">
        <v>0</v>
      </c>
      <c r="K375" s="1028">
        <f ca="1">DATOSAÑO!AF364</f>
        <v>0</v>
      </c>
      <c r="L375" s="1028">
        <f ca="1">+DATOSAÑO!CB364</f>
        <v>0</v>
      </c>
      <c r="M375" s="1028">
        <f ca="1">+DATOSAÑO!AK364</f>
        <v>0</v>
      </c>
      <c r="N375" s="1028">
        <f ca="1">+DATOSAÑO!AH364</f>
        <v>0</v>
      </c>
      <c r="O375" s="1028">
        <f ca="1">DATOSAÑO!AL364</f>
        <v>0</v>
      </c>
      <c r="P375" s="1029" t="e">
        <f>+(DATOSAÑO!#REF!)+DATOSAÑO!#REF!</f>
        <v>#REF!</v>
      </c>
      <c r="Q375" s="1028">
        <f ca="1">+DATOSAÑO!BH364</f>
        <v>0</v>
      </c>
      <c r="R375" s="1114">
        <f ca="1">DATOSAÑO!BJ364+DATOSAÑO!BM364+DATOSAÑO!BP364+DATOSAÑO!BW364+DATOSAÑO!CC364</f>
        <v>0</v>
      </c>
    </row>
    <row r="376" spans="2:18">
      <c r="B376" s="410">
        <v>45281</v>
      </c>
      <c r="C376" s="1028">
        <f ca="1">DATOSAÑO!AJ365</f>
        <v>0</v>
      </c>
      <c r="D376" s="1028">
        <f ca="1">DATOSAÑO!AK365</f>
        <v>0</v>
      </c>
      <c r="E376" s="1028">
        <f ca="1">DATOSAÑO!AD365</f>
        <v>0</v>
      </c>
      <c r="F376" s="1028">
        <v>0</v>
      </c>
      <c r="G376" s="1028">
        <v>0</v>
      </c>
      <c r="H376" s="1028">
        <f ca="1">DATOSAÑO!AI365</f>
        <v>0</v>
      </c>
      <c r="I376" s="1028">
        <f ca="1">DATOSAÑO!CA365</f>
        <v>0</v>
      </c>
      <c r="J376" s="1028">
        <v>0</v>
      </c>
      <c r="K376" s="1028">
        <f ca="1">DATOSAÑO!AF365</f>
        <v>0</v>
      </c>
      <c r="L376" s="1028">
        <f ca="1">+DATOSAÑO!CB365</f>
        <v>0</v>
      </c>
      <c r="M376" s="1028">
        <f ca="1">+DATOSAÑO!AK365</f>
        <v>0</v>
      </c>
      <c r="N376" s="1028">
        <f ca="1">+DATOSAÑO!AH365</f>
        <v>0</v>
      </c>
      <c r="O376" s="1028">
        <f ca="1">DATOSAÑO!AL365</f>
        <v>0</v>
      </c>
      <c r="P376" s="1029" t="e">
        <f>+(DATOSAÑO!#REF!)+DATOSAÑO!#REF!</f>
        <v>#REF!</v>
      </c>
      <c r="Q376" s="1028">
        <f ca="1">+DATOSAÑO!BH365</f>
        <v>0</v>
      </c>
      <c r="R376" s="1114">
        <f ca="1">DATOSAÑO!BJ365+DATOSAÑO!BM365+DATOSAÑO!BP365+DATOSAÑO!BW365+DATOSAÑO!CC365</f>
        <v>0</v>
      </c>
    </row>
    <row r="377" spans="2:18">
      <c r="B377" s="410">
        <v>45282</v>
      </c>
      <c r="C377" s="1028">
        <f ca="1">DATOSAÑO!AJ366</f>
        <v>0</v>
      </c>
      <c r="D377" s="1028">
        <f ca="1">DATOSAÑO!AK366</f>
        <v>0</v>
      </c>
      <c r="E377" s="1028">
        <f ca="1">DATOSAÑO!AD366</f>
        <v>0</v>
      </c>
      <c r="F377" s="1028">
        <v>0</v>
      </c>
      <c r="G377" s="1028">
        <v>0</v>
      </c>
      <c r="H377" s="1028">
        <f ca="1">DATOSAÑO!AI366</f>
        <v>0</v>
      </c>
      <c r="I377" s="1028">
        <f ca="1">DATOSAÑO!CA366</f>
        <v>0</v>
      </c>
      <c r="J377" s="1028">
        <v>0</v>
      </c>
      <c r="K377" s="1028">
        <f ca="1">DATOSAÑO!AF366</f>
        <v>0</v>
      </c>
      <c r="L377" s="1028">
        <f ca="1">+DATOSAÑO!CB366</f>
        <v>0</v>
      </c>
      <c r="M377" s="1028">
        <f ca="1">+DATOSAÑO!AK366</f>
        <v>0</v>
      </c>
      <c r="N377" s="1028">
        <f ca="1">+DATOSAÑO!AH366</f>
        <v>0</v>
      </c>
      <c r="O377" s="1028">
        <f ca="1">DATOSAÑO!AL366</f>
        <v>0</v>
      </c>
      <c r="P377" s="1029" t="e">
        <f>+(DATOSAÑO!#REF!)+DATOSAÑO!#REF!</f>
        <v>#REF!</v>
      </c>
      <c r="Q377" s="1028">
        <f ca="1">+DATOSAÑO!BH366</f>
        <v>0</v>
      </c>
      <c r="R377" s="1114">
        <f ca="1">DATOSAÑO!BJ366+DATOSAÑO!BM366+DATOSAÑO!BP366+DATOSAÑO!BW366+DATOSAÑO!CC366</f>
        <v>0</v>
      </c>
    </row>
    <row r="378" spans="2:18">
      <c r="B378" s="410">
        <v>45283</v>
      </c>
      <c r="C378" s="1028">
        <f ca="1">DATOSAÑO!AJ367</f>
        <v>0</v>
      </c>
      <c r="D378" s="1028">
        <f ca="1">DATOSAÑO!AK367</f>
        <v>0</v>
      </c>
      <c r="E378" s="1028">
        <f ca="1">DATOSAÑO!AD367</f>
        <v>0</v>
      </c>
      <c r="F378" s="1028">
        <v>0</v>
      </c>
      <c r="G378" s="1028">
        <v>0</v>
      </c>
      <c r="H378" s="1028">
        <f ca="1">DATOSAÑO!AI367</f>
        <v>0</v>
      </c>
      <c r="I378" s="1028">
        <f ca="1">DATOSAÑO!CA367</f>
        <v>0</v>
      </c>
      <c r="J378" s="1028">
        <v>0</v>
      </c>
      <c r="K378" s="1028">
        <f ca="1">DATOSAÑO!AF367</f>
        <v>0</v>
      </c>
      <c r="L378" s="1028">
        <f ca="1">+DATOSAÑO!CB367</f>
        <v>0</v>
      </c>
      <c r="M378" s="1028">
        <f ca="1">+DATOSAÑO!AK367</f>
        <v>0</v>
      </c>
      <c r="N378" s="1028">
        <f ca="1">+DATOSAÑO!AH367</f>
        <v>0</v>
      </c>
      <c r="O378" s="1028">
        <f ca="1">DATOSAÑO!AL367</f>
        <v>0</v>
      </c>
      <c r="P378" s="1029" t="e">
        <f>+(DATOSAÑO!#REF!)+DATOSAÑO!#REF!</f>
        <v>#REF!</v>
      </c>
      <c r="Q378" s="1028">
        <f ca="1">+DATOSAÑO!BH367</f>
        <v>0</v>
      </c>
      <c r="R378" s="1114">
        <f ca="1">DATOSAÑO!BJ367+DATOSAÑO!BM367+DATOSAÑO!BP367+DATOSAÑO!BW367+DATOSAÑO!CC367</f>
        <v>0</v>
      </c>
    </row>
    <row r="379" spans="2:18">
      <c r="B379" s="410">
        <v>45284</v>
      </c>
      <c r="C379" s="1028">
        <f ca="1">DATOSAÑO!AJ368</f>
        <v>0</v>
      </c>
      <c r="D379" s="1028">
        <f ca="1">DATOSAÑO!AK368</f>
        <v>0</v>
      </c>
      <c r="E379" s="1028">
        <f ca="1">DATOSAÑO!AD368</f>
        <v>0</v>
      </c>
      <c r="F379" s="1028">
        <v>0</v>
      </c>
      <c r="G379" s="1028">
        <v>0</v>
      </c>
      <c r="H379" s="1028">
        <f ca="1">DATOSAÑO!AI368</f>
        <v>0</v>
      </c>
      <c r="I379" s="1028">
        <f ca="1">DATOSAÑO!CA368</f>
        <v>0</v>
      </c>
      <c r="J379" s="1028">
        <v>0</v>
      </c>
      <c r="K379" s="1028">
        <f ca="1">DATOSAÑO!AF368</f>
        <v>0</v>
      </c>
      <c r="L379" s="1028">
        <f ca="1">+DATOSAÑO!CB368</f>
        <v>0</v>
      </c>
      <c r="M379" s="1028">
        <f ca="1">+DATOSAÑO!AK368</f>
        <v>0</v>
      </c>
      <c r="N379" s="1028">
        <f ca="1">+DATOSAÑO!AH368</f>
        <v>0</v>
      </c>
      <c r="O379" s="1028">
        <f ca="1">DATOSAÑO!AL368</f>
        <v>0</v>
      </c>
      <c r="P379" s="1029" t="e">
        <f>+(DATOSAÑO!#REF!)+DATOSAÑO!#REF!</f>
        <v>#REF!</v>
      </c>
      <c r="Q379" s="1028">
        <f ca="1">+DATOSAÑO!BH368</f>
        <v>0</v>
      </c>
      <c r="R379" s="1114">
        <f ca="1">DATOSAÑO!BJ368+DATOSAÑO!BM368+DATOSAÑO!BP368+DATOSAÑO!BW368+DATOSAÑO!CC368</f>
        <v>0</v>
      </c>
    </row>
    <row r="380" spans="2:18">
      <c r="B380" s="410">
        <v>45285</v>
      </c>
      <c r="C380" s="1028">
        <f ca="1">DATOSAÑO!AJ369</f>
        <v>0</v>
      </c>
      <c r="D380" s="1028">
        <f ca="1">DATOSAÑO!AK369</f>
        <v>0</v>
      </c>
      <c r="E380" s="1028">
        <f ca="1">DATOSAÑO!AD369</f>
        <v>0</v>
      </c>
      <c r="F380" s="1028">
        <v>0</v>
      </c>
      <c r="G380" s="1028">
        <v>0</v>
      </c>
      <c r="H380" s="1028">
        <f ca="1">DATOSAÑO!AI369</f>
        <v>0</v>
      </c>
      <c r="I380" s="1028">
        <f ca="1">DATOSAÑO!CA369</f>
        <v>0</v>
      </c>
      <c r="J380" s="1028">
        <v>0</v>
      </c>
      <c r="K380" s="1028">
        <f ca="1">DATOSAÑO!AF369</f>
        <v>0</v>
      </c>
      <c r="L380" s="1028">
        <f ca="1">+DATOSAÑO!CB369</f>
        <v>0</v>
      </c>
      <c r="M380" s="1028">
        <f ca="1">+DATOSAÑO!AK369</f>
        <v>0</v>
      </c>
      <c r="N380" s="1028">
        <f ca="1">+DATOSAÑO!AH369</f>
        <v>0</v>
      </c>
      <c r="O380" s="1028">
        <f ca="1">DATOSAÑO!AL369</f>
        <v>0</v>
      </c>
      <c r="P380" s="1029" t="e">
        <f>+(DATOSAÑO!#REF!)+DATOSAÑO!#REF!</f>
        <v>#REF!</v>
      </c>
      <c r="Q380" s="1028">
        <f ca="1">+DATOSAÑO!BH369</f>
        <v>0</v>
      </c>
      <c r="R380" s="1114">
        <f ca="1">DATOSAÑO!BJ369+DATOSAÑO!BM369+DATOSAÑO!BP369+DATOSAÑO!BW369+DATOSAÑO!CC369</f>
        <v>0</v>
      </c>
    </row>
    <row r="381" spans="2:18">
      <c r="B381" s="410">
        <v>45286</v>
      </c>
      <c r="C381" s="1028">
        <f ca="1">DATOSAÑO!AJ370</f>
        <v>0</v>
      </c>
      <c r="D381" s="1028">
        <f ca="1">DATOSAÑO!AK370</f>
        <v>0</v>
      </c>
      <c r="E381" s="1028">
        <f ca="1">DATOSAÑO!AD370</f>
        <v>0</v>
      </c>
      <c r="F381" s="1028">
        <v>0</v>
      </c>
      <c r="G381" s="1028">
        <v>0</v>
      </c>
      <c r="H381" s="1028">
        <f ca="1">DATOSAÑO!AI370</f>
        <v>0</v>
      </c>
      <c r="I381" s="1028">
        <f ca="1">DATOSAÑO!CA370</f>
        <v>0</v>
      </c>
      <c r="J381" s="1028">
        <v>0</v>
      </c>
      <c r="K381" s="1028">
        <f ca="1">DATOSAÑO!AF370</f>
        <v>0</v>
      </c>
      <c r="L381" s="1028">
        <f ca="1">+DATOSAÑO!CB370</f>
        <v>0</v>
      </c>
      <c r="M381" s="1028">
        <f ca="1">+DATOSAÑO!AK370</f>
        <v>0</v>
      </c>
      <c r="N381" s="1028">
        <f ca="1">+DATOSAÑO!AH370</f>
        <v>0</v>
      </c>
      <c r="O381" s="1028">
        <f ca="1">DATOSAÑO!AL370</f>
        <v>0</v>
      </c>
      <c r="P381" s="1029" t="e">
        <f>+(DATOSAÑO!#REF!)+DATOSAÑO!#REF!</f>
        <v>#REF!</v>
      </c>
      <c r="Q381" s="1028">
        <f ca="1">+DATOSAÑO!BH370</f>
        <v>0</v>
      </c>
      <c r="R381" s="1114">
        <f ca="1">DATOSAÑO!BJ370+DATOSAÑO!BM370+DATOSAÑO!BP370+DATOSAÑO!BW370+DATOSAÑO!CC370</f>
        <v>0</v>
      </c>
    </row>
    <row r="382" spans="2:18">
      <c r="B382" s="410">
        <v>45287</v>
      </c>
      <c r="C382" s="1028">
        <f ca="1">DATOSAÑO!AJ371</f>
        <v>0</v>
      </c>
      <c r="D382" s="1028">
        <f ca="1">DATOSAÑO!AK371</f>
        <v>0</v>
      </c>
      <c r="E382" s="1028">
        <f ca="1">DATOSAÑO!AD371</f>
        <v>0</v>
      </c>
      <c r="F382" s="1028">
        <v>0</v>
      </c>
      <c r="G382" s="1028">
        <v>0</v>
      </c>
      <c r="H382" s="1028">
        <f ca="1">DATOSAÑO!AI371</f>
        <v>0</v>
      </c>
      <c r="I382" s="1028">
        <f ca="1">DATOSAÑO!CA371</f>
        <v>0</v>
      </c>
      <c r="J382" s="1028">
        <v>0</v>
      </c>
      <c r="K382" s="1028">
        <f ca="1">DATOSAÑO!AF371</f>
        <v>0</v>
      </c>
      <c r="L382" s="1028">
        <f ca="1">+DATOSAÑO!CB371</f>
        <v>0</v>
      </c>
      <c r="M382" s="1028">
        <f ca="1">+DATOSAÑO!AK371</f>
        <v>0</v>
      </c>
      <c r="N382" s="1028">
        <f ca="1">+DATOSAÑO!AH371</f>
        <v>0</v>
      </c>
      <c r="O382" s="1028">
        <f ca="1">DATOSAÑO!AL371</f>
        <v>0</v>
      </c>
      <c r="P382" s="1029" t="e">
        <f>+(DATOSAÑO!#REF!)+DATOSAÑO!#REF!</f>
        <v>#REF!</v>
      </c>
      <c r="Q382" s="1028">
        <f ca="1">+DATOSAÑO!BH371</f>
        <v>0</v>
      </c>
      <c r="R382" s="1114">
        <f ca="1">DATOSAÑO!BJ371+DATOSAÑO!BM371+DATOSAÑO!BP371+DATOSAÑO!BW371+DATOSAÑO!CC371</f>
        <v>0</v>
      </c>
    </row>
    <row r="383" spans="2:18">
      <c r="B383" s="410">
        <v>45288</v>
      </c>
      <c r="C383" s="1028">
        <f ca="1">DATOSAÑO!AJ372</f>
        <v>0</v>
      </c>
      <c r="D383" s="1028">
        <f ca="1">DATOSAÑO!AK372</f>
        <v>0</v>
      </c>
      <c r="E383" s="1028">
        <f ca="1">DATOSAÑO!AD372</f>
        <v>0</v>
      </c>
      <c r="F383" s="1028">
        <v>0</v>
      </c>
      <c r="G383" s="1028">
        <v>0</v>
      </c>
      <c r="H383" s="1028">
        <f ca="1">DATOSAÑO!AI372</f>
        <v>0</v>
      </c>
      <c r="I383" s="1028">
        <f ca="1">DATOSAÑO!CA372</f>
        <v>0</v>
      </c>
      <c r="J383" s="1028">
        <v>0</v>
      </c>
      <c r="K383" s="1028">
        <f ca="1">DATOSAÑO!AF372</f>
        <v>0</v>
      </c>
      <c r="L383" s="1028">
        <f ca="1">+DATOSAÑO!CB372</f>
        <v>0</v>
      </c>
      <c r="M383" s="1028">
        <f ca="1">+DATOSAÑO!AK372</f>
        <v>0</v>
      </c>
      <c r="N383" s="1028">
        <f ca="1">+DATOSAÑO!AH372</f>
        <v>0</v>
      </c>
      <c r="O383" s="1028">
        <f ca="1">DATOSAÑO!AL372</f>
        <v>0</v>
      </c>
      <c r="P383" s="1029" t="e">
        <f>+(DATOSAÑO!#REF!)+DATOSAÑO!#REF!</f>
        <v>#REF!</v>
      </c>
      <c r="Q383" s="1028">
        <f ca="1">+DATOSAÑO!BH372</f>
        <v>0</v>
      </c>
      <c r="R383" s="1114">
        <f ca="1">DATOSAÑO!BJ372+DATOSAÑO!BM372+DATOSAÑO!BP372+DATOSAÑO!BW372+DATOSAÑO!CC372</f>
        <v>0</v>
      </c>
    </row>
    <row r="384" spans="2:18">
      <c r="B384" s="410">
        <v>45289</v>
      </c>
      <c r="C384" s="1028">
        <f ca="1">DATOSAÑO!AJ373</f>
        <v>0</v>
      </c>
      <c r="D384" s="1028">
        <f ca="1">DATOSAÑO!AK373</f>
        <v>0</v>
      </c>
      <c r="E384" s="1028">
        <f ca="1">DATOSAÑO!AD373</f>
        <v>0</v>
      </c>
      <c r="F384" s="1028">
        <v>0</v>
      </c>
      <c r="G384" s="1028">
        <v>0</v>
      </c>
      <c r="H384" s="1028">
        <f ca="1">DATOSAÑO!AI373</f>
        <v>0</v>
      </c>
      <c r="I384" s="1028">
        <f ca="1">DATOSAÑO!CA373</f>
        <v>0</v>
      </c>
      <c r="J384" s="1028">
        <v>0</v>
      </c>
      <c r="K384" s="1028">
        <f ca="1">DATOSAÑO!AF373</f>
        <v>0</v>
      </c>
      <c r="L384" s="1028">
        <f ca="1">+DATOSAÑO!CB373</f>
        <v>0</v>
      </c>
      <c r="M384" s="1028">
        <f ca="1">+DATOSAÑO!AK373</f>
        <v>0</v>
      </c>
      <c r="N384" s="1028">
        <f ca="1">+DATOSAÑO!AH373</f>
        <v>0</v>
      </c>
      <c r="O384" s="1028">
        <f ca="1">DATOSAÑO!AL373</f>
        <v>0</v>
      </c>
      <c r="P384" s="1029" t="e">
        <f>+(DATOSAÑO!#REF!)+DATOSAÑO!#REF!</f>
        <v>#REF!</v>
      </c>
      <c r="Q384" s="1028">
        <f ca="1">+DATOSAÑO!BH373</f>
        <v>0</v>
      </c>
      <c r="R384" s="1114">
        <f ca="1">DATOSAÑO!BJ373+DATOSAÑO!BM373+DATOSAÑO!BP373+DATOSAÑO!BW373+DATOSAÑO!CC373</f>
        <v>0</v>
      </c>
    </row>
    <row r="385" spans="2:18">
      <c r="B385" s="410">
        <v>45290</v>
      </c>
      <c r="C385" s="1028">
        <f ca="1">DATOSAÑO!AJ374</f>
        <v>0</v>
      </c>
      <c r="D385" s="1028">
        <f ca="1">DATOSAÑO!AK374</f>
        <v>0</v>
      </c>
      <c r="E385" s="1028">
        <f ca="1">DATOSAÑO!AD374</f>
        <v>0</v>
      </c>
      <c r="F385" s="1028">
        <v>0</v>
      </c>
      <c r="G385" s="1028">
        <v>0</v>
      </c>
      <c r="H385" s="1028">
        <f ca="1">DATOSAÑO!AI374</f>
        <v>0</v>
      </c>
      <c r="I385" s="1028">
        <f ca="1">DATOSAÑO!CA374</f>
        <v>0</v>
      </c>
      <c r="J385" s="1028">
        <v>0</v>
      </c>
      <c r="K385" s="1028">
        <f ca="1">DATOSAÑO!AF374</f>
        <v>0</v>
      </c>
      <c r="L385" s="1028">
        <f ca="1">+DATOSAÑO!CB374</f>
        <v>0</v>
      </c>
      <c r="M385" s="1028">
        <f ca="1">+DATOSAÑO!AK374</f>
        <v>0</v>
      </c>
      <c r="N385" s="1028">
        <f ca="1">+DATOSAÑO!AH374</f>
        <v>0</v>
      </c>
      <c r="O385" s="1028">
        <f ca="1">DATOSAÑO!AL374</f>
        <v>0</v>
      </c>
      <c r="P385" s="1029" t="e">
        <f>+(DATOSAÑO!#REF!)+DATOSAÑO!#REF!</f>
        <v>#REF!</v>
      </c>
      <c r="Q385" s="1028">
        <f ca="1">+DATOSAÑO!BH374</f>
        <v>0</v>
      </c>
      <c r="R385" s="1114">
        <f ca="1">DATOSAÑO!BJ374+DATOSAÑO!BM374+DATOSAÑO!BP374+DATOSAÑO!BW374+DATOSAÑO!CC374</f>
        <v>0</v>
      </c>
    </row>
    <row r="386" spans="2:18" ht="15" thickBot="1">
      <c r="B386" s="410">
        <v>45291</v>
      </c>
      <c r="C386" s="1028">
        <f ca="1">DATOSAÑO!AJ375</f>
        <v>0</v>
      </c>
      <c r="D386" s="1028">
        <f ca="1">DATOSAÑO!AK375</f>
        <v>0</v>
      </c>
      <c r="E386" s="1028">
        <f ca="1">DATOSAÑO!AD375</f>
        <v>0</v>
      </c>
      <c r="F386" s="1028">
        <v>0</v>
      </c>
      <c r="G386" s="1028">
        <v>0</v>
      </c>
      <c r="H386" s="1028">
        <f ca="1">DATOSAÑO!AI375</f>
        <v>0</v>
      </c>
      <c r="I386" s="1028">
        <f ca="1">DATOSAÑO!CA375</f>
        <v>0</v>
      </c>
      <c r="J386" s="1028">
        <v>0</v>
      </c>
      <c r="K386" s="1028">
        <f ca="1">DATOSAÑO!AF375</f>
        <v>0</v>
      </c>
      <c r="L386" s="1028">
        <f ca="1">+DATOSAÑO!CB375</f>
        <v>0</v>
      </c>
      <c r="M386" s="1028">
        <f ca="1">+DATOSAÑO!AK375</f>
        <v>0</v>
      </c>
      <c r="N386" s="1028">
        <f ca="1">+DATOSAÑO!AH375</f>
        <v>0</v>
      </c>
      <c r="O386" s="1028">
        <f ca="1">DATOSAÑO!AL375</f>
        <v>0</v>
      </c>
      <c r="P386" s="1029" t="e">
        <f>+(DATOSAÑO!#REF!)+DATOSAÑO!#REF!</f>
        <v>#REF!</v>
      </c>
      <c r="Q386" s="1028">
        <f ca="1">+DATOSAÑO!BH375</f>
        <v>0</v>
      </c>
      <c r="R386" s="1114">
        <f ca="1">DATOSAÑO!BJ375+DATOSAÑO!BM375+DATOSAÑO!BP375+DATOSAÑO!BW375+DATOSAÑO!CC375</f>
        <v>0</v>
      </c>
    </row>
    <row r="387" spans="2:18" ht="15" thickBot="1">
      <c r="B387" s="1308" t="s">
        <v>1114</v>
      </c>
      <c r="C387" s="1309">
        <f ca="1">SUM(C356:C386)</f>
        <v>0</v>
      </c>
      <c r="D387" s="1115">
        <f ca="1">SUM(D356:D386)</f>
        <v>0</v>
      </c>
      <c r="E387" s="1115">
        <f t="shared" ref="E387:R387" ca="1" si="11">SUM(E356:E386)</f>
        <v>0</v>
      </c>
      <c r="F387" s="1115">
        <f t="shared" si="11"/>
        <v>0</v>
      </c>
      <c r="G387" s="1115">
        <f t="shared" si="11"/>
        <v>0</v>
      </c>
      <c r="H387" s="1115">
        <f t="shared" ca="1" si="11"/>
        <v>0</v>
      </c>
      <c r="I387" s="1115">
        <f t="shared" ca="1" si="11"/>
        <v>0</v>
      </c>
      <c r="J387" s="1115">
        <f t="shared" si="11"/>
        <v>0</v>
      </c>
      <c r="K387" s="1115">
        <f t="shared" ca="1" si="11"/>
        <v>0</v>
      </c>
      <c r="L387" s="1115">
        <f t="shared" ca="1" si="11"/>
        <v>0</v>
      </c>
      <c r="M387" s="1115">
        <f t="shared" ca="1" si="11"/>
        <v>0</v>
      </c>
      <c r="N387" s="1115">
        <f t="shared" ca="1" si="11"/>
        <v>0</v>
      </c>
      <c r="O387" s="1115">
        <f t="shared" ca="1" si="11"/>
        <v>0</v>
      </c>
      <c r="P387" s="1115" t="e">
        <f t="shared" si="11"/>
        <v>#REF!</v>
      </c>
      <c r="Q387" s="1115">
        <f t="shared" ca="1" si="11"/>
        <v>0</v>
      </c>
      <c r="R387" s="1115">
        <f t="shared" ca="1" si="11"/>
        <v>0</v>
      </c>
    </row>
    <row r="388" spans="2:18" ht="15" thickBot="1">
      <c r="B388" s="1013"/>
      <c r="C388" s="1048"/>
      <c r="D388" s="1048"/>
      <c r="E388" s="1048"/>
      <c r="F388" s="1048"/>
      <c r="G388" s="1048"/>
      <c r="H388" s="1048"/>
      <c r="I388" s="1048"/>
      <c r="J388" s="1048"/>
      <c r="K388" s="1048"/>
      <c r="L388" s="1048"/>
      <c r="M388" s="1048"/>
      <c r="N388" s="1048"/>
      <c r="O388" s="1048"/>
      <c r="P388" s="1018"/>
    </row>
    <row r="389" spans="2:18" ht="60.75" customHeight="1" thickBot="1">
      <c r="B389" s="1296" t="s">
        <v>1114</v>
      </c>
      <c r="C389" s="1306" t="s">
        <v>1112</v>
      </c>
      <c r="D389" s="1304" t="s">
        <v>1113</v>
      </c>
      <c r="E389" s="1304" t="s">
        <v>1048</v>
      </c>
      <c r="F389" s="1304" t="s">
        <v>1050</v>
      </c>
      <c r="G389" s="1304" t="s">
        <v>1052</v>
      </c>
      <c r="H389" s="1304" t="s">
        <v>1054</v>
      </c>
      <c r="I389" s="1304" t="s">
        <v>1056</v>
      </c>
      <c r="J389" s="1304" t="s">
        <v>1058</v>
      </c>
      <c r="K389" s="1304" t="s">
        <v>1060</v>
      </c>
      <c r="L389" s="1304" t="s">
        <v>1062</v>
      </c>
      <c r="M389" s="1304" t="s">
        <v>1064</v>
      </c>
      <c r="N389" s="1304" t="s">
        <v>1065</v>
      </c>
      <c r="O389" s="1305" t="s">
        <v>1067</v>
      </c>
      <c r="P389" s="1700" t="s">
        <v>986</v>
      </c>
    </row>
    <row r="390" spans="2:18" ht="15.75" customHeight="1" thickBot="1">
      <c r="B390" s="1301" t="s">
        <v>1013</v>
      </c>
      <c r="C390" s="2483">
        <f ca="1">((SUM(C42:D42)*1000)-$F$410)+I427</f>
        <v>730603.16666665382</v>
      </c>
      <c r="D390" s="2484"/>
      <c r="E390" s="1045">
        <f ca="1">(SUM(E11:E41)*1000)+I427</f>
        <v>5290911.1666666372</v>
      </c>
      <c r="F390" s="1045">
        <f>$F$410</f>
        <v>168888</v>
      </c>
      <c r="G390" s="1045">
        <v>0</v>
      </c>
      <c r="H390" s="1045">
        <f ca="1">(SUM(H11:H41)*1000)+I427</f>
        <v>1437391.1666666628</v>
      </c>
      <c r="I390" s="1077">
        <f ca="1">(SUM(I11:I41)*1000)+K390+I427</f>
        <v>4550279.9166666782</v>
      </c>
      <c r="J390" s="1045">
        <v>0</v>
      </c>
      <c r="K390" s="1066">
        <f ca="1">(SUM(K11:K41)*1000)</f>
        <v>4240000</v>
      </c>
      <c r="L390" s="1045">
        <f ca="1">(SUM(L11:L41)*1000)+I427</f>
        <v>224096.36666666082</v>
      </c>
      <c r="M390" s="1045">
        <v>0</v>
      </c>
      <c r="N390" s="1045">
        <f ca="1">(SUM(N11:N41)*1000)+I427</f>
        <v>492511.1666666579</v>
      </c>
      <c r="O390" s="1012">
        <f ca="1">(SUM(O11:O41)*1000)</f>
        <v>1030866.999999965</v>
      </c>
      <c r="P390" s="1701" t="e">
        <f>(SUM(P11:P41)*1000)</f>
        <v>#REF!</v>
      </c>
      <c r="R390" s="1012">
        <f ca="1">(SUM(R11:R41))*1000</f>
        <v>659946.05000001786</v>
      </c>
    </row>
    <row r="391" spans="2:18" ht="15.75" customHeight="1" thickBot="1">
      <c r="B391" s="1302" t="s">
        <v>1014</v>
      </c>
      <c r="C391" s="2481">
        <f ca="1">((SUM(C43:D70)*1000)-$F$412)+I428</f>
        <v>657412.00000001059</v>
      </c>
      <c r="D391" s="2482"/>
      <c r="E391" s="1075">
        <f ca="1">(SUM(E43:E70)*1000)+I428</f>
        <v>4603913.9999999907</v>
      </c>
      <c r="F391" s="1075">
        <f>$F$412</f>
        <v>157992</v>
      </c>
      <c r="G391" s="1045">
        <v>0</v>
      </c>
      <c r="H391" s="1075">
        <f ca="1">(SUM(H43:H70)*1000)+I428</f>
        <v>1252174.0000000219</v>
      </c>
      <c r="I391" s="1077">
        <f ca="1">(SUM(I43:I70)*1000)+K391+I428</f>
        <v>4331236.4999999972</v>
      </c>
      <c r="J391" s="1045">
        <v>0</v>
      </c>
      <c r="K391" s="1070">
        <f ca="1">(SUM(K43:K70)*1000)</f>
        <v>4044000</v>
      </c>
      <c r="L391" s="1075">
        <f ca="1">(SUM(L43:L70)*1000)+I428</f>
        <v>206706.80000001434</v>
      </c>
      <c r="M391" s="1075">
        <f ca="1">(SUM(M43:M70)*1000)+I428</f>
        <v>568314.00000001409</v>
      </c>
      <c r="N391" s="1075">
        <f ca="1">(SUM(N43:N70)*1000)+I428</f>
        <v>435314.00000001409</v>
      </c>
      <c r="O391" s="1012">
        <f ca="1">(SUM(O43:O70)*1000)</f>
        <v>928884.0000000844</v>
      </c>
      <c r="P391" s="1701" t="e">
        <f>(SUM(P43:P70)*1000)</f>
        <v>#REF!</v>
      </c>
      <c r="R391" s="1012">
        <f ca="1">(SUM(R43:R70))*1000</f>
        <v>595984.69999998342</v>
      </c>
    </row>
    <row r="392" spans="2:18" ht="15.75" customHeight="1" thickBot="1">
      <c r="B392" s="1302" t="s">
        <v>1015</v>
      </c>
      <c r="C392" s="2481">
        <f ca="1">((SUM(C72:D102)*1000)-$F$410)+I429</f>
        <v>704840.99999999546</v>
      </c>
      <c r="D392" s="2482"/>
      <c r="E392" s="1078">
        <f ca="1">(SUM(E72:E102)*1000)+I429</f>
        <v>5262919.0000000121</v>
      </c>
      <c r="F392" s="1083">
        <f>$F$410</f>
        <v>168888</v>
      </c>
      <c r="G392" s="1045">
        <v>0</v>
      </c>
      <c r="H392" s="1078">
        <f ca="1">(SUM(H72:H102)*1000)+I429</f>
        <v>1393058.9999999825</v>
      </c>
      <c r="I392" s="1078">
        <f ca="1">(SUM(I72:I102)*1000)+K392+I429</f>
        <v>4784172.7499999935</v>
      </c>
      <c r="J392" s="1045">
        <v>0</v>
      </c>
      <c r="K392" s="1078">
        <f ca="1">(SUM(K72:K102)*1000)</f>
        <v>4448000</v>
      </c>
      <c r="L392" s="1078">
        <f ca="1">(SUM(L72:L102)*1000)+I429</f>
        <v>230059.79999998893</v>
      </c>
      <c r="M392" s="1078">
        <f ca="1">(SUM(M72:M102)*1000)+I429</f>
        <v>636118.99999999488</v>
      </c>
      <c r="N392" s="1078">
        <f ca="1">(SUM(N72:N102)*1000)+I429</f>
        <v>481318.99999998836</v>
      </c>
      <c r="O392" s="1079">
        <f ca="1">(SUM(O72:O102)*1000)</f>
        <v>1083113.9999999343</v>
      </c>
      <c r="P392" s="1701" t="e">
        <f>(SUM(P72:P102)*1000)</f>
        <v>#REF!</v>
      </c>
      <c r="R392" s="1012">
        <f ca="1">(SUM(R72:R102))*1000</f>
        <v>704705.45000000403</v>
      </c>
    </row>
    <row r="393" spans="2:18" ht="15.75" customHeight="1" thickBot="1">
      <c r="B393" s="1302" t="s">
        <v>1016</v>
      </c>
      <c r="C393" s="2481">
        <f ca="1">((SUM(C104:D133)*1000)-$F$411)+I430</f>
        <v>640752.16666666931</v>
      </c>
      <c r="D393" s="2482"/>
      <c r="E393" s="1078">
        <f ca="1">(SUM(E104:E133)*1000)+I430</f>
        <v>5077712.1666667312</v>
      </c>
      <c r="F393" s="1083">
        <f>$F$411</f>
        <v>163440</v>
      </c>
      <c r="G393" s="1045">
        <v>0</v>
      </c>
      <c r="H393" s="1078">
        <f ca="1">(SUM(H104:H133)*1000)+I430</f>
        <v>1332152.1666666612</v>
      </c>
      <c r="I393" s="1078">
        <f ca="1">(SUM(I104:I133)*1000)+K393+I430</f>
        <v>4593574.4166666567</v>
      </c>
      <c r="J393" s="1045">
        <v>0</v>
      </c>
      <c r="K393" s="1075">
        <f ca="1">(SUM(K104:K133)*1000)</f>
        <v>4297200.0000000112</v>
      </c>
      <c r="L393" s="1078">
        <f ca="1">(SUM(L104:L133)*1000)+I430</f>
        <v>229616.76666666172</v>
      </c>
      <c r="M393" s="1045">
        <v>0</v>
      </c>
      <c r="N393" s="1078">
        <f ca="1">(SUM(N104:N133)*1000)+I430</f>
        <v>484962.16666666057</v>
      </c>
      <c r="O393" s="1012">
        <f ca="1">(SUM(O104:O133)*1000)</f>
        <v>1024572.9999999701</v>
      </c>
      <c r="P393" s="1701" t="e">
        <f>(SUM(P104:P133)*1000)</f>
        <v>#REF!</v>
      </c>
      <c r="R393" s="1012">
        <f ca="1">(SUM(R104:R133))*1000</f>
        <v>632733.14999998407</v>
      </c>
    </row>
    <row r="394" spans="2:18" ht="15.75" customHeight="1" thickBot="1">
      <c r="B394" s="1302" t="s">
        <v>1017</v>
      </c>
      <c r="C394" s="2481">
        <f ca="1">((SUM(C135:D165)*1000)-$F$410)+I431</f>
        <v>608443.16666665033</v>
      </c>
      <c r="D394" s="2482"/>
      <c r="E394" s="1078">
        <f ca="1">(SUM(E135:E165)*1000)+I431</f>
        <v>4639461.1666666577</v>
      </c>
      <c r="F394" s="1083">
        <f>$F$410</f>
        <v>168888</v>
      </c>
      <c r="G394" s="1045">
        <v>0</v>
      </c>
      <c r="H394" s="1078">
        <f ca="1">(SUM(H135:H165)*1000)+I431</f>
        <v>1305271.1666666672</v>
      </c>
      <c r="I394" s="1078">
        <f ca="1">(SUM(I135:I165)*1000)+K394+I431</f>
        <v>4969538.4166666633</v>
      </c>
      <c r="J394" s="1045">
        <v>0</v>
      </c>
      <c r="K394" s="1075">
        <f ca="1">(SUM(K135:K165)*1000)</f>
        <v>4650799.9999999888</v>
      </c>
      <c r="L394" s="1078">
        <f ca="1">(SUM(L135:L165)*1000)+I431</f>
        <v>236319.56666665798</v>
      </c>
      <c r="M394" s="1045">
        <v>0</v>
      </c>
      <c r="N394" s="1078">
        <f ca="1">(SUM(N135:N165)*1000)+I431</f>
        <v>517461.1666666622</v>
      </c>
      <c r="O394" s="1012">
        <f ca="1">(SUM(O135:O165)*1000)</f>
        <v>1060566.9999999471</v>
      </c>
      <c r="P394" s="1701" t="e">
        <f>(SUM(P135:P165)*1000)</f>
        <v>#REF!</v>
      </c>
      <c r="R394" s="1012">
        <f ca="1">(SUM(R135:R165))*1000</f>
        <v>680864.35000001721</v>
      </c>
    </row>
    <row r="395" spans="2:18" ht="15.75" customHeight="1" thickBot="1">
      <c r="B395" s="1302" t="s">
        <v>1018</v>
      </c>
      <c r="C395" s="2481">
        <f ca="1">((SUM(C197:D197)*1000)-$F$411)+I432</f>
        <v>530693.16666668234</v>
      </c>
      <c r="D395" s="2482"/>
      <c r="E395" s="1078">
        <f ca="1">(SUM(E167:E196)*1000)+I432</f>
        <v>5057806.1666666707</v>
      </c>
      <c r="F395" s="1203">
        <f>$F$411</f>
        <v>163440</v>
      </c>
      <c r="G395" s="1045">
        <v>0</v>
      </c>
      <c r="H395" s="1078">
        <f ca="1">(SUM(H167:H196)*1000)+I432</f>
        <v>1267063.1666666609</v>
      </c>
      <c r="I395" s="1078">
        <f ca="1">(SUM(I167:I196)*1000)+K395+I432</f>
        <v>4792996.1666666456</v>
      </c>
      <c r="J395" s="1045">
        <v>0</v>
      </c>
      <c r="K395" s="1075">
        <f ca="1">(SUM(K167:K196)*1000)</f>
        <v>4468409.9999999739</v>
      </c>
      <c r="L395" s="1078">
        <f ca="1">(SUM(L167:L196)*1000)+I432</f>
        <v>232298.56666667107</v>
      </c>
      <c r="M395" s="1045">
        <v>0</v>
      </c>
      <c r="N395" s="1078">
        <f ca="1">(SUM(N167:N196)*1000)+I432</f>
        <v>454183.16666666709</v>
      </c>
      <c r="O395" s="1012">
        <f ca="1">(SUM(O167:O196)*1000)</f>
        <v>1018099.0000000242</v>
      </c>
      <c r="P395" s="1701" t="e">
        <f>(SUM(P167:P196)*1000)</f>
        <v>#REF!</v>
      </c>
      <c r="R395" s="1012">
        <f ca="1">(SUM(R167:R196))*1000</f>
        <v>633171.60000000102</v>
      </c>
    </row>
    <row r="396" spans="2:18" ht="15.75" customHeight="1" thickBot="1">
      <c r="B396" s="1302" t="s">
        <v>971</v>
      </c>
      <c r="C396" s="2481">
        <f ca="1">((SUM(C229:D229)*1000)-$F$410)+I433</f>
        <v>535482.16666665394</v>
      </c>
      <c r="D396" s="2482"/>
      <c r="E396" s="1078">
        <f ca="1">(SUM(E198:E228)*1000)+I433</f>
        <v>5259197.166666666</v>
      </c>
      <c r="F396" s="1203">
        <f>$F$410</f>
        <v>168888</v>
      </c>
      <c r="G396" s="1045">
        <v>0</v>
      </c>
      <c r="H396" s="1078">
        <f ca="1">(SUM(H198:H228)*1000)+I433</f>
        <v>1318740.1666666637</v>
      </c>
      <c r="I396" s="1078">
        <f ca="1">(SUM(I198:I228)*1000)+K396+I433</f>
        <v>4891965.6666666903</v>
      </c>
      <c r="J396" s="1045">
        <v>0</v>
      </c>
      <c r="K396" s="1075">
        <f ca="1">(SUM(K198:K228)*1000)</f>
        <v>4584590.0000000261</v>
      </c>
      <c r="L396" s="1078">
        <f ca="1">(SUM(L198:L228)*1000)+I433</f>
        <v>227087.5666666656</v>
      </c>
      <c r="M396" s="1045">
        <v>0</v>
      </c>
      <c r="N396" s="1078">
        <f ca="1">(SUM(N198:N228)*1000)+I433</f>
        <v>488020.16666666447</v>
      </c>
      <c r="O396" s="1012">
        <f ca="1">(SUM(O198:O228)*1000)</f>
        <v>1033920.9999999935</v>
      </c>
      <c r="P396" s="1701" t="e">
        <f>(SUM(P198:P228)*1000)</f>
        <v>#REF!</v>
      </c>
      <c r="R396" s="1012">
        <f ca="1">(SUM(R198:R228))*1000</f>
        <v>678587.09999999823</v>
      </c>
    </row>
    <row r="397" spans="2:18" ht="15.75" customHeight="1" thickBot="1">
      <c r="B397" s="1302" t="s">
        <v>972</v>
      </c>
      <c r="C397" s="2481">
        <f ca="1">((SUM(C261:D261)*1000)-$F$410)+I434</f>
        <v>629823.3333333293</v>
      </c>
      <c r="D397" s="2482"/>
      <c r="E397" s="1078">
        <f ca="1">(SUM(E230:E260)*1000)+I434</f>
        <v>5312011.3333333358</v>
      </c>
      <c r="F397" s="1203">
        <f>$F$410</f>
        <v>168888</v>
      </c>
      <c r="G397" s="1045">
        <v>0</v>
      </c>
      <c r="H397" s="1078">
        <f ca="1">(SUM(H230:H260)*1000)+I434</f>
        <v>1306511.3333333468</v>
      </c>
      <c r="I397" s="1078">
        <f ca="1">(SUM(I230:I260)*1000)+K397+I434</f>
        <v>4993659.3333333526</v>
      </c>
      <c r="J397" s="1045">
        <v>0</v>
      </c>
      <c r="K397" s="1075">
        <f ca="1">(SUM(K230:K260)*1000)</f>
        <v>4646700.0000000112</v>
      </c>
      <c r="L397" s="1078">
        <f ca="1">(SUM(L230:L260)*1000)+I434</f>
        <v>239484.33333333477</v>
      </c>
      <c r="M397" s="1045">
        <v>0</v>
      </c>
      <c r="N397" s="1078">
        <f ca="1">(SUM(N230:N260)*1000)+I434</f>
        <v>508311.33333334059</v>
      </c>
      <c r="O397" s="1012">
        <f ca="1">(SUM(O230:O260)*1000)</f>
        <v>1087868.0000000107</v>
      </c>
      <c r="P397" s="1701" t="e">
        <f>(SUM(P230:P260)*1000)</f>
        <v>#REF!</v>
      </c>
      <c r="R397" s="1012">
        <f ca="1">(SUM(R230:R260)*1000)</f>
        <v>670979.0000000071</v>
      </c>
    </row>
    <row r="398" spans="2:18" s="468" customFormat="1" ht="15.75" customHeight="1" thickBot="1">
      <c r="B398" s="1302" t="s">
        <v>1035</v>
      </c>
      <c r="C398" s="2481">
        <f ca="1">((SUM(C292:D292)*1000)-$F$411)+I435</f>
        <v>628568.16666666407</v>
      </c>
      <c r="D398" s="2482"/>
      <c r="E398" s="1078">
        <f ca="1">(SUM(E262:E291)*1000)+I435</f>
        <v>5090308.1666666633</v>
      </c>
      <c r="F398" s="1203">
        <f>$F$411</f>
        <v>163440</v>
      </c>
      <c r="G398" s="1080">
        <v>0</v>
      </c>
      <c r="H398" s="1078">
        <f ca="1">(SUM(H262:H291)*1000)+I435</f>
        <v>1335208.1666666614</v>
      </c>
      <c r="I398" s="1078">
        <f ca="1">(SUM(I262:I291)*1000)+K398+I435</f>
        <v>4781569.1666666456</v>
      </c>
      <c r="J398" s="1080">
        <v>0</v>
      </c>
      <c r="K398" s="1080">
        <f ca="1">(SUM(K262:K291)*1000)</f>
        <v>4467299.9999999888</v>
      </c>
      <c r="L398" s="1078">
        <f ca="1">(SUM(L262:L291)*1000)+I435</f>
        <v>257274.16666666418</v>
      </c>
      <c r="M398" s="1080">
        <v>0</v>
      </c>
      <c r="N398" s="1078">
        <f ca="1">(SUM(N262:N291)*1000)+I435</f>
        <v>474208.16666666116</v>
      </c>
      <c r="O398" s="1012">
        <f ca="1">(SUM(O262:O291)*1000)</f>
        <v>1104048.9999999846</v>
      </c>
      <c r="P398" s="1701" t="e">
        <f>(SUM(P262:P291)*1000)</f>
        <v>#REF!</v>
      </c>
      <c r="Q398" s="562"/>
      <c r="R398" s="1012">
        <f ca="1">(SUM(R262:R291)*1000)</f>
        <v>627472.99999999255</v>
      </c>
    </row>
    <row r="399" spans="2:18" ht="15.75" customHeight="1" thickBot="1">
      <c r="B399" s="1302" t="s">
        <v>1036</v>
      </c>
      <c r="C399" s="2483">
        <f ca="1">((SUM(C324:D324)*1000)-$F$410)+I436</f>
        <v>502100.33333334001</v>
      </c>
      <c r="D399" s="2484"/>
      <c r="E399" s="1078">
        <f ca="1">(SUM(E293:E323)*1000)+I436</f>
        <v>5289588.3333333312</v>
      </c>
      <c r="F399" s="1203">
        <f>$F$410</f>
        <v>168888</v>
      </c>
      <c r="G399" s="1045">
        <v>0</v>
      </c>
      <c r="H399" s="1078">
        <f ca="1">(SUM(H293:H323)*1000)+I436</f>
        <v>1357588.3333333312</v>
      </c>
      <c r="I399" s="1078">
        <f ca="1">(SUM(I293:I323)*1000)+K399+I436</f>
        <v>4885902.8333333312</v>
      </c>
      <c r="J399" s="1045">
        <v>0</v>
      </c>
      <c r="K399" s="1045">
        <f ca="1">(SUM(K293:K323)*1000)</f>
        <v>4547000</v>
      </c>
      <c r="L399" s="1078">
        <f ca="1">(SUM(L293:L323)*1000)+I436</f>
        <v>235519.73333333092</v>
      </c>
      <c r="M399" s="1045">
        <v>0</v>
      </c>
      <c r="N399" s="1078">
        <f ca="1">(SUM(N293:N323)*1000)+I436</f>
        <v>459788.33333333384</v>
      </c>
      <c r="O399" s="1012">
        <f ca="1">(SUM(O293:O323)*1000)</f>
        <v>1023529.9999999874</v>
      </c>
      <c r="P399" s="1701" t="e">
        <f>(SUM(P293:P323)*1000)</f>
        <v>#REF!</v>
      </c>
      <c r="R399" s="1012">
        <f ca="1">(SUM(R293:R323))*1000</f>
        <v>685057.10000000137</v>
      </c>
    </row>
    <row r="400" spans="2:18" ht="15.75" customHeight="1" thickBot="1">
      <c r="B400" s="1302" t="s">
        <v>1192</v>
      </c>
      <c r="C400" s="2483">
        <f ca="1">((SUM(C355:D355)*1000)-$F$411)+I437</f>
        <v>-143889.99999999921</v>
      </c>
      <c r="D400" s="2484"/>
      <c r="E400" s="1078">
        <f ca="1">(SUM(E325:E354)*1000)+I437</f>
        <v>168750.00000000151</v>
      </c>
      <c r="F400" s="1203">
        <f>$F$411</f>
        <v>163440</v>
      </c>
      <c r="G400" s="1045">
        <v>0</v>
      </c>
      <c r="H400" s="1078">
        <f ca="1">(SUM(H325:H354)*1000)+I437</f>
        <v>44249.999999997868</v>
      </c>
      <c r="I400" s="1078">
        <f ca="1">(SUM(I325:I354)*1000)+K400+I437</f>
        <v>162411.49999999956</v>
      </c>
      <c r="J400" s="1045">
        <v>0</v>
      </c>
      <c r="K400" s="1045">
        <f ca="1">(SUM(K325:K354)*1000)</f>
        <v>151000</v>
      </c>
      <c r="L400" s="1078">
        <f ca="1">(SUM(L325:L354)*1000)+I437</f>
        <v>7576.8000000011543</v>
      </c>
      <c r="M400" s="1045">
        <v>0</v>
      </c>
      <c r="N400" s="1078">
        <f ca="1">(SUM(N325:N354)*1000)+I437</f>
        <v>15249.999999999687</v>
      </c>
      <c r="O400" s="1012">
        <f ca="1">(SUM(O325:O354)*1000)</f>
        <v>33300.000000004671</v>
      </c>
      <c r="P400" s="1701" t="e">
        <f>(SUM(P325:P354)*1000)</f>
        <v>#REF!</v>
      </c>
      <c r="R400" s="1012">
        <f ca="1">(SUM(R325:R354))*1000</f>
        <v>22211.69999999939</v>
      </c>
    </row>
    <row r="401" spans="2:18" ht="15.75" customHeight="1" thickBot="1">
      <c r="B401" s="1303" t="s">
        <v>1037</v>
      </c>
      <c r="C401" s="2483">
        <f ca="1">((SUM(C387:D387)*1000)-$F$410)+I438</f>
        <v>-168888</v>
      </c>
      <c r="D401" s="2484"/>
      <c r="E401" s="1078">
        <f ca="1">(SUM(E356:E386)*1000)+I438</f>
        <v>0</v>
      </c>
      <c r="F401" s="1203">
        <f>$F$410</f>
        <v>168888</v>
      </c>
      <c r="G401" s="1045">
        <v>0</v>
      </c>
      <c r="H401" s="1078">
        <f ca="1">(SUM(H356:H386)*1000)+I438</f>
        <v>0</v>
      </c>
      <c r="I401" s="1078">
        <f ca="1">(SUM(I356:I386)*1000)+K401+I438</f>
        <v>0</v>
      </c>
      <c r="J401" s="1045">
        <v>0</v>
      </c>
      <c r="K401" s="1045">
        <f ca="1">(SUM(K356:K386)*1000)</f>
        <v>0</v>
      </c>
      <c r="L401" s="1078">
        <f ca="1">(SUM(L356:L386)*1000)+I438</f>
        <v>0</v>
      </c>
      <c r="M401" s="1045">
        <v>0</v>
      </c>
      <c r="N401" s="1078">
        <f ca="1">(SUM(N356:N386)*1000)+I438</f>
        <v>0</v>
      </c>
      <c r="O401" s="1012">
        <f ca="1">(SUM(O356:O386)*1000)</f>
        <v>0</v>
      </c>
      <c r="P401" s="1701" t="e">
        <f>(SUM(P356:P386)*1000)</f>
        <v>#REF!</v>
      </c>
      <c r="R401" s="1012">
        <f ca="1">(SUM(R356:R386))*1000</f>
        <v>0</v>
      </c>
    </row>
    <row r="402" spans="2:18" ht="15" customHeight="1"/>
    <row r="403" spans="2:18" ht="15" customHeight="1"/>
    <row r="404" spans="2:18" ht="15" customHeight="1"/>
    <row r="405" spans="2:18" ht="15" customHeight="1"/>
    <row r="407" spans="2:18" ht="15" thickBot="1"/>
    <row r="408" spans="2:18" ht="15" thickBot="1">
      <c r="C408" s="1296" t="s">
        <v>1078</v>
      </c>
      <c r="E408" s="2505" t="s">
        <v>1114</v>
      </c>
      <c r="F408" s="2505" t="s">
        <v>1118</v>
      </c>
      <c r="G408" s="2505" t="s">
        <v>1114</v>
      </c>
      <c r="H408" s="2505" t="s">
        <v>1119</v>
      </c>
      <c r="I408" s="2505" t="s">
        <v>1114</v>
      </c>
      <c r="J408" s="2505" t="s">
        <v>1129</v>
      </c>
      <c r="K408" s="2505" t="s">
        <v>1130</v>
      </c>
      <c r="M408" s="2501" t="s">
        <v>1122</v>
      </c>
      <c r="N408" s="2502"/>
    </row>
    <row r="409" spans="2:18" ht="15" thickBot="1">
      <c r="B409" s="8" t="s">
        <v>1013</v>
      </c>
      <c r="C409" s="1297">
        <f ca="1">(Q42*1000)+I427</f>
        <v>330211.16666666232</v>
      </c>
      <c r="E409" s="2506"/>
      <c r="F409" s="2506"/>
      <c r="G409" s="2506"/>
      <c r="H409" s="2506"/>
      <c r="I409" s="2506"/>
      <c r="J409" s="2506"/>
      <c r="K409" s="2506"/>
      <c r="M409" s="2503"/>
      <c r="N409" s="2504"/>
    </row>
    <row r="410" spans="2:18" ht="15" thickBot="1">
      <c r="B410" s="220" t="s">
        <v>1014</v>
      </c>
      <c r="C410" s="1298">
        <f ca="1">(Q71*1000)+I428</f>
        <v>292291.00000001304</v>
      </c>
      <c r="E410" s="1006" t="s">
        <v>1126</v>
      </c>
      <c r="F410" s="1005">
        <f>227*24*31</f>
        <v>168888</v>
      </c>
      <c r="G410" s="1006" t="s">
        <v>1126</v>
      </c>
      <c r="H410" s="1005">
        <f>353*24*31</f>
        <v>262632</v>
      </c>
      <c r="I410" s="1006" t="s">
        <v>1126</v>
      </c>
      <c r="J410" s="1005">
        <f>116*24*31</f>
        <v>86304</v>
      </c>
      <c r="K410" s="1005">
        <f>78*24*31</f>
        <v>58032</v>
      </c>
      <c r="M410" s="1046" t="s">
        <v>1013</v>
      </c>
      <c r="N410" s="1084">
        <f t="shared" ref="N410:N421" ca="1" si="12">SUM(C390+E390+F390+H390+I390+L390+N390+R390)</f>
        <v>13554626.999999968</v>
      </c>
      <c r="O410" s="749"/>
    </row>
    <row r="411" spans="2:18" ht="15.75" customHeight="1" thickBot="1">
      <c r="B411" s="220" t="s">
        <v>1015</v>
      </c>
      <c r="C411" s="1298">
        <f ca="1">(Q103*1000)+I429</f>
        <v>330341.99999999302</v>
      </c>
      <c r="E411" s="1006" t="s">
        <v>1125</v>
      </c>
      <c r="F411" s="1005">
        <f>227*24*30</f>
        <v>163440</v>
      </c>
      <c r="G411" s="1006" t="s">
        <v>1127</v>
      </c>
      <c r="H411" s="1005">
        <f>353*24*30</f>
        <v>254160</v>
      </c>
      <c r="I411" s="1006" t="s">
        <v>1127</v>
      </c>
      <c r="J411" s="1005">
        <f>116*24*30</f>
        <v>83520</v>
      </c>
      <c r="K411" s="1005">
        <f>78*24*30</f>
        <v>56160</v>
      </c>
      <c r="M411" s="1019" t="s">
        <v>1014</v>
      </c>
      <c r="N411" s="1249">
        <f t="shared" ca="1" si="12"/>
        <v>12240734.00000003</v>
      </c>
    </row>
    <row r="412" spans="2:18" ht="15" customHeight="1" thickBot="1">
      <c r="B412" s="220" t="s">
        <v>1016</v>
      </c>
      <c r="C412" s="1298">
        <f ca="1">(Q134*1000)+I430</f>
        <v>311162.16666666314</v>
      </c>
      <c r="E412" s="1006" t="s">
        <v>1312</v>
      </c>
      <c r="F412" s="1005">
        <f>227*24*29</f>
        <v>157992</v>
      </c>
      <c r="G412" s="1006" t="s">
        <v>1313</v>
      </c>
      <c r="H412" s="1005">
        <f>353*24*28</f>
        <v>237216</v>
      </c>
      <c r="I412" s="1006" t="s">
        <v>1313</v>
      </c>
      <c r="J412" s="1005">
        <f>116*24*29</f>
        <v>80736</v>
      </c>
      <c r="K412" s="1005">
        <f>78*24*29</f>
        <v>54288</v>
      </c>
      <c r="M412" s="1019" t="s">
        <v>1015</v>
      </c>
      <c r="N412" s="1084">
        <f t="shared" ca="1" si="12"/>
        <v>13729963.999999966</v>
      </c>
    </row>
    <row r="413" spans="2:18" ht="15" thickBot="1">
      <c r="B413" s="220" t="s">
        <v>1017</v>
      </c>
      <c r="C413" s="1298">
        <f ca="1">(Q166*1000)+I431</f>
        <v>335461.16666665499</v>
      </c>
      <c r="E413" s="1006" t="s">
        <v>1134</v>
      </c>
      <c r="F413" s="1005">
        <f>227*24*10</f>
        <v>54480</v>
      </c>
      <c r="G413" s="1006" t="s">
        <v>1247</v>
      </c>
      <c r="H413" s="1005">
        <f>353*24*10</f>
        <v>84720</v>
      </c>
      <c r="I413" s="1006" t="s">
        <v>1247</v>
      </c>
      <c r="J413" s="1005">
        <f>116*24*10</f>
        <v>27840</v>
      </c>
      <c r="K413" s="1005">
        <f>78*24*10</f>
        <v>18720</v>
      </c>
      <c r="M413" s="1019" t="s">
        <v>1016</v>
      </c>
      <c r="N413" s="1084">
        <f t="shared" ca="1" si="12"/>
        <v>13154943.000000026</v>
      </c>
    </row>
    <row r="414" spans="2:18" ht="15" thickBot="1">
      <c r="B414" s="220" t="s">
        <v>1018</v>
      </c>
      <c r="C414" s="1298">
        <f ca="1">(Q197*1000)+I432</f>
        <v>315359.16666667018</v>
      </c>
      <c r="E414" s="1006" t="s">
        <v>1174</v>
      </c>
      <c r="F414" s="1005">
        <f>227*24*20</f>
        <v>108960</v>
      </c>
      <c r="G414" s="1006" t="s">
        <v>1248</v>
      </c>
      <c r="H414" s="1005">
        <f>353*24*20</f>
        <v>169440</v>
      </c>
      <c r="I414" s="1006" t="s">
        <v>1248</v>
      </c>
      <c r="J414" s="1005">
        <f>116*24*20</f>
        <v>55680</v>
      </c>
      <c r="K414" s="1005">
        <f>78*24*20</f>
        <v>37440</v>
      </c>
      <c r="M414" s="1019" t="s">
        <v>1017</v>
      </c>
      <c r="N414" s="1084">
        <f t="shared" ca="1" si="12"/>
        <v>13126246.999999974</v>
      </c>
    </row>
    <row r="415" spans="2:18" ht="15" thickBot="1">
      <c r="B415" s="220" t="s">
        <v>971</v>
      </c>
      <c r="C415" s="1298">
        <f ca="1">(Q229*1000)+I433</f>
        <v>316644.1666666661</v>
      </c>
      <c r="I415" s="420"/>
      <c r="M415" s="1007" t="s">
        <v>1018</v>
      </c>
      <c r="N415" s="1084">
        <f t="shared" ca="1" si="12"/>
        <v>13131652</v>
      </c>
    </row>
    <row r="416" spans="2:18" ht="15" thickBot="1">
      <c r="B416" s="220" t="s">
        <v>972</v>
      </c>
      <c r="C416" s="1298">
        <f ca="1">(Q261*1000)+I434</f>
        <v>331811.33333333512</v>
      </c>
      <c r="M416" s="1020" t="s">
        <v>971</v>
      </c>
      <c r="N416" s="1112">
        <f t="shared" ca="1" si="12"/>
        <v>13567968.000000002</v>
      </c>
    </row>
    <row r="417" spans="2:14" ht="15" thickBot="1">
      <c r="B417" s="220" t="s">
        <v>1035</v>
      </c>
      <c r="C417" s="1298">
        <f ca="1">(Q292*1000)+I435</f>
        <v>337508.16666666407</v>
      </c>
      <c r="M417" s="1020" t="s">
        <v>972</v>
      </c>
      <c r="N417" s="1071">
        <f t="shared" ca="1" si="12"/>
        <v>13829668.000000048</v>
      </c>
    </row>
    <row r="418" spans="2:14" ht="15" thickBot="1">
      <c r="B418" s="220" t="s">
        <v>1036</v>
      </c>
      <c r="C418" s="1298">
        <f ca="1">(Q324*1000)+I436</f>
        <v>329588.33333333128</v>
      </c>
      <c r="M418" s="1020" t="s">
        <v>1035</v>
      </c>
      <c r="N418" s="1071">
        <f t="shared" ca="1" si="12"/>
        <v>13358048.999999952</v>
      </c>
    </row>
    <row r="419" spans="2:14" ht="15" thickBot="1">
      <c r="B419" s="220" t="s">
        <v>1192</v>
      </c>
      <c r="C419" s="1298">
        <f ca="1">(Q355*1000)+I437</f>
        <v>11550.000000000779</v>
      </c>
      <c r="M419" s="1020" t="s">
        <v>1036</v>
      </c>
      <c r="N419" s="1112">
        <f t="shared" ca="1" si="12"/>
        <v>13584433</v>
      </c>
    </row>
    <row r="420" spans="2:14" ht="15" thickBot="1">
      <c r="B420" s="220" t="s">
        <v>1037</v>
      </c>
      <c r="C420" s="1298">
        <f ca="1">(Q387*1000)+I438</f>
        <v>0</v>
      </c>
      <c r="M420" s="1008" t="s">
        <v>1192</v>
      </c>
      <c r="N420" s="1112">
        <f t="shared" ca="1" si="12"/>
        <v>440000</v>
      </c>
    </row>
    <row r="421" spans="2:14" ht="15" thickBot="1">
      <c r="B421" s="1069" t="s">
        <v>907</v>
      </c>
      <c r="C421" s="1299">
        <f ca="1">SUM(C409:C420)</f>
        <v>3241928.6666666539</v>
      </c>
      <c r="M421" s="1056" t="s">
        <v>1037</v>
      </c>
      <c r="N421" s="1300">
        <f t="shared" ca="1" si="12"/>
        <v>0</v>
      </c>
    </row>
    <row r="422" spans="2:14">
      <c r="B422" s="1013"/>
      <c r="C422" s="1048"/>
    </row>
    <row r="423" spans="2:14">
      <c r="B423" s="1013"/>
    </row>
    <row r="424" spans="2:14" ht="15" thickBot="1">
      <c r="B424" s="1013"/>
    </row>
    <row r="425" spans="2:14" ht="19.5" customHeight="1">
      <c r="B425" s="1013"/>
      <c r="C425" s="2505" t="s">
        <v>1120</v>
      </c>
      <c r="D425" s="2505" t="s">
        <v>1117</v>
      </c>
      <c r="E425" s="2505" t="s">
        <v>1121</v>
      </c>
      <c r="F425" s="2505" t="s">
        <v>1131</v>
      </c>
      <c r="G425" s="2507" t="s">
        <v>195</v>
      </c>
      <c r="H425" s="2507" t="s">
        <v>162</v>
      </c>
      <c r="I425" s="2507" t="s">
        <v>1151</v>
      </c>
    </row>
    <row r="426" spans="2:14" ht="18.75" customHeight="1" thickBot="1">
      <c r="B426" s="1013"/>
      <c r="C426" s="2506"/>
      <c r="D426" s="2506"/>
      <c r="E426" s="2506"/>
      <c r="F426" s="2506"/>
      <c r="G426" s="2508"/>
      <c r="H426" s="2508"/>
      <c r="I426" s="2508"/>
    </row>
    <row r="427" spans="2:14">
      <c r="B427" s="8" t="s">
        <v>1013</v>
      </c>
      <c r="C427" s="1720">
        <f ca="1">(F410+H410+J410+K410+C409)</f>
        <v>906067.16666666232</v>
      </c>
      <c r="D427" s="1721">
        <v>0.125</v>
      </c>
      <c r="E427" s="1722">
        <f t="shared" ref="E427:E438" ca="1" si="13">C427*D427</f>
        <v>113258.39583333279</v>
      </c>
      <c r="F427" s="695">
        <f t="shared" ref="F427:F434" ca="1" si="14">E427/7</f>
        <v>16179.770833333256</v>
      </c>
      <c r="G427" s="1723">
        <f ca="1">K390</f>
        <v>4240000</v>
      </c>
      <c r="H427" s="1723">
        <f ca="1">O390</f>
        <v>1030866.999999965</v>
      </c>
      <c r="I427" s="1724">
        <f t="shared" ref="I427:I432" ca="1" si="15">H427/6</f>
        <v>171811.16666666084</v>
      </c>
      <c r="K427" s="563">
        <f ca="1">+I427/H427</f>
        <v>0.16666666666666669</v>
      </c>
    </row>
    <row r="428" spans="2:14">
      <c r="B428" s="220" t="s">
        <v>1014</v>
      </c>
      <c r="C428" s="1725">
        <f ca="1">(F410+H410+J410+K410+C410)</f>
        <v>868147.00000001304</v>
      </c>
      <c r="D428" s="1726">
        <v>0.125</v>
      </c>
      <c r="E428" s="1028">
        <f ca="1">C428*D428</f>
        <v>108518.37500000163</v>
      </c>
      <c r="F428" s="1052">
        <f t="shared" ca="1" si="14"/>
        <v>15502.625000000233</v>
      </c>
      <c r="G428" s="1057">
        <f t="shared" ref="G428:G438" ca="1" si="16">K391</f>
        <v>4044000</v>
      </c>
      <c r="H428" s="1057">
        <f t="shared" ref="H428:H438" ca="1" si="17">O391</f>
        <v>928884.0000000844</v>
      </c>
      <c r="I428" s="1727">
        <f t="shared" ca="1" si="15"/>
        <v>154814.00000001406</v>
      </c>
    </row>
    <row r="429" spans="2:14" ht="15" customHeight="1">
      <c r="B429" s="220" t="s">
        <v>1015</v>
      </c>
      <c r="C429" s="1725">
        <f ca="1">(F410+H410+J410+K410+C411)</f>
        <v>906197.99999999302</v>
      </c>
      <c r="D429" s="1726">
        <v>0.125</v>
      </c>
      <c r="E429" s="1028">
        <f ca="1">C429*D429</f>
        <v>113274.74999999913</v>
      </c>
      <c r="F429" s="1052">
        <f t="shared" ca="1" si="14"/>
        <v>16182.107142857018</v>
      </c>
      <c r="G429" s="1057">
        <f t="shared" ca="1" si="16"/>
        <v>4448000</v>
      </c>
      <c r="H429" s="1057">
        <f ca="1">O392</f>
        <v>1083113.9999999343</v>
      </c>
      <c r="I429" s="1727">
        <f t="shared" ca="1" si="15"/>
        <v>180518.99999998906</v>
      </c>
    </row>
    <row r="430" spans="2:14">
      <c r="B430" s="220" t="s">
        <v>1016</v>
      </c>
      <c r="C430" s="1725">
        <f ca="1">(F411+H411+J411+K411+C412)</f>
        <v>868442.16666666314</v>
      </c>
      <c r="D430" s="1726">
        <v>0.125</v>
      </c>
      <c r="E430" s="1028">
        <f ca="1">C430*D430</f>
        <v>108555.27083333289</v>
      </c>
      <c r="F430" s="1052">
        <f t="shared" ca="1" si="14"/>
        <v>15507.89583333327</v>
      </c>
      <c r="G430" s="1057">
        <f t="shared" ca="1" si="16"/>
        <v>4297200.0000000112</v>
      </c>
      <c r="H430" s="1057">
        <f t="shared" ca="1" si="17"/>
        <v>1024572.9999999701</v>
      </c>
      <c r="I430" s="1727">
        <f t="shared" ca="1" si="15"/>
        <v>170762.16666666168</v>
      </c>
    </row>
    <row r="431" spans="2:14">
      <c r="B431" s="220" t="s">
        <v>1017</v>
      </c>
      <c r="C431" s="1725">
        <f ca="1">(F410+H410+J410+K410+C413)</f>
        <v>911317.16666665499</v>
      </c>
      <c r="D431" s="1726">
        <v>0.125</v>
      </c>
      <c r="E431" s="1028">
        <f t="shared" ca="1" si="13"/>
        <v>113914.64583333187</v>
      </c>
      <c r="F431" s="1052">
        <f ca="1">E431/7</f>
        <v>16273.520833333125</v>
      </c>
      <c r="G431" s="1057">
        <f t="shared" ca="1" si="16"/>
        <v>4650799.9999999888</v>
      </c>
      <c r="H431" s="1057">
        <f t="shared" ca="1" si="17"/>
        <v>1060566.9999999471</v>
      </c>
      <c r="I431" s="1727">
        <f t="shared" ca="1" si="15"/>
        <v>176761.16666665787</v>
      </c>
    </row>
    <row r="432" spans="2:14">
      <c r="B432" s="220" t="s">
        <v>1018</v>
      </c>
      <c r="C432" s="1725">
        <f ca="1">(F411+H411+J411+K411+C414)</f>
        <v>872639.16666667024</v>
      </c>
      <c r="D432" s="1726">
        <v>0.125</v>
      </c>
      <c r="E432" s="1028">
        <f t="shared" ca="1" si="13"/>
        <v>109079.89583333378</v>
      </c>
      <c r="F432" s="1052">
        <f t="shared" ca="1" si="14"/>
        <v>15582.842261904825</v>
      </c>
      <c r="G432" s="1057">
        <f t="shared" ca="1" si="16"/>
        <v>4468409.9999999739</v>
      </c>
      <c r="H432" s="1057">
        <f t="shared" ca="1" si="17"/>
        <v>1018099.0000000242</v>
      </c>
      <c r="I432" s="1727">
        <f t="shared" ca="1" si="15"/>
        <v>169683.1666666707</v>
      </c>
    </row>
    <row r="433" spans="2:9">
      <c r="B433" s="220" t="s">
        <v>971</v>
      </c>
      <c r="C433" s="1725">
        <f ca="1">(F410+H410+J410+K410+C415)</f>
        <v>892500.16666666605</v>
      </c>
      <c r="D433" s="1726">
        <v>0.125</v>
      </c>
      <c r="E433" s="1028">
        <f t="shared" ca="1" si="13"/>
        <v>111562.52083333326</v>
      </c>
      <c r="F433" s="1052">
        <f t="shared" ca="1" si="14"/>
        <v>15937.502976190464</v>
      </c>
      <c r="G433" s="1057">
        <f t="shared" ca="1" si="16"/>
        <v>4584590.0000000261</v>
      </c>
      <c r="H433" s="1057">
        <f t="shared" ca="1" si="17"/>
        <v>1033920.9999999935</v>
      </c>
      <c r="I433" s="1727">
        <f t="shared" ref="I433:I438" ca="1" si="18">H433/6</f>
        <v>172320.16666666558</v>
      </c>
    </row>
    <row r="434" spans="2:9">
      <c r="B434" s="220" t="s">
        <v>972</v>
      </c>
      <c r="C434" s="1725">
        <f ca="1">(F410+H410+J410+K410+C416)</f>
        <v>907667.33333333512</v>
      </c>
      <c r="D434" s="1726">
        <v>0.125</v>
      </c>
      <c r="E434" s="1028">
        <f t="shared" ca="1" si="13"/>
        <v>113458.41666666689</v>
      </c>
      <c r="F434" s="1052">
        <f t="shared" ca="1" si="14"/>
        <v>16208.345238095269</v>
      </c>
      <c r="G434" s="1057">
        <f t="shared" ca="1" si="16"/>
        <v>4646700.0000000112</v>
      </c>
      <c r="H434" s="1057">
        <f t="shared" ca="1" si="17"/>
        <v>1087868.0000000107</v>
      </c>
      <c r="I434" s="1728">
        <f t="shared" ca="1" si="18"/>
        <v>181311.33333333512</v>
      </c>
    </row>
    <row r="435" spans="2:9">
      <c r="B435" s="220" t="s">
        <v>1035</v>
      </c>
      <c r="C435" s="1725">
        <f ca="1">(F411+H411+J411+K411+C417)</f>
        <v>894788.16666666407</v>
      </c>
      <c r="D435" s="1726">
        <v>0.125</v>
      </c>
      <c r="E435" s="1028">
        <f t="shared" ca="1" si="13"/>
        <v>111848.52083333301</v>
      </c>
      <c r="F435" s="1052">
        <f ca="1">E435/7</f>
        <v>15978.360119047573</v>
      </c>
      <c r="G435" s="1057">
        <f t="shared" ca="1" si="16"/>
        <v>4467299.9999999888</v>
      </c>
      <c r="H435" s="1057">
        <f t="shared" ca="1" si="17"/>
        <v>1104048.9999999846</v>
      </c>
      <c r="I435" s="1727">
        <f t="shared" ca="1" si="18"/>
        <v>184008.1666666641</v>
      </c>
    </row>
    <row r="436" spans="2:9">
      <c r="B436" s="220" t="s">
        <v>1036</v>
      </c>
      <c r="C436" s="1725">
        <f ca="1">(F410+H410+J410+K410+C418)</f>
        <v>905444.33333333128</v>
      </c>
      <c r="D436" s="1726">
        <v>0.125</v>
      </c>
      <c r="E436" s="1028">
        <f t="shared" ca="1" si="13"/>
        <v>113180.54166666641</v>
      </c>
      <c r="F436" s="1052">
        <f ca="1">E436/7</f>
        <v>16168.648809523773</v>
      </c>
      <c r="G436" s="1057">
        <f t="shared" ca="1" si="16"/>
        <v>4547000</v>
      </c>
      <c r="H436" s="1057">
        <f t="shared" ca="1" si="17"/>
        <v>1023529.9999999874</v>
      </c>
      <c r="I436" s="1727">
        <f t="shared" ca="1" si="18"/>
        <v>170588.33333333125</v>
      </c>
    </row>
    <row r="437" spans="2:9">
      <c r="B437" s="220" t="s">
        <v>1192</v>
      </c>
      <c r="C437" s="1725">
        <f ca="1">(F411+H411+J411+K411+C419)</f>
        <v>568830.00000000081</v>
      </c>
      <c r="D437" s="1726">
        <v>0.125</v>
      </c>
      <c r="E437" s="1028">
        <f t="shared" ca="1" si="13"/>
        <v>71103.750000000102</v>
      </c>
      <c r="F437" s="1052">
        <f ca="1">E437/7</f>
        <v>10157.678571428585</v>
      </c>
      <c r="G437" s="1057">
        <f t="shared" ca="1" si="16"/>
        <v>151000</v>
      </c>
      <c r="H437" s="1057">
        <f t="shared" ca="1" si="17"/>
        <v>33300.000000004671</v>
      </c>
      <c r="I437" s="1727">
        <f t="shared" ca="1" si="18"/>
        <v>5550.0000000007785</v>
      </c>
    </row>
    <row r="438" spans="2:9" ht="15" thickBot="1">
      <c r="B438" s="1069" t="s">
        <v>1037</v>
      </c>
      <c r="C438" s="1729">
        <f ca="1">(F410+H410+J410+K410+C420)</f>
        <v>575856</v>
      </c>
      <c r="D438" s="1730">
        <v>0.125</v>
      </c>
      <c r="E438" s="1731">
        <f t="shared" ca="1" si="13"/>
        <v>71982</v>
      </c>
      <c r="F438" s="1732">
        <f ca="1">E438/7</f>
        <v>10283.142857142857</v>
      </c>
      <c r="G438" s="1733">
        <f t="shared" ca="1" si="16"/>
        <v>0</v>
      </c>
      <c r="H438" s="1733">
        <f t="shared" ca="1" si="17"/>
        <v>0</v>
      </c>
      <c r="I438" s="1734">
        <f t="shared" ca="1" si="18"/>
        <v>0</v>
      </c>
    </row>
  </sheetData>
  <mergeCells count="35">
    <mergeCell ref="M408:N409"/>
    <mergeCell ref="C425:C426"/>
    <mergeCell ref="D425:D426"/>
    <mergeCell ref="E425:E426"/>
    <mergeCell ref="F425:F426"/>
    <mergeCell ref="G425:G426"/>
    <mergeCell ref="H425:H426"/>
    <mergeCell ref="I425:I426"/>
    <mergeCell ref="G408:G409"/>
    <mergeCell ref="H408:H409"/>
    <mergeCell ref="I408:I409"/>
    <mergeCell ref="J408:J409"/>
    <mergeCell ref="K408:K409"/>
    <mergeCell ref="E408:E409"/>
    <mergeCell ref="F408:F409"/>
    <mergeCell ref="C400:D400"/>
    <mergeCell ref="C401:D401"/>
    <mergeCell ref="C392:D392"/>
    <mergeCell ref="C393:D393"/>
    <mergeCell ref="C394:D394"/>
    <mergeCell ref="C395:D395"/>
    <mergeCell ref="C396:D396"/>
    <mergeCell ref="F2:O5"/>
    <mergeCell ref="P2:R5"/>
    <mergeCell ref="C397:D397"/>
    <mergeCell ref="C398:D398"/>
    <mergeCell ref="C399:D399"/>
    <mergeCell ref="C7:O7"/>
    <mergeCell ref="C6:O6"/>
    <mergeCell ref="B2:E5"/>
    <mergeCell ref="B8:B10"/>
    <mergeCell ref="C8:D8"/>
    <mergeCell ref="C9:D9"/>
    <mergeCell ref="C390:D390"/>
    <mergeCell ref="C391:D391"/>
  </mergeCells>
  <pageMargins left="0.7" right="0.7" top="0.75" bottom="0.75" header="0.3" footer="0.3"/>
  <pageSetup orientation="portrait" r:id="rId1"/>
  <ignoredErrors>
    <ignoredError sqref="F134 C428 F398:F399 F393:F397 F400:F401 F103 F391" formula="1"/>
    <ignoredError sqref="R262:R291" evalError="1"/>
  </ignoredErrors>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B1:AC407"/>
  <sheetViews>
    <sheetView showGridLines="0" zoomScale="60" zoomScaleNormal="60" workbookViewId="0">
      <pane xSplit="2" ySplit="10" topLeftCell="C388" activePane="bottomRight" state="frozen"/>
      <selection activeCell="U363" sqref="U363"/>
      <selection pane="topRight" activeCell="U363" sqref="U363"/>
      <selection pane="bottomLeft" activeCell="U363" sqref="U363"/>
      <selection pane="bottomRight" activeCell="M287" sqref="M287"/>
    </sheetView>
  </sheetViews>
  <sheetFormatPr baseColWidth="10" defaultColWidth="9.1796875" defaultRowHeight="14.5"/>
  <cols>
    <col min="1" max="1" width="0.81640625" style="1" customWidth="1"/>
    <col min="2" max="7" width="12.453125" style="1" customWidth="1"/>
    <col min="8" max="10" width="18.54296875" style="1" customWidth="1"/>
    <col min="11" max="11" width="20.81640625" style="1110" customWidth="1"/>
    <col min="12" max="16" width="18.54296875" style="1" customWidth="1"/>
    <col min="17" max="17" width="20.81640625" style="1" customWidth="1"/>
    <col min="18" max="18" width="18.81640625" style="1" customWidth="1"/>
    <col min="19" max="25" width="12.453125" style="1" customWidth="1"/>
    <col min="26" max="26" width="15.453125" style="1" customWidth="1"/>
    <col min="27" max="27" width="16" style="1" customWidth="1"/>
    <col min="28" max="28" width="20.453125" style="1" customWidth="1"/>
    <col min="29" max="29" width="14.453125" style="1" customWidth="1"/>
    <col min="30" max="189" width="9.1796875" style="1"/>
    <col min="190" max="190" width="0.81640625" style="1" customWidth="1"/>
    <col min="191" max="191" width="11.453125" style="1" bestFit="1" customWidth="1"/>
    <col min="192" max="192" width="13.453125" style="1" customWidth="1"/>
    <col min="193" max="195" width="13.1796875" style="1" customWidth="1"/>
    <col min="196" max="209" width="13.453125" style="1" customWidth="1"/>
    <col min="210" max="210" width="14" style="1" customWidth="1"/>
    <col min="211" max="211" width="13.54296875" style="1" customWidth="1"/>
    <col min="212" max="212" width="48.453125" style="1" customWidth="1"/>
    <col min="213" max="445" width="9.1796875" style="1"/>
    <col min="446" max="446" width="0.81640625" style="1" customWidth="1"/>
    <col min="447" max="447" width="11.453125" style="1" bestFit="1" customWidth="1"/>
    <col min="448" max="448" width="13.453125" style="1" customWidth="1"/>
    <col min="449" max="451" width="13.1796875" style="1" customWidth="1"/>
    <col min="452" max="465" width="13.453125" style="1" customWidth="1"/>
    <col min="466" max="466" width="14" style="1" customWidth="1"/>
    <col min="467" max="467" width="13.54296875" style="1" customWidth="1"/>
    <col min="468" max="468" width="48.453125" style="1" customWidth="1"/>
    <col min="469" max="701" width="9.1796875" style="1"/>
    <col min="702" max="702" width="0.81640625" style="1" customWidth="1"/>
    <col min="703" max="703" width="11.453125" style="1" bestFit="1" customWidth="1"/>
    <col min="704" max="704" width="13.453125" style="1" customWidth="1"/>
    <col min="705" max="707" width="13.1796875" style="1" customWidth="1"/>
    <col min="708" max="721" width="13.453125" style="1" customWidth="1"/>
    <col min="722" max="722" width="14" style="1" customWidth="1"/>
    <col min="723" max="723" width="13.54296875" style="1" customWidth="1"/>
    <col min="724" max="724" width="48.453125" style="1" customWidth="1"/>
    <col min="725" max="957" width="9.1796875" style="1"/>
    <col min="958" max="958" width="0.81640625" style="1" customWidth="1"/>
    <col min="959" max="959" width="11.453125" style="1" bestFit="1" customWidth="1"/>
    <col min="960" max="960" width="13.453125" style="1" customWidth="1"/>
    <col min="961" max="963" width="13.1796875" style="1" customWidth="1"/>
    <col min="964" max="977" width="13.453125" style="1" customWidth="1"/>
    <col min="978" max="978" width="14" style="1" customWidth="1"/>
    <col min="979" max="979" width="13.54296875" style="1" customWidth="1"/>
    <col min="980" max="980" width="48.453125" style="1" customWidth="1"/>
    <col min="981" max="1213" width="9.1796875" style="1"/>
    <col min="1214" max="1214" width="0.81640625" style="1" customWidth="1"/>
    <col min="1215" max="1215" width="11.453125" style="1" bestFit="1" customWidth="1"/>
    <col min="1216" max="1216" width="13.453125" style="1" customWidth="1"/>
    <col min="1217" max="1219" width="13.1796875" style="1" customWidth="1"/>
    <col min="1220" max="1233" width="13.453125" style="1" customWidth="1"/>
    <col min="1234" max="1234" width="14" style="1" customWidth="1"/>
    <col min="1235" max="1235" width="13.54296875" style="1" customWidth="1"/>
    <col min="1236" max="1236" width="48.453125" style="1" customWidth="1"/>
    <col min="1237" max="1469" width="9.1796875" style="1"/>
    <col min="1470" max="1470" width="0.81640625" style="1" customWidth="1"/>
    <col min="1471" max="1471" width="11.453125" style="1" bestFit="1" customWidth="1"/>
    <col min="1472" max="1472" width="13.453125" style="1" customWidth="1"/>
    <col min="1473" max="1475" width="13.1796875" style="1" customWidth="1"/>
    <col min="1476" max="1489" width="13.453125" style="1" customWidth="1"/>
    <col min="1490" max="1490" width="14" style="1" customWidth="1"/>
    <col min="1491" max="1491" width="13.54296875" style="1" customWidth="1"/>
    <col min="1492" max="1492" width="48.453125" style="1" customWidth="1"/>
    <col min="1493" max="1725" width="9.1796875" style="1"/>
    <col min="1726" max="1726" width="0.81640625" style="1" customWidth="1"/>
    <col min="1727" max="1727" width="11.453125" style="1" bestFit="1" customWidth="1"/>
    <col min="1728" max="1728" width="13.453125" style="1" customWidth="1"/>
    <col min="1729" max="1731" width="13.1796875" style="1" customWidth="1"/>
    <col min="1732" max="1745" width="13.453125" style="1" customWidth="1"/>
    <col min="1746" max="1746" width="14" style="1" customWidth="1"/>
    <col min="1747" max="1747" width="13.54296875" style="1" customWidth="1"/>
    <col min="1748" max="1748" width="48.453125" style="1" customWidth="1"/>
    <col min="1749" max="1981" width="9.1796875" style="1"/>
    <col min="1982" max="1982" width="0.81640625" style="1" customWidth="1"/>
    <col min="1983" max="1983" width="11.453125" style="1" bestFit="1" customWidth="1"/>
    <col min="1984" max="1984" width="13.453125" style="1" customWidth="1"/>
    <col min="1985" max="1987" width="13.1796875" style="1" customWidth="1"/>
    <col min="1988" max="2001" width="13.453125" style="1" customWidth="1"/>
    <col min="2002" max="2002" width="14" style="1" customWidth="1"/>
    <col min="2003" max="2003" width="13.54296875" style="1" customWidth="1"/>
    <col min="2004" max="2004" width="48.453125" style="1" customWidth="1"/>
    <col min="2005" max="2237" width="9.1796875" style="1"/>
    <col min="2238" max="2238" width="0.81640625" style="1" customWidth="1"/>
    <col min="2239" max="2239" width="11.453125" style="1" bestFit="1" customWidth="1"/>
    <col min="2240" max="2240" width="13.453125" style="1" customWidth="1"/>
    <col min="2241" max="2243" width="13.1796875" style="1" customWidth="1"/>
    <col min="2244" max="2257" width="13.453125" style="1" customWidth="1"/>
    <col min="2258" max="2258" width="14" style="1" customWidth="1"/>
    <col min="2259" max="2259" width="13.54296875" style="1" customWidth="1"/>
    <col min="2260" max="2260" width="48.453125" style="1" customWidth="1"/>
    <col min="2261" max="2493" width="9.1796875" style="1"/>
    <col min="2494" max="2494" width="0.81640625" style="1" customWidth="1"/>
    <col min="2495" max="2495" width="11.453125" style="1" bestFit="1" customWidth="1"/>
    <col min="2496" max="2496" width="13.453125" style="1" customWidth="1"/>
    <col min="2497" max="2499" width="13.1796875" style="1" customWidth="1"/>
    <col min="2500" max="2513" width="13.453125" style="1" customWidth="1"/>
    <col min="2514" max="2514" width="14" style="1" customWidth="1"/>
    <col min="2515" max="2515" width="13.54296875" style="1" customWidth="1"/>
    <col min="2516" max="2516" width="48.453125" style="1" customWidth="1"/>
    <col min="2517" max="2749" width="9.1796875" style="1"/>
    <col min="2750" max="2750" width="0.81640625" style="1" customWidth="1"/>
    <col min="2751" max="2751" width="11.453125" style="1" bestFit="1" customWidth="1"/>
    <col min="2752" max="2752" width="13.453125" style="1" customWidth="1"/>
    <col min="2753" max="2755" width="13.1796875" style="1" customWidth="1"/>
    <col min="2756" max="2769" width="13.453125" style="1" customWidth="1"/>
    <col min="2770" max="2770" width="14" style="1" customWidth="1"/>
    <col min="2771" max="2771" width="13.54296875" style="1" customWidth="1"/>
    <col min="2772" max="2772" width="48.453125" style="1" customWidth="1"/>
    <col min="2773" max="3005" width="9.1796875" style="1"/>
    <col min="3006" max="3006" width="0.81640625" style="1" customWidth="1"/>
    <col min="3007" max="3007" width="11.453125" style="1" bestFit="1" customWidth="1"/>
    <col min="3008" max="3008" width="13.453125" style="1" customWidth="1"/>
    <col min="3009" max="3011" width="13.1796875" style="1" customWidth="1"/>
    <col min="3012" max="3025" width="13.453125" style="1" customWidth="1"/>
    <col min="3026" max="3026" width="14" style="1" customWidth="1"/>
    <col min="3027" max="3027" width="13.54296875" style="1" customWidth="1"/>
    <col min="3028" max="3028" width="48.453125" style="1" customWidth="1"/>
    <col min="3029" max="3261" width="9.1796875" style="1"/>
    <col min="3262" max="3262" width="0.81640625" style="1" customWidth="1"/>
    <col min="3263" max="3263" width="11.453125" style="1" bestFit="1" customWidth="1"/>
    <col min="3264" max="3264" width="13.453125" style="1" customWidth="1"/>
    <col min="3265" max="3267" width="13.1796875" style="1" customWidth="1"/>
    <col min="3268" max="3281" width="13.453125" style="1" customWidth="1"/>
    <col min="3282" max="3282" width="14" style="1" customWidth="1"/>
    <col min="3283" max="3283" width="13.54296875" style="1" customWidth="1"/>
    <col min="3284" max="3284" width="48.453125" style="1" customWidth="1"/>
    <col min="3285" max="3517" width="9.1796875" style="1"/>
    <col min="3518" max="3518" width="0.81640625" style="1" customWidth="1"/>
    <col min="3519" max="3519" width="11.453125" style="1" bestFit="1" customWidth="1"/>
    <col min="3520" max="3520" width="13.453125" style="1" customWidth="1"/>
    <col min="3521" max="3523" width="13.1796875" style="1" customWidth="1"/>
    <col min="3524" max="3537" width="13.453125" style="1" customWidth="1"/>
    <col min="3538" max="3538" width="14" style="1" customWidth="1"/>
    <col min="3539" max="3539" width="13.54296875" style="1" customWidth="1"/>
    <col min="3540" max="3540" width="48.453125" style="1" customWidth="1"/>
    <col min="3541" max="3773" width="9.1796875" style="1"/>
    <col min="3774" max="3774" width="0.81640625" style="1" customWidth="1"/>
    <col min="3775" max="3775" width="11.453125" style="1" bestFit="1" customWidth="1"/>
    <col min="3776" max="3776" width="13.453125" style="1" customWidth="1"/>
    <col min="3777" max="3779" width="13.1796875" style="1" customWidth="1"/>
    <col min="3780" max="3793" width="13.453125" style="1" customWidth="1"/>
    <col min="3794" max="3794" width="14" style="1" customWidth="1"/>
    <col min="3795" max="3795" width="13.54296875" style="1" customWidth="1"/>
    <col min="3796" max="3796" width="48.453125" style="1" customWidth="1"/>
    <col min="3797" max="4029" width="9.1796875" style="1"/>
    <col min="4030" max="4030" width="0.81640625" style="1" customWidth="1"/>
    <col min="4031" max="4031" width="11.453125" style="1" bestFit="1" customWidth="1"/>
    <col min="4032" max="4032" width="13.453125" style="1" customWidth="1"/>
    <col min="4033" max="4035" width="13.1796875" style="1" customWidth="1"/>
    <col min="4036" max="4049" width="13.453125" style="1" customWidth="1"/>
    <col min="4050" max="4050" width="14" style="1" customWidth="1"/>
    <col min="4051" max="4051" width="13.54296875" style="1" customWidth="1"/>
    <col min="4052" max="4052" width="48.453125" style="1" customWidth="1"/>
    <col min="4053" max="4285" width="9.1796875" style="1"/>
    <col min="4286" max="4286" width="0.81640625" style="1" customWidth="1"/>
    <col min="4287" max="4287" width="11.453125" style="1" bestFit="1" customWidth="1"/>
    <col min="4288" max="4288" width="13.453125" style="1" customWidth="1"/>
    <col min="4289" max="4291" width="13.1796875" style="1" customWidth="1"/>
    <col min="4292" max="4305" width="13.453125" style="1" customWidth="1"/>
    <col min="4306" max="4306" width="14" style="1" customWidth="1"/>
    <col min="4307" max="4307" width="13.54296875" style="1" customWidth="1"/>
    <col min="4308" max="4308" width="48.453125" style="1" customWidth="1"/>
    <col min="4309" max="4541" width="9.1796875" style="1"/>
    <col min="4542" max="4542" width="0.81640625" style="1" customWidth="1"/>
    <col min="4543" max="4543" width="11.453125" style="1" bestFit="1" customWidth="1"/>
    <col min="4544" max="4544" width="13.453125" style="1" customWidth="1"/>
    <col min="4545" max="4547" width="13.1796875" style="1" customWidth="1"/>
    <col min="4548" max="4561" width="13.453125" style="1" customWidth="1"/>
    <col min="4562" max="4562" width="14" style="1" customWidth="1"/>
    <col min="4563" max="4563" width="13.54296875" style="1" customWidth="1"/>
    <col min="4564" max="4564" width="48.453125" style="1" customWidth="1"/>
    <col min="4565" max="4797" width="9.1796875" style="1"/>
    <col min="4798" max="4798" width="0.81640625" style="1" customWidth="1"/>
    <col min="4799" max="4799" width="11.453125" style="1" bestFit="1" customWidth="1"/>
    <col min="4800" max="4800" width="13.453125" style="1" customWidth="1"/>
    <col min="4801" max="4803" width="13.1796875" style="1" customWidth="1"/>
    <col min="4804" max="4817" width="13.453125" style="1" customWidth="1"/>
    <col min="4818" max="4818" width="14" style="1" customWidth="1"/>
    <col min="4819" max="4819" width="13.54296875" style="1" customWidth="1"/>
    <col min="4820" max="4820" width="48.453125" style="1" customWidth="1"/>
    <col min="4821" max="5053" width="9.1796875" style="1"/>
    <col min="5054" max="5054" width="0.81640625" style="1" customWidth="1"/>
    <col min="5055" max="5055" width="11.453125" style="1" bestFit="1" customWidth="1"/>
    <col min="5056" max="5056" width="13.453125" style="1" customWidth="1"/>
    <col min="5057" max="5059" width="13.1796875" style="1" customWidth="1"/>
    <col min="5060" max="5073" width="13.453125" style="1" customWidth="1"/>
    <col min="5074" max="5074" width="14" style="1" customWidth="1"/>
    <col min="5075" max="5075" width="13.54296875" style="1" customWidth="1"/>
    <col min="5076" max="5076" width="48.453125" style="1" customWidth="1"/>
    <col min="5077" max="5309" width="9.1796875" style="1"/>
    <col min="5310" max="5310" width="0.81640625" style="1" customWidth="1"/>
    <col min="5311" max="5311" width="11.453125" style="1" bestFit="1" customWidth="1"/>
    <col min="5312" max="5312" width="13.453125" style="1" customWidth="1"/>
    <col min="5313" max="5315" width="13.1796875" style="1" customWidth="1"/>
    <col min="5316" max="5329" width="13.453125" style="1" customWidth="1"/>
    <col min="5330" max="5330" width="14" style="1" customWidth="1"/>
    <col min="5331" max="5331" width="13.54296875" style="1" customWidth="1"/>
    <col min="5332" max="5332" width="48.453125" style="1" customWidth="1"/>
    <col min="5333" max="5565" width="9.1796875" style="1"/>
    <col min="5566" max="5566" width="0.81640625" style="1" customWidth="1"/>
    <col min="5567" max="5567" width="11.453125" style="1" bestFit="1" customWidth="1"/>
    <col min="5568" max="5568" width="13.453125" style="1" customWidth="1"/>
    <col min="5569" max="5571" width="13.1796875" style="1" customWidth="1"/>
    <col min="5572" max="5585" width="13.453125" style="1" customWidth="1"/>
    <col min="5586" max="5586" width="14" style="1" customWidth="1"/>
    <col min="5587" max="5587" width="13.54296875" style="1" customWidth="1"/>
    <col min="5588" max="5588" width="48.453125" style="1" customWidth="1"/>
    <col min="5589" max="5821" width="9.1796875" style="1"/>
    <col min="5822" max="5822" width="0.81640625" style="1" customWidth="1"/>
    <col min="5823" max="5823" width="11.453125" style="1" bestFit="1" customWidth="1"/>
    <col min="5824" max="5824" width="13.453125" style="1" customWidth="1"/>
    <col min="5825" max="5827" width="13.1796875" style="1" customWidth="1"/>
    <col min="5828" max="5841" width="13.453125" style="1" customWidth="1"/>
    <col min="5842" max="5842" width="14" style="1" customWidth="1"/>
    <col min="5843" max="5843" width="13.54296875" style="1" customWidth="1"/>
    <col min="5844" max="5844" width="48.453125" style="1" customWidth="1"/>
    <col min="5845" max="6077" width="9.1796875" style="1"/>
    <col min="6078" max="6078" width="0.81640625" style="1" customWidth="1"/>
    <col min="6079" max="6079" width="11.453125" style="1" bestFit="1" customWidth="1"/>
    <col min="6080" max="6080" width="13.453125" style="1" customWidth="1"/>
    <col min="6081" max="6083" width="13.1796875" style="1" customWidth="1"/>
    <col min="6084" max="6097" width="13.453125" style="1" customWidth="1"/>
    <col min="6098" max="6098" width="14" style="1" customWidth="1"/>
    <col min="6099" max="6099" width="13.54296875" style="1" customWidth="1"/>
    <col min="6100" max="6100" width="48.453125" style="1" customWidth="1"/>
    <col min="6101" max="6333" width="9.1796875" style="1"/>
    <col min="6334" max="6334" width="0.81640625" style="1" customWidth="1"/>
    <col min="6335" max="6335" width="11.453125" style="1" bestFit="1" customWidth="1"/>
    <col min="6336" max="6336" width="13.453125" style="1" customWidth="1"/>
    <col min="6337" max="6339" width="13.1796875" style="1" customWidth="1"/>
    <col min="6340" max="6353" width="13.453125" style="1" customWidth="1"/>
    <col min="6354" max="6354" width="14" style="1" customWidth="1"/>
    <col min="6355" max="6355" width="13.54296875" style="1" customWidth="1"/>
    <col min="6356" max="6356" width="48.453125" style="1" customWidth="1"/>
    <col min="6357" max="6589" width="9.1796875" style="1"/>
    <col min="6590" max="6590" width="0.81640625" style="1" customWidth="1"/>
    <col min="6591" max="6591" width="11.453125" style="1" bestFit="1" customWidth="1"/>
    <col min="6592" max="6592" width="13.453125" style="1" customWidth="1"/>
    <col min="6593" max="6595" width="13.1796875" style="1" customWidth="1"/>
    <col min="6596" max="6609" width="13.453125" style="1" customWidth="1"/>
    <col min="6610" max="6610" width="14" style="1" customWidth="1"/>
    <col min="6611" max="6611" width="13.54296875" style="1" customWidth="1"/>
    <col min="6612" max="6612" width="48.453125" style="1" customWidth="1"/>
    <col min="6613" max="6845" width="9.1796875" style="1"/>
    <col min="6846" max="6846" width="0.81640625" style="1" customWidth="1"/>
    <col min="6847" max="6847" width="11.453125" style="1" bestFit="1" customWidth="1"/>
    <col min="6848" max="6848" width="13.453125" style="1" customWidth="1"/>
    <col min="6849" max="6851" width="13.1796875" style="1" customWidth="1"/>
    <col min="6852" max="6865" width="13.453125" style="1" customWidth="1"/>
    <col min="6866" max="6866" width="14" style="1" customWidth="1"/>
    <col min="6867" max="6867" width="13.54296875" style="1" customWidth="1"/>
    <col min="6868" max="6868" width="48.453125" style="1" customWidth="1"/>
    <col min="6869" max="7101" width="9.1796875" style="1"/>
    <col min="7102" max="7102" width="0.81640625" style="1" customWidth="1"/>
    <col min="7103" max="7103" width="11.453125" style="1" bestFit="1" customWidth="1"/>
    <col min="7104" max="7104" width="13.453125" style="1" customWidth="1"/>
    <col min="7105" max="7107" width="13.1796875" style="1" customWidth="1"/>
    <col min="7108" max="7121" width="13.453125" style="1" customWidth="1"/>
    <col min="7122" max="7122" width="14" style="1" customWidth="1"/>
    <col min="7123" max="7123" width="13.54296875" style="1" customWidth="1"/>
    <col min="7124" max="7124" width="48.453125" style="1" customWidth="1"/>
    <col min="7125" max="7357" width="9.1796875" style="1"/>
    <col min="7358" max="7358" width="0.81640625" style="1" customWidth="1"/>
    <col min="7359" max="7359" width="11.453125" style="1" bestFit="1" customWidth="1"/>
    <col min="7360" max="7360" width="13.453125" style="1" customWidth="1"/>
    <col min="7361" max="7363" width="13.1796875" style="1" customWidth="1"/>
    <col min="7364" max="7377" width="13.453125" style="1" customWidth="1"/>
    <col min="7378" max="7378" width="14" style="1" customWidth="1"/>
    <col min="7379" max="7379" width="13.54296875" style="1" customWidth="1"/>
    <col min="7380" max="7380" width="48.453125" style="1" customWidth="1"/>
    <col min="7381" max="7613" width="9.1796875" style="1"/>
    <col min="7614" max="7614" width="0.81640625" style="1" customWidth="1"/>
    <col min="7615" max="7615" width="11.453125" style="1" bestFit="1" customWidth="1"/>
    <col min="7616" max="7616" width="13.453125" style="1" customWidth="1"/>
    <col min="7617" max="7619" width="13.1796875" style="1" customWidth="1"/>
    <col min="7620" max="7633" width="13.453125" style="1" customWidth="1"/>
    <col min="7634" max="7634" width="14" style="1" customWidth="1"/>
    <col min="7635" max="7635" width="13.54296875" style="1" customWidth="1"/>
    <col min="7636" max="7636" width="48.453125" style="1" customWidth="1"/>
    <col min="7637" max="7869" width="9.1796875" style="1"/>
    <col min="7870" max="7870" width="0.81640625" style="1" customWidth="1"/>
    <col min="7871" max="7871" width="11.453125" style="1" bestFit="1" customWidth="1"/>
    <col min="7872" max="7872" width="13.453125" style="1" customWidth="1"/>
    <col min="7873" max="7875" width="13.1796875" style="1" customWidth="1"/>
    <col min="7876" max="7889" width="13.453125" style="1" customWidth="1"/>
    <col min="7890" max="7890" width="14" style="1" customWidth="1"/>
    <col min="7891" max="7891" width="13.54296875" style="1" customWidth="1"/>
    <col min="7892" max="7892" width="48.453125" style="1" customWidth="1"/>
    <col min="7893" max="8125" width="9.1796875" style="1"/>
    <col min="8126" max="8126" width="0.81640625" style="1" customWidth="1"/>
    <col min="8127" max="8127" width="11.453125" style="1" bestFit="1" customWidth="1"/>
    <col min="8128" max="8128" width="13.453125" style="1" customWidth="1"/>
    <col min="8129" max="8131" width="13.1796875" style="1" customWidth="1"/>
    <col min="8132" max="8145" width="13.453125" style="1" customWidth="1"/>
    <col min="8146" max="8146" width="14" style="1" customWidth="1"/>
    <col min="8147" max="8147" width="13.54296875" style="1" customWidth="1"/>
    <col min="8148" max="8148" width="48.453125" style="1" customWidth="1"/>
    <col min="8149" max="8381" width="9.1796875" style="1"/>
    <col min="8382" max="8382" width="0.81640625" style="1" customWidth="1"/>
    <col min="8383" max="8383" width="11.453125" style="1" bestFit="1" customWidth="1"/>
    <col min="8384" max="8384" width="13.453125" style="1" customWidth="1"/>
    <col min="8385" max="8387" width="13.1796875" style="1" customWidth="1"/>
    <col min="8388" max="8401" width="13.453125" style="1" customWidth="1"/>
    <col min="8402" max="8402" width="14" style="1" customWidth="1"/>
    <col min="8403" max="8403" width="13.54296875" style="1" customWidth="1"/>
    <col min="8404" max="8404" width="48.453125" style="1" customWidth="1"/>
    <col min="8405" max="8637" width="9.1796875" style="1"/>
    <col min="8638" max="8638" width="0.81640625" style="1" customWidth="1"/>
    <col min="8639" max="8639" width="11.453125" style="1" bestFit="1" customWidth="1"/>
    <col min="8640" max="8640" width="13.453125" style="1" customWidth="1"/>
    <col min="8641" max="8643" width="13.1796875" style="1" customWidth="1"/>
    <col min="8644" max="8657" width="13.453125" style="1" customWidth="1"/>
    <col min="8658" max="8658" width="14" style="1" customWidth="1"/>
    <col min="8659" max="8659" width="13.54296875" style="1" customWidth="1"/>
    <col min="8660" max="8660" width="48.453125" style="1" customWidth="1"/>
    <col min="8661" max="8893" width="9.1796875" style="1"/>
    <col min="8894" max="8894" width="0.81640625" style="1" customWidth="1"/>
    <col min="8895" max="8895" width="11.453125" style="1" bestFit="1" customWidth="1"/>
    <col min="8896" max="8896" width="13.453125" style="1" customWidth="1"/>
    <col min="8897" max="8899" width="13.1796875" style="1" customWidth="1"/>
    <col min="8900" max="8913" width="13.453125" style="1" customWidth="1"/>
    <col min="8914" max="8914" width="14" style="1" customWidth="1"/>
    <col min="8915" max="8915" width="13.54296875" style="1" customWidth="1"/>
    <col min="8916" max="8916" width="48.453125" style="1" customWidth="1"/>
    <col min="8917" max="9149" width="9.1796875" style="1"/>
    <col min="9150" max="9150" width="0.81640625" style="1" customWidth="1"/>
    <col min="9151" max="9151" width="11.453125" style="1" bestFit="1" customWidth="1"/>
    <col min="9152" max="9152" width="13.453125" style="1" customWidth="1"/>
    <col min="9153" max="9155" width="13.1796875" style="1" customWidth="1"/>
    <col min="9156" max="9169" width="13.453125" style="1" customWidth="1"/>
    <col min="9170" max="9170" width="14" style="1" customWidth="1"/>
    <col min="9171" max="9171" width="13.54296875" style="1" customWidth="1"/>
    <col min="9172" max="9172" width="48.453125" style="1" customWidth="1"/>
    <col min="9173" max="9405" width="9.1796875" style="1"/>
    <col min="9406" max="9406" width="0.81640625" style="1" customWidth="1"/>
    <col min="9407" max="9407" width="11.453125" style="1" bestFit="1" customWidth="1"/>
    <col min="9408" max="9408" width="13.453125" style="1" customWidth="1"/>
    <col min="9409" max="9411" width="13.1796875" style="1" customWidth="1"/>
    <col min="9412" max="9425" width="13.453125" style="1" customWidth="1"/>
    <col min="9426" max="9426" width="14" style="1" customWidth="1"/>
    <col min="9427" max="9427" width="13.54296875" style="1" customWidth="1"/>
    <col min="9428" max="9428" width="48.453125" style="1" customWidth="1"/>
    <col min="9429" max="9661" width="9.1796875" style="1"/>
    <col min="9662" max="9662" width="0.81640625" style="1" customWidth="1"/>
    <col min="9663" max="9663" width="11.453125" style="1" bestFit="1" customWidth="1"/>
    <col min="9664" max="9664" width="13.453125" style="1" customWidth="1"/>
    <col min="9665" max="9667" width="13.1796875" style="1" customWidth="1"/>
    <col min="9668" max="9681" width="13.453125" style="1" customWidth="1"/>
    <col min="9682" max="9682" width="14" style="1" customWidth="1"/>
    <col min="9683" max="9683" width="13.54296875" style="1" customWidth="1"/>
    <col min="9684" max="9684" width="48.453125" style="1" customWidth="1"/>
    <col min="9685" max="9917" width="9.1796875" style="1"/>
    <col min="9918" max="9918" width="0.81640625" style="1" customWidth="1"/>
    <col min="9919" max="9919" width="11.453125" style="1" bestFit="1" customWidth="1"/>
    <col min="9920" max="9920" width="13.453125" style="1" customWidth="1"/>
    <col min="9921" max="9923" width="13.1796875" style="1" customWidth="1"/>
    <col min="9924" max="9937" width="13.453125" style="1" customWidth="1"/>
    <col min="9938" max="9938" width="14" style="1" customWidth="1"/>
    <col min="9939" max="9939" width="13.54296875" style="1" customWidth="1"/>
    <col min="9940" max="9940" width="48.453125" style="1" customWidth="1"/>
    <col min="9941" max="10173" width="9.1796875" style="1"/>
    <col min="10174" max="10174" width="0.81640625" style="1" customWidth="1"/>
    <col min="10175" max="10175" width="11.453125" style="1" bestFit="1" customWidth="1"/>
    <col min="10176" max="10176" width="13.453125" style="1" customWidth="1"/>
    <col min="10177" max="10179" width="13.1796875" style="1" customWidth="1"/>
    <col min="10180" max="10193" width="13.453125" style="1" customWidth="1"/>
    <col min="10194" max="10194" width="14" style="1" customWidth="1"/>
    <col min="10195" max="10195" width="13.54296875" style="1" customWidth="1"/>
    <col min="10196" max="10196" width="48.453125" style="1" customWidth="1"/>
    <col min="10197" max="10429" width="9.1796875" style="1"/>
    <col min="10430" max="10430" width="0.81640625" style="1" customWidth="1"/>
    <col min="10431" max="10431" width="11.453125" style="1" bestFit="1" customWidth="1"/>
    <col min="10432" max="10432" width="13.453125" style="1" customWidth="1"/>
    <col min="10433" max="10435" width="13.1796875" style="1" customWidth="1"/>
    <col min="10436" max="10449" width="13.453125" style="1" customWidth="1"/>
    <col min="10450" max="10450" width="14" style="1" customWidth="1"/>
    <col min="10451" max="10451" width="13.54296875" style="1" customWidth="1"/>
    <col min="10452" max="10452" width="48.453125" style="1" customWidth="1"/>
    <col min="10453" max="10685" width="9.1796875" style="1"/>
    <col min="10686" max="10686" width="0.81640625" style="1" customWidth="1"/>
    <col min="10687" max="10687" width="11.453125" style="1" bestFit="1" customWidth="1"/>
    <col min="10688" max="10688" width="13.453125" style="1" customWidth="1"/>
    <col min="10689" max="10691" width="13.1796875" style="1" customWidth="1"/>
    <col min="10692" max="10705" width="13.453125" style="1" customWidth="1"/>
    <col min="10706" max="10706" width="14" style="1" customWidth="1"/>
    <col min="10707" max="10707" width="13.54296875" style="1" customWidth="1"/>
    <col min="10708" max="10708" width="48.453125" style="1" customWidth="1"/>
    <col min="10709" max="10941" width="9.1796875" style="1"/>
    <col min="10942" max="10942" width="0.81640625" style="1" customWidth="1"/>
    <col min="10943" max="10943" width="11.453125" style="1" bestFit="1" customWidth="1"/>
    <col min="10944" max="10944" width="13.453125" style="1" customWidth="1"/>
    <col min="10945" max="10947" width="13.1796875" style="1" customWidth="1"/>
    <col min="10948" max="10961" width="13.453125" style="1" customWidth="1"/>
    <col min="10962" max="10962" width="14" style="1" customWidth="1"/>
    <col min="10963" max="10963" width="13.54296875" style="1" customWidth="1"/>
    <col min="10964" max="10964" width="48.453125" style="1" customWidth="1"/>
    <col min="10965" max="11197" width="9.1796875" style="1"/>
    <col min="11198" max="11198" width="0.81640625" style="1" customWidth="1"/>
    <col min="11199" max="11199" width="11.453125" style="1" bestFit="1" customWidth="1"/>
    <col min="11200" max="11200" width="13.453125" style="1" customWidth="1"/>
    <col min="11201" max="11203" width="13.1796875" style="1" customWidth="1"/>
    <col min="11204" max="11217" width="13.453125" style="1" customWidth="1"/>
    <col min="11218" max="11218" width="14" style="1" customWidth="1"/>
    <col min="11219" max="11219" width="13.54296875" style="1" customWidth="1"/>
    <col min="11220" max="11220" width="48.453125" style="1" customWidth="1"/>
    <col min="11221" max="11453" width="9.1796875" style="1"/>
    <col min="11454" max="11454" width="0.81640625" style="1" customWidth="1"/>
    <col min="11455" max="11455" width="11.453125" style="1" bestFit="1" customWidth="1"/>
    <col min="11456" max="11456" width="13.453125" style="1" customWidth="1"/>
    <col min="11457" max="11459" width="13.1796875" style="1" customWidth="1"/>
    <col min="11460" max="11473" width="13.453125" style="1" customWidth="1"/>
    <col min="11474" max="11474" width="14" style="1" customWidth="1"/>
    <col min="11475" max="11475" width="13.54296875" style="1" customWidth="1"/>
    <col min="11476" max="11476" width="48.453125" style="1" customWidth="1"/>
    <col min="11477" max="11709" width="9.1796875" style="1"/>
    <col min="11710" max="11710" width="0.81640625" style="1" customWidth="1"/>
    <col min="11711" max="11711" width="11.453125" style="1" bestFit="1" customWidth="1"/>
    <col min="11712" max="11712" width="13.453125" style="1" customWidth="1"/>
    <col min="11713" max="11715" width="13.1796875" style="1" customWidth="1"/>
    <col min="11716" max="11729" width="13.453125" style="1" customWidth="1"/>
    <col min="11730" max="11730" width="14" style="1" customWidth="1"/>
    <col min="11731" max="11731" width="13.54296875" style="1" customWidth="1"/>
    <col min="11732" max="11732" width="48.453125" style="1" customWidth="1"/>
    <col min="11733" max="11965" width="9.1796875" style="1"/>
    <col min="11966" max="11966" width="0.81640625" style="1" customWidth="1"/>
    <col min="11967" max="11967" width="11.453125" style="1" bestFit="1" customWidth="1"/>
    <col min="11968" max="11968" width="13.453125" style="1" customWidth="1"/>
    <col min="11969" max="11971" width="13.1796875" style="1" customWidth="1"/>
    <col min="11972" max="11985" width="13.453125" style="1" customWidth="1"/>
    <col min="11986" max="11986" width="14" style="1" customWidth="1"/>
    <col min="11987" max="11987" width="13.54296875" style="1" customWidth="1"/>
    <col min="11988" max="11988" width="48.453125" style="1" customWidth="1"/>
    <col min="11989" max="12221" width="9.1796875" style="1"/>
    <col min="12222" max="12222" width="0.81640625" style="1" customWidth="1"/>
    <col min="12223" max="12223" width="11.453125" style="1" bestFit="1" customWidth="1"/>
    <col min="12224" max="12224" width="13.453125" style="1" customWidth="1"/>
    <col min="12225" max="12227" width="13.1796875" style="1" customWidth="1"/>
    <col min="12228" max="12241" width="13.453125" style="1" customWidth="1"/>
    <col min="12242" max="12242" width="14" style="1" customWidth="1"/>
    <col min="12243" max="12243" width="13.54296875" style="1" customWidth="1"/>
    <col min="12244" max="12244" width="48.453125" style="1" customWidth="1"/>
    <col min="12245" max="12477" width="9.1796875" style="1"/>
    <col min="12478" max="12478" width="0.81640625" style="1" customWidth="1"/>
    <col min="12479" max="12479" width="11.453125" style="1" bestFit="1" customWidth="1"/>
    <col min="12480" max="12480" width="13.453125" style="1" customWidth="1"/>
    <col min="12481" max="12483" width="13.1796875" style="1" customWidth="1"/>
    <col min="12484" max="12497" width="13.453125" style="1" customWidth="1"/>
    <col min="12498" max="12498" width="14" style="1" customWidth="1"/>
    <col min="12499" max="12499" width="13.54296875" style="1" customWidth="1"/>
    <col min="12500" max="12500" width="48.453125" style="1" customWidth="1"/>
    <col min="12501" max="12733" width="9.1796875" style="1"/>
    <col min="12734" max="12734" width="0.81640625" style="1" customWidth="1"/>
    <col min="12735" max="12735" width="11.453125" style="1" bestFit="1" customWidth="1"/>
    <col min="12736" max="12736" width="13.453125" style="1" customWidth="1"/>
    <col min="12737" max="12739" width="13.1796875" style="1" customWidth="1"/>
    <col min="12740" max="12753" width="13.453125" style="1" customWidth="1"/>
    <col min="12754" max="12754" width="14" style="1" customWidth="1"/>
    <col min="12755" max="12755" width="13.54296875" style="1" customWidth="1"/>
    <col min="12756" max="12756" width="48.453125" style="1" customWidth="1"/>
    <col min="12757" max="12989" width="9.1796875" style="1"/>
    <col min="12990" max="12990" width="0.81640625" style="1" customWidth="1"/>
    <col min="12991" max="12991" width="11.453125" style="1" bestFit="1" customWidth="1"/>
    <col min="12992" max="12992" width="13.453125" style="1" customWidth="1"/>
    <col min="12993" max="12995" width="13.1796875" style="1" customWidth="1"/>
    <col min="12996" max="13009" width="13.453125" style="1" customWidth="1"/>
    <col min="13010" max="13010" width="14" style="1" customWidth="1"/>
    <col min="13011" max="13011" width="13.54296875" style="1" customWidth="1"/>
    <col min="13012" max="13012" width="48.453125" style="1" customWidth="1"/>
    <col min="13013" max="13245" width="9.1796875" style="1"/>
    <col min="13246" max="13246" width="0.81640625" style="1" customWidth="1"/>
    <col min="13247" max="13247" width="11.453125" style="1" bestFit="1" customWidth="1"/>
    <col min="13248" max="13248" width="13.453125" style="1" customWidth="1"/>
    <col min="13249" max="13251" width="13.1796875" style="1" customWidth="1"/>
    <col min="13252" max="13265" width="13.453125" style="1" customWidth="1"/>
    <col min="13266" max="13266" width="14" style="1" customWidth="1"/>
    <col min="13267" max="13267" width="13.54296875" style="1" customWidth="1"/>
    <col min="13268" max="13268" width="48.453125" style="1" customWidth="1"/>
    <col min="13269" max="13501" width="9.1796875" style="1"/>
    <col min="13502" max="13502" width="0.81640625" style="1" customWidth="1"/>
    <col min="13503" max="13503" width="11.453125" style="1" bestFit="1" customWidth="1"/>
    <col min="13504" max="13504" width="13.453125" style="1" customWidth="1"/>
    <col min="13505" max="13507" width="13.1796875" style="1" customWidth="1"/>
    <col min="13508" max="13521" width="13.453125" style="1" customWidth="1"/>
    <col min="13522" max="13522" width="14" style="1" customWidth="1"/>
    <col min="13523" max="13523" width="13.54296875" style="1" customWidth="1"/>
    <col min="13524" max="13524" width="48.453125" style="1" customWidth="1"/>
    <col min="13525" max="13757" width="9.1796875" style="1"/>
    <col min="13758" max="13758" width="0.81640625" style="1" customWidth="1"/>
    <col min="13759" max="13759" width="11.453125" style="1" bestFit="1" customWidth="1"/>
    <col min="13760" max="13760" width="13.453125" style="1" customWidth="1"/>
    <col min="13761" max="13763" width="13.1796875" style="1" customWidth="1"/>
    <col min="13764" max="13777" width="13.453125" style="1" customWidth="1"/>
    <col min="13778" max="13778" width="14" style="1" customWidth="1"/>
    <col min="13779" max="13779" width="13.54296875" style="1" customWidth="1"/>
    <col min="13780" max="13780" width="48.453125" style="1" customWidth="1"/>
    <col min="13781" max="14013" width="9.1796875" style="1"/>
    <col min="14014" max="14014" width="0.81640625" style="1" customWidth="1"/>
    <col min="14015" max="14015" width="11.453125" style="1" bestFit="1" customWidth="1"/>
    <col min="14016" max="14016" width="13.453125" style="1" customWidth="1"/>
    <col min="14017" max="14019" width="13.1796875" style="1" customWidth="1"/>
    <col min="14020" max="14033" width="13.453125" style="1" customWidth="1"/>
    <col min="14034" max="14034" width="14" style="1" customWidth="1"/>
    <col min="14035" max="14035" width="13.54296875" style="1" customWidth="1"/>
    <col min="14036" max="14036" width="48.453125" style="1" customWidth="1"/>
    <col min="14037" max="14269" width="9.1796875" style="1"/>
    <col min="14270" max="14270" width="0.81640625" style="1" customWidth="1"/>
    <col min="14271" max="14271" width="11.453125" style="1" bestFit="1" customWidth="1"/>
    <col min="14272" max="14272" width="13.453125" style="1" customWidth="1"/>
    <col min="14273" max="14275" width="13.1796875" style="1" customWidth="1"/>
    <col min="14276" max="14289" width="13.453125" style="1" customWidth="1"/>
    <col min="14290" max="14290" width="14" style="1" customWidth="1"/>
    <col min="14291" max="14291" width="13.54296875" style="1" customWidth="1"/>
    <col min="14292" max="14292" width="48.453125" style="1" customWidth="1"/>
    <col min="14293" max="14525" width="9.1796875" style="1"/>
    <col min="14526" max="14526" width="0.81640625" style="1" customWidth="1"/>
    <col min="14527" max="14527" width="11.453125" style="1" bestFit="1" customWidth="1"/>
    <col min="14528" max="14528" width="13.453125" style="1" customWidth="1"/>
    <col min="14529" max="14531" width="13.1796875" style="1" customWidth="1"/>
    <col min="14532" max="14545" width="13.453125" style="1" customWidth="1"/>
    <col min="14546" max="14546" width="14" style="1" customWidth="1"/>
    <col min="14547" max="14547" width="13.54296875" style="1" customWidth="1"/>
    <col min="14548" max="14548" width="48.453125" style="1" customWidth="1"/>
    <col min="14549" max="14781" width="9.1796875" style="1"/>
    <col min="14782" max="14782" width="0.81640625" style="1" customWidth="1"/>
    <col min="14783" max="14783" width="11.453125" style="1" bestFit="1" customWidth="1"/>
    <col min="14784" max="14784" width="13.453125" style="1" customWidth="1"/>
    <col min="14785" max="14787" width="13.1796875" style="1" customWidth="1"/>
    <col min="14788" max="14801" width="13.453125" style="1" customWidth="1"/>
    <col min="14802" max="14802" width="14" style="1" customWidth="1"/>
    <col min="14803" max="14803" width="13.54296875" style="1" customWidth="1"/>
    <col min="14804" max="14804" width="48.453125" style="1" customWidth="1"/>
    <col min="14805" max="15037" width="9.1796875" style="1"/>
    <col min="15038" max="15038" width="0.81640625" style="1" customWidth="1"/>
    <col min="15039" max="15039" width="11.453125" style="1" bestFit="1" customWidth="1"/>
    <col min="15040" max="15040" width="13.453125" style="1" customWidth="1"/>
    <col min="15041" max="15043" width="13.1796875" style="1" customWidth="1"/>
    <col min="15044" max="15057" width="13.453125" style="1" customWidth="1"/>
    <col min="15058" max="15058" width="14" style="1" customWidth="1"/>
    <col min="15059" max="15059" width="13.54296875" style="1" customWidth="1"/>
    <col min="15060" max="15060" width="48.453125" style="1" customWidth="1"/>
    <col min="15061" max="15293" width="9.1796875" style="1"/>
    <col min="15294" max="15294" width="0.81640625" style="1" customWidth="1"/>
    <col min="15295" max="15295" width="11.453125" style="1" bestFit="1" customWidth="1"/>
    <col min="15296" max="15296" width="13.453125" style="1" customWidth="1"/>
    <col min="15297" max="15299" width="13.1796875" style="1" customWidth="1"/>
    <col min="15300" max="15313" width="13.453125" style="1" customWidth="1"/>
    <col min="15314" max="15314" width="14" style="1" customWidth="1"/>
    <col min="15315" max="15315" width="13.54296875" style="1" customWidth="1"/>
    <col min="15316" max="15316" width="48.453125" style="1" customWidth="1"/>
    <col min="15317" max="15549" width="9.1796875" style="1"/>
    <col min="15550" max="15550" width="0.81640625" style="1" customWidth="1"/>
    <col min="15551" max="15551" width="11.453125" style="1" bestFit="1" customWidth="1"/>
    <col min="15552" max="15552" width="13.453125" style="1" customWidth="1"/>
    <col min="15553" max="15555" width="13.1796875" style="1" customWidth="1"/>
    <col min="15556" max="15569" width="13.453125" style="1" customWidth="1"/>
    <col min="15570" max="15570" width="14" style="1" customWidth="1"/>
    <col min="15571" max="15571" width="13.54296875" style="1" customWidth="1"/>
    <col min="15572" max="15572" width="48.453125" style="1" customWidth="1"/>
    <col min="15573" max="15805" width="9.1796875" style="1"/>
    <col min="15806" max="15806" width="0.81640625" style="1" customWidth="1"/>
    <col min="15807" max="15807" width="11.453125" style="1" bestFit="1" customWidth="1"/>
    <col min="15808" max="15808" width="13.453125" style="1" customWidth="1"/>
    <col min="15809" max="15811" width="13.1796875" style="1" customWidth="1"/>
    <col min="15812" max="15825" width="13.453125" style="1" customWidth="1"/>
    <col min="15826" max="15826" width="14" style="1" customWidth="1"/>
    <col min="15827" max="15827" width="13.54296875" style="1" customWidth="1"/>
    <col min="15828" max="15828" width="48.453125" style="1" customWidth="1"/>
    <col min="15829" max="16061" width="9.1796875" style="1"/>
    <col min="16062" max="16062" width="0.81640625" style="1" customWidth="1"/>
    <col min="16063" max="16063" width="11.453125" style="1" bestFit="1" customWidth="1"/>
    <col min="16064" max="16064" width="13.453125" style="1" customWidth="1"/>
    <col min="16065" max="16067" width="13.1796875" style="1" customWidth="1"/>
    <col min="16068" max="16081" width="13.453125" style="1" customWidth="1"/>
    <col min="16082" max="16082" width="14" style="1" customWidth="1"/>
    <col min="16083" max="16083" width="13.54296875" style="1" customWidth="1"/>
    <col min="16084" max="16084" width="48.453125" style="1" customWidth="1"/>
    <col min="16085" max="16384" width="9.1796875" style="1"/>
  </cols>
  <sheetData>
    <row r="1" spans="2:29" ht="24" customHeight="1">
      <c r="H1" s="2" t="s">
        <v>274</v>
      </c>
      <c r="I1" s="2"/>
      <c r="J1" s="2"/>
      <c r="K1" s="1261"/>
      <c r="L1" s="2"/>
      <c r="M1" s="2"/>
      <c r="N1" s="2"/>
      <c r="P1" s="2"/>
      <c r="Q1" s="2"/>
      <c r="R1" s="2"/>
    </row>
    <row r="2" spans="2:29" ht="22">
      <c r="H2" s="2" t="s">
        <v>0</v>
      </c>
      <c r="I2" s="2"/>
      <c r="J2" s="2"/>
      <c r="K2" s="1261"/>
      <c r="L2" s="2"/>
      <c r="M2" s="2"/>
      <c r="N2" s="2"/>
      <c r="P2" s="2"/>
      <c r="Q2" s="2"/>
      <c r="R2" s="2"/>
      <c r="S2" s="3"/>
      <c r="T2" s="3"/>
      <c r="U2" s="3"/>
      <c r="V2" s="3"/>
      <c r="W2" s="3"/>
      <c r="X2" s="3"/>
      <c r="Y2" s="3"/>
      <c r="Z2" s="3"/>
      <c r="AA2" s="3"/>
      <c r="AB2" s="3"/>
      <c r="AC2" s="3"/>
    </row>
    <row r="3" spans="2:29">
      <c r="H3" s="4"/>
      <c r="I3" s="4"/>
      <c r="J3" s="4"/>
      <c r="K3" s="1262"/>
      <c r="L3" s="4"/>
      <c r="M3" s="4"/>
      <c r="N3" s="4"/>
      <c r="O3" s="4" t="s">
        <v>1</v>
      </c>
      <c r="P3" s="5">
        <v>44562</v>
      </c>
      <c r="Q3" s="4"/>
      <c r="R3" s="4"/>
      <c r="S3" s="3"/>
      <c r="T3" s="3"/>
      <c r="U3" s="3"/>
      <c r="V3" s="3"/>
      <c r="W3" s="3"/>
      <c r="X3" s="3"/>
      <c r="Y3" s="3"/>
      <c r="Z3" s="3"/>
      <c r="AA3" s="3"/>
      <c r="AB3" s="3"/>
      <c r="AC3" s="3"/>
    </row>
    <row r="4" spans="2:29">
      <c r="H4" s="4"/>
      <c r="I4" s="4"/>
      <c r="J4" s="4"/>
      <c r="K4" s="1262"/>
      <c r="L4" s="4"/>
      <c r="M4" s="4"/>
      <c r="N4" s="4"/>
      <c r="O4" s="4" t="s">
        <v>2</v>
      </c>
      <c r="P4" s="5">
        <v>44926</v>
      </c>
      <c r="Q4" s="4"/>
      <c r="R4" s="4"/>
      <c r="S4" s="6"/>
      <c r="T4" s="6"/>
      <c r="U4" s="6"/>
      <c r="V4" s="6"/>
      <c r="W4" s="6"/>
      <c r="X4" s="6"/>
      <c r="Y4" s="6"/>
      <c r="Z4" s="6"/>
      <c r="AA4" s="6"/>
      <c r="AB4" s="6"/>
      <c r="AC4" s="6"/>
    </row>
    <row r="5" spans="2:29">
      <c r="H5" s="4"/>
      <c r="I5" s="4"/>
      <c r="J5" s="4"/>
      <c r="K5" s="1262"/>
      <c r="L5" s="4"/>
      <c r="M5" s="4"/>
      <c r="N5" s="4"/>
      <c r="O5" s="4" t="s">
        <v>3</v>
      </c>
      <c r="P5" s="7">
        <f ca="1">TODAY()</f>
        <v>45232</v>
      </c>
      <c r="Q5" s="4"/>
      <c r="R5" s="4"/>
    </row>
    <row r="6" spans="2:29" ht="15" thickBot="1">
      <c r="B6" s="165">
        <v>1</v>
      </c>
      <c r="C6" s="165">
        <v>2</v>
      </c>
      <c r="D6" s="165"/>
      <c r="E6" s="166">
        <v>3</v>
      </c>
      <c r="F6" s="166">
        <v>4</v>
      </c>
      <c r="G6" s="166"/>
      <c r="H6" s="166">
        <v>5</v>
      </c>
      <c r="I6" s="166"/>
      <c r="J6" s="166"/>
      <c r="K6" s="1255"/>
      <c r="L6" s="166"/>
      <c r="M6" s="166"/>
      <c r="N6" s="166">
        <v>9</v>
      </c>
      <c r="O6" s="166">
        <v>6</v>
      </c>
      <c r="P6" s="166">
        <v>7</v>
      </c>
      <c r="Q6" s="166">
        <v>8</v>
      </c>
      <c r="R6" s="166">
        <v>9</v>
      </c>
      <c r="S6" s="166">
        <v>10</v>
      </c>
      <c r="T6" s="166">
        <v>11</v>
      </c>
      <c r="U6" s="166"/>
      <c r="V6" s="166"/>
      <c r="W6" s="166"/>
      <c r="X6" s="166"/>
      <c r="Y6" s="166"/>
      <c r="Z6" s="166"/>
      <c r="AA6" s="166"/>
      <c r="AB6" s="166"/>
      <c r="AC6" s="166"/>
    </row>
    <row r="7" spans="2:29" ht="39.75" customHeight="1" thickBot="1">
      <c r="B7" s="1937" t="s">
        <v>1368</v>
      </c>
      <c r="C7" s="1938"/>
      <c r="D7" s="1938"/>
      <c r="E7" s="1938"/>
      <c r="F7" s="1938"/>
      <c r="G7" s="1938"/>
      <c r="H7" s="1938"/>
      <c r="I7" s="1938"/>
      <c r="J7" s="1938"/>
      <c r="K7" s="1938"/>
      <c r="L7" s="1938"/>
      <c r="M7" s="1938"/>
      <c r="N7" s="1938"/>
      <c r="O7" s="1938"/>
      <c r="P7" s="1938"/>
      <c r="Q7" s="1938"/>
      <c r="R7" s="1938"/>
      <c r="S7" s="1938"/>
      <c r="T7" s="1938"/>
      <c r="U7" s="1938"/>
      <c r="V7" s="1938"/>
      <c r="W7" s="1938"/>
      <c r="X7" s="1938"/>
      <c r="Y7" s="1938"/>
      <c r="Z7" s="1938"/>
      <c r="AA7" s="1938"/>
      <c r="AB7" s="1938"/>
      <c r="AC7" s="1939"/>
    </row>
    <row r="8" spans="2:29" ht="32.25" customHeight="1" thickBot="1">
      <c r="B8" s="1940" t="s">
        <v>4</v>
      </c>
      <c r="C8" s="2512" t="s">
        <v>189</v>
      </c>
      <c r="D8" s="2513"/>
      <c r="E8" s="2513"/>
      <c r="F8" s="2513"/>
      <c r="G8" s="2514"/>
      <c r="H8" s="2518" t="s">
        <v>998</v>
      </c>
      <c r="I8" s="2519"/>
      <c r="J8" s="2519"/>
      <c r="K8" s="2519"/>
      <c r="L8" s="2519"/>
      <c r="M8" s="2520"/>
      <c r="N8" s="2521" t="s">
        <v>997</v>
      </c>
      <c r="O8" s="2522"/>
      <c r="P8" s="2522"/>
      <c r="Q8" s="2522"/>
      <c r="R8" s="2523"/>
      <c r="S8" s="2515"/>
      <c r="T8" s="2516"/>
      <c r="U8" s="2516"/>
      <c r="V8" s="2516"/>
      <c r="W8" s="2516"/>
      <c r="X8" s="2516"/>
      <c r="Y8" s="2517"/>
      <c r="Z8" s="744"/>
      <c r="AA8" s="744"/>
      <c r="AB8" s="744"/>
      <c r="AC8" s="745"/>
    </row>
    <row r="9" spans="2:29" ht="44.25" customHeight="1" thickBot="1">
      <c r="B9" s="1940"/>
      <c r="C9" s="2509" t="s">
        <v>908</v>
      </c>
      <c r="D9" s="2510"/>
      <c r="E9" s="2510"/>
      <c r="F9" s="2510"/>
      <c r="G9" s="2511"/>
      <c r="H9" s="746" t="s">
        <v>909</v>
      </c>
      <c r="I9" s="686" t="s">
        <v>914</v>
      </c>
      <c r="J9" s="686" t="s">
        <v>913</v>
      </c>
      <c r="K9" s="686" t="s">
        <v>915</v>
      </c>
      <c r="L9" s="686" t="s">
        <v>944</v>
      </c>
      <c r="M9" s="686" t="s">
        <v>912</v>
      </c>
      <c r="N9" s="686" t="s">
        <v>912</v>
      </c>
      <c r="O9" s="686" t="s">
        <v>914</v>
      </c>
      <c r="P9" s="686" t="s">
        <v>913</v>
      </c>
      <c r="Q9" s="686" t="s">
        <v>915</v>
      </c>
      <c r="R9" s="686" t="s">
        <v>944</v>
      </c>
      <c r="S9" s="733" t="s">
        <v>272</v>
      </c>
      <c r="T9" s="733" t="s">
        <v>273</v>
      </c>
      <c r="U9" s="733" t="s">
        <v>938</v>
      </c>
      <c r="V9" s="733" t="s">
        <v>937</v>
      </c>
      <c r="W9" s="733" t="s">
        <v>960</v>
      </c>
      <c r="X9" s="733" t="s">
        <v>961</v>
      </c>
      <c r="Y9" s="174" t="s">
        <v>962</v>
      </c>
      <c r="Z9" s="753" t="s">
        <v>914</v>
      </c>
      <c r="AA9" s="686" t="s">
        <v>913</v>
      </c>
      <c r="AB9" s="686" t="s">
        <v>915</v>
      </c>
      <c r="AC9" s="686" t="s">
        <v>912</v>
      </c>
    </row>
    <row r="10" spans="2:29" ht="66" customHeight="1" thickBot="1">
      <c r="B10" s="2248"/>
      <c r="C10" s="16" t="s">
        <v>905</v>
      </c>
      <c r="D10" s="16" t="s">
        <v>904</v>
      </c>
      <c r="E10" s="16" t="s">
        <v>903</v>
      </c>
      <c r="F10" s="16" t="s">
        <v>906</v>
      </c>
      <c r="G10" s="687" t="s">
        <v>907</v>
      </c>
      <c r="H10" s="17" t="s">
        <v>964</v>
      </c>
      <c r="I10" s="17" t="s">
        <v>992</v>
      </c>
      <c r="J10" s="17" t="s">
        <v>991</v>
      </c>
      <c r="K10" s="17" t="s">
        <v>993</v>
      </c>
      <c r="L10" s="17" t="s">
        <v>910</v>
      </c>
      <c r="M10" s="17" t="s">
        <v>911</v>
      </c>
      <c r="N10" s="17" t="s">
        <v>911</v>
      </c>
      <c r="O10" s="754" t="s">
        <v>994</v>
      </c>
      <c r="P10" s="754" t="s">
        <v>995</v>
      </c>
      <c r="Q10" s="754" t="s">
        <v>996</v>
      </c>
      <c r="R10" s="17" t="s">
        <v>910</v>
      </c>
      <c r="S10" s="18" t="s">
        <v>11</v>
      </c>
      <c r="T10" s="18" t="s">
        <v>11</v>
      </c>
      <c r="U10" s="18" t="s">
        <v>11</v>
      </c>
      <c r="V10" s="18" t="s">
        <v>11</v>
      </c>
      <c r="W10" s="18" t="s">
        <v>959</v>
      </c>
      <c r="X10" s="18" t="s">
        <v>11</v>
      </c>
      <c r="Y10" s="19" t="s">
        <v>11</v>
      </c>
      <c r="Z10" s="754" t="s">
        <v>994</v>
      </c>
      <c r="AA10" s="754" t="s">
        <v>995</v>
      </c>
      <c r="AB10" s="754" t="s">
        <v>996</v>
      </c>
      <c r="AC10" s="734" t="s">
        <v>963</v>
      </c>
    </row>
    <row r="11" spans="2:29">
      <c r="B11" s="8">
        <v>44562</v>
      </c>
      <c r="C11" s="217">
        <f ca="1">DATOSAÑO!I11</f>
        <v>143.53999999992084</v>
      </c>
      <c r="D11" s="210">
        <f ca="1">DATOSAÑO!P11</f>
        <v>281.23999999999978</v>
      </c>
      <c r="E11" s="210">
        <f ca="1">DATOSAÑO!Q11</f>
        <v>0</v>
      </c>
      <c r="F11" s="210">
        <f ca="1">DATOSAÑO!T11</f>
        <v>0</v>
      </c>
      <c r="G11" s="210">
        <f ca="1">SUM(C11:F11)</f>
        <v>424.77999999992062</v>
      </c>
      <c r="H11" s="210">
        <f ca="1">G11-SUM(I11:M11)</f>
        <v>29.933999999984394</v>
      </c>
      <c r="I11" s="210">
        <f t="shared" ref="I11:I73" ca="1" si="0">O11+Z11</f>
        <v>187.86636541481991</v>
      </c>
      <c r="J11" s="210">
        <f t="shared" ref="J11:J73" ca="1" si="1">P11+AA11</f>
        <v>43.920350444438732</v>
      </c>
      <c r="K11" s="210">
        <f t="shared" ref="K11:K73" ca="1" si="2">Q11+AB11</f>
        <v>8.4865180963702986</v>
      </c>
      <c r="L11" s="210">
        <f ca="1">R11</f>
        <v>148.49599999998864</v>
      </c>
      <c r="M11" s="210">
        <f t="shared" ref="M11:M73" ca="1" si="3">N11+AC11</f>
        <v>6.0767660443186751</v>
      </c>
      <c r="N11" s="210">
        <f ca="1">U11</f>
        <v>5.8000000000029104</v>
      </c>
      <c r="O11" s="210">
        <f ca="1">(DATOSAÑO!AJ11+DATOSAÑO!AK11+DATOSAÑO!AD11)</f>
        <v>179.30999999995402</v>
      </c>
      <c r="P11" s="210">
        <f ca="1">DATOSAÑO!AI11</f>
        <v>41.92000000000553</v>
      </c>
      <c r="Q11" s="210">
        <f ca="1">DATOSAÑO!AH11</f>
        <v>8.0999999999985448</v>
      </c>
      <c r="R11" s="210">
        <f ca="1">DATOSAÑO!AM11+DATOSAÑO!AN11+DATOSAÑO!AF11</f>
        <v>148.49599999998864</v>
      </c>
      <c r="S11" s="217">
        <f ca="1">IF(B11&gt;=$P$5,0,CONTADORES!Q3-CONTADORES!Q2)</f>
        <v>17.019999999989523</v>
      </c>
      <c r="T11" s="210">
        <f ca="1">IF(B11&gt;=$P$5,0,(CONTADORES!S3-CONTADORES!S2)+(CONTADORES!AE3-CONTADORES!AE2))</f>
        <v>2.0299999999988358</v>
      </c>
      <c r="U11" s="210">
        <f ca="1">IF(B11&gt;=$P$5,0,(CONTADORES!AQ3-CONTADORES!AQ2))</f>
        <v>5.8000000000029104</v>
      </c>
      <c r="V11" s="210">
        <f ca="1">IF(B11&gt;=$P$5,0,(CONTADORES!AR3-CONTADORES!AR2))</f>
        <v>0</v>
      </c>
      <c r="W11" s="740">
        <v>0</v>
      </c>
      <c r="X11" s="210">
        <f ca="1">IF(W11=0,(T11-INICIO!$W$6),((T11-INICIO!$W$6)+V11))</f>
        <v>2.0299999999988358</v>
      </c>
      <c r="Y11" s="218">
        <f ca="1">(IF(W11=0,(S11-U11),((S11-U11)-V11))+E11)</f>
        <v>11.219999999986612</v>
      </c>
      <c r="Z11" s="217">
        <f ca="1">IF(B11&gt;=$P$5,0,($Y11*O11)/SUM($N11:$Q11))</f>
        <v>8.5563654148658923</v>
      </c>
      <c r="AA11" s="210">
        <f ca="1">IF(B11&gt;=$P$5,0,($Y11*P11)/SUM($N11:$Q11))</f>
        <v>2.0003504444332023</v>
      </c>
      <c r="AB11" s="210">
        <f ca="1">IF(B11&gt;=$P$5,0,($Y11*Q11)/SUM($N11:$Q11))</f>
        <v>0.38651809637175311</v>
      </c>
      <c r="AC11" s="218">
        <f ca="1">IF(B11&gt;=$P$5,0,($Y11*N11)/SUM($N11:$Q11))</f>
        <v>0.2767660443157649</v>
      </c>
    </row>
    <row r="12" spans="2:29">
      <c r="B12" s="220">
        <v>44563</v>
      </c>
      <c r="C12" s="208">
        <f ca="1">DATOSAÑO!I12</f>
        <v>148.60000000009313</v>
      </c>
      <c r="D12" s="202">
        <f ca="1">DATOSAÑO!P12</f>
        <v>294.14999999999964</v>
      </c>
      <c r="E12" s="202">
        <f ca="1">DATOSAÑO!Q12</f>
        <v>0</v>
      </c>
      <c r="F12" s="202">
        <f ca="1">DATOSAÑO!T12</f>
        <v>0</v>
      </c>
      <c r="G12" s="202">
        <f t="shared" ref="G12:G74" ca="1" si="4">SUM(C12:F12)</f>
        <v>442.75000000009277</v>
      </c>
      <c r="H12" s="202">
        <f t="shared" ref="H12:H41" ca="1" si="5">G12-SUM(I12:M12)</f>
        <v>31.031000000020015</v>
      </c>
      <c r="I12" s="202">
        <f t="shared" ca="1" si="0"/>
        <v>195.10183688470252</v>
      </c>
      <c r="J12" s="202">
        <f t="shared" ca="1" si="1"/>
        <v>45.183468038212226</v>
      </c>
      <c r="K12" s="202">
        <f t="shared" ca="1" si="2"/>
        <v>11.763245979260752</v>
      </c>
      <c r="L12" s="202">
        <f ca="1">R12</f>
        <v>154.41900000001164</v>
      </c>
      <c r="M12" s="202">
        <f t="shared" ca="1" si="3"/>
        <v>5.2514490978856285</v>
      </c>
      <c r="N12" s="202">
        <f ca="1">U12</f>
        <v>5</v>
      </c>
      <c r="O12" s="202">
        <f ca="1">(DATOSAÑO!AJ12+DATOSAÑO!AK12+DATOSAÑO!AD12)</f>
        <v>185.76000000005297</v>
      </c>
      <c r="P12" s="202">
        <f ca="1">DATOSAÑO!AI12</f>
        <v>43.020000000004075</v>
      </c>
      <c r="Q12" s="202">
        <f ca="1">DATOSAÑO!AH12</f>
        <v>11.19999999999709</v>
      </c>
      <c r="R12" s="212">
        <f ca="1">DATOSAÑO!AM12+DATOSAÑO!AN12+DATOSAÑO!AF12</f>
        <v>154.41900000001164</v>
      </c>
      <c r="S12" s="215">
        <f ca="1">IF(B12&gt;=$P$5,0,CONTADORES!Q4-CONTADORES!Q3)</f>
        <v>17.320000000006985</v>
      </c>
      <c r="T12" s="212">
        <f ca="1">IF(B12&gt;=$P$5,0,(CONTADORES!S4-CONTADORES!S3)+(CONTADORES!AE4-CONTADORES!AE3))</f>
        <v>2.0800000000017462</v>
      </c>
      <c r="U12" s="212">
        <f ca="1">IF(B12&gt;=$P$5,0,(CONTADORES!AQ4-CONTADORES!AQ3))</f>
        <v>5</v>
      </c>
      <c r="V12" s="212">
        <f ca="1">IF(B12&gt;=$P$5,0,(CONTADORES!AR4-CONTADORES!AR3))</f>
        <v>0</v>
      </c>
      <c r="W12" s="736">
        <v>0</v>
      </c>
      <c r="X12" s="212">
        <f ca="1">IF(W12=0,(T12-INICIO!$W$6),((T12-INICIO!$W$6)+V12))</f>
        <v>2.0800000000017462</v>
      </c>
      <c r="Y12" s="214">
        <f ca="1">(IF(W12=0,(S12-U12),((S12-U12)-V12))+E12)</f>
        <v>12.320000000006985</v>
      </c>
      <c r="Z12" s="215">
        <f ca="1">IF(B12&gt;=$P$5,0,($Y12*O12)/SUM($N12:$Q12))</f>
        <v>9.3418368846495401</v>
      </c>
      <c r="AA12" s="212">
        <f ca="1">IF(B12&gt;=$P$5,0,($Y12*P12)/SUM($N12:$Q12))</f>
        <v>2.1634680382081539</v>
      </c>
      <c r="AB12" s="212">
        <f ca="1">IF(B12&gt;=$P$5,0,($Y12*Q12)/SUM($N12:$Q12))</f>
        <v>0.56324597926366193</v>
      </c>
      <c r="AC12" s="214">
        <f t="shared" ref="AC12:AC74" ca="1" si="6">IF(B12&gt;=$P$5,0,($Y12*N12)/SUM($N12:$Q12))</f>
        <v>0.25144909788562869</v>
      </c>
    </row>
    <row r="13" spans="2:29">
      <c r="B13" s="220">
        <v>44564</v>
      </c>
      <c r="C13" s="208">
        <f ca="1">DATOSAÑO!I13</f>
        <v>148.29999999993015</v>
      </c>
      <c r="D13" s="202">
        <f ca="1">DATOSAÑO!P13</f>
        <v>298.82999999999993</v>
      </c>
      <c r="E13" s="202">
        <f ca="1">DATOSAÑO!Q13</f>
        <v>0.21199999999998909</v>
      </c>
      <c r="F13" s="202">
        <f ca="1">DATOSAÑO!T13</f>
        <v>0.2239999999999327</v>
      </c>
      <c r="G13" s="202">
        <f t="shared" ca="1" si="4"/>
        <v>447.56599999993</v>
      </c>
      <c r="H13" s="202">
        <f t="shared" ca="1" si="5"/>
        <v>32.605999999891026</v>
      </c>
      <c r="I13" s="202">
        <f t="shared" ca="1" si="0"/>
        <v>193.66623442283901</v>
      </c>
      <c r="J13" s="202">
        <f t="shared" ca="1" si="1"/>
        <v>45.881866528752568</v>
      </c>
      <c r="K13" s="202">
        <f t="shared" ca="1" si="2"/>
        <v>9.140651220525843</v>
      </c>
      <c r="L13" s="202">
        <f ca="1">R13</f>
        <v>161.01800000003573</v>
      </c>
      <c r="M13" s="202">
        <f t="shared" ca="1" si="3"/>
        <v>5.2532478278857804</v>
      </c>
      <c r="N13" s="202">
        <f t="shared" ref="N13:N75" ca="1" si="7">U13</f>
        <v>5</v>
      </c>
      <c r="O13" s="202">
        <f ca="1">(DATOSAÑO!AJ13+DATOSAÑO!AK13+DATOSAÑO!AD13)</f>
        <v>184.33000000000175</v>
      </c>
      <c r="P13" s="202">
        <f ca="1">DATOSAÑO!AI13</f>
        <v>43.669999999998254</v>
      </c>
      <c r="Q13" s="202">
        <f ca="1">DATOSAÑO!AH13</f>
        <v>8.7000000000043656</v>
      </c>
      <c r="R13" s="212">
        <f ca="1">DATOSAÑO!AM13+DATOSAÑO!AN13+DATOSAÑO!AF13</f>
        <v>161.01800000003573</v>
      </c>
      <c r="S13" s="215">
        <f ca="1">IF(B13&gt;=$P$5,0,CONTADORES!Q5-CONTADORES!Q4)</f>
        <v>17.029999999998836</v>
      </c>
      <c r="T13" s="212">
        <f ca="1">IF(B13&gt;=$P$5,0,(CONTADORES!S5-CONTADORES!S4)+(CONTADORES!AE5-CONTADORES!AE4))</f>
        <v>2.1100000000005821</v>
      </c>
      <c r="U13" s="212">
        <f ca="1">IF(B13&gt;=$P$5,0,(CONTADORES!AQ5-CONTADORES!AQ4))</f>
        <v>5</v>
      </c>
      <c r="V13" s="212">
        <f ca="1">IF(B13&gt;=$P$5,0,(CONTADORES!AR5-CONTADORES!AR4))</f>
        <v>0</v>
      </c>
      <c r="W13" s="736">
        <v>0</v>
      </c>
      <c r="X13" s="212">
        <f ca="1">IF(W13=0,(T13-INICIO!$W$6),((T13-INICIO!$W$6)+V13))</f>
        <v>2.1100000000005821</v>
      </c>
      <c r="Y13" s="214">
        <f t="shared" ref="Y13:Y75" ca="1" si="8">(IF(W13=0,(S13-U13),((S13-U13)-V13))+E13)</f>
        <v>12.241999999998825</v>
      </c>
      <c r="Z13" s="215">
        <f t="shared" ref="Z13:Z75" ca="1" si="9">IF(B13&gt;=$P$5,0,($Y13*O13)/SUM($N13:$Q13))</f>
        <v>9.3362344228372525</v>
      </c>
      <c r="AA13" s="212">
        <f t="shared" ref="AA13:AA75" ca="1" si="10">IF(B13&gt;=$P$5,0,($Y13*P13)/SUM($N13:$Q13))</f>
        <v>2.2118665287543138</v>
      </c>
      <c r="AB13" s="212">
        <f t="shared" ref="AB13:AB75" ca="1" si="11">IF(B13&gt;=$P$5,0,($Y13*Q13)/SUM($N13:$Q13))</f>
        <v>0.44065122052147826</v>
      </c>
      <c r="AC13" s="214">
        <f t="shared" ca="1" si="6"/>
        <v>0.25324782788577999</v>
      </c>
    </row>
    <row r="14" spans="2:29">
      <c r="B14" s="220">
        <v>44565</v>
      </c>
      <c r="C14" s="208">
        <f ca="1">DATOSAÑO!I14</f>
        <v>147.90000000002328</v>
      </c>
      <c r="D14" s="202">
        <f ca="1">DATOSAÑO!P14</f>
        <v>300.38000000000102</v>
      </c>
      <c r="E14" s="202">
        <f ca="1">DATOSAÑO!Q14</f>
        <v>0</v>
      </c>
      <c r="F14" s="202">
        <f ca="1">DATOSAÑO!T14</f>
        <v>0</v>
      </c>
      <c r="G14" s="202">
        <f t="shared" ca="1" si="4"/>
        <v>448.2800000000243</v>
      </c>
      <c r="H14" s="202">
        <f t="shared" ca="1" si="5"/>
        <v>31.655000000071027</v>
      </c>
      <c r="I14" s="202">
        <f t="shared" ca="1" si="0"/>
        <v>196.69665107352245</v>
      </c>
      <c r="J14" s="202">
        <f t="shared" ca="1" si="1"/>
        <v>47.372353364518077</v>
      </c>
      <c r="K14" s="202">
        <f t="shared" ca="1" si="2"/>
        <v>13.868154012232184</v>
      </c>
      <c r="L14" s="202">
        <f t="shared" ref="L14:L76" ca="1" si="12">R14</f>
        <v>153.85499999996375</v>
      </c>
      <c r="M14" s="202">
        <f t="shared" ca="1" si="3"/>
        <v>4.8328415497168127</v>
      </c>
      <c r="N14" s="202">
        <f t="shared" ca="1" si="7"/>
        <v>4.5999999999985448</v>
      </c>
      <c r="O14" s="202">
        <f ca="1">(DATOSAÑO!AJ14+DATOSAÑO!AK14+DATOSAÑO!AD14)</f>
        <v>187.21999999998661</v>
      </c>
      <c r="P14" s="202">
        <f ca="1">DATOSAÑO!AI14</f>
        <v>45.089999999996508</v>
      </c>
      <c r="Q14" s="202">
        <f ca="1">DATOSAÑO!AH14</f>
        <v>13.19999999999709</v>
      </c>
      <c r="R14" s="212">
        <f ca="1">DATOSAÑO!AM14+DATOSAÑO!AN14+DATOSAÑO!AF14</f>
        <v>153.85499999996375</v>
      </c>
      <c r="S14" s="215">
        <f ca="1">IF(B14&gt;=$P$5,0,CONTADORES!Q6-CONTADORES!Q5)</f>
        <v>17.260000000009313</v>
      </c>
      <c r="T14" s="212">
        <f ca="1">IF(B14&gt;=$P$5,0,(CONTADORES!S6-CONTADORES!S5)+(CONTADORES!AE6-CONTADORES!AE5))</f>
        <v>2.1100000000005821</v>
      </c>
      <c r="U14" s="212">
        <f ca="1">IF(B14&gt;=$P$5,0,(CONTADORES!AQ6-CONTADORES!AQ5))</f>
        <v>4.5999999999985448</v>
      </c>
      <c r="V14" s="212">
        <f ca="1">IF(B14&gt;=$P$5,0,(CONTADORES!AR6-CONTADORES!AR5))</f>
        <v>0</v>
      </c>
      <c r="W14" s="736">
        <v>0</v>
      </c>
      <c r="X14" s="212">
        <f ca="1">IF(W14=0,(T14-INICIO!$W$6),((T14-INICIO!$W$6)+V14))</f>
        <v>2.1100000000005821</v>
      </c>
      <c r="Y14" s="214">
        <f t="shared" ca="1" si="8"/>
        <v>12.660000000010768</v>
      </c>
      <c r="Z14" s="215">
        <f t="shared" ca="1" si="9"/>
        <v>9.4766510735358356</v>
      </c>
      <c r="AA14" s="212">
        <f t="shared" ca="1" si="10"/>
        <v>2.2823533645215694</v>
      </c>
      <c r="AB14" s="212">
        <f t="shared" ca="1" si="11"/>
        <v>0.66815401223509452</v>
      </c>
      <c r="AC14" s="214">
        <f t="shared" ca="1" si="6"/>
        <v>0.2328415497182682</v>
      </c>
    </row>
    <row r="15" spans="2:29">
      <c r="B15" s="220">
        <v>44566</v>
      </c>
      <c r="C15" s="208">
        <f ca="1">DATOSAÑO!I15</f>
        <v>146.5</v>
      </c>
      <c r="D15" s="202">
        <f ca="1">DATOSAÑO!P15</f>
        <v>301.10000000000036</v>
      </c>
      <c r="E15" s="202">
        <f ca="1">DATOSAÑO!Q15</f>
        <v>0.39999999999986358</v>
      </c>
      <c r="F15" s="202">
        <f ca="1">DATOSAÑO!T15</f>
        <v>0</v>
      </c>
      <c r="G15" s="202">
        <f t="shared" ca="1" si="4"/>
        <v>448.00000000000023</v>
      </c>
      <c r="H15" s="202">
        <f t="shared" ca="1" si="5"/>
        <v>35.030999999960727</v>
      </c>
      <c r="I15" s="202">
        <f t="shared" ca="1" si="0"/>
        <v>196.82651330923937</v>
      </c>
      <c r="J15" s="202">
        <f t="shared" ca="1" si="1"/>
        <v>48.618333881034545</v>
      </c>
      <c r="K15" s="202">
        <f t="shared" ca="1" si="2"/>
        <v>4.6223135064094238</v>
      </c>
      <c r="L15" s="202">
        <f t="shared" ca="1" si="12"/>
        <v>157.22900000003582</v>
      </c>
      <c r="M15" s="202">
        <f t="shared" ca="1" si="3"/>
        <v>5.6728393033203091</v>
      </c>
      <c r="N15" s="202">
        <f t="shared" ca="1" si="7"/>
        <v>5.4000000000014552</v>
      </c>
      <c r="O15" s="202">
        <f ca="1">(DATOSAÑO!AJ15+DATOSAÑO!AK15+DATOSAÑO!AD15)</f>
        <v>187.36000000001513</v>
      </c>
      <c r="P15" s="202">
        <f ca="1">DATOSAÑO!AI15</f>
        <v>46.279999999998836</v>
      </c>
      <c r="Q15" s="202">
        <f ca="1">DATOSAÑO!AH15</f>
        <v>4.4000000000014552</v>
      </c>
      <c r="R15" s="212">
        <f ca="1">DATOSAÑO!AM15+DATOSAÑO!AN15+DATOSAÑO!AF15</f>
        <v>157.22900000003582</v>
      </c>
      <c r="S15" s="215">
        <f ca="1">IF(B15&gt;=$P$5,0,CONTADORES!Q7-CONTADORES!Q6)</f>
        <v>17.299999999988358</v>
      </c>
      <c r="T15" s="212">
        <f ca="1">IF(B15&gt;=$P$5,0,(CONTADORES!S7-CONTADORES!S6)+(CONTADORES!AE7-CONTADORES!AE6))</f>
        <v>2.0599999999976717</v>
      </c>
      <c r="U15" s="212">
        <f ca="1">IF(B15&gt;=$P$5,0,(CONTADORES!AQ7-CONTADORES!AQ6))</f>
        <v>5.4000000000014552</v>
      </c>
      <c r="V15" s="212">
        <f ca="1">IF(B15&gt;=$P$5,0,(CONTADORES!AR7-CONTADORES!AR6))</f>
        <v>0</v>
      </c>
      <c r="W15" s="736">
        <v>0</v>
      </c>
      <c r="X15" s="212">
        <f ca="1">IF(W15=0,(T15-INICIO!$W$6),((T15-INICIO!$W$6)+V15))</f>
        <v>2.0599999999976717</v>
      </c>
      <c r="Y15" s="214">
        <f t="shared" ca="1" si="8"/>
        <v>12.299999999986767</v>
      </c>
      <c r="Z15" s="215">
        <f t="shared" ca="1" si="9"/>
        <v>9.4665133092242328</v>
      </c>
      <c r="AA15" s="212">
        <f t="shared" ca="1" si="10"/>
        <v>2.3383338810357124</v>
      </c>
      <c r="AB15" s="212">
        <f t="shared" ca="1" si="11"/>
        <v>0.22231350640796879</v>
      </c>
      <c r="AC15" s="214">
        <f t="shared" ca="1" si="6"/>
        <v>0.27283930331885409</v>
      </c>
    </row>
    <row r="16" spans="2:29">
      <c r="B16" s="220">
        <v>44567</v>
      </c>
      <c r="C16" s="208">
        <f ca="1">DATOSAÑO!I16</f>
        <v>108.80000000004657</v>
      </c>
      <c r="D16" s="202">
        <f ca="1">DATOSAÑO!P16</f>
        <v>212.69999999999891</v>
      </c>
      <c r="E16" s="202">
        <f ca="1">DATOSAÑO!Q16</f>
        <v>0</v>
      </c>
      <c r="F16" s="202">
        <f ca="1">DATOSAÑO!T16</f>
        <v>0</v>
      </c>
      <c r="G16" s="202">
        <f t="shared" ca="1" si="4"/>
        <v>321.50000000004547</v>
      </c>
      <c r="H16" s="202">
        <f t="shared" ca="1" si="5"/>
        <v>29.151000000118074</v>
      </c>
      <c r="I16" s="202">
        <f t="shared" ca="1" si="0"/>
        <v>200.6005707296639</v>
      </c>
      <c r="J16" s="202">
        <f t="shared" ca="1" si="1"/>
        <v>40.162168772939424</v>
      </c>
      <c r="K16" s="202">
        <f t="shared" ca="1" si="2"/>
        <v>11.144476151650546</v>
      </c>
      <c r="L16" s="202">
        <f t="shared" ca="1" si="12"/>
        <v>34.448999999976898</v>
      </c>
      <c r="M16" s="202">
        <f t="shared" ca="1" si="3"/>
        <v>5.9927843456966405</v>
      </c>
      <c r="N16" s="202">
        <f t="shared" ca="1" si="7"/>
        <v>5.6999999999970896</v>
      </c>
      <c r="O16" s="202">
        <f ca="1">(DATOSAÑO!AJ16+DATOSAÑO!AK16+DATOSAÑO!AD16)</f>
        <v>190.79999999993015</v>
      </c>
      <c r="P16" s="202">
        <f ca="1">DATOSAÑO!AI16</f>
        <v>38.200000000004366</v>
      </c>
      <c r="Q16" s="202">
        <f ca="1">DATOSAÑO!AH16</f>
        <v>10.599999999998545</v>
      </c>
      <c r="R16" s="212">
        <f ca="1">DATOSAÑO!AM16+DATOSAÑO!AN16+DATOSAÑO!AF16</f>
        <v>34.448999999976898</v>
      </c>
      <c r="S16" s="215">
        <f ca="1">IF(B16&gt;=$P$5,0,CONTADORES!Q8-CONTADORES!Q7)</f>
        <v>18.300000000017462</v>
      </c>
      <c r="T16" s="212">
        <f ca="1">IF(B16&gt;=$P$5,0,(CONTADORES!S8-CONTADORES!S7)+(CONTADORES!AE8-CONTADORES!AE7))</f>
        <v>2.2000000000043656</v>
      </c>
      <c r="U16" s="212">
        <f ca="1">IF(B16&gt;=$P$5,0,(CONTADORES!AQ8-CONTADORES!AQ7))</f>
        <v>5.6999999999970896</v>
      </c>
      <c r="V16" s="212">
        <f ca="1">IF(B16&gt;=$P$5,0,(CONTADORES!AR8-CONTADORES!AR7))</f>
        <v>0</v>
      </c>
      <c r="W16" s="736">
        <v>0</v>
      </c>
      <c r="X16" s="212">
        <f ca="1">IF(W16=0,(T16-INICIO!$W$6),((T16-INICIO!$W$6)+V16))</f>
        <v>2.2000000000043656</v>
      </c>
      <c r="Y16" s="214">
        <f t="shared" ca="1" si="8"/>
        <v>12.600000000020373</v>
      </c>
      <c r="Z16" s="215">
        <f t="shared" ca="1" si="9"/>
        <v>9.8005707297337619</v>
      </c>
      <c r="AA16" s="212">
        <f t="shared" ca="1" si="10"/>
        <v>1.9621687729350603</v>
      </c>
      <c r="AB16" s="212">
        <f t="shared" ca="1" si="11"/>
        <v>0.54447615165200025</v>
      </c>
      <c r="AC16" s="214">
        <f t="shared" ca="1" si="6"/>
        <v>0.2927843456995512</v>
      </c>
    </row>
    <row r="17" spans="2:29">
      <c r="B17" s="220">
        <v>44568</v>
      </c>
      <c r="C17" s="208">
        <f ca="1">DATOSAÑO!I17</f>
        <v>124.89999999990687</v>
      </c>
      <c r="D17" s="202">
        <f ca="1">DATOSAÑO!P17</f>
        <v>246.20000000000073</v>
      </c>
      <c r="E17" s="202">
        <f ca="1">DATOSAÑO!Q17</f>
        <v>0</v>
      </c>
      <c r="F17" s="202">
        <f ca="1">DATOSAÑO!T17</f>
        <v>1.0180000000000291</v>
      </c>
      <c r="G17" s="202">
        <f t="shared" ca="1" si="4"/>
        <v>372.11799999990762</v>
      </c>
      <c r="H17" s="202">
        <f t="shared" ca="1" si="5"/>
        <v>24.390999999923451</v>
      </c>
      <c r="I17" s="202">
        <f t="shared" ca="1" si="0"/>
        <v>202.79948564080991</v>
      </c>
      <c r="J17" s="202">
        <f t="shared" ca="1" si="1"/>
        <v>31.345563651951132</v>
      </c>
      <c r="K17" s="202">
        <f t="shared" ca="1" si="2"/>
        <v>5.7852550364333686</v>
      </c>
      <c r="L17" s="202">
        <f t="shared" ca="1" si="12"/>
        <v>102.32699999997544</v>
      </c>
      <c r="M17" s="202">
        <f t="shared" ca="1" si="3"/>
        <v>5.4696956708143221</v>
      </c>
      <c r="N17" s="202">
        <f t="shared" ca="1" si="7"/>
        <v>5.2000000000043656</v>
      </c>
      <c r="O17" s="202">
        <f ca="1">(DATOSAÑO!AJ17+DATOSAÑO!AK17+DATOSAÑO!AD17)</f>
        <v>192.80000000001746</v>
      </c>
      <c r="P17" s="202">
        <f ca="1">DATOSAÑO!AI17</f>
        <v>29.80000000000291</v>
      </c>
      <c r="Q17" s="202">
        <f ca="1">DATOSAÑO!AH17</f>
        <v>5.5</v>
      </c>
      <c r="R17" s="212">
        <f ca="1">DATOSAÑO!AM17+DATOSAÑO!AN17+DATOSAÑO!AF17</f>
        <v>102.32699999997544</v>
      </c>
      <c r="S17" s="215">
        <f ca="1">IF(B17&gt;=$P$5,0,CONTADORES!Q9-CONTADORES!Q8)</f>
        <v>17.299999999988358</v>
      </c>
      <c r="T17" s="212">
        <f ca="1">IF(B17&gt;=$P$5,0,(CONTADORES!S9-CONTADORES!S8)+(CONTADORES!AE9-CONTADORES!AE8))</f>
        <v>2.0999999999985448</v>
      </c>
      <c r="U17" s="212">
        <f ca="1">IF(B17&gt;=$P$5,0,(CONTADORES!AQ9-CONTADORES!AQ8))</f>
        <v>5.2000000000043656</v>
      </c>
      <c r="V17" s="212">
        <f ca="1">IF(B17&gt;=$P$5,0,(CONTADORES!AR9-CONTADORES!AR8))</f>
        <v>0</v>
      </c>
      <c r="W17" s="736">
        <v>0</v>
      </c>
      <c r="X17" s="212">
        <f ca="1">IF(W17=0,(T17-INICIO!$W$6),((T17-INICIO!$W$6)+V17))</f>
        <v>2.0999999999985448</v>
      </c>
      <c r="Y17" s="214">
        <f t="shared" ca="1" si="8"/>
        <v>12.099999999983993</v>
      </c>
      <c r="Z17" s="215">
        <f t="shared" ca="1" si="9"/>
        <v>9.9994856407924466</v>
      </c>
      <c r="AA17" s="212">
        <f t="shared" ca="1" si="10"/>
        <v>1.545563651948221</v>
      </c>
      <c r="AB17" s="212">
        <f t="shared" ca="1" si="11"/>
        <v>0.28525503643336864</v>
      </c>
      <c r="AC17" s="214">
        <f t="shared" ca="1" si="6"/>
        <v>0.26969567080995677</v>
      </c>
    </row>
    <row r="18" spans="2:29">
      <c r="B18" s="220">
        <v>44569</v>
      </c>
      <c r="C18" s="208">
        <f ca="1">DATOSAÑO!I18</f>
        <v>149.40000000002328</v>
      </c>
      <c r="D18" s="202">
        <f ca="1">DATOSAÑO!P18</f>
        <v>291.39999999999964</v>
      </c>
      <c r="E18" s="202">
        <f ca="1">DATOSAÑO!Q18</f>
        <v>0</v>
      </c>
      <c r="F18" s="202">
        <f ca="1">DATOSAÑO!T18</f>
        <v>0</v>
      </c>
      <c r="G18" s="202">
        <f t="shared" ca="1" si="4"/>
        <v>440.80000000002292</v>
      </c>
      <c r="H18" s="202">
        <f t="shared" ca="1" si="5"/>
        <v>31.079999999960364</v>
      </c>
      <c r="I18" s="202">
        <f t="shared" ca="1" si="0"/>
        <v>199.10910990391409</v>
      </c>
      <c r="J18" s="202">
        <f t="shared" ca="1" si="1"/>
        <v>32.81671541997089</v>
      </c>
      <c r="K18" s="202">
        <f t="shared" ca="1" si="2"/>
        <v>15.040994567491122</v>
      </c>
      <c r="L18" s="202">
        <f t="shared" ca="1" si="12"/>
        <v>158.02000000003639</v>
      </c>
      <c r="M18" s="202">
        <f t="shared" ca="1" si="3"/>
        <v>4.7331801086500889</v>
      </c>
      <c r="N18" s="202">
        <f t="shared" ca="1" si="7"/>
        <v>4.5</v>
      </c>
      <c r="O18" s="202">
        <f ca="1">(DATOSAÑO!AJ18+DATOSAÑO!AK18+DATOSAÑO!AD18)</f>
        <v>189.30000000003201</v>
      </c>
      <c r="P18" s="202">
        <f ca="1">DATOSAÑO!AI18</f>
        <v>31.19999999999709</v>
      </c>
      <c r="Q18" s="202">
        <f ca="1">DATOSAÑO!AH18</f>
        <v>14.30000000000291</v>
      </c>
      <c r="R18" s="212">
        <f ca="1">DATOSAÑO!AM18+DATOSAÑO!AN18+DATOSAÑO!AF18</f>
        <v>158.02000000003639</v>
      </c>
      <c r="S18" s="215">
        <f ca="1">IF(B18&gt;=$P$5,0,CONTADORES!Q10-CONTADORES!Q9)</f>
        <v>16.899999999994179</v>
      </c>
      <c r="T18" s="212">
        <f ca="1">IF(B18&gt;=$P$5,0,(CONTADORES!S10-CONTADORES!S9)+(CONTADORES!AE10-CONTADORES!AE9))</f>
        <v>2</v>
      </c>
      <c r="U18" s="212">
        <f ca="1">IF(B18&gt;=$P$5,0,(CONTADORES!AQ10-CONTADORES!AQ9))</f>
        <v>4.5</v>
      </c>
      <c r="V18" s="212">
        <f ca="1">IF(B18&gt;=$P$5,0,(CONTADORES!AR10-CONTADORES!AR9))</f>
        <v>0</v>
      </c>
      <c r="W18" s="736">
        <v>0</v>
      </c>
      <c r="X18" s="212">
        <f ca="1">IF(W18=0,(T18-INICIO!$W$6),((T18-INICIO!$W$6)+V18))</f>
        <v>2</v>
      </c>
      <c r="Y18" s="214">
        <f t="shared" ca="1" si="8"/>
        <v>12.399999999994179</v>
      </c>
      <c r="Z18" s="215">
        <f t="shared" ca="1" si="9"/>
        <v>9.8091099038820779</v>
      </c>
      <c r="AA18" s="212">
        <f t="shared" ca="1" si="10"/>
        <v>1.6167154199738007</v>
      </c>
      <c r="AB18" s="212">
        <f t="shared" ca="1" si="11"/>
        <v>0.74099456748821191</v>
      </c>
      <c r="AC18" s="214">
        <f t="shared" ca="1" si="6"/>
        <v>0.23318010865008917</v>
      </c>
    </row>
    <row r="19" spans="2:29">
      <c r="B19" s="220">
        <v>44570</v>
      </c>
      <c r="C19" s="208">
        <f ca="1">DATOSAÑO!I19</f>
        <v>148.30000000004657</v>
      </c>
      <c r="D19" s="202">
        <f ca="1">DATOSAÑO!P19</f>
        <v>287.09999999999854</v>
      </c>
      <c r="E19" s="202">
        <f ca="1">DATOSAÑO!Q19</f>
        <v>0.18200000000001637</v>
      </c>
      <c r="F19" s="202">
        <f ca="1">DATOSAÑO!T19</f>
        <v>0.42399999999997817</v>
      </c>
      <c r="G19" s="202">
        <f t="shared" ca="1" si="4"/>
        <v>436.00600000004511</v>
      </c>
      <c r="H19" s="202">
        <f t="shared" ca="1" si="5"/>
        <v>36.950000000063937</v>
      </c>
      <c r="I19" s="202">
        <f t="shared" ca="1" si="0"/>
        <v>192.90998895965106</v>
      </c>
      <c r="J19" s="202">
        <f t="shared" ca="1" si="1"/>
        <v>33.696067940545952</v>
      </c>
      <c r="K19" s="202">
        <f t="shared" ca="1" si="2"/>
        <v>16.216232696385298</v>
      </c>
      <c r="L19" s="202">
        <f t="shared" ca="1" si="12"/>
        <v>151.07400000000001</v>
      </c>
      <c r="M19" s="202">
        <f t="shared" ca="1" si="3"/>
        <v>5.1597104033988046</v>
      </c>
      <c r="N19" s="202">
        <f t="shared" ca="1" si="7"/>
        <v>4.9000000000014552</v>
      </c>
      <c r="O19" s="202">
        <f ca="1">(DATOSAÑO!AJ19+DATOSAÑO!AK19+DATOSAÑO!AD19)</f>
        <v>183.19999999998254</v>
      </c>
      <c r="P19" s="202">
        <f ca="1">DATOSAÑO!AI19</f>
        <v>31.999999999992724</v>
      </c>
      <c r="Q19" s="202">
        <f ca="1">DATOSAÑO!AH19</f>
        <v>15.399999999994179</v>
      </c>
      <c r="R19" s="212">
        <f ca="1">DATOSAÑO!AM19+DATOSAÑO!AN19+DATOSAÑO!AF19</f>
        <v>151.07400000000001</v>
      </c>
      <c r="S19" s="215">
        <f ca="1">IF(B19&gt;=$P$5,0,CONTADORES!Q11-CONTADORES!Q10)</f>
        <v>17.200000000011642</v>
      </c>
      <c r="T19" s="212">
        <f ca="1">IF(B19&gt;=$P$5,0,(CONTADORES!S11-CONTADORES!S10)+(CONTADORES!AE11-CONTADORES!AE10))</f>
        <v>2.0999999999985448</v>
      </c>
      <c r="U19" s="212">
        <f ca="1">IF(B19&gt;=$P$5,0,(CONTADORES!AQ11-CONTADORES!AQ10))</f>
        <v>4.9000000000014552</v>
      </c>
      <c r="V19" s="212">
        <f ca="1">IF(B19&gt;=$P$5,0,(CONTADORES!AR11-CONTADORES!AR10))</f>
        <v>0</v>
      </c>
      <c r="W19" s="736">
        <v>0</v>
      </c>
      <c r="X19" s="212">
        <f ca="1">IF(W19=0,(T19-INICIO!$W$6),((T19-INICIO!$W$6)+V19))</f>
        <v>2.0999999999985448</v>
      </c>
      <c r="Y19" s="214">
        <f t="shared" ca="1" si="8"/>
        <v>12.482000000010203</v>
      </c>
      <c r="Z19" s="215">
        <f t="shared" ca="1" si="9"/>
        <v>9.7099889596685092</v>
      </c>
      <c r="AA19" s="212">
        <f t="shared" ca="1" si="10"/>
        <v>1.6960679405532273</v>
      </c>
      <c r="AB19" s="212">
        <f t="shared" ca="1" si="11"/>
        <v>0.81623269639111773</v>
      </c>
      <c r="AC19" s="214">
        <f t="shared" ca="1" si="6"/>
        <v>0.25971040339734908</v>
      </c>
    </row>
    <row r="20" spans="2:29">
      <c r="B20" s="220">
        <v>44571</v>
      </c>
      <c r="C20" s="208">
        <f ca="1">DATOSAÑO!I20</f>
        <v>146.59999999997672</v>
      </c>
      <c r="D20" s="202">
        <f ca="1">DATOSAÑO!P20</f>
        <v>283.30000000000291</v>
      </c>
      <c r="E20" s="202">
        <f ca="1">DATOSAÑO!Q20</f>
        <v>0</v>
      </c>
      <c r="F20" s="202">
        <f ca="1">DATOSAÑO!T20</f>
        <v>0</v>
      </c>
      <c r="G20" s="202">
        <f t="shared" ca="1" si="4"/>
        <v>429.89999999997963</v>
      </c>
      <c r="H20" s="202">
        <f t="shared" ca="1" si="5"/>
        <v>31.487999999971919</v>
      </c>
      <c r="I20" s="202">
        <f t="shared" ca="1" si="0"/>
        <v>192.61470215466693</v>
      </c>
      <c r="J20" s="202">
        <f t="shared" ca="1" si="1"/>
        <v>41.342205323202222</v>
      </c>
      <c r="K20" s="202">
        <f t="shared" ca="1" si="2"/>
        <v>9.3624841571619477</v>
      </c>
      <c r="L20" s="202">
        <f t="shared" ca="1" si="12"/>
        <v>149.411999999964</v>
      </c>
      <c r="M20" s="202">
        <f t="shared" ca="1" si="3"/>
        <v>5.6806083650125574</v>
      </c>
      <c r="N20" s="202">
        <f t="shared" ca="1" si="7"/>
        <v>5.3999999999941792</v>
      </c>
      <c r="O20" s="202">
        <f ca="1">(DATOSAÑO!AJ20+DATOSAÑO!AK20+DATOSAÑO!AD20)</f>
        <v>183.10000000004948</v>
      </c>
      <c r="P20" s="202">
        <f ca="1">DATOSAÑO!AI20</f>
        <v>39.300000000010186</v>
      </c>
      <c r="Q20" s="202">
        <f ca="1">DATOSAÑO!AH20</f>
        <v>8.9000000000014552</v>
      </c>
      <c r="R20" s="212">
        <f ca="1">DATOSAÑO!AM20+DATOSAÑO!AN20+DATOSAÑO!AF20</f>
        <v>149.411999999964</v>
      </c>
      <c r="S20" s="215">
        <f ca="1">IF(B20&gt;=$P$5,0,CONTADORES!Q12-CONTADORES!Q11)</f>
        <v>17.699999999982538</v>
      </c>
      <c r="T20" s="212">
        <f ca="1">IF(B20&gt;=$P$5,0,(CONTADORES!S12-CONTADORES!S11)+(CONTADORES!AE12-CONTADORES!AE11))</f>
        <v>2.0999999999985448</v>
      </c>
      <c r="U20" s="212">
        <f ca="1">IF(B20&gt;=$P$5,0,(CONTADORES!AQ12-CONTADORES!AQ11))</f>
        <v>5.3999999999941792</v>
      </c>
      <c r="V20" s="212">
        <f ca="1">IF(B20&gt;=$P$5,0,(CONTADORES!AR12-CONTADORES!AR11))</f>
        <v>0</v>
      </c>
      <c r="W20" s="736">
        <v>0</v>
      </c>
      <c r="X20" s="212">
        <f ca="1">IF(W20=0,(T20-INICIO!$W$6),((T20-INICIO!$W$6)+V20))</f>
        <v>2.0999999999985448</v>
      </c>
      <c r="Y20" s="214">
        <f t="shared" ca="1" si="8"/>
        <v>12.299999999988358</v>
      </c>
      <c r="Z20" s="215">
        <f t="shared" ca="1" si="9"/>
        <v>9.5147021546174528</v>
      </c>
      <c r="AA20" s="212">
        <f t="shared" ca="1" si="10"/>
        <v>2.0422053231920358</v>
      </c>
      <c r="AB20" s="212">
        <f t="shared" ca="1" si="11"/>
        <v>0.46248415716049313</v>
      </c>
      <c r="AC20" s="214">
        <f t="shared" ca="1" si="6"/>
        <v>0.28060836501837777</v>
      </c>
    </row>
    <row r="21" spans="2:29">
      <c r="B21" s="220">
        <v>44572</v>
      </c>
      <c r="C21" s="208">
        <f ca="1">DATOSAÑO!I21</f>
        <v>148.5</v>
      </c>
      <c r="D21" s="202">
        <f ca="1">DATOSAÑO!P21</f>
        <v>283.69999999999709</v>
      </c>
      <c r="E21" s="202">
        <f ca="1">DATOSAÑO!Q21</f>
        <v>0</v>
      </c>
      <c r="F21" s="202">
        <f ca="1">DATOSAÑO!T21</f>
        <v>0</v>
      </c>
      <c r="G21" s="202">
        <f t="shared" ca="1" si="4"/>
        <v>432.19999999999709</v>
      </c>
      <c r="H21" s="202">
        <f t="shared" ca="1" si="5"/>
        <v>29.680999999987989</v>
      </c>
      <c r="I21" s="202">
        <f t="shared" ca="1" si="0"/>
        <v>194.04031785860133</v>
      </c>
      <c r="J21" s="202">
        <f t="shared" ca="1" si="1"/>
        <v>46.089836888327014</v>
      </c>
      <c r="K21" s="202">
        <f t="shared" ca="1" si="2"/>
        <v>5.6823086574670718</v>
      </c>
      <c r="L21" s="202">
        <f t="shared" ca="1" si="12"/>
        <v>150.91900000004694</v>
      </c>
      <c r="M21" s="202">
        <f t="shared" ca="1" si="3"/>
        <v>5.7875365955667544</v>
      </c>
      <c r="N21" s="202">
        <f t="shared" ca="1" si="7"/>
        <v>5.5</v>
      </c>
      <c r="O21" s="202">
        <f ca="1">(DATOSAÑO!AJ21+DATOSAÑO!AK21+DATOSAÑO!AD21)</f>
        <v>184.39999999996508</v>
      </c>
      <c r="P21" s="202">
        <f ca="1">DATOSAÑO!AI21</f>
        <v>43.799999999995634</v>
      </c>
      <c r="Q21" s="202">
        <f ca="1">DATOSAÑO!AH21</f>
        <v>5.4000000000014552</v>
      </c>
      <c r="R21" s="212">
        <f ca="1">DATOSAÑO!AM21+DATOSAÑO!AN21+DATOSAÑO!AF21</f>
        <v>150.91900000004694</v>
      </c>
      <c r="S21" s="215">
        <f ca="1">IF(B21&gt;=$P$5,0,CONTADORES!Q13-CONTADORES!Q12)</f>
        <v>18</v>
      </c>
      <c r="T21" s="212">
        <f ca="1">IF(B21&gt;=$P$5,0,(CONTADORES!S13-CONTADORES!S12)+(CONTADORES!AE13-CONTADORES!AE12))</f>
        <v>2.1000000000058208</v>
      </c>
      <c r="U21" s="212">
        <f ca="1">IF(B21&gt;=$P$5,0,(CONTADORES!AQ13-CONTADORES!AQ12))</f>
        <v>5.5</v>
      </c>
      <c r="V21" s="212">
        <f ca="1">IF(B21&gt;=$P$5,0,(CONTADORES!AR13-CONTADORES!AR12))</f>
        <v>0</v>
      </c>
      <c r="W21" s="736">
        <v>0</v>
      </c>
      <c r="X21" s="212">
        <f ca="1">IF(W21=0,(T21-INICIO!$W$6),((T21-INICIO!$W$6)+V21))</f>
        <v>2.1000000000058208</v>
      </c>
      <c r="Y21" s="214">
        <f t="shared" ca="1" si="8"/>
        <v>12.5</v>
      </c>
      <c r="Z21" s="215">
        <f t="shared" ca="1" si="9"/>
        <v>9.6403178586362532</v>
      </c>
      <c r="AA21" s="212">
        <f t="shared" ca="1" si="10"/>
        <v>2.2898368883313762</v>
      </c>
      <c r="AB21" s="212">
        <f t="shared" ca="1" si="11"/>
        <v>0.28230865746561634</v>
      </c>
      <c r="AC21" s="214">
        <f t="shared" ca="1" si="6"/>
        <v>0.28753659556675398</v>
      </c>
    </row>
    <row r="22" spans="2:29">
      <c r="B22" s="220">
        <v>44573</v>
      </c>
      <c r="C22" s="208">
        <f ca="1">DATOSAÑO!I22</f>
        <v>151.5</v>
      </c>
      <c r="D22" s="202">
        <f ca="1">DATOSAÑO!P22</f>
        <v>300.90000000000146</v>
      </c>
      <c r="E22" s="202">
        <f ca="1">DATOSAÑO!Q22</f>
        <v>0</v>
      </c>
      <c r="F22" s="202">
        <f ca="1">DATOSAÑO!T22</f>
        <v>0</v>
      </c>
      <c r="G22" s="202">
        <f t="shared" ca="1" si="4"/>
        <v>452.40000000000146</v>
      </c>
      <c r="H22" s="202">
        <f t="shared" ca="1" si="5"/>
        <v>38.491000000032557</v>
      </c>
      <c r="I22" s="202">
        <f t="shared" ca="1" si="0"/>
        <v>202.42505995203047</v>
      </c>
      <c r="J22" s="202">
        <f t="shared" ca="1" si="1"/>
        <v>44.901558752996188</v>
      </c>
      <c r="K22" s="202">
        <f t="shared" ca="1" si="2"/>
        <v>9.6743405275752306</v>
      </c>
      <c r="L22" s="202">
        <f t="shared" ca="1" si="12"/>
        <v>150.80899999997763</v>
      </c>
      <c r="M22" s="202">
        <f t="shared" ca="1" si="3"/>
        <v>6.0990407673893747</v>
      </c>
      <c r="N22" s="202">
        <f t="shared" ca="1" si="7"/>
        <v>5.8000000000029104</v>
      </c>
      <c r="O22" s="202">
        <f ca="1">(DATOSAÑO!AJ22+DATOSAÑO!AK22+DATOSAÑO!AD22)</f>
        <v>192.49999999998545</v>
      </c>
      <c r="P22" s="202">
        <f ca="1">DATOSAÑO!AI22</f>
        <v>42.69999999999709</v>
      </c>
      <c r="Q22" s="202">
        <f ca="1">DATOSAÑO!AH22</f>
        <v>9.1999999999970896</v>
      </c>
      <c r="R22" s="212">
        <f ca="1">DATOSAÑO!AM22+DATOSAÑO!AN22+DATOSAÑO!AF22</f>
        <v>150.80899999997763</v>
      </c>
      <c r="S22" s="215">
        <f ca="1">IF(B22&gt;=$P$5,0,CONTADORES!Q14-CONTADORES!Q13)</f>
        <v>18.700000000011642</v>
      </c>
      <c r="T22" s="212">
        <f ca="1">IF(B22&gt;=$P$5,0,(CONTADORES!S14-CONTADORES!S13)+(CONTADORES!AE14-CONTADORES!AE13))</f>
        <v>2.1999999999970896</v>
      </c>
      <c r="U22" s="212">
        <f ca="1">IF(B22&gt;=$P$5,0,(CONTADORES!AQ14-CONTADORES!AQ13))</f>
        <v>5.8000000000029104</v>
      </c>
      <c r="V22" s="212">
        <f ca="1">IF(B22&gt;=$P$5,0,(CONTADORES!AR14-CONTADORES!AR13))</f>
        <v>0</v>
      </c>
      <c r="W22" s="736">
        <v>0</v>
      </c>
      <c r="X22" s="212">
        <f ca="1">IF(W22=0,(T22-INICIO!$W$6),((T22-INICIO!$W$6)+V22))</f>
        <v>2.1999999999970896</v>
      </c>
      <c r="Y22" s="214">
        <f t="shared" ca="1" si="8"/>
        <v>12.900000000008731</v>
      </c>
      <c r="Z22" s="215">
        <f t="shared" ca="1" si="9"/>
        <v>9.9250599520450287</v>
      </c>
      <c r="AA22" s="212">
        <f t="shared" ca="1" si="10"/>
        <v>2.2015587529990959</v>
      </c>
      <c r="AB22" s="212">
        <f t="shared" ca="1" si="11"/>
        <v>0.47434052757814177</v>
      </c>
      <c r="AC22" s="214">
        <f t="shared" ca="1" si="6"/>
        <v>0.29904076738646446</v>
      </c>
    </row>
    <row r="23" spans="2:29">
      <c r="B23" s="220">
        <v>44574</v>
      </c>
      <c r="C23" s="208">
        <f ca="1">DATOSAÑO!I23</f>
        <v>146</v>
      </c>
      <c r="D23" s="202">
        <f ca="1">DATOSAÑO!P23</f>
        <v>308</v>
      </c>
      <c r="E23" s="202">
        <f ca="1">DATOSAÑO!Q23</f>
        <v>0</v>
      </c>
      <c r="F23" s="202">
        <f ca="1">DATOSAÑO!T23</f>
        <v>0</v>
      </c>
      <c r="G23" s="202">
        <f t="shared" ca="1" si="4"/>
        <v>454</v>
      </c>
      <c r="H23" s="202">
        <f t="shared" ca="1" si="5"/>
        <v>30.010999999984335</v>
      </c>
      <c r="I23" s="202">
        <f t="shared" ca="1" si="0"/>
        <v>201.93103448276722</v>
      </c>
      <c r="J23" s="202">
        <f t="shared" ca="1" si="1"/>
        <v>43.856896551730593</v>
      </c>
      <c r="K23" s="202">
        <f t="shared" ca="1" si="2"/>
        <v>17.353448275862807</v>
      </c>
      <c r="L23" s="202">
        <f t="shared" ca="1" si="12"/>
        <v>155.58899999999963</v>
      </c>
      <c r="M23" s="202">
        <f t="shared" ca="1" si="3"/>
        <v>5.2586206896553964</v>
      </c>
      <c r="N23" s="202">
        <f t="shared" ca="1" si="7"/>
        <v>5</v>
      </c>
      <c r="O23" s="202">
        <f ca="1">(DATOSAÑO!AJ23+DATOSAÑO!AK23+DATOSAÑO!AD23)</f>
        <v>192</v>
      </c>
      <c r="P23" s="202">
        <f ca="1">DATOSAÑO!AI23</f>
        <v>41.700000000004366</v>
      </c>
      <c r="Q23" s="202">
        <f ca="1">DATOSAÑO!AH23</f>
        <v>16.5</v>
      </c>
      <c r="R23" s="212">
        <f ca="1">DATOSAÑO!AM23+DATOSAÑO!AN23+DATOSAÑO!AF23</f>
        <v>155.58899999999963</v>
      </c>
      <c r="S23" s="215">
        <f ca="1">IF(B23&gt;=$P$5,0,CONTADORES!Q15-CONTADORES!Q14)</f>
        <v>18.200000000011642</v>
      </c>
      <c r="T23" s="212">
        <f ca="1">IF(B23&gt;=$P$5,0,(CONTADORES!S15-CONTADORES!S14)+(CONTADORES!AE15-CONTADORES!AE14))</f>
        <v>2.0999999999985448</v>
      </c>
      <c r="U23" s="212">
        <f ca="1">IF(B23&gt;=$P$5,0,(CONTADORES!AQ15-CONTADORES!AQ14))</f>
        <v>5</v>
      </c>
      <c r="V23" s="212">
        <f ca="1">IF(B23&gt;=$P$5,0,(CONTADORES!AR15-CONTADORES!AR14))</f>
        <v>0</v>
      </c>
      <c r="W23" s="736">
        <v>0</v>
      </c>
      <c r="X23" s="212">
        <f ca="1">IF(W23=0,(T23-INICIO!$W$6),((T23-INICIO!$W$6)+V23))</f>
        <v>2.0999999999985448</v>
      </c>
      <c r="Y23" s="214">
        <f t="shared" ca="1" si="8"/>
        <v>13.200000000011642</v>
      </c>
      <c r="Z23" s="215">
        <f t="shared" ca="1" si="9"/>
        <v>9.9310344827672097</v>
      </c>
      <c r="AA23" s="212">
        <f t="shared" ca="1" si="10"/>
        <v>2.1568965517262289</v>
      </c>
      <c r="AB23" s="212">
        <f t="shared" ca="1" si="11"/>
        <v>0.85344827586280703</v>
      </c>
      <c r="AC23" s="214">
        <f t="shared" ca="1" si="6"/>
        <v>0.25862068965539609</v>
      </c>
    </row>
    <row r="24" spans="2:29">
      <c r="B24" s="220">
        <v>44575</v>
      </c>
      <c r="C24" s="208">
        <f ca="1">DATOSAÑO!I24</f>
        <v>148</v>
      </c>
      <c r="D24" s="202">
        <f ca="1">DATOSAÑO!P24</f>
        <v>300</v>
      </c>
      <c r="E24" s="202">
        <f ca="1">DATOSAÑO!Q24</f>
        <v>0</v>
      </c>
      <c r="F24" s="202">
        <f ca="1">DATOSAÑO!T24</f>
        <v>0</v>
      </c>
      <c r="G24" s="202">
        <f t="shared" ca="1" si="4"/>
        <v>448</v>
      </c>
      <c r="H24" s="202">
        <f t="shared" ca="1" si="5"/>
        <v>32.890000000019086</v>
      </c>
      <c r="I24" s="202">
        <f t="shared" ca="1" si="0"/>
        <v>201.36601941746363</v>
      </c>
      <c r="J24" s="202">
        <f t="shared" ca="1" si="1"/>
        <v>47.924271844654328</v>
      </c>
      <c r="K24" s="202">
        <f t="shared" ca="1" si="2"/>
        <v>5.2548543689315634</v>
      </c>
      <c r="L24" s="202">
        <f t="shared" ca="1" si="12"/>
        <v>155.30999999999983</v>
      </c>
      <c r="M24" s="202">
        <f t="shared" ca="1" si="3"/>
        <v>5.2548543689315634</v>
      </c>
      <c r="N24" s="202">
        <f t="shared" ca="1" si="7"/>
        <v>5</v>
      </c>
      <c r="O24" s="202">
        <f ca="1">(DATOSAÑO!AJ24+DATOSAÑO!AK24+DATOSAÑO!AD24)</f>
        <v>191.60000000000582</v>
      </c>
      <c r="P24" s="202">
        <f ca="1">DATOSAÑO!AI24</f>
        <v>45.599999999998545</v>
      </c>
      <c r="Q24" s="202">
        <f ca="1">DATOSAÑO!AH24</f>
        <v>5</v>
      </c>
      <c r="R24" s="212">
        <f ca="1">DATOSAÑO!AM24+DATOSAÑO!AN24+DATOSAÑO!AF24</f>
        <v>155.30999999999983</v>
      </c>
      <c r="S24" s="215">
        <f ca="1">IF(B24&gt;=$P$5,0,CONTADORES!Q16-CONTADORES!Q15)</f>
        <v>17.599999999976717</v>
      </c>
      <c r="T24" s="212">
        <f ca="1">IF(B24&gt;=$P$5,0,(CONTADORES!S16-CONTADORES!S15)+(CONTADORES!AE16-CONTADORES!AE15))</f>
        <v>2.0999999999985448</v>
      </c>
      <c r="U24" s="212">
        <f ca="1">IF(B24&gt;=$P$5,0,(CONTADORES!AQ16-CONTADORES!AQ15))</f>
        <v>5</v>
      </c>
      <c r="V24" s="212">
        <f ca="1">IF(B24&gt;=$P$5,0,(CONTADORES!AR16-CONTADORES!AR15))</f>
        <v>0</v>
      </c>
      <c r="W24" s="736">
        <v>0</v>
      </c>
      <c r="X24" s="212">
        <f ca="1">IF(W24=0,(T24-INICIO!$W$6),((T24-INICIO!$W$6)+V24))</f>
        <v>2.0999999999985448</v>
      </c>
      <c r="Y24" s="214">
        <f t="shared" ca="1" si="8"/>
        <v>12.599999999976717</v>
      </c>
      <c r="Z24" s="215">
        <f t="shared" ca="1" si="9"/>
        <v>9.766019417457807</v>
      </c>
      <c r="AA24" s="212">
        <f t="shared" ca="1" si="10"/>
        <v>2.324271844655784</v>
      </c>
      <c r="AB24" s="212">
        <f t="shared" ca="1" si="11"/>
        <v>0.25485436893156338</v>
      </c>
      <c r="AC24" s="214">
        <f t="shared" ca="1" si="6"/>
        <v>0.25485436893156338</v>
      </c>
    </row>
    <row r="25" spans="2:29">
      <c r="B25" s="220">
        <v>44576</v>
      </c>
      <c r="C25" s="208">
        <f ca="1">DATOSAÑO!I25</f>
        <v>150</v>
      </c>
      <c r="D25" s="202">
        <f ca="1">DATOSAÑO!P25</f>
        <v>300</v>
      </c>
      <c r="E25" s="202">
        <f ca="1">DATOSAÑO!Q25</f>
        <v>0</v>
      </c>
      <c r="F25" s="202">
        <f ca="1">DATOSAÑO!T25</f>
        <v>0</v>
      </c>
      <c r="G25" s="202">
        <f t="shared" ca="1" si="4"/>
        <v>450</v>
      </c>
      <c r="H25" s="202">
        <f t="shared" ca="1" si="5"/>
        <v>32.017999999960125</v>
      </c>
      <c r="I25" s="202">
        <f t="shared" ca="1" si="0"/>
        <v>198.16742364920668</v>
      </c>
      <c r="J25" s="202">
        <f t="shared" ca="1" si="1"/>
        <v>48.99342208301271</v>
      </c>
      <c r="K25" s="202">
        <f t="shared" ca="1" si="2"/>
        <v>13.371339075963451</v>
      </c>
      <c r="L25" s="202">
        <f t="shared" ca="1" si="12"/>
        <v>151.18200000000056</v>
      </c>
      <c r="M25" s="202">
        <f t="shared" ca="1" si="3"/>
        <v>6.2678151918564424</v>
      </c>
      <c r="N25" s="202">
        <f t="shared" ca="1" si="7"/>
        <v>6</v>
      </c>
      <c r="O25" s="202">
        <f ca="1">(DATOSAÑO!AJ25+DATOSAÑO!AK25+DATOSAÑO!AD25)</f>
        <v>189.70000000001164</v>
      </c>
      <c r="P25" s="202">
        <f ca="1">DATOSAÑO!AI25</f>
        <v>46.900000000001455</v>
      </c>
      <c r="Q25" s="202">
        <f ca="1">DATOSAÑO!AH25</f>
        <v>12.80000000000291</v>
      </c>
      <c r="R25" s="212">
        <f ca="1">DATOSAÑO!AM25+DATOSAÑO!AN25+DATOSAÑO!AF25</f>
        <v>151.18200000000056</v>
      </c>
      <c r="S25" s="215">
        <f ca="1">IF(B25&gt;=$P$5,0,CONTADORES!Q17-CONTADORES!Q16)</f>
        <v>17.400000000023283</v>
      </c>
      <c r="T25" s="212">
        <f ca="1">IF(B25&gt;=$P$5,0,(CONTADORES!S17-CONTADORES!S16)+(CONTADORES!AE17-CONTADORES!AE16))</f>
        <v>2.1000000000058208</v>
      </c>
      <c r="U25" s="212">
        <f ca="1">IF(B25&gt;=$P$5,0,(CONTADORES!AQ17-CONTADORES!AQ16))</f>
        <v>6</v>
      </c>
      <c r="V25" s="212">
        <f ca="1">IF(B25&gt;=$P$5,0,(CONTADORES!AR17-CONTADORES!AR16))</f>
        <v>0</v>
      </c>
      <c r="W25" s="736">
        <v>0</v>
      </c>
      <c r="X25" s="212">
        <f ca="1">IF(W25=0,(T25-INICIO!$W$6),((T25-INICIO!$W$6)+V25))</f>
        <v>2.1000000000058208</v>
      </c>
      <c r="Y25" s="214">
        <f t="shared" ca="1" si="8"/>
        <v>11.400000000023283</v>
      </c>
      <c r="Z25" s="215">
        <f t="shared" ca="1" si="9"/>
        <v>8.4674236491950428</v>
      </c>
      <c r="AA25" s="212">
        <f t="shared" ca="1" si="10"/>
        <v>2.0934220830112569</v>
      </c>
      <c r="AB25" s="212">
        <f t="shared" ca="1" si="11"/>
        <v>0.57133907596054057</v>
      </c>
      <c r="AC25" s="214">
        <f t="shared" ca="1" si="6"/>
        <v>0.26781519185644248</v>
      </c>
    </row>
    <row r="26" spans="2:29">
      <c r="B26" s="220">
        <v>44577</v>
      </c>
      <c r="C26" s="208">
        <f ca="1">DATOSAÑO!I26</f>
        <v>150</v>
      </c>
      <c r="D26" s="202">
        <f ca="1">DATOSAÑO!P26</f>
        <v>304</v>
      </c>
      <c r="E26" s="202">
        <f ca="1">DATOSAÑO!Q26</f>
        <v>0.48500000000012733</v>
      </c>
      <c r="F26" s="202">
        <f ca="1">DATOSAÑO!T26</f>
        <v>0.44600000000002638</v>
      </c>
      <c r="G26" s="202">
        <f t="shared" ca="1" si="4"/>
        <v>454.93100000000015</v>
      </c>
      <c r="H26" s="202">
        <f t="shared" ca="1" si="5"/>
        <v>34.216000000025645</v>
      </c>
      <c r="I26" s="202">
        <f t="shared" ca="1" si="0"/>
        <v>198.79684336386958</v>
      </c>
      <c r="J26" s="202">
        <f t="shared" ca="1" si="1"/>
        <v>47.488017138298638</v>
      </c>
      <c r="K26" s="202">
        <f t="shared" ca="1" si="2"/>
        <v>12.635392586687406</v>
      </c>
      <c r="L26" s="202">
        <f t="shared" ca="1" si="12"/>
        <v>156.52999999999909</v>
      </c>
      <c r="M26" s="202">
        <f t="shared" ca="1" si="3"/>
        <v>5.2647469111197527</v>
      </c>
      <c r="N26" s="202">
        <f t="shared" ca="1" si="7"/>
        <v>5</v>
      </c>
      <c r="O26" s="202">
        <f ca="1">(DATOSAÑO!AJ26+DATOSAÑO!AK26+DATOSAÑO!AD26)</f>
        <v>188.79999999998836</v>
      </c>
      <c r="P26" s="202">
        <f ca="1">DATOSAÑO!AI26</f>
        <v>45.099999999998545</v>
      </c>
      <c r="Q26" s="202">
        <f ca="1">DATOSAÑO!AH26</f>
        <v>12</v>
      </c>
      <c r="R26" s="212">
        <f ca="1">DATOSAÑO!AM26+DATOSAÑO!AN26+DATOSAÑO!AF26</f>
        <v>156.52999999999909</v>
      </c>
      <c r="S26" s="215">
        <f ca="1">IF(B26&gt;=$P$5,0,CONTADORES!Q18-CONTADORES!Q17)</f>
        <v>17.799999999988358</v>
      </c>
      <c r="T26" s="212">
        <f ca="1">IF(B26&gt;=$P$5,0,(CONTADORES!S18-CONTADORES!S17)+(CONTADORES!AE18-CONTADORES!AE17))</f>
        <v>2.0999999999985448</v>
      </c>
      <c r="U26" s="212">
        <f ca="1">IF(B26&gt;=$P$5,0,(CONTADORES!AQ18-CONTADORES!AQ17))</f>
        <v>5</v>
      </c>
      <c r="V26" s="212">
        <f ca="1">IF(B26&gt;=$P$5,0,(CONTADORES!AR18-CONTADORES!AR17))</f>
        <v>0</v>
      </c>
      <c r="W26" s="736">
        <v>0</v>
      </c>
      <c r="X26" s="212">
        <f ca="1">IF(W26=0,(T26-INICIO!$W$6),((T26-INICIO!$W$6)+V26))</f>
        <v>2.0999999999985448</v>
      </c>
      <c r="Y26" s="214">
        <f t="shared" ca="1" si="8"/>
        <v>13.284999999988486</v>
      </c>
      <c r="Z26" s="215">
        <f t="shared" ca="1" si="9"/>
        <v>9.9968433638812364</v>
      </c>
      <c r="AA26" s="212">
        <f t="shared" ca="1" si="10"/>
        <v>2.3880171383000901</v>
      </c>
      <c r="AB26" s="212">
        <f t="shared" ca="1" si="11"/>
        <v>0.63539258668740595</v>
      </c>
      <c r="AC26" s="214">
        <f t="shared" ca="1" si="6"/>
        <v>0.26474691111975246</v>
      </c>
    </row>
    <row r="27" spans="2:29">
      <c r="B27" s="220">
        <v>44578</v>
      </c>
      <c r="C27" s="208">
        <f ca="1">DATOSAÑO!I27</f>
        <v>150</v>
      </c>
      <c r="D27" s="202">
        <f ca="1">DATOSAÑO!P27</f>
        <v>300</v>
      </c>
      <c r="E27" s="202">
        <f ca="1">DATOSAÑO!Q27</f>
        <v>0</v>
      </c>
      <c r="F27" s="202">
        <f ca="1">DATOSAÑO!T27</f>
        <v>0</v>
      </c>
      <c r="G27" s="202">
        <f t="shared" ca="1" si="4"/>
        <v>450</v>
      </c>
      <c r="H27" s="202">
        <f t="shared" ca="1" si="5"/>
        <v>32.013999999993814</v>
      </c>
      <c r="I27" s="202">
        <f t="shared" ca="1" si="0"/>
        <v>199.72020000000444</v>
      </c>
      <c r="J27" s="202">
        <f t="shared" ca="1" si="1"/>
        <v>46.653800000001034</v>
      </c>
      <c r="K27" s="202">
        <f t="shared" ca="1" si="2"/>
        <v>9.4356000000002087</v>
      </c>
      <c r="L27" s="202">
        <f t="shared" ca="1" si="12"/>
        <v>155.88600000000037</v>
      </c>
      <c r="M27" s="202">
        <f t="shared" ca="1" si="3"/>
        <v>6.2904000000001394</v>
      </c>
      <c r="N27" s="202">
        <f t="shared" ca="1" si="7"/>
        <v>6</v>
      </c>
      <c r="O27" s="202">
        <f ca="1">(DATOSAÑO!AJ27+DATOSAÑO!AK27+DATOSAÑO!AD27)</f>
        <v>190.5</v>
      </c>
      <c r="P27" s="202">
        <f ca="1">DATOSAÑO!AI27</f>
        <v>44.5</v>
      </c>
      <c r="Q27" s="202">
        <f ca="1">DATOSAÑO!AH27</f>
        <v>9</v>
      </c>
      <c r="R27" s="212">
        <f ca="1">DATOSAÑO!AM27+DATOSAÑO!AN27+DATOSAÑO!AF27</f>
        <v>155.88600000000037</v>
      </c>
      <c r="S27" s="215">
        <f ca="1">IF(B27&gt;=$P$5,0,CONTADORES!Q19-CONTADORES!Q18)</f>
        <v>18.100000000005821</v>
      </c>
      <c r="T27" s="212">
        <f ca="1">IF(B27&gt;=$P$5,0,(CONTADORES!S19-CONTADORES!S18)+(CONTADORES!AE19-CONTADORES!AE18))</f>
        <v>2.0999999999985448</v>
      </c>
      <c r="U27" s="212">
        <f ca="1">IF(B27&gt;=$P$5,0,(CONTADORES!AQ19-CONTADORES!AQ18))</f>
        <v>6</v>
      </c>
      <c r="V27" s="212">
        <f ca="1">IF(B27&gt;=$P$5,0,(CONTADORES!AR19-CONTADORES!AR18))</f>
        <v>0</v>
      </c>
      <c r="W27" s="736">
        <v>0</v>
      </c>
      <c r="X27" s="212">
        <f ca="1">IF(W27=0,(T27-INICIO!$W$6),((T27-INICIO!$W$6)+V27))</f>
        <v>2.0999999999985448</v>
      </c>
      <c r="Y27" s="214">
        <f t="shared" ca="1" si="8"/>
        <v>12.100000000005821</v>
      </c>
      <c r="Z27" s="215">
        <f t="shared" ca="1" si="9"/>
        <v>9.2202000000044357</v>
      </c>
      <c r="AA27" s="212">
        <f t="shared" ca="1" si="10"/>
        <v>2.153800000001036</v>
      </c>
      <c r="AB27" s="212">
        <f t="shared" ca="1" si="11"/>
        <v>0.43560000000020954</v>
      </c>
      <c r="AC27" s="214">
        <f t="shared" ca="1" si="6"/>
        <v>0.29040000000013971</v>
      </c>
    </row>
    <row r="28" spans="2:29">
      <c r="B28" s="220">
        <v>44579</v>
      </c>
      <c r="C28" s="208">
        <f ca="1">DATOSAÑO!I28</f>
        <v>150</v>
      </c>
      <c r="D28" s="202">
        <f ca="1">DATOSAÑO!P28</f>
        <v>296</v>
      </c>
      <c r="E28" s="202">
        <f ca="1">DATOSAÑO!Q28</f>
        <v>0</v>
      </c>
      <c r="F28" s="202">
        <f ca="1">DATOSAÑO!T28</f>
        <v>0</v>
      </c>
      <c r="G28" s="202">
        <f t="shared" ca="1" si="4"/>
        <v>446</v>
      </c>
      <c r="H28" s="202">
        <f t="shared" ca="1" si="5"/>
        <v>33.044000000033122</v>
      </c>
      <c r="I28" s="202">
        <f t="shared" ca="1" si="0"/>
        <v>196.56950726975904</v>
      </c>
      <c r="J28" s="202">
        <f t="shared" ca="1" si="1"/>
        <v>45.450807754441243</v>
      </c>
      <c r="K28" s="202">
        <f t="shared" ca="1" si="2"/>
        <v>10.996163166396707</v>
      </c>
      <c r="L28" s="202">
        <f t="shared" ca="1" si="12"/>
        <v>153.65600000000035</v>
      </c>
      <c r="M28" s="202">
        <f t="shared" ca="1" si="3"/>
        <v>6.2835218093695469</v>
      </c>
      <c r="N28" s="202">
        <f t="shared" ca="1" si="7"/>
        <v>6</v>
      </c>
      <c r="O28" s="202">
        <f ca="1">(DATOSAÑO!AJ28+DATOSAÑO!AK28+DATOSAÑO!AD28)</f>
        <v>187.69999999998254</v>
      </c>
      <c r="P28" s="202">
        <f ca="1">DATOSAÑO!AI28</f>
        <v>43.400000000001455</v>
      </c>
      <c r="Q28" s="202">
        <f ca="1">DATOSAÑO!AH28</f>
        <v>10.5</v>
      </c>
      <c r="R28" s="212">
        <f ca="1">DATOSAÑO!AM28+DATOSAÑO!AN28+DATOSAÑO!AF28</f>
        <v>153.65600000000035</v>
      </c>
      <c r="S28" s="215">
        <f ca="1">IF(B28&gt;=$P$5,0,CONTADORES!Q20-CONTADORES!Q19)</f>
        <v>17.699999999982538</v>
      </c>
      <c r="T28" s="212">
        <f ca="1">IF(B28&gt;=$P$5,0,(CONTADORES!S20-CONTADORES!S19)+(CONTADORES!AE20-CONTADORES!AE19))</f>
        <v>2.0999999999985448</v>
      </c>
      <c r="U28" s="212">
        <f ca="1">IF(B28&gt;=$P$5,0,(CONTADORES!AQ20-CONTADORES!AQ19))</f>
        <v>6</v>
      </c>
      <c r="V28" s="212">
        <f ca="1">IF(B28&gt;=$P$5,0,(CONTADORES!AR20-CONTADORES!AR19))</f>
        <v>0</v>
      </c>
      <c r="W28" s="736">
        <v>0</v>
      </c>
      <c r="X28" s="212">
        <f ca="1">IF(W28=0,(T28-INICIO!$W$6),((T28-INICIO!$W$6)+V28))</f>
        <v>2.0999999999985448</v>
      </c>
      <c r="Y28" s="214">
        <f t="shared" ca="1" si="8"/>
        <v>11.699999999982538</v>
      </c>
      <c r="Z28" s="215">
        <f t="shared" ca="1" si="9"/>
        <v>8.869507269776495</v>
      </c>
      <c r="AA28" s="212">
        <f t="shared" ca="1" si="10"/>
        <v>2.05080775443979</v>
      </c>
      <c r="AB28" s="212">
        <f t="shared" ca="1" si="11"/>
        <v>0.49616316639670671</v>
      </c>
      <c r="AC28" s="214">
        <f t="shared" ca="1" si="6"/>
        <v>0.28352180936954668</v>
      </c>
    </row>
    <row r="29" spans="2:29">
      <c r="B29" s="220">
        <v>44580</v>
      </c>
      <c r="C29" s="208">
        <f ca="1">DATOSAÑO!I29</f>
        <v>146</v>
      </c>
      <c r="D29" s="202">
        <f ca="1">DATOSAÑO!P29</f>
        <v>304</v>
      </c>
      <c r="E29" s="202">
        <f ca="1">DATOSAÑO!Q29</f>
        <v>0</v>
      </c>
      <c r="F29" s="202">
        <f ca="1">DATOSAÑO!T29</f>
        <v>0</v>
      </c>
      <c r="G29" s="202">
        <f t="shared" ca="1" si="4"/>
        <v>450</v>
      </c>
      <c r="H29" s="202">
        <f t="shared" ca="1" si="5"/>
        <v>29.755999999953929</v>
      </c>
      <c r="I29" s="202">
        <f t="shared" ca="1" si="0"/>
        <v>204.30157480319244</v>
      </c>
      <c r="J29" s="202">
        <f t="shared" ca="1" si="1"/>
        <v>46.637480314964954</v>
      </c>
      <c r="K29" s="202">
        <f t="shared" ca="1" si="2"/>
        <v>10.608976377951864</v>
      </c>
      <c r="L29" s="202">
        <f t="shared" ca="1" si="12"/>
        <v>153.44399999999945</v>
      </c>
      <c r="M29" s="202">
        <f t="shared" ca="1" si="3"/>
        <v>5.2519685039373227</v>
      </c>
      <c r="N29" s="202">
        <f t="shared" ca="1" si="7"/>
        <v>5</v>
      </c>
      <c r="O29" s="202">
        <f ca="1">(DATOSAÑO!AJ29+DATOSAÑO!AK29+DATOSAÑO!AD29)</f>
        <v>194.5000000000291</v>
      </c>
      <c r="P29" s="202">
        <f ca="1">DATOSAÑO!AI29</f>
        <v>44.400000000001455</v>
      </c>
      <c r="Q29" s="202">
        <f ca="1">DATOSAÑO!AH29</f>
        <v>10.099999999998545</v>
      </c>
      <c r="R29" s="212">
        <f ca="1">DATOSAÑO!AM29+DATOSAÑO!AN29+DATOSAÑO!AF29</f>
        <v>153.44399999999945</v>
      </c>
      <c r="S29" s="215">
        <f ca="1">IF(B29&gt;=$P$5,0,CONTADORES!Q21-CONTADORES!Q20)</f>
        <v>17.800000000017462</v>
      </c>
      <c r="T29" s="212">
        <f ca="1">IF(B29&gt;=$P$5,0,(CONTADORES!S21-CONTADORES!S20)+(CONTADORES!AE21-CONTADORES!AE20))</f>
        <v>2.0999999999985448</v>
      </c>
      <c r="U29" s="212">
        <f ca="1">IF(B29&gt;=$P$5,0,(CONTADORES!AQ21-CONTADORES!AQ20))</f>
        <v>5</v>
      </c>
      <c r="V29" s="212">
        <f ca="1">IF(B29&gt;=$P$5,0,(CONTADORES!AR21-CONTADORES!AR20))</f>
        <v>0</v>
      </c>
      <c r="W29" s="736">
        <v>0</v>
      </c>
      <c r="X29" s="212">
        <f ca="1">IF(W29=0,(T29-INICIO!$W$6),((T29-INICIO!$W$6)+V29))</f>
        <v>2.0999999999985448</v>
      </c>
      <c r="Y29" s="214">
        <f t="shared" ca="1" si="8"/>
        <v>12.800000000017462</v>
      </c>
      <c r="Z29" s="215">
        <f t="shared" ca="1" si="9"/>
        <v>9.8015748031633212</v>
      </c>
      <c r="AA29" s="212">
        <f t="shared" ca="1" si="10"/>
        <v>2.2374803149634994</v>
      </c>
      <c r="AB29" s="212">
        <f t="shared" ca="1" si="11"/>
        <v>0.50897637795331863</v>
      </c>
      <c r="AC29" s="214">
        <f t="shared" ca="1" si="6"/>
        <v>0.25196850393732273</v>
      </c>
    </row>
    <row r="30" spans="2:29">
      <c r="B30" s="220">
        <v>44581</v>
      </c>
      <c r="C30" s="208">
        <f ca="1">DATOSAÑO!I30</f>
        <v>152</v>
      </c>
      <c r="D30" s="202">
        <f ca="1">DATOSAÑO!P30</f>
        <v>300</v>
      </c>
      <c r="E30" s="202">
        <f ca="1">DATOSAÑO!Q30</f>
        <v>0</v>
      </c>
      <c r="F30" s="202">
        <f ca="1">DATOSAÑO!T30</f>
        <v>0</v>
      </c>
      <c r="G30" s="202">
        <f t="shared" ca="1" si="4"/>
        <v>452</v>
      </c>
      <c r="H30" s="202">
        <f t="shared" ca="1" si="5"/>
        <v>27.892000000016026</v>
      </c>
      <c r="I30" s="202">
        <f t="shared" ca="1" si="0"/>
        <v>200.42336338689245</v>
      </c>
      <c r="J30" s="202">
        <f t="shared" ca="1" si="1"/>
        <v>45.915170521362768</v>
      </c>
      <c r="K30" s="202">
        <f t="shared" ca="1" si="2"/>
        <v>11.973343786750323</v>
      </c>
      <c r="L30" s="202">
        <f t="shared" ca="1" si="12"/>
        <v>158.50800000000001</v>
      </c>
      <c r="M30" s="202">
        <f t="shared" ca="1" si="3"/>
        <v>7.288122304978458</v>
      </c>
      <c r="N30" s="202">
        <f t="shared" ca="1" si="7"/>
        <v>7</v>
      </c>
      <c r="O30" s="202">
        <f ca="1">(DATOSAÑO!AJ30+DATOSAÑO!AK30+DATOSAÑO!AD30)</f>
        <v>192.49999999998545</v>
      </c>
      <c r="P30" s="202">
        <f ca="1">DATOSAÑO!AI30</f>
        <v>44.099999999998545</v>
      </c>
      <c r="Q30" s="202">
        <f ca="1">DATOSAÑO!AH30</f>
        <v>11.5</v>
      </c>
      <c r="R30" s="212">
        <f ca="1">DATOSAÑO!AM30+DATOSAÑO!AN30+DATOSAÑO!AF30</f>
        <v>158.50800000000001</v>
      </c>
      <c r="S30" s="215">
        <f ca="1">IF(B30&gt;=$P$5,0,CONTADORES!Q22-CONTADORES!Q21)</f>
        <v>17.5</v>
      </c>
      <c r="T30" s="212">
        <f ca="1">IF(B30&gt;=$P$5,0,(CONTADORES!S22-CONTADORES!S21)+(CONTADORES!AE22-CONTADORES!AE21))</f>
        <v>2.1000000000058208</v>
      </c>
      <c r="U30" s="212">
        <f ca="1">IF(B30&gt;=$P$5,0,(CONTADORES!AQ22-CONTADORES!AQ21))</f>
        <v>7</v>
      </c>
      <c r="V30" s="212">
        <f ca="1">IF(B30&gt;=$P$5,0,(CONTADORES!AR22-CONTADORES!AR21))</f>
        <v>0</v>
      </c>
      <c r="W30" s="736">
        <v>0</v>
      </c>
      <c r="X30" s="212">
        <f ca="1">IF(W30=0,(T30-INICIO!$W$6),((T30-INICIO!$W$6)+V30))</f>
        <v>2.1000000000058208</v>
      </c>
      <c r="Y30" s="214">
        <f t="shared" ca="1" si="8"/>
        <v>10.5</v>
      </c>
      <c r="Z30" s="215">
        <f t="shared" ca="1" si="9"/>
        <v>7.9233633869069937</v>
      </c>
      <c r="AA30" s="212">
        <f t="shared" ca="1" si="10"/>
        <v>1.8151705213642249</v>
      </c>
      <c r="AB30" s="212">
        <f t="shared" ca="1" si="11"/>
        <v>0.47334378675032368</v>
      </c>
      <c r="AC30" s="214">
        <f t="shared" ca="1" si="6"/>
        <v>0.28812230497845792</v>
      </c>
    </row>
    <row r="31" spans="2:29">
      <c r="B31" s="220">
        <v>44582</v>
      </c>
      <c r="C31" s="208">
        <f ca="1">DATOSAÑO!I31</f>
        <v>150</v>
      </c>
      <c r="D31" s="202">
        <f ca="1">DATOSAÑO!P31</f>
        <v>300</v>
      </c>
      <c r="E31" s="202">
        <f ca="1">DATOSAÑO!Q31</f>
        <v>0</v>
      </c>
      <c r="F31" s="202">
        <f ca="1">DATOSAÑO!T31</f>
        <v>0</v>
      </c>
      <c r="G31" s="202">
        <f t="shared" ca="1" si="4"/>
        <v>450</v>
      </c>
      <c r="H31" s="202">
        <f t="shared" ca="1" si="5"/>
        <v>30.839500000002033</v>
      </c>
      <c r="I31" s="202">
        <f t="shared" ca="1" si="0"/>
        <v>204.87705246295567</v>
      </c>
      <c r="J31" s="202">
        <f t="shared" ca="1" si="1"/>
        <v>45.305286343606213</v>
      </c>
      <c r="K31" s="202">
        <f t="shared" ca="1" si="2"/>
        <v>10.349459351224546</v>
      </c>
      <c r="L31" s="202">
        <f t="shared" ca="1" si="12"/>
        <v>155.46050000000091</v>
      </c>
      <c r="M31" s="202">
        <f t="shared" ca="1" si="3"/>
        <v>3.1682018422106548</v>
      </c>
      <c r="N31" s="202">
        <f t="shared" ca="1" si="7"/>
        <v>3</v>
      </c>
      <c r="O31" s="202">
        <f ca="1">(DATOSAÑO!AJ31+DATOSAÑO!AK31+DATOSAÑO!AD31)</f>
        <v>194</v>
      </c>
      <c r="P31" s="202">
        <f ca="1">DATOSAÑO!AI31</f>
        <v>42.899999999994179</v>
      </c>
      <c r="Q31" s="202">
        <f ca="1">DATOSAÑO!AH31</f>
        <v>9.8000000000029104</v>
      </c>
      <c r="R31" s="212">
        <f ca="1">DATOSAÑO!AM31+DATOSAÑO!AN31+DATOSAÑO!AF31</f>
        <v>155.46050000000091</v>
      </c>
      <c r="S31" s="215">
        <f ca="1">IF(B31&gt;=$P$5,0,CONTADORES!Q23-CONTADORES!Q22)</f>
        <v>17</v>
      </c>
      <c r="T31" s="212">
        <f ca="1">IF(B31&gt;=$P$5,0,(CONTADORES!S23-CONTADORES!S22)+(CONTADORES!AE23-CONTADORES!AE22))</f>
        <v>2.1999999999970896</v>
      </c>
      <c r="U31" s="212">
        <f ca="1">IF(B31&gt;=$P$5,0,(CONTADORES!AQ23-CONTADORES!AQ22))</f>
        <v>3</v>
      </c>
      <c r="V31" s="212">
        <f ca="1">IF(B31&gt;=$P$5,0,(CONTADORES!AR23-CONTADORES!AR22))</f>
        <v>0</v>
      </c>
      <c r="W31" s="736">
        <v>0</v>
      </c>
      <c r="X31" s="212">
        <f ca="1">IF(W31=0,(T31-INICIO!$W$6),((T31-INICIO!$W$6)+V31))</f>
        <v>2.1999999999970896</v>
      </c>
      <c r="Y31" s="214">
        <f t="shared" ca="1" si="8"/>
        <v>14</v>
      </c>
      <c r="Z31" s="215">
        <f t="shared" ca="1" si="9"/>
        <v>10.877052462955673</v>
      </c>
      <c r="AA31" s="212">
        <f t="shared" ca="1" si="10"/>
        <v>2.4052863436120364</v>
      </c>
      <c r="AB31" s="212">
        <f t="shared" ca="1" si="11"/>
        <v>0.54945935122163536</v>
      </c>
      <c r="AC31" s="214">
        <f t="shared" ca="1" si="6"/>
        <v>0.16820184221065473</v>
      </c>
    </row>
    <row r="32" spans="2:29">
      <c r="B32" s="220">
        <v>44583</v>
      </c>
      <c r="C32" s="208">
        <f ca="1">DATOSAÑO!I32</f>
        <v>152</v>
      </c>
      <c r="D32" s="202">
        <f ca="1">DATOSAÑO!P32</f>
        <v>294</v>
      </c>
      <c r="E32" s="202">
        <f ca="1">DATOSAÑO!Q32</f>
        <v>0</v>
      </c>
      <c r="F32" s="202">
        <f ca="1">DATOSAÑO!T32</f>
        <v>0</v>
      </c>
      <c r="G32" s="202">
        <f t="shared" ca="1" si="4"/>
        <v>446</v>
      </c>
      <c r="H32" s="202">
        <f t="shared" ca="1" si="5"/>
        <v>32.277999999996894</v>
      </c>
      <c r="I32" s="202">
        <f t="shared" ca="1" si="0"/>
        <v>198.74197730956365</v>
      </c>
      <c r="J32" s="202">
        <f t="shared" ca="1" si="1"/>
        <v>40.566004862240213</v>
      </c>
      <c r="K32" s="202">
        <f t="shared" ca="1" si="2"/>
        <v>14.150931928686852</v>
      </c>
      <c r="L32" s="202">
        <f t="shared" ca="1" si="12"/>
        <v>155.02199999999874</v>
      </c>
      <c r="M32" s="202">
        <f t="shared" ca="1" si="3"/>
        <v>5.2410858995136484</v>
      </c>
      <c r="N32" s="202">
        <f t="shared" ca="1" si="7"/>
        <v>5</v>
      </c>
      <c r="O32" s="202">
        <f ca="1">(DATOSAÑO!AJ32+DATOSAÑO!AK32+DATOSAÑO!AD32)</f>
        <v>189.60000000000582</v>
      </c>
      <c r="P32" s="202">
        <f ca="1">DATOSAÑO!AI32</f>
        <v>38.700000000004366</v>
      </c>
      <c r="Q32" s="202">
        <f ca="1">DATOSAÑO!AH32</f>
        <v>13.5</v>
      </c>
      <c r="R32" s="212">
        <f ca="1">DATOSAÑO!AM32+DATOSAÑO!AN32+DATOSAÑO!AF32</f>
        <v>155.02199999999874</v>
      </c>
      <c r="S32" s="215">
        <f ca="1">IF(B32&gt;=$P$5,0,CONTADORES!Q24-CONTADORES!Q23)</f>
        <v>16.899999999994179</v>
      </c>
      <c r="T32" s="212">
        <f ca="1">IF(B32&gt;=$P$5,0,(CONTADORES!S24-CONTADORES!S23)+(CONTADORES!AE24-CONTADORES!AE23))</f>
        <v>2.0999999999985448</v>
      </c>
      <c r="U32" s="212">
        <f ca="1">IF(B32&gt;=$P$5,0,(CONTADORES!AQ24-CONTADORES!AQ23))</f>
        <v>5</v>
      </c>
      <c r="V32" s="212">
        <f ca="1">IF(B32&gt;=$P$5,0,(CONTADORES!AR24-CONTADORES!AR23))</f>
        <v>0</v>
      </c>
      <c r="W32" s="736">
        <v>0</v>
      </c>
      <c r="X32" s="212">
        <f ca="1">IF(W32=0,(T32-INICIO!$W$6),((T32-INICIO!$W$6)+V32))</f>
        <v>2.0999999999985448</v>
      </c>
      <c r="Y32" s="214">
        <f t="shared" ca="1" si="8"/>
        <v>11.899999999994179</v>
      </c>
      <c r="Z32" s="215">
        <f t="shared" ca="1" si="9"/>
        <v>9.1419773095578307</v>
      </c>
      <c r="AA32" s="212">
        <f t="shared" ca="1" si="10"/>
        <v>1.8660048622358496</v>
      </c>
      <c r="AB32" s="212">
        <f t="shared" ca="1" si="11"/>
        <v>0.6509319286868509</v>
      </c>
      <c r="AC32" s="214">
        <f t="shared" ca="1" si="6"/>
        <v>0.24108589951364845</v>
      </c>
    </row>
    <row r="33" spans="2:29">
      <c r="B33" s="220">
        <v>44584</v>
      </c>
      <c r="C33" s="208">
        <f ca="1">DATOSAÑO!I33</f>
        <v>152</v>
      </c>
      <c r="D33" s="202">
        <f ca="1">DATOSAÑO!P33</f>
        <v>294</v>
      </c>
      <c r="E33" s="202">
        <f ca="1">DATOSAÑO!Q33</f>
        <v>0</v>
      </c>
      <c r="F33" s="202">
        <f ca="1">DATOSAÑO!T33</f>
        <v>0</v>
      </c>
      <c r="G33" s="202">
        <f t="shared" ca="1" si="4"/>
        <v>446</v>
      </c>
      <c r="H33" s="202">
        <f t="shared" ca="1" si="5"/>
        <v>32.790000000013663</v>
      </c>
      <c r="I33" s="202">
        <f t="shared" ca="1" si="0"/>
        <v>200.86468915073837</v>
      </c>
      <c r="J33" s="202">
        <f t="shared" ca="1" si="1"/>
        <v>41.514831369359655</v>
      </c>
      <c r="K33" s="202">
        <f t="shared" ca="1" si="2"/>
        <v>10.37870784234182</v>
      </c>
      <c r="L33" s="202">
        <f t="shared" ca="1" si="12"/>
        <v>155.21000000000092</v>
      </c>
      <c r="M33" s="202">
        <f t="shared" ca="1" si="3"/>
        <v>5.2417716375456038</v>
      </c>
      <c r="N33" s="202">
        <f t="shared" ca="1" si="7"/>
        <v>5</v>
      </c>
      <c r="O33" s="202">
        <f ca="1">(DATOSAÑO!AJ33+DATOSAÑO!AK33+DATOSAÑO!AD33)</f>
        <v>191.59999999999127</v>
      </c>
      <c r="P33" s="202">
        <f ca="1">DATOSAÑO!AI33</f>
        <v>39.599999999998545</v>
      </c>
      <c r="Q33" s="202">
        <f ca="1">DATOSAÑO!AH33</f>
        <v>9.9000000000014552</v>
      </c>
      <c r="R33" s="212">
        <f ca="1">DATOSAÑO!AM33+DATOSAÑO!AN33+DATOSAÑO!AF33</f>
        <v>155.21000000000092</v>
      </c>
      <c r="S33" s="215">
        <f ca="1">IF(B33&gt;=$P$5,0,CONTADORES!Q25-CONTADORES!Q24)</f>
        <v>16.899999999994179</v>
      </c>
      <c r="T33" s="212">
        <f ca="1">IF(B33&gt;=$P$5,0,(CONTADORES!S25-CONTADORES!S24)+(CONTADORES!AE25-CONTADORES!AE24))</f>
        <v>2.0999999999985448</v>
      </c>
      <c r="U33" s="212">
        <f ca="1">IF(B33&gt;=$P$5,0,(CONTADORES!AQ25-CONTADORES!AQ24))</f>
        <v>5</v>
      </c>
      <c r="V33" s="212">
        <f ca="1">IF(B33&gt;=$P$5,0,(CONTADORES!AR25-CONTADORES!AR24))</f>
        <v>0</v>
      </c>
      <c r="W33" s="736">
        <v>0</v>
      </c>
      <c r="X33" s="212">
        <f ca="1">IF(W33=0,(T33-INICIO!$W$6),((T33-INICIO!$W$6)+V33))</f>
        <v>2.0999999999985448</v>
      </c>
      <c r="Y33" s="214">
        <f t="shared" ca="1" si="8"/>
        <v>11.899999999994179</v>
      </c>
      <c r="Z33" s="215">
        <f t="shared" ca="1" si="9"/>
        <v>9.2646891507471008</v>
      </c>
      <c r="AA33" s="212">
        <f t="shared" ca="1" si="10"/>
        <v>1.9148313693611088</v>
      </c>
      <c r="AB33" s="212">
        <f t="shared" ca="1" si="11"/>
        <v>0.47870784234036518</v>
      </c>
      <c r="AC33" s="214">
        <f t="shared" ca="1" si="6"/>
        <v>0.24177163754560344</v>
      </c>
    </row>
    <row r="34" spans="2:29">
      <c r="B34" s="220">
        <v>44585</v>
      </c>
      <c r="C34" s="208">
        <f ca="1">DATOSAÑO!I34</f>
        <v>225</v>
      </c>
      <c r="D34" s="202">
        <f ca="1">DATOSAÑO!P34</f>
        <v>206</v>
      </c>
      <c r="E34" s="202">
        <f ca="1">DATOSAÑO!Q34</f>
        <v>0.33899999999994179</v>
      </c>
      <c r="F34" s="202">
        <f ca="1">DATOSAÑO!T34</f>
        <v>0.32000000000005002</v>
      </c>
      <c r="G34" s="202">
        <f t="shared" ca="1" si="4"/>
        <v>431.65899999999999</v>
      </c>
      <c r="H34" s="202">
        <f t="shared" ca="1" si="5"/>
        <v>32.845999999992046</v>
      </c>
      <c r="I34" s="202">
        <f t="shared" ca="1" si="0"/>
        <v>194.55028187633937</v>
      </c>
      <c r="J34" s="202">
        <f t="shared" ca="1" si="1"/>
        <v>38.720661833694322</v>
      </c>
      <c r="K34" s="202">
        <f t="shared" ca="1" si="2"/>
        <v>8.3123159914656402</v>
      </c>
      <c r="L34" s="202">
        <f t="shared" ca="1" si="12"/>
        <v>152.07399999999927</v>
      </c>
      <c r="M34" s="202">
        <f t="shared" ca="1" si="3"/>
        <v>5.1557402985093352</v>
      </c>
      <c r="N34" s="202">
        <f t="shared" ca="1" si="7"/>
        <v>4.9000000000014552</v>
      </c>
      <c r="O34" s="202">
        <f ca="1">(DATOSAÑO!AJ34+DATOSAÑO!AK34+DATOSAÑO!AD34)</f>
        <v>184.89999999999418</v>
      </c>
      <c r="P34" s="202">
        <f ca="1">DATOSAÑO!AI34</f>
        <v>36.80000000000291</v>
      </c>
      <c r="Q34" s="202">
        <f ca="1">DATOSAÑO!AH34</f>
        <v>7.8999999999941792</v>
      </c>
      <c r="R34" s="212">
        <f ca="1">DATOSAÑO!AM34+DATOSAÑO!AN34+DATOSAÑO!AF34</f>
        <v>152.07399999999927</v>
      </c>
      <c r="S34" s="215">
        <f ca="1">IF(B34&gt;=$P$5,0,CONTADORES!Q26-CONTADORES!Q25)</f>
        <v>16.800000000017462</v>
      </c>
      <c r="T34" s="212">
        <f ca="1">IF(B34&gt;=$P$5,0,(CONTADORES!S26-CONTADORES!S25)+(CONTADORES!AE26-CONTADORES!AE25))</f>
        <v>2.1000000000058208</v>
      </c>
      <c r="U34" s="212">
        <f ca="1">IF(B34&gt;=$P$5,0,(CONTADORES!AQ26-CONTADORES!AQ25))</f>
        <v>4.9000000000014552</v>
      </c>
      <c r="V34" s="212">
        <f ca="1">IF(B34&gt;=$P$5,0,(CONTADORES!AR26-CONTADORES!AR25))</f>
        <v>0</v>
      </c>
      <c r="W34" s="736">
        <v>0</v>
      </c>
      <c r="X34" s="212">
        <f ca="1">IF(W34=0,(T34-INICIO!$W$6),((T34-INICIO!$W$6)+V34))</f>
        <v>2.1000000000058208</v>
      </c>
      <c r="Y34" s="214">
        <f t="shared" ca="1" si="8"/>
        <v>12.239000000015949</v>
      </c>
      <c r="Z34" s="215">
        <f t="shared" ca="1" si="9"/>
        <v>9.6502818763451934</v>
      </c>
      <c r="AA34" s="212">
        <f t="shared" ca="1" si="10"/>
        <v>1.9206618336914136</v>
      </c>
      <c r="AB34" s="212">
        <f t="shared" ca="1" si="11"/>
        <v>0.41231599147146164</v>
      </c>
      <c r="AC34" s="214">
        <f t="shared" ca="1" si="6"/>
        <v>0.25574029850787983</v>
      </c>
    </row>
    <row r="35" spans="2:29">
      <c r="B35" s="220">
        <v>44586</v>
      </c>
      <c r="C35" s="208">
        <f ca="1">DATOSAÑO!I35</f>
        <v>295</v>
      </c>
      <c r="D35" s="202">
        <f ca="1">DATOSAÑO!P35</f>
        <v>151.29999999999927</v>
      </c>
      <c r="E35" s="202">
        <f ca="1">DATOSAÑO!Q35</f>
        <v>0</v>
      </c>
      <c r="F35" s="202">
        <f ca="1">DATOSAÑO!T35</f>
        <v>0</v>
      </c>
      <c r="G35" s="202">
        <f t="shared" ca="1" si="4"/>
        <v>446.29999999999927</v>
      </c>
      <c r="H35" s="202">
        <f t="shared" ca="1" si="5"/>
        <v>30.205999999984158</v>
      </c>
      <c r="I35" s="202">
        <f t="shared" ca="1" si="0"/>
        <v>201.20004029010266</v>
      </c>
      <c r="J35" s="202">
        <f t="shared" ca="1" si="1"/>
        <v>39.88315874294959</v>
      </c>
      <c r="K35" s="202">
        <f t="shared" ca="1" si="2"/>
        <v>13.959105560035411</v>
      </c>
      <c r="L35" s="202">
        <f t="shared" ca="1" si="12"/>
        <v>155.59400000000053</v>
      </c>
      <c r="M35" s="202">
        <f t="shared" ca="1" si="3"/>
        <v>5.4576954069268897</v>
      </c>
      <c r="N35" s="202">
        <f t="shared" ca="1" si="7"/>
        <v>5.1999999999970896</v>
      </c>
      <c r="O35" s="202">
        <f ca="1">(DATOSAÑO!AJ35+DATOSAÑO!AK35+DATOSAÑO!AD35)</f>
        <v>191.70000000001164</v>
      </c>
      <c r="P35" s="202">
        <f ca="1">DATOSAÑO!AI35</f>
        <v>38</v>
      </c>
      <c r="Q35" s="202">
        <f ca="1">DATOSAÑO!AH35</f>
        <v>13.30000000000291</v>
      </c>
      <c r="R35" s="212">
        <f ca="1">DATOSAÑO!AM35+DATOSAÑO!AN35+DATOSAÑO!AF35</f>
        <v>155.59400000000053</v>
      </c>
      <c r="S35" s="215">
        <f ca="1">IF(B35&gt;=$P$5,0,CONTADORES!Q27-CONTADORES!Q26)</f>
        <v>17.5</v>
      </c>
      <c r="T35" s="212">
        <f ca="1">IF(B35&gt;=$P$5,0,(CONTADORES!S27-CONTADORES!S26)+(CONTADORES!AE27-CONTADORES!AE26))</f>
        <v>2.0999999999985448</v>
      </c>
      <c r="U35" s="212">
        <f ca="1">IF(B35&gt;=$P$5,0,(CONTADORES!AQ27-CONTADORES!AQ26))</f>
        <v>5.1999999999970896</v>
      </c>
      <c r="V35" s="212">
        <f ca="1">IF(B35&gt;=$P$5,0,(CONTADORES!AR27-CONTADORES!AR26))</f>
        <v>0</v>
      </c>
      <c r="W35" s="736">
        <v>0</v>
      </c>
      <c r="X35" s="212">
        <f ca="1">IF(W35=0,(T35-INICIO!$W$6),((T35-INICIO!$W$6)+V35))</f>
        <v>2.0999999999985448</v>
      </c>
      <c r="Y35" s="214">
        <f t="shared" ca="1" si="8"/>
        <v>12.30000000000291</v>
      </c>
      <c r="Z35" s="215">
        <f t="shared" ca="1" si="9"/>
        <v>9.5000402900910164</v>
      </c>
      <c r="AA35" s="212">
        <f t="shared" ca="1" si="10"/>
        <v>1.8831587429495917</v>
      </c>
      <c r="AB35" s="212">
        <f t="shared" ca="1" si="11"/>
        <v>0.65910556003250131</v>
      </c>
      <c r="AC35" s="214">
        <f t="shared" ca="1" si="6"/>
        <v>0.25769540692979992</v>
      </c>
    </row>
    <row r="36" spans="2:29">
      <c r="B36" s="220">
        <v>44587</v>
      </c>
      <c r="C36" s="208">
        <f ca="1">DATOSAÑO!I36</f>
        <v>284</v>
      </c>
      <c r="D36" s="202">
        <f ca="1">DATOSAÑO!P36</f>
        <v>150.70000000000073</v>
      </c>
      <c r="E36" s="202">
        <f ca="1">DATOSAÑO!Q36</f>
        <v>0</v>
      </c>
      <c r="F36" s="202">
        <f ca="1">DATOSAÑO!T36</f>
        <v>0</v>
      </c>
      <c r="G36" s="202">
        <f t="shared" ca="1" si="4"/>
        <v>434.70000000000073</v>
      </c>
      <c r="H36" s="202">
        <f t="shared" ca="1" si="5"/>
        <v>31.674000000042724</v>
      </c>
      <c r="I36" s="202">
        <f t="shared" ca="1" si="0"/>
        <v>199.25020746883996</v>
      </c>
      <c r="J36" s="202">
        <f t="shared" ca="1" si="1"/>
        <v>38.798589211618008</v>
      </c>
      <c r="K36" s="202">
        <f t="shared" ca="1" si="2"/>
        <v>10.199087136925934</v>
      </c>
      <c r="L36" s="202">
        <f t="shared" ca="1" si="12"/>
        <v>149.62600000000018</v>
      </c>
      <c r="M36" s="202">
        <f t="shared" ca="1" si="3"/>
        <v>5.1521161825739084</v>
      </c>
      <c r="N36" s="202">
        <f t="shared" ca="1" si="7"/>
        <v>4.9000000000014552</v>
      </c>
      <c r="O36" s="202">
        <f ca="1">(DATOSAÑO!AJ36+DATOSAÑO!AK36+DATOSAÑO!AD36)</f>
        <v>189.4999999999709</v>
      </c>
      <c r="P36" s="202">
        <f ca="1">DATOSAÑO!AI36</f>
        <v>36.900000000001455</v>
      </c>
      <c r="Q36" s="202">
        <f ca="1">DATOSAÑO!AH36</f>
        <v>9.6999999999970896</v>
      </c>
      <c r="R36" s="212">
        <f ca="1">DATOSAÑO!AM36+DATOSAÑO!AN36+DATOSAÑO!AF36</f>
        <v>149.62600000000018</v>
      </c>
      <c r="S36" s="215">
        <f ca="1">IF(B36&gt;=$P$5,0,CONTADORES!Q28-CONTADORES!Q27)</f>
        <v>17.299999999988358</v>
      </c>
      <c r="T36" s="212">
        <f ca="1">IF(B36&gt;=$P$5,0,(CONTADORES!S28-CONTADORES!S27)+(CONTADORES!AE28-CONTADORES!AE27))</f>
        <v>2.0999999999985448</v>
      </c>
      <c r="U36" s="212">
        <f ca="1">IF(B36&gt;=$P$5,0,(CONTADORES!AQ28-CONTADORES!AQ27))</f>
        <v>4.9000000000014552</v>
      </c>
      <c r="V36" s="212">
        <f ca="1">IF(B36&gt;=$P$5,0,(CONTADORES!AR28-CONTADORES!AR27))</f>
        <v>0</v>
      </c>
      <c r="W36" s="736">
        <v>0</v>
      </c>
      <c r="X36" s="212">
        <f ca="1">IF(W36=0,(T36-INICIO!$W$6),((T36-INICIO!$W$6)+V36))</f>
        <v>2.0999999999985448</v>
      </c>
      <c r="Y36" s="214">
        <f t="shared" ca="1" si="8"/>
        <v>12.399999999986903</v>
      </c>
      <c r="Z36" s="215">
        <f t="shared" ca="1" si="9"/>
        <v>9.7502074688690499</v>
      </c>
      <c r="AA36" s="212">
        <f t="shared" ca="1" si="10"/>
        <v>1.8985892116165561</v>
      </c>
      <c r="AB36" s="212">
        <f t="shared" ca="1" si="11"/>
        <v>0.49908713692884399</v>
      </c>
      <c r="AC36" s="214">
        <f t="shared" ca="1" si="6"/>
        <v>0.25211618257245316</v>
      </c>
    </row>
    <row r="37" spans="2:29">
      <c r="B37" s="220">
        <v>44588</v>
      </c>
      <c r="C37" s="208">
        <f ca="1">DATOSAÑO!I37</f>
        <v>286</v>
      </c>
      <c r="D37" s="202">
        <f ca="1">DATOSAÑO!P37</f>
        <v>148.40000000000146</v>
      </c>
      <c r="E37" s="202">
        <f ca="1">DATOSAÑO!Q37</f>
        <v>0</v>
      </c>
      <c r="F37" s="202">
        <f ca="1">DATOSAÑO!T37</f>
        <v>0</v>
      </c>
      <c r="G37" s="202">
        <f t="shared" ca="1" si="4"/>
        <v>434.40000000000146</v>
      </c>
      <c r="H37" s="202">
        <f t="shared" ca="1" si="5"/>
        <v>30.565000000027453</v>
      </c>
      <c r="I37" s="202">
        <f t="shared" ca="1" si="0"/>
        <v>194.78272536685526</v>
      </c>
      <c r="J37" s="202">
        <f t="shared" ca="1" si="1"/>
        <v>39.145450733748717</v>
      </c>
      <c r="K37" s="202">
        <f t="shared" ca="1" si="2"/>
        <v>11.439287211741767</v>
      </c>
      <c r="L37" s="202">
        <f t="shared" ca="1" si="12"/>
        <v>153.5350000000002</v>
      </c>
      <c r="M37" s="202">
        <f t="shared" ca="1" si="3"/>
        <v>4.9325366876280583</v>
      </c>
      <c r="N37" s="202">
        <f t="shared" ca="1" si="7"/>
        <v>4.6999999999970896</v>
      </c>
      <c r="O37" s="202">
        <f ca="1">(DATOSAÑO!AJ37+DATOSAÑO!AK37+DATOSAÑO!AD37)</f>
        <v>185.59999999997672</v>
      </c>
      <c r="P37" s="202">
        <f ca="1">DATOSAÑO!AI37</f>
        <v>37.299999999995634</v>
      </c>
      <c r="Q37" s="202">
        <f ca="1">DATOSAÑO!AH37</f>
        <v>10.900000000001455</v>
      </c>
      <c r="R37" s="212">
        <f ca="1">DATOSAÑO!AM37+DATOSAÑO!AN37+DATOSAÑO!AF37</f>
        <v>153.5350000000002</v>
      </c>
      <c r="S37" s="215">
        <f ca="1">IF(B37&gt;=$P$5,0,CONTADORES!Q29-CONTADORES!Q28)</f>
        <v>16.5</v>
      </c>
      <c r="T37" s="212">
        <f ca="1">IF(B37&gt;=$P$5,0,(CONTADORES!S29-CONTADORES!S28)+(CONTADORES!AE29-CONTADORES!AE28))</f>
        <v>2.1999999999970896</v>
      </c>
      <c r="U37" s="212">
        <f ca="1">IF(B37&gt;=$P$5,0,(CONTADORES!AQ29-CONTADORES!AQ28))</f>
        <v>4.6999999999970896</v>
      </c>
      <c r="V37" s="212">
        <f ca="1">IF(B37&gt;=$P$5,0,(CONTADORES!AR29-CONTADORES!AR28))</f>
        <v>0</v>
      </c>
      <c r="W37" s="736">
        <v>0</v>
      </c>
      <c r="X37" s="212">
        <f ca="1">IF(W37=0,(T37-INICIO!$W$6),((T37-INICIO!$W$6)+V37))</f>
        <v>2.1999999999970896</v>
      </c>
      <c r="Y37" s="214">
        <f t="shared" ca="1" si="8"/>
        <v>11.80000000000291</v>
      </c>
      <c r="Z37" s="215">
        <f t="shared" ca="1" si="9"/>
        <v>9.1827253668785449</v>
      </c>
      <c r="AA37" s="212">
        <f t="shared" ca="1" si="10"/>
        <v>1.845450733753085</v>
      </c>
      <c r="AB37" s="212">
        <f t="shared" ca="1" si="11"/>
        <v>0.53928721174031269</v>
      </c>
      <c r="AC37" s="214">
        <f t="shared" ca="1" si="6"/>
        <v>0.23253668763096899</v>
      </c>
    </row>
    <row r="38" spans="2:29">
      <c r="B38" s="220">
        <v>44589</v>
      </c>
      <c r="C38" s="208">
        <f ca="1">DATOSAÑO!I38</f>
        <v>293</v>
      </c>
      <c r="D38" s="202">
        <f ca="1">DATOSAÑO!P38</f>
        <v>149.69999999999709</v>
      </c>
      <c r="E38" s="202">
        <f ca="1">DATOSAÑO!Q38</f>
        <v>8.0000000000381988E-3</v>
      </c>
      <c r="F38" s="202">
        <f ca="1">DATOSAÑO!T38</f>
        <v>0</v>
      </c>
      <c r="G38" s="202">
        <f t="shared" ca="1" si="4"/>
        <v>442.70799999999713</v>
      </c>
      <c r="H38" s="202">
        <f t="shared" ca="1" si="5"/>
        <v>30.255999999958703</v>
      </c>
      <c r="I38" s="202">
        <f t="shared" ca="1" si="0"/>
        <v>197.4297899023224</v>
      </c>
      <c r="J38" s="202">
        <f t="shared" ca="1" si="1"/>
        <v>42.14911074918885</v>
      </c>
      <c r="K38" s="202">
        <f t="shared" ca="1" si="2"/>
        <v>13.630309446253619</v>
      </c>
      <c r="L38" s="202">
        <f t="shared" ca="1" si="12"/>
        <v>154.94399999998745</v>
      </c>
      <c r="M38" s="202">
        <f t="shared" ca="1" si="3"/>
        <v>4.2987899022860905</v>
      </c>
      <c r="N38" s="202">
        <f t="shared" ca="1" si="7"/>
        <v>4.1000000000058208</v>
      </c>
      <c r="O38" s="202">
        <f ca="1">(DATOSAÑO!AJ38+DATOSAÑO!AK38+DATOSAÑO!AD38)</f>
        <v>188.30000000004657</v>
      </c>
      <c r="P38" s="202">
        <f ca="1">DATOSAÑO!AI38</f>
        <v>40.200000000004366</v>
      </c>
      <c r="Q38" s="202">
        <f ca="1">DATOSAÑO!AH38</f>
        <v>13</v>
      </c>
      <c r="R38" s="212">
        <f ca="1">DATOSAÑO!AM38+DATOSAÑO!AN38+DATOSAÑO!AF38</f>
        <v>154.94399999998745</v>
      </c>
      <c r="S38" s="215">
        <f ca="1">IF(B38&gt;=$P$5,0,CONTADORES!Q30-CONTADORES!Q29)</f>
        <v>16</v>
      </c>
      <c r="T38" s="212">
        <f ca="1">IF(B38&gt;=$P$5,0,(CONTADORES!S30-CONTADORES!S29)+(CONTADORES!AE30-CONTADORES!AE29))</f>
        <v>2.1000000000058208</v>
      </c>
      <c r="U38" s="212">
        <f ca="1">IF(B38&gt;=$P$5,0,(CONTADORES!AQ30-CONTADORES!AQ29))</f>
        <v>4.1000000000058208</v>
      </c>
      <c r="V38" s="212">
        <f ca="1">IF(B38&gt;=$P$5,0,(CONTADORES!AR30-CONTADORES!AR29))</f>
        <v>0</v>
      </c>
      <c r="W38" s="736">
        <v>0</v>
      </c>
      <c r="X38" s="212">
        <f ca="1">IF(W38=0,(T38-INICIO!$W$6),((T38-INICIO!$W$6)+V38))</f>
        <v>2.1000000000058208</v>
      </c>
      <c r="Y38" s="214">
        <f t="shared" ca="1" si="8"/>
        <v>11.907999999994217</v>
      </c>
      <c r="Z38" s="215">
        <f t="shared" ca="1" si="9"/>
        <v>9.1297899022758457</v>
      </c>
      <c r="AA38" s="212">
        <f t="shared" ca="1" si="10"/>
        <v>1.9491107491844823</v>
      </c>
      <c r="AB38" s="212">
        <f t="shared" ca="1" si="11"/>
        <v>0.63030944625361995</v>
      </c>
      <c r="AC38" s="214">
        <f t="shared" ca="1" si="6"/>
        <v>0.19878990228027005</v>
      </c>
    </row>
    <row r="39" spans="2:29">
      <c r="B39" s="220">
        <v>44590</v>
      </c>
      <c r="C39" s="208">
        <f ca="1">DATOSAÑO!I39</f>
        <v>293</v>
      </c>
      <c r="D39" s="202">
        <f ca="1">DATOSAÑO!P39</f>
        <v>150</v>
      </c>
      <c r="E39" s="202">
        <f ca="1">DATOSAÑO!Q39</f>
        <v>0</v>
      </c>
      <c r="F39" s="202">
        <f ca="1">DATOSAÑO!T39</f>
        <v>0</v>
      </c>
      <c r="G39" s="202">
        <f t="shared" ca="1" si="4"/>
        <v>443</v>
      </c>
      <c r="H39" s="202">
        <f t="shared" ca="1" si="5"/>
        <v>32.637999999956378</v>
      </c>
      <c r="I39" s="202">
        <f t="shared" ca="1" si="0"/>
        <v>198.65067319465339</v>
      </c>
      <c r="J39" s="202">
        <f t="shared" ca="1" si="1"/>
        <v>43.795348837205246</v>
      </c>
      <c r="K39" s="202">
        <f t="shared" ca="1" si="2"/>
        <v>9.848714810283159</v>
      </c>
      <c r="L39" s="202">
        <f t="shared" ca="1" si="12"/>
        <v>153.56200000001164</v>
      </c>
      <c r="M39" s="202">
        <f t="shared" ca="1" si="3"/>
        <v>4.5052631578902167</v>
      </c>
      <c r="N39" s="202">
        <f t="shared" ca="1" si="7"/>
        <v>4.2999999999956344</v>
      </c>
      <c r="O39" s="202">
        <f ca="1">(DATOSAÑO!AJ39+DATOSAÑO!AK39+DATOSAÑO!AD39)</f>
        <v>189.60000000003492</v>
      </c>
      <c r="P39" s="202">
        <f ca="1">DATOSAÑO!AI39</f>
        <v>41.799999999995634</v>
      </c>
      <c r="Q39" s="202">
        <f ca="1">DATOSAÑO!AH39</f>
        <v>9.4000000000014552</v>
      </c>
      <c r="R39" s="212">
        <f ca="1">DATOSAÑO!AM39+DATOSAÑO!AN39+DATOSAÑO!AF39</f>
        <v>153.56200000001164</v>
      </c>
      <c r="S39" s="215">
        <f ca="1">IF(B39&gt;=$P$5,0,CONTADORES!Q31-CONTADORES!Q30)</f>
        <v>16</v>
      </c>
      <c r="T39" s="212">
        <f ca="1">IF(B39&gt;=$P$5,0,(CONTADORES!S31-CONTADORES!S30)+(CONTADORES!AE31-CONTADORES!AE30))</f>
        <v>2.1999999999970896</v>
      </c>
      <c r="U39" s="212">
        <f ca="1">IF(B39&gt;=$P$5,0,(CONTADORES!AQ31-CONTADORES!AQ30))</f>
        <v>4.2999999999956344</v>
      </c>
      <c r="V39" s="212">
        <f ca="1">IF(B39&gt;=$P$5,0,(CONTADORES!AR31-CONTADORES!AR30))</f>
        <v>0</v>
      </c>
      <c r="W39" s="736">
        <v>0</v>
      </c>
      <c r="X39" s="212">
        <f ca="1">IF(W39=0,(T39-INICIO!$W$6),((T39-INICIO!$W$6)+V39))</f>
        <v>2.1999999999970896</v>
      </c>
      <c r="Y39" s="214">
        <f t="shared" ca="1" si="8"/>
        <v>11.700000000004366</v>
      </c>
      <c r="Z39" s="215">
        <f t="shared" ca="1" si="9"/>
        <v>9.0506731946184651</v>
      </c>
      <c r="AA39" s="212">
        <f t="shared" ca="1" si="10"/>
        <v>1.9953488372096135</v>
      </c>
      <c r="AB39" s="212">
        <f t="shared" ca="1" si="11"/>
        <v>0.44871481028170401</v>
      </c>
      <c r="AC39" s="214">
        <f t="shared" ca="1" si="6"/>
        <v>0.20526315789458188</v>
      </c>
    </row>
    <row r="40" spans="2:29">
      <c r="B40" s="220">
        <v>44591</v>
      </c>
      <c r="C40" s="208">
        <f ca="1">DATOSAÑO!I40</f>
        <v>287.09999999997672</v>
      </c>
      <c r="D40" s="202">
        <f ca="1">DATOSAÑO!P40</f>
        <v>150</v>
      </c>
      <c r="E40" s="202">
        <f ca="1">DATOSAÑO!Q40</f>
        <v>0.20399999999995089</v>
      </c>
      <c r="F40" s="202">
        <f ca="1">DATOSAÑO!T40</f>
        <v>0</v>
      </c>
      <c r="G40" s="202">
        <f t="shared" ca="1" si="4"/>
        <v>437.30399999997667</v>
      </c>
      <c r="H40" s="202">
        <f t="shared" ca="1" si="5"/>
        <v>31.741000000025281</v>
      </c>
      <c r="I40" s="202">
        <f t="shared" ca="1" si="0"/>
        <v>195.79580999994323</v>
      </c>
      <c r="J40" s="202">
        <f t="shared" ca="1" si="1"/>
        <v>43.030890000001165</v>
      </c>
      <c r="K40" s="202">
        <f t="shared" ca="1" si="2"/>
        <v>8.7324300000029886</v>
      </c>
      <c r="L40" s="202">
        <f t="shared" ca="1" si="12"/>
        <v>153.05899999999946</v>
      </c>
      <c r="M40" s="202">
        <f t="shared" ca="1" si="3"/>
        <v>4.9448700000045509</v>
      </c>
      <c r="N40" s="202">
        <f t="shared" ca="1" si="7"/>
        <v>4.7000000000043656</v>
      </c>
      <c r="O40" s="202">
        <f ca="1">(DATOSAÑO!AJ40+DATOSAÑO!AK40+DATOSAÑO!AD40)</f>
        <v>186.09999999994761</v>
      </c>
      <c r="P40" s="202">
        <f ca="1">DATOSAÑO!AI40</f>
        <v>40.900000000001455</v>
      </c>
      <c r="Q40" s="202">
        <f ca="1">DATOSAÑO!AH40</f>
        <v>8.3000000000029104</v>
      </c>
      <c r="R40" s="212">
        <f ca="1">DATOSAÑO!AM40+DATOSAÑO!AN40+DATOSAÑO!AF40</f>
        <v>153.05899999999946</v>
      </c>
      <c r="S40" s="215">
        <f ca="1">IF(B40&gt;=$P$5,0,CONTADORES!Q32-CONTADORES!Q31)</f>
        <v>17</v>
      </c>
      <c r="T40" s="212">
        <f ca="1">IF(B40&gt;=$P$5,0,(CONTADORES!S32-CONTADORES!S31)+(CONTADORES!AE32-CONTADORES!AE31))</f>
        <v>2.1999999999970896</v>
      </c>
      <c r="U40" s="212">
        <f ca="1">IF(B40&gt;=$P$5,0,(CONTADORES!AQ32-CONTADORES!AQ31))</f>
        <v>4.7000000000043656</v>
      </c>
      <c r="V40" s="212">
        <f ca="1">IF(B40&gt;=$P$5,0,(CONTADORES!AR32-CONTADORES!AR31))</f>
        <v>0</v>
      </c>
      <c r="W40" s="736">
        <v>0</v>
      </c>
      <c r="X40" s="212">
        <f ca="1">IF(W40=0,(T40-INICIO!$W$6),((T40-INICIO!$W$6)+V40))</f>
        <v>2.1999999999970896</v>
      </c>
      <c r="Y40" s="214">
        <f t="shared" ca="1" si="8"/>
        <v>12.503999999995585</v>
      </c>
      <c r="Z40" s="215">
        <f t="shared" ca="1" si="9"/>
        <v>9.6958099999956122</v>
      </c>
      <c r="AA40" s="212">
        <f t="shared" ca="1" si="10"/>
        <v>2.1308899999997108</v>
      </c>
      <c r="AB40" s="212">
        <f t="shared" ca="1" si="11"/>
        <v>0.43243000000007764</v>
      </c>
      <c r="AC40" s="214">
        <f t="shared" ca="1" si="6"/>
        <v>0.24487000000018552</v>
      </c>
    </row>
    <row r="41" spans="2:29" ht="15" thickBot="1">
      <c r="B41" s="220">
        <v>44592</v>
      </c>
      <c r="C41" s="209">
        <f ca="1">DATOSAÑO!I41</f>
        <v>291.90000000002328</v>
      </c>
      <c r="D41" s="203">
        <f ca="1">DATOSAÑO!P41</f>
        <v>149.30000000000291</v>
      </c>
      <c r="E41" s="203">
        <f ca="1">DATOSAÑO!Q41</f>
        <v>0</v>
      </c>
      <c r="F41" s="203">
        <f ca="1">DATOSAÑO!T41</f>
        <v>0.125</v>
      </c>
      <c r="G41" s="203">
        <f t="shared" ca="1" si="4"/>
        <v>441.32500000002619</v>
      </c>
      <c r="H41" s="203">
        <f t="shared" ca="1" si="5"/>
        <v>28.963999999995053</v>
      </c>
      <c r="I41" s="203">
        <f t="shared" ca="1" si="0"/>
        <v>198.23942229456696</v>
      </c>
      <c r="J41" s="203">
        <f t="shared" ca="1" si="1"/>
        <v>41.856387306749546</v>
      </c>
      <c r="K41" s="203">
        <f t="shared" ca="1" si="2"/>
        <v>13.356183889338084</v>
      </c>
      <c r="L41" s="203">
        <f t="shared" ca="1" si="12"/>
        <v>153.86100000002384</v>
      </c>
      <c r="M41" s="203">
        <f t="shared" ca="1" si="3"/>
        <v>5.0480065093526925</v>
      </c>
      <c r="N41" s="203">
        <f t="shared" ca="1" si="7"/>
        <v>4.7999999999956344</v>
      </c>
      <c r="O41" s="203">
        <f ca="1">(DATOSAÑO!AJ41+DATOSAÑO!AK41+DATOSAÑO!AD41)</f>
        <v>188.50000000001455</v>
      </c>
      <c r="P41" s="203">
        <f ca="1">DATOSAÑO!AI41</f>
        <v>39.799999999995634</v>
      </c>
      <c r="Q41" s="203">
        <f ca="1">DATOSAÑO!AH41</f>
        <v>12.69999999999709</v>
      </c>
      <c r="R41" s="203">
        <f ca="1">DATOSAÑO!AM41+DATOSAÑO!AN41+DATOSAÑO!AF41</f>
        <v>153.86100000002384</v>
      </c>
      <c r="S41" s="209">
        <f ca="1">IF(B41&gt;=$P$5,0,CONTADORES!Q33-CONTADORES!Q32)</f>
        <v>17.5</v>
      </c>
      <c r="T41" s="203">
        <f ca="1">IF(B41&gt;=$P$5,0,(CONTADORES!S33-CONTADORES!S32)+(CONTADORES!AE33-CONTADORES!AE32))</f>
        <v>2.2000000000043656</v>
      </c>
      <c r="U41" s="203">
        <f ca="1">IF(B41&gt;=$P$5,0,(CONTADORES!AQ33-CONTADORES!AQ32))</f>
        <v>4.7999999999956344</v>
      </c>
      <c r="V41" s="203">
        <f ca="1">IF(B41&gt;=$P$5,0,(CONTADORES!AR33-CONTADORES!AR32))</f>
        <v>0</v>
      </c>
      <c r="W41" s="737">
        <v>0</v>
      </c>
      <c r="X41" s="203">
        <f ca="1">IF(W41=0,(T41-INICIO!$W$6),((T41-INICIO!$W$6)+V41))</f>
        <v>2.2000000000043656</v>
      </c>
      <c r="Y41" s="207">
        <f t="shared" ca="1" si="8"/>
        <v>12.700000000004366</v>
      </c>
      <c r="Z41" s="206">
        <f t="shared" ca="1" si="9"/>
        <v>9.7394222945523978</v>
      </c>
      <c r="AA41" s="203">
        <f t="shared" ca="1" si="10"/>
        <v>2.0563873067539151</v>
      </c>
      <c r="AB41" s="203">
        <f t="shared" ca="1" si="11"/>
        <v>0.65618388934099503</v>
      </c>
      <c r="AC41" s="207">
        <f t="shared" ca="1" si="6"/>
        <v>0.24800650935705773</v>
      </c>
    </row>
    <row r="42" spans="2:29">
      <c r="B42" s="8">
        <v>44593</v>
      </c>
      <c r="C42" s="208">
        <f ca="1">DATOSAÑO!I42</f>
        <v>293.90000000002328</v>
      </c>
      <c r="D42" s="202">
        <f ca="1">DATOSAÑO!P42</f>
        <v>158.59999999999854</v>
      </c>
      <c r="E42" s="202">
        <f ca="1">DATOSAÑO!Q42</f>
        <v>0</v>
      </c>
      <c r="F42" s="202">
        <f ca="1">DATOSAÑO!T42</f>
        <v>0</v>
      </c>
      <c r="G42" s="202">
        <f t="shared" ca="1" si="4"/>
        <v>452.50000000002183</v>
      </c>
      <c r="H42" s="202">
        <f ca="1">G42-SUM(I42:M42)</f>
        <v>30.8040000000031</v>
      </c>
      <c r="I42" s="202">
        <f t="shared" ca="1" si="0"/>
        <v>200.60545305457535</v>
      </c>
      <c r="J42" s="202">
        <f t="shared" ca="1" si="1"/>
        <v>42.769208692092583</v>
      </c>
      <c r="K42" s="202">
        <f t="shared" ca="1" si="2"/>
        <v>7.8813038130383282</v>
      </c>
      <c r="L42" s="202">
        <f t="shared" ca="1" si="12"/>
        <v>165.39599999996489</v>
      </c>
      <c r="M42" s="202">
        <f t="shared" ca="1" si="3"/>
        <v>5.0440344403475885</v>
      </c>
      <c r="N42" s="202">
        <f t="shared" ca="1" si="7"/>
        <v>4.8000000000029104</v>
      </c>
      <c r="O42" s="202">
        <f ca="1">(DATOSAÑO!AJ42+DATOSAÑO!AK42+DATOSAÑO!AD42)</f>
        <v>190.90000000003783</v>
      </c>
      <c r="P42" s="202">
        <f ca="1">DATOSAÑO!AI42</f>
        <v>40.700000000004366</v>
      </c>
      <c r="Q42" s="202">
        <f ca="1">DATOSAÑO!AH42</f>
        <v>7.5</v>
      </c>
      <c r="R42" s="202">
        <f ca="1">DATOSAÑO!AM42+DATOSAÑO!AN42+DATOSAÑO!AF42</f>
        <v>165.39599999996489</v>
      </c>
      <c r="S42" s="208">
        <f ca="1">IF(B42&gt;=$P$5,0,CONTADORES!Q36-CONTADORES!Q35)</f>
        <v>17.200000000011642</v>
      </c>
      <c r="T42" s="202">
        <f ca="1">IF(B42&gt;=$P$5,0,(CONTADORES!S36-CONTADORES!S35)+(CONTADORES!AE36-CONTADORES!AE35))</f>
        <v>2.1999999999970896</v>
      </c>
      <c r="U42" s="202">
        <f ca="1">IF(B42&gt;=$P$5,0,(CONTADORES!AQ36-CONTADORES!AQ35))</f>
        <v>4.8000000000029104</v>
      </c>
      <c r="V42" s="202">
        <f ca="1">IF(B42&gt;=$P$5,0,(CONTADORES!AR36-CONTADORES!AR35))</f>
        <v>0</v>
      </c>
      <c r="W42" s="735">
        <v>0</v>
      </c>
      <c r="X42" s="202">
        <f ca="1">IF(W42=0,(T42-INICIO!$W$6),((T42-INICIO!$W$6)+V42))</f>
        <v>2.1999999999970896</v>
      </c>
      <c r="Y42" s="214">
        <f t="shared" ca="1" si="8"/>
        <v>12.400000000008731</v>
      </c>
      <c r="Z42" s="215">
        <f t="shared" ca="1" si="9"/>
        <v>9.7054530545375073</v>
      </c>
      <c r="AA42" s="212">
        <f t="shared" ca="1" si="10"/>
        <v>2.0692086920882171</v>
      </c>
      <c r="AB42" s="212">
        <f t="shared" ca="1" si="11"/>
        <v>0.38130381303832833</v>
      </c>
      <c r="AC42" s="214">
        <f t="shared" ca="1" si="6"/>
        <v>0.24403444034467811</v>
      </c>
    </row>
    <row r="43" spans="2:29">
      <c r="B43" s="220">
        <v>44594</v>
      </c>
      <c r="C43" s="208">
        <f ca="1">DATOSAÑO!I43</f>
        <v>221.69999999995343</v>
      </c>
      <c r="D43" s="202">
        <f ca="1">DATOSAÑO!P43</f>
        <v>113.20000000000073</v>
      </c>
      <c r="E43" s="202">
        <f ca="1">DATOSAÑO!Q43</f>
        <v>0</v>
      </c>
      <c r="F43" s="202">
        <f ca="1">DATOSAÑO!T43</f>
        <v>0</v>
      </c>
      <c r="G43" s="202">
        <f t="shared" ca="1" si="4"/>
        <v>334.89999999995416</v>
      </c>
      <c r="H43" s="202">
        <f t="shared" ref="H43:H69" ca="1" si="13">G43-SUM(I43:M43)</f>
        <v>28.757999999995775</v>
      </c>
      <c r="I43" s="202">
        <f t="shared" ca="1" si="0"/>
        <v>85.132430453844947</v>
      </c>
      <c r="J43" s="202">
        <f t="shared" ca="1" si="1"/>
        <v>47.198901903357402</v>
      </c>
      <c r="K43" s="202">
        <f t="shared" ca="1" si="2"/>
        <v>11.227452415814495</v>
      </c>
      <c r="L43" s="202">
        <f t="shared" ca="1" si="12"/>
        <v>157.24200000000056</v>
      </c>
      <c r="M43" s="202">
        <f t="shared" ca="1" si="3"/>
        <v>5.3412152269409532</v>
      </c>
      <c r="N43" s="202">
        <f t="shared" ca="1" si="7"/>
        <v>4.9000000000014552</v>
      </c>
      <c r="O43" s="202">
        <f ca="1">(DATOSAÑO!AJ43+DATOSAÑO!AK43+DATOSAÑO!AD43)</f>
        <v>78.099999999976717</v>
      </c>
      <c r="P43" s="202">
        <f ca="1">DATOSAÑO!AI43</f>
        <v>43.299999999995634</v>
      </c>
      <c r="Q43" s="202">
        <f ca="1">DATOSAÑO!AH43</f>
        <v>10.30000000000291</v>
      </c>
      <c r="R43" s="202">
        <f ca="1">DATOSAÑO!AM43+DATOSAÑO!AN43+DATOSAÑO!AF43</f>
        <v>157.24200000000056</v>
      </c>
      <c r="S43" s="215">
        <f ca="1">IF(B43&gt;=$P$5,0,CONTADORES!Q37-CONTADORES!Q36)</f>
        <v>17.199999999982538</v>
      </c>
      <c r="T43" s="212">
        <f ca="1">IF(B43&gt;=$P$5,0,(CONTADORES!S37-CONTADORES!S36)+(CONTADORES!AE37-CONTADORES!AE36))</f>
        <v>2.3000000000029104</v>
      </c>
      <c r="U43" s="212">
        <f ca="1">IF(B43&gt;=$P$5,0,(CONTADORES!AQ37-CONTADORES!AQ36))</f>
        <v>4.9000000000014552</v>
      </c>
      <c r="V43" s="212">
        <f ca="1">IF(B43&gt;=$P$5,0,(CONTADORES!AR37-CONTADORES!AR36))</f>
        <v>0</v>
      </c>
      <c r="W43" s="736">
        <v>0</v>
      </c>
      <c r="X43" s="212">
        <f ca="1">IF(W43=0,(T43-INICIO!$W$6),((T43-INICIO!$W$6)+V43))</f>
        <v>2.3000000000029104</v>
      </c>
      <c r="Y43" s="214">
        <f t="shared" ca="1" si="8"/>
        <v>12.299999999981083</v>
      </c>
      <c r="Z43" s="215">
        <f t="shared" ca="1" si="9"/>
        <v>7.0324304538682272</v>
      </c>
      <c r="AA43" s="212">
        <f t="shared" ca="1" si="10"/>
        <v>3.8989019033617711</v>
      </c>
      <c r="AB43" s="212">
        <f t="shared" ca="1" si="11"/>
        <v>0.92745241581158522</v>
      </c>
      <c r="AC43" s="214">
        <f t="shared" ca="1" si="6"/>
        <v>0.44121522693949838</v>
      </c>
    </row>
    <row r="44" spans="2:29">
      <c r="B44" s="220">
        <v>44595</v>
      </c>
      <c r="C44" s="208">
        <f ca="1">DATOSAÑO!I44</f>
        <v>293.39000000001397</v>
      </c>
      <c r="D44" s="202">
        <f ca="1">DATOSAÑO!P44</f>
        <v>147.07999999999811</v>
      </c>
      <c r="E44" s="202">
        <f ca="1">DATOSAÑO!Q44</f>
        <v>0</v>
      </c>
      <c r="F44" s="202">
        <f ca="1">DATOSAÑO!T44</f>
        <v>0</v>
      </c>
      <c r="G44" s="202">
        <f t="shared" ca="1" si="4"/>
        <v>440.47000000001208</v>
      </c>
      <c r="H44" s="202">
        <f t="shared" ca="1" si="13"/>
        <v>30.620999999976391</v>
      </c>
      <c r="I44" s="202">
        <f t="shared" ca="1" si="0"/>
        <v>194.77289888070285</v>
      </c>
      <c r="J44" s="202">
        <f t="shared" ca="1" si="1"/>
        <v>41.099928821480269</v>
      </c>
      <c r="K44" s="202">
        <f t="shared" ca="1" si="2"/>
        <v>11.556728451846951</v>
      </c>
      <c r="L44" s="202">
        <f t="shared" ca="1" si="12"/>
        <v>157.44900000003426</v>
      </c>
      <c r="M44" s="202">
        <f t="shared" ca="1" si="3"/>
        <v>4.9704438459713849</v>
      </c>
      <c r="N44" s="202">
        <f t="shared" ca="1" si="7"/>
        <v>4.7309999999997672</v>
      </c>
      <c r="O44" s="202">
        <f ca="1">(DATOSAÑO!AJ44+DATOSAÑO!AK44+DATOSAÑO!AD44)</f>
        <v>185.38999999998487</v>
      </c>
      <c r="P44" s="202">
        <f ca="1">DATOSAÑO!AI44</f>
        <v>39.120000000002619</v>
      </c>
      <c r="Q44" s="202">
        <f ca="1">DATOSAÑO!AH44</f>
        <v>11</v>
      </c>
      <c r="R44" s="202">
        <f ca="1">DATOSAÑO!AM44+DATOSAÑO!AN44+DATOSAÑO!AF44</f>
        <v>157.44900000003426</v>
      </c>
      <c r="S44" s="215">
        <f ca="1">IF(B44&gt;=$P$5,0,CONTADORES!Q38-CONTADORES!Q37)</f>
        <v>16.89000000001397</v>
      </c>
      <c r="T44" s="212">
        <f ca="1">IF(B44&gt;=$P$5,0,(CONTADORES!S38-CONTADORES!S37)+(CONTADORES!AE38-CONTADORES!AE37))</f>
        <v>2.25</v>
      </c>
      <c r="U44" s="212">
        <f ca="1">IF(B44&gt;=$P$5,0,(CONTADORES!AQ38-CONTADORES!AQ37))</f>
        <v>4.7309999999997672</v>
      </c>
      <c r="V44" s="212">
        <f ca="1">IF(B44&gt;=$P$5,0,(CONTADORES!AR38-CONTADORES!AR37))</f>
        <v>0</v>
      </c>
      <c r="W44" s="736">
        <v>0</v>
      </c>
      <c r="X44" s="212">
        <f ca="1">IF(W44=0,(T44-INICIO!$W$6),((T44-INICIO!$W$6)+V44))</f>
        <v>2.25</v>
      </c>
      <c r="Y44" s="214">
        <f t="shared" ca="1" si="8"/>
        <v>12.159000000014203</v>
      </c>
      <c r="Z44" s="215">
        <f t="shared" ca="1" si="9"/>
        <v>9.3828988807179829</v>
      </c>
      <c r="AA44" s="212">
        <f t="shared" ca="1" si="10"/>
        <v>1.9799288214776525</v>
      </c>
      <c r="AB44" s="212">
        <f t="shared" ca="1" si="11"/>
        <v>0.55672845184695086</v>
      </c>
      <c r="AC44" s="214">
        <f t="shared" ca="1" si="6"/>
        <v>0.23944384597161772</v>
      </c>
    </row>
    <row r="45" spans="2:29">
      <c r="B45" s="220">
        <v>44596</v>
      </c>
      <c r="C45" s="208">
        <f ca="1">DATOSAÑO!I45</f>
        <v>309.57999999995809</v>
      </c>
      <c r="D45" s="202">
        <f ca="1">DATOSAÑO!P45</f>
        <v>145.28000000000247</v>
      </c>
      <c r="E45" s="202">
        <f ca="1">DATOSAÑO!Q45</f>
        <v>0</v>
      </c>
      <c r="F45" s="202">
        <f ca="1">DATOSAÑO!T45</f>
        <v>0</v>
      </c>
      <c r="G45" s="202">
        <f t="shared" ca="1" si="4"/>
        <v>454.85999999996056</v>
      </c>
      <c r="H45" s="202">
        <f t="shared" ca="1" si="13"/>
        <v>29.635999999926526</v>
      </c>
      <c r="I45" s="202">
        <f t="shared" ca="1" si="0"/>
        <v>196.44125715341886</v>
      </c>
      <c r="J45" s="202">
        <f t="shared" ca="1" si="1"/>
        <v>40.660381967667163</v>
      </c>
      <c r="K45" s="202">
        <f t="shared" ca="1" si="2"/>
        <v>20.45607451933612</v>
      </c>
      <c r="L45" s="202">
        <f t="shared" ca="1" si="12"/>
        <v>163.27400000000057</v>
      </c>
      <c r="M45" s="202">
        <f t="shared" ca="1" si="3"/>
        <v>4.3922863596113357</v>
      </c>
      <c r="N45" s="202">
        <f t="shared" ca="1" si="7"/>
        <v>4.1869999999980791</v>
      </c>
      <c r="O45" s="202">
        <f ca="1">(DATOSAÑO!AJ45+DATOSAÑO!AK45+DATOSAÑO!AD45)</f>
        <v>187.26000000003842</v>
      </c>
      <c r="P45" s="202">
        <f ca="1">DATOSAÑO!AI45</f>
        <v>38.760000000002037</v>
      </c>
      <c r="Q45" s="202">
        <f ca="1">DATOSAÑO!AH45</f>
        <v>19.5</v>
      </c>
      <c r="R45" s="202">
        <f ca="1">DATOSAÑO!AM45+DATOSAÑO!AN45+DATOSAÑO!AF45</f>
        <v>163.27400000000057</v>
      </c>
      <c r="S45" s="215">
        <f ca="1">IF(B45&gt;=$P$5,0,CONTADORES!Q39-CONTADORES!Q38)</f>
        <v>16.429999999993015</v>
      </c>
      <c r="T45" s="212">
        <f ca="1">IF(B45&gt;=$P$5,0,(CONTADORES!S39-CONTADORES!S38)+(CONTADORES!AE39-CONTADORES!AE38))</f>
        <v>2.2399999999979627</v>
      </c>
      <c r="U45" s="212">
        <f ca="1">IF(B45&gt;=$P$5,0,(CONTADORES!AQ39-CONTADORES!AQ38))</f>
        <v>4.1869999999980791</v>
      </c>
      <c r="V45" s="212">
        <f ca="1">IF(B45&gt;=$P$5,0,(CONTADORES!AR39-CONTADORES!AR38))</f>
        <v>0</v>
      </c>
      <c r="W45" s="736">
        <v>0</v>
      </c>
      <c r="X45" s="212">
        <f ca="1">IF(W45=0,(T45-INICIO!$W$6),((T45-INICIO!$W$6)+V45))</f>
        <v>2.2399999999979627</v>
      </c>
      <c r="Y45" s="214">
        <f t="shared" ca="1" si="8"/>
        <v>12.242999999994936</v>
      </c>
      <c r="Z45" s="215">
        <f t="shared" ca="1" si="9"/>
        <v>9.1812571533804341</v>
      </c>
      <c r="AA45" s="212">
        <f t="shared" ca="1" si="10"/>
        <v>1.9003819676651252</v>
      </c>
      <c r="AB45" s="212">
        <f t="shared" ca="1" si="11"/>
        <v>0.95607451933611953</v>
      </c>
      <c r="AC45" s="214">
        <f t="shared" ca="1" si="6"/>
        <v>0.2052863596132562</v>
      </c>
    </row>
    <row r="46" spans="2:29">
      <c r="B46" s="220">
        <v>44597</v>
      </c>
      <c r="C46" s="208">
        <f ca="1">DATOSAÑO!I46</f>
        <v>304.11000000010245</v>
      </c>
      <c r="D46" s="202">
        <f ca="1">DATOSAÑO!P46</f>
        <v>147.07999999999811</v>
      </c>
      <c r="E46" s="202">
        <f ca="1">DATOSAÑO!Q46</f>
        <v>0</v>
      </c>
      <c r="F46" s="202">
        <f ca="1">DATOSAÑO!T46</f>
        <v>0</v>
      </c>
      <c r="G46" s="202">
        <f t="shared" ca="1" si="4"/>
        <v>451.19000000010055</v>
      </c>
      <c r="H46" s="202">
        <f t="shared" ca="1" si="13"/>
        <v>31.692000000125915</v>
      </c>
      <c r="I46" s="202">
        <f t="shared" ca="1" si="0"/>
        <v>196.6420602014982</v>
      </c>
      <c r="J46" s="202">
        <f t="shared" ca="1" si="1"/>
        <v>41.203095070277243</v>
      </c>
      <c r="K46" s="202">
        <f t="shared" ca="1" si="2"/>
        <v>11.138811725194811</v>
      </c>
      <c r="L46" s="202">
        <f t="shared" ca="1" si="12"/>
        <v>166.04799999997755</v>
      </c>
      <c r="M46" s="202">
        <f t="shared" ca="1" si="3"/>
        <v>4.4660330030268343</v>
      </c>
      <c r="N46" s="202">
        <f t="shared" ca="1" si="7"/>
        <v>4.25</v>
      </c>
      <c r="O46" s="202">
        <f ca="1">(DATOSAÑO!AJ46+DATOSAÑO!AK46+DATOSAÑO!AD46)</f>
        <v>187.1299999999901</v>
      </c>
      <c r="P46" s="202">
        <f ca="1">DATOSAÑO!AI46</f>
        <v>39.209999999999127</v>
      </c>
      <c r="Q46" s="202">
        <f ca="1">DATOSAÑO!AH46</f>
        <v>10.599999999998545</v>
      </c>
      <c r="R46" s="202">
        <f ca="1">DATOSAÑO!AM46+DATOSAÑO!AN46+DATOSAÑO!AF46</f>
        <v>166.04799999997755</v>
      </c>
      <c r="S46" s="215">
        <f ca="1">IF(B46&gt;=$P$5,0,CONTADORES!Q40-CONTADORES!Q39)</f>
        <v>16.510000000009313</v>
      </c>
      <c r="T46" s="212">
        <f ca="1">IF(B46&gt;=$P$5,0,(CONTADORES!S40-CONTADORES!S39)+(CONTADORES!AE40-CONTADORES!AE39))</f>
        <v>2.2600000000020373</v>
      </c>
      <c r="U46" s="212">
        <f ca="1">IF(B46&gt;=$P$5,0,(CONTADORES!AQ40-CONTADORES!AQ39))</f>
        <v>4.25</v>
      </c>
      <c r="V46" s="212">
        <f ca="1">IF(B46&gt;=$P$5,0,(CONTADORES!AR40-CONTADORES!AR39))</f>
        <v>0</v>
      </c>
      <c r="W46" s="736">
        <v>0</v>
      </c>
      <c r="X46" s="212">
        <f ca="1">IF(W46=0,(T46-INICIO!$W$6),((T46-INICIO!$W$6)+V46))</f>
        <v>2.2600000000020373</v>
      </c>
      <c r="Y46" s="214">
        <f t="shared" ca="1" si="8"/>
        <v>12.260000000009313</v>
      </c>
      <c r="Z46" s="215">
        <f t="shared" ca="1" si="9"/>
        <v>9.5120602015080973</v>
      </c>
      <c r="AA46" s="212">
        <f t="shared" ca="1" si="10"/>
        <v>1.9930950702781163</v>
      </c>
      <c r="AB46" s="212">
        <f t="shared" ca="1" si="11"/>
        <v>0.5388117251962663</v>
      </c>
      <c r="AC46" s="214">
        <f t="shared" ca="1" si="6"/>
        <v>0.21603300302683454</v>
      </c>
    </row>
    <row r="47" spans="2:29">
      <c r="B47" s="220">
        <v>44598</v>
      </c>
      <c r="C47" s="208">
        <f ca="1">DATOSAÑO!I47</f>
        <v>303.55999999993946</v>
      </c>
      <c r="D47" s="202">
        <f ca="1">DATOSAÑO!P47</f>
        <v>146.54000000000087</v>
      </c>
      <c r="E47" s="202">
        <f ca="1">DATOSAÑO!Q47</f>
        <v>0</v>
      </c>
      <c r="F47" s="202">
        <f ca="1">DATOSAÑO!T47</f>
        <v>0</v>
      </c>
      <c r="G47" s="202">
        <f t="shared" ca="1" si="4"/>
        <v>450.09999999994034</v>
      </c>
      <c r="H47" s="202">
        <f t="shared" ca="1" si="13"/>
        <v>32.79699999991675</v>
      </c>
      <c r="I47" s="202">
        <f t="shared" ca="1" si="0"/>
        <v>195.0153359485914</v>
      </c>
      <c r="J47" s="202">
        <f t="shared" ca="1" si="1"/>
        <v>42.227399215423276</v>
      </c>
      <c r="K47" s="202">
        <f t="shared" ca="1" si="2"/>
        <v>9.5636966864183073</v>
      </c>
      <c r="L47" s="202">
        <f t="shared" ca="1" si="12"/>
        <v>165.47300000002187</v>
      </c>
      <c r="M47" s="202">
        <f t="shared" ca="1" si="3"/>
        <v>5.0235681495687565</v>
      </c>
      <c r="N47" s="202">
        <f t="shared" ca="1" si="7"/>
        <v>4.7799999999988358</v>
      </c>
      <c r="O47" s="202">
        <f ca="1">(DATOSAÑO!AJ47+DATOSAÑO!AK47+DATOSAÑO!AD47)</f>
        <v>185.56000000001222</v>
      </c>
      <c r="P47" s="202">
        <f ca="1">DATOSAÑO!AI47</f>
        <v>40.180000000000291</v>
      </c>
      <c r="Q47" s="202">
        <f ca="1">DATOSAÑO!AH47</f>
        <v>9.0999999999985448</v>
      </c>
      <c r="R47" s="202">
        <f ca="1">DATOSAÑO!AM47+DATOSAÑO!AN47+DATOSAÑO!AF47</f>
        <v>165.47300000002187</v>
      </c>
      <c r="S47" s="215">
        <f ca="1">IF(B47&gt;=$P$5,0,CONTADORES!Q41-CONTADORES!Q40)</f>
        <v>16.989999999990687</v>
      </c>
      <c r="T47" s="212">
        <f ca="1">IF(B47&gt;=$P$5,0,(CONTADORES!S41-CONTADORES!S40)+(CONTADORES!AE41-CONTADORES!AE40))</f>
        <v>2.3600000000005821</v>
      </c>
      <c r="U47" s="212">
        <f ca="1">IF(B47&gt;=$P$5,0,(CONTADORES!AQ41-CONTADORES!AQ40))</f>
        <v>4.7799999999988358</v>
      </c>
      <c r="V47" s="212">
        <f ca="1">IF(B47&gt;=$P$5,0,(CONTADORES!AR41-CONTADORES!AR40))</f>
        <v>0</v>
      </c>
      <c r="W47" s="736">
        <v>0</v>
      </c>
      <c r="X47" s="212">
        <f ca="1">IF(W47=0,(T47-INICIO!$W$6),((T47-INICIO!$W$6)+V47))</f>
        <v>2.3600000000005821</v>
      </c>
      <c r="Y47" s="214">
        <f t="shared" ca="1" si="8"/>
        <v>12.209999999991851</v>
      </c>
      <c r="Z47" s="215">
        <f t="shared" ca="1" si="9"/>
        <v>9.455335948579183</v>
      </c>
      <c r="AA47" s="212">
        <f t="shared" ca="1" si="10"/>
        <v>2.0473992154229856</v>
      </c>
      <c r="AB47" s="212">
        <f t="shared" ca="1" si="11"/>
        <v>0.46369668641976247</v>
      </c>
      <c r="AC47" s="214">
        <f t="shared" ca="1" si="6"/>
        <v>0.24356814956992082</v>
      </c>
    </row>
    <row r="48" spans="2:29">
      <c r="B48" s="220">
        <v>44599</v>
      </c>
      <c r="C48" s="208">
        <f ca="1">DATOSAÑO!I48</f>
        <v>317.76000000000931</v>
      </c>
      <c r="D48" s="202">
        <f ca="1">DATOSAÑO!P48</f>
        <v>148.81999999999971</v>
      </c>
      <c r="E48" s="202">
        <f ca="1">DATOSAÑO!Q48</f>
        <v>0.33100000000013097</v>
      </c>
      <c r="F48" s="202">
        <f ca="1">DATOSAÑO!T48</f>
        <v>0.36499999999989541</v>
      </c>
      <c r="G48" s="202">
        <f t="shared" ca="1" si="4"/>
        <v>467.27600000000905</v>
      </c>
      <c r="H48" s="202">
        <f t="shared" ca="1" si="13"/>
        <v>35.266000000084432</v>
      </c>
      <c r="I48" s="202">
        <f t="shared" ca="1" si="0"/>
        <v>199.01483108346216</v>
      </c>
      <c r="J48" s="202">
        <f t="shared" ca="1" si="1"/>
        <v>44.278067350800832</v>
      </c>
      <c r="K48" s="202">
        <f t="shared" ca="1" si="2"/>
        <v>14.713813028987662</v>
      </c>
      <c r="L48" s="202">
        <f t="shared" ca="1" si="12"/>
        <v>169.00899999997719</v>
      </c>
      <c r="M48" s="202">
        <f t="shared" ca="1" si="3"/>
        <v>4.9942885366968124</v>
      </c>
      <c r="N48" s="202">
        <f t="shared" ca="1" si="7"/>
        <v>4.7520000000004075</v>
      </c>
      <c r="O48" s="202">
        <f ca="1">(DATOSAÑO!AJ48+DATOSAÑO!AK48+DATOSAÑO!AD48)</f>
        <v>189.35999999995693</v>
      </c>
      <c r="P48" s="202">
        <f ca="1">DATOSAÑO!AI48</f>
        <v>42.129999999997381</v>
      </c>
      <c r="Q48" s="202">
        <f ca="1">DATOSAÑO!AH48</f>
        <v>14</v>
      </c>
      <c r="R48" s="202">
        <f ca="1">DATOSAÑO!AM48+DATOSAÑO!AN48+DATOSAÑO!AF48</f>
        <v>169.00899999997719</v>
      </c>
      <c r="S48" s="215">
        <f ca="1">IF(B48&gt;=$P$5,0,CONTADORES!Q42-CONTADORES!Q41)</f>
        <v>17.179999999993015</v>
      </c>
      <c r="T48" s="212">
        <f ca="1">IF(B48&gt;=$P$5,0,(CONTADORES!S42-CONTADORES!S41)+(CONTADORES!AE42-CONTADORES!AE41))</f>
        <v>2.4899999999979627</v>
      </c>
      <c r="U48" s="212">
        <f ca="1">IF(B48&gt;=$P$5,0,(CONTADORES!AQ42-CONTADORES!AQ41))</f>
        <v>4.7520000000004075</v>
      </c>
      <c r="V48" s="212">
        <f ca="1">IF(B48&gt;=$P$5,0,(CONTADORES!AR42-CONTADORES!AR41))</f>
        <v>0</v>
      </c>
      <c r="W48" s="736">
        <v>0</v>
      </c>
      <c r="X48" s="212">
        <f ca="1">IF(W48=0,(T48-INICIO!$W$6),((T48-INICIO!$W$6)+V48))</f>
        <v>2.4899999999979627</v>
      </c>
      <c r="Y48" s="214">
        <f t="shared" ca="1" si="8"/>
        <v>12.758999999992739</v>
      </c>
      <c r="Z48" s="215">
        <f t="shared" ca="1" si="9"/>
        <v>9.6548310835052167</v>
      </c>
      <c r="AA48" s="212">
        <f t="shared" ca="1" si="10"/>
        <v>2.1480673508034536</v>
      </c>
      <c r="AB48" s="212">
        <f t="shared" ca="1" si="11"/>
        <v>0.71381302898766263</v>
      </c>
      <c r="AC48" s="214">
        <f t="shared" ca="1" si="6"/>
        <v>0.24228853669640454</v>
      </c>
    </row>
    <row r="49" spans="2:29">
      <c r="B49" s="220">
        <v>44600</v>
      </c>
      <c r="C49" s="208">
        <f ca="1">DATOSAÑO!I49</f>
        <v>314</v>
      </c>
      <c r="D49" s="202">
        <f ca="1">DATOSAÑO!P49</f>
        <v>126</v>
      </c>
      <c r="E49" s="202">
        <f ca="1">DATOSAÑO!Q49</f>
        <v>0</v>
      </c>
      <c r="F49" s="202">
        <f ca="1">DATOSAÑO!T49</f>
        <v>2.2960000000000491</v>
      </c>
      <c r="G49" s="202">
        <f t="shared" ca="1" si="4"/>
        <v>442.29600000000005</v>
      </c>
      <c r="H49" s="202">
        <f t="shared" ca="1" si="13"/>
        <v>34.101999999980251</v>
      </c>
      <c r="I49" s="202">
        <f t="shared" ca="1" si="0"/>
        <v>184.65738269480423</v>
      </c>
      <c r="J49" s="202">
        <f t="shared" ca="1" si="1"/>
        <v>44.45260439087717</v>
      </c>
      <c r="K49" s="202">
        <f t="shared" ca="1" si="2"/>
        <v>10.323116659494801</v>
      </c>
      <c r="L49" s="202">
        <f t="shared" ca="1" si="12"/>
        <v>163.49400000000091</v>
      </c>
      <c r="M49" s="202">
        <f t="shared" ca="1" si="3"/>
        <v>5.2668962548427221</v>
      </c>
      <c r="N49" s="202">
        <f t="shared" ca="1" si="7"/>
        <v>5</v>
      </c>
      <c r="O49" s="202">
        <f ca="1">(DATOSAÑO!AJ49+DATOSAÑO!AK49+DATOSAÑO!AD49)</f>
        <v>175.30000000001746</v>
      </c>
      <c r="P49" s="202">
        <f ca="1">DATOSAÑO!AI49</f>
        <v>42.200000000004366</v>
      </c>
      <c r="Q49" s="202">
        <f ca="1">DATOSAÑO!AH49</f>
        <v>9.8000000000029104</v>
      </c>
      <c r="R49" s="202">
        <f ca="1">DATOSAÑO!AM49+DATOSAÑO!AN49+DATOSAÑO!AF49</f>
        <v>163.49400000000091</v>
      </c>
      <c r="S49" s="215">
        <f ca="1">IF(B49&gt;=$P$5,0,CONTADORES!Q43-CONTADORES!Q42)</f>
        <v>17.399999999994179</v>
      </c>
      <c r="T49" s="212">
        <f ca="1">IF(B49&gt;=$P$5,0,(CONTADORES!S43-CONTADORES!S42)+(CONTADORES!AE43-CONTADORES!AE42))</f>
        <v>0</v>
      </c>
      <c r="U49" s="212">
        <f ca="1">IF(B49&gt;=$P$5,0,(CONTADORES!AQ43-CONTADORES!AQ42))</f>
        <v>5</v>
      </c>
      <c r="V49" s="212">
        <f ca="1">IF(B49&gt;=$P$5,0,(CONTADORES!AR43-CONTADORES!AR42))</f>
        <v>0</v>
      </c>
      <c r="W49" s="736">
        <v>0</v>
      </c>
      <c r="X49" s="212">
        <f ca="1">IF(W49=0,(T49-INICIO!$W$6),((T49-INICIO!$W$6)+V49))</f>
        <v>0</v>
      </c>
      <c r="Y49" s="214">
        <f t="shared" ca="1" si="8"/>
        <v>12.399999999994179</v>
      </c>
      <c r="Z49" s="215">
        <f t="shared" ca="1" si="9"/>
        <v>9.3573826947867627</v>
      </c>
      <c r="AA49" s="212">
        <f t="shared" ca="1" si="10"/>
        <v>2.252604390872806</v>
      </c>
      <c r="AB49" s="212">
        <f t="shared" ca="1" si="11"/>
        <v>0.52311665949189023</v>
      </c>
      <c r="AC49" s="214">
        <f t="shared" ca="1" si="6"/>
        <v>0.26689625484272189</v>
      </c>
    </row>
    <row r="50" spans="2:29">
      <c r="B50" s="220">
        <v>44601</v>
      </c>
      <c r="C50" s="208">
        <f ca="1">DATOSAÑO!I50</f>
        <v>303</v>
      </c>
      <c r="D50" s="202">
        <f ca="1">DATOSAÑO!P50</f>
        <v>146</v>
      </c>
      <c r="E50" s="202">
        <f ca="1">DATOSAÑO!Q50</f>
        <v>0</v>
      </c>
      <c r="F50" s="202">
        <f ca="1">DATOSAÑO!T50</f>
        <v>0</v>
      </c>
      <c r="G50" s="202">
        <f t="shared" ca="1" si="4"/>
        <v>449</v>
      </c>
      <c r="H50" s="202">
        <f t="shared" ca="1" si="13"/>
        <v>27.101999999982127</v>
      </c>
      <c r="I50" s="202">
        <f t="shared" ca="1" si="0"/>
        <v>195.60315832651511</v>
      </c>
      <c r="J50" s="202">
        <f t="shared" ca="1" si="1"/>
        <v>44.784208367515419</v>
      </c>
      <c r="K50" s="202">
        <f t="shared" ca="1" si="2"/>
        <v>10.068580803937053</v>
      </c>
      <c r="L50" s="202">
        <f t="shared" ca="1" si="12"/>
        <v>166.19799999999893</v>
      </c>
      <c r="M50" s="202">
        <f t="shared" ca="1" si="3"/>
        <v>5.2440525020513435</v>
      </c>
      <c r="N50" s="202">
        <f t="shared" ca="1" si="7"/>
        <v>5</v>
      </c>
      <c r="O50" s="202">
        <f ca="1">(DATOSAÑO!AJ50+DATOSAÑO!AK50+DATOSAÑO!AD50)</f>
        <v>186.5</v>
      </c>
      <c r="P50" s="202">
        <f ca="1">DATOSAÑO!AI50</f>
        <v>42.69999999999709</v>
      </c>
      <c r="Q50" s="202">
        <f ca="1">DATOSAÑO!AH50</f>
        <v>9.5999999999985448</v>
      </c>
      <c r="R50" s="202">
        <f ca="1">DATOSAÑO!AM50+DATOSAÑO!AN50+DATOSAÑO!AF50</f>
        <v>166.19799999999893</v>
      </c>
      <c r="S50" s="215">
        <f ca="1">IF(B50&gt;=$P$5,0,CONTADORES!Q44-CONTADORES!Q43)</f>
        <v>16.900000000023283</v>
      </c>
      <c r="T50" s="212">
        <f ca="1">IF(B50&gt;=$P$5,0,(CONTADORES!S44-CONTADORES!S43)+(CONTADORES!AE44-CONTADORES!AE43))</f>
        <v>4.4000000000014552</v>
      </c>
      <c r="U50" s="212">
        <f ca="1">IF(B50&gt;=$P$5,0,(CONTADORES!AQ44-CONTADORES!AQ43))</f>
        <v>5</v>
      </c>
      <c r="V50" s="212">
        <f ca="1">IF(B50&gt;=$P$5,0,(CONTADORES!AR44-CONTADORES!AR43))</f>
        <v>0</v>
      </c>
      <c r="W50" s="736">
        <v>0</v>
      </c>
      <c r="X50" s="212">
        <f ca="1">IF(W50=0,(T50-INICIO!$W$6),((T50-INICIO!$W$6)+V50))</f>
        <v>4.4000000000014552</v>
      </c>
      <c r="Y50" s="214">
        <f t="shared" ca="1" si="8"/>
        <v>11.900000000023283</v>
      </c>
      <c r="Z50" s="215">
        <f t="shared" ca="1" si="9"/>
        <v>9.1031583265151035</v>
      </c>
      <c r="AA50" s="212">
        <f t="shared" ca="1" si="10"/>
        <v>2.0842083675183294</v>
      </c>
      <c r="AB50" s="212">
        <f t="shared" ca="1" si="11"/>
        <v>0.46858080393850798</v>
      </c>
      <c r="AC50" s="214">
        <f t="shared" ca="1" si="6"/>
        <v>0.24405250205134324</v>
      </c>
    </row>
    <row r="51" spans="2:29">
      <c r="B51" s="220">
        <v>44602</v>
      </c>
      <c r="C51" s="208">
        <f ca="1">DATOSAÑO!I51</f>
        <v>290</v>
      </c>
      <c r="D51" s="202">
        <f ca="1">DATOSAÑO!P51</f>
        <v>150</v>
      </c>
      <c r="E51" s="202">
        <f ca="1">DATOSAÑO!Q51</f>
        <v>0</v>
      </c>
      <c r="F51" s="202">
        <f ca="1">DATOSAÑO!T51</f>
        <v>0</v>
      </c>
      <c r="G51" s="202">
        <f t="shared" ca="1" si="4"/>
        <v>440</v>
      </c>
      <c r="H51" s="202">
        <f t="shared" ca="1" si="13"/>
        <v>27.660000000016225</v>
      </c>
      <c r="I51" s="202">
        <f t="shared" ca="1" si="0"/>
        <v>195.78855054810032</v>
      </c>
      <c r="J51" s="202">
        <f t="shared" ca="1" si="1"/>
        <v>45.914088509946701</v>
      </c>
      <c r="K51" s="202">
        <f t="shared" ca="1" si="2"/>
        <v>9.6220868859080184</v>
      </c>
      <c r="L51" s="202">
        <f t="shared" ca="1" si="12"/>
        <v>154.73999999999981</v>
      </c>
      <c r="M51" s="202">
        <f t="shared" ca="1" si="3"/>
        <v>6.2752740560289535</v>
      </c>
      <c r="N51" s="202">
        <f t="shared" ca="1" si="7"/>
        <v>6</v>
      </c>
      <c r="O51" s="202">
        <f ca="1">(DATOSAÑO!AJ51+DATOSAÑO!AK51+DATOSAÑO!AD51)</f>
        <v>187.19999999999709</v>
      </c>
      <c r="P51" s="202">
        <f ca="1">DATOSAÑO!AI51</f>
        <v>43.900000000001455</v>
      </c>
      <c r="Q51" s="202">
        <f ca="1">DATOSAÑO!AH51</f>
        <v>9.1999999999970896</v>
      </c>
      <c r="R51" s="202">
        <f ca="1">DATOSAÑO!AM51+DATOSAÑO!AN51+DATOSAÑO!AF51</f>
        <v>154.73999999999981</v>
      </c>
      <c r="S51" s="215">
        <f ca="1">IF(B51&gt;=$P$5,0,CONTADORES!Q45-CONTADORES!Q44)</f>
        <v>17.299999999988358</v>
      </c>
      <c r="T51" s="212">
        <f ca="1">IF(B51&gt;=$P$5,0,(CONTADORES!S45-CONTADORES!S44)+(CONTADORES!AE45-CONTADORES!AE44))</f>
        <v>2.2999999999956344</v>
      </c>
      <c r="U51" s="212">
        <f ca="1">IF(B51&gt;=$P$5,0,(CONTADORES!AQ45-CONTADORES!AQ44))</f>
        <v>6</v>
      </c>
      <c r="V51" s="212">
        <f ca="1">IF(B51&gt;=$P$5,0,(CONTADORES!AR45-CONTADORES!AR44))</f>
        <v>0</v>
      </c>
      <c r="W51" s="736">
        <v>0</v>
      </c>
      <c r="X51" s="212">
        <f ca="1">IF(W51=0,(T51-INICIO!$W$6),((T51-INICIO!$W$6)+V51))</f>
        <v>2.2999999999956344</v>
      </c>
      <c r="Y51" s="214">
        <f t="shared" ca="1" si="8"/>
        <v>11.299999999988358</v>
      </c>
      <c r="Z51" s="215">
        <f t="shared" ca="1" si="9"/>
        <v>8.5885505481032283</v>
      </c>
      <c r="AA51" s="212">
        <f t="shared" ca="1" si="10"/>
        <v>2.0140885099452466</v>
      </c>
      <c r="AB51" s="212">
        <f t="shared" ca="1" si="11"/>
        <v>0.42208688591092919</v>
      </c>
      <c r="AC51" s="214">
        <f t="shared" ca="1" si="6"/>
        <v>0.27527405602895394</v>
      </c>
    </row>
    <row r="52" spans="2:29">
      <c r="B52" s="220">
        <v>44603</v>
      </c>
      <c r="C52" s="208">
        <f ca="1">DATOSAÑO!I52</f>
        <v>284</v>
      </c>
      <c r="D52" s="202">
        <f ca="1">DATOSAÑO!P52</f>
        <v>148</v>
      </c>
      <c r="E52" s="202">
        <f ca="1">DATOSAÑO!Q52</f>
        <v>0</v>
      </c>
      <c r="F52" s="202">
        <f ca="1">DATOSAÑO!T52</f>
        <v>0</v>
      </c>
      <c r="G52" s="202">
        <f t="shared" ca="1" si="4"/>
        <v>432</v>
      </c>
      <c r="H52" s="202">
        <f t="shared" ca="1" si="13"/>
        <v>27.877999999997428</v>
      </c>
      <c r="I52" s="202">
        <f t="shared" ca="1" si="0"/>
        <v>200.23289156626643</v>
      </c>
      <c r="J52" s="202">
        <f t="shared" ca="1" si="1"/>
        <v>44.950240963855883</v>
      </c>
      <c r="K52" s="202">
        <f t="shared" ca="1" si="2"/>
        <v>10.477911646586097</v>
      </c>
      <c r="L52" s="202">
        <f t="shared" ca="1" si="12"/>
        <v>143.22200000000109</v>
      </c>
      <c r="M52" s="202">
        <f t="shared" ca="1" si="3"/>
        <v>5.2389558232930487</v>
      </c>
      <c r="N52" s="202">
        <f t="shared" ca="1" si="7"/>
        <v>5</v>
      </c>
      <c r="O52" s="202">
        <f ca="1">(DATOSAÑO!AJ52+DATOSAÑO!AK52+DATOSAÑO!AD52)</f>
        <v>191.10000000000582</v>
      </c>
      <c r="P52" s="202">
        <f ca="1">DATOSAÑO!AI52</f>
        <v>42.900000000001455</v>
      </c>
      <c r="Q52" s="202">
        <f ca="1">DATOSAÑO!AH52</f>
        <v>10</v>
      </c>
      <c r="R52" s="202">
        <f ca="1">DATOSAÑO!AM52+DATOSAÑO!AN52+DATOSAÑO!AF52</f>
        <v>143.22200000000109</v>
      </c>
      <c r="S52" s="215">
        <f ca="1">IF(B52&gt;=$P$5,0,CONTADORES!Q46-CONTADORES!Q45)</f>
        <v>16.899999999994179</v>
      </c>
      <c r="T52" s="212">
        <f ca="1">IF(B52&gt;=$P$5,0,(CONTADORES!S46-CONTADORES!S45)+(CONTADORES!AE46-CONTADORES!AE45))</f>
        <v>2.3000000000029104</v>
      </c>
      <c r="U52" s="212">
        <f ca="1">IF(B52&gt;=$P$5,0,(CONTADORES!AQ46-CONTADORES!AQ45))</f>
        <v>5</v>
      </c>
      <c r="V52" s="212">
        <f ca="1">IF(B52&gt;=$P$5,0,(CONTADORES!AR46-CONTADORES!AR45))</f>
        <v>0</v>
      </c>
      <c r="W52" s="736">
        <v>0</v>
      </c>
      <c r="X52" s="212">
        <f ca="1">IF(W52=0,(T52-INICIO!$W$6),((T52-INICIO!$W$6)+V52))</f>
        <v>2.3000000000029104</v>
      </c>
      <c r="Y52" s="214">
        <f t="shared" ca="1" si="8"/>
        <v>11.899999999994179</v>
      </c>
      <c r="Z52" s="215">
        <f t="shared" ca="1" si="9"/>
        <v>9.1328915662606036</v>
      </c>
      <c r="AA52" s="212">
        <f t="shared" ca="1" si="10"/>
        <v>2.0502409638544283</v>
      </c>
      <c r="AB52" s="212">
        <f t="shared" ca="1" si="11"/>
        <v>0.47791164658609764</v>
      </c>
      <c r="AC52" s="214">
        <f t="shared" ca="1" si="6"/>
        <v>0.23895582329304882</v>
      </c>
    </row>
    <row r="53" spans="2:29">
      <c r="B53" s="220">
        <v>44604</v>
      </c>
      <c r="C53" s="208">
        <f ca="1">DATOSAÑO!I53</f>
        <v>288</v>
      </c>
      <c r="D53" s="202">
        <f ca="1">DATOSAÑO!P53</f>
        <v>150</v>
      </c>
      <c r="E53" s="202">
        <f ca="1">DATOSAÑO!Q53</f>
        <v>0</v>
      </c>
      <c r="F53" s="202">
        <f ca="1">DATOSAÑO!T53</f>
        <v>0</v>
      </c>
      <c r="G53" s="202">
        <f t="shared" ca="1" si="4"/>
        <v>438</v>
      </c>
      <c r="H53" s="202">
        <f t="shared" ca="1" si="13"/>
        <v>31.054000000027997</v>
      </c>
      <c r="I53" s="202">
        <f t="shared" ca="1" si="0"/>
        <v>193.60848938824429</v>
      </c>
      <c r="J53" s="202">
        <f t="shared" ca="1" si="1"/>
        <v>44.412359550557447</v>
      </c>
      <c r="K53" s="202">
        <f t="shared" ca="1" si="2"/>
        <v>9.029463171034724</v>
      </c>
      <c r="L53" s="202">
        <f t="shared" ca="1" si="12"/>
        <v>154.64599999999817</v>
      </c>
      <c r="M53" s="202">
        <f t="shared" ca="1" si="3"/>
        <v>5.2496878901373556</v>
      </c>
      <c r="N53" s="202">
        <f t="shared" ca="1" si="7"/>
        <v>5</v>
      </c>
      <c r="O53" s="202">
        <f ca="1">(DATOSAÑO!AJ53+DATOSAÑO!AK53+DATOSAÑO!AD53)</f>
        <v>184.39999999997963</v>
      </c>
      <c r="P53" s="202">
        <f ca="1">DATOSAÑO!AI53</f>
        <v>42.299999999995634</v>
      </c>
      <c r="Q53" s="202">
        <f ca="1">DATOSAÑO!AH53</f>
        <v>8.5999999999985448</v>
      </c>
      <c r="R53" s="202">
        <f ca="1">DATOSAÑO!AM53+DATOSAÑO!AN53+DATOSAÑO!AF53</f>
        <v>154.64599999999817</v>
      </c>
      <c r="S53" s="215">
        <f ca="1">IF(B53&gt;=$P$5,0,CONTADORES!Q47-CONTADORES!Q46)</f>
        <v>17</v>
      </c>
      <c r="T53" s="212">
        <f ca="1">IF(B53&gt;=$P$5,0,(CONTADORES!S47-CONTADORES!S46)+(CONTADORES!AE47-CONTADORES!AE46))</f>
        <v>2.3000000000029104</v>
      </c>
      <c r="U53" s="212">
        <f ca="1">IF(B53&gt;=$P$5,0,(CONTADORES!AQ47-CONTADORES!AQ46))</f>
        <v>5</v>
      </c>
      <c r="V53" s="212">
        <f ca="1">IF(B53&gt;=$P$5,0,(CONTADORES!AR47-CONTADORES!AR46))</f>
        <v>0</v>
      </c>
      <c r="W53" s="736">
        <v>0</v>
      </c>
      <c r="X53" s="212">
        <f ca="1">IF(W53=0,(T53-INICIO!$W$6),((T53-INICIO!$W$6)+V53))</f>
        <v>2.3000000000029104</v>
      </c>
      <c r="Y53" s="214">
        <f t="shared" ca="1" si="8"/>
        <v>12</v>
      </c>
      <c r="Z53" s="215">
        <f t="shared" ca="1" si="9"/>
        <v>9.2084893882646561</v>
      </c>
      <c r="AA53" s="212">
        <f t="shared" ca="1" si="10"/>
        <v>2.11235955056181</v>
      </c>
      <c r="AB53" s="212">
        <f t="shared" ca="1" si="11"/>
        <v>0.42946317103617887</v>
      </c>
      <c r="AC53" s="214">
        <f t="shared" ca="1" si="6"/>
        <v>0.24968789013735557</v>
      </c>
    </row>
    <row r="54" spans="2:29">
      <c r="B54" s="220">
        <v>44605</v>
      </c>
      <c r="C54" s="208">
        <f ca="1">DATOSAÑO!I54</f>
        <v>282</v>
      </c>
      <c r="D54" s="202">
        <f ca="1">DATOSAÑO!P54</f>
        <v>164</v>
      </c>
      <c r="E54" s="202">
        <f ca="1">DATOSAÑO!Q54</f>
        <v>0</v>
      </c>
      <c r="F54" s="202">
        <f ca="1">DATOSAÑO!T54</f>
        <v>0</v>
      </c>
      <c r="G54" s="202">
        <f t="shared" ca="1" si="4"/>
        <v>446</v>
      </c>
      <c r="H54" s="202">
        <f t="shared" ca="1" si="13"/>
        <v>31.027999999985241</v>
      </c>
      <c r="I54" s="202">
        <f t="shared" ca="1" si="0"/>
        <v>196.36483155301553</v>
      </c>
      <c r="J54" s="202">
        <f t="shared" ca="1" si="1"/>
        <v>44.910435497121959</v>
      </c>
      <c r="K54" s="202">
        <f t="shared" ca="1" si="2"/>
        <v>9.4658997534923923</v>
      </c>
      <c r="L54" s="202">
        <f t="shared" ca="1" si="12"/>
        <v>158.97200000000018</v>
      </c>
      <c r="M54" s="202">
        <f t="shared" ca="1" si="3"/>
        <v>5.2588331963846624</v>
      </c>
      <c r="N54" s="202">
        <f t="shared" ca="1" si="7"/>
        <v>5</v>
      </c>
      <c r="O54" s="202">
        <f ca="1">(DATOSAÑO!AJ54+DATOSAÑO!AK54+DATOSAÑO!AD54)</f>
        <v>186.70000000001164</v>
      </c>
      <c r="P54" s="202">
        <f ca="1">DATOSAÑO!AI54</f>
        <v>42.69999999999709</v>
      </c>
      <c r="Q54" s="202">
        <f ca="1">DATOSAÑO!AH54</f>
        <v>9</v>
      </c>
      <c r="R54" s="202">
        <f ca="1">DATOSAÑO!AM54+DATOSAÑO!AN54+DATOSAÑO!AF54</f>
        <v>158.97200000000018</v>
      </c>
      <c r="S54" s="215">
        <f ca="1">IF(B54&gt;=$P$5,0,CONTADORES!Q48-CONTADORES!Q47)</f>
        <v>17.600000000005821</v>
      </c>
      <c r="T54" s="212">
        <f ca="1">IF(B54&gt;=$P$5,0,(CONTADORES!S48-CONTADORES!S47)+(CONTADORES!AE48-CONTADORES!AE47))</f>
        <v>2.1999999999970896</v>
      </c>
      <c r="U54" s="212">
        <f ca="1">IF(B54&gt;=$P$5,0,(CONTADORES!AQ48-CONTADORES!AQ47))</f>
        <v>5</v>
      </c>
      <c r="V54" s="212">
        <f ca="1">IF(B54&gt;=$P$5,0,(CONTADORES!AR48-CONTADORES!AR47))</f>
        <v>0</v>
      </c>
      <c r="W54" s="736">
        <v>0</v>
      </c>
      <c r="X54" s="212">
        <f ca="1">IF(W54=0,(T54-INICIO!$W$6),((T54-INICIO!$W$6)+V54))</f>
        <v>2.1999999999970896</v>
      </c>
      <c r="Y54" s="214">
        <f t="shared" ca="1" si="8"/>
        <v>12.600000000005821</v>
      </c>
      <c r="Z54" s="215">
        <f t="shared" ca="1" si="9"/>
        <v>9.6648315530038982</v>
      </c>
      <c r="AA54" s="212">
        <f t="shared" ca="1" si="10"/>
        <v>2.210435497124867</v>
      </c>
      <c r="AB54" s="212">
        <f t="shared" ca="1" si="11"/>
        <v>0.46589975349239243</v>
      </c>
      <c r="AC54" s="214">
        <f t="shared" ca="1" si="6"/>
        <v>0.25883319638466246</v>
      </c>
    </row>
    <row r="55" spans="2:29">
      <c r="B55" s="220">
        <v>44606</v>
      </c>
      <c r="C55" s="208">
        <f ca="1">DATOSAÑO!I55</f>
        <v>282</v>
      </c>
      <c r="D55" s="202">
        <f ca="1">DATOSAÑO!P55</f>
        <v>150.70000000000073</v>
      </c>
      <c r="E55" s="202">
        <f ca="1">DATOSAÑO!Q55</f>
        <v>0</v>
      </c>
      <c r="F55" s="202">
        <f ca="1">DATOSAÑO!T55</f>
        <v>0</v>
      </c>
      <c r="G55" s="202">
        <f t="shared" ca="1" si="4"/>
        <v>432.70000000000073</v>
      </c>
      <c r="H55" s="202">
        <f t="shared" ca="1" si="13"/>
        <v>31.623000000020397</v>
      </c>
      <c r="I55" s="202">
        <f t="shared" ca="1" si="0"/>
        <v>193.10246243736412</v>
      </c>
      <c r="J55" s="202">
        <f t="shared" ca="1" si="1"/>
        <v>42.760642737906053</v>
      </c>
      <c r="K55" s="202">
        <f t="shared" ca="1" si="2"/>
        <v>8.259390651086747</v>
      </c>
      <c r="L55" s="202">
        <f t="shared" ca="1" si="12"/>
        <v>150.57700000000219</v>
      </c>
      <c r="M55" s="202">
        <f t="shared" ca="1" si="3"/>
        <v>6.3775041736212472</v>
      </c>
      <c r="N55" s="202">
        <f t="shared" ca="1" si="7"/>
        <v>6.0999999999985448</v>
      </c>
      <c r="O55" s="202">
        <f ca="1">(DATOSAÑO!AJ55+DATOSAÑO!AK55+DATOSAÑO!AD55)</f>
        <v>184.69999999996799</v>
      </c>
      <c r="P55" s="202">
        <f ca="1">DATOSAÑO!AI55</f>
        <v>40.900000000008731</v>
      </c>
      <c r="Q55" s="202">
        <f ca="1">DATOSAÑO!AH55</f>
        <v>7.9000000000014552</v>
      </c>
      <c r="R55" s="202">
        <f ca="1">DATOSAÑO!AM55+DATOSAÑO!AN55+DATOSAÑO!AF55</f>
        <v>150.57700000000219</v>
      </c>
      <c r="S55" s="215">
        <f ca="1">IF(B55&gt;=$P$5,0,CONTADORES!Q49-CONTADORES!Q48)</f>
        <v>17</v>
      </c>
      <c r="T55" s="212">
        <f ca="1">IF(B55&gt;=$P$5,0,(CONTADORES!S49-CONTADORES!S48)+(CONTADORES!AE49-CONTADORES!AE48))</f>
        <v>2.0999999999985448</v>
      </c>
      <c r="U55" s="212">
        <f ca="1">IF(B55&gt;=$P$5,0,(CONTADORES!AQ49-CONTADORES!AQ48))</f>
        <v>6.0999999999985448</v>
      </c>
      <c r="V55" s="212">
        <f ca="1">IF(B55&gt;=$P$5,0,(CONTADORES!AR49-CONTADORES!AR48))</f>
        <v>0</v>
      </c>
      <c r="W55" s="736">
        <v>0</v>
      </c>
      <c r="X55" s="212">
        <f ca="1">IF(W55=0,(T55-INICIO!$W$6),((T55-INICIO!$W$6)+V55))</f>
        <v>2.0999999999985448</v>
      </c>
      <c r="Y55" s="214">
        <f t="shared" ca="1" si="8"/>
        <v>10.900000000001455</v>
      </c>
      <c r="Z55" s="215">
        <f t="shared" ca="1" si="9"/>
        <v>8.4024624373961405</v>
      </c>
      <c r="AA55" s="212">
        <f t="shared" ca="1" si="10"/>
        <v>1.8606427378973205</v>
      </c>
      <c r="AB55" s="212">
        <f t="shared" ca="1" si="11"/>
        <v>0.359390651085291</v>
      </c>
      <c r="AC55" s="214">
        <f t="shared" ca="1" si="6"/>
        <v>0.27750417362270235</v>
      </c>
    </row>
    <row r="56" spans="2:29">
      <c r="B56" s="220">
        <v>44607</v>
      </c>
      <c r="C56" s="208">
        <f ca="1">DATOSAÑO!I56</f>
        <v>300</v>
      </c>
      <c r="D56" s="202">
        <f ca="1">DATOSAÑO!P56</f>
        <v>150.70000000000073</v>
      </c>
      <c r="E56" s="202">
        <f ca="1">DATOSAÑO!Q56</f>
        <v>0</v>
      </c>
      <c r="F56" s="202">
        <f ca="1">DATOSAÑO!T56</f>
        <v>0</v>
      </c>
      <c r="G56" s="202">
        <f t="shared" ca="1" si="4"/>
        <v>450.70000000000073</v>
      </c>
      <c r="H56" s="202">
        <f t="shared" ca="1" si="13"/>
        <v>29.750999999972919</v>
      </c>
      <c r="I56" s="202">
        <f t="shared" ca="1" si="0"/>
        <v>197.9642541214514</v>
      </c>
      <c r="J56" s="202">
        <f t="shared" ca="1" si="1"/>
        <v>49.675633293120789</v>
      </c>
      <c r="K56" s="202">
        <f t="shared" ca="1" si="2"/>
        <v>9.0702854845176155</v>
      </c>
      <c r="L56" s="202">
        <f t="shared" ca="1" si="12"/>
        <v>158.64900000001037</v>
      </c>
      <c r="M56" s="202">
        <f t="shared" ca="1" si="3"/>
        <v>5.5898271009276623</v>
      </c>
      <c r="N56" s="202">
        <f t="shared" ca="1" si="7"/>
        <v>5.3000000000029104</v>
      </c>
      <c r="O56" s="202">
        <f ca="1">(DATOSAÑO!AJ56+DATOSAÑO!AK56+DATOSAÑO!AD56)</f>
        <v>187.70000000002619</v>
      </c>
      <c r="P56" s="202">
        <f ca="1">DATOSAÑO!AI56</f>
        <v>47.099999999998545</v>
      </c>
      <c r="Q56" s="202">
        <f ca="1">DATOSAÑO!AH56</f>
        <v>8.5999999999985448</v>
      </c>
      <c r="R56" s="202">
        <f ca="1">DATOSAÑO!AM56+DATOSAÑO!AN56+DATOSAÑO!AF56</f>
        <v>158.64900000001037</v>
      </c>
      <c r="S56" s="215">
        <f ca="1">IF(B56&gt;=$P$5,0,CONTADORES!Q50-CONTADORES!Q49)</f>
        <v>18.899999999994179</v>
      </c>
      <c r="T56" s="212">
        <f ca="1">IF(B56&gt;=$P$5,0,(CONTADORES!S50-CONTADORES!S49)+(CONTADORES!AE50-CONTADORES!AE49))</f>
        <v>2.2000000000043656</v>
      </c>
      <c r="U56" s="212">
        <f ca="1">IF(B56&gt;=$P$5,0,(CONTADORES!AQ50-CONTADORES!AQ49))</f>
        <v>5.3000000000029104</v>
      </c>
      <c r="V56" s="212">
        <f ca="1">IF(B56&gt;=$P$5,0,(CONTADORES!AR50-CONTADORES!AR49))</f>
        <v>0</v>
      </c>
      <c r="W56" s="736">
        <v>0</v>
      </c>
      <c r="X56" s="212">
        <f ca="1">IF(W56=0,(T56-INICIO!$W$6),((T56-INICIO!$W$6)+V56))</f>
        <v>2.2000000000043656</v>
      </c>
      <c r="Y56" s="214">
        <f t="shared" ca="1" si="8"/>
        <v>13.599999999991269</v>
      </c>
      <c r="Z56" s="215">
        <f t="shared" ca="1" si="9"/>
        <v>10.264254121425205</v>
      </c>
      <c r="AA56" s="212">
        <f t="shared" ca="1" si="10"/>
        <v>2.5756332931222414</v>
      </c>
      <c r="AB56" s="212">
        <f t="shared" ca="1" si="11"/>
        <v>0.47028548451907037</v>
      </c>
      <c r="AC56" s="214">
        <f t="shared" ca="1" si="6"/>
        <v>0.28982710092475156</v>
      </c>
    </row>
    <row r="57" spans="2:29">
      <c r="B57" s="220">
        <v>44608</v>
      </c>
      <c r="C57" s="208">
        <f ca="1">DATOSAÑO!I57</f>
        <v>290</v>
      </c>
      <c r="D57" s="202">
        <f ca="1">DATOSAÑO!P57</f>
        <v>145.69999999999709</v>
      </c>
      <c r="E57" s="202">
        <f ca="1">DATOSAÑO!Q57</f>
        <v>0</v>
      </c>
      <c r="F57" s="202">
        <f ca="1">DATOSAÑO!T57</f>
        <v>0</v>
      </c>
      <c r="G57" s="202">
        <f t="shared" ca="1" si="4"/>
        <v>435.69999999999709</v>
      </c>
      <c r="H57" s="202">
        <f t="shared" ca="1" si="13"/>
        <v>32.033000000010361</v>
      </c>
      <c r="I57" s="202">
        <f t="shared" ca="1" si="0"/>
        <v>187.42910164487526</v>
      </c>
      <c r="J57" s="202">
        <f t="shared" ca="1" si="1"/>
        <v>45.806663854913431</v>
      </c>
      <c r="K57" s="202">
        <f t="shared" ca="1" si="2"/>
        <v>10.506115563053889</v>
      </c>
      <c r="L57" s="202">
        <f t="shared" ca="1" si="12"/>
        <v>154.56699999998818</v>
      </c>
      <c r="M57" s="202">
        <f t="shared" ca="1" si="3"/>
        <v>5.3581189371559548</v>
      </c>
      <c r="N57" s="202">
        <f t="shared" ca="1" si="7"/>
        <v>5.0999999999985448</v>
      </c>
      <c r="O57" s="202">
        <f ca="1">(DATOSAÑO!AJ57+DATOSAÑO!AK57+DATOSAÑO!AD57)</f>
        <v>178.39999999999418</v>
      </c>
      <c r="P57" s="202">
        <f ca="1">DATOSAÑO!AI57</f>
        <v>43.599999999998545</v>
      </c>
      <c r="Q57" s="202">
        <f ca="1">DATOSAÑO!AH57</f>
        <v>10</v>
      </c>
      <c r="R57" s="202">
        <f ca="1">DATOSAÑO!AM57+DATOSAÑO!AN57+DATOSAÑO!AF57</f>
        <v>154.56699999998818</v>
      </c>
      <c r="S57" s="215">
        <f ca="1">IF(B57&gt;=$P$5,0,CONTADORES!Q51-CONTADORES!Q50)</f>
        <v>17.100000000005821</v>
      </c>
      <c r="T57" s="212">
        <f ca="1">IF(B57&gt;=$P$5,0,(CONTADORES!S51-CONTADORES!S50)+(CONTADORES!AE51-CONTADORES!AE50))</f>
        <v>2</v>
      </c>
      <c r="U57" s="212">
        <f ca="1">IF(B57&gt;=$P$5,0,(CONTADORES!AQ51-CONTADORES!AQ50))</f>
        <v>5.0999999999985448</v>
      </c>
      <c r="V57" s="212">
        <f ca="1">IF(B57&gt;=$P$5,0,(CONTADORES!AR51-CONTADORES!AR50))</f>
        <v>0</v>
      </c>
      <c r="W57" s="736">
        <v>0</v>
      </c>
      <c r="X57" s="212">
        <f ca="1">IF(W57=0,(T57-INICIO!$W$6),((T57-INICIO!$W$6)+V57))</f>
        <v>2</v>
      </c>
      <c r="Y57" s="214">
        <f t="shared" ca="1" si="8"/>
        <v>12.000000000007276</v>
      </c>
      <c r="Z57" s="215">
        <f t="shared" ca="1" si="9"/>
        <v>9.0291016448810915</v>
      </c>
      <c r="AA57" s="212">
        <f t="shared" ca="1" si="10"/>
        <v>2.206663854914884</v>
      </c>
      <c r="AB57" s="212">
        <f t="shared" ca="1" si="11"/>
        <v>0.50611556305388938</v>
      </c>
      <c r="AC57" s="214">
        <f t="shared" ca="1" si="6"/>
        <v>0.25811893715740991</v>
      </c>
    </row>
    <row r="58" spans="2:29">
      <c r="B58" s="220">
        <v>44609</v>
      </c>
      <c r="C58" s="208">
        <f ca="1">DATOSAÑO!I58</f>
        <v>288</v>
      </c>
      <c r="D58" s="202">
        <f ca="1">DATOSAÑO!P58</f>
        <v>141.90000000000146</v>
      </c>
      <c r="E58" s="202">
        <f ca="1">DATOSAÑO!Q58</f>
        <v>0</v>
      </c>
      <c r="F58" s="202">
        <f ca="1">DATOSAÑO!T58</f>
        <v>0</v>
      </c>
      <c r="G58" s="202">
        <f t="shared" ca="1" si="4"/>
        <v>429.90000000000146</v>
      </c>
      <c r="H58" s="202">
        <f t="shared" ca="1" si="13"/>
        <v>30.614999999991255</v>
      </c>
      <c r="I58" s="202">
        <f t="shared" ca="1" si="0"/>
        <v>196.51442348009323</v>
      </c>
      <c r="J58" s="202">
        <f t="shared" ca="1" si="1"/>
        <v>41.145534591189808</v>
      </c>
      <c r="K58" s="202">
        <f t="shared" ca="1" si="2"/>
        <v>7.014633123694197</v>
      </c>
      <c r="L58" s="202">
        <f t="shared" ca="1" si="12"/>
        <v>149.58499999999856</v>
      </c>
      <c r="M58" s="202">
        <f t="shared" ca="1" si="3"/>
        <v>5.025408805034421</v>
      </c>
      <c r="N58" s="202">
        <f t="shared" ca="1" si="7"/>
        <v>4.8000000000029104</v>
      </c>
      <c r="O58" s="202">
        <f ca="1">(DATOSAÑO!AJ58+DATOSAÑO!AK58+DATOSAÑO!AD58)</f>
        <v>187.70000000001164</v>
      </c>
      <c r="P58" s="202">
        <f ca="1">DATOSAÑO!AI58</f>
        <v>39.299999999995634</v>
      </c>
      <c r="Q58" s="202">
        <f ca="1">DATOSAÑO!AH58</f>
        <v>6.7000000000043656</v>
      </c>
      <c r="R58" s="202">
        <f ca="1">DATOSAÑO!AM58+DATOSAÑO!AN58+DATOSAÑO!AF58</f>
        <v>149.58499999999856</v>
      </c>
      <c r="S58" s="215">
        <f ca="1">IF(B58&gt;=$P$5,0,CONTADORES!Q52-CONTADORES!Q51)</f>
        <v>16</v>
      </c>
      <c r="T58" s="212">
        <f ca="1">IF(B58&gt;=$P$5,0,(CONTADORES!S52-CONTADORES!S51)+(CONTADORES!AE52-CONTADORES!AE51))</f>
        <v>2.0999999999985448</v>
      </c>
      <c r="U58" s="212">
        <f ca="1">IF(B58&gt;=$P$5,0,(CONTADORES!AQ52-CONTADORES!AQ51))</f>
        <v>4.8000000000029104</v>
      </c>
      <c r="V58" s="212">
        <f ca="1">IF(B58&gt;=$P$5,0,(CONTADORES!AR52-CONTADORES!AR51))</f>
        <v>0</v>
      </c>
      <c r="W58" s="736">
        <v>0</v>
      </c>
      <c r="X58" s="212">
        <f ca="1">IF(W58=0,(T58-INICIO!$W$6),((T58-INICIO!$W$6)+V58))</f>
        <v>2.0999999999985448</v>
      </c>
      <c r="Y58" s="214">
        <f t="shared" ca="1" si="8"/>
        <v>11.19999999999709</v>
      </c>
      <c r="Z58" s="215">
        <f t="shared" ca="1" si="9"/>
        <v>8.8144234800815759</v>
      </c>
      <c r="AA58" s="212">
        <f t="shared" ca="1" si="10"/>
        <v>1.8455345911941714</v>
      </c>
      <c r="AB58" s="212">
        <f t="shared" ca="1" si="11"/>
        <v>0.31463312368983154</v>
      </c>
      <c r="AC58" s="214">
        <f t="shared" ca="1" si="6"/>
        <v>0.22540880503151089</v>
      </c>
    </row>
    <row r="59" spans="2:29">
      <c r="B59" s="220">
        <v>44610</v>
      </c>
      <c r="C59" s="208">
        <f ca="1">DATOSAÑO!I59</f>
        <v>301</v>
      </c>
      <c r="D59" s="202">
        <f ca="1">DATOSAÑO!P59</f>
        <v>150.40000000000146</v>
      </c>
      <c r="E59" s="202">
        <f ca="1">DATOSAÑO!Q59</f>
        <v>0</v>
      </c>
      <c r="F59" s="202">
        <f ca="1">DATOSAÑO!T59</f>
        <v>0</v>
      </c>
      <c r="G59" s="202">
        <f t="shared" ca="1" si="4"/>
        <v>451.40000000000146</v>
      </c>
      <c r="H59" s="202">
        <f t="shared" ca="1" si="13"/>
        <v>32.911999999995487</v>
      </c>
      <c r="I59" s="202">
        <f t="shared" ca="1" si="0"/>
        <v>199.94195121951364</v>
      </c>
      <c r="J59" s="202">
        <f t="shared" ca="1" si="1"/>
        <v>42.364146341475077</v>
      </c>
      <c r="K59" s="202">
        <f t="shared" ca="1" si="2"/>
        <v>11.668536585364587</v>
      </c>
      <c r="L59" s="202">
        <f t="shared" ca="1" si="12"/>
        <v>159.88800000000018</v>
      </c>
      <c r="M59" s="202">
        <f t="shared" ca="1" si="3"/>
        <v>4.6253658536525215</v>
      </c>
      <c r="N59" s="202">
        <f t="shared" ca="1" si="7"/>
        <v>4.3999999999941792</v>
      </c>
      <c r="O59" s="202">
        <f ca="1">(DATOSAÑO!AJ59+DATOSAÑO!AK59+DATOSAÑO!AD59)</f>
        <v>190.19999999999709</v>
      </c>
      <c r="P59" s="202">
        <f ca="1">DATOSAÑO!AI59</f>
        <v>40.300000000010186</v>
      </c>
      <c r="Q59" s="202">
        <f ca="1">DATOSAÑO!AH59</f>
        <v>11.099999999998545</v>
      </c>
      <c r="R59" s="202">
        <f ca="1">DATOSAÑO!AM59+DATOSAÑO!AN59+DATOSAÑO!AF59</f>
        <v>159.88800000000018</v>
      </c>
      <c r="S59" s="215">
        <f ca="1">IF(B59&gt;=$P$5,0,CONTADORES!Q53-CONTADORES!Q52)</f>
        <v>17</v>
      </c>
      <c r="T59" s="212">
        <f ca="1">IF(B59&gt;=$P$5,0,(CONTADORES!S53-CONTADORES!S52)+(CONTADORES!AE53-CONTADORES!AE52))</f>
        <v>2.0999999999985448</v>
      </c>
      <c r="U59" s="212">
        <f ca="1">IF(B59&gt;=$P$5,0,(CONTADORES!AQ53-CONTADORES!AQ52))</f>
        <v>4.3999999999941792</v>
      </c>
      <c r="V59" s="212">
        <f ca="1">IF(B59&gt;=$P$5,0,(CONTADORES!AR53-CONTADORES!AR52))</f>
        <v>0</v>
      </c>
      <c r="W59" s="736">
        <v>0</v>
      </c>
      <c r="X59" s="212">
        <f ca="1">IF(W59=0,(T59-INICIO!$W$6),((T59-INICIO!$W$6)+V59))</f>
        <v>2.0999999999985448</v>
      </c>
      <c r="Y59" s="214">
        <f t="shared" ca="1" si="8"/>
        <v>12.600000000005821</v>
      </c>
      <c r="Z59" s="215">
        <f t="shared" ca="1" si="9"/>
        <v>9.7419512195165474</v>
      </c>
      <c r="AA59" s="212">
        <f t="shared" ca="1" si="10"/>
        <v>2.0641463414648897</v>
      </c>
      <c r="AB59" s="212">
        <f t="shared" ca="1" si="11"/>
        <v>0.56853658536604179</v>
      </c>
      <c r="AC59" s="214">
        <f t="shared" ca="1" si="6"/>
        <v>0.22536585365834255</v>
      </c>
    </row>
    <row r="60" spans="2:29">
      <c r="B60" s="220">
        <v>44611</v>
      </c>
      <c r="C60" s="208">
        <f ca="1">DATOSAÑO!I60</f>
        <v>294</v>
      </c>
      <c r="D60" s="202">
        <f ca="1">DATOSAÑO!P60</f>
        <v>145.59999999999854</v>
      </c>
      <c r="E60" s="202">
        <f ca="1">DATOSAÑO!Q60</f>
        <v>0</v>
      </c>
      <c r="F60" s="202">
        <f ca="1">DATOSAÑO!T60</f>
        <v>0</v>
      </c>
      <c r="G60" s="202">
        <f t="shared" ca="1" si="4"/>
        <v>439.59999999999854</v>
      </c>
      <c r="H60" s="202">
        <f t="shared" ca="1" si="13"/>
        <v>29.962000000002206</v>
      </c>
      <c r="I60" s="202">
        <f t="shared" ca="1" si="0"/>
        <v>195.07733333332689</v>
      </c>
      <c r="J60" s="202">
        <f t="shared" ca="1" si="1"/>
        <v>41.290666666662887</v>
      </c>
      <c r="K60" s="202">
        <f t="shared" ca="1" si="2"/>
        <v>12.008000000001326</v>
      </c>
      <c r="L60" s="202">
        <f t="shared" ca="1" si="12"/>
        <v>156.83800000000073</v>
      </c>
      <c r="M60" s="202">
        <f t="shared" ca="1" si="3"/>
        <v>4.4240000000045221</v>
      </c>
      <c r="N60" s="202">
        <f t="shared" ca="1" si="7"/>
        <v>4.2000000000043656</v>
      </c>
      <c r="O60" s="202">
        <f ca="1">(DATOSAÑO!AJ60+DATOSAÑO!AK60+DATOSAÑO!AD60)</f>
        <v>185.19999999999709</v>
      </c>
      <c r="P60" s="202">
        <f ca="1">DATOSAÑO!AI60</f>
        <v>39.19999999999709</v>
      </c>
      <c r="Q60" s="202">
        <f ca="1">DATOSAÑO!AH60</f>
        <v>11.400000000001455</v>
      </c>
      <c r="R60" s="202">
        <f ca="1">DATOSAÑO!AM60+DATOSAÑO!AN60+DATOSAÑO!AF60</f>
        <v>156.83800000000073</v>
      </c>
      <c r="S60" s="215">
        <f ca="1">IF(B60&gt;=$P$5,0,CONTADORES!Q54-CONTADORES!Q53)</f>
        <v>17</v>
      </c>
      <c r="T60" s="212">
        <f ca="1">IF(B60&gt;=$P$5,0,(CONTADORES!S54-CONTADORES!S53)+(CONTADORES!AE54-CONTADORES!AE53))</f>
        <v>2.0999999999985448</v>
      </c>
      <c r="U60" s="212">
        <f ca="1">IF(B60&gt;=$P$5,0,(CONTADORES!AQ54-CONTADORES!AQ53))</f>
        <v>4.2000000000043656</v>
      </c>
      <c r="V60" s="212">
        <f ca="1">IF(B60&gt;=$P$5,0,(CONTADORES!AR54-CONTADORES!AR53))</f>
        <v>0</v>
      </c>
      <c r="W60" s="736">
        <v>0</v>
      </c>
      <c r="X60" s="212">
        <f ca="1">IF(W60=0,(T60-INICIO!$W$6),((T60-INICIO!$W$6)+V60))</f>
        <v>2.0999999999985448</v>
      </c>
      <c r="Y60" s="214">
        <f t="shared" ca="1" si="8"/>
        <v>12.799999999995634</v>
      </c>
      <c r="Z60" s="215">
        <f t="shared" ca="1" si="9"/>
        <v>9.8773333333298083</v>
      </c>
      <c r="AA60" s="212">
        <f t="shared" ca="1" si="10"/>
        <v>2.0906666666657983</v>
      </c>
      <c r="AB60" s="212">
        <f t="shared" ca="1" si="11"/>
        <v>0.60799999999987031</v>
      </c>
      <c r="AC60" s="214">
        <f t="shared" ca="1" si="6"/>
        <v>0.22400000000015644</v>
      </c>
    </row>
    <row r="61" spans="2:29">
      <c r="B61" s="220">
        <v>44612</v>
      </c>
      <c r="C61" s="208">
        <f ca="1">DATOSAÑO!I61</f>
        <v>297</v>
      </c>
      <c r="D61" s="202">
        <f ca="1">DATOSAÑO!P61</f>
        <v>148.59999999999854</v>
      </c>
      <c r="E61" s="202">
        <f ca="1">DATOSAÑO!Q61</f>
        <v>0.8149999999998272</v>
      </c>
      <c r="F61" s="202">
        <f ca="1">DATOSAÑO!T61</f>
        <v>0.19200000000000728</v>
      </c>
      <c r="G61" s="202">
        <f t="shared" ca="1" si="4"/>
        <v>446.60699999999838</v>
      </c>
      <c r="H61" s="202">
        <f t="shared" ca="1" si="13"/>
        <v>36.879999999998745</v>
      </c>
      <c r="I61" s="202">
        <f t="shared" ca="1" si="0"/>
        <v>190.99535789920242</v>
      </c>
      <c r="J61" s="202">
        <f t="shared" ca="1" si="1"/>
        <v>41.438420160942854</v>
      </c>
      <c r="K61" s="202">
        <f t="shared" ca="1" si="2"/>
        <v>11.043233799237672</v>
      </c>
      <c r="L61" s="202">
        <f t="shared" ca="1" si="12"/>
        <v>161.41199999999981</v>
      </c>
      <c r="M61" s="202">
        <f t="shared" ca="1" si="3"/>
        <v>4.8379881406168783</v>
      </c>
      <c r="N61" s="202">
        <f t="shared" ca="1" si="7"/>
        <v>4.5999999999985448</v>
      </c>
      <c r="O61" s="202">
        <f ca="1">(DATOSAÑO!AJ61+DATOSAÑO!AK61+DATOSAÑO!AD61)</f>
        <v>181.60000000000582</v>
      </c>
      <c r="P61" s="202">
        <f ca="1">DATOSAÑO!AI61</f>
        <v>39.399999999994179</v>
      </c>
      <c r="Q61" s="202">
        <f ca="1">DATOSAÑO!AH61</f>
        <v>10.5</v>
      </c>
      <c r="R61" s="202">
        <f ca="1">DATOSAÑO!AM61+DATOSAÑO!AN61+DATOSAÑO!AF61</f>
        <v>161.41199999999981</v>
      </c>
      <c r="S61" s="215">
        <f ca="1">IF(B61&gt;=$P$5,0,CONTADORES!Q55-CONTADORES!Q54)</f>
        <v>16</v>
      </c>
      <c r="T61" s="212">
        <f ca="1">IF(B61&gt;=$P$5,0,(CONTADORES!S55-CONTADORES!S54)+(CONTADORES!AE55-CONTADORES!AE54))</f>
        <v>2.0999999999985448</v>
      </c>
      <c r="U61" s="212">
        <f ca="1">IF(B61&gt;=$P$5,0,(CONTADORES!AQ55-CONTADORES!AQ54))</f>
        <v>4.5999999999985448</v>
      </c>
      <c r="V61" s="212">
        <f ca="1">IF(B61&gt;=$P$5,0,(CONTADORES!AR55-CONTADORES!AR54))</f>
        <v>0</v>
      </c>
      <c r="W61" s="736">
        <v>0</v>
      </c>
      <c r="X61" s="212">
        <f ca="1">IF(W61=0,(T61-INICIO!$W$6),((T61-INICIO!$W$6)+V61))</f>
        <v>2.0999999999985448</v>
      </c>
      <c r="Y61" s="214">
        <f t="shared" ca="1" si="8"/>
        <v>12.215000000001282</v>
      </c>
      <c r="Z61" s="215">
        <f t="shared" ca="1" si="9"/>
        <v>9.3953578991966022</v>
      </c>
      <c r="AA61" s="212">
        <f t="shared" ca="1" si="10"/>
        <v>2.0384201609486761</v>
      </c>
      <c r="AB61" s="212">
        <f t="shared" ca="1" si="11"/>
        <v>0.54323379923767157</v>
      </c>
      <c r="AC61" s="214">
        <f t="shared" ca="1" si="6"/>
        <v>0.23798814061833323</v>
      </c>
    </row>
    <row r="62" spans="2:29">
      <c r="B62" s="220">
        <v>44613</v>
      </c>
      <c r="C62" s="208">
        <f ca="1">DATOSAÑO!I62</f>
        <v>303</v>
      </c>
      <c r="D62" s="202">
        <f ca="1">DATOSAÑO!P62</f>
        <v>147.10000000000218</v>
      </c>
      <c r="E62" s="202">
        <f ca="1">DATOSAÑO!Q62</f>
        <v>0</v>
      </c>
      <c r="F62" s="202">
        <f ca="1">DATOSAÑO!T62</f>
        <v>0</v>
      </c>
      <c r="G62" s="202">
        <f t="shared" ca="1" si="4"/>
        <v>450.10000000000218</v>
      </c>
      <c r="H62" s="202">
        <f t="shared" ca="1" si="13"/>
        <v>24.961999999993736</v>
      </c>
      <c r="I62" s="202">
        <f t="shared" ca="1" si="0"/>
        <v>206.113846803744</v>
      </c>
      <c r="J62" s="202">
        <f t="shared" ca="1" si="1"/>
        <v>40.661700929312232</v>
      </c>
      <c r="K62" s="202">
        <f t="shared" ca="1" si="2"/>
        <v>9.2460715291420428</v>
      </c>
      <c r="L62" s="202">
        <f t="shared" ca="1" si="12"/>
        <v>163.96799999998836</v>
      </c>
      <c r="M62" s="202">
        <f t="shared" ca="1" si="3"/>
        <v>5.1483807378218112</v>
      </c>
      <c r="N62" s="202">
        <f t="shared" ca="1" si="7"/>
        <v>4.9000000000014552</v>
      </c>
      <c r="O62" s="202">
        <f ca="1">(DATOSAÑO!AJ62+DATOSAÑO!AK62+DATOSAÑO!AD62)</f>
        <v>196.17000000002736</v>
      </c>
      <c r="P62" s="202">
        <f ca="1">DATOSAÑO!AI62</f>
        <v>38.69999999999709</v>
      </c>
      <c r="Q62" s="202">
        <f ca="1">DATOSAÑO!AH62</f>
        <v>8.7999999999956344</v>
      </c>
      <c r="R62" s="202">
        <f ca="1">DATOSAÑO!AM62+DATOSAÑO!AN62+DATOSAÑO!AF62</f>
        <v>163.96799999998836</v>
      </c>
      <c r="S62" s="215">
        <f ca="1">IF(B62&gt;=$P$5,0,CONTADORES!Q56-CONTADORES!Q55)</f>
        <v>17.5</v>
      </c>
      <c r="T62" s="212">
        <f ca="1">IF(B62&gt;=$P$5,0,(CONTADORES!S56-CONTADORES!S55)+(CONTADORES!AE56-CONTADORES!AE55))</f>
        <v>2.1000000000058208</v>
      </c>
      <c r="U62" s="212">
        <f ca="1">IF(B62&gt;=$P$5,0,(CONTADORES!AQ56-CONTADORES!AQ55))</f>
        <v>4.9000000000014552</v>
      </c>
      <c r="V62" s="212">
        <f ca="1">IF(B62&gt;=$P$5,0,(CONTADORES!AR56-CONTADORES!AR55))</f>
        <v>0</v>
      </c>
      <c r="W62" s="736">
        <v>0</v>
      </c>
      <c r="X62" s="212">
        <f ca="1">IF(W62=0,(T62-INICIO!$W$6),((T62-INICIO!$W$6)+V62))</f>
        <v>2.1000000000058208</v>
      </c>
      <c r="Y62" s="214">
        <f t="shared" ca="1" si="8"/>
        <v>12.599999999998545</v>
      </c>
      <c r="Z62" s="215">
        <f t="shared" ca="1" si="9"/>
        <v>9.9438468037166405</v>
      </c>
      <c r="AA62" s="212">
        <f t="shared" ca="1" si="10"/>
        <v>1.9617009293151417</v>
      </c>
      <c r="AB62" s="212">
        <f t="shared" ca="1" si="11"/>
        <v>0.44607152914640774</v>
      </c>
      <c r="AC62" s="214">
        <f t="shared" ca="1" si="6"/>
        <v>0.24838073782035586</v>
      </c>
    </row>
    <row r="63" spans="2:29">
      <c r="B63" s="220">
        <v>44614</v>
      </c>
      <c r="C63" s="208">
        <f ca="1">DATOSAÑO!I63</f>
        <v>302.40000000002328</v>
      </c>
      <c r="D63" s="202">
        <f ca="1">DATOSAÑO!P63</f>
        <v>147.29999999999927</v>
      </c>
      <c r="E63" s="202">
        <f ca="1">DATOSAÑO!Q63</f>
        <v>0</v>
      </c>
      <c r="F63" s="202">
        <f ca="1">DATOSAÑO!T63</f>
        <v>0</v>
      </c>
      <c r="G63" s="202">
        <f t="shared" ca="1" si="4"/>
        <v>449.70000000002256</v>
      </c>
      <c r="H63" s="202">
        <f t="shared" ca="1" si="13"/>
        <v>35.397999999993488</v>
      </c>
      <c r="I63" s="202">
        <f t="shared" ca="1" si="0"/>
        <v>200.89398467434984</v>
      </c>
      <c r="J63" s="202">
        <f t="shared" ca="1" si="1"/>
        <v>38.154406130271283</v>
      </c>
      <c r="K63" s="202">
        <f t="shared" ca="1" si="2"/>
        <v>10.721072796939461</v>
      </c>
      <c r="L63" s="202">
        <f t="shared" ca="1" si="12"/>
        <v>159.17200000000255</v>
      </c>
      <c r="M63" s="202">
        <f t="shared" ca="1" si="3"/>
        <v>5.3605363984659071</v>
      </c>
      <c r="N63" s="202">
        <f t="shared" ca="1" si="7"/>
        <v>5.0999999999985448</v>
      </c>
      <c r="O63" s="202">
        <f ca="1">(DATOSAÑO!AJ63+DATOSAÑO!AK63+DATOSAÑO!AD63)</f>
        <v>191.13000000001921</v>
      </c>
      <c r="P63" s="202">
        <f ca="1">DATOSAÑO!AI63</f>
        <v>36.30000000000291</v>
      </c>
      <c r="Q63" s="202">
        <f ca="1">DATOSAÑO!AH63</f>
        <v>10.200000000004366</v>
      </c>
      <c r="R63" s="202">
        <f ca="1">DATOSAÑO!AM63+DATOSAÑO!AN63+DATOSAÑO!AF63</f>
        <v>159.17200000000255</v>
      </c>
      <c r="S63" s="215">
        <f ca="1">IF(B63&gt;=$P$5,0,CONTADORES!Q57-CONTADORES!Q56)</f>
        <v>17.5</v>
      </c>
      <c r="T63" s="212">
        <f ca="1">IF(B63&gt;=$P$5,0,(CONTADORES!S57-CONTADORES!S56)+(CONTADORES!AE57-CONTADORES!AE56))</f>
        <v>2.1999999999970896</v>
      </c>
      <c r="U63" s="212">
        <f ca="1">IF(B63&gt;=$P$5,0,(CONTADORES!AQ57-CONTADORES!AQ56))</f>
        <v>5.0999999999985448</v>
      </c>
      <c r="V63" s="212">
        <f ca="1">IF(B63&gt;=$P$5,0,(CONTADORES!AR57-CONTADORES!AR56))</f>
        <v>0</v>
      </c>
      <c r="W63" s="736">
        <v>0</v>
      </c>
      <c r="X63" s="212">
        <f ca="1">IF(W63=0,(T63-INICIO!$W$6),((T63-INICIO!$W$6)+V63))</f>
        <v>2.1999999999970896</v>
      </c>
      <c r="Y63" s="214">
        <f t="shared" ca="1" si="8"/>
        <v>12.400000000001455</v>
      </c>
      <c r="Z63" s="215">
        <f t="shared" ca="1" si="9"/>
        <v>9.7639846743306222</v>
      </c>
      <c r="AA63" s="212">
        <f t="shared" ca="1" si="10"/>
        <v>1.8544061302683743</v>
      </c>
      <c r="AB63" s="212">
        <f t="shared" ca="1" si="11"/>
        <v>0.52107279693509634</v>
      </c>
      <c r="AC63" s="214">
        <f t="shared" ca="1" si="6"/>
        <v>0.26053639846736232</v>
      </c>
    </row>
    <row r="64" spans="2:29">
      <c r="B64" s="220">
        <v>44615</v>
      </c>
      <c r="C64" s="208">
        <f ca="1">DATOSAÑO!I64</f>
        <v>259.1600000000326</v>
      </c>
      <c r="D64" s="202">
        <f ca="1">DATOSAÑO!P64</f>
        <v>133.54000000000087</v>
      </c>
      <c r="E64" s="202">
        <f ca="1">DATOSAÑO!Q64</f>
        <v>0</v>
      </c>
      <c r="F64" s="202">
        <f ca="1">DATOSAÑO!T64</f>
        <v>0</v>
      </c>
      <c r="G64" s="202">
        <f t="shared" ca="1" si="4"/>
        <v>392.70000000003347</v>
      </c>
      <c r="H64" s="202">
        <f t="shared" ca="1" si="13"/>
        <v>32.72900000004438</v>
      </c>
      <c r="I64" s="202">
        <f t="shared" ca="1" si="0"/>
        <v>186.22028211365301</v>
      </c>
      <c r="J64" s="202">
        <f t="shared" ca="1" si="1"/>
        <v>35.028710037409851</v>
      </c>
      <c r="K64" s="202">
        <f t="shared" ca="1" si="2"/>
        <v>0.10579495631993045</v>
      </c>
      <c r="L64" s="202">
        <f t="shared" ca="1" si="12"/>
        <v>133.39099999998558</v>
      </c>
      <c r="M64" s="202">
        <f t="shared" ca="1" si="3"/>
        <v>5.2252128926207551</v>
      </c>
      <c r="N64" s="202">
        <f t="shared" ca="1" si="7"/>
        <v>4.9389999999984866</v>
      </c>
      <c r="O64" s="202">
        <f ca="1">(DATOSAÑO!AJ64+DATOSAÑO!AK64+DATOSAÑO!AD64)</f>
        <v>176.01999999998952</v>
      </c>
      <c r="P64" s="202">
        <f ca="1">DATOSAÑO!AI64</f>
        <v>33.110000000007858</v>
      </c>
      <c r="Q64" s="202">
        <f ca="1">DATOSAÑO!AH64</f>
        <v>0.1000000000003638</v>
      </c>
      <c r="R64" s="202">
        <f ca="1">DATOSAÑO!AM64+DATOSAÑO!AN64+DATOSAÑO!AF64</f>
        <v>133.39099999998558</v>
      </c>
      <c r="S64" s="215">
        <f ca="1">IF(B64&gt;=$P$5,0,CONTADORES!Q58-CONTADORES!Q57)</f>
        <v>17.350000000005821</v>
      </c>
      <c r="T64" s="212">
        <f ca="1">IF(B64&gt;=$P$5,0,(CONTADORES!S58-CONTADORES!S57)+(CONTADORES!AE58-CONTADORES!AE57))</f>
        <v>2.3000000000029104</v>
      </c>
      <c r="U64" s="212">
        <f ca="1">IF(B64&gt;=$P$5,0,(CONTADORES!AQ58-CONTADORES!AQ57))</f>
        <v>4.9389999999984866</v>
      </c>
      <c r="V64" s="212">
        <f ca="1">IF(B64&gt;=$P$5,0,(CONTADORES!AR58-CONTADORES!AR57))</f>
        <v>0</v>
      </c>
      <c r="W64" s="736">
        <v>0</v>
      </c>
      <c r="X64" s="212">
        <f ca="1">IF(W64=0,(T64-INICIO!$W$6),((T64-INICIO!$W$6)+V64))</f>
        <v>2.3000000000029104</v>
      </c>
      <c r="Y64" s="214">
        <f t="shared" ca="1" si="8"/>
        <v>12.411000000007334</v>
      </c>
      <c r="Z64" s="215">
        <f t="shared" ca="1" si="9"/>
        <v>10.200282113663505</v>
      </c>
      <c r="AA64" s="212">
        <f t="shared" ca="1" si="10"/>
        <v>1.9187100374019936</v>
      </c>
      <c r="AB64" s="212">
        <f t="shared" ca="1" si="11"/>
        <v>5.7949563195666522E-3</v>
      </c>
      <c r="AC64" s="214">
        <f t="shared" ca="1" si="6"/>
        <v>0.28621289262226801</v>
      </c>
    </row>
    <row r="65" spans="2:29">
      <c r="B65" s="220">
        <v>44616</v>
      </c>
      <c r="C65" s="208">
        <f ca="1">DATOSAÑO!I65</f>
        <v>285.06999999994878</v>
      </c>
      <c r="D65" s="202">
        <f ca="1">DATOSAÑO!P65</f>
        <v>149.68000000000029</v>
      </c>
      <c r="E65" s="202">
        <f ca="1">DATOSAÑO!Q65</f>
        <v>0</v>
      </c>
      <c r="F65" s="202">
        <f ca="1">DATOSAÑO!T65</f>
        <v>0</v>
      </c>
      <c r="G65" s="202">
        <f t="shared" ca="1" si="4"/>
        <v>434.74999999994907</v>
      </c>
      <c r="H65" s="202">
        <f t="shared" ca="1" si="13"/>
        <v>37.716999999922677</v>
      </c>
      <c r="I65" s="202">
        <f t="shared" ca="1" si="0"/>
        <v>199.23107288631576</v>
      </c>
      <c r="J65" s="202">
        <f t="shared" ca="1" si="1"/>
        <v>31.525102691845124</v>
      </c>
      <c r="K65" s="202">
        <f t="shared" ca="1" si="2"/>
        <v>7.1552302504811571</v>
      </c>
      <c r="L65" s="202">
        <f t="shared" ca="1" si="12"/>
        <v>153.93300000003512</v>
      </c>
      <c r="M65" s="202">
        <f t="shared" ca="1" si="3"/>
        <v>5.1885941713492363</v>
      </c>
      <c r="N65" s="202">
        <f t="shared" ca="1" si="7"/>
        <v>4.9310000000041327</v>
      </c>
      <c r="O65" s="202">
        <f ca="1">(DATOSAÑO!AJ65+DATOSAÑO!AK65+DATOSAÑO!AD65)</f>
        <v>189.33999999999651</v>
      </c>
      <c r="P65" s="202">
        <f ca="1">DATOSAÑO!AI65</f>
        <v>29.959999999999127</v>
      </c>
      <c r="Q65" s="202">
        <f ca="1">DATOSAÑO!AH65</f>
        <v>6.7999999999956344</v>
      </c>
      <c r="R65" s="202">
        <f ca="1">DATOSAÑO!AM65+DATOSAÑO!AN65+DATOSAÑO!AF65</f>
        <v>153.93300000003512</v>
      </c>
      <c r="S65" s="215">
        <f ca="1">IF(B65&gt;=$P$5,0,CONTADORES!Q59-CONTADORES!Q58)</f>
        <v>17</v>
      </c>
      <c r="T65" s="212">
        <f ca="1">IF(B65&gt;=$P$5,0,(CONTADORES!S59-CONTADORES!S58)+(CONTADORES!AE59-CONTADORES!AE58))</f>
        <v>2.2299999999959255</v>
      </c>
      <c r="U65" s="212">
        <f ca="1">IF(B65&gt;=$P$5,0,(CONTADORES!AQ59-CONTADORES!AQ58))</f>
        <v>4.9310000000041327</v>
      </c>
      <c r="V65" s="212">
        <f ca="1">IF(B65&gt;=$P$5,0,(CONTADORES!AR59-CONTADORES!AR58))</f>
        <v>0</v>
      </c>
      <c r="W65" s="736">
        <v>0</v>
      </c>
      <c r="X65" s="212">
        <f ca="1">IF(W65=0,(T65-INICIO!$W$6),((T65-INICIO!$W$6)+V65))</f>
        <v>2.2299999999959255</v>
      </c>
      <c r="Y65" s="214">
        <f t="shared" ca="1" si="8"/>
        <v>12.068999999995867</v>
      </c>
      <c r="Z65" s="215">
        <f t="shared" ca="1" si="9"/>
        <v>9.8910728863192432</v>
      </c>
      <c r="AA65" s="212">
        <f t="shared" ca="1" si="10"/>
        <v>1.5651026918459983</v>
      </c>
      <c r="AB65" s="212">
        <f t="shared" ca="1" si="11"/>
        <v>0.35523025048552287</v>
      </c>
      <c r="AC65" s="214">
        <f t="shared" ca="1" si="6"/>
        <v>0.25759417134510387</v>
      </c>
    </row>
    <row r="66" spans="2:29">
      <c r="B66" s="220">
        <v>44617</v>
      </c>
      <c r="C66" s="208">
        <f ca="1">DATOSAÑO!I66</f>
        <v>281.48999999999069</v>
      </c>
      <c r="D66" s="202">
        <f ca="1">DATOSAÑO!P66</f>
        <v>151.28999999999724</v>
      </c>
      <c r="E66" s="202">
        <f ca="1">DATOSAÑO!Q66</f>
        <v>0</v>
      </c>
      <c r="F66" s="202">
        <f ca="1">DATOSAÑO!T66</f>
        <v>0</v>
      </c>
      <c r="G66" s="202">
        <f t="shared" ca="1" si="4"/>
        <v>432.77999999998792</v>
      </c>
      <c r="H66" s="202">
        <f t="shared" ca="1" si="13"/>
        <v>27.400000000028854</v>
      </c>
      <c r="I66" s="202">
        <f t="shared" ca="1" si="0"/>
        <v>196.03651283024351</v>
      </c>
      <c r="J66" s="202">
        <f t="shared" ca="1" si="1"/>
        <v>33.640457774532244</v>
      </c>
      <c r="K66" s="202">
        <f t="shared" ca="1" si="2"/>
        <v>18.479152834954657</v>
      </c>
      <c r="L66" s="202">
        <f t="shared" ca="1" si="12"/>
        <v>152.35000000001116</v>
      </c>
      <c r="M66" s="202">
        <f t="shared" ca="1" si="3"/>
        <v>4.8738765602174956</v>
      </c>
      <c r="N66" s="202">
        <f t="shared" ca="1" si="7"/>
        <v>4.6419999999998254</v>
      </c>
      <c r="O66" s="202">
        <f ca="1">(DATOSAÑO!AJ66+DATOSAÑO!AK66+DATOSAÑO!AD66)</f>
        <v>186.7099999999482</v>
      </c>
      <c r="P66" s="202">
        <f ca="1">DATOSAÑO!AI66</f>
        <v>32.040000000000873</v>
      </c>
      <c r="Q66" s="202">
        <f ca="1">DATOSAÑO!AH66</f>
        <v>17.600000000005821</v>
      </c>
      <c r="R66" s="202">
        <f ca="1">DATOSAÑO!AM66+DATOSAÑO!AN66+DATOSAÑO!AF66</f>
        <v>152.35000000001116</v>
      </c>
      <c r="S66" s="215">
        <f ca="1">IF(B66&gt;=$P$5,0,CONTADORES!Q60-CONTADORES!Q59)</f>
        <v>16.679999999993015</v>
      </c>
      <c r="T66" s="212">
        <f ca="1">IF(B66&gt;=$P$5,0,(CONTADORES!S60-CONTADORES!S59)+(CONTADORES!AE60-CONTADORES!AE59))</f>
        <v>2.2399999999979627</v>
      </c>
      <c r="U66" s="212">
        <f ca="1">IF(B66&gt;=$P$5,0,(CONTADORES!AQ60-CONTADORES!AQ59))</f>
        <v>4.6419999999998254</v>
      </c>
      <c r="V66" s="212">
        <f ca="1">IF(B66&gt;=$P$5,0,(CONTADORES!AR60-CONTADORES!AR59))</f>
        <v>0</v>
      </c>
      <c r="W66" s="736">
        <v>0</v>
      </c>
      <c r="X66" s="212">
        <f ca="1">IF(W66=0,(T66-INICIO!$W$6),((T66-INICIO!$W$6)+V66))</f>
        <v>2.2399999999979627</v>
      </c>
      <c r="Y66" s="214">
        <f t="shared" ca="1" si="8"/>
        <v>12.03799999999319</v>
      </c>
      <c r="Z66" s="215">
        <f t="shared" ca="1" si="9"/>
        <v>9.3265128302953091</v>
      </c>
      <c r="AA66" s="212">
        <f t="shared" ca="1" si="10"/>
        <v>1.6004577745313735</v>
      </c>
      <c r="AB66" s="212">
        <f t="shared" ca="1" si="11"/>
        <v>0.87915283494883656</v>
      </c>
      <c r="AC66" s="214">
        <f t="shared" ca="1" si="6"/>
        <v>0.23187656021767022</v>
      </c>
    </row>
    <row r="67" spans="2:29">
      <c r="B67" s="220">
        <v>44618</v>
      </c>
      <c r="C67" s="208">
        <f ca="1">DATOSAÑO!I67</f>
        <v>276.72999999998137</v>
      </c>
      <c r="D67" s="202">
        <f ca="1">DATOSAÑO!P67</f>
        <v>151.09000000000015</v>
      </c>
      <c r="E67" s="202">
        <f ca="1">DATOSAÑO!Q67</f>
        <v>0</v>
      </c>
      <c r="F67" s="202">
        <f ca="1">DATOSAÑO!T67</f>
        <v>0</v>
      </c>
      <c r="G67" s="202">
        <f t="shared" ca="1" si="4"/>
        <v>427.81999999998152</v>
      </c>
      <c r="H67" s="202">
        <f t="shared" ca="1" si="13"/>
        <v>32.596999999954164</v>
      </c>
      <c r="I67" s="202">
        <f t="shared" ca="1" si="0"/>
        <v>195.15763200087619</v>
      </c>
      <c r="J67" s="202">
        <f t="shared" ca="1" si="1"/>
        <v>34.319086217390598</v>
      </c>
      <c r="K67" s="202">
        <f t="shared" ca="1" si="2"/>
        <v>10.714866220301211</v>
      </c>
      <c r="L67" s="202">
        <f t="shared" ca="1" si="12"/>
        <v>150.1529999999785</v>
      </c>
      <c r="M67" s="202">
        <f t="shared" ca="1" si="3"/>
        <v>4.8784155614808222</v>
      </c>
      <c r="N67" s="202">
        <f t="shared" ca="1" si="7"/>
        <v>4.6440000000002328</v>
      </c>
      <c r="O67" s="202">
        <f ca="1">(DATOSAÑO!AJ67+DATOSAÑO!AK67+DATOSAÑO!AD67)</f>
        <v>185.78000000004249</v>
      </c>
      <c r="P67" s="202">
        <f ca="1">DATOSAÑO!AI67</f>
        <v>32.669999999998254</v>
      </c>
      <c r="Q67" s="202">
        <f ca="1">DATOSAÑO!AH67</f>
        <v>10.199999999995271</v>
      </c>
      <c r="R67" s="202">
        <f ca="1">DATOSAÑO!AM67+DATOSAÑO!AN67+DATOSAÑO!AF67</f>
        <v>150.1529999999785</v>
      </c>
      <c r="S67" s="215">
        <f ca="1">IF(B67&gt;=$P$5,0,CONTADORES!Q61-CONTADORES!Q60)</f>
        <v>16.420000000012806</v>
      </c>
      <c r="T67" s="212">
        <f ca="1">IF(B67&gt;=$P$5,0,(CONTADORES!S61-CONTADORES!S60)+(CONTADORES!AE61-CONTADORES!AE60))</f>
        <v>2.2300000000032014</v>
      </c>
      <c r="U67" s="212">
        <f ca="1">IF(B67&gt;=$P$5,0,(CONTADORES!AQ61-CONTADORES!AQ60))</f>
        <v>4.6440000000002328</v>
      </c>
      <c r="V67" s="212">
        <f ca="1">IF(B67&gt;=$P$5,0,(CONTADORES!AR61-CONTADORES!AR60))</f>
        <v>0</v>
      </c>
      <c r="W67" s="736">
        <v>0</v>
      </c>
      <c r="X67" s="212">
        <f ca="1">IF(W67=0,(T67-INICIO!$W$6),((T67-INICIO!$W$6)+V67))</f>
        <v>2.2300000000032014</v>
      </c>
      <c r="Y67" s="214">
        <f t="shared" ca="1" si="8"/>
        <v>11.776000000012573</v>
      </c>
      <c r="Z67" s="215">
        <f t="shared" ca="1" si="9"/>
        <v>9.377632000833696</v>
      </c>
      <c r="AA67" s="212">
        <f t="shared" ca="1" si="10"/>
        <v>1.649086217392348</v>
      </c>
      <c r="AB67" s="212">
        <f t="shared" ca="1" si="11"/>
        <v>0.51486622030593965</v>
      </c>
      <c r="AC67" s="214">
        <f t="shared" ca="1" si="6"/>
        <v>0.23441556148058945</v>
      </c>
    </row>
    <row r="68" spans="2:29" ht="14.25" customHeight="1">
      <c r="B68" s="220">
        <v>44619</v>
      </c>
      <c r="C68" s="208">
        <f ca="1">DATOSAÑO!I68</f>
        <v>283.84999999997672</v>
      </c>
      <c r="D68" s="202">
        <f ca="1">DATOSAÑO!P68</f>
        <v>151.35000000000218</v>
      </c>
      <c r="E68" s="202">
        <f ca="1">DATOSAÑO!Q68</f>
        <v>0</v>
      </c>
      <c r="F68" s="202">
        <f ca="1">DATOSAÑO!T68</f>
        <v>0</v>
      </c>
      <c r="G68" s="202">
        <f t="shared" ca="1" si="4"/>
        <v>435.1999999999789</v>
      </c>
      <c r="H68" s="202">
        <f t="shared" ca="1" si="13"/>
        <v>34.362000000095691</v>
      </c>
      <c r="I68" s="202">
        <f t="shared" ca="1" si="0"/>
        <v>194.18516953445325</v>
      </c>
      <c r="J68" s="202">
        <f t="shared" ca="1" si="1"/>
        <v>34.108645500226679</v>
      </c>
      <c r="K68" s="202">
        <f t="shared" ca="1" si="2"/>
        <v>14.487513324199968</v>
      </c>
      <c r="L68" s="202">
        <f t="shared" ca="1" si="12"/>
        <v>152.64799999997547</v>
      </c>
      <c r="M68" s="202">
        <f t="shared" ca="1" si="3"/>
        <v>5.4086716410278317</v>
      </c>
      <c r="N68" s="202">
        <f t="shared" ca="1" si="7"/>
        <v>5.1519999999945867</v>
      </c>
      <c r="O68" s="202">
        <f ca="1">(DATOSAÑO!AJ68+DATOSAÑO!AK68+DATOSAÑO!AD68)</f>
        <v>184.96999999991385</v>
      </c>
      <c r="P68" s="202">
        <f ca="1">DATOSAÑO!AI68</f>
        <v>32.489999999997963</v>
      </c>
      <c r="Q68" s="202">
        <f ca="1">DATOSAÑO!AH68</f>
        <v>13.80000000000291</v>
      </c>
      <c r="R68" s="202">
        <f ca="1">DATOSAÑO!AM68+DATOSAÑO!AN68+DATOSAÑO!AF68</f>
        <v>152.64799999997547</v>
      </c>
      <c r="S68" s="215">
        <f ca="1">IF(B68&gt;=$P$5,0,CONTADORES!Q62-CONTADORES!Q61)</f>
        <v>16.929999999993015</v>
      </c>
      <c r="T68" s="212">
        <f ca="1">IF(B68&gt;=$P$5,0,(CONTADORES!S62-CONTADORES!S61)+(CONTADORES!AE62-CONTADORES!AE61))</f>
        <v>2.25</v>
      </c>
      <c r="U68" s="212">
        <f ca="1">IF(B68&gt;=$P$5,0,(CONTADORES!AQ62-CONTADORES!AQ61))</f>
        <v>5.1519999999945867</v>
      </c>
      <c r="V68" s="212">
        <f ca="1">IF(B68&gt;=$P$5,0,(CONTADORES!AR62-CONTADORES!AR61))</f>
        <v>0</v>
      </c>
      <c r="W68" s="736">
        <v>0</v>
      </c>
      <c r="X68" s="212">
        <f ca="1">IF(W68=0,(T68-INICIO!$W$6),((T68-INICIO!$W$6)+V68))</f>
        <v>2.25</v>
      </c>
      <c r="Y68" s="214">
        <f t="shared" ca="1" si="8"/>
        <v>11.777999999998428</v>
      </c>
      <c r="Z68" s="215">
        <f t="shared" ca="1" si="9"/>
        <v>9.2151695345394078</v>
      </c>
      <c r="AA68" s="212">
        <f t="shared" ca="1" si="10"/>
        <v>1.6186455002287183</v>
      </c>
      <c r="AB68" s="212">
        <f t="shared" ca="1" si="11"/>
        <v>0.68751332419705824</v>
      </c>
      <c r="AC68" s="214">
        <f t="shared" ca="1" si="6"/>
        <v>0.25667164103324458</v>
      </c>
    </row>
    <row r="69" spans="2:29" ht="15.75" customHeight="1" thickBot="1">
      <c r="B69" s="1069">
        <v>44620</v>
      </c>
      <c r="C69" s="209">
        <f ca="1">DATOSAÑO!I69</f>
        <v>279.46000000007916</v>
      </c>
      <c r="D69" s="203">
        <f ca="1">DATOSAÑO!P69</f>
        <v>152.43000000000029</v>
      </c>
      <c r="E69" s="203">
        <f ca="1">DATOSAÑO!Q69</f>
        <v>7.0000000000618456E-3</v>
      </c>
      <c r="F69" s="203">
        <f ca="1">DATOSAÑO!T69</f>
        <v>0.58799999999996544</v>
      </c>
      <c r="G69" s="203">
        <f t="shared" ca="1" si="4"/>
        <v>432.48500000007948</v>
      </c>
      <c r="H69" s="203">
        <f t="shared" ca="1" si="13"/>
        <v>31.859000000041931</v>
      </c>
      <c r="I69" s="203">
        <f t="shared" ca="1" si="0"/>
        <v>199.10824256365319</v>
      </c>
      <c r="J69" s="203">
        <f t="shared" ca="1" si="1"/>
        <v>33.881135106642347</v>
      </c>
      <c r="K69" s="203">
        <f t="shared" ca="1" si="2"/>
        <v>9.051809938398689</v>
      </c>
      <c r="L69" s="203">
        <f t="shared" ca="1" si="12"/>
        <v>153.03900000001394</v>
      </c>
      <c r="M69" s="203">
        <f t="shared" ca="1" si="3"/>
        <v>5.5458123913294042</v>
      </c>
      <c r="N69" s="203">
        <f t="shared" ca="1" si="7"/>
        <v>5.2690000000002328</v>
      </c>
      <c r="O69" s="203">
        <f ca="1">(DATOSAÑO!AJ69+DATOSAÑO!AK69+DATOSAÑO!AD69)</f>
        <v>189.17000000002736</v>
      </c>
      <c r="P69" s="203">
        <f ca="1">DATOSAÑO!AI69</f>
        <v>32.190000000002328</v>
      </c>
      <c r="Q69" s="203">
        <f ca="1">DATOSAÑO!AH69</f>
        <v>8.5999999999985448</v>
      </c>
      <c r="R69" s="203">
        <f ca="1">DATOSAÑO!AM69+DATOSAÑO!AN69+DATOSAÑO!AF69</f>
        <v>153.03900000001394</v>
      </c>
      <c r="S69" s="209">
        <f ca="1">IF(B69&gt;=$P$5,0,CONTADORES!Q63-CONTADORES!Q62)</f>
        <v>17.619999999995343</v>
      </c>
      <c r="T69" s="203">
        <f ca="1">IF(B69&gt;=$P$5,0,(CONTADORES!S63-CONTADORES!S62)+(CONTADORES!AE63-CONTADORES!AE62))</f>
        <v>2.25</v>
      </c>
      <c r="U69" s="203">
        <f ca="1">IF(B69&gt;=$P$5,0,(CONTADORES!AQ63-CONTADORES!AQ62))</f>
        <v>5.2690000000002328</v>
      </c>
      <c r="V69" s="203">
        <f ca="1">IF(B69&gt;=$P$5,0,(CONTADORES!AR63-CONTADORES!AR62))</f>
        <v>0</v>
      </c>
      <c r="W69" s="737">
        <v>0</v>
      </c>
      <c r="X69" s="203">
        <f ca="1">IF(W69=0,(T69-INICIO!$W$6),((T69-INICIO!$W$6)+V69))</f>
        <v>2.25</v>
      </c>
      <c r="Y69" s="207">
        <f t="shared" ca="1" si="8"/>
        <v>12.357999999995172</v>
      </c>
      <c r="Z69" s="209">
        <f t="shared" ca="1" si="9"/>
        <v>9.9382425636258382</v>
      </c>
      <c r="AA69" s="203">
        <f t="shared" ca="1" si="10"/>
        <v>1.69113510664002</v>
      </c>
      <c r="AB69" s="203">
        <f t="shared" ca="1" si="11"/>
        <v>0.45180993840014472</v>
      </c>
      <c r="AC69" s="207">
        <f t="shared" ca="1" si="6"/>
        <v>0.27681239132917101</v>
      </c>
    </row>
    <row r="70" spans="2:29">
      <c r="B70" s="410">
        <v>44621</v>
      </c>
      <c r="C70" s="208">
        <f ca="1">DATOSAÑO!I70</f>
        <v>277.73999999999069</v>
      </c>
      <c r="D70" s="202">
        <f ca="1">DATOSAÑO!P70</f>
        <v>153.31999999999971</v>
      </c>
      <c r="E70" s="202">
        <f ca="1">DATOSAÑO!Q70</f>
        <v>0</v>
      </c>
      <c r="F70" s="202">
        <f ca="1">DATOSAÑO!T70</f>
        <v>0</v>
      </c>
      <c r="G70" s="202">
        <f t="shared" ca="1" si="4"/>
        <v>431.0599999999904</v>
      </c>
      <c r="H70" s="202">
        <f ca="1">G70-SUM(I70:M70)</f>
        <v>38.290999999908991</v>
      </c>
      <c r="I70" s="202">
        <f t="shared" ca="1" si="0"/>
        <v>189.96578241763569</v>
      </c>
      <c r="J70" s="202">
        <f t="shared" ca="1" si="1"/>
        <v>34.579437362631559</v>
      </c>
      <c r="K70" s="202">
        <f t="shared" ca="1" si="2"/>
        <v>9.4767032967027145</v>
      </c>
      <c r="L70" s="202">
        <f t="shared" ca="1" si="12"/>
        <v>153.21900000003484</v>
      </c>
      <c r="M70" s="202">
        <f t="shared" ca="1" si="3"/>
        <v>5.5280769230765836</v>
      </c>
      <c r="N70" s="202">
        <f t="shared" ca="1" si="7"/>
        <v>5.25</v>
      </c>
      <c r="O70" s="202">
        <f ca="1">(DATOSAÑO!AJ70+DATOSAÑO!AK70+DATOSAÑO!AD70)</f>
        <v>180.4100000000617</v>
      </c>
      <c r="P70" s="202">
        <f ca="1">DATOSAÑO!AI70</f>
        <v>32.839999999996508</v>
      </c>
      <c r="Q70" s="202">
        <f ca="1">DATOSAÑO!AH70</f>
        <v>9</v>
      </c>
      <c r="R70" s="202">
        <f ca="1">DATOSAÑO!AM70+DATOSAÑO!AN70+DATOSAÑO!AF70</f>
        <v>153.21900000003484</v>
      </c>
      <c r="S70" s="208">
        <f ca="1">IF(B70&gt;=$P$5,0,CONTADORES!Q66-CONTADORES!Q65)</f>
        <v>17.299999999988358</v>
      </c>
      <c r="T70" s="202">
        <f ca="1">IF(B70&gt;=$P$5,0,(CONTADORES!S66-CONTADORES!S65)+(CONTADORES!AE66-CONTADORES!AE65))</f>
        <v>2.1999999999970896</v>
      </c>
      <c r="U70" s="202">
        <f ca="1">IF(B70&gt;=$P$5,0,(CONTADORES!AQ66-CONTADORES!AQ65))</f>
        <v>5.25</v>
      </c>
      <c r="V70" s="202">
        <f ca="1">IF(B70&gt;=$P$5,0,(CONTADORES!AR66-CONTADORES!AR65))</f>
        <v>0</v>
      </c>
      <c r="W70" s="735">
        <v>0</v>
      </c>
      <c r="X70" s="202">
        <f ca="1">IF(W70=0,(T70-INICIO!$W$6),((T70-INICIO!$W$6)+V70))</f>
        <v>2.1999999999970896</v>
      </c>
      <c r="Y70" s="205">
        <f t="shared" ca="1" si="8"/>
        <v>12.049999999988358</v>
      </c>
      <c r="Z70" s="208">
        <f t="shared" ca="1" si="9"/>
        <v>9.555782417574008</v>
      </c>
      <c r="AA70" s="202">
        <f t="shared" ca="1" si="10"/>
        <v>1.7394373626350521</v>
      </c>
      <c r="AB70" s="202">
        <f t="shared" ca="1" si="11"/>
        <v>0.47670329670271416</v>
      </c>
      <c r="AC70" s="205">
        <f t="shared" ca="1" si="6"/>
        <v>0.27807692307658327</v>
      </c>
    </row>
    <row r="71" spans="2:29">
      <c r="B71" s="220">
        <v>44622</v>
      </c>
      <c r="C71" s="208">
        <f ca="1">DATOSAÑO!I71</f>
        <v>281.19999999995343</v>
      </c>
      <c r="D71" s="202">
        <f ca="1">DATOSAÑO!P71</f>
        <v>151.09999999999854</v>
      </c>
      <c r="E71" s="202">
        <f ca="1">DATOSAÑO!Q71</f>
        <v>0</v>
      </c>
      <c r="F71" s="202">
        <f ca="1">DATOSAÑO!T71</f>
        <v>0</v>
      </c>
      <c r="G71" s="202">
        <f t="shared" ca="1" si="4"/>
        <v>432.29999999995198</v>
      </c>
      <c r="H71" s="202">
        <f t="shared" ref="H71:H100" ca="1" si="14">G71-SUM(I71:M71)</f>
        <v>28.854999999968754</v>
      </c>
      <c r="I71" s="202">
        <f t="shared" ca="1" si="0"/>
        <v>199.50916848412223</v>
      </c>
      <c r="J71" s="202">
        <f t="shared" ca="1" si="1"/>
        <v>38.779463506076567</v>
      </c>
      <c r="K71" s="202">
        <f t="shared" ca="1" si="2"/>
        <v>9.5453913417735787</v>
      </c>
      <c r="L71" s="202">
        <f t="shared" ca="1" si="12"/>
        <v>149.97499999995114</v>
      </c>
      <c r="M71" s="202">
        <f t="shared" ca="1" si="3"/>
        <v>5.6359766680597252</v>
      </c>
      <c r="N71" s="202">
        <f t="shared" ca="1" si="7"/>
        <v>5.3729999999995925</v>
      </c>
      <c r="O71" s="202">
        <f ca="1">(DATOSAÑO!AJ71+DATOSAÑO!AK71+DATOSAÑO!AD71)</f>
        <v>190.20000000002619</v>
      </c>
      <c r="P71" s="202">
        <f ca="1">DATOSAÑO!AI71</f>
        <v>36.969999999993888</v>
      </c>
      <c r="Q71" s="202">
        <f ca="1">DATOSAÑO!AH71</f>
        <v>9.1000000000003638</v>
      </c>
      <c r="R71" s="202">
        <f ca="1">DATOSAÑO!AM71+DATOSAÑO!AN71+DATOSAÑO!AF71</f>
        <v>149.97499999995114</v>
      </c>
      <c r="S71" s="215">
        <f ca="1">IF(B71&gt;=$P$5,0,CONTADORES!Q67-CONTADORES!Q66)</f>
        <v>17.200000000011642</v>
      </c>
      <c r="T71" s="212">
        <f ca="1">IF(B71&gt;=$P$5,0,(CONTADORES!S67-CONTADORES!S66)+(CONTADORES!AE67-CONTADORES!AE66))</f>
        <v>2.2000000000043656</v>
      </c>
      <c r="U71" s="212">
        <f ca="1">IF(B71&gt;=$P$5,0,(CONTADORES!AQ67-CONTADORES!AQ66))</f>
        <v>5.3729999999995925</v>
      </c>
      <c r="V71" s="212">
        <f ca="1">IF(B71&gt;=$P$5,0,(CONTADORES!AR67-CONTADORES!AR66))</f>
        <v>0</v>
      </c>
      <c r="W71" s="736">
        <v>0</v>
      </c>
      <c r="X71" s="212">
        <f ca="1">IF(W71=0,(T71-INICIO!$W$6),((T71-INICIO!$W$6)+V71))</f>
        <v>2.2000000000043656</v>
      </c>
      <c r="Y71" s="214">
        <f t="shared" ca="1" si="8"/>
        <v>11.827000000012049</v>
      </c>
      <c r="Z71" s="215">
        <f t="shared" ca="1" si="9"/>
        <v>9.3091684840960216</v>
      </c>
      <c r="AA71" s="212">
        <f t="shared" ca="1" si="10"/>
        <v>1.8094635060826796</v>
      </c>
      <c r="AB71" s="212">
        <f t="shared" ca="1" si="11"/>
        <v>0.44539134177321515</v>
      </c>
      <c r="AC71" s="214">
        <f t="shared" ca="1" si="6"/>
        <v>0.2629766680601327</v>
      </c>
    </row>
    <row r="72" spans="2:29">
      <c r="B72" s="220">
        <v>44623</v>
      </c>
      <c r="C72" s="208">
        <f ca="1">DATOSAÑO!I72</f>
        <v>280.03000000002794</v>
      </c>
      <c r="D72" s="202">
        <f ca="1">DATOSAÑO!P72</f>
        <v>149.35000000000218</v>
      </c>
      <c r="E72" s="202">
        <f ca="1">DATOSAÑO!Q72</f>
        <v>0</v>
      </c>
      <c r="F72" s="202">
        <f ca="1">DATOSAÑO!T72</f>
        <v>0</v>
      </c>
      <c r="G72" s="202">
        <f t="shared" ca="1" si="4"/>
        <v>429.38000000003012</v>
      </c>
      <c r="H72" s="202">
        <f t="shared" ca="1" si="14"/>
        <v>33.652000000072348</v>
      </c>
      <c r="I72" s="202">
        <f t="shared" ca="1" si="0"/>
        <v>191.34169051869588</v>
      </c>
      <c r="J72" s="202">
        <f t="shared" ca="1" si="1"/>
        <v>38.515948121651221</v>
      </c>
      <c r="K72" s="202">
        <f t="shared" ca="1" si="2"/>
        <v>11.121466905184027</v>
      </c>
      <c r="L72" s="202">
        <f t="shared" ca="1" si="12"/>
        <v>149.39800000003788</v>
      </c>
      <c r="M72" s="202">
        <f t="shared" ca="1" si="3"/>
        <v>5.3508944543887536</v>
      </c>
      <c r="N72" s="202">
        <f t="shared" ca="1" si="7"/>
        <v>5.1000000000058208</v>
      </c>
      <c r="O72" s="202">
        <f ca="1">(DATOSAÑO!AJ72+DATOSAÑO!AK72+DATOSAÑO!AD72)</f>
        <v>182.36999999992258</v>
      </c>
      <c r="P72" s="202">
        <f ca="1">DATOSAÑO!AI72</f>
        <v>36.710000000006403</v>
      </c>
      <c r="Q72" s="202">
        <f ca="1">DATOSAÑO!AH72</f>
        <v>10.599999999996726</v>
      </c>
      <c r="R72" s="202">
        <f ca="1">DATOSAÑO!AM72+DATOSAÑO!AN72+DATOSAÑO!AF72</f>
        <v>149.39800000003788</v>
      </c>
      <c r="S72" s="215">
        <f ca="1">IF(B72&gt;=$P$5,0,CONTADORES!Q68-CONTADORES!Q67)</f>
        <v>16.649999999994179</v>
      </c>
      <c r="T72" s="212">
        <f ca="1">IF(B72&gt;=$P$5,0,(CONTADORES!S68-CONTADORES!S67)+(CONTADORES!AE68-CONTADORES!AE67))</f>
        <v>2.2600000000020373</v>
      </c>
      <c r="U72" s="212">
        <f ca="1">IF(B72&gt;=$P$5,0,(CONTADORES!AQ68-CONTADORES!AQ67))</f>
        <v>5.1000000000058208</v>
      </c>
      <c r="V72" s="212">
        <f ca="1">IF(B72&gt;=$P$5,0,(CONTADORES!AR68-CONTADORES!AR67))</f>
        <v>0</v>
      </c>
      <c r="W72" s="736">
        <v>0</v>
      </c>
      <c r="X72" s="212">
        <f ca="1">IF(W72=0,(T72-INICIO!$W$6),((T72-INICIO!$W$6)+V72))</f>
        <v>2.2600000000020373</v>
      </c>
      <c r="Y72" s="214">
        <f t="shared" ca="1" si="8"/>
        <v>11.549999999988358</v>
      </c>
      <c r="Z72" s="215">
        <f t="shared" ca="1" si="9"/>
        <v>8.9716905187733076</v>
      </c>
      <c r="AA72" s="212">
        <f t="shared" ca="1" si="10"/>
        <v>1.8059481216448174</v>
      </c>
      <c r="AB72" s="212">
        <f t="shared" ca="1" si="11"/>
        <v>0.52146690518730088</v>
      </c>
      <c r="AC72" s="214">
        <f t="shared" ca="1" si="6"/>
        <v>0.25089445438293312</v>
      </c>
    </row>
    <row r="73" spans="2:29">
      <c r="B73" s="220">
        <v>44624</v>
      </c>
      <c r="C73" s="208">
        <f ca="1">DATOSAÑO!I73</f>
        <v>290.34999999997672</v>
      </c>
      <c r="D73" s="202">
        <f ca="1">DATOSAÑO!P73</f>
        <v>149.96999999999753</v>
      </c>
      <c r="E73" s="202">
        <f ca="1">DATOSAÑO!Q73</f>
        <v>0</v>
      </c>
      <c r="F73" s="202">
        <f ca="1">DATOSAÑO!T73</f>
        <v>0</v>
      </c>
      <c r="G73" s="202">
        <f t="shared" ca="1" si="4"/>
        <v>440.31999999997424</v>
      </c>
      <c r="H73" s="202">
        <f t="shared" ca="1" si="14"/>
        <v>33.840999999920029</v>
      </c>
      <c r="I73" s="202">
        <f t="shared" ca="1" si="0"/>
        <v>197.66343338761041</v>
      </c>
      <c r="J73" s="202">
        <f t="shared" ca="1" si="1"/>
        <v>40.039730888661488</v>
      </c>
      <c r="K73" s="202">
        <f t="shared" ca="1" si="2"/>
        <v>12.46658287742703</v>
      </c>
      <c r="L73" s="202">
        <f t="shared" ca="1" si="12"/>
        <v>151.41899999998742</v>
      </c>
      <c r="M73" s="202">
        <f t="shared" ca="1" si="3"/>
        <v>4.8902528463678676</v>
      </c>
      <c r="N73" s="202">
        <f t="shared" ca="1" si="7"/>
        <v>4.6679999999978463</v>
      </c>
      <c r="O73" s="202">
        <f ca="1">(DATOSAÑO!AJ73+DATOSAÑO!AK73+DATOSAÑO!AD73)</f>
        <v>188.68000000005122</v>
      </c>
      <c r="P73" s="202">
        <f ca="1">DATOSAÑO!AI73</f>
        <v>38.220000000001164</v>
      </c>
      <c r="Q73" s="202">
        <f ca="1">DATOSAÑO!AH73</f>
        <v>11.900000000005093</v>
      </c>
      <c r="R73" s="202">
        <f ca="1">DATOSAÑO!AM73+DATOSAÑO!AN73+DATOSAÑO!AF73</f>
        <v>151.41899999998742</v>
      </c>
      <c r="S73" s="215">
        <f ca="1">IF(B73&gt;=$P$5,0,CONTADORES!Q69-CONTADORES!Q68)</f>
        <v>16.260000000009313</v>
      </c>
      <c r="T73" s="212">
        <f ca="1">IF(B73&gt;=$P$5,0,(CONTADORES!S69-CONTADORES!S68)+(CONTADORES!AE69-CONTADORES!AE68))</f>
        <v>2.1199999999953434</v>
      </c>
      <c r="U73" s="212">
        <f ca="1">IF(B73&gt;=$P$5,0,(CONTADORES!AQ69-CONTADORES!AQ68))</f>
        <v>4.6679999999978463</v>
      </c>
      <c r="V73" s="212">
        <f ca="1">IF(B73&gt;=$P$5,0,(CONTADORES!AR69-CONTADORES!AR68))</f>
        <v>0</v>
      </c>
      <c r="W73" s="736">
        <v>0</v>
      </c>
      <c r="X73" s="212">
        <f ca="1">IF(W73=0,(T73-INICIO!$W$6),((T73-INICIO!$W$6)+V73))</f>
        <v>2.1199999999953434</v>
      </c>
      <c r="Y73" s="214">
        <f t="shared" ca="1" si="8"/>
        <v>11.592000000011467</v>
      </c>
      <c r="Z73" s="215">
        <f t="shared" ca="1" si="9"/>
        <v>8.9834333875591881</v>
      </c>
      <c r="AA73" s="212">
        <f t="shared" ca="1" si="10"/>
        <v>1.8197308886603212</v>
      </c>
      <c r="AB73" s="212">
        <f t="shared" ca="1" si="11"/>
        <v>0.56658287742193703</v>
      </c>
      <c r="AC73" s="214">
        <f t="shared" ca="1" si="6"/>
        <v>0.22225284637002096</v>
      </c>
    </row>
    <row r="74" spans="2:29">
      <c r="B74" s="220">
        <v>44625</v>
      </c>
      <c r="C74" s="208">
        <f ca="1">DATOSAÑO!I74</f>
        <v>278.21999999997206</v>
      </c>
      <c r="D74" s="202">
        <f ca="1">DATOSAÑO!P74</f>
        <v>150.53000000000247</v>
      </c>
      <c r="E74" s="202">
        <f ca="1">DATOSAÑO!Q74</f>
        <v>0</v>
      </c>
      <c r="F74" s="202">
        <f ca="1">DATOSAÑO!T74</f>
        <v>0</v>
      </c>
      <c r="G74" s="202">
        <f t="shared" ca="1" si="4"/>
        <v>428.74999999997453</v>
      </c>
      <c r="H74" s="202">
        <f t="shared" ca="1" si="14"/>
        <v>33.058999999948696</v>
      </c>
      <c r="I74" s="202">
        <f t="shared" ref="I74:I137" ca="1" si="15">O74+Z74</f>
        <v>191.82887580986088</v>
      </c>
      <c r="J74" s="202">
        <f t="shared" ref="J74:J137" ca="1" si="16">P74+AA74</f>
        <v>40.195220182024208</v>
      </c>
      <c r="K74" s="202">
        <f t="shared" ref="K74:K137" ca="1" si="17">Q74+AB74</f>
        <v>7.7803983611560605</v>
      </c>
      <c r="L74" s="202">
        <f t="shared" ca="1" si="12"/>
        <v>151.13100000002271</v>
      </c>
      <c r="M74" s="202">
        <f t="shared" ref="M74:M137" ca="1" si="18">N74+AC74</f>
        <v>4.7555056469619927</v>
      </c>
      <c r="N74" s="202">
        <f t="shared" ca="1" si="7"/>
        <v>4.5230000000010477</v>
      </c>
      <c r="O74" s="202">
        <f ca="1">(DATOSAÑO!AJ74+DATOSAÑO!AK74+DATOSAÑO!AD74)</f>
        <v>182.44999999999709</v>
      </c>
      <c r="P74" s="202">
        <f ca="1">DATOSAÑO!AI74</f>
        <v>38.229999999995925</v>
      </c>
      <c r="Q74" s="202">
        <f ca="1">DATOSAÑO!AH74</f>
        <v>7.3999999999996362</v>
      </c>
      <c r="R74" s="202">
        <f ca="1">DATOSAÑO!AM74+DATOSAÑO!AN74+DATOSAÑO!AF74</f>
        <v>151.13100000002271</v>
      </c>
      <c r="S74" s="215">
        <f ca="1">IF(B74&gt;=$P$5,0,CONTADORES!Q70-CONTADORES!Q69)</f>
        <v>16.480000000010477</v>
      </c>
      <c r="T74" s="212">
        <f ca="1">IF(B74&gt;=$P$5,0,(CONTADORES!S70-CONTADORES!S69)+(CONTADORES!AE70-CONTADORES!AE69))</f>
        <v>2.0800000000017462</v>
      </c>
      <c r="U74" s="212">
        <f ca="1">IF(B74&gt;=$P$5,0,(CONTADORES!AQ70-CONTADORES!AQ69))</f>
        <v>4.5230000000010477</v>
      </c>
      <c r="V74" s="212">
        <f ca="1">IF(B74&gt;=$P$5,0,(CONTADORES!AR70-CONTADORES!AR69))</f>
        <v>0</v>
      </c>
      <c r="W74" s="736">
        <v>0</v>
      </c>
      <c r="X74" s="212">
        <f ca="1">IF(W74=0,(T74-INICIO!$W$6),((T74-INICIO!$W$6)+V74))</f>
        <v>2.0800000000017462</v>
      </c>
      <c r="Y74" s="214">
        <f t="shared" ca="1" si="8"/>
        <v>11.95700000000943</v>
      </c>
      <c r="Z74" s="215">
        <f t="shared" ca="1" si="9"/>
        <v>9.3788758098637803</v>
      </c>
      <c r="AA74" s="212">
        <f t="shared" ca="1" si="10"/>
        <v>1.9652201820282806</v>
      </c>
      <c r="AB74" s="212">
        <f t="shared" ca="1" si="11"/>
        <v>0.38039836115642461</v>
      </c>
      <c r="AC74" s="214">
        <f t="shared" ca="1" si="6"/>
        <v>0.23250564696094481</v>
      </c>
    </row>
    <row r="75" spans="2:29">
      <c r="B75" s="220">
        <v>44626</v>
      </c>
      <c r="C75" s="208">
        <f ca="1">DATOSAÑO!I75</f>
        <v>285.30000000004657</v>
      </c>
      <c r="D75" s="202">
        <f ca="1">DATOSAÑO!P75</f>
        <v>148.64999999999782</v>
      </c>
      <c r="E75" s="202">
        <f ca="1">DATOSAÑO!Q75</f>
        <v>0</v>
      </c>
      <c r="F75" s="202">
        <f ca="1">DATOSAÑO!T75</f>
        <v>0</v>
      </c>
      <c r="G75" s="202">
        <f t="shared" ref="G75:G138" ca="1" si="19">SUM(C75:F75)</f>
        <v>433.95000000004438</v>
      </c>
      <c r="H75" s="202">
        <f t="shared" ca="1" si="14"/>
        <v>36.065000000108057</v>
      </c>
      <c r="I75" s="202">
        <f t="shared" ca="1" si="15"/>
        <v>194.64364803934498</v>
      </c>
      <c r="J75" s="202">
        <f t="shared" ca="1" si="16"/>
        <v>39.001982593700625</v>
      </c>
      <c r="K75" s="202">
        <f t="shared" ca="1" si="17"/>
        <v>11.092594995792744</v>
      </c>
      <c r="L75" s="202">
        <f t="shared" ca="1" si="12"/>
        <v>147.90499999997496</v>
      </c>
      <c r="M75" s="202">
        <f t="shared" ca="1" si="18"/>
        <v>5.2417743711230127</v>
      </c>
      <c r="N75" s="202">
        <f t="shared" ca="1" si="7"/>
        <v>5.0089999999981956</v>
      </c>
      <c r="O75" s="202">
        <f ca="1">(DATOSAÑO!AJ75+DATOSAÑO!AK75+DATOSAÑO!AD75)</f>
        <v>185.9999999999709</v>
      </c>
      <c r="P75" s="202">
        <f ca="1">DATOSAÑO!AI75</f>
        <v>37.270000000004075</v>
      </c>
      <c r="Q75" s="202">
        <f ca="1">DATOSAÑO!AH75</f>
        <v>10.600000000000364</v>
      </c>
      <c r="R75" s="202">
        <f ca="1">DATOSAÑO!AM75+DATOSAÑO!AN75+DATOSAÑO!AF75</f>
        <v>147.90499999997496</v>
      </c>
      <c r="S75" s="215">
        <f ca="1">IF(B75&gt;=$P$5,0,CONTADORES!Q71-CONTADORES!Q70)</f>
        <v>16.10999999998603</v>
      </c>
      <c r="T75" s="212">
        <f ca="1">IF(B75&gt;=$P$5,0,(CONTADORES!S71-CONTADORES!S70)+(CONTADORES!AE71-CONTADORES!AE70))</f>
        <v>2.0400000000008731</v>
      </c>
      <c r="U75" s="212">
        <f ca="1">IF(B75&gt;=$P$5,0,(CONTADORES!AQ71-CONTADORES!AQ70))</f>
        <v>5.0089999999981956</v>
      </c>
      <c r="V75" s="212">
        <f ca="1">IF(B75&gt;=$P$5,0,(CONTADORES!AR71-CONTADORES!AR70))</f>
        <v>0</v>
      </c>
      <c r="W75" s="736">
        <v>0</v>
      </c>
      <c r="X75" s="212">
        <f ca="1">IF(W75=0,(T75-INICIO!$W$6),((T75-INICIO!$W$6)+V75))</f>
        <v>2.0400000000008731</v>
      </c>
      <c r="Y75" s="214">
        <f t="shared" ca="1" si="8"/>
        <v>11.100999999987835</v>
      </c>
      <c r="Z75" s="215">
        <f t="shared" ca="1" si="9"/>
        <v>8.6436480393740904</v>
      </c>
      <c r="AA75" s="212">
        <f t="shared" ca="1" si="10"/>
        <v>1.7319825936965481</v>
      </c>
      <c r="AB75" s="212">
        <f t="shared" ca="1" si="11"/>
        <v>0.49259499579238075</v>
      </c>
      <c r="AC75" s="214">
        <f t="shared" ref="AC75:AC138" ca="1" si="20">IF(B75&gt;=$P$5,0,($Y75*N75)/SUM($N75:$Q75))</f>
        <v>0.23277437112481714</v>
      </c>
    </row>
    <row r="76" spans="2:29">
      <c r="B76" s="220">
        <v>44627</v>
      </c>
      <c r="C76" s="208">
        <f ca="1">DATOSAÑO!I76</f>
        <v>299</v>
      </c>
      <c r="D76" s="202">
        <f ca="1">DATOSAÑO!P76</f>
        <v>152.60000000000218</v>
      </c>
      <c r="E76" s="202">
        <f ca="1">DATOSAÑO!Q76</f>
        <v>0</v>
      </c>
      <c r="F76" s="202">
        <f ca="1">DATOSAÑO!T76</f>
        <v>0</v>
      </c>
      <c r="G76" s="202">
        <f t="shared" ca="1" si="19"/>
        <v>451.60000000000218</v>
      </c>
      <c r="H76" s="202">
        <f t="shared" ca="1" si="14"/>
        <v>36.777000000004705</v>
      </c>
      <c r="I76" s="202">
        <f t="shared" ca="1" si="15"/>
        <v>201.00875763746865</v>
      </c>
      <c r="J76" s="202">
        <f t="shared" ca="1" si="16"/>
        <v>41.06517311608966</v>
      </c>
      <c r="K76" s="202">
        <f t="shared" ca="1" si="17"/>
        <v>11.161303462322188</v>
      </c>
      <c r="L76" s="202">
        <f t="shared" ca="1" si="12"/>
        <v>156.32300000000291</v>
      </c>
      <c r="M76" s="202">
        <f t="shared" ca="1" si="18"/>
        <v>5.2647657841140587</v>
      </c>
      <c r="N76" s="202">
        <f t="shared" ref="N76:N139" ca="1" si="21">U76</f>
        <v>5</v>
      </c>
      <c r="O76" s="202">
        <f ca="1">(DATOSAÑO!AJ76+DATOSAÑO!AK76+DATOSAÑO!AD76)</f>
        <v>190.89999999999418</v>
      </c>
      <c r="P76" s="202">
        <f ca="1">DATOSAÑO!AI76</f>
        <v>39</v>
      </c>
      <c r="Q76" s="202">
        <f ca="1">DATOSAÑO!AH76</f>
        <v>10.600000000000364</v>
      </c>
      <c r="R76" s="202">
        <f ca="1">DATOSAÑO!AM76+DATOSAÑO!AN76+DATOSAÑO!AF76</f>
        <v>156.32300000000291</v>
      </c>
      <c r="S76" s="215">
        <f ca="1">IF(B76&gt;=$P$5,0,CONTADORES!Q72-CONTADORES!Q71)</f>
        <v>18</v>
      </c>
      <c r="T76" s="212">
        <f ca="1">IF(B76&gt;=$P$5,0,(CONTADORES!S72-CONTADORES!S71)+(CONTADORES!AE72-CONTADORES!AE71))</f>
        <v>2.1999999999970896</v>
      </c>
      <c r="U76" s="212">
        <f ca="1">IF(B76&gt;=$P$5,0,(CONTADORES!AQ72-CONTADORES!AQ71))</f>
        <v>5</v>
      </c>
      <c r="V76" s="212">
        <f ca="1">IF(B76&gt;=$P$5,0,(CONTADORES!AR72-CONTADORES!AR71))</f>
        <v>0</v>
      </c>
      <c r="W76" s="736">
        <v>0</v>
      </c>
      <c r="X76" s="212">
        <f ca="1">IF(W76=0,(T76-INICIO!$W$6),((T76-INICIO!$W$6)+V76))</f>
        <v>2.1999999999970896</v>
      </c>
      <c r="Y76" s="214">
        <f t="shared" ref="Y76:Y139" ca="1" si="22">(IF(W76=0,(S76-U76),((S76-U76)-V76))+E76)</f>
        <v>13</v>
      </c>
      <c r="Z76" s="215">
        <f t="shared" ref="Z76:Z139" ca="1" si="23">IF(B76&gt;=$P$5,0,($Y76*O76)/SUM($N76:$Q76))</f>
        <v>10.108757637474458</v>
      </c>
      <c r="AA76" s="212">
        <f t="shared" ref="AA76:AA139" ca="1" si="24">IF(B76&gt;=$P$5,0,($Y76*P76)/SUM($N76:$Q76))</f>
        <v>2.0651731160896589</v>
      </c>
      <c r="AB76" s="212">
        <f t="shared" ref="AB76:AB139" ca="1" si="25">IF(B76&gt;=$P$5,0,($Y76*Q76)/SUM($N76:$Q76))</f>
        <v>0.56130346232182404</v>
      </c>
      <c r="AC76" s="214">
        <f t="shared" ca="1" si="20"/>
        <v>0.26476578411405882</v>
      </c>
    </row>
    <row r="77" spans="2:29">
      <c r="B77" s="220">
        <v>44628</v>
      </c>
      <c r="C77" s="208">
        <f ca="1">DATOSAÑO!I77</f>
        <v>293</v>
      </c>
      <c r="D77" s="202">
        <f ca="1">DATOSAÑO!P77</f>
        <v>151.89999999999782</v>
      </c>
      <c r="E77" s="202">
        <f ca="1">DATOSAÑO!Q77</f>
        <v>0</v>
      </c>
      <c r="F77" s="202">
        <f ca="1">DATOSAÑO!T77</f>
        <v>0</v>
      </c>
      <c r="G77" s="202">
        <f t="shared" ca="1" si="19"/>
        <v>444.89999999999782</v>
      </c>
      <c r="H77" s="202">
        <f t="shared" ca="1" si="14"/>
        <v>39.764000000003648</v>
      </c>
      <c r="I77" s="202">
        <f t="shared" ca="1" si="15"/>
        <v>187.58532934131878</v>
      </c>
      <c r="J77" s="202">
        <f t="shared" ca="1" si="16"/>
        <v>40.564670658681415</v>
      </c>
      <c r="K77" s="202">
        <f t="shared" ca="1" si="17"/>
        <v>12.190419161671386</v>
      </c>
      <c r="L77" s="202">
        <f t="shared" ref="L77:L114" ca="1" si="26">R77</f>
        <v>159.43600000000072</v>
      </c>
      <c r="M77" s="202">
        <f t="shared" ca="1" si="18"/>
        <v>5.3595808383218646</v>
      </c>
      <c r="N77" s="202">
        <f t="shared" ca="1" si="21"/>
        <v>5.0999999999985448</v>
      </c>
      <c r="O77" s="202">
        <f ca="1">(DATOSAÑO!AJ77+DATOSAÑO!AK77+DATOSAÑO!AD77)</f>
        <v>178.5</v>
      </c>
      <c r="P77" s="202">
        <f ca="1">DATOSAÑO!AI77</f>
        <v>38.599999999998545</v>
      </c>
      <c r="Q77" s="202">
        <f ca="1">DATOSAÑO!AH77</f>
        <v>11.599999999994907</v>
      </c>
      <c r="R77" s="202">
        <f ca="1">DATOSAÑO!AM77+DATOSAÑO!AN77+DATOSAÑO!AF77</f>
        <v>159.43600000000072</v>
      </c>
      <c r="S77" s="215">
        <f ca="1">IF(B77&gt;=$P$5,0,CONTADORES!Q73-CONTADORES!Q72)</f>
        <v>17</v>
      </c>
      <c r="T77" s="212">
        <f ca="1">IF(B77&gt;=$P$5,0,(CONTADORES!S73-CONTADORES!S72)+(CONTADORES!AE73-CONTADORES!AE72))</f>
        <v>2.2000000000043656</v>
      </c>
      <c r="U77" s="212">
        <f ca="1">IF(B77&gt;=$P$5,0,(CONTADORES!AQ73-CONTADORES!AQ72))</f>
        <v>5.0999999999985448</v>
      </c>
      <c r="V77" s="212">
        <f ca="1">IF(B77&gt;=$P$5,0,(CONTADORES!AR73-CONTADORES!AR72))</f>
        <v>0</v>
      </c>
      <c r="W77" s="736">
        <v>0</v>
      </c>
      <c r="X77" s="212">
        <f ca="1">IF(W77=0,(T77-INICIO!$W$6),((T77-INICIO!$W$6)+V77))</f>
        <v>2.2000000000043656</v>
      </c>
      <c r="Y77" s="214">
        <f t="shared" ca="1" si="22"/>
        <v>11.900000000001455</v>
      </c>
      <c r="Z77" s="215">
        <f t="shared" ca="1" si="23"/>
        <v>9.0853293413187881</v>
      </c>
      <c r="AA77" s="212">
        <f t="shared" ca="1" si="24"/>
        <v>1.9646706586828682</v>
      </c>
      <c r="AB77" s="212">
        <f t="shared" ca="1" si="25"/>
        <v>0.5904191616764799</v>
      </c>
      <c r="AC77" s="214">
        <f t="shared" ca="1" si="20"/>
        <v>0.25958083832331985</v>
      </c>
    </row>
    <row r="78" spans="2:29">
      <c r="B78" s="220">
        <v>44629</v>
      </c>
      <c r="C78" s="208">
        <f ca="1">DATOSAÑO!I78</f>
        <v>288</v>
      </c>
      <c r="D78" s="202">
        <f ca="1">DATOSAÑO!P78</f>
        <v>146.10000000000218</v>
      </c>
      <c r="E78" s="202">
        <f ca="1">DATOSAÑO!Q78</f>
        <v>0</v>
      </c>
      <c r="F78" s="202">
        <f ca="1">DATOSAÑO!T78</f>
        <v>0</v>
      </c>
      <c r="G78" s="202">
        <f t="shared" ca="1" si="19"/>
        <v>434.10000000000218</v>
      </c>
      <c r="H78" s="202">
        <f t="shared" ca="1" si="14"/>
        <v>31.644999999993445</v>
      </c>
      <c r="I78" s="202">
        <f t="shared" ca="1" si="15"/>
        <v>196.10111524164324</v>
      </c>
      <c r="J78" s="202">
        <f t="shared" ca="1" si="16"/>
        <v>42.081784386616746</v>
      </c>
      <c r="K78" s="202">
        <f t="shared" ca="1" si="17"/>
        <v>11.888104089222294</v>
      </c>
      <c r="L78" s="202">
        <f t="shared" ca="1" si="26"/>
        <v>147.7549999999971</v>
      </c>
      <c r="M78" s="202">
        <f t="shared" ca="1" si="18"/>
        <v>4.6289962825293731</v>
      </c>
      <c r="N78" s="202">
        <f t="shared" ca="1" si="21"/>
        <v>4.4000000000014552</v>
      </c>
      <c r="O78" s="202">
        <f ca="1">(DATOSAÑO!AJ78+DATOSAÑO!AK78+DATOSAÑO!AD78)</f>
        <v>186.40000000000873</v>
      </c>
      <c r="P78" s="202">
        <f ca="1">DATOSAÑO!AI78</f>
        <v>40</v>
      </c>
      <c r="Q78" s="202">
        <f ca="1">DATOSAÑO!AH78</f>
        <v>11.30000000000291</v>
      </c>
      <c r="R78" s="202">
        <f ca="1">DATOSAÑO!AM78+DATOSAÑO!AN78+DATOSAÑO!AF78</f>
        <v>147.7549999999971</v>
      </c>
      <c r="S78" s="215">
        <f ca="1">IF(B78&gt;=$P$5,0,CONTADORES!Q74-CONTADORES!Q73)</f>
        <v>17</v>
      </c>
      <c r="T78" s="212">
        <f ca="1">IF(B78&gt;=$P$5,0,(CONTADORES!S74-CONTADORES!S73)+(CONTADORES!AE74-CONTADORES!AE73))</f>
        <v>2</v>
      </c>
      <c r="U78" s="212">
        <f ca="1">IF(B78&gt;=$P$5,0,(CONTADORES!AQ74-CONTADORES!AQ73))</f>
        <v>4.4000000000014552</v>
      </c>
      <c r="V78" s="212">
        <f ca="1">IF(B78&gt;=$P$5,0,(CONTADORES!AR74-CONTADORES!AR73))</f>
        <v>0</v>
      </c>
      <c r="W78" s="736">
        <v>0</v>
      </c>
      <c r="X78" s="212">
        <f ca="1">IF(W78=0,(T78-INICIO!$W$6),((T78-INICIO!$W$6)+V78))</f>
        <v>2</v>
      </c>
      <c r="Y78" s="214">
        <f t="shared" ca="1" si="22"/>
        <v>12.599999999998545</v>
      </c>
      <c r="Z78" s="215">
        <f t="shared" ca="1" si="23"/>
        <v>9.701115241634497</v>
      </c>
      <c r="AA78" s="212">
        <f t="shared" ca="1" si="24"/>
        <v>2.0817843866167474</v>
      </c>
      <c r="AB78" s="212">
        <f t="shared" ca="1" si="25"/>
        <v>0.58810408921938262</v>
      </c>
      <c r="AC78" s="214">
        <f t="shared" ca="1" si="20"/>
        <v>0.22899628252791795</v>
      </c>
    </row>
    <row r="79" spans="2:29">
      <c r="B79" s="220">
        <v>44630</v>
      </c>
      <c r="C79" s="208">
        <f ca="1">DATOSAÑO!I79</f>
        <v>293</v>
      </c>
      <c r="D79" s="202">
        <f ca="1">DATOSAÑO!P79</f>
        <v>150.09999999999854</v>
      </c>
      <c r="E79" s="202">
        <f ca="1">DATOSAÑO!Q79</f>
        <v>0</v>
      </c>
      <c r="F79" s="202">
        <f ca="1">DATOSAÑO!T79</f>
        <v>0</v>
      </c>
      <c r="G79" s="202">
        <f t="shared" ca="1" si="19"/>
        <v>443.09999999999854</v>
      </c>
      <c r="H79" s="202">
        <f t="shared" ca="1" si="14"/>
        <v>38.289000000007263</v>
      </c>
      <c r="I79" s="202">
        <f t="shared" ca="1" si="15"/>
        <v>191.41677255399483</v>
      </c>
      <c r="J79" s="202">
        <f t="shared" ca="1" si="16"/>
        <v>43.818297331642519</v>
      </c>
      <c r="K79" s="202">
        <f t="shared" ca="1" si="17"/>
        <v>7.4428208386262309</v>
      </c>
      <c r="L79" s="202">
        <f t="shared" ca="1" si="26"/>
        <v>157.31099999999856</v>
      </c>
      <c r="M79" s="202">
        <f t="shared" ca="1" si="18"/>
        <v>4.8221092757291339</v>
      </c>
      <c r="N79" s="202">
        <f t="shared" ca="1" si="21"/>
        <v>4.5999999999985448</v>
      </c>
      <c r="O79" s="202">
        <f ca="1">(DATOSAÑO!AJ79+DATOSAÑO!AK79+DATOSAÑO!AD79)</f>
        <v>182.59999999999127</v>
      </c>
      <c r="P79" s="202">
        <f ca="1">DATOSAÑO!AI79</f>
        <v>41.80000000000291</v>
      </c>
      <c r="Q79" s="202">
        <f ca="1">DATOSAÑO!AH79</f>
        <v>7.0999999999985448</v>
      </c>
      <c r="R79" s="202">
        <f ca="1">DATOSAÑO!AM79+DATOSAÑO!AN79+DATOSAÑO!AF79</f>
        <v>157.31099999999856</v>
      </c>
      <c r="S79" s="215">
        <f ca="1">IF(B79&gt;=$P$5,0,CONTADORES!Q75-CONTADORES!Q74)</f>
        <v>16</v>
      </c>
      <c r="T79" s="212">
        <f ca="1">IF(B79&gt;=$P$5,0,(CONTADORES!S75-CONTADORES!S74)+(CONTADORES!AE75-CONTADORES!AE74))</f>
        <v>2.1999999999970896</v>
      </c>
      <c r="U79" s="212">
        <f ca="1">IF(B79&gt;=$P$5,0,(CONTADORES!AQ75-CONTADORES!AQ74))</f>
        <v>4.5999999999985448</v>
      </c>
      <c r="V79" s="212">
        <f ca="1">IF(B79&gt;=$P$5,0,(CONTADORES!AR75-CONTADORES!AR74))</f>
        <v>0</v>
      </c>
      <c r="W79" s="736">
        <v>0</v>
      </c>
      <c r="X79" s="212">
        <f ca="1">IF(W79=0,(T79-INICIO!$W$6),((T79-INICIO!$W$6)+V79))</f>
        <v>2.1999999999970896</v>
      </c>
      <c r="Y79" s="214">
        <f t="shared" ca="1" si="22"/>
        <v>11.400000000001455</v>
      </c>
      <c r="Z79" s="215">
        <f t="shared" ca="1" si="23"/>
        <v>8.8167725540035722</v>
      </c>
      <c r="AA79" s="212">
        <f t="shared" ca="1" si="24"/>
        <v>2.0182973316396087</v>
      </c>
      <c r="AB79" s="212">
        <f t="shared" ca="1" si="25"/>
        <v>0.34282083862768631</v>
      </c>
      <c r="AC79" s="214">
        <f t="shared" ca="1" si="20"/>
        <v>0.22210927573058892</v>
      </c>
    </row>
    <row r="80" spans="2:29">
      <c r="B80" s="220">
        <v>44631</v>
      </c>
      <c r="C80" s="208">
        <f ca="1">DATOSAÑO!I80</f>
        <v>259</v>
      </c>
      <c r="D80" s="202">
        <f ca="1">DATOSAÑO!P80</f>
        <v>176.5</v>
      </c>
      <c r="E80" s="202">
        <f ca="1">DATOSAÑO!Q80</f>
        <v>0</v>
      </c>
      <c r="F80" s="202">
        <f ca="1">DATOSAÑO!T80</f>
        <v>0</v>
      </c>
      <c r="G80" s="202">
        <f t="shared" ca="1" si="19"/>
        <v>435.5</v>
      </c>
      <c r="H80" s="202">
        <f t="shared" ca="1" si="14"/>
        <v>34.366999999987229</v>
      </c>
      <c r="I80" s="202">
        <f t="shared" ca="1" si="15"/>
        <v>190.54020618557885</v>
      </c>
      <c r="J80" s="202">
        <f t="shared" ca="1" si="16"/>
        <v>38.381443298968989</v>
      </c>
      <c r="K80" s="202">
        <f t="shared" ca="1" si="17"/>
        <v>11.672164948452053</v>
      </c>
      <c r="L80" s="202">
        <f t="shared" ca="1" si="26"/>
        <v>156.33300000000253</v>
      </c>
      <c r="M80" s="202">
        <f t="shared" ca="1" si="18"/>
        <v>4.2061855670103006</v>
      </c>
      <c r="N80" s="202">
        <f t="shared" ca="1" si="21"/>
        <v>4</v>
      </c>
      <c r="O80" s="202">
        <f ca="1">(DATOSAÑO!AJ80+DATOSAÑO!AK80+DATOSAÑO!AD80)</f>
        <v>181.20000000001164</v>
      </c>
      <c r="P80" s="202">
        <f ca="1">DATOSAÑO!AI80</f>
        <v>36.5</v>
      </c>
      <c r="Q80" s="202">
        <f ca="1">DATOSAÑO!AH80</f>
        <v>11.099999999998545</v>
      </c>
      <c r="R80" s="202">
        <f ca="1">DATOSAÑO!AM80+DATOSAÑO!AN80+DATOSAÑO!AF80</f>
        <v>156.33300000000253</v>
      </c>
      <c r="S80" s="215">
        <f ca="1">IF(B80&gt;=$P$5,0,CONTADORES!Q76-CONTADORES!Q75)</f>
        <v>16</v>
      </c>
      <c r="T80" s="212">
        <f ca="1">IF(B80&gt;=$P$5,0,(CONTADORES!S76-CONTADORES!S75)+(CONTADORES!AE76-CONTADORES!AE75))</f>
        <v>2.0999999999985448</v>
      </c>
      <c r="U80" s="212">
        <f ca="1">IF(B80&gt;=$P$5,0,(CONTADORES!AQ76-CONTADORES!AQ75))</f>
        <v>4</v>
      </c>
      <c r="V80" s="212">
        <f ca="1">IF(B80&gt;=$P$5,0,(CONTADORES!AR76-CONTADORES!AR75))</f>
        <v>0</v>
      </c>
      <c r="W80" s="736">
        <v>0</v>
      </c>
      <c r="X80" s="212">
        <f ca="1">IF(W80=0,(T80-INICIO!$W$6),((T80-INICIO!$W$6)+V80))</f>
        <v>2.0999999999985448</v>
      </c>
      <c r="Y80" s="214">
        <f t="shared" ca="1" si="22"/>
        <v>12</v>
      </c>
      <c r="Z80" s="215">
        <f t="shared" ca="1" si="23"/>
        <v>9.3402061855672009</v>
      </c>
      <c r="AA80" s="212">
        <f t="shared" ca="1" si="24"/>
        <v>1.8814432989689898</v>
      </c>
      <c r="AB80" s="212">
        <f t="shared" ca="1" si="25"/>
        <v>0.57216494845350818</v>
      </c>
      <c r="AC80" s="214">
        <f t="shared" ca="1" si="20"/>
        <v>0.20618556701030025</v>
      </c>
    </row>
    <row r="81" spans="2:29">
      <c r="B81" s="220">
        <v>44632</v>
      </c>
      <c r="C81" s="208">
        <f ca="1">DATOSAÑO!I81</f>
        <v>276</v>
      </c>
      <c r="D81" s="202">
        <f ca="1">DATOSAÑO!P81</f>
        <v>155.5</v>
      </c>
      <c r="E81" s="202">
        <f ca="1">DATOSAÑO!Q81</f>
        <v>0</v>
      </c>
      <c r="F81" s="202">
        <f ca="1">DATOSAÑO!T81</f>
        <v>0</v>
      </c>
      <c r="G81" s="202">
        <f t="shared" ca="1" si="19"/>
        <v>431.5</v>
      </c>
      <c r="H81" s="202">
        <f t="shared" ca="1" si="14"/>
        <v>32.83000000000402</v>
      </c>
      <c r="I81" s="202">
        <f t="shared" ca="1" si="15"/>
        <v>189.54889753566499</v>
      </c>
      <c r="J81" s="202">
        <f t="shared" ca="1" si="16"/>
        <v>40.287029831383236</v>
      </c>
      <c r="K81" s="202">
        <f t="shared" ca="1" si="17"/>
        <v>9.2565499351541369</v>
      </c>
      <c r="L81" s="202">
        <f t="shared" ca="1" si="26"/>
        <v>155.36999999999856</v>
      </c>
      <c r="M81" s="202">
        <f t="shared" ca="1" si="18"/>
        <v>4.2075226977950733</v>
      </c>
      <c r="N81" s="202">
        <f t="shared" ca="1" si="21"/>
        <v>4</v>
      </c>
      <c r="O81" s="202">
        <f ca="1">(DATOSAÑO!AJ81+DATOSAÑO!AK81+DATOSAÑO!AD81)</f>
        <v>180.19999999999709</v>
      </c>
      <c r="P81" s="202">
        <f ca="1">DATOSAÑO!AI81</f>
        <v>38.299999999995634</v>
      </c>
      <c r="Q81" s="202">
        <f ca="1">DATOSAÑO!AH81</f>
        <v>8.8000000000047294</v>
      </c>
      <c r="R81" s="202">
        <f ca="1">DATOSAÑO!AM81+DATOSAÑO!AN81+DATOSAÑO!AF81</f>
        <v>155.36999999999856</v>
      </c>
      <c r="S81" s="215">
        <f ca="1">IF(B81&gt;=$P$5,0,CONTADORES!Q77-CONTADORES!Q76)</f>
        <v>16</v>
      </c>
      <c r="T81" s="212">
        <f ca="1">IF(B81&gt;=$P$5,0,(CONTADORES!S77-CONTADORES!S76)+(CONTADORES!AE77-CONTADORES!AE76))</f>
        <v>2</v>
      </c>
      <c r="U81" s="212">
        <f ca="1">IF(B81&gt;=$P$5,0,(CONTADORES!AQ77-CONTADORES!AQ76))</f>
        <v>4</v>
      </c>
      <c r="V81" s="212">
        <f ca="1">IF(B81&gt;=$P$5,0,(CONTADORES!AR77-CONTADORES!AR76))</f>
        <v>0</v>
      </c>
      <c r="W81" s="736">
        <v>0</v>
      </c>
      <c r="X81" s="212">
        <f ca="1">IF(W81=0,(T81-INICIO!$W$6),((T81-INICIO!$W$6)+V81))</f>
        <v>2</v>
      </c>
      <c r="Y81" s="214">
        <f t="shared" ca="1" si="22"/>
        <v>12</v>
      </c>
      <c r="Z81" s="215">
        <f t="shared" ca="1" si="23"/>
        <v>9.3488975356679163</v>
      </c>
      <c r="AA81" s="212">
        <f t="shared" ca="1" si="24"/>
        <v>1.9870298313876034</v>
      </c>
      <c r="AB81" s="212">
        <f t="shared" ca="1" si="25"/>
        <v>0.45654993514940734</v>
      </c>
      <c r="AC81" s="214">
        <f t="shared" ca="1" si="20"/>
        <v>0.20752269779507362</v>
      </c>
    </row>
    <row r="82" spans="2:29">
      <c r="B82" s="220">
        <v>44633</v>
      </c>
      <c r="C82" s="208">
        <f ca="1">DATOSAÑO!I82</f>
        <v>299</v>
      </c>
      <c r="D82" s="202">
        <f ca="1">DATOSAÑO!P82</f>
        <v>151.29999999999927</v>
      </c>
      <c r="E82" s="202">
        <f ca="1">DATOSAÑO!Q82</f>
        <v>8.3000000000083674E-2</v>
      </c>
      <c r="F82" s="202">
        <f ca="1">DATOSAÑO!T82</f>
        <v>0.38499999999999091</v>
      </c>
      <c r="G82" s="202">
        <f t="shared" ca="1" si="19"/>
        <v>450.76799999999935</v>
      </c>
      <c r="H82" s="202">
        <f t="shared" ca="1" si="14"/>
        <v>37.694999999996355</v>
      </c>
      <c r="I82" s="202">
        <f t="shared" ca="1" si="15"/>
        <v>194.47358988992539</v>
      </c>
      <c r="J82" s="202">
        <f t="shared" ca="1" si="16"/>
        <v>40.217810436203166</v>
      </c>
      <c r="K82" s="202">
        <f t="shared" ca="1" si="17"/>
        <v>17.851247452099265</v>
      </c>
      <c r="L82" s="202">
        <f t="shared" ca="1" si="26"/>
        <v>155.49000000000291</v>
      </c>
      <c r="M82" s="202">
        <f t="shared" ca="1" si="18"/>
        <v>5.0403522217722605</v>
      </c>
      <c r="N82" s="202">
        <f t="shared" ca="1" si="21"/>
        <v>4.8000000000029104</v>
      </c>
      <c r="O82" s="202">
        <f ca="1">(DATOSAÑO!AJ82+DATOSAÑO!AK82+DATOSAÑO!AD82)</f>
        <v>185.19999999999709</v>
      </c>
      <c r="P82" s="202">
        <f ca="1">DATOSAÑO!AI82</f>
        <v>38.30000000000291</v>
      </c>
      <c r="Q82" s="202">
        <f ca="1">DATOSAÑO!AH82</f>
        <v>17</v>
      </c>
      <c r="R82" s="202">
        <f ca="1">DATOSAÑO!AM82+DATOSAÑO!AN82+DATOSAÑO!AF82</f>
        <v>155.49000000000291</v>
      </c>
      <c r="S82" s="215">
        <f ca="1">IF(B82&gt;=$P$5,0,CONTADORES!Q78-CONTADORES!Q77)</f>
        <v>17</v>
      </c>
      <c r="T82" s="212">
        <f ca="1">IF(B82&gt;=$P$5,0,(CONTADORES!S78-CONTADORES!S77)+(CONTADORES!AE78-CONTADORES!AE77))</f>
        <v>2.2000000000043656</v>
      </c>
      <c r="U82" s="212">
        <f ca="1">IF(B82&gt;=$P$5,0,(CONTADORES!AQ78-CONTADORES!AQ77))</f>
        <v>4.8000000000029104</v>
      </c>
      <c r="V82" s="212">
        <f ca="1">IF(B82&gt;=$P$5,0,(CONTADORES!AR78-CONTADORES!AR77))</f>
        <v>0</v>
      </c>
      <c r="W82" s="736">
        <v>0</v>
      </c>
      <c r="X82" s="212">
        <f ca="1">IF(W82=0,(T82-INICIO!$W$6),((T82-INICIO!$W$6)+V82))</f>
        <v>2.2000000000043656</v>
      </c>
      <c r="Y82" s="214">
        <f t="shared" ca="1" si="22"/>
        <v>12.282999999997173</v>
      </c>
      <c r="Z82" s="215">
        <f t="shared" ca="1" si="23"/>
        <v>9.2735898899283065</v>
      </c>
      <c r="AA82" s="212">
        <f t="shared" ca="1" si="24"/>
        <v>1.9178104362002522</v>
      </c>
      <c r="AB82" s="212">
        <f t="shared" ca="1" si="25"/>
        <v>0.851247452099264</v>
      </c>
      <c r="AC82" s="214">
        <f t="shared" ca="1" si="20"/>
        <v>0.2403522217693497</v>
      </c>
    </row>
    <row r="83" spans="2:29">
      <c r="B83" s="220">
        <v>44634</v>
      </c>
      <c r="C83" s="208">
        <f ca="1">DATOSAÑO!I83</f>
        <v>288.69999999995343</v>
      </c>
      <c r="D83" s="202">
        <f ca="1">DATOSAÑO!P83</f>
        <v>145.60000000000218</v>
      </c>
      <c r="E83" s="202">
        <f ca="1">DATOSAÑO!Q83</f>
        <v>0</v>
      </c>
      <c r="F83" s="202">
        <f ca="1">DATOSAÑO!T83</f>
        <v>0</v>
      </c>
      <c r="G83" s="202">
        <f t="shared" ca="1" si="19"/>
        <v>434.29999999995562</v>
      </c>
      <c r="H83" s="202">
        <f t="shared" ca="1" si="14"/>
        <v>31.058999999915216</v>
      </c>
      <c r="I83" s="202">
        <f t="shared" ca="1" si="15"/>
        <v>191.48306104905043</v>
      </c>
      <c r="J83" s="202">
        <f t="shared" ca="1" si="16"/>
        <v>41.213241616508206</v>
      </c>
      <c r="K83" s="202">
        <f t="shared" ca="1" si="17"/>
        <v>7.6085984522753627</v>
      </c>
      <c r="L83" s="202">
        <f t="shared" ca="1" si="26"/>
        <v>157.44100000000836</v>
      </c>
      <c r="M83" s="202">
        <f t="shared" ca="1" si="18"/>
        <v>5.4950988821980191</v>
      </c>
      <c r="N83" s="202">
        <f t="shared" ca="1" si="21"/>
        <v>5.1999999999970896</v>
      </c>
      <c r="O83" s="202">
        <f ca="1">(DATOSAÑO!AJ83+DATOSAÑO!AK83+DATOSAÑO!AD83)</f>
        <v>181.20000000004075</v>
      </c>
      <c r="P83" s="202">
        <f ca="1">DATOSAÑO!AI83</f>
        <v>39</v>
      </c>
      <c r="Q83" s="202">
        <f ca="1">DATOSAÑO!AH83</f>
        <v>7.1999999999970896</v>
      </c>
      <c r="R83" s="202">
        <f ca="1">DATOSAÑO!AM83+DATOSAÑO!AN83+DATOSAÑO!AF83</f>
        <v>157.44100000000836</v>
      </c>
      <c r="S83" s="215">
        <f ca="1">IF(B83&gt;=$P$5,0,CONTADORES!Q79-CONTADORES!Q78)</f>
        <v>18.399999999994179</v>
      </c>
      <c r="T83" s="212">
        <f ca="1">IF(B83&gt;=$P$5,0,(CONTADORES!S79-CONTADORES!S78)+(CONTADORES!AE79-CONTADORES!AE78))</f>
        <v>2.1999999999970896</v>
      </c>
      <c r="U83" s="212">
        <f ca="1">IF(B83&gt;=$P$5,0,(CONTADORES!AQ79-CONTADORES!AQ78))</f>
        <v>5.1999999999970896</v>
      </c>
      <c r="V83" s="212">
        <f ca="1">IF(B83&gt;=$P$5,0,(CONTADORES!AR79-CONTADORES!AR78))</f>
        <v>0</v>
      </c>
      <c r="W83" s="736">
        <v>0</v>
      </c>
      <c r="X83" s="212">
        <f ca="1">IF(W83=0,(T83-INICIO!$W$6),((T83-INICIO!$W$6)+V83))</f>
        <v>2.1999999999970896</v>
      </c>
      <c r="Y83" s="214">
        <f t="shared" ca="1" si="22"/>
        <v>13.19999999999709</v>
      </c>
      <c r="Z83" s="215">
        <f t="shared" ca="1" si="23"/>
        <v>10.28306104900968</v>
      </c>
      <c r="AA83" s="212">
        <f t="shared" ca="1" si="24"/>
        <v>2.2132416165082081</v>
      </c>
      <c r="AB83" s="212">
        <f t="shared" ca="1" si="25"/>
        <v>0.40859845227827329</v>
      </c>
      <c r="AC83" s="214">
        <f t="shared" ca="1" si="20"/>
        <v>0.29509888220092928</v>
      </c>
    </row>
    <row r="84" spans="2:29">
      <c r="B84" s="220">
        <v>44635</v>
      </c>
      <c r="C84" s="208">
        <f ca="1">DATOSAÑO!I84</f>
        <v>295.80000000004657</v>
      </c>
      <c r="D84" s="202">
        <f ca="1">DATOSAÑO!P84</f>
        <v>148.59999999999854</v>
      </c>
      <c r="E84" s="202">
        <f ca="1">DATOSAÑO!Q84</f>
        <v>0</v>
      </c>
      <c r="F84" s="202">
        <f ca="1">DATOSAÑO!T84</f>
        <v>0</v>
      </c>
      <c r="G84" s="202">
        <f t="shared" ca="1" si="19"/>
        <v>444.40000000004511</v>
      </c>
      <c r="H84" s="202">
        <f t="shared" ca="1" si="14"/>
        <v>31.464000000104079</v>
      </c>
      <c r="I84" s="202">
        <f t="shared" ca="1" si="15"/>
        <v>201.91664611585807</v>
      </c>
      <c r="J84" s="202">
        <f t="shared" ca="1" si="16"/>
        <v>39.710974106048127</v>
      </c>
      <c r="K84" s="202">
        <f t="shared" ca="1" si="17"/>
        <v>8.7196054254044881</v>
      </c>
      <c r="L84" s="202">
        <f t="shared" ca="1" si="26"/>
        <v>157.3359999999789</v>
      </c>
      <c r="M84" s="202">
        <f t="shared" ca="1" si="18"/>
        <v>5.2527743526514641</v>
      </c>
      <c r="N84" s="202">
        <f t="shared" ca="1" si="21"/>
        <v>5</v>
      </c>
      <c r="O84" s="202">
        <f ca="1">(DATOSAÑO!AJ84+DATOSAÑO!AK84+DATOSAÑO!AD84)</f>
        <v>192.19999999993888</v>
      </c>
      <c r="P84" s="202">
        <f ca="1">DATOSAÑO!AI84</f>
        <v>37.80000000000291</v>
      </c>
      <c r="Q84" s="202">
        <f ca="1">DATOSAÑO!AH84</f>
        <v>8.3000000000029104</v>
      </c>
      <c r="R84" s="202">
        <f ca="1">DATOSAÑO!AM84+DATOSAÑO!AN84+DATOSAÑO!AF84</f>
        <v>157.3359999999789</v>
      </c>
      <c r="S84" s="215">
        <f ca="1">IF(B84&gt;=$P$5,0,CONTADORES!Q80-CONTADORES!Q79)</f>
        <v>17.300000000017462</v>
      </c>
      <c r="T84" s="212">
        <f ca="1">IF(B84&gt;=$P$5,0,(CONTADORES!S80-CONTADORES!S79)+(CONTADORES!AE80-CONTADORES!AE79))</f>
        <v>2.0999999999985448</v>
      </c>
      <c r="U84" s="212">
        <f ca="1">IF(B84&gt;=$P$5,0,(CONTADORES!AQ80-CONTADORES!AQ79))</f>
        <v>5</v>
      </c>
      <c r="V84" s="212">
        <f ca="1">IF(B84&gt;=$P$5,0,(CONTADORES!AR80-CONTADORES!AR79))</f>
        <v>0</v>
      </c>
      <c r="W84" s="736">
        <v>0</v>
      </c>
      <c r="X84" s="212">
        <f ca="1">IF(W84=0,(T84-INICIO!$W$6),((T84-INICIO!$W$6)+V84))</f>
        <v>2.0999999999985448</v>
      </c>
      <c r="Y84" s="214">
        <f t="shared" ca="1" si="22"/>
        <v>12.300000000017462</v>
      </c>
      <c r="Z84" s="215">
        <f t="shared" ca="1" si="23"/>
        <v>9.7166461159192004</v>
      </c>
      <c r="AA84" s="212">
        <f t="shared" ca="1" si="24"/>
        <v>1.9109741060452181</v>
      </c>
      <c r="AB84" s="212">
        <f t="shared" ca="1" si="25"/>
        <v>0.41960542540157802</v>
      </c>
      <c r="AC84" s="214">
        <f t="shared" ca="1" si="20"/>
        <v>0.25277435265146442</v>
      </c>
    </row>
    <row r="85" spans="2:29">
      <c r="B85" s="220">
        <v>44636</v>
      </c>
      <c r="C85" s="208">
        <f ca="1">DATOSAÑO!I85</f>
        <v>290.5</v>
      </c>
      <c r="D85" s="202">
        <f ca="1">DATOSAÑO!P85</f>
        <v>158.5</v>
      </c>
      <c r="E85" s="202">
        <f ca="1">DATOSAÑO!Q85</f>
        <v>0</v>
      </c>
      <c r="F85" s="202">
        <f ca="1">DATOSAÑO!T85</f>
        <v>0</v>
      </c>
      <c r="G85" s="202">
        <f t="shared" ca="1" si="19"/>
        <v>449</v>
      </c>
      <c r="H85" s="202">
        <f t="shared" ca="1" si="14"/>
        <v>37.436499999979617</v>
      </c>
      <c r="I85" s="202">
        <f t="shared" ca="1" si="15"/>
        <v>198.48205128207371</v>
      </c>
      <c r="J85" s="202">
        <f t="shared" ca="1" si="16"/>
        <v>41.315384615377688</v>
      </c>
      <c r="K85" s="202">
        <f t="shared" ca="1" si="17"/>
        <v>9.2512820512769398</v>
      </c>
      <c r="L85" s="202">
        <f t="shared" ca="1" si="26"/>
        <v>157.36350000000871</v>
      </c>
      <c r="M85" s="202">
        <f t="shared" ca="1" si="18"/>
        <v>5.1512820512832898</v>
      </c>
      <c r="N85" s="202">
        <f t="shared" ca="1" si="21"/>
        <v>4.9000000000014552</v>
      </c>
      <c r="O85" s="202">
        <f ca="1">(DATOSAÑO!AJ85+DATOSAÑO!AK85+DATOSAÑO!AD85)</f>
        <v>188.80000000003201</v>
      </c>
      <c r="P85" s="202">
        <f ca="1">DATOSAÑO!AI85</f>
        <v>39.299999999995634</v>
      </c>
      <c r="Q85" s="202">
        <f ca="1">DATOSAÑO!AH85</f>
        <v>8.7999999999956344</v>
      </c>
      <c r="R85" s="202">
        <f ca="1">DATOSAÑO!AM85+DATOSAÑO!AN85+DATOSAÑO!AF85</f>
        <v>157.36350000000871</v>
      </c>
      <c r="S85" s="215">
        <f ca="1">IF(B85&gt;=$P$5,0,CONTADORES!Q81-CONTADORES!Q80)</f>
        <v>17.299999999988358</v>
      </c>
      <c r="T85" s="212">
        <f ca="1">IF(B85&gt;=$P$5,0,(CONTADORES!S81-CONTADORES!S80)+(CONTADORES!AE81-CONTADORES!AE80))</f>
        <v>2.3000000000029104</v>
      </c>
      <c r="U85" s="212">
        <f ca="1">IF(B85&gt;=$P$5,0,(CONTADORES!AQ81-CONTADORES!AQ80))</f>
        <v>4.9000000000014552</v>
      </c>
      <c r="V85" s="212">
        <f ca="1">IF(B85&gt;=$P$5,0,(CONTADORES!AR81-CONTADORES!AR80))</f>
        <v>0</v>
      </c>
      <c r="W85" s="736">
        <v>0</v>
      </c>
      <c r="X85" s="212">
        <f ca="1">IF(W85=0,(T85-INICIO!$W$6),((T85-INICIO!$W$6)+V85))</f>
        <v>2.3000000000029104</v>
      </c>
      <c r="Y85" s="214">
        <f t="shared" ca="1" si="22"/>
        <v>12.399999999986903</v>
      </c>
      <c r="Z85" s="215">
        <f t="shared" ca="1" si="23"/>
        <v>9.6820512820417068</v>
      </c>
      <c r="AA85" s="212">
        <f t="shared" ca="1" si="24"/>
        <v>2.0153846153820565</v>
      </c>
      <c r="AB85" s="212">
        <f t="shared" ca="1" si="25"/>
        <v>0.45128205128130455</v>
      </c>
      <c r="AC85" s="214">
        <f t="shared" ca="1" si="20"/>
        <v>0.25128205128183478</v>
      </c>
    </row>
    <row r="86" spans="2:29">
      <c r="B86" s="220">
        <v>44637</v>
      </c>
      <c r="C86" s="208">
        <f ca="1">DATOSAÑO!I86</f>
        <v>283</v>
      </c>
      <c r="D86" s="202">
        <f ca="1">DATOSAÑO!P86</f>
        <v>162</v>
      </c>
      <c r="E86" s="202">
        <f ca="1">DATOSAÑO!Q86</f>
        <v>0</v>
      </c>
      <c r="F86" s="202">
        <f ca="1">DATOSAÑO!T86</f>
        <v>0</v>
      </c>
      <c r="G86" s="202">
        <f t="shared" ca="1" si="19"/>
        <v>445</v>
      </c>
      <c r="H86" s="202">
        <f t="shared" ca="1" si="14"/>
        <v>33.546000000017045</v>
      </c>
      <c r="I86" s="202">
        <f t="shared" ca="1" si="15"/>
        <v>198.96136929458473</v>
      </c>
      <c r="J86" s="202">
        <f t="shared" ca="1" si="16"/>
        <v>40.464937759334298</v>
      </c>
      <c r="K86" s="202">
        <f t="shared" ca="1" si="17"/>
        <v>8.618506224070595</v>
      </c>
      <c r="L86" s="202">
        <f t="shared" ca="1" si="26"/>
        <v>158.15400000000182</v>
      </c>
      <c r="M86" s="202">
        <f t="shared" ca="1" si="18"/>
        <v>5.2551867219914676</v>
      </c>
      <c r="N86" s="202">
        <f t="shared" ca="1" si="21"/>
        <v>5</v>
      </c>
      <c r="O86" s="202">
        <f ca="1">(DATOSAÑO!AJ86+DATOSAÑO!AK86+DATOSAÑO!AD86)</f>
        <v>189.29999999998836</v>
      </c>
      <c r="P86" s="202">
        <f ca="1">DATOSAÑO!AI86</f>
        <v>38.5</v>
      </c>
      <c r="Q86" s="202">
        <f ca="1">DATOSAÑO!AH86</f>
        <v>8.2000000000043656</v>
      </c>
      <c r="R86" s="202">
        <f ca="1">DATOSAÑO!AM86+DATOSAÑO!AN86+DATOSAÑO!AF86</f>
        <v>158.15400000000182</v>
      </c>
      <c r="S86" s="215">
        <f ca="1">IF(B86&gt;=$P$5,0,CONTADORES!Q82-CONTADORES!Q81)</f>
        <v>17.299999999988358</v>
      </c>
      <c r="T86" s="212">
        <f ca="1">IF(B86&gt;=$P$5,0,(CONTADORES!S82-CONTADORES!S81)+(CONTADORES!AE82-CONTADORES!AE81))</f>
        <v>2.0999999999985448</v>
      </c>
      <c r="U86" s="212">
        <f ca="1">IF(B86&gt;=$P$5,0,(CONTADORES!AQ82-CONTADORES!AQ81))</f>
        <v>5</v>
      </c>
      <c r="V86" s="212">
        <f ca="1">IF(B86&gt;=$P$5,0,(CONTADORES!AR82-CONTADORES!AR81))</f>
        <v>0</v>
      </c>
      <c r="W86" s="736">
        <v>0</v>
      </c>
      <c r="X86" s="212">
        <f ca="1">IF(W86=0,(T86-INICIO!$W$6),((T86-INICIO!$W$6)+V86))</f>
        <v>2.0999999999985448</v>
      </c>
      <c r="Y86" s="214">
        <f t="shared" ca="1" si="22"/>
        <v>12.299999999988358</v>
      </c>
      <c r="Z86" s="215">
        <f t="shared" ca="1" si="23"/>
        <v>9.6613692945963621</v>
      </c>
      <c r="AA86" s="212">
        <f t="shared" ca="1" si="24"/>
        <v>1.9649377593342991</v>
      </c>
      <c r="AB86" s="212">
        <f t="shared" ca="1" si="25"/>
        <v>0.41850622406622939</v>
      </c>
      <c r="AC86" s="214">
        <f t="shared" ca="1" si="20"/>
        <v>0.25518672199146741</v>
      </c>
    </row>
    <row r="87" spans="2:29">
      <c r="B87" s="220">
        <v>44638</v>
      </c>
      <c r="C87" s="208">
        <f ca="1">DATOSAÑO!I87</f>
        <v>298</v>
      </c>
      <c r="D87" s="202">
        <f ca="1">DATOSAÑO!P87</f>
        <v>151</v>
      </c>
      <c r="E87" s="202">
        <f ca="1">DATOSAÑO!Q87</f>
        <v>0</v>
      </c>
      <c r="F87" s="202">
        <f ca="1">DATOSAÑO!T87</f>
        <v>0</v>
      </c>
      <c r="G87" s="202">
        <f t="shared" ca="1" si="19"/>
        <v>449</v>
      </c>
      <c r="H87" s="202">
        <f t="shared" ca="1" si="14"/>
        <v>31.013999999990858</v>
      </c>
      <c r="I87" s="202">
        <f t="shared" ca="1" si="15"/>
        <v>202.92197490894551</v>
      </c>
      <c r="J87" s="202">
        <f t="shared" ca="1" si="16"/>
        <v>40.626386078518109</v>
      </c>
      <c r="K87" s="202">
        <f t="shared" ca="1" si="17"/>
        <v>10.602751922297868</v>
      </c>
      <c r="L87" s="202">
        <f t="shared" ca="1" si="26"/>
        <v>158.58600000000035</v>
      </c>
      <c r="M87" s="202">
        <f t="shared" ca="1" si="18"/>
        <v>5.2488870902472256</v>
      </c>
      <c r="N87" s="202">
        <f t="shared" ca="1" si="21"/>
        <v>5</v>
      </c>
      <c r="O87" s="202">
        <f ca="1">(DATOSAÑO!AJ87+DATOSAÑO!AK87+DATOSAÑO!AD87)</f>
        <v>193.29999999998836</v>
      </c>
      <c r="P87" s="202">
        <f ca="1">DATOSAÑO!AI87</f>
        <v>38.700000000004366</v>
      </c>
      <c r="Q87" s="202">
        <f ca="1">DATOSAÑO!AH87</f>
        <v>10.099999999998545</v>
      </c>
      <c r="R87" s="202">
        <f ca="1">DATOSAÑO!AM87+DATOSAÑO!AN87+DATOSAÑO!AF87</f>
        <v>158.58600000000035</v>
      </c>
      <c r="S87" s="215">
        <f ca="1">IF(B87&gt;=$P$5,0,CONTADORES!Q83-CONTADORES!Q82)</f>
        <v>17.300000000017462</v>
      </c>
      <c r="T87" s="212">
        <f ca="1">IF(B87&gt;=$P$5,0,(CONTADORES!S83-CONTADORES!S82)+(CONTADORES!AE83-CONTADORES!AE82))</f>
        <v>2.1999999999970896</v>
      </c>
      <c r="U87" s="212">
        <f ca="1">IF(B87&gt;=$P$5,0,(CONTADORES!AQ83-CONTADORES!AQ82))</f>
        <v>5</v>
      </c>
      <c r="V87" s="212">
        <f ca="1">IF(B87&gt;=$P$5,0,(CONTADORES!AR83-CONTADORES!AR82))</f>
        <v>0</v>
      </c>
      <c r="W87" s="736">
        <v>0</v>
      </c>
      <c r="X87" s="212">
        <f ca="1">IF(W87=0,(T87-INICIO!$W$6),((T87-INICIO!$W$6)+V87))</f>
        <v>2.1999999999970896</v>
      </c>
      <c r="Y87" s="214">
        <f t="shared" ca="1" si="22"/>
        <v>12.300000000017462</v>
      </c>
      <c r="Z87" s="215">
        <f t="shared" ca="1" si="23"/>
        <v>9.6219749089571689</v>
      </c>
      <c r="AA87" s="212">
        <f t="shared" ca="1" si="24"/>
        <v>1.9263860785137445</v>
      </c>
      <c r="AB87" s="212">
        <f t="shared" ca="1" si="25"/>
        <v>0.50275192229932364</v>
      </c>
      <c r="AC87" s="214">
        <f t="shared" ca="1" si="20"/>
        <v>0.24888709024722575</v>
      </c>
    </row>
    <row r="88" spans="2:29">
      <c r="B88" s="220">
        <v>44639</v>
      </c>
      <c r="C88" s="208">
        <f ca="1">DATOSAÑO!I88</f>
        <v>290</v>
      </c>
      <c r="D88" s="202">
        <f ca="1">DATOSAÑO!P88</f>
        <v>158</v>
      </c>
      <c r="E88" s="202">
        <f ca="1">DATOSAÑO!Q88</f>
        <v>0</v>
      </c>
      <c r="F88" s="202">
        <f ca="1">DATOSAÑO!T88</f>
        <v>0</v>
      </c>
      <c r="G88" s="202">
        <f t="shared" ca="1" si="19"/>
        <v>448</v>
      </c>
      <c r="H88" s="202">
        <f t="shared" ca="1" si="14"/>
        <v>36.979999999999279</v>
      </c>
      <c r="I88" s="202">
        <f t="shared" ca="1" si="15"/>
        <v>202.40320987655056</v>
      </c>
      <c r="J88" s="202">
        <f t="shared" ca="1" si="16"/>
        <v>40.965061728387937</v>
      </c>
      <c r="K88" s="202">
        <f t="shared" ca="1" si="17"/>
        <v>8.319382716050713</v>
      </c>
      <c r="L88" s="202">
        <f t="shared" ca="1" si="26"/>
        <v>155.11999999999927</v>
      </c>
      <c r="M88" s="202">
        <f t="shared" ca="1" si="18"/>
        <v>4.2123456790122438</v>
      </c>
      <c r="N88" s="202">
        <f t="shared" ca="1" si="21"/>
        <v>4</v>
      </c>
      <c r="O88" s="202">
        <f ca="1">(DATOSAÑO!AJ88+DATOSAÑO!AK88+DATOSAÑO!AD88)</f>
        <v>192.20000000001164</v>
      </c>
      <c r="P88" s="202">
        <f ca="1">DATOSAÑO!AI88</f>
        <v>38.899999999994179</v>
      </c>
      <c r="Q88" s="202">
        <f ca="1">DATOSAÑO!AH88</f>
        <v>7.9000000000014552</v>
      </c>
      <c r="R88" s="202">
        <f ca="1">DATOSAÑO!AM88+DATOSAÑO!AN88+DATOSAÑO!AF88</f>
        <v>155.11999999999927</v>
      </c>
      <c r="S88" s="215">
        <f ca="1">IF(B88&gt;=$P$5,0,CONTADORES!Q84-CONTADORES!Q83)</f>
        <v>16.899999999994179</v>
      </c>
      <c r="T88" s="212">
        <f ca="1">IF(B88&gt;=$P$5,0,(CONTADORES!S84-CONTADORES!S83)+(CONTADORES!AE84-CONTADORES!AE83))</f>
        <v>2.2000000000043656</v>
      </c>
      <c r="U88" s="212">
        <f ca="1">IF(B88&gt;=$P$5,0,(CONTADORES!AQ84-CONTADORES!AQ83))</f>
        <v>4</v>
      </c>
      <c r="V88" s="212">
        <f ca="1">IF(B88&gt;=$P$5,0,(CONTADORES!AR84-CONTADORES!AR83))</f>
        <v>0</v>
      </c>
      <c r="W88" s="736">
        <v>0</v>
      </c>
      <c r="X88" s="212">
        <f ca="1">IF(W88=0,(T88-INICIO!$W$6),((T88-INICIO!$W$6)+V88))</f>
        <v>2.2000000000043656</v>
      </c>
      <c r="Y88" s="214">
        <f t="shared" ca="1" si="22"/>
        <v>12.899999999994179</v>
      </c>
      <c r="Z88" s="215">
        <f t="shared" ca="1" si="23"/>
        <v>10.203209876538919</v>
      </c>
      <c r="AA88" s="212">
        <f t="shared" ca="1" si="24"/>
        <v>2.0650617283937591</v>
      </c>
      <c r="AB88" s="212">
        <f t="shared" ca="1" si="25"/>
        <v>0.41938271604925814</v>
      </c>
      <c r="AC88" s="214">
        <f t="shared" ca="1" si="20"/>
        <v>0.21234567901224349</v>
      </c>
    </row>
    <row r="89" spans="2:29">
      <c r="B89" s="220">
        <v>44640</v>
      </c>
      <c r="C89" s="208">
        <f ca="1">DATOSAÑO!I89</f>
        <v>300</v>
      </c>
      <c r="D89" s="202">
        <f ca="1">DATOSAÑO!P89</f>
        <v>156</v>
      </c>
      <c r="E89" s="202">
        <f ca="1">DATOSAÑO!Q89</f>
        <v>0</v>
      </c>
      <c r="F89" s="202">
        <f ca="1">DATOSAÑO!T89</f>
        <v>0</v>
      </c>
      <c r="G89" s="202">
        <f t="shared" ca="1" si="19"/>
        <v>456</v>
      </c>
      <c r="H89" s="202">
        <f t="shared" ca="1" si="14"/>
        <v>35.243000000007555</v>
      </c>
      <c r="I89" s="202">
        <f t="shared" ca="1" si="15"/>
        <v>202.30027877338688</v>
      </c>
      <c r="J89" s="202">
        <f t="shared" ca="1" si="16"/>
        <v>43.604619673436446</v>
      </c>
      <c r="K89" s="202">
        <f t="shared" ca="1" si="17"/>
        <v>12.054161688570593</v>
      </c>
      <c r="L89" s="202">
        <f t="shared" ca="1" si="26"/>
        <v>157.55700000000257</v>
      </c>
      <c r="M89" s="202">
        <f t="shared" ca="1" si="18"/>
        <v>5.2409398645959095</v>
      </c>
      <c r="N89" s="202">
        <f t="shared" ca="1" si="21"/>
        <v>5</v>
      </c>
      <c r="O89" s="202">
        <f ca="1">(DATOSAÑO!AJ89+DATOSAÑO!AK89+DATOSAÑO!AD89)</f>
        <v>192.99999999998545</v>
      </c>
      <c r="P89" s="202">
        <f ca="1">DATOSAÑO!AI89</f>
        <v>41.599999999998545</v>
      </c>
      <c r="Q89" s="202">
        <f ca="1">DATOSAÑO!AH89</f>
        <v>11.5</v>
      </c>
      <c r="R89" s="202">
        <f ca="1">DATOSAÑO!AM89+DATOSAÑO!AN89+DATOSAÑO!AF89</f>
        <v>157.55700000000257</v>
      </c>
      <c r="S89" s="215">
        <f ca="1">IF(B89&gt;=$P$5,0,CONTADORES!Q85-CONTADORES!Q84)</f>
        <v>17.100000000005821</v>
      </c>
      <c r="T89" s="212">
        <f ca="1">IF(B89&gt;=$P$5,0,(CONTADORES!S85-CONTADORES!S84)+(CONTADORES!AE85-CONTADORES!AE84))</f>
        <v>2.1999999999970896</v>
      </c>
      <c r="U89" s="212">
        <f ca="1">IF(B89&gt;=$P$5,0,(CONTADORES!AQ85-CONTADORES!AQ84))</f>
        <v>5</v>
      </c>
      <c r="V89" s="212">
        <f ca="1">IF(B89&gt;=$P$5,0,(CONTADORES!AR85-CONTADORES!AR84))</f>
        <v>0</v>
      </c>
      <c r="W89" s="736">
        <v>0</v>
      </c>
      <c r="X89" s="212">
        <f ca="1">IF(W89=0,(T89-INICIO!$W$6),((T89-INICIO!$W$6)+V89))</f>
        <v>2.1999999999970896</v>
      </c>
      <c r="Y89" s="214">
        <f t="shared" ca="1" si="22"/>
        <v>12.100000000005821</v>
      </c>
      <c r="Z89" s="215">
        <f t="shared" ca="1" si="23"/>
        <v>9.3002787734014181</v>
      </c>
      <c r="AA89" s="212">
        <f t="shared" ca="1" si="24"/>
        <v>2.0046196734378996</v>
      </c>
      <c r="AB89" s="212">
        <f t="shared" ca="1" si="25"/>
        <v>0.55416168857059267</v>
      </c>
      <c r="AC89" s="214">
        <f t="shared" ca="1" si="20"/>
        <v>0.24093986459590985</v>
      </c>
    </row>
    <row r="90" spans="2:29">
      <c r="B90" s="220">
        <v>44641</v>
      </c>
      <c r="C90" s="208">
        <f ca="1">DATOSAÑO!I90</f>
        <v>303</v>
      </c>
      <c r="D90" s="202">
        <f ca="1">DATOSAÑO!P90</f>
        <v>154</v>
      </c>
      <c r="E90" s="202">
        <f ca="1">DATOSAÑO!Q90</f>
        <v>0.2419999999999618</v>
      </c>
      <c r="F90" s="202">
        <f ca="1">DATOSAÑO!T90</f>
        <v>0.31100000000003547</v>
      </c>
      <c r="G90" s="202">
        <f t="shared" ca="1" si="19"/>
        <v>457.553</v>
      </c>
      <c r="H90" s="202">
        <f t="shared" ca="1" si="14"/>
        <v>32.109000000011633</v>
      </c>
      <c r="I90" s="202">
        <f t="shared" ca="1" si="15"/>
        <v>203.44388235293223</v>
      </c>
      <c r="J90" s="202">
        <f t="shared" ca="1" si="16"/>
        <v>45.487965490200153</v>
      </c>
      <c r="K90" s="202">
        <f t="shared" ca="1" si="17"/>
        <v>11.893642352934581</v>
      </c>
      <c r="L90" s="202">
        <f t="shared" ca="1" si="26"/>
        <v>159.40200000000002</v>
      </c>
      <c r="M90" s="202">
        <f t="shared" ca="1" si="18"/>
        <v>5.2165098039213396</v>
      </c>
      <c r="N90" s="202">
        <f t="shared" ca="1" si="21"/>
        <v>5</v>
      </c>
      <c r="O90" s="202">
        <f ca="1">(DATOSAÑO!AJ90+DATOSAÑO!AK90+DATOSAÑO!AD90)</f>
        <v>195</v>
      </c>
      <c r="P90" s="202">
        <f ca="1">DATOSAÑO!AI90</f>
        <v>43.600000000005821</v>
      </c>
      <c r="Q90" s="202">
        <f ca="1">DATOSAÑO!AH90</f>
        <v>11.399999999994179</v>
      </c>
      <c r="R90" s="202">
        <f ca="1">DATOSAÑO!AM90+DATOSAÑO!AN90+DATOSAÑO!AF90</f>
        <v>159.40200000000002</v>
      </c>
      <c r="S90" s="215">
        <f ca="1">IF(B90&gt;=$P$5,0,CONTADORES!Q86-CONTADORES!Q85)</f>
        <v>15.799999999988358</v>
      </c>
      <c r="T90" s="212">
        <f ca="1">IF(B90&gt;=$P$5,0,(CONTADORES!S86-CONTADORES!S85)+(CONTADORES!AE86-CONTADORES!AE85))</f>
        <v>2.5</v>
      </c>
      <c r="U90" s="212">
        <f ca="1">IF(B90&gt;=$P$5,0,(CONTADORES!AQ86-CONTADORES!AQ85))</f>
        <v>5</v>
      </c>
      <c r="V90" s="212">
        <f ca="1">IF(B90&gt;=$P$5,0,(CONTADORES!AR86-CONTADORES!AR85))</f>
        <v>0</v>
      </c>
      <c r="W90" s="736">
        <v>0</v>
      </c>
      <c r="X90" s="212">
        <f ca="1">IF(W90=0,(T90-INICIO!$W$6),((T90-INICIO!$W$6)+V90))</f>
        <v>2.5</v>
      </c>
      <c r="Y90" s="214">
        <f t="shared" ca="1" si="22"/>
        <v>11.04199999998832</v>
      </c>
      <c r="Z90" s="215">
        <f t="shared" ca="1" si="23"/>
        <v>8.4438823529322438</v>
      </c>
      <c r="AA90" s="212">
        <f t="shared" ca="1" si="24"/>
        <v>1.8879654901943335</v>
      </c>
      <c r="AB90" s="212">
        <f t="shared" ca="1" si="25"/>
        <v>0.49364235294040226</v>
      </c>
      <c r="AC90" s="214">
        <f t="shared" ca="1" si="20"/>
        <v>0.21650980392133962</v>
      </c>
    </row>
    <row r="91" spans="2:29">
      <c r="B91" s="220">
        <v>44642</v>
      </c>
      <c r="C91" s="208">
        <f ca="1">DATOSAÑO!I91</f>
        <v>298</v>
      </c>
      <c r="D91" s="202">
        <f ca="1">DATOSAÑO!P91</f>
        <v>154</v>
      </c>
      <c r="E91" s="202">
        <f ca="1">DATOSAÑO!Q91</f>
        <v>0</v>
      </c>
      <c r="F91" s="202">
        <f ca="1">DATOSAÑO!T91</f>
        <v>0</v>
      </c>
      <c r="G91" s="202">
        <f t="shared" ca="1" si="19"/>
        <v>452</v>
      </c>
      <c r="H91" s="202">
        <f t="shared" ca="1" si="14"/>
        <v>41.743999999986897</v>
      </c>
      <c r="I91" s="202">
        <f t="shared" ca="1" si="15"/>
        <v>196.9667338709794</v>
      </c>
      <c r="J91" s="202">
        <f t="shared" ca="1" si="16"/>
        <v>40.701612903222696</v>
      </c>
      <c r="K91" s="202">
        <f t="shared" ca="1" si="17"/>
        <v>14.640120967747947</v>
      </c>
      <c r="L91" s="202">
        <f t="shared" ca="1" si="26"/>
        <v>152.75599999999855</v>
      </c>
      <c r="M91" s="202">
        <f t="shared" ca="1" si="18"/>
        <v>5.1915322580645045</v>
      </c>
      <c r="N91" s="202">
        <f t="shared" ca="1" si="21"/>
        <v>5</v>
      </c>
      <c r="O91" s="202">
        <f ca="1">(DATOSAÑO!AJ91+DATOSAÑO!AK91+DATOSAÑO!AD91)</f>
        <v>189.70000000001164</v>
      </c>
      <c r="P91" s="202">
        <f ca="1">DATOSAÑO!AI91</f>
        <v>39.19999999999709</v>
      </c>
      <c r="Q91" s="202">
        <f ca="1">DATOSAÑO!AH91</f>
        <v>14.100000000005821</v>
      </c>
      <c r="R91" s="202">
        <f ca="1">DATOSAÑO!AM91+DATOSAÑO!AN91+DATOSAÑO!AF91</f>
        <v>152.75599999999855</v>
      </c>
      <c r="S91" s="215">
        <f ca="1">IF(B91&gt;=$P$5,0,CONTADORES!Q87-CONTADORES!Q86)</f>
        <v>14.5</v>
      </c>
      <c r="T91" s="212">
        <f ca="1">IF(B91&gt;=$P$5,0,(CONTADORES!S87-CONTADORES!S86)+(CONTADORES!AE87-CONTADORES!AE86))</f>
        <v>2.5999999999985448</v>
      </c>
      <c r="U91" s="212">
        <f ca="1">IF(B91&gt;=$P$5,0,(CONTADORES!AQ87-CONTADORES!AQ86))</f>
        <v>5</v>
      </c>
      <c r="V91" s="212">
        <f ca="1">IF(B91&gt;=$P$5,0,(CONTADORES!AR87-CONTADORES!AR86))</f>
        <v>0</v>
      </c>
      <c r="W91" s="736">
        <v>0</v>
      </c>
      <c r="X91" s="212">
        <f ca="1">IF(W91=0,(T91-INICIO!$W$6),((T91-INICIO!$W$6)+V91))</f>
        <v>2.5999999999985448</v>
      </c>
      <c r="Y91" s="214">
        <f t="shared" ca="1" si="22"/>
        <v>9.5</v>
      </c>
      <c r="Z91" s="215">
        <f t="shared" ca="1" si="23"/>
        <v>7.2667338709677614</v>
      </c>
      <c r="AA91" s="212">
        <f t="shared" ca="1" si="24"/>
        <v>1.5016129032256069</v>
      </c>
      <c r="AB91" s="212">
        <f t="shared" ca="1" si="25"/>
        <v>0.54012096774212681</v>
      </c>
      <c r="AC91" s="214">
        <f t="shared" ca="1" si="20"/>
        <v>0.19153225806450488</v>
      </c>
    </row>
    <row r="92" spans="2:29">
      <c r="B92" s="220">
        <v>44643</v>
      </c>
      <c r="C92" s="208">
        <f ca="1">DATOSAÑO!I92</f>
        <v>300</v>
      </c>
      <c r="D92" s="202">
        <f ca="1">DATOSAÑO!P92</f>
        <v>149</v>
      </c>
      <c r="E92" s="202">
        <f ca="1">DATOSAÑO!Q92</f>
        <v>0</v>
      </c>
      <c r="F92" s="202">
        <f ca="1">DATOSAÑO!T92</f>
        <v>0</v>
      </c>
      <c r="G92" s="202">
        <f t="shared" ca="1" si="19"/>
        <v>449</v>
      </c>
      <c r="H92" s="202">
        <f t="shared" ca="1" si="14"/>
        <v>34.339000000009094</v>
      </c>
      <c r="I92" s="202">
        <f t="shared" ca="1" si="15"/>
        <v>201.3828124999925</v>
      </c>
      <c r="J92" s="202">
        <f t="shared" ca="1" si="16"/>
        <v>40.858774038463658</v>
      </c>
      <c r="K92" s="202">
        <f t="shared" ca="1" si="17"/>
        <v>12.060096153844373</v>
      </c>
      <c r="L92" s="202">
        <f t="shared" ca="1" si="26"/>
        <v>155.16099999999818</v>
      </c>
      <c r="M92" s="202">
        <f t="shared" ca="1" si="18"/>
        <v>5.198317307692192</v>
      </c>
      <c r="N92" s="202">
        <f t="shared" ca="1" si="21"/>
        <v>5</v>
      </c>
      <c r="O92" s="202">
        <f ca="1">(DATOSAÑO!AJ92+DATOSAÑO!AK92+DATOSAÑO!AD92)</f>
        <v>193.69999999999709</v>
      </c>
      <c r="P92" s="202">
        <f ca="1">DATOSAÑO!AI92</f>
        <v>39.30000000000291</v>
      </c>
      <c r="Q92" s="202">
        <f ca="1">DATOSAÑO!AH92</f>
        <v>11.599999999998545</v>
      </c>
      <c r="R92" s="202">
        <f ca="1">DATOSAÑO!AM92+DATOSAÑO!AN92+DATOSAÑO!AF92</f>
        <v>155.16099999999818</v>
      </c>
      <c r="S92" s="215">
        <f ca="1">IF(B92&gt;=$P$5,0,CONTADORES!Q88-CONTADORES!Q87)</f>
        <v>14.899999999994179</v>
      </c>
      <c r="T92" s="212">
        <f ca="1">IF(B92&gt;=$P$5,0,(CONTADORES!S88-CONTADORES!S87)+(CONTADORES!AE88-CONTADORES!AE87))</f>
        <v>2.7000000000043656</v>
      </c>
      <c r="U92" s="212">
        <f ca="1">IF(B92&gt;=$P$5,0,(CONTADORES!AQ88-CONTADORES!AQ87))</f>
        <v>5</v>
      </c>
      <c r="V92" s="212">
        <f ca="1">IF(B92&gt;=$P$5,0,(CONTADORES!AR88-CONTADORES!AR87))</f>
        <v>0</v>
      </c>
      <c r="W92" s="736">
        <v>0</v>
      </c>
      <c r="X92" s="212">
        <f ca="1">IF(W92=0,(T92-INICIO!$W$6),((T92-INICIO!$W$6)+V92))</f>
        <v>2.7000000000043656</v>
      </c>
      <c r="Y92" s="214">
        <f t="shared" ca="1" si="22"/>
        <v>9.8999999999941792</v>
      </c>
      <c r="Z92" s="215">
        <f t="shared" ca="1" si="23"/>
        <v>7.6828124999954124</v>
      </c>
      <c r="AA92" s="212">
        <f t="shared" ca="1" si="24"/>
        <v>1.5587740384607465</v>
      </c>
      <c r="AB92" s="212">
        <f t="shared" ca="1" si="25"/>
        <v>0.4600961538458283</v>
      </c>
      <c r="AC92" s="214">
        <f t="shared" ca="1" si="20"/>
        <v>0.19831730769219225</v>
      </c>
    </row>
    <row r="93" spans="2:29">
      <c r="B93" s="220">
        <v>44644</v>
      </c>
      <c r="C93" s="208">
        <f ca="1">DATOSAÑO!I93</f>
        <v>299</v>
      </c>
      <c r="D93" s="202">
        <f ca="1">DATOSAÑO!P93</f>
        <v>146</v>
      </c>
      <c r="E93" s="202">
        <f ca="1">DATOSAÑO!Q93</f>
        <v>0</v>
      </c>
      <c r="F93" s="202">
        <f ca="1">DATOSAÑO!T93</f>
        <v>0</v>
      </c>
      <c r="G93" s="202">
        <f t="shared" ca="1" si="19"/>
        <v>445</v>
      </c>
      <c r="H93" s="202">
        <f t="shared" ca="1" si="14"/>
        <v>36.357999999980336</v>
      </c>
      <c r="I93" s="202">
        <f t="shared" ca="1" si="15"/>
        <v>198.59287796753776</v>
      </c>
      <c r="J93" s="202">
        <f t="shared" ca="1" si="16"/>
        <v>42.012036651392613</v>
      </c>
      <c r="K93" s="202">
        <f t="shared" ca="1" si="17"/>
        <v>4.4826738858765358</v>
      </c>
      <c r="L93" s="202">
        <f t="shared" ca="1" si="26"/>
        <v>158.34200000000217</v>
      </c>
      <c r="M93" s="202">
        <f t="shared" ca="1" si="18"/>
        <v>5.2124114952105662</v>
      </c>
      <c r="N93" s="202">
        <f t="shared" ca="1" si="21"/>
        <v>5</v>
      </c>
      <c r="O93" s="202">
        <f ca="1">(DATOSAÑO!AJ93+DATOSAÑO!AK93+DATOSAÑO!AD93)</f>
        <v>190.50000000001455</v>
      </c>
      <c r="P93" s="202">
        <f ca="1">DATOSAÑO!AI93</f>
        <v>40.299999999995634</v>
      </c>
      <c r="Q93" s="202">
        <f ca="1">DATOSAÑO!AH93</f>
        <v>4.2999999999956344</v>
      </c>
      <c r="R93" s="202">
        <f ca="1">DATOSAÑO!AM93+DATOSAÑO!AN93+DATOSAÑO!AF93</f>
        <v>158.34200000000217</v>
      </c>
      <c r="S93" s="215">
        <f ca="1">IF(B93&gt;=$P$5,0,CONTADORES!Q89-CONTADORES!Q88)</f>
        <v>15.200000000011642</v>
      </c>
      <c r="T93" s="212">
        <f ca="1">IF(B93&gt;=$P$5,0,(CONTADORES!S89-CONTADORES!S88)+(CONTADORES!AE89-CONTADORES!AE88))</f>
        <v>2.6999999999970896</v>
      </c>
      <c r="U93" s="212">
        <f ca="1">IF(B93&gt;=$P$5,0,(CONTADORES!AQ89-CONTADORES!AQ88))</f>
        <v>5</v>
      </c>
      <c r="V93" s="212">
        <f ca="1">IF(B93&gt;=$P$5,0,(CONTADORES!AR89-CONTADORES!AR88))</f>
        <v>0</v>
      </c>
      <c r="W93" s="736">
        <v>0</v>
      </c>
      <c r="X93" s="212">
        <f ca="1">IF(W93=0,(T93-INICIO!$W$6),((T93-INICIO!$W$6)+V93))</f>
        <v>2.6999999999970896</v>
      </c>
      <c r="Y93" s="214">
        <f t="shared" ca="1" si="22"/>
        <v>10.200000000011642</v>
      </c>
      <c r="Z93" s="215">
        <f t="shared" ca="1" si="23"/>
        <v>8.0928779675231954</v>
      </c>
      <c r="AA93" s="212">
        <f t="shared" ca="1" si="24"/>
        <v>1.7120366513969789</v>
      </c>
      <c r="AB93" s="212">
        <f t="shared" ca="1" si="25"/>
        <v>0.18267388588090155</v>
      </c>
      <c r="AC93" s="214">
        <f t="shared" ca="1" si="20"/>
        <v>0.21241149521056632</v>
      </c>
    </row>
    <row r="94" spans="2:29">
      <c r="B94" s="220">
        <v>44645</v>
      </c>
      <c r="C94" s="208">
        <f ca="1">DATOSAÑO!I94</f>
        <v>300</v>
      </c>
      <c r="D94" s="202">
        <f ca="1">DATOSAÑO!P94</f>
        <v>146</v>
      </c>
      <c r="E94" s="202">
        <f ca="1">DATOSAÑO!Q94</f>
        <v>0</v>
      </c>
      <c r="F94" s="202">
        <f ca="1">DATOSAÑO!T94</f>
        <v>0</v>
      </c>
      <c r="G94" s="202">
        <f t="shared" ca="1" si="19"/>
        <v>446</v>
      </c>
      <c r="H94" s="202">
        <f t="shared" ca="1" si="14"/>
        <v>35.470999999993808</v>
      </c>
      <c r="I94" s="202">
        <f t="shared" ca="1" si="15"/>
        <v>194.72648514851622</v>
      </c>
      <c r="J94" s="202">
        <f t="shared" ca="1" si="16"/>
        <v>41.936262376237053</v>
      </c>
      <c r="K94" s="202">
        <f t="shared" ca="1" si="17"/>
        <v>11.608292079214271</v>
      </c>
      <c r="L94" s="202">
        <f t="shared" ca="1" si="26"/>
        <v>157.02899999999892</v>
      </c>
      <c r="M94" s="202">
        <f t="shared" ca="1" si="18"/>
        <v>5.2289603960397226</v>
      </c>
      <c r="N94" s="202">
        <f t="shared" ca="1" si="21"/>
        <v>5</v>
      </c>
      <c r="O94" s="202">
        <f ca="1">(DATOSAÑO!AJ94+DATOSAÑO!AK94+DATOSAÑO!AD94)</f>
        <v>186.19999999999709</v>
      </c>
      <c r="P94" s="202">
        <f ca="1">DATOSAÑO!AI94</f>
        <v>40.099999999998545</v>
      </c>
      <c r="Q94" s="202">
        <f ca="1">DATOSAÑO!AH94</f>
        <v>11.100000000005821</v>
      </c>
      <c r="R94" s="202">
        <f ca="1">DATOSAÑO!AM94+DATOSAÑO!AN94+DATOSAÑO!AF94</f>
        <v>157.02899999999892</v>
      </c>
      <c r="S94" s="215">
        <f ca="1">IF(B94&gt;=$P$5,0,CONTADORES!Q90-CONTADORES!Q89)</f>
        <v>16.100000000005821</v>
      </c>
      <c r="T94" s="212">
        <f ca="1">IF(B94&gt;=$P$5,0,(CONTADORES!S90-CONTADORES!S89)+(CONTADORES!AE90-CONTADORES!AE89))</f>
        <v>2.4000000000014552</v>
      </c>
      <c r="U94" s="212">
        <f ca="1">IF(B94&gt;=$P$5,0,(CONTADORES!AQ90-CONTADORES!AQ89))</f>
        <v>5</v>
      </c>
      <c r="V94" s="212">
        <f ca="1">IF(B94&gt;=$P$5,0,(CONTADORES!AR90-CONTADORES!AR89))</f>
        <v>0</v>
      </c>
      <c r="W94" s="736">
        <v>0</v>
      </c>
      <c r="X94" s="212">
        <f ca="1">IF(W94=0,(T94-INICIO!$W$6),((T94-INICIO!$W$6)+V94))</f>
        <v>2.4000000000014552</v>
      </c>
      <c r="Y94" s="214">
        <f t="shared" ca="1" si="22"/>
        <v>11.100000000005821</v>
      </c>
      <c r="Z94" s="215">
        <f t="shared" ca="1" si="23"/>
        <v>8.5264851485191375</v>
      </c>
      <c r="AA94" s="212">
        <f t="shared" ca="1" si="24"/>
        <v>1.8362623762385091</v>
      </c>
      <c r="AB94" s="212">
        <f t="shared" ca="1" si="25"/>
        <v>0.50829207920845088</v>
      </c>
      <c r="AC94" s="214">
        <f t="shared" ca="1" si="20"/>
        <v>0.22896039603972265</v>
      </c>
    </row>
    <row r="95" spans="2:29">
      <c r="B95" s="220">
        <v>44646</v>
      </c>
      <c r="C95" s="208">
        <f ca="1">DATOSAÑO!I95</f>
        <v>296</v>
      </c>
      <c r="D95" s="202">
        <f ca="1">DATOSAÑO!P95</f>
        <v>146</v>
      </c>
      <c r="E95" s="202">
        <f ca="1">DATOSAÑO!Q95</f>
        <v>0</v>
      </c>
      <c r="F95" s="202">
        <f ca="1">DATOSAÑO!T95</f>
        <v>0</v>
      </c>
      <c r="G95" s="202">
        <f t="shared" ca="1" si="19"/>
        <v>442</v>
      </c>
      <c r="H95" s="202">
        <f t="shared" ca="1" si="14"/>
        <v>33.872000000029061</v>
      </c>
      <c r="I95" s="202">
        <f t="shared" ca="1" si="15"/>
        <v>191.71600338693489</v>
      </c>
      <c r="J95" s="202">
        <f t="shared" ca="1" si="16"/>
        <v>43.012531752750505</v>
      </c>
      <c r="K95" s="202">
        <f t="shared" ca="1" si="17"/>
        <v>8.4132091447919759</v>
      </c>
      <c r="L95" s="202">
        <f t="shared" ca="1" si="26"/>
        <v>159.72799999999853</v>
      </c>
      <c r="M95" s="202">
        <f t="shared" ca="1" si="18"/>
        <v>5.2582557154949843</v>
      </c>
      <c r="N95" s="202">
        <f t="shared" ca="1" si="21"/>
        <v>5</v>
      </c>
      <c r="O95" s="202">
        <f ca="1">(DATOSAÑO!AJ95+DATOSAÑO!AK95+DATOSAÑO!AD95)</f>
        <v>182.29999999998836</v>
      </c>
      <c r="P95" s="202">
        <f ca="1">DATOSAÑO!AI95</f>
        <v>40.900000000001455</v>
      </c>
      <c r="Q95" s="202">
        <f ca="1">DATOSAÑO!AH95</f>
        <v>8</v>
      </c>
      <c r="R95" s="202">
        <f ca="1">DATOSAÑO!AM95+DATOSAÑO!AN95+DATOSAÑO!AF95</f>
        <v>159.72799999999853</v>
      </c>
      <c r="S95" s="215">
        <f ca="1">IF(B95&gt;=$P$5,0,CONTADORES!Q91-CONTADORES!Q90)</f>
        <v>17.199999999982538</v>
      </c>
      <c r="T95" s="212">
        <f ca="1">IF(B95&gt;=$P$5,0,(CONTADORES!S91-CONTADORES!S90)+(CONTADORES!AE91-CONTADORES!AE90))</f>
        <v>2.3000000000029104</v>
      </c>
      <c r="U95" s="212">
        <f ca="1">IF(B95&gt;=$P$5,0,(CONTADORES!AQ91-CONTADORES!AQ90))</f>
        <v>5</v>
      </c>
      <c r="V95" s="212">
        <f ca="1">IF(B95&gt;=$P$5,0,(CONTADORES!AR91-CONTADORES!AR90))</f>
        <v>0</v>
      </c>
      <c r="W95" s="736">
        <v>0</v>
      </c>
      <c r="X95" s="212">
        <f ca="1">IF(W95=0,(T95-INICIO!$W$6),((T95-INICIO!$W$6)+V95))</f>
        <v>2.3000000000029104</v>
      </c>
      <c r="Y95" s="214">
        <f t="shared" ca="1" si="22"/>
        <v>12.199999999982538</v>
      </c>
      <c r="Z95" s="215">
        <f t="shared" ca="1" si="23"/>
        <v>9.4160033869465298</v>
      </c>
      <c r="AA95" s="212">
        <f t="shared" ca="1" si="24"/>
        <v>2.1125317527490477</v>
      </c>
      <c r="AB95" s="212">
        <f t="shared" ca="1" si="25"/>
        <v>0.41320914479197507</v>
      </c>
      <c r="AC95" s="214">
        <f t="shared" ca="1" si="20"/>
        <v>0.25825571549498444</v>
      </c>
    </row>
    <row r="96" spans="2:29">
      <c r="B96" s="220">
        <v>44647</v>
      </c>
      <c r="C96" s="208">
        <f ca="1">DATOSAÑO!I96</f>
        <v>294</v>
      </c>
      <c r="D96" s="202">
        <f ca="1">DATOSAÑO!P96</f>
        <v>152</v>
      </c>
      <c r="E96" s="202">
        <f ca="1">DATOSAÑO!Q96</f>
        <v>0.32099999999991269</v>
      </c>
      <c r="F96" s="202">
        <f ca="1">DATOSAÑO!T96</f>
        <v>0</v>
      </c>
      <c r="G96" s="202">
        <f t="shared" ca="1" si="19"/>
        <v>446.32099999999991</v>
      </c>
      <c r="H96" s="202">
        <f t="shared" ca="1" si="14"/>
        <v>35.81799999998583</v>
      </c>
      <c r="I96" s="202">
        <f t="shared" ca="1" si="15"/>
        <v>192.49820233140221</v>
      </c>
      <c r="J96" s="202">
        <f t="shared" ca="1" si="16"/>
        <v>43.892098251457014</v>
      </c>
      <c r="K96" s="202">
        <f t="shared" ca="1" si="17"/>
        <v>9.4054496253122171</v>
      </c>
      <c r="L96" s="202">
        <f t="shared" ca="1" si="26"/>
        <v>159.48200000000256</v>
      </c>
      <c r="M96" s="202">
        <f t="shared" ca="1" si="18"/>
        <v>5.2252497918401204</v>
      </c>
      <c r="N96" s="202">
        <f t="shared" ca="1" si="21"/>
        <v>5</v>
      </c>
      <c r="O96" s="202">
        <f ca="1">(DATOSAÑO!AJ96+DATOSAÑO!AK96+DATOSAÑO!AD96)</f>
        <v>184.20000000001164</v>
      </c>
      <c r="P96" s="202">
        <f ca="1">DATOSAÑO!AI96</f>
        <v>42</v>
      </c>
      <c r="Q96" s="202">
        <f ca="1">DATOSAÑO!AH96</f>
        <v>9</v>
      </c>
      <c r="R96" s="202">
        <f ca="1">DATOSAÑO!AM96+DATOSAÑO!AN96+DATOSAÑO!AF96</f>
        <v>159.48200000000256</v>
      </c>
      <c r="S96" s="215">
        <f ca="1">IF(B96&gt;=$P$5,0,CONTADORES!Q92-CONTADORES!Q91)</f>
        <v>15.5</v>
      </c>
      <c r="T96" s="212">
        <f ca="1">IF(B96&gt;=$P$5,0,(CONTADORES!S92-CONTADORES!S91)+(CONTADORES!AE92-CONTADORES!AE91))</f>
        <v>2.3999999999941792</v>
      </c>
      <c r="U96" s="212">
        <f ca="1">IF(B96&gt;=$P$5,0,(CONTADORES!AQ92-CONTADORES!AQ91))</f>
        <v>5</v>
      </c>
      <c r="V96" s="212">
        <f ca="1">IF(B96&gt;=$P$5,0,(CONTADORES!AR92-CONTADORES!AR91))</f>
        <v>0</v>
      </c>
      <c r="W96" s="736">
        <v>0</v>
      </c>
      <c r="X96" s="212">
        <f ca="1">IF(W96=0,(T96-INICIO!$W$6),((T96-INICIO!$W$6)+V96))</f>
        <v>2.3999999999941792</v>
      </c>
      <c r="Y96" s="214">
        <f t="shared" ca="1" si="22"/>
        <v>10.820999999999913</v>
      </c>
      <c r="Z96" s="215">
        <f t="shared" ca="1" si="23"/>
        <v>8.2982023313905628</v>
      </c>
      <c r="AA96" s="212">
        <f t="shared" ca="1" si="24"/>
        <v>1.8920982514570122</v>
      </c>
      <c r="AB96" s="212">
        <f t="shared" ca="1" si="25"/>
        <v>0.4054496253122169</v>
      </c>
      <c r="AC96" s="214">
        <f t="shared" ca="1" si="20"/>
        <v>0.22524979184012048</v>
      </c>
    </row>
    <row r="97" spans="2:29">
      <c r="B97" s="220">
        <v>44648</v>
      </c>
      <c r="C97" s="208">
        <f ca="1">DATOSAÑO!I97</f>
        <v>297</v>
      </c>
      <c r="D97" s="202">
        <f ca="1">DATOSAÑO!P97</f>
        <v>147</v>
      </c>
      <c r="E97" s="202">
        <f ca="1">DATOSAÑO!Q97</f>
        <v>0</v>
      </c>
      <c r="F97" s="202">
        <f ca="1">DATOSAÑO!T97</f>
        <v>0.36199999999996635</v>
      </c>
      <c r="G97" s="202">
        <f t="shared" ca="1" si="19"/>
        <v>444.36199999999997</v>
      </c>
      <c r="H97" s="202">
        <f t="shared" ca="1" si="14"/>
        <v>33.97299999999268</v>
      </c>
      <c r="I97" s="202">
        <f t="shared" ca="1" si="15"/>
        <v>193.66861590240413</v>
      </c>
      <c r="J97" s="202">
        <f t="shared" ca="1" si="16"/>
        <v>43.072233908292837</v>
      </c>
      <c r="K97" s="202">
        <f t="shared" ca="1" si="17"/>
        <v>6.9875052587267872</v>
      </c>
      <c r="L97" s="202">
        <f t="shared" ca="1" si="26"/>
        <v>162.48899999999855</v>
      </c>
      <c r="M97" s="202">
        <f t="shared" ca="1" si="18"/>
        <v>4.1716449305849688</v>
      </c>
      <c r="N97" s="202">
        <f t="shared" ca="1" si="21"/>
        <v>4</v>
      </c>
      <c r="O97" s="202">
        <f ca="1">(DATOSAÑO!AJ97+DATOSAÑO!AK97+DATOSAÑO!AD97)</f>
        <v>185.69999999999709</v>
      </c>
      <c r="P97" s="202">
        <f ca="1">DATOSAÑO!AI97</f>
        <v>41.30000000000291</v>
      </c>
      <c r="Q97" s="202">
        <f ca="1">DATOSAÑO!AH97</f>
        <v>6.6999999999970896</v>
      </c>
      <c r="R97" s="202">
        <f ca="1">DATOSAÑO!AM97+DATOSAÑO!AN97+DATOSAÑO!AF97</f>
        <v>162.48899999999855</v>
      </c>
      <c r="S97" s="215">
        <f ca="1">IF(B97&gt;=$P$5,0,CONTADORES!Q93-CONTADORES!Q92)</f>
        <v>14.200000000011642</v>
      </c>
      <c r="T97" s="212">
        <f ca="1">IF(B97&gt;=$P$5,0,(CONTADORES!S93-CONTADORES!S92)+(CONTADORES!AE93-CONTADORES!AE92))</f>
        <v>2.6000000000058208</v>
      </c>
      <c r="U97" s="212">
        <f ca="1">IF(B97&gt;=$P$5,0,(CONTADORES!AQ93-CONTADORES!AQ92))</f>
        <v>4</v>
      </c>
      <c r="V97" s="212">
        <f ca="1">IF(B97&gt;=$P$5,0,(CONTADORES!AR93-CONTADORES!AR92))</f>
        <v>0</v>
      </c>
      <c r="W97" s="736">
        <v>0</v>
      </c>
      <c r="X97" s="212">
        <f ca="1">IF(W97=0,(T97-INICIO!$W$6),((T97-INICIO!$W$6)+V97))</f>
        <v>2.6000000000058208</v>
      </c>
      <c r="Y97" s="214">
        <f t="shared" ca="1" si="22"/>
        <v>10.200000000011642</v>
      </c>
      <c r="Z97" s="215">
        <f t="shared" ca="1" si="23"/>
        <v>7.9686159024070484</v>
      </c>
      <c r="AA97" s="212">
        <f t="shared" ca="1" si="24"/>
        <v>1.772233908289927</v>
      </c>
      <c r="AB97" s="212">
        <f t="shared" ca="1" si="25"/>
        <v>0.28750525872969768</v>
      </c>
      <c r="AC97" s="214">
        <f t="shared" ca="1" si="20"/>
        <v>0.17164493058496871</v>
      </c>
    </row>
    <row r="98" spans="2:29">
      <c r="B98" s="220">
        <v>44649</v>
      </c>
      <c r="C98" s="208">
        <f ca="1">DATOSAÑO!I98</f>
        <v>295</v>
      </c>
      <c r="D98" s="202">
        <f ca="1">DATOSAÑO!P98</f>
        <v>151</v>
      </c>
      <c r="E98" s="202">
        <f ca="1">DATOSAÑO!Q98</f>
        <v>0</v>
      </c>
      <c r="F98" s="202">
        <f ca="1">DATOSAÑO!T98</f>
        <v>0</v>
      </c>
      <c r="G98" s="202">
        <f t="shared" ca="1" si="19"/>
        <v>446</v>
      </c>
      <c r="H98" s="202">
        <f t="shared" ca="1" si="14"/>
        <v>34.847000000005892</v>
      </c>
      <c r="I98" s="202">
        <f t="shared" ca="1" si="15"/>
        <v>193.11047778708254</v>
      </c>
      <c r="J98" s="202">
        <f t="shared" ca="1" si="16"/>
        <v>41.844090528080535</v>
      </c>
      <c r="K98" s="202">
        <f t="shared" ca="1" si="17"/>
        <v>9.4149203688181213</v>
      </c>
      <c r="L98" s="202">
        <f t="shared" ca="1" si="26"/>
        <v>161.5530000000029</v>
      </c>
      <c r="M98" s="202">
        <f t="shared" ca="1" si="18"/>
        <v>5.2305113160100669</v>
      </c>
      <c r="N98" s="202">
        <f t="shared" ca="1" si="21"/>
        <v>5</v>
      </c>
      <c r="O98" s="202">
        <f ca="1">(DATOSAÑO!AJ98+DATOSAÑO!AK98+DATOSAÑO!AD98)</f>
        <v>184.59999999999127</v>
      </c>
      <c r="P98" s="202">
        <f ca="1">DATOSAÑO!AI98</f>
        <v>40</v>
      </c>
      <c r="Q98" s="202">
        <f ca="1">DATOSAÑO!AH98</f>
        <v>9</v>
      </c>
      <c r="R98" s="202">
        <f ca="1">DATOSAÑO!AM98+DATOSAÑO!AN98+DATOSAÑO!AF98</f>
        <v>161.5530000000029</v>
      </c>
      <c r="S98" s="215">
        <f ca="1">IF(B98&gt;=$P$5,0,CONTADORES!Q94-CONTADORES!Q93)</f>
        <v>16</v>
      </c>
      <c r="T98" s="212">
        <f ca="1">IF(B98&gt;=$P$5,0,(CONTADORES!S94-CONTADORES!S93)+(CONTADORES!AE94-CONTADORES!AE93))</f>
        <v>2.5</v>
      </c>
      <c r="U98" s="212">
        <f ca="1">IF(B98&gt;=$P$5,0,(CONTADORES!AQ94-CONTADORES!AQ93))</f>
        <v>5</v>
      </c>
      <c r="V98" s="212">
        <f ca="1">IF(B98&gt;=$P$5,0,(CONTADORES!AR94-CONTADORES!AR93))</f>
        <v>0</v>
      </c>
      <c r="W98" s="736">
        <v>0</v>
      </c>
      <c r="X98" s="212">
        <f ca="1">IF(W98=0,(T98-INICIO!$W$6),((T98-INICIO!$W$6)+V98))</f>
        <v>2.5</v>
      </c>
      <c r="Y98" s="214">
        <f t="shared" ca="1" si="22"/>
        <v>11</v>
      </c>
      <c r="Z98" s="215">
        <f t="shared" ca="1" si="23"/>
        <v>8.5104777870912756</v>
      </c>
      <c r="AA98" s="212">
        <f t="shared" ca="1" si="24"/>
        <v>1.8440905280805369</v>
      </c>
      <c r="AB98" s="212">
        <f t="shared" ca="1" si="25"/>
        <v>0.41492036881812078</v>
      </c>
      <c r="AC98" s="214">
        <f t="shared" ca="1" si="20"/>
        <v>0.23051131601006711</v>
      </c>
    </row>
    <row r="99" spans="2:29">
      <c r="B99" s="220">
        <v>44650</v>
      </c>
      <c r="C99" s="208">
        <f ca="1">DATOSAÑO!I99</f>
        <v>285</v>
      </c>
      <c r="D99" s="202">
        <f ca="1">DATOSAÑO!P99</f>
        <v>145.79999999999927</v>
      </c>
      <c r="E99" s="202">
        <f ca="1">DATOSAÑO!Q99</f>
        <v>0</v>
      </c>
      <c r="F99" s="202">
        <f ca="1">DATOSAÑO!T99</f>
        <v>0</v>
      </c>
      <c r="G99" s="202">
        <f t="shared" ca="1" si="19"/>
        <v>430.79999999999927</v>
      </c>
      <c r="H99" s="202">
        <f t="shared" ca="1" si="14"/>
        <v>32.986999999999284</v>
      </c>
      <c r="I99" s="202">
        <f t="shared" ca="1" si="15"/>
        <v>190.50956175299717</v>
      </c>
      <c r="J99" s="202">
        <f t="shared" ca="1" si="16"/>
        <v>41.387649402385826</v>
      </c>
      <c r="K99" s="202">
        <f t="shared" ca="1" si="17"/>
        <v>0.73718459495045408</v>
      </c>
      <c r="L99" s="202">
        <f t="shared" ca="1" si="26"/>
        <v>159.91299999999853</v>
      </c>
      <c r="M99" s="202">
        <f t="shared" ca="1" si="18"/>
        <v>5.2656042496679927</v>
      </c>
      <c r="N99" s="202">
        <f t="shared" ca="1" si="21"/>
        <v>5</v>
      </c>
      <c r="O99" s="202">
        <f ca="1">(DATOSAÑO!AJ99+DATOSAÑO!AK99+DATOSAÑO!AD99)</f>
        <v>180.90000000000873</v>
      </c>
      <c r="P99" s="202">
        <f ca="1">DATOSAÑO!AI99</f>
        <v>39.299999999995634</v>
      </c>
      <c r="Q99" s="202">
        <f ca="1">DATOSAÑO!AH99</f>
        <v>0.69999999999708962</v>
      </c>
      <c r="R99" s="202">
        <f ca="1">DATOSAÑO!AM99+DATOSAÑO!AN99+DATOSAÑO!AF99</f>
        <v>159.91299999999853</v>
      </c>
      <c r="S99" s="215">
        <f ca="1">IF(B99&gt;=$P$5,0,CONTADORES!Q95-CONTADORES!Q94)</f>
        <v>17</v>
      </c>
      <c r="T99" s="212">
        <f ca="1">IF(B99&gt;=$P$5,0,(CONTADORES!S95-CONTADORES!S94)+(CONTADORES!AE95-CONTADORES!AE94))</f>
        <v>2.0999999999985448</v>
      </c>
      <c r="U99" s="212">
        <f ca="1">IF(B99&gt;=$P$5,0,(CONTADORES!AQ95-CONTADORES!AQ94))</f>
        <v>5</v>
      </c>
      <c r="V99" s="212">
        <f ca="1">IF(B99&gt;=$P$5,0,(CONTADORES!AR95-CONTADORES!AR94))</f>
        <v>0</v>
      </c>
      <c r="W99" s="736">
        <v>0</v>
      </c>
      <c r="X99" s="212">
        <f ca="1">IF(W99=0,(T99-INICIO!$W$6),((T99-INICIO!$W$6)+V99))</f>
        <v>2.0999999999985448</v>
      </c>
      <c r="Y99" s="214">
        <f t="shared" ca="1" si="22"/>
        <v>12</v>
      </c>
      <c r="Z99" s="215">
        <f t="shared" ca="1" si="23"/>
        <v>9.6095617529884496</v>
      </c>
      <c r="AA99" s="212">
        <f t="shared" ca="1" si="24"/>
        <v>2.087649402390193</v>
      </c>
      <c r="AB99" s="212">
        <f t="shared" ca="1" si="25"/>
        <v>3.7184594953364417E-2</v>
      </c>
      <c r="AC99" s="214">
        <f t="shared" ca="1" si="20"/>
        <v>0.26560424966799295</v>
      </c>
    </row>
    <row r="100" spans="2:29" ht="15" thickBot="1">
      <c r="B100" s="1069">
        <v>44651</v>
      </c>
      <c r="C100" s="209">
        <f ca="1">DATOSAÑO!I100</f>
        <v>310</v>
      </c>
      <c r="D100" s="203">
        <f ca="1">DATOSAÑO!P100</f>
        <v>148</v>
      </c>
      <c r="E100" s="203">
        <f ca="1">DATOSAÑO!Q100</f>
        <v>0</v>
      </c>
      <c r="F100" s="203">
        <f ca="1">DATOSAÑO!T100</f>
        <v>0</v>
      </c>
      <c r="G100" s="203">
        <f t="shared" ca="1" si="19"/>
        <v>458</v>
      </c>
      <c r="H100" s="203">
        <f t="shared" ca="1" si="14"/>
        <v>44.102000000001453</v>
      </c>
      <c r="I100" s="203">
        <f t="shared" ca="1" si="15"/>
        <v>185.93922305763994</v>
      </c>
      <c r="J100" s="203">
        <f t="shared" ca="1" si="16"/>
        <v>41.854636591478439</v>
      </c>
      <c r="K100" s="203">
        <f t="shared" ca="1" si="17"/>
        <v>17.578947368423989</v>
      </c>
      <c r="L100" s="203">
        <f t="shared" ca="1" si="26"/>
        <v>163.39799999999855</v>
      </c>
      <c r="M100" s="203">
        <f t="shared" ca="1" si="18"/>
        <v>5.1271929824576317</v>
      </c>
      <c r="N100" s="203">
        <f t="shared" ca="1" si="21"/>
        <v>4.9000000000014552</v>
      </c>
      <c r="O100" s="203">
        <f ca="1">(DATOSAÑO!AJ100+DATOSAÑO!AK100+DATOSAÑO!AD100)</f>
        <v>177.69999999999709</v>
      </c>
      <c r="P100" s="203">
        <f ca="1">DATOSAÑO!AI100</f>
        <v>40</v>
      </c>
      <c r="Q100" s="203">
        <f ca="1">DATOSAÑO!AH100</f>
        <v>16.80000000000291</v>
      </c>
      <c r="R100" s="203">
        <f ca="1">DATOSAÑO!AM100+DATOSAÑO!AN100+DATOSAÑO!AF100</f>
        <v>163.39799999999855</v>
      </c>
      <c r="S100" s="209">
        <f ca="1">IF(B100&gt;=$P$5,0,CONTADORES!Q96-CONTADORES!Q95)</f>
        <v>16</v>
      </c>
      <c r="T100" s="203">
        <f ca="1">IF(B100&gt;=$P$5,0,(CONTADORES!S96-CONTADORES!S95)+(CONTADORES!AE96-CONTADORES!AE95))</f>
        <v>2.5</v>
      </c>
      <c r="U100" s="203">
        <f ca="1">IF(B100&gt;=$P$5,0,(CONTADORES!AQ96-CONTADORES!AQ95))</f>
        <v>4.9000000000014552</v>
      </c>
      <c r="V100" s="203">
        <f ca="1">IF(B100&gt;=$P$5,0,(CONTADORES!AR96-CONTADORES!AR95))</f>
        <v>0</v>
      </c>
      <c r="W100" s="737">
        <v>0</v>
      </c>
      <c r="X100" s="203">
        <f ca="1">IF(W100=0,(T100-INICIO!$W$6),((T100-INICIO!$W$6)+V100))</f>
        <v>2.5</v>
      </c>
      <c r="Y100" s="207">
        <f t="shared" ca="1" si="22"/>
        <v>11.099999999998545</v>
      </c>
      <c r="Z100" s="203">
        <f t="shared" ca="1" si="23"/>
        <v>8.239223057642846</v>
      </c>
      <c r="AA100" s="203">
        <f t="shared" ca="1" si="24"/>
        <v>1.8546365914784424</v>
      </c>
      <c r="AB100" s="203">
        <f t="shared" ca="1" si="25"/>
        <v>0.7789473684210807</v>
      </c>
      <c r="AC100" s="207">
        <f t="shared" ca="1" si="20"/>
        <v>0.22719298245617667</v>
      </c>
    </row>
    <row r="101" spans="2:29">
      <c r="B101" s="410">
        <v>44652</v>
      </c>
      <c r="C101" s="208">
        <f ca="1">DATOSAÑO!I101</f>
        <v>307</v>
      </c>
      <c r="D101" s="202">
        <f ca="1">DATOSAÑO!P101</f>
        <v>147.20000000000073</v>
      </c>
      <c r="E101" s="202">
        <f ca="1">DATOSAÑO!Q101</f>
        <v>0</v>
      </c>
      <c r="F101" s="202">
        <f ca="1">DATOSAÑO!T101</f>
        <v>0</v>
      </c>
      <c r="G101" s="202">
        <f t="shared" ca="1" si="19"/>
        <v>454.20000000000073</v>
      </c>
      <c r="H101" s="202">
        <f ca="1">G101-SUM(I101:M101)</f>
        <v>25.43999999999636</v>
      </c>
      <c r="I101" s="202">
        <f t="shared" ca="1" si="15"/>
        <v>205.64463007159293</v>
      </c>
      <c r="J101" s="202">
        <f t="shared" ca="1" si="16"/>
        <v>40.733054892607484</v>
      </c>
      <c r="K101" s="202">
        <f t="shared" ca="1" si="17"/>
        <v>10.834367541767623</v>
      </c>
      <c r="L101" s="202">
        <f t="shared" ca="1" si="26"/>
        <v>166.86000000000291</v>
      </c>
      <c r="M101" s="202">
        <f t="shared" ca="1" si="18"/>
        <v>4.6879474940334118</v>
      </c>
      <c r="N101" s="202">
        <f t="shared" ca="1" si="21"/>
        <v>4.5</v>
      </c>
      <c r="O101" s="202">
        <f ca="1">(DATOSAÑO!AJ101+DATOSAÑO!AK101+DATOSAÑO!AD101)</f>
        <v>197.39999999999418</v>
      </c>
      <c r="P101" s="202">
        <f ca="1">DATOSAÑO!AI101</f>
        <v>39.100000000005821</v>
      </c>
      <c r="Q101" s="202">
        <f ca="1">DATOSAÑO!AH101</f>
        <v>10.400000000001455</v>
      </c>
      <c r="R101" s="202">
        <f ca="1">DATOSAÑO!AM101+DATOSAÑO!AN101+DATOSAÑO!AF101</f>
        <v>166.86000000000291</v>
      </c>
      <c r="S101" s="208">
        <f ca="1">IF(B101&gt;=$P$5,0,CONTADORES!Q99-CONTADORES!Q98)</f>
        <v>15</v>
      </c>
      <c r="T101" s="202">
        <f ca="1">IF(B101&gt;=$P$5,0,(CONTADORES!S99-CONTADORES!S98)+(CONTADORES!AE99-CONTADORES!AE98))</f>
        <v>2.5999999999985448</v>
      </c>
      <c r="U101" s="202">
        <f ca="1">IF(B101&gt;=$P$5,0,(CONTADORES!AQ99-CONTADORES!AQ98))</f>
        <v>4.5</v>
      </c>
      <c r="V101" s="202">
        <f ca="1">IF(B101&gt;=$P$5,0,(CONTADORES!AR99-CONTADORES!AR98))</f>
        <v>0</v>
      </c>
      <c r="W101" s="735">
        <v>0</v>
      </c>
      <c r="X101" s="202">
        <f ca="1">IF(W101=0,(T101-INICIO!$W$6),((T101-INICIO!$W$6)+V101))</f>
        <v>2.5999999999985448</v>
      </c>
      <c r="Y101" s="214">
        <f t="shared" ca="1" si="22"/>
        <v>10.5</v>
      </c>
      <c r="Z101" s="215">
        <f t="shared" ca="1" si="23"/>
        <v>8.2446300715987544</v>
      </c>
      <c r="AA101" s="212">
        <f t="shared" ca="1" si="24"/>
        <v>1.6330548926016657</v>
      </c>
      <c r="AB101" s="212">
        <f t="shared" ca="1" si="25"/>
        <v>0.43436754176616804</v>
      </c>
      <c r="AC101" s="214">
        <f t="shared" ca="1" si="20"/>
        <v>0.18794749403341179</v>
      </c>
    </row>
    <row r="102" spans="2:29">
      <c r="B102" s="220">
        <v>44653</v>
      </c>
      <c r="C102" s="208">
        <f ca="1">DATOSAÑO!I102</f>
        <v>308</v>
      </c>
      <c r="D102" s="202">
        <f ca="1">DATOSAÑO!P102</f>
        <v>147</v>
      </c>
      <c r="E102" s="202">
        <f ca="1">DATOSAÑO!Q102</f>
        <v>0</v>
      </c>
      <c r="F102" s="202">
        <f ca="1">DATOSAÑO!T102</f>
        <v>0</v>
      </c>
      <c r="G102" s="202">
        <f t="shared" ca="1" si="19"/>
        <v>455</v>
      </c>
      <c r="H102" s="202">
        <f t="shared" ref="H102:H130" ca="1" si="27">G102-SUM(I102:M102)</f>
        <v>35.347600000006651</v>
      </c>
      <c r="I102" s="202">
        <f t="shared" ca="1" si="15"/>
        <v>194.95437731196066</v>
      </c>
      <c r="J102" s="202">
        <f t="shared" ca="1" si="16"/>
        <v>40.546362515411587</v>
      </c>
      <c r="K102" s="202">
        <f t="shared" ca="1" si="17"/>
        <v>12.651294697900813</v>
      </c>
      <c r="L102" s="202">
        <f t="shared" ca="1" si="26"/>
        <v>167.35239999999771</v>
      </c>
      <c r="M102" s="202">
        <f t="shared" ca="1" si="18"/>
        <v>4.1479654747225672</v>
      </c>
      <c r="N102" s="202">
        <f t="shared" ca="1" si="21"/>
        <v>4</v>
      </c>
      <c r="O102" s="202">
        <f ca="1">(DATOSAÑO!AJ102+DATOSAÑO!AK102+DATOSAÑO!AD102)</f>
        <v>188</v>
      </c>
      <c r="P102" s="202">
        <f ca="1">DATOSAÑO!AI102</f>
        <v>39.099999999998545</v>
      </c>
      <c r="Q102" s="202">
        <f ca="1">DATOSAÑO!AH102</f>
        <v>12.19999999999709</v>
      </c>
      <c r="R102" s="202">
        <f ca="1">DATOSAÑO!AM102+DATOSAÑO!AN102+DATOSAÑO!AF102</f>
        <v>167.35239999999771</v>
      </c>
      <c r="S102" s="215">
        <f ca="1">IF(B102&gt;=$P$5,0,CONTADORES!Q100-CONTADORES!Q99)</f>
        <v>13</v>
      </c>
      <c r="T102" s="212">
        <f ca="1">IF(B102&gt;=$P$5,0,(CONTADORES!S100-CONTADORES!S99)+(CONTADORES!AE100-CONTADORES!AE99))</f>
        <v>2.4000000000014552</v>
      </c>
      <c r="U102" s="212">
        <f ca="1">IF(B102&gt;=$P$5,0,(CONTADORES!AQ100-CONTADORES!AQ99))</f>
        <v>4</v>
      </c>
      <c r="V102" s="212">
        <f ca="1">IF(B102&gt;=$P$5,0,(CONTADORES!AR100-CONTADORES!AR99))</f>
        <v>0</v>
      </c>
      <c r="W102" s="736">
        <v>0</v>
      </c>
      <c r="X102" s="212">
        <f ca="1">IF(W102=0,(T102-INICIO!$W$6),((T102-INICIO!$W$6)+V102))</f>
        <v>2.4000000000014552</v>
      </c>
      <c r="Y102" s="214">
        <f t="shared" ca="1" si="22"/>
        <v>9</v>
      </c>
      <c r="Z102" s="215">
        <f t="shared" ca="1" si="23"/>
        <v>6.9543773119606671</v>
      </c>
      <c r="AA102" s="212">
        <f t="shared" ca="1" si="24"/>
        <v>1.4463625154130424</v>
      </c>
      <c r="AB102" s="212">
        <f t="shared" ca="1" si="25"/>
        <v>0.4512946979037229</v>
      </c>
      <c r="AC102" s="214">
        <f t="shared" ca="1" si="20"/>
        <v>0.14796547472256738</v>
      </c>
    </row>
    <row r="103" spans="2:29">
      <c r="B103" s="220">
        <v>44654</v>
      </c>
      <c r="C103" s="208">
        <f ca="1">DATOSAÑO!I103</f>
        <v>303</v>
      </c>
      <c r="D103" s="202">
        <f ca="1">DATOSAÑO!P103</f>
        <v>147.20000000000073</v>
      </c>
      <c r="E103" s="202">
        <f ca="1">DATOSAÑO!Q103</f>
        <v>0.14499999999998181</v>
      </c>
      <c r="F103" s="202">
        <f ca="1">DATOSAÑO!T103</f>
        <v>0.28600000000005821</v>
      </c>
      <c r="G103" s="202">
        <f t="shared" ca="1" si="19"/>
        <v>450.63100000000077</v>
      </c>
      <c r="H103" s="202">
        <f t="shared" ca="1" si="27"/>
        <v>35.186999999985517</v>
      </c>
      <c r="I103" s="202">
        <f t="shared" ca="1" si="15"/>
        <v>201.36119867276693</v>
      </c>
      <c r="J103" s="202">
        <f t="shared" ca="1" si="16"/>
        <v>40.06357527996871</v>
      </c>
      <c r="K103" s="202">
        <f t="shared" ca="1" si="17"/>
        <v>5.2166113645790615</v>
      </c>
      <c r="L103" s="202">
        <f t="shared" ca="1" si="26"/>
        <v>163.89899999999926</v>
      </c>
      <c r="M103" s="202">
        <f t="shared" ca="1" si="18"/>
        <v>4.9036146827012805</v>
      </c>
      <c r="N103" s="202">
        <f t="shared" ca="1" si="21"/>
        <v>4.6999999999970896</v>
      </c>
      <c r="O103" s="202">
        <f ca="1">(DATOSAÑO!AJ103+DATOSAÑO!AK103+DATOSAÑO!AD103)</f>
        <v>193.00000000001455</v>
      </c>
      <c r="P103" s="202">
        <f ca="1">DATOSAÑO!AI103</f>
        <v>38.400000000001455</v>
      </c>
      <c r="Q103" s="202">
        <f ca="1">DATOSAÑO!AH103</f>
        <v>5</v>
      </c>
      <c r="R103" s="202">
        <f ca="1">DATOSAÑO!AM103+DATOSAÑO!AN103+DATOSAÑO!AF103</f>
        <v>163.89899999999926</v>
      </c>
      <c r="S103" s="215">
        <f ca="1">IF(B103&gt;=$P$5,0,CONTADORES!Q101-CONTADORES!Q100)</f>
        <v>15</v>
      </c>
      <c r="T103" s="212">
        <f ca="1">IF(B103&gt;=$P$5,0,(CONTADORES!S101-CONTADORES!S100)+(CONTADORES!AE101-CONTADORES!AE100))</f>
        <v>2.4000000000014552</v>
      </c>
      <c r="U103" s="212">
        <f ca="1">IF(B103&gt;=$P$5,0,(CONTADORES!AQ101-CONTADORES!AQ100))</f>
        <v>4.6999999999970896</v>
      </c>
      <c r="V103" s="212">
        <f ca="1">IF(B103&gt;=$P$5,0,(CONTADORES!AR101-CONTADORES!AR100))</f>
        <v>0</v>
      </c>
      <c r="W103" s="736">
        <v>0</v>
      </c>
      <c r="X103" s="212">
        <f ca="1">IF(W103=0,(T103-INICIO!$W$6),((T103-INICIO!$W$6)+V103))</f>
        <v>2.4000000000014552</v>
      </c>
      <c r="Y103" s="214">
        <f t="shared" ca="1" si="22"/>
        <v>10.445000000002892</v>
      </c>
      <c r="Z103" s="215">
        <f t="shared" ca="1" si="23"/>
        <v>8.361198672752387</v>
      </c>
      <c r="AA103" s="212">
        <f t="shared" ca="1" si="24"/>
        <v>1.6635752799672521</v>
      </c>
      <c r="AB103" s="212">
        <f t="shared" ca="1" si="25"/>
        <v>0.21661136457906108</v>
      </c>
      <c r="AC103" s="214">
        <f t="shared" ca="1" si="20"/>
        <v>0.20361468270419131</v>
      </c>
    </row>
    <row r="104" spans="2:29">
      <c r="B104" s="220">
        <v>44655</v>
      </c>
      <c r="C104" s="208">
        <f ca="1">DATOSAÑO!I104</f>
        <v>322.90000000002328</v>
      </c>
      <c r="D104" s="202">
        <f ca="1">DATOSAÑO!P104</f>
        <v>148.09999999999854</v>
      </c>
      <c r="E104" s="202">
        <f ca="1">DATOSAÑO!Q104</f>
        <v>0.25600000000008549</v>
      </c>
      <c r="F104" s="202">
        <f ca="1">DATOSAÑO!T104</f>
        <v>0</v>
      </c>
      <c r="G104" s="202">
        <f t="shared" ca="1" si="19"/>
        <v>471.25600000002191</v>
      </c>
      <c r="H104" s="202">
        <f t="shared" ca="1" si="27"/>
        <v>37.727000000007308</v>
      </c>
      <c r="I104" s="202">
        <f t="shared" ca="1" si="15"/>
        <v>204.69206539510145</v>
      </c>
      <c r="J104" s="202">
        <f t="shared" ca="1" si="16"/>
        <v>38.516762942773219</v>
      </c>
      <c r="K104" s="202">
        <f t="shared" ca="1" si="17"/>
        <v>19.728098092644572</v>
      </c>
      <c r="L104" s="202">
        <f t="shared" ca="1" si="26"/>
        <v>165.37300000001309</v>
      </c>
      <c r="M104" s="202">
        <f t="shared" ca="1" si="18"/>
        <v>5.2190735694822896</v>
      </c>
      <c r="N104" s="202">
        <f t="shared" ca="1" si="21"/>
        <v>5</v>
      </c>
      <c r="O104" s="202">
        <f ca="1">(DATOSAÑO!AJ104+DATOSAÑO!AK104+DATOSAÑO!AD104)</f>
        <v>196.10000000000582</v>
      </c>
      <c r="P104" s="202">
        <f ca="1">DATOSAÑO!AI104</f>
        <v>36.899999999994179</v>
      </c>
      <c r="Q104" s="202">
        <f ca="1">DATOSAÑO!AH104</f>
        <v>18.900000000001455</v>
      </c>
      <c r="R104" s="202">
        <f ca="1">DATOSAÑO!AM104+DATOSAÑO!AN104+DATOSAÑO!AF104</f>
        <v>165.37300000001309</v>
      </c>
      <c r="S104" s="215">
        <f ca="1">IF(B104&gt;=$P$5,0,CONTADORES!Q102-CONTADORES!Q101)</f>
        <v>16</v>
      </c>
      <c r="T104" s="212">
        <f ca="1">IF(B104&gt;=$P$5,0,(CONTADORES!S102-CONTADORES!S101)+(CONTADORES!AE102-CONTADORES!AE101))</f>
        <v>2.2999999999956344</v>
      </c>
      <c r="U104" s="212">
        <f ca="1">IF(B104&gt;=$P$5,0,(CONTADORES!AQ102-CONTADORES!AQ101))</f>
        <v>5</v>
      </c>
      <c r="V104" s="212">
        <f ca="1">IF(B104&gt;=$P$5,0,(CONTADORES!AR102-CONTADORES!AR101))</f>
        <v>0</v>
      </c>
      <c r="W104" s="736">
        <v>0</v>
      </c>
      <c r="X104" s="212">
        <f ca="1">IF(W104=0,(T104-INICIO!$W$6),((T104-INICIO!$W$6)+V104))</f>
        <v>2.2999999999956344</v>
      </c>
      <c r="Y104" s="214">
        <f t="shared" ca="1" si="22"/>
        <v>11.256000000000085</v>
      </c>
      <c r="Z104" s="215">
        <f t="shared" ca="1" si="23"/>
        <v>8.5920653950956396</v>
      </c>
      <c r="AA104" s="212">
        <f t="shared" ca="1" si="24"/>
        <v>1.6167629427790398</v>
      </c>
      <c r="AB104" s="212">
        <f t="shared" ca="1" si="25"/>
        <v>0.82809809264311718</v>
      </c>
      <c r="AC104" s="214">
        <f t="shared" ca="1" si="20"/>
        <v>0.21907356948228926</v>
      </c>
    </row>
    <row r="105" spans="2:29">
      <c r="B105" s="220">
        <v>44656</v>
      </c>
      <c r="C105" s="208">
        <f ca="1">DATOSAÑO!I105</f>
        <v>302.40000000002328</v>
      </c>
      <c r="D105" s="202">
        <f ca="1">DATOSAÑO!P105</f>
        <v>150.40000000000146</v>
      </c>
      <c r="E105" s="202">
        <f ca="1">DATOSAÑO!Q105</f>
        <v>0</v>
      </c>
      <c r="F105" s="202">
        <f ca="1">DATOSAÑO!T105</f>
        <v>0</v>
      </c>
      <c r="G105" s="202">
        <f t="shared" ca="1" si="19"/>
        <v>452.80000000002474</v>
      </c>
      <c r="H105" s="202">
        <f t="shared" ca="1" si="27"/>
        <v>34.224100000072099</v>
      </c>
      <c r="I105" s="202">
        <f t="shared" ca="1" si="15"/>
        <v>202.29623500200623</v>
      </c>
      <c r="J105" s="202">
        <f t="shared" ca="1" si="16"/>
        <v>39.198179561442608</v>
      </c>
      <c r="K105" s="202">
        <f t="shared" ca="1" si="17"/>
        <v>7.671493587094445</v>
      </c>
      <c r="L105" s="202">
        <f t="shared" ca="1" si="26"/>
        <v>164.57590000001082</v>
      </c>
      <c r="M105" s="202">
        <f t="shared" ca="1" si="18"/>
        <v>4.834091849398523</v>
      </c>
      <c r="N105" s="202">
        <f t="shared" ca="1" si="21"/>
        <v>4.5999999999985448</v>
      </c>
      <c r="O105" s="202">
        <f ca="1">(DATOSAÑO!AJ105+DATOSAÑO!AK105+DATOSAÑO!AD105)</f>
        <v>192.49999999994179</v>
      </c>
      <c r="P105" s="202">
        <f ca="1">DATOSAÑO!AI105</f>
        <v>37.30000000000291</v>
      </c>
      <c r="Q105" s="202">
        <f ca="1">DATOSAÑO!AH105</f>
        <v>7.3000000000029104</v>
      </c>
      <c r="R105" s="202">
        <f ca="1">DATOSAÑO!AM105+DATOSAÑO!AN105+DATOSAÑO!AF105</f>
        <v>164.57590000001082</v>
      </c>
      <c r="S105" s="215">
        <f ca="1">IF(B105&gt;=$P$5,0,CONTADORES!Q103-CONTADORES!Q102)</f>
        <v>16.899999999994179</v>
      </c>
      <c r="T105" s="212">
        <f ca="1">IF(B105&gt;=$P$5,0,(CONTADORES!S103-CONTADORES!S102)+(CONTADORES!AE103-CONTADORES!AE102))</f>
        <v>2.0999999999985448</v>
      </c>
      <c r="U105" s="212">
        <f ca="1">IF(B105&gt;=$P$5,0,(CONTADORES!AQ103-CONTADORES!AQ102))</f>
        <v>4.5999999999985448</v>
      </c>
      <c r="V105" s="212">
        <f ca="1">IF(B105&gt;=$P$5,0,(CONTADORES!AR103-CONTADORES!AR102))</f>
        <v>0</v>
      </c>
      <c r="W105" s="736">
        <v>0</v>
      </c>
      <c r="X105" s="212">
        <f ca="1">IF(W105=0,(T105-INICIO!$W$6),((T105-INICIO!$W$6)+V105))</f>
        <v>2.0999999999985448</v>
      </c>
      <c r="Y105" s="214">
        <f t="shared" ca="1" si="22"/>
        <v>12.299999999995634</v>
      </c>
      <c r="Z105" s="215">
        <f t="shared" ca="1" si="23"/>
        <v>9.7962350020644244</v>
      </c>
      <c r="AA105" s="212">
        <f t="shared" ca="1" si="24"/>
        <v>1.8981795614396988</v>
      </c>
      <c r="AB105" s="212">
        <f t="shared" ca="1" si="25"/>
        <v>0.37149358709153468</v>
      </c>
      <c r="AC105" s="214">
        <f t="shared" ca="1" si="20"/>
        <v>0.23409184939997776</v>
      </c>
    </row>
    <row r="106" spans="2:29">
      <c r="B106" s="220">
        <v>44657</v>
      </c>
      <c r="C106" s="208">
        <f ca="1">DATOSAÑO!I106</f>
        <v>308.69999999995343</v>
      </c>
      <c r="D106" s="202">
        <f ca="1">DATOSAÑO!P106</f>
        <v>151.29999999999927</v>
      </c>
      <c r="E106" s="202">
        <f ca="1">DATOSAÑO!Q106</f>
        <v>0</v>
      </c>
      <c r="F106" s="202">
        <f ca="1">DATOSAÑO!T106</f>
        <v>0</v>
      </c>
      <c r="G106" s="202">
        <f t="shared" ca="1" si="19"/>
        <v>459.99999999995271</v>
      </c>
      <c r="H106" s="202">
        <f t="shared" ca="1" si="27"/>
        <v>35.992299999942304</v>
      </c>
      <c r="I106" s="202">
        <f t="shared" ca="1" si="15"/>
        <v>202.1289814066636</v>
      </c>
      <c r="J106" s="202">
        <f t="shared" ca="1" si="16"/>
        <v>41.513298302341582</v>
      </c>
      <c r="K106" s="202">
        <f t="shared" ca="1" si="17"/>
        <v>10.561317704121418</v>
      </c>
      <c r="L106" s="202">
        <f t="shared" ca="1" si="26"/>
        <v>165.3076999999769</v>
      </c>
      <c r="M106" s="202">
        <f t="shared" ca="1" si="18"/>
        <v>4.4964025869068696</v>
      </c>
      <c r="N106" s="202">
        <f t="shared" ca="1" si="21"/>
        <v>4.3000000000029104</v>
      </c>
      <c r="O106" s="202">
        <f ca="1">(DATOSAÑO!AJ106+DATOSAÑO!AK106+DATOSAÑO!AD106)</f>
        <v>193.30000000003201</v>
      </c>
      <c r="P106" s="202">
        <f ca="1">DATOSAÑO!AI106</f>
        <v>39.69999999999709</v>
      </c>
      <c r="Q106" s="202">
        <f ca="1">DATOSAÑO!AH106</f>
        <v>10.099999999998545</v>
      </c>
      <c r="R106" s="202">
        <f ca="1">DATOSAÑO!AM106+DATOSAÑO!AN106+DATOSAÑO!AF106</f>
        <v>165.3076999999769</v>
      </c>
      <c r="S106" s="215">
        <f ca="1">IF(B106&gt;=$P$5,0,CONTADORES!Q104-CONTADORES!Q103)</f>
        <v>15.600000000005821</v>
      </c>
      <c r="T106" s="212">
        <f ca="1">IF(B106&gt;=$P$5,0,(CONTADORES!S104-CONTADORES!S103)+(CONTADORES!AE104-CONTADORES!AE103))</f>
        <v>2.2000000000043656</v>
      </c>
      <c r="U106" s="212">
        <f ca="1">IF(B106&gt;=$P$5,0,(CONTADORES!AQ104-CONTADORES!AQ103))</f>
        <v>4.3000000000029104</v>
      </c>
      <c r="V106" s="212">
        <f ca="1">IF(B106&gt;=$P$5,0,(CONTADORES!AR104-CONTADORES!AR103))</f>
        <v>0</v>
      </c>
      <c r="W106" s="736">
        <v>0</v>
      </c>
      <c r="X106" s="212">
        <f ca="1">IF(W106=0,(T106-INICIO!$W$6),((T106-INICIO!$W$6)+V106))</f>
        <v>2.2000000000043656</v>
      </c>
      <c r="Y106" s="214">
        <f t="shared" ca="1" si="22"/>
        <v>11.30000000000291</v>
      </c>
      <c r="Z106" s="215">
        <f t="shared" ca="1" si="23"/>
        <v>8.8289814066315877</v>
      </c>
      <c r="AA106" s="212">
        <f t="shared" ca="1" si="24"/>
        <v>1.8132983023444917</v>
      </c>
      <c r="AB106" s="212">
        <f t="shared" ca="1" si="25"/>
        <v>0.46131770412287332</v>
      </c>
      <c r="AC106" s="214">
        <f t="shared" ca="1" si="20"/>
        <v>0.19640258690395876</v>
      </c>
    </row>
    <row r="107" spans="2:29">
      <c r="B107" s="220">
        <v>44658</v>
      </c>
      <c r="C107" s="208">
        <f ca="1">DATOSAÑO!I107</f>
        <v>314</v>
      </c>
      <c r="D107" s="202">
        <f ca="1">DATOSAÑO!P107</f>
        <v>148</v>
      </c>
      <c r="E107" s="202">
        <f ca="1">DATOSAÑO!Q107</f>
        <v>0</v>
      </c>
      <c r="F107" s="202">
        <f ca="1">DATOSAÑO!T107</f>
        <v>0</v>
      </c>
      <c r="G107" s="202">
        <f t="shared" ca="1" si="19"/>
        <v>462</v>
      </c>
      <c r="H107" s="202">
        <f t="shared" ca="1" si="27"/>
        <v>34.612999999991644</v>
      </c>
      <c r="I107" s="202">
        <f t="shared" ca="1" si="15"/>
        <v>199.54250801283519</v>
      </c>
      <c r="J107" s="202">
        <f t="shared" ca="1" si="16"/>
        <v>44.215024038462438</v>
      </c>
      <c r="K107" s="202">
        <f t="shared" ca="1" si="17"/>
        <v>12.961378205123394</v>
      </c>
      <c r="L107" s="202">
        <f t="shared" ca="1" si="26"/>
        <v>166.48699999999781</v>
      </c>
      <c r="M107" s="202">
        <f t="shared" ca="1" si="18"/>
        <v>4.1810897435895411</v>
      </c>
      <c r="N107" s="202">
        <f t="shared" ca="1" si="21"/>
        <v>4</v>
      </c>
      <c r="O107" s="202">
        <f ca="1">(DATOSAÑO!AJ107+DATOSAÑO!AK107+DATOSAÑO!AD107)</f>
        <v>190.90000000002328</v>
      </c>
      <c r="P107" s="202">
        <f ca="1">DATOSAÑO!AI107</f>
        <v>42.30000000000291</v>
      </c>
      <c r="Q107" s="202">
        <f ca="1">DATOSAÑO!AH107</f>
        <v>12.399999999995998</v>
      </c>
      <c r="R107" s="202">
        <f ca="1">DATOSAÑO!AM107+DATOSAÑO!AN107+DATOSAÑO!AF107</f>
        <v>166.48699999999781</v>
      </c>
      <c r="S107" s="215">
        <f ca="1">IF(B107&gt;=$P$5,0,CONTADORES!Q105-CONTADORES!Q104)</f>
        <v>15.299999999988358</v>
      </c>
      <c r="T107" s="212">
        <f ca="1">IF(B107&gt;=$P$5,0,(CONTADORES!S105-CONTADORES!S104)+(CONTADORES!AE105-CONTADORES!AE104))</f>
        <v>2.1999999999970896</v>
      </c>
      <c r="U107" s="212">
        <f ca="1">IF(B107&gt;=$P$5,0,(CONTADORES!AQ105-CONTADORES!AQ104))</f>
        <v>4</v>
      </c>
      <c r="V107" s="212">
        <f ca="1">IF(B107&gt;=$P$5,0,(CONTADORES!AR105-CONTADORES!AR104))</f>
        <v>0</v>
      </c>
      <c r="W107" s="736">
        <v>0</v>
      </c>
      <c r="X107" s="212">
        <f ca="1">IF(W107=0,(T107-INICIO!$W$6),((T107-INICIO!$W$6)+V107))</f>
        <v>2.1999999999970896</v>
      </c>
      <c r="Y107" s="214">
        <f t="shared" ca="1" si="22"/>
        <v>11.299999999988358</v>
      </c>
      <c r="Z107" s="215">
        <f t="shared" ca="1" si="23"/>
        <v>8.642508012811895</v>
      </c>
      <c r="AA107" s="212">
        <f t="shared" ca="1" si="24"/>
        <v>1.915024038459527</v>
      </c>
      <c r="AB107" s="212">
        <f t="shared" ca="1" si="25"/>
        <v>0.56137820512739578</v>
      </c>
      <c r="AC107" s="214">
        <f t="shared" ca="1" si="20"/>
        <v>0.18108974358954091</v>
      </c>
    </row>
    <row r="108" spans="2:29">
      <c r="B108" s="220">
        <v>44659</v>
      </c>
      <c r="C108" s="208">
        <f ca="1">DATOSAÑO!I108</f>
        <v>308</v>
      </c>
      <c r="D108" s="202">
        <f ca="1">DATOSAÑO!P108</f>
        <v>146</v>
      </c>
      <c r="E108" s="202">
        <f ca="1">DATOSAÑO!Q108</f>
        <v>0</v>
      </c>
      <c r="F108" s="202">
        <f ca="1">DATOSAÑO!T108</f>
        <v>0</v>
      </c>
      <c r="G108" s="202">
        <f t="shared" ca="1" si="19"/>
        <v>454</v>
      </c>
      <c r="H108" s="202">
        <f t="shared" ca="1" si="27"/>
        <v>38.394999999993445</v>
      </c>
      <c r="I108" s="202">
        <f t="shared" ca="1" si="15"/>
        <v>191.38298397040387</v>
      </c>
      <c r="J108" s="202">
        <f t="shared" ca="1" si="16"/>
        <v>43.396794081382104</v>
      </c>
      <c r="K108" s="202">
        <f t="shared" ca="1" si="17"/>
        <v>14.257459926023159</v>
      </c>
      <c r="L108" s="202">
        <f t="shared" ca="1" si="26"/>
        <v>162.40500000000219</v>
      </c>
      <c r="M108" s="202">
        <f t="shared" ca="1" si="18"/>
        <v>4.1627620221952171</v>
      </c>
      <c r="N108" s="202">
        <f t="shared" ca="1" si="21"/>
        <v>4</v>
      </c>
      <c r="O108" s="202">
        <f ca="1">(DATOSAÑO!AJ108+DATOSAÑO!AK108+DATOSAÑO!AD108)</f>
        <v>183.89999999997963</v>
      </c>
      <c r="P108" s="202">
        <f ca="1">DATOSAÑO!AI108</f>
        <v>41.69999999999709</v>
      </c>
      <c r="Q108" s="202">
        <f ca="1">DATOSAÑO!AH108</f>
        <v>13.700000000004366</v>
      </c>
      <c r="R108" s="202">
        <f ca="1">DATOSAÑO!AM108+DATOSAÑO!AN108+DATOSAÑO!AF108</f>
        <v>162.40500000000219</v>
      </c>
      <c r="S108" s="215">
        <f ca="1">IF(B108&gt;=$P$5,0,CONTADORES!Q106-CONTADORES!Q105)</f>
        <v>13.900000000023283</v>
      </c>
      <c r="T108" s="212">
        <f ca="1">IF(B108&gt;=$P$5,0,(CONTADORES!S106-CONTADORES!S105)+(CONTADORES!AE106-CONTADORES!AE105))</f>
        <v>2.4000000000014552</v>
      </c>
      <c r="U108" s="212">
        <f ca="1">IF(B108&gt;=$P$5,0,(CONTADORES!AQ106-CONTADORES!AQ105))</f>
        <v>4</v>
      </c>
      <c r="V108" s="212">
        <f ca="1">IF(B108&gt;=$P$5,0,(CONTADORES!AR106-CONTADORES!AR105))</f>
        <v>0</v>
      </c>
      <c r="W108" s="736">
        <v>0</v>
      </c>
      <c r="X108" s="212">
        <f ca="1">IF(W108=0,(T108-INICIO!$W$6),((T108-INICIO!$W$6)+V108))</f>
        <v>2.4000000000014552</v>
      </c>
      <c r="Y108" s="214">
        <f t="shared" ca="1" si="22"/>
        <v>9.9000000000232831</v>
      </c>
      <c r="Z108" s="215">
        <f t="shared" ca="1" si="23"/>
        <v>7.4829839704242564</v>
      </c>
      <c r="AA108" s="212">
        <f t="shared" ca="1" si="24"/>
        <v>1.6967940813850153</v>
      </c>
      <c r="AB108" s="212">
        <f t="shared" ca="1" si="25"/>
        <v>0.55745992601879468</v>
      </c>
      <c r="AC108" s="214">
        <f t="shared" ca="1" si="20"/>
        <v>0.16276202219521665</v>
      </c>
    </row>
    <row r="109" spans="2:29">
      <c r="B109" s="220">
        <v>44660</v>
      </c>
      <c r="C109" s="208">
        <f ca="1">DATOSAÑO!I109</f>
        <v>299</v>
      </c>
      <c r="D109" s="202">
        <f ca="1">DATOSAÑO!P109</f>
        <v>149</v>
      </c>
      <c r="E109" s="202">
        <f ca="1">DATOSAÑO!Q109</f>
        <v>0</v>
      </c>
      <c r="F109" s="202">
        <f ca="1">DATOSAÑO!T109</f>
        <v>0</v>
      </c>
      <c r="G109" s="202">
        <f t="shared" ca="1" si="19"/>
        <v>448</v>
      </c>
      <c r="H109" s="202">
        <f t="shared" ca="1" si="27"/>
        <v>36.668000000003644</v>
      </c>
      <c r="I109" s="202">
        <f t="shared" ca="1" si="15"/>
        <v>194.39786359901248</v>
      </c>
      <c r="J109" s="202">
        <f t="shared" ca="1" si="16"/>
        <v>42.043221035333325</v>
      </c>
      <c r="K109" s="202">
        <f t="shared" ca="1" si="17"/>
        <v>12.696220213636774</v>
      </c>
      <c r="L109" s="202">
        <f t="shared" ca="1" si="26"/>
        <v>158.03200000000072</v>
      </c>
      <c r="M109" s="202">
        <f t="shared" ca="1" si="18"/>
        <v>4.1626951520130504</v>
      </c>
      <c r="N109" s="202">
        <f t="shared" ca="1" si="21"/>
        <v>4</v>
      </c>
      <c r="O109" s="202">
        <f ca="1">(DATOSAÑO!AJ109+DATOSAÑO!AK109+DATOSAÑO!AD109)</f>
        <v>186.80000000000291</v>
      </c>
      <c r="P109" s="202">
        <f ca="1">DATOSAÑO!AI109</f>
        <v>40.400000000001455</v>
      </c>
      <c r="Q109" s="202">
        <f ca="1">DATOSAÑO!AH109</f>
        <v>12.19999999999709</v>
      </c>
      <c r="R109" s="202">
        <f ca="1">DATOSAÑO!AM109+DATOSAÑO!AN109+DATOSAÑO!AF109</f>
        <v>158.03200000000072</v>
      </c>
      <c r="S109" s="215">
        <f ca="1">IF(B109&gt;=$P$5,0,CONTADORES!Q107-CONTADORES!Q106)</f>
        <v>13.899999999994179</v>
      </c>
      <c r="T109" s="212">
        <f ca="1">IF(B109&gt;=$P$5,0,(CONTADORES!S107-CONTADORES!S106)+(CONTADORES!AE107-CONTADORES!AE106))</f>
        <v>2.4000000000014552</v>
      </c>
      <c r="U109" s="212">
        <f ca="1">IF(B109&gt;=$P$5,0,(CONTADORES!AQ107-CONTADORES!AQ106))</f>
        <v>4</v>
      </c>
      <c r="V109" s="212">
        <f ca="1">IF(B109&gt;=$P$5,0,(CONTADORES!AR107-CONTADORES!AR106))</f>
        <v>0</v>
      </c>
      <c r="W109" s="736">
        <v>0</v>
      </c>
      <c r="X109" s="212">
        <f ca="1">IF(W109=0,(T109-INICIO!$W$6),((T109-INICIO!$W$6)+V109))</f>
        <v>2.4000000000014552</v>
      </c>
      <c r="Y109" s="214">
        <f t="shared" ca="1" si="22"/>
        <v>9.8999999999941792</v>
      </c>
      <c r="Z109" s="215">
        <f t="shared" ca="1" si="23"/>
        <v>7.5978635990095746</v>
      </c>
      <c r="AA109" s="212">
        <f t="shared" ca="1" si="24"/>
        <v>1.6432210353318688</v>
      </c>
      <c r="AB109" s="212">
        <f t="shared" ca="1" si="25"/>
        <v>0.49622021363968549</v>
      </c>
      <c r="AC109" s="214">
        <f t="shared" ca="1" si="20"/>
        <v>0.16269515201305046</v>
      </c>
    </row>
    <row r="110" spans="2:29">
      <c r="B110" s="220">
        <v>44661</v>
      </c>
      <c r="C110" s="208">
        <f ca="1">DATOSAÑO!I110</f>
        <v>303</v>
      </c>
      <c r="D110" s="202">
        <f ca="1">DATOSAÑO!P110</f>
        <v>146</v>
      </c>
      <c r="E110" s="202">
        <f ca="1">DATOSAÑO!Q110</f>
        <v>0</v>
      </c>
      <c r="F110" s="202">
        <f ca="1">DATOSAÑO!T110</f>
        <v>0</v>
      </c>
      <c r="G110" s="202">
        <f t="shared" ca="1" si="19"/>
        <v>449</v>
      </c>
      <c r="H110" s="202">
        <f t="shared" ca="1" si="27"/>
        <v>34.236000000017498</v>
      </c>
      <c r="I110" s="202">
        <f t="shared" ca="1" si="15"/>
        <v>191.62927234925596</v>
      </c>
      <c r="J110" s="202">
        <f t="shared" ca="1" si="16"/>
        <v>41.717338877334448</v>
      </c>
      <c r="K110" s="202">
        <f t="shared" ca="1" si="17"/>
        <v>11.651725571729299</v>
      </c>
      <c r="L110" s="202">
        <f t="shared" ca="1" si="26"/>
        <v>164.56399999999999</v>
      </c>
      <c r="M110" s="202">
        <f t="shared" ca="1" si="18"/>
        <v>5.2016632016628384</v>
      </c>
      <c r="N110" s="202">
        <f t="shared" ca="1" si="21"/>
        <v>5</v>
      </c>
      <c r="O110" s="202">
        <f ca="1">(DATOSAÑO!AJ110+DATOSAÑO!AK110+DATOSAÑO!AD110)</f>
        <v>184.19999999999709</v>
      </c>
      <c r="P110" s="202">
        <f ca="1">DATOSAÑO!AI110</f>
        <v>40.099999999998545</v>
      </c>
      <c r="Q110" s="202">
        <f ca="1">DATOSAÑO!AH110</f>
        <v>11.200000000004366</v>
      </c>
      <c r="R110" s="202">
        <f ca="1">DATOSAÑO!AM110+DATOSAÑO!AN110+DATOSAÑO!AF110</f>
        <v>164.56399999999999</v>
      </c>
      <c r="S110" s="215">
        <f ca="1">IF(B110&gt;=$P$5,0,CONTADORES!Q108-CONTADORES!Q107)</f>
        <v>14.699999999982538</v>
      </c>
      <c r="T110" s="212">
        <f ca="1">IF(B110&gt;=$P$5,0,(CONTADORES!S108-CONTADORES!S107)+(CONTADORES!AE108-CONTADORES!AE107))</f>
        <v>2.5999999999985448</v>
      </c>
      <c r="U110" s="212">
        <f ca="1">IF(B110&gt;=$P$5,0,(CONTADORES!AQ108-CONTADORES!AQ107))</f>
        <v>5</v>
      </c>
      <c r="V110" s="212">
        <f ca="1">IF(B110&gt;=$P$5,0,(CONTADORES!AR108-CONTADORES!AR107))</f>
        <v>0</v>
      </c>
      <c r="W110" s="736">
        <v>0</v>
      </c>
      <c r="X110" s="212">
        <f ca="1">IF(W110=0,(T110-INICIO!$W$6),((T110-INICIO!$W$6)+V110))</f>
        <v>2.5999999999985448</v>
      </c>
      <c r="Y110" s="214">
        <f t="shared" ca="1" si="22"/>
        <v>9.6999999999825377</v>
      </c>
      <c r="Z110" s="215">
        <f t="shared" ca="1" si="23"/>
        <v>7.4292723492588575</v>
      </c>
      <c r="AA110" s="212">
        <f t="shared" ca="1" si="24"/>
        <v>1.617338877335907</v>
      </c>
      <c r="AB110" s="212">
        <f t="shared" ca="1" si="25"/>
        <v>0.45172557172493455</v>
      </c>
      <c r="AC110" s="214">
        <f t="shared" ca="1" si="20"/>
        <v>0.20166320166283863</v>
      </c>
    </row>
    <row r="111" spans="2:29">
      <c r="B111" s="220">
        <v>44662</v>
      </c>
      <c r="C111" s="208">
        <f ca="1">DATOSAÑO!I111</f>
        <v>296</v>
      </c>
      <c r="D111" s="202">
        <f ca="1">DATOSAÑO!P111</f>
        <v>149</v>
      </c>
      <c r="E111" s="202">
        <f ca="1">DATOSAÑO!Q111</f>
        <v>0.32999999999992724</v>
      </c>
      <c r="F111" s="202">
        <f ca="1">DATOSAÑO!T111</f>
        <v>0.40300000000002001</v>
      </c>
      <c r="G111" s="202">
        <f t="shared" ca="1" si="19"/>
        <v>445.73299999999995</v>
      </c>
      <c r="H111" s="202">
        <f t="shared" ca="1" si="27"/>
        <v>34.766999999963616</v>
      </c>
      <c r="I111" s="202">
        <f t="shared" ca="1" si="15"/>
        <v>190.63981371721985</v>
      </c>
      <c r="J111" s="202">
        <f t="shared" ca="1" si="16"/>
        <v>42.02836155800756</v>
      </c>
      <c r="K111" s="202">
        <f t="shared" ca="1" si="17"/>
        <v>8.4473878069423201</v>
      </c>
      <c r="L111" s="202">
        <f t="shared" ca="1" si="26"/>
        <v>164.63600000000002</v>
      </c>
      <c r="M111" s="202">
        <f t="shared" ca="1" si="18"/>
        <v>5.2144369178665659</v>
      </c>
      <c r="N111" s="202">
        <f t="shared" ca="1" si="21"/>
        <v>5</v>
      </c>
      <c r="O111" s="202">
        <f ca="1">(DATOSAÑO!AJ111+DATOSAÑO!AK111+DATOSAÑO!AD111)</f>
        <v>182.80000000001746</v>
      </c>
      <c r="P111" s="202">
        <f ca="1">DATOSAÑO!AI111</f>
        <v>40.30000000000291</v>
      </c>
      <c r="Q111" s="202">
        <f ca="1">DATOSAÑO!AH111</f>
        <v>8.0999999999985448</v>
      </c>
      <c r="R111" s="202">
        <f ca="1">DATOSAÑO!AM111+DATOSAÑO!AN111+DATOSAÑO!AF111</f>
        <v>164.63600000000002</v>
      </c>
      <c r="S111" s="215">
        <f ca="1">IF(B111&gt;=$P$5,0,CONTADORES!Q109-CONTADORES!Q108)</f>
        <v>14.800000000017462</v>
      </c>
      <c r="T111" s="212">
        <f ca="1">IF(B111&gt;=$P$5,0,(CONTADORES!S109-CONTADORES!S108)+(CONTADORES!AE109-CONTADORES!AE108))</f>
        <v>2.5</v>
      </c>
      <c r="U111" s="212">
        <f ca="1">IF(B111&gt;=$P$5,0,(CONTADORES!AQ109-CONTADORES!AQ108))</f>
        <v>5</v>
      </c>
      <c r="V111" s="212">
        <f ca="1">IF(B111&gt;=$P$5,0,(CONTADORES!AR109-CONTADORES!AR108))</f>
        <v>0</v>
      </c>
      <c r="W111" s="736">
        <v>0</v>
      </c>
      <c r="X111" s="212">
        <f ca="1">IF(W111=0,(T111-INICIO!$W$6),((T111-INICIO!$W$6)+V111))</f>
        <v>2.5</v>
      </c>
      <c r="Y111" s="214">
        <f t="shared" ca="1" si="22"/>
        <v>10.13000000001739</v>
      </c>
      <c r="Z111" s="215">
        <f t="shared" ca="1" si="23"/>
        <v>7.8398137172024018</v>
      </c>
      <c r="AA111" s="212">
        <f t="shared" ca="1" si="24"/>
        <v>1.728361558004647</v>
      </c>
      <c r="AB111" s="212">
        <f t="shared" ca="1" si="25"/>
        <v>0.34738780694377452</v>
      </c>
      <c r="AC111" s="214">
        <f t="shared" ca="1" si="20"/>
        <v>0.21443691786656602</v>
      </c>
    </row>
    <row r="112" spans="2:29">
      <c r="B112" s="220">
        <v>44663</v>
      </c>
      <c r="C112" s="208">
        <f ca="1">DATOSAÑO!I112</f>
        <v>292</v>
      </c>
      <c r="D112" s="202">
        <f ca="1">DATOSAÑO!P112</f>
        <v>148</v>
      </c>
      <c r="E112" s="202">
        <f ca="1">DATOSAÑO!Q112</f>
        <v>0</v>
      </c>
      <c r="F112" s="202">
        <f ca="1">DATOSAÑO!T112</f>
        <v>0</v>
      </c>
      <c r="G112" s="202">
        <f t="shared" ca="1" si="19"/>
        <v>440</v>
      </c>
      <c r="H112" s="202">
        <f t="shared" ca="1" si="27"/>
        <v>33.242000000016731</v>
      </c>
      <c r="I112" s="202">
        <f t="shared" ca="1" si="15"/>
        <v>190.44355251919364</v>
      </c>
      <c r="J112" s="202">
        <f t="shared" ca="1" si="16"/>
        <v>40.203586678054606</v>
      </c>
      <c r="K112" s="202">
        <f t="shared" ca="1" si="17"/>
        <v>10.364987190437084</v>
      </c>
      <c r="L112" s="202">
        <f t="shared" ca="1" si="26"/>
        <v>161.55800000000073</v>
      </c>
      <c r="M112" s="202">
        <f t="shared" ca="1" si="18"/>
        <v>4.1878736122971958</v>
      </c>
      <c r="N112" s="202">
        <f t="shared" ca="1" si="21"/>
        <v>4</v>
      </c>
      <c r="O112" s="202">
        <f ca="1">(DATOSAÑO!AJ112+DATOSAÑO!AK112+DATOSAÑO!AD112)</f>
        <v>181.89999999997963</v>
      </c>
      <c r="P112" s="202">
        <f ca="1">DATOSAÑO!AI112</f>
        <v>38.400000000001455</v>
      </c>
      <c r="Q112" s="202">
        <f ca="1">DATOSAÑO!AH112</f>
        <v>9.9000000000014552</v>
      </c>
      <c r="R112" s="202">
        <f ca="1">DATOSAÑO!AM112+DATOSAÑO!AN112+DATOSAÑO!AF112</f>
        <v>161.55800000000073</v>
      </c>
      <c r="S112" s="215">
        <f ca="1">IF(B112&gt;=$P$5,0,CONTADORES!Q110-CONTADORES!Q109)</f>
        <v>15</v>
      </c>
      <c r="T112" s="212">
        <f ca="1">IF(B112&gt;=$P$5,0,(CONTADORES!S110-CONTADORES!S109)+(CONTADORES!AE110-CONTADORES!AE109))</f>
        <v>2.5</v>
      </c>
      <c r="U112" s="212">
        <f ca="1">IF(B112&gt;=$P$5,0,(CONTADORES!AQ110-CONTADORES!AQ109))</f>
        <v>4</v>
      </c>
      <c r="V112" s="212">
        <f ca="1">IF(B112&gt;=$P$5,0,(CONTADORES!AR110-CONTADORES!AR109))</f>
        <v>0</v>
      </c>
      <c r="W112" s="736">
        <v>0</v>
      </c>
      <c r="X112" s="212">
        <f ca="1">IF(W112=0,(T112-INICIO!$W$6),((T112-INICIO!$W$6)+V112))</f>
        <v>2.5</v>
      </c>
      <c r="Y112" s="214">
        <f t="shared" ca="1" si="22"/>
        <v>11</v>
      </c>
      <c r="Z112" s="215">
        <f t="shared" ca="1" si="23"/>
        <v>8.5435525192140265</v>
      </c>
      <c r="AA112" s="212">
        <f t="shared" ca="1" si="24"/>
        <v>1.8035866780531491</v>
      </c>
      <c r="AB112" s="212">
        <f t="shared" ca="1" si="25"/>
        <v>0.46498719043562819</v>
      </c>
      <c r="AC112" s="214">
        <f t="shared" ca="1" si="20"/>
        <v>0.1878736122971959</v>
      </c>
    </row>
    <row r="113" spans="2:29">
      <c r="B113" s="220">
        <v>44664</v>
      </c>
      <c r="C113" s="208">
        <f ca="1">DATOSAÑO!I113</f>
        <v>298</v>
      </c>
      <c r="D113" s="202">
        <f ca="1">DATOSAÑO!P113</f>
        <v>147</v>
      </c>
      <c r="E113" s="202">
        <f ca="1">DATOSAÑO!Q113</f>
        <v>0</v>
      </c>
      <c r="F113" s="202">
        <f ca="1">DATOSAÑO!T113</f>
        <v>0</v>
      </c>
      <c r="G113" s="202">
        <f t="shared" ca="1" si="19"/>
        <v>445</v>
      </c>
      <c r="H113" s="202">
        <f t="shared" ca="1" si="27"/>
        <v>32.140000000014936</v>
      </c>
      <c r="I113" s="202">
        <f t="shared" ca="1" si="15"/>
        <v>193.03502495839228</v>
      </c>
      <c r="J113" s="202">
        <f t="shared" ca="1" si="16"/>
        <v>39.564891846920915</v>
      </c>
      <c r="K113" s="202">
        <f t="shared" ca="1" si="17"/>
        <v>12.494176372711868</v>
      </c>
      <c r="L113" s="202">
        <f t="shared" ca="1" si="26"/>
        <v>162.55999999999673</v>
      </c>
      <c r="M113" s="202">
        <f t="shared" ca="1" si="18"/>
        <v>5.2059068219632785</v>
      </c>
      <c r="N113" s="202">
        <f t="shared" ca="1" si="21"/>
        <v>5</v>
      </c>
      <c r="O113" s="202">
        <f ca="1">(DATOSAÑO!AJ113+DATOSAÑO!AK113+DATOSAÑO!AD113)</f>
        <v>185.39999999999418</v>
      </c>
      <c r="P113" s="202">
        <f ca="1">DATOSAÑO!AI113</f>
        <v>38</v>
      </c>
      <c r="Q113" s="202">
        <f ca="1">DATOSAÑO!AH113</f>
        <v>12</v>
      </c>
      <c r="R113" s="202">
        <f ca="1">DATOSAÑO!AM113+DATOSAÑO!AN113+DATOSAÑO!AF113</f>
        <v>162.55999999999673</v>
      </c>
      <c r="S113" s="215">
        <f ca="1">IF(B113&gt;=$P$5,0,CONTADORES!Q111-CONTADORES!Q110)</f>
        <v>14.899999999994179</v>
      </c>
      <c r="T113" s="212">
        <f ca="1">IF(B113&gt;=$P$5,0,(CONTADORES!S111-CONTADORES!S110)+(CONTADORES!AE111-CONTADORES!AE110))</f>
        <v>2.3000000000029104</v>
      </c>
      <c r="U113" s="212">
        <f ca="1">IF(B113&gt;=$P$5,0,(CONTADORES!AQ111-CONTADORES!AQ110))</f>
        <v>5</v>
      </c>
      <c r="V113" s="212">
        <f ca="1">IF(B113&gt;=$P$5,0,(CONTADORES!AR111-CONTADORES!AR110))</f>
        <v>0</v>
      </c>
      <c r="W113" s="736">
        <v>0</v>
      </c>
      <c r="X113" s="212">
        <f ca="1">IF(W113=0,(T113-INICIO!$W$6),((T113-INICIO!$W$6)+V113))</f>
        <v>2.3000000000029104</v>
      </c>
      <c r="Y113" s="214">
        <f t="shared" ca="1" si="22"/>
        <v>9.8999999999941792</v>
      </c>
      <c r="Z113" s="215">
        <f t="shared" ca="1" si="23"/>
        <v>7.6350249583981178</v>
      </c>
      <c r="AA113" s="212">
        <f t="shared" ca="1" si="24"/>
        <v>1.5648918469209148</v>
      </c>
      <c r="AB113" s="212">
        <f t="shared" ca="1" si="25"/>
        <v>0.49417637271186782</v>
      </c>
      <c r="AC113" s="214">
        <f t="shared" ca="1" si="20"/>
        <v>0.20590682196327825</v>
      </c>
    </row>
    <row r="114" spans="2:29">
      <c r="B114" s="220">
        <v>44665</v>
      </c>
      <c r="C114" s="208">
        <f ca="1">DATOSAÑO!I114</f>
        <v>320</v>
      </c>
      <c r="D114" s="202">
        <f ca="1">DATOSAÑO!P114</f>
        <v>117</v>
      </c>
      <c r="E114" s="202">
        <f ca="1">DATOSAÑO!Q114</f>
        <v>0</v>
      </c>
      <c r="F114" s="202">
        <f ca="1">DATOSAÑO!T114</f>
        <v>0</v>
      </c>
      <c r="G114" s="202">
        <f t="shared" ca="1" si="19"/>
        <v>437</v>
      </c>
      <c r="H114" s="202">
        <f t="shared" ca="1" si="27"/>
        <v>29.668999999994185</v>
      </c>
      <c r="I114" s="202">
        <f t="shared" ca="1" si="15"/>
        <v>189.95836559141256</v>
      </c>
      <c r="J114" s="202">
        <f t="shared" ca="1" si="16"/>
        <v>41.458752688166904</v>
      </c>
      <c r="K114" s="202">
        <f t="shared" ca="1" si="17"/>
        <v>6.1613763440796312</v>
      </c>
      <c r="L114" s="202">
        <f t="shared" ca="1" si="26"/>
        <v>164.5310000000029</v>
      </c>
      <c r="M114" s="202">
        <f t="shared" ca="1" si="18"/>
        <v>5.2215053763438215</v>
      </c>
      <c r="N114" s="202">
        <f t="shared" ca="1" si="21"/>
        <v>5</v>
      </c>
      <c r="O114" s="202">
        <f ca="1">(DATOSAÑO!AJ114+DATOSAÑO!AK114+DATOSAÑO!AD114)</f>
        <v>181.90000000002328</v>
      </c>
      <c r="P114" s="202">
        <f ca="1">DATOSAÑO!AI114</f>
        <v>39.69999999999709</v>
      </c>
      <c r="Q114" s="202">
        <f ca="1">DATOSAÑO!AH114</f>
        <v>5.8999999999941792</v>
      </c>
      <c r="R114" s="202">
        <f ca="1">DATOSAÑO!AM114+DATOSAÑO!AN114+DATOSAÑO!AF114</f>
        <v>164.5310000000029</v>
      </c>
      <c r="S114" s="215">
        <f ca="1">IF(B114&gt;=$P$5,0,CONTADORES!Q112-CONTADORES!Q111)</f>
        <v>15.299999999988358</v>
      </c>
      <c r="T114" s="212">
        <f ca="1">IF(B114&gt;=$P$5,0,(CONTADORES!S112-CONTADORES!S111)+(CONTADORES!AE112-CONTADORES!AE111))</f>
        <v>2.0999999999985448</v>
      </c>
      <c r="U114" s="212">
        <f ca="1">IF(B114&gt;=$P$5,0,(CONTADORES!AQ112-CONTADORES!AQ111))</f>
        <v>5</v>
      </c>
      <c r="V114" s="212">
        <f ca="1">IF(B114&gt;=$P$5,0,(CONTADORES!AR112-CONTADORES!AR111))</f>
        <v>0</v>
      </c>
      <c r="W114" s="736">
        <v>0</v>
      </c>
      <c r="X114" s="212">
        <f ca="1">IF(W114=0,(T114-INICIO!$W$6),((T114-INICIO!$W$6)+V114))</f>
        <v>2.0999999999985448</v>
      </c>
      <c r="Y114" s="214">
        <f t="shared" ca="1" si="22"/>
        <v>10.299999999988358</v>
      </c>
      <c r="Z114" s="215">
        <f t="shared" ca="1" si="23"/>
        <v>8.0583655913892684</v>
      </c>
      <c r="AA114" s="212">
        <f t="shared" ca="1" si="24"/>
        <v>1.7587526881698163</v>
      </c>
      <c r="AB114" s="212">
        <f t="shared" ca="1" si="25"/>
        <v>0.26137634408545185</v>
      </c>
      <c r="AC114" s="214">
        <f t="shared" ca="1" si="20"/>
        <v>0.22150537634382181</v>
      </c>
    </row>
    <row r="115" spans="2:29">
      <c r="B115" s="220">
        <v>44666</v>
      </c>
      <c r="C115" s="208">
        <f ca="1">DATOSAÑO!I115</f>
        <v>364</v>
      </c>
      <c r="D115" s="202">
        <f ca="1">DATOSAÑO!P115</f>
        <v>86</v>
      </c>
      <c r="E115" s="202">
        <f ca="1">DATOSAÑO!Q115</f>
        <v>0</v>
      </c>
      <c r="F115" s="202">
        <f ca="1">DATOSAÑO!T115</f>
        <v>0</v>
      </c>
      <c r="G115" s="202">
        <f t="shared" ca="1" si="19"/>
        <v>450</v>
      </c>
      <c r="H115" s="202">
        <f t="shared" ca="1" si="27"/>
        <v>32.104000000015617</v>
      </c>
      <c r="I115" s="202">
        <f t="shared" ca="1" si="15"/>
        <v>192.80574948663525</v>
      </c>
      <c r="J115" s="202">
        <f t="shared" ca="1" si="16"/>
        <v>42.787885010265526</v>
      </c>
      <c r="K115" s="202">
        <f t="shared" ca="1" si="17"/>
        <v>12.70102669404975</v>
      </c>
      <c r="L115" s="202">
        <f ca="1">R115</f>
        <v>164.39599999999893</v>
      </c>
      <c r="M115" s="202">
        <f t="shared" ca="1" si="18"/>
        <v>5.2053388090349202</v>
      </c>
      <c r="N115" s="202">
        <f t="shared" ca="1" si="21"/>
        <v>5</v>
      </c>
      <c r="O115" s="202">
        <f ca="1">(DATOSAÑO!AJ115+DATOSAÑO!AK115+DATOSAÑO!AD115)</f>
        <v>185.19999999998254</v>
      </c>
      <c r="P115" s="202">
        <f ca="1">DATOSAÑO!AI115</f>
        <v>41.099999999998545</v>
      </c>
      <c r="Q115" s="202">
        <f ca="1">DATOSAÑO!AH115</f>
        <v>12.200000000004366</v>
      </c>
      <c r="R115" s="202">
        <f ca="1">DATOSAÑO!AM115+DATOSAÑO!AN115+DATOSAÑO!AF115</f>
        <v>164.39599999999893</v>
      </c>
      <c r="S115" s="215">
        <f ca="1">IF(B115&gt;=$P$5,0,CONTADORES!Q113-CONTADORES!Q112)</f>
        <v>15</v>
      </c>
      <c r="T115" s="212">
        <f ca="1">IF(B115&gt;=$P$5,0,(CONTADORES!S113-CONTADORES!S112)+(CONTADORES!AE113-CONTADORES!AE112))</f>
        <v>2.5</v>
      </c>
      <c r="U115" s="212">
        <f ca="1">IF(B115&gt;=$P$5,0,(CONTADORES!AQ113-CONTADORES!AQ112))</f>
        <v>5</v>
      </c>
      <c r="V115" s="212">
        <f ca="1">IF(B115&gt;=$P$5,0,(CONTADORES!AR113-CONTADORES!AR112))</f>
        <v>0</v>
      </c>
      <c r="W115" s="736">
        <v>0</v>
      </c>
      <c r="X115" s="212">
        <f ca="1">IF(W115=0,(T115-INICIO!$W$6),((T115-INICIO!$W$6)+V115))</f>
        <v>2.5</v>
      </c>
      <c r="Y115" s="214">
        <f t="shared" ca="1" si="22"/>
        <v>10</v>
      </c>
      <c r="Z115" s="215">
        <f t="shared" ca="1" si="23"/>
        <v>7.6057494866527149</v>
      </c>
      <c r="AA115" s="212">
        <f t="shared" ca="1" si="24"/>
        <v>1.6878850102669816</v>
      </c>
      <c r="AB115" s="212">
        <f t="shared" ca="1" si="25"/>
        <v>0.5010266940453838</v>
      </c>
      <c r="AC115" s="214">
        <f t="shared" ca="1" si="20"/>
        <v>0.20533880903491986</v>
      </c>
    </row>
    <row r="116" spans="2:29">
      <c r="B116" s="220">
        <v>44667</v>
      </c>
      <c r="C116" s="208">
        <f ca="1">DATOSAÑO!I116</f>
        <v>380</v>
      </c>
      <c r="D116" s="202">
        <f ca="1">DATOSAÑO!P116</f>
        <v>62.599999999998545</v>
      </c>
      <c r="E116" s="202">
        <f ca="1">DATOSAÑO!Q116</f>
        <v>0</v>
      </c>
      <c r="F116" s="202">
        <f ca="1">DATOSAÑO!T116</f>
        <v>3.6359999999999673</v>
      </c>
      <c r="G116" s="202">
        <f t="shared" ca="1" si="19"/>
        <v>446.23599999999851</v>
      </c>
      <c r="H116" s="202">
        <f t="shared" ca="1" si="27"/>
        <v>36.801999999981433</v>
      </c>
      <c r="I116" s="202">
        <f t="shared" ca="1" si="15"/>
        <v>191.4413865546353</v>
      </c>
      <c r="J116" s="202">
        <f t="shared" ca="1" si="16"/>
        <v>43.087352941182537</v>
      </c>
      <c r="K116" s="202">
        <f t="shared" ca="1" si="17"/>
        <v>9.5981512605018402</v>
      </c>
      <c r="L116" s="202">
        <f t="shared" ref="L116:L130" ca="1" si="28">R116</f>
        <v>161.13399999999962</v>
      </c>
      <c r="M116" s="202">
        <f t="shared" ca="1" si="18"/>
        <v>4.1731092436977724</v>
      </c>
      <c r="N116" s="202">
        <f t="shared" ca="1" si="21"/>
        <v>4</v>
      </c>
      <c r="O116" s="202">
        <f ca="1">(DATOSAÑO!AJ116+DATOSAÑO!AK116+DATOSAÑO!AD116)</f>
        <v>183.5</v>
      </c>
      <c r="P116" s="202">
        <f ca="1">DATOSAÑO!AI116</f>
        <v>41.30000000000291</v>
      </c>
      <c r="Q116" s="202">
        <f ca="1">DATOSAÑO!AH116</f>
        <v>9.1999999999970896</v>
      </c>
      <c r="R116" s="202">
        <f ca="1">DATOSAÑO!AM116+DATOSAÑO!AN116+DATOSAÑO!AF116</f>
        <v>161.13399999999962</v>
      </c>
      <c r="S116" s="215">
        <f ca="1">IF(B116&gt;=$P$5,0,CONTADORES!Q114-CONTADORES!Q113)</f>
        <v>14.300000000017462</v>
      </c>
      <c r="T116" s="212">
        <f ca="1">IF(B116&gt;=$P$5,0,(CONTADORES!S114-CONTADORES!S113)+(CONTADORES!AE114-CONTADORES!AE113))</f>
        <v>2.4000000000014552</v>
      </c>
      <c r="U116" s="212">
        <f ca="1">IF(B116&gt;=$P$5,0,(CONTADORES!AQ114-CONTADORES!AQ113))</f>
        <v>4</v>
      </c>
      <c r="V116" s="212">
        <f ca="1">IF(B116&gt;=$P$5,0,(CONTADORES!AR114-CONTADORES!AR113))</f>
        <v>0</v>
      </c>
      <c r="W116" s="736">
        <v>0</v>
      </c>
      <c r="X116" s="212">
        <f ca="1">IF(W116=0,(T116-INICIO!$W$6),((T116-INICIO!$W$6)+V116))</f>
        <v>2.4000000000014552</v>
      </c>
      <c r="Y116" s="214">
        <f t="shared" ca="1" si="22"/>
        <v>10.300000000017462</v>
      </c>
      <c r="Z116" s="215">
        <f t="shared" ca="1" si="23"/>
        <v>7.9413865546353124</v>
      </c>
      <c r="AA116" s="212">
        <f t="shared" ca="1" si="24"/>
        <v>1.7873529411796267</v>
      </c>
      <c r="AB116" s="212">
        <f t="shared" ca="1" si="25"/>
        <v>0.39815126050475075</v>
      </c>
      <c r="AC116" s="214">
        <f t="shared" ca="1" si="20"/>
        <v>0.17310924369777247</v>
      </c>
    </row>
    <row r="117" spans="2:29">
      <c r="B117" s="220">
        <v>44668</v>
      </c>
      <c r="C117" s="208">
        <f ca="1">DATOSAÑO!I117</f>
        <v>427</v>
      </c>
      <c r="D117" s="202">
        <f ca="1">DATOSAÑO!P117</f>
        <v>0</v>
      </c>
      <c r="E117" s="202">
        <f ca="1">DATOSAÑO!Q117</f>
        <v>1.7300000000000182</v>
      </c>
      <c r="F117" s="202">
        <f ca="1">DATOSAÑO!T117</f>
        <v>7.9139999999999873</v>
      </c>
      <c r="G117" s="202">
        <f t="shared" ca="1" si="19"/>
        <v>436.64400000000001</v>
      </c>
      <c r="H117" s="202">
        <f t="shared" ca="1" si="27"/>
        <v>37.130999999995936</v>
      </c>
      <c r="I117" s="202">
        <f t="shared" ca="1" si="15"/>
        <v>191.54346202800568</v>
      </c>
      <c r="J117" s="202">
        <f t="shared" ca="1" si="16"/>
        <v>40.955702163767491</v>
      </c>
      <c r="K117" s="202">
        <f t="shared" ca="1" si="17"/>
        <v>7.9201866779783794</v>
      </c>
      <c r="L117" s="202">
        <f t="shared" ca="1" si="28"/>
        <v>153.88300000000257</v>
      </c>
      <c r="M117" s="202">
        <f t="shared" ca="1" si="18"/>
        <v>5.2106491302499309</v>
      </c>
      <c r="N117" s="202">
        <f t="shared" ca="1" si="21"/>
        <v>5</v>
      </c>
      <c r="O117" s="202">
        <f ca="1">(DATOSAÑO!AJ117+DATOSAÑO!AK117+DATOSAÑO!AD117)</f>
        <v>183.80000000001746</v>
      </c>
      <c r="P117" s="202">
        <f ca="1">DATOSAÑO!AI117</f>
        <v>39.30000000000291</v>
      </c>
      <c r="Q117" s="202">
        <f ca="1">DATOSAÑO!AH117</f>
        <v>7.5999999999985448</v>
      </c>
      <c r="R117" s="202">
        <f ca="1">DATOSAÑO!AM117+DATOSAÑO!AN117+DATOSAÑO!AF117</f>
        <v>153.88300000000257</v>
      </c>
      <c r="S117" s="215">
        <f ca="1">IF(B117&gt;=$P$5,0,CONTADORES!Q115-CONTADORES!Q114)</f>
        <v>13.199999999982538</v>
      </c>
      <c r="T117" s="212">
        <f ca="1">IF(B117&gt;=$P$5,0,(CONTADORES!S115-CONTADORES!S114)+(CONTADORES!AE115-CONTADORES!AE114))</f>
        <v>2.0999999999985448</v>
      </c>
      <c r="U117" s="212">
        <f ca="1">IF(B117&gt;=$P$5,0,(CONTADORES!AQ115-CONTADORES!AQ114))</f>
        <v>5</v>
      </c>
      <c r="V117" s="212">
        <f ca="1">IF(B117&gt;=$P$5,0,(CONTADORES!AR115-CONTADORES!AR114))</f>
        <v>0</v>
      </c>
      <c r="W117" s="736">
        <v>0</v>
      </c>
      <c r="X117" s="212">
        <f ca="1">IF(W117=0,(T117-INICIO!$W$6),((T117-INICIO!$W$6)+V117))</f>
        <v>2.0999999999985448</v>
      </c>
      <c r="Y117" s="214">
        <f t="shared" ca="1" si="22"/>
        <v>9.9299999999825559</v>
      </c>
      <c r="Z117" s="215">
        <f t="shared" ca="1" si="23"/>
        <v>7.7434620279882083</v>
      </c>
      <c r="AA117" s="212">
        <f t="shared" ca="1" si="24"/>
        <v>1.6557021637645823</v>
      </c>
      <c r="AB117" s="212">
        <f t="shared" ca="1" si="25"/>
        <v>0.32018667797983419</v>
      </c>
      <c r="AC117" s="214">
        <f t="shared" ca="1" si="20"/>
        <v>0.21064913024993123</v>
      </c>
    </row>
    <row r="118" spans="2:29">
      <c r="B118" s="220">
        <v>44669</v>
      </c>
      <c r="C118" s="208">
        <f ca="1">DATOSAÑO!I118</f>
        <v>438</v>
      </c>
      <c r="D118" s="202">
        <f ca="1">DATOSAÑO!P118</f>
        <v>0</v>
      </c>
      <c r="E118" s="202">
        <f ca="1">DATOSAÑO!Q118</f>
        <v>0</v>
      </c>
      <c r="F118" s="202">
        <f ca="1">DATOSAÑO!T118</f>
        <v>10.381999999999948</v>
      </c>
      <c r="G118" s="202">
        <f t="shared" ca="1" si="19"/>
        <v>448.38199999999995</v>
      </c>
      <c r="H118" s="202">
        <f t="shared" ca="1" si="27"/>
        <v>41.516999999989764</v>
      </c>
      <c r="I118" s="202">
        <f t="shared" ca="1" si="15"/>
        <v>192.94480519481394</v>
      </c>
      <c r="J118" s="202">
        <f t="shared" ca="1" si="16"/>
        <v>41.286038961036304</v>
      </c>
      <c r="K118" s="202">
        <f t="shared" ca="1" si="17"/>
        <v>16.182467532474305</v>
      </c>
      <c r="L118" s="202">
        <f t="shared" ca="1" si="28"/>
        <v>151.26499999999709</v>
      </c>
      <c r="M118" s="202">
        <f t="shared" ca="1" si="18"/>
        <v>5.1866883116885472</v>
      </c>
      <c r="N118" s="202">
        <f t="shared" ca="1" si="21"/>
        <v>5</v>
      </c>
      <c r="O118" s="202">
        <f ca="1">(DATOSAÑO!AJ118+DATOSAÑO!AK118+DATOSAÑO!AD118)</f>
        <v>186</v>
      </c>
      <c r="P118" s="202">
        <f ca="1">DATOSAÑO!AI118</f>
        <v>39.799999999995634</v>
      </c>
      <c r="Q118" s="202">
        <f ca="1">DATOSAÑO!AH118</f>
        <v>15.600000000005821</v>
      </c>
      <c r="R118" s="202">
        <f ca="1">DATOSAÑO!AM118+DATOSAÑO!AN118+DATOSAÑO!AF118</f>
        <v>151.26499999999709</v>
      </c>
      <c r="S118" s="215">
        <f ca="1">IF(B118&gt;=$P$5,0,CONTADORES!Q116-CONTADORES!Q115)</f>
        <v>14.200000000011642</v>
      </c>
      <c r="T118" s="212">
        <f ca="1">IF(B118&gt;=$P$5,0,(CONTADORES!S116-CONTADORES!S115)+(CONTADORES!AE116-CONTADORES!AE115))</f>
        <v>1.9000000000014552</v>
      </c>
      <c r="U118" s="212">
        <f ca="1">IF(B118&gt;=$P$5,0,(CONTADORES!AQ116-CONTADORES!AQ115))</f>
        <v>5</v>
      </c>
      <c r="V118" s="212">
        <f ca="1">IF(B118&gt;=$P$5,0,(CONTADORES!AR116-CONTADORES!AR115))</f>
        <v>0</v>
      </c>
      <c r="W118" s="736">
        <v>0</v>
      </c>
      <c r="X118" s="212">
        <f ca="1">IF(W118=0,(T118-INICIO!$W$6),((T118-INICIO!$W$6)+V118))</f>
        <v>1.9000000000014552</v>
      </c>
      <c r="Y118" s="214">
        <f t="shared" ca="1" si="22"/>
        <v>9.2000000000116415</v>
      </c>
      <c r="Z118" s="215">
        <f t="shared" ca="1" si="23"/>
        <v>6.9448051948139415</v>
      </c>
      <c r="AA118" s="212">
        <f t="shared" ca="1" si="24"/>
        <v>1.4860389610406697</v>
      </c>
      <c r="AB118" s="212">
        <f t="shared" ca="1" si="25"/>
        <v>0.58246753246848348</v>
      </c>
      <c r="AC118" s="214">
        <f t="shared" ca="1" si="20"/>
        <v>0.18668831168854683</v>
      </c>
    </row>
    <row r="119" spans="2:29">
      <c r="B119" s="220">
        <v>44670</v>
      </c>
      <c r="C119" s="208">
        <f ca="1">DATOSAÑO!I119</f>
        <v>326</v>
      </c>
      <c r="D119" s="202">
        <f ca="1">DATOSAÑO!P119</f>
        <v>0</v>
      </c>
      <c r="E119" s="202">
        <f ca="1">DATOSAÑO!Q119</f>
        <v>0</v>
      </c>
      <c r="F119" s="202">
        <f ca="1">DATOSAÑO!T119</f>
        <v>2.94500000000005</v>
      </c>
      <c r="G119" s="202">
        <f t="shared" ca="1" si="19"/>
        <v>328.94500000000005</v>
      </c>
      <c r="H119" s="202">
        <f t="shared" ca="1" si="27"/>
        <v>34.455000000012035</v>
      </c>
      <c r="I119" s="202">
        <f t="shared" ca="1" si="15"/>
        <v>190.36030599234147</v>
      </c>
      <c r="J119" s="202">
        <f t="shared" ca="1" si="16"/>
        <v>42.221206969825836</v>
      </c>
      <c r="K119" s="202">
        <f t="shared" ca="1" si="17"/>
        <v>7.505992350188226</v>
      </c>
      <c r="L119" s="202">
        <f t="shared" ca="1" si="28"/>
        <v>49.189999999999635</v>
      </c>
      <c r="M119" s="202">
        <f t="shared" ca="1" si="18"/>
        <v>5.2124946876328195</v>
      </c>
      <c r="N119" s="202">
        <f t="shared" ca="1" si="21"/>
        <v>5</v>
      </c>
      <c r="O119" s="202">
        <f ca="1">(DATOSAÑO!AJ119+DATOSAÑO!AK119+DATOSAÑO!AD119)</f>
        <v>182.59999999999127</v>
      </c>
      <c r="P119" s="202">
        <f ca="1">DATOSAÑO!AI119</f>
        <v>40.5</v>
      </c>
      <c r="Q119" s="202">
        <f ca="1">DATOSAÑO!AH119</f>
        <v>7.1999999999970896</v>
      </c>
      <c r="R119" s="202">
        <f ca="1">DATOSAÑO!AM119+DATOSAÑO!AN119+DATOSAÑO!AF119</f>
        <v>49.189999999999635</v>
      </c>
      <c r="S119" s="215">
        <f ca="1">IF(B119&gt;=$P$5,0,CONTADORES!Q117-CONTADORES!Q116)</f>
        <v>15</v>
      </c>
      <c r="T119" s="212">
        <f ca="1">IF(B119&gt;=$P$5,0,(CONTADORES!S117-CONTADORES!S116)+(CONTADORES!AE117-CONTADORES!AE116))</f>
        <v>2.0999999999985448</v>
      </c>
      <c r="U119" s="212">
        <f ca="1">IF(B119&gt;=$P$5,0,(CONTADORES!AQ117-CONTADORES!AQ116))</f>
        <v>5</v>
      </c>
      <c r="V119" s="212">
        <f ca="1">IF(B119&gt;=$P$5,0,(CONTADORES!AR117-CONTADORES!AR116))</f>
        <v>0</v>
      </c>
      <c r="W119" s="736">
        <v>0</v>
      </c>
      <c r="X119" s="212">
        <f ca="1">IF(W119=0,(T119-INICIO!$W$6),((T119-INICIO!$W$6)+V119))</f>
        <v>2.0999999999985448</v>
      </c>
      <c r="Y119" s="214">
        <f t="shared" ca="1" si="22"/>
        <v>10</v>
      </c>
      <c r="Z119" s="215">
        <f t="shared" ca="1" si="23"/>
        <v>7.7603059923502045</v>
      </c>
      <c r="AA119" s="212">
        <f t="shared" ca="1" si="24"/>
        <v>1.7212069698258394</v>
      </c>
      <c r="AB119" s="212">
        <f t="shared" ca="1" si="25"/>
        <v>0.30599235019113669</v>
      </c>
      <c r="AC119" s="214">
        <f t="shared" ca="1" si="20"/>
        <v>0.2124946876328197</v>
      </c>
    </row>
    <row r="120" spans="2:29">
      <c r="B120" s="220">
        <v>44671</v>
      </c>
      <c r="C120" s="208">
        <f ca="1">DATOSAÑO!I120</f>
        <v>265</v>
      </c>
      <c r="D120" s="202">
        <f ca="1">DATOSAÑO!P120</f>
        <v>100.20000000000437</v>
      </c>
      <c r="E120" s="202">
        <f ca="1">DATOSAÑO!Q120</f>
        <v>0</v>
      </c>
      <c r="F120" s="202">
        <f ca="1">DATOSAÑO!T120</f>
        <v>0</v>
      </c>
      <c r="G120" s="202">
        <f t="shared" ca="1" si="19"/>
        <v>365.20000000000437</v>
      </c>
      <c r="H120" s="202">
        <f t="shared" ca="1" si="27"/>
        <v>29.726999999957911</v>
      </c>
      <c r="I120" s="202">
        <f t="shared" ca="1" si="15"/>
        <v>188.86352173805267</v>
      </c>
      <c r="J120" s="202">
        <f t="shared" ca="1" si="16"/>
        <v>41.324285448786945</v>
      </c>
      <c r="K120" s="202">
        <f t="shared" ca="1" si="17"/>
        <v>7.5516460718562115</v>
      </c>
      <c r="L120" s="202">
        <f t="shared" ca="1" si="28"/>
        <v>92.804000000001096</v>
      </c>
      <c r="M120" s="202">
        <f t="shared" ca="1" si="18"/>
        <v>4.9295467413495224</v>
      </c>
      <c r="N120" s="202">
        <f t="shared" ca="1" si="21"/>
        <v>4.6999999999970896</v>
      </c>
      <c r="O120" s="202">
        <f ca="1">(DATOSAÑO!AJ120+DATOSAÑO!AK120+DATOSAÑO!AD120)</f>
        <v>180.0690000000468</v>
      </c>
      <c r="P120" s="202">
        <f ca="1">DATOSAÑO!AI120</f>
        <v>39.400000000001455</v>
      </c>
      <c r="Q120" s="202">
        <f ca="1">DATOSAÑO!AH120</f>
        <v>7.1999999999970896</v>
      </c>
      <c r="R120" s="202">
        <f ca="1">DATOSAÑO!AM120+DATOSAÑO!AN120+DATOSAÑO!AF120</f>
        <v>92.804000000001096</v>
      </c>
      <c r="S120" s="215">
        <f ca="1">IF(B120&gt;=$P$5,0,CONTADORES!Q118-CONTADORES!Q117)</f>
        <v>16</v>
      </c>
      <c r="T120" s="212">
        <f ca="1">IF(B120&gt;=$P$5,0,(CONTADORES!S118-CONTADORES!S117)+(CONTADORES!AE118-CONTADORES!AE117))</f>
        <v>2.5</v>
      </c>
      <c r="U120" s="212">
        <f ca="1">IF(B120&gt;=$P$5,0,(CONTADORES!AQ118-CONTADORES!AQ117))</f>
        <v>4.6999999999970896</v>
      </c>
      <c r="V120" s="212">
        <f ca="1">IF(B120&gt;=$P$5,0,(CONTADORES!AR118-CONTADORES!AR117))</f>
        <v>0</v>
      </c>
      <c r="W120" s="736">
        <v>0</v>
      </c>
      <c r="X120" s="212">
        <f ca="1">IF(W120=0,(T120-INICIO!$W$6),((T120-INICIO!$W$6)+V120))</f>
        <v>2.5</v>
      </c>
      <c r="Y120" s="214">
        <f t="shared" ca="1" si="22"/>
        <v>11.30000000000291</v>
      </c>
      <c r="Z120" s="215">
        <f t="shared" ca="1" si="23"/>
        <v>8.7945217380058676</v>
      </c>
      <c r="AA120" s="212">
        <f t="shared" ca="1" si="24"/>
        <v>1.9242854487854875</v>
      </c>
      <c r="AB120" s="212">
        <f t="shared" ca="1" si="25"/>
        <v>0.35164607185912178</v>
      </c>
      <c r="AC120" s="214">
        <f t="shared" ca="1" si="20"/>
        <v>0.22954674135243291</v>
      </c>
    </row>
    <row r="121" spans="2:29">
      <c r="B121" s="220">
        <v>44672</v>
      </c>
      <c r="C121" s="208">
        <f ca="1">DATOSAÑO!I121</f>
        <v>216</v>
      </c>
      <c r="D121" s="202">
        <f ca="1">DATOSAÑO!P121</f>
        <v>113.79999999999563</v>
      </c>
      <c r="E121" s="202">
        <f ca="1">DATOSAÑO!Q121</f>
        <v>2.3489999999999327</v>
      </c>
      <c r="F121" s="202">
        <f ca="1">DATOSAÑO!T121</f>
        <v>0.24500000000000455</v>
      </c>
      <c r="G121" s="202">
        <f t="shared" ca="1" si="19"/>
        <v>332.39399999999557</v>
      </c>
      <c r="H121" s="202">
        <f t="shared" ca="1" si="27"/>
        <v>26.626500000027875</v>
      </c>
      <c r="I121" s="202">
        <f t="shared" ca="1" si="15"/>
        <v>152.02645574845076</v>
      </c>
      <c r="J121" s="202">
        <f t="shared" ca="1" si="16"/>
        <v>40.059532874470946</v>
      </c>
      <c r="K121" s="202">
        <f t="shared" ca="1" si="17"/>
        <v>15.114810556860926</v>
      </c>
      <c r="L121" s="202">
        <f t="shared" ca="1" si="28"/>
        <v>93.387500000001452</v>
      </c>
      <c r="M121" s="202">
        <f t="shared" ca="1" si="18"/>
        <v>5.1792008201835982</v>
      </c>
      <c r="N121" s="202">
        <f t="shared" ca="1" si="21"/>
        <v>4.9000000000014552</v>
      </c>
      <c r="O121" s="202">
        <f ca="1">(DATOSAÑO!AJ121+DATOSAÑO!AK121+DATOSAÑO!AD121)</f>
        <v>143.83099999996193</v>
      </c>
      <c r="P121" s="202">
        <f ca="1">DATOSAÑO!AI121</f>
        <v>37.900000000001455</v>
      </c>
      <c r="Q121" s="202">
        <f ca="1">DATOSAÑO!AH121</f>
        <v>14.30000000000291</v>
      </c>
      <c r="R121" s="202">
        <f ca="1">DATOSAÑO!AM121+DATOSAÑO!AN121+DATOSAÑO!AF121</f>
        <v>93.387500000001452</v>
      </c>
      <c r="S121" s="215">
        <f ca="1">IF(B121&gt;=$P$5,0,CONTADORES!Q119-CONTADORES!Q118)</f>
        <v>14</v>
      </c>
      <c r="T121" s="212">
        <f ca="1">IF(B121&gt;=$P$5,0,(CONTADORES!S119-CONTADORES!S118)+(CONTADORES!AE119-CONTADORES!AE118))</f>
        <v>2.2999999999956344</v>
      </c>
      <c r="U121" s="212">
        <f ca="1">IF(B121&gt;=$P$5,0,(CONTADORES!AQ119-CONTADORES!AQ118))</f>
        <v>4.9000000000014552</v>
      </c>
      <c r="V121" s="212">
        <f ca="1">IF(B121&gt;=$P$5,0,(CONTADORES!AR119-CONTADORES!AR118))</f>
        <v>0</v>
      </c>
      <c r="W121" s="736">
        <v>0</v>
      </c>
      <c r="X121" s="212">
        <f ca="1">IF(W121=0,(T121-INICIO!$W$6),((T121-INICIO!$W$6)+V121))</f>
        <v>2.2999999999956344</v>
      </c>
      <c r="Y121" s="214">
        <f t="shared" ca="1" si="22"/>
        <v>11.448999999998478</v>
      </c>
      <c r="Z121" s="215">
        <f t="shared" ca="1" si="23"/>
        <v>8.1954557484888326</v>
      </c>
      <c r="AA121" s="212">
        <f t="shared" ca="1" si="24"/>
        <v>2.1595328744694875</v>
      </c>
      <c r="AB121" s="212">
        <f t="shared" ca="1" si="25"/>
        <v>0.81481055685801507</v>
      </c>
      <c r="AC121" s="214">
        <f t="shared" ca="1" si="20"/>
        <v>0.27920082018214315</v>
      </c>
    </row>
    <row r="122" spans="2:29">
      <c r="B122" s="220">
        <v>44673</v>
      </c>
      <c r="C122" s="208">
        <f ca="1">DATOSAÑO!I122</f>
        <v>288</v>
      </c>
      <c r="D122" s="202">
        <f ca="1">DATOSAÑO!P122</f>
        <v>153</v>
      </c>
      <c r="E122" s="202">
        <f ca="1">DATOSAÑO!Q122</f>
        <v>0</v>
      </c>
      <c r="F122" s="202">
        <f ca="1">DATOSAÑO!T122</f>
        <v>0</v>
      </c>
      <c r="G122" s="202">
        <f t="shared" ca="1" si="19"/>
        <v>441</v>
      </c>
      <c r="H122" s="202">
        <f t="shared" ca="1" si="27"/>
        <v>36.081999999943264</v>
      </c>
      <c r="I122" s="202">
        <f t="shared" ca="1" si="15"/>
        <v>191.78941326534135</v>
      </c>
      <c r="J122" s="202">
        <f t="shared" ca="1" si="16"/>
        <v>36.886564625848649</v>
      </c>
      <c r="K122" s="202">
        <f t="shared" ca="1" si="17"/>
        <v>10.361394557823077</v>
      </c>
      <c r="L122" s="202">
        <f t="shared" ca="1" si="28"/>
        <v>161.2180000000233</v>
      </c>
      <c r="M122" s="202">
        <f t="shared" ca="1" si="18"/>
        <v>4.6626275510203854</v>
      </c>
      <c r="N122" s="202">
        <f t="shared" ca="1" si="21"/>
        <v>4.5</v>
      </c>
      <c r="O122" s="202">
        <f ca="1">(DATOSAÑO!AJ122+DATOSAÑO!AK122+DATOSAÑO!AD122)</f>
        <v>185.10000000003492</v>
      </c>
      <c r="P122" s="202">
        <f ca="1">DATOSAÑO!AI122</f>
        <v>35.599999999998545</v>
      </c>
      <c r="Q122" s="202">
        <f ca="1">DATOSAÑO!AH122</f>
        <v>10</v>
      </c>
      <c r="R122" s="202">
        <f ca="1">DATOSAÑO!AM122+DATOSAÑO!AN122+DATOSAÑO!AF122</f>
        <v>161.2180000000233</v>
      </c>
      <c r="S122" s="215">
        <f ca="1">IF(B122&gt;=$P$5,0,CONTADORES!Q120-CONTADORES!Q119)</f>
        <v>13</v>
      </c>
      <c r="T122" s="212">
        <f ca="1">IF(B122&gt;=$P$5,0,(CONTADORES!S120-CONTADORES!S119)+(CONTADORES!AE120-CONTADORES!AE119))</f>
        <v>2.4000000000014552</v>
      </c>
      <c r="U122" s="212">
        <f ca="1">IF(B122&gt;=$P$5,0,(CONTADORES!AQ120-CONTADORES!AQ119))</f>
        <v>4.5</v>
      </c>
      <c r="V122" s="212">
        <f ca="1">IF(B122&gt;=$P$5,0,(CONTADORES!AR120-CONTADORES!AR119))</f>
        <v>0</v>
      </c>
      <c r="W122" s="736">
        <v>0</v>
      </c>
      <c r="X122" s="212">
        <f ca="1">IF(W122=0,(T122-INICIO!$W$6),((T122-INICIO!$W$6)+V122))</f>
        <v>2.4000000000014552</v>
      </c>
      <c r="Y122" s="214">
        <f t="shared" ca="1" si="22"/>
        <v>8.5</v>
      </c>
      <c r="Z122" s="215">
        <f t="shared" ca="1" si="23"/>
        <v>6.6894132653064329</v>
      </c>
      <c r="AA122" s="212">
        <f t="shared" ca="1" si="24"/>
        <v>1.2865646258501044</v>
      </c>
      <c r="AB122" s="212">
        <f t="shared" ca="1" si="25"/>
        <v>0.36139455782307783</v>
      </c>
      <c r="AC122" s="214">
        <f t="shared" ca="1" si="20"/>
        <v>0.16262755102038501</v>
      </c>
    </row>
    <row r="123" spans="2:29">
      <c r="B123" s="220">
        <v>44674</v>
      </c>
      <c r="C123" s="208">
        <f ca="1">DATOSAÑO!I123</f>
        <v>295</v>
      </c>
      <c r="D123" s="202">
        <f ca="1">DATOSAÑO!P123</f>
        <v>155.40000000000146</v>
      </c>
      <c r="E123" s="202">
        <f ca="1">DATOSAÑO!Q123</f>
        <v>0</v>
      </c>
      <c r="F123" s="202">
        <f ca="1">DATOSAÑO!T123</f>
        <v>0</v>
      </c>
      <c r="G123" s="202">
        <f t="shared" ca="1" si="19"/>
        <v>450.40000000000146</v>
      </c>
      <c r="H123" s="202">
        <f t="shared" ca="1" si="27"/>
        <v>35.313000000062573</v>
      </c>
      <c r="I123" s="202">
        <f t="shared" ca="1" si="15"/>
        <v>197.91055532001445</v>
      </c>
      <c r="J123" s="202">
        <f t="shared" ca="1" si="16"/>
        <v>36.990674014414424</v>
      </c>
      <c r="K123" s="202">
        <f t="shared" ca="1" si="17"/>
        <v>7.0010597710864069</v>
      </c>
      <c r="L123" s="202">
        <f t="shared" ca="1" si="28"/>
        <v>168.58699999997526</v>
      </c>
      <c r="M123" s="202">
        <f t="shared" ca="1" si="18"/>
        <v>4.5977108944483218</v>
      </c>
      <c r="N123" s="202">
        <f t="shared" ca="1" si="21"/>
        <v>4.4000000000014552</v>
      </c>
      <c r="O123" s="202">
        <f ca="1">(DATOSAÑO!AJ123+DATOSAÑO!AK123+DATOSAÑO!AD123)</f>
        <v>189.39999999996508</v>
      </c>
      <c r="P123" s="202">
        <f ca="1">DATOSAÑO!AI123</f>
        <v>35.400000000001455</v>
      </c>
      <c r="Q123" s="202">
        <f ca="1">DATOSAÑO!AH123</f>
        <v>6.6999999999970896</v>
      </c>
      <c r="R123" s="202">
        <f ca="1">DATOSAÑO!AM123+DATOSAÑO!AN123+DATOSAÑO!AF123</f>
        <v>168.58699999997526</v>
      </c>
      <c r="S123" s="215">
        <f ca="1">IF(B123&gt;=$P$5,0,CONTADORES!Q121-CONTADORES!Q120)</f>
        <v>15</v>
      </c>
      <c r="T123" s="212">
        <f ca="1">IF(B123&gt;=$P$5,0,(CONTADORES!S121-CONTADORES!S120)+(CONTADORES!AE121-CONTADORES!AE120))</f>
        <v>2.5</v>
      </c>
      <c r="U123" s="212">
        <f ca="1">IF(B123&gt;=$P$5,0,(CONTADORES!AQ121-CONTADORES!AQ120))</f>
        <v>4.4000000000014552</v>
      </c>
      <c r="V123" s="212">
        <f ca="1">IF(B123&gt;=$P$5,0,(CONTADORES!AR121-CONTADORES!AR120))</f>
        <v>0</v>
      </c>
      <c r="W123" s="736">
        <v>0</v>
      </c>
      <c r="X123" s="212">
        <f ca="1">IF(W123=0,(T123-INICIO!$W$6),((T123-INICIO!$W$6)+V123))</f>
        <v>2.5</v>
      </c>
      <c r="Y123" s="214">
        <f t="shared" ca="1" si="22"/>
        <v>10.599999999998545</v>
      </c>
      <c r="Z123" s="215">
        <f t="shared" ca="1" si="23"/>
        <v>8.5105553200493915</v>
      </c>
      <c r="AA123" s="212">
        <f t="shared" ca="1" si="24"/>
        <v>1.5906740144129694</v>
      </c>
      <c r="AB123" s="212">
        <f t="shared" ca="1" si="25"/>
        <v>0.30105977108931714</v>
      </c>
      <c r="AC123" s="214">
        <f t="shared" ca="1" si="20"/>
        <v>0.19771089444686701</v>
      </c>
    </row>
    <row r="124" spans="2:29">
      <c r="B124" s="220">
        <v>44675</v>
      </c>
      <c r="C124" s="208">
        <f ca="1">DATOSAÑO!I124</f>
        <v>302</v>
      </c>
      <c r="D124" s="202">
        <f ca="1">DATOSAÑO!P124</f>
        <v>153</v>
      </c>
      <c r="E124" s="202">
        <f ca="1">DATOSAÑO!Q124</f>
        <v>0</v>
      </c>
      <c r="F124" s="202">
        <f ca="1">DATOSAÑO!T124</f>
        <v>0</v>
      </c>
      <c r="G124" s="202">
        <f t="shared" ca="1" si="19"/>
        <v>455</v>
      </c>
      <c r="H124" s="202">
        <f t="shared" ca="1" si="27"/>
        <v>35.336000000034232</v>
      </c>
      <c r="I124" s="202">
        <f t="shared" ca="1" si="15"/>
        <v>190.71676300574137</v>
      </c>
      <c r="J124" s="202">
        <f t="shared" ca="1" si="16"/>
        <v>36.312138728325863</v>
      </c>
      <c r="K124" s="202">
        <f t="shared" ca="1" si="17"/>
        <v>19.560693641621874</v>
      </c>
      <c r="L124" s="202">
        <f t="shared" ca="1" si="28"/>
        <v>167.66400000000218</v>
      </c>
      <c r="M124" s="202">
        <f t="shared" ca="1" si="18"/>
        <v>5.4104046242745252</v>
      </c>
      <c r="N124" s="202">
        <f t="shared" ca="1" si="21"/>
        <v>5.1999999999970896</v>
      </c>
      <c r="O124" s="202">
        <f ca="1">(DATOSAÑO!AJ124+DATOSAÑO!AK124+DATOSAÑO!AD124)</f>
        <v>183.29999999995925</v>
      </c>
      <c r="P124" s="202">
        <f ca="1">DATOSAÑO!AI124</f>
        <v>34.900000000001455</v>
      </c>
      <c r="Q124" s="202">
        <f ca="1">DATOSAÑO!AH124</f>
        <v>18.80000000000291</v>
      </c>
      <c r="R124" s="202">
        <f ca="1">DATOSAÑO!AM124+DATOSAÑO!AN124+DATOSAÑO!AF124</f>
        <v>167.66400000000218</v>
      </c>
      <c r="S124" s="215">
        <f ca="1">IF(B124&gt;=$P$5,0,CONTADORES!Q122-CONTADORES!Q121)</f>
        <v>15</v>
      </c>
      <c r="T124" s="212">
        <f ca="1">IF(B124&gt;=$P$5,0,(CONTADORES!S122-CONTADORES!S121)+(CONTADORES!AE122-CONTADORES!AE121))</f>
        <v>2.4000000000014552</v>
      </c>
      <c r="U124" s="212">
        <f ca="1">IF(B124&gt;=$P$5,0,(CONTADORES!AQ122-CONTADORES!AQ121))</f>
        <v>5.1999999999970896</v>
      </c>
      <c r="V124" s="212">
        <f ca="1">IF(B124&gt;=$P$5,0,(CONTADORES!AR122-CONTADORES!AR121))</f>
        <v>0</v>
      </c>
      <c r="W124" s="736">
        <v>0</v>
      </c>
      <c r="X124" s="212">
        <f ca="1">IF(W124=0,(T124-INICIO!$W$6),((T124-INICIO!$W$6)+V124))</f>
        <v>2.4000000000014552</v>
      </c>
      <c r="Y124" s="214">
        <f t="shared" ca="1" si="22"/>
        <v>9.8000000000029104</v>
      </c>
      <c r="Z124" s="215">
        <f t="shared" ca="1" si="23"/>
        <v>7.4167630057821032</v>
      </c>
      <c r="AA124" s="212">
        <f t="shared" ca="1" si="24"/>
        <v>1.4121387283244067</v>
      </c>
      <c r="AB124" s="212">
        <f t="shared" ca="1" si="25"/>
        <v>0.76069364161896413</v>
      </c>
      <c r="AC124" s="214">
        <f t="shared" ca="1" si="20"/>
        <v>0.2104046242774355</v>
      </c>
    </row>
    <row r="125" spans="2:29">
      <c r="B125" s="220">
        <v>44676</v>
      </c>
      <c r="C125" s="208">
        <f ca="1">DATOSAÑO!I125</f>
        <v>291</v>
      </c>
      <c r="D125" s="202">
        <f ca="1">DATOSAÑO!P125</f>
        <v>157</v>
      </c>
      <c r="E125" s="202">
        <f ca="1">DATOSAÑO!Q125</f>
        <v>0.38200000000006185</v>
      </c>
      <c r="F125" s="202">
        <f ca="1">DATOSAÑO!T125</f>
        <v>0.69000000000005457</v>
      </c>
      <c r="G125" s="202">
        <f t="shared" ca="1" si="19"/>
        <v>449.07200000000012</v>
      </c>
      <c r="H125" s="202">
        <f t="shared" ca="1" si="27"/>
        <v>36.915999999996757</v>
      </c>
      <c r="I125" s="202">
        <f t="shared" ca="1" si="15"/>
        <v>193.1813353500558</v>
      </c>
      <c r="J125" s="202">
        <f t="shared" ca="1" si="16"/>
        <v>37.594858254095854</v>
      </c>
      <c r="K125" s="202">
        <f t="shared" ca="1" si="17"/>
        <v>5.2070440795159199</v>
      </c>
      <c r="L125" s="202">
        <f t="shared" ca="1" si="28"/>
        <v>171.17399999999748</v>
      </c>
      <c r="M125" s="202">
        <f t="shared" ca="1" si="18"/>
        <v>4.9987623163383139</v>
      </c>
      <c r="N125" s="202">
        <f t="shared" ca="1" si="21"/>
        <v>4.8000000000029104</v>
      </c>
      <c r="O125" s="202">
        <f ca="1">(DATOSAÑO!AJ125+DATOSAÑO!AK125+DATOSAÑO!AD125)</f>
        <v>185.50000000001455</v>
      </c>
      <c r="P125" s="202">
        <f ca="1">DATOSAÑO!AI125</f>
        <v>36.099999999991269</v>
      </c>
      <c r="Q125" s="202">
        <f ca="1">DATOSAÑO!AH125</f>
        <v>5</v>
      </c>
      <c r="R125" s="202">
        <f ca="1">DATOSAÑO!AM125+DATOSAÑO!AN125+DATOSAÑO!AF125</f>
        <v>171.17399999999748</v>
      </c>
      <c r="S125" s="215">
        <f ca="1">IF(B125&gt;=$P$5,0,CONTADORES!Q123-CONTADORES!Q122)</f>
        <v>14</v>
      </c>
      <c r="T125" s="212">
        <f ca="1">IF(B125&gt;=$P$5,0,(CONTADORES!S123-CONTADORES!S122)+(CONTADORES!AE123-CONTADORES!AE122))</f>
        <v>2.5999999999985448</v>
      </c>
      <c r="U125" s="212">
        <f ca="1">IF(B125&gt;=$P$5,0,(CONTADORES!AQ123-CONTADORES!AQ122))</f>
        <v>4.8000000000029104</v>
      </c>
      <c r="V125" s="212">
        <f ca="1">IF(B125&gt;=$P$5,0,(CONTADORES!AR123-CONTADORES!AR122))</f>
        <v>0</v>
      </c>
      <c r="W125" s="736">
        <v>0</v>
      </c>
      <c r="X125" s="212">
        <f ca="1">IF(W125=0,(T125-INICIO!$W$6),((T125-INICIO!$W$6)+V125))</f>
        <v>2.5999999999985448</v>
      </c>
      <c r="Y125" s="214">
        <f t="shared" ca="1" si="22"/>
        <v>9.5819999999971515</v>
      </c>
      <c r="Z125" s="215">
        <f t="shared" ca="1" si="23"/>
        <v>7.6813353500412438</v>
      </c>
      <c r="AA125" s="212">
        <f t="shared" ca="1" si="24"/>
        <v>1.494858254104583</v>
      </c>
      <c r="AB125" s="212">
        <f t="shared" ca="1" si="25"/>
        <v>0.20704407951592027</v>
      </c>
      <c r="AC125" s="214">
        <f t="shared" ca="1" si="20"/>
        <v>0.19876231633540395</v>
      </c>
    </row>
    <row r="126" spans="2:29">
      <c r="B126" s="220">
        <v>44677</v>
      </c>
      <c r="C126" s="208">
        <f ca="1">DATOSAÑO!I126</f>
        <v>282.13000000000466</v>
      </c>
      <c r="D126" s="202">
        <f ca="1">DATOSAÑO!P126</f>
        <v>148.91000000000349</v>
      </c>
      <c r="E126" s="202">
        <f ca="1">DATOSAÑO!Q126</f>
        <v>0</v>
      </c>
      <c r="F126" s="202">
        <f ca="1">DATOSAÑO!T126</f>
        <v>0</v>
      </c>
      <c r="G126" s="202">
        <f t="shared" ca="1" si="19"/>
        <v>431.04000000000815</v>
      </c>
      <c r="H126" s="202">
        <f t="shared" ca="1" si="27"/>
        <v>35.869999999999095</v>
      </c>
      <c r="I126" s="202">
        <f t="shared" ca="1" si="15"/>
        <v>186.04929556565486</v>
      </c>
      <c r="J126" s="202">
        <f t="shared" ca="1" si="16"/>
        <v>36.225316467082649</v>
      </c>
      <c r="K126" s="202">
        <f t="shared" ca="1" si="17"/>
        <v>4.8077454053234474</v>
      </c>
      <c r="L126" s="202">
        <f t="shared" ca="1" si="28"/>
        <v>162.74999999998894</v>
      </c>
      <c r="M126" s="202">
        <f t="shared" ca="1" si="18"/>
        <v>5.3376425619591226</v>
      </c>
      <c r="N126" s="202">
        <f t="shared" ca="1" si="21"/>
        <v>5.1070000000036089</v>
      </c>
      <c r="O126" s="202">
        <f ca="1">(DATOSAÑO!AJ126+DATOSAÑO!AK126+DATOSAÑO!AD126)</f>
        <v>178.01000000002387</v>
      </c>
      <c r="P126" s="202">
        <f ca="1">DATOSAÑO!AI126</f>
        <v>34.660000000003492</v>
      </c>
      <c r="Q126" s="202">
        <f ca="1">DATOSAÑO!AH126</f>
        <v>4.5999999999985448</v>
      </c>
      <c r="R126" s="202">
        <f ca="1">DATOSAÑO!AM126+DATOSAÑO!AN126+DATOSAÑO!AF126</f>
        <v>162.74999999998894</v>
      </c>
      <c r="S126" s="215">
        <f ca="1">IF(B126&gt;=$P$5,0,CONTADORES!Q124-CONTADORES!Q123)</f>
        <v>15.149999999994179</v>
      </c>
      <c r="T126" s="212">
        <f ca="1">IF(B126&gt;=$P$5,0,(CONTADORES!S124-CONTADORES!S123)+(CONTADORES!AE124-CONTADORES!AE123))</f>
        <v>2.4700000000011642</v>
      </c>
      <c r="U126" s="212">
        <f ca="1">IF(B126&gt;=$P$5,0,(CONTADORES!AQ124-CONTADORES!AQ123))</f>
        <v>5.1070000000036089</v>
      </c>
      <c r="V126" s="212">
        <f ca="1">IF(B126&gt;=$P$5,0,(CONTADORES!AR124-CONTADORES!AR123))</f>
        <v>0</v>
      </c>
      <c r="W126" s="736">
        <v>0</v>
      </c>
      <c r="X126" s="212">
        <f ca="1">IF(W126=0,(T126-INICIO!$W$6),((T126-INICIO!$W$6)+V126))</f>
        <v>2.4700000000011642</v>
      </c>
      <c r="Y126" s="214">
        <f t="shared" ca="1" si="22"/>
        <v>10.04299999999057</v>
      </c>
      <c r="Z126" s="215">
        <f t="shared" ca="1" si="23"/>
        <v>8.0392955656309955</v>
      </c>
      <c r="AA126" s="212">
        <f t="shared" ca="1" si="24"/>
        <v>1.5653164670791586</v>
      </c>
      <c r="AB126" s="212">
        <f t="shared" ca="1" si="25"/>
        <v>0.20774540532490265</v>
      </c>
      <c r="AC126" s="214">
        <f t="shared" ca="1" si="20"/>
        <v>0.23064256195551375</v>
      </c>
    </row>
    <row r="127" spans="2:29">
      <c r="B127" s="220">
        <v>44678</v>
      </c>
      <c r="C127" s="208">
        <f ca="1">DATOSAÑO!I127</f>
        <v>307.51000000000931</v>
      </c>
      <c r="D127" s="202">
        <f ca="1">DATOSAÑO!P127</f>
        <v>151.15999999999622</v>
      </c>
      <c r="E127" s="202">
        <f ca="1">DATOSAÑO!Q127</f>
        <v>0</v>
      </c>
      <c r="F127" s="202">
        <f ca="1">DATOSAÑO!T127</f>
        <v>0</v>
      </c>
      <c r="G127" s="202">
        <f t="shared" ca="1" si="19"/>
        <v>458.67000000000553</v>
      </c>
      <c r="H127" s="202">
        <f t="shared" ca="1" si="27"/>
        <v>38.268999999951006</v>
      </c>
      <c r="I127" s="202">
        <f t="shared" ca="1" si="15"/>
        <v>192.50369921716498</v>
      </c>
      <c r="J127" s="202">
        <f t="shared" ca="1" si="16"/>
        <v>41.017182529877559</v>
      </c>
      <c r="K127" s="202">
        <f t="shared" ca="1" si="17"/>
        <v>13.957091058922142</v>
      </c>
      <c r="L127" s="202">
        <f t="shared" ca="1" si="28"/>
        <v>167.61100000002452</v>
      </c>
      <c r="M127" s="202">
        <f t="shared" ca="1" si="18"/>
        <v>5.3120271940652897</v>
      </c>
      <c r="N127" s="202">
        <f t="shared" ca="1" si="21"/>
        <v>5.0999999999985448</v>
      </c>
      <c r="O127" s="202">
        <f ca="1">(DATOSAÑO!AJ127+DATOSAÑO!AK127+DATOSAÑO!AD127)</f>
        <v>184.82000000002154</v>
      </c>
      <c r="P127" s="202">
        <f ca="1">DATOSAÑO!AI127</f>
        <v>39.380000000004657</v>
      </c>
      <c r="Q127" s="202">
        <f ca="1">DATOSAÑO!AH127</f>
        <v>13.400000000001455</v>
      </c>
      <c r="R127" s="202">
        <f ca="1">DATOSAÑO!AM127+DATOSAÑO!AN127+DATOSAÑO!AF127</f>
        <v>167.61100000002452</v>
      </c>
      <c r="S127" s="215">
        <f ca="1">IF(B127&gt;=$P$5,0,CONTADORES!Q125-CONTADORES!Q124)</f>
        <v>15.190000000002328</v>
      </c>
      <c r="T127" s="212">
        <f ca="1">IF(B127&gt;=$P$5,0,(CONTADORES!S125-CONTADORES!S124)+(CONTADORES!AE125-CONTADORES!AE124))</f>
        <v>2.5100000000020373</v>
      </c>
      <c r="U127" s="212">
        <f ca="1">IF(B127&gt;=$P$5,0,(CONTADORES!AQ125-CONTADORES!AQ124))</f>
        <v>5.0999999999985448</v>
      </c>
      <c r="V127" s="212">
        <f ca="1">IF(B127&gt;=$P$5,0,(CONTADORES!AR125-CONTADORES!AR124))</f>
        <v>0</v>
      </c>
      <c r="W127" s="736">
        <v>0</v>
      </c>
      <c r="X127" s="212">
        <f ca="1">IF(W127=0,(T127-INICIO!$W$6),((T127-INICIO!$W$6)+V127))</f>
        <v>2.5100000000020373</v>
      </c>
      <c r="Y127" s="214">
        <f t="shared" ca="1" si="22"/>
        <v>10.090000000003783</v>
      </c>
      <c r="Z127" s="215">
        <f t="shared" ca="1" si="23"/>
        <v>7.6836992171434506</v>
      </c>
      <c r="AA127" s="212">
        <f t="shared" ca="1" si="24"/>
        <v>1.6371825298729012</v>
      </c>
      <c r="AB127" s="212">
        <f t="shared" ca="1" si="25"/>
        <v>0.55709105892068722</v>
      </c>
      <c r="AC127" s="214">
        <f t="shared" ca="1" si="20"/>
        <v>0.21202719406674519</v>
      </c>
    </row>
    <row r="128" spans="2:29">
      <c r="B128" s="220">
        <v>44679</v>
      </c>
      <c r="C128" s="208">
        <f ca="1">DATOSAÑO!I128</f>
        <v>298.85999999998603</v>
      </c>
      <c r="D128" s="202">
        <f ca="1">DATOSAÑO!P128</f>
        <v>151.94000000000233</v>
      </c>
      <c r="E128" s="202">
        <f ca="1">DATOSAÑO!Q128</f>
        <v>0</v>
      </c>
      <c r="F128" s="202">
        <f ca="1">DATOSAÑO!T128</f>
        <v>0</v>
      </c>
      <c r="G128" s="202">
        <f t="shared" ca="1" si="19"/>
        <v>450.79999999998836</v>
      </c>
      <c r="H128" s="202">
        <f t="shared" ca="1" si="27"/>
        <v>37.520999999968012</v>
      </c>
      <c r="I128" s="202">
        <f t="shared" ca="1" si="15"/>
        <v>191.94125482470665</v>
      </c>
      <c r="J128" s="202">
        <f t="shared" ca="1" si="16"/>
        <v>39.805022235265028</v>
      </c>
      <c r="K128" s="202">
        <f t="shared" ca="1" si="17"/>
        <v>11.146656318170917</v>
      </c>
      <c r="L128" s="202">
        <f t="shared" ca="1" si="28"/>
        <v>164.96899999996444</v>
      </c>
      <c r="M128" s="202">
        <f t="shared" ca="1" si="18"/>
        <v>5.4170666219132801</v>
      </c>
      <c r="N128" s="202">
        <f t="shared" ca="1" si="21"/>
        <v>5.1999999999970896</v>
      </c>
      <c r="O128" s="202">
        <f ca="1">(DATOSAÑO!AJ128+DATOSAÑO!AK128+DATOSAÑO!AD128)</f>
        <v>184.25000000007276</v>
      </c>
      <c r="P128" s="202">
        <f ca="1">DATOSAÑO!AI128</f>
        <v>38.209999999991851</v>
      </c>
      <c r="Q128" s="202">
        <f ca="1">DATOSAÑO!AH128</f>
        <v>10.69999999999709</v>
      </c>
      <c r="R128" s="202">
        <f ca="1">DATOSAÑO!AM128+DATOSAÑO!AN128+DATOSAÑO!AF128</f>
        <v>164.96899999996444</v>
      </c>
      <c r="S128" s="215">
        <f ca="1">IF(B128&gt;=$P$5,0,CONTADORES!Q126-CONTADORES!Q125)</f>
        <v>15.149999999994179</v>
      </c>
      <c r="T128" s="212">
        <f ca="1">IF(B128&gt;=$P$5,0,(CONTADORES!S126-CONTADORES!S125)+(CONTADORES!AE126-CONTADORES!AE125))</f>
        <v>2.5199999999967986</v>
      </c>
      <c r="U128" s="212">
        <f ca="1">IF(B128&gt;=$P$5,0,(CONTADORES!AQ126-CONTADORES!AQ125))</f>
        <v>5.1999999999970896</v>
      </c>
      <c r="V128" s="212">
        <f ca="1">IF(B128&gt;=$P$5,0,(CONTADORES!AR126-CONTADORES!AR125))</f>
        <v>0</v>
      </c>
      <c r="W128" s="736">
        <v>0</v>
      </c>
      <c r="X128" s="212">
        <f ca="1">IF(W128=0,(T128-INICIO!$W$6),((T128-INICIO!$W$6)+V128))</f>
        <v>2.5199999999967986</v>
      </c>
      <c r="Y128" s="214">
        <f t="shared" ca="1" si="22"/>
        <v>9.9499999999970896</v>
      </c>
      <c r="Z128" s="215">
        <f t="shared" ca="1" si="23"/>
        <v>7.6912548246338961</v>
      </c>
      <c r="AA128" s="212">
        <f t="shared" ca="1" si="24"/>
        <v>1.5950222352731747</v>
      </c>
      <c r="AB128" s="212">
        <f t="shared" ca="1" si="25"/>
        <v>0.446656318173828</v>
      </c>
      <c r="AC128" s="214">
        <f t="shared" ca="1" si="20"/>
        <v>0.21706662191619042</v>
      </c>
    </row>
    <row r="129" spans="2:29">
      <c r="B129" s="220">
        <v>44680</v>
      </c>
      <c r="C129" s="208">
        <f ca="1">DATOSAÑO!I129</f>
        <v>291.6600000000326</v>
      </c>
      <c r="D129" s="202">
        <f ca="1">DATOSAÑO!P129</f>
        <v>147.88999999999942</v>
      </c>
      <c r="E129" s="202">
        <f ca="1">DATOSAÑO!Q129</f>
        <v>0</v>
      </c>
      <c r="F129" s="202">
        <f ca="1">DATOSAÑO!T129</f>
        <v>0</v>
      </c>
      <c r="G129" s="202">
        <f t="shared" ca="1" si="19"/>
        <v>439.55000000003201</v>
      </c>
      <c r="H129" s="202">
        <f t="shared" ca="1" si="27"/>
        <v>36.565999999959161</v>
      </c>
      <c r="I129" s="202">
        <f t="shared" ca="1" si="15"/>
        <v>192.25082895580817</v>
      </c>
      <c r="J129" s="202">
        <f t="shared" ca="1" si="16"/>
        <v>39.748017732854073</v>
      </c>
      <c r="K129" s="202">
        <f t="shared" ca="1" si="17"/>
        <v>9.5828554282598937</v>
      </c>
      <c r="L129" s="202">
        <f t="shared" ca="1" si="28"/>
        <v>156.51400000002076</v>
      </c>
      <c r="M129" s="202">
        <f t="shared" ca="1" si="18"/>
        <v>4.8882978831299617</v>
      </c>
      <c r="N129" s="202">
        <f t="shared" ca="1" si="21"/>
        <v>4.6929999999993015</v>
      </c>
      <c r="O129" s="202">
        <f ca="1">(DATOSAÑO!AJ129+DATOSAÑO!AK129+DATOSAÑO!AD129)</f>
        <v>184.57000000003609</v>
      </c>
      <c r="P129" s="202">
        <f ca="1">DATOSAÑO!AI129</f>
        <v>38.160000000003492</v>
      </c>
      <c r="Q129" s="202">
        <f ca="1">DATOSAÑO!AH129</f>
        <v>9.2000000000043656</v>
      </c>
      <c r="R129" s="202">
        <f ca="1">DATOSAÑO!AM129+DATOSAÑO!AN129+DATOSAÑO!AF129</f>
        <v>156.51400000002076</v>
      </c>
      <c r="S129" s="215">
        <f ca="1">IF(B129&gt;=$P$5,0,CONTADORES!Q127-CONTADORES!Q126)</f>
        <v>14.540000000008149</v>
      </c>
      <c r="T129" s="212">
        <f ca="1">IF(B129&gt;=$P$5,0,(CONTADORES!S127-CONTADORES!S126)+(CONTADORES!AE127-CONTADORES!AE126))</f>
        <v>2.4800000000032014</v>
      </c>
      <c r="U129" s="212">
        <f ca="1">IF(B129&gt;=$P$5,0,(CONTADORES!AQ127-CONTADORES!AQ126))</f>
        <v>4.6929999999993015</v>
      </c>
      <c r="V129" s="212">
        <f ca="1">IF(B129&gt;=$P$5,0,(CONTADORES!AR127-CONTADORES!AR126))</f>
        <v>0</v>
      </c>
      <c r="W129" s="736">
        <v>0</v>
      </c>
      <c r="X129" s="212">
        <f ca="1">IF(W129=0,(T129-INICIO!$W$6),((T129-INICIO!$W$6)+V129))</f>
        <v>2.4800000000032014</v>
      </c>
      <c r="Y129" s="214">
        <f t="shared" ca="1" si="22"/>
        <v>9.8470000000088476</v>
      </c>
      <c r="Z129" s="215">
        <f t="shared" ca="1" si="23"/>
        <v>7.6808289557720775</v>
      </c>
      <c r="AA129" s="212">
        <f t="shared" ca="1" si="24"/>
        <v>1.5880177328505822</v>
      </c>
      <c r="AB129" s="212">
        <f t="shared" ca="1" si="25"/>
        <v>0.3828554282555281</v>
      </c>
      <c r="AC129" s="214">
        <f t="shared" ca="1" si="20"/>
        <v>0.19529788313066015</v>
      </c>
    </row>
    <row r="130" spans="2:29" ht="15" thickBot="1">
      <c r="B130" s="1069">
        <v>44681</v>
      </c>
      <c r="C130" s="209">
        <f ca="1">DATOSAÑO!I130</f>
        <v>302.98999999999069</v>
      </c>
      <c r="D130" s="203">
        <f ca="1">DATOSAÑO!P130</f>
        <v>144</v>
      </c>
      <c r="E130" s="203">
        <f ca="1">DATOSAÑO!Q130</f>
        <v>0</v>
      </c>
      <c r="F130" s="203">
        <f ca="1">DATOSAÑO!T130</f>
        <v>0</v>
      </c>
      <c r="G130" s="203">
        <f t="shared" ca="1" si="19"/>
        <v>446.98999999999069</v>
      </c>
      <c r="H130" s="203">
        <f t="shared" ca="1" si="27"/>
        <v>37.272000000083722</v>
      </c>
      <c r="I130" s="203">
        <f t="shared" ca="1" si="15"/>
        <v>189.50058152690988</v>
      </c>
      <c r="J130" s="203">
        <f t="shared" ca="1" si="16"/>
        <v>39.785456374991149</v>
      </c>
      <c r="K130" s="203">
        <f t="shared" ca="1" si="17"/>
        <v>13.719122887925375</v>
      </c>
      <c r="L130" s="203">
        <f t="shared" ca="1" si="28"/>
        <v>161.82799999998028</v>
      </c>
      <c r="M130" s="203">
        <f t="shared" ca="1" si="18"/>
        <v>4.8848392101002549</v>
      </c>
      <c r="N130" s="203">
        <f t="shared" ca="1" si="21"/>
        <v>4.7000000000043656</v>
      </c>
      <c r="O130" s="203">
        <f ca="1">(DATOSAÑO!AJ130+DATOSAÑO!AK130+DATOSAÑO!AD130)</f>
        <v>182.32999999994354</v>
      </c>
      <c r="P130" s="203">
        <f ca="1">DATOSAÑO!AI130</f>
        <v>38.279999999998836</v>
      </c>
      <c r="Q130" s="203">
        <f ca="1">DATOSAÑO!AH130</f>
        <v>13.19999999999709</v>
      </c>
      <c r="R130" s="203">
        <f ca="1">DATOSAÑO!AM130+DATOSAÑO!AN130+DATOSAÑO!AF130</f>
        <v>161.82799999998028</v>
      </c>
      <c r="S130" s="209">
        <f ca="1">IF(B130&gt;=$P$5,0,CONTADORES!Q128-CONTADORES!Q127)</f>
        <v>14.079999999987194</v>
      </c>
      <c r="T130" s="203">
        <f ca="1">IF(B130&gt;=$P$5,0,(CONTADORES!S128-CONTADORES!S127)+(CONTADORES!AE128-CONTADORES!AE127))</f>
        <v>2.3899999999994179</v>
      </c>
      <c r="U130" s="203">
        <f ca="1">IF(B130&gt;=$P$5,0,(CONTADORES!AQ128-CONTADORES!AQ127))</f>
        <v>4.7000000000043656</v>
      </c>
      <c r="V130" s="203">
        <f ca="1">IF(B130&gt;=$P$5,0,(CONTADORES!AR128-CONTADORES!AR127))</f>
        <v>0</v>
      </c>
      <c r="W130" s="737">
        <v>0</v>
      </c>
      <c r="X130" s="203">
        <f ca="1">IF(W130=0,(T130-INICIO!$W$6),((T130-INICIO!$W$6)+V130))</f>
        <v>2.3899999999994179</v>
      </c>
      <c r="Y130" s="207">
        <f t="shared" ca="1" si="22"/>
        <v>9.3799999999828287</v>
      </c>
      <c r="Z130" s="203">
        <f t="shared" ca="1" si="23"/>
        <v>7.170581526966342</v>
      </c>
      <c r="AA130" s="203">
        <f t="shared" ca="1" si="24"/>
        <v>1.5054563749923118</v>
      </c>
      <c r="AB130" s="203">
        <f t="shared" ca="1" si="25"/>
        <v>0.51912288792828476</v>
      </c>
      <c r="AC130" s="207">
        <f t="shared" ca="1" si="20"/>
        <v>0.18483921009588958</v>
      </c>
    </row>
    <row r="131" spans="2:29">
      <c r="B131" s="410">
        <v>44682</v>
      </c>
      <c r="C131" s="208">
        <f ca="1">DATOSAÑO!I131</f>
        <v>307.15000000002328</v>
      </c>
      <c r="D131" s="202">
        <f ca="1">DATOSAÑO!P131</f>
        <v>145.09999999999854</v>
      </c>
      <c r="E131" s="202">
        <f ca="1">DATOSAÑO!Q131</f>
        <v>0</v>
      </c>
      <c r="F131" s="202">
        <f ca="1">DATOSAÑO!T131</f>
        <v>0</v>
      </c>
      <c r="G131" s="202">
        <f t="shared" ca="1" si="19"/>
        <v>452.25000000002183</v>
      </c>
      <c r="H131" s="202">
        <f ca="1">G131-SUM(I131:M131)</f>
        <v>37.102000000019416</v>
      </c>
      <c r="I131" s="202">
        <f t="shared" ca="1" si="15"/>
        <v>193.23442049074785</v>
      </c>
      <c r="J131" s="202">
        <f t="shared" ca="1" si="16"/>
        <v>39.774058840576188</v>
      </c>
      <c r="K131" s="202">
        <f t="shared" ca="1" si="17"/>
        <v>13.438589812556025</v>
      </c>
      <c r="L131" s="202">
        <f ca="1">R131</f>
        <v>163.38799999999767</v>
      </c>
      <c r="M131" s="202">
        <f t="shared" ca="1" si="18"/>
        <v>5.3129308561246855</v>
      </c>
      <c r="N131" s="202">
        <f t="shared" ca="1" si="21"/>
        <v>5.0999999999985448</v>
      </c>
      <c r="O131" s="202">
        <f ca="1">(DATOSAÑO!AJ131+DATOSAÑO!AK131+DATOSAÑO!AD131)</f>
        <v>185.48999999999342</v>
      </c>
      <c r="P131" s="202">
        <f ca="1">DATOSAÑO!AI131</f>
        <v>38.180000000007567</v>
      </c>
      <c r="Q131" s="202">
        <f ca="1">DATOSAÑO!AH131</f>
        <v>12.900000000001455</v>
      </c>
      <c r="R131" s="202">
        <f ca="1">DATOSAÑO!AM131+DATOSAÑO!AN131+DATOSAÑO!AF131</f>
        <v>163.38799999999767</v>
      </c>
      <c r="S131" s="208">
        <f ca="1">IF(B131&gt;=$P$5,0,CONTADORES!Q125-CONTADORES!Q124)</f>
        <v>15.190000000002328</v>
      </c>
      <c r="T131" s="202">
        <f ca="1">IF(B131&gt;=$P$5,0,(CONTADORES!S125-CONTADORES!S124)+(CONTADORES!AE125-CONTADORES!AE124))</f>
        <v>2.5100000000020373</v>
      </c>
      <c r="U131" s="202">
        <f ca="1">IF(B131&gt;=$P$5,0,(CONTADORES!AQ125-CONTADORES!AQ124))</f>
        <v>5.0999999999985448</v>
      </c>
      <c r="V131" s="202">
        <f ca="1">IF(B131&gt;=$P$5,0,(CONTADORES!AR125-CONTADORES!AR124))</f>
        <v>0</v>
      </c>
      <c r="W131" s="735">
        <v>0</v>
      </c>
      <c r="X131" s="202">
        <f ca="1">IF(W131=0,(T131-INICIO!$W$6),((T131-INICIO!$W$6)+V131))</f>
        <v>2.5100000000020373</v>
      </c>
      <c r="Y131" s="214">
        <f t="shared" ca="1" si="22"/>
        <v>10.090000000003783</v>
      </c>
      <c r="Z131" s="215">
        <f t="shared" ca="1" si="23"/>
        <v>7.7444204907544494</v>
      </c>
      <c r="AA131" s="212">
        <f t="shared" ca="1" si="24"/>
        <v>1.5940588405686236</v>
      </c>
      <c r="AB131" s="212">
        <f t="shared" ca="1" si="25"/>
        <v>0.53858981255457017</v>
      </c>
      <c r="AC131" s="214">
        <f t="shared" ca="1" si="20"/>
        <v>0.21293085612614063</v>
      </c>
    </row>
    <row r="132" spans="2:29">
      <c r="B132" s="220">
        <v>44683</v>
      </c>
      <c r="C132" s="208">
        <f ca="1">DATOSAÑO!I132</f>
        <v>312.69999999995343</v>
      </c>
      <c r="D132" s="202">
        <f ca="1">DATOSAÑO!P132</f>
        <v>148</v>
      </c>
      <c r="E132" s="202">
        <f ca="1">DATOSAÑO!Q132</f>
        <v>0.17599999999993088</v>
      </c>
      <c r="F132" s="202">
        <f ca="1">DATOSAÑO!T132</f>
        <v>0.20299999999997453</v>
      </c>
      <c r="G132" s="202">
        <f t="shared" ca="1" si="19"/>
        <v>461.07899999995334</v>
      </c>
      <c r="H132" s="202">
        <f t="shared" ref="H132:H161" ca="1" si="29">G132-SUM(I132:M132)</f>
        <v>39.00799999992222</v>
      </c>
      <c r="I132" s="202">
        <f t="shared" ca="1" si="15"/>
        <v>197.33286571625555</v>
      </c>
      <c r="J132" s="202">
        <f t="shared" ca="1" si="16"/>
        <v>40.105682646094948</v>
      </c>
      <c r="K132" s="202">
        <f t="shared" ca="1" si="17"/>
        <v>14.884797867617229</v>
      </c>
      <c r="L132" s="202">
        <f t="shared" ref="L132:L195" ca="1" si="30">R132</f>
        <v>164.33500000002488</v>
      </c>
      <c r="M132" s="202">
        <f t="shared" ca="1" si="18"/>
        <v>5.4126537700384976</v>
      </c>
      <c r="N132" s="202">
        <f t="shared" ca="1" si="21"/>
        <v>5.1999999999970896</v>
      </c>
      <c r="O132" s="202">
        <f ca="1">(DATOSAÑO!AJ132+DATOSAÑO!AK132+DATOSAÑO!AD132)</f>
        <v>189.58000000001039</v>
      </c>
      <c r="P132" s="202">
        <f ca="1">DATOSAÑO!AI132</f>
        <v>38.529999999998836</v>
      </c>
      <c r="Q132" s="202">
        <f ca="1">DATOSAÑO!AH132</f>
        <v>14.30000000000291</v>
      </c>
      <c r="R132" s="202">
        <f ca="1">DATOSAÑO!AM132+DATOSAÑO!AN132+DATOSAÑO!AF132</f>
        <v>164.33500000002488</v>
      </c>
      <c r="S132" s="215">
        <f ca="1">IF(B132&gt;=$P$5,0,CONTADORES!Q126-CONTADORES!Q125)</f>
        <v>15.149999999994179</v>
      </c>
      <c r="T132" s="212">
        <f ca="1">IF(B132&gt;=$P$5,0,(CONTADORES!S126-CONTADORES!S125)+(CONTADORES!AE126-CONTADORES!AE125))</f>
        <v>2.5199999999967986</v>
      </c>
      <c r="U132" s="212">
        <f ca="1">IF(B132&gt;=$P$5,0,(CONTADORES!AQ126-CONTADORES!AQ125))</f>
        <v>5.1999999999970896</v>
      </c>
      <c r="V132" s="212">
        <f ca="1">IF(B132&gt;=$P$5,0,(CONTADORES!AR126-CONTADORES!AR125))</f>
        <v>0</v>
      </c>
      <c r="W132" s="736">
        <v>0</v>
      </c>
      <c r="X132" s="212">
        <f ca="1">IF(W132=0,(T132-INICIO!$W$6),((T132-INICIO!$W$6)+V132))</f>
        <v>2.5199999999967986</v>
      </c>
      <c r="Y132" s="214">
        <f t="shared" ca="1" si="22"/>
        <v>10.12599999999702</v>
      </c>
      <c r="Z132" s="215">
        <f t="shared" ca="1" si="23"/>
        <v>7.7528657162451795</v>
      </c>
      <c r="AA132" s="212">
        <f t="shared" ca="1" si="24"/>
        <v>1.5756826460961144</v>
      </c>
      <c r="AB132" s="212">
        <f t="shared" ca="1" si="25"/>
        <v>0.58479786761431873</v>
      </c>
      <c r="AC132" s="214">
        <f t="shared" ca="1" si="20"/>
        <v>0.21265377004140817</v>
      </c>
    </row>
    <row r="133" spans="2:29">
      <c r="B133" s="220">
        <v>44684</v>
      </c>
      <c r="C133" s="208">
        <f ca="1">DATOSAÑO!I133</f>
        <v>286</v>
      </c>
      <c r="D133" s="202">
        <f ca="1">DATOSAÑO!P133</f>
        <v>146</v>
      </c>
      <c r="E133" s="202">
        <f ca="1">DATOSAÑO!Q133</f>
        <v>0</v>
      </c>
      <c r="F133" s="202">
        <f ca="1">DATOSAÑO!T133</f>
        <v>0</v>
      </c>
      <c r="G133" s="202">
        <f t="shared" ca="1" si="19"/>
        <v>432</v>
      </c>
      <c r="H133" s="202">
        <f t="shared" ca="1" si="29"/>
        <v>36.889000000001658</v>
      </c>
      <c r="I133" s="202">
        <f t="shared" ca="1" si="15"/>
        <v>180.25606212808324</v>
      </c>
      <c r="J133" s="202">
        <f t="shared" ca="1" si="16"/>
        <v>40.20775429856058</v>
      </c>
      <c r="K133" s="202">
        <f t="shared" ca="1" si="17"/>
        <v>6.4750149779488755</v>
      </c>
      <c r="L133" s="202">
        <f t="shared" ca="1" si="30"/>
        <v>163.27100000000002</v>
      </c>
      <c r="M133" s="202">
        <f t="shared" ca="1" si="18"/>
        <v>4.901168595405629</v>
      </c>
      <c r="N133" s="202">
        <f t="shared" ca="1" si="21"/>
        <v>4.6929999999993015</v>
      </c>
      <c r="O133" s="202">
        <f ca="1">(DATOSAÑO!AJ133+DATOSAÑO!AK133+DATOSAÑO!AD133)</f>
        <v>172.59999999999127</v>
      </c>
      <c r="P133" s="202">
        <f ca="1">DATOSAÑO!AI133</f>
        <v>38.5</v>
      </c>
      <c r="Q133" s="202">
        <f ca="1">DATOSAÑO!AH133</f>
        <v>6.1999999999989086</v>
      </c>
      <c r="R133" s="202">
        <f ca="1">DATOSAÑO!AM133+DATOSAÑO!AN133+DATOSAÑO!AF133</f>
        <v>163.27100000000002</v>
      </c>
      <c r="S133" s="215">
        <f ca="1">IF(B133&gt;=$P$5,0,CONTADORES!Q127-CONTADORES!Q126)</f>
        <v>14.540000000008149</v>
      </c>
      <c r="T133" s="212">
        <f ca="1">IF(B133&gt;=$P$5,0,(CONTADORES!S127-CONTADORES!S126)+(CONTADORES!AE127-CONTADORES!AE126))</f>
        <v>2.4800000000032014</v>
      </c>
      <c r="U133" s="212">
        <f ca="1">IF(B133&gt;=$P$5,0,(CONTADORES!AQ127-CONTADORES!AQ126))</f>
        <v>4.6929999999993015</v>
      </c>
      <c r="V133" s="212">
        <f ca="1">IF(B133&gt;=$P$5,0,(CONTADORES!AR127-CONTADORES!AR126))</f>
        <v>0</v>
      </c>
      <c r="W133" s="736">
        <v>0</v>
      </c>
      <c r="X133" s="212">
        <f ca="1">IF(W133=0,(T133-INICIO!$W$6),((T133-INICIO!$W$6)+V133))</f>
        <v>2.4800000000032014</v>
      </c>
      <c r="Y133" s="214">
        <f t="shared" ca="1" si="22"/>
        <v>9.8470000000088476</v>
      </c>
      <c r="Z133" s="215">
        <f t="shared" ca="1" si="23"/>
        <v>7.6560621280919747</v>
      </c>
      <c r="AA133" s="212">
        <f t="shared" ca="1" si="24"/>
        <v>1.7077542985605789</v>
      </c>
      <c r="AB133" s="212">
        <f t="shared" ca="1" si="25"/>
        <v>0.27501497794996693</v>
      </c>
      <c r="AC133" s="214">
        <f t="shared" ca="1" si="20"/>
        <v>0.20816859540632737</v>
      </c>
    </row>
    <row r="134" spans="2:29">
      <c r="B134" s="220">
        <v>44685</v>
      </c>
      <c r="C134" s="208">
        <f ca="1">DATOSAÑO!I134</f>
        <v>295</v>
      </c>
      <c r="D134" s="202">
        <f ca="1">DATOSAÑO!P134</f>
        <v>150</v>
      </c>
      <c r="E134" s="202">
        <f ca="1">DATOSAÑO!Q134</f>
        <v>0</v>
      </c>
      <c r="F134" s="202">
        <f ca="1">DATOSAÑO!T134</f>
        <v>0</v>
      </c>
      <c r="G134" s="202">
        <f t="shared" ca="1" si="19"/>
        <v>445</v>
      </c>
      <c r="H134" s="202">
        <f t="shared" ca="1" si="29"/>
        <v>38.304000000012365</v>
      </c>
      <c r="I134" s="202">
        <f t="shared" ca="1" si="15"/>
        <v>190.24733190578317</v>
      </c>
      <c r="J134" s="202">
        <f t="shared" ca="1" si="16"/>
        <v>40.150612419688251</v>
      </c>
      <c r="K134" s="202">
        <f t="shared" ca="1" si="17"/>
        <v>7.5932505353268205</v>
      </c>
      <c r="L134" s="202">
        <f t="shared" ca="1" si="30"/>
        <v>163.81599999999892</v>
      </c>
      <c r="M134" s="202">
        <f t="shared" ca="1" si="18"/>
        <v>4.8888051391904863</v>
      </c>
      <c r="N134" s="202">
        <f t="shared" ca="1" si="21"/>
        <v>4.7000000000043656</v>
      </c>
      <c r="O134" s="202">
        <f ca="1">(DATOSAÑO!AJ134+DATOSAÑO!AK134+DATOSAÑO!AD134)</f>
        <v>182.90000000001464</v>
      </c>
      <c r="P134" s="202">
        <f ca="1">DATOSAÑO!AI134</f>
        <v>38.599999999991269</v>
      </c>
      <c r="Q134" s="202">
        <f ca="1">DATOSAÑO!AH134</f>
        <v>7.2999999999956344</v>
      </c>
      <c r="R134" s="202">
        <f ca="1">DATOSAÑO!AM134+DATOSAÑO!AN134+DATOSAÑO!AF134</f>
        <v>163.81599999999892</v>
      </c>
      <c r="S134" s="215">
        <f ca="1">IF(B134&gt;=$P$5,0,CONTADORES!Q128-CONTADORES!Q127)</f>
        <v>14.079999999987194</v>
      </c>
      <c r="T134" s="212">
        <f ca="1">IF(B134&gt;=$P$5,0,(CONTADORES!S128-CONTADORES!S127)+(CONTADORES!AE128-CONTADORES!AE127))</f>
        <v>2.3899999999994179</v>
      </c>
      <c r="U134" s="212">
        <f ca="1">IF(B134&gt;=$P$5,0,(CONTADORES!AQ128-CONTADORES!AQ127))</f>
        <v>4.7000000000043656</v>
      </c>
      <c r="V134" s="212">
        <f ca="1">IF(B134&gt;=$P$5,0,(CONTADORES!AR128-CONTADORES!AR127))</f>
        <v>0</v>
      </c>
      <c r="W134" s="736">
        <v>0</v>
      </c>
      <c r="X134" s="212">
        <f ca="1">IF(W134=0,(T134-INICIO!$W$6),((T134-INICIO!$W$6)+V134))</f>
        <v>2.3899999999994179</v>
      </c>
      <c r="Y134" s="214">
        <f t="shared" ca="1" si="22"/>
        <v>9.3799999999828287</v>
      </c>
      <c r="Z134" s="215">
        <f t="shared" ca="1" si="23"/>
        <v>7.3473319057685362</v>
      </c>
      <c r="AA134" s="212">
        <f t="shared" ca="1" si="24"/>
        <v>1.5506124196969855</v>
      </c>
      <c r="AB134" s="212">
        <f t="shared" ca="1" si="25"/>
        <v>0.29325053533118611</v>
      </c>
      <c r="AC134" s="214">
        <f t="shared" ca="1" si="20"/>
        <v>0.18880513918612046</v>
      </c>
    </row>
    <row r="135" spans="2:29">
      <c r="B135" s="220">
        <v>44686</v>
      </c>
      <c r="C135" s="208">
        <f ca="1">DATOSAÑO!I135</f>
        <v>314</v>
      </c>
      <c r="D135" s="202">
        <f ca="1">DATOSAÑO!P135</f>
        <v>148</v>
      </c>
      <c r="E135" s="202">
        <f ca="1">DATOSAÑO!Q135</f>
        <v>0</v>
      </c>
      <c r="F135" s="202">
        <f ca="1">DATOSAÑO!T135</f>
        <v>0</v>
      </c>
      <c r="G135" s="202">
        <f t="shared" ca="1" si="19"/>
        <v>462</v>
      </c>
      <c r="H135" s="202">
        <f t="shared" ca="1" si="29"/>
        <v>140001.625</v>
      </c>
      <c r="I135" s="202">
        <f t="shared" ca="1" si="15"/>
        <v>403.16548690240245</v>
      </c>
      <c r="J135" s="202">
        <f t="shared" ca="1" si="16"/>
        <v>83.562077413552686</v>
      </c>
      <c r="K135" s="202">
        <f t="shared" ca="1" si="17"/>
        <v>43.288601959091991</v>
      </c>
      <c r="L135" s="202">
        <f t="shared" ca="1" si="30"/>
        <v>162.38500000000002</v>
      </c>
      <c r="M135" s="202">
        <f t="shared" ca="1" si="18"/>
        <v>-140232.02616627506</v>
      </c>
      <c r="N135" s="202">
        <f t="shared" ca="1" si="21"/>
        <v>-65113.3</v>
      </c>
      <c r="O135" s="202">
        <f ca="1">(DATOSAÑO!AJ135+DATOSAÑO!AK135+DATOSAÑO!AD135)</f>
        <v>187.19999999996799</v>
      </c>
      <c r="P135" s="202">
        <f ca="1">DATOSAÑO!AI135</f>
        <v>38.80000000000291</v>
      </c>
      <c r="Q135" s="202">
        <f ca="1">DATOSAÑO!AH135</f>
        <v>20.100000000005821</v>
      </c>
      <c r="R135" s="202">
        <f ca="1">DATOSAÑO!AM135+DATOSAÑO!AN135+DATOSAÑO!AF135</f>
        <v>162.38500000000002</v>
      </c>
      <c r="S135" s="215">
        <f ca="1">IF(B135&gt;=$P$5,0,CONTADORES!Q129-CONTADORES!Q128)</f>
        <v>-139948.10999999999</v>
      </c>
      <c r="T135" s="212">
        <f ca="1">IF(B135&gt;=$P$5,0,(CONTADORES!S129-CONTADORES!S128)+(CONTADORES!AE129-CONTADORES!AE128))</f>
        <v>-49587.1</v>
      </c>
      <c r="U135" s="212">
        <f ca="1">IF(B135&gt;=$P$5,0,(CONTADORES!AQ129-CONTADORES!AQ128))</f>
        <v>-65113.3</v>
      </c>
      <c r="V135" s="212">
        <f ca="1">IF(B135&gt;=$P$5,0,(CONTADORES!AR129-CONTADORES!AR128))</f>
        <v>0</v>
      </c>
      <c r="W135" s="736">
        <v>0</v>
      </c>
      <c r="X135" s="212">
        <f ca="1">IF(W135=0,(T135-INICIO!$W$6),((T135-INICIO!$W$6)+V135))</f>
        <v>-49587.1</v>
      </c>
      <c r="Y135" s="214">
        <f t="shared" ca="1" si="22"/>
        <v>-74834.809999999983</v>
      </c>
      <c r="Z135" s="215">
        <f t="shared" ca="1" si="23"/>
        <v>215.96548690243444</v>
      </c>
      <c r="AA135" s="212">
        <f t="shared" ca="1" si="24"/>
        <v>44.762077413549775</v>
      </c>
      <c r="AB135" s="212">
        <f t="shared" ca="1" si="25"/>
        <v>23.188601959086174</v>
      </c>
      <c r="AC135" s="214">
        <f t="shared" ca="1" si="20"/>
        <v>-75118.726166275053</v>
      </c>
    </row>
    <row r="136" spans="2:29">
      <c r="B136" s="220">
        <v>44687</v>
      </c>
      <c r="C136" s="208">
        <f ca="1">DATOSAÑO!I136</f>
        <v>216</v>
      </c>
      <c r="D136" s="202">
        <f ca="1">DATOSAÑO!P136</f>
        <v>238</v>
      </c>
      <c r="E136" s="202">
        <f ca="1">DATOSAÑO!Q136</f>
        <v>0</v>
      </c>
      <c r="F136" s="202">
        <f ca="1">DATOSAÑO!T136</f>
        <v>0</v>
      </c>
      <c r="G136" s="202">
        <f t="shared" ca="1" si="19"/>
        <v>454</v>
      </c>
      <c r="H136" s="202">
        <f t="shared" ca="1" si="29"/>
        <v>-139895.24799999999</v>
      </c>
      <c r="I136" s="202">
        <f t="shared" ca="1" si="15"/>
        <v>399.63182004306509</v>
      </c>
      <c r="J136" s="202">
        <f t="shared" ca="1" si="16"/>
        <v>86.876482618056272</v>
      </c>
      <c r="K136" s="202">
        <f t="shared" ca="1" si="17"/>
        <v>26.170199702223055</v>
      </c>
      <c r="L136" s="202">
        <f t="shared" ca="1" si="30"/>
        <v>162.13800000000035</v>
      </c>
      <c r="M136" s="202">
        <f t="shared" ca="1" si="18"/>
        <v>139674.43149763666</v>
      </c>
      <c r="N136" s="202">
        <f t="shared" ca="1" si="21"/>
        <v>65113.3</v>
      </c>
      <c r="O136" s="202">
        <f ca="1">(DATOSAÑO!AJ136+DATOSAÑO!AK136+DATOSAÑO!AD136)</f>
        <v>186.30000000000291</v>
      </c>
      <c r="P136" s="202">
        <f ca="1">DATOSAÑO!AI136</f>
        <v>40.5</v>
      </c>
      <c r="Q136" s="202">
        <f ca="1">DATOSAÑO!AH136</f>
        <v>12.19999999999709</v>
      </c>
      <c r="R136" s="202">
        <f ca="1">DATOSAÑO!AM136+DATOSAÑO!AN136+DATOSAÑO!AF136</f>
        <v>162.13800000000035</v>
      </c>
      <c r="S136" s="215">
        <f ca="1">IF(B136&gt;=$P$5,0,CONTADORES!Q130-CONTADORES!Q129)</f>
        <v>139948.10999999999</v>
      </c>
      <c r="T136" s="212">
        <f ca="1">IF(B136&gt;=$P$5,0,(CONTADORES!S130-CONTADORES!S129)+(CONTADORES!AE130-CONTADORES!AE129))</f>
        <v>49587.1</v>
      </c>
      <c r="U136" s="212">
        <f ca="1">IF(B136&gt;=$P$5,0,(CONTADORES!AQ130-CONTADORES!AQ129))</f>
        <v>65113.3</v>
      </c>
      <c r="V136" s="212">
        <f ca="1">IF(B136&gt;=$P$5,0,(CONTADORES!AR130-CONTADORES!AR129))</f>
        <v>0</v>
      </c>
      <c r="W136" s="736">
        <v>0</v>
      </c>
      <c r="X136" s="212">
        <f ca="1">IF(W136=0,(T136-INICIO!$W$6),((T136-INICIO!$W$6)+V136))</f>
        <v>49587.1</v>
      </c>
      <c r="Y136" s="214">
        <f t="shared" ca="1" si="22"/>
        <v>74834.809999999983</v>
      </c>
      <c r="Z136" s="215">
        <f t="shared" ca="1" si="23"/>
        <v>213.33182004306221</v>
      </c>
      <c r="AA136" s="212">
        <f t="shared" ca="1" si="24"/>
        <v>46.376482618056272</v>
      </c>
      <c r="AB136" s="212">
        <f t="shared" ca="1" si="25"/>
        <v>13.970199702225965</v>
      </c>
      <c r="AC136" s="214">
        <f t="shared" ca="1" si="20"/>
        <v>74561.131497636641</v>
      </c>
    </row>
    <row r="137" spans="2:29">
      <c r="B137" s="220">
        <v>44688</v>
      </c>
      <c r="C137" s="208">
        <f ca="1">DATOSAÑO!I137</f>
        <v>149</v>
      </c>
      <c r="D137" s="202">
        <f ca="1">DATOSAÑO!P137</f>
        <v>301</v>
      </c>
      <c r="E137" s="202">
        <f ca="1">DATOSAÑO!Q137</f>
        <v>0</v>
      </c>
      <c r="F137" s="202">
        <f ca="1">DATOSAÑO!T137</f>
        <v>0</v>
      </c>
      <c r="G137" s="202">
        <f t="shared" ca="1" si="19"/>
        <v>450</v>
      </c>
      <c r="H137" s="202">
        <f t="shared" ca="1" si="29"/>
        <v>36.535999999967032</v>
      </c>
      <c r="I137" s="202">
        <f t="shared" ca="1" si="15"/>
        <v>194.98885286785531</v>
      </c>
      <c r="J137" s="202">
        <f t="shared" ca="1" si="16"/>
        <v>41.842655860356842</v>
      </c>
      <c r="K137" s="202">
        <f t="shared" ca="1" si="17"/>
        <v>7.6832668329200784</v>
      </c>
      <c r="L137" s="202">
        <f t="shared" ca="1" si="30"/>
        <v>163.65399999999892</v>
      </c>
      <c r="M137" s="202">
        <f t="shared" ca="1" si="18"/>
        <v>5.2952244389018261</v>
      </c>
      <c r="N137" s="202">
        <f t="shared" ca="1" si="21"/>
        <v>5.0999999999985448</v>
      </c>
      <c r="O137" s="202">
        <f ca="1">(DATOSAÑO!AJ137+DATOSAÑO!AK137+DATOSAÑO!AD137)</f>
        <v>187.80000000000291</v>
      </c>
      <c r="P137" s="202">
        <f ca="1">DATOSAÑO!AI137</f>
        <v>40.30000000000291</v>
      </c>
      <c r="Q137" s="202">
        <f ca="1">DATOSAÑO!AH137</f>
        <v>7.4000000000014552</v>
      </c>
      <c r="R137" s="202">
        <f ca="1">DATOSAÑO!AM137+DATOSAÑO!AN137+DATOSAÑO!AF137</f>
        <v>163.65399999999892</v>
      </c>
      <c r="S137" s="215">
        <f ca="1">IF(B137&gt;=$P$5,0,CONTADORES!Q131-CONTADORES!Q130)</f>
        <v>14.310000000026776</v>
      </c>
      <c r="T137" s="212">
        <f ca="1">IF(B137&gt;=$P$5,0,(CONTADORES!S131-CONTADORES!S130)+(CONTADORES!AE131-CONTADORES!AE130))</f>
        <v>2.430000000000291</v>
      </c>
      <c r="U137" s="212">
        <f ca="1">IF(B137&gt;=$P$5,0,(CONTADORES!AQ131-CONTADORES!AQ130))</f>
        <v>5.0999999999985448</v>
      </c>
      <c r="V137" s="212">
        <f ca="1">IF(B137&gt;=$P$5,0,(CONTADORES!AR131-CONTADORES!AR130))</f>
        <v>0</v>
      </c>
      <c r="W137" s="736">
        <v>0</v>
      </c>
      <c r="X137" s="212">
        <f ca="1">IF(W137=0,(T137-INICIO!$W$6),((T137-INICIO!$W$6)+V137))</f>
        <v>2.430000000000291</v>
      </c>
      <c r="Y137" s="214">
        <f t="shared" ca="1" si="22"/>
        <v>9.2100000000282307</v>
      </c>
      <c r="Z137" s="215">
        <f t="shared" ca="1" si="23"/>
        <v>7.1888528678523969</v>
      </c>
      <c r="AA137" s="212">
        <f t="shared" ca="1" si="24"/>
        <v>1.5426558603539298</v>
      </c>
      <c r="AB137" s="212">
        <f t="shared" ca="1" si="25"/>
        <v>0.28326683291862287</v>
      </c>
      <c r="AC137" s="214">
        <f t="shared" ca="1" si="20"/>
        <v>0.19522443890328112</v>
      </c>
    </row>
    <row r="138" spans="2:29">
      <c r="B138" s="220">
        <v>44689</v>
      </c>
      <c r="C138" s="208">
        <f ca="1">DATOSAÑO!I138</f>
        <v>148</v>
      </c>
      <c r="D138" s="202">
        <f ca="1">DATOSAÑO!P138</f>
        <v>292</v>
      </c>
      <c r="E138" s="202">
        <f ca="1">DATOSAÑO!Q138</f>
        <v>0.36800000000016553</v>
      </c>
      <c r="F138" s="202">
        <f ca="1">DATOSAÑO!T138</f>
        <v>0.32699999999999818</v>
      </c>
      <c r="G138" s="202">
        <f t="shared" ca="1" si="19"/>
        <v>440.69500000000016</v>
      </c>
      <c r="H138" s="202">
        <f t="shared" ca="1" si="29"/>
        <v>37.105000000001382</v>
      </c>
      <c r="I138" s="202">
        <f t="shared" ref="I138:I201" ca="1" si="31">O138+Z138</f>
        <v>183.82154643628175</v>
      </c>
      <c r="J138" s="202">
        <f t="shared" ref="J138:J201" ca="1" si="32">P138+AA138</f>
        <v>40.315407343414542</v>
      </c>
      <c r="K138" s="202">
        <f t="shared" ref="K138:K201" ca="1" si="33">Q138+AB138</f>
        <v>12.533287257018175</v>
      </c>
      <c r="L138" s="202">
        <f t="shared" ca="1" si="30"/>
        <v>161.80200000000036</v>
      </c>
      <c r="M138" s="202">
        <f t="shared" ref="M138:M201" ca="1" si="34">N138+AC138</f>
        <v>5.1177589632839409</v>
      </c>
      <c r="N138" s="202">
        <f t="shared" ca="1" si="21"/>
        <v>4.9000000000014552</v>
      </c>
      <c r="O138" s="202">
        <f ca="1">(DATOSAÑO!AJ138+DATOSAÑO!AK138+DATOSAÑO!AD138)</f>
        <v>176.00000000001455</v>
      </c>
      <c r="P138" s="202">
        <f ca="1">DATOSAÑO!AI138</f>
        <v>38.600000000005821</v>
      </c>
      <c r="Q138" s="202">
        <f ca="1">DATOSAÑO!AH138</f>
        <v>12</v>
      </c>
      <c r="R138" s="202">
        <f ca="1">DATOSAÑO!AM138+DATOSAÑO!AN138+DATOSAÑO!AF138</f>
        <v>161.80200000000036</v>
      </c>
      <c r="S138" s="215">
        <f ca="1">IF(B138&gt;=$P$5,0,CONTADORES!Q132-CONTADORES!Q131)</f>
        <v>14.819999999977881</v>
      </c>
      <c r="T138" s="212">
        <f ca="1">IF(B138&gt;=$P$5,0,(CONTADORES!S132-CONTADORES!S131)+(CONTADORES!AE132-CONTADORES!AE131))</f>
        <v>2.5</v>
      </c>
      <c r="U138" s="212">
        <f ca="1">IF(B138&gt;=$P$5,0,(CONTADORES!AQ132-CONTADORES!AQ131))</f>
        <v>4.9000000000014552</v>
      </c>
      <c r="V138" s="212">
        <f ca="1">IF(B138&gt;=$P$5,0,(CONTADORES!AR132-CONTADORES!AR131))</f>
        <v>0</v>
      </c>
      <c r="W138" s="736">
        <v>0</v>
      </c>
      <c r="X138" s="212">
        <f ca="1">IF(W138=0,(T138-INICIO!$W$6),((T138-INICIO!$W$6)+V138))</f>
        <v>2.5</v>
      </c>
      <c r="Y138" s="214">
        <f t="shared" ca="1" si="22"/>
        <v>10.287999999976591</v>
      </c>
      <c r="Z138" s="215">
        <f t="shared" ca="1" si="23"/>
        <v>7.8215464362672096</v>
      </c>
      <c r="AA138" s="212">
        <f t="shared" ca="1" si="24"/>
        <v>1.7154073434087207</v>
      </c>
      <c r="AB138" s="212">
        <f t="shared" ca="1" si="25"/>
        <v>0.53328725701817481</v>
      </c>
      <c r="AC138" s="214">
        <f t="shared" ca="1" si="20"/>
        <v>0.21775896328248603</v>
      </c>
    </row>
    <row r="139" spans="2:29">
      <c r="B139" s="220">
        <v>44690</v>
      </c>
      <c r="C139" s="208">
        <f ca="1">DATOSAÑO!I139</f>
        <v>152.30000000004657</v>
      </c>
      <c r="D139" s="202">
        <f ca="1">DATOSAÑO!P139</f>
        <v>295.90000000000146</v>
      </c>
      <c r="E139" s="202">
        <f ca="1">DATOSAÑO!Q139</f>
        <v>0</v>
      </c>
      <c r="F139" s="202">
        <f ca="1">DATOSAÑO!T139</f>
        <v>0</v>
      </c>
      <c r="G139" s="202">
        <f t="shared" ref="G139:G202" ca="1" si="35">SUM(C139:F139)</f>
        <v>448.20000000004802</v>
      </c>
      <c r="H139" s="202">
        <f t="shared" ca="1" si="29"/>
        <v>38.254000000062547</v>
      </c>
      <c r="I139" s="202">
        <f t="shared" ca="1" si="31"/>
        <v>192.83890691716471</v>
      </c>
      <c r="J139" s="202">
        <f t="shared" ca="1" si="32"/>
        <v>39.775627668660547</v>
      </c>
      <c r="K139" s="202">
        <f t="shared" ca="1" si="33"/>
        <v>5.7268573868494688</v>
      </c>
      <c r="L139" s="202">
        <f t="shared" ca="1" si="30"/>
        <v>166.08599999998762</v>
      </c>
      <c r="M139" s="202">
        <f t="shared" ca="1" si="34"/>
        <v>5.5186080273231237</v>
      </c>
      <c r="N139" s="202">
        <f t="shared" ca="1" si="21"/>
        <v>5.2999999999956344</v>
      </c>
      <c r="O139" s="202">
        <f ca="1">(DATOSAÑO!AJ139+DATOSAÑO!AK139+DATOSAÑO!AD139)</f>
        <v>185.19999999997981</v>
      </c>
      <c r="P139" s="202">
        <f ca="1">DATOSAÑO!AI139</f>
        <v>38.19999999999709</v>
      </c>
      <c r="Q139" s="202">
        <f ca="1">DATOSAÑO!AH139</f>
        <v>5.5</v>
      </c>
      <c r="R139" s="202">
        <f ca="1">DATOSAÑO!AM139+DATOSAÑO!AN139+DATOSAÑO!AF139</f>
        <v>166.08599999998762</v>
      </c>
      <c r="S139" s="215">
        <f ca="1">IF(B139&gt;=$P$5,0,CONTADORES!Q133-CONTADORES!Q132)</f>
        <v>14.960000000020955</v>
      </c>
      <c r="T139" s="212">
        <f ca="1">IF(B139&gt;=$P$5,0,(CONTADORES!S133-CONTADORES!S132)+(CONTADORES!AE133-CONTADORES!AE132))</f>
        <v>2.5</v>
      </c>
      <c r="U139" s="212">
        <f ca="1">IF(B139&gt;=$P$5,0,(CONTADORES!AQ133-CONTADORES!AQ132))</f>
        <v>5.2999999999956344</v>
      </c>
      <c r="V139" s="212">
        <f ca="1">IF(B139&gt;=$P$5,0,(CONTADORES!AR133-CONTADORES!AR132))</f>
        <v>0</v>
      </c>
      <c r="W139" s="736">
        <v>0</v>
      </c>
      <c r="X139" s="212">
        <f ca="1">IF(W139=0,(T139-INICIO!$W$6),((T139-INICIO!$W$6)+V139))</f>
        <v>2.5</v>
      </c>
      <c r="Y139" s="214">
        <f t="shared" ca="1" si="22"/>
        <v>9.6600000000253203</v>
      </c>
      <c r="Z139" s="215">
        <f t="shared" ca="1" si="23"/>
        <v>7.6389069171849018</v>
      </c>
      <c r="AA139" s="212">
        <f t="shared" ca="1" si="24"/>
        <v>1.5756276686634603</v>
      </c>
      <c r="AB139" s="212">
        <f t="shared" ca="1" si="25"/>
        <v>0.22685738684946838</v>
      </c>
      <c r="AC139" s="214">
        <f t="shared" ref="AC139:AC202" ca="1" si="36">IF(B139&gt;=$P$5,0,($Y139*N139)/SUM($N139:$Q139))</f>
        <v>0.21860802732748943</v>
      </c>
    </row>
    <row r="140" spans="2:29">
      <c r="B140" s="220">
        <v>44691</v>
      </c>
      <c r="C140" s="208">
        <f ca="1">DATOSAÑO!I140</f>
        <v>147.59999999997672</v>
      </c>
      <c r="D140" s="202">
        <f ca="1">DATOSAÑO!P140</f>
        <v>291.90000000000146</v>
      </c>
      <c r="E140" s="202">
        <f ca="1">DATOSAÑO!Q140</f>
        <v>0</v>
      </c>
      <c r="F140" s="202">
        <f ca="1">DATOSAÑO!T140</f>
        <v>0</v>
      </c>
      <c r="G140" s="202">
        <f t="shared" ca="1" si="35"/>
        <v>439.49999999997817</v>
      </c>
      <c r="H140" s="202">
        <f t="shared" ca="1" si="29"/>
        <v>35.185499999963611</v>
      </c>
      <c r="I140" s="202">
        <f t="shared" ca="1" si="31"/>
        <v>188.08154106688809</v>
      </c>
      <c r="J140" s="202">
        <f t="shared" ca="1" si="32"/>
        <v>38.466511430977732</v>
      </c>
      <c r="K140" s="202">
        <f t="shared" ca="1" si="33"/>
        <v>12.753048264177076</v>
      </c>
      <c r="L140" s="202">
        <f t="shared" ca="1" si="30"/>
        <v>159.41450000003675</v>
      </c>
      <c r="M140" s="202">
        <f t="shared" ca="1" si="34"/>
        <v>5.5988992379348952</v>
      </c>
      <c r="N140" s="202">
        <f t="shared" ref="N140:N203" ca="1" si="37">U140</f>
        <v>5.4000000000014552</v>
      </c>
      <c r="O140" s="202">
        <f ca="1">(DATOSAÑO!AJ140+DATOSAÑO!AK140+DATOSAÑO!AD140)</f>
        <v>181.40000000001419</v>
      </c>
      <c r="P140" s="202">
        <f ca="1">DATOSAÑO!AI140</f>
        <v>37.099999999991269</v>
      </c>
      <c r="Q140" s="202">
        <f ca="1">DATOSAÑO!AH140</f>
        <v>12.299999999995634</v>
      </c>
      <c r="R140" s="202">
        <f ca="1">DATOSAÑO!AM140+DATOSAÑO!AN140+DATOSAÑO!AF140</f>
        <v>159.41450000003675</v>
      </c>
      <c r="S140" s="215">
        <f ca="1">IF(B140&gt;=$P$5,0,CONTADORES!Q134-CONTADORES!Q133)</f>
        <v>14.099999999976717</v>
      </c>
      <c r="T140" s="212">
        <f ca="1">IF(B140&gt;=$P$5,0,(CONTADORES!S134-CONTADORES!S133)+(CONTADORES!AE134-CONTADORES!AE133))</f>
        <v>2.5</v>
      </c>
      <c r="U140" s="212">
        <f ca="1">IF(B140&gt;=$P$5,0,(CONTADORES!AQ134-CONTADORES!AQ133))</f>
        <v>5.4000000000014552</v>
      </c>
      <c r="V140" s="212">
        <f ca="1">IF(B140&gt;=$P$5,0,(CONTADORES!AR134-CONTADORES!AR133))</f>
        <v>0</v>
      </c>
      <c r="W140" s="736">
        <v>0</v>
      </c>
      <c r="X140" s="212">
        <f ca="1">IF(W140=0,(T140-INICIO!$W$6),((T140-INICIO!$W$6)+V140))</f>
        <v>2.5</v>
      </c>
      <c r="Y140" s="214">
        <f t="shared" ref="Y140:Y203" ca="1" si="38">(IF(W140=0,(S140-U140),((S140-U140)-V140))+E140)</f>
        <v>8.6999999999752617</v>
      </c>
      <c r="Z140" s="215">
        <f t="shared" ref="Z140:Z203" ca="1" si="39">IF(B140&gt;=$P$5,0,($Y140*O140)/SUM($N140:$Q140))</f>
        <v>6.6815410668739155</v>
      </c>
      <c r="AA140" s="212">
        <f t="shared" ref="AA140:AA203" ca="1" si="40">IF(B140&gt;=$P$5,0,($Y140*P140)/SUM($N140:$Q140))</f>
        <v>1.3665114309864639</v>
      </c>
      <c r="AB140" s="212">
        <f t="shared" ref="AB140:AB203" ca="1" si="41">IF(B140&gt;=$P$5,0,($Y140*Q140)/SUM($N140:$Q140))</f>
        <v>0.45304826418144195</v>
      </c>
      <c r="AC140" s="214">
        <f t="shared" ca="1" si="36"/>
        <v>0.19889923793344017</v>
      </c>
    </row>
    <row r="141" spans="2:29">
      <c r="B141" s="220">
        <v>44692</v>
      </c>
      <c r="C141" s="208">
        <f ca="1">DATOSAÑO!I141</f>
        <v>149.09999999997672</v>
      </c>
      <c r="D141" s="202">
        <f ca="1">DATOSAÑO!P141</f>
        <v>306.09999999999854</v>
      </c>
      <c r="E141" s="202">
        <f ca="1">DATOSAÑO!Q141</f>
        <v>0</v>
      </c>
      <c r="F141" s="202">
        <f ca="1">DATOSAÑO!T141</f>
        <v>0</v>
      </c>
      <c r="G141" s="202">
        <f t="shared" ca="1" si="35"/>
        <v>455.19999999997526</v>
      </c>
      <c r="H141" s="202">
        <f t="shared" ca="1" si="29"/>
        <v>36.678999999997984</v>
      </c>
      <c r="I141" s="202">
        <f t="shared" ca="1" si="31"/>
        <v>195.2315768302584</v>
      </c>
      <c r="J141" s="202">
        <f t="shared" ca="1" si="32"/>
        <v>39.37880128721914</v>
      </c>
      <c r="K141" s="202">
        <f t="shared" ca="1" si="33"/>
        <v>18.494529364444691</v>
      </c>
      <c r="L141" s="202">
        <f t="shared" ca="1" si="30"/>
        <v>160.22099999995342</v>
      </c>
      <c r="M141" s="202">
        <f t="shared" ca="1" si="34"/>
        <v>5.1950925181015926</v>
      </c>
      <c r="N141" s="202">
        <f t="shared" ca="1" si="37"/>
        <v>5</v>
      </c>
      <c r="O141" s="202">
        <f ca="1">(DATOSAÑO!AJ141+DATOSAÑO!AK141+DATOSAÑO!AD141)</f>
        <v>187.90000000000055</v>
      </c>
      <c r="P141" s="202">
        <f ca="1">DATOSAÑO!AI141</f>
        <v>37.900000000008731</v>
      </c>
      <c r="Q141" s="202">
        <f ca="1">DATOSAÑO!AH141</f>
        <v>17.80000000000291</v>
      </c>
      <c r="R141" s="202">
        <f ca="1">DATOSAÑO!AM141+DATOSAÑO!AN141+DATOSAÑO!AF141</f>
        <v>160.22099999995342</v>
      </c>
      <c r="S141" s="215">
        <f ca="1">IF(B141&gt;=$P$5,0,CONTADORES!Q135-CONTADORES!Q134)</f>
        <v>14.700000000011642</v>
      </c>
      <c r="T141" s="212">
        <f ca="1">IF(B141&gt;=$P$5,0,(CONTADORES!S135-CONTADORES!S134)+(CONTADORES!AE135-CONTADORES!AE134))</f>
        <v>2.4000000000014552</v>
      </c>
      <c r="U141" s="212">
        <f ca="1">IF(B141&gt;=$P$5,0,(CONTADORES!AQ135-CONTADORES!AQ134))</f>
        <v>5</v>
      </c>
      <c r="V141" s="212">
        <f ca="1">IF(B141&gt;=$P$5,0,(CONTADORES!AR135-CONTADORES!AR134))</f>
        <v>0</v>
      </c>
      <c r="W141" s="736">
        <v>0</v>
      </c>
      <c r="X141" s="212">
        <f ca="1">IF(W141=0,(T141-INICIO!$W$6),((T141-INICIO!$W$6)+V141))</f>
        <v>2.4000000000014552</v>
      </c>
      <c r="Y141" s="214">
        <f t="shared" ca="1" si="38"/>
        <v>9.7000000000116415</v>
      </c>
      <c r="Z141" s="215">
        <f t="shared" ca="1" si="39"/>
        <v>7.3315768302578572</v>
      </c>
      <c r="AA141" s="212">
        <f t="shared" ca="1" si="40"/>
        <v>1.4788012872104099</v>
      </c>
      <c r="AB141" s="212">
        <f t="shared" ca="1" si="41"/>
        <v>0.69452936444178193</v>
      </c>
      <c r="AC141" s="214">
        <f t="shared" ca="1" si="36"/>
        <v>0.19509251810159223</v>
      </c>
    </row>
    <row r="142" spans="2:29">
      <c r="B142" s="220">
        <v>44693</v>
      </c>
      <c r="C142" s="208">
        <f ca="1">DATOSAÑO!I142</f>
        <v>150</v>
      </c>
      <c r="D142" s="202">
        <f ca="1">DATOSAÑO!P142</f>
        <v>296.09999999999854</v>
      </c>
      <c r="E142" s="202">
        <f ca="1">DATOSAÑO!Q142</f>
        <v>0</v>
      </c>
      <c r="F142" s="202">
        <f ca="1">DATOSAÑO!T142</f>
        <v>0</v>
      </c>
      <c r="G142" s="202">
        <f t="shared" ca="1" si="35"/>
        <v>446.09999999999854</v>
      </c>
      <c r="H142" s="202">
        <f t="shared" ca="1" si="29"/>
        <v>35.877999999996291</v>
      </c>
      <c r="I142" s="202">
        <f t="shared" ca="1" si="31"/>
        <v>194.63897457272813</v>
      </c>
      <c r="J142" s="202">
        <f t="shared" ca="1" si="32"/>
        <v>38.345852438509198</v>
      </c>
      <c r="K142" s="202">
        <f t="shared" ca="1" si="33"/>
        <v>11.119258024173483</v>
      </c>
      <c r="L142" s="202">
        <f t="shared" ca="1" si="30"/>
        <v>160.92200000002293</v>
      </c>
      <c r="M142" s="202">
        <f t="shared" ca="1" si="34"/>
        <v>5.1959149645684608</v>
      </c>
      <c r="N142" s="202">
        <f t="shared" ca="1" si="37"/>
        <v>5</v>
      </c>
      <c r="O142" s="202">
        <f ca="1">(DATOSAÑO!AJ142+DATOSAÑO!AK142+DATOSAÑO!AD142)</f>
        <v>187.29999999999382</v>
      </c>
      <c r="P142" s="202">
        <f ca="1">DATOSAÑO!AI142</f>
        <v>36.899999999994179</v>
      </c>
      <c r="Q142" s="202">
        <f ca="1">DATOSAÑO!AH142</f>
        <v>10.69999999999709</v>
      </c>
      <c r="R142" s="202">
        <f ca="1">DATOSAÑO!AM142+DATOSAÑO!AN142+DATOSAÑO!AF142</f>
        <v>160.92200000002293</v>
      </c>
      <c r="S142" s="215">
        <f ca="1">IF(B142&gt;=$P$5,0,CONTADORES!Q136-CONTADORES!Q135)</f>
        <v>14.399999999994179</v>
      </c>
      <c r="T142" s="212">
        <f ca="1">IF(B142&gt;=$P$5,0,(CONTADORES!S136-CONTADORES!S135)+(CONTADORES!AE136-CONTADORES!AE135))</f>
        <v>2.5999999999985448</v>
      </c>
      <c r="U142" s="212">
        <f ca="1">IF(B142&gt;=$P$5,0,(CONTADORES!AQ136-CONTADORES!AQ135))</f>
        <v>5</v>
      </c>
      <c r="V142" s="212">
        <f ca="1">IF(B142&gt;=$P$5,0,(CONTADORES!AR136-CONTADORES!AR135))</f>
        <v>0</v>
      </c>
      <c r="W142" s="736">
        <v>0</v>
      </c>
      <c r="X142" s="212">
        <f ca="1">IF(W142=0,(T142-INICIO!$W$6),((T142-INICIO!$W$6)+V142))</f>
        <v>2.5999999999985448</v>
      </c>
      <c r="Y142" s="214">
        <f t="shared" ca="1" si="38"/>
        <v>9.3999999999941792</v>
      </c>
      <c r="Z142" s="215">
        <f t="shared" ca="1" si="39"/>
        <v>7.338974572734311</v>
      </c>
      <c r="AA142" s="212">
        <f t="shared" ca="1" si="40"/>
        <v>1.4458524385150149</v>
      </c>
      <c r="AB142" s="212">
        <f t="shared" ca="1" si="41"/>
        <v>0.41925802417639269</v>
      </c>
      <c r="AC142" s="214">
        <f t="shared" ca="1" si="36"/>
        <v>0.19591496456846111</v>
      </c>
    </row>
    <row r="143" spans="2:29">
      <c r="B143" s="220">
        <v>44694</v>
      </c>
      <c r="C143" s="208">
        <f ca="1">DATOSAÑO!I143</f>
        <v>150</v>
      </c>
      <c r="D143" s="202">
        <f ca="1">DATOSAÑO!P143</f>
        <v>280</v>
      </c>
      <c r="E143" s="202">
        <f ca="1">DATOSAÑO!Q143</f>
        <v>0</v>
      </c>
      <c r="F143" s="202">
        <f ca="1">DATOSAÑO!T143</f>
        <v>0</v>
      </c>
      <c r="G143" s="202">
        <f t="shared" ca="1" si="35"/>
        <v>430</v>
      </c>
      <c r="H143" s="202">
        <f t="shared" ca="1" si="29"/>
        <v>37.598999999998512</v>
      </c>
      <c r="I143" s="202">
        <f t="shared" ca="1" si="31"/>
        <v>189.73819073083277</v>
      </c>
      <c r="J143" s="202">
        <f t="shared" ca="1" si="32"/>
        <v>38.363502673804852</v>
      </c>
      <c r="K143" s="202">
        <f t="shared" ca="1" si="33"/>
        <v>0</v>
      </c>
      <c r="L143" s="202">
        <f t="shared" ca="1" si="30"/>
        <v>159.10099999999855</v>
      </c>
      <c r="M143" s="202">
        <f t="shared" ca="1" si="34"/>
        <v>5.1983065953652812</v>
      </c>
      <c r="N143" s="202">
        <f t="shared" ca="1" si="37"/>
        <v>5</v>
      </c>
      <c r="O143" s="202">
        <f ca="1">(DATOSAÑO!AJ143+DATOSAÑO!AK143+DATOSAÑO!AD143)</f>
        <v>182.5</v>
      </c>
      <c r="P143" s="202">
        <f ca="1">DATOSAÑO!AI143</f>
        <v>36.900000000008731</v>
      </c>
      <c r="Q143" s="202">
        <f ca="1">DATOSAÑO!AH143</f>
        <v>0</v>
      </c>
      <c r="R143" s="202">
        <f ca="1">DATOSAÑO!AM143+DATOSAÑO!AN143+DATOSAÑO!AF143</f>
        <v>159.10099999999855</v>
      </c>
      <c r="S143" s="215">
        <f ca="1">IF(B143&gt;=$P$5,0,CONTADORES!Q137-CONTADORES!Q136)</f>
        <v>13.899999999994179</v>
      </c>
      <c r="T143" s="212">
        <f ca="1">IF(B143&gt;=$P$5,0,(CONTADORES!S137-CONTADORES!S136)+(CONTADORES!AE137-CONTADORES!AE136))</f>
        <v>2.4000000000014552</v>
      </c>
      <c r="U143" s="212">
        <f ca="1">IF(B143&gt;=$P$5,0,(CONTADORES!AQ137-CONTADORES!AQ136))</f>
        <v>5</v>
      </c>
      <c r="V143" s="212">
        <f ca="1">IF(B143&gt;=$P$5,0,(CONTADORES!AR137-CONTADORES!AR136))</f>
        <v>0</v>
      </c>
      <c r="W143" s="736">
        <v>0</v>
      </c>
      <c r="X143" s="212">
        <f ca="1">IF(W143=0,(T143-INICIO!$W$6),((T143-INICIO!$W$6)+V143))</f>
        <v>2.4000000000014552</v>
      </c>
      <c r="Y143" s="214">
        <f t="shared" ca="1" si="38"/>
        <v>8.8999999999941792</v>
      </c>
      <c r="Z143" s="215">
        <f t="shared" ca="1" si="39"/>
        <v>7.2381907308327742</v>
      </c>
      <c r="AA143" s="212">
        <f t="shared" ca="1" si="40"/>
        <v>1.4635026737961236</v>
      </c>
      <c r="AB143" s="212">
        <f t="shared" ca="1" si="41"/>
        <v>0</v>
      </c>
      <c r="AC143" s="214">
        <f t="shared" ca="1" si="36"/>
        <v>0.19830659536528147</v>
      </c>
    </row>
    <row r="144" spans="2:29">
      <c r="B144" s="220">
        <v>44695</v>
      </c>
      <c r="C144" s="208">
        <f ca="1">DATOSAÑO!I144</f>
        <v>32</v>
      </c>
      <c r="D144" s="202">
        <f ca="1">DATOSAÑO!P144</f>
        <v>394</v>
      </c>
      <c r="E144" s="202">
        <f ca="1">DATOSAÑO!Q144</f>
        <v>0</v>
      </c>
      <c r="F144" s="202">
        <f ca="1">DATOSAÑO!T144</f>
        <v>1.8809999999999718</v>
      </c>
      <c r="G144" s="202">
        <f t="shared" ca="1" si="35"/>
        <v>427.88099999999997</v>
      </c>
      <c r="H144" s="202">
        <f t="shared" ca="1" si="29"/>
        <v>33.830999999987569</v>
      </c>
      <c r="I144" s="202">
        <f t="shared" ca="1" si="31"/>
        <v>178.31047703969676</v>
      </c>
      <c r="J144" s="202">
        <f t="shared" ca="1" si="32"/>
        <v>37.2604547480991</v>
      </c>
      <c r="K144" s="202">
        <f t="shared" ca="1" si="33"/>
        <v>11.001694159608025</v>
      </c>
      <c r="L144" s="202">
        <f t="shared" ca="1" si="30"/>
        <v>161.25000000000037</v>
      </c>
      <c r="M144" s="202">
        <f t="shared" ca="1" si="34"/>
        <v>6.2273740526081021</v>
      </c>
      <c r="N144" s="202">
        <f t="shared" ca="1" si="37"/>
        <v>6</v>
      </c>
      <c r="O144" s="202">
        <f ca="1">(DATOSAÑO!AJ144+DATOSAÑO!AK144+DATOSAÑO!AD144)</f>
        <v>171.80000000001746</v>
      </c>
      <c r="P144" s="202">
        <f ca="1">DATOSAÑO!AI144</f>
        <v>35.899999999994179</v>
      </c>
      <c r="Q144" s="202">
        <f ca="1">DATOSAÑO!AH144</f>
        <v>10.600000000000364</v>
      </c>
      <c r="R144" s="202">
        <f ca="1">DATOSAÑO!AM144+DATOSAÑO!AN144+DATOSAÑO!AF144</f>
        <v>161.25000000000037</v>
      </c>
      <c r="S144" s="215">
        <f ca="1">IF(B144&gt;=$P$5,0,CONTADORES!Q138-CONTADORES!Q137)</f>
        <v>14.5</v>
      </c>
      <c r="T144" s="212">
        <f ca="1">IF(B144&gt;=$P$5,0,(CONTADORES!S138-CONTADORES!S137)+(CONTADORES!AE138-CONTADORES!AE137))</f>
        <v>2.3999999999941792</v>
      </c>
      <c r="U144" s="212">
        <f ca="1">IF(B144&gt;=$P$5,0,(CONTADORES!AQ138-CONTADORES!AQ137))</f>
        <v>6</v>
      </c>
      <c r="V144" s="212">
        <f ca="1">IF(B144&gt;=$P$5,0,(CONTADORES!AR138-CONTADORES!AR137))</f>
        <v>0</v>
      </c>
      <c r="W144" s="736">
        <v>0</v>
      </c>
      <c r="X144" s="212">
        <f ca="1">IF(W144=0,(T144-INICIO!$W$6),((T144-INICIO!$W$6)+V144))</f>
        <v>2.3999999999941792</v>
      </c>
      <c r="Y144" s="214">
        <f t="shared" ca="1" si="38"/>
        <v>8.5</v>
      </c>
      <c r="Z144" s="215">
        <f t="shared" ca="1" si="39"/>
        <v>6.5104770396793148</v>
      </c>
      <c r="AA144" s="212">
        <f t="shared" ca="1" si="40"/>
        <v>1.3604547481049227</v>
      </c>
      <c r="AB144" s="212">
        <f t="shared" ca="1" si="41"/>
        <v>0.40169415960766058</v>
      </c>
      <c r="AC144" s="214">
        <f t="shared" ca="1" si="36"/>
        <v>0.22737405260810195</v>
      </c>
    </row>
    <row r="145" spans="2:29">
      <c r="B145" s="220">
        <v>44696</v>
      </c>
      <c r="C145" s="208">
        <f ca="1">DATOSAÑO!I145</f>
        <v>146</v>
      </c>
      <c r="D145" s="202">
        <f ca="1">DATOSAÑO!P145</f>
        <v>302</v>
      </c>
      <c r="E145" s="202">
        <f ca="1">DATOSAÑO!Q145</f>
        <v>0</v>
      </c>
      <c r="F145" s="202">
        <f ca="1">DATOSAÑO!T145</f>
        <v>0</v>
      </c>
      <c r="G145" s="202">
        <f t="shared" ca="1" si="35"/>
        <v>448</v>
      </c>
      <c r="H145" s="202">
        <f t="shared" ca="1" si="29"/>
        <v>36.68400000000986</v>
      </c>
      <c r="I145" s="202">
        <f t="shared" ca="1" si="31"/>
        <v>189.41816687216252</v>
      </c>
      <c r="J145" s="202">
        <f t="shared" ca="1" si="32"/>
        <v>36.26272092066808</v>
      </c>
      <c r="K145" s="202">
        <f t="shared" ca="1" si="33"/>
        <v>21.923879983565477</v>
      </c>
      <c r="L145" s="202">
        <f t="shared" ca="1" si="30"/>
        <v>158.51600000000181</v>
      </c>
      <c r="M145" s="202">
        <f t="shared" ca="1" si="34"/>
        <v>5.1952322235922823</v>
      </c>
      <c r="N145" s="202">
        <f t="shared" ca="1" si="37"/>
        <v>5</v>
      </c>
      <c r="O145" s="202">
        <f ca="1">(DATOSAÑO!AJ145+DATOSAÑO!AK145+DATOSAÑO!AD145)</f>
        <v>182.29999999998836</v>
      </c>
      <c r="P145" s="202">
        <f ca="1">DATOSAÑO!AI145</f>
        <v>34.899999999994179</v>
      </c>
      <c r="Q145" s="202">
        <f ca="1">DATOSAÑO!AH145</f>
        <v>21.100000000005821</v>
      </c>
      <c r="R145" s="202">
        <f ca="1">DATOSAÑO!AM145+DATOSAÑO!AN145+DATOSAÑO!AF145</f>
        <v>158.51600000000181</v>
      </c>
      <c r="S145" s="215">
        <f ca="1">IF(B145&gt;=$P$5,0,CONTADORES!Q139-CONTADORES!Q138)</f>
        <v>14.5</v>
      </c>
      <c r="T145" s="212">
        <f ca="1">IF(B145&gt;=$P$5,0,(CONTADORES!S139-CONTADORES!S138)+(CONTADORES!AE139-CONTADORES!AE138))</f>
        <v>2.5</v>
      </c>
      <c r="U145" s="212">
        <f ca="1">IF(B145&gt;=$P$5,0,(CONTADORES!AQ139-CONTADORES!AQ138))</f>
        <v>5</v>
      </c>
      <c r="V145" s="212">
        <f ca="1">IF(B145&gt;=$P$5,0,(CONTADORES!AR139-CONTADORES!AR138))</f>
        <v>0</v>
      </c>
      <c r="W145" s="736">
        <v>0</v>
      </c>
      <c r="X145" s="212">
        <f ca="1">IF(W145=0,(T145-INICIO!$W$6),((T145-INICIO!$W$6)+V145))</f>
        <v>2.5</v>
      </c>
      <c r="Y145" s="214">
        <f t="shared" ca="1" si="38"/>
        <v>9.5</v>
      </c>
      <c r="Z145" s="215">
        <f t="shared" ca="1" si="39"/>
        <v>7.1181668721741564</v>
      </c>
      <c r="AA145" s="212">
        <f t="shared" ca="1" si="40"/>
        <v>1.3627209206739028</v>
      </c>
      <c r="AB145" s="212">
        <f t="shared" ca="1" si="41"/>
        <v>0.82387998355965841</v>
      </c>
      <c r="AC145" s="214">
        <f t="shared" ca="1" si="36"/>
        <v>0.19523222359228226</v>
      </c>
    </row>
    <row r="146" spans="2:29">
      <c r="B146" s="220">
        <v>44697</v>
      </c>
      <c r="C146" s="208">
        <f ca="1">DATOSAÑO!I146</f>
        <v>138</v>
      </c>
      <c r="D146" s="202">
        <f ca="1">DATOSAÑO!P146</f>
        <v>298</v>
      </c>
      <c r="E146" s="202">
        <f ca="1">DATOSAÑO!Q146</f>
        <v>0.68799999999987449</v>
      </c>
      <c r="F146" s="202">
        <f ca="1">DATOSAÑO!T146</f>
        <v>0</v>
      </c>
      <c r="G146" s="202">
        <f t="shared" ca="1" si="35"/>
        <v>436.68799999999987</v>
      </c>
      <c r="H146" s="202">
        <f t="shared" ca="1" si="29"/>
        <v>36.006000000005429</v>
      </c>
      <c r="I146" s="202">
        <f t="shared" ca="1" si="31"/>
        <v>192.81856649394479</v>
      </c>
      <c r="J146" s="202">
        <f t="shared" ca="1" si="32"/>
        <v>36.583414507779004</v>
      </c>
      <c r="K146" s="202">
        <f t="shared" ca="1" si="33"/>
        <v>6.7747063903283218</v>
      </c>
      <c r="L146" s="202">
        <f t="shared" ca="1" si="30"/>
        <v>159.29399999999745</v>
      </c>
      <c r="M146" s="202">
        <f t="shared" ca="1" si="34"/>
        <v>5.2113126079448628</v>
      </c>
      <c r="N146" s="202">
        <f t="shared" ca="1" si="37"/>
        <v>5</v>
      </c>
      <c r="O146" s="202">
        <f ca="1">(DATOSAÑO!AJ146+DATOSAÑO!AK146+DATOSAÑO!AD146)</f>
        <v>184.99999999998545</v>
      </c>
      <c r="P146" s="202">
        <f ca="1">DATOSAÑO!AI146</f>
        <v>35.100000000005821</v>
      </c>
      <c r="Q146" s="202">
        <f ca="1">DATOSAÑO!AH146</f>
        <v>6.5</v>
      </c>
      <c r="R146" s="202">
        <f ca="1">DATOSAÑO!AM146+DATOSAÑO!AN146+DATOSAÑO!AF146</f>
        <v>159.29399999999745</v>
      </c>
      <c r="S146" s="215">
        <f ca="1">IF(B146&gt;=$P$5,0,CONTADORES!Q140-CONTADORES!Q139)</f>
        <v>14.100000000005821</v>
      </c>
      <c r="T146" s="212">
        <f ca="1">IF(B146&gt;=$P$5,0,(CONTADORES!S140-CONTADORES!S139)+(CONTADORES!AE140-CONTADORES!AE139))</f>
        <v>2.4000000000014552</v>
      </c>
      <c r="U146" s="212">
        <f ca="1">IF(B146&gt;=$P$5,0,(CONTADORES!AQ140-CONTADORES!AQ139))</f>
        <v>5</v>
      </c>
      <c r="V146" s="212">
        <f ca="1">IF(B146&gt;=$P$5,0,(CONTADORES!AR140-CONTADORES!AR139))</f>
        <v>0</v>
      </c>
      <c r="W146" s="736">
        <v>0</v>
      </c>
      <c r="X146" s="212">
        <f ca="1">IF(W146=0,(T146-INICIO!$W$6),((T146-INICIO!$W$6)+V146))</f>
        <v>2.4000000000014552</v>
      </c>
      <c r="Y146" s="214">
        <f t="shared" ca="1" si="38"/>
        <v>9.7880000000056953</v>
      </c>
      <c r="Z146" s="215">
        <f t="shared" ca="1" si="39"/>
        <v>7.8185664939593247</v>
      </c>
      <c r="AA146" s="212">
        <f t="shared" ca="1" si="40"/>
        <v>1.483414507773186</v>
      </c>
      <c r="AB146" s="212">
        <f t="shared" ca="1" si="41"/>
        <v>0.27470639032832217</v>
      </c>
      <c r="AC146" s="214">
        <f t="shared" ca="1" si="36"/>
        <v>0.21131260794486323</v>
      </c>
    </row>
    <row r="147" spans="2:29">
      <c r="B147" s="220">
        <v>44698</v>
      </c>
      <c r="C147" s="208">
        <f ca="1">DATOSAÑO!I147</f>
        <v>134.98999999999069</v>
      </c>
      <c r="D147" s="202">
        <f ca="1">DATOSAÑO!P147</f>
        <v>304.44999999999709</v>
      </c>
      <c r="E147" s="202">
        <f ca="1">DATOSAÑO!Q147</f>
        <v>0</v>
      </c>
      <c r="F147" s="202">
        <f ca="1">DATOSAÑO!T147</f>
        <v>0</v>
      </c>
      <c r="G147" s="202">
        <f t="shared" ca="1" si="35"/>
        <v>439.43999999998778</v>
      </c>
      <c r="H147" s="202">
        <f t="shared" ca="1" si="29"/>
        <v>36.089999999964334</v>
      </c>
      <c r="I147" s="202">
        <f t="shared" ca="1" si="31"/>
        <v>192.04951310863933</v>
      </c>
      <c r="J147" s="202">
        <f t="shared" ca="1" si="32"/>
        <v>37.084848484857083</v>
      </c>
      <c r="K147" s="202">
        <f t="shared" ca="1" si="33"/>
        <v>10.417092271025568</v>
      </c>
      <c r="L147" s="202">
        <f t="shared" ca="1" si="30"/>
        <v>158.58999999998866</v>
      </c>
      <c r="M147" s="202">
        <f t="shared" ca="1" si="34"/>
        <v>5.2085461355127842</v>
      </c>
      <c r="N147" s="202">
        <f t="shared" ca="1" si="37"/>
        <v>5</v>
      </c>
      <c r="O147" s="202">
        <f ca="1">(DATOSAÑO!AJ147+DATOSAÑO!AK147+DATOSAÑO!AD147)</f>
        <v>184.3600000000115</v>
      </c>
      <c r="P147" s="202">
        <f ca="1">DATOSAÑO!AI147</f>
        <v>35.600000000005821</v>
      </c>
      <c r="Q147" s="202">
        <f ca="1">DATOSAÑO!AH147</f>
        <v>10</v>
      </c>
      <c r="R147" s="202">
        <f ca="1">DATOSAÑO!AM147+DATOSAÑO!AN147+DATOSAÑO!AF147</f>
        <v>158.58999999998866</v>
      </c>
      <c r="S147" s="215">
        <f ca="1">IF(B147&gt;=$P$5,0,CONTADORES!Q141-CONTADORES!Q140)</f>
        <v>14.800000000017462</v>
      </c>
      <c r="T147" s="212">
        <f ca="1">IF(B147&gt;=$P$5,0,(CONTADORES!S141-CONTADORES!S140)+(CONTADORES!AE141-CONTADORES!AE140))</f>
        <v>2.5999999999985448</v>
      </c>
      <c r="U147" s="212">
        <f ca="1">IF(B147&gt;=$P$5,0,(CONTADORES!AQ141-CONTADORES!AQ140))</f>
        <v>5</v>
      </c>
      <c r="V147" s="212">
        <f ca="1">IF(B147&gt;=$P$5,0,(CONTADORES!AR141-CONTADORES!AR140))</f>
        <v>0</v>
      </c>
      <c r="W147" s="736">
        <v>0</v>
      </c>
      <c r="X147" s="212">
        <f ca="1">IF(W147=0,(T147-INICIO!$W$6),((T147-INICIO!$W$6)+V147))</f>
        <v>2.5999999999985448</v>
      </c>
      <c r="Y147" s="214">
        <f t="shared" ca="1" si="38"/>
        <v>9.8000000000174623</v>
      </c>
      <c r="Z147" s="215">
        <f t="shared" ca="1" si="39"/>
        <v>7.689513108627847</v>
      </c>
      <c r="AA147" s="212">
        <f t="shared" ca="1" si="40"/>
        <v>1.484848484851264</v>
      </c>
      <c r="AB147" s="212">
        <f t="shared" ca="1" si="41"/>
        <v>0.41709227102556778</v>
      </c>
      <c r="AC147" s="214">
        <f t="shared" ca="1" si="36"/>
        <v>0.20854613551278389</v>
      </c>
    </row>
    <row r="148" spans="2:29">
      <c r="B148" s="220">
        <v>44699</v>
      </c>
      <c r="C148" s="208">
        <f ca="1">DATOSAÑO!I148</f>
        <v>176.77500000002328</v>
      </c>
      <c r="D148" s="202">
        <f ca="1">DATOSAÑO!P148</f>
        <v>268.37800000000425</v>
      </c>
      <c r="E148" s="202">
        <f ca="1">DATOSAÑO!Q148</f>
        <v>0</v>
      </c>
      <c r="F148" s="202">
        <f ca="1">DATOSAÑO!T148</f>
        <v>0</v>
      </c>
      <c r="G148" s="202">
        <f t="shared" ca="1" si="35"/>
        <v>445.15300000002753</v>
      </c>
      <c r="H148" s="202">
        <f t="shared" ca="1" si="29"/>
        <v>36.841100000023062</v>
      </c>
      <c r="I148" s="202">
        <f t="shared" ca="1" si="31"/>
        <v>192.65331918981434</v>
      </c>
      <c r="J148" s="202">
        <f t="shared" ca="1" si="32"/>
        <v>38.205624699721966</v>
      </c>
      <c r="K148" s="202">
        <f t="shared" ca="1" si="33"/>
        <v>10.820765165492197</v>
      </c>
      <c r="L148" s="202">
        <f t="shared" ca="1" si="30"/>
        <v>161.42990000002493</v>
      </c>
      <c r="M148" s="202">
        <f t="shared" ca="1" si="34"/>
        <v>5.2022909449510832</v>
      </c>
      <c r="N148" s="202">
        <f t="shared" ca="1" si="37"/>
        <v>5</v>
      </c>
      <c r="O148" s="202">
        <f ca="1">(DATOSAÑO!AJ148+DATOSAÑO!AK148+DATOSAÑO!AD148)</f>
        <v>185.16200000000754</v>
      </c>
      <c r="P148" s="202">
        <f ca="1">DATOSAÑO!AI148</f>
        <v>36.720000000001164</v>
      </c>
      <c r="Q148" s="202">
        <f ca="1">DATOSAÑO!AH148</f>
        <v>10.399999999994179</v>
      </c>
      <c r="R148" s="202">
        <f ca="1">DATOSAÑO!AM148+DATOSAÑO!AN148+DATOSAÑO!AF148</f>
        <v>161.42990000002493</v>
      </c>
      <c r="S148" s="215">
        <f ca="1">IF(B148&gt;=$P$5,0,CONTADORES!Q142-CONTADORES!Q141)</f>
        <v>14.599999999976717</v>
      </c>
      <c r="T148" s="212">
        <f ca="1">IF(B148&gt;=$P$5,0,(CONTADORES!S142-CONTADORES!S141)+(CONTADORES!AE142-CONTADORES!AE141))</f>
        <v>2.5</v>
      </c>
      <c r="U148" s="212">
        <f ca="1">IF(B148&gt;=$P$5,0,(CONTADORES!AQ142-CONTADORES!AQ141))</f>
        <v>5</v>
      </c>
      <c r="V148" s="212">
        <f ca="1">IF(B148&gt;=$P$5,0,(CONTADORES!AR142-CONTADORES!AR141))</f>
        <v>0</v>
      </c>
      <c r="W148" s="736">
        <v>0</v>
      </c>
      <c r="X148" s="212">
        <f ca="1">IF(W148=0,(T148-INICIO!$W$6),((T148-INICIO!$W$6)+V148))</f>
        <v>2.5</v>
      </c>
      <c r="Y148" s="214">
        <f t="shared" ca="1" si="38"/>
        <v>9.5999999999767169</v>
      </c>
      <c r="Z148" s="215">
        <f t="shared" ca="1" si="39"/>
        <v>7.491319189806811</v>
      </c>
      <c r="AA148" s="212">
        <f t="shared" ca="1" si="40"/>
        <v>1.4856246997208045</v>
      </c>
      <c r="AB148" s="212">
        <f t="shared" ca="1" si="41"/>
        <v>0.42076516549801823</v>
      </c>
      <c r="AC148" s="214">
        <f t="shared" ca="1" si="36"/>
        <v>0.20229094495108352</v>
      </c>
    </row>
    <row r="149" spans="2:29">
      <c r="B149" s="220">
        <v>44700</v>
      </c>
      <c r="C149" s="208">
        <f ca="1">DATOSAÑO!I149</f>
        <v>291.56499999994412</v>
      </c>
      <c r="D149" s="202">
        <f ca="1">DATOSAÑO!P149</f>
        <v>147.50299999999697</v>
      </c>
      <c r="E149" s="202">
        <f ca="1">DATOSAÑO!Q149</f>
        <v>0</v>
      </c>
      <c r="F149" s="202">
        <f ca="1">DATOSAÑO!T149</f>
        <v>0</v>
      </c>
      <c r="G149" s="202">
        <f t="shared" ca="1" si="35"/>
        <v>439.06799999994109</v>
      </c>
      <c r="H149" s="202">
        <f t="shared" ca="1" si="29"/>
        <v>35.859999999960394</v>
      </c>
      <c r="I149" s="202">
        <f t="shared" ca="1" si="31"/>
        <v>191.42082453019367</v>
      </c>
      <c r="J149" s="202">
        <f t="shared" ca="1" si="32"/>
        <v>36.280195079987763</v>
      </c>
      <c r="K149" s="202">
        <f t="shared" ca="1" si="33"/>
        <v>10.789649094425794</v>
      </c>
      <c r="L149" s="202">
        <f t="shared" ca="1" si="30"/>
        <v>159.52999999997715</v>
      </c>
      <c r="M149" s="202">
        <f t="shared" ca="1" si="34"/>
        <v>5.1873312953962909</v>
      </c>
      <c r="N149" s="202">
        <f t="shared" ca="1" si="37"/>
        <v>5</v>
      </c>
      <c r="O149" s="202">
        <f ca="1">(DATOSAÑO!AJ149+DATOSAÑO!AK149+DATOSAÑO!AD149)</f>
        <v>184.50799999999799</v>
      </c>
      <c r="P149" s="202">
        <f ca="1">DATOSAÑO!AI149</f>
        <v>34.969999999986612</v>
      </c>
      <c r="Q149" s="202">
        <f ca="1">DATOSAÑO!AH149</f>
        <v>10.400000000001455</v>
      </c>
      <c r="R149" s="202">
        <f ca="1">DATOSAÑO!AM149+DATOSAÑO!AN149+DATOSAÑO!AF149</f>
        <v>159.52999999997715</v>
      </c>
      <c r="S149" s="215">
        <f ca="1">IF(B149&gt;=$P$5,0,CONTADORES!Q143-CONTADORES!Q142)</f>
        <v>13.800000000017462</v>
      </c>
      <c r="T149" s="212">
        <f ca="1">IF(B149&gt;=$P$5,0,(CONTADORES!S143-CONTADORES!S142)+(CONTADORES!AE143-CONTADORES!AE142))</f>
        <v>2.4000000000014552</v>
      </c>
      <c r="U149" s="212">
        <f ca="1">IF(B149&gt;=$P$5,0,(CONTADORES!AQ143-CONTADORES!AQ142))</f>
        <v>5</v>
      </c>
      <c r="V149" s="212">
        <f ca="1">IF(B149&gt;=$P$5,0,(CONTADORES!AR143-CONTADORES!AR142))</f>
        <v>0</v>
      </c>
      <c r="W149" s="736">
        <v>0</v>
      </c>
      <c r="X149" s="212">
        <f ca="1">IF(W149=0,(T149-INICIO!$W$6),((T149-INICIO!$W$6)+V149))</f>
        <v>2.4000000000014552</v>
      </c>
      <c r="Y149" s="214">
        <f t="shared" ca="1" si="38"/>
        <v>8.8000000000174623</v>
      </c>
      <c r="Z149" s="215">
        <f t="shared" ca="1" si="39"/>
        <v>6.912824530195679</v>
      </c>
      <c r="AA149" s="212">
        <f t="shared" ca="1" si="40"/>
        <v>1.3101950800011541</v>
      </c>
      <c r="AB149" s="212">
        <f t="shared" ca="1" si="41"/>
        <v>0.38964909442433882</v>
      </c>
      <c r="AC149" s="214">
        <f t="shared" ca="1" si="36"/>
        <v>0.18733129539629051</v>
      </c>
    </row>
    <row r="150" spans="2:29">
      <c r="B150" s="220">
        <v>44701</v>
      </c>
      <c r="C150" s="208">
        <f ca="1">DATOSAÑO!I150</f>
        <v>307.67000000004191</v>
      </c>
      <c r="D150" s="202">
        <f ca="1">DATOSAÑO!P150</f>
        <v>147.64199999999983</v>
      </c>
      <c r="E150" s="202">
        <f ca="1">DATOSAÑO!Q150</f>
        <v>0</v>
      </c>
      <c r="F150" s="202">
        <f ca="1">DATOSAÑO!T150</f>
        <v>0</v>
      </c>
      <c r="G150" s="202">
        <f t="shared" ca="1" si="35"/>
        <v>455.31200000004173</v>
      </c>
      <c r="H150" s="202">
        <f t="shared" ca="1" si="29"/>
        <v>33.948900000009075</v>
      </c>
      <c r="I150" s="202">
        <f t="shared" ca="1" si="31"/>
        <v>205.97644802668489</v>
      </c>
      <c r="J150" s="202">
        <f t="shared" ca="1" si="32"/>
        <v>35.929617247679651</v>
      </c>
      <c r="K150" s="202">
        <f t="shared" ca="1" si="33"/>
        <v>13.775264035578317</v>
      </c>
      <c r="L150" s="202">
        <f t="shared" ca="1" si="30"/>
        <v>160.50310000002389</v>
      </c>
      <c r="M150" s="202">
        <f t="shared" ca="1" si="34"/>
        <v>5.1786706900659034</v>
      </c>
      <c r="N150" s="202">
        <f t="shared" ca="1" si="37"/>
        <v>5</v>
      </c>
      <c r="O150" s="202">
        <f ca="1">(DATOSAÑO!AJ150+DATOSAÑO!AK150+DATOSAÑO!AD150)</f>
        <v>198.87000000000353</v>
      </c>
      <c r="P150" s="202">
        <f ca="1">DATOSAÑO!AI150</f>
        <v>34.690000000002328</v>
      </c>
      <c r="Q150" s="202">
        <f ca="1">DATOSAÑO!AH150</f>
        <v>13.30000000000291</v>
      </c>
      <c r="R150" s="202">
        <f ca="1">DATOSAÑO!AM150+DATOSAÑO!AN150+DATOSAÑO!AF150</f>
        <v>160.50310000002389</v>
      </c>
      <c r="S150" s="215">
        <f ca="1">IF(B150&gt;=$P$5,0,CONTADORES!Q144-CONTADORES!Q143)</f>
        <v>14</v>
      </c>
      <c r="T150" s="212">
        <f ca="1">IF(B150&gt;=$P$5,0,(CONTADORES!S144-CONTADORES!S143)+(CONTADORES!AE144-CONTADORES!AE143))</f>
        <v>2.2000000000043656</v>
      </c>
      <c r="U150" s="212">
        <f ca="1">IF(B150&gt;=$P$5,0,(CONTADORES!AQ144-CONTADORES!AQ143))</f>
        <v>5</v>
      </c>
      <c r="V150" s="212">
        <f ca="1">IF(B150&gt;=$P$5,0,(CONTADORES!AR144-CONTADORES!AR143))</f>
        <v>0</v>
      </c>
      <c r="W150" s="736">
        <v>0</v>
      </c>
      <c r="X150" s="212">
        <f ca="1">IF(W150=0,(T150-INICIO!$W$6),((T150-INICIO!$W$6)+V150))</f>
        <v>2.2000000000043656</v>
      </c>
      <c r="Y150" s="214">
        <f t="shared" ca="1" si="38"/>
        <v>9</v>
      </c>
      <c r="Z150" s="215">
        <f t="shared" ca="1" si="39"/>
        <v>7.1064480266813685</v>
      </c>
      <c r="AA150" s="212">
        <f t="shared" ca="1" si="40"/>
        <v>1.2396172476773211</v>
      </c>
      <c r="AB150" s="212">
        <f t="shared" ca="1" si="41"/>
        <v>0.47526403557540708</v>
      </c>
      <c r="AC150" s="214">
        <f t="shared" ca="1" si="36"/>
        <v>0.17867069006590341</v>
      </c>
    </row>
    <row r="151" spans="2:29">
      <c r="B151" s="220">
        <v>44702</v>
      </c>
      <c r="C151" s="208">
        <f ca="1">DATOSAÑO!I151</f>
        <v>303.25</v>
      </c>
      <c r="D151" s="202">
        <f ca="1">DATOSAÑO!P151</f>
        <v>147.62299999999959</v>
      </c>
      <c r="E151" s="202">
        <f ca="1">DATOSAÑO!Q151</f>
        <v>0</v>
      </c>
      <c r="F151" s="202">
        <f ca="1">DATOSAÑO!T151</f>
        <v>0</v>
      </c>
      <c r="G151" s="202">
        <f t="shared" ca="1" si="35"/>
        <v>450.87299999999959</v>
      </c>
      <c r="H151" s="202">
        <f t="shared" ca="1" si="29"/>
        <v>32.785000000074035</v>
      </c>
      <c r="I151" s="202">
        <f t="shared" ca="1" si="31"/>
        <v>206.84444754349909</v>
      </c>
      <c r="J151" s="202">
        <f t="shared" ca="1" si="32"/>
        <v>35.80278081045131</v>
      </c>
      <c r="K151" s="202">
        <f t="shared" ca="1" si="33"/>
        <v>11.359405506633522</v>
      </c>
      <c r="L151" s="202">
        <f t="shared" ca="1" si="30"/>
        <v>158.91799999996277</v>
      </c>
      <c r="M151" s="202">
        <f t="shared" ca="1" si="34"/>
        <v>5.1633661393788737</v>
      </c>
      <c r="N151" s="202">
        <f t="shared" ca="1" si="37"/>
        <v>5</v>
      </c>
      <c r="O151" s="202">
        <f ca="1">(DATOSAÑO!AJ151+DATOSAÑO!AK151+DATOSAÑO!AD151)</f>
        <v>200.29999999998199</v>
      </c>
      <c r="P151" s="202">
        <f ca="1">DATOSAÑO!AI151</f>
        <v>34.669999999998254</v>
      </c>
      <c r="Q151" s="202">
        <f ca="1">DATOSAÑO!AH151</f>
        <v>11</v>
      </c>
      <c r="R151" s="202">
        <f ca="1">DATOSAÑO!AM151+DATOSAÑO!AN151+DATOSAÑO!AF151</f>
        <v>158.91799999996277</v>
      </c>
      <c r="S151" s="215">
        <f ca="1">IF(B151&gt;=$P$5,0,CONTADORES!Q145-CONTADORES!Q144)</f>
        <v>13.199999999982538</v>
      </c>
      <c r="T151" s="212">
        <f ca="1">IF(B151&gt;=$P$5,0,(CONTADORES!S145-CONTADORES!S144)+(CONTADORES!AE145-CONTADORES!AE144))</f>
        <v>2.3999999999941792</v>
      </c>
      <c r="U151" s="212">
        <f ca="1">IF(B151&gt;=$P$5,0,(CONTADORES!AQ145-CONTADORES!AQ144))</f>
        <v>5</v>
      </c>
      <c r="V151" s="212">
        <f ca="1">IF(B151&gt;=$P$5,0,(CONTADORES!AR145-CONTADORES!AR144))</f>
        <v>0</v>
      </c>
      <c r="W151" s="736">
        <v>0</v>
      </c>
      <c r="X151" s="212">
        <f ca="1">IF(W151=0,(T151-INICIO!$W$6),((T151-INICIO!$W$6)+V151))</f>
        <v>2.3999999999941792</v>
      </c>
      <c r="Y151" s="214">
        <f t="shared" ca="1" si="38"/>
        <v>8.1999999999825377</v>
      </c>
      <c r="Z151" s="215">
        <f t="shared" ca="1" si="39"/>
        <v>6.544447543517089</v>
      </c>
      <c r="AA151" s="212">
        <f t="shared" ca="1" si="40"/>
        <v>1.1327808104530528</v>
      </c>
      <c r="AB151" s="212">
        <f t="shared" ca="1" si="41"/>
        <v>0.359405506633522</v>
      </c>
      <c r="AC151" s="214">
        <f t="shared" ca="1" si="36"/>
        <v>0.16336613937887362</v>
      </c>
    </row>
    <row r="152" spans="2:29">
      <c r="B152" s="220">
        <v>44703</v>
      </c>
      <c r="C152" s="208">
        <f ca="1">DATOSAÑO!I152</f>
        <v>306.81000000005588</v>
      </c>
      <c r="D152" s="202">
        <f ca="1">DATOSAÑO!P152</f>
        <v>150.19400000000314</v>
      </c>
      <c r="E152" s="202">
        <f ca="1">DATOSAÑO!Q152</f>
        <v>0.24500000000011823</v>
      </c>
      <c r="F152" s="202">
        <f ca="1">DATOSAÑO!T152</f>
        <v>0.40899999999999181</v>
      </c>
      <c r="G152" s="202">
        <f t="shared" ca="1" si="35"/>
        <v>457.65800000005913</v>
      </c>
      <c r="H152" s="202">
        <f t="shared" ca="1" si="29"/>
        <v>40.597000000007711</v>
      </c>
      <c r="I152" s="202">
        <f t="shared" ca="1" si="31"/>
        <v>208.33545389652704</v>
      </c>
      <c r="J152" s="202">
        <f t="shared" ca="1" si="32"/>
        <v>33.628951219514519</v>
      </c>
      <c r="K152" s="202">
        <f t="shared" ca="1" si="33"/>
        <v>14.639339678762404</v>
      </c>
      <c r="L152" s="202">
        <f t="shared" ca="1" si="30"/>
        <v>155.26600000001201</v>
      </c>
      <c r="M152" s="202">
        <f t="shared" ca="1" si="34"/>
        <v>5.1912552052354313</v>
      </c>
      <c r="N152" s="202">
        <f t="shared" ca="1" si="37"/>
        <v>5</v>
      </c>
      <c r="O152" s="202">
        <f ca="1">(DATOSAÑO!AJ152+DATOSAÑO!AK152+DATOSAÑO!AD152)</f>
        <v>200.66000000001804</v>
      </c>
      <c r="P152" s="202">
        <f ca="1">DATOSAÑO!AI152</f>
        <v>32.389999999999418</v>
      </c>
      <c r="Q152" s="202">
        <f ca="1">DATOSAÑO!AH152</f>
        <v>14.099999999998545</v>
      </c>
      <c r="R152" s="202">
        <f ca="1">DATOSAÑO!AM152+DATOSAÑO!AN152+DATOSAÑO!AF152</f>
        <v>155.26600000001201</v>
      </c>
      <c r="S152" s="215">
        <f ca="1">IF(B152&gt;=$P$5,0,CONTADORES!Q146-CONTADORES!Q145)</f>
        <v>14.400000000023283</v>
      </c>
      <c r="T152" s="212">
        <f ca="1">IF(B152&gt;=$P$5,0,(CONTADORES!S146-CONTADORES!S145)+(CONTADORES!AE146-CONTADORES!AE145))</f>
        <v>2.6000000000058208</v>
      </c>
      <c r="U152" s="212">
        <f ca="1">IF(B152&gt;=$P$5,0,(CONTADORES!AQ146-CONTADORES!AQ145))</f>
        <v>5</v>
      </c>
      <c r="V152" s="212">
        <f ca="1">IF(B152&gt;=$P$5,0,(CONTADORES!AR146-CONTADORES!AR145))</f>
        <v>0</v>
      </c>
      <c r="W152" s="736">
        <v>0</v>
      </c>
      <c r="X152" s="212">
        <f ca="1">IF(W152=0,(T152-INICIO!$W$6),((T152-INICIO!$W$6)+V152))</f>
        <v>2.6000000000058208</v>
      </c>
      <c r="Y152" s="214">
        <f t="shared" ca="1" si="38"/>
        <v>9.6450000000234013</v>
      </c>
      <c r="Z152" s="215">
        <f t="shared" ca="1" si="39"/>
        <v>7.6754538965090102</v>
      </c>
      <c r="AA152" s="212">
        <f t="shared" ca="1" si="40"/>
        <v>1.2389512195151002</v>
      </c>
      <c r="AB152" s="212">
        <f t="shared" ca="1" si="41"/>
        <v>0.53933967876386002</v>
      </c>
      <c r="AC152" s="214">
        <f t="shared" ca="1" si="36"/>
        <v>0.19125520523543107</v>
      </c>
    </row>
    <row r="153" spans="2:29">
      <c r="B153" s="220">
        <v>44704</v>
      </c>
      <c r="C153" s="208">
        <f ca="1">DATOSAÑO!I153</f>
        <v>246.93999999994412</v>
      </c>
      <c r="D153" s="202">
        <f ca="1">DATOSAÑO!P153</f>
        <v>127.20999999999913</v>
      </c>
      <c r="E153" s="202">
        <f ca="1">DATOSAÑO!Q153</f>
        <v>0</v>
      </c>
      <c r="F153" s="202">
        <f ca="1">DATOSAÑO!T153</f>
        <v>0</v>
      </c>
      <c r="G153" s="202">
        <f t="shared" ca="1" si="35"/>
        <v>374.14999999994325</v>
      </c>
      <c r="H153" s="202">
        <f t="shared" ca="1" si="29"/>
        <v>35.438999999948862</v>
      </c>
      <c r="I153" s="202">
        <f t="shared" ca="1" si="31"/>
        <v>130.28637531525331</v>
      </c>
      <c r="J153" s="202">
        <f t="shared" ca="1" si="32"/>
        <v>34.66121207835895</v>
      </c>
      <c r="K153" s="202">
        <f t="shared" ca="1" si="33"/>
        <v>9.6281144662065437</v>
      </c>
      <c r="L153" s="202">
        <f t="shared" ca="1" si="30"/>
        <v>159.17100000001352</v>
      </c>
      <c r="M153" s="202">
        <f t="shared" ca="1" si="34"/>
        <v>4.9642981401620512</v>
      </c>
      <c r="N153" s="202">
        <f t="shared" ca="1" si="37"/>
        <v>4.6920000000027358</v>
      </c>
      <c r="O153" s="202">
        <f ca="1">(DATOSAÑO!AJ153+DATOSAÑO!AK153+DATOSAÑO!AD153)</f>
        <v>123.13999999999396</v>
      </c>
      <c r="P153" s="202">
        <f ca="1">DATOSAÑO!AI153</f>
        <v>32.760000000009313</v>
      </c>
      <c r="Q153" s="202">
        <f ca="1">DATOSAÑO!AH153</f>
        <v>9.0999999999985448</v>
      </c>
      <c r="R153" s="202">
        <f ca="1">DATOSAÑO!AM153+DATOSAÑO!AN153+DATOSAÑO!AF153</f>
        <v>159.17100000001352</v>
      </c>
      <c r="S153" s="215">
        <f ca="1">IF(B153&gt;=$P$5,0,CONTADORES!Q147-CONTADORES!Q146)</f>
        <v>14.539999999979045</v>
      </c>
      <c r="T153" s="212">
        <f ca="1">IF(B153&gt;=$P$5,0,(CONTADORES!S147-CONTADORES!S146)+(CONTADORES!AE147-CONTADORES!AE146))</f>
        <v>2.3600000000005821</v>
      </c>
      <c r="U153" s="212">
        <f ca="1">IF(B153&gt;=$P$5,0,(CONTADORES!AQ147-CONTADORES!AQ146))</f>
        <v>4.6920000000027358</v>
      </c>
      <c r="V153" s="212">
        <f ca="1">IF(B153&gt;=$P$5,0,(CONTADORES!AR147-CONTADORES!AR146))</f>
        <v>0</v>
      </c>
      <c r="W153" s="736">
        <v>0</v>
      </c>
      <c r="X153" s="212">
        <f ca="1">IF(W153=0,(T153-INICIO!$W$6),((T153-INICIO!$W$6)+V153))</f>
        <v>2.3600000000005821</v>
      </c>
      <c r="Y153" s="214">
        <f t="shared" ca="1" si="38"/>
        <v>9.8479999999763095</v>
      </c>
      <c r="Z153" s="215">
        <f t="shared" ca="1" si="39"/>
        <v>7.1463753152593563</v>
      </c>
      <c r="AA153" s="212">
        <f t="shared" ca="1" si="40"/>
        <v>1.9012120783496389</v>
      </c>
      <c r="AB153" s="212">
        <f t="shared" ca="1" si="41"/>
        <v>0.52811446620799851</v>
      </c>
      <c r="AC153" s="214">
        <f t="shared" ca="1" si="36"/>
        <v>0.27229814015931536</v>
      </c>
    </row>
    <row r="154" spans="2:29">
      <c r="B154" s="220">
        <v>44705</v>
      </c>
      <c r="C154" s="208">
        <f ca="1">DATOSAÑO!I154</f>
        <v>166</v>
      </c>
      <c r="D154" s="202">
        <f ca="1">DATOSAÑO!P154</f>
        <v>84</v>
      </c>
      <c r="E154" s="202">
        <f ca="1">DATOSAÑO!Q154</f>
        <v>0</v>
      </c>
      <c r="F154" s="202">
        <f ca="1">DATOSAÑO!T154</f>
        <v>0</v>
      </c>
      <c r="G154" s="202">
        <f t="shared" ca="1" si="35"/>
        <v>250</v>
      </c>
      <c r="H154" s="202">
        <f t="shared" ca="1" si="29"/>
        <v>31.080999999987654</v>
      </c>
      <c r="I154" s="202">
        <f t="shared" ca="1" si="31"/>
        <v>19.967283891399028</v>
      </c>
      <c r="J154" s="202">
        <f t="shared" ca="1" si="32"/>
        <v>40.165403434718343</v>
      </c>
      <c r="K154" s="202">
        <f t="shared" ca="1" si="33"/>
        <v>6.0017269500199211</v>
      </c>
      <c r="L154" s="202">
        <f t="shared" ca="1" si="30"/>
        <v>146.73899999999747</v>
      </c>
      <c r="M154" s="202">
        <f t="shared" ca="1" si="34"/>
        <v>6.0455857238775543</v>
      </c>
      <c r="N154" s="202">
        <f t="shared" ca="1" si="37"/>
        <v>5.2379999999975553</v>
      </c>
      <c r="O154" s="202">
        <f ca="1">(DATOSAÑO!AJ154+DATOSAÑO!AK154+DATOSAÑO!AD154)</f>
        <v>17.30000000000291</v>
      </c>
      <c r="P154" s="202">
        <f ca="1">DATOSAÑO!AI154</f>
        <v>34.80000000000291</v>
      </c>
      <c r="Q154" s="202">
        <f ca="1">DATOSAÑO!AH154</f>
        <v>5.2000000000043656</v>
      </c>
      <c r="R154" s="202">
        <f ca="1">DATOSAÑO!AM154+DATOSAÑO!AN154+DATOSAÑO!AF154</f>
        <v>146.73899999999747</v>
      </c>
      <c r="S154" s="215">
        <f ca="1">IF(B154&gt;=$P$5,0,CONTADORES!Q148-CONTADORES!Q147)</f>
        <v>14.880000000004657</v>
      </c>
      <c r="T154" s="212">
        <f ca="1">IF(B154&gt;=$P$5,0,(CONTADORES!S148-CONTADORES!S147)+(CONTADORES!AE148-CONTADORES!AE147))</f>
        <v>2.5299999999988358</v>
      </c>
      <c r="U154" s="212">
        <f ca="1">IF(B154&gt;=$P$5,0,(CONTADORES!AQ148-CONTADORES!AQ147))</f>
        <v>5.2379999999975553</v>
      </c>
      <c r="V154" s="212">
        <f ca="1">IF(B154&gt;=$P$5,0,(CONTADORES!AR148-CONTADORES!AR147))</f>
        <v>0</v>
      </c>
      <c r="W154" s="736">
        <v>0</v>
      </c>
      <c r="X154" s="212">
        <f ca="1">IF(W154=0,(T154-INICIO!$W$6),((T154-INICIO!$W$6)+V154))</f>
        <v>2.5299999999988358</v>
      </c>
      <c r="Y154" s="214">
        <f t="shared" ca="1" si="38"/>
        <v>9.6420000000071013</v>
      </c>
      <c r="Z154" s="215">
        <f t="shared" ca="1" si="39"/>
        <v>2.6672838913961154</v>
      </c>
      <c r="AA154" s="212">
        <f t="shared" ca="1" si="40"/>
        <v>5.3654034347154314</v>
      </c>
      <c r="AB154" s="212">
        <f t="shared" ca="1" si="41"/>
        <v>0.8017269500155555</v>
      </c>
      <c r="AC154" s="214">
        <f t="shared" ca="1" si="36"/>
        <v>0.80758572387999894</v>
      </c>
    </row>
    <row r="155" spans="2:29">
      <c r="B155" s="220">
        <v>44706</v>
      </c>
      <c r="C155" s="208">
        <f ca="1">DATOSAÑO!I155</f>
        <v>188</v>
      </c>
      <c r="D155" s="202">
        <f ca="1">DATOSAÑO!P155</f>
        <v>84</v>
      </c>
      <c r="E155" s="202">
        <f ca="1">DATOSAÑO!Q155</f>
        <v>0</v>
      </c>
      <c r="F155" s="202">
        <f ca="1">DATOSAÑO!T155</f>
        <v>0</v>
      </c>
      <c r="G155" s="202">
        <f t="shared" ca="1" si="35"/>
        <v>272</v>
      </c>
      <c r="H155" s="202">
        <f t="shared" ca="1" si="29"/>
        <v>33.17099999998635</v>
      </c>
      <c r="I155" s="202">
        <f t="shared" ca="1" si="31"/>
        <v>19.70343035957611</v>
      </c>
      <c r="J155" s="202">
        <f t="shared" ca="1" si="32"/>
        <v>41.456928617822832</v>
      </c>
      <c r="K155" s="202">
        <f t="shared" ca="1" si="33"/>
        <v>10.364232154455708</v>
      </c>
      <c r="L155" s="202">
        <f t="shared" ca="1" si="30"/>
        <v>161.66900000000291</v>
      </c>
      <c r="M155" s="202">
        <f t="shared" ca="1" si="34"/>
        <v>5.6354088681561167</v>
      </c>
      <c r="N155" s="202">
        <f t="shared" ca="1" si="37"/>
        <v>4.9479999999966822</v>
      </c>
      <c r="O155" s="202">
        <f ca="1">(DATOSAÑO!AJ155+DATOSAÑO!AK155+DATOSAÑO!AD155)</f>
        <v>17.30000000000291</v>
      </c>
      <c r="P155" s="202">
        <f ca="1">DATOSAÑO!AI155</f>
        <v>36.399999999994179</v>
      </c>
      <c r="Q155" s="202">
        <f ca="1">DATOSAÑO!AH155</f>
        <v>9.0999999999985448</v>
      </c>
      <c r="R155" s="202">
        <f ca="1">DATOSAÑO!AM155+DATOSAÑO!AN155+DATOSAÑO!AF155</f>
        <v>161.66900000000291</v>
      </c>
      <c r="S155" s="215">
        <f ca="1">IF(B155&gt;=$P$5,0,CONTADORES!Q149-CONTADORES!Q148)</f>
        <v>14.360000000015134</v>
      </c>
      <c r="T155" s="212">
        <f ca="1">IF(B155&gt;=$P$5,0,(CONTADORES!S149-CONTADORES!S148)+(CONTADORES!AE149-CONTADORES!AE148))</f>
        <v>2.4599999999991269</v>
      </c>
      <c r="U155" s="212">
        <f ca="1">IF(B155&gt;=$P$5,0,(CONTADORES!AQ149-CONTADORES!AQ148))</f>
        <v>4.9479999999966822</v>
      </c>
      <c r="V155" s="212">
        <f ca="1">IF(B155&gt;=$P$5,0,(CONTADORES!AR149-CONTADORES!AR148))</f>
        <v>0</v>
      </c>
      <c r="W155" s="736">
        <v>0</v>
      </c>
      <c r="X155" s="212">
        <f ca="1">IF(W155=0,(T155-INICIO!$W$6),((T155-INICIO!$W$6)+V155))</f>
        <v>2.4599999999991269</v>
      </c>
      <c r="Y155" s="214">
        <f t="shared" ca="1" si="38"/>
        <v>9.4120000000184518</v>
      </c>
      <c r="Z155" s="215">
        <f t="shared" ca="1" si="39"/>
        <v>2.4034303595731989</v>
      </c>
      <c r="AA155" s="212">
        <f t="shared" ca="1" si="40"/>
        <v>5.056928617828655</v>
      </c>
      <c r="AB155" s="212">
        <f t="shared" ca="1" si="41"/>
        <v>1.2642321544571637</v>
      </c>
      <c r="AC155" s="214">
        <f t="shared" ca="1" si="36"/>
        <v>0.68740886815943425</v>
      </c>
    </row>
    <row r="156" spans="2:29">
      <c r="B156" s="220">
        <v>44707</v>
      </c>
      <c r="C156" s="208">
        <f ca="1">DATOSAÑO!I156</f>
        <v>194</v>
      </c>
      <c r="D156" s="202">
        <f ca="1">DATOSAÑO!P156</f>
        <v>84</v>
      </c>
      <c r="E156" s="202">
        <f ca="1">DATOSAÑO!Q156</f>
        <v>0</v>
      </c>
      <c r="F156" s="202">
        <f ca="1">DATOSAÑO!T156</f>
        <v>0</v>
      </c>
      <c r="G156" s="202">
        <f t="shared" ca="1" si="35"/>
        <v>278</v>
      </c>
      <c r="H156" s="202">
        <f t="shared" ca="1" si="29"/>
        <v>26.409000000005278</v>
      </c>
      <c r="I156" s="202">
        <f t="shared" ca="1" si="31"/>
        <v>22.241088330175092</v>
      </c>
      <c r="J156" s="202">
        <f t="shared" ca="1" si="32"/>
        <v>38.385634681526135</v>
      </c>
      <c r="K156" s="202">
        <f t="shared" ca="1" si="33"/>
        <v>18.402524862020837</v>
      </c>
      <c r="L156" s="202">
        <f t="shared" ca="1" si="30"/>
        <v>166.90099999999964</v>
      </c>
      <c r="M156" s="202">
        <f t="shared" ca="1" si="34"/>
        <v>5.6607521262729863</v>
      </c>
      <c r="N156" s="202">
        <f t="shared" ca="1" si="37"/>
        <v>5.0140000000028522</v>
      </c>
      <c r="O156" s="202">
        <f ca="1">(DATOSAÑO!AJ156+DATOSAÑO!AK156+DATOSAÑO!AD156)</f>
        <v>19.69999999999709</v>
      </c>
      <c r="P156" s="202">
        <f ca="1">DATOSAÑO!AI156</f>
        <v>34</v>
      </c>
      <c r="Q156" s="202">
        <f ca="1">DATOSAÑO!AH156</f>
        <v>16.299999999995634</v>
      </c>
      <c r="R156" s="202">
        <f ca="1">DATOSAÑO!AM156+DATOSAÑO!AN156+DATOSAÑO!AF156</f>
        <v>166.90099999999964</v>
      </c>
      <c r="S156" s="215">
        <f ca="1">IF(B156&gt;=$P$5,0,CONTADORES!Q150-CONTADORES!Q149)</f>
        <v>14.690000000002328</v>
      </c>
      <c r="T156" s="212">
        <f ca="1">IF(B156&gt;=$P$5,0,(CONTADORES!S150-CONTADORES!S149)+(CONTADORES!AE150-CONTADORES!AE149))</f>
        <v>2.4599999999991269</v>
      </c>
      <c r="U156" s="212">
        <f ca="1">IF(B156&gt;=$P$5,0,(CONTADORES!AQ150-CONTADORES!AQ149))</f>
        <v>5.0140000000028522</v>
      </c>
      <c r="V156" s="212">
        <f ca="1">IF(B156&gt;=$P$5,0,(CONTADORES!AR150-CONTADORES!AR149))</f>
        <v>0</v>
      </c>
      <c r="W156" s="736">
        <v>0</v>
      </c>
      <c r="X156" s="212">
        <f ca="1">IF(W156=0,(T156-INICIO!$W$6),((T156-INICIO!$W$6)+V156))</f>
        <v>2.4599999999991269</v>
      </c>
      <c r="Y156" s="214">
        <f t="shared" ca="1" si="38"/>
        <v>9.6759999999994761</v>
      </c>
      <c r="Z156" s="215">
        <f t="shared" ca="1" si="39"/>
        <v>2.5410883301780034</v>
      </c>
      <c r="AA156" s="212">
        <f t="shared" ca="1" si="40"/>
        <v>4.3856346815261364</v>
      </c>
      <c r="AB156" s="212">
        <f t="shared" ca="1" si="41"/>
        <v>2.1025248620252022</v>
      </c>
      <c r="AC156" s="214">
        <f t="shared" ca="1" si="36"/>
        <v>0.64675212627013401</v>
      </c>
    </row>
    <row r="157" spans="2:29">
      <c r="B157" s="220">
        <v>44708</v>
      </c>
      <c r="C157" s="208">
        <f ca="1">DATOSAÑO!I157</f>
        <v>222</v>
      </c>
      <c r="D157" s="202">
        <f ca="1">DATOSAÑO!P157</f>
        <v>101</v>
      </c>
      <c r="E157" s="202">
        <f ca="1">DATOSAÑO!Q157</f>
        <v>0</v>
      </c>
      <c r="F157" s="202">
        <f ca="1">DATOSAÑO!T157</f>
        <v>0</v>
      </c>
      <c r="G157" s="202">
        <f t="shared" ca="1" si="35"/>
        <v>323</v>
      </c>
      <c r="H157" s="202">
        <f t="shared" ca="1" si="29"/>
        <v>33.481000000033475</v>
      </c>
      <c r="I157" s="202">
        <f t="shared" ca="1" si="31"/>
        <v>65.766840711849895</v>
      </c>
      <c r="J157" s="202">
        <f t="shared" ca="1" si="32"/>
        <v>37.238840270617409</v>
      </c>
      <c r="K157" s="202">
        <f t="shared" ca="1" si="33"/>
        <v>10.344122297394605</v>
      </c>
      <c r="L157" s="202">
        <f t="shared" ca="1" si="30"/>
        <v>171.06899999999854</v>
      </c>
      <c r="M157" s="202">
        <f t="shared" ca="1" si="34"/>
        <v>5.1001967201060809</v>
      </c>
      <c r="N157" s="202">
        <f t="shared" ca="1" si="37"/>
        <v>4.6840000000011059</v>
      </c>
      <c r="O157" s="202">
        <f ca="1">(DATOSAÑO!AJ157+DATOSAÑO!AK157+DATOSAÑO!AD157)</f>
        <v>60.399999999994179</v>
      </c>
      <c r="P157" s="202">
        <f ca="1">DATOSAÑO!AI157</f>
        <v>34.19999999999709</v>
      </c>
      <c r="Q157" s="202">
        <f ca="1">DATOSAÑO!AH157</f>
        <v>9.5</v>
      </c>
      <c r="R157" s="202">
        <f ca="1">DATOSAÑO!AM157+DATOSAÑO!AN157+DATOSAÑO!AF157</f>
        <v>171.06899999999854</v>
      </c>
      <c r="S157" s="215">
        <f ca="1">IF(B157&gt;=$P$5,0,CONTADORES!Q151-CONTADORES!Q150)</f>
        <v>14.349999999976717</v>
      </c>
      <c r="T157" s="212">
        <f ca="1">IF(B157&gt;=$P$5,0,(CONTADORES!S151-CONTADORES!S150)+(CONTADORES!AE151-CONTADORES!AE150))</f>
        <v>2.4400000000023283</v>
      </c>
      <c r="U157" s="212">
        <f ca="1">IF(B157&gt;=$P$5,0,(CONTADORES!AQ151-CONTADORES!AQ150))</f>
        <v>4.6840000000011059</v>
      </c>
      <c r="V157" s="212">
        <f ca="1">IF(B157&gt;=$P$5,0,(CONTADORES!AR151-CONTADORES!AR150))</f>
        <v>0</v>
      </c>
      <c r="W157" s="736">
        <v>0</v>
      </c>
      <c r="X157" s="212">
        <f ca="1">IF(W157=0,(T157-INICIO!$W$6),((T157-INICIO!$W$6)+V157))</f>
        <v>2.4400000000023283</v>
      </c>
      <c r="Y157" s="214">
        <f t="shared" ca="1" si="38"/>
        <v>9.665999999975611</v>
      </c>
      <c r="Z157" s="215">
        <f t="shared" ca="1" si="39"/>
        <v>5.3668407118557093</v>
      </c>
      <c r="AA157" s="212">
        <f t="shared" ca="1" si="40"/>
        <v>3.0388402706203204</v>
      </c>
      <c r="AB157" s="212">
        <f t="shared" ca="1" si="41"/>
        <v>0.84412229739460531</v>
      </c>
      <c r="AC157" s="214">
        <f t="shared" ca="1" si="36"/>
        <v>0.41619672010497522</v>
      </c>
    </row>
    <row r="158" spans="2:29">
      <c r="B158" s="220">
        <v>44709</v>
      </c>
      <c r="C158" s="208">
        <f ca="1">DATOSAÑO!I158</f>
        <v>309</v>
      </c>
      <c r="D158" s="202">
        <f ca="1">DATOSAÑO!P158</f>
        <v>144.59999999999854</v>
      </c>
      <c r="E158" s="202">
        <f ca="1">DATOSAÑO!Q158</f>
        <v>0</v>
      </c>
      <c r="F158" s="202">
        <f ca="1">DATOSAÑO!T158</f>
        <v>0</v>
      </c>
      <c r="G158" s="202">
        <f t="shared" ca="1" si="35"/>
        <v>453.59999999999854</v>
      </c>
      <c r="H158" s="202">
        <f t="shared" ca="1" si="29"/>
        <v>35.823999999973353</v>
      </c>
      <c r="I158" s="202">
        <f t="shared" ca="1" si="31"/>
        <v>193.46631352550924</v>
      </c>
      <c r="J158" s="202">
        <f t="shared" ca="1" si="32"/>
        <v>36.560890323448582</v>
      </c>
      <c r="K158" s="202">
        <f t="shared" ca="1" si="33"/>
        <v>12.256207551610862</v>
      </c>
      <c r="L158" s="202">
        <f t="shared" ca="1" si="30"/>
        <v>170.64099999999857</v>
      </c>
      <c r="M158" s="202">
        <f t="shared" ca="1" si="34"/>
        <v>4.8515885994579282</v>
      </c>
      <c r="N158" s="202">
        <f t="shared" ca="1" si="37"/>
        <v>4.6710000000020955</v>
      </c>
      <c r="O158" s="202">
        <f ca="1">(DATOSAÑO!AJ158+DATOSAÑO!AK158+DATOSAÑO!AD158)</f>
        <v>186.26500000000578</v>
      </c>
      <c r="P158" s="202">
        <f ca="1">DATOSAÑO!AI158</f>
        <v>35.19999999999709</v>
      </c>
      <c r="Q158" s="202">
        <f ca="1">DATOSAÑO!AH158</f>
        <v>11.799999999999272</v>
      </c>
      <c r="R158" s="202">
        <f ca="1">DATOSAÑO!AM158+DATOSAÑO!AN158+DATOSAÑO!AF158</f>
        <v>170.64099999999857</v>
      </c>
      <c r="S158" s="215">
        <f ca="1">IF(B158&gt;=$P$5,0,CONTADORES!Q152-CONTADORES!Q151)</f>
        <v>13.870000000024447</v>
      </c>
      <c r="T158" s="212">
        <f ca="1">IF(B158&gt;=$P$5,0,(CONTADORES!S152-CONTADORES!S151)+(CONTADORES!AE152-CONTADORES!AE151))</f>
        <v>2.3899999999994179</v>
      </c>
      <c r="U158" s="212">
        <f ca="1">IF(B158&gt;=$P$5,0,(CONTADORES!AQ152-CONTADORES!AQ151))</f>
        <v>4.6710000000020955</v>
      </c>
      <c r="V158" s="212">
        <f ca="1">IF(B158&gt;=$P$5,0,(CONTADORES!AR152-CONTADORES!AR151))</f>
        <v>0</v>
      </c>
      <c r="W158" s="736">
        <v>0</v>
      </c>
      <c r="X158" s="212">
        <f ca="1">IF(W158=0,(T158-INICIO!$W$6),((T158-INICIO!$W$6)+V158))</f>
        <v>2.3899999999994179</v>
      </c>
      <c r="Y158" s="214">
        <f t="shared" ca="1" si="38"/>
        <v>9.1990000000223517</v>
      </c>
      <c r="Z158" s="215">
        <f t="shared" ca="1" si="39"/>
        <v>7.201313525503438</v>
      </c>
      <c r="AA158" s="212">
        <f t="shared" ca="1" si="40"/>
        <v>1.3608903234514922</v>
      </c>
      <c r="AB158" s="212">
        <f t="shared" ca="1" si="41"/>
        <v>0.45620755161158932</v>
      </c>
      <c r="AC158" s="214">
        <f t="shared" ca="1" si="36"/>
        <v>0.1805885994558323</v>
      </c>
    </row>
    <row r="159" spans="2:29">
      <c r="B159" s="220">
        <v>44710</v>
      </c>
      <c r="C159" s="208">
        <f ca="1">DATOSAÑO!I159</f>
        <v>302</v>
      </c>
      <c r="D159" s="202">
        <f ca="1">DATOSAÑO!P159</f>
        <v>148.30000000000291</v>
      </c>
      <c r="E159" s="202">
        <f ca="1">DATOSAÑO!Q159</f>
        <v>0</v>
      </c>
      <c r="F159" s="202">
        <f ca="1">DATOSAÑO!T159</f>
        <v>0</v>
      </c>
      <c r="G159" s="202">
        <f t="shared" ca="1" si="35"/>
        <v>450.30000000000291</v>
      </c>
      <c r="H159" s="202">
        <f t="shared" ca="1" si="29"/>
        <v>33.639000000007456</v>
      </c>
      <c r="I159" s="202">
        <f t="shared" ca="1" si="31"/>
        <v>190.33826807646756</v>
      </c>
      <c r="J159" s="202">
        <f t="shared" ca="1" si="32"/>
        <v>36.808270091713077</v>
      </c>
      <c r="K159" s="202">
        <f t="shared" ca="1" si="33"/>
        <v>11.437598051094461</v>
      </c>
      <c r="L159" s="202">
        <f t="shared" ca="1" si="30"/>
        <v>172.09500000000111</v>
      </c>
      <c r="M159" s="202">
        <f t="shared" ca="1" si="34"/>
        <v>5.9818637807192561</v>
      </c>
      <c r="N159" s="202">
        <f t="shared" ca="1" si="37"/>
        <v>5.7529999999969732</v>
      </c>
      <c r="O159" s="202">
        <f ca="1">(DATOSAÑO!AJ159+DATOSAÑO!AK159+DATOSAÑO!AD159)</f>
        <v>183.05599999999959</v>
      </c>
      <c r="P159" s="202">
        <f ca="1">DATOSAÑO!AI159</f>
        <v>35.400000000008731</v>
      </c>
      <c r="Q159" s="202">
        <f ca="1">DATOSAÑO!AH159</f>
        <v>11</v>
      </c>
      <c r="R159" s="202">
        <f ca="1">DATOSAÑO!AM159+DATOSAÑO!AN159+DATOSAÑO!AF159</f>
        <v>172.09500000000111</v>
      </c>
      <c r="S159" s="215">
        <f ca="1">IF(B159&gt;=$P$5,0,CONTADORES!Q153-CONTADORES!Q152)</f>
        <v>15.10999999998603</v>
      </c>
      <c r="T159" s="212">
        <f ca="1">IF(B159&gt;=$P$5,0,(CONTADORES!S153-CONTADORES!S152)+(CONTADORES!AE153-CONTADORES!AE152))</f>
        <v>2.4599999999991269</v>
      </c>
      <c r="U159" s="212">
        <f ca="1">IF(B159&gt;=$P$5,0,(CONTADORES!AQ153-CONTADORES!AQ152))</f>
        <v>5.7529999999969732</v>
      </c>
      <c r="V159" s="212">
        <f ca="1">IF(B159&gt;=$P$5,0,(CONTADORES!AR153-CONTADORES!AR152))</f>
        <v>0</v>
      </c>
      <c r="W159" s="736">
        <v>0</v>
      </c>
      <c r="X159" s="212">
        <f ca="1">IF(W159=0,(T159-INICIO!$W$6),((T159-INICIO!$W$6)+V159))</f>
        <v>2.4599999999991269</v>
      </c>
      <c r="Y159" s="214">
        <f t="shared" ca="1" si="38"/>
        <v>9.356999999989057</v>
      </c>
      <c r="Z159" s="215">
        <f t="shared" ca="1" si="39"/>
        <v>7.282268076467969</v>
      </c>
      <c r="AA159" s="212">
        <f t="shared" ca="1" si="40"/>
        <v>1.4082700917043431</v>
      </c>
      <c r="AB159" s="212">
        <f t="shared" ca="1" si="41"/>
        <v>0.43759805109446198</v>
      </c>
      <c r="AC159" s="214">
        <f t="shared" ca="1" si="36"/>
        <v>0.22886378072228322</v>
      </c>
    </row>
    <row r="160" spans="2:29">
      <c r="B160" s="220">
        <v>44711</v>
      </c>
      <c r="C160" s="208">
        <f ca="1">DATOSAÑO!I160</f>
        <v>307.30000000004657</v>
      </c>
      <c r="D160" s="202">
        <f ca="1">DATOSAÑO!P160</f>
        <v>151</v>
      </c>
      <c r="E160" s="202">
        <f ca="1">DATOSAÑO!Q160</f>
        <v>0</v>
      </c>
      <c r="F160" s="202">
        <f ca="1">DATOSAÑO!T160</f>
        <v>0</v>
      </c>
      <c r="G160" s="202">
        <f t="shared" ca="1" si="35"/>
        <v>458.30000000004657</v>
      </c>
      <c r="H160" s="202">
        <f t="shared" ca="1" si="29"/>
        <v>36.232200000035618</v>
      </c>
      <c r="I160" s="202">
        <f t="shared" ca="1" si="31"/>
        <v>193.88475929667217</v>
      </c>
      <c r="J160" s="202">
        <f t="shared" ca="1" si="32"/>
        <v>36.991164326308777</v>
      </c>
      <c r="K160" s="202">
        <f t="shared" ca="1" si="33"/>
        <v>11.983053232466222</v>
      </c>
      <c r="L160" s="202">
        <f t="shared" ca="1" si="30"/>
        <v>173.99880000001326</v>
      </c>
      <c r="M160" s="202">
        <f t="shared" ca="1" si="34"/>
        <v>5.2100231445505312</v>
      </c>
      <c r="N160" s="202">
        <f t="shared" ca="1" si="37"/>
        <v>5</v>
      </c>
      <c r="O160" s="202">
        <f ca="1">(DATOSAÑO!AJ160+DATOSAÑO!AK160+DATOSAÑO!AD160)</f>
        <v>186.06899999999769</v>
      </c>
      <c r="P160" s="202">
        <f ca="1">DATOSAÑO!AI160</f>
        <v>35.5</v>
      </c>
      <c r="Q160" s="202">
        <f ca="1">DATOSAÑO!AH160</f>
        <v>11.5</v>
      </c>
      <c r="R160" s="202">
        <f ca="1">DATOSAÑO!AM160+DATOSAÑO!AN160+DATOSAÑO!AF160</f>
        <v>173.99880000001326</v>
      </c>
      <c r="S160" s="215">
        <f ca="1">IF(B160&gt;=$P$5,0,CONTADORES!Q154-CONTADORES!Q153)</f>
        <v>15</v>
      </c>
      <c r="T160" s="212">
        <f ca="1">IF(B160&gt;=$P$5,0,(CONTADORES!S154-CONTADORES!S153)+(CONTADORES!AE154-CONTADORES!AE153))</f>
        <v>2.5</v>
      </c>
      <c r="U160" s="212">
        <f ca="1">IF(B160&gt;=$P$5,0,(CONTADORES!AQ154-CONTADORES!AQ153))</f>
        <v>5</v>
      </c>
      <c r="V160" s="212">
        <f ca="1">IF(B160&gt;=$P$5,0,(CONTADORES!AR154-CONTADORES!AR153))</f>
        <v>0</v>
      </c>
      <c r="W160" s="736">
        <v>0</v>
      </c>
      <c r="X160" s="212">
        <f ca="1">IF(W160=0,(T160-INICIO!$W$6),((T160-INICIO!$W$6)+V160))</f>
        <v>2.5</v>
      </c>
      <c r="Y160" s="214">
        <f t="shared" ca="1" si="38"/>
        <v>10</v>
      </c>
      <c r="Z160" s="215">
        <f t="shared" ca="1" si="39"/>
        <v>7.8157592966744724</v>
      </c>
      <c r="AA160" s="212">
        <f t="shared" ca="1" si="40"/>
        <v>1.4911643263087737</v>
      </c>
      <c r="AB160" s="212">
        <f t="shared" ca="1" si="41"/>
        <v>0.48305323246622245</v>
      </c>
      <c r="AC160" s="214">
        <f t="shared" ca="1" si="36"/>
        <v>0.2100231445505315</v>
      </c>
    </row>
    <row r="161" spans="2:29" ht="15" customHeight="1" thickBot="1">
      <c r="B161" s="1069">
        <v>44712</v>
      </c>
      <c r="C161" s="209">
        <f ca="1">DATOSAÑO!I161</f>
        <v>301.69999999995343</v>
      </c>
      <c r="D161" s="203">
        <f ca="1">DATOSAÑO!P161</f>
        <v>149.09999999999854</v>
      </c>
      <c r="E161" s="203">
        <f ca="1">DATOSAÑO!Q161</f>
        <v>0</v>
      </c>
      <c r="F161" s="203">
        <f ca="1">DATOSAÑO!T161</f>
        <v>0</v>
      </c>
      <c r="G161" s="203">
        <f t="shared" ca="1" si="35"/>
        <v>450.79999999995198</v>
      </c>
      <c r="H161" s="203">
        <f t="shared" ca="1" si="29"/>
        <v>35.585799999955213</v>
      </c>
      <c r="I161" s="203">
        <f t="shared" ca="1" si="31"/>
        <v>191.89329906424365</v>
      </c>
      <c r="J161" s="203">
        <f t="shared" ca="1" si="32"/>
        <v>37.670903445095497</v>
      </c>
      <c r="K161" s="203">
        <f t="shared" ca="1" si="33"/>
        <v>11.519201879910351</v>
      </c>
      <c r="L161" s="203">
        <f t="shared" ca="1" si="30"/>
        <v>167.90419999998818</v>
      </c>
      <c r="M161" s="203">
        <f t="shared" ca="1" si="34"/>
        <v>6.2265956107590874</v>
      </c>
      <c r="N161" s="203">
        <f t="shared" ca="1" si="37"/>
        <v>6</v>
      </c>
      <c r="O161" s="203">
        <f ca="1">(DATOSAÑO!AJ161+DATOSAÑO!AK161+DATOSAÑO!AD161)</f>
        <v>184.90999999999985</v>
      </c>
      <c r="P161" s="203">
        <f ca="1">DATOSAÑO!AI161</f>
        <v>36.30000000000291</v>
      </c>
      <c r="Q161" s="203">
        <f ca="1">DATOSAÑO!AH161</f>
        <v>11.100000000005821</v>
      </c>
      <c r="R161" s="203">
        <f ca="1">DATOSAÑO!AM161+DATOSAÑO!AN161+DATOSAÑO!AF161</f>
        <v>167.90419999998818</v>
      </c>
      <c r="S161" s="209">
        <f ca="1">IF(B161&gt;=$P$5,0,CONTADORES!Q155-CONTADORES!Q154)</f>
        <v>15</v>
      </c>
      <c r="T161" s="203">
        <f ca="1">IF(B161&gt;=$P$5,0,(CONTADORES!S155-CONTADORES!S154)+(CONTADORES!AE155-CONTADORES!AE154))</f>
        <v>2.5</v>
      </c>
      <c r="U161" s="203">
        <f ca="1">IF(B161&gt;=$P$5,0,(CONTADORES!AQ155-CONTADORES!AQ154))</f>
        <v>6</v>
      </c>
      <c r="V161" s="203">
        <f ca="1">IF(B161&gt;=$P$5,0,(CONTADORES!AR155-CONTADORES!AR154))</f>
        <v>0</v>
      </c>
      <c r="W161" s="737">
        <v>0</v>
      </c>
      <c r="X161" s="203">
        <f ca="1">IF(W161=0,(T161-INICIO!$W$6),((T161-INICIO!$W$6)+V161))</f>
        <v>2.5</v>
      </c>
      <c r="Y161" s="207">
        <f t="shared" ca="1" si="38"/>
        <v>9</v>
      </c>
      <c r="Z161" s="206">
        <f t="shared" ca="1" si="39"/>
        <v>6.9832990642437949</v>
      </c>
      <c r="AA161" s="203">
        <f t="shared" ca="1" si="40"/>
        <v>1.370903445092587</v>
      </c>
      <c r="AB161" s="203">
        <f t="shared" ca="1" si="41"/>
        <v>0.41920187990453101</v>
      </c>
      <c r="AC161" s="207">
        <f t="shared" ca="1" si="36"/>
        <v>0.22659561075908713</v>
      </c>
    </row>
    <row r="162" spans="2:29" ht="15" customHeight="1">
      <c r="B162" s="410">
        <v>44713</v>
      </c>
      <c r="C162" s="208">
        <f ca="1">DATOSAÑO!I162</f>
        <v>296</v>
      </c>
      <c r="D162" s="202">
        <f ca="1">DATOSAÑO!P162</f>
        <v>148</v>
      </c>
      <c r="E162" s="202">
        <f ca="1">DATOSAÑO!Q162</f>
        <v>0</v>
      </c>
      <c r="F162" s="202">
        <f ca="1">DATOSAÑO!T162</f>
        <v>0</v>
      </c>
      <c r="G162" s="202">
        <f t="shared" ca="1" si="35"/>
        <v>444</v>
      </c>
      <c r="H162" s="202">
        <f ca="1">G162-SUM(I162:M162)</f>
        <v>34.696999999997445</v>
      </c>
      <c r="I162" s="202">
        <f t="shared" ca="1" si="31"/>
        <v>192.28628930818272</v>
      </c>
      <c r="J162" s="202">
        <f t="shared" ca="1" si="32"/>
        <v>38.269559748424143</v>
      </c>
      <c r="K162" s="202">
        <f t="shared" ca="1" si="33"/>
        <v>13.138867924526615</v>
      </c>
      <c r="L162" s="202">
        <f t="shared" ca="1" si="30"/>
        <v>160.60299999999819</v>
      </c>
      <c r="M162" s="202">
        <f t="shared" ca="1" si="34"/>
        <v>5.0052830188708946</v>
      </c>
      <c r="N162" s="202">
        <f t="shared" ca="1" si="37"/>
        <v>4.8000000000029104</v>
      </c>
      <c r="O162" s="202">
        <f ca="1">(DATOSAÑO!AJ162+DATOSAÑO!AK162+DATOSAÑO!AD162)</f>
        <v>184.40000000000873</v>
      </c>
      <c r="P162" s="202">
        <f ca="1">DATOSAÑO!AI162</f>
        <v>36.69999999999709</v>
      </c>
      <c r="Q162" s="202">
        <f ca="1">DATOSAÑO!AH162</f>
        <v>12.599999999998545</v>
      </c>
      <c r="R162" s="202">
        <f ca="1">DATOSAÑO!AM162+DATOSAÑO!AN162+DATOSAÑO!AF162</f>
        <v>160.60299999999819</v>
      </c>
      <c r="S162" s="208">
        <f ca="1">IF(B162&gt;=$P$5,0,CONTADORES!Q158-CONTADORES!Q157)</f>
        <v>15</v>
      </c>
      <c r="T162" s="202">
        <f ca="1">IF(B162&gt;=$P$5,0,(CONTADORES!S158-CONTADORES!S157)+(CONTADORES!AE158-CONTADORES!AE157))</f>
        <v>2.3999999999941792</v>
      </c>
      <c r="U162" s="202">
        <f ca="1">IF(B162&gt;=$P$5,0,(CONTADORES!AQ158-CONTADORES!AQ157))</f>
        <v>4.8000000000029104</v>
      </c>
      <c r="V162" s="202">
        <f ca="1">IF(B162&gt;=$P$5,0,(CONTADORES!AR158-CONTADORES!AR157))</f>
        <v>0</v>
      </c>
      <c r="W162" s="735">
        <v>0</v>
      </c>
      <c r="X162" s="202">
        <f ca="1">IF(W162=0,(T162-INICIO!$W$6),((T162-INICIO!$W$6)+V162))</f>
        <v>2.3999999999941792</v>
      </c>
      <c r="Y162" s="214">
        <f t="shared" ca="1" si="38"/>
        <v>10.19999999999709</v>
      </c>
      <c r="Z162" s="215">
        <f t="shared" ca="1" si="39"/>
        <v>7.8862893081739838</v>
      </c>
      <c r="AA162" s="212">
        <f t="shared" ca="1" si="40"/>
        <v>1.5695597484270527</v>
      </c>
      <c r="AB162" s="212">
        <f t="shared" ca="1" si="41"/>
        <v>0.53886792452806942</v>
      </c>
      <c r="AC162" s="214">
        <f t="shared" ca="1" si="36"/>
        <v>0.20528301886798417</v>
      </c>
    </row>
    <row r="163" spans="2:29" ht="15" customHeight="1">
      <c r="B163" s="220">
        <v>44714</v>
      </c>
      <c r="C163" s="208">
        <f ca="1">DATOSAÑO!I163</f>
        <v>292</v>
      </c>
      <c r="D163" s="202">
        <f ca="1">DATOSAÑO!P163</f>
        <v>150</v>
      </c>
      <c r="E163" s="202">
        <f ca="1">DATOSAÑO!Q163</f>
        <v>0</v>
      </c>
      <c r="F163" s="202">
        <f ca="1">DATOSAÑO!T163</f>
        <v>0</v>
      </c>
      <c r="G163" s="202">
        <f t="shared" ca="1" si="35"/>
        <v>442</v>
      </c>
      <c r="H163" s="202">
        <f t="shared" ref="H163:H191" ca="1" si="42">G163-SUM(I163:M163)</f>
        <v>32.383000000011236</v>
      </c>
      <c r="I163" s="202">
        <f t="shared" ca="1" si="31"/>
        <v>196.14721873693412</v>
      </c>
      <c r="J163" s="202">
        <f t="shared" ca="1" si="32"/>
        <v>37.044249268080328</v>
      </c>
      <c r="K163" s="202">
        <f t="shared" ca="1" si="33"/>
        <v>10.09351735675167</v>
      </c>
      <c r="L163" s="202">
        <f t="shared" ca="1" si="30"/>
        <v>160.81700000000038</v>
      </c>
      <c r="M163" s="202">
        <f t="shared" ca="1" si="34"/>
        <v>5.5150146382222518</v>
      </c>
      <c r="N163" s="202">
        <f t="shared" ca="1" si="37"/>
        <v>5.2999999999956344</v>
      </c>
      <c r="O163" s="202">
        <f ca="1">(DATOSAÑO!AJ163+DATOSAÑO!AK163+DATOSAÑO!AD163)</f>
        <v>188.5</v>
      </c>
      <c r="P163" s="202">
        <f ca="1">DATOSAÑO!AI163</f>
        <v>35.599999999991269</v>
      </c>
      <c r="Q163" s="202">
        <f ca="1">DATOSAÑO!AH163</f>
        <v>9.6999999999970896</v>
      </c>
      <c r="R163" s="202">
        <f ca="1">DATOSAÑO!AM163+DATOSAÑO!AN163+DATOSAÑO!AF163</f>
        <v>160.81700000000038</v>
      </c>
      <c r="S163" s="215">
        <f ca="1">IF(B163&gt;=$P$5,0,CONTADORES!Q159-CONTADORES!Q158)</f>
        <v>15</v>
      </c>
      <c r="T163" s="212">
        <f ca="1">IF(B163&gt;=$P$5,0,(CONTADORES!S159-CONTADORES!S158)+(CONTADORES!AE159-CONTADORES!AE158))</f>
        <v>2.3700000000008004</v>
      </c>
      <c r="U163" s="212">
        <f ca="1">IF(B163&gt;=$P$5,0,(CONTADORES!AQ159-CONTADORES!AQ158))</f>
        <v>5.2999999999956344</v>
      </c>
      <c r="V163" s="212">
        <f ca="1">IF(B163&gt;=$P$5,0,(CONTADORES!AR159-CONTADORES!AR158))</f>
        <v>0</v>
      </c>
      <c r="W163" s="736">
        <v>0</v>
      </c>
      <c r="X163" s="212">
        <f ca="1">IF(W163=0,(T163-INICIO!$W$6),((T163-INICIO!$W$6)+V163))</f>
        <v>2.3700000000008004</v>
      </c>
      <c r="Y163" s="214">
        <f t="shared" ca="1" si="38"/>
        <v>9.7000000000043656</v>
      </c>
      <c r="Z163" s="215">
        <f t="shared" ca="1" si="39"/>
        <v>7.647218736934108</v>
      </c>
      <c r="AA163" s="212">
        <f t="shared" ca="1" si="40"/>
        <v>1.4442492680890582</v>
      </c>
      <c r="AB163" s="212">
        <f t="shared" ca="1" si="41"/>
        <v>0.39351735675458138</v>
      </c>
      <c r="AC163" s="214">
        <f t="shared" ca="1" si="36"/>
        <v>0.21501463822661745</v>
      </c>
    </row>
    <row r="164" spans="2:29">
      <c r="B164" s="220">
        <v>44715</v>
      </c>
      <c r="C164" s="208">
        <f ca="1">DATOSAÑO!I164</f>
        <v>290</v>
      </c>
      <c r="D164" s="202">
        <f ca="1">DATOSAÑO!P164</f>
        <v>148</v>
      </c>
      <c r="E164" s="202">
        <f ca="1">DATOSAÑO!Q164</f>
        <v>0</v>
      </c>
      <c r="F164" s="202">
        <f ca="1">DATOSAÑO!T164</f>
        <v>0</v>
      </c>
      <c r="G164" s="202">
        <f t="shared" ca="1" si="35"/>
        <v>438</v>
      </c>
      <c r="H164" s="202">
        <f t="shared" ca="1" si="42"/>
        <v>34.991999999992686</v>
      </c>
      <c r="I164" s="202">
        <f t="shared" ca="1" si="31"/>
        <v>190.29293059125993</v>
      </c>
      <c r="J164" s="202">
        <f t="shared" ca="1" si="32"/>
        <v>36.454584404456504</v>
      </c>
      <c r="K164" s="202">
        <f t="shared" ca="1" si="33"/>
        <v>10.207283633252747</v>
      </c>
      <c r="L164" s="202">
        <f t="shared" ca="1" si="30"/>
        <v>159.90799999999965</v>
      </c>
      <c r="M164" s="202">
        <f t="shared" ca="1" si="34"/>
        <v>6.1452013710384694</v>
      </c>
      <c r="N164" s="202">
        <f t="shared" ca="1" si="37"/>
        <v>5.9000000000014552</v>
      </c>
      <c r="O164" s="202">
        <f ca="1">(DATOSAÑO!AJ164+DATOSAÑO!AK164+DATOSAÑO!AD164)</f>
        <v>182.69999999999709</v>
      </c>
      <c r="P164" s="202">
        <f ca="1">DATOSAÑO!AI164</f>
        <v>35</v>
      </c>
      <c r="Q164" s="202">
        <f ca="1">DATOSAÑO!AH164</f>
        <v>9.8000000000047294</v>
      </c>
      <c r="R164" s="202">
        <f ca="1">DATOSAÑO!AM164+DATOSAÑO!AN164+DATOSAÑO!AF164</f>
        <v>159.90799999999965</v>
      </c>
      <c r="S164" s="215">
        <f ca="1">IF(B164&gt;=$P$5,0,CONTADORES!Q160-CONTADORES!Q159)</f>
        <v>15.600000000005821</v>
      </c>
      <c r="T164" s="212">
        <f ca="1">IF(B164&gt;=$P$5,0,(CONTADORES!S160-CONTADORES!S159)+(CONTADORES!AE160-CONTADORES!AE159))</f>
        <v>4.1000000000003638</v>
      </c>
      <c r="U164" s="212">
        <f ca="1">IF(B164&gt;=$P$5,0,(CONTADORES!AQ160-CONTADORES!AQ159))</f>
        <v>5.9000000000014552</v>
      </c>
      <c r="V164" s="212">
        <f ca="1">IF(B164&gt;=$P$5,0,(CONTADORES!AR160-CONTADORES!AR159))</f>
        <v>0</v>
      </c>
      <c r="W164" s="736">
        <v>0</v>
      </c>
      <c r="X164" s="212">
        <f ca="1">IF(W164=0,(T164-INICIO!$W$6),((T164-INICIO!$W$6)+V164))</f>
        <v>4.1000000000003638</v>
      </c>
      <c r="Y164" s="214">
        <f t="shared" ca="1" si="38"/>
        <v>9.7000000000043656</v>
      </c>
      <c r="Z164" s="215">
        <f t="shared" ca="1" si="39"/>
        <v>7.5929305912628298</v>
      </c>
      <c r="AA164" s="212">
        <f t="shared" ca="1" si="40"/>
        <v>1.4545844044565039</v>
      </c>
      <c r="AB164" s="212">
        <f t="shared" ca="1" si="41"/>
        <v>0.4072836332480177</v>
      </c>
      <c r="AC164" s="214">
        <f t="shared" ca="1" si="36"/>
        <v>0.245201371037014</v>
      </c>
    </row>
    <row r="165" spans="2:29">
      <c r="B165" s="220">
        <v>44716</v>
      </c>
      <c r="C165" s="208">
        <f ca="1">DATOSAÑO!I165</f>
        <v>298</v>
      </c>
      <c r="D165" s="202">
        <f ca="1">DATOSAÑO!P165</f>
        <v>150</v>
      </c>
      <c r="E165" s="202">
        <f ca="1">DATOSAÑO!Q165</f>
        <v>0</v>
      </c>
      <c r="F165" s="202">
        <f ca="1">DATOSAÑO!T165</f>
        <v>0</v>
      </c>
      <c r="G165" s="202">
        <f t="shared" ca="1" si="35"/>
        <v>448</v>
      </c>
      <c r="H165" s="202">
        <f t="shared" ca="1" si="42"/>
        <v>32.724000000011642</v>
      </c>
      <c r="I165" s="202">
        <f t="shared" ca="1" si="31"/>
        <v>192.08980623419347</v>
      </c>
      <c r="J165" s="202">
        <f t="shared" ca="1" si="32"/>
        <v>38.855475989892639</v>
      </c>
      <c r="K165" s="202">
        <f t="shared" ca="1" si="33"/>
        <v>11.146208930072538</v>
      </c>
      <c r="L165" s="202">
        <f t="shared" ca="1" si="30"/>
        <v>167.976</v>
      </c>
      <c r="M165" s="202">
        <f t="shared" ca="1" si="34"/>
        <v>5.208508845829706</v>
      </c>
      <c r="N165" s="202">
        <f t="shared" ca="1" si="37"/>
        <v>5</v>
      </c>
      <c r="O165" s="202">
        <f ca="1">(DATOSAÑO!AJ165+DATOSAÑO!AK165+DATOSAÑO!AD165)</f>
        <v>184.39999999999418</v>
      </c>
      <c r="P165" s="202">
        <f ca="1">DATOSAÑO!AI165</f>
        <v>37.30000000000291</v>
      </c>
      <c r="Q165" s="202">
        <f ca="1">DATOSAÑO!AH165</f>
        <v>10.69999999999709</v>
      </c>
      <c r="R165" s="202">
        <f ca="1">DATOSAÑO!AM165+DATOSAÑO!AN165+DATOSAÑO!AF165</f>
        <v>167.976</v>
      </c>
      <c r="S165" s="215">
        <f ca="1">IF(B165&gt;=$P$5,0,CONTADORES!Q161-CONTADORES!Q160)</f>
        <v>14.899999999994179</v>
      </c>
      <c r="T165" s="212">
        <f ca="1">IF(B165&gt;=$P$5,0,(CONTADORES!S161-CONTADORES!S160)+(CONTADORES!AE161-CONTADORES!AE160))</f>
        <v>4.1000000000003638</v>
      </c>
      <c r="U165" s="212">
        <f ca="1">IF(B165&gt;=$P$5,0,(CONTADORES!AQ161-CONTADORES!AQ160))</f>
        <v>5</v>
      </c>
      <c r="V165" s="212">
        <f ca="1">IF(B165&gt;=$P$5,0,(CONTADORES!AR161-CONTADORES!AR160))</f>
        <v>0</v>
      </c>
      <c r="W165" s="736">
        <v>0</v>
      </c>
      <c r="X165" s="212">
        <f ca="1">IF(W165=0,(T165-INICIO!$W$6),((T165-INICIO!$W$6)+V165))</f>
        <v>4.1000000000003638</v>
      </c>
      <c r="Y165" s="214">
        <f t="shared" ca="1" si="38"/>
        <v>9.8999999999941792</v>
      </c>
      <c r="Z165" s="215">
        <f t="shared" ca="1" si="39"/>
        <v>7.6898062341992999</v>
      </c>
      <c r="AA165" s="212">
        <f t="shared" ca="1" si="40"/>
        <v>1.5554759898897252</v>
      </c>
      <c r="AB165" s="212">
        <f t="shared" ca="1" si="41"/>
        <v>0.4462089300754486</v>
      </c>
      <c r="AC165" s="214">
        <f t="shared" ca="1" si="36"/>
        <v>0.20850884582970561</v>
      </c>
    </row>
    <row r="166" spans="2:29">
      <c r="B166" s="220">
        <v>44717</v>
      </c>
      <c r="C166" s="208">
        <f ca="1">DATOSAÑO!I166</f>
        <v>279</v>
      </c>
      <c r="D166" s="202">
        <f ca="1">DATOSAÑO!P166</f>
        <v>146</v>
      </c>
      <c r="E166" s="202">
        <f ca="1">DATOSAÑO!Q166</f>
        <v>0.25900000000001455</v>
      </c>
      <c r="F166" s="202">
        <f ca="1">DATOSAÑO!T166</f>
        <v>0.375</v>
      </c>
      <c r="G166" s="202">
        <f t="shared" ca="1" si="35"/>
        <v>425.63400000000001</v>
      </c>
      <c r="H166" s="202">
        <f t="shared" ca="1" si="42"/>
        <v>140447.50400000002</v>
      </c>
      <c r="I166" s="202">
        <f t="shared" ca="1" si="31"/>
        <v>376.86778174022459</v>
      </c>
      <c r="J166" s="202">
        <f t="shared" ca="1" si="32"/>
        <v>82.958316735272319</v>
      </c>
      <c r="K166" s="202">
        <f t="shared" ca="1" si="33"/>
        <v>1.7238091789210208</v>
      </c>
      <c r="L166" s="202">
        <f t="shared" ca="1" si="30"/>
        <v>162.17099999999965</v>
      </c>
      <c r="M166" s="202">
        <f t="shared" ca="1" si="34"/>
        <v>-140645.59090765443</v>
      </c>
      <c r="N166" s="202">
        <f t="shared" ca="1" si="37"/>
        <v>-65272</v>
      </c>
      <c r="O166" s="202">
        <f ca="1">(DATOSAÑO!AJ166+DATOSAÑO!AK166+DATOSAÑO!AD166)</f>
        <v>174.89999999999418</v>
      </c>
      <c r="P166" s="202">
        <f ca="1">DATOSAÑO!AI166</f>
        <v>38.5</v>
      </c>
      <c r="Q166" s="202">
        <f ca="1">DATOSAÑO!AH166</f>
        <v>0.80000000000291038</v>
      </c>
      <c r="R166" s="202">
        <f ca="1">DATOSAÑO!AM166+DATOSAÑO!AN166+DATOSAÑO!AF166</f>
        <v>162.17099999999965</v>
      </c>
      <c r="S166" s="215">
        <f ca="1">IF(B166&gt;=$P$5,0,CONTADORES!Q162-CONTADORES!Q161)</f>
        <v>-140398.5</v>
      </c>
      <c r="T166" s="212">
        <f ca="1">IF(B166&gt;=$P$5,0,(CONTADORES!S162-CONTADORES!S161)+(CONTADORES!AE162-CONTADORES!AE161))</f>
        <v>-49666.399999999994</v>
      </c>
      <c r="U166" s="212">
        <f ca="1">IF(B166&gt;=$P$5,0,(CONTADORES!AQ162-CONTADORES!AQ161))</f>
        <v>-65272</v>
      </c>
      <c r="V166" s="212">
        <f ca="1">IF(B166&gt;=$P$5,0,(CONTADORES!AR162-CONTADORES!AR161))</f>
        <v>0</v>
      </c>
      <c r="W166" s="736">
        <v>0</v>
      </c>
      <c r="X166" s="212">
        <f ca="1">IF(W166=0,(T166-INICIO!$W$6),((T166-INICIO!$W$6)+V166))</f>
        <v>-49666.399999999994</v>
      </c>
      <c r="Y166" s="214">
        <f t="shared" ca="1" si="38"/>
        <v>-75126.240999999995</v>
      </c>
      <c r="Z166" s="215">
        <f t="shared" ca="1" si="39"/>
        <v>201.96778174023041</v>
      </c>
      <c r="AA166" s="212">
        <f t="shared" ca="1" si="40"/>
        <v>44.458316735272327</v>
      </c>
      <c r="AB166" s="212">
        <f t="shared" ca="1" si="41"/>
        <v>0.92380917891811032</v>
      </c>
      <c r="AC166" s="214">
        <f t="shared" ca="1" si="36"/>
        <v>-75373.590907654419</v>
      </c>
    </row>
    <row r="167" spans="2:29">
      <c r="B167" s="220">
        <v>44718</v>
      </c>
      <c r="C167" s="208">
        <f ca="1">DATOSAÑO!I167</f>
        <v>311.35999999998603</v>
      </c>
      <c r="D167" s="202">
        <f ca="1">DATOSAÑO!P167</f>
        <v>153.44700000000012</v>
      </c>
      <c r="E167" s="202">
        <f ca="1">DATOSAÑO!Q167</f>
        <v>0</v>
      </c>
      <c r="F167" s="202">
        <f ca="1">DATOSAÑO!T167</f>
        <v>0</v>
      </c>
      <c r="G167" s="202">
        <f t="shared" ca="1" si="35"/>
        <v>464.80699999998615</v>
      </c>
      <c r="H167" s="202">
        <f t="shared" ca="1" si="42"/>
        <v>-140346.51500000001</v>
      </c>
      <c r="I167" s="202">
        <f t="shared" ca="1" si="31"/>
        <v>395.08279765074019</v>
      </c>
      <c r="J167" s="202">
        <f t="shared" ca="1" si="32"/>
        <v>84.731134662443935</v>
      </c>
      <c r="K167" s="202">
        <f t="shared" ca="1" si="33"/>
        <v>39.929037363093165</v>
      </c>
      <c r="L167" s="202">
        <f t="shared" ca="1" si="30"/>
        <v>170.71199999998851</v>
      </c>
      <c r="M167" s="202">
        <f t="shared" ca="1" si="34"/>
        <v>140120.86703032372</v>
      </c>
      <c r="N167" s="202">
        <f t="shared" ca="1" si="37"/>
        <v>65272</v>
      </c>
      <c r="O167" s="202">
        <f ca="1">(DATOSAÑO!AJ167+DATOSAÑO!AK167+DATOSAÑO!AD167)</f>
        <v>184.03999999998814</v>
      </c>
      <c r="P167" s="202">
        <f ca="1">DATOSAÑO!AI167</f>
        <v>39.470000000001164</v>
      </c>
      <c r="Q167" s="202">
        <f ca="1">DATOSAÑO!AH167</f>
        <v>18.599999999998545</v>
      </c>
      <c r="R167" s="202">
        <f ca="1">DATOSAÑO!AM167+DATOSAÑO!AN167+DATOSAÑO!AF167</f>
        <v>170.71199999998851</v>
      </c>
      <c r="S167" s="215">
        <f ca="1">IF(B167&gt;=$P$5,0,CONTADORES!Q163-CONTADORES!Q162)</f>
        <v>140398.5</v>
      </c>
      <c r="T167" s="212">
        <f ca="1">IF(B167&gt;=$P$5,0,(CONTADORES!S163-CONTADORES!S162)+(CONTADORES!AE163-CONTADORES!AE162))</f>
        <v>14062.2</v>
      </c>
      <c r="U167" s="212">
        <f ca="1">IF(B167&gt;=$P$5,0,(CONTADORES!AQ163-CONTADORES!AQ162))</f>
        <v>65272</v>
      </c>
      <c r="V167" s="212">
        <f ca="1">IF(B167&gt;=$P$5,0,(CONTADORES!AR163-CONTADORES!AR162))</f>
        <v>0</v>
      </c>
      <c r="W167" s="736">
        <v>0</v>
      </c>
      <c r="X167" s="212">
        <f ca="1">IF(W167=0,(T167-INICIO!$W$6),((T167-INICIO!$W$6)+V167))</f>
        <v>14062.2</v>
      </c>
      <c r="Y167" s="214">
        <f t="shared" ca="1" si="38"/>
        <v>75126.5</v>
      </c>
      <c r="Z167" s="215">
        <f t="shared" ca="1" si="39"/>
        <v>211.04279765075205</v>
      </c>
      <c r="AA167" s="212">
        <f t="shared" ca="1" si="40"/>
        <v>45.261134662442764</v>
      </c>
      <c r="AB167" s="212">
        <f t="shared" ca="1" si="41"/>
        <v>21.329037363094621</v>
      </c>
      <c r="AC167" s="214">
        <f t="shared" ca="1" si="36"/>
        <v>74848.867030323716</v>
      </c>
    </row>
    <row r="168" spans="2:29">
      <c r="B168" s="220">
        <v>44719</v>
      </c>
      <c r="C168" s="208">
        <f ca="1">DATOSAÑO!I168</f>
        <v>293.0899999999674</v>
      </c>
      <c r="D168" s="202">
        <f ca="1">DATOSAÑO!P168</f>
        <v>147.15299999999843</v>
      </c>
      <c r="E168" s="202">
        <f ca="1">DATOSAÑO!Q168</f>
        <v>0</v>
      </c>
      <c r="F168" s="202">
        <f ca="1">DATOSAÑO!T168</f>
        <v>0</v>
      </c>
      <c r="G168" s="202">
        <f t="shared" ca="1" si="35"/>
        <v>440.24299999996583</v>
      </c>
      <c r="H168" s="202">
        <f t="shared" ca="1" si="42"/>
        <v>34.616999999930101</v>
      </c>
      <c r="I168" s="202">
        <f t="shared" ca="1" si="31"/>
        <v>184.87566890876431</v>
      </c>
      <c r="J168" s="202">
        <f t="shared" ca="1" si="32"/>
        <v>38.765575998313778</v>
      </c>
      <c r="K168" s="202">
        <f t="shared" ca="1" si="33"/>
        <v>12.146685569903612</v>
      </c>
      <c r="L168" s="202">
        <f t="shared" ca="1" si="30"/>
        <v>163.60900000002496</v>
      </c>
      <c r="M168" s="202">
        <f t="shared" ca="1" si="34"/>
        <v>6.2290695230290423</v>
      </c>
      <c r="N168" s="202">
        <f t="shared" ca="1" si="37"/>
        <v>6</v>
      </c>
      <c r="O168" s="202">
        <f ca="1">(DATOSAÑO!AJ168+DATOSAÑO!AK168+DATOSAÑO!AD168)</f>
        <v>178.07700000002296</v>
      </c>
      <c r="P168" s="202">
        <f ca="1">DATOSAÑO!AI168</f>
        <v>37.339999999996508</v>
      </c>
      <c r="Q168" s="202">
        <f ca="1">DATOSAÑO!AH168</f>
        <v>11.69999999999709</v>
      </c>
      <c r="R168" s="202">
        <f ca="1">DATOSAÑO!AM168+DATOSAÑO!AN168+DATOSAÑO!AF168</f>
        <v>163.60900000002496</v>
      </c>
      <c r="S168" s="215">
        <f ca="1">IF(B168&gt;=$P$5,0,CONTADORES!Q164-CONTADORES!Q163)</f>
        <v>14.899999999994179</v>
      </c>
      <c r="T168" s="212">
        <f ca="1">IF(B168&gt;=$P$5,0,(CONTADORES!S164-CONTADORES!S163)+(CONTADORES!AE164-CONTADORES!AE163))</f>
        <v>3.3299999999996359</v>
      </c>
      <c r="U168" s="212">
        <f ca="1">IF(B168&gt;=$P$5,0,(CONTADORES!AQ164-CONTADORES!AQ163))</f>
        <v>6</v>
      </c>
      <c r="V168" s="212">
        <f ca="1">IF(B168&gt;=$P$5,0,(CONTADORES!AR164-CONTADORES!AR163))</f>
        <v>0</v>
      </c>
      <c r="W168" s="736">
        <v>0</v>
      </c>
      <c r="X168" s="212">
        <f ca="1">IF(W168=0,(T168-INICIO!$W$6),((T168-INICIO!$W$6)+V168))</f>
        <v>3.3299999999996359</v>
      </c>
      <c r="Y168" s="214">
        <f t="shared" ca="1" si="38"/>
        <v>8.8999999999941792</v>
      </c>
      <c r="Z168" s="215">
        <f t="shared" ca="1" si="39"/>
        <v>6.798668908741341</v>
      </c>
      <c r="AA168" s="212">
        <f t="shared" ca="1" si="40"/>
        <v>1.425575998317274</v>
      </c>
      <c r="AB168" s="212">
        <f t="shared" ca="1" si="41"/>
        <v>0.44668556990652158</v>
      </c>
      <c r="AC168" s="214">
        <f t="shared" ca="1" si="36"/>
        <v>0.22906952302904243</v>
      </c>
    </row>
    <row r="169" spans="2:29">
      <c r="B169" s="220">
        <v>44720</v>
      </c>
      <c r="C169" s="208">
        <f ca="1">DATOSAÑO!I169</f>
        <v>282.60000000009313</v>
      </c>
      <c r="D169" s="202">
        <f ca="1">DATOSAÑO!P169</f>
        <v>146.57400000000052</v>
      </c>
      <c r="E169" s="202">
        <f ca="1">DATOSAÑO!Q169</f>
        <v>0</v>
      </c>
      <c r="F169" s="202">
        <f ca="1">DATOSAÑO!T169</f>
        <v>0</v>
      </c>
      <c r="G169" s="202">
        <f t="shared" ca="1" si="35"/>
        <v>429.17400000009366</v>
      </c>
      <c r="H169" s="202">
        <f t="shared" ca="1" si="42"/>
        <v>33.487000000060505</v>
      </c>
      <c r="I169" s="202">
        <f t="shared" ca="1" si="31"/>
        <v>179.3681163354201</v>
      </c>
      <c r="J169" s="202">
        <f t="shared" ca="1" si="32"/>
        <v>40.856748933535172</v>
      </c>
      <c r="K169" s="202">
        <f t="shared" ca="1" si="33"/>
        <v>7.0928234043444078</v>
      </c>
      <c r="L169" s="202">
        <f t="shared" ca="1" si="30"/>
        <v>163.15400000001188</v>
      </c>
      <c r="M169" s="202">
        <f t="shared" ca="1" si="34"/>
        <v>5.2153113267215971</v>
      </c>
      <c r="N169" s="202">
        <f t="shared" ca="1" si="37"/>
        <v>5</v>
      </c>
      <c r="O169" s="202">
        <f ca="1">(DATOSAÑO!AJ169+DATOSAÑO!AK169+DATOSAÑO!AD169)</f>
        <v>171.96300000001429</v>
      </c>
      <c r="P169" s="202">
        <f ca="1">DATOSAÑO!AI169</f>
        <v>39.169999999998254</v>
      </c>
      <c r="Q169" s="202">
        <f ca="1">DATOSAÑO!AH169</f>
        <v>6.8000000000029104</v>
      </c>
      <c r="R169" s="202">
        <f ca="1">DATOSAÑO!AM169+DATOSAÑO!AN169+DATOSAÑO!AF169</f>
        <v>163.15400000001188</v>
      </c>
      <c r="S169" s="215">
        <f ca="1">IF(B169&gt;=$P$5,0,CONTADORES!Q165-CONTADORES!Q164)</f>
        <v>14.600000000005821</v>
      </c>
      <c r="T169" s="212">
        <f ca="1">IF(B169&gt;=$P$5,0,(CONTADORES!S165-CONTADORES!S164)+(CONTADORES!AE165-CONTADORES!AE164))</f>
        <v>3.2700000000000005</v>
      </c>
      <c r="U169" s="212">
        <f ca="1">IF(B169&gt;=$P$5,0,(CONTADORES!AQ165-CONTADORES!AQ164))</f>
        <v>5</v>
      </c>
      <c r="V169" s="212">
        <f ca="1">IF(B169&gt;=$P$5,0,(CONTADORES!AR165-CONTADORES!AR164))</f>
        <v>0</v>
      </c>
      <c r="W169" s="736">
        <v>0</v>
      </c>
      <c r="X169" s="212">
        <f ca="1">IF(W169=0,(T169-INICIO!$W$6),((T169-INICIO!$W$6)+V169))</f>
        <v>3.2700000000000005</v>
      </c>
      <c r="Y169" s="214">
        <f t="shared" ca="1" si="38"/>
        <v>9.6000000000058208</v>
      </c>
      <c r="Z169" s="215">
        <f t="shared" ca="1" si="39"/>
        <v>7.4051163354058112</v>
      </c>
      <c r="AA169" s="212">
        <f t="shared" ca="1" si="40"/>
        <v>1.6867489335369152</v>
      </c>
      <c r="AB169" s="212">
        <f t="shared" ca="1" si="41"/>
        <v>0.29282340434149717</v>
      </c>
      <c r="AC169" s="214">
        <f t="shared" ca="1" si="36"/>
        <v>0.21531132672159697</v>
      </c>
    </row>
    <row r="170" spans="2:29">
      <c r="B170" s="220">
        <v>44721</v>
      </c>
      <c r="C170" s="208">
        <f ca="1">DATOSAÑO!I170</f>
        <v>285.46899999992456</v>
      </c>
      <c r="D170" s="202">
        <f ca="1">DATOSAÑO!P170</f>
        <v>153.79299999999785</v>
      </c>
      <c r="E170" s="202">
        <f ca="1">DATOSAÑO!Q170</f>
        <v>0</v>
      </c>
      <c r="F170" s="202">
        <f ca="1">DATOSAÑO!T170</f>
        <v>0</v>
      </c>
      <c r="G170" s="202">
        <f t="shared" ca="1" si="35"/>
        <v>439.26199999992241</v>
      </c>
      <c r="H170" s="202">
        <f t="shared" ca="1" si="42"/>
        <v>34.750799999956484</v>
      </c>
      <c r="I170" s="202">
        <f t="shared" ca="1" si="31"/>
        <v>196.44659841395094</v>
      </c>
      <c r="J170" s="202">
        <f t="shared" ca="1" si="32"/>
        <v>41.861909117614765</v>
      </c>
      <c r="K170" s="202">
        <f t="shared" ca="1" si="33"/>
        <v>4.9096013930256932</v>
      </c>
      <c r="L170" s="202">
        <f t="shared" ca="1" si="30"/>
        <v>156.08119999997479</v>
      </c>
      <c r="M170" s="202">
        <f t="shared" ca="1" si="34"/>
        <v>5.2118910753997909</v>
      </c>
      <c r="N170" s="202">
        <f t="shared" ca="1" si="37"/>
        <v>5</v>
      </c>
      <c r="O170" s="202">
        <f ca="1">(DATOSAÑO!AJ170+DATOSAÑO!AK170+DATOSAÑO!AD170)</f>
        <v>188.45999999998276</v>
      </c>
      <c r="P170" s="202">
        <f ca="1">DATOSAÑO!AI170</f>
        <v>40.160000000003492</v>
      </c>
      <c r="Q170" s="202">
        <f ca="1">DATOSAÑO!AH170</f>
        <v>4.7099999999991269</v>
      </c>
      <c r="R170" s="202">
        <f ca="1">DATOSAÑO!AM170+DATOSAÑO!AN170+DATOSAÑO!AF170</f>
        <v>156.08119999997479</v>
      </c>
      <c r="S170" s="215">
        <f ca="1">IF(B170&gt;=$P$5,0,CONTADORES!Q166-CONTADORES!Q165)</f>
        <v>15.100000000005821</v>
      </c>
      <c r="T170" s="212">
        <f ca="1">IF(B170&gt;=$P$5,0,(CONTADORES!S166-CONTADORES!S165)+(CONTADORES!AE166-CONTADORES!AE165))</f>
        <v>2.9999999999999991</v>
      </c>
      <c r="U170" s="212">
        <f ca="1">IF(B170&gt;=$P$5,0,(CONTADORES!AQ166-CONTADORES!AQ165))</f>
        <v>5</v>
      </c>
      <c r="V170" s="212">
        <f ca="1">IF(B170&gt;=$P$5,0,(CONTADORES!AR166-CONTADORES!AR165))</f>
        <v>0</v>
      </c>
      <c r="W170" s="736">
        <v>0</v>
      </c>
      <c r="X170" s="212">
        <f ca="1">IF(W170=0,(T170-INICIO!$W$6),((T170-INICIO!$W$6)+V170))</f>
        <v>2.9999999999999991</v>
      </c>
      <c r="Y170" s="214">
        <f t="shared" ca="1" si="38"/>
        <v>10.100000000005821</v>
      </c>
      <c r="Z170" s="215">
        <f t="shared" ca="1" si="39"/>
        <v>7.9865984139681938</v>
      </c>
      <c r="AA170" s="212">
        <f t="shared" ca="1" si="40"/>
        <v>1.7019091176112697</v>
      </c>
      <c r="AB170" s="212">
        <f t="shared" ca="1" si="41"/>
        <v>0.19960139302656618</v>
      </c>
      <c r="AC170" s="214">
        <f t="shared" ca="1" si="36"/>
        <v>0.21189107539979105</v>
      </c>
    </row>
    <row r="171" spans="2:29">
      <c r="B171" s="220">
        <v>44722</v>
      </c>
      <c r="C171" s="208">
        <f ca="1">DATOSAÑO!I171</f>
        <v>279.38100000005215</v>
      </c>
      <c r="D171" s="202">
        <f ca="1">DATOSAÑO!P171</f>
        <v>149.6730000000025</v>
      </c>
      <c r="E171" s="202">
        <f ca="1">DATOSAÑO!Q171</f>
        <v>0</v>
      </c>
      <c r="F171" s="202">
        <f ca="1">DATOSAÑO!T171</f>
        <v>0</v>
      </c>
      <c r="G171" s="202">
        <f t="shared" ca="1" si="35"/>
        <v>429.05400000005466</v>
      </c>
      <c r="H171" s="202">
        <f t="shared" ca="1" si="42"/>
        <v>31.592000000048586</v>
      </c>
      <c r="I171" s="202">
        <f t="shared" ca="1" si="31"/>
        <v>194.55043383494998</v>
      </c>
      <c r="J171" s="202">
        <f t="shared" ca="1" si="32"/>
        <v>37.516727166032645</v>
      </c>
      <c r="K171" s="202">
        <f t="shared" ca="1" si="33"/>
        <v>10.803736010394635</v>
      </c>
      <c r="L171" s="202">
        <f t="shared" ca="1" si="30"/>
        <v>149.39199999998823</v>
      </c>
      <c r="M171" s="202">
        <f t="shared" ca="1" si="34"/>
        <v>5.1991029886406359</v>
      </c>
      <c r="N171" s="202">
        <f t="shared" ca="1" si="37"/>
        <v>5</v>
      </c>
      <c r="O171" s="202">
        <f ca="1">(DATOSAÑO!AJ171+DATOSAÑO!AK171+DATOSAÑO!AD171)</f>
        <v>187.10000000001673</v>
      </c>
      <c r="P171" s="202">
        <f ca="1">DATOSAÑO!AI171</f>
        <v>36.080000000001746</v>
      </c>
      <c r="Q171" s="202">
        <f ca="1">DATOSAÑO!AH171</f>
        <v>10.389999999999418</v>
      </c>
      <c r="R171" s="202">
        <f ca="1">DATOSAÑO!AM171+DATOSAÑO!AN171+DATOSAÑO!AF171</f>
        <v>149.39199999998823</v>
      </c>
      <c r="S171" s="215">
        <f ca="1">IF(B171&gt;=$P$5,0,CONTADORES!Q167-CONTADORES!Q166)</f>
        <v>14.5</v>
      </c>
      <c r="T171" s="212">
        <f ca="1">IF(B171&gt;=$P$5,0,(CONTADORES!S167-CONTADORES!S166)+(CONTADORES!AE167-CONTADORES!AE166))</f>
        <v>3.3000000000000007</v>
      </c>
      <c r="U171" s="212">
        <f ca="1">IF(B171&gt;=$P$5,0,(CONTADORES!AQ167-CONTADORES!AQ166))</f>
        <v>5</v>
      </c>
      <c r="V171" s="212">
        <f ca="1">IF(B171&gt;=$P$5,0,(CONTADORES!AR167-CONTADORES!AR166))</f>
        <v>0</v>
      </c>
      <c r="W171" s="736">
        <v>0</v>
      </c>
      <c r="X171" s="212">
        <f ca="1">IF(W171=0,(T171-INICIO!$W$6),((T171-INICIO!$W$6)+V171))</f>
        <v>3.3000000000000007</v>
      </c>
      <c r="Y171" s="214">
        <f t="shared" ca="1" si="38"/>
        <v>9.5</v>
      </c>
      <c r="Z171" s="215">
        <f t="shared" ca="1" si="39"/>
        <v>7.4504338349332508</v>
      </c>
      <c r="AA171" s="212">
        <f t="shared" ca="1" si="40"/>
        <v>1.436727166030896</v>
      </c>
      <c r="AB171" s="212">
        <f t="shared" ca="1" si="41"/>
        <v>0.41373601039521762</v>
      </c>
      <c r="AC171" s="214">
        <f t="shared" ca="1" si="36"/>
        <v>0.19910298864063561</v>
      </c>
    </row>
    <row r="172" spans="2:29">
      <c r="B172" s="220">
        <v>44723</v>
      </c>
      <c r="C172" s="208">
        <f ca="1">DATOSAÑO!I172</f>
        <v>269.5</v>
      </c>
      <c r="D172" s="202">
        <f ca="1">DATOSAÑO!P172</f>
        <v>151.20999999999913</v>
      </c>
      <c r="E172" s="202">
        <f ca="1">DATOSAÑO!Q172</f>
        <v>0</v>
      </c>
      <c r="F172" s="202">
        <f ca="1">DATOSAÑO!T172</f>
        <v>0</v>
      </c>
      <c r="G172" s="202">
        <f t="shared" ca="1" si="35"/>
        <v>420.70999999999913</v>
      </c>
      <c r="H172" s="202">
        <f t="shared" ca="1" si="42"/>
        <v>32.037000000009357</v>
      </c>
      <c r="I172" s="202">
        <f t="shared" ca="1" si="31"/>
        <v>188.5098401727644</v>
      </c>
      <c r="J172" s="202">
        <f t="shared" ca="1" si="32"/>
        <v>38.059490280773808</v>
      </c>
      <c r="K172" s="202">
        <f t="shared" ca="1" si="33"/>
        <v>8.8341252699786601</v>
      </c>
      <c r="L172" s="202">
        <f t="shared" ca="1" si="30"/>
        <v>148.07300000001484</v>
      </c>
      <c r="M172" s="202">
        <f t="shared" ca="1" si="34"/>
        <v>5.1965442764580354</v>
      </c>
      <c r="N172" s="202">
        <f t="shared" ca="1" si="37"/>
        <v>5</v>
      </c>
      <c r="O172" s="202">
        <f ca="1">(DATOSAÑO!AJ172+DATOSAÑO!AK172+DATOSAÑO!AD172)</f>
        <v>181.37999999997373</v>
      </c>
      <c r="P172" s="202">
        <f ca="1">DATOSAÑO!AI172</f>
        <v>36.619999999995343</v>
      </c>
      <c r="Q172" s="202">
        <f ca="1">DATOSAÑO!AH172</f>
        <v>8.5</v>
      </c>
      <c r="R172" s="202">
        <f ca="1">DATOSAÑO!AM172+DATOSAÑO!AN172+DATOSAÑO!AF172</f>
        <v>148.07300000001484</v>
      </c>
      <c r="S172" s="215">
        <f ca="1">IF(B172&gt;=$P$5,0,CONTADORES!Q168-CONTADORES!Q167)</f>
        <v>14.100000000005821</v>
      </c>
      <c r="T172" s="212">
        <f ca="1">IF(B172&gt;=$P$5,0,(CONTADORES!S168-CONTADORES!S167)+(CONTADORES!AE168-CONTADORES!AE167))</f>
        <v>3.1999999999999993</v>
      </c>
      <c r="U172" s="212">
        <f ca="1">IF(B172&gt;=$P$5,0,(CONTADORES!AQ168-CONTADORES!AQ167))</f>
        <v>5</v>
      </c>
      <c r="V172" s="212">
        <f ca="1">IF(B172&gt;=$P$5,0,(CONTADORES!AR168-CONTADORES!AR167))</f>
        <v>0</v>
      </c>
      <c r="W172" s="736">
        <v>0</v>
      </c>
      <c r="X172" s="212">
        <f ca="1">IF(W172=0,(T172-INICIO!$W$6),((T172-INICIO!$W$6)+V172))</f>
        <v>3.1999999999999993</v>
      </c>
      <c r="Y172" s="214">
        <f t="shared" ca="1" si="38"/>
        <v>9.1000000000058208</v>
      </c>
      <c r="Z172" s="215">
        <f t="shared" ca="1" si="39"/>
        <v>7.1298401727906571</v>
      </c>
      <c r="AA172" s="212">
        <f t="shared" ca="1" si="40"/>
        <v>1.4394902807784677</v>
      </c>
      <c r="AB172" s="212">
        <f t="shared" ca="1" si="41"/>
        <v>0.3341252699786601</v>
      </c>
      <c r="AC172" s="214">
        <f t="shared" ca="1" si="36"/>
        <v>0.19654427645803535</v>
      </c>
    </row>
    <row r="173" spans="2:29">
      <c r="B173" s="220">
        <v>44724</v>
      </c>
      <c r="C173" s="208">
        <f ca="1">DATOSAÑO!I173</f>
        <v>269.69999999995343</v>
      </c>
      <c r="D173" s="202">
        <f ca="1">DATOSAÑO!P173</f>
        <v>152.48200000000361</v>
      </c>
      <c r="E173" s="202">
        <f ca="1">DATOSAÑO!Q173</f>
        <v>0.33099999999990359</v>
      </c>
      <c r="F173" s="202">
        <f ca="1">DATOSAÑO!T173</f>
        <v>0.33199999999999363</v>
      </c>
      <c r="G173" s="202">
        <f t="shared" ca="1" si="35"/>
        <v>422.84499999995694</v>
      </c>
      <c r="H173" s="202">
        <f t="shared" ca="1" si="42"/>
        <v>35.380999999956543</v>
      </c>
      <c r="I173" s="202">
        <f t="shared" ca="1" si="31"/>
        <v>190.78734535481945</v>
      </c>
      <c r="J173" s="202">
        <f t="shared" ca="1" si="32"/>
        <v>36.0110199974146</v>
      </c>
      <c r="K173" s="202">
        <f t="shared" ca="1" si="33"/>
        <v>9.9275882175094345</v>
      </c>
      <c r="L173" s="202">
        <f t="shared" ca="1" si="30"/>
        <v>145.51299999998878</v>
      </c>
      <c r="M173" s="202">
        <f t="shared" ca="1" si="34"/>
        <v>5.2250464302681232</v>
      </c>
      <c r="N173" s="202">
        <f t="shared" ca="1" si="37"/>
        <v>5</v>
      </c>
      <c r="O173" s="202">
        <f ca="1">(DATOSAÑO!AJ173+DATOSAÑO!AK173+DATOSAÑO!AD173)</f>
        <v>182.5700000000088</v>
      </c>
      <c r="P173" s="202">
        <f ca="1">DATOSAÑO!AI173</f>
        <v>34.460000000006403</v>
      </c>
      <c r="Q173" s="202">
        <f ca="1">DATOSAÑO!AH173</f>
        <v>9.5</v>
      </c>
      <c r="R173" s="202">
        <f ca="1">DATOSAÑO!AM173+DATOSAÑO!AN173+DATOSAÑO!AF173</f>
        <v>145.51299999998878</v>
      </c>
      <c r="S173" s="215">
        <f ca="1">IF(B173&gt;=$P$5,0,CONTADORES!Q169-CONTADORES!Q168)</f>
        <v>15.089999999996508</v>
      </c>
      <c r="T173" s="212">
        <f ca="1">IF(B173&gt;=$P$5,0,(CONTADORES!S169-CONTADORES!S168)+(CONTADORES!AE169-CONTADORES!AE168))</f>
        <v>3.4000000000000021</v>
      </c>
      <c r="U173" s="212">
        <f ca="1">IF(B173&gt;=$P$5,0,(CONTADORES!AQ169-CONTADORES!AQ168))</f>
        <v>5</v>
      </c>
      <c r="V173" s="212">
        <f ca="1">IF(B173&gt;=$P$5,0,(CONTADORES!AR169-CONTADORES!AR168))</f>
        <v>0</v>
      </c>
      <c r="W173" s="736">
        <v>0</v>
      </c>
      <c r="X173" s="212">
        <f ca="1">IF(W173=0,(T173-INICIO!$W$6),((T173-INICIO!$W$6)+V173))</f>
        <v>3.4000000000000021</v>
      </c>
      <c r="Y173" s="214">
        <f t="shared" ca="1" si="38"/>
        <v>10.420999999996411</v>
      </c>
      <c r="Z173" s="215">
        <f t="shared" ca="1" si="39"/>
        <v>8.2173453548106572</v>
      </c>
      <c r="AA173" s="212">
        <f t="shared" ca="1" si="40"/>
        <v>1.5510199974081953</v>
      </c>
      <c r="AB173" s="212">
        <f t="shared" ca="1" si="41"/>
        <v>0.42758821750943465</v>
      </c>
      <c r="AC173" s="214">
        <f t="shared" ca="1" si="36"/>
        <v>0.22504643026812349</v>
      </c>
    </row>
    <row r="174" spans="2:29">
      <c r="B174" s="220">
        <v>44725</v>
      </c>
      <c r="C174" s="208">
        <f ca="1">DATOSAÑO!I174</f>
        <v>284.3399999999674</v>
      </c>
      <c r="D174" s="202">
        <f ca="1">DATOSAÑO!P174</f>
        <v>146.85599999999977</v>
      </c>
      <c r="E174" s="202">
        <f ca="1">DATOSAÑO!Q174</f>
        <v>0</v>
      </c>
      <c r="F174" s="202">
        <f ca="1">DATOSAÑO!T174</f>
        <v>0</v>
      </c>
      <c r="G174" s="202">
        <f t="shared" ca="1" si="35"/>
        <v>431.19599999996717</v>
      </c>
      <c r="H174" s="202">
        <f t="shared" ca="1" si="42"/>
        <v>38.45399999994271</v>
      </c>
      <c r="I174" s="202">
        <f t="shared" ca="1" si="31"/>
        <v>184.78033375343171</v>
      </c>
      <c r="J174" s="202">
        <f t="shared" ca="1" si="32"/>
        <v>36.788188257790608</v>
      </c>
      <c r="K174" s="202">
        <f t="shared" ca="1" si="33"/>
        <v>10.673756029728178</v>
      </c>
      <c r="L174" s="202">
        <f t="shared" ca="1" si="30"/>
        <v>154.28200000001078</v>
      </c>
      <c r="M174" s="202">
        <f t="shared" ca="1" si="34"/>
        <v>6.2177219590632014</v>
      </c>
      <c r="N174" s="202">
        <f t="shared" ca="1" si="37"/>
        <v>6</v>
      </c>
      <c r="O174" s="202">
        <f ca="1">(DATOSAÑO!AJ174+DATOSAÑO!AK174+DATOSAÑO!AD174)</f>
        <v>178.31000000000495</v>
      </c>
      <c r="P174" s="202">
        <f ca="1">DATOSAÑO!AI174</f>
        <v>35.5</v>
      </c>
      <c r="Q174" s="202">
        <f ca="1">DATOSAÑO!AH174</f>
        <v>10.30000000000291</v>
      </c>
      <c r="R174" s="202">
        <f ca="1">DATOSAÑO!AM174+DATOSAÑO!AN174+DATOSAÑO!AF174</f>
        <v>154.28200000001078</v>
      </c>
      <c r="S174" s="215">
        <f ca="1">IF(B174&gt;=$P$5,0,CONTADORES!Q170-CONTADORES!Q169)</f>
        <v>14.350000000005821</v>
      </c>
      <c r="T174" s="212">
        <f ca="1">IF(B174&gt;=$P$5,0,(CONTADORES!S170-CONTADORES!S169)+(CONTADORES!AE170-CONTADORES!AE169))</f>
        <v>3.2399999999999984</v>
      </c>
      <c r="U174" s="212">
        <f ca="1">IF(B174&gt;=$P$5,0,(CONTADORES!AQ170-CONTADORES!AQ169))</f>
        <v>6</v>
      </c>
      <c r="V174" s="212">
        <f ca="1">IF(B174&gt;=$P$5,0,(CONTADORES!AR170-CONTADORES!AR169))</f>
        <v>0</v>
      </c>
      <c r="W174" s="736">
        <v>0</v>
      </c>
      <c r="X174" s="212">
        <f ca="1">IF(W174=0,(T174-INICIO!$W$6),((T174-INICIO!$W$6)+V174))</f>
        <v>3.2399999999999984</v>
      </c>
      <c r="Y174" s="214">
        <f t="shared" ca="1" si="38"/>
        <v>8.3500000000058208</v>
      </c>
      <c r="Z174" s="215">
        <f t="shared" ca="1" si="39"/>
        <v>6.4703337534267451</v>
      </c>
      <c r="AA174" s="212">
        <f t="shared" ca="1" si="40"/>
        <v>1.2881882577906067</v>
      </c>
      <c r="AB174" s="212">
        <f t="shared" ca="1" si="41"/>
        <v>0.37375602972526756</v>
      </c>
      <c r="AC174" s="214">
        <f t="shared" ca="1" si="36"/>
        <v>0.21772195906320113</v>
      </c>
    </row>
    <row r="175" spans="2:29">
      <c r="B175" s="220">
        <v>44726</v>
      </c>
      <c r="C175" s="208">
        <f ca="1">DATOSAÑO!I175</f>
        <v>289.46000000007916</v>
      </c>
      <c r="D175" s="202">
        <f ca="1">DATOSAÑO!P175</f>
        <v>146.79599999999482</v>
      </c>
      <c r="E175" s="202">
        <f ca="1">DATOSAÑO!Q175</f>
        <v>0</v>
      </c>
      <c r="F175" s="202">
        <f ca="1">DATOSAÑO!T175</f>
        <v>0</v>
      </c>
      <c r="G175" s="202">
        <f t="shared" ca="1" si="35"/>
        <v>436.25600000007398</v>
      </c>
      <c r="H175" s="202">
        <f t="shared" ca="1" si="42"/>
        <v>32.88000000010959</v>
      </c>
      <c r="I175" s="202">
        <f t="shared" ca="1" si="31"/>
        <v>187.22833910032764</v>
      </c>
      <c r="J175" s="202">
        <f t="shared" ca="1" si="32"/>
        <v>38.467292387533725</v>
      </c>
      <c r="K175" s="202">
        <f t="shared" ca="1" si="33"/>
        <v>11.154472318335063</v>
      </c>
      <c r="L175" s="202">
        <f t="shared" ca="1" si="30"/>
        <v>162.35599999999673</v>
      </c>
      <c r="M175" s="202">
        <f t="shared" ca="1" si="34"/>
        <v>4.1698961937712511</v>
      </c>
      <c r="N175" s="202">
        <f t="shared" ca="1" si="37"/>
        <v>4</v>
      </c>
      <c r="O175" s="202">
        <f ca="1">(DATOSAÑO!AJ175+DATOSAÑO!AK175+DATOSAÑO!AD175)</f>
        <v>179.59999999999854</v>
      </c>
      <c r="P175" s="202">
        <f ca="1">DATOSAÑO!AI175</f>
        <v>36.899999999994179</v>
      </c>
      <c r="Q175" s="202">
        <f ca="1">DATOSAÑO!AH175</f>
        <v>10.69999999999709</v>
      </c>
      <c r="R175" s="202">
        <f ca="1">DATOSAÑO!AM175+DATOSAÑO!AN175+DATOSAÑO!AF175</f>
        <v>162.35599999999673</v>
      </c>
      <c r="S175" s="215">
        <f ca="1">IF(B175&gt;=$P$5,0,CONTADORES!Q171-CONTADORES!Q170)</f>
        <v>13.819999999977881</v>
      </c>
      <c r="T175" s="212">
        <f ca="1">IF(B175&gt;=$P$5,0,(CONTADORES!S171-CONTADORES!S170)+(CONTADORES!AE171-CONTADORES!AE170))</f>
        <v>3.1999999999999993</v>
      </c>
      <c r="U175" s="212">
        <f ca="1">IF(B175&gt;=$P$5,0,(CONTADORES!AQ171-CONTADORES!AQ170))</f>
        <v>4</v>
      </c>
      <c r="V175" s="212">
        <f ca="1">IF(B175&gt;=$P$5,0,(CONTADORES!AR171-CONTADORES!AR170))</f>
        <v>0</v>
      </c>
      <c r="W175" s="736">
        <v>0</v>
      </c>
      <c r="X175" s="212">
        <f ca="1">IF(W175=0,(T175-INICIO!$W$6),((T175-INICIO!$W$6)+V175))</f>
        <v>3.1999999999999993</v>
      </c>
      <c r="Y175" s="214">
        <f t="shared" ca="1" si="38"/>
        <v>9.8199999999778811</v>
      </c>
      <c r="Z175" s="215">
        <f t="shared" ca="1" si="39"/>
        <v>7.6283391003291134</v>
      </c>
      <c r="AA175" s="212">
        <f t="shared" ca="1" si="40"/>
        <v>1.5672923875395441</v>
      </c>
      <c r="AB175" s="212">
        <f t="shared" ca="1" si="41"/>
        <v>0.45447231833797308</v>
      </c>
      <c r="AC175" s="214">
        <f t="shared" ca="1" si="36"/>
        <v>0.16989619377125109</v>
      </c>
    </row>
    <row r="176" spans="2:29">
      <c r="B176" s="220">
        <v>44727</v>
      </c>
      <c r="C176" s="208">
        <f ca="1">DATOSAÑO!I176</f>
        <v>277.34999999997672</v>
      </c>
      <c r="D176" s="202">
        <f ca="1">DATOSAÑO!P176</f>
        <v>167.1160000000018</v>
      </c>
      <c r="E176" s="202">
        <f ca="1">DATOSAÑO!Q176</f>
        <v>0</v>
      </c>
      <c r="F176" s="202">
        <f ca="1">DATOSAÑO!T176</f>
        <v>0</v>
      </c>
      <c r="G176" s="202">
        <f t="shared" ca="1" si="35"/>
        <v>444.46599999997852</v>
      </c>
      <c r="H176" s="202">
        <f t="shared" ca="1" si="42"/>
        <v>38.368999999979735</v>
      </c>
      <c r="I176" s="202">
        <f t="shared" ca="1" si="31"/>
        <v>188.45371424686152</v>
      </c>
      <c r="J176" s="202">
        <f t="shared" ca="1" si="32"/>
        <v>38.104926836733341</v>
      </c>
      <c r="K176" s="202">
        <f t="shared" ca="1" si="33"/>
        <v>10.872329668088817</v>
      </c>
      <c r="L176" s="202">
        <f t="shared" ca="1" si="30"/>
        <v>162.38700000000327</v>
      </c>
      <c r="M176" s="202">
        <f t="shared" ca="1" si="34"/>
        <v>6.2790292483118213</v>
      </c>
      <c r="N176" s="202">
        <f t="shared" ca="1" si="37"/>
        <v>6.0639999999984866</v>
      </c>
      <c r="O176" s="202">
        <f ca="1">(DATOSAÑO!AJ176+DATOSAÑO!AK176+DATOSAÑO!AD176)</f>
        <v>181.99999999998909</v>
      </c>
      <c r="P176" s="202">
        <f ca="1">DATOSAÑO!AI176</f>
        <v>36.80000000000291</v>
      </c>
      <c r="Q176" s="202">
        <f ca="1">DATOSAÑO!AH176</f>
        <v>10.5</v>
      </c>
      <c r="R176" s="202">
        <f ca="1">DATOSAÑO!AM176+DATOSAÑO!AN176+DATOSAÑO!AF176</f>
        <v>162.38700000000327</v>
      </c>
      <c r="S176" s="215">
        <f ca="1">IF(B176&gt;=$P$5,0,CONTADORES!Q172-CONTADORES!Q171)</f>
        <v>14.410000000003492</v>
      </c>
      <c r="T176" s="212">
        <f ca="1">IF(B176&gt;=$P$5,0,(CONTADORES!S172-CONTADORES!S171)+(CONTADORES!AE172-CONTADORES!AE171))</f>
        <v>3.3300000000000018</v>
      </c>
      <c r="U176" s="212">
        <f ca="1">IF(B176&gt;=$P$5,0,(CONTADORES!AQ172-CONTADORES!AQ171))</f>
        <v>6.0639999999984866</v>
      </c>
      <c r="V176" s="212">
        <f ca="1">IF(B176&gt;=$P$5,0,(CONTADORES!AR172-CONTADORES!AR171))</f>
        <v>0</v>
      </c>
      <c r="W176" s="736">
        <v>0</v>
      </c>
      <c r="X176" s="212">
        <f ca="1">IF(W176=0,(T176-INICIO!$W$6),((T176-INICIO!$W$6)+V176))</f>
        <v>3.3300000000000018</v>
      </c>
      <c r="Y176" s="214">
        <f t="shared" ca="1" si="38"/>
        <v>8.3460000000050059</v>
      </c>
      <c r="Z176" s="215">
        <f t="shared" ca="1" si="39"/>
        <v>6.4537142468724245</v>
      </c>
      <c r="AA176" s="212">
        <f t="shared" ca="1" si="40"/>
        <v>1.3049268367304301</v>
      </c>
      <c r="AB176" s="212">
        <f t="shared" ca="1" si="41"/>
        <v>0.37232966808881607</v>
      </c>
      <c r="AC176" s="214">
        <f t="shared" ca="1" si="36"/>
        <v>0.21502924831333498</v>
      </c>
    </row>
    <row r="177" spans="2:29">
      <c r="B177" s="220">
        <v>44728</v>
      </c>
      <c r="C177" s="208">
        <f ca="1">DATOSAÑO!I177</f>
        <v>104.75</v>
      </c>
      <c r="D177" s="202">
        <f ca="1">DATOSAÑO!P177</f>
        <v>334.80000000000291</v>
      </c>
      <c r="E177" s="202">
        <f ca="1">DATOSAÑO!Q177</f>
        <v>0</v>
      </c>
      <c r="F177" s="202">
        <f ca="1">DATOSAÑO!T177</f>
        <v>0</v>
      </c>
      <c r="G177" s="202">
        <f t="shared" ca="1" si="35"/>
        <v>439.55000000000291</v>
      </c>
      <c r="H177" s="202">
        <f t="shared" ca="1" si="42"/>
        <v>32.867999999997664</v>
      </c>
      <c r="I177" s="202">
        <f t="shared" ca="1" si="31"/>
        <v>188.48267942584181</v>
      </c>
      <c r="J177" s="202">
        <f t="shared" ca="1" si="32"/>
        <v>38.903157894745526</v>
      </c>
      <c r="K177" s="202">
        <f t="shared" ca="1" si="33"/>
        <v>6.4491866028677194</v>
      </c>
      <c r="L177" s="202">
        <f t="shared" ca="1" si="30"/>
        <v>167.54199999999673</v>
      </c>
      <c r="M177" s="202">
        <f t="shared" ca="1" si="34"/>
        <v>5.3049760765534559</v>
      </c>
      <c r="N177" s="202">
        <f t="shared" ca="1" si="37"/>
        <v>5.0999999999985448</v>
      </c>
      <c r="O177" s="202">
        <f ca="1">(DATOSAÑO!AJ177+DATOSAÑO!AK177+DATOSAÑO!AD177)</f>
        <v>181.20000000000618</v>
      </c>
      <c r="P177" s="202">
        <f ca="1">DATOSAÑO!AI177</f>
        <v>37.400000000008731</v>
      </c>
      <c r="Q177" s="202">
        <f ca="1">DATOSAÑO!AH177</f>
        <v>6.1999999999970896</v>
      </c>
      <c r="R177" s="202">
        <f ca="1">DATOSAÑO!AM177+DATOSAÑO!AN177+DATOSAÑO!AF177</f>
        <v>167.54199999999673</v>
      </c>
      <c r="S177" s="215">
        <f ca="1">IF(B177&gt;=$P$5,0,CONTADORES!Q173-CONTADORES!Q172)</f>
        <v>14.339999999996508</v>
      </c>
      <c r="T177" s="212">
        <f ca="1">IF(B177&gt;=$P$5,0,(CONTADORES!S173-CONTADORES!S172)+(CONTADORES!AE173-CONTADORES!AE172))</f>
        <v>3.2799999999999976</v>
      </c>
      <c r="U177" s="212">
        <f ca="1">IF(B177&gt;=$P$5,0,(CONTADORES!AQ173-CONTADORES!AQ172))</f>
        <v>5.0999999999985448</v>
      </c>
      <c r="V177" s="212">
        <f ca="1">IF(B177&gt;=$P$5,0,(CONTADORES!AR173-CONTADORES!AR172))</f>
        <v>0</v>
      </c>
      <c r="W177" s="736">
        <v>0</v>
      </c>
      <c r="X177" s="212">
        <f ca="1">IF(W177=0,(T177-INICIO!$W$6),((T177-INICIO!$W$6)+V177))</f>
        <v>3.2799999999999976</v>
      </c>
      <c r="Y177" s="214">
        <f t="shared" ca="1" si="38"/>
        <v>9.2399999999979627</v>
      </c>
      <c r="Z177" s="215">
        <f t="shared" ca="1" si="39"/>
        <v>7.2826794258356298</v>
      </c>
      <c r="AA177" s="212">
        <f t="shared" ca="1" si="40"/>
        <v>1.5031578947367925</v>
      </c>
      <c r="AB177" s="212">
        <f t="shared" ca="1" si="41"/>
        <v>0.24918660287063005</v>
      </c>
      <c r="AC177" s="214">
        <f t="shared" ca="1" si="36"/>
        <v>0.20497607655491085</v>
      </c>
    </row>
    <row r="178" spans="2:29">
      <c r="B178" s="220">
        <v>44729</v>
      </c>
      <c r="C178" s="208">
        <f ca="1">DATOSAÑO!I178</f>
        <v>152</v>
      </c>
      <c r="D178" s="202">
        <f ca="1">DATOSAÑO!P178</f>
        <v>288.90000000000146</v>
      </c>
      <c r="E178" s="202">
        <f ca="1">DATOSAÑO!Q178</f>
        <v>0</v>
      </c>
      <c r="F178" s="202">
        <f ca="1">DATOSAÑO!T178</f>
        <v>0</v>
      </c>
      <c r="G178" s="202">
        <f t="shared" ca="1" si="35"/>
        <v>440.90000000000146</v>
      </c>
      <c r="H178" s="202">
        <f t="shared" ca="1" si="42"/>
        <v>32.533000000008599</v>
      </c>
      <c r="I178" s="202">
        <f t="shared" ca="1" si="31"/>
        <v>187.66210804234908</v>
      </c>
      <c r="J178" s="202">
        <f t="shared" ca="1" si="32"/>
        <v>37.095998101392979</v>
      </c>
      <c r="K178" s="202">
        <f t="shared" ca="1" si="33"/>
        <v>15.378733106464114</v>
      </c>
      <c r="L178" s="202">
        <f t="shared" ca="1" si="30"/>
        <v>163.17700000000326</v>
      </c>
      <c r="M178" s="202">
        <f t="shared" ca="1" si="34"/>
        <v>5.0531607497834177</v>
      </c>
      <c r="N178" s="202">
        <f t="shared" ca="1" si="37"/>
        <v>4.8630000000048312</v>
      </c>
      <c r="O178" s="202">
        <f ca="1">(DATOSAÑO!AJ178+DATOSAÑO!AK178+DATOSAÑO!AD178)</f>
        <v>180.59999999999309</v>
      </c>
      <c r="P178" s="202">
        <f ca="1">DATOSAÑO!AI178</f>
        <v>35.69999999999709</v>
      </c>
      <c r="Q178" s="202">
        <f ca="1">DATOSAÑO!AH178</f>
        <v>14.80000000000291</v>
      </c>
      <c r="R178" s="202">
        <f ca="1">DATOSAÑO!AM178+DATOSAÑO!AN178+DATOSAÑO!AF178</f>
        <v>163.17700000000326</v>
      </c>
      <c r="S178" s="215">
        <f ca="1">IF(B178&gt;=$P$5,0,CONTADORES!Q174-CONTADORES!Q173)</f>
        <v>14.089999999996508</v>
      </c>
      <c r="T178" s="212">
        <f ca="1">IF(B178&gt;=$P$5,0,(CONTADORES!S174-CONTADORES!S173)+(CONTADORES!AE174-CONTADORES!AE173))</f>
        <v>3.25</v>
      </c>
      <c r="U178" s="212">
        <f ca="1">IF(B178&gt;=$P$5,0,(CONTADORES!AQ174-CONTADORES!AQ173))</f>
        <v>4.8630000000048312</v>
      </c>
      <c r="V178" s="212">
        <f ca="1">IF(B178&gt;=$P$5,0,(CONTADORES!AR174-CONTADORES!AR173))</f>
        <v>0</v>
      </c>
      <c r="W178" s="736">
        <v>0</v>
      </c>
      <c r="X178" s="212">
        <f ca="1">IF(W178=0,(T178-INICIO!$W$6),((T178-INICIO!$W$6)+V178))</f>
        <v>3.25</v>
      </c>
      <c r="Y178" s="214">
        <f t="shared" ca="1" si="38"/>
        <v>9.2269999999916763</v>
      </c>
      <c r="Z178" s="215">
        <f t="shared" ca="1" si="39"/>
        <v>7.0621080423559945</v>
      </c>
      <c r="AA178" s="212">
        <f t="shared" ca="1" si="40"/>
        <v>1.3959981013958922</v>
      </c>
      <c r="AB178" s="212">
        <f t="shared" ca="1" si="41"/>
        <v>0.57873310646120313</v>
      </c>
      <c r="AC178" s="214">
        <f t="shared" ca="1" si="36"/>
        <v>0.19016074977858602</v>
      </c>
    </row>
    <row r="179" spans="2:29">
      <c r="B179" s="220">
        <v>44730</v>
      </c>
      <c r="C179" s="208">
        <f ca="1">DATOSAÑO!I179</f>
        <v>152</v>
      </c>
      <c r="D179" s="202">
        <f ca="1">DATOSAÑO!P179</f>
        <v>274.79999999999563</v>
      </c>
      <c r="E179" s="202">
        <f ca="1">DATOSAÑO!Q179</f>
        <v>0</v>
      </c>
      <c r="F179" s="202">
        <f ca="1">DATOSAÑO!T179</f>
        <v>0</v>
      </c>
      <c r="G179" s="202">
        <f t="shared" ca="1" si="35"/>
        <v>426.79999999999563</v>
      </c>
      <c r="H179" s="202">
        <f t="shared" ca="1" si="42"/>
        <v>32.857999999976755</v>
      </c>
      <c r="I179" s="202">
        <f t="shared" ca="1" si="31"/>
        <v>185.61250011477529</v>
      </c>
      <c r="J179" s="202">
        <f t="shared" ca="1" si="32"/>
        <v>37.287526048599197</v>
      </c>
      <c r="K179" s="202">
        <f t="shared" ca="1" si="33"/>
        <v>0</v>
      </c>
      <c r="L179" s="202">
        <f t="shared" ca="1" si="30"/>
        <v>166.39199999999781</v>
      </c>
      <c r="M179" s="202">
        <f t="shared" ca="1" si="34"/>
        <v>4.6499738366466064</v>
      </c>
      <c r="N179" s="202">
        <f t="shared" ca="1" si="37"/>
        <v>4.4519999999974971</v>
      </c>
      <c r="O179" s="202">
        <f ca="1">(DATOSAÑO!AJ179+DATOSAÑO!AK179+DATOSAÑO!AD179)</f>
        <v>177.71000000001004</v>
      </c>
      <c r="P179" s="202">
        <f ca="1">DATOSAÑO!AI179</f>
        <v>35.69999999999709</v>
      </c>
      <c r="Q179" s="202">
        <f ca="1">DATOSAÑO!AH179</f>
        <v>0</v>
      </c>
      <c r="R179" s="202">
        <f ca="1">DATOSAÑO!AM179+DATOSAÑO!AN179+DATOSAÑO!AF179</f>
        <v>166.39199999999781</v>
      </c>
      <c r="S179" s="215">
        <f ca="1">IF(B179&gt;=$P$5,0,CONTADORES!Q175-CONTADORES!Q174)</f>
        <v>14.14000000001397</v>
      </c>
      <c r="T179" s="212">
        <f ca="1">IF(B179&gt;=$P$5,0,(CONTADORES!S175-CONTADORES!S174)+(CONTADORES!AE175-CONTADORES!AE174))</f>
        <v>3.0600000000000023</v>
      </c>
      <c r="U179" s="212">
        <f ca="1">IF(B179&gt;=$P$5,0,(CONTADORES!AQ175-CONTADORES!AQ174))</f>
        <v>4.4519999999974971</v>
      </c>
      <c r="V179" s="212">
        <f ca="1">IF(B179&gt;=$P$5,0,(CONTADORES!AR175-CONTADORES!AR174))</f>
        <v>0</v>
      </c>
      <c r="W179" s="736">
        <v>0</v>
      </c>
      <c r="X179" s="212">
        <f ca="1">IF(W179=0,(T179-INICIO!$W$6),((T179-INICIO!$W$6)+V179))</f>
        <v>3.0600000000000023</v>
      </c>
      <c r="Y179" s="214">
        <f t="shared" ca="1" si="38"/>
        <v>9.6880000000164728</v>
      </c>
      <c r="Z179" s="215">
        <f t="shared" ca="1" si="39"/>
        <v>7.9025001147652558</v>
      </c>
      <c r="AA179" s="212">
        <f t="shared" ca="1" si="40"/>
        <v>1.5875260486021083</v>
      </c>
      <c r="AB179" s="212">
        <f t="shared" ca="1" si="41"/>
        <v>0</v>
      </c>
      <c r="AC179" s="214">
        <f t="shared" ca="1" si="36"/>
        <v>0.19797383664910895</v>
      </c>
    </row>
    <row r="180" spans="2:29">
      <c r="B180" s="220">
        <v>44731</v>
      </c>
      <c r="C180" s="208">
        <f ca="1">DATOSAÑO!I180</f>
        <v>151</v>
      </c>
      <c r="D180" s="202">
        <f ca="1">DATOSAÑO!P180</f>
        <v>295</v>
      </c>
      <c r="E180" s="202">
        <f ca="1">DATOSAÑO!Q180</f>
        <v>0</v>
      </c>
      <c r="F180" s="202">
        <f ca="1">DATOSAÑO!T180</f>
        <v>0</v>
      </c>
      <c r="G180" s="202">
        <f t="shared" ca="1" si="35"/>
        <v>446</v>
      </c>
      <c r="H180" s="202">
        <f t="shared" ca="1" si="42"/>
        <v>35.074000000011438</v>
      </c>
      <c r="I180" s="202">
        <f t="shared" ca="1" si="31"/>
        <v>190.07355030573035</v>
      </c>
      <c r="J180" s="202">
        <f t="shared" ca="1" si="32"/>
        <v>37.709285680987946</v>
      </c>
      <c r="K180" s="202">
        <f t="shared" ca="1" si="33"/>
        <v>12.604484992815911</v>
      </c>
      <c r="L180" s="202">
        <f t="shared" ca="1" si="30"/>
        <v>165.10000000000218</v>
      </c>
      <c r="M180" s="202">
        <f t="shared" ca="1" si="34"/>
        <v>5.4386790204521631</v>
      </c>
      <c r="N180" s="202">
        <f t="shared" ca="1" si="37"/>
        <v>5.2209999999977299</v>
      </c>
      <c r="O180" s="202">
        <f ca="1">(DATOSAÑO!AJ180+DATOSAÑO!AK180+DATOSAÑO!AD180)</f>
        <v>182.46599999999307</v>
      </c>
      <c r="P180" s="202">
        <f ca="1">DATOSAÑO!AI180</f>
        <v>36.19999999999709</v>
      </c>
      <c r="Q180" s="202">
        <f ca="1">DATOSAÑO!AH180</f>
        <v>12.099999999998545</v>
      </c>
      <c r="R180" s="202">
        <f ca="1">DATOSAÑO!AM180+DATOSAÑO!AN180+DATOSAÑO!AF180</f>
        <v>165.10000000000218</v>
      </c>
      <c r="S180" s="215">
        <f ca="1">IF(B180&gt;=$P$5,0,CONTADORES!Q176-CONTADORES!Q175)</f>
        <v>15.059999999997672</v>
      </c>
      <c r="T180" s="212">
        <f ca="1">IF(B180&gt;=$P$5,0,(CONTADORES!S176-CONTADORES!S175)+(CONTADORES!AE176-CONTADORES!AE175))</f>
        <v>3.3399999999999963</v>
      </c>
      <c r="U180" s="212">
        <f ca="1">IF(B180&gt;=$P$5,0,(CONTADORES!AQ176-CONTADORES!AQ175))</f>
        <v>5.2209999999977299</v>
      </c>
      <c r="V180" s="212">
        <f ca="1">IF(B180&gt;=$P$5,0,(CONTADORES!AR176-CONTADORES!AR175))</f>
        <v>0</v>
      </c>
      <c r="W180" s="736">
        <v>0</v>
      </c>
      <c r="X180" s="212">
        <f ca="1">IF(W180=0,(T180-INICIO!$W$6),((T180-INICIO!$W$6)+V180))</f>
        <v>3.3399999999999963</v>
      </c>
      <c r="Y180" s="214">
        <f t="shared" ca="1" si="38"/>
        <v>9.8389999999999418</v>
      </c>
      <c r="Z180" s="215">
        <f t="shared" ca="1" si="39"/>
        <v>7.6075503057372842</v>
      </c>
      <c r="AA180" s="212">
        <f t="shared" ca="1" si="40"/>
        <v>1.5092856809908586</v>
      </c>
      <c r="AB180" s="212">
        <f t="shared" ca="1" si="41"/>
        <v>0.50448499281736636</v>
      </c>
      <c r="AC180" s="214">
        <f t="shared" ca="1" si="36"/>
        <v>0.21767902045443316</v>
      </c>
    </row>
    <row r="181" spans="2:29">
      <c r="B181" s="220">
        <v>44732</v>
      </c>
      <c r="C181" s="208">
        <f ca="1">DATOSAÑO!I181</f>
        <v>188</v>
      </c>
      <c r="D181" s="202">
        <f ca="1">DATOSAÑO!P181</f>
        <v>255.40000000000146</v>
      </c>
      <c r="E181" s="202">
        <f ca="1">DATOSAÑO!Q181</f>
        <v>0</v>
      </c>
      <c r="F181" s="202">
        <f ca="1">DATOSAÑO!T181</f>
        <v>0.34199999999998454</v>
      </c>
      <c r="G181" s="202">
        <f t="shared" ca="1" si="35"/>
        <v>443.74200000000144</v>
      </c>
      <c r="H181" s="202">
        <f t="shared" ca="1" si="42"/>
        <v>34.960000000003788</v>
      </c>
      <c r="I181" s="202">
        <f t="shared" ca="1" si="31"/>
        <v>189.23728816371434</v>
      </c>
      <c r="J181" s="202">
        <f t="shared" ca="1" si="32"/>
        <v>37.63336559734514</v>
      </c>
      <c r="K181" s="202">
        <f t="shared" ca="1" si="33"/>
        <v>10.349175539271435</v>
      </c>
      <c r="L181" s="202">
        <f t="shared" ca="1" si="30"/>
        <v>166.85799999999855</v>
      </c>
      <c r="M181" s="202">
        <f t="shared" ca="1" si="34"/>
        <v>4.7041706996681425</v>
      </c>
      <c r="N181" s="202">
        <f t="shared" ca="1" si="37"/>
        <v>4.5</v>
      </c>
      <c r="O181" s="202">
        <f ca="1">(DATOSAÑO!AJ181+DATOSAÑO!AK181+DATOSAÑO!AD181)</f>
        <v>181.02399999999761</v>
      </c>
      <c r="P181" s="202">
        <f ca="1">DATOSAÑO!AI181</f>
        <v>36</v>
      </c>
      <c r="Q181" s="202">
        <f ca="1">DATOSAÑO!AH181</f>
        <v>9.9000000000014552</v>
      </c>
      <c r="R181" s="202">
        <f ca="1">DATOSAÑO!AM181+DATOSAÑO!AN181+DATOSAÑO!AF181</f>
        <v>166.85799999999855</v>
      </c>
      <c r="S181" s="215">
        <f ca="1">IF(B181&gt;=$P$5,0,CONTADORES!Q177-CONTADORES!Q176)</f>
        <v>15</v>
      </c>
      <c r="T181" s="212">
        <f ca="1">IF(B181&gt;=$P$5,0,(CONTADORES!S177-CONTADORES!S176)+(CONTADORES!AE177-CONTADORES!AE176))</f>
        <v>3.230000000000004</v>
      </c>
      <c r="U181" s="212">
        <f ca="1">IF(B181&gt;=$P$5,0,(CONTADORES!AQ177-CONTADORES!AQ176))</f>
        <v>4.5</v>
      </c>
      <c r="V181" s="212">
        <f ca="1">IF(B181&gt;=$P$5,0,(CONTADORES!AR177-CONTADORES!AR176))</f>
        <v>0</v>
      </c>
      <c r="W181" s="736">
        <v>0</v>
      </c>
      <c r="X181" s="212">
        <f ca="1">IF(W181=0,(T181-INICIO!$W$6),((T181-INICIO!$W$6)+V181))</f>
        <v>3.230000000000004</v>
      </c>
      <c r="Y181" s="214">
        <f t="shared" ca="1" si="38"/>
        <v>10.5</v>
      </c>
      <c r="Z181" s="215">
        <f t="shared" ca="1" si="39"/>
        <v>8.2132881637167383</v>
      </c>
      <c r="AA181" s="212">
        <f t="shared" ca="1" si="40"/>
        <v>1.6333655973451393</v>
      </c>
      <c r="AB181" s="212">
        <f t="shared" ca="1" si="41"/>
        <v>0.44917553926997933</v>
      </c>
      <c r="AC181" s="214">
        <f t="shared" ca="1" si="36"/>
        <v>0.20417069966814241</v>
      </c>
    </row>
    <row r="182" spans="2:29">
      <c r="B182" s="220">
        <v>44733</v>
      </c>
      <c r="C182" s="208">
        <f ca="1">DATOSAÑO!I182</f>
        <v>289</v>
      </c>
      <c r="D182" s="202">
        <f ca="1">DATOSAÑO!P182</f>
        <v>150</v>
      </c>
      <c r="E182" s="202">
        <f ca="1">DATOSAÑO!Q182</f>
        <v>0</v>
      </c>
      <c r="F182" s="202">
        <f ca="1">DATOSAÑO!T182</f>
        <v>0</v>
      </c>
      <c r="G182" s="202">
        <f t="shared" ca="1" si="35"/>
        <v>439</v>
      </c>
      <c r="H182" s="202">
        <f t="shared" ca="1" si="42"/>
        <v>33.607599999996353</v>
      </c>
      <c r="I182" s="202">
        <f t="shared" ca="1" si="31"/>
        <v>187.3828695652179</v>
      </c>
      <c r="J182" s="202">
        <f t="shared" ca="1" si="32"/>
        <v>36.788739130437321</v>
      </c>
      <c r="K182" s="202">
        <f t="shared" ca="1" si="33"/>
        <v>10.00486956521574</v>
      </c>
      <c r="L182" s="202">
        <f t="shared" ca="1" si="30"/>
        <v>165.69239999999928</v>
      </c>
      <c r="M182" s="202">
        <f t="shared" ca="1" si="34"/>
        <v>5.5235217391333942</v>
      </c>
      <c r="N182" s="202">
        <f t="shared" ca="1" si="37"/>
        <v>5.3000000000029104</v>
      </c>
      <c r="O182" s="202">
        <f ca="1">(DATOSAÑO!AJ182+DATOSAÑO!AK182+DATOSAÑO!AD182)</f>
        <v>179.80000000000291</v>
      </c>
      <c r="P182" s="202">
        <f ca="1">DATOSAÑO!AI182</f>
        <v>35.30000000000291</v>
      </c>
      <c r="Q182" s="202">
        <f ca="1">DATOSAÑO!AH182</f>
        <v>9.5999999999985448</v>
      </c>
      <c r="R182" s="202">
        <f ca="1">DATOSAÑO!AM182+DATOSAÑO!AN182+DATOSAÑO!AF182</f>
        <v>165.69239999999928</v>
      </c>
      <c r="S182" s="215">
        <f ca="1">IF(B182&gt;=$P$5,0,CONTADORES!Q178-CONTADORES!Q177)</f>
        <v>15</v>
      </c>
      <c r="T182" s="212">
        <f ca="1">IF(B182&gt;=$P$5,0,(CONTADORES!S178-CONTADORES!S177)+(CONTADORES!AE178-CONTADORES!AE177))</f>
        <v>3.240000000000002</v>
      </c>
      <c r="U182" s="212">
        <f ca="1">IF(B182&gt;=$P$5,0,(CONTADORES!AQ178-CONTADORES!AQ177))</f>
        <v>5.3000000000029104</v>
      </c>
      <c r="V182" s="212">
        <f ca="1">IF(B182&gt;=$P$5,0,(CONTADORES!AR178-CONTADORES!AR177))</f>
        <v>0</v>
      </c>
      <c r="W182" s="736">
        <v>0</v>
      </c>
      <c r="X182" s="212">
        <f ca="1">IF(W182=0,(T182-INICIO!$W$6),((T182-INICIO!$W$6)+V182))</f>
        <v>3.240000000000002</v>
      </c>
      <c r="Y182" s="214">
        <f t="shared" ca="1" si="38"/>
        <v>9.6999999999970896</v>
      </c>
      <c r="Z182" s="215">
        <f t="shared" ca="1" si="39"/>
        <v>7.5828695652149989</v>
      </c>
      <c r="AA182" s="212">
        <f t="shared" ca="1" si="40"/>
        <v>1.4887391304344115</v>
      </c>
      <c r="AB182" s="212">
        <f t="shared" ca="1" si="41"/>
        <v>0.40486956521719564</v>
      </c>
      <c r="AC182" s="214">
        <f t="shared" ca="1" si="36"/>
        <v>0.2235217391304834</v>
      </c>
    </row>
    <row r="183" spans="2:29">
      <c r="B183" s="220">
        <v>44734</v>
      </c>
      <c r="C183" s="208">
        <f ca="1">DATOSAÑO!I183</f>
        <v>290</v>
      </c>
      <c r="D183" s="202">
        <f ca="1">DATOSAÑO!P183</f>
        <v>154</v>
      </c>
      <c r="E183" s="202">
        <f ca="1">DATOSAÑO!Q183</f>
        <v>8.0000000000381988E-3</v>
      </c>
      <c r="F183" s="202">
        <f ca="1">DATOSAÑO!T183</f>
        <v>0</v>
      </c>
      <c r="G183" s="202">
        <f t="shared" ca="1" si="35"/>
        <v>444.00800000000004</v>
      </c>
      <c r="H183" s="202">
        <f t="shared" ca="1" si="42"/>
        <v>36.139999999987992</v>
      </c>
      <c r="I183" s="202">
        <f t="shared" ca="1" si="31"/>
        <v>187.15996717063146</v>
      </c>
      <c r="J183" s="202">
        <f t="shared" ca="1" si="32"/>
        <v>37.162101079917043</v>
      </c>
      <c r="K183" s="202">
        <f t="shared" ca="1" si="33"/>
        <v>11.626132181430147</v>
      </c>
      <c r="L183" s="202">
        <f t="shared" ca="1" si="30"/>
        <v>167.56000000000182</v>
      </c>
      <c r="M183" s="202">
        <f t="shared" ca="1" si="34"/>
        <v>4.3597995680315842</v>
      </c>
      <c r="N183" s="202">
        <f t="shared" ca="1" si="37"/>
        <v>4.1999999999970896</v>
      </c>
      <c r="O183" s="202">
        <f ca="1">(DATOSAÑO!AJ183+DATOSAÑO!AK183+DATOSAÑO!AD183)</f>
        <v>180.30000000000291</v>
      </c>
      <c r="P183" s="202">
        <f ca="1">DATOSAÑO!AI183</f>
        <v>35.80000000000291</v>
      </c>
      <c r="Q183" s="202">
        <f ca="1">DATOSAÑO!AH183</f>
        <v>11.200000000004366</v>
      </c>
      <c r="R183" s="202">
        <f ca="1">DATOSAÑO!AM183+DATOSAÑO!AN183+DATOSAÑO!AF183</f>
        <v>167.56000000000182</v>
      </c>
      <c r="S183" s="215">
        <f ca="1">IF(B183&gt;=$P$5,0,CONTADORES!Q179-CONTADORES!Q178)</f>
        <v>13</v>
      </c>
      <c r="T183" s="212">
        <f ca="1">IF(B183&gt;=$P$5,0,(CONTADORES!S179-CONTADORES!S178)+(CONTADORES!AE179-CONTADORES!AE178))</f>
        <v>3.25</v>
      </c>
      <c r="U183" s="212">
        <f ca="1">IF(B183&gt;=$P$5,0,(CONTADORES!AQ179-CONTADORES!AQ178))</f>
        <v>4.1999999999970896</v>
      </c>
      <c r="V183" s="212">
        <f ca="1">IF(B183&gt;=$P$5,0,(CONTADORES!AR179-CONTADORES!AR178))</f>
        <v>0</v>
      </c>
      <c r="W183" s="736">
        <v>0</v>
      </c>
      <c r="X183" s="212">
        <f ca="1">IF(W183=0,(T183-INICIO!$W$6),((T183-INICIO!$W$6)+V183))</f>
        <v>3.25</v>
      </c>
      <c r="Y183" s="214">
        <f t="shared" ca="1" si="38"/>
        <v>8.8080000000029486</v>
      </c>
      <c r="Z183" s="215">
        <f t="shared" ca="1" si="39"/>
        <v>6.8599671706285417</v>
      </c>
      <c r="AA183" s="212">
        <f t="shared" ca="1" si="40"/>
        <v>1.3621010799141307</v>
      </c>
      <c r="AB183" s="212">
        <f t="shared" ca="1" si="41"/>
        <v>0.4261321814257813</v>
      </c>
      <c r="AC183" s="214">
        <f t="shared" ca="1" si="36"/>
        <v>0.15979956803449497</v>
      </c>
    </row>
    <row r="184" spans="2:29">
      <c r="B184" s="220">
        <v>44735</v>
      </c>
      <c r="C184" s="208">
        <f ca="1">DATOSAÑO!I184</f>
        <v>292</v>
      </c>
      <c r="D184" s="202">
        <f ca="1">DATOSAÑO!P184</f>
        <v>144</v>
      </c>
      <c r="E184" s="202">
        <f ca="1">DATOSAÑO!Q184</f>
        <v>0</v>
      </c>
      <c r="F184" s="202">
        <f ca="1">DATOSAÑO!T184</f>
        <v>0</v>
      </c>
      <c r="G184" s="202">
        <f t="shared" ca="1" si="35"/>
        <v>436</v>
      </c>
      <c r="H184" s="202">
        <f t="shared" ca="1" si="42"/>
        <v>35.567999999998563</v>
      </c>
      <c r="I184" s="202">
        <f t="shared" ca="1" si="31"/>
        <v>185.48043956044259</v>
      </c>
      <c r="J184" s="202">
        <f t="shared" ca="1" si="32"/>
        <v>37.552527472524453</v>
      </c>
      <c r="K184" s="202">
        <f t="shared" ca="1" si="33"/>
        <v>8.2989010989010996</v>
      </c>
      <c r="L184" s="202">
        <f t="shared" ca="1" si="30"/>
        <v>164.43200000000144</v>
      </c>
      <c r="M184" s="202">
        <f t="shared" ca="1" si="34"/>
        <v>4.6681318681318684</v>
      </c>
      <c r="N184" s="202">
        <f t="shared" ca="1" si="37"/>
        <v>4.5</v>
      </c>
      <c r="O184" s="202">
        <f ca="1">(DATOSAÑO!AJ184+DATOSAÑO!AK184+DATOSAÑO!AD184)</f>
        <v>178.80000000000291</v>
      </c>
      <c r="P184" s="202">
        <f ca="1">DATOSAÑO!AI184</f>
        <v>36.19999999999709</v>
      </c>
      <c r="Q184" s="202">
        <f ca="1">DATOSAÑO!AH184</f>
        <v>8</v>
      </c>
      <c r="R184" s="202">
        <f ca="1">DATOSAÑO!AM184+DATOSAÑO!AN184+DATOSAÑO!AF184</f>
        <v>164.43200000000144</v>
      </c>
      <c r="S184" s="215">
        <f ca="1">IF(B184&gt;=$P$5,0,CONTADORES!Q180-CONTADORES!Q179)</f>
        <v>13</v>
      </c>
      <c r="T184" s="212">
        <f ca="1">IF(B184&gt;=$P$5,0,(CONTADORES!S180-CONTADORES!S179)+(CONTADORES!AE180-CONTADORES!AE179))</f>
        <v>3.0799999999999983</v>
      </c>
      <c r="U184" s="212">
        <f ca="1">IF(B184&gt;=$P$5,0,(CONTADORES!AQ180-CONTADORES!AQ179))</f>
        <v>4.5</v>
      </c>
      <c r="V184" s="212">
        <f ca="1">IF(B184&gt;=$P$5,0,(CONTADORES!AR180-CONTADORES!AR179))</f>
        <v>0</v>
      </c>
      <c r="W184" s="736">
        <v>0</v>
      </c>
      <c r="X184" s="212">
        <f ca="1">IF(W184=0,(T184-INICIO!$W$6),((T184-INICIO!$W$6)+V184))</f>
        <v>3.0799999999999983</v>
      </c>
      <c r="Y184" s="214">
        <f t="shared" ca="1" si="38"/>
        <v>8.5</v>
      </c>
      <c r="Z184" s="215">
        <f t="shared" ca="1" si="39"/>
        <v>6.6804395604396696</v>
      </c>
      <c r="AA184" s="212">
        <f t="shared" ca="1" si="40"/>
        <v>1.3525274725273637</v>
      </c>
      <c r="AB184" s="212">
        <f t="shared" ca="1" si="41"/>
        <v>0.29890109890109889</v>
      </c>
      <c r="AC184" s="214">
        <f t="shared" ca="1" si="36"/>
        <v>0.16813186813186815</v>
      </c>
    </row>
    <row r="185" spans="2:29">
      <c r="B185" s="220">
        <v>44736</v>
      </c>
      <c r="C185" s="208">
        <f ca="1">DATOSAÑO!I185</f>
        <v>296</v>
      </c>
      <c r="D185" s="202">
        <f ca="1">DATOSAÑO!P185</f>
        <v>146</v>
      </c>
      <c r="E185" s="202">
        <f ca="1">DATOSAÑO!Q185</f>
        <v>0</v>
      </c>
      <c r="F185" s="202">
        <f ca="1">DATOSAÑO!T185</f>
        <v>0</v>
      </c>
      <c r="G185" s="202">
        <f t="shared" ca="1" si="35"/>
        <v>442</v>
      </c>
      <c r="H185" s="202">
        <f t="shared" ca="1" si="42"/>
        <v>34.234000000015669</v>
      </c>
      <c r="I185" s="202">
        <f t="shared" ca="1" si="31"/>
        <v>188.5745454545345</v>
      </c>
      <c r="J185" s="202">
        <f t="shared" ca="1" si="32"/>
        <v>39.051428571422115</v>
      </c>
      <c r="K185" s="202">
        <f t="shared" ca="1" si="33"/>
        <v>9.606233766232533</v>
      </c>
      <c r="L185" s="202">
        <f t="shared" ca="1" si="30"/>
        <v>166.566</v>
      </c>
      <c r="M185" s="202">
        <f t="shared" ca="1" si="34"/>
        <v>3.9677922077952079</v>
      </c>
      <c r="N185" s="202">
        <f t="shared" ca="1" si="37"/>
        <v>3.8000000000029104</v>
      </c>
      <c r="O185" s="202">
        <f ca="1">(DATOSAÑO!AJ185+DATOSAÑO!AK185+DATOSAÑO!AD185)</f>
        <v>180.59999999999127</v>
      </c>
      <c r="P185" s="202">
        <f ca="1">DATOSAÑO!AI185</f>
        <v>37.399999999994179</v>
      </c>
      <c r="Q185" s="202">
        <f ca="1">DATOSAÑO!AH185</f>
        <v>9.1999999999989086</v>
      </c>
      <c r="R185" s="202">
        <f ca="1">DATOSAÑO!AM185+DATOSAÑO!AN185+DATOSAÑO!AF185</f>
        <v>166.566</v>
      </c>
      <c r="S185" s="215">
        <f ca="1">IF(B185&gt;=$P$5,0,CONTADORES!Q181-CONTADORES!Q180)</f>
        <v>14</v>
      </c>
      <c r="T185" s="212">
        <f ca="1">IF(B185&gt;=$P$5,0,(CONTADORES!S181-CONTADORES!S180)+(CONTADORES!AE181-CONTADORES!AE180))</f>
        <v>3.2199999999999989</v>
      </c>
      <c r="U185" s="212">
        <f ca="1">IF(B185&gt;=$P$5,0,(CONTADORES!AQ181-CONTADORES!AQ180))</f>
        <v>3.8000000000029104</v>
      </c>
      <c r="V185" s="212">
        <f ca="1">IF(B185&gt;=$P$5,0,(CONTADORES!AR181-CONTADORES!AR180))</f>
        <v>0</v>
      </c>
      <c r="W185" s="736">
        <v>0</v>
      </c>
      <c r="X185" s="212">
        <f ca="1">IF(W185=0,(T185-INICIO!$W$6),((T185-INICIO!$W$6)+V185))</f>
        <v>3.2199999999999989</v>
      </c>
      <c r="Y185" s="214">
        <f t="shared" ca="1" si="38"/>
        <v>10.19999999999709</v>
      </c>
      <c r="Z185" s="215">
        <f t="shared" ca="1" si="39"/>
        <v>7.9745454545432333</v>
      </c>
      <c r="AA185" s="212">
        <f t="shared" ca="1" si="40"/>
        <v>1.6514285714279342</v>
      </c>
      <c r="AB185" s="212">
        <f t="shared" ca="1" si="41"/>
        <v>0.4062337662336245</v>
      </c>
      <c r="AC185" s="214">
        <f t="shared" ca="1" si="36"/>
        <v>0.16779220779229767</v>
      </c>
    </row>
    <row r="186" spans="2:29">
      <c r="B186" s="220">
        <v>44737</v>
      </c>
      <c r="C186" s="208">
        <f ca="1">DATOSAÑO!I186</f>
        <v>293</v>
      </c>
      <c r="D186" s="202">
        <f ca="1">DATOSAÑO!P186</f>
        <v>151</v>
      </c>
      <c r="E186" s="202">
        <f ca="1">DATOSAÑO!Q186</f>
        <v>0</v>
      </c>
      <c r="F186" s="202">
        <f ca="1">DATOSAÑO!T186</f>
        <v>0</v>
      </c>
      <c r="G186" s="202">
        <f t="shared" ca="1" si="35"/>
        <v>444</v>
      </c>
      <c r="H186" s="202">
        <f t="shared" ca="1" si="42"/>
        <v>33.055599999988601</v>
      </c>
      <c r="I186" s="202">
        <f t="shared" ca="1" si="31"/>
        <v>186.81611658808731</v>
      </c>
      <c r="J186" s="202">
        <f t="shared" ca="1" si="32"/>
        <v>38.587226746689602</v>
      </c>
      <c r="K186" s="202">
        <f t="shared" ca="1" si="33"/>
        <v>12.13630518645201</v>
      </c>
      <c r="L186" s="202">
        <f t="shared" ca="1" si="30"/>
        <v>168.94439999999688</v>
      </c>
      <c r="M186" s="202">
        <f t="shared" ca="1" si="34"/>
        <v>4.4603514787856362</v>
      </c>
      <c r="N186" s="202">
        <f t="shared" ca="1" si="37"/>
        <v>4.3000000000029104</v>
      </c>
      <c r="O186" s="202">
        <f ca="1">(DATOSAÑO!AJ186+DATOSAÑO!AK186+DATOSAÑO!AD186)</f>
        <v>180.10000000000582</v>
      </c>
      <c r="P186" s="202">
        <f ca="1">DATOSAÑO!AI186</f>
        <v>37.200000000011642</v>
      </c>
      <c r="Q186" s="202">
        <f ca="1">DATOSAÑO!AH186</f>
        <v>11.69999999999709</v>
      </c>
      <c r="R186" s="202">
        <f ca="1">DATOSAÑO!AM186+DATOSAÑO!AN186+DATOSAÑO!AF186</f>
        <v>168.94439999999688</v>
      </c>
      <c r="S186" s="215">
        <f ca="1">IF(B186&gt;=$P$5,0,CONTADORES!Q182-CONTADORES!Q181)</f>
        <v>13</v>
      </c>
      <c r="T186" s="212">
        <f ca="1">IF(B186&gt;=$P$5,0,(CONTADORES!S182-CONTADORES!S181)+(CONTADORES!AE182-CONTADORES!AE181))</f>
        <v>3.240000000000002</v>
      </c>
      <c r="U186" s="212">
        <f ca="1">IF(B186&gt;=$P$5,0,(CONTADORES!AQ182-CONTADORES!AQ181))</f>
        <v>4.3000000000029104</v>
      </c>
      <c r="V186" s="212">
        <f ca="1">IF(B186&gt;=$P$5,0,(CONTADORES!AR182-CONTADORES!AR181))</f>
        <v>0</v>
      </c>
      <c r="W186" s="736">
        <v>0</v>
      </c>
      <c r="X186" s="212">
        <f ca="1">IF(W186=0,(T186-INICIO!$W$6),((T186-INICIO!$W$6)+V186))</f>
        <v>3.240000000000002</v>
      </c>
      <c r="Y186" s="214">
        <f t="shared" ca="1" si="38"/>
        <v>8.6999999999970896</v>
      </c>
      <c r="Z186" s="215">
        <f t="shared" ca="1" si="39"/>
        <v>6.7161165880814799</v>
      </c>
      <c r="AA186" s="212">
        <f t="shared" ca="1" si="40"/>
        <v>1.3872267466779631</v>
      </c>
      <c r="AB186" s="212">
        <f t="shared" ca="1" si="41"/>
        <v>0.43630518645492078</v>
      </c>
      <c r="AC186" s="214">
        <f t="shared" ca="1" si="36"/>
        <v>0.16035147878272613</v>
      </c>
    </row>
    <row r="187" spans="2:29">
      <c r="B187" s="220">
        <v>44738</v>
      </c>
      <c r="C187" s="208">
        <f ca="1">DATOSAÑO!I187</f>
        <v>294</v>
      </c>
      <c r="D187" s="202">
        <f ca="1">DATOSAÑO!P187</f>
        <v>146</v>
      </c>
      <c r="E187" s="202">
        <f ca="1">DATOSAÑO!Q187</f>
        <v>0</v>
      </c>
      <c r="F187" s="202">
        <f ca="1">DATOSAÑO!T187</f>
        <v>0</v>
      </c>
      <c r="G187" s="202">
        <f t="shared" ca="1" si="35"/>
        <v>440</v>
      </c>
      <c r="H187" s="202">
        <f t="shared" ca="1" si="42"/>
        <v>31.264000000005808</v>
      </c>
      <c r="I187" s="202">
        <f t="shared" ca="1" si="31"/>
        <v>185.4454584963085</v>
      </c>
      <c r="J187" s="202">
        <f t="shared" ca="1" si="32"/>
        <v>38.551760104296925</v>
      </c>
      <c r="K187" s="202">
        <f t="shared" ca="1" si="33"/>
        <v>11.492394611038836</v>
      </c>
      <c r="L187" s="202">
        <f t="shared" ca="1" si="30"/>
        <v>168.33600000000001</v>
      </c>
      <c r="M187" s="202">
        <f t="shared" ca="1" si="34"/>
        <v>4.9103867883499168</v>
      </c>
      <c r="N187" s="202">
        <f t="shared" ca="1" si="37"/>
        <v>4.6999999999970896</v>
      </c>
      <c r="O187" s="202">
        <f ca="1">(DATOSAÑO!AJ187+DATOSAÑO!AK187+DATOSAÑO!AD187)</f>
        <v>177.5</v>
      </c>
      <c r="P187" s="202">
        <f ca="1">DATOSAÑO!AI187</f>
        <v>36.899999999994179</v>
      </c>
      <c r="Q187" s="202">
        <f ca="1">DATOSAÑO!AH187</f>
        <v>11</v>
      </c>
      <c r="R187" s="202">
        <f ca="1">DATOSAÑO!AM187+DATOSAÑO!AN187+DATOSAÑO!AF187</f>
        <v>168.33600000000001</v>
      </c>
      <c r="S187" s="215">
        <f ca="1">IF(B187&gt;=$P$5,0,CONTADORES!Q183-CONTADORES!Q182)</f>
        <v>15</v>
      </c>
      <c r="T187" s="212">
        <f ca="1">IF(B187&gt;=$P$5,0,(CONTADORES!S183-CONTADORES!S182)+(CONTADORES!AE183-CONTADORES!AE182))</f>
        <v>3.3399999999999963</v>
      </c>
      <c r="U187" s="212">
        <f ca="1">IF(B187&gt;=$P$5,0,(CONTADORES!AQ183-CONTADORES!AQ182))</f>
        <v>4.6999999999970896</v>
      </c>
      <c r="V187" s="212">
        <f ca="1">IF(B187&gt;=$P$5,0,(CONTADORES!AR183-CONTADORES!AR182))</f>
        <v>0</v>
      </c>
      <c r="W187" s="736">
        <v>0</v>
      </c>
      <c r="X187" s="212">
        <f ca="1">IF(W187=0,(T187-INICIO!$W$6),((T187-INICIO!$W$6)+V187))</f>
        <v>3.3399999999999963</v>
      </c>
      <c r="Y187" s="214">
        <f t="shared" ca="1" si="38"/>
        <v>10.30000000000291</v>
      </c>
      <c r="Z187" s="215">
        <f t="shared" ca="1" si="39"/>
        <v>7.9454584963085004</v>
      </c>
      <c r="AA187" s="212">
        <f t="shared" ca="1" si="40"/>
        <v>1.6517601043027461</v>
      </c>
      <c r="AB187" s="212">
        <f t="shared" ca="1" si="41"/>
        <v>0.49239461103883664</v>
      </c>
      <c r="AC187" s="214">
        <f t="shared" ca="1" si="36"/>
        <v>0.2103867883528272</v>
      </c>
    </row>
    <row r="188" spans="2:29">
      <c r="B188" s="220">
        <v>44739</v>
      </c>
      <c r="C188" s="208">
        <f ca="1">DATOSAÑO!I188</f>
        <v>289.06000000005588</v>
      </c>
      <c r="D188" s="202">
        <f ca="1">DATOSAÑO!P188</f>
        <v>145.9800000000032</v>
      </c>
      <c r="E188" s="202">
        <f ca="1">DATOSAÑO!Q188</f>
        <v>0.18599999999992178</v>
      </c>
      <c r="F188" s="202">
        <f ca="1">DATOSAÑO!T188</f>
        <v>0.25300000000004275</v>
      </c>
      <c r="G188" s="202">
        <f t="shared" ca="1" si="35"/>
        <v>435.47900000005905</v>
      </c>
      <c r="H188" s="202">
        <f t="shared" ca="1" si="42"/>
        <v>29.283000000037021</v>
      </c>
      <c r="I188" s="202">
        <f t="shared" ca="1" si="31"/>
        <v>185.33594248615202</v>
      </c>
      <c r="J188" s="202">
        <f t="shared" ca="1" si="32"/>
        <v>35.874504814611122</v>
      </c>
      <c r="K188" s="202">
        <f t="shared" ca="1" si="33"/>
        <v>13.263645157078329</v>
      </c>
      <c r="L188" s="202">
        <f t="shared" ca="1" si="30"/>
        <v>166.50000000002552</v>
      </c>
      <c r="M188" s="202">
        <f t="shared" ca="1" si="34"/>
        <v>5.2219075421550274</v>
      </c>
      <c r="N188" s="202">
        <f t="shared" ca="1" si="37"/>
        <v>5</v>
      </c>
      <c r="O188" s="202">
        <f ca="1">(DATOSAÑO!AJ188+DATOSAÑO!AK188+DATOSAÑO!AD188)</f>
        <v>177.45999999998639</v>
      </c>
      <c r="P188" s="202">
        <f ca="1">DATOSAÑO!AI188</f>
        <v>34.350000000005821</v>
      </c>
      <c r="Q188" s="202">
        <f ca="1">DATOSAÑO!AH188</f>
        <v>12.700000000004366</v>
      </c>
      <c r="R188" s="202">
        <f ca="1">DATOSAÑO!AM188+DATOSAÑO!AN188+DATOSAÑO!AF188</f>
        <v>166.50000000002552</v>
      </c>
      <c r="S188" s="215">
        <f ca="1">IF(B188&gt;=$P$5,0,CONTADORES!Q184-CONTADORES!Q183)</f>
        <v>15</v>
      </c>
      <c r="T188" s="212">
        <f ca="1">IF(B188&gt;=$P$5,0,(CONTADORES!S184-CONTADORES!S183)+(CONTADORES!AE184-CONTADORES!AE183))</f>
        <v>3.3000000000000043</v>
      </c>
      <c r="U188" s="212">
        <f ca="1">IF(B188&gt;=$P$5,0,(CONTADORES!AQ184-CONTADORES!AQ183))</f>
        <v>5</v>
      </c>
      <c r="V188" s="212">
        <f ca="1">IF(B188&gt;=$P$5,0,(CONTADORES!AR184-CONTADORES!AR183))</f>
        <v>0</v>
      </c>
      <c r="W188" s="736">
        <v>0</v>
      </c>
      <c r="X188" s="212">
        <f ca="1">IF(W188=0,(T188-INICIO!$W$6),((T188-INICIO!$W$6)+V188))</f>
        <v>3.3000000000000043</v>
      </c>
      <c r="Y188" s="214">
        <f t="shared" ca="1" si="38"/>
        <v>10.185999999999922</v>
      </c>
      <c r="Z188" s="215">
        <f t="shared" ca="1" si="39"/>
        <v>7.8759424861656333</v>
      </c>
      <c r="AA188" s="212">
        <f t="shared" ca="1" si="40"/>
        <v>1.5245048146052975</v>
      </c>
      <c r="AB188" s="212">
        <f t="shared" ca="1" si="41"/>
        <v>0.56364515707396368</v>
      </c>
      <c r="AC188" s="214">
        <f t="shared" ca="1" si="36"/>
        <v>0.22190754215502753</v>
      </c>
    </row>
    <row r="189" spans="2:29">
      <c r="B189" s="220">
        <v>44740</v>
      </c>
      <c r="C189" s="208">
        <f ca="1">DATOSAÑO!I189</f>
        <v>283.39999999990687</v>
      </c>
      <c r="D189" s="202">
        <f ca="1">DATOSAÑO!P189</f>
        <v>146.56999999999971</v>
      </c>
      <c r="E189" s="202">
        <f ca="1">DATOSAÑO!Q189</f>
        <v>0</v>
      </c>
      <c r="F189" s="202">
        <f ca="1">DATOSAÑO!T189</f>
        <v>0</v>
      </c>
      <c r="G189" s="202">
        <f t="shared" ca="1" si="35"/>
        <v>429.96999999990658</v>
      </c>
      <c r="H189" s="202">
        <f t="shared" ca="1" si="42"/>
        <v>31.69999999995207</v>
      </c>
      <c r="I189" s="202">
        <f t="shared" ca="1" si="31"/>
        <v>182.92349169929543</v>
      </c>
      <c r="J189" s="202">
        <f t="shared" ca="1" si="32"/>
        <v>37.367091375347364</v>
      </c>
      <c r="K189" s="202">
        <f t="shared" ca="1" si="33"/>
        <v>6.3634633553772391</v>
      </c>
      <c r="L189" s="202">
        <f t="shared" ca="1" si="30"/>
        <v>166.39999999995192</v>
      </c>
      <c r="M189" s="202">
        <f t="shared" ca="1" si="34"/>
        <v>5.2159535699825881</v>
      </c>
      <c r="N189" s="202">
        <f t="shared" ca="1" si="37"/>
        <v>5</v>
      </c>
      <c r="O189" s="202">
        <f ca="1">(DATOSAÑO!AJ189+DATOSAÑO!AK189+DATOSAÑO!AD189)</f>
        <v>175.35000000000582</v>
      </c>
      <c r="P189" s="202">
        <f ca="1">DATOSAÑO!AI189</f>
        <v>35.819999999992433</v>
      </c>
      <c r="Q189" s="202">
        <f ca="1">DATOSAÑO!AH189</f>
        <v>6.0999999999985448</v>
      </c>
      <c r="R189" s="202">
        <f ca="1">DATOSAÑO!AM189+DATOSAÑO!AN189+DATOSAÑO!AF189</f>
        <v>166.39999999995192</v>
      </c>
      <c r="S189" s="215">
        <f ca="1">IF(B189&gt;=$P$5,0,CONTADORES!Q185-CONTADORES!Q184)</f>
        <v>14.600000000005821</v>
      </c>
      <c r="T189" s="212">
        <f ca="1">IF(B189&gt;=$P$5,0,(CONTADORES!S185-CONTADORES!S184)+(CONTADORES!AE185-CONTADORES!AE184))</f>
        <v>3.2000000000000028</v>
      </c>
      <c r="U189" s="212">
        <f ca="1">IF(B189&gt;=$P$5,0,(CONTADORES!AQ185-CONTADORES!AQ184))</f>
        <v>5</v>
      </c>
      <c r="V189" s="212">
        <f ca="1">IF(B189&gt;=$P$5,0,(CONTADORES!AR185-CONTADORES!AR184))</f>
        <v>0</v>
      </c>
      <c r="W189" s="736">
        <v>0</v>
      </c>
      <c r="X189" s="212">
        <f ca="1">IF(W189=0,(T189-INICIO!$W$6),((T189-INICIO!$W$6)+V189))</f>
        <v>3.2000000000000028</v>
      </c>
      <c r="Y189" s="214">
        <f t="shared" ca="1" si="38"/>
        <v>9.6000000000058208</v>
      </c>
      <c r="Z189" s="215">
        <f t="shared" ca="1" si="39"/>
        <v>7.5734916992896064</v>
      </c>
      <c r="AA189" s="212">
        <f t="shared" ca="1" si="40"/>
        <v>1.5470913753549325</v>
      </c>
      <c r="AB189" s="212">
        <f t="shared" ca="1" si="41"/>
        <v>0.26346335537869431</v>
      </c>
      <c r="AC189" s="214">
        <f t="shared" ca="1" si="36"/>
        <v>0.21595356998258783</v>
      </c>
    </row>
    <row r="190" spans="2:29">
      <c r="B190" s="220">
        <v>44741</v>
      </c>
      <c r="C190" s="208">
        <f ca="1">DATOSAÑO!I190</f>
        <v>290.79000000003725</v>
      </c>
      <c r="D190" s="202">
        <f ca="1">DATOSAÑO!P190</f>
        <v>147.78600000000006</v>
      </c>
      <c r="E190" s="202">
        <f ca="1">DATOSAÑO!Q190</f>
        <v>0</v>
      </c>
      <c r="F190" s="202">
        <f ca="1">DATOSAÑO!T190</f>
        <v>0</v>
      </c>
      <c r="G190" s="202">
        <f t="shared" ca="1" si="35"/>
        <v>438.57600000003731</v>
      </c>
      <c r="H190" s="202">
        <f t="shared" ca="1" si="42"/>
        <v>33.170999999993739</v>
      </c>
      <c r="I190" s="202">
        <f t="shared" ca="1" si="31"/>
        <v>183.02161633792858</v>
      </c>
      <c r="J190" s="202">
        <f t="shared" ca="1" si="32"/>
        <v>36.904136847613444</v>
      </c>
      <c r="K190" s="202">
        <f t="shared" ca="1" si="33"/>
        <v>13.429149938908497</v>
      </c>
      <c r="L190" s="202">
        <f t="shared" ca="1" si="30"/>
        <v>166.84500000004772</v>
      </c>
      <c r="M190" s="202">
        <f t="shared" ca="1" si="34"/>
        <v>5.2050968755453422</v>
      </c>
      <c r="N190" s="202">
        <f t="shared" ca="1" si="37"/>
        <v>5</v>
      </c>
      <c r="O190" s="202">
        <f ca="1">(DATOSAÑO!AJ190+DATOSAÑO!AK190+DATOSAÑO!AD190)</f>
        <v>175.81000000000313</v>
      </c>
      <c r="P190" s="202">
        <f ca="1">DATOSAÑO!AI190</f>
        <v>35.44999999999709</v>
      </c>
      <c r="Q190" s="202">
        <f ca="1">DATOSAÑO!AH190</f>
        <v>12.900000000001455</v>
      </c>
      <c r="R190" s="202">
        <f ca="1">DATOSAÑO!AM190+DATOSAÑO!AN190+DATOSAÑO!AF190</f>
        <v>166.84500000004772</v>
      </c>
      <c r="S190" s="215">
        <f ca="1">IF(B190&gt;=$P$5,0,CONTADORES!Q186-CONTADORES!Q185)</f>
        <v>14.399999999994179</v>
      </c>
      <c r="T190" s="212">
        <f ca="1">IF(B190&gt;=$P$5,0,(CONTADORES!S186-CONTADORES!S185)+(CONTADORES!AE186-CONTADORES!AE185))</f>
        <v>3.2999999999999972</v>
      </c>
      <c r="U190" s="212">
        <f ca="1">IF(B190&gt;=$P$5,0,(CONTADORES!AQ186-CONTADORES!AQ185))</f>
        <v>5</v>
      </c>
      <c r="V190" s="212">
        <f ca="1">IF(B190&gt;=$P$5,0,(CONTADORES!AR186-CONTADORES!AR185))</f>
        <v>0</v>
      </c>
      <c r="W190" s="736">
        <v>0</v>
      </c>
      <c r="X190" s="212">
        <f ca="1">IF(W190=0,(T190-INICIO!$W$6),((T190-INICIO!$W$6)+V190))</f>
        <v>3.2999999999999972</v>
      </c>
      <c r="Y190" s="214">
        <f t="shared" ca="1" si="38"/>
        <v>9.3999999999941792</v>
      </c>
      <c r="Z190" s="215">
        <f t="shared" ca="1" si="39"/>
        <v>7.2116163379254399</v>
      </c>
      <c r="AA190" s="212">
        <f t="shared" ca="1" si="40"/>
        <v>1.4541368476163548</v>
      </c>
      <c r="AB190" s="212">
        <f t="shared" ca="1" si="41"/>
        <v>0.52914993890704176</v>
      </c>
      <c r="AC190" s="214">
        <f t="shared" ca="1" si="36"/>
        <v>0.20509687554534192</v>
      </c>
    </row>
    <row r="191" spans="2:29" ht="15" thickBot="1">
      <c r="B191" s="1069">
        <v>44742</v>
      </c>
      <c r="C191" s="209">
        <f ca="1">DATOSAÑO!I191</f>
        <v>282.07600000000093</v>
      </c>
      <c r="D191" s="203">
        <f ca="1">DATOSAÑO!P191</f>
        <v>147.90399999999499</v>
      </c>
      <c r="E191" s="203">
        <f ca="1">DATOSAÑO!Q191</f>
        <v>0</v>
      </c>
      <c r="F191" s="203">
        <f ca="1">DATOSAÑO!T191</f>
        <v>0</v>
      </c>
      <c r="G191" s="203">
        <f t="shared" ca="1" si="35"/>
        <v>429.97999999999593</v>
      </c>
      <c r="H191" s="203">
        <f t="shared" ca="1" si="42"/>
        <v>35.17100000003029</v>
      </c>
      <c r="I191" s="203">
        <f t="shared" ca="1" si="31"/>
        <v>183.44219007528494</v>
      </c>
      <c r="J191" s="203">
        <f t="shared" ca="1" si="32"/>
        <v>38.015639693461289</v>
      </c>
      <c r="K191" s="203">
        <f t="shared" ca="1" si="33"/>
        <v>3.9730316511271897</v>
      </c>
      <c r="L191" s="203">
        <f t="shared" ca="1" si="30"/>
        <v>165.1959999999535</v>
      </c>
      <c r="M191" s="203">
        <f t="shared" ca="1" si="34"/>
        <v>4.1821385801386883</v>
      </c>
      <c r="N191" s="203">
        <f t="shared" ca="1" si="37"/>
        <v>4</v>
      </c>
      <c r="O191" s="203">
        <f ca="1">(DATOSAÑO!AJ191+DATOSAÑO!AK191+DATOSAÑO!AD191)</f>
        <v>175.45300000001589</v>
      </c>
      <c r="P191" s="203">
        <f ca="1">DATOSAÑO!AI191</f>
        <v>36.360000000000582</v>
      </c>
      <c r="Q191" s="203">
        <f ca="1">DATOSAÑO!AH191</f>
        <v>3.7999999999956344</v>
      </c>
      <c r="R191" s="203">
        <f ca="1">DATOSAÑO!AM191+DATOSAÑO!AN191+DATOSAÑO!AF191</f>
        <v>165.1959999999535</v>
      </c>
      <c r="S191" s="209">
        <f ca="1">IF(B191&gt;=$P$5,0,CONTADORES!Q187-CONTADORES!Q186)</f>
        <v>14</v>
      </c>
      <c r="T191" s="203">
        <f ca="1">IF(B191&gt;=$P$5,0,(CONTADORES!S187-CONTADORES!S186)+(CONTADORES!AE187-CONTADORES!AE186))</f>
        <v>3.0999999999999943</v>
      </c>
      <c r="U191" s="203">
        <f ca="1">IF(B191&gt;=$P$5,0,(CONTADORES!AQ187-CONTADORES!AQ186))</f>
        <v>4</v>
      </c>
      <c r="V191" s="203">
        <f ca="1">IF(B191&gt;=$P$5,0,(CONTADORES!AR187-CONTADORES!AR186))</f>
        <v>0</v>
      </c>
      <c r="W191" s="737">
        <v>0</v>
      </c>
      <c r="X191" s="203">
        <f ca="1">IF(W191=0,(T191-INICIO!$W$6),((T191-INICIO!$W$6)+V191))</f>
        <v>3.0999999999999943</v>
      </c>
      <c r="Y191" s="207">
        <f t="shared" ca="1" si="38"/>
        <v>10</v>
      </c>
      <c r="Z191" s="209">
        <f t="shared" ca="1" si="39"/>
        <v>7.9891900752690512</v>
      </c>
      <c r="AA191" s="203">
        <f t="shared" ca="1" si="40"/>
        <v>1.6556396934607049</v>
      </c>
      <c r="AB191" s="203">
        <f t="shared" ca="1" si="41"/>
        <v>0.17303165113155528</v>
      </c>
      <c r="AC191" s="207">
        <f t="shared" ca="1" si="36"/>
        <v>0.1821385801386885</v>
      </c>
    </row>
    <row r="192" spans="2:29">
      <c r="B192" s="410">
        <v>44743</v>
      </c>
      <c r="C192" s="208">
        <f ca="1">DATOSAÑO!I192</f>
        <v>282.68400000000838</v>
      </c>
      <c r="D192" s="202">
        <f ca="1">DATOSAÑO!P192</f>
        <v>147.49000000000524</v>
      </c>
      <c r="E192" s="202">
        <f ca="1">DATOSAÑO!Q192</f>
        <v>0</v>
      </c>
      <c r="F192" s="202">
        <f ca="1">DATOSAÑO!T192</f>
        <v>0</v>
      </c>
      <c r="G192" s="202">
        <f t="shared" ca="1" si="35"/>
        <v>430.17400000001362</v>
      </c>
      <c r="H192" s="202">
        <f ca="1">G192-SUM(I192:M192)</f>
        <v>33.021999999995899</v>
      </c>
      <c r="I192" s="202">
        <f t="shared" ca="1" si="31"/>
        <v>185.8191910664338</v>
      </c>
      <c r="J192" s="202">
        <f t="shared" ca="1" si="32"/>
        <v>35.124187030758499</v>
      </c>
      <c r="K192" s="202">
        <f t="shared" ca="1" si="33"/>
        <v>14.020378499020467</v>
      </c>
      <c r="L192" s="202">
        <f t="shared" ca="1" si="30"/>
        <v>157.59500000002248</v>
      </c>
      <c r="M192" s="202">
        <f t="shared" ca="1" si="34"/>
        <v>4.5932434037824628</v>
      </c>
      <c r="N192" s="202">
        <f t="shared" ca="1" si="37"/>
        <v>4.3899999999994179</v>
      </c>
      <c r="O192" s="202">
        <f ca="1">(DATOSAÑO!AJ192+DATOSAÑO!AK192+DATOSAÑO!AD192)</f>
        <v>177.59699999999611</v>
      </c>
      <c r="P192" s="202">
        <f ca="1">DATOSAÑO!AI192</f>
        <v>33.570000000006985</v>
      </c>
      <c r="Q192" s="202">
        <f ca="1">DATOSAÑO!AH192</f>
        <v>13.400000000001455</v>
      </c>
      <c r="R192" s="202">
        <f ca="1">DATOSAÑO!AM192+DATOSAÑO!AN192+DATOSAÑO!AF192</f>
        <v>157.59500000002248</v>
      </c>
      <c r="S192" s="208">
        <f ca="1">IF(B192&gt;=$P$5,0,CONTADORES!Q190-CONTADORES!Q189)</f>
        <v>14.989999999990687</v>
      </c>
      <c r="T192" s="202">
        <f ca="1">IF(B192&gt;=$P$5,0,(CONTADORES!S190-CONTADORES!S189)+(CONTADORES!AE190-CONTADORES!AE189))</f>
        <v>3.269999999999996</v>
      </c>
      <c r="U192" s="202">
        <f ca="1">IF(B192&gt;=$P$5,0,(CONTADORES!AQ190-CONTADORES!AQ189))</f>
        <v>4.3899999999994179</v>
      </c>
      <c r="V192" s="202">
        <f ca="1">IF(B192&gt;=$P$5,0,(CONTADORES!AR190-CONTADORES!AR189))</f>
        <v>0</v>
      </c>
      <c r="W192" s="735">
        <v>0</v>
      </c>
      <c r="X192" s="202">
        <f ca="1">IF(W192=0,(T192-INICIO!$W$6),((T192-INICIO!$W$6)+V192))</f>
        <v>3.269999999999996</v>
      </c>
      <c r="Y192" s="214">
        <f t="shared" ca="1" si="38"/>
        <v>10.599999999991269</v>
      </c>
      <c r="Z192" s="208">
        <f t="shared" ca="1" si="39"/>
        <v>8.2221910664376949</v>
      </c>
      <c r="AA192" s="202">
        <f t="shared" ca="1" si="40"/>
        <v>1.5541870307515155</v>
      </c>
      <c r="AB192" s="202">
        <f t="shared" ca="1" si="41"/>
        <v>0.62037849901901221</v>
      </c>
      <c r="AC192" s="214">
        <f t="shared" ca="1" si="36"/>
        <v>0.20324340378304526</v>
      </c>
    </row>
    <row r="193" spans="2:29">
      <c r="B193" s="220">
        <v>44744</v>
      </c>
      <c r="C193" s="208">
        <f ca="1">DATOSAÑO!I193</f>
        <v>289.42999999993481</v>
      </c>
      <c r="D193" s="202">
        <f ca="1">DATOSAÑO!P193</f>
        <v>147.07999999999447</v>
      </c>
      <c r="E193" s="202">
        <f ca="1">DATOSAÑO!Q193</f>
        <v>0</v>
      </c>
      <c r="F193" s="202">
        <f ca="1">DATOSAÑO!T193</f>
        <v>0</v>
      </c>
      <c r="G193" s="202">
        <f t="shared" ca="1" si="35"/>
        <v>436.50999999992928</v>
      </c>
      <c r="H193" s="202">
        <f t="shared" ref="H193:H222" ca="1" si="43">G193-SUM(I193:M193)</f>
        <v>36.65399999994429</v>
      </c>
      <c r="I193" s="202">
        <f t="shared" ca="1" si="31"/>
        <v>186.15953889476307</v>
      </c>
      <c r="J193" s="202">
        <f t="shared" ca="1" si="32"/>
        <v>34.261276839135547</v>
      </c>
      <c r="K193" s="202">
        <f t="shared" ca="1" si="33"/>
        <v>11.361360436467303</v>
      </c>
      <c r="L193" s="202">
        <f t="shared" ca="1" si="30"/>
        <v>162.9559999999781</v>
      </c>
      <c r="M193" s="202">
        <f t="shared" ca="1" si="34"/>
        <v>5.1178238296409804</v>
      </c>
      <c r="N193" s="202">
        <f t="shared" ca="1" si="37"/>
        <v>4.9100000000034925</v>
      </c>
      <c r="O193" s="202">
        <f ca="1">(DATOSAÑO!AJ193+DATOSAÑO!AK193+DATOSAÑO!AD193)</f>
        <v>178.60000000001128</v>
      </c>
      <c r="P193" s="202">
        <f ca="1">DATOSAÑO!AI193</f>
        <v>32.869999999995343</v>
      </c>
      <c r="Q193" s="202">
        <f ca="1">DATOSAÑO!AH193</f>
        <v>10.900000000001455</v>
      </c>
      <c r="R193" s="202">
        <f ca="1">DATOSAÑO!AM193+DATOSAÑO!AN193+DATOSAÑO!AF193</f>
        <v>162.9559999999781</v>
      </c>
      <c r="S193" s="215">
        <f ca="1">IF(B193&gt;=$P$5,0,CONTADORES!Q191-CONTADORES!Q190)</f>
        <v>14.529999999998836</v>
      </c>
      <c r="T193" s="212">
        <f ca="1">IF(B193&gt;=$P$5,0,(CONTADORES!S191-CONTADORES!S190)+(CONTADORES!AE191-CONTADORES!AE190))</f>
        <v>3.25</v>
      </c>
      <c r="U193" s="212">
        <f ca="1">IF(B193&gt;=$P$5,0,(CONTADORES!AQ191-CONTADORES!AQ190))</f>
        <v>4.9100000000034925</v>
      </c>
      <c r="V193" s="212">
        <f ca="1">IF(B193&gt;=$P$5,0,(CONTADORES!AR191-CONTADORES!AR190))</f>
        <v>0</v>
      </c>
      <c r="W193" s="736">
        <v>0</v>
      </c>
      <c r="X193" s="212">
        <f ca="1">IF(W193=0,(T193-INICIO!$W$6),((T193-INICIO!$W$6)+V193))</f>
        <v>3.25</v>
      </c>
      <c r="Y193" s="214">
        <f t="shared" ca="1" si="38"/>
        <v>9.6199999999953434</v>
      </c>
      <c r="Z193" s="215">
        <f t="shared" ca="1" si="39"/>
        <v>7.5595388947518014</v>
      </c>
      <c r="AA193" s="212">
        <f t="shared" ca="1" si="40"/>
        <v>1.3912768391402062</v>
      </c>
      <c r="AB193" s="212">
        <f t="shared" ca="1" si="41"/>
        <v>0.46136043646584785</v>
      </c>
      <c r="AC193" s="214">
        <f t="shared" ca="1" si="36"/>
        <v>0.20782382963748824</v>
      </c>
    </row>
    <row r="194" spans="2:29">
      <c r="B194" s="220">
        <v>44745</v>
      </c>
      <c r="C194" s="208">
        <f ca="1">DATOSAÑO!I194</f>
        <v>287.56000000005588</v>
      </c>
      <c r="D194" s="202">
        <f ca="1">DATOSAÑO!P194</f>
        <v>145.20000000000437</v>
      </c>
      <c r="E194" s="202">
        <f ca="1">DATOSAÑO!Q194</f>
        <v>0</v>
      </c>
      <c r="F194" s="202">
        <f ca="1">DATOSAÑO!T194</f>
        <v>0</v>
      </c>
      <c r="G194" s="202">
        <f t="shared" ca="1" si="35"/>
        <v>432.76000000006024</v>
      </c>
      <c r="H194" s="202">
        <f t="shared" ca="1" si="43"/>
        <v>31.976000000043257</v>
      </c>
      <c r="I194" s="202">
        <f t="shared" ca="1" si="31"/>
        <v>184.95576827827804</v>
      </c>
      <c r="J194" s="202">
        <f t="shared" ca="1" si="32"/>
        <v>34.289669651517535</v>
      </c>
      <c r="K194" s="202">
        <f t="shared" ca="1" si="33"/>
        <v>13.13221390908682</v>
      </c>
      <c r="L194" s="202">
        <f t="shared" ca="1" si="30"/>
        <v>162.99400000003251</v>
      </c>
      <c r="M194" s="202">
        <f t="shared" ca="1" si="34"/>
        <v>5.4123481611021083</v>
      </c>
      <c r="N194" s="202">
        <f t="shared" ca="1" si="37"/>
        <v>5.1929999999993015</v>
      </c>
      <c r="O194" s="202">
        <f ca="1">(DATOSAÑO!AJ194+DATOSAÑO!AK194+DATOSAÑO!AD194)</f>
        <v>177.45999999996093</v>
      </c>
      <c r="P194" s="202">
        <f ca="1">DATOSAÑO!AI194</f>
        <v>32.900000000008731</v>
      </c>
      <c r="Q194" s="202">
        <f ca="1">DATOSAÑO!AH194</f>
        <v>12.599999999998545</v>
      </c>
      <c r="R194" s="202">
        <f ca="1">DATOSAÑO!AM194+DATOSAÑO!AN194+DATOSAÑO!AF194</f>
        <v>162.99400000003251</v>
      </c>
      <c r="S194" s="215">
        <f ca="1">IF(B194&gt;=$P$5,0,CONTADORES!Q192-CONTADORES!Q191)</f>
        <v>14.830000000016298</v>
      </c>
      <c r="T194" s="212">
        <f ca="1">IF(B194&gt;=$P$5,0,(CONTADORES!S192-CONTADORES!S191)+(CONTADORES!AE192-CONTADORES!AE191))</f>
        <v>3.2800000000000011</v>
      </c>
      <c r="U194" s="212">
        <f ca="1">IF(B194&gt;=$P$5,0,(CONTADORES!AQ192-CONTADORES!AQ191))</f>
        <v>5.1929999999993015</v>
      </c>
      <c r="V194" s="212">
        <f ca="1">IF(B194&gt;=$P$5,0,(CONTADORES!AR192-CONTADORES!AR191))</f>
        <v>0</v>
      </c>
      <c r="W194" s="736">
        <v>0</v>
      </c>
      <c r="X194" s="212">
        <f ca="1">IF(W194=0,(T194-INICIO!$W$6),((T194-INICIO!$W$6)+V194))</f>
        <v>3.2800000000000011</v>
      </c>
      <c r="Y194" s="214">
        <f t="shared" ca="1" si="38"/>
        <v>9.6370000000169966</v>
      </c>
      <c r="Z194" s="215">
        <f t="shared" ca="1" si="39"/>
        <v>7.4957682783171089</v>
      </c>
      <c r="AA194" s="212">
        <f t="shared" ca="1" si="40"/>
        <v>1.3896696515088056</v>
      </c>
      <c r="AB194" s="212">
        <f t="shared" ca="1" si="41"/>
        <v>0.53221390908827604</v>
      </c>
      <c r="AC194" s="214">
        <f t="shared" ca="1" si="36"/>
        <v>0.21934816110280669</v>
      </c>
    </row>
    <row r="195" spans="2:29">
      <c r="B195" s="220">
        <v>44746</v>
      </c>
      <c r="C195" s="208">
        <f ca="1">DATOSAÑO!I195</f>
        <v>289</v>
      </c>
      <c r="D195" s="202">
        <f ca="1">DATOSAÑO!P195</f>
        <v>150.98999999999796</v>
      </c>
      <c r="E195" s="202">
        <f ca="1">DATOSAÑO!Q195</f>
        <v>0</v>
      </c>
      <c r="F195" s="202">
        <f ca="1">DATOSAÑO!T195</f>
        <v>0.20299999999997453</v>
      </c>
      <c r="G195" s="202">
        <f t="shared" ca="1" si="35"/>
        <v>440.19299999999794</v>
      </c>
      <c r="H195" s="202">
        <f t="shared" ca="1" si="43"/>
        <v>37.959000000010917</v>
      </c>
      <c r="I195" s="202">
        <f t="shared" ca="1" si="31"/>
        <v>190.98532952505388</v>
      </c>
      <c r="J195" s="202">
        <f t="shared" ca="1" si="32"/>
        <v>35.555446466790301</v>
      </c>
      <c r="K195" s="202">
        <f t="shared" ca="1" si="33"/>
        <v>4.3818331913321966</v>
      </c>
      <c r="L195" s="202">
        <f t="shared" ca="1" si="30"/>
        <v>165.90399999998712</v>
      </c>
      <c r="M195" s="202">
        <f t="shared" ca="1" si="34"/>
        <v>5.4073908168235363</v>
      </c>
      <c r="N195" s="202">
        <f t="shared" ca="1" si="37"/>
        <v>5.1829999999972642</v>
      </c>
      <c r="O195" s="202">
        <f ca="1">(DATOSAÑO!AJ195+DATOSAÑO!AK195+DATOSAÑO!AD195)</f>
        <v>183.06000000002132</v>
      </c>
      <c r="P195" s="202">
        <f ca="1">DATOSAÑO!AI195</f>
        <v>34.079999999987194</v>
      </c>
      <c r="Q195" s="202">
        <f ca="1">DATOSAÑO!AH195</f>
        <v>4.2000000000007276</v>
      </c>
      <c r="R195" s="202">
        <f ca="1">DATOSAÑO!AM195+DATOSAÑO!AN195+DATOSAÑO!AF195</f>
        <v>165.90399999998712</v>
      </c>
      <c r="S195" s="215">
        <f ca="1">IF(B195&gt;=$P$5,0,CONTADORES!Q193-CONTADORES!Q192)</f>
        <v>14.989999999990687</v>
      </c>
      <c r="T195" s="212">
        <f ca="1">IF(B195&gt;=$P$5,0,(CONTADORES!S193-CONTADORES!S192)+(CONTADORES!AE193-CONTADORES!AE192))</f>
        <v>3.1700000000000017</v>
      </c>
      <c r="U195" s="212">
        <f ca="1">IF(B195&gt;=$P$5,0,(CONTADORES!AQ193-CONTADORES!AQ192))</f>
        <v>5.1829999999972642</v>
      </c>
      <c r="V195" s="212">
        <f ca="1">IF(B195&gt;=$P$5,0,(CONTADORES!AR193-CONTADORES!AR192))</f>
        <v>0</v>
      </c>
      <c r="W195" s="736">
        <v>0</v>
      </c>
      <c r="X195" s="212">
        <f ca="1">IF(W195=0,(T195-INICIO!$W$6),((T195-INICIO!$W$6)+V195))</f>
        <v>3.1700000000000017</v>
      </c>
      <c r="Y195" s="214">
        <f t="shared" ca="1" si="38"/>
        <v>9.8069999999934225</v>
      </c>
      <c r="Z195" s="215">
        <f t="shared" ca="1" si="39"/>
        <v>7.9253295250325726</v>
      </c>
      <c r="AA195" s="212">
        <f t="shared" ca="1" si="40"/>
        <v>1.4754464668031089</v>
      </c>
      <c r="AB195" s="212">
        <f t="shared" ca="1" si="41"/>
        <v>0.18183319133146889</v>
      </c>
      <c r="AC195" s="214">
        <f t="shared" ca="1" si="36"/>
        <v>0.22439081682627204</v>
      </c>
    </row>
    <row r="196" spans="2:29">
      <c r="B196" s="220">
        <v>44747</v>
      </c>
      <c r="C196" s="208">
        <f ca="1">DATOSAÑO!I196</f>
        <v>298.5</v>
      </c>
      <c r="D196" s="202">
        <f ca="1">DATOSAÑO!P196</f>
        <v>145.5</v>
      </c>
      <c r="E196" s="202">
        <f ca="1">DATOSAÑO!Q196</f>
        <v>0</v>
      </c>
      <c r="F196" s="202">
        <f ca="1">DATOSAÑO!T196</f>
        <v>0</v>
      </c>
      <c r="G196" s="202">
        <f t="shared" ca="1" si="35"/>
        <v>444</v>
      </c>
      <c r="H196" s="202">
        <f t="shared" ca="1" si="43"/>
        <v>140878.98800000001</v>
      </c>
      <c r="I196" s="202">
        <f t="shared" ca="1" si="31"/>
        <v>407.24190467937319</v>
      </c>
      <c r="J196" s="202">
        <f t="shared" ca="1" si="32"/>
        <v>71.824349482676865</v>
      </c>
      <c r="K196" s="202">
        <f t="shared" ca="1" si="33"/>
        <v>22.863006141627739</v>
      </c>
      <c r="L196" s="202">
        <f t="shared" ref="L196:L259" ca="1" si="44">R196</f>
        <v>161.64199999999926</v>
      </c>
      <c r="M196" s="202">
        <f t="shared" ca="1" si="34"/>
        <v>-141098.55926030368</v>
      </c>
      <c r="N196" s="202">
        <f t="shared" ca="1" si="37"/>
        <v>-65417.675999999999</v>
      </c>
      <c r="O196" s="202">
        <f ca="1">(DATOSAÑO!AJ196+DATOSAÑO!AK196+DATOSAÑO!AD196)</f>
        <v>188.81000000000131</v>
      </c>
      <c r="P196" s="202">
        <f ca="1">DATOSAÑO!AI196</f>
        <v>33.30000000000291</v>
      </c>
      <c r="Q196" s="202">
        <f ca="1">DATOSAÑO!AH196</f>
        <v>10.599999999998545</v>
      </c>
      <c r="R196" s="202">
        <f ca="1">DATOSAÑO!AM196+DATOSAÑO!AN196+DATOSAÑO!AF196</f>
        <v>161.64199999999926</v>
      </c>
      <c r="S196" s="215">
        <f ca="1">IF(B196&gt;=$P$5,0,CONTADORES!Q194-CONTADORES!Q193)</f>
        <v>-140829.34</v>
      </c>
      <c r="T196" s="212">
        <f ca="1">IF(B196&gt;=$P$5,0,(CONTADORES!S194-CONTADORES!S193)+(CONTADORES!AE194-CONTADORES!AE193))</f>
        <v>-14159.27</v>
      </c>
      <c r="U196" s="212">
        <f ca="1">IF(B196&gt;=$P$5,0,(CONTADORES!AQ194-CONTADORES!AQ193))</f>
        <v>-65417.675999999999</v>
      </c>
      <c r="V196" s="212">
        <f ca="1">IF(B196&gt;=$P$5,0,(CONTADORES!AR194-CONTADORES!AR193))</f>
        <v>0</v>
      </c>
      <c r="W196" s="736">
        <v>0</v>
      </c>
      <c r="X196" s="212">
        <f ca="1">IF(W196=0,(T196-INICIO!$W$6),((T196-INICIO!$W$6)+V196))</f>
        <v>-14159.27</v>
      </c>
      <c r="Y196" s="214">
        <f t="shared" ca="1" si="38"/>
        <v>-75411.66399999999</v>
      </c>
      <c r="Z196" s="215">
        <f t="shared" ca="1" si="39"/>
        <v>218.43190467937191</v>
      </c>
      <c r="AA196" s="212">
        <f t="shared" ca="1" si="40"/>
        <v>38.524349482673955</v>
      </c>
      <c r="AB196" s="212">
        <f t="shared" ca="1" si="41"/>
        <v>12.263006141629194</v>
      </c>
      <c r="AC196" s="214">
        <f t="shared" ca="1" si="36"/>
        <v>-75680.883260303672</v>
      </c>
    </row>
    <row r="197" spans="2:29">
      <c r="B197" s="220">
        <v>44748</v>
      </c>
      <c r="C197" s="208">
        <f ca="1">DATOSAÑO!I197</f>
        <v>298.5</v>
      </c>
      <c r="D197" s="202">
        <f ca="1">DATOSAÑO!P197</f>
        <v>148.90000000000146</v>
      </c>
      <c r="E197" s="202">
        <f ca="1">DATOSAÑO!Q197</f>
        <v>0</v>
      </c>
      <c r="F197" s="202">
        <f ca="1">DATOSAÑO!T197</f>
        <v>0</v>
      </c>
      <c r="G197" s="202">
        <f t="shared" ca="1" si="35"/>
        <v>447.40000000000146</v>
      </c>
      <c r="H197" s="202">
        <f t="shared" ca="1" si="43"/>
        <v>-140776.27600000001</v>
      </c>
      <c r="I197" s="202">
        <f t="shared" ca="1" si="31"/>
        <v>406.36618621416267</v>
      </c>
      <c r="J197" s="202">
        <f t="shared" ca="1" si="32"/>
        <v>78.212217330514079</v>
      </c>
      <c r="K197" s="202">
        <f t="shared" ca="1" si="33"/>
        <v>15.255679754022058</v>
      </c>
      <c r="L197" s="202">
        <f t="shared" ca="1" si="44"/>
        <v>161.71300000000326</v>
      </c>
      <c r="M197" s="202">
        <f t="shared" ca="1" si="34"/>
        <v>140562.1289167013</v>
      </c>
      <c r="N197" s="202">
        <f t="shared" ca="1" si="37"/>
        <v>65417.675999999999</v>
      </c>
      <c r="O197" s="202">
        <f ca="1">(DATOSAÑO!AJ197+DATOSAÑO!AK197+DATOSAÑO!AD197)</f>
        <v>189.12300000000323</v>
      </c>
      <c r="P197" s="202">
        <f ca="1">DATOSAÑO!AI197</f>
        <v>36.400000000008731</v>
      </c>
      <c r="Q197" s="202">
        <f ca="1">DATOSAÑO!AH197</f>
        <v>7.0999999999985448</v>
      </c>
      <c r="R197" s="202">
        <f ca="1">DATOSAÑO!AM197+DATOSAÑO!AN197+DATOSAÑO!AF197</f>
        <v>161.71300000000326</v>
      </c>
      <c r="S197" s="215">
        <f ca="1">IF(B197&gt;=$P$5,0,CONTADORES!Q195-CONTADORES!Q194)</f>
        <v>140829.34</v>
      </c>
      <c r="T197" s="212">
        <f ca="1">IF(B197&gt;=$P$5,0,(CONTADORES!S195-CONTADORES!S194)+(CONTADORES!AE195-CONTADORES!AE194))</f>
        <v>14159.27</v>
      </c>
      <c r="U197" s="212">
        <f ca="1">IF(B197&gt;=$P$5,0,(CONTADORES!AQ195-CONTADORES!AQ194))</f>
        <v>65417.675999999999</v>
      </c>
      <c r="V197" s="212">
        <f ca="1">IF(B197&gt;=$P$5,0,(CONTADORES!AR195-CONTADORES!AR194))</f>
        <v>0</v>
      </c>
      <c r="W197" s="736">
        <v>0</v>
      </c>
      <c r="X197" s="212">
        <f ca="1">IF(W197=0,(T197-INICIO!$W$6),((T197-INICIO!$W$6)+V197))</f>
        <v>14159.27</v>
      </c>
      <c r="Y197" s="214">
        <f t="shared" ca="1" si="38"/>
        <v>75411.66399999999</v>
      </c>
      <c r="Z197" s="215">
        <f t="shared" ca="1" si="39"/>
        <v>217.24318621415941</v>
      </c>
      <c r="AA197" s="212">
        <f t="shared" ca="1" si="40"/>
        <v>41.812217330505348</v>
      </c>
      <c r="AB197" s="212">
        <f t="shared" ca="1" si="41"/>
        <v>8.1556797540235131</v>
      </c>
      <c r="AC197" s="214">
        <f t="shared" ca="1" si="36"/>
        <v>75144.45291670131</v>
      </c>
    </row>
    <row r="198" spans="2:29">
      <c r="B198" s="220">
        <v>44749</v>
      </c>
      <c r="C198" s="208">
        <f ca="1">DATOSAÑO!I198</f>
        <v>289</v>
      </c>
      <c r="D198" s="202">
        <f ca="1">DATOSAÑO!P198</f>
        <v>142.59999999999854</v>
      </c>
      <c r="E198" s="202">
        <f ca="1">DATOSAÑO!Q198</f>
        <v>0.23400000000015098</v>
      </c>
      <c r="F198" s="202">
        <f ca="1">DATOSAÑO!T198</f>
        <v>0</v>
      </c>
      <c r="G198" s="202">
        <f t="shared" ca="1" si="35"/>
        <v>431.8339999999987</v>
      </c>
      <c r="H198" s="202">
        <f t="shared" ca="1" si="43"/>
        <v>37.096999999991681</v>
      </c>
      <c r="I198" s="202">
        <f t="shared" ca="1" si="31"/>
        <v>175.14433276169811</v>
      </c>
      <c r="J198" s="202">
        <f t="shared" ca="1" si="32"/>
        <v>39.170026172723524</v>
      </c>
      <c r="K198" s="202">
        <f t="shared" ca="1" si="33"/>
        <v>13.578942406544156</v>
      </c>
      <c r="L198" s="202">
        <f t="shared" ca="1" si="44"/>
        <v>162.06599999999963</v>
      </c>
      <c r="M198" s="202">
        <f t="shared" ca="1" si="34"/>
        <v>4.7776986590415449</v>
      </c>
      <c r="N198" s="202">
        <f t="shared" ca="1" si="37"/>
        <v>4.5740000000005239</v>
      </c>
      <c r="O198" s="202">
        <f ca="1">(DATOSAÑO!AJ198+DATOSAÑO!AK198+DATOSAÑO!AD198)</f>
        <v>167.67699999999786</v>
      </c>
      <c r="P198" s="202">
        <f ca="1">DATOSAÑO!AI198</f>
        <v>37.5</v>
      </c>
      <c r="Q198" s="202">
        <f ca="1">DATOSAÑO!AH198</f>
        <v>13</v>
      </c>
      <c r="R198" s="202">
        <f ca="1">DATOSAÑO!AM198+DATOSAÑO!AN198+DATOSAÑO!AF198</f>
        <v>162.06599999999963</v>
      </c>
      <c r="S198" s="215">
        <f ca="1">IF(B198&gt;=$P$5,0,CONTADORES!Q196-CONTADORES!Q195)</f>
        <v>14.260000000009313</v>
      </c>
      <c r="T198" s="212">
        <f ca="1">IF(B198&gt;=$P$5,0,(CONTADORES!S196-CONTADORES!S195)+(CONTADORES!AE196-CONTADORES!AE195))</f>
        <v>3.3400000000000034</v>
      </c>
      <c r="U198" s="212">
        <f ca="1">IF(B198&gt;=$P$5,0,(CONTADORES!AQ196-CONTADORES!AQ195))</f>
        <v>4.5740000000005239</v>
      </c>
      <c r="V198" s="212">
        <f ca="1">IF(B198&gt;=$P$5,0,(CONTADORES!AR196-CONTADORES!AR195))</f>
        <v>0</v>
      </c>
      <c r="W198" s="736">
        <v>0</v>
      </c>
      <c r="X198" s="212">
        <f ca="1">IF(W198=0,(T198-INICIO!$W$6),((T198-INICIO!$W$6)+V198))</f>
        <v>3.3400000000000034</v>
      </c>
      <c r="Y198" s="214">
        <f t="shared" ca="1" si="38"/>
        <v>9.9200000000089403</v>
      </c>
      <c r="Z198" s="215">
        <f t="shared" ca="1" si="39"/>
        <v>7.4673327617002387</v>
      </c>
      <c r="AA198" s="212">
        <f t="shared" ca="1" si="40"/>
        <v>1.6700261727235253</v>
      </c>
      <c r="AB198" s="212">
        <f t="shared" ca="1" si="41"/>
        <v>0.57894240654415541</v>
      </c>
      <c r="AC198" s="214">
        <f t="shared" ca="1" si="36"/>
        <v>0.20369865904102077</v>
      </c>
    </row>
    <row r="199" spans="2:29">
      <c r="B199" s="220">
        <v>44750</v>
      </c>
      <c r="C199" s="208">
        <f ca="1">DATOSAÑO!I199</f>
        <v>174</v>
      </c>
      <c r="D199" s="202">
        <f ca="1">DATOSAÑO!P199</f>
        <v>271.69999999999709</v>
      </c>
      <c r="E199" s="202">
        <f ca="1">DATOSAÑO!Q199</f>
        <v>0</v>
      </c>
      <c r="F199" s="202">
        <f ca="1">DATOSAÑO!T199</f>
        <v>0</v>
      </c>
      <c r="G199" s="202">
        <f t="shared" ca="1" si="35"/>
        <v>445.69999999999709</v>
      </c>
      <c r="H199" s="202">
        <f t="shared" ca="1" si="43"/>
        <v>37.320199999997214</v>
      </c>
      <c r="I199" s="202">
        <f t="shared" ca="1" si="31"/>
        <v>186.67165019232482</v>
      </c>
      <c r="J199" s="202">
        <f t="shared" ca="1" si="32"/>
        <v>38.981126282477817</v>
      </c>
      <c r="K199" s="202">
        <f t="shared" ca="1" si="33"/>
        <v>14.174955011810804</v>
      </c>
      <c r="L199" s="202">
        <f t="shared" ca="1" si="44"/>
        <v>163.95979999999801</v>
      </c>
      <c r="M199" s="202">
        <f t="shared" ca="1" si="34"/>
        <v>4.5922685133884587</v>
      </c>
      <c r="N199" s="202">
        <f t="shared" ca="1" si="37"/>
        <v>4.4060000000026776</v>
      </c>
      <c r="O199" s="202">
        <f ca="1">(DATOSAÑO!AJ199+DATOSAÑO!AK199+DATOSAÑO!AD199)</f>
        <v>179.10000000000218</v>
      </c>
      <c r="P199" s="202">
        <f ca="1">DATOSAÑO!AI199</f>
        <v>37.399999999994179</v>
      </c>
      <c r="Q199" s="202">
        <f ca="1">DATOSAÑO!AH199</f>
        <v>13.599999999998545</v>
      </c>
      <c r="R199" s="202">
        <f ca="1">DATOSAÑO!AM199+DATOSAÑO!AN199+DATOSAÑO!AF199</f>
        <v>163.95979999999801</v>
      </c>
      <c r="S199" s="215">
        <f ca="1">IF(B199&gt;=$P$5,0,CONTADORES!Q197-CONTADORES!Q196)</f>
        <v>14.320000000006985</v>
      </c>
      <c r="T199" s="212">
        <f ca="1">IF(B199&gt;=$P$5,0,(CONTADORES!S197-CONTADORES!S196)+(CONTADORES!AE197-CONTADORES!AE196))</f>
        <v>3.2299999999999898</v>
      </c>
      <c r="U199" s="212">
        <f ca="1">IF(B199&gt;=$P$5,0,(CONTADORES!AQ197-CONTADORES!AQ196))</f>
        <v>4.4060000000026776</v>
      </c>
      <c r="V199" s="212">
        <f ca="1">IF(B199&gt;=$P$5,0,(CONTADORES!AR197-CONTADORES!AR196))</f>
        <v>0</v>
      </c>
      <c r="W199" s="736">
        <v>0</v>
      </c>
      <c r="X199" s="212">
        <f ca="1">IF(W199=0,(T199-INICIO!$W$6),((T199-INICIO!$W$6)+V199))</f>
        <v>3.2299999999999898</v>
      </c>
      <c r="Y199" s="214">
        <f t="shared" ca="1" si="38"/>
        <v>9.9140000000043074</v>
      </c>
      <c r="Z199" s="215">
        <f t="shared" ca="1" si="39"/>
        <v>7.5716501923226334</v>
      </c>
      <c r="AA199" s="212">
        <f t="shared" ca="1" si="40"/>
        <v>1.5811262824836345</v>
      </c>
      <c r="AB199" s="212">
        <f t="shared" ca="1" si="41"/>
        <v>0.57495501181225872</v>
      </c>
      <c r="AC199" s="214">
        <f t="shared" ca="1" si="36"/>
        <v>0.18626851338578107</v>
      </c>
    </row>
    <row r="200" spans="2:29">
      <c r="B200" s="220">
        <v>44751</v>
      </c>
      <c r="C200" s="208">
        <f ca="1">DATOSAÑO!I200</f>
        <v>144</v>
      </c>
      <c r="D200" s="202">
        <f ca="1">DATOSAÑO!P200</f>
        <v>301.5</v>
      </c>
      <c r="E200" s="202">
        <f ca="1">DATOSAÑO!Q200</f>
        <v>0</v>
      </c>
      <c r="F200" s="202">
        <f ca="1">DATOSAÑO!T200</f>
        <v>0</v>
      </c>
      <c r="G200" s="202">
        <f t="shared" ca="1" si="35"/>
        <v>445.5</v>
      </c>
      <c r="H200" s="202">
        <f t="shared" ca="1" si="43"/>
        <v>35.30260000001357</v>
      </c>
      <c r="I200" s="202">
        <f t="shared" ca="1" si="31"/>
        <v>189.77896137366969</v>
      </c>
      <c r="J200" s="202">
        <f t="shared" ca="1" si="32"/>
        <v>39.059885024767205</v>
      </c>
      <c r="K200" s="202">
        <f t="shared" ca="1" si="33"/>
        <v>15.415634623111155</v>
      </c>
      <c r="L200" s="202">
        <f t="shared" ca="1" si="44"/>
        <v>161.24740000000025</v>
      </c>
      <c r="M200" s="202">
        <f t="shared" ca="1" si="34"/>
        <v>4.6955189784381339</v>
      </c>
      <c r="N200" s="202">
        <f t="shared" ca="1" si="37"/>
        <v>4.5079999999943539</v>
      </c>
      <c r="O200" s="202">
        <f ca="1">(DATOSAÑO!AJ200+DATOSAÑO!AK200+DATOSAÑO!AD200)</f>
        <v>182.20000000000073</v>
      </c>
      <c r="P200" s="202">
        <f ca="1">DATOSAÑO!AI200</f>
        <v>37.5</v>
      </c>
      <c r="Q200" s="202">
        <f ca="1">DATOSAÑO!AH200</f>
        <v>14.80000000000291</v>
      </c>
      <c r="R200" s="202">
        <f ca="1">DATOSAÑO!AM200+DATOSAÑO!AN200+DATOSAÑO!AF200</f>
        <v>161.24740000000025</v>
      </c>
      <c r="S200" s="215">
        <f ca="1">IF(B200&gt;=$P$5,0,CONTADORES!Q198-CONTADORES!Q197)</f>
        <v>14.449999999982538</v>
      </c>
      <c r="T200" s="212">
        <f ca="1">IF(B200&gt;=$P$5,0,(CONTADORES!S198-CONTADORES!S197)+(CONTADORES!AE198-CONTADORES!AE197))</f>
        <v>3.1700000000000017</v>
      </c>
      <c r="U200" s="212">
        <f ca="1">IF(B200&gt;=$P$5,0,(CONTADORES!AQ198-CONTADORES!AQ197))</f>
        <v>4.5079999999943539</v>
      </c>
      <c r="V200" s="212">
        <f ca="1">IF(B200&gt;=$P$5,0,(CONTADORES!AR198-CONTADORES!AR197))</f>
        <v>0</v>
      </c>
      <c r="W200" s="736">
        <v>0</v>
      </c>
      <c r="X200" s="212">
        <f ca="1">IF(W200=0,(T200-INICIO!$W$6),((T200-INICIO!$W$6)+V200))</f>
        <v>3.1700000000000017</v>
      </c>
      <c r="Y200" s="214">
        <f t="shared" ca="1" si="38"/>
        <v>9.9419999999881838</v>
      </c>
      <c r="Z200" s="215">
        <f t="shared" ca="1" si="39"/>
        <v>7.5789613736689549</v>
      </c>
      <c r="AA200" s="212">
        <f t="shared" ca="1" si="40"/>
        <v>1.5598850247672045</v>
      </c>
      <c r="AB200" s="212">
        <f t="shared" ca="1" si="41"/>
        <v>0.61563462310824446</v>
      </c>
      <c r="AC200" s="214">
        <f t="shared" ca="1" si="36"/>
        <v>0.18751897844378002</v>
      </c>
    </row>
    <row r="201" spans="2:29">
      <c r="B201" s="220">
        <v>44752</v>
      </c>
      <c r="C201" s="208">
        <f ca="1">DATOSAÑO!I201</f>
        <v>150</v>
      </c>
      <c r="D201" s="202">
        <f ca="1">DATOSAÑO!P201</f>
        <v>283.90000000000146</v>
      </c>
      <c r="E201" s="202">
        <f ca="1">DATOSAÑO!Q201</f>
        <v>0</v>
      </c>
      <c r="F201" s="202">
        <f ca="1">DATOSAÑO!T201</f>
        <v>0</v>
      </c>
      <c r="G201" s="202">
        <f t="shared" ca="1" si="35"/>
        <v>433.90000000000146</v>
      </c>
      <c r="H201" s="202">
        <f t="shared" ca="1" si="43"/>
        <v>35.138000000008788</v>
      </c>
      <c r="I201" s="202">
        <f t="shared" ca="1" si="31"/>
        <v>187.77338551685239</v>
      </c>
      <c r="J201" s="202">
        <f t="shared" ca="1" si="32"/>
        <v>38.741929790498133</v>
      </c>
      <c r="K201" s="202">
        <f t="shared" ca="1" si="33"/>
        <v>4.0616539296508316</v>
      </c>
      <c r="L201" s="202">
        <f t="shared" ca="1" si="44"/>
        <v>162.73200000000111</v>
      </c>
      <c r="M201" s="202">
        <f t="shared" ca="1" si="34"/>
        <v>5.4530307629902008</v>
      </c>
      <c r="N201" s="202">
        <f t="shared" ca="1" si="37"/>
        <v>5.2360000000044238</v>
      </c>
      <c r="O201" s="202">
        <f ca="1">(DATOSAÑO!AJ201+DATOSAÑO!AK201+DATOSAÑO!AD201)</f>
        <v>180.29999999998836</v>
      </c>
      <c r="P201" s="202">
        <f ca="1">DATOSAÑO!AI201</f>
        <v>37.19999999999709</v>
      </c>
      <c r="Q201" s="202">
        <f ca="1">DATOSAÑO!AH201</f>
        <v>3.9000000000014552</v>
      </c>
      <c r="R201" s="202">
        <f ca="1">DATOSAÑO!AM201+DATOSAÑO!AN201+DATOSAÑO!AF201</f>
        <v>162.73200000000111</v>
      </c>
      <c r="S201" s="215">
        <f ca="1">IF(B201&gt;=$P$5,0,CONTADORES!Q199-CONTADORES!Q198)</f>
        <v>14.630000000004657</v>
      </c>
      <c r="T201" s="212">
        <f ca="1">IF(B201&gt;=$P$5,0,(CONTADORES!S199-CONTADORES!S198)+(CONTADORES!AE199-CONTADORES!AE198))</f>
        <v>3.2400000000000091</v>
      </c>
      <c r="U201" s="212">
        <f ca="1">IF(B201&gt;=$P$5,0,(CONTADORES!AQ199-CONTADORES!AQ198))</f>
        <v>5.2360000000044238</v>
      </c>
      <c r="V201" s="212">
        <f ca="1">IF(B201&gt;=$P$5,0,(CONTADORES!AR199-CONTADORES!AR198))</f>
        <v>0</v>
      </c>
      <c r="W201" s="736">
        <v>0</v>
      </c>
      <c r="X201" s="212">
        <f ca="1">IF(W201=0,(T201-INICIO!$W$6),((T201-INICIO!$W$6)+V201))</f>
        <v>3.2400000000000091</v>
      </c>
      <c r="Y201" s="214">
        <f t="shared" ca="1" si="38"/>
        <v>9.3940000000002328</v>
      </c>
      <c r="Z201" s="215">
        <f t="shared" ca="1" si="39"/>
        <v>7.4733855168640355</v>
      </c>
      <c r="AA201" s="212">
        <f t="shared" ca="1" si="40"/>
        <v>1.5419297905010445</v>
      </c>
      <c r="AB201" s="212">
        <f t="shared" ca="1" si="41"/>
        <v>0.161653929649376</v>
      </c>
      <c r="AC201" s="214">
        <f t="shared" ca="1" si="36"/>
        <v>0.21703076298577745</v>
      </c>
    </row>
    <row r="202" spans="2:29">
      <c r="B202" s="220">
        <v>44753</v>
      </c>
      <c r="C202" s="208">
        <f ca="1">DATOSAÑO!I202</f>
        <v>149</v>
      </c>
      <c r="D202" s="202">
        <f ca="1">DATOSAÑO!P202</f>
        <v>289.90000000000146</v>
      </c>
      <c r="E202" s="202">
        <f ca="1">DATOSAÑO!Q202</f>
        <v>0.48099999999999454</v>
      </c>
      <c r="F202" s="202">
        <f ca="1">DATOSAÑO!T202</f>
        <v>0.28200000000003911</v>
      </c>
      <c r="G202" s="202">
        <f t="shared" ca="1" si="35"/>
        <v>439.66300000000149</v>
      </c>
      <c r="H202" s="202">
        <f t="shared" ca="1" si="43"/>
        <v>34.633999999998593</v>
      </c>
      <c r="I202" s="202">
        <f t="shared" ref="I202:I214" ca="1" si="45">O202+Z202</f>
        <v>190.36915254237729</v>
      </c>
      <c r="J202" s="202">
        <f t="shared" ref="J202:J214" ca="1" si="46">P202+AA202</f>
        <v>37.655436766622948</v>
      </c>
      <c r="K202" s="202">
        <f t="shared" ref="K202:K214" ca="1" si="47">Q202+AB202</f>
        <v>7.5310873533215457</v>
      </c>
      <c r="L202" s="202">
        <f t="shared" ca="1" si="44"/>
        <v>164.34800000000038</v>
      </c>
      <c r="M202" s="202">
        <f t="shared" ref="M202:M214" ca="1" si="48">N202+AC202</f>
        <v>5.125323337680757</v>
      </c>
      <c r="N202" s="202">
        <f t="shared" ca="1" si="37"/>
        <v>4.9000000000014552</v>
      </c>
      <c r="O202" s="202">
        <f ca="1">(DATOSAÑO!AJ202+DATOSAÑO!AK202+DATOSAÑO!AD202)</f>
        <v>182.00000000000546</v>
      </c>
      <c r="P202" s="202">
        <f ca="1">DATOSAÑO!AI202</f>
        <v>36</v>
      </c>
      <c r="Q202" s="202">
        <f ca="1">DATOSAÑO!AH202</f>
        <v>7.1999999999970896</v>
      </c>
      <c r="R202" s="202">
        <f ca="1">DATOSAÑO!AM202+DATOSAÑO!AN202+DATOSAÑO!AF202</f>
        <v>164.34800000000038</v>
      </c>
      <c r="S202" s="215">
        <f ca="1">IF(B202&gt;=$P$5,0,CONTADORES!Q200-CONTADORES!Q199)</f>
        <v>15</v>
      </c>
      <c r="T202" s="212">
        <f ca="1">IF(B202&gt;=$P$5,0,(CONTADORES!S200-CONTADORES!S199)+(CONTADORES!AE200-CONTADORES!AE199))</f>
        <v>3.2399999999999949</v>
      </c>
      <c r="U202" s="212">
        <f ca="1">IF(B202&gt;=$P$5,0,(CONTADORES!AQ200-CONTADORES!AQ199))</f>
        <v>4.9000000000014552</v>
      </c>
      <c r="V202" s="212">
        <f ca="1">IF(B202&gt;=$P$5,0,(CONTADORES!AR200-CONTADORES!AR199))</f>
        <v>0</v>
      </c>
      <c r="W202" s="736">
        <v>0</v>
      </c>
      <c r="X202" s="212">
        <f ca="1">IF(W202=0,(T202-INICIO!$W$6),((T202-INICIO!$W$6)+V202))</f>
        <v>3.2399999999999949</v>
      </c>
      <c r="Y202" s="214">
        <f t="shared" ca="1" si="38"/>
        <v>10.580999999998539</v>
      </c>
      <c r="Z202" s="215">
        <f t="shared" ca="1" si="39"/>
        <v>8.3691525423718307</v>
      </c>
      <c r="AA202" s="212">
        <f t="shared" ca="1" si="40"/>
        <v>1.6554367666229499</v>
      </c>
      <c r="AB202" s="212">
        <f t="shared" ca="1" si="41"/>
        <v>0.33108735332445616</v>
      </c>
      <c r="AC202" s="214">
        <f t="shared" ca="1" si="36"/>
        <v>0.22532333767930177</v>
      </c>
    </row>
    <row r="203" spans="2:29">
      <c r="B203" s="220">
        <v>44754</v>
      </c>
      <c r="C203" s="208">
        <f ca="1">DATOSAÑO!I203</f>
        <v>149</v>
      </c>
      <c r="D203" s="202">
        <f ca="1">DATOSAÑO!P203</f>
        <v>297</v>
      </c>
      <c r="E203" s="202">
        <f ca="1">DATOSAÑO!Q203</f>
        <v>0</v>
      </c>
      <c r="F203" s="202">
        <f ca="1">DATOSAÑO!T203</f>
        <v>0</v>
      </c>
      <c r="G203" s="202">
        <f t="shared" ref="G203:G266" ca="1" si="49">SUM(C203:F203)</f>
        <v>446</v>
      </c>
      <c r="H203" s="202">
        <f t="shared" ca="1" si="43"/>
        <v>38.099999999989848</v>
      </c>
      <c r="I203" s="202">
        <f t="shared" ca="1" si="45"/>
        <v>187.65824501908278</v>
      </c>
      <c r="J203" s="202">
        <f t="shared" ca="1" si="46"/>
        <v>38.86536668080015</v>
      </c>
      <c r="K203" s="202">
        <f t="shared" ca="1" si="47"/>
        <v>13.962356930904503</v>
      </c>
      <c r="L203" s="202">
        <f t="shared" ca="1" si="44"/>
        <v>162.1</v>
      </c>
      <c r="M203" s="202">
        <f t="shared" ca="1" si="48"/>
        <v>5.3140313692227545</v>
      </c>
      <c r="N203" s="202">
        <f t="shared" ca="1" si="37"/>
        <v>5.0999999999985448</v>
      </c>
      <c r="O203" s="202">
        <f ca="1">(DATOSAÑO!AJ203+DATOSAÑO!AK203+DATOSAÑO!AD203)</f>
        <v>180.10000000000582</v>
      </c>
      <c r="P203" s="202">
        <f ca="1">DATOSAÑO!AI203</f>
        <v>37.30000000000291</v>
      </c>
      <c r="Q203" s="202">
        <f ca="1">DATOSAÑO!AH203</f>
        <v>13.400000000001455</v>
      </c>
      <c r="R203" s="202">
        <f ca="1">DATOSAÑO!AM203+DATOSAÑO!AN203+DATOSAÑO!AF203</f>
        <v>162.1</v>
      </c>
      <c r="S203" s="215">
        <f ca="1">IF(B203&gt;=$P$5,0,CONTADORES!Q201-CONTADORES!Q200)</f>
        <v>15</v>
      </c>
      <c r="T203" s="212">
        <f ca="1">IF(B203&gt;=$P$5,0,(CONTADORES!S201-CONTADORES!S200)+(CONTADORES!AE201-CONTADORES!AE200))</f>
        <v>3.3100000000000023</v>
      </c>
      <c r="U203" s="212">
        <f ca="1">IF(B203&gt;=$P$5,0,(CONTADORES!AQ201-CONTADORES!AQ200))</f>
        <v>5.0999999999985448</v>
      </c>
      <c r="V203" s="212">
        <f ca="1">IF(B203&gt;=$P$5,0,(CONTADORES!AR201-CONTADORES!AR200))</f>
        <v>0</v>
      </c>
      <c r="W203" s="736">
        <v>0</v>
      </c>
      <c r="X203" s="212">
        <f ca="1">IF(W203=0,(T203-INICIO!$W$6),((T203-INICIO!$W$6)+V203))</f>
        <v>3.3100000000000023</v>
      </c>
      <c r="Y203" s="214">
        <f t="shared" ca="1" si="38"/>
        <v>9.9000000000014552</v>
      </c>
      <c r="Z203" s="215">
        <f t="shared" ca="1" si="39"/>
        <v>7.5582450190769555</v>
      </c>
      <c r="AA203" s="212">
        <f t="shared" ca="1" si="40"/>
        <v>1.5653666807972422</v>
      </c>
      <c r="AB203" s="212">
        <f t="shared" ca="1" si="41"/>
        <v>0.56235693090304784</v>
      </c>
      <c r="AC203" s="214">
        <f t="shared" ref="AC203:AC266" ca="1" si="50">IF(B203&gt;=$P$5,0,($Y203*N203)/SUM($N203:$Q203))</f>
        <v>0.21403136922421004</v>
      </c>
    </row>
    <row r="204" spans="2:29">
      <c r="B204" s="220">
        <v>44755</v>
      </c>
      <c r="C204" s="208">
        <f ca="1">DATOSAÑO!I204</f>
        <v>148</v>
      </c>
      <c r="D204" s="202">
        <f ca="1">DATOSAÑO!P204</f>
        <v>300</v>
      </c>
      <c r="E204" s="202">
        <f ca="1">DATOSAÑO!Q204</f>
        <v>0</v>
      </c>
      <c r="F204" s="202">
        <f ca="1">DATOSAÑO!T204</f>
        <v>0</v>
      </c>
      <c r="G204" s="202">
        <f t="shared" ca="1" si="49"/>
        <v>448</v>
      </c>
      <c r="H204" s="202">
        <f t="shared" ca="1" si="43"/>
        <v>39.684000000002527</v>
      </c>
      <c r="I204" s="202">
        <f t="shared" ca="1" si="45"/>
        <v>187.99309182813633</v>
      </c>
      <c r="J204" s="202">
        <f t="shared" ca="1" si="46"/>
        <v>38.698357203036117</v>
      </c>
      <c r="K204" s="202">
        <f t="shared" ca="1" si="47"/>
        <v>14.317354675652242</v>
      </c>
      <c r="L204" s="202">
        <f t="shared" ca="1" si="44"/>
        <v>162.01599999999817</v>
      </c>
      <c r="M204" s="202">
        <f t="shared" ca="1" si="48"/>
        <v>5.2911962931745977</v>
      </c>
      <c r="N204" s="202">
        <f t="shared" ref="N204:N267" ca="1" si="51">U204</f>
        <v>5.0999999999985448</v>
      </c>
      <c r="O204" s="202">
        <f ca="1">(DATOSAÑO!AJ204+DATOSAÑO!AK204+DATOSAÑO!AD204)</f>
        <v>181.19999999999709</v>
      </c>
      <c r="P204" s="202">
        <f ca="1">DATOSAÑO!AI204</f>
        <v>37.30000000000291</v>
      </c>
      <c r="Q204" s="202">
        <f ca="1">DATOSAÑO!AH204</f>
        <v>13.799999999999272</v>
      </c>
      <c r="R204" s="202">
        <f ca="1">DATOSAÑO!AM204+DATOSAÑO!AN204+DATOSAÑO!AF204</f>
        <v>162.01599999999817</v>
      </c>
      <c r="S204" s="215">
        <f ca="1">IF(B204&gt;=$P$5,0,CONTADORES!Q202-CONTADORES!Q201)</f>
        <v>14</v>
      </c>
      <c r="T204" s="212">
        <f ca="1">IF(B204&gt;=$P$5,0,(CONTADORES!S202-CONTADORES!S201)+(CONTADORES!AE202-CONTADORES!AE201))</f>
        <v>3.2999999999999972</v>
      </c>
      <c r="U204" s="212">
        <f ca="1">IF(B204&gt;=$P$5,0,(CONTADORES!AQ202-CONTADORES!AQ201))</f>
        <v>5.0999999999985448</v>
      </c>
      <c r="V204" s="212">
        <f ca="1">IF(B204&gt;=$P$5,0,(CONTADORES!AR202-CONTADORES!AR201))</f>
        <v>0</v>
      </c>
      <c r="W204" s="736">
        <v>0</v>
      </c>
      <c r="X204" s="212">
        <f ca="1">IF(W204=0,(T204-INICIO!$W$6),((T204-INICIO!$W$6)+V204))</f>
        <v>3.2999999999999972</v>
      </c>
      <c r="Y204" s="214">
        <f t="shared" ref="Y204:Y267" ca="1" si="52">(IF(W204=0,(S204-U204),((S204-U204)-V204))+E204)</f>
        <v>8.9000000000014552</v>
      </c>
      <c r="Z204" s="215">
        <f t="shared" ref="Z204:Z267" ca="1" si="53">IF(B204&gt;=$P$5,0,($Y204*O204)/SUM($N204:$Q204))</f>
        <v>6.793091828139227</v>
      </c>
      <c r="AA204" s="212">
        <f t="shared" ref="AA204:AA267" ca="1" si="54">IF(B204&gt;=$P$5,0,($Y204*P204)/SUM($N204:$Q204))</f>
        <v>1.3983572030332065</v>
      </c>
      <c r="AB204" s="212">
        <f t="shared" ref="AB204:AB267" ca="1" si="55">IF(B204&gt;=$P$5,0,($Y204*Q204)/SUM($N204:$Q204))</f>
        <v>0.51735467565296855</v>
      </c>
      <c r="AC204" s="214">
        <f t="shared" ca="1" si="50"/>
        <v>0.19119629317605261</v>
      </c>
    </row>
    <row r="205" spans="2:29">
      <c r="B205" s="220">
        <v>44756</v>
      </c>
      <c r="C205" s="208">
        <f ca="1">DATOSAÑO!I205</f>
        <v>148</v>
      </c>
      <c r="D205" s="202">
        <f ca="1">DATOSAÑO!P205</f>
        <v>280</v>
      </c>
      <c r="E205" s="202">
        <f ca="1">DATOSAÑO!Q205</f>
        <v>0</v>
      </c>
      <c r="F205" s="202">
        <f ca="1">DATOSAÑO!T205</f>
        <v>0</v>
      </c>
      <c r="G205" s="202">
        <f t="shared" ca="1" si="49"/>
        <v>428</v>
      </c>
      <c r="H205" s="202">
        <f t="shared" ca="1" si="43"/>
        <v>35.521000000009792</v>
      </c>
      <c r="I205" s="202">
        <f t="shared" ca="1" si="45"/>
        <v>184.48244274808889</v>
      </c>
      <c r="J205" s="202">
        <f t="shared" ca="1" si="46"/>
        <v>37.270229007627606</v>
      </c>
      <c r="K205" s="202">
        <f t="shared" ca="1" si="47"/>
        <v>4.7755725190824672</v>
      </c>
      <c r="L205" s="202">
        <f t="shared" ca="1" si="44"/>
        <v>161.27900000000037</v>
      </c>
      <c r="M205" s="202">
        <f t="shared" ca="1" si="48"/>
        <v>4.6717557251908479</v>
      </c>
      <c r="N205" s="202">
        <f t="shared" ca="1" si="51"/>
        <v>4.5</v>
      </c>
      <c r="O205" s="202">
        <f ca="1">(DATOSAÑO!AJ205+DATOSAÑO!AK205+DATOSAÑO!AD205)</f>
        <v>177.69999999999709</v>
      </c>
      <c r="P205" s="202">
        <f ca="1">DATOSAÑO!AI205</f>
        <v>35.899999999994179</v>
      </c>
      <c r="Q205" s="202">
        <f ca="1">DATOSAÑO!AH205</f>
        <v>4.5999999999985448</v>
      </c>
      <c r="R205" s="202">
        <f ca="1">DATOSAÑO!AM205+DATOSAÑO!AN205+DATOSAÑO!AF205</f>
        <v>161.27900000000037</v>
      </c>
      <c r="S205" s="215">
        <f ca="1">IF(B205&gt;=$P$5,0,CONTADORES!Q203-CONTADORES!Q202)</f>
        <v>13</v>
      </c>
      <c r="T205" s="212">
        <f ca="1">IF(B205&gt;=$P$5,0,(CONTADORES!S203-CONTADORES!S202)+(CONTADORES!AE203-CONTADORES!AE202))</f>
        <v>3.269999999999996</v>
      </c>
      <c r="U205" s="212">
        <f ca="1">IF(B205&gt;=$P$5,0,(CONTADORES!AQ203-CONTADORES!AQ202))</f>
        <v>4.5</v>
      </c>
      <c r="V205" s="212">
        <f ca="1">IF(B205&gt;=$P$5,0,(CONTADORES!AR203-CONTADORES!AR202))</f>
        <v>0</v>
      </c>
      <c r="W205" s="736">
        <v>0</v>
      </c>
      <c r="X205" s="212">
        <f ca="1">IF(W205=0,(T205-INICIO!$W$6),((T205-INICIO!$W$6)+V205))</f>
        <v>3.269999999999996</v>
      </c>
      <c r="Y205" s="214">
        <f t="shared" ca="1" si="52"/>
        <v>8.5</v>
      </c>
      <c r="Z205" s="215">
        <f t="shared" ca="1" si="53"/>
        <v>6.7824427480918024</v>
      </c>
      <c r="AA205" s="212">
        <f t="shared" ca="1" si="54"/>
        <v>1.3702290076334283</v>
      </c>
      <c r="AB205" s="212">
        <f t="shared" ca="1" si="55"/>
        <v>0.17557251908392196</v>
      </c>
      <c r="AC205" s="214">
        <f t="shared" ca="1" si="50"/>
        <v>0.17175572519084756</v>
      </c>
    </row>
    <row r="206" spans="2:29">
      <c r="B206" s="220">
        <v>44757</v>
      </c>
      <c r="C206" s="208">
        <f ca="1">DATOSAÑO!I206</f>
        <v>148</v>
      </c>
      <c r="D206" s="202">
        <f ca="1">DATOSAÑO!P206</f>
        <v>290</v>
      </c>
      <c r="E206" s="202">
        <f ca="1">DATOSAÑO!Q206</f>
        <v>0</v>
      </c>
      <c r="F206" s="202">
        <f ca="1">DATOSAÑO!T206</f>
        <v>0</v>
      </c>
      <c r="G206" s="202">
        <f t="shared" ca="1" si="49"/>
        <v>438</v>
      </c>
      <c r="H206" s="202">
        <f t="shared" ca="1" si="43"/>
        <v>35.999999999997783</v>
      </c>
      <c r="I206" s="202">
        <f t="shared" ca="1" si="45"/>
        <v>187.51647627416335</v>
      </c>
      <c r="J206" s="202">
        <f t="shared" ca="1" si="46"/>
        <v>36.835456942006786</v>
      </c>
      <c r="K206" s="202">
        <f t="shared" ca="1" si="47"/>
        <v>8.8697275922671928</v>
      </c>
      <c r="L206" s="202">
        <f t="shared" ca="1" si="44"/>
        <v>164.50000000000216</v>
      </c>
      <c r="M206" s="202">
        <f t="shared" ca="1" si="48"/>
        <v>4.2783391915626563</v>
      </c>
      <c r="N206" s="202">
        <f t="shared" ca="1" si="51"/>
        <v>4.0999999999985448</v>
      </c>
      <c r="O206" s="202">
        <f ca="1">(DATOSAÑO!AJ206+DATOSAÑO!AK206+DATOSAÑO!AD206)</f>
        <v>179.69999999999709</v>
      </c>
      <c r="P206" s="202">
        <f ca="1">DATOSAÑO!AI206</f>
        <v>35.30000000000291</v>
      </c>
      <c r="Q206" s="202">
        <f ca="1">DATOSAÑO!AH206</f>
        <v>8.5</v>
      </c>
      <c r="R206" s="202">
        <f ca="1">DATOSAÑO!AM206+DATOSAÑO!AN206+DATOSAÑO!AF206</f>
        <v>164.50000000000216</v>
      </c>
      <c r="S206" s="215">
        <f ca="1">IF(B206&gt;=$P$5,0,CONTADORES!Q204-CONTADORES!Q203)</f>
        <v>14</v>
      </c>
      <c r="T206" s="212">
        <f ca="1">IF(B206&gt;=$P$5,0,(CONTADORES!S204-CONTADORES!S203)+(CONTADORES!AE204-CONTADORES!AE203))</f>
        <v>3.2199999999999989</v>
      </c>
      <c r="U206" s="212">
        <f ca="1">IF(B206&gt;=$P$5,0,(CONTADORES!AQ204-CONTADORES!AQ203))</f>
        <v>4.0999999999985448</v>
      </c>
      <c r="V206" s="212">
        <f ca="1">IF(B206&gt;=$P$5,0,(CONTADORES!AR204-CONTADORES!AR203))</f>
        <v>0</v>
      </c>
      <c r="W206" s="736">
        <v>0</v>
      </c>
      <c r="X206" s="212">
        <f ca="1">IF(W206=0,(T206-INICIO!$W$6),((T206-INICIO!$W$6)+V206))</f>
        <v>3.2199999999999989</v>
      </c>
      <c r="Y206" s="214">
        <f t="shared" ca="1" si="52"/>
        <v>9.9000000000014552</v>
      </c>
      <c r="Z206" s="215">
        <f t="shared" ca="1" si="53"/>
        <v>7.8164762741662743</v>
      </c>
      <c r="AA206" s="212">
        <f t="shared" ca="1" si="54"/>
        <v>1.5354569420038771</v>
      </c>
      <c r="AB206" s="212">
        <f t="shared" ca="1" si="55"/>
        <v>0.36972759226719204</v>
      </c>
      <c r="AC206" s="214">
        <f t="shared" ca="1" si="50"/>
        <v>0.17833919156411168</v>
      </c>
    </row>
    <row r="207" spans="2:29">
      <c r="B207" s="220">
        <v>44758</v>
      </c>
      <c r="C207" s="208">
        <f ca="1">DATOSAÑO!I207</f>
        <v>148</v>
      </c>
      <c r="D207" s="202">
        <f ca="1">DATOSAÑO!P207</f>
        <v>296</v>
      </c>
      <c r="E207" s="202">
        <f ca="1">DATOSAÑO!Q207</f>
        <v>0</v>
      </c>
      <c r="F207" s="202">
        <f ca="1">DATOSAÑO!T207</f>
        <v>0</v>
      </c>
      <c r="G207" s="202">
        <f t="shared" ca="1" si="49"/>
        <v>444</v>
      </c>
      <c r="H207" s="202">
        <f t="shared" ca="1" si="43"/>
        <v>36.134000000005813</v>
      </c>
      <c r="I207" s="202">
        <f t="shared" ca="1" si="45"/>
        <v>190.15397365065465</v>
      </c>
      <c r="J207" s="202">
        <f t="shared" ca="1" si="46"/>
        <v>36.636124096894349</v>
      </c>
      <c r="K207" s="202">
        <f t="shared" ca="1" si="47"/>
        <v>13.530386740333309</v>
      </c>
      <c r="L207" s="202">
        <f t="shared" ca="1" si="44"/>
        <v>162.96599999999819</v>
      </c>
      <c r="M207" s="202">
        <f t="shared" ca="1" si="48"/>
        <v>4.5795155121136863</v>
      </c>
      <c r="N207" s="202">
        <f t="shared" ca="1" si="51"/>
        <v>4.4000000000014552</v>
      </c>
      <c r="O207" s="202">
        <f ca="1">(DATOSAÑO!AJ207+DATOSAÑO!AK207+DATOSAÑO!AD207)</f>
        <v>182.69999999999709</v>
      </c>
      <c r="P207" s="202">
        <f ca="1">DATOSAÑO!AI207</f>
        <v>35.19999999999709</v>
      </c>
      <c r="Q207" s="202">
        <f ca="1">DATOSAÑO!AH207</f>
        <v>13.000000000001819</v>
      </c>
      <c r="R207" s="202">
        <f ca="1">DATOSAÑO!AM207+DATOSAÑO!AN207+DATOSAÑO!AF207</f>
        <v>162.96599999999819</v>
      </c>
      <c r="S207" s="215">
        <f ca="1">IF(B207&gt;=$P$5,0,CONTADORES!Q205-CONTADORES!Q204)</f>
        <v>14</v>
      </c>
      <c r="T207" s="212">
        <f ca="1">IF(B207&gt;=$P$5,0,(CONTADORES!S205-CONTADORES!S204)+(CONTADORES!AE205-CONTADORES!AE204))</f>
        <v>3.1099999999999994</v>
      </c>
      <c r="U207" s="212">
        <f ca="1">IF(B207&gt;=$P$5,0,(CONTADORES!AQ205-CONTADORES!AQ204))</f>
        <v>4.4000000000014552</v>
      </c>
      <c r="V207" s="212">
        <f ca="1">IF(B207&gt;=$P$5,0,(CONTADORES!AR205-CONTADORES!AR204))</f>
        <v>0</v>
      </c>
      <c r="W207" s="736">
        <v>0</v>
      </c>
      <c r="X207" s="212">
        <f ca="1">IF(W207=0,(T207-INICIO!$W$6),((T207-INICIO!$W$6)+V207))</f>
        <v>3.1099999999999994</v>
      </c>
      <c r="Y207" s="214">
        <f t="shared" ca="1" si="52"/>
        <v>9.5999999999985448</v>
      </c>
      <c r="Z207" s="215">
        <f t="shared" ca="1" si="53"/>
        <v>7.4539736506575665</v>
      </c>
      <c r="AA207" s="212">
        <f t="shared" ca="1" si="54"/>
        <v>1.4361240968972566</v>
      </c>
      <c r="AB207" s="212">
        <f t="shared" ca="1" si="55"/>
        <v>0.53038674033149125</v>
      </c>
      <c r="AC207" s="214">
        <f t="shared" ca="1" si="50"/>
        <v>0.1795155121122313</v>
      </c>
    </row>
    <row r="208" spans="2:29">
      <c r="B208" s="220">
        <v>44759</v>
      </c>
      <c r="C208" s="208">
        <f ca="1">DATOSAÑO!I208</f>
        <v>148</v>
      </c>
      <c r="D208" s="202">
        <f ca="1">DATOSAÑO!P208</f>
        <v>292</v>
      </c>
      <c r="E208" s="202">
        <f ca="1">DATOSAÑO!Q208</f>
        <v>0</v>
      </c>
      <c r="F208" s="202">
        <f ca="1">DATOSAÑO!T208</f>
        <v>0</v>
      </c>
      <c r="G208" s="202">
        <f t="shared" ca="1" si="49"/>
        <v>440</v>
      </c>
      <c r="H208" s="202">
        <f t="shared" ca="1" si="43"/>
        <v>34.090199999982588</v>
      </c>
      <c r="I208" s="202">
        <f t="shared" ca="1" si="45"/>
        <v>186.84935897436159</v>
      </c>
      <c r="J208" s="202">
        <f t="shared" ca="1" si="46"/>
        <v>36.685897435906405</v>
      </c>
      <c r="K208" s="202">
        <f t="shared" ca="1" si="47"/>
        <v>13.264957264960252</v>
      </c>
      <c r="L208" s="202">
        <f t="shared" ca="1" si="44"/>
        <v>163.40980000000283</v>
      </c>
      <c r="M208" s="202">
        <f t="shared" ca="1" si="48"/>
        <v>5.6997863247863121</v>
      </c>
      <c r="N208" s="202">
        <f t="shared" ca="1" si="51"/>
        <v>5.5</v>
      </c>
      <c r="O208" s="202">
        <f ca="1">(DATOSAÑO!AJ208+DATOSAÑO!AK208+DATOSAÑO!AD208)</f>
        <v>180.30000000000291</v>
      </c>
      <c r="P208" s="202">
        <f ca="1">DATOSAÑO!AI208</f>
        <v>35.400000000008731</v>
      </c>
      <c r="Q208" s="202">
        <f ca="1">DATOSAÑO!AH208</f>
        <v>12.80000000000291</v>
      </c>
      <c r="R208" s="202">
        <f ca="1">DATOSAÑO!AM208+DATOSAÑO!AN208+DATOSAÑO!AF208</f>
        <v>163.40980000000283</v>
      </c>
      <c r="S208" s="215">
        <f ca="1">IF(B208&gt;=$P$5,0,CONTADORES!Q206-CONTADORES!Q205)</f>
        <v>14</v>
      </c>
      <c r="T208" s="212">
        <f ca="1">IF(B208&gt;=$P$5,0,(CONTADORES!S206-CONTADORES!S205)+(CONTADORES!AE206-CONTADORES!AE205))</f>
        <v>3.4000000000000057</v>
      </c>
      <c r="U208" s="212">
        <f ca="1">IF(B208&gt;=$P$5,0,(CONTADORES!AQ206-CONTADORES!AQ205))</f>
        <v>5.5</v>
      </c>
      <c r="V208" s="212">
        <f ca="1">IF(B208&gt;=$P$5,0,(CONTADORES!AR206-CONTADORES!AR205))</f>
        <v>0</v>
      </c>
      <c r="W208" s="736">
        <v>0</v>
      </c>
      <c r="X208" s="212">
        <f ca="1">IF(W208=0,(T208-INICIO!$W$6),((T208-INICIO!$W$6)+V208))</f>
        <v>3.4000000000000057</v>
      </c>
      <c r="Y208" s="214">
        <f t="shared" ca="1" si="52"/>
        <v>8.5</v>
      </c>
      <c r="Z208" s="215">
        <f t="shared" ca="1" si="53"/>
        <v>6.5493589743586726</v>
      </c>
      <c r="AA208" s="212">
        <f t="shared" ca="1" si="54"/>
        <v>1.2858974358976731</v>
      </c>
      <c r="AB208" s="212">
        <f t="shared" ca="1" si="55"/>
        <v>0.46495726495734174</v>
      </c>
      <c r="AC208" s="214">
        <f t="shared" ca="1" si="50"/>
        <v>0.19978632478631236</v>
      </c>
    </row>
    <row r="209" spans="2:29">
      <c r="B209" s="220">
        <v>44760</v>
      </c>
      <c r="C209" s="208">
        <f ca="1">DATOSAÑO!I209</f>
        <v>139</v>
      </c>
      <c r="D209" s="202">
        <f ca="1">DATOSAÑO!P209</f>
        <v>273</v>
      </c>
      <c r="E209" s="202">
        <f ca="1">DATOSAÑO!Q209</f>
        <v>0</v>
      </c>
      <c r="F209" s="202">
        <f ca="1">DATOSAÑO!T209</f>
        <v>0.40899999999999181</v>
      </c>
      <c r="G209" s="202">
        <f t="shared" ca="1" si="49"/>
        <v>412.40899999999999</v>
      </c>
      <c r="H209" s="202">
        <f t="shared" ca="1" si="43"/>
        <v>34.495000000008361</v>
      </c>
      <c r="I209" s="202">
        <f t="shared" ca="1" si="45"/>
        <v>187.95605095541728</v>
      </c>
      <c r="J209" s="202">
        <f t="shared" ca="1" si="46"/>
        <v>39.717834394895405</v>
      </c>
      <c r="K209" s="202">
        <f t="shared" ca="1" si="47"/>
        <v>12.613800424626948</v>
      </c>
      <c r="L209" s="202">
        <f t="shared" ca="1" si="44"/>
        <v>132.41399999999891</v>
      </c>
      <c r="M209" s="202">
        <f t="shared" ca="1" si="48"/>
        <v>5.2123142250530847</v>
      </c>
      <c r="N209" s="202">
        <f t="shared" ca="1" si="51"/>
        <v>5</v>
      </c>
      <c r="O209" s="202">
        <f ca="1">(DATOSAÑO!AJ209+DATOSAÑO!AK209+DATOSAÑO!AD209)</f>
        <v>180.30000000000291</v>
      </c>
      <c r="P209" s="202">
        <f ca="1">DATOSAÑO!AI209</f>
        <v>38.099999999991269</v>
      </c>
      <c r="Q209" s="202">
        <f ca="1">DATOSAÑO!AH209</f>
        <v>12.099999999998545</v>
      </c>
      <c r="R209" s="202">
        <f ca="1">DATOSAÑO!AM209+DATOSAÑO!AN209+DATOSAÑO!AF209</f>
        <v>132.41399999999891</v>
      </c>
      <c r="S209" s="215">
        <f ca="1">IF(B209&gt;=$P$5,0,CONTADORES!Q207-CONTADORES!Q206)</f>
        <v>15</v>
      </c>
      <c r="T209" s="212">
        <f ca="1">IF(B209&gt;=$P$5,0,(CONTADORES!S207-CONTADORES!S206)+(CONTADORES!AE207-CONTADORES!AE206))</f>
        <v>3.4000000000000057</v>
      </c>
      <c r="U209" s="212">
        <f ca="1">IF(B209&gt;=$P$5,0,(CONTADORES!AQ207-CONTADORES!AQ206))</f>
        <v>5</v>
      </c>
      <c r="V209" s="212">
        <f ca="1">IF(B209&gt;=$P$5,0,(CONTADORES!AR207-CONTADORES!AR206))</f>
        <v>0</v>
      </c>
      <c r="W209" s="736">
        <v>0</v>
      </c>
      <c r="X209" s="212">
        <f ca="1">IF(W209=0,(T209-INICIO!$W$6),((T209-INICIO!$W$6)+V209))</f>
        <v>3.4000000000000057</v>
      </c>
      <c r="Y209" s="214">
        <f t="shared" ca="1" si="52"/>
        <v>10</v>
      </c>
      <c r="Z209" s="215">
        <f t="shared" ca="1" si="53"/>
        <v>7.656050955414373</v>
      </c>
      <c r="AA209" s="212">
        <f t="shared" ca="1" si="54"/>
        <v>1.6178343949041378</v>
      </c>
      <c r="AB209" s="212">
        <f t="shared" ca="1" si="55"/>
        <v>0.51380042462840414</v>
      </c>
      <c r="AC209" s="214">
        <f t="shared" ca="1" si="50"/>
        <v>0.21231422505308511</v>
      </c>
    </row>
    <row r="210" spans="2:29">
      <c r="B210" s="220">
        <v>44761</v>
      </c>
      <c r="C210" s="208">
        <f ca="1">DATOSAÑO!I210</f>
        <v>150</v>
      </c>
      <c r="D210" s="202">
        <f ca="1">DATOSAÑO!P210</f>
        <v>284</v>
      </c>
      <c r="E210" s="202">
        <f ca="1">DATOSAÑO!Q210</f>
        <v>0.23900000000003274</v>
      </c>
      <c r="F210" s="202">
        <f ca="1">DATOSAÑO!T210</f>
        <v>0</v>
      </c>
      <c r="G210" s="202">
        <f t="shared" ca="1" si="49"/>
        <v>434.23900000000003</v>
      </c>
      <c r="H210" s="202">
        <f t="shared" ca="1" si="43"/>
        <v>33.443999999985806</v>
      </c>
      <c r="I210" s="202">
        <f t="shared" ca="1" si="45"/>
        <v>191.74859297789899</v>
      </c>
      <c r="J210" s="202">
        <f t="shared" ca="1" si="46"/>
        <v>40.626472041621504</v>
      </c>
      <c r="K210" s="202">
        <f t="shared" ca="1" si="47"/>
        <v>3.3420234070209589</v>
      </c>
      <c r="L210" s="202">
        <f t="shared" ca="1" si="44"/>
        <v>159.85600000000073</v>
      </c>
      <c r="M210" s="202">
        <f t="shared" ca="1" si="48"/>
        <v>5.2219115734720294</v>
      </c>
      <c r="N210" s="202">
        <f t="shared" ca="1" si="51"/>
        <v>5</v>
      </c>
      <c r="O210" s="202">
        <f ca="1">(DATOSAÑO!AJ210+DATOSAÑO!AK210+DATOSAÑO!AD210)</f>
        <v>183.60000000000582</v>
      </c>
      <c r="P210" s="202">
        <f ca="1">DATOSAÑO!AI210</f>
        <v>38.900000000008731</v>
      </c>
      <c r="Q210" s="202">
        <f ca="1">DATOSAÑO!AH210</f>
        <v>3.1999999999989086</v>
      </c>
      <c r="R210" s="202">
        <f ca="1">DATOSAÑO!AM210+DATOSAÑO!AN210+DATOSAÑO!AF210</f>
        <v>159.85600000000073</v>
      </c>
      <c r="S210" s="215">
        <f ca="1">IF(B210&gt;=$P$5,0,CONTADORES!Q208-CONTADORES!Q207)</f>
        <v>15</v>
      </c>
      <c r="T210" s="212">
        <f ca="1">IF(B210&gt;=$P$5,0,(CONTADORES!S208-CONTADORES!S207)+(CONTADORES!AE208-CONTADORES!AE207))</f>
        <v>3.2999999999999829</v>
      </c>
      <c r="U210" s="212">
        <f ca="1">IF(B210&gt;=$P$5,0,(CONTADORES!AQ208-CONTADORES!AQ207))</f>
        <v>5</v>
      </c>
      <c r="V210" s="212">
        <f ca="1">IF(B210&gt;=$P$5,0,(CONTADORES!AR208-CONTADORES!AR207))</f>
        <v>0</v>
      </c>
      <c r="W210" s="736">
        <v>0</v>
      </c>
      <c r="X210" s="212">
        <f ca="1">IF(W210=0,(T210-INICIO!$W$6),((T210-INICIO!$W$6)+V210))</f>
        <v>3.2999999999999829</v>
      </c>
      <c r="Y210" s="214">
        <f t="shared" ca="1" si="52"/>
        <v>10.239000000000033</v>
      </c>
      <c r="Z210" s="215">
        <f t="shared" ca="1" si="53"/>
        <v>8.1485929778931769</v>
      </c>
      <c r="AA210" s="212">
        <f t="shared" ca="1" si="54"/>
        <v>1.7264720416127761</v>
      </c>
      <c r="AB210" s="212">
        <f t="shared" ca="1" si="55"/>
        <v>0.14202340702205035</v>
      </c>
      <c r="AC210" s="214">
        <f t="shared" ca="1" si="50"/>
        <v>0.22191157347202936</v>
      </c>
    </row>
    <row r="211" spans="2:29">
      <c r="B211" s="220">
        <v>44762</v>
      </c>
      <c r="C211" s="208">
        <f ca="1">DATOSAÑO!I211</f>
        <v>148.77000000001863</v>
      </c>
      <c r="D211" s="202">
        <f ca="1">DATOSAÑO!P211</f>
        <v>301.2699999999968</v>
      </c>
      <c r="E211" s="202">
        <f ca="1">DATOSAÑO!Q211</f>
        <v>0</v>
      </c>
      <c r="F211" s="202">
        <f ca="1">DATOSAÑO!T211</f>
        <v>0</v>
      </c>
      <c r="G211" s="202">
        <f t="shared" ca="1" si="49"/>
        <v>450.04000000001543</v>
      </c>
      <c r="H211" s="202">
        <f t="shared" ca="1" si="43"/>
        <v>34.755000000021141</v>
      </c>
      <c r="I211" s="202">
        <f t="shared" ca="1" si="45"/>
        <v>190.76696818464063</v>
      </c>
      <c r="J211" s="202">
        <f t="shared" ca="1" si="46"/>
        <v>42.080182990220706</v>
      </c>
      <c r="K211" s="202">
        <f t="shared" ca="1" si="47"/>
        <v>12.394905385738523</v>
      </c>
      <c r="L211" s="202">
        <f t="shared" ca="1" si="44"/>
        <v>164.83500000000996</v>
      </c>
      <c r="M211" s="202">
        <f t="shared" ca="1" si="48"/>
        <v>5.2079434393845006</v>
      </c>
      <c r="N211" s="202">
        <f t="shared" ca="1" si="51"/>
        <v>5</v>
      </c>
      <c r="O211" s="202">
        <f ca="1">(DATOSAÑO!AJ211+DATOSAÑO!AK211+DATOSAÑO!AD211)</f>
        <v>183.1499999999869</v>
      </c>
      <c r="P211" s="202">
        <f ca="1">DATOSAÑO!AI211</f>
        <v>40.399999999994179</v>
      </c>
      <c r="Q211" s="202">
        <f ca="1">DATOSAÑO!AH211</f>
        <v>11.900000000003274</v>
      </c>
      <c r="R211" s="202">
        <f ca="1">DATOSAÑO!AM211+DATOSAÑO!AN211+DATOSAÑO!AF211</f>
        <v>164.83500000000996</v>
      </c>
      <c r="S211" s="215">
        <f ca="1">IF(B211&gt;=$P$5,0,CONTADORES!Q209-CONTADORES!Q208)</f>
        <v>15</v>
      </c>
      <c r="T211" s="212">
        <f ca="1">IF(B211&gt;=$P$5,0,(CONTADORES!S209-CONTADORES!S208)+(CONTADORES!AE209-CONTADORES!AE208))</f>
        <v>3.2000000000000171</v>
      </c>
      <c r="U211" s="212">
        <f ca="1">IF(B211&gt;=$P$5,0,(CONTADORES!AQ209-CONTADORES!AQ208))</f>
        <v>5</v>
      </c>
      <c r="V211" s="212">
        <f ca="1">IF(B211&gt;=$P$5,0,(CONTADORES!AR209-CONTADORES!AR208))</f>
        <v>0</v>
      </c>
      <c r="W211" s="736">
        <v>0</v>
      </c>
      <c r="X211" s="212">
        <f ca="1">IF(W211=0,(T211-INICIO!$W$6),((T211-INICIO!$W$6)+V211))</f>
        <v>3.2000000000000171</v>
      </c>
      <c r="Y211" s="214">
        <f t="shared" ca="1" si="52"/>
        <v>10</v>
      </c>
      <c r="Z211" s="215">
        <f t="shared" ca="1" si="53"/>
        <v>7.6169681846537252</v>
      </c>
      <c r="AA211" s="212">
        <f t="shared" ca="1" si="54"/>
        <v>1.6801829902265255</v>
      </c>
      <c r="AB211" s="212">
        <f t="shared" ca="1" si="55"/>
        <v>0.49490538573524845</v>
      </c>
      <c r="AC211" s="214">
        <f t="shared" ca="1" si="50"/>
        <v>0.20794343938450094</v>
      </c>
    </row>
    <row r="212" spans="2:29">
      <c r="B212" s="220">
        <v>44763</v>
      </c>
      <c r="C212" s="208">
        <f ca="1">DATOSAÑO!I212</f>
        <v>243.53000000002794</v>
      </c>
      <c r="D212" s="202">
        <f ca="1">DATOSAÑO!P212</f>
        <v>191.2300000000032</v>
      </c>
      <c r="E212" s="202">
        <f ca="1">DATOSAÑO!Q212</f>
        <v>0</v>
      </c>
      <c r="F212" s="202">
        <f ca="1">DATOSAÑO!T212</f>
        <v>0</v>
      </c>
      <c r="G212" s="202">
        <f t="shared" ca="1" si="49"/>
        <v>434.76000000003114</v>
      </c>
      <c r="H212" s="202">
        <f t="shared" ca="1" si="43"/>
        <v>35.604000000058932</v>
      </c>
      <c r="I212" s="202">
        <f t="shared" ca="1" si="45"/>
        <v>186.84049152179654</v>
      </c>
      <c r="J212" s="202">
        <f t="shared" ca="1" si="46"/>
        <v>40.152715174930186</v>
      </c>
      <c r="K212" s="202">
        <f t="shared" ca="1" si="47"/>
        <v>11.785082635756075</v>
      </c>
      <c r="L212" s="202">
        <f t="shared" ca="1" si="44"/>
        <v>156.20599999996421</v>
      </c>
      <c r="M212" s="202">
        <f t="shared" ca="1" si="48"/>
        <v>4.1717106675252138</v>
      </c>
      <c r="N212" s="202">
        <f t="shared" ca="1" si="51"/>
        <v>4</v>
      </c>
      <c r="O212" s="202">
        <f ca="1">(DATOSAÑO!AJ212+DATOSAÑO!AK212+DATOSAÑO!AD212)</f>
        <v>179.15000000001055</v>
      </c>
      <c r="P212" s="202">
        <f ca="1">DATOSAÑO!AI212</f>
        <v>38.5</v>
      </c>
      <c r="Q212" s="202">
        <f ca="1">DATOSAÑO!AH212</f>
        <v>11.299999999997453</v>
      </c>
      <c r="R212" s="202">
        <f ca="1">DATOSAÑO!AM212+DATOSAÑO!AN212+DATOSAÑO!AF212</f>
        <v>156.20599999996421</v>
      </c>
      <c r="S212" s="215">
        <f ca="1">IF(B212&gt;=$P$5,0,CONTADORES!Q210-CONTADORES!Q209)</f>
        <v>14</v>
      </c>
      <c r="T212" s="212">
        <f ca="1">IF(B212&gt;=$P$5,0,(CONTADORES!S210-CONTADORES!S209)+(CONTADORES!AE210-CONTADORES!AE209))</f>
        <v>3.0999999999999943</v>
      </c>
      <c r="U212" s="212">
        <f ca="1">IF(B212&gt;=$P$5,0,(CONTADORES!AQ210-CONTADORES!AQ209))</f>
        <v>4</v>
      </c>
      <c r="V212" s="212">
        <f ca="1">IF(B212&gt;=$P$5,0,(CONTADORES!AR210-CONTADORES!AR209))</f>
        <v>0</v>
      </c>
      <c r="W212" s="736">
        <v>0</v>
      </c>
      <c r="X212" s="212">
        <f ca="1">IF(W212=0,(T212-INICIO!$W$6),((T212-INICIO!$W$6)+V212))</f>
        <v>3.0999999999999943</v>
      </c>
      <c r="Y212" s="214">
        <f t="shared" ca="1" si="52"/>
        <v>10</v>
      </c>
      <c r="Z212" s="215">
        <f t="shared" ca="1" si="53"/>
        <v>7.6904915217859795</v>
      </c>
      <c r="AA212" s="212">
        <f t="shared" ca="1" si="54"/>
        <v>1.6527151749301858</v>
      </c>
      <c r="AB212" s="212">
        <f t="shared" ca="1" si="55"/>
        <v>0.48508263575862054</v>
      </c>
      <c r="AC212" s="214">
        <f t="shared" ca="1" si="50"/>
        <v>0.17171066752521411</v>
      </c>
    </row>
    <row r="213" spans="2:29">
      <c r="B213" s="220">
        <v>44764</v>
      </c>
      <c r="C213" s="208">
        <f ca="1">DATOSAÑO!I213</f>
        <v>290.26000000000931</v>
      </c>
      <c r="D213" s="202">
        <f ca="1">DATOSAÑO!P213</f>
        <v>149.77300000000105</v>
      </c>
      <c r="E213" s="202">
        <f ca="1">DATOSAÑO!Q213</f>
        <v>0</v>
      </c>
      <c r="F213" s="202">
        <f ca="1">DATOSAÑO!T213</f>
        <v>0</v>
      </c>
      <c r="G213" s="202">
        <f t="shared" ca="1" si="49"/>
        <v>440.03300000001036</v>
      </c>
      <c r="H213" s="202">
        <f t="shared" ca="1" si="43"/>
        <v>36.430000000026041</v>
      </c>
      <c r="I213" s="202">
        <f t="shared" ca="1" si="45"/>
        <v>192.42712184336409</v>
      </c>
      <c r="J213" s="202">
        <f t="shared" ca="1" si="46"/>
        <v>41.637984865235097</v>
      </c>
      <c r="K213" s="202">
        <f t="shared" ca="1" si="47"/>
        <v>6.9848397245102083</v>
      </c>
      <c r="L213" s="202">
        <f t="shared" ca="1" si="44"/>
        <v>158.38300000000132</v>
      </c>
      <c r="M213" s="202">
        <f t="shared" ca="1" si="48"/>
        <v>4.1700535668735776</v>
      </c>
      <c r="N213" s="202">
        <f t="shared" ca="1" si="51"/>
        <v>4</v>
      </c>
      <c r="O213" s="202">
        <f ca="1">(DATOSAÑO!AJ213+DATOSAÑO!AK213+DATOSAÑO!AD213)</f>
        <v>184.57999999998356</v>
      </c>
      <c r="P213" s="202">
        <f ca="1">DATOSAÑO!AI213</f>
        <v>39.940000000002328</v>
      </c>
      <c r="Q213" s="202">
        <f ca="1">DATOSAÑO!AH213</f>
        <v>6.6999999999970896</v>
      </c>
      <c r="R213" s="202">
        <f ca="1">DATOSAÑO!AM213+DATOSAÑO!AN213+DATOSAÑO!AF213</f>
        <v>158.38300000000132</v>
      </c>
      <c r="S213" s="215">
        <f ca="1">IF(B213&gt;=$P$5,0,CONTADORES!Q211-CONTADORES!Q210)</f>
        <v>14</v>
      </c>
      <c r="T213" s="212">
        <f ca="1">IF(B213&gt;=$P$5,0,(CONTADORES!S211-CONTADORES!S210)+(CONTADORES!AE211-CONTADORES!AE210))</f>
        <v>3.1999999999999886</v>
      </c>
      <c r="U213" s="212">
        <f ca="1">IF(B213&gt;=$P$5,0,(CONTADORES!AQ211-CONTADORES!AQ210))</f>
        <v>4</v>
      </c>
      <c r="V213" s="212">
        <f ca="1">IF(B213&gt;=$P$5,0,(CONTADORES!AR211-CONTADORES!AR210))</f>
        <v>0</v>
      </c>
      <c r="W213" s="736">
        <v>0</v>
      </c>
      <c r="X213" s="212">
        <f ca="1">IF(W213=0,(T213-INICIO!$W$6),((T213-INICIO!$W$6)+V213))</f>
        <v>3.1999999999999886</v>
      </c>
      <c r="Y213" s="214">
        <f t="shared" ca="1" si="52"/>
        <v>10</v>
      </c>
      <c r="Z213" s="215">
        <f t="shared" ca="1" si="53"/>
        <v>7.8471218433805339</v>
      </c>
      <c r="AA213" s="212">
        <f t="shared" ca="1" si="54"/>
        <v>1.69798486523277</v>
      </c>
      <c r="AB213" s="212">
        <f t="shared" ca="1" si="55"/>
        <v>0.28483972451311856</v>
      </c>
      <c r="AC213" s="214">
        <f t="shared" ca="1" si="50"/>
        <v>0.17005356687357748</v>
      </c>
    </row>
    <row r="214" spans="2:29">
      <c r="B214" s="220">
        <v>44765</v>
      </c>
      <c r="C214" s="208">
        <f ca="1">DATOSAÑO!I214</f>
        <v>291.23999999999069</v>
      </c>
      <c r="D214" s="202">
        <f ca="1">DATOSAÑO!P214</f>
        <v>147.53199999999924</v>
      </c>
      <c r="E214" s="202">
        <f ca="1">DATOSAÑO!Q214</f>
        <v>0</v>
      </c>
      <c r="F214" s="202">
        <f ca="1">DATOSAÑO!T214</f>
        <v>0</v>
      </c>
      <c r="G214" s="202">
        <f t="shared" ca="1" si="49"/>
        <v>438.77199999998993</v>
      </c>
      <c r="H214" s="202">
        <f t="shared" ca="1" si="43"/>
        <v>35.209999999949162</v>
      </c>
      <c r="I214" s="202">
        <f t="shared" ca="1" si="45"/>
        <v>189.49974932109211</v>
      </c>
      <c r="J214" s="202">
        <f t="shared" ca="1" si="46"/>
        <v>40.681501984544369</v>
      </c>
      <c r="K214" s="202">
        <f t="shared" ca="1" si="47"/>
        <v>13.959849592648224</v>
      </c>
      <c r="L214" s="202">
        <f t="shared" ca="1" si="44"/>
        <v>154.21200000002227</v>
      </c>
      <c r="M214" s="202">
        <f t="shared" ca="1" si="48"/>
        <v>5.208899101733846</v>
      </c>
      <c r="N214" s="202">
        <f t="shared" ca="1" si="51"/>
        <v>5</v>
      </c>
      <c r="O214" s="202">
        <f ca="1">(DATOSAÑO!AJ214+DATOSAÑO!AK214+DATOSAÑO!AD214)</f>
        <v>181.90000000001419</v>
      </c>
      <c r="P214" s="202">
        <f ca="1">DATOSAÑO!AI214</f>
        <v>39.05000000000291</v>
      </c>
      <c r="Q214" s="202">
        <f ca="1">DATOSAÑO!AH214</f>
        <v>13.400000000001455</v>
      </c>
      <c r="R214" s="202">
        <f ca="1">DATOSAÑO!AM214+DATOSAÑO!AN214+DATOSAÑO!AF214</f>
        <v>154.21200000002227</v>
      </c>
      <c r="S214" s="215">
        <f ca="1">IF(B214&gt;=$P$5,0,CONTADORES!Q212-CONTADORES!Q211)</f>
        <v>15</v>
      </c>
      <c r="T214" s="212">
        <f ca="1">IF(B214&gt;=$P$5,0,(CONTADORES!S212-CONTADORES!S211)+(CONTADORES!AE212-CONTADORES!AE211))</f>
        <v>3.3000000000000114</v>
      </c>
      <c r="U214" s="212">
        <f ca="1">IF(B214&gt;=$P$5,0,(CONTADORES!AQ212-CONTADORES!AQ211))</f>
        <v>5</v>
      </c>
      <c r="V214" s="212">
        <f ca="1">IF(B214&gt;=$P$5,0,(CONTADORES!AR212-CONTADORES!AR211))</f>
        <v>0</v>
      </c>
      <c r="W214" s="736">
        <v>0</v>
      </c>
      <c r="X214" s="212">
        <f ca="1">IF(W214=0,(T214-INICIO!$W$6),((T214-INICIO!$W$6)+V214))</f>
        <v>3.3000000000000114</v>
      </c>
      <c r="Y214" s="214">
        <f t="shared" ca="1" si="52"/>
        <v>10</v>
      </c>
      <c r="Z214" s="215">
        <f t="shared" ca="1" si="53"/>
        <v>7.5997493210779234</v>
      </c>
      <c r="AA214" s="212">
        <f t="shared" ca="1" si="54"/>
        <v>1.6315019845414616</v>
      </c>
      <c r="AB214" s="212">
        <f t="shared" ca="1" si="55"/>
        <v>0.55984959264676903</v>
      </c>
      <c r="AC214" s="214">
        <f t="shared" ca="1" si="50"/>
        <v>0.20889910173384635</v>
      </c>
    </row>
    <row r="215" spans="2:29">
      <c r="B215" s="220">
        <v>44766</v>
      </c>
      <c r="C215" s="208">
        <f ca="1">DATOSAÑO!I215</f>
        <v>295.13999999989755</v>
      </c>
      <c r="D215" s="202">
        <f ca="1">DATOSAÑO!P215</f>
        <v>148.08200000000215</v>
      </c>
      <c r="E215" s="202">
        <f ca="1">DATOSAÑO!Q215</f>
        <v>0</v>
      </c>
      <c r="F215" s="202">
        <f ca="1">DATOSAÑO!T215</f>
        <v>0</v>
      </c>
      <c r="G215" s="202">
        <f t="shared" ca="1" si="49"/>
        <v>443.22199999989971</v>
      </c>
      <c r="H215" s="202">
        <f t="shared" ca="1" si="43"/>
        <v>35.157999999876097</v>
      </c>
      <c r="I215" s="202">
        <f t="shared" ref="I215:I246" ca="1" si="56">O215+Z215</f>
        <v>190.11511221945352</v>
      </c>
      <c r="J215" s="202">
        <f t="shared" ref="J215:J246" ca="1" si="57">P215+AA215</f>
        <v>40.500349127175411</v>
      </c>
      <c r="K215" s="202">
        <f t="shared" ref="K215:K246" ca="1" si="58">Q215+AB215</f>
        <v>13.797506234416987</v>
      </c>
      <c r="L215" s="202">
        <f t="shared" ca="1" si="44"/>
        <v>158.46400000002501</v>
      </c>
      <c r="M215" s="202">
        <f t="shared" ref="M215:M246" ca="1" si="59">N215+AC215</f>
        <v>5.1870324189526196</v>
      </c>
      <c r="N215" s="202">
        <f t="shared" ca="1" si="51"/>
        <v>5</v>
      </c>
      <c r="O215" s="202">
        <f ca="1">(DATOSAÑO!AJ215+DATOSAÑO!AK215+DATOSAÑO!AD215)</f>
        <v>183.26000000000204</v>
      </c>
      <c r="P215" s="202">
        <f ca="1">DATOSAÑO!AI215</f>
        <v>39.039999999993597</v>
      </c>
      <c r="Q215" s="202">
        <f ca="1">DATOSAÑO!AH215</f>
        <v>13.30000000000291</v>
      </c>
      <c r="R215" s="202">
        <f ca="1">DATOSAÑO!AM215+DATOSAÑO!AN215+DATOSAÑO!AF215</f>
        <v>158.46400000002501</v>
      </c>
      <c r="S215" s="215">
        <f ca="1">IF(B215&gt;=$P$5,0,CONTADORES!Q213-CONTADORES!Q212)</f>
        <v>14</v>
      </c>
      <c r="T215" s="212">
        <f ca="1">IF(B215&gt;=$P$5,0,(CONTADORES!S213-CONTADORES!S212)+(CONTADORES!AE213-CONTADORES!AE212))</f>
        <v>3.1999999999999886</v>
      </c>
      <c r="U215" s="212">
        <f ca="1">IF(B215&gt;=$P$5,0,(CONTADORES!AQ213-CONTADORES!AQ212))</f>
        <v>5</v>
      </c>
      <c r="V215" s="212">
        <f ca="1">IF(B215&gt;=$P$5,0,(CONTADORES!AR213-CONTADORES!AR212))</f>
        <v>0</v>
      </c>
      <c r="W215" s="736">
        <v>0</v>
      </c>
      <c r="X215" s="212">
        <f ca="1">IF(W215=0,(T215-INICIO!$W$6),((T215-INICIO!$W$6)+V215))</f>
        <v>3.1999999999999886</v>
      </c>
      <c r="Y215" s="214">
        <f t="shared" ca="1" si="52"/>
        <v>9</v>
      </c>
      <c r="Z215" s="215">
        <f t="shared" ca="1" si="53"/>
        <v>6.8551122194514891</v>
      </c>
      <c r="AA215" s="212">
        <f t="shared" ca="1" si="54"/>
        <v>1.4603491271818143</v>
      </c>
      <c r="AB215" s="212">
        <f t="shared" ca="1" si="55"/>
        <v>0.49750623441407699</v>
      </c>
      <c r="AC215" s="214">
        <f t="shared" ca="1" si="50"/>
        <v>0.18703241895261957</v>
      </c>
    </row>
    <row r="216" spans="2:29">
      <c r="B216" s="220">
        <v>44767</v>
      </c>
      <c r="C216" s="208">
        <f ca="1">DATOSAÑO!I216</f>
        <v>289.09000000008382</v>
      </c>
      <c r="D216" s="202">
        <f ca="1">DATOSAÑO!P216</f>
        <v>146.70299999999406</v>
      </c>
      <c r="E216" s="202">
        <f ca="1">DATOSAÑO!Q216</f>
        <v>0.45399999999995089</v>
      </c>
      <c r="F216" s="202">
        <f ca="1">DATOSAÑO!T216</f>
        <v>0.40999999999996817</v>
      </c>
      <c r="G216" s="202">
        <f t="shared" ca="1" si="49"/>
        <v>436.6570000000778</v>
      </c>
      <c r="H216" s="202">
        <f t="shared" ca="1" si="43"/>
        <v>33.334000000108915</v>
      </c>
      <c r="I216" s="202">
        <f t="shared" ca="1" si="56"/>
        <v>190.46644296992613</v>
      </c>
      <c r="J216" s="202">
        <f t="shared" ca="1" si="57"/>
        <v>39.201240544381648</v>
      </c>
      <c r="K216" s="202">
        <f t="shared" ca="1" si="58"/>
        <v>11.800053760022518</v>
      </c>
      <c r="L216" s="202">
        <f t="shared" ca="1" si="44"/>
        <v>156.6339999999629</v>
      </c>
      <c r="M216" s="202">
        <f t="shared" ca="1" si="59"/>
        <v>5.2212627256756976</v>
      </c>
      <c r="N216" s="202">
        <f t="shared" ca="1" si="51"/>
        <v>5</v>
      </c>
      <c r="O216" s="202">
        <f ca="1">(DATOSAÑO!AJ216+DATOSAÑO!AK216+DATOSAÑO!AD216)</f>
        <v>182.39500000000226</v>
      </c>
      <c r="P216" s="202">
        <f ca="1">DATOSAÑO!AI216</f>
        <v>37.540000000008149</v>
      </c>
      <c r="Q216" s="202">
        <f ca="1">DATOSAÑO!AH216</f>
        <v>11.299999999995634</v>
      </c>
      <c r="R216" s="202">
        <f ca="1">DATOSAÑO!AM216+DATOSAÑO!AN216+DATOSAÑO!AF216</f>
        <v>156.6339999999629</v>
      </c>
      <c r="S216" s="215">
        <f ca="1">IF(B216&gt;=$P$5,0,CONTADORES!Q214-CONTADORES!Q213)</f>
        <v>15</v>
      </c>
      <c r="T216" s="212">
        <f ca="1">IF(B216&gt;=$P$5,0,(CONTADORES!S214-CONTADORES!S213)+(CONTADORES!AE214-CONTADORES!AE213))</f>
        <v>3.2000000000000171</v>
      </c>
      <c r="U216" s="212">
        <f ca="1">IF(B216&gt;=$P$5,0,(CONTADORES!AQ214-CONTADORES!AQ213))</f>
        <v>5</v>
      </c>
      <c r="V216" s="212">
        <f ca="1">IF(B216&gt;=$P$5,0,(CONTADORES!AR214-CONTADORES!AR213))</f>
        <v>0</v>
      </c>
      <c r="W216" s="736">
        <v>0</v>
      </c>
      <c r="X216" s="212">
        <f ca="1">IF(W216=0,(T216-INICIO!$W$6),((T216-INICIO!$W$6)+V216))</f>
        <v>3.2000000000000171</v>
      </c>
      <c r="Y216" s="214">
        <f t="shared" ca="1" si="52"/>
        <v>10.453999999999951</v>
      </c>
      <c r="Z216" s="215">
        <f t="shared" ca="1" si="53"/>
        <v>8.0714429699238721</v>
      </c>
      <c r="AA216" s="212">
        <f t="shared" ca="1" si="54"/>
        <v>1.6612405443734981</v>
      </c>
      <c r="AB216" s="212">
        <f t="shared" ca="1" si="55"/>
        <v>0.50005376002688329</v>
      </c>
      <c r="AC216" s="214">
        <f t="shared" ca="1" si="50"/>
        <v>0.22126272567569757</v>
      </c>
    </row>
    <row r="217" spans="2:29">
      <c r="B217" s="220">
        <v>44768</v>
      </c>
      <c r="C217" s="208">
        <f ca="1">DATOSAÑO!I217</f>
        <v>286.53000000002794</v>
      </c>
      <c r="D217" s="202">
        <f ca="1">DATOSAÑO!P217</f>
        <v>147.97600000000239</v>
      </c>
      <c r="E217" s="202">
        <f ca="1">DATOSAÑO!Q217</f>
        <v>0</v>
      </c>
      <c r="F217" s="202">
        <f ca="1">DATOSAÑO!T217</f>
        <v>0</v>
      </c>
      <c r="G217" s="202">
        <f t="shared" ca="1" si="49"/>
        <v>434.50600000003033</v>
      </c>
      <c r="H217" s="202">
        <f t="shared" ca="1" si="43"/>
        <v>33.34900000003438</v>
      </c>
      <c r="I217" s="202">
        <f t="shared" ca="1" si="56"/>
        <v>190.52473886755621</v>
      </c>
      <c r="J217" s="202">
        <f t="shared" ca="1" si="57"/>
        <v>40.821126769692214</v>
      </c>
      <c r="K217" s="202">
        <f t="shared" ca="1" si="58"/>
        <v>6.4845243651583129</v>
      </c>
      <c r="L217" s="202">
        <f t="shared" ca="1" si="44"/>
        <v>159.1420000000129</v>
      </c>
      <c r="M217" s="202">
        <f t="shared" ca="1" si="59"/>
        <v>4.184609997576306</v>
      </c>
      <c r="N217" s="202">
        <f t="shared" ca="1" si="51"/>
        <v>4.0009999999965657</v>
      </c>
      <c r="O217" s="202">
        <f ca="1">(DATOSAÑO!AJ217+DATOSAÑO!AK217+DATOSAÑO!AD217)</f>
        <v>182.16499999998814</v>
      </c>
      <c r="P217" s="202">
        <f ca="1">DATOSAÑO!AI217</f>
        <v>39.029999999998836</v>
      </c>
      <c r="Q217" s="202">
        <f ca="1">DATOSAÑO!AH217</f>
        <v>6.2000000000007276</v>
      </c>
      <c r="R217" s="202">
        <f ca="1">DATOSAÑO!AM217+DATOSAÑO!AN217+DATOSAÑO!AF217</f>
        <v>159.1420000000129</v>
      </c>
      <c r="S217" s="215">
        <f ca="1">IF(B217&gt;=$P$5,0,CONTADORES!Q215-CONTADORES!Q214)</f>
        <v>14.619999999995343</v>
      </c>
      <c r="T217" s="212">
        <f ca="1">IF(B217&gt;=$P$5,0,(CONTADORES!S215-CONTADORES!S214)+(CONTADORES!AE215-CONTADORES!AE214))</f>
        <v>3.3199999999999932</v>
      </c>
      <c r="U217" s="212">
        <f ca="1">IF(B217&gt;=$P$5,0,(CONTADORES!AQ215-CONTADORES!AQ214))</f>
        <v>4.0009999999965657</v>
      </c>
      <c r="V217" s="212">
        <f ca="1">IF(B217&gt;=$P$5,0,(CONTADORES!AR215-CONTADORES!AR214))</f>
        <v>0</v>
      </c>
      <c r="W217" s="736">
        <v>0</v>
      </c>
      <c r="X217" s="212">
        <f ca="1">IF(W217=0,(T217-INICIO!$W$6),((T217-INICIO!$W$6)+V217))</f>
        <v>3.3199999999999932</v>
      </c>
      <c r="Y217" s="214">
        <f t="shared" ca="1" si="52"/>
        <v>10.618999999998778</v>
      </c>
      <c r="Z217" s="215">
        <f t="shared" ca="1" si="53"/>
        <v>8.3597388675680779</v>
      </c>
      <c r="AA217" s="212">
        <f t="shared" ca="1" si="54"/>
        <v>1.7911267696933744</v>
      </c>
      <c r="AB217" s="212">
        <f t="shared" ca="1" si="55"/>
        <v>0.28452436515758533</v>
      </c>
      <c r="AC217" s="214">
        <f t="shared" ca="1" si="50"/>
        <v>0.18360999757974006</v>
      </c>
    </row>
    <row r="218" spans="2:29">
      <c r="B218" s="220">
        <v>44769</v>
      </c>
      <c r="C218" s="208">
        <f ca="1">DATOSAÑO!I218</f>
        <v>291.43999999994412</v>
      </c>
      <c r="D218" s="202">
        <f ca="1">DATOSAÑO!P218</f>
        <v>149.43400000000111</v>
      </c>
      <c r="E218" s="202">
        <f ca="1">DATOSAÑO!Q218</f>
        <v>0</v>
      </c>
      <c r="F218" s="202">
        <f ca="1">DATOSAÑO!T218</f>
        <v>0</v>
      </c>
      <c r="G218" s="202">
        <f t="shared" ca="1" si="49"/>
        <v>440.87399999994523</v>
      </c>
      <c r="H218" s="202">
        <f t="shared" ca="1" si="43"/>
        <v>36.669999999927086</v>
      </c>
      <c r="I218" s="202">
        <f t="shared" ca="1" si="56"/>
        <v>190.15506833786981</v>
      </c>
      <c r="J218" s="202">
        <f t="shared" ca="1" si="57"/>
        <v>42.279823518704568</v>
      </c>
      <c r="K218" s="202">
        <f t="shared" ca="1" si="58"/>
        <v>8.7475496935284784</v>
      </c>
      <c r="L218" s="202">
        <f t="shared" ca="1" si="44"/>
        <v>158.02399999999966</v>
      </c>
      <c r="M218" s="202">
        <f t="shared" ca="1" si="59"/>
        <v>4.9975584499156422</v>
      </c>
      <c r="N218" s="202">
        <f t="shared" ca="1" si="51"/>
        <v>4.7990000000063446</v>
      </c>
      <c r="O218" s="202">
        <f ca="1">(DATOSAÑO!AJ218+DATOSAÑO!AK218+DATOSAÑO!AD218)</f>
        <v>182.60000000000946</v>
      </c>
      <c r="P218" s="202">
        <f ca="1">DATOSAÑO!AI218</f>
        <v>40.599999999991269</v>
      </c>
      <c r="Q218" s="202">
        <f ca="1">DATOSAÑO!AH218</f>
        <v>8.4000000000014552</v>
      </c>
      <c r="R218" s="202">
        <f ca="1">DATOSAÑO!AM218+DATOSAÑO!AN218+DATOSAÑO!AF218</f>
        <v>158.02399999999966</v>
      </c>
      <c r="S218" s="215">
        <f ca="1">IF(B218&gt;=$P$5,0,CONTADORES!Q216-CONTADORES!Q215)</f>
        <v>14.580000000016298</v>
      </c>
      <c r="T218" s="212">
        <f ca="1">IF(B218&gt;=$P$5,0,(CONTADORES!S216-CONTADORES!S215)+(CONTADORES!AE216-CONTADORES!AE215))</f>
        <v>3.1800000000000068</v>
      </c>
      <c r="U218" s="212">
        <f ca="1">IF(B218&gt;=$P$5,0,(CONTADORES!AQ216-CONTADORES!AQ215))</f>
        <v>4.7990000000063446</v>
      </c>
      <c r="V218" s="212">
        <f ca="1">IF(B218&gt;=$P$5,0,(CONTADORES!AR216-CONTADORES!AR215))</f>
        <v>0</v>
      </c>
      <c r="W218" s="736">
        <v>0</v>
      </c>
      <c r="X218" s="212">
        <f ca="1">IF(W218=0,(T218-INICIO!$W$6),((T218-INICIO!$W$6)+V218))</f>
        <v>3.1800000000000068</v>
      </c>
      <c r="Y218" s="214">
        <f t="shared" ca="1" si="52"/>
        <v>9.7810000000099535</v>
      </c>
      <c r="Z218" s="215">
        <f t="shared" ca="1" si="53"/>
        <v>7.5550683378603356</v>
      </c>
      <c r="AA218" s="212">
        <f t="shared" ca="1" si="54"/>
        <v>1.6798235187132955</v>
      </c>
      <c r="AB218" s="212">
        <f t="shared" ca="1" si="55"/>
        <v>0.3475496935270237</v>
      </c>
      <c r="AC218" s="214">
        <f t="shared" ca="1" si="50"/>
        <v>0.19855844990929797</v>
      </c>
    </row>
    <row r="219" spans="2:29">
      <c r="B219" s="220">
        <v>44770</v>
      </c>
      <c r="C219" s="208">
        <f ca="1">DATOSAÑO!I219</f>
        <v>277</v>
      </c>
      <c r="D219" s="202">
        <f ca="1">DATOSAÑO!P219</f>
        <v>147</v>
      </c>
      <c r="E219" s="202">
        <f ca="1">DATOSAÑO!Q219</f>
        <v>0</v>
      </c>
      <c r="F219" s="202">
        <f ca="1">DATOSAÑO!T219</f>
        <v>0</v>
      </c>
      <c r="G219" s="202">
        <f t="shared" ca="1" si="49"/>
        <v>424</v>
      </c>
      <c r="H219" s="202">
        <f t="shared" ca="1" si="43"/>
        <v>35.106000000008351</v>
      </c>
      <c r="I219" s="202">
        <f t="shared" ca="1" si="56"/>
        <v>188.93489275458836</v>
      </c>
      <c r="J219" s="202">
        <f t="shared" ca="1" si="57"/>
        <v>40.039182570518541</v>
      </c>
      <c r="K219" s="202">
        <f t="shared" ca="1" si="58"/>
        <v>13.450662894783926</v>
      </c>
      <c r="L219" s="202">
        <f t="shared" ca="1" si="44"/>
        <v>141.94399999999999</v>
      </c>
      <c r="M219" s="202">
        <f t="shared" ca="1" si="59"/>
        <v>4.5252617801008101</v>
      </c>
      <c r="N219" s="202">
        <f t="shared" ca="1" si="51"/>
        <v>4.3399999999965075</v>
      </c>
      <c r="O219" s="202">
        <f ca="1">(DATOSAÑO!AJ219+DATOSAÑO!AK219+DATOSAÑO!AD219)</f>
        <v>181.19999999999709</v>
      </c>
      <c r="P219" s="202">
        <f ca="1">DATOSAÑO!AI219</f>
        <v>38.400000000008731</v>
      </c>
      <c r="Q219" s="202">
        <f ca="1">DATOSAÑO!AH219</f>
        <v>12.900000000003274</v>
      </c>
      <c r="R219" s="202">
        <f ca="1">DATOSAÑO!AM219+DATOSAÑO!AN219+DATOSAÑO!AF219</f>
        <v>141.94399999999999</v>
      </c>
      <c r="S219" s="215">
        <f ca="1">IF(B219&gt;=$P$5,0,CONTADORES!Q217-CONTADORES!Q216)</f>
        <v>14.449999999982538</v>
      </c>
      <c r="T219" s="212">
        <f ca="1">IF(B219&gt;=$P$5,0,(CONTADORES!S217-CONTADORES!S216)+(CONTADORES!AE217-CONTADORES!AE216))</f>
        <v>3.2999999999999829</v>
      </c>
      <c r="U219" s="212">
        <f ca="1">IF(B219&gt;=$P$5,0,(CONTADORES!AQ217-CONTADORES!AQ216))</f>
        <v>4.3399999999965075</v>
      </c>
      <c r="V219" s="212">
        <f ca="1">IF(B219&gt;=$P$5,0,(CONTADORES!AR217-CONTADORES!AR216))</f>
        <v>0</v>
      </c>
      <c r="W219" s="736">
        <v>0</v>
      </c>
      <c r="X219" s="212">
        <f ca="1">IF(W219=0,(T219-INICIO!$W$6),((T219-INICIO!$W$6)+V219))</f>
        <v>3.2999999999999829</v>
      </c>
      <c r="Y219" s="214">
        <f t="shared" ca="1" si="52"/>
        <v>10.10999999998603</v>
      </c>
      <c r="Z219" s="215">
        <f t="shared" ca="1" si="53"/>
        <v>7.734892754591268</v>
      </c>
      <c r="AA219" s="212">
        <f t="shared" ca="1" si="54"/>
        <v>1.6391825705098069</v>
      </c>
      <c r="AB219" s="212">
        <f t="shared" ca="1" si="55"/>
        <v>0.55066289478065278</v>
      </c>
      <c r="AC219" s="214">
        <f t="shared" ca="1" si="50"/>
        <v>0.18526178010430258</v>
      </c>
    </row>
    <row r="220" spans="2:29">
      <c r="B220" s="220">
        <v>44771</v>
      </c>
      <c r="C220" s="208">
        <f ca="1">DATOSAÑO!I220</f>
        <v>295</v>
      </c>
      <c r="D220" s="202">
        <f ca="1">DATOSAÑO!P220</f>
        <v>147</v>
      </c>
      <c r="E220" s="202">
        <f ca="1">DATOSAÑO!Q220</f>
        <v>0</v>
      </c>
      <c r="F220" s="202">
        <f ca="1">DATOSAÑO!T220</f>
        <v>0</v>
      </c>
      <c r="G220" s="202">
        <f t="shared" ca="1" si="49"/>
        <v>442</v>
      </c>
      <c r="H220" s="202">
        <f t="shared" ca="1" si="43"/>
        <v>29.641999999997665</v>
      </c>
      <c r="I220" s="202">
        <f t="shared" ca="1" si="56"/>
        <v>192.47466155706147</v>
      </c>
      <c r="J220" s="202">
        <f t="shared" ca="1" si="57"/>
        <v>38.849052359718826</v>
      </c>
      <c r="K220" s="202">
        <f t="shared" ca="1" si="58"/>
        <v>14.373107843542025</v>
      </c>
      <c r="L220" s="202">
        <f t="shared" ca="1" si="44"/>
        <v>162.31800000000146</v>
      </c>
      <c r="M220" s="202">
        <f t="shared" ca="1" si="59"/>
        <v>4.3431782396785579</v>
      </c>
      <c r="N220" s="202">
        <f t="shared" ca="1" si="51"/>
        <v>4.1699999999982538</v>
      </c>
      <c r="O220" s="202">
        <f ca="1">(DATOSAÑO!AJ220+DATOSAÑO!AK220+DATOSAÑO!AD220)</f>
        <v>184.80000000000291</v>
      </c>
      <c r="P220" s="202">
        <f ca="1">DATOSAÑO!AI220</f>
        <v>37.299999999988358</v>
      </c>
      <c r="Q220" s="202">
        <f ca="1">DATOSAÑO!AH220</f>
        <v>13.799999999995634</v>
      </c>
      <c r="R220" s="202">
        <f ca="1">DATOSAÑO!AM220+DATOSAÑO!AN220+DATOSAÑO!AF220</f>
        <v>162.31800000000146</v>
      </c>
      <c r="S220" s="215">
        <f ca="1">IF(B220&gt;=$P$5,0,CONTADORES!Q218-CONTADORES!Q217)</f>
        <v>14.14000000001397</v>
      </c>
      <c r="T220" s="212">
        <f ca="1">IF(B220&gt;=$P$5,0,(CONTADORES!S218-CONTADORES!S217)+(CONTADORES!AE218-CONTADORES!AE217))</f>
        <v>3.1700000000000159</v>
      </c>
      <c r="U220" s="212">
        <f ca="1">IF(B220&gt;=$P$5,0,(CONTADORES!AQ218-CONTADORES!AQ217))</f>
        <v>4.1699999999982538</v>
      </c>
      <c r="V220" s="212">
        <f ca="1">IF(B220&gt;=$P$5,0,(CONTADORES!AR218-CONTADORES!AR217))</f>
        <v>0</v>
      </c>
      <c r="W220" s="736">
        <v>0</v>
      </c>
      <c r="X220" s="212">
        <f ca="1">IF(W220=0,(T220-INICIO!$W$6),((T220-INICIO!$W$6)+V220))</f>
        <v>3.1700000000000159</v>
      </c>
      <c r="Y220" s="214">
        <f t="shared" ca="1" si="52"/>
        <v>9.9700000000157161</v>
      </c>
      <c r="Z220" s="215">
        <f t="shared" ca="1" si="53"/>
        <v>7.6746615570585544</v>
      </c>
      <c r="AA220" s="212">
        <f t="shared" ca="1" si="54"/>
        <v>1.5490523597304666</v>
      </c>
      <c r="AB220" s="212">
        <f t="shared" ca="1" si="55"/>
        <v>0.57310784354639011</v>
      </c>
      <c r="AC220" s="214">
        <f t="shared" ca="1" si="50"/>
        <v>0.17317823968030446</v>
      </c>
    </row>
    <row r="221" spans="2:29">
      <c r="B221" s="220">
        <v>44772</v>
      </c>
      <c r="C221" s="208">
        <f ca="1">DATOSAÑO!I221</f>
        <v>294</v>
      </c>
      <c r="D221" s="202">
        <f ca="1">DATOSAÑO!P221</f>
        <v>150</v>
      </c>
      <c r="E221" s="202">
        <f ca="1">DATOSAÑO!Q221</f>
        <v>0</v>
      </c>
      <c r="F221" s="202">
        <f ca="1">DATOSAÑO!T221</f>
        <v>0</v>
      </c>
      <c r="G221" s="202">
        <f t="shared" ca="1" si="49"/>
        <v>444</v>
      </c>
      <c r="H221" s="202">
        <f t="shared" ca="1" si="43"/>
        <v>32.207000000005849</v>
      </c>
      <c r="I221" s="202">
        <f t="shared" ca="1" si="56"/>
        <v>192.60657280512459</v>
      </c>
      <c r="J221" s="202">
        <f t="shared" ca="1" si="57"/>
        <v>39.479659866501535</v>
      </c>
      <c r="K221" s="202">
        <f t="shared" ca="1" si="58"/>
        <v>12.812660062217512</v>
      </c>
      <c r="L221" s="202">
        <f t="shared" ca="1" si="44"/>
        <v>161.64299999999818</v>
      </c>
      <c r="M221" s="202">
        <f t="shared" ca="1" si="59"/>
        <v>5.2511072661523617</v>
      </c>
      <c r="N221" s="202">
        <f t="shared" ca="1" si="51"/>
        <v>5.0410000000047148</v>
      </c>
      <c r="O221" s="202">
        <f ca="1">(DATOSAÑO!AJ221+DATOSAÑO!AK221+DATOSAÑO!AD221)</f>
        <v>184.89999999999418</v>
      </c>
      <c r="P221" s="202">
        <f ca="1">DATOSAÑO!AI221</f>
        <v>37.900000000008731</v>
      </c>
      <c r="Q221" s="202">
        <f ca="1">DATOSAÑO!AH221</f>
        <v>12.300000000004729</v>
      </c>
      <c r="R221" s="202">
        <f ca="1">DATOSAÑO!AM221+DATOSAÑO!AN221+DATOSAÑO!AF221</f>
        <v>161.64299999999818</v>
      </c>
      <c r="S221" s="215">
        <f ca="1">IF(B221&gt;=$P$5,0,CONTADORES!Q219-CONTADORES!Q218)</f>
        <v>15.049999999988358</v>
      </c>
      <c r="T221" s="212">
        <f ca="1">IF(B221&gt;=$P$5,0,(CONTADORES!S219-CONTADORES!S218)+(CONTADORES!AE219-CONTADORES!AE218))</f>
        <v>3.2400000000000091</v>
      </c>
      <c r="U221" s="212">
        <f ca="1">IF(B221&gt;=$P$5,0,(CONTADORES!AQ219-CONTADORES!AQ218))</f>
        <v>5.0410000000047148</v>
      </c>
      <c r="V221" s="212">
        <f ca="1">IF(B221&gt;=$P$5,0,(CONTADORES!AR219-CONTADORES!AR218))</f>
        <v>0</v>
      </c>
      <c r="W221" s="736">
        <v>0</v>
      </c>
      <c r="X221" s="212">
        <f ca="1">IF(W221=0,(T221-INICIO!$W$6),((T221-INICIO!$W$6)+V221))</f>
        <v>3.2400000000000091</v>
      </c>
      <c r="Y221" s="214">
        <f t="shared" ca="1" si="52"/>
        <v>10.008999999983644</v>
      </c>
      <c r="Z221" s="215">
        <f t="shared" ca="1" si="53"/>
        <v>7.7065728051304117</v>
      </c>
      <c r="AA221" s="212">
        <f t="shared" ca="1" si="54"/>
        <v>1.5796598664928019</v>
      </c>
      <c r="AB221" s="212">
        <f t="shared" ca="1" si="55"/>
        <v>0.5126600622127826</v>
      </c>
      <c r="AC221" s="214">
        <f t="shared" ca="1" si="50"/>
        <v>0.21010726614764719</v>
      </c>
    </row>
    <row r="222" spans="2:29" ht="15" thickBot="1">
      <c r="B222" s="1069">
        <v>44773</v>
      </c>
      <c r="C222" s="209">
        <f ca="1">DATOSAÑO!I222</f>
        <v>274</v>
      </c>
      <c r="D222" s="203">
        <f ca="1">DATOSAÑO!P222</f>
        <v>146</v>
      </c>
      <c r="E222" s="203">
        <f ca="1">DATOSAÑO!Q222</f>
        <v>0.41300000000001091</v>
      </c>
      <c r="F222" s="203">
        <f ca="1">DATOSAÑO!T222</f>
        <v>0.40899999999999181</v>
      </c>
      <c r="G222" s="203">
        <f t="shared" ca="1" si="49"/>
        <v>420.822</v>
      </c>
      <c r="H222" s="203">
        <f t="shared" ca="1" si="43"/>
        <v>32.292000000020209</v>
      </c>
      <c r="I222" s="203">
        <f t="shared" ca="1" si="56"/>
        <v>185.2737967404295</v>
      </c>
      <c r="J222" s="203">
        <f t="shared" ca="1" si="57"/>
        <v>38.246029107151671</v>
      </c>
      <c r="K222" s="203">
        <f t="shared" ca="1" si="58"/>
        <v>1.5674602093041661</v>
      </c>
      <c r="L222" s="203">
        <f t="shared" ca="1" si="44"/>
        <v>158.47700000000037</v>
      </c>
      <c r="M222" s="203">
        <f t="shared" ca="1" si="59"/>
        <v>4.9657139430940891</v>
      </c>
      <c r="N222" s="203">
        <f t="shared" ca="1" si="51"/>
        <v>4.7520000000004075</v>
      </c>
      <c r="O222" s="203">
        <f ca="1">(DATOSAÑO!AJ222+DATOSAÑO!AK222+DATOSAÑO!AD222)</f>
        <v>177.30000000000291</v>
      </c>
      <c r="P222" s="203">
        <f ca="1">DATOSAÑO!AI222</f>
        <v>36.599999999991269</v>
      </c>
      <c r="Q222" s="203">
        <f ca="1">DATOSAÑO!AH222</f>
        <v>1.499999999994543</v>
      </c>
      <c r="R222" s="203">
        <f ca="1">DATOSAÑO!AM222+DATOSAÑO!AN222+DATOSAÑO!AF222</f>
        <v>158.47700000000037</v>
      </c>
      <c r="S222" s="209">
        <f ca="1">IF(B222&gt;=$P$5,0,CONTADORES!Q220-CONTADORES!Q219)</f>
        <v>14.239999999990687</v>
      </c>
      <c r="T222" s="203">
        <f ca="1">IF(B222&gt;=$P$5,0,(CONTADORES!S220-CONTADORES!S219)+(CONTADORES!AE220-CONTADORES!AE219))</f>
        <v>3.1999999999999886</v>
      </c>
      <c r="U222" s="203">
        <f ca="1">IF(B222&gt;=$P$5,0,(CONTADORES!AQ220-CONTADORES!AQ219))</f>
        <v>4.7520000000004075</v>
      </c>
      <c r="V222" s="203">
        <f ca="1">IF(B222&gt;=$P$5,0,(CONTADORES!AR220-CONTADORES!AR219))</f>
        <v>0</v>
      </c>
      <c r="W222" s="737">
        <v>0</v>
      </c>
      <c r="X222" s="212">
        <f ca="1">IF(W222=0,(T222-INICIO!$W$6),((T222-INICIO!$W$6)+V222))</f>
        <v>3.1999999999999886</v>
      </c>
      <c r="Y222" s="207">
        <f t="shared" ca="1" si="52"/>
        <v>9.9009999999902902</v>
      </c>
      <c r="Z222" s="209">
        <f t="shared" ca="1" si="53"/>
        <v>7.9737967404265868</v>
      </c>
      <c r="AA222" s="203">
        <f t="shared" ca="1" si="54"/>
        <v>1.6460291071603985</v>
      </c>
      <c r="AB222" s="203">
        <f t="shared" ca="1" si="55"/>
        <v>6.746020930962307E-2</v>
      </c>
      <c r="AC222" s="207">
        <f t="shared" ca="1" si="50"/>
        <v>0.21371394309368172</v>
      </c>
    </row>
    <row r="223" spans="2:29">
      <c r="B223" s="410">
        <v>44774</v>
      </c>
      <c r="C223" s="208">
        <f ca="1">DATOSAÑO!I223</f>
        <v>295</v>
      </c>
      <c r="D223" s="202">
        <f ca="1">DATOSAÑO!P223</f>
        <v>149</v>
      </c>
      <c r="E223" s="202">
        <f ca="1">DATOSAÑO!Q223</f>
        <v>0</v>
      </c>
      <c r="F223" s="202">
        <f ca="1">DATOSAÑO!T223</f>
        <v>0</v>
      </c>
      <c r="G223" s="202">
        <f t="shared" ca="1" si="49"/>
        <v>444</v>
      </c>
      <c r="H223" s="202">
        <f ca="1">G223-SUM(I223:M223)</f>
        <v>30.704999999987251</v>
      </c>
      <c r="I223" s="202">
        <f t="shared" ca="1" si="56"/>
        <v>189.11636892397439</v>
      </c>
      <c r="J223" s="202">
        <f t="shared" ca="1" si="57"/>
        <v>38.487203988373224</v>
      </c>
      <c r="K223" s="202">
        <f t="shared" ca="1" si="58"/>
        <v>16.909472372252484</v>
      </c>
      <c r="L223" s="202">
        <f t="shared" ca="1" si="44"/>
        <v>163.59499999999926</v>
      </c>
      <c r="M223" s="202">
        <f t="shared" ca="1" si="59"/>
        <v>5.1869547154133668</v>
      </c>
      <c r="N223" s="202">
        <f t="shared" ca="1" si="51"/>
        <v>5</v>
      </c>
      <c r="O223" s="202">
        <f ca="1">(DATOSAÑO!AJ223+DATOSAÑO!AK223+DATOSAÑO!AD223)</f>
        <v>182.30000000000291</v>
      </c>
      <c r="P223" s="202">
        <f ca="1">DATOSAÑO!AI223</f>
        <v>37.100000000005821</v>
      </c>
      <c r="Q223" s="202">
        <f ca="1">DATOSAÑO!AH223</f>
        <v>16.300000000004729</v>
      </c>
      <c r="R223" s="202">
        <f ca="1">DATOSAÑO!AM223+DATOSAÑO!AN223+DATOSAÑO!AF223</f>
        <v>163.59499999999926</v>
      </c>
      <c r="S223" s="208">
        <f ca="1">IF(B223&gt;=$P$5,0,CONTADORES!Q223-CONTADORES!Q222)</f>
        <v>14</v>
      </c>
      <c r="T223" s="202">
        <f ca="1">IF(B223&gt;=$P$5,0,(CONTADORES!S223-CONTADORES!S222)+(CONTADORES!AE223-CONTADORES!AE222))</f>
        <v>3.2000000000000171</v>
      </c>
      <c r="U223" s="202">
        <f ca="1">IF(B223&gt;=$P$5,0,(CONTADORES!AQ223-CONTADORES!AQ222))</f>
        <v>5</v>
      </c>
      <c r="V223" s="202">
        <f ca="1">IF(B223&gt;=$P$5,0,(CONTADORES!AR223-CONTADORES!AR222))</f>
        <v>0</v>
      </c>
      <c r="W223" s="735">
        <v>0</v>
      </c>
      <c r="X223" s="202">
        <f ca="1">IF(W223=0,(T223-INICIO!$W$6),((T223-INICIO!$W$6)+V223))</f>
        <v>3.2000000000000171</v>
      </c>
      <c r="Y223" s="205">
        <f t="shared" ca="1" si="52"/>
        <v>9</v>
      </c>
      <c r="Z223" s="208">
        <f t="shared" ca="1" si="53"/>
        <v>6.8163689239714769</v>
      </c>
      <c r="AA223" s="202">
        <f t="shared" ca="1" si="54"/>
        <v>1.3872039883674023</v>
      </c>
      <c r="AB223" s="202">
        <f t="shared" ca="1" si="55"/>
        <v>0.60947237224775386</v>
      </c>
      <c r="AC223" s="214">
        <f t="shared" ca="1" si="50"/>
        <v>0.1869547154133672</v>
      </c>
    </row>
    <row r="224" spans="2:29">
      <c r="B224" s="220">
        <v>44775</v>
      </c>
      <c r="C224" s="208">
        <f ca="1">DATOSAÑO!I224</f>
        <v>282</v>
      </c>
      <c r="D224" s="202">
        <f ca="1">DATOSAÑO!P224</f>
        <v>148</v>
      </c>
      <c r="E224" s="202">
        <f ca="1">DATOSAÑO!Q224</f>
        <v>0</v>
      </c>
      <c r="F224" s="202">
        <f ca="1">DATOSAÑO!T224</f>
        <v>0</v>
      </c>
      <c r="G224" s="202">
        <f t="shared" ca="1" si="49"/>
        <v>430</v>
      </c>
      <c r="H224" s="202">
        <f t="shared" ref="H224:H253" ca="1" si="60">G224-SUM(I224:M224)</f>
        <v>33.644000000009441</v>
      </c>
      <c r="I224" s="202">
        <f t="shared" ca="1" si="56"/>
        <v>184.93975210269153</v>
      </c>
      <c r="J224" s="202">
        <f t="shared" ca="1" si="57"/>
        <v>38.429039397966811</v>
      </c>
      <c r="K224" s="202">
        <f t="shared" ca="1" si="58"/>
        <v>8.3541389995535429</v>
      </c>
      <c r="L224" s="202">
        <f t="shared" ca="1" si="44"/>
        <v>160.45600000000002</v>
      </c>
      <c r="M224" s="202">
        <f t="shared" ca="1" si="59"/>
        <v>4.1770694997786704</v>
      </c>
      <c r="N224" s="202">
        <f t="shared" ca="1" si="51"/>
        <v>4</v>
      </c>
      <c r="O224" s="202">
        <f ca="1">(DATOSAÑO!AJ224+DATOSAÑO!AK224+DATOSAÑO!AD224)</f>
        <v>177.09999999999127</v>
      </c>
      <c r="P224" s="202">
        <f ca="1">DATOSAÑO!AI224</f>
        <v>36.80000000000291</v>
      </c>
      <c r="Q224" s="202">
        <f ca="1">DATOSAÑO!AH224</f>
        <v>7.999999999996362</v>
      </c>
      <c r="R224" s="202">
        <f ca="1">DATOSAÑO!AM224+DATOSAÑO!AN224+DATOSAÑO!AF224</f>
        <v>160.45600000000002</v>
      </c>
      <c r="S224" s="215">
        <f ca="1">IF(B224&gt;=$P$5,0,CONTADORES!Q224-CONTADORES!Q223)</f>
        <v>14</v>
      </c>
      <c r="T224" s="212">
        <f ca="1">IF(B224&gt;=$P$5,0,(CONTADORES!S224-CONTADORES!S223)+(CONTADORES!AE224-CONTADORES!AE223))</f>
        <v>3.2999999999999829</v>
      </c>
      <c r="U224" s="212">
        <f ca="1">IF(B224&gt;=$P$5,0,(CONTADORES!AQ224-CONTADORES!AQ223))</f>
        <v>4</v>
      </c>
      <c r="V224" s="212">
        <f ca="1">IF(B224&gt;=$P$5,0,(CONTADORES!AR224-CONTADORES!AR223))</f>
        <v>0</v>
      </c>
      <c r="W224" s="736">
        <v>0</v>
      </c>
      <c r="X224" s="212">
        <f ca="1">IF(W224=0,(T224-INICIO!$W$6),((T224-INICIO!$W$6)+V224))</f>
        <v>3.2999999999999829</v>
      </c>
      <c r="Y224" s="214">
        <f t="shared" ca="1" si="52"/>
        <v>10</v>
      </c>
      <c r="Z224" s="215">
        <f t="shared" ca="1" si="53"/>
        <v>7.8397521027002517</v>
      </c>
      <c r="AA224" s="212">
        <f t="shared" ca="1" si="54"/>
        <v>1.6290393979638977</v>
      </c>
      <c r="AB224" s="212">
        <f t="shared" ca="1" si="55"/>
        <v>0.35413899955718003</v>
      </c>
      <c r="AC224" s="214">
        <f t="shared" ca="1" si="50"/>
        <v>0.17706949977867054</v>
      </c>
    </row>
    <row r="225" spans="2:29">
      <c r="B225" s="220">
        <v>44776</v>
      </c>
      <c r="C225" s="208">
        <f ca="1">DATOSAÑO!I225</f>
        <v>279</v>
      </c>
      <c r="D225" s="202">
        <f ca="1">DATOSAÑO!P225</f>
        <v>150</v>
      </c>
      <c r="E225" s="202">
        <f ca="1">DATOSAÑO!Q225</f>
        <v>0</v>
      </c>
      <c r="F225" s="202">
        <f ca="1">DATOSAÑO!T225</f>
        <v>0</v>
      </c>
      <c r="G225" s="202">
        <f t="shared" ca="1" si="49"/>
        <v>429</v>
      </c>
      <c r="H225" s="202">
        <f t="shared" ca="1" si="60"/>
        <v>33.357999999998185</v>
      </c>
      <c r="I225" s="202">
        <f t="shared" ca="1" si="56"/>
        <v>183.69698581561195</v>
      </c>
      <c r="J225" s="202">
        <f t="shared" ca="1" si="57"/>
        <v>37.700177304955417</v>
      </c>
      <c r="K225" s="202">
        <f t="shared" ca="1" si="58"/>
        <v>10.025531914893996</v>
      </c>
      <c r="L225" s="202">
        <f t="shared" ca="1" si="44"/>
        <v>160.04200000000145</v>
      </c>
      <c r="M225" s="202">
        <f t="shared" ca="1" si="59"/>
        <v>4.1773049645390063</v>
      </c>
      <c r="N225" s="202">
        <f t="shared" ca="1" si="51"/>
        <v>4</v>
      </c>
      <c r="O225" s="202">
        <f ca="1">(DATOSAÑO!AJ225+DATOSAÑO!AK225+DATOSAÑO!AD225)</f>
        <v>175.90000000000873</v>
      </c>
      <c r="P225" s="202">
        <f ca="1">DATOSAÑO!AI225</f>
        <v>36.099999999991269</v>
      </c>
      <c r="Q225" s="202">
        <f ca="1">DATOSAÑO!AH225</f>
        <v>9.6000000000003638</v>
      </c>
      <c r="R225" s="202">
        <f ca="1">DATOSAÑO!AM225+DATOSAÑO!AN225+DATOSAÑO!AF225</f>
        <v>160.04200000000145</v>
      </c>
      <c r="S225" s="215">
        <f ca="1">IF(B225&gt;=$P$5,0,CONTADORES!Q225-CONTADORES!Q224)</f>
        <v>14</v>
      </c>
      <c r="T225" s="212">
        <f ca="1">IF(B225&gt;=$P$5,0,(CONTADORES!S225-CONTADORES!S224)+(CONTADORES!AE225-CONTADORES!AE224))</f>
        <v>3.2000000000000171</v>
      </c>
      <c r="U225" s="212">
        <f ca="1">IF(B225&gt;=$P$5,0,(CONTADORES!AQ225-CONTADORES!AQ224))</f>
        <v>4</v>
      </c>
      <c r="V225" s="212">
        <f ca="1">IF(B225&gt;=$P$5,0,(CONTADORES!AR225-CONTADORES!AR224))</f>
        <v>0</v>
      </c>
      <c r="W225" s="736">
        <v>0</v>
      </c>
      <c r="X225" s="212">
        <f ca="1">IF(W225=0,(T225-INICIO!$W$6),((T225-INICIO!$W$6)+V225))</f>
        <v>3.2000000000000171</v>
      </c>
      <c r="Y225" s="214">
        <f t="shared" ca="1" si="52"/>
        <v>10</v>
      </c>
      <c r="Z225" s="215">
        <f t="shared" ca="1" si="53"/>
        <v>7.796985815603211</v>
      </c>
      <c r="AA225" s="212">
        <f t="shared" ca="1" si="54"/>
        <v>1.6001773049641494</v>
      </c>
      <c r="AB225" s="212">
        <f t="shared" ca="1" si="55"/>
        <v>0.42553191489363246</v>
      </c>
      <c r="AC225" s="214">
        <f t="shared" ca="1" si="50"/>
        <v>0.17730496453900679</v>
      </c>
    </row>
    <row r="226" spans="2:29">
      <c r="B226" s="220">
        <v>44777</v>
      </c>
      <c r="C226" s="208">
        <f ca="1">DATOSAÑO!I226</f>
        <v>291</v>
      </c>
      <c r="D226" s="202">
        <f ca="1">DATOSAÑO!P226</f>
        <v>147</v>
      </c>
      <c r="E226" s="202">
        <f ca="1">DATOSAÑO!Q226</f>
        <v>0.43499999999994543</v>
      </c>
      <c r="F226" s="202">
        <f ca="1">DATOSAÑO!T226</f>
        <v>0</v>
      </c>
      <c r="G226" s="202">
        <f t="shared" ca="1" si="49"/>
        <v>438.43499999999995</v>
      </c>
      <c r="H226" s="202">
        <f t="shared" ca="1" si="60"/>
        <v>33.381999999993127</v>
      </c>
      <c r="I226" s="202">
        <f t="shared" ca="1" si="56"/>
        <v>185.22385826771009</v>
      </c>
      <c r="J226" s="202">
        <f t="shared" ca="1" si="57"/>
        <v>38.535802712173137</v>
      </c>
      <c r="K226" s="202">
        <f t="shared" ca="1" si="58"/>
        <v>12.075251531060506</v>
      </c>
      <c r="L226" s="202">
        <f t="shared" ca="1" si="44"/>
        <v>165.01799999999926</v>
      </c>
      <c r="M226" s="202">
        <f t="shared" ca="1" si="59"/>
        <v>4.2000874890638595</v>
      </c>
      <c r="N226" s="202">
        <f t="shared" ca="1" si="51"/>
        <v>4</v>
      </c>
      <c r="O226" s="202">
        <f ca="1">(DATOSAÑO!AJ226+DATOSAÑO!AK226+DATOSAÑO!AD226)</f>
        <v>176.39999999999418</v>
      </c>
      <c r="P226" s="202">
        <f ca="1">DATOSAÑO!AI226</f>
        <v>36.700000000011642</v>
      </c>
      <c r="Q226" s="202">
        <f ca="1">DATOSAÑO!AH226</f>
        <v>11.500000000001819</v>
      </c>
      <c r="R226" s="202">
        <f ca="1">DATOSAÑO!AM226+DATOSAÑO!AN226+DATOSAÑO!AF226</f>
        <v>165.01799999999926</v>
      </c>
      <c r="S226" s="215">
        <f ca="1">IF(B226&gt;=$P$5,0,CONTADORES!Q226-CONTADORES!Q225)</f>
        <v>15</v>
      </c>
      <c r="T226" s="212">
        <f ca="1">IF(B226&gt;=$P$5,0,(CONTADORES!S226-CONTADORES!S225)+(CONTADORES!AE226-CONTADORES!AE225))</f>
        <v>3.1999999999999886</v>
      </c>
      <c r="U226" s="212">
        <f ca="1">IF(B226&gt;=$P$5,0,(CONTADORES!AQ226-CONTADORES!AQ225))</f>
        <v>4</v>
      </c>
      <c r="V226" s="212">
        <f ca="1">IF(B226&gt;=$P$5,0,(CONTADORES!AR226-CONTADORES!AR225))</f>
        <v>0</v>
      </c>
      <c r="W226" s="736">
        <v>0</v>
      </c>
      <c r="X226" s="212">
        <f ca="1">IF(W226=0,(T226-INICIO!$W$6),((T226-INICIO!$W$6)+V226))</f>
        <v>3.1999999999999886</v>
      </c>
      <c r="Y226" s="214">
        <f t="shared" ca="1" si="52"/>
        <v>11.434999999999945</v>
      </c>
      <c r="Z226" s="215">
        <f t="shared" ca="1" si="53"/>
        <v>8.8238582677159076</v>
      </c>
      <c r="AA226" s="212">
        <f t="shared" ca="1" si="54"/>
        <v>1.8358027121614922</v>
      </c>
      <c r="AB226" s="212">
        <f t="shared" ca="1" si="55"/>
        <v>0.57525153105868676</v>
      </c>
      <c r="AC226" s="214">
        <f t="shared" ca="1" si="50"/>
        <v>0.20008748906385937</v>
      </c>
    </row>
    <row r="227" spans="2:29">
      <c r="B227" s="220">
        <v>44778</v>
      </c>
      <c r="C227" s="208">
        <f ca="1">DATOSAÑO!I227</f>
        <v>287</v>
      </c>
      <c r="D227" s="202">
        <f ca="1">DATOSAÑO!P227</f>
        <v>150</v>
      </c>
      <c r="E227" s="202">
        <f ca="1">DATOSAÑO!Q227</f>
        <v>0</v>
      </c>
      <c r="F227" s="202">
        <f ca="1">DATOSAÑO!T227</f>
        <v>0</v>
      </c>
      <c r="G227" s="202">
        <f t="shared" ca="1" si="49"/>
        <v>437</v>
      </c>
      <c r="H227" s="202">
        <f t="shared" ca="1" si="60"/>
        <v>141323.59</v>
      </c>
      <c r="I227" s="202">
        <f t="shared" ca="1" si="56"/>
        <v>382.10314556081522</v>
      </c>
      <c r="J227" s="202">
        <f t="shared" ca="1" si="57"/>
        <v>76.636506595530733</v>
      </c>
      <c r="K227" s="202">
        <f t="shared" ca="1" si="58"/>
        <v>21.155993370028341</v>
      </c>
      <c r="L227" s="202">
        <f t="shared" ca="1" si="44"/>
        <v>167.11000000000035</v>
      </c>
      <c r="M227" s="202">
        <f t="shared" ca="1" si="59"/>
        <v>-141533.59564552637</v>
      </c>
      <c r="N227" s="202">
        <f t="shared" ca="1" si="51"/>
        <v>-65562</v>
      </c>
      <c r="O227" s="202">
        <f ca="1">(DATOSAÑO!AJ227+DATOSAÑO!AK227+DATOSAÑO!AD227)</f>
        <v>177</v>
      </c>
      <c r="P227" s="202">
        <f ca="1">DATOSAÑO!AI227</f>
        <v>35.5</v>
      </c>
      <c r="Q227" s="202">
        <f ca="1">DATOSAÑO!AH227</f>
        <v>9.7999999999974534</v>
      </c>
      <c r="R227" s="202">
        <f ca="1">DATOSAÑO!AM227+DATOSAÑO!AN227+DATOSAÑO!AF227</f>
        <v>167.11000000000035</v>
      </c>
      <c r="S227" s="215">
        <f ca="1">IF(B227&gt;=$P$5,0,CONTADORES!Q227-CONTADORES!Q226)</f>
        <v>-141276</v>
      </c>
      <c r="T227" s="212">
        <f ca="1">IF(B227&gt;=$P$5,0,(CONTADORES!S227-CONTADORES!S226)+(CONTADORES!AE227-CONTADORES!AE226))</f>
        <v>-14259.7</v>
      </c>
      <c r="U227" s="212">
        <f ca="1">IF(B227&gt;=$P$5,0,(CONTADORES!AQ227-CONTADORES!AQ226))</f>
        <v>-65562</v>
      </c>
      <c r="V227" s="212">
        <f ca="1">IF(B227&gt;=$P$5,0,(CONTADORES!AR227-CONTADORES!AR226))</f>
        <v>0</v>
      </c>
      <c r="W227" s="736">
        <v>0</v>
      </c>
      <c r="X227" s="212">
        <f ca="1">IF(W227=0,(T227-INICIO!$W$6),((T227-INICIO!$W$6)+V227))</f>
        <v>-14259.7</v>
      </c>
      <c r="Y227" s="214">
        <f t="shared" ca="1" si="52"/>
        <v>-75714</v>
      </c>
      <c r="Z227" s="215">
        <f t="shared" ca="1" si="53"/>
        <v>205.10314556081522</v>
      </c>
      <c r="AA227" s="212">
        <f t="shared" ca="1" si="54"/>
        <v>41.13650659553074</v>
      </c>
      <c r="AB227" s="212">
        <f ca="1">IF(B227&gt;=$P$5,0,($Y227*Q227)/SUM($N227:$Q227))</f>
        <v>11.355993370030886</v>
      </c>
      <c r="AC227" s="214">
        <f t="shared" ca="1" si="50"/>
        <v>-75971.59564552638</v>
      </c>
    </row>
    <row r="228" spans="2:29">
      <c r="B228" s="220">
        <v>44779</v>
      </c>
      <c r="C228" s="208">
        <f ca="1">DATOSAÑO!I228</f>
        <v>298</v>
      </c>
      <c r="D228" s="202">
        <f ca="1">DATOSAÑO!P228</f>
        <v>150</v>
      </c>
      <c r="E228" s="202">
        <f ca="1">DATOSAÑO!Q228</f>
        <v>0</v>
      </c>
      <c r="F228" s="202">
        <f ca="1">DATOSAÑO!T228</f>
        <v>0</v>
      </c>
      <c r="G228" s="202">
        <f t="shared" ca="1" si="49"/>
        <v>448</v>
      </c>
      <c r="H228" s="202">
        <f t="shared" ca="1" si="60"/>
        <v>-141227.89499999999</v>
      </c>
      <c r="I228" s="202">
        <f t="shared" ca="1" si="56"/>
        <v>392.73349991565738</v>
      </c>
      <c r="J228" s="202">
        <f t="shared" ca="1" si="57"/>
        <v>78.288605678681193</v>
      </c>
      <c r="K228" s="202">
        <f t="shared" ca="1" si="58"/>
        <v>26.45466620460806</v>
      </c>
      <c r="L228" s="202">
        <f t="shared" ca="1" si="44"/>
        <v>168.59499999999747</v>
      </c>
      <c r="M228" s="202">
        <f t="shared" ca="1" si="59"/>
        <v>141009.82322820104</v>
      </c>
      <c r="N228" s="202">
        <f t="shared" ca="1" si="51"/>
        <v>65562</v>
      </c>
      <c r="O228" s="202">
        <f ca="1">(DATOSAÑO!AJ228+DATOSAÑO!AK228+DATOSAÑO!AD228)</f>
        <v>182.60000000000582</v>
      </c>
      <c r="P228" s="202">
        <f ca="1">DATOSAÑO!AI228</f>
        <v>36.399999999994179</v>
      </c>
      <c r="Q228" s="202">
        <f ca="1">DATOSAÑO!AH228</f>
        <v>12.299999999997453</v>
      </c>
      <c r="R228" s="202">
        <f ca="1">DATOSAÑO!AM228+DATOSAÑO!AN228+DATOSAÑO!AF228</f>
        <v>168.59499999999747</v>
      </c>
      <c r="S228" s="215">
        <f ca="1">IF(B228&gt;=$P$5,0,CONTADORES!Q228-CONTADORES!Q227)</f>
        <v>141276</v>
      </c>
      <c r="T228" s="212">
        <f ca="1">IF(B228&gt;=$P$5,0,(CONTADORES!S228-CONTADORES!S227)+(CONTADORES!AE228-CONTADORES!AE227))</f>
        <v>14259.7</v>
      </c>
      <c r="U228" s="212">
        <f ca="1">IF(B228&gt;=$P$5,0,(CONTADORES!AQ228-CONTADORES!AQ227))</f>
        <v>65562</v>
      </c>
      <c r="V228" s="212">
        <f ca="1">IF(B228&gt;=$P$5,0,(CONTADORES!AR228-CONTADORES!AR227))</f>
        <v>0</v>
      </c>
      <c r="W228" s="736">
        <v>0</v>
      </c>
      <c r="X228" s="212">
        <f ca="1">IF(W228=0,(T228-INICIO!$W$6),((T228-INICIO!$W$6)+V228))</f>
        <v>14259.7</v>
      </c>
      <c r="Y228" s="214">
        <f t="shared" ca="1" si="52"/>
        <v>75714</v>
      </c>
      <c r="Z228" s="215">
        <f t="shared" ca="1" si="53"/>
        <v>210.13349991565158</v>
      </c>
      <c r="AA228" s="212">
        <f t="shared" ca="1" si="54"/>
        <v>41.888605678687021</v>
      </c>
      <c r="AB228" s="212">
        <f t="shared" ca="1" si="55"/>
        <v>14.154666204610608</v>
      </c>
      <c r="AC228" s="214">
        <f t="shared" ca="1" si="50"/>
        <v>75447.823228201043</v>
      </c>
    </row>
    <row r="229" spans="2:29">
      <c r="B229" s="220">
        <v>44780</v>
      </c>
      <c r="C229" s="208">
        <f ca="1">DATOSAÑO!I229</f>
        <v>286</v>
      </c>
      <c r="D229" s="202">
        <f ca="1">DATOSAÑO!P229</f>
        <v>148</v>
      </c>
      <c r="E229" s="202">
        <f ca="1">DATOSAÑO!Q229</f>
        <v>0</v>
      </c>
      <c r="F229" s="202">
        <f ca="1">DATOSAÑO!T229</f>
        <v>0</v>
      </c>
      <c r="G229" s="202">
        <f t="shared" ca="1" si="49"/>
        <v>434</v>
      </c>
      <c r="H229" s="202">
        <f t="shared" ca="1" si="60"/>
        <v>30.620000000000687</v>
      </c>
      <c r="I229" s="202">
        <f t="shared" ca="1" si="56"/>
        <v>185.8448655795506</v>
      </c>
      <c r="J229" s="202">
        <f t="shared" ca="1" si="57"/>
        <v>38.004230938733485</v>
      </c>
      <c r="K229" s="202">
        <f t="shared" ca="1" si="58"/>
        <v>7.830542089027908</v>
      </c>
      <c r="L229" s="202">
        <f t="shared" ca="1" si="44"/>
        <v>166.48000000000329</v>
      </c>
      <c r="M229" s="202">
        <f t="shared" ca="1" si="59"/>
        <v>5.2203613926840058</v>
      </c>
      <c r="N229" s="202">
        <f t="shared" ca="1" si="51"/>
        <v>5</v>
      </c>
      <c r="O229" s="202">
        <f ca="1">(DATOSAÑO!AJ229+DATOSAÑO!AK229+DATOSAÑO!AD229)</f>
        <v>178</v>
      </c>
      <c r="P229" s="202">
        <f ca="1">DATOSAÑO!AI229</f>
        <v>36.399999999994179</v>
      </c>
      <c r="Q229" s="202">
        <f ca="1">DATOSAÑO!AH229</f>
        <v>7.500000000001819</v>
      </c>
      <c r="R229" s="202">
        <f ca="1">DATOSAÑO!AM229+DATOSAÑO!AN229+DATOSAÑO!AF229</f>
        <v>166.48000000000329</v>
      </c>
      <c r="S229" s="215">
        <f ca="1">IF(B229&gt;=$P$5,0,CONTADORES!Q229-CONTADORES!Q228)</f>
        <v>15</v>
      </c>
      <c r="T229" s="212">
        <f ca="1">IF(B229&gt;=$P$5,0,(CONTADORES!S229-CONTADORES!S228)+(CONTADORES!AE229-CONTADORES!AE228))</f>
        <v>3.4000000000000057</v>
      </c>
      <c r="U229" s="212">
        <f ca="1">IF(B229&gt;=$P$5,0,(CONTADORES!AQ229-CONTADORES!AQ228))</f>
        <v>5</v>
      </c>
      <c r="V229" s="212">
        <f ca="1">IF(B229&gt;=$P$5,0,(CONTADORES!AR229-CONTADORES!AR228))</f>
        <v>0</v>
      </c>
      <c r="W229" s="736">
        <v>0</v>
      </c>
      <c r="X229" s="212">
        <f ca="1">IF(W229=0,(T229-INICIO!$W$6),((T229-INICIO!$W$6)+V229))</f>
        <v>3.4000000000000057</v>
      </c>
      <c r="Y229" s="214">
        <f t="shared" ca="1" si="52"/>
        <v>10</v>
      </c>
      <c r="Z229" s="215">
        <f t="shared" ca="1" si="53"/>
        <v>7.8448655795506008</v>
      </c>
      <c r="AA229" s="212">
        <f t="shared" ca="1" si="54"/>
        <v>1.6042309387393046</v>
      </c>
      <c r="AB229" s="212">
        <f t="shared" ca="1" si="55"/>
        <v>0.33054208902608861</v>
      </c>
      <c r="AC229" s="214">
        <f t="shared" ca="1" si="50"/>
        <v>0.22036139268400565</v>
      </c>
    </row>
    <row r="230" spans="2:29">
      <c r="B230" s="220">
        <v>44781</v>
      </c>
      <c r="C230" s="208">
        <f ca="1">DATOSAÑO!I230</f>
        <v>290</v>
      </c>
      <c r="D230" s="202">
        <f ca="1">DATOSAÑO!P230</f>
        <v>148</v>
      </c>
      <c r="E230" s="202">
        <f ca="1">DATOSAÑO!Q230</f>
        <v>2.9970000000000709</v>
      </c>
      <c r="F230" s="202">
        <f ca="1">DATOSAÑO!T230</f>
        <v>0.37999999999999545</v>
      </c>
      <c r="G230" s="202">
        <f t="shared" ca="1" si="49"/>
        <v>441.37700000000007</v>
      </c>
      <c r="H230" s="202">
        <f t="shared" ca="1" si="60"/>
        <v>29.30200000000076</v>
      </c>
      <c r="I230" s="202">
        <f t="shared" ca="1" si="56"/>
        <v>189.83948059700572</v>
      </c>
      <c r="J230" s="202">
        <f t="shared" ca="1" si="57"/>
        <v>38.051988912592194</v>
      </c>
      <c r="K230" s="202">
        <f t="shared" ca="1" si="58"/>
        <v>13.349730916843201</v>
      </c>
      <c r="L230" s="202">
        <f t="shared" ca="1" si="44"/>
        <v>165.57799999999745</v>
      </c>
      <c r="M230" s="202">
        <f t="shared" ca="1" si="59"/>
        <v>5.2557995735607674</v>
      </c>
      <c r="N230" s="202">
        <f t="shared" ca="1" si="51"/>
        <v>5</v>
      </c>
      <c r="O230" s="202">
        <f ca="1">(DATOSAÑO!AJ230+DATOSAÑO!AK230+DATOSAÑO!AD230)</f>
        <v>180.59999999999127</v>
      </c>
      <c r="P230" s="202">
        <f ca="1">DATOSAÑO!AI230</f>
        <v>36.200000000011642</v>
      </c>
      <c r="Q230" s="202">
        <f ca="1">DATOSAÑO!AH230</f>
        <v>12.699999999998909</v>
      </c>
      <c r="R230" s="202">
        <f ca="1">DATOSAÑO!AM230+DATOSAÑO!AN230+DATOSAÑO!AF230</f>
        <v>165.57799999999745</v>
      </c>
      <c r="S230" s="215">
        <f ca="1">IF(B230&gt;=$P$5,0,CONTADORES!Q230-CONTADORES!Q229)</f>
        <v>14</v>
      </c>
      <c r="T230" s="212">
        <f ca="1">IF(B230&gt;=$P$5,0,(CONTADORES!S230-CONTADORES!S229)+(CONTADORES!AE230-CONTADORES!AE229))</f>
        <v>3.3000000000000114</v>
      </c>
      <c r="U230" s="212">
        <f ca="1">IF(B230&gt;=$P$5,0,(CONTADORES!AQ230-CONTADORES!AQ229))</f>
        <v>5</v>
      </c>
      <c r="V230" s="212">
        <f ca="1">IF(B230&gt;=$P$5,0,(CONTADORES!AR230-CONTADORES!AR229))</f>
        <v>0</v>
      </c>
      <c r="W230" s="736">
        <v>0</v>
      </c>
      <c r="X230" s="212">
        <f ca="1">IF(W230=0,(T230-INICIO!$W$6),((T230-INICIO!$W$6)+V230))</f>
        <v>3.3000000000000114</v>
      </c>
      <c r="Y230" s="214">
        <f t="shared" ca="1" si="52"/>
        <v>11.997000000000071</v>
      </c>
      <c r="Z230" s="215">
        <f t="shared" ca="1" si="53"/>
        <v>9.2394805970144613</v>
      </c>
      <c r="AA230" s="212">
        <f t="shared" ca="1" si="54"/>
        <v>1.8519889125805495</v>
      </c>
      <c r="AB230" s="212">
        <f t="shared" ca="1" si="55"/>
        <v>0.64973091684429263</v>
      </c>
      <c r="AC230" s="214">
        <f t="shared" ca="1" si="50"/>
        <v>0.2557995735607671</v>
      </c>
    </row>
    <row r="231" spans="2:29">
      <c r="B231" s="220">
        <v>44782</v>
      </c>
      <c r="C231" s="208">
        <f ca="1">DATOSAÑO!I231</f>
        <v>297</v>
      </c>
      <c r="D231" s="202">
        <f ca="1">DATOSAÑO!P231</f>
        <v>149</v>
      </c>
      <c r="E231" s="202">
        <f ca="1">DATOSAÑO!Q231</f>
        <v>0</v>
      </c>
      <c r="F231" s="202">
        <f ca="1">DATOSAÑO!T231</f>
        <v>0</v>
      </c>
      <c r="G231" s="202">
        <f t="shared" ca="1" si="49"/>
        <v>446</v>
      </c>
      <c r="H231" s="202">
        <f t="shared" ca="1" si="60"/>
        <v>34.064999999993859</v>
      </c>
      <c r="I231" s="202">
        <f t="shared" ca="1" si="56"/>
        <v>186.18708581139083</v>
      </c>
      <c r="J231" s="202">
        <f t="shared" ca="1" si="57"/>
        <v>37.737807986403062</v>
      </c>
      <c r="K231" s="202">
        <f t="shared" ca="1" si="58"/>
        <v>16.262701784197482</v>
      </c>
      <c r="L231" s="202">
        <f t="shared" ca="1" si="44"/>
        <v>166.5350000000029</v>
      </c>
      <c r="M231" s="202">
        <f t="shared" ca="1" si="59"/>
        <v>5.212404418011892</v>
      </c>
      <c r="N231" s="202">
        <f t="shared" ca="1" si="51"/>
        <v>5</v>
      </c>
      <c r="O231" s="202">
        <f ca="1">(DATOSAÑO!AJ231+DATOSAÑO!AK231+DATOSAÑO!AD231)</f>
        <v>178.60000000000582</v>
      </c>
      <c r="P231" s="202">
        <f ca="1">DATOSAÑO!AI231</f>
        <v>36.19999999999709</v>
      </c>
      <c r="Q231" s="202">
        <f ca="1">DATOSAÑO!AH231</f>
        <v>15.600000000000364</v>
      </c>
      <c r="R231" s="202">
        <f ca="1">DATOSAÑO!AM231+DATOSAÑO!AN231+DATOSAÑO!AF231</f>
        <v>166.5350000000029</v>
      </c>
      <c r="S231" s="215">
        <f ca="1">IF(B231&gt;=$P$5,0,CONTADORES!Q231-CONTADORES!Q230)</f>
        <v>15</v>
      </c>
      <c r="T231" s="212">
        <f ca="1">IF(B231&gt;=$P$5,0,(CONTADORES!S231-CONTADORES!S230)+(CONTADORES!AE231-CONTADORES!AE230))</f>
        <v>3.2999999999999829</v>
      </c>
      <c r="U231" s="212">
        <f ca="1">IF(B231&gt;=$P$5,0,(CONTADORES!AQ231-CONTADORES!AQ230))</f>
        <v>5</v>
      </c>
      <c r="V231" s="212">
        <f ca="1">IF(B231&gt;=$P$5,0,(CONTADORES!AR231-CONTADORES!AR230))</f>
        <v>0</v>
      </c>
      <c r="W231" s="736">
        <v>0</v>
      </c>
      <c r="X231" s="212">
        <f ca="1">IF(W231=0,(T231-INICIO!$W$6),((T231-INICIO!$W$6)+V231))</f>
        <v>3.2999999999999829</v>
      </c>
      <c r="Y231" s="214">
        <f t="shared" ca="1" si="52"/>
        <v>10</v>
      </c>
      <c r="Z231" s="215">
        <f t="shared" ca="1" si="53"/>
        <v>7.5870858113850188</v>
      </c>
      <c r="AA231" s="212">
        <f t="shared" ca="1" si="54"/>
        <v>1.5378079864059722</v>
      </c>
      <c r="AB231" s="212">
        <f t="shared" ca="1" si="55"/>
        <v>0.66270178419711756</v>
      </c>
      <c r="AC231" s="214">
        <f t="shared" ca="1" si="50"/>
        <v>0.21240441801189169</v>
      </c>
    </row>
    <row r="232" spans="2:29">
      <c r="B232" s="220">
        <v>44783</v>
      </c>
      <c r="C232" s="208">
        <f ca="1">DATOSAÑO!I232</f>
        <v>285.19999999995343</v>
      </c>
      <c r="D232" s="202">
        <f ca="1">DATOSAÑO!P232</f>
        <v>149.52300000000105</v>
      </c>
      <c r="E232" s="202">
        <f ca="1">DATOSAÑO!Q232</f>
        <v>0</v>
      </c>
      <c r="F232" s="202">
        <f ca="1">DATOSAÑO!T232</f>
        <v>0</v>
      </c>
      <c r="G232" s="202">
        <f t="shared" ca="1" si="49"/>
        <v>434.72299999995448</v>
      </c>
      <c r="H232" s="202">
        <f t="shared" ca="1" si="60"/>
        <v>31.051999999965176</v>
      </c>
      <c r="I232" s="202">
        <f t="shared" ca="1" si="56"/>
        <v>189.43365810452255</v>
      </c>
      <c r="J232" s="202">
        <f t="shared" ca="1" si="57"/>
        <v>35.923472099196751</v>
      </c>
      <c r="K232" s="202">
        <f t="shared" ca="1" si="58"/>
        <v>6.2657218777698347</v>
      </c>
      <c r="L232" s="202">
        <f t="shared" ca="1" si="44"/>
        <v>167.87099999998821</v>
      </c>
      <c r="M232" s="202">
        <f t="shared" ca="1" si="59"/>
        <v>4.1771479185119569</v>
      </c>
      <c r="N232" s="202">
        <f t="shared" ca="1" si="51"/>
        <v>4</v>
      </c>
      <c r="O232" s="202">
        <f ca="1">(DATOSAÑO!AJ232+DATOSAÑO!AK232+DATOSAÑO!AD232)</f>
        <v>181.40000000000509</v>
      </c>
      <c r="P232" s="202">
        <f ca="1">DATOSAÑO!AI232</f>
        <v>34.399999999994179</v>
      </c>
      <c r="Q232" s="202">
        <f ca="1">DATOSAÑO!AH232</f>
        <v>6.000000000001819</v>
      </c>
      <c r="R232" s="202">
        <f ca="1">DATOSAÑO!AM232+DATOSAÑO!AN232+DATOSAÑO!AF232</f>
        <v>167.87099999998821</v>
      </c>
      <c r="S232" s="215">
        <f ca="1">IF(B232&gt;=$P$5,0,CONTADORES!Q232-CONTADORES!Q231)</f>
        <v>14</v>
      </c>
      <c r="T232" s="212">
        <f ca="1">IF(B232&gt;=$P$5,0,(CONTADORES!S232-CONTADORES!S231)+(CONTADORES!AE232-CONTADORES!AE231))</f>
        <v>3.4000000000000057</v>
      </c>
      <c r="U232" s="212">
        <f ca="1">IF(B232&gt;=$P$5,0,(CONTADORES!AQ232-CONTADORES!AQ231))</f>
        <v>4</v>
      </c>
      <c r="V232" s="212">
        <f ca="1">IF(B232&gt;=$P$5,0,(CONTADORES!AR232-CONTADORES!AR231))</f>
        <v>0</v>
      </c>
      <c r="W232" s="736">
        <v>0</v>
      </c>
      <c r="X232" s="212">
        <f ca="1">IF(W232=0,(T232-INICIO!$W$6),((T232-INICIO!$W$6)+V232))</f>
        <v>3.4000000000000057</v>
      </c>
      <c r="Y232" s="214">
        <f t="shared" ca="1" si="52"/>
        <v>10</v>
      </c>
      <c r="Z232" s="215">
        <f t="shared" ca="1" si="53"/>
        <v>8.0336581045174587</v>
      </c>
      <c r="AA232" s="212">
        <f t="shared" ca="1" si="54"/>
        <v>1.5234720992025692</v>
      </c>
      <c r="AB232" s="212">
        <f t="shared" ca="1" si="55"/>
        <v>0.26572187776801548</v>
      </c>
      <c r="AC232" s="214">
        <f t="shared" ca="1" si="50"/>
        <v>0.17714791851195663</v>
      </c>
    </row>
    <row r="233" spans="2:29">
      <c r="B233" s="220">
        <v>44784</v>
      </c>
      <c r="C233" s="208">
        <f ca="1">DATOSAÑO!I233</f>
        <v>289.70000000006985</v>
      </c>
      <c r="D233" s="202">
        <f ca="1">DATOSAÑO!P233</f>
        <v>152.16500000000087</v>
      </c>
      <c r="E233" s="202">
        <f ca="1">DATOSAÑO!Q233</f>
        <v>0</v>
      </c>
      <c r="F233" s="202">
        <f ca="1">DATOSAÑO!T233</f>
        <v>0</v>
      </c>
      <c r="G233" s="202">
        <f t="shared" ca="1" si="49"/>
        <v>441.86500000007072</v>
      </c>
      <c r="H233" s="202">
        <f t="shared" ca="1" si="60"/>
        <v>35.638000000076431</v>
      </c>
      <c r="I233" s="202">
        <f t="shared" ca="1" si="56"/>
        <v>189.87035399004137</v>
      </c>
      <c r="J233" s="202">
        <f t="shared" ca="1" si="57"/>
        <v>36.842697316671114</v>
      </c>
      <c r="K233" s="202">
        <f t="shared" ca="1" si="58"/>
        <v>6.8884363254944958</v>
      </c>
      <c r="L233" s="202">
        <f t="shared" ca="1" si="44"/>
        <v>167.40699999998728</v>
      </c>
      <c r="M233" s="202">
        <f t="shared" ca="1" si="59"/>
        <v>5.2185123678000105</v>
      </c>
      <c r="N233" s="202">
        <f t="shared" ca="1" si="51"/>
        <v>5</v>
      </c>
      <c r="O233" s="202">
        <f ca="1">(DATOSAÑO!AJ233+DATOSAÑO!AK233+DATOSAÑO!AD233)</f>
        <v>181.92000000000553</v>
      </c>
      <c r="P233" s="202">
        <f ca="1">DATOSAÑO!AI233</f>
        <v>35.30000000000291</v>
      </c>
      <c r="Q233" s="202">
        <f ca="1">DATOSAÑO!AH233</f>
        <v>6.5999999999985448</v>
      </c>
      <c r="R233" s="202">
        <f ca="1">DATOSAÑO!AM233+DATOSAÑO!AN233+DATOSAÑO!AF233</f>
        <v>167.40699999998728</v>
      </c>
      <c r="S233" s="215">
        <f ca="1">IF(B233&gt;=$P$5,0,CONTADORES!Q233-CONTADORES!Q232)</f>
        <v>15</v>
      </c>
      <c r="T233" s="212">
        <f ca="1">IF(B233&gt;=$P$5,0,(CONTADORES!S233-CONTADORES!S232)+(CONTADORES!AE233-CONTADORES!AE232))</f>
        <v>3.1999999999999886</v>
      </c>
      <c r="U233" s="212">
        <f ca="1">IF(B233&gt;=$P$5,0,(CONTADORES!AQ233-CONTADORES!AQ232))</f>
        <v>5</v>
      </c>
      <c r="V233" s="212">
        <f ca="1">IF(B233&gt;=$P$5,0,(CONTADORES!AR233-CONTADORES!AR232))</f>
        <v>0</v>
      </c>
      <c r="W233" s="736">
        <v>0</v>
      </c>
      <c r="X233" s="212">
        <f ca="1">IF(W233=0,(T233-INICIO!$W$6),((T233-INICIO!$W$6)+V233))</f>
        <v>3.1999999999999886</v>
      </c>
      <c r="Y233" s="214">
        <f t="shared" ca="1" si="52"/>
        <v>10</v>
      </c>
      <c r="Z233" s="215">
        <f t="shared" ca="1" si="53"/>
        <v>7.9503539900358353</v>
      </c>
      <c r="AA233" s="212">
        <f t="shared" ca="1" si="54"/>
        <v>1.5426973166682034</v>
      </c>
      <c r="AB233" s="212">
        <f t="shared" ca="1" si="55"/>
        <v>0.28843632549595066</v>
      </c>
      <c r="AC233" s="214">
        <f t="shared" ca="1" si="50"/>
        <v>0.21851236780001082</v>
      </c>
    </row>
    <row r="234" spans="2:29">
      <c r="B234" s="220">
        <v>44785</v>
      </c>
      <c r="C234" s="208">
        <f ca="1">DATOSAÑO!I234</f>
        <v>207.53999999992084</v>
      </c>
      <c r="D234" s="202">
        <f ca="1">DATOSAÑO!P234</f>
        <v>230.51499999999942</v>
      </c>
      <c r="E234" s="202">
        <f ca="1">DATOSAÑO!Q234</f>
        <v>0</v>
      </c>
      <c r="F234" s="202">
        <f ca="1">DATOSAÑO!T234</f>
        <v>0</v>
      </c>
      <c r="G234" s="202">
        <f t="shared" ca="1" si="49"/>
        <v>438.05499999992026</v>
      </c>
      <c r="H234" s="202">
        <f t="shared" ca="1" si="60"/>
        <v>31.347999999892522</v>
      </c>
      <c r="I234" s="202">
        <f t="shared" ca="1" si="56"/>
        <v>186.84710637931394</v>
      </c>
      <c r="J234" s="202">
        <f t="shared" ca="1" si="57"/>
        <v>38.634385844648122</v>
      </c>
      <c r="K234" s="202">
        <f t="shared" ca="1" si="58"/>
        <v>11.73571397969733</v>
      </c>
      <c r="L234" s="202">
        <f t="shared" ca="1" si="44"/>
        <v>164.29700000004431</v>
      </c>
      <c r="M234" s="202">
        <f t="shared" ca="1" si="59"/>
        <v>5.1927937963240787</v>
      </c>
      <c r="N234" s="202">
        <f t="shared" ca="1" si="51"/>
        <v>5</v>
      </c>
      <c r="O234" s="202">
        <f ca="1">(DATOSAÑO!AJ234+DATOSAÑO!AK234+DATOSAÑO!AD234)</f>
        <v>179.90999999998166</v>
      </c>
      <c r="P234" s="202">
        <f ca="1">DATOSAÑO!AI234</f>
        <v>37.19999999999709</v>
      </c>
      <c r="Q234" s="202">
        <f ca="1">DATOSAÑO!AH234</f>
        <v>11.300000000004729</v>
      </c>
      <c r="R234" s="202">
        <f ca="1">DATOSAÑO!AM234+DATOSAÑO!AN234+DATOSAÑO!AF234</f>
        <v>164.29700000004431</v>
      </c>
      <c r="S234" s="215">
        <f ca="1">IF(B234&gt;=$P$5,0,CONTADORES!Q234-CONTADORES!Q233)</f>
        <v>14</v>
      </c>
      <c r="T234" s="212">
        <f ca="1">IF(B234&gt;=$P$5,0,(CONTADORES!S234-CONTADORES!S233)+(CONTADORES!AE234-CONTADORES!AE233))</f>
        <v>3.1000000000000227</v>
      </c>
      <c r="U234" s="212">
        <f ca="1">IF(B234&gt;=$P$5,0,(CONTADORES!AQ234-CONTADORES!AQ233))</f>
        <v>5</v>
      </c>
      <c r="V234" s="212">
        <f ca="1">IF(B234&gt;=$P$5,0,(CONTADORES!AR234-CONTADORES!AR233))</f>
        <v>0</v>
      </c>
      <c r="W234" s="736">
        <v>0</v>
      </c>
      <c r="X234" s="212">
        <f ca="1">IF(W234=0,(T234-INICIO!$W$6),((T234-INICIO!$W$6)+V234))</f>
        <v>3.1000000000000227</v>
      </c>
      <c r="Y234" s="214">
        <f t="shared" ca="1" si="52"/>
        <v>9</v>
      </c>
      <c r="Z234" s="215">
        <f t="shared" ca="1" si="53"/>
        <v>6.9371063793322891</v>
      </c>
      <c r="AA234" s="212">
        <f t="shared" ca="1" si="54"/>
        <v>1.4343858446510325</v>
      </c>
      <c r="AB234" s="212">
        <f t="shared" ca="1" si="55"/>
        <v>0.43571397969259995</v>
      </c>
      <c r="AC234" s="214">
        <f t="shared" ca="1" si="50"/>
        <v>0.19279379632407859</v>
      </c>
    </row>
    <row r="235" spans="2:29">
      <c r="B235" s="220">
        <v>44786</v>
      </c>
      <c r="C235" s="208">
        <f ca="1">DATOSAÑO!I235</f>
        <v>146.21000000007916</v>
      </c>
      <c r="D235" s="202">
        <f ca="1">DATOSAÑO!P235</f>
        <v>296.00400000000081</v>
      </c>
      <c r="E235" s="202">
        <f ca="1">DATOSAÑO!Q235</f>
        <v>0</v>
      </c>
      <c r="F235" s="202">
        <f ca="1">DATOSAÑO!T235</f>
        <v>0</v>
      </c>
      <c r="G235" s="202">
        <f t="shared" ca="1" si="49"/>
        <v>442.21400000007998</v>
      </c>
      <c r="H235" s="202">
        <f t="shared" ca="1" si="60"/>
        <v>34.038000000086072</v>
      </c>
      <c r="I235" s="202">
        <f t="shared" ca="1" si="56"/>
        <v>192.34736238434255</v>
      </c>
      <c r="J235" s="202">
        <f t="shared" ca="1" si="57"/>
        <v>38.316624738845441</v>
      </c>
      <c r="K235" s="202">
        <f t="shared" ca="1" si="58"/>
        <v>10.678403615740971</v>
      </c>
      <c r="L235" s="202">
        <f t="shared" ca="1" si="44"/>
        <v>162.64599999998961</v>
      </c>
      <c r="M235" s="202">
        <f t="shared" ca="1" si="59"/>
        <v>4.1876092610753384</v>
      </c>
      <c r="N235" s="202">
        <f t="shared" ca="1" si="51"/>
        <v>4</v>
      </c>
      <c r="O235" s="202">
        <f ca="1">(DATOSAÑO!AJ235+DATOSAÑO!AK235+DATOSAÑO!AD235)</f>
        <v>183.72999999999956</v>
      </c>
      <c r="P235" s="202">
        <f ca="1">DATOSAÑO!AI235</f>
        <v>36.600000000005821</v>
      </c>
      <c r="Q235" s="202">
        <f ca="1">DATOSAÑO!AH235</f>
        <v>10.199999999998909</v>
      </c>
      <c r="R235" s="202">
        <f ca="1">DATOSAÑO!AM235+DATOSAÑO!AN235+DATOSAÑO!AF235</f>
        <v>162.64599999998961</v>
      </c>
      <c r="S235" s="215">
        <f ca="1">IF(B235&gt;=$P$5,0,CONTADORES!Q235-CONTADORES!Q234)</f>
        <v>15</v>
      </c>
      <c r="T235" s="212">
        <f ca="1">IF(B235&gt;=$P$5,0,(CONTADORES!S235-CONTADORES!S234)+(CONTADORES!AE235-CONTADORES!AE234))</f>
        <v>3.0999999999999943</v>
      </c>
      <c r="U235" s="212">
        <f ca="1">IF(B235&gt;=$P$5,0,(CONTADORES!AQ235-CONTADORES!AQ234))</f>
        <v>4</v>
      </c>
      <c r="V235" s="212">
        <f ca="1">IF(B235&gt;=$P$5,0,(CONTADORES!AR235-CONTADORES!AR234))</f>
        <v>0</v>
      </c>
      <c r="W235" s="736">
        <v>0</v>
      </c>
      <c r="X235" s="212">
        <f ca="1">IF(W235=0,(T235-INICIO!$W$6),((T235-INICIO!$W$6)+V235))</f>
        <v>3.0999999999999943</v>
      </c>
      <c r="Y235" s="214">
        <f t="shared" ca="1" si="52"/>
        <v>11</v>
      </c>
      <c r="Z235" s="215">
        <f t="shared" ca="1" si="53"/>
        <v>8.617362384342977</v>
      </c>
      <c r="AA235" s="212">
        <f t="shared" ca="1" si="54"/>
        <v>1.7166247388396225</v>
      </c>
      <c r="AB235" s="212">
        <f t="shared" ca="1" si="55"/>
        <v>0.47840361574206258</v>
      </c>
      <c r="AC235" s="214">
        <f t="shared" ca="1" si="50"/>
        <v>0.18760926107533873</v>
      </c>
    </row>
    <row r="236" spans="2:29">
      <c r="B236" s="220">
        <v>44787</v>
      </c>
      <c r="C236" s="208">
        <f ca="1">DATOSAÑO!I236</f>
        <v>147.09999999997672</v>
      </c>
      <c r="D236" s="202">
        <f ca="1">DATOSAÑO!P236</f>
        <v>295.46099999999569</v>
      </c>
      <c r="E236" s="202">
        <f ca="1">DATOSAÑO!Q236</f>
        <v>0.34399999999982356</v>
      </c>
      <c r="F236" s="202">
        <f ca="1">DATOSAÑO!T236</f>
        <v>0.39600000000007185</v>
      </c>
      <c r="G236" s="202">
        <f t="shared" ca="1" si="49"/>
        <v>443.3009999999723</v>
      </c>
      <c r="H236" s="202">
        <f t="shared" ca="1" si="60"/>
        <v>37.629999999950257</v>
      </c>
      <c r="I236" s="202">
        <f t="shared" ca="1" si="56"/>
        <v>192.61788106787662</v>
      </c>
      <c r="J236" s="202">
        <f t="shared" ca="1" si="57"/>
        <v>35.651957994182197</v>
      </c>
      <c r="K236" s="202">
        <f t="shared" ca="1" si="58"/>
        <v>12.008208848214242</v>
      </c>
      <c r="L236" s="202">
        <f t="shared" ca="1" si="44"/>
        <v>160.2170000000016</v>
      </c>
      <c r="M236" s="202">
        <f t="shared" ca="1" si="59"/>
        <v>5.1759520897473559</v>
      </c>
      <c r="N236" s="202">
        <f t="shared" ca="1" si="51"/>
        <v>5</v>
      </c>
      <c r="O236" s="202">
        <f ca="1">(DATOSAÑO!AJ236+DATOSAÑO!AK236+DATOSAÑO!AD236)</f>
        <v>186.0700000000179</v>
      </c>
      <c r="P236" s="202">
        <f ca="1">DATOSAÑO!AI236</f>
        <v>34.440000000002328</v>
      </c>
      <c r="Q236" s="202">
        <f ca="1">DATOSAÑO!AH236</f>
        <v>11.600000000000364</v>
      </c>
      <c r="R236" s="202">
        <f ca="1">DATOSAÑO!AM236+DATOSAÑO!AN236+DATOSAÑO!AF236</f>
        <v>160.2170000000016</v>
      </c>
      <c r="S236" s="215">
        <f ca="1">IF(B236&gt;=$P$5,0,CONTADORES!Q236-CONTADORES!Q235)</f>
        <v>13</v>
      </c>
      <c r="T236" s="212">
        <f ca="1">IF(B236&gt;=$P$5,0,(CONTADORES!S236-CONTADORES!S235)+(CONTADORES!AE236-CONTADORES!AE235))</f>
        <v>3.1999999999999886</v>
      </c>
      <c r="U236" s="212">
        <f ca="1">IF(B236&gt;=$P$5,0,(CONTADORES!AQ236-CONTADORES!AQ235))</f>
        <v>5</v>
      </c>
      <c r="V236" s="212">
        <f ca="1">IF(B236&gt;=$P$5,0,(CONTADORES!AR236-CONTADORES!AR235))</f>
        <v>0</v>
      </c>
      <c r="W236" s="736">
        <v>0</v>
      </c>
      <c r="X236" s="212">
        <f ca="1">IF(W236=0,(T236-INICIO!$W$6),((T236-INICIO!$W$6)+V236))</f>
        <v>3.1999999999999886</v>
      </c>
      <c r="Y236" s="214">
        <f t="shared" ca="1" si="52"/>
        <v>8.3439999999998236</v>
      </c>
      <c r="Z236" s="215">
        <f t="shared" ca="1" si="53"/>
        <v>6.5478810678587225</v>
      </c>
      <c r="AA236" s="212">
        <f t="shared" ca="1" si="54"/>
        <v>1.2119579941798677</v>
      </c>
      <c r="AB236" s="212">
        <f t="shared" ca="1" si="55"/>
        <v>0.40820884821387787</v>
      </c>
      <c r="AC236" s="214">
        <f t="shared" ca="1" si="50"/>
        <v>0.17595208974735563</v>
      </c>
    </row>
    <row r="237" spans="2:29">
      <c r="B237" s="220">
        <v>44788</v>
      </c>
      <c r="C237" s="208">
        <f ca="1">DATOSAÑO!I237</f>
        <v>146.84999999997672</v>
      </c>
      <c r="D237" s="202">
        <f ca="1">DATOSAÑO!P237</f>
        <v>294.55500000000029</v>
      </c>
      <c r="E237" s="202">
        <f ca="1">DATOSAÑO!Q237</f>
        <v>0</v>
      </c>
      <c r="F237" s="202">
        <f ca="1">DATOSAÑO!T237</f>
        <v>0</v>
      </c>
      <c r="G237" s="202">
        <f t="shared" ca="1" si="49"/>
        <v>441.40499999997701</v>
      </c>
      <c r="H237" s="202">
        <f t="shared" ca="1" si="60"/>
        <v>33.907000000008964</v>
      </c>
      <c r="I237" s="202">
        <f t="shared" ca="1" si="56"/>
        <v>194.47450366477727</v>
      </c>
      <c r="J237" s="202">
        <f t="shared" ca="1" si="57"/>
        <v>34.147959157728828</v>
      </c>
      <c r="K237" s="202">
        <f t="shared" ca="1" si="58"/>
        <v>12.19569969918968</v>
      </c>
      <c r="L237" s="202">
        <f t="shared" ca="1" si="44"/>
        <v>161.46799999998558</v>
      </c>
      <c r="M237" s="202">
        <f t="shared" ca="1" si="59"/>
        <v>5.2118374782866743</v>
      </c>
      <c r="N237" s="202">
        <f t="shared" ca="1" si="51"/>
        <v>5</v>
      </c>
      <c r="O237" s="202">
        <f ca="1">(DATOSAÑO!AJ237+DATOSAÑO!AK237+DATOSAÑO!AD237)</f>
        <v>186.5699999999888</v>
      </c>
      <c r="P237" s="202">
        <f ca="1">DATOSAÑO!AI237</f>
        <v>32.759999999994761</v>
      </c>
      <c r="Q237" s="202">
        <f ca="1">DATOSAÑO!AH237</f>
        <v>11.699999999998909</v>
      </c>
      <c r="R237" s="202">
        <f ca="1">DATOSAÑO!AM237+DATOSAÑO!AN237+DATOSAÑO!AF237</f>
        <v>161.46799999998558</v>
      </c>
      <c r="S237" s="215">
        <f ca="1">IF(B237&gt;=$P$5,0,CONTADORES!Q237-CONTADORES!Q236)</f>
        <v>15</v>
      </c>
      <c r="T237" s="212">
        <f ca="1">IF(B237&gt;=$P$5,0,(CONTADORES!S237-CONTADORES!S236)+(CONTADORES!AE237-CONTADORES!AE236))</f>
        <v>3.0999999999999943</v>
      </c>
      <c r="U237" s="212">
        <f ca="1">IF(B237&gt;=$P$5,0,(CONTADORES!AQ237-CONTADORES!AQ236))</f>
        <v>5</v>
      </c>
      <c r="V237" s="212">
        <f ca="1">IF(B237&gt;=$P$5,0,(CONTADORES!AR237-CONTADORES!AR236))</f>
        <v>0</v>
      </c>
      <c r="W237" s="736">
        <v>0</v>
      </c>
      <c r="X237" s="212">
        <f ca="1">IF(W237=0,(T237-INICIO!$W$6),((T237-INICIO!$W$6)+V237))</f>
        <v>3.0999999999999943</v>
      </c>
      <c r="Y237" s="214">
        <f t="shared" ca="1" si="52"/>
        <v>10</v>
      </c>
      <c r="Z237" s="215">
        <f t="shared" ca="1" si="53"/>
        <v>7.9045036647884865</v>
      </c>
      <c r="AA237" s="212">
        <f t="shared" ca="1" si="54"/>
        <v>1.3879591577340675</v>
      </c>
      <c r="AB237" s="212">
        <f t="shared" ca="1" si="55"/>
        <v>0.49569969919077139</v>
      </c>
      <c r="AC237" s="214">
        <f t="shared" ca="1" si="50"/>
        <v>0.21183747828667421</v>
      </c>
    </row>
    <row r="238" spans="2:29">
      <c r="B238" s="220">
        <v>44789</v>
      </c>
      <c r="C238" s="208">
        <f ca="1">DATOSAÑO!I238</f>
        <v>146.70000000006985</v>
      </c>
      <c r="D238" s="202">
        <f ca="1">DATOSAÑO!P238</f>
        <v>292.66000000000349</v>
      </c>
      <c r="E238" s="202">
        <f ca="1">DATOSAÑO!Q238</f>
        <v>0</v>
      </c>
      <c r="F238" s="202">
        <f ca="1">DATOSAÑO!T238</f>
        <v>0</v>
      </c>
      <c r="G238" s="202">
        <f t="shared" ca="1" si="49"/>
        <v>439.36000000007334</v>
      </c>
      <c r="H238" s="202">
        <f t="shared" ca="1" si="60"/>
        <v>36.793000000051052</v>
      </c>
      <c r="I238" s="202">
        <f t="shared" ca="1" si="56"/>
        <v>194.47750139146217</v>
      </c>
      <c r="J238" s="202">
        <f t="shared" ca="1" si="57"/>
        <v>32.291390161409048</v>
      </c>
      <c r="K238" s="202">
        <f t="shared" ca="1" si="58"/>
        <v>10.83324057028068</v>
      </c>
      <c r="L238" s="202">
        <f t="shared" ca="1" si="44"/>
        <v>159.26700000000125</v>
      </c>
      <c r="M238" s="202">
        <f t="shared" ca="1" si="59"/>
        <v>5.6978678768691964</v>
      </c>
      <c r="N238" s="202">
        <f t="shared" ca="1" si="51"/>
        <v>5.4700000000011642</v>
      </c>
      <c r="O238" s="202">
        <f ca="1">(DATOSAÑO!AJ238+DATOSAÑO!AK238+DATOSAÑO!AD238)</f>
        <v>186.700000000008</v>
      </c>
      <c r="P238" s="202">
        <f ca="1">DATOSAÑO!AI238</f>
        <v>31</v>
      </c>
      <c r="Q238" s="202">
        <f ca="1">DATOSAÑO!AH238</f>
        <v>10.400000000001455</v>
      </c>
      <c r="R238" s="202">
        <f ca="1">DATOSAÑO!AM238+DATOSAÑO!AN238+DATOSAÑO!AF238</f>
        <v>159.26700000000125</v>
      </c>
      <c r="S238" s="215">
        <f ca="1">IF(B238&gt;=$P$5,0,CONTADORES!Q238-CONTADORES!Q237)</f>
        <v>15.200000000011642</v>
      </c>
      <c r="T238" s="212">
        <f ca="1">IF(B238&gt;=$P$5,0,(CONTADORES!S238-CONTADORES!S237)+(CONTADORES!AE238-CONTADORES!AE237))</f>
        <v>3.1300000000000239</v>
      </c>
      <c r="U238" s="212">
        <f ca="1">IF(B238&gt;=$P$5,0,(CONTADORES!AQ238-CONTADORES!AQ237))</f>
        <v>5.4700000000011642</v>
      </c>
      <c r="V238" s="212">
        <f ca="1">IF(B238&gt;=$P$5,0,(CONTADORES!AR238-CONTADORES!AR237))</f>
        <v>0</v>
      </c>
      <c r="W238" s="736">
        <v>0</v>
      </c>
      <c r="X238" s="212">
        <f ca="1">IF(W238=0,(T238-INICIO!$W$6),((T238-INICIO!$W$6)+V238))</f>
        <v>3.1300000000000239</v>
      </c>
      <c r="Y238" s="214">
        <f t="shared" ca="1" si="52"/>
        <v>9.7300000000104774</v>
      </c>
      <c r="Z238" s="215">
        <f t="shared" ca="1" si="53"/>
        <v>7.777501391454174</v>
      </c>
      <c r="AA238" s="212">
        <f t="shared" ca="1" si="54"/>
        <v>1.2913901614090468</v>
      </c>
      <c r="AB238" s="212">
        <f t="shared" ca="1" si="55"/>
        <v>0.43324057027922475</v>
      </c>
      <c r="AC238" s="214">
        <f t="shared" ca="1" si="50"/>
        <v>0.22786787686803195</v>
      </c>
    </row>
    <row r="239" spans="2:29">
      <c r="B239" s="220">
        <v>44790</v>
      </c>
      <c r="C239" s="208">
        <f ca="1">DATOSAÑO!I239</f>
        <v>145.69999999995343</v>
      </c>
      <c r="D239" s="202">
        <f ca="1">DATOSAÑO!P239</f>
        <v>290.11699999999837</v>
      </c>
      <c r="E239" s="202">
        <f ca="1">DATOSAÑO!Q239</f>
        <v>0</v>
      </c>
      <c r="F239" s="202">
        <f ca="1">DATOSAÑO!T239</f>
        <v>0</v>
      </c>
      <c r="G239" s="202">
        <f t="shared" ca="1" si="49"/>
        <v>435.8169999999518</v>
      </c>
      <c r="H239" s="202">
        <f t="shared" ca="1" si="60"/>
        <v>33.83999999997684</v>
      </c>
      <c r="I239" s="202">
        <f t="shared" ca="1" si="56"/>
        <v>199.27849498527769</v>
      </c>
      <c r="J239" s="202">
        <f t="shared" ca="1" si="57"/>
        <v>32.13496149501178</v>
      </c>
      <c r="K239" s="202">
        <f t="shared" ca="1" si="58"/>
        <v>5.3210488189772018</v>
      </c>
      <c r="L239" s="202">
        <f t="shared" ca="1" si="44"/>
        <v>160.00699999999927</v>
      </c>
      <c r="M239" s="202">
        <f t="shared" ca="1" si="59"/>
        <v>5.2354947007090225</v>
      </c>
      <c r="N239" s="202">
        <f t="shared" ca="1" si="51"/>
        <v>5.0179999999963911</v>
      </c>
      <c r="O239" s="202">
        <f ca="1">(DATOSAÑO!AJ239+DATOSAÑO!AK239+DATOSAÑO!AD239)</f>
        <v>190.99999999999636</v>
      </c>
      <c r="P239" s="202">
        <f ca="1">DATOSAÑO!AI239</f>
        <v>30.80000000000291</v>
      </c>
      <c r="Q239" s="202">
        <f ca="1">DATOSAÑO!AH239</f>
        <v>5.0999999999985448</v>
      </c>
      <c r="R239" s="202">
        <f ca="1">DATOSAÑO!AM239+DATOSAÑO!AN239+DATOSAÑO!AF239</f>
        <v>160.00699999999927</v>
      </c>
      <c r="S239" s="215">
        <f ca="1">IF(B239&gt;=$P$5,0,CONTADORES!Q239-CONTADORES!Q238)</f>
        <v>15.069999999977881</v>
      </c>
      <c r="T239" s="212">
        <f ca="1">IF(B239&gt;=$P$5,0,(CONTADORES!S239-CONTADORES!S238)+(CONTADORES!AE239-CONTADORES!AE238))</f>
        <v>3.1699999999999875</v>
      </c>
      <c r="U239" s="212">
        <f ca="1">IF(B239&gt;=$P$5,0,(CONTADORES!AQ239-CONTADORES!AQ238))</f>
        <v>5.0179999999963911</v>
      </c>
      <c r="V239" s="212">
        <f ca="1">IF(B239&gt;=$P$5,0,(CONTADORES!AR239-CONTADORES!AR238))</f>
        <v>0</v>
      </c>
      <c r="W239" s="736">
        <v>0</v>
      </c>
      <c r="X239" s="212">
        <f ca="1">IF(W239=0,(T239-INICIO!$W$6),((T239-INICIO!$W$6)+V239))</f>
        <v>3.1699999999999875</v>
      </c>
      <c r="Y239" s="214">
        <f t="shared" ca="1" si="52"/>
        <v>10.05199999998149</v>
      </c>
      <c r="Z239" s="215">
        <f t="shared" ca="1" si="53"/>
        <v>8.2784949852813323</v>
      </c>
      <c r="AA239" s="212">
        <f t="shared" ca="1" si="54"/>
        <v>1.3349614950088691</v>
      </c>
      <c r="AB239" s="212">
        <f t="shared" ca="1" si="55"/>
        <v>0.22104881897865736</v>
      </c>
      <c r="AC239" s="214">
        <f t="shared" ca="1" si="50"/>
        <v>0.21749470071263161</v>
      </c>
    </row>
    <row r="240" spans="2:29">
      <c r="B240" s="220">
        <v>44791</v>
      </c>
      <c r="C240" s="208">
        <f ca="1">DATOSAÑO!I240</f>
        <v>148</v>
      </c>
      <c r="D240" s="202">
        <f ca="1">DATOSAÑO!P240</f>
        <v>297</v>
      </c>
      <c r="E240" s="202">
        <f ca="1">DATOSAÑO!Q240</f>
        <v>0</v>
      </c>
      <c r="F240" s="202">
        <f ca="1">DATOSAÑO!T240</f>
        <v>0</v>
      </c>
      <c r="G240" s="202">
        <f t="shared" ca="1" si="49"/>
        <v>445</v>
      </c>
      <c r="H240" s="202">
        <f t="shared" ca="1" si="60"/>
        <v>36.296999999981949</v>
      </c>
      <c r="I240" s="202">
        <f t="shared" ca="1" si="56"/>
        <v>195.34087267531712</v>
      </c>
      <c r="J240" s="202">
        <f t="shared" ca="1" si="57"/>
        <v>34.711051547966015</v>
      </c>
      <c r="K240" s="202">
        <f t="shared" ca="1" si="58"/>
        <v>11.883062692093159</v>
      </c>
      <c r="L240" s="202">
        <f t="shared" ca="1" si="44"/>
        <v>162.14300000000219</v>
      </c>
      <c r="M240" s="202">
        <f t="shared" ca="1" si="59"/>
        <v>4.6250130846395683</v>
      </c>
      <c r="N240" s="202">
        <f t="shared" ca="1" si="51"/>
        <v>4.4370000000053551</v>
      </c>
      <c r="O240" s="202">
        <f ca="1">(DATOSAÑO!AJ240+DATOSAÑO!AK240+DATOSAÑO!AD240)</f>
        <v>187.39999999999418</v>
      </c>
      <c r="P240" s="202">
        <f ca="1">DATOSAÑO!AI240</f>
        <v>33.30000000000291</v>
      </c>
      <c r="Q240" s="202">
        <f ca="1">DATOSAÑO!AH240</f>
        <v>11.399999999997817</v>
      </c>
      <c r="R240" s="202">
        <f ca="1">DATOSAÑO!AM240+DATOSAÑO!AN240+DATOSAÑO!AF240</f>
        <v>162.14300000000219</v>
      </c>
      <c r="S240" s="215">
        <f ca="1">IF(B240&gt;=$P$5,0,CONTADORES!Q240-CONTADORES!Q239)</f>
        <v>14.460000000020955</v>
      </c>
      <c r="T240" s="212">
        <f ca="1">IF(B240&gt;=$P$5,0,(CONTADORES!S240-CONTADORES!S239)+(CONTADORES!AE240-CONTADORES!AE239))</f>
        <v>3.1299999999999955</v>
      </c>
      <c r="U240" s="212">
        <f ca="1">IF(B240&gt;=$P$5,0,(CONTADORES!AQ240-CONTADORES!AQ239))</f>
        <v>4.4370000000053551</v>
      </c>
      <c r="V240" s="212">
        <f ca="1">IF(B240&gt;=$P$5,0,(CONTADORES!AR240-CONTADORES!AR239))</f>
        <v>0</v>
      </c>
      <c r="W240" s="736">
        <v>0</v>
      </c>
      <c r="X240" s="212">
        <f ca="1">IF(W240=0,(T240-INICIO!$W$6),((T240-INICIO!$W$6)+V240))</f>
        <v>3.1299999999999955</v>
      </c>
      <c r="Y240" s="214">
        <f t="shared" ca="1" si="52"/>
        <v>10.0230000000156</v>
      </c>
      <c r="Z240" s="215">
        <f t="shared" ca="1" si="53"/>
        <v>7.9408726753229431</v>
      </c>
      <c r="AA240" s="212">
        <f t="shared" ca="1" si="54"/>
        <v>1.4110515479631021</v>
      </c>
      <c r="AB240" s="212">
        <f t="shared" ca="1" si="55"/>
        <v>0.48306269209534164</v>
      </c>
      <c r="AC240" s="214">
        <f t="shared" ca="1" si="50"/>
        <v>0.18801308463421298</v>
      </c>
    </row>
    <row r="241" spans="2:29">
      <c r="B241" s="220">
        <v>44792</v>
      </c>
      <c r="C241" s="208">
        <f ca="1">DATOSAÑO!I241</f>
        <v>148</v>
      </c>
      <c r="D241" s="202">
        <f ca="1">DATOSAÑO!P241</f>
        <v>314</v>
      </c>
      <c r="E241" s="202">
        <f ca="1">DATOSAÑO!Q241</f>
        <v>0</v>
      </c>
      <c r="F241" s="202">
        <f ca="1">DATOSAÑO!T241</f>
        <v>0</v>
      </c>
      <c r="G241" s="202">
        <f t="shared" ca="1" si="49"/>
        <v>462</v>
      </c>
      <c r="H241" s="202">
        <f t="shared" ca="1" si="60"/>
        <v>36.46800000002429</v>
      </c>
      <c r="I241" s="202">
        <f t="shared" ca="1" si="56"/>
        <v>204.10523056289037</v>
      </c>
      <c r="J241" s="202">
        <f t="shared" ca="1" si="57"/>
        <v>40.342755709819933</v>
      </c>
      <c r="K241" s="202">
        <f t="shared" ca="1" si="58"/>
        <v>14.660640605892949</v>
      </c>
      <c r="L241" s="202">
        <f t="shared" ca="1" si="44"/>
        <v>161.94199999999927</v>
      </c>
      <c r="M241" s="202">
        <f t="shared" ca="1" si="59"/>
        <v>4.4813731213732515</v>
      </c>
      <c r="N241" s="202">
        <f t="shared" ca="1" si="51"/>
        <v>4.3099999999976717</v>
      </c>
      <c r="O241" s="202">
        <f ca="1">(DATOSAÑO!AJ241+DATOSAÑO!AK241+DATOSAÑO!AD241)</f>
        <v>196.30000000000291</v>
      </c>
      <c r="P241" s="202">
        <f ca="1">DATOSAÑO!AI241</f>
        <v>38.799999999988358</v>
      </c>
      <c r="Q241" s="202">
        <f ca="1">DATOSAÑO!AH241</f>
        <v>14.100000000000364</v>
      </c>
      <c r="R241" s="202">
        <f ca="1">DATOSAÑO!AM241+DATOSAÑO!AN241+DATOSAÑO!AF241</f>
        <v>161.94199999999927</v>
      </c>
      <c r="S241" s="215">
        <f ca="1">IF(B241&gt;=$P$5,0,CONTADORES!Q241-CONTADORES!Q240)</f>
        <v>14.389999999984866</v>
      </c>
      <c r="T241" s="212">
        <f ca="1">IF(B241&gt;=$P$5,0,(CONTADORES!S241-CONTADORES!S240)+(CONTADORES!AE241-CONTADORES!AE240))</f>
        <v>3.0999999999999943</v>
      </c>
      <c r="U241" s="212">
        <f ca="1">IF(B241&gt;=$P$5,0,(CONTADORES!AQ241-CONTADORES!AQ240))</f>
        <v>4.3099999999976717</v>
      </c>
      <c r="V241" s="212">
        <f ca="1">IF(B241&gt;=$P$5,0,(CONTADORES!AR241-CONTADORES!AR240))</f>
        <v>0</v>
      </c>
      <c r="W241" s="736">
        <v>0</v>
      </c>
      <c r="X241" s="212">
        <f ca="1">IF(W241=0,(T241-INICIO!$W$6),((T241-INICIO!$W$6)+V241))</f>
        <v>3.0999999999999943</v>
      </c>
      <c r="Y241" s="214">
        <f t="shared" ca="1" si="52"/>
        <v>10.079999999987194</v>
      </c>
      <c r="Z241" s="215">
        <f t="shared" ca="1" si="53"/>
        <v>7.8052305628874565</v>
      </c>
      <c r="AA241" s="212">
        <f t="shared" ca="1" si="54"/>
        <v>1.5427557098315738</v>
      </c>
      <c r="AB241" s="212">
        <f t="shared" ca="1" si="55"/>
        <v>0.56064060589258458</v>
      </c>
      <c r="AC241" s="214">
        <f t="shared" ca="1" si="50"/>
        <v>0.17137312137557953</v>
      </c>
    </row>
    <row r="242" spans="2:29">
      <c r="B242" s="220">
        <v>44793</v>
      </c>
      <c r="C242" s="208">
        <f ca="1">DATOSAÑO!I242</f>
        <v>146</v>
      </c>
      <c r="D242" s="202">
        <f ca="1">DATOSAÑO!P242</f>
        <v>300</v>
      </c>
      <c r="E242" s="202">
        <f ca="1">DATOSAÑO!Q242</f>
        <v>0</v>
      </c>
      <c r="F242" s="202">
        <f ca="1">DATOSAÑO!T242</f>
        <v>0</v>
      </c>
      <c r="G242" s="202">
        <f t="shared" ca="1" si="49"/>
        <v>446</v>
      </c>
      <c r="H242" s="202">
        <f t="shared" ca="1" si="60"/>
        <v>34.519999999991342</v>
      </c>
      <c r="I242" s="202">
        <f t="shared" ca="1" si="56"/>
        <v>201.80415274775584</v>
      </c>
      <c r="J242" s="202">
        <f t="shared" ca="1" si="57"/>
        <v>38.937315779142914</v>
      </c>
      <c r="K242" s="202">
        <f t="shared" ca="1" si="58"/>
        <v>9.943669352199267</v>
      </c>
      <c r="L242" s="202">
        <f t="shared" ca="1" si="44"/>
        <v>155.79999999999927</v>
      </c>
      <c r="M242" s="202">
        <f t="shared" ca="1" si="59"/>
        <v>4.9948621209113719</v>
      </c>
      <c r="N242" s="202">
        <f t="shared" ca="1" si="51"/>
        <v>4.771999999997206</v>
      </c>
      <c r="O242" s="202">
        <f ca="1">(DATOSAÑO!AJ242+DATOSAÑO!AK242+DATOSAÑO!AD242)</f>
        <v>192.80000000000291</v>
      </c>
      <c r="P242" s="202">
        <f ca="1">DATOSAÑO!AI242</f>
        <v>37.200000000011642</v>
      </c>
      <c r="Q242" s="202">
        <f ca="1">DATOSAÑO!AH242</f>
        <v>9.500000000001819</v>
      </c>
      <c r="R242" s="202">
        <f ca="1">DATOSAÑO!AM242+DATOSAÑO!AN242+DATOSAÑO!AF242</f>
        <v>155.79999999999927</v>
      </c>
      <c r="S242" s="215">
        <f ca="1">IF(B242&gt;=$P$5,0,CONTADORES!Q242-CONTADORES!Q241)</f>
        <v>16.179999999993015</v>
      </c>
      <c r="T242" s="212">
        <f ca="1">IF(B242&gt;=$P$5,0,(CONTADORES!S242-CONTADORES!S241)+(CONTADORES!AE242-CONTADORES!AE241))</f>
        <v>2.6200000000000045</v>
      </c>
      <c r="U242" s="212">
        <f ca="1">IF(B242&gt;=$P$5,0,(CONTADORES!AQ242-CONTADORES!AQ241))</f>
        <v>4.771999999997206</v>
      </c>
      <c r="V242" s="212">
        <f ca="1">IF(B242&gt;=$P$5,0,(CONTADORES!AR242-CONTADORES!AR241))</f>
        <v>0</v>
      </c>
      <c r="W242" s="736">
        <v>0</v>
      </c>
      <c r="X242" s="212">
        <f ca="1">IF(W242=0,(T242-INICIO!$W$6),((T242-INICIO!$W$6)+V242))</f>
        <v>2.6200000000000045</v>
      </c>
      <c r="Y242" s="214">
        <f t="shared" ca="1" si="52"/>
        <v>11.407999999995809</v>
      </c>
      <c r="Z242" s="215">
        <f t="shared" ca="1" si="53"/>
        <v>9.0041527477529257</v>
      </c>
      <c r="AA242" s="212">
        <f t="shared" ca="1" si="54"/>
        <v>1.7373157791312688</v>
      </c>
      <c r="AB242" s="212">
        <f t="shared" ca="1" si="55"/>
        <v>0.44366935219744758</v>
      </c>
      <c r="AC242" s="214">
        <f t="shared" ca="1" si="50"/>
        <v>0.22286212091416577</v>
      </c>
    </row>
    <row r="243" spans="2:29">
      <c r="B243" s="220">
        <v>44794</v>
      </c>
      <c r="C243" s="208">
        <f ca="1">DATOSAÑO!I243</f>
        <v>149</v>
      </c>
      <c r="D243" s="202">
        <f ca="1">DATOSAÑO!P243</f>
        <v>313</v>
      </c>
      <c r="E243" s="202">
        <f ca="1">DATOSAÑO!Q243</f>
        <v>0</v>
      </c>
      <c r="F243" s="202">
        <f ca="1">DATOSAÑO!T243</f>
        <v>0</v>
      </c>
      <c r="G243" s="202">
        <f t="shared" ca="1" si="49"/>
        <v>462</v>
      </c>
      <c r="H243" s="202">
        <f t="shared" ca="1" si="60"/>
        <v>38.86800000001017</v>
      </c>
      <c r="I243" s="202">
        <f t="shared" ca="1" si="56"/>
        <v>204.80909101813543</v>
      </c>
      <c r="J243" s="202">
        <f t="shared" ca="1" si="57"/>
        <v>39.478753903536358</v>
      </c>
      <c r="K243" s="202">
        <f t="shared" ca="1" si="58"/>
        <v>12.115173155584799</v>
      </c>
      <c r="L243" s="202">
        <f t="shared" ca="1" si="44"/>
        <v>161.93200000000002</v>
      </c>
      <c r="M243" s="202">
        <f t="shared" ca="1" si="59"/>
        <v>4.7969819227332131</v>
      </c>
      <c r="N243" s="202">
        <f t="shared" ca="1" si="51"/>
        <v>4.5930000000080327</v>
      </c>
      <c r="O243" s="202">
        <f ca="1">(DATOSAÑO!AJ243+DATOSAÑO!AK243+DATOSAÑO!AD243)</f>
        <v>196.09999999999127</v>
      </c>
      <c r="P243" s="202">
        <f ca="1">DATOSAÑO!AI243</f>
        <v>37.799999999988358</v>
      </c>
      <c r="Q243" s="202">
        <f ca="1">DATOSAÑO!AH243</f>
        <v>11.599999999998545</v>
      </c>
      <c r="R243" s="202">
        <f ca="1">DATOSAÑO!AM243+DATOSAÑO!AN243+DATOSAÑO!AF243</f>
        <v>161.93200000000002</v>
      </c>
      <c r="S243" s="215">
        <f ca="1">IF(B243&gt;=$P$5,0,CONTADORES!Q243-CONTADORES!Q242)</f>
        <v>15.700000000011642</v>
      </c>
      <c r="T243" s="212">
        <f ca="1">IF(B243&gt;=$P$5,0,(CONTADORES!S243-CONTADORES!S242)+(CONTADORES!AE243-CONTADORES!AE242))</f>
        <v>2.4900000000000091</v>
      </c>
      <c r="U243" s="212">
        <f ca="1">IF(B243&gt;=$P$5,0,(CONTADORES!AQ243-CONTADORES!AQ242))</f>
        <v>4.5930000000080327</v>
      </c>
      <c r="V243" s="212">
        <f ca="1">IF(B243&gt;=$P$5,0,(CONTADORES!AR243-CONTADORES!AR242))</f>
        <v>0</v>
      </c>
      <c r="W243" s="736">
        <v>0</v>
      </c>
      <c r="X243" s="212">
        <f ca="1">IF(W243=0,(T243-INICIO!$W$6),((T243-INICIO!$W$6)+V243))</f>
        <v>2.4900000000000091</v>
      </c>
      <c r="Y243" s="214">
        <f t="shared" ca="1" si="52"/>
        <v>11.107000000003609</v>
      </c>
      <c r="Z243" s="215">
        <f t="shared" ca="1" si="53"/>
        <v>8.7090910181441732</v>
      </c>
      <c r="AA243" s="212">
        <f t="shared" ca="1" si="54"/>
        <v>1.6787539035480012</v>
      </c>
      <c r="AB243" s="212">
        <f t="shared" ca="1" si="55"/>
        <v>0.51517315558625321</v>
      </c>
      <c r="AC243" s="214">
        <f t="shared" ca="1" si="50"/>
        <v>0.20398192272518068</v>
      </c>
    </row>
    <row r="244" spans="2:29">
      <c r="B244" s="220">
        <v>44795</v>
      </c>
      <c r="C244" s="208">
        <f ca="1">DATOSAÑO!I244</f>
        <v>148</v>
      </c>
      <c r="D244" s="202">
        <f ca="1">DATOSAÑO!P244</f>
        <v>322</v>
      </c>
      <c r="E244" s="202">
        <f ca="1">DATOSAÑO!Q244</f>
        <v>0</v>
      </c>
      <c r="F244" s="202">
        <f ca="1">DATOSAÑO!T244</f>
        <v>0</v>
      </c>
      <c r="G244" s="202">
        <f t="shared" ca="1" si="49"/>
        <v>470</v>
      </c>
      <c r="H244" s="202">
        <f t="shared" ca="1" si="60"/>
        <v>36.990999999990549</v>
      </c>
      <c r="I244" s="202">
        <f t="shared" ca="1" si="56"/>
        <v>208.77223095052182</v>
      </c>
      <c r="J244" s="202">
        <f t="shared" ca="1" si="57"/>
        <v>39.164375490966613</v>
      </c>
      <c r="K244" s="202">
        <f t="shared" ca="1" si="58"/>
        <v>13.054791830322204</v>
      </c>
      <c r="L244" s="202">
        <f t="shared" ca="1" si="44"/>
        <v>167.10900000000072</v>
      </c>
      <c r="M244" s="202">
        <f t="shared" ca="1" si="59"/>
        <v>4.9086017281981089</v>
      </c>
      <c r="N244" s="202">
        <f t="shared" ca="1" si="51"/>
        <v>4.6999999999970896</v>
      </c>
      <c r="O244" s="202">
        <f ca="1">(DATOSAÑO!AJ244+DATOSAÑO!AK244+DATOSAÑO!AD244)</f>
        <v>199.90000000000873</v>
      </c>
      <c r="P244" s="202">
        <f ca="1">DATOSAÑO!AI244</f>
        <v>37.5</v>
      </c>
      <c r="Q244" s="202">
        <f ca="1">DATOSAÑO!AH244</f>
        <v>12.5</v>
      </c>
      <c r="R244" s="202">
        <f ca="1">DATOSAÑO!AM244+DATOSAÑO!AN244+DATOSAÑO!AF244</f>
        <v>167.10900000000072</v>
      </c>
      <c r="S244" s="215">
        <f ca="1">IF(B244&gt;=$P$5,0,CONTADORES!Q244-CONTADORES!Q243)</f>
        <v>16</v>
      </c>
      <c r="T244" s="212">
        <f ca="1">IF(B244&gt;=$P$5,0,(CONTADORES!S244-CONTADORES!S243)+(CONTADORES!AE244-CONTADORES!AE243))</f>
        <v>2.3299999999999841</v>
      </c>
      <c r="U244" s="212">
        <f ca="1">IF(B244&gt;=$P$5,0,(CONTADORES!AQ244-CONTADORES!AQ243))</f>
        <v>4.6999999999970896</v>
      </c>
      <c r="V244" s="212">
        <f ca="1">IF(B244&gt;=$P$5,0,(CONTADORES!AR244-CONTADORES!AR243))</f>
        <v>0</v>
      </c>
      <c r="W244" s="736">
        <v>0</v>
      </c>
      <c r="X244" s="212">
        <f ca="1">IF(W244=0,(T244-INICIO!$W$6),((T244-INICIO!$W$6)+V244))</f>
        <v>2.3299999999999841</v>
      </c>
      <c r="Y244" s="214">
        <f t="shared" ca="1" si="52"/>
        <v>11.30000000000291</v>
      </c>
      <c r="Z244" s="215">
        <f t="shared" ca="1" si="53"/>
        <v>8.8722309505130763</v>
      </c>
      <c r="AA244" s="212">
        <f t="shared" ca="1" si="54"/>
        <v>1.6643754909666122</v>
      </c>
      <c r="AB244" s="212">
        <f t="shared" ca="1" si="55"/>
        <v>0.55479183032220403</v>
      </c>
      <c r="AC244" s="214">
        <f t="shared" ca="1" si="50"/>
        <v>0.20860172820101955</v>
      </c>
    </row>
    <row r="245" spans="2:29">
      <c r="B245" s="220">
        <v>44796</v>
      </c>
      <c r="C245" s="208">
        <f ca="1">DATOSAÑO!I245</f>
        <v>148</v>
      </c>
      <c r="D245" s="202">
        <f ca="1">DATOSAÑO!P245</f>
        <v>315</v>
      </c>
      <c r="E245" s="202">
        <f ca="1">DATOSAÑO!Q245</f>
        <v>0</v>
      </c>
      <c r="F245" s="202">
        <f ca="1">DATOSAÑO!T245</f>
        <v>0.59799999999995634</v>
      </c>
      <c r="G245" s="202">
        <f t="shared" ca="1" si="49"/>
        <v>463.59799999999996</v>
      </c>
      <c r="H245" s="202">
        <f t="shared" ca="1" si="60"/>
        <v>38.310999999994124</v>
      </c>
      <c r="I245" s="202">
        <f t="shared" ca="1" si="56"/>
        <v>204.53856914468346</v>
      </c>
      <c r="J245" s="202">
        <f t="shared" ca="1" si="57"/>
        <v>38.984612310155349</v>
      </c>
      <c r="K245" s="202">
        <f t="shared" ca="1" si="58"/>
        <v>13.064548361314896</v>
      </c>
      <c r="L245" s="202">
        <f t="shared" ca="1" si="44"/>
        <v>163.78700000000219</v>
      </c>
      <c r="M245" s="202">
        <f t="shared" ca="1" si="59"/>
        <v>4.9122701838499303</v>
      </c>
      <c r="N245" s="202">
        <f t="shared" ca="1" si="51"/>
        <v>4.6999999999970896</v>
      </c>
      <c r="O245" s="202">
        <f ca="1">(DATOSAÑO!AJ245+DATOSAÑO!AK245+DATOSAÑO!AD245)</f>
        <v>195.69999999999709</v>
      </c>
      <c r="P245" s="202">
        <f ca="1">DATOSAÑO!AI245</f>
        <v>37.30000000000291</v>
      </c>
      <c r="Q245" s="202">
        <f ca="1">DATOSAÑO!AH245</f>
        <v>12.500000000003638</v>
      </c>
      <c r="R245" s="202">
        <f ca="1">DATOSAÑO!AM245+DATOSAÑO!AN245+DATOSAÑO!AF245</f>
        <v>163.78700000000219</v>
      </c>
      <c r="S245" s="215">
        <f ca="1">IF(B245&gt;=$P$5,0,CONTADORES!Q245-CONTADORES!Q244)</f>
        <v>16</v>
      </c>
      <c r="T245" s="212">
        <f ca="1">IF(B245&gt;=$P$5,0,(CONTADORES!S245-CONTADORES!S244)+(CONTADORES!AE245-CONTADORES!AE244))</f>
        <v>2.4300000000000068</v>
      </c>
      <c r="U245" s="212">
        <f ca="1">IF(B245&gt;=$P$5,0,(CONTADORES!AQ245-CONTADORES!AQ244))</f>
        <v>4.6999999999970896</v>
      </c>
      <c r="V245" s="212">
        <f ca="1">IF(B245&gt;=$P$5,0,(CONTADORES!AR245-CONTADORES!AR244))</f>
        <v>0</v>
      </c>
      <c r="W245" s="736">
        <v>0</v>
      </c>
      <c r="X245" s="212">
        <f ca="1">IF(W245=0,(T245-INICIO!$W$6),((T245-INICIO!$W$6)+V245))</f>
        <v>2.4300000000000068</v>
      </c>
      <c r="Y245" s="214">
        <f t="shared" ca="1" si="52"/>
        <v>11.30000000000291</v>
      </c>
      <c r="Z245" s="215">
        <f t="shared" ca="1" si="53"/>
        <v>8.838569144686371</v>
      </c>
      <c r="AA245" s="212">
        <f t="shared" ca="1" si="54"/>
        <v>1.6846123101524388</v>
      </c>
      <c r="AB245" s="212">
        <f t="shared" ca="1" si="55"/>
        <v>0.56454836131125929</v>
      </c>
      <c r="AC245" s="214">
        <f t="shared" ca="1" si="50"/>
        <v>0.21227018385284027</v>
      </c>
    </row>
    <row r="246" spans="2:29">
      <c r="B246" s="220">
        <v>44797</v>
      </c>
      <c r="C246" s="208">
        <f ca="1">DATOSAÑO!I246</f>
        <v>151</v>
      </c>
      <c r="D246" s="202">
        <f ca="1">DATOSAÑO!P246</f>
        <v>309</v>
      </c>
      <c r="E246" s="202">
        <f ca="1">DATOSAÑO!Q246</f>
        <v>0</v>
      </c>
      <c r="F246" s="202">
        <f ca="1">DATOSAÑO!T246</f>
        <v>0</v>
      </c>
      <c r="G246" s="202">
        <f t="shared" ca="1" si="49"/>
        <v>460</v>
      </c>
      <c r="H246" s="202">
        <f t="shared" ca="1" si="60"/>
        <v>44.905999999999949</v>
      </c>
      <c r="I246" s="202">
        <f t="shared" ca="1" si="56"/>
        <v>202.51855541718848</v>
      </c>
      <c r="J246" s="202">
        <f t="shared" ca="1" si="57"/>
        <v>39.10419261104191</v>
      </c>
      <c r="K246" s="202">
        <f t="shared" ca="1" si="58"/>
        <v>1.1319634703200085</v>
      </c>
      <c r="L246" s="202">
        <f t="shared" ca="1" si="44"/>
        <v>167.19399999999672</v>
      </c>
      <c r="M246" s="202">
        <f t="shared" ca="1" si="59"/>
        <v>5.1452885014528826</v>
      </c>
      <c r="N246" s="202">
        <f t="shared" ca="1" si="51"/>
        <v>5</v>
      </c>
      <c r="O246" s="202">
        <f ca="1">(DATOSAÑO!AJ246+DATOSAÑO!AK246+DATOSAÑO!AD246)</f>
        <v>196.80000000000291</v>
      </c>
      <c r="P246" s="202">
        <f ca="1">DATOSAÑO!AI246</f>
        <v>38</v>
      </c>
      <c r="Q246" s="202">
        <f ca="1">DATOSAÑO!AH246</f>
        <v>1.1000000000003638</v>
      </c>
      <c r="R246" s="202">
        <f ca="1">DATOSAÑO!AM246+DATOSAÑO!AN246+DATOSAÑO!AF246</f>
        <v>167.19399999999672</v>
      </c>
      <c r="S246" s="215">
        <f ca="1">IF(B246&gt;=$P$5,0,CONTADORES!Q246-CONTADORES!Q245)</f>
        <v>12</v>
      </c>
      <c r="T246" s="212">
        <f ca="1">IF(B246&gt;=$P$5,0,(CONTADORES!S246-CONTADORES!S245)+(CONTADORES!AE246-CONTADORES!AE245))</f>
        <v>4.9000000000000057</v>
      </c>
      <c r="U246" s="212">
        <f ca="1">IF(B246&gt;=$P$5,0,(CONTADORES!AQ246-CONTADORES!AQ245))</f>
        <v>5</v>
      </c>
      <c r="V246" s="212">
        <f ca="1">IF(B246&gt;=$P$5,0,(CONTADORES!AR246-CONTADORES!AR245))</f>
        <v>0</v>
      </c>
      <c r="W246" s="736">
        <v>0</v>
      </c>
      <c r="X246" s="212">
        <f ca="1">IF(W246=0,(T246-INICIO!$W$6),((T246-INICIO!$W$6)+V246))</f>
        <v>4.9000000000000057</v>
      </c>
      <c r="Y246" s="214">
        <f t="shared" ca="1" si="52"/>
        <v>7</v>
      </c>
      <c r="Z246" s="215">
        <f t="shared" ca="1" si="53"/>
        <v>5.718555417185561</v>
      </c>
      <c r="AA246" s="212">
        <f t="shared" ca="1" si="54"/>
        <v>1.1041926110419111</v>
      </c>
      <c r="AB246" s="212">
        <f t="shared" ca="1" si="55"/>
        <v>3.1963470319644839E-2</v>
      </c>
      <c r="AC246" s="214">
        <f t="shared" ca="1" si="50"/>
        <v>0.14528850145288305</v>
      </c>
    </row>
    <row r="247" spans="2:29">
      <c r="B247" s="220">
        <v>44798</v>
      </c>
      <c r="C247" s="208">
        <f ca="1">DATOSAÑO!I247</f>
        <v>150</v>
      </c>
      <c r="D247" s="202">
        <f ca="1">DATOSAÑO!P247</f>
        <v>316</v>
      </c>
      <c r="E247" s="202">
        <f ca="1">DATOSAÑO!Q247</f>
        <v>0</v>
      </c>
      <c r="F247" s="202">
        <f ca="1">DATOSAÑO!T247</f>
        <v>0</v>
      </c>
      <c r="G247" s="202">
        <f t="shared" ca="1" si="49"/>
        <v>466</v>
      </c>
      <c r="H247" s="202">
        <f t="shared" ca="1" si="60"/>
        <v>45.423000000014156</v>
      </c>
      <c r="I247" s="202">
        <f t="shared" ref="I247:I278" ca="1" si="61">O247+Z247</f>
        <v>199.87925636006955</v>
      </c>
      <c r="J247" s="202">
        <f t="shared" ref="J247:J278" ca="1" si="62">P247+AA247</f>
        <v>37.345596868881628</v>
      </c>
      <c r="K247" s="202">
        <f t="shared" ref="K247:K278" ca="1" si="63">Q247+AB247</f>
        <v>14.255577299409998</v>
      </c>
      <c r="L247" s="202">
        <f t="shared" ca="1" si="44"/>
        <v>164.07700000000037</v>
      </c>
      <c r="M247" s="202">
        <f t="shared" ref="M247:M278" ca="1" si="64">N247+AC247</f>
        <v>5.0195694716242674</v>
      </c>
      <c r="N247" s="202">
        <f t="shared" ca="1" si="51"/>
        <v>5</v>
      </c>
      <c r="O247" s="202">
        <f ca="1">(DATOSAÑO!AJ247+DATOSAÑO!AK247+DATOSAÑO!AD247)</f>
        <v>199.09999999999127</v>
      </c>
      <c r="P247" s="202">
        <f ca="1">DATOSAÑO!AI247</f>
        <v>37.19999999999709</v>
      </c>
      <c r="Q247" s="202">
        <f ca="1">DATOSAÑO!AH247</f>
        <v>14.19999999999709</v>
      </c>
      <c r="R247" s="202">
        <f ca="1">DATOSAÑO!AM247+DATOSAÑO!AN247+DATOSAÑO!AF247</f>
        <v>164.07700000000037</v>
      </c>
      <c r="S247" s="215">
        <f ca="1">IF(B247&gt;=$P$5,0,CONTADORES!Q247-CONTADORES!Q246)</f>
        <v>6</v>
      </c>
      <c r="T247" s="212">
        <f ca="1">IF(B247&gt;=$P$5,0,(CONTADORES!S247-CONTADORES!S246)+(CONTADORES!AE247-CONTADORES!AE246))</f>
        <v>7</v>
      </c>
      <c r="U247" s="212">
        <f ca="1">IF(B247&gt;=$P$5,0,(CONTADORES!AQ247-CONTADORES!AQ246))</f>
        <v>5</v>
      </c>
      <c r="V247" s="212">
        <f ca="1">IF(B247&gt;=$P$5,0,(CONTADORES!AR247-CONTADORES!AR246))</f>
        <v>0</v>
      </c>
      <c r="W247" s="736">
        <v>0</v>
      </c>
      <c r="X247" s="212">
        <f ca="1">IF(W247=0,(T247-INICIO!$W$6),((T247-INICIO!$W$6)+V247))</f>
        <v>7</v>
      </c>
      <c r="Y247" s="214">
        <f t="shared" ca="1" si="52"/>
        <v>1</v>
      </c>
      <c r="Z247" s="215">
        <f t="shared" ca="1" si="53"/>
        <v>0.77925636007828814</v>
      </c>
      <c r="AA247" s="212">
        <f t="shared" ca="1" si="54"/>
        <v>0.14559686888453702</v>
      </c>
      <c r="AB247" s="212">
        <f t="shared" ca="1" si="55"/>
        <v>5.5577299412907628E-2</v>
      </c>
      <c r="AC247" s="214">
        <f t="shared" ca="1" si="50"/>
        <v>1.9569471624267261E-2</v>
      </c>
    </row>
    <row r="248" spans="2:29">
      <c r="B248" s="220">
        <v>44799</v>
      </c>
      <c r="C248" s="208">
        <f ca="1">DATOSAÑO!I248</f>
        <v>335</v>
      </c>
      <c r="D248" s="202">
        <f ca="1">DATOSAÑO!P248</f>
        <v>103</v>
      </c>
      <c r="E248" s="202">
        <f ca="1">DATOSAÑO!Q248</f>
        <v>0</v>
      </c>
      <c r="F248" s="202">
        <f ca="1">DATOSAÑO!T248</f>
        <v>8.1820000000000164</v>
      </c>
      <c r="G248" s="202">
        <f t="shared" ca="1" si="49"/>
        <v>446.18200000000002</v>
      </c>
      <c r="H248" s="202">
        <f t="shared" ca="1" si="60"/>
        <v>52.642999999985193</v>
      </c>
      <c r="I248" s="202">
        <f t="shared" ca="1" si="61"/>
        <v>180.34805194805477</v>
      </c>
      <c r="J248" s="202">
        <f t="shared" ca="1" si="62"/>
        <v>37.017748917760642</v>
      </c>
      <c r="K248" s="202">
        <f t="shared" ca="1" si="63"/>
        <v>11.599567099567093</v>
      </c>
      <c r="L248" s="202">
        <f t="shared" ca="1" si="44"/>
        <v>160.53900000000036</v>
      </c>
      <c r="M248" s="202">
        <f t="shared" ca="1" si="64"/>
        <v>4.0346320346320326</v>
      </c>
      <c r="N248" s="202">
        <f t="shared" ca="1" si="51"/>
        <v>4</v>
      </c>
      <c r="O248" s="202">
        <f ca="1">(DATOSAÑO!AJ248+DATOSAÑO!AK248+DATOSAÑO!AD248)</f>
        <v>178.80000000000291</v>
      </c>
      <c r="P248" s="202">
        <f ca="1">DATOSAÑO!AI248</f>
        <v>36.700000000011642</v>
      </c>
      <c r="Q248" s="202">
        <f ca="1">DATOSAÑO!AH248</f>
        <v>11.5</v>
      </c>
      <c r="R248" s="202">
        <f ca="1">DATOSAÑO!AM248+DATOSAÑO!AN248+DATOSAÑO!AF248</f>
        <v>160.53900000000036</v>
      </c>
      <c r="S248" s="215">
        <f ca="1">IF(B248&gt;=$P$5,0,CONTADORES!Q248-CONTADORES!Q247)</f>
        <v>6</v>
      </c>
      <c r="T248" s="212">
        <f ca="1">IF(B248&gt;=$P$5,0,(CONTADORES!S248-CONTADORES!S247)+(CONTADORES!AE248-CONTADORES!AE247))</f>
        <v>6.8000000000000114</v>
      </c>
      <c r="U248" s="212">
        <f ca="1">IF(B248&gt;=$P$5,0,(CONTADORES!AQ248-CONTADORES!AQ247))</f>
        <v>4</v>
      </c>
      <c r="V248" s="212">
        <f ca="1">IF(B248&gt;=$P$5,0,(CONTADORES!AR248-CONTADORES!AR247))</f>
        <v>0</v>
      </c>
      <c r="W248" s="736">
        <v>0</v>
      </c>
      <c r="X248" s="212">
        <f ca="1">IF(W248=0,(T248-INICIO!$W$6),((T248-INICIO!$W$6)+V248))</f>
        <v>6.8000000000000114</v>
      </c>
      <c r="Y248" s="214">
        <f t="shared" ca="1" si="52"/>
        <v>2</v>
      </c>
      <c r="Z248" s="215">
        <f t="shared" ca="1" si="53"/>
        <v>1.5480519480518757</v>
      </c>
      <c r="AA248" s="212">
        <f t="shared" ca="1" si="54"/>
        <v>0.31774891774899855</v>
      </c>
      <c r="AB248" s="212">
        <f t="shared" ca="1" si="55"/>
        <v>9.9567099567093295E-2</v>
      </c>
      <c r="AC248" s="214">
        <f t="shared" ca="1" si="50"/>
        <v>3.4632034632032453E-2</v>
      </c>
    </row>
    <row r="249" spans="2:29">
      <c r="B249" s="220">
        <v>44800</v>
      </c>
      <c r="C249" s="208">
        <f ca="1">DATOSAÑO!I249</f>
        <v>213</v>
      </c>
      <c r="D249" s="202">
        <f ca="1">DATOSAÑO!P249</f>
        <v>230</v>
      </c>
      <c r="E249" s="202">
        <f ca="1">DATOSAÑO!Q249</f>
        <v>0</v>
      </c>
      <c r="F249" s="202">
        <f ca="1">DATOSAÑO!T249</f>
        <v>0</v>
      </c>
      <c r="G249" s="202">
        <f t="shared" ca="1" si="49"/>
        <v>443</v>
      </c>
      <c r="H249" s="202">
        <f t="shared" ca="1" si="60"/>
        <v>46.946000000005881</v>
      </c>
      <c r="I249" s="202">
        <f t="shared" ca="1" si="61"/>
        <v>183.28413251961351</v>
      </c>
      <c r="J249" s="202">
        <f t="shared" ca="1" si="62"/>
        <v>37.726068003481494</v>
      </c>
      <c r="K249" s="202">
        <f t="shared" ca="1" si="63"/>
        <v>6.3549258936385078</v>
      </c>
      <c r="L249" s="202">
        <f t="shared" ca="1" si="44"/>
        <v>164.654</v>
      </c>
      <c r="M249" s="202">
        <f t="shared" ca="1" si="64"/>
        <v>4.0348735832606808</v>
      </c>
      <c r="N249" s="202">
        <f t="shared" ca="1" si="51"/>
        <v>4</v>
      </c>
      <c r="O249" s="202">
        <f ca="1">(DATOSAÑO!AJ249+DATOSAÑO!AK249+DATOSAÑO!AD249)</f>
        <v>181.69999999999709</v>
      </c>
      <c r="P249" s="202">
        <f ca="1">DATOSAÑO!AI249</f>
        <v>37.399999999994179</v>
      </c>
      <c r="Q249" s="202">
        <f ca="1">DATOSAÑO!AH249</f>
        <v>6.3000000000029104</v>
      </c>
      <c r="R249" s="202">
        <f ca="1">DATOSAÑO!AM249+DATOSAÑO!AN249+DATOSAÑO!AF249</f>
        <v>164.654</v>
      </c>
      <c r="S249" s="215">
        <f ca="1">IF(B249&gt;=$P$5,0,CONTADORES!Q249-CONTADORES!Q248)</f>
        <v>6</v>
      </c>
      <c r="T249" s="212">
        <f ca="1">IF(B249&gt;=$P$5,0,(CONTADORES!S249-CONTADORES!S248)+(CONTADORES!AE249-CONTADORES!AE248))</f>
        <v>7.0999999999999659</v>
      </c>
      <c r="U249" s="212">
        <f ca="1">IF(B249&gt;=$P$5,0,(CONTADORES!AQ249-CONTADORES!AQ248))</f>
        <v>4</v>
      </c>
      <c r="V249" s="212">
        <f ca="1">IF(B249&gt;=$P$5,0,(CONTADORES!AR249-CONTADORES!AR248))</f>
        <v>0</v>
      </c>
      <c r="W249" s="736">
        <v>0</v>
      </c>
      <c r="X249" s="212">
        <f ca="1">IF(W249=0,(T249-INICIO!$W$6),((T249-INICIO!$W$6)+V249))</f>
        <v>7.0999999999999659</v>
      </c>
      <c r="Y249" s="214">
        <f t="shared" ca="1" si="52"/>
        <v>2</v>
      </c>
      <c r="Z249" s="215">
        <f t="shared" ca="1" si="53"/>
        <v>1.5841325196164053</v>
      </c>
      <c r="AA249" s="212">
        <f t="shared" ca="1" si="54"/>
        <v>0.32606800348731585</v>
      </c>
      <c r="AB249" s="212">
        <f t="shared" ca="1" si="55"/>
        <v>5.4925893635597821E-2</v>
      </c>
      <c r="AC249" s="214">
        <f t="shared" ca="1" si="50"/>
        <v>3.4873583260680921E-2</v>
      </c>
    </row>
    <row r="250" spans="2:29">
      <c r="B250" s="220">
        <v>44801</v>
      </c>
      <c r="C250" s="208">
        <f ca="1">DATOSAÑO!I250</f>
        <v>150</v>
      </c>
      <c r="D250" s="202">
        <f ca="1">DATOSAÑO!P250</f>
        <v>300</v>
      </c>
      <c r="E250" s="202">
        <f ca="1">DATOSAÑO!Q250</f>
        <v>0</v>
      </c>
      <c r="F250" s="202">
        <f ca="1">DATOSAÑO!T250</f>
        <v>0</v>
      </c>
      <c r="G250" s="202">
        <f t="shared" ca="1" si="49"/>
        <v>450</v>
      </c>
      <c r="H250" s="202">
        <f t="shared" ca="1" si="60"/>
        <v>44.647999999999627</v>
      </c>
      <c r="I250" s="202">
        <f t="shared" ca="1" si="61"/>
        <v>186.42449494950085</v>
      </c>
      <c r="J250" s="202">
        <f t="shared" ca="1" si="62"/>
        <v>39.391161616155728</v>
      </c>
      <c r="K250" s="202">
        <f t="shared" ca="1" si="63"/>
        <v>10.733838383836911</v>
      </c>
      <c r="L250" s="202">
        <f t="shared" ca="1" si="44"/>
        <v>164.75200000000183</v>
      </c>
      <c r="M250" s="202">
        <f t="shared" ca="1" si="64"/>
        <v>4.0505050505050511</v>
      </c>
      <c r="N250" s="202">
        <f t="shared" ca="1" si="51"/>
        <v>4</v>
      </c>
      <c r="O250" s="202">
        <f ca="1">(DATOSAÑO!AJ250+DATOSAÑO!AK250+DATOSAÑO!AD250)</f>
        <v>184.10000000000582</v>
      </c>
      <c r="P250" s="202">
        <f ca="1">DATOSAÑO!AI250</f>
        <v>38.899999999994179</v>
      </c>
      <c r="Q250" s="202">
        <f ca="1">DATOSAÑO!AH250</f>
        <v>10.599999999998545</v>
      </c>
      <c r="R250" s="202">
        <f ca="1">DATOSAÑO!AM250+DATOSAÑO!AN250+DATOSAÑO!AF250</f>
        <v>164.75200000000183</v>
      </c>
      <c r="S250" s="215">
        <f ca="1">IF(B250&gt;=$P$5,0,CONTADORES!Q250-CONTADORES!Q249)</f>
        <v>7</v>
      </c>
      <c r="T250" s="212">
        <f ca="1">IF(B250&gt;=$P$5,0,(CONTADORES!S250-CONTADORES!S249)+(CONTADORES!AE250-CONTADORES!AE249))</f>
        <v>7</v>
      </c>
      <c r="U250" s="212">
        <f ca="1">IF(B250&gt;=$P$5,0,(CONTADORES!AQ250-CONTADORES!AQ249))</f>
        <v>4</v>
      </c>
      <c r="V250" s="212">
        <f ca="1">IF(B250&gt;=$P$5,0,(CONTADORES!AR250-CONTADORES!AR249))</f>
        <v>0</v>
      </c>
      <c r="W250" s="736">
        <v>0</v>
      </c>
      <c r="X250" s="212">
        <f ca="1">IF(W250=0,(T250-INICIO!$W$6),((T250-INICIO!$W$6)+V250))</f>
        <v>7</v>
      </c>
      <c r="Y250" s="214">
        <f t="shared" ca="1" si="52"/>
        <v>3</v>
      </c>
      <c r="Z250" s="215">
        <f t="shared" ca="1" si="53"/>
        <v>2.3244949494950373</v>
      </c>
      <c r="AA250" s="212">
        <f t="shared" ca="1" si="54"/>
        <v>0.49116161616154569</v>
      </c>
      <c r="AB250" s="212">
        <f t="shared" ca="1" si="55"/>
        <v>0.1338383838383663</v>
      </c>
      <c r="AC250" s="214">
        <f t="shared" ca="1" si="50"/>
        <v>5.0505050505050816E-2</v>
      </c>
    </row>
    <row r="251" spans="2:29">
      <c r="B251" s="220">
        <v>44802</v>
      </c>
      <c r="C251" s="208">
        <f ca="1">DATOSAÑO!I251</f>
        <v>150</v>
      </c>
      <c r="D251" s="202">
        <f ca="1">DATOSAÑO!P251</f>
        <v>309</v>
      </c>
      <c r="E251" s="202">
        <f ca="1">DATOSAÑO!Q251</f>
        <v>0.22400000000016007</v>
      </c>
      <c r="F251" s="202">
        <f ca="1">DATOSAÑO!T251</f>
        <v>0.41200000000003456</v>
      </c>
      <c r="G251" s="202">
        <f t="shared" ca="1" si="49"/>
        <v>459.63600000000019</v>
      </c>
      <c r="H251" s="202">
        <f t="shared" ca="1" si="60"/>
        <v>43.480000000001496</v>
      </c>
      <c r="I251" s="202">
        <f t="shared" ca="1" si="61"/>
        <v>188.69128914192771</v>
      </c>
      <c r="J251" s="202">
        <f t="shared" ca="1" si="62"/>
        <v>39.453633184227122</v>
      </c>
      <c r="K251" s="202">
        <f t="shared" ca="1" si="63"/>
        <v>14.933856039035865</v>
      </c>
      <c r="L251" s="202">
        <f t="shared" ca="1" si="44"/>
        <v>168.03199999999708</v>
      </c>
      <c r="M251" s="202">
        <f t="shared" ca="1" si="64"/>
        <v>5.0452216348109014</v>
      </c>
      <c r="N251" s="202">
        <f t="shared" ca="1" si="51"/>
        <v>5</v>
      </c>
      <c r="O251" s="202">
        <f ca="1">(DATOSAÑO!AJ251+DATOSAÑO!AK251+DATOSAÑO!AD251)</f>
        <v>187</v>
      </c>
      <c r="P251" s="202">
        <f ca="1">DATOSAÑO!AI251</f>
        <v>39.100000000005821</v>
      </c>
      <c r="Q251" s="202">
        <f ca="1">DATOSAÑO!AH251</f>
        <v>14.799999999995634</v>
      </c>
      <c r="R251" s="202">
        <f ca="1">DATOSAÑO!AM251+DATOSAÑO!AN251+DATOSAÑO!AF251</f>
        <v>168.03199999999708</v>
      </c>
      <c r="S251" s="215">
        <f ca="1">IF(B251&gt;=$P$5,0,CONTADORES!Q251-CONTADORES!Q250)</f>
        <v>7</v>
      </c>
      <c r="T251" s="212">
        <f ca="1">IF(B251&gt;=$P$5,0,(CONTADORES!S251-CONTADORES!S250)+(CONTADORES!AE251-CONTADORES!AE250))</f>
        <v>6.9000000000000341</v>
      </c>
      <c r="U251" s="212">
        <f ca="1">IF(B251&gt;=$P$5,0,(CONTADORES!AQ251-CONTADORES!AQ250))</f>
        <v>5</v>
      </c>
      <c r="V251" s="212">
        <f ca="1">IF(B251&gt;=$P$5,0,(CONTADORES!AR251-CONTADORES!AR250))</f>
        <v>0</v>
      </c>
      <c r="W251" s="736">
        <v>0</v>
      </c>
      <c r="X251" s="212">
        <f ca="1">IF(W251=0,(T251-INICIO!$W$6),((T251-INICIO!$W$6)+V251))</f>
        <v>6.9000000000000341</v>
      </c>
      <c r="Y251" s="214">
        <f t="shared" ca="1" si="52"/>
        <v>2.2240000000001601</v>
      </c>
      <c r="Z251" s="215">
        <f t="shared" ca="1" si="53"/>
        <v>1.6912891419277245</v>
      </c>
      <c r="AA251" s="212">
        <f t="shared" ca="1" si="54"/>
        <v>0.35363318422130419</v>
      </c>
      <c r="AB251" s="212">
        <f t="shared" ca="1" si="55"/>
        <v>0.13385603904022964</v>
      </c>
      <c r="AC251" s="214">
        <f t="shared" ca="1" si="50"/>
        <v>4.5221634810901724E-2</v>
      </c>
    </row>
    <row r="252" spans="2:29">
      <c r="B252" s="220">
        <v>44803</v>
      </c>
      <c r="C252" s="208">
        <f ca="1">DATOSAÑO!I252</f>
        <v>150</v>
      </c>
      <c r="D252" s="202">
        <f ca="1">DATOSAÑO!P252</f>
        <v>296</v>
      </c>
      <c r="E252" s="202">
        <f ca="1">DATOSAÑO!Q252</f>
        <v>0</v>
      </c>
      <c r="F252" s="202">
        <f ca="1">DATOSAÑO!T252</f>
        <v>0</v>
      </c>
      <c r="G252" s="202">
        <f t="shared" ca="1" si="49"/>
        <v>446</v>
      </c>
      <c r="H252" s="202">
        <f t="shared" ca="1" si="60"/>
        <v>41.837999999985072</v>
      </c>
      <c r="I252" s="202">
        <f t="shared" ca="1" si="61"/>
        <v>186.94363097757667</v>
      </c>
      <c r="J252" s="202">
        <f t="shared" ca="1" si="62"/>
        <v>38.482437579348264</v>
      </c>
      <c r="K252" s="202">
        <f t="shared" ca="1" si="63"/>
        <v>8.8104528142254708</v>
      </c>
      <c r="L252" s="202">
        <f t="shared" ca="1" si="44"/>
        <v>164.86200000000292</v>
      </c>
      <c r="M252" s="202">
        <f t="shared" ca="1" si="64"/>
        <v>5.0634786288616134</v>
      </c>
      <c r="N252" s="202">
        <f t="shared" ca="1" si="51"/>
        <v>5</v>
      </c>
      <c r="O252" s="202">
        <f ca="1">(DATOSAÑO!AJ252+DATOSAÑO!AK252+DATOSAÑO!AD252)</f>
        <v>184.60000000000582</v>
      </c>
      <c r="P252" s="202">
        <f ca="1">DATOSAÑO!AI252</f>
        <v>38</v>
      </c>
      <c r="Q252" s="202">
        <f ca="1">DATOSAÑO!AH252</f>
        <v>8.7000000000061846</v>
      </c>
      <c r="R252" s="202">
        <f ca="1">DATOSAÑO!AM252+DATOSAÑO!AN252+DATOSAÑO!AF252</f>
        <v>164.86200000000292</v>
      </c>
      <c r="S252" s="215">
        <f ca="1">IF(B252&gt;=$P$5,0,CONTADORES!Q252-CONTADORES!Q251)</f>
        <v>8</v>
      </c>
      <c r="T252" s="212">
        <f ca="1">IF(B252&gt;=$P$5,0,(CONTADORES!S252-CONTADORES!S251)+(CONTADORES!AE252-CONTADORES!AE251))</f>
        <v>7</v>
      </c>
      <c r="U252" s="212">
        <f ca="1">IF(B252&gt;=$P$5,0,(CONTADORES!AQ252-CONTADORES!AQ251))</f>
        <v>5</v>
      </c>
      <c r="V252" s="212">
        <f ca="1">IF(B252&gt;=$P$5,0,(CONTADORES!AR252-CONTADORES!AR251))</f>
        <v>0</v>
      </c>
      <c r="W252" s="736">
        <v>0</v>
      </c>
      <c r="X252" s="212">
        <f ca="1">IF(W252=0,(T252-INICIO!$W$6),((T252-INICIO!$W$6)+V252))</f>
        <v>7</v>
      </c>
      <c r="Y252" s="214">
        <f t="shared" ca="1" si="52"/>
        <v>3</v>
      </c>
      <c r="Z252" s="215">
        <f t="shared" ca="1" si="53"/>
        <v>2.3436309775708395</v>
      </c>
      <c r="AA252" s="212">
        <f t="shared" ca="1" si="54"/>
        <v>0.48243757934826159</v>
      </c>
      <c r="AB252" s="212">
        <f t="shared" ca="1" si="55"/>
        <v>0.11045281421928577</v>
      </c>
      <c r="AC252" s="214">
        <f t="shared" ca="1" si="50"/>
        <v>6.3478628861613359E-2</v>
      </c>
    </row>
    <row r="253" spans="2:29" ht="15" thickBot="1">
      <c r="B253" s="1069">
        <v>44804</v>
      </c>
      <c r="C253" s="209">
        <f ca="1">DATOSAÑO!I253</f>
        <v>147.30000000004657</v>
      </c>
      <c r="D253" s="203">
        <f ca="1">DATOSAÑO!P253</f>
        <v>298.40000000000146</v>
      </c>
      <c r="E253" s="203">
        <f ca="1">DATOSAÑO!Q253</f>
        <v>0</v>
      </c>
      <c r="F253" s="203">
        <f ca="1">DATOSAÑO!T253</f>
        <v>0</v>
      </c>
      <c r="G253" s="203">
        <f t="shared" ca="1" si="49"/>
        <v>445.70000000004802</v>
      </c>
      <c r="H253" s="203">
        <f t="shared" ca="1" si="60"/>
        <v>40.061000000029537</v>
      </c>
      <c r="I253" s="203">
        <f t="shared" ca="1" si="61"/>
        <v>186.58630827382342</v>
      </c>
      <c r="J253" s="203">
        <f t="shared" ca="1" si="62"/>
        <v>39.060100797990032</v>
      </c>
      <c r="K253" s="203">
        <f t="shared" ca="1" si="63"/>
        <v>12.302393952120964</v>
      </c>
      <c r="L253" s="203">
        <f t="shared" ca="1" si="44"/>
        <v>161.53900000002363</v>
      </c>
      <c r="M253" s="203">
        <f t="shared" ca="1" si="64"/>
        <v>6.1511969760604819</v>
      </c>
      <c r="N253" s="203">
        <f t="shared" ca="1" si="51"/>
        <v>6</v>
      </c>
      <c r="O253" s="203">
        <f ca="1">(DATOSAÑO!AJ253+DATOSAÑO!AK253+DATOSAÑO!AD253)</f>
        <v>181.99999999998909</v>
      </c>
      <c r="P253" s="203">
        <f ca="1">DATOSAÑO!AI253</f>
        <v>38.100000000005821</v>
      </c>
      <c r="Q253" s="203">
        <f ca="1">DATOSAÑO!AH253</f>
        <v>12</v>
      </c>
      <c r="R253" s="203">
        <f ca="1">DATOSAÑO!AM253+DATOSAÑO!AN253+DATOSAÑO!AF253</f>
        <v>161.53900000002363</v>
      </c>
      <c r="S253" s="209">
        <f ca="1">IF(B253&gt;=$P$5,0,CONTADORES!Q253-CONTADORES!Q252)</f>
        <v>12</v>
      </c>
      <c r="T253" s="203">
        <f ca="1">IF(B253&gt;=$P$5,0,(CONTADORES!S253-CONTADORES!S252)+(CONTADORES!AE253-CONTADORES!AE252))</f>
        <v>4.6999999999999886</v>
      </c>
      <c r="U253" s="203">
        <f ca="1">IF(B253&gt;=$P$5,0,(CONTADORES!AQ253-CONTADORES!AQ252))</f>
        <v>6</v>
      </c>
      <c r="V253" s="203">
        <f ca="1">IF(B253&gt;=$P$5,0,(CONTADORES!AR253-CONTADORES!AR252))</f>
        <v>0</v>
      </c>
      <c r="W253" s="737">
        <v>0</v>
      </c>
      <c r="X253" s="203">
        <f ca="1">IF(W253=0,(T253-INICIO!$W$6),((T253-INICIO!$W$6)+V253))</f>
        <v>4.6999999999999886</v>
      </c>
      <c r="Y253" s="207">
        <f t="shared" ca="1" si="52"/>
        <v>6</v>
      </c>
      <c r="Z253" s="209">
        <f t="shared" ca="1" si="53"/>
        <v>4.5863082738343461</v>
      </c>
      <c r="AA253" s="203">
        <f t="shared" ca="1" si="54"/>
        <v>0.96010079798420755</v>
      </c>
      <c r="AB253" s="203">
        <f t="shared" ca="1" si="55"/>
        <v>0.30239395212096404</v>
      </c>
      <c r="AC253" s="207">
        <f t="shared" ca="1" si="50"/>
        <v>0.15119697606048202</v>
      </c>
    </row>
    <row r="254" spans="2:29">
      <c r="B254" s="410">
        <v>44805</v>
      </c>
      <c r="C254" s="208">
        <f ca="1">DATOSAÑO!I254</f>
        <v>153.45999999996275</v>
      </c>
      <c r="D254" s="202">
        <f ca="1">DATOSAÑO!P254</f>
        <v>305.05999999999767</v>
      </c>
      <c r="E254" s="202">
        <f ca="1">DATOSAÑO!Q254</f>
        <v>0</v>
      </c>
      <c r="F254" s="202">
        <f ca="1">DATOSAÑO!T254</f>
        <v>0</v>
      </c>
      <c r="G254" s="202">
        <f t="shared" ca="1" si="49"/>
        <v>458.51999999996042</v>
      </c>
      <c r="H254" s="202">
        <f ca="1">G254-SUM(I254:M254)</f>
        <v>37.153999999963901</v>
      </c>
      <c r="I254" s="202">
        <f t="shared" ca="1" si="61"/>
        <v>195.81466555478886</v>
      </c>
      <c r="J254" s="202">
        <f t="shared" ca="1" si="62"/>
        <v>41.276077553450328</v>
      </c>
      <c r="K254" s="202">
        <f t="shared" ca="1" si="63"/>
        <v>11.816857963565617</v>
      </c>
      <c r="L254" s="202">
        <f t="shared" ca="1" si="44"/>
        <v>166.23899999999608</v>
      </c>
      <c r="M254" s="202">
        <f t="shared" ca="1" si="64"/>
        <v>6.2193989281956057</v>
      </c>
      <c r="N254" s="202">
        <f t="shared" ca="1" si="51"/>
        <v>6</v>
      </c>
      <c r="O254" s="202">
        <f ca="1">(DATOSAÑO!AJ254+DATOSAÑO!AK254+DATOSAÑO!AD254)</f>
        <v>188.9070000000138</v>
      </c>
      <c r="P254" s="202">
        <f ca="1">DATOSAÑO!AI254</f>
        <v>39.819999999992433</v>
      </c>
      <c r="Q254" s="202">
        <f ca="1">DATOSAÑO!AH254</f>
        <v>11.399999999994179</v>
      </c>
      <c r="R254" s="202">
        <f ca="1">DATOSAÑO!AM254+DATOSAÑO!AN254+DATOSAÑO!AF254</f>
        <v>166.23899999999608</v>
      </c>
      <c r="S254" s="208">
        <f ca="1">IF(B254&gt;=$P$5,0,CONTADORES!Q256-CONTADORES!Q255)</f>
        <v>15</v>
      </c>
      <c r="T254" s="202">
        <f ca="1">IF(B254&gt;=$P$5,0,(CONTADORES!S256-CONTADORES!S255)+(CONTADORES!AE256-CONTADORES!AE255))</f>
        <v>3.3000000000000114</v>
      </c>
      <c r="U254" s="202">
        <f ca="1">IF(B254&gt;=$P$5,0,(CONTADORES!AQ256-CONTADORES!AQ255))</f>
        <v>6</v>
      </c>
      <c r="V254" s="202">
        <f ca="1">IF(B254&gt;=$P$5,0,(CONTADORES!AR256-CONTADORES!AR255))</f>
        <v>0</v>
      </c>
      <c r="W254" s="735">
        <v>0</v>
      </c>
      <c r="X254" s="202">
        <f ca="1">IF(W254=0,(T254-INICIO!$W$6),((T254-INICIO!$W$6)+V254))</f>
        <v>3.3000000000000114</v>
      </c>
      <c r="Y254" s="205">
        <f t="shared" ca="1" si="52"/>
        <v>9</v>
      </c>
      <c r="Z254" s="208">
        <f t="shared" ca="1" si="53"/>
        <v>6.9076655547750603</v>
      </c>
      <c r="AA254" s="202">
        <f t="shared" ca="1" si="54"/>
        <v>1.4560775534578949</v>
      </c>
      <c r="AB254" s="202">
        <f t="shared" ca="1" si="55"/>
        <v>0.41685796357143851</v>
      </c>
      <c r="AC254" s="205">
        <f t="shared" ca="1" si="50"/>
        <v>0.21939892819560597</v>
      </c>
    </row>
    <row r="255" spans="2:29">
      <c r="B255" s="220">
        <v>44806</v>
      </c>
      <c r="C255" s="208">
        <f ca="1">DATOSAÑO!I255</f>
        <v>147.04000000003725</v>
      </c>
      <c r="D255" s="202">
        <f ca="1">DATOSAÑO!P255</f>
        <v>293.87000000000262</v>
      </c>
      <c r="E255" s="202">
        <f ca="1">DATOSAÑO!Q255</f>
        <v>0</v>
      </c>
      <c r="F255" s="202">
        <f ca="1">DATOSAÑO!T255</f>
        <v>0</v>
      </c>
      <c r="G255" s="202">
        <f t="shared" ca="1" si="49"/>
        <v>440.91000000003987</v>
      </c>
      <c r="H255" s="202">
        <f t="shared" ref="H255:H283" ca="1" si="65">G255-SUM(I255:M255)</f>
        <v>33.479000000054043</v>
      </c>
      <c r="I255" s="202">
        <f t="shared" ca="1" si="61"/>
        <v>191.73981043311872</v>
      </c>
      <c r="J255" s="202">
        <f t="shared" ca="1" si="62"/>
        <v>39.285627499658247</v>
      </c>
      <c r="K255" s="202">
        <f t="shared" ca="1" si="63"/>
        <v>9.0299857132667292</v>
      </c>
      <c r="L255" s="202">
        <f t="shared" ca="1" si="44"/>
        <v>161.14799999996819</v>
      </c>
      <c r="M255" s="202">
        <f t="shared" ca="1" si="64"/>
        <v>6.2275763539739302</v>
      </c>
      <c r="N255" s="202">
        <f t="shared" ca="1" si="51"/>
        <v>6</v>
      </c>
      <c r="O255" s="202">
        <f ca="1">(DATOSAÑO!AJ255+DATOSAÑO!AK255+DATOSAÑO!AD255)</f>
        <v>184.73300000000745</v>
      </c>
      <c r="P255" s="202">
        <f ca="1">DATOSAÑO!AI255</f>
        <v>37.850000000005821</v>
      </c>
      <c r="Q255" s="202">
        <f ca="1">DATOSAÑO!AH255</f>
        <v>8.7000000000043656</v>
      </c>
      <c r="R255" s="202">
        <f ca="1">DATOSAÑO!AM255+DATOSAÑO!AN255+DATOSAÑO!AF255</f>
        <v>161.14799999996819</v>
      </c>
      <c r="S255" s="215">
        <f ca="1">IF(B255&gt;=$P$5,0,CONTADORES!Q257-CONTADORES!Q256)</f>
        <v>15</v>
      </c>
      <c r="T255" s="212">
        <f ca="1">IF(B255&gt;=$P$5,0,(CONTADORES!S257-CONTADORES!S256)+(CONTADORES!AE257-CONTADORES!AE256))</f>
        <v>3.2999999999999545</v>
      </c>
      <c r="U255" s="212">
        <f ca="1">IF(B255&gt;=$P$5,0,(CONTADORES!AQ257-CONTADORES!AQ256))</f>
        <v>6</v>
      </c>
      <c r="V255" s="212">
        <f ca="1">IF(B255&gt;=$P$5,0,(CONTADORES!AR257-CONTADORES!AR256))</f>
        <v>0</v>
      </c>
      <c r="W255" s="736">
        <v>0</v>
      </c>
      <c r="X255" s="212">
        <f ca="1">IF(W255=0,(T255-INICIO!$W$6),((T255-INICIO!$W$6)+V255))</f>
        <v>3.2999999999999545</v>
      </c>
      <c r="Y255" s="214">
        <f t="shared" ca="1" si="52"/>
        <v>9</v>
      </c>
      <c r="Z255" s="215">
        <f t="shared" ca="1" si="53"/>
        <v>7.0068104331112782</v>
      </c>
      <c r="AA255" s="212">
        <f t="shared" ca="1" si="54"/>
        <v>1.4356274996524279</v>
      </c>
      <c r="AB255" s="212">
        <f t="shared" ca="1" si="55"/>
        <v>0.32998571326236381</v>
      </c>
      <c r="AC255" s="214">
        <f t="shared" ca="1" si="50"/>
        <v>0.22757635397392981</v>
      </c>
    </row>
    <row r="256" spans="2:29">
      <c r="B256" s="220">
        <v>44807</v>
      </c>
      <c r="C256" s="208">
        <f ca="1">DATOSAÑO!I256</f>
        <v>152.26000000000931</v>
      </c>
      <c r="D256" s="202">
        <f ca="1">DATOSAÑO!P256</f>
        <v>291.16999999999825</v>
      </c>
      <c r="E256" s="202">
        <f ca="1">DATOSAÑO!Q256</f>
        <v>0</v>
      </c>
      <c r="F256" s="202">
        <f ca="1">DATOSAÑO!T256</f>
        <v>0</v>
      </c>
      <c r="G256" s="202">
        <f t="shared" ca="1" si="49"/>
        <v>443.43000000000757</v>
      </c>
      <c r="H256" s="202">
        <f t="shared" ca="1" si="65"/>
        <v>36.438000000004251</v>
      </c>
      <c r="I256" s="202">
        <f t="shared" ca="1" si="61"/>
        <v>189.40953052440494</v>
      </c>
      <c r="J256" s="202">
        <f t="shared" ca="1" si="62"/>
        <v>39.681437396155061</v>
      </c>
      <c r="K256" s="202">
        <f t="shared" ca="1" si="63"/>
        <v>10.426021386273645</v>
      </c>
      <c r="L256" s="202">
        <f t="shared" ca="1" si="44"/>
        <v>162.26200000003288</v>
      </c>
      <c r="M256" s="202">
        <f t="shared" ca="1" si="64"/>
        <v>5.2130106931368223</v>
      </c>
      <c r="N256" s="202">
        <f t="shared" ca="1" si="51"/>
        <v>5</v>
      </c>
      <c r="O256" s="202">
        <f ca="1">(DATOSAÑO!AJ256+DATOSAÑO!AK256+DATOSAÑO!AD256)</f>
        <v>181.66999999997279</v>
      </c>
      <c r="P256" s="202">
        <f ca="1">DATOSAÑO!AI256</f>
        <v>38.059999999997672</v>
      </c>
      <c r="Q256" s="202">
        <f ca="1">DATOSAÑO!AH256</f>
        <v>10</v>
      </c>
      <c r="R256" s="202">
        <f ca="1">DATOSAÑO!AM256+DATOSAÑO!AN256+DATOSAÑO!AF256</f>
        <v>162.26200000003288</v>
      </c>
      <c r="S256" s="215">
        <f ca="1">IF(B256&gt;=$P$5,0,CONTADORES!Q258-CONTADORES!Q257)</f>
        <v>15</v>
      </c>
      <c r="T256" s="212">
        <f ca="1">IF(B256&gt;=$P$5,0,(CONTADORES!S258-CONTADORES!S257)+(CONTADORES!AE258-CONTADORES!AE257))</f>
        <v>3.1000000000000227</v>
      </c>
      <c r="U256" s="212">
        <f ca="1">IF(B256&gt;=$P$5,0,(CONTADORES!AQ258-CONTADORES!AQ257))</f>
        <v>5</v>
      </c>
      <c r="V256" s="212">
        <f ca="1">IF(B256&gt;=$P$5,0,(CONTADORES!AR258-CONTADORES!AR257))</f>
        <v>0</v>
      </c>
      <c r="W256" s="736">
        <v>0</v>
      </c>
      <c r="X256" s="212">
        <f ca="1">IF(W256=0,(T256-INICIO!$W$6),((T256-INICIO!$W$6)+V256))</f>
        <v>3.1000000000000227</v>
      </c>
      <c r="Y256" s="214">
        <f t="shared" ca="1" si="52"/>
        <v>10</v>
      </c>
      <c r="Z256" s="215">
        <f t="shared" ca="1" si="53"/>
        <v>7.7395305244321415</v>
      </c>
      <c r="AA256" s="212">
        <f t="shared" ca="1" si="54"/>
        <v>1.621437396157392</v>
      </c>
      <c r="AB256" s="212">
        <f t="shared" ca="1" si="55"/>
        <v>0.42602138627364455</v>
      </c>
      <c r="AC256" s="214">
        <f t="shared" ca="1" si="50"/>
        <v>0.21301069313682228</v>
      </c>
    </row>
    <row r="257" spans="2:29">
      <c r="B257" s="220">
        <v>44808</v>
      </c>
      <c r="C257" s="208">
        <f ca="1">DATOSAÑO!I257</f>
        <v>158.18999999994412</v>
      </c>
      <c r="D257" s="202">
        <f ca="1">DATOSAÑO!P257</f>
        <v>286.94999999999709</v>
      </c>
      <c r="E257" s="202">
        <f ca="1">DATOSAÑO!Q257</f>
        <v>0.21299999999996544</v>
      </c>
      <c r="F257" s="202">
        <f ca="1">DATOSAÑO!T257</f>
        <v>0.34299999999996089</v>
      </c>
      <c r="G257" s="202">
        <f t="shared" ca="1" si="49"/>
        <v>445.69599999994114</v>
      </c>
      <c r="H257" s="202">
        <f t="shared" ca="1" si="65"/>
        <v>33.311999999946863</v>
      </c>
      <c r="I257" s="202">
        <f t="shared" ca="1" si="61"/>
        <v>189.63406746654039</v>
      </c>
      <c r="J257" s="202">
        <f t="shared" ca="1" si="62"/>
        <v>40.147235520257183</v>
      </c>
      <c r="K257" s="202">
        <f t="shared" ca="1" si="63"/>
        <v>11.697425541798554</v>
      </c>
      <c r="L257" s="202">
        <f t="shared" ca="1" si="44"/>
        <v>165.16099999997775</v>
      </c>
      <c r="M257" s="202">
        <f t="shared" ca="1" si="64"/>
        <v>5.7442714714204257</v>
      </c>
      <c r="N257" s="202">
        <f t="shared" ca="1" si="51"/>
        <v>5.5</v>
      </c>
      <c r="O257" s="202">
        <f ca="1">(DATOSAÑO!AJ257+DATOSAÑO!AK257+DATOSAÑO!AD257)</f>
        <v>181.57000000002881</v>
      </c>
      <c r="P257" s="202">
        <f ca="1">DATOSAÑO!AI257</f>
        <v>38.440000000002328</v>
      </c>
      <c r="Q257" s="202">
        <f ca="1">DATOSAÑO!AH257</f>
        <v>11.19999999999709</v>
      </c>
      <c r="R257" s="202">
        <f ca="1">DATOSAÑO!AM257+DATOSAÑO!AN257+DATOSAÑO!AF257</f>
        <v>165.16099999997775</v>
      </c>
      <c r="S257" s="215">
        <f ca="1">IF(B257&gt;=$P$5,0,CONTADORES!Q259-CONTADORES!Q258)</f>
        <v>15.799999999988358</v>
      </c>
      <c r="T257" s="212">
        <f ca="1">IF(B257&gt;=$P$5,0,(CONTADORES!S259-CONTADORES!S258)+(CONTADORES!AE259-CONTADORES!AE258))</f>
        <v>3.1999999999999886</v>
      </c>
      <c r="U257" s="212">
        <f ca="1">IF(B257&gt;=$P$5,0,(CONTADORES!AQ259-CONTADORES!AQ258))</f>
        <v>5.5</v>
      </c>
      <c r="V257" s="212">
        <f ca="1">IF(B257&gt;=$P$5,0,(CONTADORES!AR259-CONTADORES!AR258))</f>
        <v>0</v>
      </c>
      <c r="W257" s="736">
        <v>0</v>
      </c>
      <c r="X257" s="212">
        <f ca="1">IF(W257=0,(T257-INICIO!$W$6),((T257-INICIO!$W$6)+V257))</f>
        <v>3.1999999999999886</v>
      </c>
      <c r="Y257" s="214">
        <f t="shared" ca="1" si="52"/>
        <v>10.512999999988324</v>
      </c>
      <c r="Z257" s="215">
        <f t="shared" ca="1" si="53"/>
        <v>8.0640674665115775</v>
      </c>
      <c r="AA257" s="212">
        <f t="shared" ca="1" si="54"/>
        <v>1.7072355202548579</v>
      </c>
      <c r="AB257" s="212">
        <f t="shared" ca="1" si="55"/>
        <v>0.4974255418014642</v>
      </c>
      <c r="AC257" s="214">
        <f t="shared" ca="1" si="50"/>
        <v>0.24427147142042535</v>
      </c>
    </row>
    <row r="258" spans="2:29">
      <c r="B258" s="220">
        <v>44809</v>
      </c>
      <c r="C258" s="208">
        <f ca="1">DATOSAÑO!I258</f>
        <v>153.05000000004657</v>
      </c>
      <c r="D258" s="202">
        <f ca="1">DATOSAÑO!P258</f>
        <v>293.31999999999971</v>
      </c>
      <c r="E258" s="202">
        <f ca="1">DATOSAÑO!Q258</f>
        <v>0</v>
      </c>
      <c r="F258" s="202">
        <f ca="1">DATOSAÑO!T258</f>
        <v>0</v>
      </c>
      <c r="G258" s="202">
        <f t="shared" ca="1" si="49"/>
        <v>446.37000000004628</v>
      </c>
      <c r="H258" s="202">
        <f t="shared" ca="1" si="65"/>
        <v>141738.13300000006</v>
      </c>
      <c r="I258" s="202">
        <f t="shared" ca="1" si="61"/>
        <v>391.25292756800843</v>
      </c>
      <c r="J258" s="202">
        <f t="shared" ca="1" si="62"/>
        <v>81.7198445776298</v>
      </c>
      <c r="K258" s="202">
        <f t="shared" ca="1" si="63"/>
        <v>23.113992518661256</v>
      </c>
      <c r="L258" s="202">
        <f t="shared" ca="1" si="44"/>
        <v>163.3870000000021</v>
      </c>
      <c r="M258" s="202">
        <f t="shared" ca="1" si="64"/>
        <v>-141951.2367646643</v>
      </c>
      <c r="N258" s="202">
        <f t="shared" ca="1" si="51"/>
        <v>-65712.5</v>
      </c>
      <c r="O258" s="202">
        <f ca="1">(DATOSAÑO!AJ258+DATOSAÑO!AK258+DATOSAÑO!AD258)</f>
        <v>181.11999999997715</v>
      </c>
      <c r="P258" s="202">
        <f ca="1">DATOSAÑO!AI258</f>
        <v>37.830000000001746</v>
      </c>
      <c r="Q258" s="202">
        <f ca="1">DATOSAÑO!AH258</f>
        <v>10.700000000004366</v>
      </c>
      <c r="R258" s="202">
        <f ca="1">DATOSAÑO!AM258+DATOSAÑO!AN258+DATOSAÑO!AF258</f>
        <v>163.3870000000021</v>
      </c>
      <c r="S258" s="215">
        <f ca="1">IF(B258&gt;=$P$5,0,CONTADORES!Q260-CONTADORES!Q259)</f>
        <v>-141684.79999999999</v>
      </c>
      <c r="T258" s="212">
        <f ca="1">IF(B258&gt;=$P$5,0,(CONTADORES!S260-CONTADORES!S259)+(CONTADORES!AE260-CONTADORES!AE259))</f>
        <v>-14381.800000000001</v>
      </c>
      <c r="U258" s="212">
        <f ca="1">IF(B258&gt;=$P$5,0,(CONTADORES!AQ260-CONTADORES!AQ259))</f>
        <v>-65712.5</v>
      </c>
      <c r="V258" s="212">
        <f ca="1">IF(B258&gt;=$P$5,0,(CONTADORES!AR260-CONTADORES!AR259))</f>
        <v>0</v>
      </c>
      <c r="W258" s="736">
        <v>0</v>
      </c>
      <c r="X258" s="212">
        <f ca="1">IF(W258=0,(T258-INICIO!$W$6),((T258-INICIO!$W$6)+V258))</f>
        <v>-14381.800000000001</v>
      </c>
      <c r="Y258" s="214">
        <f t="shared" ca="1" si="52"/>
        <v>-75972.299999999988</v>
      </c>
      <c r="Z258" s="215">
        <f t="shared" ca="1" si="53"/>
        <v>210.13292756803131</v>
      </c>
      <c r="AA258" s="212">
        <f t="shared" ca="1" si="54"/>
        <v>43.889844577628061</v>
      </c>
      <c r="AB258" s="212">
        <f t="shared" ca="1" si="55"/>
        <v>12.41399251865689</v>
      </c>
      <c r="AC258" s="214">
        <f t="shared" ca="1" si="50"/>
        <v>-76238.736764664311</v>
      </c>
    </row>
    <row r="259" spans="2:29">
      <c r="B259" s="220">
        <v>44810</v>
      </c>
      <c r="C259" s="208">
        <f ca="1">DATOSAÑO!I259</f>
        <v>147.69999999995343</v>
      </c>
      <c r="D259" s="202">
        <f ca="1">DATOSAÑO!P259</f>
        <v>283.93000000000029</v>
      </c>
      <c r="E259" s="202">
        <f ca="1">DATOSAÑO!Q259</f>
        <v>0</v>
      </c>
      <c r="F259" s="202">
        <f ca="1">DATOSAÑO!T259</f>
        <v>0</v>
      </c>
      <c r="G259" s="202">
        <f t="shared" ca="1" si="49"/>
        <v>431.62999999995372</v>
      </c>
      <c r="H259" s="202">
        <f t="shared" ca="1" si="65"/>
        <v>-141634.49100000004</v>
      </c>
      <c r="I259" s="202">
        <f t="shared" ca="1" si="61"/>
        <v>385.5379849839702</v>
      </c>
      <c r="J259" s="202">
        <f t="shared" ca="1" si="62"/>
        <v>80.064830242851031</v>
      </c>
      <c r="K259" s="202">
        <f t="shared" ca="1" si="63"/>
        <v>7.1025252634698806</v>
      </c>
      <c r="L259" s="202">
        <f t="shared" ca="1" si="44"/>
        <v>161.6909999999987</v>
      </c>
      <c r="M259" s="202">
        <f t="shared" ca="1" si="64"/>
        <v>141431.72465950969</v>
      </c>
      <c r="N259" s="202">
        <f t="shared" ca="1" si="51"/>
        <v>65712.5</v>
      </c>
      <c r="O259" s="202">
        <f ca="1">(DATOSAÑO!AJ259+DATOSAÑO!AK259+DATOSAÑO!AD259)</f>
        <v>179.13000000000829</v>
      </c>
      <c r="P259" s="202">
        <f ca="1">DATOSAÑO!AI259</f>
        <v>37.19999999999709</v>
      </c>
      <c r="Q259" s="202">
        <f ca="1">DATOSAÑO!AH259</f>
        <v>3.2999999999956344</v>
      </c>
      <c r="R259" s="202">
        <f ca="1">DATOSAÑO!AM259+DATOSAÑO!AN259+DATOSAÑO!AF259</f>
        <v>161.6909999999987</v>
      </c>
      <c r="S259" s="215">
        <f ca="1">IF(B259&gt;=$P$5,0,CONTADORES!Q261-CONTADORES!Q260)</f>
        <v>141684.79999999999</v>
      </c>
      <c r="T259" s="212">
        <f ca="1">IF(B259&gt;=$P$5,0,(CONTADORES!S261-CONTADORES!S260)+(CONTADORES!AE261-CONTADORES!AE260))</f>
        <v>14381.800000000001</v>
      </c>
      <c r="U259" s="212">
        <f ca="1">IF(B259&gt;=$P$5,0,(CONTADORES!AQ261-CONTADORES!AQ260))</f>
        <v>65712.5</v>
      </c>
      <c r="V259" s="212">
        <f ca="1">IF(B259&gt;=$P$5,0,(CONTADORES!AR261-CONTADORES!AR260))</f>
        <v>0</v>
      </c>
      <c r="W259" s="736">
        <v>0</v>
      </c>
      <c r="X259" s="212">
        <f ca="1">IF(W259=0,(T259-INICIO!$W$6),((T259-INICIO!$W$6)+V259))</f>
        <v>14381.800000000001</v>
      </c>
      <c r="Y259" s="214">
        <f t="shared" ca="1" si="52"/>
        <v>75972.299999999988</v>
      </c>
      <c r="Z259" s="215">
        <f t="shared" ca="1" si="53"/>
        <v>206.40798498396194</v>
      </c>
      <c r="AA259" s="212">
        <f t="shared" ca="1" si="54"/>
        <v>42.864830242853948</v>
      </c>
      <c r="AB259" s="212">
        <f t="shared" ca="1" si="55"/>
        <v>3.8025252634742466</v>
      </c>
      <c r="AC259" s="214">
        <f t="shared" ca="1" si="50"/>
        <v>75719.224659509695</v>
      </c>
    </row>
    <row r="260" spans="2:29">
      <c r="B260" s="220">
        <v>44811</v>
      </c>
      <c r="C260" s="208">
        <f ca="1">DATOSAÑO!I260</f>
        <v>152</v>
      </c>
      <c r="D260" s="202">
        <f ca="1">DATOSAÑO!P260</f>
        <v>297.30000000000291</v>
      </c>
      <c r="E260" s="202">
        <f ca="1">DATOSAÑO!Q260</f>
        <v>0</v>
      </c>
      <c r="F260" s="202">
        <f ca="1">DATOSAÑO!T260</f>
        <v>0</v>
      </c>
      <c r="G260" s="202">
        <f t="shared" ca="1" si="49"/>
        <v>449.30000000000291</v>
      </c>
      <c r="H260" s="202">
        <f t="shared" ca="1" si="65"/>
        <v>37.160000000016169</v>
      </c>
      <c r="I260" s="202">
        <f t="shared" ca="1" si="61"/>
        <v>191.23578170679394</v>
      </c>
      <c r="J260" s="202">
        <f t="shared" ca="1" si="62"/>
        <v>38.337238376880101</v>
      </c>
      <c r="K260" s="202">
        <f t="shared" ca="1" si="63"/>
        <v>12.674332906019238</v>
      </c>
      <c r="L260" s="202">
        <f t="shared" ref="L260:L323" ca="1" si="66">R260</f>
        <v>164.55999999999955</v>
      </c>
      <c r="M260" s="202">
        <f t="shared" ca="1" si="64"/>
        <v>5.3326470102938952</v>
      </c>
      <c r="N260" s="202">
        <f t="shared" ca="1" si="51"/>
        <v>5.0910000000003492</v>
      </c>
      <c r="O260" s="202">
        <f ca="1">(DATOSAÑO!AJ260+DATOSAÑO!AK260+DATOSAÑO!AD260)</f>
        <v>182.56999999999971</v>
      </c>
      <c r="P260" s="202">
        <f ca="1">DATOSAÑO!AI260</f>
        <v>36.599999999991269</v>
      </c>
      <c r="Q260" s="202">
        <f ca="1">DATOSAÑO!AH260</f>
        <v>12.099999999998545</v>
      </c>
      <c r="R260" s="202">
        <f ca="1">DATOSAÑO!AM260+DATOSAÑO!AN260+DATOSAÑO!AF260</f>
        <v>164.55999999999955</v>
      </c>
      <c r="S260" s="215">
        <f ca="1">IF(B260&gt;=$P$5,0,CONTADORES!Q262-CONTADORES!Q261)</f>
        <v>16.309999999997672</v>
      </c>
      <c r="T260" s="212">
        <f ca="1">IF(B260&gt;=$P$5,0,(CONTADORES!S262-CONTADORES!S261)+(CONTADORES!AE262-CONTADORES!AE261))</f>
        <v>3.0799999999999841</v>
      </c>
      <c r="U260" s="212">
        <f ca="1">IF(B260&gt;=$P$5,0,(CONTADORES!AQ262-CONTADORES!AQ261))</f>
        <v>5.0910000000003492</v>
      </c>
      <c r="V260" s="212">
        <f ca="1">IF(B260&gt;=$P$5,0,(CONTADORES!AR262-CONTADORES!AR261))</f>
        <v>0</v>
      </c>
      <c r="W260" s="736">
        <v>0</v>
      </c>
      <c r="X260" s="212">
        <f ca="1">IF(W260=0,(T260-INICIO!$W$6),((T260-INICIO!$W$6)+V260))</f>
        <v>3.0799999999999841</v>
      </c>
      <c r="Y260" s="214">
        <f t="shared" ca="1" si="52"/>
        <v>11.218999999997322</v>
      </c>
      <c r="Z260" s="215">
        <f t="shared" ca="1" si="53"/>
        <v>8.6657817067942489</v>
      </c>
      <c r="AA260" s="212">
        <f t="shared" ca="1" si="54"/>
        <v>1.7372383768888338</v>
      </c>
      <c r="AB260" s="212">
        <f t="shared" ca="1" si="55"/>
        <v>0.57433290602069331</v>
      </c>
      <c r="AC260" s="214">
        <f t="shared" ca="1" si="50"/>
        <v>0.24164701029354563</v>
      </c>
    </row>
    <row r="261" spans="2:29">
      <c r="B261" s="220">
        <v>44812</v>
      </c>
      <c r="C261" s="208">
        <f ca="1">DATOSAÑO!I261</f>
        <v>148</v>
      </c>
      <c r="D261" s="202">
        <f ca="1">DATOSAÑO!P261</f>
        <v>286</v>
      </c>
      <c r="E261" s="202">
        <f ca="1">DATOSAÑO!Q261</f>
        <v>0.3569999999999709</v>
      </c>
      <c r="F261" s="202">
        <f ca="1">DATOSAÑO!T261</f>
        <v>0</v>
      </c>
      <c r="G261" s="202">
        <f t="shared" ca="1" si="49"/>
        <v>434.35699999999997</v>
      </c>
      <c r="H261" s="202">
        <f t="shared" ca="1" si="65"/>
        <v>35.44299999998924</v>
      </c>
      <c r="I261" s="202">
        <f t="shared" ca="1" si="61"/>
        <v>184.75082287087304</v>
      </c>
      <c r="J261" s="202">
        <f t="shared" ca="1" si="62"/>
        <v>37.851899577977875</v>
      </c>
      <c r="K261" s="202">
        <f t="shared" ca="1" si="63"/>
        <v>10.065879112146092</v>
      </c>
      <c r="L261" s="202">
        <f t="shared" ca="1" si="66"/>
        <v>161.39699999999999</v>
      </c>
      <c r="M261" s="202">
        <f t="shared" ca="1" si="64"/>
        <v>4.8483984390137413</v>
      </c>
      <c r="N261" s="202">
        <f t="shared" ca="1" si="51"/>
        <v>4.6239999999961583</v>
      </c>
      <c r="O261" s="202">
        <f ca="1">(DATOSAÑO!AJ261+DATOSAÑO!AK261+DATOSAÑO!AD261)</f>
        <v>176.19999999999709</v>
      </c>
      <c r="P261" s="202">
        <f ca="1">DATOSAÑO!AI261</f>
        <v>36.100000000005821</v>
      </c>
      <c r="Q261" s="202">
        <f ca="1">DATOSAÑO!AH261</f>
        <v>9.5999999999985448</v>
      </c>
      <c r="R261" s="202">
        <f ca="1">DATOSAÑO!AM261+DATOSAÑO!AN261+DATOSAÑO!AF261</f>
        <v>161.39699999999999</v>
      </c>
      <c r="S261" s="215">
        <f ca="1">IF(B261&gt;=$P$5,0,CONTADORES!Q263-CONTADORES!Q262)</f>
        <v>15.260000000009313</v>
      </c>
      <c r="T261" s="212">
        <f ca="1">IF(B261&gt;=$P$5,0,(CONTADORES!S263-CONTADORES!S262)+(CONTADORES!AE263-CONTADORES!AE262))</f>
        <v>2.8100000000000023</v>
      </c>
      <c r="U261" s="212">
        <f ca="1">IF(B261&gt;=$P$5,0,(CONTADORES!AQ263-CONTADORES!AQ262))</f>
        <v>4.6239999999961583</v>
      </c>
      <c r="V261" s="212">
        <f ca="1">IF(B261&gt;=$P$5,0,(CONTADORES!AR263-CONTADORES!AR262))</f>
        <v>0</v>
      </c>
      <c r="W261" s="736">
        <v>0</v>
      </c>
      <c r="X261" s="212">
        <f ca="1">IF(W261=0,(T261-INICIO!$W$6),((T261-INICIO!$W$6)+V261))</f>
        <v>2.8100000000000023</v>
      </c>
      <c r="Y261" s="214">
        <f t="shared" ca="1" si="52"/>
        <v>10.993000000013126</v>
      </c>
      <c r="Z261" s="215">
        <f t="shared" ca="1" si="53"/>
        <v>8.5508228708759386</v>
      </c>
      <c r="AA261" s="212">
        <f t="shared" ca="1" si="54"/>
        <v>1.7518995779720559</v>
      </c>
      <c r="AB261" s="212">
        <f t="shared" ca="1" si="55"/>
        <v>0.46587911214754785</v>
      </c>
      <c r="AC261" s="214">
        <f t="shared" ca="1" si="50"/>
        <v>0.22439843901758311</v>
      </c>
    </row>
    <row r="262" spans="2:29">
      <c r="B262" s="220">
        <v>44813</v>
      </c>
      <c r="C262" s="208">
        <f ca="1">DATOSAÑO!I262</f>
        <v>150</v>
      </c>
      <c r="D262" s="202">
        <f ca="1">DATOSAÑO!P262</f>
        <v>296</v>
      </c>
      <c r="E262" s="202">
        <f ca="1">DATOSAÑO!Q262</f>
        <v>0</v>
      </c>
      <c r="F262" s="202">
        <f ca="1">DATOSAÑO!T262</f>
        <v>0</v>
      </c>
      <c r="G262" s="202">
        <f t="shared" ca="1" si="49"/>
        <v>446</v>
      </c>
      <c r="H262" s="202">
        <f t="shared" ca="1" si="65"/>
        <v>33.278999999994141</v>
      </c>
      <c r="I262" s="202">
        <f t="shared" ca="1" si="61"/>
        <v>192.69197520211816</v>
      </c>
      <c r="J262" s="202">
        <f t="shared" ca="1" si="62"/>
        <v>40.043964461430114</v>
      </c>
      <c r="K262" s="202">
        <f t="shared" ca="1" si="63"/>
        <v>10.664450065449895</v>
      </c>
      <c r="L262" s="202">
        <f t="shared" ca="1" si="66"/>
        <v>164.30100000000036</v>
      </c>
      <c r="M262" s="202">
        <f t="shared" ca="1" si="64"/>
        <v>5.0196102710073562</v>
      </c>
      <c r="N262" s="202">
        <f t="shared" ca="1" si="51"/>
        <v>4.8010000000067521</v>
      </c>
      <c r="O262" s="202">
        <f ca="1">(DATOSAÑO!AJ262+DATOSAÑO!AK262+DATOSAÑO!AD262)</f>
        <v>184.30000000000291</v>
      </c>
      <c r="P262" s="202">
        <f ca="1">DATOSAÑO!AI262</f>
        <v>38.30000000000291</v>
      </c>
      <c r="Q262" s="202">
        <f ca="1">DATOSAÑO!AH262</f>
        <v>10.200000000004366</v>
      </c>
      <c r="R262" s="202">
        <f ca="1">DATOSAÑO!AM262+DATOSAÑO!AN262+DATOSAÑO!AF262</f>
        <v>164.30100000000036</v>
      </c>
      <c r="S262" s="215">
        <f ca="1">IF(B262&gt;=$P$5,0,CONTADORES!Q264-CONTADORES!Q263)</f>
        <v>15.619999999995343</v>
      </c>
      <c r="T262" s="212">
        <f ca="1">IF(B262&gt;=$P$5,0,(CONTADORES!S264-CONTADORES!S263)+(CONTADORES!AE264-CONTADORES!AE263))</f>
        <v>2.8400000000000318</v>
      </c>
      <c r="U262" s="212">
        <f ca="1">IF(B262&gt;=$P$5,0,(CONTADORES!AQ264-CONTADORES!AQ263))</f>
        <v>4.8010000000067521</v>
      </c>
      <c r="V262" s="212">
        <f ca="1">IF(B262&gt;=$P$5,0,(CONTADORES!AR264-CONTADORES!AR263))</f>
        <v>0</v>
      </c>
      <c r="W262" s="736">
        <v>0</v>
      </c>
      <c r="X262" s="212">
        <f ca="1">IF(W262=0,(T262-INICIO!$W$6),((T262-INICIO!$W$6)+V262))</f>
        <v>2.8400000000000318</v>
      </c>
      <c r="Y262" s="214">
        <f t="shared" ca="1" si="52"/>
        <v>10.818999999988591</v>
      </c>
      <c r="Z262" s="215">
        <f t="shared" ca="1" si="53"/>
        <v>8.3919752021152547</v>
      </c>
      <c r="AA262" s="212">
        <f t="shared" ca="1" si="54"/>
        <v>1.7439644614272036</v>
      </c>
      <c r="AB262" s="212">
        <f t="shared" ca="1" si="55"/>
        <v>0.46445006544552836</v>
      </c>
      <c r="AC262" s="214">
        <f t="shared" ca="1" si="50"/>
        <v>0.21861027100060426</v>
      </c>
    </row>
    <row r="263" spans="2:29">
      <c r="B263" s="220">
        <v>44814</v>
      </c>
      <c r="C263" s="208">
        <f ca="1">DATOSAÑO!I263</f>
        <v>151</v>
      </c>
      <c r="D263" s="202">
        <f ca="1">DATOSAÑO!P263</f>
        <v>289</v>
      </c>
      <c r="E263" s="202">
        <f ca="1">DATOSAÑO!Q263</f>
        <v>0.1009999999998854</v>
      </c>
      <c r="F263" s="202">
        <f ca="1">DATOSAÑO!T263</f>
        <v>0</v>
      </c>
      <c r="G263" s="202">
        <f t="shared" ca="1" si="49"/>
        <v>440.10099999999989</v>
      </c>
      <c r="H263" s="202">
        <f t="shared" ca="1" si="65"/>
        <v>36.815000000001987</v>
      </c>
      <c r="I263" s="202">
        <f t="shared" ca="1" si="61"/>
        <v>188.73161790946412</v>
      </c>
      <c r="J263" s="202">
        <f t="shared" ca="1" si="62"/>
        <v>38.331214041377393</v>
      </c>
      <c r="K263" s="202">
        <f t="shared" ca="1" si="63"/>
        <v>7.5200201934012965</v>
      </c>
      <c r="L263" s="202">
        <f t="shared" ca="1" si="66"/>
        <v>163.29499999999854</v>
      </c>
      <c r="M263" s="202">
        <f t="shared" ca="1" si="64"/>
        <v>5.4081478557564964</v>
      </c>
      <c r="N263" s="202">
        <f t="shared" ca="1" si="51"/>
        <v>5.1779999999998836</v>
      </c>
      <c r="O263" s="202">
        <f ca="1">(DATOSAÑO!AJ263+DATOSAÑO!AK263+DATOSAÑO!AD263)</f>
        <v>180.69999999999709</v>
      </c>
      <c r="P263" s="202">
        <f ca="1">DATOSAÑO!AI263</f>
        <v>36.69999999999709</v>
      </c>
      <c r="Q263" s="202">
        <f ca="1">DATOSAÑO!AH263</f>
        <v>7.1999999999970896</v>
      </c>
      <c r="R263" s="202">
        <f ca="1">DATOSAÑO!AM263+DATOSAÑO!AN263+DATOSAÑO!AF263</f>
        <v>163.29499999999854</v>
      </c>
      <c r="S263" s="215">
        <f ca="1">IF(B263&gt;=$P$5,0,CONTADORES!Q265-CONTADORES!Q264)</f>
        <v>15.290000000008149</v>
      </c>
      <c r="T263" s="212">
        <f ca="1">IF(B263&gt;=$P$5,0,(CONTADORES!S265-CONTADORES!S264)+(CONTADORES!AE265-CONTADORES!AE264))</f>
        <v>3.1599999999999682</v>
      </c>
      <c r="U263" s="212">
        <f ca="1">IF(B263&gt;=$P$5,0,(CONTADORES!AQ265-CONTADORES!AQ264))</f>
        <v>5.1779999999998836</v>
      </c>
      <c r="V263" s="212">
        <f ca="1">IF(B263&gt;=$P$5,0,(CONTADORES!AR265-CONTADORES!AR264))</f>
        <v>0</v>
      </c>
      <c r="W263" s="736">
        <v>0</v>
      </c>
      <c r="X263" s="212">
        <f ca="1">IF(W263=0,(T263-INICIO!$W$6),((T263-INICIO!$W$6)+V263))</f>
        <v>3.1599999999999682</v>
      </c>
      <c r="Y263" s="214">
        <f t="shared" ca="1" si="52"/>
        <v>10.213000000008151</v>
      </c>
      <c r="Z263" s="215">
        <f t="shared" ca="1" si="53"/>
        <v>8.031617909467025</v>
      </c>
      <c r="AA263" s="212">
        <f t="shared" ca="1" si="54"/>
        <v>1.6312140413803056</v>
      </c>
      <c r="AB263" s="212">
        <f t="shared" ca="1" si="55"/>
        <v>0.32002019340420668</v>
      </c>
      <c r="AC263" s="214">
        <f t="shared" ca="1" si="50"/>
        <v>0.23014785575661315</v>
      </c>
    </row>
    <row r="264" spans="2:29">
      <c r="B264" s="220">
        <v>44815</v>
      </c>
      <c r="C264" s="208">
        <f ca="1">DATOSAÑO!I264</f>
        <v>148</v>
      </c>
      <c r="D264" s="202">
        <f ca="1">DATOSAÑO!P264</f>
        <v>302</v>
      </c>
      <c r="E264" s="202">
        <f ca="1">DATOSAÑO!Q264</f>
        <v>0.44000000000005457</v>
      </c>
      <c r="F264" s="202">
        <f ca="1">DATOSAÑO!T264</f>
        <v>0</v>
      </c>
      <c r="G264" s="202">
        <f t="shared" ca="1" si="49"/>
        <v>450.44000000000005</v>
      </c>
      <c r="H264" s="202">
        <f t="shared" ca="1" si="65"/>
        <v>34.947999999997364</v>
      </c>
      <c r="I264" s="202">
        <f t="shared" ca="1" si="61"/>
        <v>190.88677127268701</v>
      </c>
      <c r="J264" s="202">
        <f t="shared" ca="1" si="62"/>
        <v>39.217609138854201</v>
      </c>
      <c r="K264" s="202">
        <f t="shared" ca="1" si="63"/>
        <v>16.33200168382572</v>
      </c>
      <c r="L264" s="202">
        <f t="shared" ca="1" si="66"/>
        <v>163.43199999999999</v>
      </c>
      <c r="M264" s="202">
        <f t="shared" ca="1" si="64"/>
        <v>5.6236179046357337</v>
      </c>
      <c r="N264" s="202">
        <f t="shared" ca="1" si="51"/>
        <v>5.4060000000026776</v>
      </c>
      <c r="O264" s="202">
        <f ca="1">(DATOSAÑO!AJ264+DATOSAÑO!AK264+DATOSAÑO!AD264)</f>
        <v>183.5</v>
      </c>
      <c r="P264" s="202">
        <f ca="1">DATOSAÑO!AI264</f>
        <v>37.69999999999709</v>
      </c>
      <c r="Q264" s="202">
        <f ca="1">DATOSAÑO!AH264</f>
        <v>15.700000000004366</v>
      </c>
      <c r="R264" s="202">
        <f ca="1">DATOSAÑO!AM264+DATOSAÑO!AN264+DATOSAÑO!AF264</f>
        <v>163.43199999999999</v>
      </c>
      <c r="S264" s="215">
        <f ca="1">IF(B264&gt;=$P$5,0,CONTADORES!Q266-CONTADORES!Q265)</f>
        <v>14.720000000001164</v>
      </c>
      <c r="T264" s="212">
        <f ca="1">IF(B264&gt;=$P$5,0,(CONTADORES!S266-CONTADORES!S265)+(CONTADORES!AE266-CONTADORES!AE265))</f>
        <v>3.3300000000000409</v>
      </c>
      <c r="U264" s="212">
        <f ca="1">IF(B264&gt;=$P$5,0,(CONTADORES!AQ266-CONTADORES!AQ265))</f>
        <v>5.4060000000026776</v>
      </c>
      <c r="V264" s="212">
        <f ca="1">IF(B264&gt;=$P$5,0,(CONTADORES!AR266-CONTADORES!AR265))</f>
        <v>0</v>
      </c>
      <c r="W264" s="736">
        <v>0</v>
      </c>
      <c r="X264" s="212">
        <f ca="1">IF(W264=0,(T264-INICIO!$W$6),((T264-INICIO!$W$6)+V264))</f>
        <v>3.3300000000000409</v>
      </c>
      <c r="Y264" s="214">
        <f t="shared" ca="1" si="52"/>
        <v>9.7539999999985412</v>
      </c>
      <c r="Z264" s="215">
        <f t="shared" ca="1" si="53"/>
        <v>7.3867712726870227</v>
      </c>
      <c r="AA264" s="212">
        <f t="shared" ca="1" si="54"/>
        <v>1.5176091388571076</v>
      </c>
      <c r="AB264" s="212">
        <f t="shared" ca="1" si="55"/>
        <v>0.63200168382135424</v>
      </c>
      <c r="AC264" s="214">
        <f t="shared" ca="1" si="50"/>
        <v>0.21761790463305625</v>
      </c>
    </row>
    <row r="265" spans="2:29">
      <c r="B265" s="220">
        <v>44816</v>
      </c>
      <c r="C265" s="208">
        <f ca="1">DATOSAÑO!I265</f>
        <v>150</v>
      </c>
      <c r="D265" s="202">
        <f ca="1">DATOSAÑO!P265</f>
        <v>293</v>
      </c>
      <c r="E265" s="202">
        <f ca="1">DATOSAÑO!Q265</f>
        <v>0.16100000000005821</v>
      </c>
      <c r="F265" s="202">
        <f ca="1">DATOSAÑO!T265</f>
        <v>0.41800000000000637</v>
      </c>
      <c r="G265" s="202">
        <f t="shared" ca="1" si="49"/>
        <v>443.57900000000006</v>
      </c>
      <c r="H265" s="202">
        <f t="shared" ca="1" si="65"/>
        <v>31.839999999997474</v>
      </c>
      <c r="I265" s="202">
        <f t="shared" ca="1" si="61"/>
        <v>195.05027777778491</v>
      </c>
      <c r="J265" s="202">
        <f t="shared" ca="1" si="62"/>
        <v>41.736564814819396</v>
      </c>
      <c r="K265" s="202">
        <f t="shared" ca="1" si="63"/>
        <v>7.5503333333324658</v>
      </c>
      <c r="L265" s="202">
        <f t="shared" ca="1" si="66"/>
        <v>162.57800000000071</v>
      </c>
      <c r="M265" s="202">
        <f t="shared" ca="1" si="64"/>
        <v>4.8238240740650946</v>
      </c>
      <c r="N265" s="202">
        <f t="shared" ca="1" si="51"/>
        <v>4.5999999999912689</v>
      </c>
      <c r="O265" s="202">
        <f ca="1">(DATOSAÑO!AJ265+DATOSAÑO!AK265+DATOSAÑO!AD265)</f>
        <v>186</v>
      </c>
      <c r="P265" s="202">
        <f ca="1">DATOSAÑO!AI265</f>
        <v>39.80000000000291</v>
      </c>
      <c r="Q265" s="202">
        <f ca="1">DATOSAÑO!AH265</f>
        <v>7.1999999999989086</v>
      </c>
      <c r="R265" s="202">
        <f ca="1">DATOSAÑO!AM265+DATOSAÑO!AN265+DATOSAÑO!AF265</f>
        <v>162.57800000000071</v>
      </c>
      <c r="S265" s="215">
        <f ca="1">IF(B265&gt;=$P$5,0,CONTADORES!Q267-CONTADORES!Q266)</f>
        <v>16</v>
      </c>
      <c r="T265" s="212">
        <f ca="1">IF(B265&gt;=$P$5,0,(CONTADORES!S267-CONTADORES!S266)+(CONTADORES!AE267-CONTADORES!AE266))</f>
        <v>3.3000000000000114</v>
      </c>
      <c r="U265" s="212">
        <f ca="1">IF(B265&gt;=$P$5,0,(CONTADORES!AQ267-CONTADORES!AQ266))</f>
        <v>4.5999999999912689</v>
      </c>
      <c r="V265" s="212">
        <f ca="1">IF(B265&gt;=$P$5,0,(CONTADORES!AR267-CONTADORES!AR266))</f>
        <v>0</v>
      </c>
      <c r="W265" s="736">
        <v>0</v>
      </c>
      <c r="X265" s="212">
        <f ca="1">IF(W265=0,(T265-INICIO!$W$6),((T265-INICIO!$W$6)+V265))</f>
        <v>3.3000000000000114</v>
      </c>
      <c r="Y265" s="214">
        <f t="shared" ca="1" si="52"/>
        <v>11.561000000008789</v>
      </c>
      <c r="Z265" s="215">
        <f t="shared" ca="1" si="53"/>
        <v>9.0502777777849222</v>
      </c>
      <c r="AA265" s="212">
        <f t="shared" ca="1" si="54"/>
        <v>1.9365648148164849</v>
      </c>
      <c r="AB265" s="212">
        <f t="shared" ca="1" si="55"/>
        <v>0.35033333333355682</v>
      </c>
      <c r="AC265" s="214">
        <f t="shared" ca="1" si="50"/>
        <v>0.2238240740738259</v>
      </c>
    </row>
    <row r="266" spans="2:29">
      <c r="B266" s="220">
        <v>44817</v>
      </c>
      <c r="C266" s="208">
        <f ca="1">DATOSAÑO!I266</f>
        <v>150</v>
      </c>
      <c r="D266" s="202">
        <f ca="1">DATOSAÑO!P266</f>
        <v>306</v>
      </c>
      <c r="E266" s="202">
        <f ca="1">DATOSAÑO!Q266</f>
        <v>0</v>
      </c>
      <c r="F266" s="202">
        <f ca="1">DATOSAÑO!T266</f>
        <v>0</v>
      </c>
      <c r="G266" s="202">
        <f t="shared" ca="1" si="49"/>
        <v>456</v>
      </c>
      <c r="H266" s="202">
        <f t="shared" ca="1" si="65"/>
        <v>38.316000000010945</v>
      </c>
      <c r="I266" s="202">
        <f t="shared" ca="1" si="61"/>
        <v>193.2177795985202</v>
      </c>
      <c r="J266" s="202">
        <f t="shared" ca="1" si="62"/>
        <v>41.403809913963222</v>
      </c>
      <c r="K266" s="202">
        <f t="shared" ca="1" si="63"/>
        <v>12.65981155263921</v>
      </c>
      <c r="L266" s="202">
        <f t="shared" ca="1" si="66"/>
        <v>164.38400000000073</v>
      </c>
      <c r="M266" s="202">
        <f t="shared" ca="1" si="64"/>
        <v>6.0185989348657198</v>
      </c>
      <c r="N266" s="202">
        <f t="shared" ca="1" si="51"/>
        <v>5.8000000000029104</v>
      </c>
      <c r="O266" s="202">
        <f ca="1">(DATOSAÑO!AJ266+DATOSAÑO!AK266+DATOSAÑO!AD266)</f>
        <v>186.19999999999709</v>
      </c>
      <c r="P266" s="202">
        <f ca="1">DATOSAÑO!AI266</f>
        <v>39.899999999994179</v>
      </c>
      <c r="Q266" s="202">
        <f ca="1">DATOSAÑO!AH266</f>
        <v>12.19999999999709</v>
      </c>
      <c r="R266" s="202">
        <f ca="1">DATOSAÑO!AM266+DATOSAÑO!AN266+DATOSAÑO!AF266</f>
        <v>164.38400000000073</v>
      </c>
      <c r="S266" s="215">
        <f ca="1">IF(B266&gt;=$P$5,0,CONTADORES!Q268-CONTADORES!Q267)</f>
        <v>15</v>
      </c>
      <c r="T266" s="212">
        <f ca="1">IF(B266&gt;=$P$5,0,(CONTADORES!S268-CONTADORES!S267)+(CONTADORES!AE268-CONTADORES!AE267))</f>
        <v>3.3799999999999955</v>
      </c>
      <c r="U266" s="212">
        <f ca="1">IF(B266&gt;=$P$5,0,(CONTADORES!AQ268-CONTADORES!AQ267))</f>
        <v>5.8000000000029104</v>
      </c>
      <c r="V266" s="212">
        <f ca="1">IF(B266&gt;=$P$5,0,(CONTADORES!AR268-CONTADORES!AR267))</f>
        <v>0</v>
      </c>
      <c r="W266" s="736">
        <v>0</v>
      </c>
      <c r="X266" s="212">
        <f ca="1">IF(W266=0,(T266-INICIO!$W$6),((T266-INICIO!$W$6)+V266))</f>
        <v>3.3799999999999955</v>
      </c>
      <c r="Y266" s="214">
        <f t="shared" ca="1" si="52"/>
        <v>9.1999999999970896</v>
      </c>
      <c r="Z266" s="215">
        <f t="shared" ca="1" si="53"/>
        <v>7.0177795985231155</v>
      </c>
      <c r="AA266" s="212">
        <f t="shared" ca="1" si="54"/>
        <v>1.5038099139690431</v>
      </c>
      <c r="AB266" s="212">
        <f t="shared" ca="1" si="55"/>
        <v>0.45981155264212098</v>
      </c>
      <c r="AC266" s="214">
        <f t="shared" ca="1" si="50"/>
        <v>0.21859893486280954</v>
      </c>
    </row>
    <row r="267" spans="2:29">
      <c r="B267" s="220">
        <v>44818</v>
      </c>
      <c r="C267" s="208">
        <f ca="1">DATOSAÑO!I267</f>
        <v>149</v>
      </c>
      <c r="D267" s="202">
        <f ca="1">DATOSAÑO!P267</f>
        <v>302</v>
      </c>
      <c r="E267" s="202">
        <f ca="1">DATOSAÑO!Q267</f>
        <v>0</v>
      </c>
      <c r="F267" s="202">
        <f ca="1">DATOSAÑO!T267</f>
        <v>0.17300000000000182</v>
      </c>
      <c r="G267" s="202">
        <f t="shared" ref="G267:G330" ca="1" si="67">SUM(C267:F267)</f>
        <v>451.173</v>
      </c>
      <c r="H267" s="202">
        <f t="shared" ca="1" si="65"/>
        <v>34.314999999990562</v>
      </c>
      <c r="I267" s="202">
        <f t="shared" ca="1" si="61"/>
        <v>192.07700205338782</v>
      </c>
      <c r="J267" s="202">
        <f t="shared" ca="1" si="62"/>
        <v>40.185215605755488</v>
      </c>
      <c r="K267" s="202">
        <f t="shared" ca="1" si="63"/>
        <v>16.0324435318309</v>
      </c>
      <c r="L267" s="202">
        <f t="shared" ca="1" si="66"/>
        <v>163.35800000000037</v>
      </c>
      <c r="M267" s="202">
        <f t="shared" ca="1" si="64"/>
        <v>5.2053388090348998</v>
      </c>
      <c r="N267" s="202">
        <f t="shared" ca="1" si="51"/>
        <v>5</v>
      </c>
      <c r="O267" s="202">
        <f ca="1">(DATOSAÑO!AJ267+DATOSAÑO!AK267+DATOSAÑO!AD267)</f>
        <v>184.5</v>
      </c>
      <c r="P267" s="202">
        <f ca="1">DATOSAÑO!AI267</f>
        <v>38.600000000005821</v>
      </c>
      <c r="Q267" s="202">
        <f ca="1">DATOSAÑO!AH267</f>
        <v>15.400000000003274</v>
      </c>
      <c r="R267" s="202">
        <f ca="1">DATOSAÑO!AM267+DATOSAÑO!AN267+DATOSAÑO!AF267</f>
        <v>163.35800000000037</v>
      </c>
      <c r="S267" s="215">
        <f ca="1">IF(B267&gt;=$P$5,0,CONTADORES!Q269-CONTADORES!Q268)</f>
        <v>15</v>
      </c>
      <c r="T267" s="212">
        <f ca="1">IF(B267&gt;=$P$5,0,(CONTADORES!S269-CONTADORES!S268)+(CONTADORES!AE269-CONTADORES!AE268))</f>
        <v>3.0999999999999659</v>
      </c>
      <c r="U267" s="212">
        <f ca="1">IF(B267&gt;=$P$5,0,(CONTADORES!AQ269-CONTADORES!AQ268))</f>
        <v>5</v>
      </c>
      <c r="V267" s="212">
        <f ca="1">IF(B267&gt;=$P$5,0,(CONTADORES!AR269-CONTADORES!AR268))</f>
        <v>0</v>
      </c>
      <c r="W267" s="736">
        <v>0</v>
      </c>
      <c r="X267" s="212">
        <f ca="1">IF(W267=0,(T267-INICIO!$W$6),((T267-INICIO!$W$6)+V267))</f>
        <v>3.0999999999999659</v>
      </c>
      <c r="Y267" s="214">
        <f t="shared" ca="1" si="52"/>
        <v>10</v>
      </c>
      <c r="Z267" s="215">
        <f t="shared" ca="1" si="53"/>
        <v>7.5770020533878073</v>
      </c>
      <c r="AA267" s="212">
        <f t="shared" ca="1" si="54"/>
        <v>1.5852156057496665</v>
      </c>
      <c r="AB267" s="212">
        <f t="shared" ca="1" si="55"/>
        <v>0.63244353182762625</v>
      </c>
      <c r="AC267" s="214">
        <f t="shared" ref="AC267:AC330" ca="1" si="68">IF(B267&gt;=$P$5,0,($Y267*N267)/SUM($N267:$Q267))</f>
        <v>0.20533880903489993</v>
      </c>
    </row>
    <row r="268" spans="2:29">
      <c r="B268" s="220">
        <v>44819</v>
      </c>
      <c r="C268" s="208">
        <f ca="1">DATOSAÑO!I268</f>
        <v>150</v>
      </c>
      <c r="D268" s="202">
        <f ca="1">DATOSAÑO!P268</f>
        <v>298</v>
      </c>
      <c r="E268" s="202">
        <f ca="1">DATOSAÑO!Q268</f>
        <v>0</v>
      </c>
      <c r="F268" s="202">
        <f ca="1">DATOSAÑO!T268</f>
        <v>0</v>
      </c>
      <c r="G268" s="202">
        <f t="shared" ca="1" si="67"/>
        <v>448</v>
      </c>
      <c r="H268" s="202">
        <f t="shared" ca="1" si="65"/>
        <v>38.716000000003987</v>
      </c>
      <c r="I268" s="202">
        <f t="shared" ca="1" si="61"/>
        <v>192.51964436917572</v>
      </c>
      <c r="J268" s="202">
        <f t="shared" ca="1" si="62"/>
        <v>40.963844199833709</v>
      </c>
      <c r="K268" s="202">
        <f t="shared" ca="1" si="63"/>
        <v>7.5048264182865552</v>
      </c>
      <c r="L268" s="202">
        <f t="shared" ca="1" si="66"/>
        <v>163.08399999999892</v>
      </c>
      <c r="M268" s="202">
        <f t="shared" ca="1" si="64"/>
        <v>5.2116850127011034</v>
      </c>
      <c r="N268" s="202">
        <f t="shared" ref="N268:N331" ca="1" si="69">U268</f>
        <v>5</v>
      </c>
      <c r="O268" s="202">
        <f ca="1">(DATOSAÑO!AJ268+DATOSAÑO!AK268+DATOSAÑO!AD268)</f>
        <v>184.69999999999709</v>
      </c>
      <c r="P268" s="202">
        <f ca="1">DATOSAÑO!AI268</f>
        <v>39.30000000000291</v>
      </c>
      <c r="Q268" s="202">
        <f ca="1">DATOSAÑO!AH268</f>
        <v>7.1999999999970896</v>
      </c>
      <c r="R268" s="202">
        <f ca="1">DATOSAÑO!AM268+DATOSAÑO!AN268+DATOSAÑO!AF268</f>
        <v>163.08399999999892</v>
      </c>
      <c r="S268" s="215">
        <f ca="1">IF(B268&gt;=$P$5,0,CONTADORES!Q270-CONTADORES!Q269)</f>
        <v>15</v>
      </c>
      <c r="T268" s="212">
        <f ca="1">IF(B268&gt;=$P$5,0,(CONTADORES!S270-CONTADORES!S269)+(CONTADORES!AE270-CONTADORES!AE269))</f>
        <v>3.3000000000000114</v>
      </c>
      <c r="U268" s="212">
        <f ca="1">IF(B268&gt;=$P$5,0,(CONTADORES!AQ270-CONTADORES!AQ269))</f>
        <v>5</v>
      </c>
      <c r="V268" s="212">
        <f ca="1">IF(B268&gt;=$P$5,0,(CONTADORES!AR270-CONTADORES!AR269))</f>
        <v>0</v>
      </c>
      <c r="W268" s="736">
        <v>0</v>
      </c>
      <c r="X268" s="212">
        <f ca="1">IF(W268=0,(T268-INICIO!$W$6),((T268-INICIO!$W$6)+V268))</f>
        <v>3.3000000000000114</v>
      </c>
      <c r="Y268" s="214">
        <f t="shared" ref="Y268:Y331" ca="1" si="70">(IF(W268=0,(S268-U268),((S268-U268)-V268))+E268)</f>
        <v>10</v>
      </c>
      <c r="Z268" s="215">
        <f t="shared" ref="Z268:Z331" ca="1" si="71">IF(B268&gt;=$P$5,0,($Y268*O268)/SUM($N268:$Q268))</f>
        <v>7.8196443691786355</v>
      </c>
      <c r="AA268" s="212">
        <f t="shared" ref="AA268:AA331" ca="1" si="72">IF(B268&gt;=$P$5,0,($Y268*P268)/SUM($N268:$Q268))</f>
        <v>1.6638441998307958</v>
      </c>
      <c r="AB268" s="212">
        <f t="shared" ref="AB268:AB331" ca="1" si="73">IF(B268&gt;=$P$5,0,($Y268*Q268)/SUM($N268:$Q268))</f>
        <v>0.30482641828946566</v>
      </c>
      <c r="AC268" s="214">
        <f t="shared" ca="1" si="68"/>
        <v>0.21168501270110338</v>
      </c>
    </row>
    <row r="269" spans="2:29">
      <c r="B269" s="220">
        <v>44820</v>
      </c>
      <c r="C269" s="208">
        <f ca="1">DATOSAÑO!I269</f>
        <v>150</v>
      </c>
      <c r="D269" s="202">
        <f ca="1">DATOSAÑO!P269</f>
        <v>298</v>
      </c>
      <c r="E269" s="202">
        <f ca="1">DATOSAÑO!Q269</f>
        <v>0</v>
      </c>
      <c r="F269" s="202">
        <f ca="1">DATOSAÑO!T269</f>
        <v>0</v>
      </c>
      <c r="G269" s="202">
        <f t="shared" ca="1" si="67"/>
        <v>448</v>
      </c>
      <c r="H269" s="202">
        <f t="shared" ca="1" si="65"/>
        <v>36.058000000002892</v>
      </c>
      <c r="I269" s="202">
        <f t="shared" ca="1" si="61"/>
        <v>199.35514057910814</v>
      </c>
      <c r="J269" s="202">
        <f t="shared" ca="1" si="62"/>
        <v>38.501174989499987</v>
      </c>
      <c r="K269" s="202">
        <f t="shared" ca="1" si="63"/>
        <v>4.2548468317232091</v>
      </c>
      <c r="L269" s="202">
        <f t="shared" ca="1" si="66"/>
        <v>164.64200000000147</v>
      </c>
      <c r="M269" s="202">
        <f t="shared" ca="1" si="64"/>
        <v>5.1888375996642919</v>
      </c>
      <c r="N269" s="202">
        <f t="shared" ca="1" si="69"/>
        <v>5</v>
      </c>
      <c r="O269" s="202">
        <f ca="1">(DATOSAÑO!AJ269+DATOSAÑO!AK269+DATOSAÑO!AD269)</f>
        <v>192.10000000000582</v>
      </c>
      <c r="P269" s="202">
        <f ca="1">DATOSAÑO!AI269</f>
        <v>37.099999999991269</v>
      </c>
      <c r="Q269" s="202">
        <f ca="1">DATOSAÑO!AH269</f>
        <v>4.0999999999985448</v>
      </c>
      <c r="R269" s="202">
        <f ca="1">DATOSAÑO!AM269+DATOSAÑO!AN269+DATOSAÑO!AF269</f>
        <v>164.64200000000147</v>
      </c>
      <c r="S269" s="215">
        <f ca="1">IF(B269&gt;=$P$5,0,CONTADORES!Q271-CONTADORES!Q270)</f>
        <v>14</v>
      </c>
      <c r="T269" s="212">
        <f ca="1">IF(B269&gt;=$P$5,0,(CONTADORES!S271-CONTADORES!S270)+(CONTADORES!AE271-CONTADORES!AE270))</f>
        <v>3.1999999999999886</v>
      </c>
      <c r="U269" s="212">
        <f ca="1">IF(B269&gt;=$P$5,0,(CONTADORES!AQ271-CONTADORES!AQ270))</f>
        <v>5</v>
      </c>
      <c r="V269" s="212">
        <f ca="1">IF(B269&gt;=$P$5,0,(CONTADORES!AR271-CONTADORES!AR270))</f>
        <v>0</v>
      </c>
      <c r="W269" s="736">
        <v>0</v>
      </c>
      <c r="X269" s="212">
        <f ca="1">IF(W269=0,(T269-INICIO!$W$6),((T269-INICIO!$W$6)+V269))</f>
        <v>3.1999999999999886</v>
      </c>
      <c r="Y269" s="214">
        <f t="shared" ca="1" si="70"/>
        <v>9</v>
      </c>
      <c r="Z269" s="215">
        <f t="shared" ca="1" si="71"/>
        <v>7.2551405791023251</v>
      </c>
      <c r="AA269" s="212">
        <f t="shared" ca="1" si="72"/>
        <v>1.4011749895087182</v>
      </c>
      <c r="AB269" s="212">
        <f t="shared" ca="1" si="73"/>
        <v>0.15484683172466462</v>
      </c>
      <c r="AC269" s="214">
        <f t="shared" ca="1" si="68"/>
        <v>0.18883759966429217</v>
      </c>
    </row>
    <row r="270" spans="2:29">
      <c r="B270" s="220">
        <v>44821</v>
      </c>
      <c r="C270" s="208">
        <f ca="1">DATOSAÑO!I270</f>
        <v>148</v>
      </c>
      <c r="D270" s="202">
        <f ca="1">DATOSAÑO!P270</f>
        <v>304</v>
      </c>
      <c r="E270" s="202">
        <f ca="1">DATOSAÑO!Q270</f>
        <v>0</v>
      </c>
      <c r="F270" s="202">
        <f ca="1">DATOSAÑO!T270</f>
        <v>0</v>
      </c>
      <c r="G270" s="202">
        <f t="shared" ca="1" si="67"/>
        <v>452</v>
      </c>
      <c r="H270" s="202">
        <f t="shared" ca="1" si="65"/>
        <v>34.420000000006155</v>
      </c>
      <c r="I270" s="202">
        <f t="shared" ca="1" si="61"/>
        <v>199.24747847477889</v>
      </c>
      <c r="J270" s="202">
        <f t="shared" ca="1" si="62"/>
        <v>36.955514555145584</v>
      </c>
      <c r="K270" s="202">
        <f t="shared" ca="1" si="63"/>
        <v>12.492004920049212</v>
      </c>
      <c r="L270" s="202">
        <f t="shared" ca="1" si="66"/>
        <v>163.67999999999964</v>
      </c>
      <c r="M270" s="202">
        <f t="shared" ca="1" si="64"/>
        <v>5.2050020500205054</v>
      </c>
      <c r="N270" s="202">
        <f t="shared" ca="1" si="69"/>
        <v>5</v>
      </c>
      <c r="O270" s="202">
        <f ca="1">(DATOSAÑO!AJ270+DATOSAÑO!AK270+DATOSAÑO!AD270)</f>
        <v>191.39999999999418</v>
      </c>
      <c r="P270" s="202">
        <f ca="1">DATOSAÑO!AI270</f>
        <v>35.5</v>
      </c>
      <c r="Q270" s="202">
        <f ca="1">DATOSAÑO!AH270</f>
        <v>12</v>
      </c>
      <c r="R270" s="202">
        <f ca="1">DATOSAÑO!AM270+DATOSAÑO!AN270+DATOSAÑO!AF270</f>
        <v>163.67999999999964</v>
      </c>
      <c r="S270" s="215">
        <f ca="1">IF(B270&gt;=$P$5,0,CONTADORES!Q272-CONTADORES!Q271)</f>
        <v>15</v>
      </c>
      <c r="T270" s="212">
        <f ca="1">IF(B270&gt;=$P$5,0,(CONTADORES!S272-CONTADORES!S271)+(CONTADORES!AE272-CONTADORES!AE271))</f>
        <v>3.1999999999999886</v>
      </c>
      <c r="U270" s="212">
        <f ca="1">IF(B270&gt;=$P$5,0,(CONTADORES!AQ272-CONTADORES!AQ271))</f>
        <v>5</v>
      </c>
      <c r="V270" s="212">
        <f ca="1">IF(B270&gt;=$P$5,0,(CONTADORES!AR272-CONTADORES!AR271))</f>
        <v>0</v>
      </c>
      <c r="W270" s="736">
        <v>0</v>
      </c>
      <c r="X270" s="212">
        <f ca="1">IF(W270=0,(T270-INICIO!$W$6),((T270-INICIO!$W$6)+V270))</f>
        <v>3.1999999999999886</v>
      </c>
      <c r="Y270" s="214">
        <f t="shared" ca="1" si="70"/>
        <v>10</v>
      </c>
      <c r="Z270" s="215">
        <f t="shared" ca="1" si="71"/>
        <v>7.8474784747846966</v>
      </c>
      <c r="AA270" s="212">
        <f t="shared" ca="1" si="72"/>
        <v>1.4555145551455861</v>
      </c>
      <c r="AB270" s="212">
        <f t="shared" ca="1" si="73"/>
        <v>0.49200492004921226</v>
      </c>
      <c r="AC270" s="214">
        <f t="shared" ca="1" si="68"/>
        <v>0.20500205002050509</v>
      </c>
    </row>
    <row r="271" spans="2:29">
      <c r="B271" s="220">
        <v>44822</v>
      </c>
      <c r="C271" s="208">
        <f ca="1">DATOSAÑO!I271</f>
        <v>148</v>
      </c>
      <c r="D271" s="202">
        <f ca="1">DATOSAÑO!P271</f>
        <v>317</v>
      </c>
      <c r="E271" s="202">
        <f ca="1">DATOSAÑO!Q271</f>
        <v>0</v>
      </c>
      <c r="F271" s="202">
        <f ca="1">DATOSAÑO!T271</f>
        <v>0</v>
      </c>
      <c r="G271" s="202">
        <f t="shared" ca="1" si="67"/>
        <v>465</v>
      </c>
      <c r="H271" s="202">
        <f t="shared" ca="1" si="65"/>
        <v>36.995999999986566</v>
      </c>
      <c r="I271" s="202">
        <f t="shared" ca="1" si="61"/>
        <v>205.97360890302625</v>
      </c>
      <c r="J271" s="202">
        <f t="shared" ca="1" si="62"/>
        <v>39.614308426079091</v>
      </c>
      <c r="K271" s="202">
        <f t="shared" ca="1" si="63"/>
        <v>10.81335453100497</v>
      </c>
      <c r="L271" s="202">
        <f t="shared" ca="1" si="66"/>
        <v>166.40399999999855</v>
      </c>
      <c r="M271" s="202">
        <f t="shared" ca="1" si="64"/>
        <v>5.198728139904599</v>
      </c>
      <c r="N271" s="202">
        <f t="shared" ca="1" si="69"/>
        <v>5</v>
      </c>
      <c r="O271" s="202">
        <f ca="1">(DATOSAÑO!AJ271+DATOSAÑO!AK271+DATOSAÑO!AD271)</f>
        <v>198.10000000000582</v>
      </c>
      <c r="P271" s="202">
        <f ca="1">DATOSAÑO!AI271</f>
        <v>38.100000000005821</v>
      </c>
      <c r="Q271" s="202">
        <f ca="1">DATOSAÑO!AH271</f>
        <v>10.400000000003274</v>
      </c>
      <c r="R271" s="202">
        <f ca="1">DATOSAÑO!AM271+DATOSAÑO!AN271+DATOSAÑO!AF271</f>
        <v>166.40399999999855</v>
      </c>
      <c r="S271" s="215">
        <f ca="1">IF(B271&gt;=$P$5,0,CONTADORES!Q273-CONTADORES!Q272)</f>
        <v>15</v>
      </c>
      <c r="T271" s="212">
        <f ca="1">IF(B271&gt;=$P$5,0,(CONTADORES!S273-CONTADORES!S272)+(CONTADORES!AE273-CONTADORES!AE272))</f>
        <v>3.4000000000000341</v>
      </c>
      <c r="U271" s="212">
        <f ca="1">IF(B271&gt;=$P$5,0,(CONTADORES!AQ273-CONTADORES!AQ272))</f>
        <v>5</v>
      </c>
      <c r="V271" s="212">
        <f ca="1">IF(B271&gt;=$P$5,0,(CONTADORES!AR273-CONTADORES!AR272))</f>
        <v>0</v>
      </c>
      <c r="W271" s="736">
        <v>0</v>
      </c>
      <c r="X271" s="212">
        <f ca="1">IF(W271=0,(T271-INICIO!$W$6),((T271-INICIO!$W$6)+V271))</f>
        <v>3.4000000000000341</v>
      </c>
      <c r="Y271" s="214">
        <f t="shared" ca="1" si="70"/>
        <v>10</v>
      </c>
      <c r="Z271" s="215">
        <f t="shared" ca="1" si="71"/>
        <v>7.8736089030204326</v>
      </c>
      <c r="AA271" s="212">
        <f t="shared" ca="1" si="72"/>
        <v>1.5143084260732735</v>
      </c>
      <c r="AB271" s="212">
        <f t="shared" ca="1" si="73"/>
        <v>0.41335453100169545</v>
      </c>
      <c r="AC271" s="214">
        <f t="shared" ca="1" si="68"/>
        <v>0.1987281399045987</v>
      </c>
    </row>
    <row r="272" spans="2:29">
      <c r="B272" s="220">
        <v>44823</v>
      </c>
      <c r="C272" s="208">
        <f ca="1">DATOSAÑO!I272</f>
        <v>140</v>
      </c>
      <c r="D272" s="202">
        <f ca="1">DATOSAÑO!P272</f>
        <v>280</v>
      </c>
      <c r="E272" s="202">
        <f ca="1">DATOSAÑO!Q272</f>
        <v>0</v>
      </c>
      <c r="F272" s="202">
        <f ca="1">DATOSAÑO!T272</f>
        <v>0</v>
      </c>
      <c r="G272" s="202">
        <f t="shared" ca="1" si="67"/>
        <v>420</v>
      </c>
      <c r="H272" s="202">
        <f t="shared" ca="1" si="65"/>
        <v>30.973999999990156</v>
      </c>
      <c r="I272" s="202">
        <f t="shared" ca="1" si="61"/>
        <v>192.2066528066556</v>
      </c>
      <c r="J272" s="202">
        <f t="shared" ca="1" si="62"/>
        <v>42.143243243246232</v>
      </c>
      <c r="K272" s="202">
        <f t="shared" ca="1" si="63"/>
        <v>11.921413721415227</v>
      </c>
      <c r="L272" s="202">
        <f t="shared" ca="1" si="66"/>
        <v>137.52600000000257</v>
      </c>
      <c r="M272" s="202">
        <f t="shared" ca="1" si="64"/>
        <v>5.2286902286902217</v>
      </c>
      <c r="N272" s="202">
        <f t="shared" ca="1" si="69"/>
        <v>5</v>
      </c>
      <c r="O272" s="202">
        <f ca="1">(DATOSAÑO!AJ272+DATOSAÑO!AK272+DATOSAÑO!AD272)</f>
        <v>183.80000000000291</v>
      </c>
      <c r="P272" s="202">
        <f ca="1">DATOSAÑO!AI272</f>
        <v>40.30000000000291</v>
      </c>
      <c r="Q272" s="202">
        <f ca="1">DATOSAÑO!AH272</f>
        <v>11.400000000001455</v>
      </c>
      <c r="R272" s="202">
        <f ca="1">DATOSAÑO!AM272+DATOSAÑO!AN272+DATOSAÑO!AF272</f>
        <v>137.52600000000257</v>
      </c>
      <c r="S272" s="215">
        <f ca="1">IF(B272&gt;=$P$5,0,CONTADORES!Q274-CONTADORES!Q273)</f>
        <v>16</v>
      </c>
      <c r="T272" s="212">
        <f ca="1">IF(B272&gt;=$P$5,0,(CONTADORES!S274-CONTADORES!S273)+(CONTADORES!AE274-CONTADORES!AE273))</f>
        <v>3.3999999999999773</v>
      </c>
      <c r="U272" s="212">
        <f ca="1">IF(B272&gt;=$P$5,0,(CONTADORES!AQ274-CONTADORES!AQ273))</f>
        <v>5</v>
      </c>
      <c r="V272" s="212">
        <f ca="1">IF(B272&gt;=$P$5,0,(CONTADORES!AR274-CONTADORES!AR273))</f>
        <v>0</v>
      </c>
      <c r="W272" s="736">
        <v>0</v>
      </c>
      <c r="X272" s="212">
        <f ca="1">IF(W272=0,(T272-INICIO!$W$6),((T272-INICIO!$W$6)+V272))</f>
        <v>3.3999999999999773</v>
      </c>
      <c r="Y272" s="214">
        <f t="shared" ca="1" si="70"/>
        <v>11</v>
      </c>
      <c r="Z272" s="215">
        <f t="shared" ca="1" si="71"/>
        <v>8.4066528066526853</v>
      </c>
      <c r="AA272" s="212">
        <f t="shared" ca="1" si="72"/>
        <v>1.8432432432433206</v>
      </c>
      <c r="AB272" s="212">
        <f t="shared" ca="1" si="73"/>
        <v>0.52141372141377218</v>
      </c>
      <c r="AC272" s="214">
        <f t="shared" ca="1" si="68"/>
        <v>0.22869022869022176</v>
      </c>
    </row>
    <row r="273" spans="2:29">
      <c r="B273" s="220">
        <v>44824</v>
      </c>
      <c r="C273" s="208">
        <f ca="1">DATOSAÑO!I273</f>
        <v>150</v>
      </c>
      <c r="D273" s="202">
        <f ca="1">DATOSAÑO!P273</f>
        <v>294</v>
      </c>
      <c r="E273" s="202">
        <f ca="1">DATOSAÑO!Q273</f>
        <v>0.28199999999992542</v>
      </c>
      <c r="F273" s="202">
        <f ca="1">DATOSAÑO!T273</f>
        <v>0.44799999999997908</v>
      </c>
      <c r="G273" s="202">
        <f t="shared" ca="1" si="67"/>
        <v>444.7299999999999</v>
      </c>
      <c r="H273" s="202">
        <f t="shared" ca="1" si="65"/>
        <v>38.914000000013402</v>
      </c>
      <c r="I273" s="202">
        <f t="shared" ca="1" si="61"/>
        <v>184.66593741962259</v>
      </c>
      <c r="J273" s="202">
        <f t="shared" ca="1" si="62"/>
        <v>40.759598799825589</v>
      </c>
      <c r="K273" s="202">
        <f t="shared" ca="1" si="63"/>
        <v>10.917749678525521</v>
      </c>
      <c r="L273" s="202">
        <f t="shared" ca="1" si="66"/>
        <v>163.23399999999819</v>
      </c>
      <c r="M273" s="202">
        <f t="shared" ca="1" si="64"/>
        <v>6.2387141020145833</v>
      </c>
      <c r="N273" s="202">
        <f t="shared" ca="1" si="69"/>
        <v>6</v>
      </c>
      <c r="O273" s="202">
        <f ca="1">(DATOSAÑO!AJ273+DATOSAÑO!AK273+DATOSAÑO!AD273)</f>
        <v>177.59999999999127</v>
      </c>
      <c r="P273" s="202">
        <f ca="1">DATOSAÑO!AI273</f>
        <v>39.19999999999709</v>
      </c>
      <c r="Q273" s="202">
        <f ca="1">DATOSAÑO!AH273</f>
        <v>10.5</v>
      </c>
      <c r="R273" s="202">
        <f ca="1">DATOSAÑO!AM273+DATOSAÑO!AN273+DATOSAÑO!AF273</f>
        <v>163.23399999999819</v>
      </c>
      <c r="S273" s="215">
        <f ca="1">IF(B273&gt;=$P$5,0,CONTADORES!Q275-CONTADORES!Q274)</f>
        <v>15</v>
      </c>
      <c r="T273" s="212">
        <f ca="1">IF(B273&gt;=$P$5,0,(CONTADORES!S275-CONTADORES!S274)+(CONTADORES!AE275-CONTADORES!AE274))</f>
        <v>3.4000000000000341</v>
      </c>
      <c r="U273" s="212">
        <f ca="1">IF(B273&gt;=$P$5,0,(CONTADORES!AQ275-CONTADORES!AQ274))</f>
        <v>6</v>
      </c>
      <c r="V273" s="212">
        <f ca="1">IF(B273&gt;=$P$5,0,(CONTADORES!AR275-CONTADORES!AR274))</f>
        <v>0</v>
      </c>
      <c r="W273" s="736">
        <v>0</v>
      </c>
      <c r="X273" s="212">
        <f ca="1">IF(W273=0,(T273-INICIO!$W$6),((T273-INICIO!$W$6)+V273))</f>
        <v>3.4000000000000341</v>
      </c>
      <c r="Y273" s="214">
        <f t="shared" ca="1" si="70"/>
        <v>9.2819999999999254</v>
      </c>
      <c r="Z273" s="215">
        <f t="shared" ca="1" si="71"/>
        <v>7.0659374196313243</v>
      </c>
      <c r="AA273" s="212">
        <f t="shared" ca="1" si="72"/>
        <v>1.5595987998284964</v>
      </c>
      <c r="AB273" s="212">
        <f t="shared" ca="1" si="73"/>
        <v>0.41774967852552114</v>
      </c>
      <c r="AC273" s="214">
        <f t="shared" ca="1" si="68"/>
        <v>0.23871410201458351</v>
      </c>
    </row>
    <row r="274" spans="2:29">
      <c r="B274" s="220">
        <v>44825</v>
      </c>
      <c r="C274" s="208">
        <f ca="1">DATOSAÑO!I274</f>
        <v>147.92000000004191</v>
      </c>
      <c r="D274" s="202">
        <f ca="1">DATOSAÑO!P274</f>
        <v>294.67999999999302</v>
      </c>
      <c r="E274" s="202">
        <f ca="1">DATOSAÑO!Q274</f>
        <v>0</v>
      </c>
      <c r="F274" s="202">
        <f ca="1">DATOSAÑO!T274</f>
        <v>0</v>
      </c>
      <c r="G274" s="202">
        <f t="shared" ca="1" si="67"/>
        <v>442.60000000003492</v>
      </c>
      <c r="H274" s="202">
        <f t="shared" ca="1" si="65"/>
        <v>38.095000000029131</v>
      </c>
      <c r="I274" s="202">
        <f t="shared" ca="1" si="61"/>
        <v>188.31701447657014</v>
      </c>
      <c r="J274" s="202">
        <f t="shared" ca="1" si="62"/>
        <v>39.868917479280434</v>
      </c>
      <c r="K274" s="202">
        <f t="shared" ca="1" si="63"/>
        <v>11.41505648867658</v>
      </c>
      <c r="L274" s="202">
        <f t="shared" ca="1" si="66"/>
        <v>160.71499999999949</v>
      </c>
      <c r="M274" s="202">
        <f t="shared" ca="1" si="64"/>
        <v>4.1890115554791825</v>
      </c>
      <c r="N274" s="202">
        <f t="shared" ca="1" si="69"/>
        <v>4</v>
      </c>
      <c r="O274" s="202">
        <f ca="1">(DATOSAÑO!AJ274+DATOSAÑO!AK274+DATOSAÑO!AD274)</f>
        <v>179.82000000000335</v>
      </c>
      <c r="P274" s="202">
        <f ca="1">DATOSAÑO!AI274</f>
        <v>38.070000000006985</v>
      </c>
      <c r="Q274" s="202">
        <f ca="1">DATOSAÑO!AH274</f>
        <v>10.899999999995998</v>
      </c>
      <c r="R274" s="202">
        <f ca="1">DATOSAÑO!AM274+DATOSAÑO!AN274+DATOSAÑO!AF274</f>
        <v>160.71499999999949</v>
      </c>
      <c r="S274" s="215">
        <f ca="1">IF(B274&gt;=$P$5,0,CONTADORES!Q276-CONTADORES!Q275)</f>
        <v>15</v>
      </c>
      <c r="T274" s="212">
        <f ca="1">IF(B274&gt;=$P$5,0,(CONTADORES!S276-CONTADORES!S275)+(CONTADORES!AE276-CONTADORES!AE275))</f>
        <v>3.5999999999999659</v>
      </c>
      <c r="U274" s="212">
        <f ca="1">IF(B274&gt;=$P$5,0,(CONTADORES!AQ276-CONTADORES!AQ275))</f>
        <v>4</v>
      </c>
      <c r="V274" s="212">
        <f ca="1">IF(B274&gt;=$P$5,0,(CONTADORES!AR276-CONTADORES!AR275))</f>
        <v>0</v>
      </c>
      <c r="W274" s="736">
        <v>0</v>
      </c>
      <c r="X274" s="212">
        <f ca="1">IF(W274=0,(T274-INICIO!$W$6),((T274-INICIO!$W$6)+V274))</f>
        <v>3.5999999999999659</v>
      </c>
      <c r="Y274" s="214">
        <f t="shared" ca="1" si="70"/>
        <v>11</v>
      </c>
      <c r="Z274" s="215">
        <f t="shared" ca="1" si="71"/>
        <v>8.4970144765667897</v>
      </c>
      <c r="AA274" s="212">
        <f t="shared" ca="1" si="72"/>
        <v>1.7989174792734457</v>
      </c>
      <c r="AB274" s="212">
        <f t="shared" ca="1" si="73"/>
        <v>0.51505648868058218</v>
      </c>
      <c r="AC274" s="214">
        <f t="shared" ca="1" si="68"/>
        <v>0.18901155547918211</v>
      </c>
    </row>
    <row r="275" spans="2:29">
      <c r="B275" s="220">
        <v>44826</v>
      </c>
      <c r="C275" s="208">
        <f ca="1">DATOSAÑO!I275</f>
        <v>150.78999999992084</v>
      </c>
      <c r="D275" s="202">
        <f ca="1">DATOSAÑO!P275</f>
        <v>291.77000000000407</v>
      </c>
      <c r="E275" s="202">
        <f ca="1">DATOSAÑO!Q275</f>
        <v>0</v>
      </c>
      <c r="F275" s="202">
        <f ca="1">DATOSAÑO!T275</f>
        <v>0</v>
      </c>
      <c r="G275" s="202">
        <f t="shared" ca="1" si="67"/>
        <v>442.55999999992491</v>
      </c>
      <c r="H275" s="202">
        <f t="shared" ca="1" si="65"/>
        <v>34.387599999936356</v>
      </c>
      <c r="I275" s="202">
        <f t="shared" ca="1" si="61"/>
        <v>188.91157096425428</v>
      </c>
      <c r="J275" s="202">
        <f t="shared" ca="1" si="62"/>
        <v>41.175698808223736</v>
      </c>
      <c r="K275" s="202">
        <f t="shared" ca="1" si="63"/>
        <v>3.4287107258968486</v>
      </c>
      <c r="L275" s="202">
        <f t="shared" ca="1" si="66"/>
        <v>168.42239999998856</v>
      </c>
      <c r="M275" s="202">
        <f t="shared" ca="1" si="64"/>
        <v>6.2340195016251352</v>
      </c>
      <c r="N275" s="202">
        <f t="shared" ca="1" si="69"/>
        <v>6</v>
      </c>
      <c r="O275" s="202">
        <f ca="1">(DATOSAÑO!AJ275+DATOSAÑO!AK275+DATOSAÑO!AD275)</f>
        <v>181.82000000000698</v>
      </c>
      <c r="P275" s="202">
        <f ca="1">DATOSAÑO!AI275</f>
        <v>39.629999999990105</v>
      </c>
      <c r="Q275" s="202">
        <f ca="1">DATOSAÑO!AH275</f>
        <v>3.3000000000029104</v>
      </c>
      <c r="R275" s="202">
        <f ca="1">DATOSAÑO!AM275+DATOSAÑO!AN275+DATOSAÑO!AF275</f>
        <v>168.42239999998856</v>
      </c>
      <c r="S275" s="215">
        <f ca="1">IF(B275&gt;=$P$5,0,CONTADORES!Q277-CONTADORES!Q276)</f>
        <v>15</v>
      </c>
      <c r="T275" s="212">
        <f ca="1">IF(B275&gt;=$P$5,0,(CONTADORES!S277-CONTADORES!S276)+(CONTADORES!AE277-CONTADORES!AE276))</f>
        <v>3.1999999999999886</v>
      </c>
      <c r="U275" s="212">
        <f ca="1">IF(B275&gt;=$P$5,0,(CONTADORES!AQ277-CONTADORES!AQ276))</f>
        <v>6</v>
      </c>
      <c r="V275" s="212">
        <f ca="1">IF(B275&gt;=$P$5,0,(CONTADORES!AR277-CONTADORES!AR276))</f>
        <v>0</v>
      </c>
      <c r="W275" s="736">
        <v>0</v>
      </c>
      <c r="X275" s="212">
        <f ca="1">IF(W275=0,(T275-INICIO!$W$6),((T275-INICIO!$W$6)+V275))</f>
        <v>3.1999999999999886</v>
      </c>
      <c r="Y275" s="214">
        <f t="shared" ca="1" si="70"/>
        <v>9</v>
      </c>
      <c r="Z275" s="215">
        <f t="shared" ca="1" si="71"/>
        <v>7.0915709642472926</v>
      </c>
      <c r="AA275" s="212">
        <f t="shared" ca="1" si="72"/>
        <v>1.5456988082336336</v>
      </c>
      <c r="AB275" s="212">
        <f t="shared" ca="1" si="73"/>
        <v>0.12871072589393801</v>
      </c>
      <c r="AC275" s="214">
        <f t="shared" ca="1" si="68"/>
        <v>0.23401950162513543</v>
      </c>
    </row>
    <row r="276" spans="2:29">
      <c r="B276" s="220">
        <v>44827</v>
      </c>
      <c r="C276" s="208">
        <f ca="1">DATOSAÑO!I276</f>
        <v>119.04000000003725</v>
      </c>
      <c r="D276" s="202">
        <f ca="1">DATOSAÑO!P276</f>
        <v>323.74000000000524</v>
      </c>
      <c r="E276" s="202">
        <f ca="1">DATOSAÑO!Q276</f>
        <v>0</v>
      </c>
      <c r="F276" s="202">
        <f ca="1">DATOSAÑO!T276</f>
        <v>0</v>
      </c>
      <c r="G276" s="202">
        <f t="shared" ca="1" si="67"/>
        <v>442.78000000004249</v>
      </c>
      <c r="H276" s="202">
        <f t="shared" ca="1" si="65"/>
        <v>34.429000000031863</v>
      </c>
      <c r="I276" s="202">
        <f t="shared" ca="1" si="61"/>
        <v>191.08340371406177</v>
      </c>
      <c r="J276" s="202">
        <f t="shared" ca="1" si="62"/>
        <v>39.138565250569414</v>
      </c>
      <c r="K276" s="202">
        <f t="shared" ca="1" si="63"/>
        <v>9.4472398880676973</v>
      </c>
      <c r="L276" s="202">
        <f t="shared" ca="1" si="66"/>
        <v>163.49100000002096</v>
      </c>
      <c r="M276" s="202">
        <f t="shared" ca="1" si="64"/>
        <v>5.1907911472907742</v>
      </c>
      <c r="N276" s="202">
        <f t="shared" ca="1" si="69"/>
        <v>5</v>
      </c>
      <c r="O276" s="202">
        <f ca="1">(DATOSAÑO!AJ276+DATOSAÑO!AK276+DATOSAÑO!AD276)</f>
        <v>184.05999999999403</v>
      </c>
      <c r="P276" s="202">
        <f ca="1">DATOSAÑO!AI276</f>
        <v>37.69999999999709</v>
      </c>
      <c r="Q276" s="202">
        <f ca="1">DATOSAÑO!AH276</f>
        <v>9.0999999999985448</v>
      </c>
      <c r="R276" s="202">
        <f ca="1">DATOSAÑO!AM276+DATOSAÑO!AN276+DATOSAÑO!AF276</f>
        <v>163.49100000002096</v>
      </c>
      <c r="S276" s="215">
        <f ca="1">IF(B276&gt;=$P$5,0,CONTADORES!Q278-CONTADORES!Q277)</f>
        <v>14</v>
      </c>
      <c r="T276" s="212">
        <f ca="1">IF(B276&gt;=$P$5,0,(CONTADORES!S278-CONTADORES!S277)+(CONTADORES!AE278-CONTADORES!AE277))</f>
        <v>3.2000000000000455</v>
      </c>
      <c r="U276" s="212">
        <f ca="1">IF(B276&gt;=$P$5,0,(CONTADORES!AQ278-CONTADORES!AQ277))</f>
        <v>5</v>
      </c>
      <c r="V276" s="212">
        <f ca="1">IF(B276&gt;=$P$5,0,(CONTADORES!AR278-CONTADORES!AR277))</f>
        <v>0</v>
      </c>
      <c r="W276" s="736">
        <v>0</v>
      </c>
      <c r="X276" s="212">
        <f ca="1">IF(W276=0,(T276-INICIO!$W$6),((T276-INICIO!$W$6)+V276))</f>
        <v>3.2000000000000455</v>
      </c>
      <c r="Y276" s="214">
        <f t="shared" ca="1" si="70"/>
        <v>9</v>
      </c>
      <c r="Z276" s="215">
        <f t="shared" ca="1" si="71"/>
        <v>7.0234037140677472</v>
      </c>
      <c r="AA276" s="212">
        <f t="shared" ca="1" si="72"/>
        <v>1.4385652505723254</v>
      </c>
      <c r="AB276" s="212">
        <f t="shared" ca="1" si="73"/>
        <v>0.34723988806915329</v>
      </c>
      <c r="AC276" s="214">
        <f t="shared" ca="1" si="68"/>
        <v>0.19079114729077407</v>
      </c>
    </row>
    <row r="277" spans="2:29">
      <c r="B277" s="220">
        <v>44828</v>
      </c>
      <c r="C277" s="208">
        <f ca="1">DATOSAÑO!I277</f>
        <v>63.75</v>
      </c>
      <c r="D277" s="202">
        <f ca="1">DATOSAÑO!P277</f>
        <v>386.05000000000291</v>
      </c>
      <c r="E277" s="202">
        <f ca="1">DATOSAÑO!Q277</f>
        <v>0</v>
      </c>
      <c r="F277" s="202">
        <f ca="1">DATOSAÑO!T277</f>
        <v>0</v>
      </c>
      <c r="G277" s="202">
        <f t="shared" ca="1" si="67"/>
        <v>449.80000000000291</v>
      </c>
      <c r="H277" s="202">
        <f t="shared" ca="1" si="65"/>
        <v>34.965000000038629</v>
      </c>
      <c r="I277" s="202">
        <f t="shared" ca="1" si="61"/>
        <v>194.2063226780765</v>
      </c>
      <c r="J277" s="202">
        <f t="shared" ca="1" si="62"/>
        <v>39.376890678747628</v>
      </c>
      <c r="K277" s="202">
        <f t="shared" ca="1" si="63"/>
        <v>11.612207399948144</v>
      </c>
      <c r="L277" s="202">
        <f t="shared" ca="1" si="66"/>
        <v>165.45499999996687</v>
      </c>
      <c r="M277" s="202">
        <f t="shared" ca="1" si="64"/>
        <v>4.1845792432251052</v>
      </c>
      <c r="N277" s="202">
        <f t="shared" ca="1" si="69"/>
        <v>4</v>
      </c>
      <c r="O277" s="202">
        <f ca="1">(DATOSAÑO!AJ277+DATOSAÑO!AK277+DATOSAÑO!AD277)</f>
        <v>185.63999999999942</v>
      </c>
      <c r="P277" s="202">
        <f ca="1">DATOSAÑO!AI277</f>
        <v>37.639999999999418</v>
      </c>
      <c r="Q277" s="202">
        <f ca="1">DATOSAÑO!AH277</f>
        <v>11.099999999998545</v>
      </c>
      <c r="R277" s="202">
        <f ca="1">DATOSAÑO!AM277+DATOSAÑO!AN277+DATOSAÑO!AF277</f>
        <v>165.45499999996687</v>
      </c>
      <c r="S277" s="215">
        <f ca="1">IF(B277&gt;=$P$5,0,CONTADORES!Q279-CONTADORES!Q278)</f>
        <v>15</v>
      </c>
      <c r="T277" s="212">
        <f ca="1">IF(B277&gt;=$P$5,0,(CONTADORES!S279-CONTADORES!S278)+(CONTADORES!AE279-CONTADORES!AE278))</f>
        <v>3.3999999999999773</v>
      </c>
      <c r="U277" s="212">
        <f ca="1">IF(B277&gt;=$P$5,0,(CONTADORES!AQ279-CONTADORES!AQ278))</f>
        <v>4</v>
      </c>
      <c r="V277" s="212">
        <f ca="1">IF(B277&gt;=$P$5,0,(CONTADORES!AR279-CONTADORES!AR278))</f>
        <v>0</v>
      </c>
      <c r="W277" s="736">
        <v>0</v>
      </c>
      <c r="X277" s="212">
        <f ca="1">IF(W277=0,(T277-INICIO!$W$6),((T277-INICIO!$W$6)+V277))</f>
        <v>3.3999999999999773</v>
      </c>
      <c r="Y277" s="214">
        <f t="shared" ca="1" si="70"/>
        <v>11</v>
      </c>
      <c r="Z277" s="215">
        <f t="shared" ca="1" si="71"/>
        <v>8.5663226780770874</v>
      </c>
      <c r="AA277" s="212">
        <f t="shared" ca="1" si="72"/>
        <v>1.7368906787482095</v>
      </c>
      <c r="AB277" s="212">
        <f t="shared" ca="1" si="73"/>
        <v>0.51220739994959863</v>
      </c>
      <c r="AC277" s="214">
        <f t="shared" ca="1" si="68"/>
        <v>0.1845792432251048</v>
      </c>
    </row>
    <row r="278" spans="2:29">
      <c r="B278" s="220">
        <v>44829</v>
      </c>
      <c r="C278" s="208">
        <f ca="1">DATOSAÑO!I278</f>
        <v>198.19999999995343</v>
      </c>
      <c r="D278" s="202">
        <f ca="1">DATOSAÑO!P278</f>
        <v>244.31999999999243</v>
      </c>
      <c r="E278" s="202">
        <f ca="1">DATOSAÑO!Q278</f>
        <v>0.3000000000001819</v>
      </c>
      <c r="F278" s="202">
        <f ca="1">DATOSAÑO!T278</f>
        <v>0.33199999999999363</v>
      </c>
      <c r="G278" s="202">
        <f t="shared" ca="1" si="67"/>
        <v>443.15199999994604</v>
      </c>
      <c r="H278" s="202">
        <f t="shared" ca="1" si="65"/>
        <v>33.544999999909123</v>
      </c>
      <c r="I278" s="202">
        <f t="shared" ca="1" si="61"/>
        <v>189.4124123182186</v>
      </c>
      <c r="J278" s="202">
        <f t="shared" ca="1" si="62"/>
        <v>38.922360992315035</v>
      </c>
      <c r="K278" s="202">
        <f t="shared" ca="1" si="63"/>
        <v>10.544952951240742</v>
      </c>
      <c r="L278" s="202">
        <f t="shared" ca="1" si="66"/>
        <v>165.50700000002479</v>
      </c>
      <c r="M278" s="202">
        <f t="shared" ca="1" si="64"/>
        <v>5.2202737382378031</v>
      </c>
      <c r="N278" s="202">
        <f t="shared" ca="1" si="69"/>
        <v>5</v>
      </c>
      <c r="O278" s="202">
        <f ca="1">(DATOSAÑO!AJ278+DATOSAÑO!AK278+DATOSAÑO!AD278)</f>
        <v>181.41999999999825</v>
      </c>
      <c r="P278" s="202">
        <f ca="1">DATOSAÑO!AI278</f>
        <v>37.280000000013388</v>
      </c>
      <c r="Q278" s="202">
        <f ca="1">DATOSAÑO!AH278</f>
        <v>10.100000000000364</v>
      </c>
      <c r="R278" s="202">
        <f ca="1">DATOSAÑO!AM278+DATOSAÑO!AN278+DATOSAÑO!AF278</f>
        <v>165.50700000002479</v>
      </c>
      <c r="S278" s="215">
        <f ca="1">IF(B278&gt;=$P$5,0,CONTADORES!Q280-CONTADORES!Q279)</f>
        <v>15</v>
      </c>
      <c r="T278" s="212">
        <f ca="1">IF(B278&gt;=$P$5,0,(CONTADORES!S280-CONTADORES!S279)+(CONTADORES!AE280-CONTADORES!AE279))</f>
        <v>3.3999999999999773</v>
      </c>
      <c r="U278" s="212">
        <f ca="1">IF(B278&gt;=$P$5,0,(CONTADORES!AQ280-CONTADORES!AQ279))</f>
        <v>5</v>
      </c>
      <c r="V278" s="212">
        <f ca="1">IF(B278&gt;=$P$5,0,(CONTADORES!AR280-CONTADORES!AR279))</f>
        <v>0</v>
      </c>
      <c r="W278" s="736">
        <v>0</v>
      </c>
      <c r="X278" s="212">
        <f ca="1">IF(W278=0,(T278-INICIO!$W$6),((T278-INICIO!$W$6)+V278))</f>
        <v>3.3999999999999773</v>
      </c>
      <c r="Y278" s="214">
        <f t="shared" ca="1" si="70"/>
        <v>10.300000000000182</v>
      </c>
      <c r="Z278" s="215">
        <f t="shared" ca="1" si="71"/>
        <v>7.9924123182203548</v>
      </c>
      <c r="AA278" s="212">
        <f t="shared" ca="1" si="72"/>
        <v>1.6423609923016464</v>
      </c>
      <c r="AB278" s="212">
        <f t="shared" ca="1" si="73"/>
        <v>0.44495295124037743</v>
      </c>
      <c r="AC278" s="214">
        <f t="shared" ca="1" si="68"/>
        <v>0.22027373823780266</v>
      </c>
    </row>
    <row r="279" spans="2:29">
      <c r="B279" s="220">
        <v>44830</v>
      </c>
      <c r="C279" s="208">
        <f ca="1">DATOSAÑO!I279</f>
        <v>69.800000000046566</v>
      </c>
      <c r="D279" s="202">
        <f ca="1">DATOSAÑO!P279</f>
        <v>375.24499999999534</v>
      </c>
      <c r="E279" s="202">
        <f ca="1">DATOSAÑO!Q279</f>
        <v>0</v>
      </c>
      <c r="F279" s="202">
        <f ca="1">DATOSAÑO!T279</f>
        <v>2.5499999999999545</v>
      </c>
      <c r="G279" s="202">
        <f t="shared" ca="1" si="67"/>
        <v>447.59500000004186</v>
      </c>
      <c r="H279" s="202">
        <f t="shared" ca="1" si="65"/>
        <v>40.867000000033727</v>
      </c>
      <c r="I279" s="202">
        <f t="shared" ref="I279:I310" ca="1" si="74">O279+Z279</f>
        <v>191.50097269625533</v>
      </c>
      <c r="J279" s="202">
        <f t="shared" ref="J279:J310" ca="1" si="75">P279+AA279</f>
        <v>40.372832764494859</v>
      </c>
      <c r="K279" s="202">
        <f t="shared" ref="K279:K310" ca="1" si="76">Q279+AB279</f>
        <v>6.3342150170633378</v>
      </c>
      <c r="L279" s="202">
        <f t="shared" ca="1" si="66"/>
        <v>163.32800000001032</v>
      </c>
      <c r="M279" s="202">
        <f t="shared" ref="M279:M310" ca="1" si="77">N279+AC279</f>
        <v>5.1919795221843019</v>
      </c>
      <c r="N279" s="202">
        <f t="shared" ca="1" si="69"/>
        <v>5</v>
      </c>
      <c r="O279" s="202">
        <f ca="1">(DATOSAÑO!AJ279+DATOSAÑO!AK279+DATOSAÑO!AD279)</f>
        <v>184.42000000000917</v>
      </c>
      <c r="P279" s="202">
        <f ca="1">DATOSAÑO!AI279</f>
        <v>38.879999999990105</v>
      </c>
      <c r="Q279" s="202">
        <f ca="1">DATOSAÑO!AH279</f>
        <v>6.0999999999985448</v>
      </c>
      <c r="R279" s="202">
        <f ca="1">DATOSAÑO!AM279+DATOSAÑO!AN279+DATOSAÑO!AF279</f>
        <v>163.32800000001032</v>
      </c>
      <c r="S279" s="215">
        <f ca="1">IF(B279&gt;=$P$5,0,CONTADORES!Q281-CONTADORES!Q280)</f>
        <v>14</v>
      </c>
      <c r="T279" s="212">
        <f ca="1">IF(B279&gt;=$P$5,0,(CONTADORES!S281-CONTADORES!S280)+(CONTADORES!AE281-CONTADORES!AE280))</f>
        <v>3.4000000000000341</v>
      </c>
      <c r="U279" s="212">
        <f ca="1">IF(B279&gt;=$P$5,0,(CONTADORES!AQ281-CONTADORES!AQ280))</f>
        <v>5</v>
      </c>
      <c r="V279" s="212">
        <f ca="1">IF(B279&gt;=$P$5,0,(CONTADORES!AR281-CONTADORES!AR280))</f>
        <v>0</v>
      </c>
      <c r="W279" s="736">
        <v>0</v>
      </c>
      <c r="X279" s="212">
        <f ca="1">IF(W279=0,(T279-INICIO!$W$6),((T279-INICIO!$W$6)+V279))</f>
        <v>3.4000000000000341</v>
      </c>
      <c r="Y279" s="214">
        <f t="shared" ca="1" si="70"/>
        <v>9</v>
      </c>
      <c r="Z279" s="215">
        <f t="shared" ca="1" si="71"/>
        <v>7.0809726962461514</v>
      </c>
      <c r="AA279" s="212">
        <f t="shared" ca="1" si="72"/>
        <v>1.4928327645047534</v>
      </c>
      <c r="AB279" s="212">
        <f t="shared" ca="1" si="73"/>
        <v>0.23421501706479272</v>
      </c>
      <c r="AC279" s="214">
        <f t="shared" ca="1" si="68"/>
        <v>0.19197952218430214</v>
      </c>
    </row>
    <row r="280" spans="2:29">
      <c r="B280" s="220">
        <v>44831</v>
      </c>
      <c r="C280" s="208">
        <f ca="1">DATOSAÑO!I280</f>
        <v>0</v>
      </c>
      <c r="D280" s="202">
        <f ca="1">DATOSAÑO!P280</f>
        <v>433.14000000001397</v>
      </c>
      <c r="E280" s="202">
        <f ca="1">DATOSAÑO!Q280</f>
        <v>0</v>
      </c>
      <c r="F280" s="202">
        <f ca="1">DATOSAÑO!T280</f>
        <v>9.3230000000000928</v>
      </c>
      <c r="G280" s="202">
        <f t="shared" ca="1" si="67"/>
        <v>442.46300000001406</v>
      </c>
      <c r="H280" s="202">
        <f t="shared" ca="1" si="65"/>
        <v>37.501000000020042</v>
      </c>
      <c r="I280" s="202">
        <f t="shared" ca="1" si="74"/>
        <v>191.94446999438816</v>
      </c>
      <c r="J280" s="202">
        <f t="shared" ca="1" si="75"/>
        <v>40.489563322743635</v>
      </c>
      <c r="K280" s="202">
        <f t="shared" ca="1" si="76"/>
        <v>14.363906782875439</v>
      </c>
      <c r="L280" s="202">
        <f t="shared" ca="1" si="66"/>
        <v>152.25299999998779</v>
      </c>
      <c r="M280" s="202">
        <f t="shared" ca="1" si="77"/>
        <v>5.9110598999989801</v>
      </c>
      <c r="N280" s="202">
        <f t="shared" ca="1" si="69"/>
        <v>5.6790000000037253</v>
      </c>
      <c r="O280" s="202">
        <f ca="1">(DATOSAÑO!AJ280+DATOSAÑO!AK280+DATOSAÑO!AD280)</f>
        <v>184.40899999998874</v>
      </c>
      <c r="P280" s="202">
        <f ca="1">DATOSAÑO!AI280</f>
        <v>38.900000000008731</v>
      </c>
      <c r="Q280" s="202">
        <f ca="1">DATOSAÑO!AH280</f>
        <v>13.80000000000291</v>
      </c>
      <c r="R280" s="202">
        <f ca="1">DATOSAÑO!AM280+DATOSAÑO!AN280+DATOSAÑO!AF280</f>
        <v>152.25299999998779</v>
      </c>
      <c r="S280" s="215">
        <f ca="1">IF(B280&gt;=$P$5,0,CONTADORES!Q282-CONTADORES!Q281)</f>
        <v>15.600000000005821</v>
      </c>
      <c r="T280" s="212">
        <f ca="1">IF(B280&gt;=$P$5,0,(CONTADORES!S282-CONTADORES!S281)+(CONTADORES!AE282-CONTADORES!AE281))</f>
        <v>3.3799999999999955</v>
      </c>
      <c r="U280" s="212">
        <f ca="1">IF(B280&gt;=$P$5,0,(CONTADORES!AQ282-CONTADORES!AQ281))</f>
        <v>5.6790000000037253</v>
      </c>
      <c r="V280" s="212">
        <f ca="1">IF(B280&gt;=$P$5,0,(CONTADORES!AR282-CONTADORES!AR281))</f>
        <v>0</v>
      </c>
      <c r="W280" s="736">
        <v>0</v>
      </c>
      <c r="X280" s="212">
        <f ca="1">IF(W280=0,(T280-INICIO!$W$6),((T280-INICIO!$W$6)+V280))</f>
        <v>3.3799999999999955</v>
      </c>
      <c r="Y280" s="214">
        <f t="shared" ca="1" si="70"/>
        <v>9.9210000000020955</v>
      </c>
      <c r="Z280" s="215">
        <f t="shared" ca="1" si="71"/>
        <v>7.535469994399409</v>
      </c>
      <c r="AA280" s="212">
        <f t="shared" ca="1" si="72"/>
        <v>1.5895633227349029</v>
      </c>
      <c r="AB280" s="212">
        <f t="shared" ca="1" si="73"/>
        <v>0.5639067828725286</v>
      </c>
      <c r="AC280" s="214">
        <f t="shared" ca="1" si="68"/>
        <v>0.23205989999525475</v>
      </c>
    </row>
    <row r="281" spans="2:29">
      <c r="B281" s="220">
        <v>44832</v>
      </c>
      <c r="C281" s="208">
        <f ca="1">DATOSAÑO!I281</f>
        <v>0</v>
      </c>
      <c r="D281" s="202">
        <f ca="1">DATOSAÑO!P281</f>
        <v>436.05499999999302</v>
      </c>
      <c r="E281" s="202">
        <f ca="1">DATOSAÑO!Q281</f>
        <v>0</v>
      </c>
      <c r="F281" s="202">
        <f ca="1">DATOSAÑO!T281</f>
        <v>10.178999999999974</v>
      </c>
      <c r="G281" s="202">
        <f t="shared" ca="1" si="67"/>
        <v>446.23399999999299</v>
      </c>
      <c r="H281" s="202">
        <f t="shared" ca="1" si="65"/>
        <v>46.454400000007979</v>
      </c>
      <c r="I281" s="202">
        <f t="shared" ca="1" si="74"/>
        <v>187.27242535275116</v>
      </c>
      <c r="J281" s="202">
        <f t="shared" ca="1" si="75"/>
        <v>42.042430501269813</v>
      </c>
      <c r="K281" s="202">
        <f t="shared" ca="1" si="76"/>
        <v>8.2415682620394204</v>
      </c>
      <c r="L281" s="202">
        <f t="shared" ca="1" si="66"/>
        <v>156.82859999999863</v>
      </c>
      <c r="M281" s="202">
        <f t="shared" ca="1" si="77"/>
        <v>5.3945758839259819</v>
      </c>
      <c r="N281" s="202">
        <f t="shared" ca="1" si="69"/>
        <v>5.1710000000020955</v>
      </c>
      <c r="O281" s="202">
        <f ca="1">(DATOSAÑO!AJ281+DATOSAÑO!AK281+DATOSAÑO!AD281)</f>
        <v>179.51100000000588</v>
      </c>
      <c r="P281" s="202">
        <f ca="1">DATOSAÑO!AI281</f>
        <v>40.299999999988358</v>
      </c>
      <c r="Q281" s="202">
        <f ca="1">DATOSAÑO!AH281</f>
        <v>7.9000000000014552</v>
      </c>
      <c r="R281" s="202">
        <f ca="1">DATOSAÑO!AM281+DATOSAÑO!AN281+DATOSAÑO!AF281</f>
        <v>156.82859999999863</v>
      </c>
      <c r="S281" s="215">
        <f ca="1">IF(B281&gt;=$P$5,0,CONTADORES!Q283-CONTADORES!Q282)</f>
        <v>15.239999999990687</v>
      </c>
      <c r="T281" s="212">
        <f ca="1">IF(B281&gt;=$P$5,0,(CONTADORES!S283-CONTADORES!S282)+(CONTADORES!AE283-CONTADORES!AE282))</f>
        <v>3.4699999999999704</v>
      </c>
      <c r="U281" s="212">
        <f ca="1">IF(B281&gt;=$P$5,0,(CONTADORES!AQ283-CONTADORES!AQ282))</f>
        <v>5.1710000000020955</v>
      </c>
      <c r="V281" s="212">
        <f ca="1">IF(B281&gt;=$P$5,0,(CONTADORES!AR283-CONTADORES!AR282))</f>
        <v>0</v>
      </c>
      <c r="W281" s="736">
        <v>0</v>
      </c>
      <c r="X281" s="212">
        <f ca="1">IF(W281=0,(T281-INICIO!$W$6),((T281-INICIO!$W$6)+V281))</f>
        <v>3.4699999999999704</v>
      </c>
      <c r="Y281" s="214">
        <f t="shared" ca="1" si="70"/>
        <v>10.068999999988591</v>
      </c>
      <c r="Z281" s="215">
        <f t="shared" ca="1" si="71"/>
        <v>7.761425352745289</v>
      </c>
      <c r="AA281" s="212">
        <f t="shared" ca="1" si="72"/>
        <v>1.7424305012814509</v>
      </c>
      <c r="AB281" s="212">
        <f t="shared" ca="1" si="73"/>
        <v>0.34156826203796459</v>
      </c>
      <c r="AC281" s="214">
        <f t="shared" ca="1" si="68"/>
        <v>0.22357588392388678</v>
      </c>
    </row>
    <row r="282" spans="2:29">
      <c r="B282" s="220">
        <v>44833</v>
      </c>
      <c r="C282" s="208">
        <f ca="1">DATOSAÑO!I282</f>
        <v>0</v>
      </c>
      <c r="D282" s="202">
        <f ca="1">DATOSAÑO!P282</f>
        <v>434</v>
      </c>
      <c r="E282" s="202">
        <f ca="1">DATOSAÑO!Q282</f>
        <v>0</v>
      </c>
      <c r="F282" s="202">
        <f ca="1">DATOSAÑO!T282</f>
        <v>9.9950000000000045</v>
      </c>
      <c r="G282" s="202">
        <f t="shared" ca="1" si="67"/>
        <v>443.995</v>
      </c>
      <c r="H282" s="202">
        <f t="shared" ca="1" si="65"/>
        <v>43.560999999989463</v>
      </c>
      <c r="I282" s="202">
        <f t="shared" ca="1" si="74"/>
        <v>191.09388800191323</v>
      </c>
      <c r="J282" s="202">
        <f t="shared" ca="1" si="75"/>
        <v>42.488450302335778</v>
      </c>
      <c r="K282" s="202">
        <f t="shared" ca="1" si="76"/>
        <v>6.873131666552311</v>
      </c>
      <c r="L282" s="202">
        <f t="shared" ca="1" si="66"/>
        <v>155.18400000000327</v>
      </c>
      <c r="M282" s="202">
        <f t="shared" ca="1" si="77"/>
        <v>4.7945300292059709</v>
      </c>
      <c r="N282" s="202">
        <f t="shared" ca="1" si="69"/>
        <v>4.6039999999920838</v>
      </c>
      <c r="O282" s="202">
        <f ca="1">(DATOSAÑO!AJ282+DATOSAÑO!AK282+DATOSAÑO!AD282)</f>
        <v>183.5</v>
      </c>
      <c r="P282" s="202">
        <f ca="1">DATOSAÑO!AI282</f>
        <v>40.80000000000291</v>
      </c>
      <c r="Q282" s="202">
        <f ca="1">DATOSAÑO!AH282</f>
        <v>6.5999999999985448</v>
      </c>
      <c r="R282" s="202">
        <f ca="1">DATOSAÑO!AM282+DATOSAÑO!AN282+DATOSAÑO!AF282</f>
        <v>155.18400000000327</v>
      </c>
      <c r="S282" s="215">
        <f ca="1">IF(B282&gt;=$P$5,0,CONTADORES!Q284-CONTADORES!Q283)</f>
        <v>14.350000000005821</v>
      </c>
      <c r="T282" s="212">
        <f ca="1">IF(B282&gt;=$P$5,0,(CONTADORES!S284-CONTADORES!S283)+(CONTADORES!AE284-CONTADORES!AE283))</f>
        <v>3.410000000000025</v>
      </c>
      <c r="U282" s="212">
        <f ca="1">IF(B282&gt;=$P$5,0,(CONTADORES!AQ284-CONTADORES!AQ283))</f>
        <v>4.6039999999920838</v>
      </c>
      <c r="V282" s="212">
        <f ca="1">IF(B282&gt;=$P$5,0,(CONTADORES!AR284-CONTADORES!AR283))</f>
        <v>0</v>
      </c>
      <c r="W282" s="736">
        <v>0</v>
      </c>
      <c r="X282" s="212">
        <f ca="1">IF(W282=0,(T282-INICIO!$W$6),((T282-INICIO!$W$6)+V282))</f>
        <v>3.410000000000025</v>
      </c>
      <c r="Y282" s="214">
        <f t="shared" ca="1" si="70"/>
        <v>9.746000000013737</v>
      </c>
      <c r="Z282" s="215">
        <f t="shared" ca="1" si="71"/>
        <v>7.5938880019132151</v>
      </c>
      <c r="AA282" s="212">
        <f t="shared" ca="1" si="72"/>
        <v>1.6884503023328681</v>
      </c>
      <c r="AB282" s="212">
        <f t="shared" ca="1" si="73"/>
        <v>0.27313166655376658</v>
      </c>
      <c r="AC282" s="214">
        <f t="shared" ca="1" si="68"/>
        <v>0.19053002921388734</v>
      </c>
    </row>
    <row r="283" spans="2:29" ht="15" thickBot="1">
      <c r="B283" s="1069">
        <v>44834</v>
      </c>
      <c r="C283" s="209">
        <f ca="1">DATOSAÑO!I283</f>
        <v>0</v>
      </c>
      <c r="D283" s="203">
        <f ca="1">DATOSAÑO!P283</f>
        <v>428</v>
      </c>
      <c r="E283" s="203">
        <f ca="1">DATOSAÑO!Q283</f>
        <v>0</v>
      </c>
      <c r="F283" s="203">
        <f ca="1">DATOSAÑO!T283</f>
        <v>13.634000000000015</v>
      </c>
      <c r="G283" s="203">
        <f t="shared" ca="1" si="67"/>
        <v>441.63400000000001</v>
      </c>
      <c r="H283" s="203">
        <f t="shared" ca="1" si="65"/>
        <v>42.989000000014698</v>
      </c>
      <c r="I283" s="203">
        <f t="shared" ca="1" si="74"/>
        <v>188.39244563142435</v>
      </c>
      <c r="J283" s="203">
        <f t="shared" ca="1" si="75"/>
        <v>41.240137352159984</v>
      </c>
      <c r="K283" s="203">
        <f t="shared" ca="1" si="76"/>
        <v>11.247310186952207</v>
      </c>
      <c r="L283" s="203">
        <f t="shared" ca="1" si="66"/>
        <v>152.98499999999819</v>
      </c>
      <c r="M283" s="203">
        <f t="shared" ca="1" si="77"/>
        <v>4.7801068294505678</v>
      </c>
      <c r="N283" s="203">
        <f t="shared" ca="1" si="69"/>
        <v>4.5899999999965075</v>
      </c>
      <c r="O283" s="203">
        <f ca="1">(DATOSAÑO!AJ283+DATOSAÑO!AK283+DATOSAÑO!AD283)</f>
        <v>180.89999999999418</v>
      </c>
      <c r="P283" s="203">
        <f ca="1">DATOSAÑO!AI283</f>
        <v>39.600000000005821</v>
      </c>
      <c r="Q283" s="203">
        <f ca="1">DATOSAÑO!AH283</f>
        <v>10.800000000001091</v>
      </c>
      <c r="R283" s="203">
        <f ca="1">DATOSAÑO!AM283+DATOSAÑO!AN283+DATOSAÑO!AF283</f>
        <v>152.98499999999819</v>
      </c>
      <c r="S283" s="209">
        <f ca="1">IF(B283&gt;=$P$5,0,CONTADORES!Q285-CONTADORES!Q284)</f>
        <v>14.35999999998603</v>
      </c>
      <c r="T283" s="203">
        <f ca="1">IF(B283&gt;=$P$5,0,(CONTADORES!S285-CONTADORES!S284)+(CONTADORES!AE285-CONTADORES!AE284))</f>
        <v>3.339999999999975</v>
      </c>
      <c r="U283" s="203">
        <f ca="1">IF(B283&gt;=$P$5,0,(CONTADORES!AQ285-CONTADORES!AQ284))</f>
        <v>4.5899999999965075</v>
      </c>
      <c r="V283" s="203">
        <f ca="1">IF(B283&gt;=$P$5,0,(CONTADORES!AR285-CONTADORES!AR284))</f>
        <v>0</v>
      </c>
      <c r="W283" s="737">
        <v>0</v>
      </c>
      <c r="X283" s="203">
        <f ca="1">IF(W283=0,(T283-INICIO!$W$6),((T283-INICIO!$W$6)+V283))</f>
        <v>3.339999999999975</v>
      </c>
      <c r="Y283" s="207">
        <f t="shared" ca="1" si="70"/>
        <v>9.7699999999895226</v>
      </c>
      <c r="Z283" s="206">
        <f t="shared" ca="1" si="71"/>
        <v>7.4924456314301828</v>
      </c>
      <c r="AA283" s="203">
        <f t="shared" ca="1" si="72"/>
        <v>1.6401373521541645</v>
      </c>
      <c r="AB283" s="203">
        <f t="shared" ca="1" si="73"/>
        <v>0.44731018695111524</v>
      </c>
      <c r="AC283" s="207">
        <f t="shared" ca="1" si="68"/>
        <v>0.19010682945406013</v>
      </c>
    </row>
    <row r="284" spans="2:29">
      <c r="B284" s="410">
        <v>44835</v>
      </c>
      <c r="C284" s="208">
        <f ca="1">DATOSAÑO!I284</f>
        <v>0</v>
      </c>
      <c r="D284" s="202">
        <f ca="1">DATOSAÑO!P284</f>
        <v>440</v>
      </c>
      <c r="E284" s="202">
        <f ca="1">DATOSAÑO!Q284</f>
        <v>0</v>
      </c>
      <c r="F284" s="202">
        <f ca="1">DATOSAÑO!T284</f>
        <v>8.5620000000000118</v>
      </c>
      <c r="G284" s="202">
        <f t="shared" ca="1" si="67"/>
        <v>448.56200000000001</v>
      </c>
      <c r="H284" s="202">
        <f ca="1">G284-SUM(I284:M284)</f>
        <v>37.133999999997116</v>
      </c>
      <c r="I284" s="202">
        <f t="shared" ca="1" si="74"/>
        <v>192.13476055405681</v>
      </c>
      <c r="J284" s="202">
        <f t="shared" ca="1" si="75"/>
        <v>41.379672456990797</v>
      </c>
      <c r="K284" s="202">
        <f t="shared" ca="1" si="76"/>
        <v>11.644530942666901</v>
      </c>
      <c r="L284" s="202">
        <f t="shared" ca="1" si="66"/>
        <v>160.34800000000109</v>
      </c>
      <c r="M284" s="202">
        <f t="shared" ca="1" si="77"/>
        <v>5.9210360462872424</v>
      </c>
      <c r="N284" s="202">
        <f t="shared" ca="1" si="69"/>
        <v>5.694999999992433</v>
      </c>
      <c r="O284" s="202">
        <f ca="1">(DATOSAÑO!AJ284+DATOSAÑO!AK284+DATOSAÑO!AD284)</f>
        <v>184.80000000000291</v>
      </c>
      <c r="P284" s="202">
        <f ca="1">DATOSAÑO!AI284</f>
        <v>39.80000000000291</v>
      </c>
      <c r="Q284" s="202">
        <f ca="1">DATOSAÑO!AH284</f>
        <v>11.19999999999709</v>
      </c>
      <c r="R284" s="202">
        <f ca="1">DATOSAÑO!AM284+DATOSAÑO!AN284+DATOSAÑO!AF284</f>
        <v>160.34800000000109</v>
      </c>
      <c r="S284" s="208">
        <f ca="1">IF(B284&gt;=$P$5,0,CONTADORES!Q288-CONTADORES!Q287)</f>
        <v>15.279999999998836</v>
      </c>
      <c r="T284" s="202">
        <f ca="1">IF(B284&gt;=$P$5,0,(CONTADORES!S288-CONTADORES!S287)+(CONTADORES!AE288-CONTADORES!AE287))</f>
        <v>2.6100000000000136</v>
      </c>
      <c r="U284" s="202">
        <f ca="1">IF(B284&gt;=$P$5,0,(CONTADORES!AQ288-CONTADORES!AQ287))</f>
        <v>5.694999999992433</v>
      </c>
      <c r="V284" s="202">
        <f ca="1">IF(B284&gt;=$P$5,0,(CONTADORES!AR288-CONTADORES!AR287))</f>
        <v>0</v>
      </c>
      <c r="W284" s="735">
        <v>0</v>
      </c>
      <c r="X284" s="202">
        <f ca="1">IF(W284=0,(T284-INICIO!$W$6),((T284-INICIO!$W$6)+V284))</f>
        <v>2.6100000000000136</v>
      </c>
      <c r="Y284" s="214">
        <f t="shared" ca="1" si="70"/>
        <v>9.5850000000064028</v>
      </c>
      <c r="Z284" s="215">
        <f t="shared" ca="1" si="71"/>
        <v>7.3347605540538954</v>
      </c>
      <c r="AA284" s="212">
        <f t="shared" ca="1" si="72"/>
        <v>1.5796724569878884</v>
      </c>
      <c r="AB284" s="212">
        <f t="shared" ca="1" si="73"/>
        <v>0.44453094266981047</v>
      </c>
      <c r="AC284" s="214">
        <f t="shared" ca="1" si="68"/>
        <v>0.22603604629480936</v>
      </c>
    </row>
    <row r="285" spans="2:29">
      <c r="B285" s="220">
        <v>44836</v>
      </c>
      <c r="C285" s="208">
        <f ca="1">DATOSAÑO!I285</f>
        <v>0</v>
      </c>
      <c r="D285" s="202">
        <f ca="1">DATOSAÑO!P285</f>
        <v>437</v>
      </c>
      <c r="E285" s="202">
        <f ca="1">DATOSAÑO!Q285</f>
        <v>0.39199999999982538</v>
      </c>
      <c r="F285" s="202">
        <f ca="1">DATOSAÑO!T285</f>
        <v>13.410999999999945</v>
      </c>
      <c r="G285" s="202">
        <f t="shared" ca="1" si="67"/>
        <v>450.80299999999977</v>
      </c>
      <c r="H285" s="202">
        <f t="shared" ref="H285:H314" ca="1" si="78">G285-SUM(I285:M285)</f>
        <v>32.446000000008723</v>
      </c>
      <c r="I285" s="202">
        <f t="shared" ca="1" si="74"/>
        <v>194.66822946759771</v>
      </c>
      <c r="J285" s="202">
        <f t="shared" ca="1" si="75"/>
        <v>41.445494015672956</v>
      </c>
      <c r="K285" s="202">
        <f t="shared" ca="1" si="76"/>
        <v>12.140599257117474</v>
      </c>
      <c r="L285" s="202">
        <f t="shared" ca="1" si="66"/>
        <v>164.76500000000141</v>
      </c>
      <c r="M285" s="202">
        <f t="shared" ca="1" si="77"/>
        <v>5.337677259601513</v>
      </c>
      <c r="N285" s="202">
        <f t="shared" ca="1" si="69"/>
        <v>5.1000000000058208</v>
      </c>
      <c r="O285" s="202">
        <f ca="1">(DATOSAÑO!AJ285+DATOSAÑO!AK285+DATOSAÑO!AD285)</f>
        <v>186</v>
      </c>
      <c r="P285" s="202">
        <f ca="1">DATOSAÑO!AI285</f>
        <v>39.599999999991269</v>
      </c>
      <c r="Q285" s="202">
        <f ca="1">DATOSAÑO!AH285</f>
        <v>11.599999999998545</v>
      </c>
      <c r="R285" s="202">
        <f ca="1">DATOSAÑO!AM285+DATOSAÑO!AN285+DATOSAÑO!AF285</f>
        <v>164.76500000000141</v>
      </c>
      <c r="S285" s="215">
        <f ca="1">IF(B285&gt;=$P$5,0,CONTADORES!Q289-CONTADORES!Q288)</f>
        <v>16</v>
      </c>
      <c r="T285" s="212">
        <f ca="1">IF(B285&gt;=$P$5,0,(CONTADORES!S289-CONTADORES!S288)+(CONTADORES!AE289-CONTADORES!AE288))</f>
        <v>2.6100000000000136</v>
      </c>
      <c r="U285" s="212">
        <f ca="1">IF(B285&gt;=$P$5,0,(CONTADORES!AQ289-CONTADORES!AQ288))</f>
        <v>5.1000000000058208</v>
      </c>
      <c r="V285" s="212">
        <f ca="1">IF(B285&gt;=$P$5,0,(CONTADORES!AR289-CONTADORES!AR288))</f>
        <v>0</v>
      </c>
      <c r="W285" s="736">
        <v>0</v>
      </c>
      <c r="X285" s="212">
        <f ca="1">IF(W285=0,(T285-INICIO!$W$6),((T285-INICIO!$W$6)+V285))</f>
        <v>2.6100000000000136</v>
      </c>
      <c r="Y285" s="214">
        <f t="shared" ca="1" si="70"/>
        <v>11.291999999994005</v>
      </c>
      <c r="Z285" s="215">
        <f t="shared" ca="1" si="71"/>
        <v>8.6682294675976994</v>
      </c>
      <c r="AA285" s="212">
        <f t="shared" ca="1" si="72"/>
        <v>1.8454940156816841</v>
      </c>
      <c r="AB285" s="212">
        <f t="shared" ca="1" si="73"/>
        <v>0.54059925711892853</v>
      </c>
      <c r="AC285" s="214">
        <f t="shared" ca="1" si="68"/>
        <v>0.23767725959569205</v>
      </c>
    </row>
    <row r="286" spans="2:29">
      <c r="B286" s="220">
        <v>44837</v>
      </c>
      <c r="C286" s="208">
        <f ca="1">DATOSAÑO!I286</f>
        <v>0</v>
      </c>
      <c r="D286" s="202">
        <f ca="1">DATOSAÑO!P286</f>
        <v>436</v>
      </c>
      <c r="E286" s="202">
        <f ca="1">DATOSAÑO!Q286</f>
        <v>0</v>
      </c>
      <c r="F286" s="202">
        <f ca="1">DATOSAÑO!T286</f>
        <v>13.547000000000025</v>
      </c>
      <c r="G286" s="202">
        <f t="shared" ca="1" si="67"/>
        <v>449.54700000000003</v>
      </c>
      <c r="H286" s="202">
        <f t="shared" ca="1" si="78"/>
        <v>34.23299999998909</v>
      </c>
      <c r="I286" s="202">
        <f t="shared" ca="1" si="74"/>
        <v>191.84621710526278</v>
      </c>
      <c r="J286" s="202">
        <f t="shared" ca="1" si="75"/>
        <v>40.339555921061603</v>
      </c>
      <c r="K286" s="202">
        <f t="shared" ca="1" si="76"/>
        <v>13.792187500004877</v>
      </c>
      <c r="L286" s="202">
        <f t="shared" ca="1" si="66"/>
        <v>163.11399999999747</v>
      </c>
      <c r="M286" s="202">
        <f t="shared" ca="1" si="77"/>
        <v>6.2220394736841982</v>
      </c>
      <c r="N286" s="202">
        <f t="shared" ca="1" si="69"/>
        <v>6</v>
      </c>
      <c r="O286" s="202">
        <f ca="1">(DATOSAÑO!AJ286+DATOSAÑO!AK286+DATOSAÑO!AD286)</f>
        <v>185</v>
      </c>
      <c r="P286" s="202">
        <f ca="1">DATOSAÑO!AI286</f>
        <v>38.900000000008731</v>
      </c>
      <c r="Q286" s="202">
        <f ca="1">DATOSAÑO!AH286</f>
        <v>13.300000000004729</v>
      </c>
      <c r="R286" s="202">
        <f ca="1">DATOSAÑO!AM286+DATOSAÑO!AN286+DATOSAÑO!AF286</f>
        <v>163.11399999999747</v>
      </c>
      <c r="S286" s="215">
        <f ca="1">IF(B286&gt;=$P$5,0,CONTADORES!Q290-CONTADORES!Q289)</f>
        <v>15</v>
      </c>
      <c r="T286" s="212">
        <f ca="1">IF(B286&gt;=$P$5,0,(CONTADORES!S290-CONTADORES!S289)+(CONTADORES!AE290-CONTADORES!AE289))</f>
        <v>2.6999999999999886</v>
      </c>
      <c r="U286" s="212">
        <f ca="1">IF(B286&gt;=$P$5,0,(CONTADORES!AQ290-CONTADORES!AQ289))</f>
        <v>6</v>
      </c>
      <c r="V286" s="212">
        <f ca="1">IF(B286&gt;=$P$5,0,(CONTADORES!AR290-CONTADORES!AR289))</f>
        <v>0</v>
      </c>
      <c r="W286" s="736">
        <v>0</v>
      </c>
      <c r="X286" s="212">
        <f ca="1">IF(W286=0,(T286-INICIO!$W$6),((T286-INICIO!$W$6)+V286))</f>
        <v>2.6999999999999886</v>
      </c>
      <c r="Y286" s="214">
        <f t="shared" ca="1" si="70"/>
        <v>9</v>
      </c>
      <c r="Z286" s="215">
        <f t="shared" ca="1" si="71"/>
        <v>6.8462171052627792</v>
      </c>
      <c r="AA286" s="212">
        <f t="shared" ca="1" si="72"/>
        <v>1.439555921052875</v>
      </c>
      <c r="AB286" s="212">
        <f t="shared" ca="1" si="73"/>
        <v>0.49218750000014777</v>
      </c>
      <c r="AC286" s="214">
        <f t="shared" ca="1" si="68"/>
        <v>0.22203947368419824</v>
      </c>
    </row>
    <row r="287" spans="2:29">
      <c r="B287" s="220">
        <v>44838</v>
      </c>
      <c r="C287" s="208">
        <f ca="1">DATOSAÑO!I287</f>
        <v>0</v>
      </c>
      <c r="D287" s="202">
        <f ca="1">DATOSAÑO!P287</f>
        <v>428</v>
      </c>
      <c r="E287" s="202">
        <f ca="1">DATOSAÑO!Q287</f>
        <v>0</v>
      </c>
      <c r="F287" s="202">
        <f ca="1">DATOSAÑO!T287</f>
        <v>10.004000000000019</v>
      </c>
      <c r="G287" s="202">
        <f t="shared" ca="1" si="67"/>
        <v>438.00400000000002</v>
      </c>
      <c r="H287" s="202">
        <f t="shared" ca="1" si="78"/>
        <v>31.725999999992382</v>
      </c>
      <c r="I287" s="202">
        <f t="shared" ca="1" si="74"/>
        <v>189.68681506850206</v>
      </c>
      <c r="J287" s="202">
        <f t="shared" ca="1" si="75"/>
        <v>40.878082191777743</v>
      </c>
      <c r="K287" s="202">
        <f t="shared" ca="1" si="76"/>
        <v>7.8210616438356082</v>
      </c>
      <c r="L287" s="202">
        <f t="shared" ca="1" si="66"/>
        <v>162.67800000000182</v>
      </c>
      <c r="M287" s="202">
        <f t="shared" ca="1" si="77"/>
        <v>5.2140410958904058</v>
      </c>
      <c r="N287" s="202">
        <f t="shared" ca="1" si="69"/>
        <v>5</v>
      </c>
      <c r="O287" s="202">
        <f ca="1">(DATOSAÑO!AJ287+DATOSAÑO!AK287+DATOSAÑO!AD287)</f>
        <v>181.90000000000873</v>
      </c>
      <c r="P287" s="202">
        <f ca="1">DATOSAÑO!AI287</f>
        <v>39.19999999999709</v>
      </c>
      <c r="Q287" s="202">
        <f ca="1">DATOSAÑO!AH287</f>
        <v>7.5</v>
      </c>
      <c r="R287" s="202">
        <f ca="1">DATOSAÑO!AM287+DATOSAÑO!AN287+DATOSAÑO!AF287</f>
        <v>162.67800000000182</v>
      </c>
      <c r="S287" s="215">
        <f ca="1">IF(B287&gt;=$P$5,0,CONTADORES!Q291-CONTADORES!Q290)</f>
        <v>15</v>
      </c>
      <c r="T287" s="212">
        <f ca="1">IF(B287&gt;=$P$5,0,(CONTADORES!S291-CONTADORES!S290)+(CONTADORES!AE291-CONTADORES!AE290))</f>
        <v>2.4000000000000341</v>
      </c>
      <c r="U287" s="212">
        <f ca="1">IF(B287&gt;=$P$5,0,(CONTADORES!AQ291-CONTADORES!AQ290))</f>
        <v>5</v>
      </c>
      <c r="V287" s="212">
        <f ca="1">IF(B287&gt;=$P$5,0,(CONTADORES!AR291-CONTADORES!AR290))</f>
        <v>0</v>
      </c>
      <c r="W287" s="736">
        <v>0</v>
      </c>
      <c r="X287" s="212">
        <f ca="1">IF(W287=0,(T287-INICIO!$W$6),((T287-INICIO!$W$6)+V287))</f>
        <v>2.4000000000000341</v>
      </c>
      <c r="Y287" s="214">
        <f t="shared" ca="1" si="70"/>
        <v>10</v>
      </c>
      <c r="Z287" s="215">
        <f t="shared" ca="1" si="71"/>
        <v>7.7868150684933308</v>
      </c>
      <c r="AA287" s="212">
        <f t="shared" ca="1" si="72"/>
        <v>1.6780821917806554</v>
      </c>
      <c r="AB287" s="212">
        <f t="shared" ca="1" si="73"/>
        <v>0.32106164383560842</v>
      </c>
      <c r="AC287" s="214">
        <f t="shared" ca="1" si="68"/>
        <v>0.21404109589040562</v>
      </c>
    </row>
    <row r="288" spans="2:29">
      <c r="B288" s="220">
        <v>44839</v>
      </c>
      <c r="C288" s="208">
        <f ca="1">DATOSAÑO!I288</f>
        <v>0</v>
      </c>
      <c r="D288" s="202">
        <f ca="1">DATOSAÑO!P288</f>
        <v>430</v>
      </c>
      <c r="E288" s="202">
        <f ca="1">DATOSAÑO!Q288</f>
        <v>0</v>
      </c>
      <c r="F288" s="202">
        <f ca="1">DATOSAÑO!T288</f>
        <v>7.2289999999999281</v>
      </c>
      <c r="G288" s="202">
        <f t="shared" ca="1" si="67"/>
        <v>437.22899999999993</v>
      </c>
      <c r="H288" s="202">
        <f t="shared" ca="1" si="78"/>
        <v>142185.98199999999</v>
      </c>
      <c r="I288" s="202">
        <f t="shared" ca="1" si="74"/>
        <v>389.5912969291013</v>
      </c>
      <c r="J288" s="202">
        <f t="shared" ca="1" si="75"/>
        <v>84.7501600422857</v>
      </c>
      <c r="K288" s="202">
        <f t="shared" ca="1" si="76"/>
        <v>16.647352865447854</v>
      </c>
      <c r="L288" s="202">
        <f t="shared" ca="1" si="66"/>
        <v>162.14700000000101</v>
      </c>
      <c r="M288" s="202">
        <f t="shared" ca="1" si="77"/>
        <v>-142401.88880983682</v>
      </c>
      <c r="N288" s="202">
        <f t="shared" ca="1" si="69"/>
        <v>-65866</v>
      </c>
      <c r="O288" s="202">
        <f ca="1">(DATOSAÑO!AJ288+DATOSAÑO!AK288+DATOSAÑO!AD288)</f>
        <v>180.19999999999709</v>
      </c>
      <c r="P288" s="202">
        <f ca="1">DATOSAÑO!AI288</f>
        <v>39.19999999999709</v>
      </c>
      <c r="Q288" s="202">
        <f ca="1">DATOSAÑO!AH288</f>
        <v>7.6999999999989086</v>
      </c>
      <c r="R288" s="202">
        <f ca="1">DATOSAÑO!AM288+DATOSAÑO!AN288+DATOSAÑO!AF288</f>
        <v>162.14700000000101</v>
      </c>
      <c r="S288" s="215">
        <f ca="1">IF(B288&gt;=$P$5,0,CONTADORES!Q292-CONTADORES!Q291)</f>
        <v>-142138</v>
      </c>
      <c r="T288" s="212">
        <f ca="1">IF(B288&gt;=$P$5,0,(CONTADORES!S292-CONTADORES!S291)+(CONTADORES!AE292-CONTADORES!AE291))</f>
        <v>-14477.2</v>
      </c>
      <c r="U288" s="212">
        <f ca="1">IF(B288&gt;=$P$5,0,(CONTADORES!AQ292-CONTADORES!AQ291))</f>
        <v>-65866</v>
      </c>
      <c r="V288" s="212">
        <f ca="1">IF(B288&gt;=$P$5,0,(CONTADORES!AR292-CONTADORES!AR291))</f>
        <v>0</v>
      </c>
      <c r="W288" s="736">
        <v>0</v>
      </c>
      <c r="X288" s="212">
        <f ca="1">IF(W288=0,(T288-INICIO!$W$6),((T288-INICIO!$W$6)+V288))</f>
        <v>-14477.2</v>
      </c>
      <c r="Y288" s="214">
        <f t="shared" ca="1" si="70"/>
        <v>-76272</v>
      </c>
      <c r="Z288" s="215">
        <f t="shared" ca="1" si="71"/>
        <v>209.39129692910419</v>
      </c>
      <c r="AA288" s="212">
        <f t="shared" ca="1" si="72"/>
        <v>45.550160042288603</v>
      </c>
      <c r="AB288" s="212">
        <f t="shared" ca="1" si="73"/>
        <v>8.9473528654489449</v>
      </c>
      <c r="AC288" s="214">
        <f t="shared" ca="1" si="68"/>
        <v>-76535.888809836833</v>
      </c>
    </row>
    <row r="289" spans="2:29">
      <c r="B289" s="220">
        <v>44840</v>
      </c>
      <c r="C289" s="208">
        <f ca="1">DATOSAÑO!I289</f>
        <v>0</v>
      </c>
      <c r="D289" s="202">
        <f ca="1">DATOSAÑO!P289</f>
        <v>438</v>
      </c>
      <c r="E289" s="202">
        <f ca="1">DATOSAÑO!Q289</f>
        <v>0</v>
      </c>
      <c r="F289" s="202">
        <f ca="1">DATOSAÑO!T289</f>
        <v>10.633000000000038</v>
      </c>
      <c r="G289" s="202">
        <f t="shared" ca="1" si="67"/>
        <v>448.63300000000004</v>
      </c>
      <c r="H289" s="202">
        <f t="shared" ca="1" si="78"/>
        <v>-142088.158</v>
      </c>
      <c r="I289" s="202">
        <f t="shared" ca="1" si="74"/>
        <v>395.24422298943091</v>
      </c>
      <c r="J289" s="202">
        <f t="shared" ca="1" si="75"/>
        <v>83.787467434804142</v>
      </c>
      <c r="K289" s="202">
        <f t="shared" ca="1" si="76"/>
        <v>21.108410819060346</v>
      </c>
      <c r="L289" s="202">
        <f t="shared" ca="1" si="66"/>
        <v>166.59099999999677</v>
      </c>
      <c r="M289" s="202">
        <f t="shared" ca="1" si="77"/>
        <v>141870.05989875671</v>
      </c>
      <c r="N289" s="202">
        <f t="shared" ca="1" si="69"/>
        <v>65866</v>
      </c>
      <c r="O289" s="202">
        <f ca="1">(DATOSAÑO!AJ289+DATOSAÑO!AK289+DATOSAÑO!AD289)</f>
        <v>183.5</v>
      </c>
      <c r="P289" s="202">
        <f ca="1">DATOSAÑO!AI289</f>
        <v>38.899999999994179</v>
      </c>
      <c r="Q289" s="202">
        <f ca="1">DATOSAÑO!AH289</f>
        <v>9.8000000000029104</v>
      </c>
      <c r="R289" s="202">
        <f ca="1">DATOSAÑO!AM289+DATOSAÑO!AN289+DATOSAÑO!AF289</f>
        <v>166.59099999999677</v>
      </c>
      <c r="S289" s="215">
        <f ca="1">IF(B289&gt;=$P$5,0,CONTADORES!Q293-CONTADORES!Q292)</f>
        <v>142138</v>
      </c>
      <c r="T289" s="212">
        <f ca="1">IF(B289&gt;=$P$5,0,(CONTADORES!S293-CONTADORES!S292)+(CONTADORES!AE293-CONTADORES!AE292))</f>
        <v>14477.2</v>
      </c>
      <c r="U289" s="212">
        <f ca="1">IF(B289&gt;=$P$5,0,(CONTADORES!AQ293-CONTADORES!AQ292))</f>
        <v>65866</v>
      </c>
      <c r="V289" s="212">
        <f ca="1">IF(B289&gt;=$P$5,0,(CONTADORES!AR293-CONTADORES!AR292))</f>
        <v>0</v>
      </c>
      <c r="W289" s="736">
        <v>0</v>
      </c>
      <c r="X289" s="212">
        <f ca="1">IF(W289=0,(T289-INICIO!$W$6),((T289-INICIO!$W$6)+V289))</f>
        <v>14477.2</v>
      </c>
      <c r="Y289" s="214">
        <f t="shared" ca="1" si="70"/>
        <v>76272</v>
      </c>
      <c r="Z289" s="215">
        <f t="shared" ca="1" si="71"/>
        <v>211.74422298943088</v>
      </c>
      <c r="AA289" s="212">
        <f t="shared" ca="1" si="72"/>
        <v>44.88746743480997</v>
      </c>
      <c r="AB289" s="212">
        <f t="shared" ca="1" si="73"/>
        <v>11.308410819057434</v>
      </c>
      <c r="AC289" s="214">
        <f t="shared" ca="1" si="68"/>
        <v>76004.059898756706</v>
      </c>
    </row>
    <row r="290" spans="2:29">
      <c r="B290" s="220">
        <v>44841</v>
      </c>
      <c r="C290" s="208">
        <f ca="1">DATOSAÑO!I290</f>
        <v>0</v>
      </c>
      <c r="D290" s="202">
        <f ca="1">DATOSAÑO!P290</f>
        <v>420</v>
      </c>
      <c r="E290" s="202">
        <f ca="1">DATOSAÑO!Q290</f>
        <v>0</v>
      </c>
      <c r="F290" s="202">
        <f ca="1">DATOSAÑO!T290</f>
        <v>7.6079999999999472</v>
      </c>
      <c r="G290" s="202">
        <f t="shared" ca="1" si="67"/>
        <v>427.60799999999995</v>
      </c>
      <c r="H290" s="202">
        <f t="shared" ca="1" si="78"/>
        <v>32.250999999994235</v>
      </c>
      <c r="I290" s="202">
        <f t="shared" ca="1" si="74"/>
        <v>183.75672102247674</v>
      </c>
      <c r="J290" s="202">
        <f t="shared" ca="1" si="75"/>
        <v>37.899823710888867</v>
      </c>
      <c r="K290" s="202">
        <f t="shared" ca="1" si="76"/>
        <v>11.067166152490456</v>
      </c>
      <c r="L290" s="202">
        <f t="shared" ca="1" si="66"/>
        <v>158.45700000000249</v>
      </c>
      <c r="M290" s="202">
        <f t="shared" ca="1" si="77"/>
        <v>4.1762891141471989</v>
      </c>
      <c r="N290" s="202">
        <f t="shared" ca="1" si="69"/>
        <v>4</v>
      </c>
      <c r="O290" s="202">
        <f ca="1">(DATOSAÑO!AJ290+DATOSAÑO!AK290+DATOSAÑO!AD290)</f>
        <v>176</v>
      </c>
      <c r="P290" s="202">
        <f ca="1">DATOSAÑO!AI290</f>
        <v>36.30000000000291</v>
      </c>
      <c r="Q290" s="202">
        <f ca="1">DATOSAÑO!AH290</f>
        <v>10.600000000000364</v>
      </c>
      <c r="R290" s="202">
        <f ca="1">DATOSAÑO!AM290+DATOSAÑO!AN290+DATOSAÑO!AF290</f>
        <v>158.45700000000249</v>
      </c>
      <c r="S290" s="215">
        <f ca="1">IF(B290&gt;=$P$5,0,CONTADORES!Q294-CONTADORES!Q293)</f>
        <v>14</v>
      </c>
      <c r="T290" s="212">
        <f ca="1">IF(B290&gt;=$P$5,0,(CONTADORES!S294-CONTADORES!S293)+(CONTADORES!AE294-CONTADORES!AE293))</f>
        <v>2.5</v>
      </c>
      <c r="U290" s="212">
        <f ca="1">IF(B290&gt;=$P$5,0,(CONTADORES!AQ294-CONTADORES!AQ293))</f>
        <v>4</v>
      </c>
      <c r="V290" s="212">
        <f ca="1">IF(B290&gt;=$P$5,0,(CONTADORES!AR294-CONTADORES!AR293))</f>
        <v>0</v>
      </c>
      <c r="W290" s="736">
        <v>0</v>
      </c>
      <c r="X290" s="212">
        <f ca="1">IF(W290=0,(T290-INICIO!$W$6),((T290-INICIO!$W$6)+V290))</f>
        <v>2.5</v>
      </c>
      <c r="Y290" s="214">
        <f t="shared" ca="1" si="70"/>
        <v>10</v>
      </c>
      <c r="Z290" s="215">
        <f t="shared" ca="1" si="71"/>
        <v>7.75672102247675</v>
      </c>
      <c r="AA290" s="212">
        <f t="shared" ca="1" si="72"/>
        <v>1.5998237108859579</v>
      </c>
      <c r="AB290" s="212">
        <f t="shared" ca="1" si="73"/>
        <v>0.46716615249009302</v>
      </c>
      <c r="AC290" s="214">
        <f t="shared" ca="1" si="68"/>
        <v>0.17628911414719886</v>
      </c>
    </row>
    <row r="291" spans="2:29">
      <c r="B291" s="220">
        <v>44842</v>
      </c>
      <c r="C291" s="208">
        <f ca="1">DATOSAÑO!I291</f>
        <v>0</v>
      </c>
      <c r="D291" s="202">
        <f ca="1">DATOSAÑO!P291</f>
        <v>427</v>
      </c>
      <c r="E291" s="202">
        <f ca="1">DATOSAÑO!Q291</f>
        <v>0</v>
      </c>
      <c r="F291" s="202">
        <f ca="1">DATOSAÑO!T291</f>
        <v>6.25100000000009</v>
      </c>
      <c r="G291" s="202">
        <f t="shared" ca="1" si="67"/>
        <v>433.25100000000009</v>
      </c>
      <c r="H291" s="202">
        <f t="shared" ca="1" si="78"/>
        <v>27.26800000000253</v>
      </c>
      <c r="I291" s="202">
        <f t="shared" ca="1" si="74"/>
        <v>187.49609544468242</v>
      </c>
      <c r="J291" s="202">
        <f t="shared" ca="1" si="75"/>
        <v>40.483297180046421</v>
      </c>
      <c r="K291" s="202">
        <f t="shared" ca="1" si="76"/>
        <v>6.2603036876355747</v>
      </c>
      <c r="L291" s="202">
        <f t="shared" ca="1" si="66"/>
        <v>165.48299999999753</v>
      </c>
      <c r="M291" s="202">
        <f t="shared" ca="1" si="77"/>
        <v>6.2603036876355747</v>
      </c>
      <c r="N291" s="202">
        <f t="shared" ca="1" si="69"/>
        <v>6</v>
      </c>
      <c r="O291" s="202">
        <f ca="1">(DATOSAÑO!AJ291+DATOSAÑO!AK291+DATOSAÑO!AD291)</f>
        <v>179.69999999999709</v>
      </c>
      <c r="P291" s="202">
        <f ca="1">DATOSAÑO!AI291</f>
        <v>38.80000000000291</v>
      </c>
      <c r="Q291" s="202">
        <f ca="1">DATOSAÑO!AH291</f>
        <v>6</v>
      </c>
      <c r="R291" s="202">
        <f ca="1">DATOSAÑO!AM291+DATOSAÑO!AN291+DATOSAÑO!AF291</f>
        <v>165.48299999999753</v>
      </c>
      <c r="S291" s="215">
        <f ca="1">IF(B291&gt;=$P$5,0,CONTADORES!Q295-CONTADORES!Q294)</f>
        <v>16</v>
      </c>
      <c r="T291" s="212">
        <f ca="1">IF(B291&gt;=$P$5,0,(CONTADORES!S295-CONTADORES!S294)+(CONTADORES!AE295-CONTADORES!AE294))</f>
        <v>2.5999999999999659</v>
      </c>
      <c r="U291" s="212">
        <f ca="1">IF(B291&gt;=$P$5,0,(CONTADORES!AQ295-CONTADORES!AQ294))</f>
        <v>6</v>
      </c>
      <c r="V291" s="212">
        <f ca="1">IF(B291&gt;=$P$5,0,(CONTADORES!AR295-CONTADORES!AR294))</f>
        <v>0</v>
      </c>
      <c r="W291" s="736">
        <v>0</v>
      </c>
      <c r="X291" s="212">
        <f ca="1">IF(W291=0,(T291-INICIO!$W$6),((T291-INICIO!$W$6)+V291))</f>
        <v>2.5999999999999659</v>
      </c>
      <c r="Y291" s="214">
        <f t="shared" ca="1" si="70"/>
        <v>10</v>
      </c>
      <c r="Z291" s="215">
        <f t="shared" ca="1" si="71"/>
        <v>7.7960954446853403</v>
      </c>
      <c r="AA291" s="212">
        <f t="shared" ca="1" si="72"/>
        <v>1.6832971800435101</v>
      </c>
      <c r="AB291" s="212">
        <f t="shared" ca="1" si="73"/>
        <v>0.26030368763557482</v>
      </c>
      <c r="AC291" s="214">
        <f t="shared" ca="1" si="68"/>
        <v>0.26030368763557482</v>
      </c>
    </row>
    <row r="292" spans="2:29">
      <c r="B292" s="220">
        <v>44843</v>
      </c>
      <c r="C292" s="208">
        <f ca="1">DATOSAÑO!I292</f>
        <v>0</v>
      </c>
      <c r="D292" s="202">
        <f ca="1">DATOSAÑO!P292</f>
        <v>424</v>
      </c>
      <c r="E292" s="202">
        <f ca="1">DATOSAÑO!Q292</f>
        <v>0</v>
      </c>
      <c r="F292" s="202">
        <f ca="1">DATOSAÑO!T292</f>
        <v>12.947000000000003</v>
      </c>
      <c r="G292" s="202">
        <f t="shared" ca="1" si="67"/>
        <v>436.947</v>
      </c>
      <c r="H292" s="202">
        <f t="shared" ca="1" si="78"/>
        <v>31.379999999999256</v>
      </c>
      <c r="I292" s="202">
        <f t="shared" ca="1" si="74"/>
        <v>185.16407599309153</v>
      </c>
      <c r="J292" s="202">
        <f t="shared" ca="1" si="75"/>
        <v>40.996891191712876</v>
      </c>
      <c r="K292" s="202">
        <f t="shared" ca="1" si="76"/>
        <v>9.1799654576830072</v>
      </c>
      <c r="L292" s="202">
        <f t="shared" ca="1" si="66"/>
        <v>163.96700000000035</v>
      </c>
      <c r="M292" s="202">
        <f t="shared" ca="1" si="77"/>
        <v>6.2590673575129525</v>
      </c>
      <c r="N292" s="202">
        <f t="shared" ca="1" si="69"/>
        <v>6</v>
      </c>
      <c r="O292" s="202">
        <f ca="1">(DATOSAÑO!AJ292+DATOSAÑO!AK292+DATOSAÑO!AD292)</f>
        <v>177.5</v>
      </c>
      <c r="P292" s="202">
        <f ca="1">DATOSAÑO!AI292</f>
        <v>39.30000000000291</v>
      </c>
      <c r="Q292" s="202">
        <f ca="1">DATOSAÑO!AH292</f>
        <v>8.7999999999974534</v>
      </c>
      <c r="R292" s="202">
        <f ca="1">DATOSAÑO!AM292+DATOSAÑO!AN292+DATOSAÑO!AF292</f>
        <v>163.96700000000035</v>
      </c>
      <c r="S292" s="215">
        <f ca="1">IF(B292&gt;=$P$5,0,CONTADORES!Q296-CONTADORES!Q295)</f>
        <v>16</v>
      </c>
      <c r="T292" s="212">
        <f ca="1">IF(B292&gt;=$P$5,0,(CONTADORES!S296-CONTADORES!S295)+(CONTADORES!AE296-CONTADORES!AE295))</f>
        <v>2.6000000000000227</v>
      </c>
      <c r="U292" s="212">
        <f ca="1">IF(B292&gt;=$P$5,0,(CONTADORES!AQ296-CONTADORES!AQ295))</f>
        <v>6</v>
      </c>
      <c r="V292" s="212">
        <f ca="1">IF(B292&gt;=$P$5,0,(CONTADORES!AR296-CONTADORES!AR295))</f>
        <v>0</v>
      </c>
      <c r="W292" s="736">
        <v>0</v>
      </c>
      <c r="X292" s="212">
        <f ca="1">IF(W292=0,(T292-INICIO!$W$6),((T292-INICIO!$W$6)+V292))</f>
        <v>2.6000000000000227</v>
      </c>
      <c r="Y292" s="214">
        <f t="shared" ca="1" si="70"/>
        <v>10</v>
      </c>
      <c r="Z292" s="215">
        <f t="shared" ca="1" si="71"/>
        <v>7.664075993091525</v>
      </c>
      <c r="AA292" s="212">
        <f t="shared" ca="1" si="72"/>
        <v>1.6968911917099676</v>
      </c>
      <c r="AB292" s="212">
        <f t="shared" ca="1" si="73"/>
        <v>0.3799654576855544</v>
      </c>
      <c r="AC292" s="214">
        <f t="shared" ca="1" si="68"/>
        <v>0.25906735751295296</v>
      </c>
    </row>
    <row r="293" spans="2:29">
      <c r="B293" s="220">
        <v>44844</v>
      </c>
      <c r="C293" s="208">
        <f ca="1">DATOSAÑO!I293</f>
        <v>0</v>
      </c>
      <c r="D293" s="202">
        <f ca="1">DATOSAÑO!P293</f>
        <v>428</v>
      </c>
      <c r="E293" s="202">
        <f ca="1">DATOSAÑO!Q293</f>
        <v>0</v>
      </c>
      <c r="F293" s="202">
        <f ca="1">DATOSAÑO!T293</f>
        <v>13.312999999999988</v>
      </c>
      <c r="G293" s="202">
        <f t="shared" ca="1" si="67"/>
        <v>441.31299999999999</v>
      </c>
      <c r="H293" s="202">
        <f t="shared" ca="1" si="78"/>
        <v>30.946000000009064</v>
      </c>
      <c r="I293" s="202">
        <f t="shared" ca="1" si="74"/>
        <v>188.11865417376228</v>
      </c>
      <c r="J293" s="202">
        <f t="shared" ca="1" si="75"/>
        <v>40.408347529803557</v>
      </c>
      <c r="K293" s="202">
        <f t="shared" ca="1" si="76"/>
        <v>12.038756388415699</v>
      </c>
      <c r="L293" s="202">
        <f t="shared" ca="1" si="66"/>
        <v>164.56700000000254</v>
      </c>
      <c r="M293" s="202">
        <f t="shared" ca="1" si="77"/>
        <v>5.2342419080068261</v>
      </c>
      <c r="N293" s="202">
        <f t="shared" ca="1" si="69"/>
        <v>5</v>
      </c>
      <c r="O293" s="202">
        <f ca="1">(DATOSAÑO!AJ293+DATOSAÑO!AK293+DATOSAÑO!AD293)</f>
        <v>179.69999999999709</v>
      </c>
      <c r="P293" s="202">
        <f ca="1">DATOSAÑO!AI293</f>
        <v>38.599999999991269</v>
      </c>
      <c r="Q293" s="202">
        <f ca="1">DATOSAÑO!AH293</f>
        <v>11.5</v>
      </c>
      <c r="R293" s="202">
        <f ca="1">DATOSAÑO!AM293+DATOSAÑO!AN293+DATOSAÑO!AF293</f>
        <v>164.56700000000254</v>
      </c>
      <c r="S293" s="215">
        <f ca="1">IF(B293&gt;=$P$5,0,CONTADORES!Q297-CONTADORES!Q296)</f>
        <v>16</v>
      </c>
      <c r="T293" s="212">
        <f ca="1">IF(B293&gt;=$P$5,0,(CONTADORES!S297-CONTADORES!S296)+(CONTADORES!AE297-CONTADORES!AE296))</f>
        <v>2.5999999999999659</v>
      </c>
      <c r="U293" s="212">
        <f ca="1">IF(B293&gt;=$P$5,0,(CONTADORES!AQ297-CONTADORES!AQ296))</f>
        <v>5</v>
      </c>
      <c r="V293" s="212">
        <f ca="1">IF(B293&gt;=$P$5,0,(CONTADORES!AR297-CONTADORES!AR296))</f>
        <v>0</v>
      </c>
      <c r="W293" s="736">
        <v>0</v>
      </c>
      <c r="X293" s="212">
        <f ca="1">IF(W293=0,(T293-INICIO!$W$6),((T293-INICIO!$W$6)+V293))</f>
        <v>2.5999999999999659</v>
      </c>
      <c r="Y293" s="214">
        <f t="shared" ca="1" si="70"/>
        <v>11</v>
      </c>
      <c r="Z293" s="215">
        <f t="shared" ca="1" si="71"/>
        <v>8.4186541737651872</v>
      </c>
      <c r="AA293" s="212">
        <f t="shared" ca="1" si="72"/>
        <v>1.8083475298122871</v>
      </c>
      <c r="AB293" s="212">
        <f t="shared" ca="1" si="73"/>
        <v>0.53875638841569962</v>
      </c>
      <c r="AC293" s="214">
        <f t="shared" ca="1" si="68"/>
        <v>0.23424190800682593</v>
      </c>
    </row>
    <row r="294" spans="2:29">
      <c r="B294" s="220">
        <v>44845</v>
      </c>
      <c r="C294" s="208">
        <f ca="1">DATOSAÑO!I294</f>
        <v>61.5</v>
      </c>
      <c r="D294" s="202">
        <f ca="1">DATOSAÑO!P294</f>
        <v>386</v>
      </c>
      <c r="E294" s="202">
        <f ca="1">DATOSAÑO!Q294</f>
        <v>0.24900000000002365</v>
      </c>
      <c r="F294" s="202">
        <f ca="1">DATOSAÑO!T294</f>
        <v>3.6139999999999191</v>
      </c>
      <c r="G294" s="202">
        <f t="shared" ca="1" si="67"/>
        <v>451.36299999999994</v>
      </c>
      <c r="H294" s="202">
        <f t="shared" ca="1" si="78"/>
        <v>31.085999999994499</v>
      </c>
      <c r="I294" s="202">
        <f t="shared" ca="1" si="74"/>
        <v>192.6258991354525</v>
      </c>
      <c r="J294" s="202">
        <f t="shared" ca="1" si="75"/>
        <v>41.433925072052141</v>
      </c>
      <c r="K294" s="202">
        <f t="shared" ca="1" si="76"/>
        <v>14.857619596538719</v>
      </c>
      <c r="L294" s="202">
        <f t="shared" ca="1" si="66"/>
        <v>166.12799999999663</v>
      </c>
      <c r="M294" s="202">
        <f t="shared" ca="1" si="77"/>
        <v>5.2315561959654104</v>
      </c>
      <c r="N294" s="202">
        <f t="shared" ca="1" si="69"/>
        <v>5</v>
      </c>
      <c r="O294" s="202">
        <f ca="1">(DATOSAÑO!AJ294+DATOSAÑO!AK294+DATOSAÑO!AD294)</f>
        <v>184.10000000000582</v>
      </c>
      <c r="P294" s="202">
        <f ca="1">DATOSAÑO!AI294</f>
        <v>39.600000000005821</v>
      </c>
      <c r="Q294" s="202">
        <f ca="1">DATOSAÑO!AH294</f>
        <v>14.19999999999709</v>
      </c>
      <c r="R294" s="202">
        <f ca="1">DATOSAÑO!AM294+DATOSAÑO!AN294+DATOSAÑO!AF294</f>
        <v>166.12799999999663</v>
      </c>
      <c r="S294" s="215">
        <f ca="1">IF(B294&gt;=$P$5,0,CONTADORES!Q298-CONTADORES!Q297)</f>
        <v>16</v>
      </c>
      <c r="T294" s="212">
        <f ca="1">IF(B294&gt;=$P$5,0,(CONTADORES!S298-CONTADORES!S297)+(CONTADORES!AE298-CONTADORES!AE297))</f>
        <v>2.6000000000000227</v>
      </c>
      <c r="U294" s="212">
        <f ca="1">IF(B294&gt;=$P$5,0,(CONTADORES!AQ298-CONTADORES!AQ297))</f>
        <v>5</v>
      </c>
      <c r="V294" s="212">
        <f ca="1">IF(B294&gt;=$P$5,0,(CONTADORES!AR298-CONTADORES!AR297))</f>
        <v>0</v>
      </c>
      <c r="W294" s="736">
        <v>0</v>
      </c>
      <c r="X294" s="212">
        <f ca="1">IF(W294=0,(T294-INICIO!$W$6),((T294-INICIO!$W$6)+V294))</f>
        <v>2.6000000000000227</v>
      </c>
      <c r="Y294" s="214">
        <f t="shared" ca="1" si="70"/>
        <v>11.249000000000024</v>
      </c>
      <c r="Z294" s="215">
        <f t="shared" ca="1" si="71"/>
        <v>8.5258991354466662</v>
      </c>
      <c r="AA294" s="212">
        <f t="shared" ca="1" si="72"/>
        <v>1.8339250720463169</v>
      </c>
      <c r="AB294" s="212">
        <f t="shared" ca="1" si="73"/>
        <v>0.65761959654162971</v>
      </c>
      <c r="AC294" s="214">
        <f t="shared" ca="1" si="68"/>
        <v>0.23155619596541002</v>
      </c>
    </row>
    <row r="295" spans="2:29">
      <c r="B295" s="220">
        <v>44846</v>
      </c>
      <c r="C295" s="208">
        <f ca="1">DATOSAÑO!I295</f>
        <v>199.69999999995343</v>
      </c>
      <c r="D295" s="202">
        <f ca="1">DATOSAÑO!P295</f>
        <v>239.86999999999534</v>
      </c>
      <c r="E295" s="202">
        <f ca="1">DATOSAÑO!Q295</f>
        <v>0</v>
      </c>
      <c r="F295" s="202">
        <f ca="1">DATOSAÑO!T295</f>
        <v>0</v>
      </c>
      <c r="G295" s="202">
        <f t="shared" ca="1" si="67"/>
        <v>439.56999999994878</v>
      </c>
      <c r="H295" s="202">
        <f t="shared" ca="1" si="78"/>
        <v>34.76899999993276</v>
      </c>
      <c r="I295" s="202">
        <f t="shared" ca="1" si="74"/>
        <v>191.91895685769001</v>
      </c>
      <c r="J295" s="202">
        <f t="shared" ca="1" si="75"/>
        <v>40.683329040564871</v>
      </c>
      <c r="K295" s="202">
        <f t="shared" ca="1" si="76"/>
        <v>3.1159047005795268</v>
      </c>
      <c r="L295" s="202">
        <f t="shared" ca="1" si="66"/>
        <v>162.85100000002257</v>
      </c>
      <c r="M295" s="202">
        <f t="shared" ca="1" si="77"/>
        <v>6.2318094011590537</v>
      </c>
      <c r="N295" s="202">
        <f t="shared" ca="1" si="69"/>
        <v>6</v>
      </c>
      <c r="O295" s="202">
        <f ca="1">(DATOSAÑO!AJ295+DATOSAÑO!AK295+DATOSAÑO!AD295)</f>
        <v>184.7799999999952</v>
      </c>
      <c r="P295" s="202">
        <f ca="1">DATOSAÑO!AI295</f>
        <v>39.169999999998254</v>
      </c>
      <c r="Q295" s="202">
        <f ca="1">DATOSAÑO!AH295</f>
        <v>3</v>
      </c>
      <c r="R295" s="202">
        <f ca="1">DATOSAÑO!AM295+DATOSAÑO!AN295+DATOSAÑO!AF295</f>
        <v>162.85100000002257</v>
      </c>
      <c r="S295" s="215">
        <f ca="1">IF(B295&gt;=$P$5,0,CONTADORES!Q299-CONTADORES!Q298)</f>
        <v>15</v>
      </c>
      <c r="T295" s="212">
        <f ca="1">IF(B295&gt;=$P$5,0,(CONTADORES!S299-CONTADORES!S298)+(CONTADORES!AE299-CONTADORES!AE298))</f>
        <v>2.6999999999999886</v>
      </c>
      <c r="U295" s="212">
        <f ca="1">IF(B295&gt;=$P$5,0,(CONTADORES!AQ299-CONTADORES!AQ298))</f>
        <v>6</v>
      </c>
      <c r="V295" s="212">
        <f ca="1">IF(B295&gt;=$P$5,0,(CONTADORES!AR299-CONTADORES!AR298))</f>
        <v>0</v>
      </c>
      <c r="W295" s="736">
        <v>0</v>
      </c>
      <c r="X295" s="212">
        <f ca="1">IF(W295=0,(T295-INICIO!$W$6),((T295-INICIO!$W$6)+V295))</f>
        <v>2.6999999999999886</v>
      </c>
      <c r="Y295" s="214">
        <f t="shared" ca="1" si="70"/>
        <v>9</v>
      </c>
      <c r="Z295" s="215">
        <f t="shared" ca="1" si="71"/>
        <v>7.138956857694799</v>
      </c>
      <c r="AA295" s="212">
        <f t="shared" ca="1" si="72"/>
        <v>1.5133290405666202</v>
      </c>
      <c r="AB295" s="212">
        <f t="shared" ca="1" si="73"/>
        <v>0.11590470057952676</v>
      </c>
      <c r="AC295" s="214">
        <f t="shared" ca="1" si="68"/>
        <v>0.23180940115905352</v>
      </c>
    </row>
    <row r="296" spans="2:29">
      <c r="B296" s="220">
        <v>44847</v>
      </c>
      <c r="C296" s="208">
        <f ca="1">DATOSAÑO!I296</f>
        <v>140.90000000002328</v>
      </c>
      <c r="D296" s="202">
        <f ca="1">DATOSAÑO!P296</f>
        <v>294.99000000000524</v>
      </c>
      <c r="E296" s="202">
        <f ca="1">DATOSAÑO!Q296</f>
        <v>0.16499999999996362</v>
      </c>
      <c r="F296" s="202">
        <f ca="1">DATOSAÑO!T296</f>
        <v>0</v>
      </c>
      <c r="G296" s="202">
        <f t="shared" ca="1" si="67"/>
        <v>436.05500000002849</v>
      </c>
      <c r="H296" s="202">
        <f t="shared" ca="1" si="78"/>
        <v>35.311000000017316</v>
      </c>
      <c r="I296" s="202">
        <f t="shared" ca="1" si="74"/>
        <v>186.94323199070686</v>
      </c>
      <c r="J296" s="202">
        <f t="shared" ca="1" si="75"/>
        <v>39.633836173513686</v>
      </c>
      <c r="K296" s="202">
        <f t="shared" ca="1" si="76"/>
        <v>9.770733281695275</v>
      </c>
      <c r="L296" s="202">
        <f t="shared" ca="1" si="66"/>
        <v>159.19900000000291</v>
      </c>
      <c r="M296" s="202">
        <f t="shared" ca="1" si="77"/>
        <v>5.1971985540924273</v>
      </c>
      <c r="N296" s="202">
        <f t="shared" ca="1" si="69"/>
        <v>5</v>
      </c>
      <c r="O296" s="202">
        <f ca="1">(DATOSAÑO!AJ296+DATOSAÑO!AK296+DATOSAÑO!AD296)</f>
        <v>179.85000000000218</v>
      </c>
      <c r="P296" s="202">
        <f ca="1">DATOSAÑO!AI296</f>
        <v>38.130000000004657</v>
      </c>
      <c r="Q296" s="202">
        <f ca="1">DATOSAÑO!AH296</f>
        <v>9.4000000000014552</v>
      </c>
      <c r="R296" s="202">
        <f ca="1">DATOSAÑO!AM296+DATOSAÑO!AN296+DATOSAÑO!AF296</f>
        <v>159.19900000000291</v>
      </c>
      <c r="S296" s="215">
        <f ca="1">IF(B296&gt;=$P$5,0,CONTADORES!Q300-CONTADORES!Q299)</f>
        <v>14</v>
      </c>
      <c r="T296" s="212">
        <f ca="1">IF(B296&gt;=$P$5,0,(CONTADORES!S300-CONTADORES!S299)+(CONTADORES!AE300-CONTADORES!AE299))</f>
        <v>2.4000000000000341</v>
      </c>
      <c r="U296" s="212">
        <f ca="1">IF(B296&gt;=$P$5,0,(CONTADORES!AQ300-CONTADORES!AQ299))</f>
        <v>5</v>
      </c>
      <c r="V296" s="212">
        <f ca="1">IF(B296&gt;=$P$5,0,(CONTADORES!AR300-CONTADORES!AR299))</f>
        <v>0</v>
      </c>
      <c r="W296" s="736">
        <v>0</v>
      </c>
      <c r="X296" s="212">
        <f ca="1">IF(W296=0,(T296-INICIO!$W$6),((T296-INICIO!$W$6)+V296))</f>
        <v>2.4000000000000341</v>
      </c>
      <c r="Y296" s="214">
        <f t="shared" ca="1" si="70"/>
        <v>9.1649999999999636</v>
      </c>
      <c r="Z296" s="215">
        <f t="shared" ca="1" si="71"/>
        <v>7.0932319907046848</v>
      </c>
      <c r="AA296" s="212">
        <f t="shared" ca="1" si="72"/>
        <v>1.5038361735090318</v>
      </c>
      <c r="AB296" s="212">
        <f t="shared" ca="1" si="73"/>
        <v>0.37073328169382014</v>
      </c>
      <c r="AC296" s="214">
        <f t="shared" ca="1" si="68"/>
        <v>0.19719855409242698</v>
      </c>
    </row>
    <row r="297" spans="2:29">
      <c r="B297" s="220">
        <v>44848</v>
      </c>
      <c r="C297" s="208">
        <f ca="1">DATOSAÑO!I297</f>
        <v>148.40000000002328</v>
      </c>
      <c r="D297" s="202">
        <f ca="1">DATOSAÑO!P297</f>
        <v>302.24000000000524</v>
      </c>
      <c r="E297" s="202">
        <f ca="1">DATOSAÑO!Q297</f>
        <v>0</v>
      </c>
      <c r="F297" s="202">
        <f ca="1">DATOSAÑO!T297</f>
        <v>0</v>
      </c>
      <c r="G297" s="202">
        <f t="shared" ca="1" si="67"/>
        <v>450.64000000002852</v>
      </c>
      <c r="H297" s="202">
        <f t="shared" ca="1" si="78"/>
        <v>32.946000000093932</v>
      </c>
      <c r="I297" s="202">
        <f t="shared" ca="1" si="74"/>
        <v>195.84566461321467</v>
      </c>
      <c r="J297" s="202">
        <f t="shared" ca="1" si="75"/>
        <v>38.113209575382754</v>
      </c>
      <c r="K297" s="202">
        <f t="shared" ca="1" si="76"/>
        <v>12.704403191796146</v>
      </c>
      <c r="L297" s="202">
        <f t="shared" ca="1" si="66"/>
        <v>165.82399999995198</v>
      </c>
      <c r="M297" s="202">
        <f t="shared" ca="1" si="77"/>
        <v>5.2067226195890504</v>
      </c>
      <c r="N297" s="202">
        <f t="shared" ca="1" si="69"/>
        <v>5</v>
      </c>
      <c r="O297" s="202">
        <f ca="1">(DATOSAÑO!AJ297+DATOSAÑO!AK297+DATOSAÑO!AD297)</f>
        <v>188.06999999999243</v>
      </c>
      <c r="P297" s="202">
        <f ca="1">DATOSAÑO!AI297</f>
        <v>36.599999999991269</v>
      </c>
      <c r="Q297" s="202">
        <f ca="1">DATOSAÑO!AH297</f>
        <v>12.199999999998909</v>
      </c>
      <c r="R297" s="202">
        <f ca="1">DATOSAÑO!AM297+DATOSAÑO!AN297+DATOSAÑO!AF297</f>
        <v>165.82399999995198</v>
      </c>
      <c r="S297" s="215">
        <f ca="1">IF(B297&gt;=$P$5,0,CONTADORES!Q301-CONTADORES!Q300)</f>
        <v>15</v>
      </c>
      <c r="T297" s="212">
        <f ca="1">IF(B297&gt;=$P$5,0,(CONTADORES!S301-CONTADORES!S300)+(CONTADORES!AE301-CONTADORES!AE300))</f>
        <v>2.5</v>
      </c>
      <c r="U297" s="212">
        <f ca="1">IF(B297&gt;=$P$5,0,(CONTADORES!AQ301-CONTADORES!AQ300))</f>
        <v>5</v>
      </c>
      <c r="V297" s="212">
        <f ca="1">IF(B297&gt;=$P$5,0,(CONTADORES!AR301-CONTADORES!AR300))</f>
        <v>0</v>
      </c>
      <c r="W297" s="736">
        <v>0</v>
      </c>
      <c r="X297" s="212">
        <f ca="1">IF(W297=0,(T297-INICIO!$W$6),((T297-INICIO!$W$6)+V297))</f>
        <v>2.5</v>
      </c>
      <c r="Y297" s="214">
        <f t="shared" ca="1" si="70"/>
        <v>10</v>
      </c>
      <c r="Z297" s="215">
        <f t="shared" ca="1" si="71"/>
        <v>7.7756646132222249</v>
      </c>
      <c r="AA297" s="212">
        <f t="shared" ca="1" si="72"/>
        <v>1.5132095753914871</v>
      </c>
      <c r="AB297" s="212">
        <f t="shared" ca="1" si="73"/>
        <v>0.50440319179723758</v>
      </c>
      <c r="AC297" s="214">
        <f t="shared" ca="1" si="68"/>
        <v>0.2067226195890503</v>
      </c>
    </row>
    <row r="298" spans="2:29">
      <c r="B298" s="220">
        <v>44849</v>
      </c>
      <c r="C298" s="208">
        <f ca="1">DATOSAÑO!I298</f>
        <v>148</v>
      </c>
      <c r="D298" s="202">
        <f ca="1">DATOSAÑO!P298</f>
        <v>289.89999999999418</v>
      </c>
      <c r="E298" s="202">
        <f ca="1">DATOSAÑO!Q298</f>
        <v>5.7999999999992724E-2</v>
      </c>
      <c r="F298" s="202">
        <f ca="1">DATOSAÑO!T298</f>
        <v>0</v>
      </c>
      <c r="G298" s="202">
        <f t="shared" ca="1" si="67"/>
        <v>437.95799999999417</v>
      </c>
      <c r="H298" s="202">
        <f t="shared" ca="1" si="78"/>
        <v>30.346999999958598</v>
      </c>
      <c r="I298" s="202">
        <f t="shared" ca="1" si="74"/>
        <v>187.86777787308358</v>
      </c>
      <c r="J298" s="202">
        <f t="shared" ca="1" si="75"/>
        <v>38.074258147512786</v>
      </c>
      <c r="K298" s="202">
        <f t="shared" ca="1" si="76"/>
        <v>12.100312178386107</v>
      </c>
      <c r="L298" s="202">
        <f t="shared" ca="1" si="66"/>
        <v>164.353000000024</v>
      </c>
      <c r="M298" s="202">
        <f t="shared" ca="1" si="77"/>
        <v>5.2156518010291482</v>
      </c>
      <c r="N298" s="202">
        <f t="shared" ca="1" si="69"/>
        <v>5</v>
      </c>
      <c r="O298" s="202">
        <f ca="1">(DATOSAÑO!AJ298+DATOSAÑO!AK298+DATOSAÑO!AD298)</f>
        <v>180.1000000000131</v>
      </c>
      <c r="P298" s="202">
        <f ca="1">DATOSAÑO!AI298</f>
        <v>36.5</v>
      </c>
      <c r="Q298" s="202">
        <f ca="1">DATOSAÑO!AH298</f>
        <v>11.599999999998545</v>
      </c>
      <c r="R298" s="202">
        <f ca="1">DATOSAÑO!AM298+DATOSAÑO!AN298+DATOSAÑO!AF298</f>
        <v>164.353000000024</v>
      </c>
      <c r="S298" s="215">
        <f ca="1">IF(B298&gt;=$P$5,0,CONTADORES!Q302-CONTADORES!Q301)</f>
        <v>15</v>
      </c>
      <c r="T298" s="212">
        <f ca="1">IF(B298&gt;=$P$5,0,(CONTADORES!S302-CONTADORES!S301)+(CONTADORES!AE302-CONTADORES!AE301))</f>
        <v>2.7999999999999545</v>
      </c>
      <c r="U298" s="212">
        <f ca="1">IF(B298&gt;=$P$5,0,(CONTADORES!AQ302-CONTADORES!AQ301))</f>
        <v>5</v>
      </c>
      <c r="V298" s="212">
        <f ca="1">IF(B298&gt;=$P$5,0,(CONTADORES!AR302-CONTADORES!AR301))</f>
        <v>0</v>
      </c>
      <c r="W298" s="736">
        <v>0</v>
      </c>
      <c r="X298" s="212">
        <f ca="1">IF(W298=0,(T298-INICIO!$W$6),((T298-INICIO!$W$6)+V298))</f>
        <v>2.7999999999999545</v>
      </c>
      <c r="Y298" s="214">
        <f t="shared" ca="1" si="70"/>
        <v>10.057999999999993</v>
      </c>
      <c r="Z298" s="215">
        <f t="shared" ca="1" si="71"/>
        <v>7.7677778730704974</v>
      </c>
      <c r="AA298" s="212">
        <f t="shared" ca="1" si="72"/>
        <v>1.5742581475127848</v>
      </c>
      <c r="AB298" s="212">
        <f t="shared" ca="1" si="73"/>
        <v>0.50031217838756192</v>
      </c>
      <c r="AC298" s="214">
        <f t="shared" ca="1" si="68"/>
        <v>0.2156518010291486</v>
      </c>
    </row>
    <row r="299" spans="2:29">
      <c r="B299" s="220">
        <v>44850</v>
      </c>
      <c r="C299" s="208">
        <f ca="1">DATOSAÑO!I299</f>
        <v>148</v>
      </c>
      <c r="D299" s="202">
        <f ca="1">DATOSAÑO!P299</f>
        <v>285</v>
      </c>
      <c r="E299" s="202">
        <f ca="1">DATOSAÑO!Q299</f>
        <v>0</v>
      </c>
      <c r="F299" s="202">
        <f ca="1">DATOSAÑO!T299</f>
        <v>0.56800000000009732</v>
      </c>
      <c r="G299" s="202">
        <f t="shared" ca="1" si="67"/>
        <v>433.5680000000001</v>
      </c>
      <c r="H299" s="202">
        <f t="shared" ca="1" si="78"/>
        <v>33.873000000010563</v>
      </c>
      <c r="I299" s="202">
        <f t="shared" ca="1" si="74"/>
        <v>188.34873164217777</v>
      </c>
      <c r="J299" s="202">
        <f t="shared" ca="1" si="75"/>
        <v>35.815754339118911</v>
      </c>
      <c r="K299" s="202">
        <f t="shared" ca="1" si="76"/>
        <v>7.2684913217638991</v>
      </c>
      <c r="L299" s="202">
        <f t="shared" ca="1" si="66"/>
        <v>162.99499999999975</v>
      </c>
      <c r="M299" s="202">
        <f t="shared" ca="1" si="77"/>
        <v>5.2670226969292511</v>
      </c>
      <c r="N299" s="202">
        <f t="shared" ca="1" si="69"/>
        <v>5</v>
      </c>
      <c r="O299" s="202">
        <f ca="1">(DATOSAÑO!AJ299+DATOSAÑO!AK299+DATOSAÑO!AD299)</f>
        <v>178.79999999998836</v>
      </c>
      <c r="P299" s="202">
        <f ca="1">DATOSAÑO!AI299</f>
        <v>34</v>
      </c>
      <c r="Q299" s="202">
        <f ca="1">DATOSAÑO!AH299</f>
        <v>6.9000000000014552</v>
      </c>
      <c r="R299" s="202">
        <f ca="1">DATOSAÑO!AM299+DATOSAÑO!AN299+DATOSAÑO!AF299</f>
        <v>162.99499999999975</v>
      </c>
      <c r="S299" s="215">
        <f ca="1">IF(B299&gt;=$P$5,0,CONTADORES!Q303-CONTADORES!Q302)</f>
        <v>17</v>
      </c>
      <c r="T299" s="212">
        <f ca="1">IF(B299&gt;=$P$5,0,(CONTADORES!S303-CONTADORES!S302)+(CONTADORES!AE303-CONTADORES!AE302))</f>
        <v>3.1200000000000045</v>
      </c>
      <c r="U299" s="212">
        <f ca="1">IF(B299&gt;=$P$5,0,(CONTADORES!AQ303-CONTADORES!AQ302))</f>
        <v>5</v>
      </c>
      <c r="V299" s="212">
        <f ca="1">IF(B299&gt;=$P$5,0,(CONTADORES!AR303-CONTADORES!AR302))</f>
        <v>0</v>
      </c>
      <c r="W299" s="736">
        <v>0</v>
      </c>
      <c r="X299" s="212">
        <f ca="1">IF(W299=0,(T299-INICIO!$W$6),((T299-INICIO!$W$6)+V299))</f>
        <v>3.1200000000000045</v>
      </c>
      <c r="Y299" s="214">
        <f t="shared" ca="1" si="70"/>
        <v>12</v>
      </c>
      <c r="Z299" s="215">
        <f t="shared" ca="1" si="71"/>
        <v>9.5487316421893969</v>
      </c>
      <c r="AA299" s="212">
        <f t="shared" ca="1" si="72"/>
        <v>1.8157543391189075</v>
      </c>
      <c r="AB299" s="212">
        <f t="shared" ca="1" si="73"/>
        <v>0.3684913217624442</v>
      </c>
      <c r="AC299" s="214">
        <f t="shared" ca="1" si="68"/>
        <v>0.26702269692925107</v>
      </c>
    </row>
    <row r="300" spans="2:29">
      <c r="B300" s="220">
        <v>44851</v>
      </c>
      <c r="C300" s="208">
        <f ca="1">DATOSAÑO!I300</f>
        <v>232</v>
      </c>
      <c r="D300" s="202">
        <f ca="1">DATOSAÑO!P300</f>
        <v>200</v>
      </c>
      <c r="E300" s="202">
        <f ca="1">DATOSAÑO!Q300</f>
        <v>0.66600000000016735</v>
      </c>
      <c r="F300" s="202">
        <f ca="1">DATOSAÑO!T300</f>
        <v>0</v>
      </c>
      <c r="G300" s="202">
        <f t="shared" ca="1" si="67"/>
        <v>432.66600000000017</v>
      </c>
      <c r="H300" s="202">
        <f t="shared" ca="1" si="78"/>
        <v>29.781999999981053</v>
      </c>
      <c r="I300" s="202">
        <f t="shared" ca="1" si="74"/>
        <v>189.4972352168225</v>
      </c>
      <c r="J300" s="202">
        <f t="shared" ca="1" si="75"/>
        <v>35.126825229972617</v>
      </c>
      <c r="K300" s="202">
        <f t="shared" ca="1" si="76"/>
        <v>8.1302444152480078</v>
      </c>
      <c r="L300" s="202">
        <f t="shared" ca="1" si="66"/>
        <v>164.91799999999964</v>
      </c>
      <c r="M300" s="202">
        <f t="shared" ca="1" si="77"/>
        <v>5.2116951379763323</v>
      </c>
      <c r="N300" s="202">
        <f t="shared" ca="1" si="69"/>
        <v>5</v>
      </c>
      <c r="O300" s="202">
        <f ca="1">(DATOSAÑO!AJ300+DATOSAÑO!AK300+DATOSAÑO!AD300)</f>
        <v>181.80000000000291</v>
      </c>
      <c r="P300" s="202">
        <f ca="1">DATOSAÑO!AI300</f>
        <v>33.700000000011642</v>
      </c>
      <c r="Q300" s="202">
        <f ca="1">DATOSAÑO!AH300</f>
        <v>7.8000000000047294</v>
      </c>
      <c r="R300" s="202">
        <f ca="1">DATOSAÑO!AM300+DATOSAÑO!AN300+DATOSAÑO!AF300</f>
        <v>164.91799999999964</v>
      </c>
      <c r="S300" s="215">
        <f ca="1">IF(B300&gt;=$P$5,0,CONTADORES!Q304-CONTADORES!Q303)</f>
        <v>14</v>
      </c>
      <c r="T300" s="212">
        <f ca="1">IF(B300&gt;=$P$5,0,(CONTADORES!S304-CONTADORES!S303)+(CONTADORES!AE304-CONTADORES!AE303))</f>
        <v>3.2800000000000296</v>
      </c>
      <c r="U300" s="212">
        <f ca="1">IF(B300&gt;=$P$5,0,(CONTADORES!AQ304-CONTADORES!AQ303))</f>
        <v>5</v>
      </c>
      <c r="V300" s="212">
        <f ca="1">IF(B300&gt;=$P$5,0,(CONTADORES!AR304-CONTADORES!AR303))</f>
        <v>0</v>
      </c>
      <c r="W300" s="736">
        <v>0</v>
      </c>
      <c r="X300" s="212">
        <f ca="1">IF(W300=0,(T300-INICIO!$W$6),((T300-INICIO!$W$6)+V300))</f>
        <v>3.2800000000000296</v>
      </c>
      <c r="Y300" s="214">
        <f t="shared" ca="1" si="70"/>
        <v>9.6660000000001673</v>
      </c>
      <c r="Z300" s="215">
        <f t="shared" ca="1" si="71"/>
        <v>7.6972352168195801</v>
      </c>
      <c r="AA300" s="212">
        <f t="shared" ca="1" si="72"/>
        <v>1.4268252299609752</v>
      </c>
      <c r="AB300" s="212">
        <f t="shared" ca="1" si="73"/>
        <v>0.33024441524327924</v>
      </c>
      <c r="AC300" s="214">
        <f t="shared" ca="1" si="68"/>
        <v>0.21169513797633269</v>
      </c>
    </row>
    <row r="301" spans="2:29">
      <c r="B301" s="220">
        <v>44852</v>
      </c>
      <c r="C301" s="208">
        <f ca="1">DATOSAÑO!I301</f>
        <v>290</v>
      </c>
      <c r="D301" s="202">
        <f ca="1">DATOSAÑO!P301</f>
        <v>150</v>
      </c>
      <c r="E301" s="202">
        <f ca="1">DATOSAÑO!Q301</f>
        <v>0</v>
      </c>
      <c r="F301" s="202">
        <f ca="1">DATOSAÑO!T301</f>
        <v>0</v>
      </c>
      <c r="G301" s="202">
        <f t="shared" ca="1" si="67"/>
        <v>440</v>
      </c>
      <c r="H301" s="202">
        <f t="shared" ca="1" si="78"/>
        <v>29.764000000027352</v>
      </c>
      <c r="I301" s="202">
        <f t="shared" ca="1" si="74"/>
        <v>188.75704565890604</v>
      </c>
      <c r="J301" s="202">
        <f t="shared" ca="1" si="75"/>
        <v>38.438934794771775</v>
      </c>
      <c r="K301" s="202">
        <f t="shared" ca="1" si="76"/>
        <v>11.875443269925301</v>
      </c>
      <c r="L301" s="202">
        <f t="shared" ca="1" si="66"/>
        <v>164.65600000000001</v>
      </c>
      <c r="M301" s="202">
        <f t="shared" ca="1" si="77"/>
        <v>6.5085762763695376</v>
      </c>
      <c r="N301" s="202">
        <f t="shared" ca="1" si="69"/>
        <v>6.2480000000068685</v>
      </c>
      <c r="O301" s="202">
        <f ca="1">(DATOSAÑO!AJ301+DATOSAÑO!AK301+DATOSAÑO!AD301)</f>
        <v>181.19999999999709</v>
      </c>
      <c r="P301" s="202">
        <f ca="1">DATOSAÑO!AI301</f>
        <v>36.899999999994179</v>
      </c>
      <c r="Q301" s="202">
        <f ca="1">DATOSAÑO!AH301</f>
        <v>11.399999999994179</v>
      </c>
      <c r="R301" s="202">
        <f ca="1">DATOSAÑO!AM301+DATOSAÑO!AN301+DATOSAÑO!AF301</f>
        <v>164.65600000000001</v>
      </c>
      <c r="S301" s="215">
        <f ca="1">IF(B301&gt;=$P$5,0,CONTADORES!Q305-CONTADORES!Q304)</f>
        <v>16.079999999987194</v>
      </c>
      <c r="T301" s="212">
        <f ca="1">IF(B301&gt;=$P$5,0,(CONTADORES!S305-CONTADORES!S304)+(CONTADORES!AE305-CONTADORES!AE304))</f>
        <v>3.3999999999999773</v>
      </c>
      <c r="U301" s="212">
        <f ca="1">IF(B301&gt;=$P$5,0,(CONTADORES!AQ305-CONTADORES!AQ304))</f>
        <v>6.2480000000068685</v>
      </c>
      <c r="V301" s="212">
        <f ca="1">IF(B301&gt;=$P$5,0,(CONTADORES!AR305-CONTADORES!AR304))</f>
        <v>0</v>
      </c>
      <c r="W301" s="736">
        <v>0</v>
      </c>
      <c r="X301" s="212">
        <f ca="1">IF(W301=0,(T301-INICIO!$W$6),((T301-INICIO!$W$6)+V301))</f>
        <v>3.3999999999999773</v>
      </c>
      <c r="Y301" s="214">
        <f t="shared" ca="1" si="70"/>
        <v>9.8319999999803258</v>
      </c>
      <c r="Z301" s="215">
        <f t="shared" ca="1" si="71"/>
        <v>7.5570456589089385</v>
      </c>
      <c r="AA301" s="212">
        <f t="shared" ca="1" si="72"/>
        <v>1.5389347947775955</v>
      </c>
      <c r="AB301" s="212">
        <f t="shared" ca="1" si="73"/>
        <v>0.47544326993112196</v>
      </c>
      <c r="AC301" s="214">
        <f t="shared" ca="1" si="68"/>
        <v>0.2605762763626695</v>
      </c>
    </row>
    <row r="302" spans="2:29">
      <c r="B302" s="220">
        <v>44853</v>
      </c>
      <c r="C302" s="208">
        <f ca="1">DATOSAÑO!I302</f>
        <v>148</v>
      </c>
      <c r="D302" s="202">
        <f ca="1">DATOSAÑO!P302</f>
        <v>288</v>
      </c>
      <c r="E302" s="202">
        <f ca="1">DATOSAÑO!Q302</f>
        <v>0</v>
      </c>
      <c r="F302" s="202">
        <f ca="1">DATOSAÑO!T302</f>
        <v>0</v>
      </c>
      <c r="G302" s="202">
        <f t="shared" ca="1" si="67"/>
        <v>436</v>
      </c>
      <c r="H302" s="202">
        <f t="shared" ca="1" si="78"/>
        <v>37.155999999989206</v>
      </c>
      <c r="I302" s="202">
        <f t="shared" ca="1" si="74"/>
        <v>184.37264179931529</v>
      </c>
      <c r="J302" s="202">
        <f t="shared" ca="1" si="75"/>
        <v>38.063356480061636</v>
      </c>
      <c r="K302" s="202">
        <f t="shared" ca="1" si="76"/>
        <v>9.8026178332228699</v>
      </c>
      <c r="L302" s="202">
        <f t="shared" ca="1" si="66"/>
        <v>161.2640000000018</v>
      </c>
      <c r="M302" s="202">
        <f t="shared" ca="1" si="77"/>
        <v>5.3413838874092328</v>
      </c>
      <c r="N302" s="202">
        <f t="shared" ca="1" si="69"/>
        <v>5.1219999999884749</v>
      </c>
      <c r="O302" s="202">
        <f ca="1">(DATOSAÑO!AJ302+DATOSAÑO!AK302+DATOSAÑO!AD302)</f>
        <v>176.80000000000291</v>
      </c>
      <c r="P302" s="202">
        <f ca="1">DATOSAÑO!AI302</f>
        <v>36.5</v>
      </c>
      <c r="Q302" s="202">
        <f ca="1">DATOSAÑO!AH302</f>
        <v>9.4000000000014552</v>
      </c>
      <c r="R302" s="202">
        <f ca="1">DATOSAÑO!AM302+DATOSAÑO!AN302+DATOSAÑO!AF302</f>
        <v>161.2640000000018</v>
      </c>
      <c r="S302" s="215">
        <f ca="1">IF(B302&gt;=$P$5,0,CONTADORES!Q306-CONTADORES!Q305)</f>
        <v>14.880000000004657</v>
      </c>
      <c r="T302" s="212">
        <f ca="1">IF(B302&gt;=$P$5,0,(CONTADORES!S306-CONTADORES!S305)+(CONTADORES!AE306-CONTADORES!AE305))</f>
        <v>3.4800000000000182</v>
      </c>
      <c r="U302" s="212">
        <f ca="1">IF(B302&gt;=$P$5,0,(CONTADORES!AQ306-CONTADORES!AQ305))</f>
        <v>5.1219999999884749</v>
      </c>
      <c r="V302" s="212">
        <f ca="1">IF(B302&gt;=$P$5,0,(CONTADORES!AR306-CONTADORES!AR305))</f>
        <v>0</v>
      </c>
      <c r="W302" s="736">
        <v>0</v>
      </c>
      <c r="X302" s="212">
        <f ca="1">IF(W302=0,(T302-INICIO!$W$6),((T302-INICIO!$W$6)+V302))</f>
        <v>3.4800000000000182</v>
      </c>
      <c r="Y302" s="214">
        <f t="shared" ca="1" si="70"/>
        <v>9.7580000000161817</v>
      </c>
      <c r="Z302" s="215">
        <f t="shared" ca="1" si="71"/>
        <v>7.5726417993123736</v>
      </c>
      <c r="AA302" s="212">
        <f t="shared" ca="1" si="72"/>
        <v>1.5633564800616351</v>
      </c>
      <c r="AB302" s="212">
        <f t="shared" ca="1" si="73"/>
        <v>0.40261783322141492</v>
      </c>
      <c r="AC302" s="214">
        <f t="shared" ca="1" si="68"/>
        <v>0.21938388742075829</v>
      </c>
    </row>
    <row r="303" spans="2:29">
      <c r="B303" s="220">
        <v>44854</v>
      </c>
      <c r="C303" s="208">
        <f ca="1">DATOSAÑO!I303</f>
        <v>143</v>
      </c>
      <c r="D303" s="202">
        <f ca="1">DATOSAÑO!P303</f>
        <v>297</v>
      </c>
      <c r="E303" s="202">
        <f ca="1">DATOSAÑO!Q303</f>
        <v>0</v>
      </c>
      <c r="F303" s="202">
        <f ca="1">DATOSAÑO!T303</f>
        <v>0</v>
      </c>
      <c r="G303" s="202">
        <f t="shared" ca="1" si="67"/>
        <v>440</v>
      </c>
      <c r="H303" s="202">
        <f t="shared" ca="1" si="78"/>
        <v>33.691999999990458</v>
      </c>
      <c r="I303" s="202">
        <f t="shared" ca="1" si="74"/>
        <v>187.73864528090516</v>
      </c>
      <c r="J303" s="202">
        <f t="shared" ca="1" si="75"/>
        <v>40.24464278014819</v>
      </c>
      <c r="K303" s="202">
        <f t="shared" ca="1" si="76"/>
        <v>10.348622429184385</v>
      </c>
      <c r="L303" s="202">
        <f t="shared" ca="1" si="66"/>
        <v>163.86799999999818</v>
      </c>
      <c r="M303" s="202">
        <f t="shared" ca="1" si="77"/>
        <v>4.108089509773686</v>
      </c>
      <c r="N303" s="202">
        <f t="shared" ca="1" si="69"/>
        <v>3.930000000007567</v>
      </c>
      <c r="O303" s="202">
        <f ca="1">(DATOSAÑO!AJ303+DATOSAÑO!AK303+DATOSAÑO!AD303)</f>
        <v>179.60000000000582</v>
      </c>
      <c r="P303" s="202">
        <f ca="1">DATOSAÑO!AI303</f>
        <v>38.5</v>
      </c>
      <c r="Q303" s="202">
        <f ca="1">DATOSAÑO!AH303</f>
        <v>9.9000000000032742</v>
      </c>
      <c r="R303" s="202">
        <f ca="1">DATOSAÑO!AM303+DATOSAÑO!AN303+DATOSAÑO!AF303</f>
        <v>163.86799999999818</v>
      </c>
      <c r="S303" s="215">
        <f ca="1">IF(B303&gt;=$P$5,0,CONTADORES!Q307-CONTADORES!Q306)</f>
        <v>14.440000000002328</v>
      </c>
      <c r="T303" s="212">
        <f ca="1">IF(B303&gt;=$P$5,0,(CONTADORES!S307-CONTADORES!S306)+(CONTADORES!AE307-CONTADORES!AE306))</f>
        <v>3.4200000000000159</v>
      </c>
      <c r="U303" s="212">
        <f ca="1">IF(B303&gt;=$P$5,0,(CONTADORES!AQ307-CONTADORES!AQ306))</f>
        <v>3.930000000007567</v>
      </c>
      <c r="V303" s="212">
        <f ca="1">IF(B303&gt;=$P$5,0,(CONTADORES!AR307-CONTADORES!AR306))</f>
        <v>0</v>
      </c>
      <c r="W303" s="736">
        <v>0</v>
      </c>
      <c r="X303" s="212">
        <f ca="1">IF(W303=0,(T303-INICIO!$W$6),((T303-INICIO!$W$6)+V303))</f>
        <v>3.4200000000000159</v>
      </c>
      <c r="Y303" s="214">
        <f t="shared" ca="1" si="70"/>
        <v>10.509999999994761</v>
      </c>
      <c r="Z303" s="215">
        <f t="shared" ca="1" si="71"/>
        <v>8.1386452808993432</v>
      </c>
      <c r="AA303" s="212">
        <f t="shared" ca="1" si="72"/>
        <v>1.7446427801481881</v>
      </c>
      <c r="AB303" s="212">
        <f t="shared" ca="1" si="73"/>
        <v>0.448622429181111</v>
      </c>
      <c r="AC303" s="214">
        <f t="shared" ca="1" si="68"/>
        <v>0.17808950976611898</v>
      </c>
    </row>
    <row r="304" spans="2:29">
      <c r="B304" s="220">
        <v>44855</v>
      </c>
      <c r="C304" s="208">
        <f ca="1">DATOSAÑO!I304</f>
        <v>129</v>
      </c>
      <c r="D304" s="202">
        <f ca="1">DATOSAÑO!P304</f>
        <v>321</v>
      </c>
      <c r="E304" s="202">
        <f ca="1">DATOSAÑO!Q304</f>
        <v>0</v>
      </c>
      <c r="F304" s="202">
        <f ca="1">DATOSAÑO!T304</f>
        <v>0</v>
      </c>
      <c r="G304" s="202">
        <f t="shared" ca="1" si="67"/>
        <v>450</v>
      </c>
      <c r="H304" s="202">
        <f t="shared" ca="1" si="78"/>
        <v>36.945999999989453</v>
      </c>
      <c r="I304" s="202">
        <f t="shared" ca="1" si="74"/>
        <v>189.32171356573537</v>
      </c>
      <c r="J304" s="202">
        <f t="shared" ca="1" si="75"/>
        <v>41.806383872327046</v>
      </c>
      <c r="K304" s="202">
        <f t="shared" ca="1" si="76"/>
        <v>10.996220075599254</v>
      </c>
      <c r="L304" s="202">
        <f t="shared" ca="1" si="66"/>
        <v>166.05400000000145</v>
      </c>
      <c r="M304" s="202">
        <f t="shared" ca="1" si="77"/>
        <v>4.8756824863474257</v>
      </c>
      <c r="N304" s="202">
        <f t="shared" ca="1" si="69"/>
        <v>4.6999999999970896</v>
      </c>
      <c r="O304" s="202">
        <f ca="1">(DATOSAÑO!AJ304+DATOSAÑO!AK304+DATOSAÑO!AD304)</f>
        <v>182.5</v>
      </c>
      <c r="P304" s="202">
        <f ca="1">DATOSAÑO!AI304</f>
        <v>40.30000000000291</v>
      </c>
      <c r="Q304" s="202">
        <f ca="1">DATOSAÑO!AH304</f>
        <v>10.600000000000364</v>
      </c>
      <c r="R304" s="202">
        <f ca="1">DATOSAÑO!AM304+DATOSAÑO!AN304+DATOSAÑO!AF304</f>
        <v>166.05400000000145</v>
      </c>
      <c r="S304" s="215">
        <f ca="1">IF(B304&gt;=$P$5,0,CONTADORES!Q308-CONTADORES!Q307)</f>
        <v>13.600000000005821</v>
      </c>
      <c r="T304" s="212">
        <f ca="1">IF(B304&gt;=$P$5,0,(CONTADORES!S308-CONTADORES!S307)+(CONTADORES!AE308-CONTADORES!AE307))</f>
        <v>3.3999999999999773</v>
      </c>
      <c r="U304" s="212">
        <f ca="1">IF(B304&gt;=$P$5,0,(CONTADORES!AQ308-CONTADORES!AQ307))</f>
        <v>4.6999999999970896</v>
      </c>
      <c r="V304" s="212">
        <f ca="1">IF(B304&gt;=$P$5,0,(CONTADORES!AR308-CONTADORES!AR307))</f>
        <v>0</v>
      </c>
      <c r="W304" s="736">
        <v>0</v>
      </c>
      <c r="X304" s="212">
        <f ca="1">IF(W304=0,(T304-INICIO!$W$6),((T304-INICIO!$W$6)+V304))</f>
        <v>3.3999999999999773</v>
      </c>
      <c r="Y304" s="214">
        <f t="shared" ca="1" si="70"/>
        <v>8.9000000000087311</v>
      </c>
      <c r="Z304" s="215">
        <f t="shared" ca="1" si="71"/>
        <v>6.8217135657353669</v>
      </c>
      <c r="AA304" s="212">
        <f t="shared" ca="1" si="72"/>
        <v>1.5063838723241376</v>
      </c>
      <c r="AB304" s="212">
        <f t="shared" ca="1" si="73"/>
        <v>0.39622007559888972</v>
      </c>
      <c r="AC304" s="214">
        <f t="shared" ca="1" si="68"/>
        <v>0.17568248635033629</v>
      </c>
    </row>
    <row r="305" spans="2:29">
      <c r="B305" s="220">
        <v>44856</v>
      </c>
      <c r="C305" s="208">
        <f ca="1">DATOSAÑO!I305</f>
        <v>73</v>
      </c>
      <c r="D305" s="202">
        <f ca="1">DATOSAÑO!P305</f>
        <v>368</v>
      </c>
      <c r="E305" s="202">
        <f ca="1">DATOSAÑO!Q305</f>
        <v>0</v>
      </c>
      <c r="F305" s="202">
        <f ca="1">DATOSAÑO!T305</f>
        <v>0.45899999999994634</v>
      </c>
      <c r="G305" s="202">
        <f t="shared" ca="1" si="67"/>
        <v>441.45899999999995</v>
      </c>
      <c r="H305" s="202">
        <f t="shared" ca="1" si="78"/>
        <v>29.670000000013033</v>
      </c>
      <c r="I305" s="202">
        <f t="shared" ca="1" si="74"/>
        <v>190.02646048109702</v>
      </c>
      <c r="J305" s="202">
        <f t="shared" ca="1" si="75"/>
        <v>40.258075601365547</v>
      </c>
      <c r="K305" s="202">
        <f t="shared" ca="1" si="76"/>
        <v>8.3436426116838653</v>
      </c>
      <c r="L305" s="202">
        <f t="shared" ca="1" si="66"/>
        <v>168.9889999999985</v>
      </c>
      <c r="M305" s="202">
        <f t="shared" ca="1" si="77"/>
        <v>4.1718213058419327</v>
      </c>
      <c r="N305" s="202">
        <f t="shared" ca="1" si="69"/>
        <v>4</v>
      </c>
      <c r="O305" s="202">
        <f ca="1">(DATOSAÑO!AJ305+DATOSAÑO!AK305+DATOSAÑO!AD305)</f>
        <v>182.19999999999709</v>
      </c>
      <c r="P305" s="202">
        <f ca="1">DATOSAÑO!AI305</f>
        <v>38.599999999991269</v>
      </c>
      <c r="Q305" s="202">
        <f ca="1">DATOSAÑO!AH305</f>
        <v>8</v>
      </c>
      <c r="R305" s="202">
        <f ca="1">DATOSAÑO!AM305+DATOSAÑO!AN305+DATOSAÑO!AF305</f>
        <v>168.9889999999985</v>
      </c>
      <c r="S305" s="215">
        <f ca="1">IF(B305&gt;=$P$5,0,CONTADORES!Q309-CONTADORES!Q308)</f>
        <v>14</v>
      </c>
      <c r="T305" s="212">
        <f ca="1">IF(B305&gt;=$P$5,0,(CONTADORES!S309-CONTADORES!S308)+(CONTADORES!AE309-CONTADORES!AE308))</f>
        <v>3.1999999999999886</v>
      </c>
      <c r="U305" s="212">
        <f ca="1">IF(B305&gt;=$P$5,0,(CONTADORES!AQ309-CONTADORES!AQ308))</f>
        <v>4</v>
      </c>
      <c r="V305" s="212">
        <f ca="1">IF(B305&gt;=$P$5,0,(CONTADORES!AR309-CONTADORES!AR308))</f>
        <v>0</v>
      </c>
      <c r="W305" s="736">
        <v>0</v>
      </c>
      <c r="X305" s="212">
        <f ca="1">IF(W305=0,(T305-INICIO!$W$6),((T305-INICIO!$W$6)+V305))</f>
        <v>3.1999999999999886</v>
      </c>
      <c r="Y305" s="214">
        <f t="shared" ca="1" si="70"/>
        <v>10</v>
      </c>
      <c r="Z305" s="215">
        <f t="shared" ca="1" si="71"/>
        <v>7.8264604810999225</v>
      </c>
      <c r="AA305" s="212">
        <f t="shared" ca="1" si="72"/>
        <v>1.6580756013742783</v>
      </c>
      <c r="AB305" s="212">
        <f t="shared" ca="1" si="73"/>
        <v>0.34364261168386601</v>
      </c>
      <c r="AC305" s="214">
        <f t="shared" ca="1" si="68"/>
        <v>0.171821305841933</v>
      </c>
    </row>
    <row r="306" spans="2:29">
      <c r="B306" s="220">
        <v>44857</v>
      </c>
      <c r="C306" s="208">
        <f ca="1">DATOSAÑO!I306</f>
        <v>0</v>
      </c>
      <c r="D306" s="202">
        <f ca="1">DATOSAÑO!P306</f>
        <v>380</v>
      </c>
      <c r="E306" s="202">
        <f ca="1">DATOSAÑO!Q306</f>
        <v>0</v>
      </c>
      <c r="F306" s="202">
        <f ca="1">DATOSAÑO!T306</f>
        <v>0</v>
      </c>
      <c r="G306" s="202">
        <f t="shared" ca="1" si="67"/>
        <v>380</v>
      </c>
      <c r="H306" s="202">
        <f t="shared" ca="1" si="78"/>
        <v>37.437000000001831</v>
      </c>
      <c r="I306" s="202">
        <f t="shared" ca="1" si="74"/>
        <v>185.35662650602112</v>
      </c>
      <c r="J306" s="202">
        <f t="shared" ca="1" si="75"/>
        <v>35.989558232937789</v>
      </c>
      <c r="K306" s="202">
        <f t="shared" ca="1" si="76"/>
        <v>6.5530120481882319</v>
      </c>
      <c r="L306" s="202">
        <f t="shared" ca="1" si="66"/>
        <v>109.46299999999964</v>
      </c>
      <c r="M306" s="202">
        <f t="shared" ca="1" si="77"/>
        <v>5.2008032128514072</v>
      </c>
      <c r="N306" s="202">
        <f t="shared" ca="1" si="69"/>
        <v>5</v>
      </c>
      <c r="O306" s="202">
        <f ca="1">(DATOSAÑO!AJ306+DATOSAÑO!AK306+DATOSAÑO!AD306)</f>
        <v>178.19999999999709</v>
      </c>
      <c r="P306" s="202">
        <f ca="1">DATOSAÑO!AI306</f>
        <v>34.600000000005821</v>
      </c>
      <c r="Q306" s="202">
        <f ca="1">DATOSAÑO!AH306</f>
        <v>6.2999999999956344</v>
      </c>
      <c r="R306" s="202">
        <f ca="1">DATOSAÑO!AM306+DATOSAÑO!AN306+DATOSAÑO!AF306</f>
        <v>109.46299999999964</v>
      </c>
      <c r="S306" s="215">
        <f ca="1">IF(B306&gt;=$P$5,0,CONTADORES!Q310-CONTADORES!Q309)</f>
        <v>14</v>
      </c>
      <c r="T306" s="212">
        <f ca="1">IF(B306&gt;=$P$5,0,(CONTADORES!S310-CONTADORES!S309)+(CONTADORES!AE310-CONTADORES!AE309))</f>
        <v>3.4000000000000341</v>
      </c>
      <c r="U306" s="212">
        <f ca="1">IF(B306&gt;=$P$5,0,(CONTADORES!AQ310-CONTADORES!AQ309))</f>
        <v>5</v>
      </c>
      <c r="V306" s="212">
        <f ca="1">IF(B306&gt;=$P$5,0,(CONTADORES!AR310-CONTADORES!AR309))</f>
        <v>0</v>
      </c>
      <c r="W306" s="736">
        <v>0</v>
      </c>
      <c r="X306" s="212">
        <f ca="1">IF(W306=0,(T306-INICIO!$W$6),((T306-INICIO!$W$6)+V306))</f>
        <v>3.4000000000000341</v>
      </c>
      <c r="Y306" s="214">
        <f t="shared" ca="1" si="70"/>
        <v>9</v>
      </c>
      <c r="Z306" s="215">
        <f t="shared" ca="1" si="71"/>
        <v>7.1566265060240264</v>
      </c>
      <c r="AA306" s="212">
        <f t="shared" ca="1" si="72"/>
        <v>1.3895582329319698</v>
      </c>
      <c r="AB306" s="212">
        <f t="shared" ca="1" si="73"/>
        <v>0.25301204819259743</v>
      </c>
      <c r="AC306" s="214">
        <f t="shared" ca="1" si="68"/>
        <v>0.20080321285140693</v>
      </c>
    </row>
    <row r="307" spans="2:29">
      <c r="B307" s="220">
        <v>44858</v>
      </c>
      <c r="C307" s="208">
        <f ca="1">DATOSAÑO!I307</f>
        <v>172</v>
      </c>
      <c r="D307" s="202">
        <f ca="1">DATOSAÑO!P307</f>
        <v>230</v>
      </c>
      <c r="E307" s="202">
        <f ca="1">DATOSAÑO!Q307</f>
        <v>0</v>
      </c>
      <c r="F307" s="202">
        <f ca="1">DATOSAÑO!T307</f>
        <v>0</v>
      </c>
      <c r="G307" s="202">
        <f t="shared" ca="1" si="67"/>
        <v>402</v>
      </c>
      <c r="H307" s="202">
        <f t="shared" ca="1" si="78"/>
        <v>33.099999999984334</v>
      </c>
      <c r="I307" s="202">
        <f t="shared" ca="1" si="74"/>
        <v>188.34723404256184</v>
      </c>
      <c r="J307" s="202">
        <f t="shared" ca="1" si="75"/>
        <v>41.843404255322078</v>
      </c>
      <c r="K307" s="202">
        <f t="shared" ca="1" si="76"/>
        <v>7.5795744680881105</v>
      </c>
      <c r="L307" s="202">
        <f t="shared" ca="1" si="66"/>
        <v>124.90000000000109</v>
      </c>
      <c r="M307" s="202">
        <f t="shared" ca="1" si="77"/>
        <v>6.2297872340425391</v>
      </c>
      <c r="N307" s="202">
        <f t="shared" ca="1" si="69"/>
        <v>6</v>
      </c>
      <c r="O307" s="202">
        <f ca="1">(DATOSAÑO!AJ307+DATOSAÑO!AK307+DATOSAÑO!AD307)</f>
        <v>181.40000000000873</v>
      </c>
      <c r="P307" s="202">
        <f ca="1">DATOSAÑO!AI307</f>
        <v>40.30000000000291</v>
      </c>
      <c r="Q307" s="202">
        <f ca="1">DATOSAÑO!AH307</f>
        <v>7.3000000000029104</v>
      </c>
      <c r="R307" s="202">
        <f ca="1">DATOSAÑO!AM307+DATOSAÑO!AN307+DATOSAÑO!AF307</f>
        <v>124.90000000000109</v>
      </c>
      <c r="S307" s="215">
        <f ca="1">IF(B307&gt;=$P$5,0,CONTADORES!Q311-CONTADORES!Q310)</f>
        <v>15</v>
      </c>
      <c r="T307" s="212">
        <f ca="1">IF(B307&gt;=$P$5,0,(CONTADORES!S311-CONTADORES!S310)+(CONTADORES!AE311-CONTADORES!AE310))</f>
        <v>3.5</v>
      </c>
      <c r="U307" s="212">
        <f ca="1">IF(B307&gt;=$P$5,0,(CONTADORES!AQ311-CONTADORES!AQ310))</f>
        <v>6</v>
      </c>
      <c r="V307" s="212">
        <f ca="1">IF(B307&gt;=$P$5,0,(CONTADORES!AR311-CONTADORES!AR310))</f>
        <v>0</v>
      </c>
      <c r="W307" s="736">
        <v>0</v>
      </c>
      <c r="X307" s="212">
        <f ca="1">IF(W307=0,(T307-INICIO!$W$6),((T307-INICIO!$W$6)+V307))</f>
        <v>3.5</v>
      </c>
      <c r="Y307" s="214">
        <f t="shared" ca="1" si="70"/>
        <v>9</v>
      </c>
      <c r="Z307" s="215">
        <f t="shared" ca="1" si="71"/>
        <v>6.9472340425530961</v>
      </c>
      <c r="AA307" s="212">
        <f t="shared" ca="1" si="72"/>
        <v>1.5434042553191649</v>
      </c>
      <c r="AB307" s="212">
        <f t="shared" ca="1" si="73"/>
        <v>0.27957446808520053</v>
      </c>
      <c r="AC307" s="214">
        <f t="shared" ca="1" si="68"/>
        <v>0.22978723404253895</v>
      </c>
    </row>
    <row r="308" spans="2:29">
      <c r="B308" s="220">
        <v>44859</v>
      </c>
      <c r="C308" s="208">
        <f ca="1">DATOSAÑO!I308</f>
        <v>148</v>
      </c>
      <c r="D308" s="202">
        <f ca="1">DATOSAÑO!P308</f>
        <v>302</v>
      </c>
      <c r="E308" s="202">
        <f ca="1">DATOSAÑO!Q308</f>
        <v>0</v>
      </c>
      <c r="F308" s="202">
        <f ca="1">DATOSAÑO!T308</f>
        <v>0</v>
      </c>
      <c r="G308" s="202">
        <f t="shared" ca="1" si="67"/>
        <v>450</v>
      </c>
      <c r="H308" s="202">
        <f t="shared" ca="1" si="78"/>
        <v>34.654000000010171</v>
      </c>
      <c r="I308" s="202">
        <f t="shared" ca="1" si="74"/>
        <v>191.00049730625207</v>
      </c>
      <c r="J308" s="202">
        <f t="shared" ca="1" si="75"/>
        <v>40.303812681306617</v>
      </c>
      <c r="K308" s="202">
        <f t="shared" ca="1" si="76"/>
        <v>14.788479071691983</v>
      </c>
      <c r="L308" s="202">
        <f t="shared" ca="1" si="66"/>
        <v>164.04600000000144</v>
      </c>
      <c r="M308" s="202">
        <f t="shared" ca="1" si="77"/>
        <v>5.2072109407376805</v>
      </c>
      <c r="N308" s="202">
        <f t="shared" ca="1" si="69"/>
        <v>5</v>
      </c>
      <c r="O308" s="202">
        <f ca="1">(DATOSAÑO!AJ308+DATOSAÑO!AK308+DATOSAÑO!AD308)</f>
        <v>183.39999999999418</v>
      </c>
      <c r="P308" s="202">
        <f ca="1">DATOSAÑO!AI308</f>
        <v>38.69999999999709</v>
      </c>
      <c r="Q308" s="202">
        <f ca="1">DATOSAÑO!AH308</f>
        <v>14.19999999999709</v>
      </c>
      <c r="R308" s="202">
        <f ca="1">DATOSAÑO!AM308+DATOSAÑO!AN308+DATOSAÑO!AF308</f>
        <v>164.04600000000144</v>
      </c>
      <c r="S308" s="215">
        <f ca="1">IF(B308&gt;=$P$5,0,CONTADORES!Q312-CONTADORES!Q311)</f>
        <v>15</v>
      </c>
      <c r="T308" s="212">
        <f ca="1">IF(B308&gt;=$P$5,0,(CONTADORES!S312-CONTADORES!S311)+(CONTADORES!AE312-CONTADORES!AE311))</f>
        <v>3.5999999999999659</v>
      </c>
      <c r="U308" s="212">
        <f ca="1">IF(B308&gt;=$P$5,0,(CONTADORES!AQ312-CONTADORES!AQ311))</f>
        <v>5</v>
      </c>
      <c r="V308" s="212">
        <f ca="1">IF(B308&gt;=$P$5,0,(CONTADORES!AR312-CONTADORES!AR311))</f>
        <v>0</v>
      </c>
      <c r="W308" s="736">
        <v>0</v>
      </c>
      <c r="X308" s="212">
        <f ca="1">IF(W308=0,(T308-INICIO!$W$6),((T308-INICIO!$W$6)+V308))</f>
        <v>3.5999999999999659</v>
      </c>
      <c r="Y308" s="214">
        <f t="shared" ca="1" si="70"/>
        <v>10</v>
      </c>
      <c r="Z308" s="215">
        <f t="shared" ca="1" si="71"/>
        <v>7.6004973062578962</v>
      </c>
      <c r="AA308" s="212">
        <f t="shared" ca="1" si="72"/>
        <v>1.6038126813095299</v>
      </c>
      <c r="AB308" s="212">
        <f t="shared" ca="1" si="73"/>
        <v>0.58847907169489322</v>
      </c>
      <c r="AC308" s="214">
        <f t="shared" ca="1" si="68"/>
        <v>0.20721094073768095</v>
      </c>
    </row>
    <row r="309" spans="2:29">
      <c r="B309" s="220">
        <v>44860</v>
      </c>
      <c r="C309" s="208">
        <f ca="1">DATOSAÑO!I309</f>
        <v>150</v>
      </c>
      <c r="D309" s="202">
        <f ca="1">DATOSAÑO!P309</f>
        <v>294</v>
      </c>
      <c r="E309" s="202">
        <f ca="1">DATOSAÑO!Q309</f>
        <v>0</v>
      </c>
      <c r="F309" s="202">
        <f ca="1">DATOSAÑO!T309</f>
        <v>0</v>
      </c>
      <c r="G309" s="202">
        <f t="shared" ca="1" si="67"/>
        <v>444</v>
      </c>
      <c r="H309" s="202">
        <f t="shared" ca="1" si="78"/>
        <v>38.206999999997777</v>
      </c>
      <c r="I309" s="202">
        <f t="shared" ca="1" si="74"/>
        <v>189.2886597938143</v>
      </c>
      <c r="J309" s="202">
        <f t="shared" ca="1" si="75"/>
        <v>38.892096219937265</v>
      </c>
      <c r="K309" s="202">
        <f t="shared" ca="1" si="76"/>
        <v>6.4130584192428532</v>
      </c>
      <c r="L309" s="202">
        <f t="shared" ca="1" si="66"/>
        <v>164.99299999999747</v>
      </c>
      <c r="M309" s="202">
        <f t="shared" ca="1" si="77"/>
        <v>6.206185567010305</v>
      </c>
      <c r="N309" s="202">
        <f t="shared" ca="1" si="69"/>
        <v>6</v>
      </c>
      <c r="O309" s="202">
        <f ca="1">(DATOSAÑO!AJ309+DATOSAÑO!AK309+DATOSAÑO!AD309)</f>
        <v>183</v>
      </c>
      <c r="P309" s="202">
        <f ca="1">DATOSAÑO!AI309</f>
        <v>37.600000000005821</v>
      </c>
      <c r="Q309" s="202">
        <f ca="1">DATOSAÑO!AH309</f>
        <v>6.1999999999989086</v>
      </c>
      <c r="R309" s="202">
        <f ca="1">DATOSAÑO!AM309+DATOSAÑO!AN309+DATOSAÑO!AF309</f>
        <v>164.99299999999747</v>
      </c>
      <c r="S309" s="215">
        <f ca="1">IF(B309&gt;=$P$5,0,CONTADORES!Q313-CONTADORES!Q312)</f>
        <v>14</v>
      </c>
      <c r="T309" s="212">
        <f ca="1">IF(B309&gt;=$P$5,0,(CONTADORES!S313-CONTADORES!S312)+(CONTADORES!AE313-CONTADORES!AE312))</f>
        <v>3.6000000000000227</v>
      </c>
      <c r="U309" s="212">
        <f ca="1">IF(B309&gt;=$P$5,0,(CONTADORES!AQ313-CONTADORES!AQ312))</f>
        <v>6</v>
      </c>
      <c r="V309" s="212">
        <f ca="1">IF(B309&gt;=$P$5,0,(CONTADORES!AR313-CONTADORES!AR312))</f>
        <v>0</v>
      </c>
      <c r="W309" s="736">
        <v>0</v>
      </c>
      <c r="X309" s="212">
        <f ca="1">IF(W309=0,(T309-INICIO!$W$6),((T309-INICIO!$W$6)+V309))</f>
        <v>3.6000000000000227</v>
      </c>
      <c r="Y309" s="214">
        <f t="shared" ca="1" si="70"/>
        <v>8</v>
      </c>
      <c r="Z309" s="215">
        <f t="shared" ca="1" si="71"/>
        <v>6.288659793814305</v>
      </c>
      <c r="AA309" s="212">
        <f t="shared" ca="1" si="72"/>
        <v>1.2920962199314452</v>
      </c>
      <c r="AB309" s="212">
        <f t="shared" ca="1" si="73"/>
        <v>0.21305841924394442</v>
      </c>
      <c r="AC309" s="214">
        <f t="shared" ca="1" si="68"/>
        <v>0.20618556701030508</v>
      </c>
    </row>
    <row r="310" spans="2:29">
      <c r="B310" s="220">
        <v>44861</v>
      </c>
      <c r="C310" s="208">
        <f ca="1">DATOSAÑO!I310</f>
        <v>226</v>
      </c>
      <c r="D310" s="202">
        <f ca="1">DATOSAÑO!P310</f>
        <v>214</v>
      </c>
      <c r="E310" s="202">
        <f ca="1">DATOSAÑO!Q310</f>
        <v>0</v>
      </c>
      <c r="F310" s="202">
        <f ca="1">DATOSAÑO!T310</f>
        <v>0</v>
      </c>
      <c r="G310" s="202">
        <f t="shared" ca="1" si="67"/>
        <v>440</v>
      </c>
      <c r="H310" s="202">
        <f t="shared" ca="1" si="78"/>
        <v>32.64799999999309</v>
      </c>
      <c r="I310" s="202">
        <f t="shared" ca="1" si="74"/>
        <v>189.89204107831139</v>
      </c>
      <c r="J310" s="202">
        <f t="shared" ca="1" si="75"/>
        <v>38.583226358579331</v>
      </c>
      <c r="K310" s="202">
        <f t="shared" ca="1" si="76"/>
        <v>10.010783055199342</v>
      </c>
      <c r="L310" s="202">
        <f t="shared" ca="1" si="66"/>
        <v>163.65200000000073</v>
      </c>
      <c r="M310" s="202">
        <f t="shared" ca="1" si="77"/>
        <v>5.2139495079161264</v>
      </c>
      <c r="N310" s="202">
        <f t="shared" ca="1" si="69"/>
        <v>5</v>
      </c>
      <c r="O310" s="202">
        <f ca="1">(DATOSAÑO!AJ310+DATOSAÑO!AK310+DATOSAÑO!AD310)</f>
        <v>182.10000000000582</v>
      </c>
      <c r="P310" s="202">
        <f ca="1">DATOSAÑO!AI310</f>
        <v>37</v>
      </c>
      <c r="Q310" s="202">
        <f ca="1">DATOSAÑO!AH310</f>
        <v>9.6000000000003638</v>
      </c>
      <c r="R310" s="202">
        <f ca="1">DATOSAÑO!AM310+DATOSAÑO!AN310+DATOSAÑO!AF310</f>
        <v>163.65200000000073</v>
      </c>
      <c r="S310" s="215">
        <f ca="1">IF(B310&gt;=$P$5,0,CONTADORES!Q314-CONTADORES!Q313)</f>
        <v>15</v>
      </c>
      <c r="T310" s="212">
        <f ca="1">IF(B310&gt;=$P$5,0,(CONTADORES!S314-CONTADORES!S313)+(CONTADORES!AE314-CONTADORES!AE313))</f>
        <v>3.5999999999999659</v>
      </c>
      <c r="U310" s="212">
        <f ca="1">IF(B310&gt;=$P$5,0,(CONTADORES!AQ314-CONTADORES!AQ313))</f>
        <v>5</v>
      </c>
      <c r="V310" s="212">
        <f ca="1">IF(B310&gt;=$P$5,0,(CONTADORES!AR314-CONTADORES!AR313))</f>
        <v>0</v>
      </c>
      <c r="W310" s="736">
        <v>0</v>
      </c>
      <c r="X310" s="212">
        <f ca="1">IF(W310=0,(T310-INICIO!$W$6),((T310-INICIO!$W$6)+V310))</f>
        <v>3.5999999999999659</v>
      </c>
      <c r="Y310" s="214">
        <f t="shared" ca="1" si="70"/>
        <v>10</v>
      </c>
      <c r="Z310" s="215">
        <f t="shared" ca="1" si="71"/>
        <v>7.7920410783055631</v>
      </c>
      <c r="AA310" s="212">
        <f t="shared" ca="1" si="72"/>
        <v>1.5832263585793334</v>
      </c>
      <c r="AB310" s="212">
        <f t="shared" ca="1" si="73"/>
        <v>0.41078305519897773</v>
      </c>
      <c r="AC310" s="214">
        <f t="shared" ca="1" si="68"/>
        <v>0.21394950791612613</v>
      </c>
    </row>
    <row r="311" spans="2:29">
      <c r="B311" s="220">
        <v>44862</v>
      </c>
      <c r="C311" s="208">
        <f ca="1">DATOSAÑO!I311</f>
        <v>294</v>
      </c>
      <c r="D311" s="202">
        <f ca="1">DATOSAÑO!P311</f>
        <v>150</v>
      </c>
      <c r="E311" s="202">
        <f ca="1">DATOSAÑO!Q311</f>
        <v>0</v>
      </c>
      <c r="F311" s="202">
        <f ca="1">DATOSAÑO!T311</f>
        <v>0</v>
      </c>
      <c r="G311" s="202">
        <f t="shared" ca="1" si="67"/>
        <v>444</v>
      </c>
      <c r="H311" s="202">
        <f t="shared" ca="1" si="78"/>
        <v>37.382999999995945</v>
      </c>
      <c r="I311" s="202">
        <f t="shared" ref="I311:I342" ca="1" si="79">O311+Z311</f>
        <v>189.03306139974234</v>
      </c>
      <c r="J311" s="202">
        <f t="shared" ref="J311:J342" ca="1" si="80">P311+AA311</f>
        <v>41.753456419060946</v>
      </c>
      <c r="K311" s="202">
        <f t="shared" ref="K311:K342" ca="1" si="81">Q311+AB311</f>
        <v>5.9202662086777833</v>
      </c>
      <c r="L311" s="202">
        <f t="shared" ca="1" si="66"/>
        <v>164.71700000000254</v>
      </c>
      <c r="M311" s="202">
        <f t="shared" ref="M311:M342" ca="1" si="82">N311+AC311</f>
        <v>5.1932159725203935</v>
      </c>
      <c r="N311" s="202">
        <f t="shared" ca="1" si="69"/>
        <v>5</v>
      </c>
      <c r="O311" s="202">
        <f ca="1">(DATOSAÑO!AJ311+DATOSAÑO!AK311+DATOSAÑO!AD311)</f>
        <v>182</v>
      </c>
      <c r="P311" s="202">
        <f ca="1">DATOSAÑO!AI311</f>
        <v>40.19999999999709</v>
      </c>
      <c r="Q311" s="202">
        <f ca="1">DATOSAÑO!AH311</f>
        <v>5.7000000000043656</v>
      </c>
      <c r="R311" s="202">
        <f ca="1">DATOSAÑO!AM311+DATOSAÑO!AN311+DATOSAÑO!AF311</f>
        <v>164.71700000000254</v>
      </c>
      <c r="S311" s="215">
        <f ca="1">IF(B311&gt;=$P$5,0,CONTADORES!Q315-CONTADORES!Q314)</f>
        <v>14</v>
      </c>
      <c r="T311" s="212">
        <f ca="1">IF(B311&gt;=$P$5,0,(CONTADORES!S315-CONTADORES!S314)+(CONTADORES!AE315-CONTADORES!AE314))</f>
        <v>3.3000000000000114</v>
      </c>
      <c r="U311" s="212">
        <f ca="1">IF(B311&gt;=$P$5,0,(CONTADORES!AQ315-CONTADORES!AQ314))</f>
        <v>5</v>
      </c>
      <c r="V311" s="212">
        <f ca="1">IF(B311&gt;=$P$5,0,(CONTADORES!AR315-CONTADORES!AR314))</f>
        <v>0</v>
      </c>
      <c r="W311" s="736">
        <v>0</v>
      </c>
      <c r="X311" s="212">
        <f ca="1">IF(W311=0,(T311-INICIO!$W$6),((T311-INICIO!$W$6)+V311))</f>
        <v>3.3000000000000114</v>
      </c>
      <c r="Y311" s="214">
        <f t="shared" ca="1" si="70"/>
        <v>9</v>
      </c>
      <c r="Z311" s="215">
        <f t="shared" ca="1" si="71"/>
        <v>7.0330613997423344</v>
      </c>
      <c r="AA311" s="212">
        <f t="shared" ca="1" si="72"/>
        <v>1.5534564190638538</v>
      </c>
      <c r="AB311" s="212">
        <f t="shared" ca="1" si="73"/>
        <v>0.22026620867341765</v>
      </c>
      <c r="AC311" s="214">
        <f t="shared" ca="1" si="68"/>
        <v>0.19321597252039382</v>
      </c>
    </row>
    <row r="312" spans="2:29">
      <c r="B312" s="220">
        <v>44863</v>
      </c>
      <c r="C312" s="208">
        <f ca="1">DATOSAÑO!I312</f>
        <v>290</v>
      </c>
      <c r="D312" s="202">
        <f ca="1">DATOSAÑO!P312</f>
        <v>150</v>
      </c>
      <c r="E312" s="202">
        <f ca="1">DATOSAÑO!Q312</f>
        <v>0</v>
      </c>
      <c r="F312" s="202">
        <f ca="1">DATOSAÑO!T312</f>
        <v>0</v>
      </c>
      <c r="G312" s="202">
        <f t="shared" ca="1" si="67"/>
        <v>440</v>
      </c>
      <c r="H312" s="202">
        <f t="shared" ca="1" si="78"/>
        <v>30.633000000009076</v>
      </c>
      <c r="I312" s="202">
        <f t="shared" ca="1" si="79"/>
        <v>185.86451612902945</v>
      </c>
      <c r="J312" s="202">
        <f t="shared" ca="1" si="80"/>
        <v>41.929032258061532</v>
      </c>
      <c r="K312" s="202">
        <f t="shared" ca="1" si="81"/>
        <v>9.49139784946086</v>
      </c>
      <c r="L312" s="202">
        <f t="shared" ca="1" si="66"/>
        <v>166.86699999999817</v>
      </c>
      <c r="M312" s="202">
        <f t="shared" ca="1" si="82"/>
        <v>5.2150537634408671</v>
      </c>
      <c r="N312" s="202">
        <f t="shared" ca="1" si="69"/>
        <v>5</v>
      </c>
      <c r="O312" s="202">
        <f ca="1">(DATOSAÑO!AJ312+DATOSAÑO!AK312+DATOSAÑO!AD312)</f>
        <v>178.19999999999709</v>
      </c>
      <c r="P312" s="202">
        <f ca="1">DATOSAÑO!AI312</f>
        <v>40.19999999999709</v>
      </c>
      <c r="Q312" s="202">
        <f ca="1">DATOSAÑO!AH312</f>
        <v>9.0999999999985448</v>
      </c>
      <c r="R312" s="202">
        <f ca="1">DATOSAÑO!AM312+DATOSAÑO!AN312+DATOSAÑO!AF312</f>
        <v>166.86699999999817</v>
      </c>
      <c r="S312" s="215">
        <f ca="1">IF(B312&gt;=$P$5,0,CONTADORES!Q316-CONTADORES!Q315)</f>
        <v>15</v>
      </c>
      <c r="T312" s="212">
        <f ca="1">IF(B312&gt;=$P$5,0,(CONTADORES!S316-CONTADORES!S315)+(CONTADORES!AE316-CONTADORES!AE315))</f>
        <v>2.9000000000000341</v>
      </c>
      <c r="U312" s="212">
        <f ca="1">IF(B312&gt;=$P$5,0,(CONTADORES!AQ316-CONTADORES!AQ315))</f>
        <v>5</v>
      </c>
      <c r="V312" s="212">
        <f ca="1">IF(B312&gt;=$P$5,0,(CONTADORES!AR316-CONTADORES!AR315))</f>
        <v>0</v>
      </c>
      <c r="W312" s="736">
        <v>0</v>
      </c>
      <c r="X312" s="212">
        <f ca="1">IF(W312=0,(T312-INICIO!$W$6),((T312-INICIO!$W$6)+V312))</f>
        <v>2.9000000000000341</v>
      </c>
      <c r="Y312" s="214">
        <f t="shared" ca="1" si="70"/>
        <v>10</v>
      </c>
      <c r="Z312" s="215">
        <f t="shared" ca="1" si="71"/>
        <v>7.6645161290323731</v>
      </c>
      <c r="AA312" s="212">
        <f t="shared" ca="1" si="72"/>
        <v>1.729032258064445</v>
      </c>
      <c r="AB312" s="212">
        <f t="shared" ca="1" si="73"/>
        <v>0.39139784946231526</v>
      </c>
      <c r="AC312" s="214">
        <f t="shared" ca="1" si="68"/>
        <v>0.21505376344086694</v>
      </c>
    </row>
    <row r="313" spans="2:29">
      <c r="B313" s="220">
        <v>44864</v>
      </c>
      <c r="C313" s="208">
        <f ca="1">DATOSAÑO!I313</f>
        <v>286</v>
      </c>
      <c r="D313" s="202">
        <f ca="1">DATOSAÑO!P313</f>
        <v>148</v>
      </c>
      <c r="E313" s="202">
        <f ca="1">DATOSAÑO!Q313</f>
        <v>0</v>
      </c>
      <c r="F313" s="202">
        <f ca="1">DATOSAÑO!T313</f>
        <v>0</v>
      </c>
      <c r="G313" s="202">
        <f t="shared" ca="1" si="67"/>
        <v>434</v>
      </c>
      <c r="H313" s="202">
        <f t="shared" ca="1" si="78"/>
        <v>31.386000000006561</v>
      </c>
      <c r="I313" s="202">
        <f t="shared" ca="1" si="79"/>
        <v>182.6352530541015</v>
      </c>
      <c r="J313" s="202">
        <f t="shared" ca="1" si="80"/>
        <v>41.640837696329065</v>
      </c>
      <c r="K313" s="202">
        <f t="shared" ca="1" si="81"/>
        <v>8.662129144849013</v>
      </c>
      <c r="L313" s="202">
        <f t="shared" ca="1" si="66"/>
        <v>163.41400000000181</v>
      </c>
      <c r="M313" s="202">
        <f t="shared" ca="1" si="82"/>
        <v>6.2617801047120514</v>
      </c>
      <c r="N313" s="202">
        <f t="shared" ca="1" si="69"/>
        <v>6</v>
      </c>
      <c r="O313" s="202">
        <f ca="1">(DATOSAÑO!AJ313+DATOSAÑO!AK313+DATOSAÑO!AD313)</f>
        <v>175</v>
      </c>
      <c r="P313" s="202">
        <f ca="1">DATOSAÑO!AI313</f>
        <v>39.899999999994179</v>
      </c>
      <c r="Q313" s="202">
        <f ca="1">DATOSAÑO!AH313</f>
        <v>8.2999999999974534</v>
      </c>
      <c r="R313" s="202">
        <f ca="1">DATOSAÑO!AM313+DATOSAÑO!AN313+DATOSAÑO!AF313</f>
        <v>163.41400000000181</v>
      </c>
      <c r="S313" s="215">
        <f ca="1">IF(B313&gt;=$P$5,0,CONTADORES!Q317-CONTADORES!Q316)</f>
        <v>16</v>
      </c>
      <c r="T313" s="212">
        <f ca="1">IF(B313&gt;=$P$5,0,(CONTADORES!S317-CONTADORES!S316)+(CONTADORES!AE317-CONTADORES!AE316))</f>
        <v>3.3999999999999773</v>
      </c>
      <c r="U313" s="212">
        <f ca="1">IF(B313&gt;=$P$5,0,(CONTADORES!AQ317-CONTADORES!AQ316))</f>
        <v>6</v>
      </c>
      <c r="V313" s="212">
        <f ca="1">IF(B313&gt;=$P$5,0,(CONTADORES!AR317-CONTADORES!AR316))</f>
        <v>0</v>
      </c>
      <c r="W313" s="736">
        <v>0</v>
      </c>
      <c r="X313" s="212">
        <f ca="1">IF(W313=0,(T313-INICIO!$W$6),((T313-INICIO!$W$6)+V313))</f>
        <v>3.3999999999999773</v>
      </c>
      <c r="Y313" s="214">
        <f t="shared" ca="1" si="70"/>
        <v>10</v>
      </c>
      <c r="Z313" s="215">
        <f t="shared" ca="1" si="71"/>
        <v>7.6352530541015007</v>
      </c>
      <c r="AA313" s="212">
        <f t="shared" ca="1" si="72"/>
        <v>1.7408376963348882</v>
      </c>
      <c r="AB313" s="212">
        <f t="shared" ca="1" si="73"/>
        <v>0.36212914485156006</v>
      </c>
      <c r="AC313" s="214">
        <f t="shared" ca="1" si="68"/>
        <v>0.26178010471205143</v>
      </c>
    </row>
    <row r="314" spans="2:29" ht="18" customHeight="1" thickBot="1">
      <c r="B314" s="1069">
        <v>44865</v>
      </c>
      <c r="C314" s="209">
        <f ca="1">DATOSAÑO!I314</f>
        <v>240</v>
      </c>
      <c r="D314" s="203">
        <f ca="1">DATOSAÑO!P314</f>
        <v>209</v>
      </c>
      <c r="E314" s="203">
        <f ca="1">DATOSAÑO!Q314</f>
        <v>0</v>
      </c>
      <c r="F314" s="203">
        <f ca="1">DATOSAÑO!T314</f>
        <v>0.25700000000006185</v>
      </c>
      <c r="G314" s="203">
        <f t="shared" ca="1" si="67"/>
        <v>449.25700000000006</v>
      </c>
      <c r="H314" s="203">
        <f t="shared" ca="1" si="78"/>
        <v>34.176999999988027</v>
      </c>
      <c r="I314" s="203">
        <f t="shared" ca="1" si="79"/>
        <v>189.63102725366829</v>
      </c>
      <c r="J314" s="203">
        <f t="shared" ca="1" si="80"/>
        <v>43.135849056612763</v>
      </c>
      <c r="K314" s="203">
        <f t="shared" ca="1" si="81"/>
        <v>10.523480083863481</v>
      </c>
      <c r="L314" s="203">
        <f t="shared" ca="1" si="66"/>
        <v>166.57999999999751</v>
      </c>
      <c r="M314" s="203">
        <f t="shared" ca="1" si="82"/>
        <v>5.2096436058700082</v>
      </c>
      <c r="N314" s="203">
        <f t="shared" ca="1" si="69"/>
        <v>5</v>
      </c>
      <c r="O314" s="203">
        <f ca="1">(DATOSAÑO!AJ314+DATOSAÑO!AK314+DATOSAÑO!AD314)</f>
        <v>182</v>
      </c>
      <c r="P314" s="203">
        <f ca="1">DATOSAÑO!AI314</f>
        <v>41.400000000008731</v>
      </c>
      <c r="Q314" s="203">
        <f ca="1">DATOSAÑO!AH314</f>
        <v>10.100000000005821</v>
      </c>
      <c r="R314" s="203">
        <f ca="1">DATOSAÑO!AM314+DATOSAÑO!AN314+DATOSAÑO!AF314</f>
        <v>166.57999999999751</v>
      </c>
      <c r="S314" s="209">
        <f ca="1">IF(B314&gt;=$P$5,0,CONTADORES!Q318-CONTADORES!Q317)</f>
        <v>15</v>
      </c>
      <c r="T314" s="203">
        <f ca="1">IF(B314&gt;=$P$5,0,(CONTADORES!S318-CONTADORES!S317)+(CONTADORES!AE318-CONTADORES!AE317))</f>
        <v>3.3999999999999773</v>
      </c>
      <c r="U314" s="203">
        <f ca="1">IF(B314&gt;=$P$5,0,(CONTADORES!AQ318-CONTADORES!AQ317))</f>
        <v>5</v>
      </c>
      <c r="V314" s="203">
        <f ca="1">IF(B314&gt;=$P$5,0,(CONTADORES!AR318-CONTADORES!AR317))</f>
        <v>0</v>
      </c>
      <c r="W314" s="737">
        <v>0</v>
      </c>
      <c r="X314" s="203">
        <f ca="1">IF(W314=0,(T314-INICIO!$W$6),((T314-INICIO!$W$6)+V314))</f>
        <v>3.3999999999999773</v>
      </c>
      <c r="Y314" s="207">
        <f t="shared" ca="1" si="70"/>
        <v>10</v>
      </c>
      <c r="Z314" s="206">
        <f t="shared" ca="1" si="71"/>
        <v>7.6310272536682975</v>
      </c>
      <c r="AA314" s="203">
        <f t="shared" ca="1" si="72"/>
        <v>1.7358490566040337</v>
      </c>
      <c r="AB314" s="203">
        <f t="shared" ca="1" si="73"/>
        <v>0.42348008385766056</v>
      </c>
      <c r="AC314" s="207">
        <f t="shared" ca="1" si="68"/>
        <v>0.20964360587000816</v>
      </c>
    </row>
    <row r="315" spans="2:29">
      <c r="B315" s="410">
        <v>44866</v>
      </c>
      <c r="C315" s="208">
        <f ca="1">DATOSAÑO!I315</f>
        <v>147</v>
      </c>
      <c r="D315" s="202">
        <f ca="1">DATOSAÑO!P315</f>
        <v>293</v>
      </c>
      <c r="E315" s="202">
        <f ca="1">DATOSAÑO!Q315</f>
        <v>0</v>
      </c>
      <c r="F315" s="202">
        <f ca="1">DATOSAÑO!T315</f>
        <v>0</v>
      </c>
      <c r="G315" s="202">
        <f t="shared" ca="1" si="67"/>
        <v>440</v>
      </c>
      <c r="H315" s="202">
        <f ca="1">G315-SUM(I315:M315)</f>
        <v>33.299000000005094</v>
      </c>
      <c r="I315" s="202">
        <f t="shared" ca="1" si="79"/>
        <v>184.88430182133652</v>
      </c>
      <c r="J315" s="202">
        <f t="shared" ca="1" si="80"/>
        <v>40.378230702512163</v>
      </c>
      <c r="K315" s="202">
        <f t="shared" ca="1" si="81"/>
        <v>10.120641803988459</v>
      </c>
      <c r="L315" s="202">
        <f t="shared" ca="1" si="66"/>
        <v>166.10099999999818</v>
      </c>
      <c r="M315" s="202">
        <f t="shared" ca="1" si="82"/>
        <v>5.2168256721595867</v>
      </c>
      <c r="N315" s="202">
        <f t="shared" ca="1" si="69"/>
        <v>5</v>
      </c>
      <c r="O315" s="202">
        <f ca="1">(DATOSAÑO!AJ315+DATOSAÑO!AK315+DATOSAÑO!AD315)</f>
        <v>177.20000000000073</v>
      </c>
      <c r="P315" s="202">
        <f ca="1">DATOSAÑO!AI315</f>
        <v>38.69999999999709</v>
      </c>
      <c r="Q315" s="202">
        <f ca="1">DATOSAÑO!AH315</f>
        <v>9.6999999999989086</v>
      </c>
      <c r="R315" s="202">
        <f ca="1">DATOSAÑO!AM315+DATOSAÑO!AN315+DATOSAÑO!AF315</f>
        <v>166.10099999999818</v>
      </c>
      <c r="S315" s="208">
        <f ca="1">IF(B315&gt;=$P$5,0,CONTADORES!Q321-CONTADORES!Q320)</f>
        <v>15</v>
      </c>
      <c r="T315" s="202">
        <f ca="1">IF(B315&gt;=$P$5,0,(CONTADORES!S321-CONTADORES!S320)+(CONTADORES!AE321-CONTADORES!AE320))</f>
        <v>3.5</v>
      </c>
      <c r="U315" s="202">
        <f ca="1">IF(B315&gt;=$P$5,0,(CONTADORES!AQ321-CONTADORES!AQ320))</f>
        <v>5</v>
      </c>
      <c r="V315" s="202">
        <f ca="1">IF(B315&gt;=$P$5,0,(CONTADORES!AR321-CONTADORES!AR320))</f>
        <v>0</v>
      </c>
      <c r="W315" s="735">
        <v>0</v>
      </c>
      <c r="X315" s="202">
        <f ca="1">IF(W315=0,(T315-INICIO!$W$6),((T315-INICIO!$W$6)+V315))</f>
        <v>3.5</v>
      </c>
      <c r="Y315" s="214">
        <f t="shared" ca="1" si="70"/>
        <v>10</v>
      </c>
      <c r="Z315" s="215">
        <f t="shared" ca="1" si="71"/>
        <v>7.6843018213357865</v>
      </c>
      <c r="AA315" s="212">
        <f t="shared" ca="1" si="72"/>
        <v>1.6782307025150753</v>
      </c>
      <c r="AB315" s="212">
        <f t="shared" ca="1" si="73"/>
        <v>0.42064180398955103</v>
      </c>
      <c r="AC315" s="214">
        <f t="shared" ca="1" si="68"/>
        <v>0.21682567215958679</v>
      </c>
    </row>
    <row r="316" spans="2:29">
      <c r="B316" s="220">
        <v>44867</v>
      </c>
      <c r="C316" s="208">
        <f ca="1">DATOSAÑO!I316</f>
        <v>0</v>
      </c>
      <c r="D316" s="202">
        <f ca="1">DATOSAÑO!P316</f>
        <v>0</v>
      </c>
      <c r="E316" s="202">
        <f ca="1">DATOSAÑO!Q316</f>
        <v>0</v>
      </c>
      <c r="F316" s="202">
        <f ca="1">DATOSAÑO!T316</f>
        <v>0</v>
      </c>
      <c r="G316" s="202">
        <f t="shared" ca="1" si="67"/>
        <v>0</v>
      </c>
      <c r="H316" s="202">
        <f t="shared" ref="H316:H344" ca="1" si="83">G316-SUM(I316:M316)</f>
        <v>-14</v>
      </c>
      <c r="I316" s="202">
        <f t="shared" ca="1" si="79"/>
        <v>0</v>
      </c>
      <c r="J316" s="202">
        <f t="shared" ca="1" si="80"/>
        <v>0</v>
      </c>
      <c r="K316" s="202">
        <f t="shared" ca="1" si="81"/>
        <v>0</v>
      </c>
      <c r="L316" s="202">
        <f t="shared" ca="1" si="66"/>
        <v>0</v>
      </c>
      <c r="M316" s="202">
        <f t="shared" ca="1" si="82"/>
        <v>14</v>
      </c>
      <c r="N316" s="202">
        <f t="shared" ca="1" si="69"/>
        <v>5</v>
      </c>
      <c r="O316" s="202">
        <f ca="1">(DATOSAÑO!AJ316+DATOSAÑO!AK316+DATOSAÑO!AD316)</f>
        <v>0</v>
      </c>
      <c r="P316" s="202">
        <f ca="1">DATOSAÑO!AI316</f>
        <v>0</v>
      </c>
      <c r="Q316" s="202">
        <f ca="1">DATOSAÑO!AH316</f>
        <v>0</v>
      </c>
      <c r="R316" s="202">
        <f ca="1">DATOSAÑO!AM316+DATOSAÑO!AN316+DATOSAÑO!AF316</f>
        <v>0</v>
      </c>
      <c r="S316" s="215">
        <f ca="1">IF(B316&gt;=$P$5,0,CONTADORES!Q322-CONTADORES!Q321)</f>
        <v>14</v>
      </c>
      <c r="T316" s="212">
        <f ca="1">IF(B316&gt;=$P$5,0,(CONTADORES!S322-CONTADORES!S321)+(CONTADORES!AE322-CONTADORES!AE321))</f>
        <v>3.5</v>
      </c>
      <c r="U316" s="212">
        <f ca="1">IF(B316&gt;=$P$5,0,(CONTADORES!AQ322-CONTADORES!AQ321))</f>
        <v>5</v>
      </c>
      <c r="V316" s="212">
        <f ca="1">IF(B316&gt;=$P$5,0,(CONTADORES!AR322-CONTADORES!AR321))</f>
        <v>0</v>
      </c>
      <c r="W316" s="212">
        <v>0</v>
      </c>
      <c r="X316" s="212">
        <f ca="1">IF(W316=0,(T316-INICIO!$W$6),((T316-INICIO!$W$6)+V316))</f>
        <v>3.5</v>
      </c>
      <c r="Y316" s="214">
        <f t="shared" ca="1" si="70"/>
        <v>9</v>
      </c>
      <c r="Z316" s="215">
        <f t="shared" ca="1" si="71"/>
        <v>0</v>
      </c>
      <c r="AA316" s="212">
        <f t="shared" ca="1" si="72"/>
        <v>0</v>
      </c>
      <c r="AB316" s="212">
        <f t="shared" ca="1" si="73"/>
        <v>0</v>
      </c>
      <c r="AC316" s="214">
        <f t="shared" ca="1" si="68"/>
        <v>9</v>
      </c>
    </row>
    <row r="317" spans="2:29">
      <c r="B317" s="220">
        <v>44868</v>
      </c>
      <c r="C317" s="208">
        <f ca="1">DATOSAÑO!I317</f>
        <v>0</v>
      </c>
      <c r="D317" s="202">
        <f ca="1">DATOSAÑO!P317</f>
        <v>0</v>
      </c>
      <c r="E317" s="202">
        <f ca="1">DATOSAÑO!Q317</f>
        <v>0</v>
      </c>
      <c r="F317" s="202">
        <f ca="1">DATOSAÑO!T317</f>
        <v>0</v>
      </c>
      <c r="G317" s="202">
        <f t="shared" ca="1" si="67"/>
        <v>0</v>
      </c>
      <c r="H317" s="202">
        <f t="shared" ca="1" si="83"/>
        <v>-15</v>
      </c>
      <c r="I317" s="202">
        <f t="shared" ca="1" si="79"/>
        <v>0</v>
      </c>
      <c r="J317" s="202">
        <f t="shared" ca="1" si="80"/>
        <v>0</v>
      </c>
      <c r="K317" s="202">
        <f t="shared" ca="1" si="81"/>
        <v>0</v>
      </c>
      <c r="L317" s="202">
        <f t="shared" ca="1" si="66"/>
        <v>0</v>
      </c>
      <c r="M317" s="202">
        <f t="shared" ca="1" si="82"/>
        <v>15</v>
      </c>
      <c r="N317" s="202">
        <f t="shared" ca="1" si="69"/>
        <v>5</v>
      </c>
      <c r="O317" s="202">
        <f ca="1">(DATOSAÑO!AJ317+DATOSAÑO!AK317+DATOSAÑO!AD317)</f>
        <v>0</v>
      </c>
      <c r="P317" s="202">
        <f ca="1">DATOSAÑO!AI317</f>
        <v>0</v>
      </c>
      <c r="Q317" s="202">
        <f ca="1">DATOSAÑO!AH317</f>
        <v>0</v>
      </c>
      <c r="R317" s="202">
        <f ca="1">DATOSAÑO!AM317+DATOSAÑO!AN317+DATOSAÑO!AF317</f>
        <v>0</v>
      </c>
      <c r="S317" s="215">
        <f ca="1">IF(B317&gt;=$P$5,0,CONTADORES!Q323-CONTADORES!Q322)</f>
        <v>15</v>
      </c>
      <c r="T317" s="212">
        <f ca="1">IF(B317&gt;=$P$5,0,(CONTADORES!S323-CONTADORES!S322)+(CONTADORES!AE323-CONTADORES!AE322))</f>
        <v>3.6000000000000227</v>
      </c>
      <c r="U317" s="212">
        <f ca="1">IF(B317&gt;=$P$5,0,(CONTADORES!AQ323-CONTADORES!AQ322))</f>
        <v>5</v>
      </c>
      <c r="V317" s="212">
        <f ca="1">IF(B317&gt;=$P$5,0,(CONTADORES!AR323-CONTADORES!AR322))</f>
        <v>0</v>
      </c>
      <c r="W317" s="212">
        <v>0</v>
      </c>
      <c r="X317" s="212">
        <f ca="1">IF(W317=0,(T317-INICIO!$W$6),((T317-INICIO!$W$6)+V317))</f>
        <v>3.6000000000000227</v>
      </c>
      <c r="Y317" s="214">
        <f t="shared" ca="1" si="70"/>
        <v>10</v>
      </c>
      <c r="Z317" s="215">
        <f t="shared" ca="1" si="71"/>
        <v>0</v>
      </c>
      <c r="AA317" s="212">
        <f t="shared" ca="1" si="72"/>
        <v>0</v>
      </c>
      <c r="AB317" s="212">
        <f t="shared" ca="1" si="73"/>
        <v>0</v>
      </c>
      <c r="AC317" s="214">
        <f t="shared" ca="1" si="68"/>
        <v>10</v>
      </c>
    </row>
    <row r="318" spans="2:29">
      <c r="B318" s="220">
        <v>44869</v>
      </c>
      <c r="C318" s="208">
        <f ca="1">DATOSAÑO!I318</f>
        <v>0</v>
      </c>
      <c r="D318" s="202">
        <f ca="1">DATOSAÑO!P318</f>
        <v>0</v>
      </c>
      <c r="E318" s="202">
        <f ca="1">DATOSAÑO!Q318</f>
        <v>0</v>
      </c>
      <c r="F318" s="202">
        <f ca="1">DATOSAÑO!T318</f>
        <v>0</v>
      </c>
      <c r="G318" s="202">
        <f t="shared" ca="1" si="67"/>
        <v>0</v>
      </c>
      <c r="H318" s="202">
        <f t="shared" ca="1" si="83"/>
        <v>-15</v>
      </c>
      <c r="I318" s="202">
        <f t="shared" ca="1" si="79"/>
        <v>0</v>
      </c>
      <c r="J318" s="202">
        <f t="shared" ca="1" si="80"/>
        <v>0</v>
      </c>
      <c r="K318" s="202">
        <f t="shared" ca="1" si="81"/>
        <v>0</v>
      </c>
      <c r="L318" s="202">
        <f t="shared" ca="1" si="66"/>
        <v>0</v>
      </c>
      <c r="M318" s="202">
        <f t="shared" ca="1" si="82"/>
        <v>15</v>
      </c>
      <c r="N318" s="202">
        <f t="shared" ca="1" si="69"/>
        <v>5</v>
      </c>
      <c r="O318" s="202">
        <f ca="1">(DATOSAÑO!AJ318+DATOSAÑO!AK318+DATOSAÑO!AD318)</f>
        <v>0</v>
      </c>
      <c r="P318" s="202">
        <f ca="1">DATOSAÑO!AI318</f>
        <v>0</v>
      </c>
      <c r="Q318" s="202">
        <f ca="1">DATOSAÑO!AH318</f>
        <v>0</v>
      </c>
      <c r="R318" s="202">
        <f ca="1">DATOSAÑO!AM318+DATOSAÑO!AN318+DATOSAÑO!AF318</f>
        <v>0</v>
      </c>
      <c r="S318" s="215">
        <f ca="1">IF(B318&gt;=$P$5,0,CONTADORES!Q324-CONTADORES!Q323)</f>
        <v>15</v>
      </c>
      <c r="T318" s="212">
        <f ca="1">IF(B318&gt;=$P$5,0,(CONTADORES!S324-CONTADORES!S323)+(CONTADORES!AE324-CONTADORES!AE323))</f>
        <v>3.6000000000000227</v>
      </c>
      <c r="U318" s="212">
        <f ca="1">IF(B318&gt;=$P$5,0,(CONTADORES!AQ324-CONTADORES!AQ323))</f>
        <v>5</v>
      </c>
      <c r="V318" s="212">
        <f ca="1">IF(B318&gt;=$P$5,0,(CONTADORES!AR324-CONTADORES!AR323))</f>
        <v>0</v>
      </c>
      <c r="W318" s="212">
        <v>0</v>
      </c>
      <c r="X318" s="212">
        <f ca="1">IF(W318=0,(T318-INICIO!$W$6),((T318-INICIO!$W$6)+V318))</f>
        <v>3.6000000000000227</v>
      </c>
      <c r="Y318" s="214">
        <f t="shared" ca="1" si="70"/>
        <v>10</v>
      </c>
      <c r="Z318" s="215">
        <f t="shared" ca="1" si="71"/>
        <v>0</v>
      </c>
      <c r="AA318" s="212">
        <f t="shared" ca="1" si="72"/>
        <v>0</v>
      </c>
      <c r="AB318" s="212">
        <f t="shared" ca="1" si="73"/>
        <v>0</v>
      </c>
      <c r="AC318" s="214">
        <f t="shared" ca="1" si="68"/>
        <v>10</v>
      </c>
    </row>
    <row r="319" spans="2:29">
      <c r="B319" s="220">
        <v>44870</v>
      </c>
      <c r="C319" s="208">
        <f ca="1">DATOSAÑO!I319</f>
        <v>0</v>
      </c>
      <c r="D319" s="202">
        <f ca="1">DATOSAÑO!P319</f>
        <v>0</v>
      </c>
      <c r="E319" s="202">
        <f ca="1">DATOSAÑO!Q319</f>
        <v>0</v>
      </c>
      <c r="F319" s="202">
        <f ca="1">DATOSAÑO!T319</f>
        <v>0</v>
      </c>
      <c r="G319" s="202">
        <f t="shared" ca="1" si="67"/>
        <v>0</v>
      </c>
      <c r="H319" s="202">
        <f t="shared" ca="1" si="83"/>
        <v>142600</v>
      </c>
      <c r="I319" s="202">
        <f t="shared" ca="1" si="79"/>
        <v>0</v>
      </c>
      <c r="J319" s="202">
        <f t="shared" ca="1" si="80"/>
        <v>0</v>
      </c>
      <c r="K319" s="202">
        <f t="shared" ca="1" si="81"/>
        <v>0</v>
      </c>
      <c r="L319" s="202">
        <f t="shared" ca="1" si="66"/>
        <v>0</v>
      </c>
      <c r="M319" s="202">
        <f t="shared" ca="1" si="82"/>
        <v>-142600</v>
      </c>
      <c r="N319" s="202">
        <f t="shared" ca="1" si="69"/>
        <v>-66025</v>
      </c>
      <c r="O319" s="202">
        <f ca="1">(DATOSAÑO!AJ319+DATOSAÑO!AK319+DATOSAÑO!AD319)</f>
        <v>0</v>
      </c>
      <c r="P319" s="202">
        <f ca="1">DATOSAÑO!AI319</f>
        <v>0</v>
      </c>
      <c r="Q319" s="202">
        <f ca="1">DATOSAÑO!AH319</f>
        <v>0</v>
      </c>
      <c r="R319" s="202">
        <f ca="1">DATOSAÑO!AM319+DATOSAÑO!AN319+DATOSAÑO!AF319</f>
        <v>0</v>
      </c>
      <c r="S319" s="215">
        <f ca="1">IF(B319&gt;=$P$5,0,CONTADORES!Q325-CONTADORES!Q324)</f>
        <v>-142600</v>
      </c>
      <c r="T319" s="212">
        <f ca="1">IF(B319&gt;=$P$5,0,(CONTADORES!S325-CONTADORES!S324)+(CONTADORES!AE325-CONTADORES!AE324))</f>
        <v>-14575.7</v>
      </c>
      <c r="U319" s="212">
        <f ca="1">IF(B319&gt;=$P$5,0,(CONTADORES!AQ325-CONTADORES!AQ324))</f>
        <v>-66025</v>
      </c>
      <c r="V319" s="212">
        <f ca="1">IF(B319&gt;=$P$5,0,(CONTADORES!AR325-CONTADORES!AR324))</f>
        <v>0</v>
      </c>
      <c r="W319" s="212">
        <v>0</v>
      </c>
      <c r="X319" s="212">
        <f ca="1">IF(W319=0,(T319-INICIO!$W$6),((T319-INICIO!$W$6)+V319))</f>
        <v>-14575.7</v>
      </c>
      <c r="Y319" s="214">
        <f t="shared" ca="1" si="70"/>
        <v>-76575</v>
      </c>
      <c r="Z319" s="215">
        <f t="shared" ca="1" si="71"/>
        <v>0</v>
      </c>
      <c r="AA319" s="212">
        <f t="shared" ca="1" si="72"/>
        <v>0</v>
      </c>
      <c r="AB319" s="212">
        <f t="shared" ca="1" si="73"/>
        <v>0</v>
      </c>
      <c r="AC319" s="214">
        <f t="shared" ca="1" si="68"/>
        <v>-76575</v>
      </c>
    </row>
    <row r="320" spans="2:29">
      <c r="B320" s="220">
        <v>44871</v>
      </c>
      <c r="C320" s="208">
        <f ca="1">DATOSAÑO!I320</f>
        <v>0</v>
      </c>
      <c r="D320" s="202">
        <f ca="1">DATOSAÑO!P320</f>
        <v>0</v>
      </c>
      <c r="E320" s="202">
        <f ca="1">DATOSAÑO!Q320</f>
        <v>0</v>
      </c>
      <c r="F320" s="202">
        <f ca="1">DATOSAÑO!T320</f>
        <v>0</v>
      </c>
      <c r="G320" s="202">
        <f t="shared" ca="1" si="67"/>
        <v>0</v>
      </c>
      <c r="H320" s="202">
        <f t="shared" ca="1" si="83"/>
        <v>-142600</v>
      </c>
      <c r="I320" s="202">
        <f t="shared" ca="1" si="79"/>
        <v>0</v>
      </c>
      <c r="J320" s="202">
        <f t="shared" ca="1" si="80"/>
        <v>0</v>
      </c>
      <c r="K320" s="202">
        <f t="shared" ca="1" si="81"/>
        <v>0</v>
      </c>
      <c r="L320" s="202">
        <f t="shared" ca="1" si="66"/>
        <v>0</v>
      </c>
      <c r="M320" s="202">
        <f t="shared" ca="1" si="82"/>
        <v>142600</v>
      </c>
      <c r="N320" s="202">
        <f t="shared" ca="1" si="69"/>
        <v>66025</v>
      </c>
      <c r="O320" s="202">
        <f ca="1">(DATOSAÑO!AJ320+DATOSAÑO!AK320+DATOSAÑO!AD320)</f>
        <v>0</v>
      </c>
      <c r="P320" s="202">
        <f ca="1">DATOSAÑO!AI320</f>
        <v>0</v>
      </c>
      <c r="Q320" s="202">
        <f ca="1">DATOSAÑO!AH320</f>
        <v>0</v>
      </c>
      <c r="R320" s="202">
        <f ca="1">DATOSAÑO!AM320+DATOSAÑO!AN320+DATOSAÑO!AF320</f>
        <v>0</v>
      </c>
      <c r="S320" s="215">
        <f ca="1">IF(B320&gt;=$P$5,0,CONTADORES!Q326-CONTADORES!Q325)</f>
        <v>142600</v>
      </c>
      <c r="T320" s="212">
        <f ca="1">IF(B320&gt;=$P$5,0,(CONTADORES!S326-CONTADORES!S325)+(CONTADORES!AE326-CONTADORES!AE325))</f>
        <v>14575.7</v>
      </c>
      <c r="U320" s="212">
        <f ca="1">IF(B320&gt;=$P$5,0,(CONTADORES!AQ326-CONTADORES!AQ325))</f>
        <v>66025</v>
      </c>
      <c r="V320" s="212">
        <f ca="1">IF(B320&gt;=$P$5,0,(CONTADORES!AR326-CONTADORES!AR325))</f>
        <v>0</v>
      </c>
      <c r="W320" s="212">
        <v>0</v>
      </c>
      <c r="X320" s="212">
        <f ca="1">IF(W320=0,(T320-INICIO!$W$6),((T320-INICIO!$W$6)+V320))</f>
        <v>14575.7</v>
      </c>
      <c r="Y320" s="214">
        <f t="shared" ca="1" si="70"/>
        <v>76575</v>
      </c>
      <c r="Z320" s="215">
        <f t="shared" ca="1" si="71"/>
        <v>0</v>
      </c>
      <c r="AA320" s="212">
        <f t="shared" ca="1" si="72"/>
        <v>0</v>
      </c>
      <c r="AB320" s="212">
        <f t="shared" ca="1" si="73"/>
        <v>0</v>
      </c>
      <c r="AC320" s="214">
        <f t="shared" ca="1" si="68"/>
        <v>76575</v>
      </c>
    </row>
    <row r="321" spans="2:29">
      <c r="B321" s="220">
        <v>44872</v>
      </c>
      <c r="C321" s="208">
        <f ca="1">DATOSAÑO!I321</f>
        <v>0</v>
      </c>
      <c r="D321" s="202">
        <f ca="1">DATOSAÑO!P321</f>
        <v>0</v>
      </c>
      <c r="E321" s="202">
        <f ca="1">DATOSAÑO!Q321</f>
        <v>0</v>
      </c>
      <c r="F321" s="202">
        <f ca="1">DATOSAÑO!T321</f>
        <v>0</v>
      </c>
      <c r="G321" s="202">
        <f t="shared" ca="1" si="67"/>
        <v>0</v>
      </c>
      <c r="H321" s="202">
        <f t="shared" ca="1" si="83"/>
        <v>-15</v>
      </c>
      <c r="I321" s="202">
        <f t="shared" ca="1" si="79"/>
        <v>0</v>
      </c>
      <c r="J321" s="202">
        <f t="shared" ca="1" si="80"/>
        <v>0</v>
      </c>
      <c r="K321" s="202">
        <f t="shared" ca="1" si="81"/>
        <v>0</v>
      </c>
      <c r="L321" s="202">
        <f t="shared" ca="1" si="66"/>
        <v>0</v>
      </c>
      <c r="M321" s="202">
        <f t="shared" ca="1" si="82"/>
        <v>15</v>
      </c>
      <c r="N321" s="202">
        <f t="shared" ca="1" si="69"/>
        <v>6</v>
      </c>
      <c r="O321" s="202">
        <f ca="1">(DATOSAÑO!AJ321+DATOSAÑO!AK321+DATOSAÑO!AD321)</f>
        <v>0</v>
      </c>
      <c r="P321" s="202">
        <f ca="1">DATOSAÑO!AI321</f>
        <v>0</v>
      </c>
      <c r="Q321" s="202">
        <f ca="1">DATOSAÑO!AH321</f>
        <v>0</v>
      </c>
      <c r="R321" s="202">
        <f ca="1">DATOSAÑO!AM321+DATOSAÑO!AN321+DATOSAÑO!AF321</f>
        <v>0</v>
      </c>
      <c r="S321" s="215">
        <f ca="1">IF(B321&gt;=$P$5,0,CONTADORES!Q327-CONTADORES!Q326)</f>
        <v>15</v>
      </c>
      <c r="T321" s="212">
        <f ca="1">IF(B321&gt;=$P$5,0,(CONTADORES!S327-CONTADORES!S326)+(CONTADORES!AE327-CONTADORES!AE326))</f>
        <v>3.5</v>
      </c>
      <c r="U321" s="212">
        <f ca="1">IF(B321&gt;=$P$5,0,(CONTADORES!AQ327-CONTADORES!AQ326))</f>
        <v>6</v>
      </c>
      <c r="V321" s="212">
        <f ca="1">IF(B321&gt;=$P$5,0,(CONTADORES!AR327-CONTADORES!AR326))</f>
        <v>0</v>
      </c>
      <c r="W321" s="212">
        <v>0</v>
      </c>
      <c r="X321" s="212">
        <f ca="1">IF(W321=0,(T321-INICIO!$W$6),((T321-INICIO!$W$6)+V321))</f>
        <v>3.5</v>
      </c>
      <c r="Y321" s="214">
        <f t="shared" ca="1" si="70"/>
        <v>9</v>
      </c>
      <c r="Z321" s="215">
        <f t="shared" ca="1" si="71"/>
        <v>0</v>
      </c>
      <c r="AA321" s="212">
        <f t="shared" ca="1" si="72"/>
        <v>0</v>
      </c>
      <c r="AB321" s="212">
        <f t="shared" ca="1" si="73"/>
        <v>0</v>
      </c>
      <c r="AC321" s="214">
        <f t="shared" ca="1" si="68"/>
        <v>9</v>
      </c>
    </row>
    <row r="322" spans="2:29">
      <c r="B322" s="220">
        <v>44873</v>
      </c>
      <c r="C322" s="208">
        <f ca="1">DATOSAÑO!I322</f>
        <v>0</v>
      </c>
      <c r="D322" s="202">
        <f ca="1">DATOSAÑO!P322</f>
        <v>0</v>
      </c>
      <c r="E322" s="202">
        <f ca="1">DATOSAÑO!Q322</f>
        <v>0</v>
      </c>
      <c r="F322" s="202">
        <f ca="1">DATOSAÑO!T322</f>
        <v>0</v>
      </c>
      <c r="G322" s="202">
        <f t="shared" ca="1" si="67"/>
        <v>0</v>
      </c>
      <c r="H322" s="202">
        <f t="shared" ca="1" si="83"/>
        <v>142615</v>
      </c>
      <c r="I322" s="202">
        <f t="shared" ca="1" si="79"/>
        <v>0</v>
      </c>
      <c r="J322" s="202">
        <f t="shared" ca="1" si="80"/>
        <v>0</v>
      </c>
      <c r="K322" s="202">
        <f t="shared" ca="1" si="81"/>
        <v>0</v>
      </c>
      <c r="L322" s="202">
        <f t="shared" ca="1" si="66"/>
        <v>0</v>
      </c>
      <c r="M322" s="202">
        <f t="shared" ca="1" si="82"/>
        <v>-142615</v>
      </c>
      <c r="N322" s="202">
        <f t="shared" ca="1" si="69"/>
        <v>-66031</v>
      </c>
      <c r="O322" s="202">
        <f ca="1">(DATOSAÑO!AJ322+DATOSAÑO!AK322+DATOSAÑO!AD322)</f>
        <v>0</v>
      </c>
      <c r="P322" s="202">
        <f ca="1">DATOSAÑO!AI322</f>
        <v>0</v>
      </c>
      <c r="Q322" s="202">
        <f ca="1">DATOSAÑO!AH322</f>
        <v>0</v>
      </c>
      <c r="R322" s="202">
        <f ca="1">DATOSAÑO!AM322+DATOSAÑO!AN322+DATOSAÑO!AF322</f>
        <v>0</v>
      </c>
      <c r="S322" s="215">
        <f ca="1">IF(B322&gt;=$P$5,0,CONTADORES!Q328-CONTADORES!Q327)</f>
        <v>-142615</v>
      </c>
      <c r="T322" s="212">
        <f ca="1">IF(B322&gt;=$P$5,0,(CONTADORES!S328-CONTADORES!S327)+(CONTADORES!AE328-CONTADORES!AE327))</f>
        <v>-14579.2</v>
      </c>
      <c r="U322" s="212">
        <f ca="1">IF(B322&gt;=$P$5,0,(CONTADORES!AQ328-CONTADORES!AQ327))</f>
        <v>-66031</v>
      </c>
      <c r="V322" s="212">
        <f ca="1">IF(B322&gt;=$P$5,0,(CONTADORES!AR328-CONTADORES!AR327))</f>
        <v>0</v>
      </c>
      <c r="W322" s="212">
        <v>0</v>
      </c>
      <c r="X322" s="212">
        <f ca="1">IF(W322=0,(T322-INICIO!$W$6),((T322-INICIO!$W$6)+V322))</f>
        <v>-14579.2</v>
      </c>
      <c r="Y322" s="214">
        <f t="shared" ca="1" si="70"/>
        <v>-76584</v>
      </c>
      <c r="Z322" s="215">
        <f t="shared" ca="1" si="71"/>
        <v>0</v>
      </c>
      <c r="AA322" s="212">
        <f t="shared" ca="1" si="72"/>
        <v>0</v>
      </c>
      <c r="AB322" s="212">
        <f t="shared" ca="1" si="73"/>
        <v>0</v>
      </c>
      <c r="AC322" s="214">
        <f t="shared" ca="1" si="68"/>
        <v>-76584</v>
      </c>
    </row>
    <row r="323" spans="2:29">
      <c r="B323" s="220">
        <v>44874</v>
      </c>
      <c r="C323" s="208">
        <f ca="1">DATOSAÑO!I323</f>
        <v>0</v>
      </c>
      <c r="D323" s="202">
        <f ca="1">DATOSAÑO!P323</f>
        <v>0</v>
      </c>
      <c r="E323" s="202">
        <f ca="1">DATOSAÑO!Q323</f>
        <v>0</v>
      </c>
      <c r="F323" s="202">
        <f ca="1">DATOSAÑO!T323</f>
        <v>0</v>
      </c>
      <c r="G323" s="202">
        <f t="shared" ca="1" si="67"/>
        <v>0</v>
      </c>
      <c r="H323" s="202" t="e">
        <f t="shared" ca="1" si="83"/>
        <v>#DIV/0!</v>
      </c>
      <c r="I323" s="202" t="e">
        <f t="shared" ca="1" si="79"/>
        <v>#DIV/0!</v>
      </c>
      <c r="J323" s="202" t="e">
        <f t="shared" ca="1" si="80"/>
        <v>#DIV/0!</v>
      </c>
      <c r="K323" s="202" t="e">
        <f t="shared" ca="1" si="81"/>
        <v>#DIV/0!</v>
      </c>
      <c r="L323" s="202">
        <f t="shared" ca="1" si="66"/>
        <v>0</v>
      </c>
      <c r="M323" s="202" t="e">
        <f t="shared" ca="1" si="82"/>
        <v>#DIV/0!</v>
      </c>
      <c r="N323" s="202">
        <f t="shared" ca="1" si="69"/>
        <v>0</v>
      </c>
      <c r="O323" s="202">
        <f ca="1">(DATOSAÑO!AJ323+DATOSAÑO!AK323+DATOSAÑO!AD323)</f>
        <v>0</v>
      </c>
      <c r="P323" s="202">
        <f ca="1">DATOSAÑO!AI323</f>
        <v>0</v>
      </c>
      <c r="Q323" s="202">
        <f ca="1">DATOSAÑO!AH323</f>
        <v>0</v>
      </c>
      <c r="R323" s="202">
        <f ca="1">DATOSAÑO!AM323+DATOSAÑO!AN323+DATOSAÑO!AF323</f>
        <v>0</v>
      </c>
      <c r="S323" s="215">
        <f ca="1">IF(B323&gt;=$P$5,0,CONTADORES!Q329-CONTADORES!Q328)</f>
        <v>0</v>
      </c>
      <c r="T323" s="212">
        <f ca="1">IF(B323&gt;=$P$5,0,(CONTADORES!S329-CONTADORES!S328)+(CONTADORES!AE329-CONTADORES!AE328))</f>
        <v>0</v>
      </c>
      <c r="U323" s="212">
        <f ca="1">IF(B323&gt;=$P$5,0,(CONTADORES!AQ329-CONTADORES!AQ328))</f>
        <v>0</v>
      </c>
      <c r="V323" s="212">
        <f ca="1">IF(B323&gt;=$P$5,0,(CONTADORES!AR329-CONTADORES!AR328))</f>
        <v>0</v>
      </c>
      <c r="W323" s="212">
        <v>0</v>
      </c>
      <c r="X323" s="212">
        <f ca="1">IF(W323=0,(T323-INICIO!$W$6),((T323-INICIO!$W$6)+V323))</f>
        <v>0</v>
      </c>
      <c r="Y323" s="214">
        <f t="shared" ca="1" si="70"/>
        <v>0</v>
      </c>
      <c r="Z323" s="215" t="e">
        <f t="shared" ca="1" si="71"/>
        <v>#DIV/0!</v>
      </c>
      <c r="AA323" s="212" t="e">
        <f t="shared" ca="1" si="72"/>
        <v>#DIV/0!</v>
      </c>
      <c r="AB323" s="212" t="e">
        <f t="shared" ca="1" si="73"/>
        <v>#DIV/0!</v>
      </c>
      <c r="AC323" s="214" t="e">
        <f t="shared" ca="1" si="68"/>
        <v>#DIV/0!</v>
      </c>
    </row>
    <row r="324" spans="2:29">
      <c r="B324" s="220">
        <v>44875</v>
      </c>
      <c r="C324" s="208">
        <f ca="1">DATOSAÑO!I324</f>
        <v>0</v>
      </c>
      <c r="D324" s="202">
        <f ca="1">DATOSAÑO!P324</f>
        <v>0</v>
      </c>
      <c r="E324" s="202">
        <f ca="1">DATOSAÑO!Q324</f>
        <v>0</v>
      </c>
      <c r="F324" s="202">
        <f ca="1">DATOSAÑO!T324</f>
        <v>0</v>
      </c>
      <c r="G324" s="202">
        <f t="shared" ca="1" si="67"/>
        <v>0</v>
      </c>
      <c r="H324" s="202" t="e">
        <f t="shared" ca="1" si="83"/>
        <v>#DIV/0!</v>
      </c>
      <c r="I324" s="202" t="e">
        <f t="shared" ca="1" si="79"/>
        <v>#DIV/0!</v>
      </c>
      <c r="J324" s="202" t="e">
        <f t="shared" ca="1" si="80"/>
        <v>#DIV/0!</v>
      </c>
      <c r="K324" s="202" t="e">
        <f t="shared" ca="1" si="81"/>
        <v>#DIV/0!</v>
      </c>
      <c r="L324" s="202">
        <f t="shared" ref="L324:L375" ca="1" si="84">R324</f>
        <v>0</v>
      </c>
      <c r="M324" s="202" t="e">
        <f t="shared" ca="1" si="82"/>
        <v>#DIV/0!</v>
      </c>
      <c r="N324" s="202">
        <f t="shared" ca="1" si="69"/>
        <v>0</v>
      </c>
      <c r="O324" s="202">
        <f ca="1">(DATOSAÑO!AJ324+DATOSAÑO!AK324+DATOSAÑO!AD324)</f>
        <v>0</v>
      </c>
      <c r="P324" s="202">
        <f ca="1">DATOSAÑO!AI324</f>
        <v>0</v>
      </c>
      <c r="Q324" s="202">
        <f ca="1">DATOSAÑO!AH324</f>
        <v>0</v>
      </c>
      <c r="R324" s="202">
        <f ca="1">DATOSAÑO!AM324+DATOSAÑO!AN324+DATOSAÑO!AF324</f>
        <v>0</v>
      </c>
      <c r="S324" s="215">
        <f ca="1">IF(B324&gt;=$P$5,0,CONTADORES!Q330-CONTADORES!Q329)</f>
        <v>0</v>
      </c>
      <c r="T324" s="212">
        <f ca="1">IF(B324&gt;=$P$5,0,(CONTADORES!S330-CONTADORES!S329)+(CONTADORES!AE330-CONTADORES!AE329))</f>
        <v>0</v>
      </c>
      <c r="U324" s="212">
        <f ca="1">IF(B324&gt;=$P$5,0,(CONTADORES!AQ330-CONTADORES!AQ329))</f>
        <v>0</v>
      </c>
      <c r="V324" s="212">
        <f ca="1">IF(B324&gt;=$P$5,0,(CONTADORES!AR330-CONTADORES!AR329))</f>
        <v>0</v>
      </c>
      <c r="W324" s="212">
        <v>0</v>
      </c>
      <c r="X324" s="212">
        <f ca="1">IF(W324=0,(T324-INICIO!$W$6),((T324-INICIO!$W$6)+V324))</f>
        <v>0</v>
      </c>
      <c r="Y324" s="214">
        <f t="shared" ca="1" si="70"/>
        <v>0</v>
      </c>
      <c r="Z324" s="215" t="e">
        <f t="shared" ca="1" si="71"/>
        <v>#DIV/0!</v>
      </c>
      <c r="AA324" s="212" t="e">
        <f t="shared" ca="1" si="72"/>
        <v>#DIV/0!</v>
      </c>
      <c r="AB324" s="212" t="e">
        <f t="shared" ca="1" si="73"/>
        <v>#DIV/0!</v>
      </c>
      <c r="AC324" s="214" t="e">
        <f t="shared" ca="1" si="68"/>
        <v>#DIV/0!</v>
      </c>
    </row>
    <row r="325" spans="2:29">
      <c r="B325" s="220">
        <v>44876</v>
      </c>
      <c r="C325" s="208">
        <f ca="1">DATOSAÑO!I325</f>
        <v>0</v>
      </c>
      <c r="D325" s="202">
        <f ca="1">DATOSAÑO!P325</f>
        <v>0</v>
      </c>
      <c r="E325" s="202">
        <f ca="1">DATOSAÑO!Q325</f>
        <v>0</v>
      </c>
      <c r="F325" s="202">
        <f ca="1">DATOSAÑO!T325</f>
        <v>0</v>
      </c>
      <c r="G325" s="202">
        <f t="shared" ca="1" si="67"/>
        <v>0</v>
      </c>
      <c r="H325" s="202" t="e">
        <f t="shared" ca="1" si="83"/>
        <v>#DIV/0!</v>
      </c>
      <c r="I325" s="202" t="e">
        <f t="shared" ca="1" si="79"/>
        <v>#DIV/0!</v>
      </c>
      <c r="J325" s="202" t="e">
        <f t="shared" ca="1" si="80"/>
        <v>#DIV/0!</v>
      </c>
      <c r="K325" s="202" t="e">
        <f t="shared" ca="1" si="81"/>
        <v>#DIV/0!</v>
      </c>
      <c r="L325" s="202">
        <f t="shared" ca="1" si="84"/>
        <v>0</v>
      </c>
      <c r="M325" s="202" t="e">
        <f t="shared" ca="1" si="82"/>
        <v>#DIV/0!</v>
      </c>
      <c r="N325" s="202">
        <f t="shared" ca="1" si="69"/>
        <v>0</v>
      </c>
      <c r="O325" s="202">
        <f ca="1">(DATOSAÑO!AJ325+DATOSAÑO!AK325+DATOSAÑO!AD325)</f>
        <v>0</v>
      </c>
      <c r="P325" s="202">
        <f ca="1">DATOSAÑO!AI325</f>
        <v>0</v>
      </c>
      <c r="Q325" s="202">
        <f ca="1">DATOSAÑO!AH325</f>
        <v>0</v>
      </c>
      <c r="R325" s="202">
        <f ca="1">DATOSAÑO!AM325+DATOSAÑO!AN325+DATOSAÑO!AF325</f>
        <v>0</v>
      </c>
      <c r="S325" s="215">
        <f ca="1">IF(B325&gt;=$P$5,0,CONTADORES!Q331-CONTADORES!Q330)</f>
        <v>0</v>
      </c>
      <c r="T325" s="212">
        <f ca="1">IF(B325&gt;=$P$5,0,(CONTADORES!S331-CONTADORES!S330)+(CONTADORES!AE331-CONTADORES!AE330))</f>
        <v>0</v>
      </c>
      <c r="U325" s="212">
        <f ca="1">IF(B325&gt;=$P$5,0,(CONTADORES!AQ331-CONTADORES!AQ330))</f>
        <v>0</v>
      </c>
      <c r="V325" s="212">
        <f ca="1">IF(B325&gt;=$P$5,0,(CONTADORES!AR331-CONTADORES!AR330))</f>
        <v>0</v>
      </c>
      <c r="W325" s="212">
        <v>0</v>
      </c>
      <c r="X325" s="212">
        <f ca="1">IF(W325=0,(T325-INICIO!$W$6),((T325-INICIO!$W$6)+V325))</f>
        <v>0</v>
      </c>
      <c r="Y325" s="214">
        <f t="shared" ca="1" si="70"/>
        <v>0</v>
      </c>
      <c r="Z325" s="215" t="e">
        <f t="shared" ca="1" si="71"/>
        <v>#DIV/0!</v>
      </c>
      <c r="AA325" s="212" t="e">
        <f t="shared" ca="1" si="72"/>
        <v>#DIV/0!</v>
      </c>
      <c r="AB325" s="212" t="e">
        <f t="shared" ca="1" si="73"/>
        <v>#DIV/0!</v>
      </c>
      <c r="AC325" s="214" t="e">
        <f t="shared" ca="1" si="68"/>
        <v>#DIV/0!</v>
      </c>
    </row>
    <row r="326" spans="2:29">
      <c r="B326" s="220">
        <v>44877</v>
      </c>
      <c r="C326" s="208">
        <f ca="1">DATOSAÑO!I326</f>
        <v>0</v>
      </c>
      <c r="D326" s="202">
        <f ca="1">DATOSAÑO!P326</f>
        <v>0</v>
      </c>
      <c r="E326" s="202">
        <f ca="1">DATOSAÑO!Q326</f>
        <v>0</v>
      </c>
      <c r="F326" s="202">
        <f ca="1">DATOSAÑO!T326</f>
        <v>0</v>
      </c>
      <c r="G326" s="202">
        <f t="shared" ca="1" si="67"/>
        <v>0</v>
      </c>
      <c r="H326" s="202" t="e">
        <f t="shared" ca="1" si="83"/>
        <v>#DIV/0!</v>
      </c>
      <c r="I326" s="202" t="e">
        <f t="shared" ca="1" si="79"/>
        <v>#DIV/0!</v>
      </c>
      <c r="J326" s="202" t="e">
        <f t="shared" ca="1" si="80"/>
        <v>#DIV/0!</v>
      </c>
      <c r="K326" s="202" t="e">
        <f t="shared" ca="1" si="81"/>
        <v>#DIV/0!</v>
      </c>
      <c r="L326" s="202">
        <f t="shared" ca="1" si="84"/>
        <v>0</v>
      </c>
      <c r="M326" s="202" t="e">
        <f t="shared" ca="1" si="82"/>
        <v>#DIV/0!</v>
      </c>
      <c r="N326" s="202">
        <f t="shared" ca="1" si="69"/>
        <v>0</v>
      </c>
      <c r="O326" s="202">
        <f ca="1">(DATOSAÑO!AJ326+DATOSAÑO!AK326+DATOSAÑO!AD326)</f>
        <v>0</v>
      </c>
      <c r="P326" s="202">
        <f ca="1">DATOSAÑO!AI326</f>
        <v>0</v>
      </c>
      <c r="Q326" s="202">
        <f ca="1">DATOSAÑO!AH326</f>
        <v>0</v>
      </c>
      <c r="R326" s="202">
        <f ca="1">DATOSAÑO!AM326+DATOSAÑO!AN326+DATOSAÑO!AF326</f>
        <v>0</v>
      </c>
      <c r="S326" s="215">
        <f ca="1">IF(B326&gt;=$P$5,0,CONTADORES!Q332-CONTADORES!Q331)</f>
        <v>0</v>
      </c>
      <c r="T326" s="212">
        <f ca="1">IF(B326&gt;=$P$5,0,(CONTADORES!S332-CONTADORES!S331)+(CONTADORES!AE332-CONTADORES!AE331))</f>
        <v>0</v>
      </c>
      <c r="U326" s="212">
        <f ca="1">IF(B326&gt;=$P$5,0,(CONTADORES!AQ332-CONTADORES!AQ331))</f>
        <v>0</v>
      </c>
      <c r="V326" s="212">
        <f ca="1">IF(B326&gt;=$P$5,0,(CONTADORES!AR332-CONTADORES!AR331))</f>
        <v>0</v>
      </c>
      <c r="W326" s="212">
        <v>0</v>
      </c>
      <c r="X326" s="212">
        <f ca="1">IF(W326=0,(T326-INICIO!$W$6),((T326-INICIO!$W$6)+V326))</f>
        <v>0</v>
      </c>
      <c r="Y326" s="214">
        <f t="shared" ca="1" si="70"/>
        <v>0</v>
      </c>
      <c r="Z326" s="215" t="e">
        <f t="shared" ca="1" si="71"/>
        <v>#DIV/0!</v>
      </c>
      <c r="AA326" s="212" t="e">
        <f t="shared" ca="1" si="72"/>
        <v>#DIV/0!</v>
      </c>
      <c r="AB326" s="212" t="e">
        <f t="shared" ca="1" si="73"/>
        <v>#DIV/0!</v>
      </c>
      <c r="AC326" s="214" t="e">
        <f t="shared" ca="1" si="68"/>
        <v>#DIV/0!</v>
      </c>
    </row>
    <row r="327" spans="2:29">
      <c r="B327" s="220">
        <v>44878</v>
      </c>
      <c r="C327" s="208">
        <f ca="1">DATOSAÑO!I327</f>
        <v>0</v>
      </c>
      <c r="D327" s="202">
        <f ca="1">DATOSAÑO!P327</f>
        <v>0</v>
      </c>
      <c r="E327" s="202">
        <f ca="1">DATOSAÑO!Q327</f>
        <v>0</v>
      </c>
      <c r="F327" s="202">
        <f ca="1">DATOSAÑO!T327</f>
        <v>0</v>
      </c>
      <c r="G327" s="202">
        <f t="shared" ca="1" si="67"/>
        <v>0</v>
      </c>
      <c r="H327" s="202" t="e">
        <f t="shared" ca="1" si="83"/>
        <v>#DIV/0!</v>
      </c>
      <c r="I327" s="202" t="e">
        <f t="shared" ca="1" si="79"/>
        <v>#DIV/0!</v>
      </c>
      <c r="J327" s="202" t="e">
        <f t="shared" ca="1" si="80"/>
        <v>#DIV/0!</v>
      </c>
      <c r="K327" s="202" t="e">
        <f t="shared" ca="1" si="81"/>
        <v>#DIV/0!</v>
      </c>
      <c r="L327" s="202">
        <f t="shared" ca="1" si="84"/>
        <v>0</v>
      </c>
      <c r="M327" s="202" t="e">
        <f t="shared" ca="1" si="82"/>
        <v>#DIV/0!</v>
      </c>
      <c r="N327" s="202">
        <f t="shared" ca="1" si="69"/>
        <v>0</v>
      </c>
      <c r="O327" s="202">
        <f ca="1">(DATOSAÑO!AJ327+DATOSAÑO!AK327+DATOSAÑO!AD327)</f>
        <v>0</v>
      </c>
      <c r="P327" s="202">
        <f ca="1">DATOSAÑO!AI327</f>
        <v>0</v>
      </c>
      <c r="Q327" s="202">
        <f ca="1">DATOSAÑO!AH327</f>
        <v>0</v>
      </c>
      <c r="R327" s="202">
        <f ca="1">DATOSAÑO!AM327+DATOSAÑO!AN327+DATOSAÑO!AF327</f>
        <v>0</v>
      </c>
      <c r="S327" s="215">
        <f ca="1">IF(B327&gt;=$P$5,0,CONTADORES!Q333-CONTADORES!Q332)</f>
        <v>0</v>
      </c>
      <c r="T327" s="212">
        <f ca="1">IF(B327&gt;=$P$5,0,(CONTADORES!S333-CONTADORES!S332)+(CONTADORES!AE333-CONTADORES!AE332))</f>
        <v>0</v>
      </c>
      <c r="U327" s="212">
        <f ca="1">IF(B327&gt;=$P$5,0,(CONTADORES!AQ333-CONTADORES!AQ332))</f>
        <v>0</v>
      </c>
      <c r="V327" s="212">
        <f ca="1">IF(B327&gt;=$P$5,0,(CONTADORES!AR333-CONTADORES!AR332))</f>
        <v>0</v>
      </c>
      <c r="W327" s="212">
        <v>0</v>
      </c>
      <c r="X327" s="212">
        <f ca="1">IF(W327=0,(T327-INICIO!$W$6),((T327-INICIO!$W$6)+V327))</f>
        <v>0</v>
      </c>
      <c r="Y327" s="214">
        <f t="shared" ca="1" si="70"/>
        <v>0</v>
      </c>
      <c r="Z327" s="215" t="e">
        <f t="shared" ca="1" si="71"/>
        <v>#DIV/0!</v>
      </c>
      <c r="AA327" s="212" t="e">
        <f t="shared" ca="1" si="72"/>
        <v>#DIV/0!</v>
      </c>
      <c r="AB327" s="212" t="e">
        <f t="shared" ca="1" si="73"/>
        <v>#DIV/0!</v>
      </c>
      <c r="AC327" s="214" t="e">
        <f t="shared" ca="1" si="68"/>
        <v>#DIV/0!</v>
      </c>
    </row>
    <row r="328" spans="2:29">
      <c r="B328" s="220">
        <v>44879</v>
      </c>
      <c r="C328" s="208">
        <f ca="1">DATOSAÑO!I328</f>
        <v>0</v>
      </c>
      <c r="D328" s="202">
        <f ca="1">DATOSAÑO!P328</f>
        <v>0</v>
      </c>
      <c r="E328" s="202">
        <f ca="1">DATOSAÑO!Q328</f>
        <v>0</v>
      </c>
      <c r="F328" s="202">
        <f ca="1">DATOSAÑO!T328</f>
        <v>0</v>
      </c>
      <c r="G328" s="202">
        <f t="shared" ca="1" si="67"/>
        <v>0</v>
      </c>
      <c r="H328" s="202" t="e">
        <f t="shared" ca="1" si="83"/>
        <v>#DIV/0!</v>
      </c>
      <c r="I328" s="202" t="e">
        <f t="shared" ca="1" si="79"/>
        <v>#DIV/0!</v>
      </c>
      <c r="J328" s="202" t="e">
        <f t="shared" ca="1" si="80"/>
        <v>#DIV/0!</v>
      </c>
      <c r="K328" s="202" t="e">
        <f t="shared" ca="1" si="81"/>
        <v>#DIV/0!</v>
      </c>
      <c r="L328" s="202">
        <f t="shared" ca="1" si="84"/>
        <v>0</v>
      </c>
      <c r="M328" s="202" t="e">
        <f t="shared" ca="1" si="82"/>
        <v>#DIV/0!</v>
      </c>
      <c r="N328" s="202">
        <f t="shared" ca="1" si="69"/>
        <v>0</v>
      </c>
      <c r="O328" s="202">
        <f ca="1">(DATOSAÑO!AJ328+DATOSAÑO!AK328+DATOSAÑO!AD328)</f>
        <v>0</v>
      </c>
      <c r="P328" s="202">
        <f ca="1">DATOSAÑO!AI328</f>
        <v>0</v>
      </c>
      <c r="Q328" s="202">
        <f ca="1">DATOSAÑO!AH328</f>
        <v>0</v>
      </c>
      <c r="R328" s="202">
        <f ca="1">DATOSAÑO!AM328+DATOSAÑO!AN328+DATOSAÑO!AF328</f>
        <v>0</v>
      </c>
      <c r="S328" s="215">
        <f ca="1">IF(B328&gt;=$P$5,0,CONTADORES!Q334-CONTADORES!Q333)</f>
        <v>0</v>
      </c>
      <c r="T328" s="212">
        <f ca="1">IF(B328&gt;=$P$5,0,(CONTADORES!S334-CONTADORES!S333)+(CONTADORES!AE334-CONTADORES!AE333))</f>
        <v>0</v>
      </c>
      <c r="U328" s="212">
        <f ca="1">IF(B328&gt;=$P$5,0,(CONTADORES!AQ334-CONTADORES!AQ333))</f>
        <v>0</v>
      </c>
      <c r="V328" s="212">
        <f ca="1">IF(B328&gt;=$P$5,0,(CONTADORES!AR334-CONTADORES!AR333))</f>
        <v>0</v>
      </c>
      <c r="W328" s="212">
        <v>0</v>
      </c>
      <c r="X328" s="212">
        <f ca="1">IF(W328=0,(T328-INICIO!$W$6),((T328-INICIO!$W$6)+V328))</f>
        <v>0</v>
      </c>
      <c r="Y328" s="214">
        <f t="shared" ca="1" si="70"/>
        <v>0</v>
      </c>
      <c r="Z328" s="215" t="e">
        <f t="shared" ca="1" si="71"/>
        <v>#DIV/0!</v>
      </c>
      <c r="AA328" s="212" t="e">
        <f t="shared" ca="1" si="72"/>
        <v>#DIV/0!</v>
      </c>
      <c r="AB328" s="212" t="e">
        <f t="shared" ca="1" si="73"/>
        <v>#DIV/0!</v>
      </c>
      <c r="AC328" s="214" t="e">
        <f t="shared" ca="1" si="68"/>
        <v>#DIV/0!</v>
      </c>
    </row>
    <row r="329" spans="2:29">
      <c r="B329" s="220">
        <v>44880</v>
      </c>
      <c r="C329" s="208">
        <f ca="1">DATOSAÑO!I329</f>
        <v>0</v>
      </c>
      <c r="D329" s="202">
        <f ca="1">DATOSAÑO!P329</f>
        <v>0</v>
      </c>
      <c r="E329" s="202">
        <f ca="1">DATOSAÑO!Q329</f>
        <v>0</v>
      </c>
      <c r="F329" s="202">
        <f ca="1">DATOSAÑO!T329</f>
        <v>0</v>
      </c>
      <c r="G329" s="202">
        <f t="shared" ca="1" si="67"/>
        <v>0</v>
      </c>
      <c r="H329" s="202" t="e">
        <f t="shared" ca="1" si="83"/>
        <v>#DIV/0!</v>
      </c>
      <c r="I329" s="202" t="e">
        <f t="shared" ca="1" si="79"/>
        <v>#DIV/0!</v>
      </c>
      <c r="J329" s="202" t="e">
        <f t="shared" ca="1" si="80"/>
        <v>#DIV/0!</v>
      </c>
      <c r="K329" s="202" t="e">
        <f t="shared" ca="1" si="81"/>
        <v>#DIV/0!</v>
      </c>
      <c r="L329" s="202">
        <f t="shared" ca="1" si="84"/>
        <v>0</v>
      </c>
      <c r="M329" s="202" t="e">
        <f t="shared" ca="1" si="82"/>
        <v>#DIV/0!</v>
      </c>
      <c r="N329" s="202">
        <f t="shared" ca="1" si="69"/>
        <v>0</v>
      </c>
      <c r="O329" s="202">
        <f ca="1">(DATOSAÑO!AJ329+DATOSAÑO!AK329+DATOSAÑO!AD329)</f>
        <v>0</v>
      </c>
      <c r="P329" s="202">
        <f ca="1">DATOSAÑO!AI329</f>
        <v>0</v>
      </c>
      <c r="Q329" s="202">
        <f ca="1">DATOSAÑO!AH329</f>
        <v>0</v>
      </c>
      <c r="R329" s="202">
        <f ca="1">DATOSAÑO!AM329+DATOSAÑO!AN329+DATOSAÑO!AF329</f>
        <v>0</v>
      </c>
      <c r="S329" s="215">
        <f ca="1">IF(B329&gt;=$P$5,0,CONTADORES!Q335-CONTADORES!Q334)</f>
        <v>0</v>
      </c>
      <c r="T329" s="212">
        <f ca="1">IF(B329&gt;=$P$5,0,(CONTADORES!S335-CONTADORES!S334)+(CONTADORES!AE335-CONTADORES!AE334))</f>
        <v>0</v>
      </c>
      <c r="U329" s="212">
        <f ca="1">IF(B329&gt;=$P$5,0,(CONTADORES!AQ335-CONTADORES!AQ334))</f>
        <v>0</v>
      </c>
      <c r="V329" s="212">
        <f ca="1">IF(B329&gt;=$P$5,0,(CONTADORES!AR335-CONTADORES!AR334))</f>
        <v>0</v>
      </c>
      <c r="W329" s="212">
        <v>0</v>
      </c>
      <c r="X329" s="212">
        <f ca="1">IF(W329=0,(T329-INICIO!$W$6),((T329-INICIO!$W$6)+V329))</f>
        <v>0</v>
      </c>
      <c r="Y329" s="214">
        <f t="shared" ca="1" si="70"/>
        <v>0</v>
      </c>
      <c r="Z329" s="215" t="e">
        <f t="shared" ca="1" si="71"/>
        <v>#DIV/0!</v>
      </c>
      <c r="AA329" s="212" t="e">
        <f t="shared" ca="1" si="72"/>
        <v>#DIV/0!</v>
      </c>
      <c r="AB329" s="212" t="e">
        <f t="shared" ca="1" si="73"/>
        <v>#DIV/0!</v>
      </c>
      <c r="AC329" s="214" t="e">
        <f t="shared" ca="1" si="68"/>
        <v>#DIV/0!</v>
      </c>
    </row>
    <row r="330" spans="2:29">
      <c r="B330" s="220">
        <v>44881</v>
      </c>
      <c r="C330" s="208">
        <f ca="1">DATOSAÑO!I330</f>
        <v>0</v>
      </c>
      <c r="D330" s="202">
        <f ca="1">DATOSAÑO!P330</f>
        <v>0</v>
      </c>
      <c r="E330" s="202">
        <f ca="1">DATOSAÑO!Q330</f>
        <v>0</v>
      </c>
      <c r="F330" s="202">
        <f ca="1">DATOSAÑO!T330</f>
        <v>0</v>
      </c>
      <c r="G330" s="202">
        <f t="shared" ca="1" si="67"/>
        <v>0</v>
      </c>
      <c r="H330" s="202" t="e">
        <f t="shared" ca="1" si="83"/>
        <v>#DIV/0!</v>
      </c>
      <c r="I330" s="202" t="e">
        <f t="shared" ca="1" si="79"/>
        <v>#DIV/0!</v>
      </c>
      <c r="J330" s="202" t="e">
        <f t="shared" ca="1" si="80"/>
        <v>#DIV/0!</v>
      </c>
      <c r="K330" s="202" t="e">
        <f t="shared" ca="1" si="81"/>
        <v>#DIV/0!</v>
      </c>
      <c r="L330" s="202">
        <f t="shared" ca="1" si="84"/>
        <v>0</v>
      </c>
      <c r="M330" s="202" t="e">
        <f t="shared" ca="1" si="82"/>
        <v>#DIV/0!</v>
      </c>
      <c r="N330" s="202">
        <f t="shared" ca="1" si="69"/>
        <v>0</v>
      </c>
      <c r="O330" s="202">
        <f ca="1">(DATOSAÑO!AJ330+DATOSAÑO!AK330+DATOSAÑO!AD330)</f>
        <v>0</v>
      </c>
      <c r="P330" s="202">
        <f ca="1">DATOSAÑO!AI330</f>
        <v>0</v>
      </c>
      <c r="Q330" s="202">
        <f ca="1">DATOSAÑO!AH330</f>
        <v>0</v>
      </c>
      <c r="R330" s="202">
        <f ca="1">DATOSAÑO!AM330+DATOSAÑO!AN330+DATOSAÑO!AF330</f>
        <v>0</v>
      </c>
      <c r="S330" s="215">
        <f ca="1">IF(B330&gt;=$P$5,0,CONTADORES!Q336-CONTADORES!Q335)</f>
        <v>0</v>
      </c>
      <c r="T330" s="212">
        <f ca="1">IF(B330&gt;=$P$5,0,(CONTADORES!S336-CONTADORES!S335)+(CONTADORES!AE336-CONTADORES!AE335))</f>
        <v>0</v>
      </c>
      <c r="U330" s="212">
        <f ca="1">IF(B330&gt;=$P$5,0,(CONTADORES!AQ336-CONTADORES!AQ335))</f>
        <v>0</v>
      </c>
      <c r="V330" s="212">
        <f ca="1">IF(B330&gt;=$P$5,0,(CONTADORES!AR336-CONTADORES!AR335))</f>
        <v>0</v>
      </c>
      <c r="W330" s="212">
        <v>0</v>
      </c>
      <c r="X330" s="212">
        <f ca="1">IF(W330=0,(T330-INICIO!$W$6),((T330-INICIO!$W$6)+V330))</f>
        <v>0</v>
      </c>
      <c r="Y330" s="214">
        <f t="shared" ca="1" si="70"/>
        <v>0</v>
      </c>
      <c r="Z330" s="215" t="e">
        <f t="shared" ca="1" si="71"/>
        <v>#DIV/0!</v>
      </c>
      <c r="AA330" s="212" t="e">
        <f t="shared" ca="1" si="72"/>
        <v>#DIV/0!</v>
      </c>
      <c r="AB330" s="212" t="e">
        <f t="shared" ca="1" si="73"/>
        <v>#DIV/0!</v>
      </c>
      <c r="AC330" s="214" t="e">
        <f t="shared" ca="1" si="68"/>
        <v>#DIV/0!</v>
      </c>
    </row>
    <row r="331" spans="2:29">
      <c r="B331" s="220">
        <v>44882</v>
      </c>
      <c r="C331" s="208">
        <f ca="1">DATOSAÑO!I331</f>
        <v>0</v>
      </c>
      <c r="D331" s="202">
        <f ca="1">DATOSAÑO!P331</f>
        <v>0</v>
      </c>
      <c r="E331" s="202">
        <f ca="1">DATOSAÑO!Q331</f>
        <v>0</v>
      </c>
      <c r="F331" s="202">
        <f ca="1">DATOSAÑO!T331</f>
        <v>0</v>
      </c>
      <c r="G331" s="202">
        <f t="shared" ref="G331:G375" ca="1" si="85">SUM(C331:F331)</f>
        <v>0</v>
      </c>
      <c r="H331" s="202" t="e">
        <f t="shared" ca="1" si="83"/>
        <v>#DIV/0!</v>
      </c>
      <c r="I331" s="202" t="e">
        <f t="shared" ca="1" si="79"/>
        <v>#DIV/0!</v>
      </c>
      <c r="J331" s="202" t="e">
        <f t="shared" ca="1" si="80"/>
        <v>#DIV/0!</v>
      </c>
      <c r="K331" s="202" t="e">
        <f t="shared" ca="1" si="81"/>
        <v>#DIV/0!</v>
      </c>
      <c r="L331" s="202">
        <f t="shared" ca="1" si="84"/>
        <v>0</v>
      </c>
      <c r="M331" s="202" t="e">
        <f t="shared" ca="1" si="82"/>
        <v>#DIV/0!</v>
      </c>
      <c r="N331" s="202">
        <f t="shared" ca="1" si="69"/>
        <v>0</v>
      </c>
      <c r="O331" s="202">
        <f ca="1">(DATOSAÑO!AJ331+DATOSAÑO!AK331+DATOSAÑO!AD331)</f>
        <v>0</v>
      </c>
      <c r="P331" s="202">
        <f ca="1">DATOSAÑO!AI331</f>
        <v>0</v>
      </c>
      <c r="Q331" s="202">
        <f ca="1">DATOSAÑO!AH331</f>
        <v>0</v>
      </c>
      <c r="R331" s="202">
        <f ca="1">DATOSAÑO!AM331+DATOSAÑO!AN331+DATOSAÑO!AF331</f>
        <v>0</v>
      </c>
      <c r="S331" s="215">
        <f ca="1">IF(B331&gt;=$P$5,0,CONTADORES!Q337-CONTADORES!Q336)</f>
        <v>0</v>
      </c>
      <c r="T331" s="212">
        <f ca="1">IF(B331&gt;=$P$5,0,(CONTADORES!S337-CONTADORES!S336)+(CONTADORES!AE337-CONTADORES!AE336))</f>
        <v>0</v>
      </c>
      <c r="U331" s="212">
        <f ca="1">IF(B331&gt;=$P$5,0,(CONTADORES!AQ337-CONTADORES!AQ336))</f>
        <v>0</v>
      </c>
      <c r="V331" s="212">
        <f ca="1">IF(B331&gt;=$P$5,0,(CONTADORES!AR337-CONTADORES!AR336))</f>
        <v>0</v>
      </c>
      <c r="W331" s="212">
        <v>0</v>
      </c>
      <c r="X331" s="212">
        <f ca="1">IF(W331=0,(T331-INICIO!$W$6),((T331-INICIO!$W$6)+V331))</f>
        <v>0</v>
      </c>
      <c r="Y331" s="214">
        <f t="shared" ca="1" si="70"/>
        <v>0</v>
      </c>
      <c r="Z331" s="215" t="e">
        <f t="shared" ca="1" si="71"/>
        <v>#DIV/0!</v>
      </c>
      <c r="AA331" s="212" t="e">
        <f t="shared" ca="1" si="72"/>
        <v>#DIV/0!</v>
      </c>
      <c r="AB331" s="212" t="e">
        <f t="shared" ca="1" si="73"/>
        <v>#DIV/0!</v>
      </c>
      <c r="AC331" s="214" t="e">
        <f t="shared" ref="AC331:AC375" ca="1" si="86">IF(B331&gt;=$P$5,0,($Y331*N331)/SUM($N331:$Q331))</f>
        <v>#DIV/0!</v>
      </c>
    </row>
    <row r="332" spans="2:29">
      <c r="B332" s="220">
        <v>44883</v>
      </c>
      <c r="C332" s="208">
        <f ca="1">DATOSAÑO!I332</f>
        <v>0</v>
      </c>
      <c r="D332" s="202">
        <f ca="1">DATOSAÑO!P332</f>
        <v>0</v>
      </c>
      <c r="E332" s="202">
        <f ca="1">DATOSAÑO!Q332</f>
        <v>0</v>
      </c>
      <c r="F332" s="202">
        <f ca="1">DATOSAÑO!T332</f>
        <v>0</v>
      </c>
      <c r="G332" s="202">
        <f t="shared" ca="1" si="85"/>
        <v>0</v>
      </c>
      <c r="H332" s="202" t="e">
        <f t="shared" ca="1" si="83"/>
        <v>#DIV/0!</v>
      </c>
      <c r="I332" s="202" t="e">
        <f t="shared" ca="1" si="79"/>
        <v>#DIV/0!</v>
      </c>
      <c r="J332" s="202" t="e">
        <f t="shared" ca="1" si="80"/>
        <v>#DIV/0!</v>
      </c>
      <c r="K332" s="202" t="e">
        <f t="shared" ca="1" si="81"/>
        <v>#DIV/0!</v>
      </c>
      <c r="L332" s="202">
        <f t="shared" ca="1" si="84"/>
        <v>0</v>
      </c>
      <c r="M332" s="202" t="e">
        <f t="shared" ca="1" si="82"/>
        <v>#DIV/0!</v>
      </c>
      <c r="N332" s="202">
        <f t="shared" ref="N332:N375" ca="1" si="87">U332</f>
        <v>0</v>
      </c>
      <c r="O332" s="202">
        <f ca="1">(DATOSAÑO!AJ332+DATOSAÑO!AK332+DATOSAÑO!AD332)</f>
        <v>0</v>
      </c>
      <c r="P332" s="202">
        <f ca="1">DATOSAÑO!AI332</f>
        <v>0</v>
      </c>
      <c r="Q332" s="202">
        <f ca="1">DATOSAÑO!AH332</f>
        <v>0</v>
      </c>
      <c r="R332" s="202">
        <f ca="1">DATOSAÑO!AM332+DATOSAÑO!AN332+DATOSAÑO!AF332</f>
        <v>0</v>
      </c>
      <c r="S332" s="215">
        <f ca="1">IF(B332&gt;=$P$5,0,CONTADORES!Q338-CONTADORES!Q337)</f>
        <v>0</v>
      </c>
      <c r="T332" s="212">
        <f ca="1">IF(B332&gt;=$P$5,0,(CONTADORES!S338-CONTADORES!S337)+(CONTADORES!AE338-CONTADORES!AE337))</f>
        <v>0</v>
      </c>
      <c r="U332" s="212">
        <f ca="1">IF(B332&gt;=$P$5,0,(CONTADORES!AQ338-CONTADORES!AQ337))</f>
        <v>0</v>
      </c>
      <c r="V332" s="212">
        <f ca="1">IF(B332&gt;=$P$5,0,(CONTADORES!AR338-CONTADORES!AR337))</f>
        <v>0</v>
      </c>
      <c r="W332" s="212">
        <v>0</v>
      </c>
      <c r="X332" s="212">
        <f ca="1">IF(W332=0,(T332-INICIO!$W$6),((T332-INICIO!$W$6)+V332))</f>
        <v>0</v>
      </c>
      <c r="Y332" s="214">
        <f t="shared" ref="Y332:Y375" ca="1" si="88">(IF(W332=0,(S332-U332),((S332-U332)-V332))+E332)</f>
        <v>0</v>
      </c>
      <c r="Z332" s="215" t="e">
        <f t="shared" ref="Z332:Z375" ca="1" si="89">IF(B332&gt;=$P$5,0,($Y332*O332)/SUM($N332:$Q332))</f>
        <v>#DIV/0!</v>
      </c>
      <c r="AA332" s="212" t="e">
        <f t="shared" ref="AA332:AA375" ca="1" si="90">IF(B332&gt;=$P$5,0,($Y332*P332)/SUM($N332:$Q332))</f>
        <v>#DIV/0!</v>
      </c>
      <c r="AB332" s="212" t="e">
        <f t="shared" ref="AB332:AB375" ca="1" si="91">IF(B332&gt;=$P$5,0,($Y332*Q332)/SUM($N332:$Q332))</f>
        <v>#DIV/0!</v>
      </c>
      <c r="AC332" s="214" t="e">
        <f t="shared" ca="1" si="86"/>
        <v>#DIV/0!</v>
      </c>
    </row>
    <row r="333" spans="2:29">
      <c r="B333" s="220">
        <v>44884</v>
      </c>
      <c r="C333" s="208">
        <f ca="1">DATOSAÑO!I333</f>
        <v>0</v>
      </c>
      <c r="D333" s="202">
        <f ca="1">DATOSAÑO!P333</f>
        <v>0</v>
      </c>
      <c r="E333" s="202">
        <f ca="1">DATOSAÑO!Q333</f>
        <v>0</v>
      </c>
      <c r="F333" s="202">
        <f ca="1">DATOSAÑO!T333</f>
        <v>0</v>
      </c>
      <c r="G333" s="202">
        <f t="shared" ca="1" si="85"/>
        <v>0</v>
      </c>
      <c r="H333" s="202" t="e">
        <f t="shared" ca="1" si="83"/>
        <v>#DIV/0!</v>
      </c>
      <c r="I333" s="202" t="e">
        <f t="shared" ca="1" si="79"/>
        <v>#DIV/0!</v>
      </c>
      <c r="J333" s="202" t="e">
        <f t="shared" ca="1" si="80"/>
        <v>#DIV/0!</v>
      </c>
      <c r="K333" s="202" t="e">
        <f t="shared" ca="1" si="81"/>
        <v>#DIV/0!</v>
      </c>
      <c r="L333" s="202">
        <f t="shared" ca="1" si="84"/>
        <v>0</v>
      </c>
      <c r="M333" s="202" t="e">
        <f t="shared" ca="1" si="82"/>
        <v>#DIV/0!</v>
      </c>
      <c r="N333" s="202">
        <f t="shared" ca="1" si="87"/>
        <v>0</v>
      </c>
      <c r="O333" s="202">
        <f ca="1">(DATOSAÑO!AJ333+DATOSAÑO!AK333+DATOSAÑO!AD333)</f>
        <v>0</v>
      </c>
      <c r="P333" s="202">
        <f ca="1">DATOSAÑO!AI333</f>
        <v>0</v>
      </c>
      <c r="Q333" s="202">
        <f ca="1">DATOSAÑO!AH333</f>
        <v>0</v>
      </c>
      <c r="R333" s="202">
        <f ca="1">DATOSAÑO!AM333+DATOSAÑO!AN333+DATOSAÑO!AF333</f>
        <v>0</v>
      </c>
      <c r="S333" s="215">
        <f ca="1">IF(B333&gt;=$P$5,0,CONTADORES!Q339-CONTADORES!Q338)</f>
        <v>0</v>
      </c>
      <c r="T333" s="212">
        <f ca="1">IF(B333&gt;=$P$5,0,(CONTADORES!S339-CONTADORES!S338)+(CONTADORES!AE339-CONTADORES!AE338))</f>
        <v>0</v>
      </c>
      <c r="U333" s="212">
        <f ca="1">IF(B333&gt;=$P$5,0,(CONTADORES!AQ339-CONTADORES!AQ338))</f>
        <v>0</v>
      </c>
      <c r="V333" s="212">
        <f ca="1">IF(B333&gt;=$P$5,0,(CONTADORES!AR339-CONTADORES!AR338))</f>
        <v>0</v>
      </c>
      <c r="W333" s="212">
        <v>0</v>
      </c>
      <c r="X333" s="212">
        <f ca="1">IF(W333=0,(T333-INICIO!$W$6),((T333-INICIO!$W$6)+V333))</f>
        <v>0</v>
      </c>
      <c r="Y333" s="214">
        <f t="shared" ca="1" si="88"/>
        <v>0</v>
      </c>
      <c r="Z333" s="215" t="e">
        <f t="shared" ca="1" si="89"/>
        <v>#DIV/0!</v>
      </c>
      <c r="AA333" s="212" t="e">
        <f t="shared" ca="1" si="90"/>
        <v>#DIV/0!</v>
      </c>
      <c r="AB333" s="212" t="e">
        <f t="shared" ca="1" si="91"/>
        <v>#DIV/0!</v>
      </c>
      <c r="AC333" s="214" t="e">
        <f t="shared" ca="1" si="86"/>
        <v>#DIV/0!</v>
      </c>
    </row>
    <row r="334" spans="2:29">
      <c r="B334" s="220">
        <v>44885</v>
      </c>
      <c r="C334" s="208">
        <f ca="1">DATOSAÑO!I334</f>
        <v>0</v>
      </c>
      <c r="D334" s="202">
        <f ca="1">DATOSAÑO!P334</f>
        <v>0</v>
      </c>
      <c r="E334" s="202">
        <f ca="1">DATOSAÑO!Q334</f>
        <v>0</v>
      </c>
      <c r="F334" s="202">
        <f ca="1">DATOSAÑO!T334</f>
        <v>0</v>
      </c>
      <c r="G334" s="202">
        <f t="shared" ca="1" si="85"/>
        <v>0</v>
      </c>
      <c r="H334" s="202" t="e">
        <f t="shared" ca="1" si="83"/>
        <v>#DIV/0!</v>
      </c>
      <c r="I334" s="202" t="e">
        <f t="shared" ca="1" si="79"/>
        <v>#DIV/0!</v>
      </c>
      <c r="J334" s="202" t="e">
        <f t="shared" ca="1" si="80"/>
        <v>#DIV/0!</v>
      </c>
      <c r="K334" s="202" t="e">
        <f t="shared" ca="1" si="81"/>
        <v>#DIV/0!</v>
      </c>
      <c r="L334" s="202">
        <f t="shared" ca="1" si="84"/>
        <v>0</v>
      </c>
      <c r="M334" s="202" t="e">
        <f t="shared" ca="1" si="82"/>
        <v>#DIV/0!</v>
      </c>
      <c r="N334" s="202">
        <f t="shared" ca="1" si="87"/>
        <v>0</v>
      </c>
      <c r="O334" s="202">
        <f ca="1">(DATOSAÑO!AJ334+DATOSAÑO!AK334+DATOSAÑO!AD334)</f>
        <v>0</v>
      </c>
      <c r="P334" s="202">
        <f ca="1">DATOSAÑO!AI334</f>
        <v>0</v>
      </c>
      <c r="Q334" s="202">
        <f ca="1">DATOSAÑO!AH334</f>
        <v>0</v>
      </c>
      <c r="R334" s="202">
        <f ca="1">DATOSAÑO!AM334+DATOSAÑO!AN334+DATOSAÑO!AF334</f>
        <v>0</v>
      </c>
      <c r="S334" s="215">
        <f ca="1">IF(B334&gt;=$P$5,0,CONTADORES!Q340-CONTADORES!Q339)</f>
        <v>0</v>
      </c>
      <c r="T334" s="212">
        <f ca="1">IF(B334&gt;=$P$5,0,(CONTADORES!S340-CONTADORES!S339)+(CONTADORES!AE340-CONTADORES!AE339))</f>
        <v>0</v>
      </c>
      <c r="U334" s="212">
        <f ca="1">IF(B334&gt;=$P$5,0,(CONTADORES!AQ340-CONTADORES!AQ339))</f>
        <v>0</v>
      </c>
      <c r="V334" s="212">
        <f ca="1">IF(B334&gt;=$P$5,0,(CONTADORES!AR340-CONTADORES!AR339))</f>
        <v>0</v>
      </c>
      <c r="W334" s="212">
        <v>0</v>
      </c>
      <c r="X334" s="212">
        <f ca="1">IF(W334=0,(T334-INICIO!$W$6),((T334-INICIO!$W$6)+V334))</f>
        <v>0</v>
      </c>
      <c r="Y334" s="214">
        <f t="shared" ca="1" si="88"/>
        <v>0</v>
      </c>
      <c r="Z334" s="215" t="e">
        <f t="shared" ca="1" si="89"/>
        <v>#DIV/0!</v>
      </c>
      <c r="AA334" s="212" t="e">
        <f t="shared" ca="1" si="90"/>
        <v>#DIV/0!</v>
      </c>
      <c r="AB334" s="212" t="e">
        <f t="shared" ca="1" si="91"/>
        <v>#DIV/0!</v>
      </c>
      <c r="AC334" s="214" t="e">
        <f t="shared" ca="1" si="86"/>
        <v>#DIV/0!</v>
      </c>
    </row>
    <row r="335" spans="2:29">
      <c r="B335" s="220">
        <v>44886</v>
      </c>
      <c r="C335" s="208">
        <f ca="1">DATOSAÑO!I335</f>
        <v>0</v>
      </c>
      <c r="D335" s="202">
        <f ca="1">DATOSAÑO!P335</f>
        <v>0</v>
      </c>
      <c r="E335" s="202">
        <f ca="1">DATOSAÑO!Q335</f>
        <v>0</v>
      </c>
      <c r="F335" s="202">
        <f ca="1">DATOSAÑO!T335</f>
        <v>0</v>
      </c>
      <c r="G335" s="202">
        <f t="shared" ca="1" si="85"/>
        <v>0</v>
      </c>
      <c r="H335" s="202" t="e">
        <f t="shared" ca="1" si="83"/>
        <v>#DIV/0!</v>
      </c>
      <c r="I335" s="202" t="e">
        <f t="shared" ca="1" si="79"/>
        <v>#DIV/0!</v>
      </c>
      <c r="J335" s="202" t="e">
        <f t="shared" ca="1" si="80"/>
        <v>#DIV/0!</v>
      </c>
      <c r="K335" s="202" t="e">
        <f t="shared" ca="1" si="81"/>
        <v>#DIV/0!</v>
      </c>
      <c r="L335" s="202">
        <f t="shared" ca="1" si="84"/>
        <v>0</v>
      </c>
      <c r="M335" s="202" t="e">
        <f t="shared" ca="1" si="82"/>
        <v>#DIV/0!</v>
      </c>
      <c r="N335" s="202">
        <f t="shared" ca="1" si="87"/>
        <v>0</v>
      </c>
      <c r="O335" s="202">
        <f ca="1">(DATOSAÑO!AJ335+DATOSAÑO!AK335+DATOSAÑO!AD335)</f>
        <v>0</v>
      </c>
      <c r="P335" s="202">
        <f ca="1">DATOSAÑO!AI335</f>
        <v>0</v>
      </c>
      <c r="Q335" s="202">
        <f ca="1">DATOSAÑO!AH335</f>
        <v>0</v>
      </c>
      <c r="R335" s="202">
        <f ca="1">DATOSAÑO!AM335+DATOSAÑO!AN335+DATOSAÑO!AF335</f>
        <v>0</v>
      </c>
      <c r="S335" s="215">
        <f ca="1">IF(B335&gt;=$P$5,0,CONTADORES!Q341-CONTADORES!Q340)</f>
        <v>0</v>
      </c>
      <c r="T335" s="212">
        <f ca="1">IF(B335&gt;=$P$5,0,(CONTADORES!S341-CONTADORES!S340)+(CONTADORES!AE341-CONTADORES!AE340))</f>
        <v>0</v>
      </c>
      <c r="U335" s="212">
        <f ca="1">IF(B335&gt;=$P$5,0,(CONTADORES!AQ341-CONTADORES!AQ340))</f>
        <v>0</v>
      </c>
      <c r="V335" s="212">
        <f ca="1">IF(B335&gt;=$P$5,0,(CONTADORES!AR341-CONTADORES!AR340))</f>
        <v>0</v>
      </c>
      <c r="W335" s="212">
        <v>0</v>
      </c>
      <c r="X335" s="212">
        <f ca="1">IF(W335=0,(T335-INICIO!$W$6),((T335-INICIO!$W$6)+V335))</f>
        <v>0</v>
      </c>
      <c r="Y335" s="214">
        <f t="shared" ca="1" si="88"/>
        <v>0</v>
      </c>
      <c r="Z335" s="215" t="e">
        <f t="shared" ca="1" si="89"/>
        <v>#DIV/0!</v>
      </c>
      <c r="AA335" s="212" t="e">
        <f t="shared" ca="1" si="90"/>
        <v>#DIV/0!</v>
      </c>
      <c r="AB335" s="212" t="e">
        <f t="shared" ca="1" si="91"/>
        <v>#DIV/0!</v>
      </c>
      <c r="AC335" s="214" t="e">
        <f t="shared" ca="1" si="86"/>
        <v>#DIV/0!</v>
      </c>
    </row>
    <row r="336" spans="2:29">
      <c r="B336" s="220">
        <v>44887</v>
      </c>
      <c r="C336" s="208">
        <f ca="1">DATOSAÑO!I336</f>
        <v>0</v>
      </c>
      <c r="D336" s="202">
        <f ca="1">DATOSAÑO!P336</f>
        <v>0</v>
      </c>
      <c r="E336" s="202">
        <f ca="1">DATOSAÑO!Q336</f>
        <v>0</v>
      </c>
      <c r="F336" s="202">
        <f ca="1">DATOSAÑO!T336</f>
        <v>0</v>
      </c>
      <c r="G336" s="202">
        <f t="shared" ca="1" si="85"/>
        <v>0</v>
      </c>
      <c r="H336" s="202" t="e">
        <f t="shared" ca="1" si="83"/>
        <v>#DIV/0!</v>
      </c>
      <c r="I336" s="202" t="e">
        <f t="shared" ca="1" si="79"/>
        <v>#DIV/0!</v>
      </c>
      <c r="J336" s="202" t="e">
        <f t="shared" ca="1" si="80"/>
        <v>#DIV/0!</v>
      </c>
      <c r="K336" s="202" t="e">
        <f t="shared" ca="1" si="81"/>
        <v>#DIV/0!</v>
      </c>
      <c r="L336" s="202">
        <f t="shared" ca="1" si="84"/>
        <v>0</v>
      </c>
      <c r="M336" s="202" t="e">
        <f t="shared" ca="1" si="82"/>
        <v>#DIV/0!</v>
      </c>
      <c r="N336" s="202">
        <f t="shared" ca="1" si="87"/>
        <v>0</v>
      </c>
      <c r="O336" s="202">
        <f ca="1">(DATOSAÑO!AJ336+DATOSAÑO!AK336+DATOSAÑO!AD336)</f>
        <v>0</v>
      </c>
      <c r="P336" s="202">
        <f ca="1">DATOSAÑO!AI336</f>
        <v>0</v>
      </c>
      <c r="Q336" s="202">
        <f ca="1">DATOSAÑO!AH336</f>
        <v>0</v>
      </c>
      <c r="R336" s="202">
        <f ca="1">DATOSAÑO!AM336+DATOSAÑO!AN336+DATOSAÑO!AF336</f>
        <v>0</v>
      </c>
      <c r="S336" s="215">
        <f ca="1">IF(B336&gt;=$P$5,0,CONTADORES!Q342-CONTADORES!Q341)</f>
        <v>0</v>
      </c>
      <c r="T336" s="212">
        <f ca="1">IF(B336&gt;=$P$5,0,(CONTADORES!S342-CONTADORES!S341)+(CONTADORES!AE342-CONTADORES!AE341))</f>
        <v>0</v>
      </c>
      <c r="U336" s="212">
        <f ca="1">IF(B336&gt;=$P$5,0,(CONTADORES!AQ342-CONTADORES!AQ341))</f>
        <v>0</v>
      </c>
      <c r="V336" s="212">
        <f ca="1">IF(B336&gt;=$P$5,0,(CONTADORES!AR342-CONTADORES!AR341))</f>
        <v>0</v>
      </c>
      <c r="W336" s="212">
        <v>0</v>
      </c>
      <c r="X336" s="212">
        <f ca="1">IF(W336=0,(T336-INICIO!$W$6),((T336-INICIO!$W$6)+V336))</f>
        <v>0</v>
      </c>
      <c r="Y336" s="214">
        <f t="shared" ca="1" si="88"/>
        <v>0</v>
      </c>
      <c r="Z336" s="215" t="e">
        <f t="shared" ca="1" si="89"/>
        <v>#DIV/0!</v>
      </c>
      <c r="AA336" s="212" t="e">
        <f t="shared" ca="1" si="90"/>
        <v>#DIV/0!</v>
      </c>
      <c r="AB336" s="212" t="e">
        <f t="shared" ca="1" si="91"/>
        <v>#DIV/0!</v>
      </c>
      <c r="AC336" s="214" t="e">
        <f t="shared" ca="1" si="86"/>
        <v>#DIV/0!</v>
      </c>
    </row>
    <row r="337" spans="2:29">
      <c r="B337" s="220">
        <v>44888</v>
      </c>
      <c r="C337" s="208">
        <f ca="1">DATOSAÑO!I337</f>
        <v>0</v>
      </c>
      <c r="D337" s="202">
        <f ca="1">DATOSAÑO!P337</f>
        <v>0</v>
      </c>
      <c r="E337" s="202">
        <f ca="1">DATOSAÑO!Q337</f>
        <v>0</v>
      </c>
      <c r="F337" s="202">
        <f ca="1">DATOSAÑO!T337</f>
        <v>0</v>
      </c>
      <c r="G337" s="202">
        <f t="shared" ca="1" si="85"/>
        <v>0</v>
      </c>
      <c r="H337" s="202" t="e">
        <f t="shared" ca="1" si="83"/>
        <v>#DIV/0!</v>
      </c>
      <c r="I337" s="202" t="e">
        <f t="shared" ca="1" si="79"/>
        <v>#DIV/0!</v>
      </c>
      <c r="J337" s="202" t="e">
        <f t="shared" ca="1" si="80"/>
        <v>#DIV/0!</v>
      </c>
      <c r="K337" s="202" t="e">
        <f t="shared" ca="1" si="81"/>
        <v>#DIV/0!</v>
      </c>
      <c r="L337" s="202">
        <f t="shared" ca="1" si="84"/>
        <v>0</v>
      </c>
      <c r="M337" s="202" t="e">
        <f t="shared" ca="1" si="82"/>
        <v>#DIV/0!</v>
      </c>
      <c r="N337" s="202">
        <f t="shared" ca="1" si="87"/>
        <v>0</v>
      </c>
      <c r="O337" s="202">
        <f ca="1">(DATOSAÑO!AJ337+DATOSAÑO!AK337+DATOSAÑO!AD337)</f>
        <v>0</v>
      </c>
      <c r="P337" s="202">
        <f ca="1">DATOSAÑO!AI337</f>
        <v>0</v>
      </c>
      <c r="Q337" s="202">
        <f ca="1">DATOSAÑO!AH337</f>
        <v>0</v>
      </c>
      <c r="R337" s="202">
        <f ca="1">DATOSAÑO!AM337+DATOSAÑO!AN337+DATOSAÑO!AF337</f>
        <v>0</v>
      </c>
      <c r="S337" s="215">
        <f ca="1">IF(B337&gt;=$P$5,0,CONTADORES!Q343-CONTADORES!Q342)</f>
        <v>0</v>
      </c>
      <c r="T337" s="212">
        <f ca="1">IF(B337&gt;=$P$5,0,(CONTADORES!S343-CONTADORES!S342)+(CONTADORES!AE343-CONTADORES!AE342))</f>
        <v>0</v>
      </c>
      <c r="U337" s="212">
        <f ca="1">IF(B337&gt;=$P$5,0,(CONTADORES!AQ343-CONTADORES!AQ342))</f>
        <v>0</v>
      </c>
      <c r="V337" s="212">
        <f ca="1">IF(B337&gt;=$P$5,0,(CONTADORES!AR343-CONTADORES!AR342))</f>
        <v>0</v>
      </c>
      <c r="W337" s="212">
        <v>0</v>
      </c>
      <c r="X337" s="212">
        <f ca="1">IF(W337=0,(T337-INICIO!$W$6),((T337-INICIO!$W$6)+V337))</f>
        <v>0</v>
      </c>
      <c r="Y337" s="214">
        <f t="shared" ca="1" si="88"/>
        <v>0</v>
      </c>
      <c r="Z337" s="215" t="e">
        <f t="shared" ca="1" si="89"/>
        <v>#DIV/0!</v>
      </c>
      <c r="AA337" s="212" t="e">
        <f t="shared" ca="1" si="90"/>
        <v>#DIV/0!</v>
      </c>
      <c r="AB337" s="212" t="e">
        <f t="shared" ca="1" si="91"/>
        <v>#DIV/0!</v>
      </c>
      <c r="AC337" s="214" t="e">
        <f t="shared" ca="1" si="86"/>
        <v>#DIV/0!</v>
      </c>
    </row>
    <row r="338" spans="2:29">
      <c r="B338" s="220">
        <v>44889</v>
      </c>
      <c r="C338" s="208">
        <f ca="1">DATOSAÑO!I338</f>
        <v>0</v>
      </c>
      <c r="D338" s="202">
        <f ca="1">DATOSAÑO!P338</f>
        <v>0</v>
      </c>
      <c r="E338" s="202">
        <f ca="1">DATOSAÑO!Q338</f>
        <v>0</v>
      </c>
      <c r="F338" s="202">
        <f ca="1">DATOSAÑO!T338</f>
        <v>0</v>
      </c>
      <c r="G338" s="202">
        <f t="shared" ca="1" si="85"/>
        <v>0</v>
      </c>
      <c r="H338" s="202" t="e">
        <f t="shared" ca="1" si="83"/>
        <v>#DIV/0!</v>
      </c>
      <c r="I338" s="202" t="e">
        <f t="shared" ca="1" si="79"/>
        <v>#DIV/0!</v>
      </c>
      <c r="J338" s="202" t="e">
        <f t="shared" ca="1" si="80"/>
        <v>#DIV/0!</v>
      </c>
      <c r="K338" s="202" t="e">
        <f t="shared" ca="1" si="81"/>
        <v>#DIV/0!</v>
      </c>
      <c r="L338" s="202">
        <f t="shared" ca="1" si="84"/>
        <v>0</v>
      </c>
      <c r="M338" s="202" t="e">
        <f t="shared" ca="1" si="82"/>
        <v>#DIV/0!</v>
      </c>
      <c r="N338" s="202">
        <f t="shared" ca="1" si="87"/>
        <v>0</v>
      </c>
      <c r="O338" s="202">
        <f ca="1">(DATOSAÑO!AJ338+DATOSAÑO!AK338+DATOSAÑO!AD338)</f>
        <v>0</v>
      </c>
      <c r="P338" s="202">
        <f ca="1">DATOSAÑO!AI338</f>
        <v>0</v>
      </c>
      <c r="Q338" s="202">
        <f ca="1">DATOSAÑO!AH338</f>
        <v>0</v>
      </c>
      <c r="R338" s="202">
        <f ca="1">DATOSAÑO!AM338+DATOSAÑO!AN338+DATOSAÑO!AF338</f>
        <v>0</v>
      </c>
      <c r="S338" s="215">
        <f ca="1">IF(B338&gt;=$P$5,0,CONTADORES!Q344-CONTADORES!Q343)</f>
        <v>0</v>
      </c>
      <c r="T338" s="212">
        <f ca="1">IF(B338&gt;=$P$5,0,(CONTADORES!S344-CONTADORES!S343)+(CONTADORES!AE344-CONTADORES!AE343))</f>
        <v>0</v>
      </c>
      <c r="U338" s="212">
        <f ca="1">IF(B338&gt;=$P$5,0,(CONTADORES!AQ344-CONTADORES!AQ343))</f>
        <v>0</v>
      </c>
      <c r="V338" s="212">
        <f ca="1">IF(B338&gt;=$P$5,0,(CONTADORES!AR344-CONTADORES!AR343))</f>
        <v>0</v>
      </c>
      <c r="W338" s="212">
        <v>0</v>
      </c>
      <c r="X338" s="212">
        <f ca="1">IF(W338=0,(T338-INICIO!$W$6),((T338-INICIO!$W$6)+V338))</f>
        <v>0</v>
      </c>
      <c r="Y338" s="214">
        <f t="shared" ca="1" si="88"/>
        <v>0</v>
      </c>
      <c r="Z338" s="215" t="e">
        <f t="shared" ca="1" si="89"/>
        <v>#DIV/0!</v>
      </c>
      <c r="AA338" s="212" t="e">
        <f t="shared" ca="1" si="90"/>
        <v>#DIV/0!</v>
      </c>
      <c r="AB338" s="212" t="e">
        <f t="shared" ca="1" si="91"/>
        <v>#DIV/0!</v>
      </c>
      <c r="AC338" s="214" t="e">
        <f t="shared" ca="1" si="86"/>
        <v>#DIV/0!</v>
      </c>
    </row>
    <row r="339" spans="2:29">
      <c r="B339" s="220">
        <v>44890</v>
      </c>
      <c r="C339" s="208">
        <f ca="1">DATOSAÑO!I339</f>
        <v>0</v>
      </c>
      <c r="D339" s="202">
        <f ca="1">DATOSAÑO!P339</f>
        <v>0</v>
      </c>
      <c r="E339" s="202">
        <f ca="1">DATOSAÑO!Q339</f>
        <v>0</v>
      </c>
      <c r="F339" s="202">
        <f ca="1">DATOSAÑO!T339</f>
        <v>0</v>
      </c>
      <c r="G339" s="202">
        <f t="shared" ca="1" si="85"/>
        <v>0</v>
      </c>
      <c r="H339" s="202" t="e">
        <f t="shared" ca="1" si="83"/>
        <v>#DIV/0!</v>
      </c>
      <c r="I339" s="202" t="e">
        <f t="shared" ca="1" si="79"/>
        <v>#DIV/0!</v>
      </c>
      <c r="J339" s="202" t="e">
        <f t="shared" ca="1" si="80"/>
        <v>#DIV/0!</v>
      </c>
      <c r="K339" s="202" t="e">
        <f t="shared" ca="1" si="81"/>
        <v>#DIV/0!</v>
      </c>
      <c r="L339" s="202">
        <f t="shared" ca="1" si="84"/>
        <v>0</v>
      </c>
      <c r="M339" s="202" t="e">
        <f t="shared" ca="1" si="82"/>
        <v>#DIV/0!</v>
      </c>
      <c r="N339" s="202">
        <f t="shared" ca="1" si="87"/>
        <v>0</v>
      </c>
      <c r="O339" s="202">
        <f ca="1">(DATOSAÑO!AJ339+DATOSAÑO!AK339+DATOSAÑO!AD339)</f>
        <v>0</v>
      </c>
      <c r="P339" s="202">
        <f ca="1">DATOSAÑO!AI339</f>
        <v>0</v>
      </c>
      <c r="Q339" s="202">
        <f ca="1">DATOSAÑO!AH339</f>
        <v>0</v>
      </c>
      <c r="R339" s="202">
        <f ca="1">DATOSAÑO!AM339+DATOSAÑO!AN339+DATOSAÑO!AF339</f>
        <v>0</v>
      </c>
      <c r="S339" s="215">
        <f ca="1">IF(B339&gt;=$P$5,0,CONTADORES!Q345-CONTADORES!Q344)</f>
        <v>0</v>
      </c>
      <c r="T339" s="212">
        <f ca="1">IF(B339&gt;=$P$5,0,(CONTADORES!S345-CONTADORES!S344)+(CONTADORES!AE345-CONTADORES!AE344))</f>
        <v>0</v>
      </c>
      <c r="U339" s="212">
        <f ca="1">IF(B339&gt;=$P$5,0,(CONTADORES!AQ345-CONTADORES!AQ344))</f>
        <v>0</v>
      </c>
      <c r="V339" s="212">
        <f ca="1">IF(B339&gt;=$P$5,0,(CONTADORES!AR345-CONTADORES!AR344))</f>
        <v>0</v>
      </c>
      <c r="W339" s="212">
        <v>0</v>
      </c>
      <c r="X339" s="212">
        <f ca="1">IF(W339=0,(T339-INICIO!$W$6),((T339-INICIO!$W$6)+V339))</f>
        <v>0</v>
      </c>
      <c r="Y339" s="214">
        <f t="shared" ca="1" si="88"/>
        <v>0</v>
      </c>
      <c r="Z339" s="215" t="e">
        <f t="shared" ca="1" si="89"/>
        <v>#DIV/0!</v>
      </c>
      <c r="AA339" s="212" t="e">
        <f t="shared" ca="1" si="90"/>
        <v>#DIV/0!</v>
      </c>
      <c r="AB339" s="212" t="e">
        <f t="shared" ca="1" si="91"/>
        <v>#DIV/0!</v>
      </c>
      <c r="AC339" s="214" t="e">
        <f t="shared" ca="1" si="86"/>
        <v>#DIV/0!</v>
      </c>
    </row>
    <row r="340" spans="2:29">
      <c r="B340" s="220">
        <v>44891</v>
      </c>
      <c r="C340" s="208">
        <f ca="1">DATOSAÑO!I340</f>
        <v>0</v>
      </c>
      <c r="D340" s="202">
        <f ca="1">DATOSAÑO!P340</f>
        <v>0</v>
      </c>
      <c r="E340" s="202">
        <f ca="1">DATOSAÑO!Q340</f>
        <v>0</v>
      </c>
      <c r="F340" s="202">
        <f ca="1">DATOSAÑO!T340</f>
        <v>0</v>
      </c>
      <c r="G340" s="202">
        <f t="shared" ca="1" si="85"/>
        <v>0</v>
      </c>
      <c r="H340" s="202" t="e">
        <f t="shared" ca="1" si="83"/>
        <v>#DIV/0!</v>
      </c>
      <c r="I340" s="202" t="e">
        <f t="shared" ca="1" si="79"/>
        <v>#DIV/0!</v>
      </c>
      <c r="J340" s="202" t="e">
        <f t="shared" ca="1" si="80"/>
        <v>#DIV/0!</v>
      </c>
      <c r="K340" s="202" t="e">
        <f t="shared" ca="1" si="81"/>
        <v>#DIV/0!</v>
      </c>
      <c r="L340" s="202">
        <f t="shared" ca="1" si="84"/>
        <v>0</v>
      </c>
      <c r="M340" s="202" t="e">
        <f t="shared" ca="1" si="82"/>
        <v>#DIV/0!</v>
      </c>
      <c r="N340" s="202">
        <f t="shared" ca="1" si="87"/>
        <v>0</v>
      </c>
      <c r="O340" s="202">
        <f ca="1">(DATOSAÑO!AJ340+DATOSAÑO!AK340+DATOSAÑO!AD340)</f>
        <v>0</v>
      </c>
      <c r="P340" s="202">
        <f ca="1">DATOSAÑO!AI340</f>
        <v>0</v>
      </c>
      <c r="Q340" s="202">
        <f ca="1">DATOSAÑO!AH340</f>
        <v>0</v>
      </c>
      <c r="R340" s="202">
        <f ca="1">DATOSAÑO!AM340+DATOSAÑO!AN340+DATOSAÑO!AF340</f>
        <v>0</v>
      </c>
      <c r="S340" s="215">
        <f ca="1">IF(B340&gt;=$P$5,0,CONTADORES!Q346-CONTADORES!Q345)</f>
        <v>0</v>
      </c>
      <c r="T340" s="212">
        <f ca="1">IF(B340&gt;=$P$5,0,(CONTADORES!S346-CONTADORES!S345)+(CONTADORES!AE346-CONTADORES!AE345))</f>
        <v>0</v>
      </c>
      <c r="U340" s="212">
        <f ca="1">IF(B340&gt;=$P$5,0,(CONTADORES!AQ346-CONTADORES!AQ345))</f>
        <v>0</v>
      </c>
      <c r="V340" s="212">
        <f ca="1">IF(B340&gt;=$P$5,0,(CONTADORES!AR346-CONTADORES!AR345))</f>
        <v>0</v>
      </c>
      <c r="W340" s="212">
        <v>0</v>
      </c>
      <c r="X340" s="212">
        <f ca="1">IF(W340=0,(T340-INICIO!$W$6),((T340-INICIO!$W$6)+V340))</f>
        <v>0</v>
      </c>
      <c r="Y340" s="214">
        <f t="shared" ca="1" si="88"/>
        <v>0</v>
      </c>
      <c r="Z340" s="215" t="e">
        <f t="shared" ca="1" si="89"/>
        <v>#DIV/0!</v>
      </c>
      <c r="AA340" s="212" t="e">
        <f t="shared" ca="1" si="90"/>
        <v>#DIV/0!</v>
      </c>
      <c r="AB340" s="212" t="e">
        <f t="shared" ca="1" si="91"/>
        <v>#DIV/0!</v>
      </c>
      <c r="AC340" s="214" t="e">
        <f t="shared" ca="1" si="86"/>
        <v>#DIV/0!</v>
      </c>
    </row>
    <row r="341" spans="2:29">
      <c r="B341" s="220">
        <v>44892</v>
      </c>
      <c r="C341" s="208">
        <f ca="1">DATOSAÑO!I341</f>
        <v>0</v>
      </c>
      <c r="D341" s="202">
        <f ca="1">DATOSAÑO!P341</f>
        <v>0</v>
      </c>
      <c r="E341" s="202">
        <f ca="1">DATOSAÑO!Q341</f>
        <v>0</v>
      </c>
      <c r="F341" s="202">
        <f ca="1">DATOSAÑO!T341</f>
        <v>0</v>
      </c>
      <c r="G341" s="202">
        <f t="shared" ca="1" si="85"/>
        <v>0</v>
      </c>
      <c r="H341" s="202" t="e">
        <f t="shared" ca="1" si="83"/>
        <v>#DIV/0!</v>
      </c>
      <c r="I341" s="202" t="e">
        <f t="shared" ca="1" si="79"/>
        <v>#DIV/0!</v>
      </c>
      <c r="J341" s="202" t="e">
        <f t="shared" ca="1" si="80"/>
        <v>#DIV/0!</v>
      </c>
      <c r="K341" s="202" t="e">
        <f t="shared" ca="1" si="81"/>
        <v>#DIV/0!</v>
      </c>
      <c r="L341" s="202">
        <f t="shared" ca="1" si="84"/>
        <v>0</v>
      </c>
      <c r="M341" s="202" t="e">
        <f t="shared" ca="1" si="82"/>
        <v>#DIV/0!</v>
      </c>
      <c r="N341" s="202">
        <f t="shared" ca="1" si="87"/>
        <v>0</v>
      </c>
      <c r="O341" s="202">
        <f ca="1">(DATOSAÑO!AJ341+DATOSAÑO!AK341+DATOSAÑO!AD341)</f>
        <v>0</v>
      </c>
      <c r="P341" s="202">
        <f ca="1">DATOSAÑO!AI341</f>
        <v>0</v>
      </c>
      <c r="Q341" s="202">
        <f ca="1">DATOSAÑO!AH341</f>
        <v>0</v>
      </c>
      <c r="R341" s="202">
        <f ca="1">DATOSAÑO!AM341+DATOSAÑO!AN341+DATOSAÑO!AF341</f>
        <v>0</v>
      </c>
      <c r="S341" s="215">
        <f ca="1">IF(B341&gt;=$P$5,0,CONTADORES!Q347-CONTADORES!Q346)</f>
        <v>0</v>
      </c>
      <c r="T341" s="212">
        <f ca="1">IF(B341&gt;=$P$5,0,(CONTADORES!S347-CONTADORES!S346)+(CONTADORES!AE347-CONTADORES!AE346))</f>
        <v>0</v>
      </c>
      <c r="U341" s="212">
        <f ca="1">IF(B341&gt;=$P$5,0,(CONTADORES!AQ347-CONTADORES!AQ346))</f>
        <v>0</v>
      </c>
      <c r="V341" s="212">
        <f ca="1">IF(B341&gt;=$P$5,0,(CONTADORES!AR347-CONTADORES!AR346))</f>
        <v>0</v>
      </c>
      <c r="W341" s="212">
        <v>0</v>
      </c>
      <c r="X341" s="212">
        <f ca="1">IF(W341=0,(T341-INICIO!$W$6),((T341-INICIO!$W$6)+V341))</f>
        <v>0</v>
      </c>
      <c r="Y341" s="214">
        <f t="shared" ca="1" si="88"/>
        <v>0</v>
      </c>
      <c r="Z341" s="215" t="e">
        <f t="shared" ca="1" si="89"/>
        <v>#DIV/0!</v>
      </c>
      <c r="AA341" s="212" t="e">
        <f t="shared" ca="1" si="90"/>
        <v>#DIV/0!</v>
      </c>
      <c r="AB341" s="212" t="e">
        <f t="shared" ca="1" si="91"/>
        <v>#DIV/0!</v>
      </c>
      <c r="AC341" s="214" t="e">
        <f t="shared" ca="1" si="86"/>
        <v>#DIV/0!</v>
      </c>
    </row>
    <row r="342" spans="2:29">
      <c r="B342" s="220">
        <v>44893</v>
      </c>
      <c r="C342" s="208">
        <f ca="1">DATOSAÑO!I342</f>
        <v>0</v>
      </c>
      <c r="D342" s="202">
        <f ca="1">DATOSAÑO!P342</f>
        <v>0</v>
      </c>
      <c r="E342" s="202">
        <f ca="1">DATOSAÑO!Q342</f>
        <v>0</v>
      </c>
      <c r="F342" s="202">
        <f ca="1">DATOSAÑO!T342</f>
        <v>0</v>
      </c>
      <c r="G342" s="202">
        <f t="shared" ca="1" si="85"/>
        <v>0</v>
      </c>
      <c r="H342" s="202" t="e">
        <f t="shared" ca="1" si="83"/>
        <v>#DIV/0!</v>
      </c>
      <c r="I342" s="202" t="e">
        <f t="shared" ca="1" si="79"/>
        <v>#DIV/0!</v>
      </c>
      <c r="J342" s="202" t="e">
        <f t="shared" ca="1" si="80"/>
        <v>#DIV/0!</v>
      </c>
      <c r="K342" s="202" t="e">
        <f t="shared" ca="1" si="81"/>
        <v>#DIV/0!</v>
      </c>
      <c r="L342" s="202">
        <f t="shared" ca="1" si="84"/>
        <v>0</v>
      </c>
      <c r="M342" s="202" t="e">
        <f t="shared" ca="1" si="82"/>
        <v>#DIV/0!</v>
      </c>
      <c r="N342" s="202">
        <f t="shared" ca="1" si="87"/>
        <v>0</v>
      </c>
      <c r="O342" s="202">
        <f ca="1">(DATOSAÑO!AJ342+DATOSAÑO!AK342+DATOSAÑO!AD342)</f>
        <v>0</v>
      </c>
      <c r="P342" s="202">
        <f ca="1">DATOSAÑO!AI342</f>
        <v>0</v>
      </c>
      <c r="Q342" s="202">
        <f ca="1">DATOSAÑO!AH342</f>
        <v>0</v>
      </c>
      <c r="R342" s="202">
        <f ca="1">DATOSAÑO!AM342+DATOSAÑO!AN342+DATOSAÑO!AF342</f>
        <v>0</v>
      </c>
      <c r="S342" s="215">
        <f ca="1">IF(B342&gt;=$P$5,0,CONTADORES!Q348-CONTADORES!Q347)</f>
        <v>0</v>
      </c>
      <c r="T342" s="212">
        <f ca="1">IF(B342&gt;=$P$5,0,(CONTADORES!S348-CONTADORES!S347)+(CONTADORES!AE348-CONTADORES!AE347))</f>
        <v>0</v>
      </c>
      <c r="U342" s="212">
        <f ca="1">IF(B342&gt;=$P$5,0,(CONTADORES!AQ348-CONTADORES!AQ347))</f>
        <v>0</v>
      </c>
      <c r="V342" s="212">
        <f ca="1">IF(B342&gt;=$P$5,0,(CONTADORES!AR348-CONTADORES!AR347))</f>
        <v>0</v>
      </c>
      <c r="W342" s="212">
        <v>0</v>
      </c>
      <c r="X342" s="212">
        <f ca="1">IF(W342=0,(T342-INICIO!$W$6),((T342-INICIO!$W$6)+V342))</f>
        <v>0</v>
      </c>
      <c r="Y342" s="214">
        <f t="shared" ca="1" si="88"/>
        <v>0</v>
      </c>
      <c r="Z342" s="215" t="e">
        <f t="shared" ca="1" si="89"/>
        <v>#DIV/0!</v>
      </c>
      <c r="AA342" s="212" t="e">
        <f t="shared" ca="1" si="90"/>
        <v>#DIV/0!</v>
      </c>
      <c r="AB342" s="212" t="e">
        <f t="shared" ca="1" si="91"/>
        <v>#DIV/0!</v>
      </c>
      <c r="AC342" s="214" t="e">
        <f t="shared" ca="1" si="86"/>
        <v>#DIV/0!</v>
      </c>
    </row>
    <row r="343" spans="2:29">
      <c r="B343" s="220">
        <v>44894</v>
      </c>
      <c r="C343" s="208">
        <f ca="1">DATOSAÑO!I343</f>
        <v>0</v>
      </c>
      <c r="D343" s="202">
        <f ca="1">DATOSAÑO!P343</f>
        <v>0</v>
      </c>
      <c r="E343" s="202">
        <f ca="1">DATOSAÑO!Q343</f>
        <v>0</v>
      </c>
      <c r="F343" s="202">
        <f ca="1">DATOSAÑO!T343</f>
        <v>0</v>
      </c>
      <c r="G343" s="202">
        <f t="shared" ca="1" si="85"/>
        <v>0</v>
      </c>
      <c r="H343" s="202" t="e">
        <f t="shared" ca="1" si="83"/>
        <v>#DIV/0!</v>
      </c>
      <c r="I343" s="202" t="e">
        <f t="shared" ref="I343:I375" ca="1" si="92">O343+Z343</f>
        <v>#DIV/0!</v>
      </c>
      <c r="J343" s="202" t="e">
        <f t="shared" ref="J343:J375" ca="1" si="93">P343+AA343</f>
        <v>#DIV/0!</v>
      </c>
      <c r="K343" s="202" t="e">
        <f t="shared" ref="K343:K375" ca="1" si="94">Q343+AB343</f>
        <v>#DIV/0!</v>
      </c>
      <c r="L343" s="202">
        <f t="shared" ca="1" si="84"/>
        <v>0</v>
      </c>
      <c r="M343" s="202" t="e">
        <f t="shared" ref="M343:M374" ca="1" si="95">N343+AC343</f>
        <v>#DIV/0!</v>
      </c>
      <c r="N343" s="202">
        <f t="shared" ca="1" si="87"/>
        <v>0</v>
      </c>
      <c r="O343" s="202">
        <f ca="1">(DATOSAÑO!AJ343+DATOSAÑO!AK343+DATOSAÑO!AD343)</f>
        <v>0</v>
      </c>
      <c r="P343" s="202">
        <f ca="1">DATOSAÑO!AI343</f>
        <v>0</v>
      </c>
      <c r="Q343" s="202">
        <f ca="1">DATOSAÑO!AH343</f>
        <v>0</v>
      </c>
      <c r="R343" s="202">
        <f ca="1">DATOSAÑO!AM343+DATOSAÑO!AN343+DATOSAÑO!AF343</f>
        <v>0</v>
      </c>
      <c r="S343" s="215">
        <f ca="1">IF(B343&gt;=$P$5,0,CONTADORES!Q349-CONTADORES!Q348)</f>
        <v>0</v>
      </c>
      <c r="T343" s="212">
        <f ca="1">IF(B343&gt;=$P$5,0,(CONTADORES!S349-CONTADORES!S348)+(CONTADORES!AE349-CONTADORES!AE348))</f>
        <v>0</v>
      </c>
      <c r="U343" s="212">
        <f ca="1">IF(B343&gt;=$P$5,0,(CONTADORES!AQ349-CONTADORES!AQ348))</f>
        <v>0</v>
      </c>
      <c r="V343" s="212">
        <f ca="1">IF(B343&gt;=$P$5,0,(CONTADORES!AR349-CONTADORES!AR348))</f>
        <v>0</v>
      </c>
      <c r="W343" s="212">
        <v>0</v>
      </c>
      <c r="X343" s="212">
        <f ca="1">IF(W343=0,(T343-INICIO!$W$6),((T343-INICIO!$W$6)+V343))</f>
        <v>0</v>
      </c>
      <c r="Y343" s="214">
        <f t="shared" ca="1" si="88"/>
        <v>0</v>
      </c>
      <c r="Z343" s="215" t="e">
        <f t="shared" ca="1" si="89"/>
        <v>#DIV/0!</v>
      </c>
      <c r="AA343" s="212" t="e">
        <f t="shared" ca="1" si="90"/>
        <v>#DIV/0!</v>
      </c>
      <c r="AB343" s="212" t="e">
        <f t="shared" ca="1" si="91"/>
        <v>#DIV/0!</v>
      </c>
      <c r="AC343" s="214" t="e">
        <f t="shared" ca="1" si="86"/>
        <v>#DIV/0!</v>
      </c>
    </row>
    <row r="344" spans="2:29" ht="15" thickBot="1">
      <c r="B344" s="1069">
        <v>44895</v>
      </c>
      <c r="C344" s="209">
        <f ca="1">DATOSAÑO!I344</f>
        <v>0</v>
      </c>
      <c r="D344" s="203">
        <f ca="1">DATOSAÑO!P344</f>
        <v>0</v>
      </c>
      <c r="E344" s="203">
        <f ca="1">DATOSAÑO!Q344</f>
        <v>0</v>
      </c>
      <c r="F344" s="203">
        <f ca="1">DATOSAÑO!T344</f>
        <v>0</v>
      </c>
      <c r="G344" s="203">
        <f t="shared" ca="1" si="85"/>
        <v>0</v>
      </c>
      <c r="H344" s="203" t="e">
        <f t="shared" ca="1" si="83"/>
        <v>#DIV/0!</v>
      </c>
      <c r="I344" s="203" t="e">
        <f t="shared" ca="1" si="92"/>
        <v>#DIV/0!</v>
      </c>
      <c r="J344" s="203" t="e">
        <f t="shared" ca="1" si="93"/>
        <v>#DIV/0!</v>
      </c>
      <c r="K344" s="203" t="e">
        <f t="shared" ca="1" si="94"/>
        <v>#DIV/0!</v>
      </c>
      <c r="L344" s="203">
        <f t="shared" ca="1" si="84"/>
        <v>0</v>
      </c>
      <c r="M344" s="203" t="e">
        <f t="shared" ca="1" si="95"/>
        <v>#DIV/0!</v>
      </c>
      <c r="N344" s="203">
        <f t="shared" ca="1" si="87"/>
        <v>0</v>
      </c>
      <c r="O344" s="203">
        <f ca="1">(DATOSAÑO!AJ344+DATOSAÑO!AK344+DATOSAÑO!AD344)</f>
        <v>0</v>
      </c>
      <c r="P344" s="203">
        <f ca="1">DATOSAÑO!AI344</f>
        <v>0</v>
      </c>
      <c r="Q344" s="203">
        <f ca="1">DATOSAÑO!AH344</f>
        <v>0</v>
      </c>
      <c r="R344" s="203">
        <f ca="1">DATOSAÑO!AM344+DATOSAÑO!AN344+DATOSAÑO!AF344</f>
        <v>0</v>
      </c>
      <c r="S344" s="209">
        <f ca="1">IF(B344&gt;=$P$5,0,CONTADORES!Q350-CONTADORES!Q349)</f>
        <v>0</v>
      </c>
      <c r="T344" s="203">
        <f ca="1">IF(B344&gt;=$P$5,0,(CONTADORES!S350-CONTADORES!S349)+(CONTADORES!AE350-CONTADORES!AE349))</f>
        <v>0</v>
      </c>
      <c r="U344" s="203">
        <f ca="1">IF(B344&gt;=$P$5,0,(CONTADORES!AQ350-CONTADORES!AQ349))</f>
        <v>0</v>
      </c>
      <c r="V344" s="203">
        <f ca="1">IF(B344&gt;=$P$5,0,(CONTADORES!AR350-CONTADORES!AR349))</f>
        <v>0</v>
      </c>
      <c r="W344" s="203">
        <v>0</v>
      </c>
      <c r="X344" s="203">
        <f ca="1">IF(W344=0,(T344-INICIO!$W$6),((T344-INICIO!$W$6)+V344))</f>
        <v>0</v>
      </c>
      <c r="Y344" s="207">
        <f t="shared" ca="1" si="88"/>
        <v>0</v>
      </c>
      <c r="Z344" s="203" t="e">
        <f t="shared" ca="1" si="89"/>
        <v>#DIV/0!</v>
      </c>
      <c r="AA344" s="203" t="e">
        <f t="shared" ca="1" si="90"/>
        <v>#DIV/0!</v>
      </c>
      <c r="AB344" s="203" t="e">
        <f t="shared" ca="1" si="91"/>
        <v>#DIV/0!</v>
      </c>
      <c r="AC344" s="207" t="e">
        <f t="shared" ca="1" si="86"/>
        <v>#DIV/0!</v>
      </c>
    </row>
    <row r="345" spans="2:29">
      <c r="B345" s="410">
        <v>44896</v>
      </c>
      <c r="C345" s="208">
        <f ca="1">DATOSAÑO!I345</f>
        <v>0</v>
      </c>
      <c r="D345" s="202">
        <f ca="1">DATOSAÑO!P345</f>
        <v>0</v>
      </c>
      <c r="E345" s="202">
        <f ca="1">DATOSAÑO!Q345</f>
        <v>0</v>
      </c>
      <c r="F345" s="202">
        <f ca="1">DATOSAÑO!T345</f>
        <v>0</v>
      </c>
      <c r="G345" s="202">
        <f t="shared" ca="1" si="85"/>
        <v>0</v>
      </c>
      <c r="H345" s="202" t="e">
        <f ca="1">G345-SUM(I345:M345)</f>
        <v>#DIV/0!</v>
      </c>
      <c r="I345" s="202" t="e">
        <f t="shared" ca="1" si="92"/>
        <v>#DIV/0!</v>
      </c>
      <c r="J345" s="202" t="e">
        <f t="shared" ca="1" si="93"/>
        <v>#DIV/0!</v>
      </c>
      <c r="K345" s="202" t="e">
        <f t="shared" ca="1" si="94"/>
        <v>#DIV/0!</v>
      </c>
      <c r="L345" s="202">
        <f t="shared" ca="1" si="84"/>
        <v>0</v>
      </c>
      <c r="M345" s="202" t="e">
        <f t="shared" ca="1" si="95"/>
        <v>#DIV/0!</v>
      </c>
      <c r="N345" s="202">
        <f t="shared" ca="1" si="87"/>
        <v>0</v>
      </c>
      <c r="O345" s="202">
        <f ca="1">(DATOSAÑO!AJ345+DATOSAÑO!AK345+DATOSAÑO!AD345)</f>
        <v>0</v>
      </c>
      <c r="P345" s="202">
        <f ca="1">DATOSAÑO!AI345</f>
        <v>0</v>
      </c>
      <c r="Q345" s="202">
        <f ca="1">DATOSAÑO!AH345</f>
        <v>0</v>
      </c>
      <c r="R345" s="202">
        <f ca="1">DATOSAÑO!AM345+DATOSAÑO!AN345+DATOSAÑO!AF345</f>
        <v>0</v>
      </c>
      <c r="S345" s="208">
        <f ca="1">IF(B345&gt;=$P$5,0,CONTADORES!Q353-CONTADORES!Q352)</f>
        <v>0</v>
      </c>
      <c r="T345" s="202">
        <f ca="1">IF(B345&gt;=$P$5,0,(CONTADORES!S353-CONTADORES!S352)+(CONTADORES!AE353-CONTADORES!AE352))</f>
        <v>0</v>
      </c>
      <c r="U345" s="202">
        <f ca="1">IF(B345&gt;=$P$5,0,(CONTADORES!AQ353-CONTADORES!AQ352))</f>
        <v>0</v>
      </c>
      <c r="V345" s="202">
        <f ca="1">IF(B345&gt;=$P$5,0,(CONTADORES!AR353-CONTADORES!AR352))</f>
        <v>0</v>
      </c>
      <c r="W345" s="735">
        <v>0</v>
      </c>
      <c r="X345" s="202">
        <f ca="1">IF(W345=0,(T345-INICIO!$W$6),((T345-INICIO!$W$6)+V345))</f>
        <v>0</v>
      </c>
      <c r="Y345" s="214">
        <f t="shared" ca="1" si="88"/>
        <v>0</v>
      </c>
      <c r="Z345" s="215" t="e">
        <f t="shared" ca="1" si="89"/>
        <v>#DIV/0!</v>
      </c>
      <c r="AA345" s="212" t="e">
        <f t="shared" ca="1" si="90"/>
        <v>#DIV/0!</v>
      </c>
      <c r="AB345" s="212" t="e">
        <f t="shared" ca="1" si="91"/>
        <v>#DIV/0!</v>
      </c>
      <c r="AC345" s="214" t="e">
        <f t="shared" ca="1" si="86"/>
        <v>#DIV/0!</v>
      </c>
    </row>
    <row r="346" spans="2:29">
      <c r="B346" s="220">
        <v>44897</v>
      </c>
      <c r="C346" s="208">
        <f ca="1">DATOSAÑO!I346</f>
        <v>0</v>
      </c>
      <c r="D346" s="202">
        <f ca="1">DATOSAÑO!P346</f>
        <v>0</v>
      </c>
      <c r="E346" s="202">
        <f ca="1">DATOSAÑO!Q346</f>
        <v>0</v>
      </c>
      <c r="F346" s="202">
        <f ca="1">DATOSAÑO!T346</f>
        <v>0</v>
      </c>
      <c r="G346" s="202">
        <f t="shared" ca="1" si="85"/>
        <v>0</v>
      </c>
      <c r="H346" s="202" t="e">
        <f t="shared" ref="H346:H375" ca="1" si="96">G346-SUM(I346:M346)</f>
        <v>#DIV/0!</v>
      </c>
      <c r="I346" s="202" t="e">
        <f t="shared" ca="1" si="92"/>
        <v>#DIV/0!</v>
      </c>
      <c r="J346" s="202" t="e">
        <f t="shared" ca="1" si="93"/>
        <v>#DIV/0!</v>
      </c>
      <c r="K346" s="202" t="e">
        <f t="shared" ca="1" si="94"/>
        <v>#DIV/0!</v>
      </c>
      <c r="L346" s="202">
        <f t="shared" ca="1" si="84"/>
        <v>0</v>
      </c>
      <c r="M346" s="202" t="e">
        <f t="shared" ca="1" si="95"/>
        <v>#DIV/0!</v>
      </c>
      <c r="N346" s="202">
        <f t="shared" ca="1" si="87"/>
        <v>0</v>
      </c>
      <c r="O346" s="202">
        <f ca="1">(DATOSAÑO!AJ346+DATOSAÑO!AK346+DATOSAÑO!AD346)</f>
        <v>0</v>
      </c>
      <c r="P346" s="202">
        <f ca="1">DATOSAÑO!AI346</f>
        <v>0</v>
      </c>
      <c r="Q346" s="202">
        <f ca="1">DATOSAÑO!AH346</f>
        <v>0</v>
      </c>
      <c r="R346" s="202">
        <f ca="1">DATOSAÑO!AM346+DATOSAÑO!AN346+DATOSAÑO!AF346</f>
        <v>0</v>
      </c>
      <c r="S346" s="215">
        <f ca="1">IF(B346&gt;=$P$5,0,CONTADORES!Q354-CONTADORES!Q353)</f>
        <v>0</v>
      </c>
      <c r="T346" s="212">
        <f ca="1">IF(B346&gt;=$P$5,0,(CONTADORES!S354-CONTADORES!S353)+(CONTADORES!AE354-CONTADORES!AE353))</f>
        <v>0</v>
      </c>
      <c r="U346" s="212">
        <f ca="1">IF(B346&gt;=$P$5,0,(CONTADORES!AQ354-CONTADORES!AQ353))</f>
        <v>0</v>
      </c>
      <c r="V346" s="212">
        <f ca="1">IF(B346&gt;=$P$5,0,(CONTADORES!AR354-CONTADORES!AR353))</f>
        <v>0</v>
      </c>
      <c r="W346" s="212">
        <v>0</v>
      </c>
      <c r="X346" s="212">
        <f ca="1">IF(W346=0,(T346-INICIO!$W$6),((T346-INICIO!$W$6)+V346))</f>
        <v>0</v>
      </c>
      <c r="Y346" s="214">
        <f t="shared" ca="1" si="88"/>
        <v>0</v>
      </c>
      <c r="Z346" s="215" t="e">
        <f t="shared" ca="1" si="89"/>
        <v>#DIV/0!</v>
      </c>
      <c r="AA346" s="212" t="e">
        <f t="shared" ca="1" si="90"/>
        <v>#DIV/0!</v>
      </c>
      <c r="AB346" s="212" t="e">
        <f t="shared" ca="1" si="91"/>
        <v>#DIV/0!</v>
      </c>
      <c r="AC346" s="214" t="e">
        <f t="shared" ca="1" si="86"/>
        <v>#DIV/0!</v>
      </c>
    </row>
    <row r="347" spans="2:29">
      <c r="B347" s="220">
        <v>44898</v>
      </c>
      <c r="C347" s="208">
        <f ca="1">DATOSAÑO!I347</f>
        <v>0</v>
      </c>
      <c r="D347" s="202">
        <f ca="1">DATOSAÑO!P347</f>
        <v>0</v>
      </c>
      <c r="E347" s="202">
        <f ca="1">DATOSAÑO!Q347</f>
        <v>0</v>
      </c>
      <c r="F347" s="202">
        <f ca="1">DATOSAÑO!T347</f>
        <v>0</v>
      </c>
      <c r="G347" s="202">
        <f t="shared" ca="1" si="85"/>
        <v>0</v>
      </c>
      <c r="H347" s="202" t="e">
        <f t="shared" ca="1" si="96"/>
        <v>#DIV/0!</v>
      </c>
      <c r="I347" s="202" t="e">
        <f t="shared" ca="1" si="92"/>
        <v>#DIV/0!</v>
      </c>
      <c r="J347" s="202" t="e">
        <f t="shared" ca="1" si="93"/>
        <v>#DIV/0!</v>
      </c>
      <c r="K347" s="202" t="e">
        <f t="shared" ca="1" si="94"/>
        <v>#DIV/0!</v>
      </c>
      <c r="L347" s="202">
        <f t="shared" ca="1" si="84"/>
        <v>0</v>
      </c>
      <c r="M347" s="202" t="e">
        <f t="shared" ca="1" si="95"/>
        <v>#DIV/0!</v>
      </c>
      <c r="N347" s="202">
        <f t="shared" ca="1" si="87"/>
        <v>0</v>
      </c>
      <c r="O347" s="202">
        <f ca="1">(DATOSAÑO!AJ347+DATOSAÑO!AK347+DATOSAÑO!AD347)</f>
        <v>0</v>
      </c>
      <c r="P347" s="202">
        <f ca="1">DATOSAÑO!AI347</f>
        <v>0</v>
      </c>
      <c r="Q347" s="202">
        <f ca="1">DATOSAÑO!AH347</f>
        <v>0</v>
      </c>
      <c r="R347" s="202">
        <f ca="1">DATOSAÑO!AM347+DATOSAÑO!AN347+DATOSAÑO!AF347</f>
        <v>0</v>
      </c>
      <c r="S347" s="215">
        <f ca="1">IF(B347&gt;=$P$5,0,CONTADORES!Q355-CONTADORES!Q354)</f>
        <v>0</v>
      </c>
      <c r="T347" s="212">
        <f ca="1">IF(B347&gt;=$P$5,0,(CONTADORES!S355-CONTADORES!S354)+(CONTADORES!AE355-CONTADORES!AE354))</f>
        <v>0</v>
      </c>
      <c r="U347" s="212">
        <f ca="1">IF(B347&gt;=$P$5,0,(CONTADORES!AQ355-CONTADORES!AQ354))</f>
        <v>0</v>
      </c>
      <c r="V347" s="212">
        <f ca="1">IF(B347&gt;=$P$5,0,(CONTADORES!AR355-CONTADORES!AR354))</f>
        <v>0</v>
      </c>
      <c r="W347" s="212">
        <v>0</v>
      </c>
      <c r="X347" s="212">
        <f ca="1">IF(W347=0,(T347-INICIO!$W$6),((T347-INICIO!$W$6)+V347))</f>
        <v>0</v>
      </c>
      <c r="Y347" s="214">
        <f t="shared" ca="1" si="88"/>
        <v>0</v>
      </c>
      <c r="Z347" s="215" t="e">
        <f t="shared" ca="1" si="89"/>
        <v>#DIV/0!</v>
      </c>
      <c r="AA347" s="212" t="e">
        <f t="shared" ca="1" si="90"/>
        <v>#DIV/0!</v>
      </c>
      <c r="AB347" s="212" t="e">
        <f t="shared" ca="1" si="91"/>
        <v>#DIV/0!</v>
      </c>
      <c r="AC347" s="214" t="e">
        <f t="shared" ca="1" si="86"/>
        <v>#DIV/0!</v>
      </c>
    </row>
    <row r="348" spans="2:29">
      <c r="B348" s="220">
        <v>44899</v>
      </c>
      <c r="C348" s="208">
        <f ca="1">DATOSAÑO!I348</f>
        <v>0</v>
      </c>
      <c r="D348" s="202">
        <f ca="1">DATOSAÑO!P348</f>
        <v>0</v>
      </c>
      <c r="E348" s="202">
        <f ca="1">DATOSAÑO!Q348</f>
        <v>0</v>
      </c>
      <c r="F348" s="202">
        <f ca="1">DATOSAÑO!T348</f>
        <v>0</v>
      </c>
      <c r="G348" s="202">
        <f t="shared" ca="1" si="85"/>
        <v>0</v>
      </c>
      <c r="H348" s="202" t="e">
        <f t="shared" ca="1" si="96"/>
        <v>#DIV/0!</v>
      </c>
      <c r="I348" s="202" t="e">
        <f t="shared" ca="1" si="92"/>
        <v>#DIV/0!</v>
      </c>
      <c r="J348" s="202" t="e">
        <f t="shared" ca="1" si="93"/>
        <v>#DIV/0!</v>
      </c>
      <c r="K348" s="202" t="e">
        <f t="shared" ca="1" si="94"/>
        <v>#DIV/0!</v>
      </c>
      <c r="L348" s="202">
        <f t="shared" ca="1" si="84"/>
        <v>0</v>
      </c>
      <c r="M348" s="202" t="e">
        <f t="shared" ca="1" si="95"/>
        <v>#DIV/0!</v>
      </c>
      <c r="N348" s="202">
        <f t="shared" ca="1" si="87"/>
        <v>0</v>
      </c>
      <c r="O348" s="202">
        <f ca="1">(DATOSAÑO!AJ348+DATOSAÑO!AK348+DATOSAÑO!AD348)</f>
        <v>0</v>
      </c>
      <c r="P348" s="202">
        <f ca="1">DATOSAÑO!AI348</f>
        <v>0</v>
      </c>
      <c r="Q348" s="202">
        <f ca="1">DATOSAÑO!AH348</f>
        <v>0</v>
      </c>
      <c r="R348" s="202">
        <f ca="1">DATOSAÑO!AM348+DATOSAÑO!AN348+DATOSAÑO!AF348</f>
        <v>0</v>
      </c>
      <c r="S348" s="215">
        <f ca="1">IF(B348&gt;=$P$5,0,CONTADORES!Q356-CONTADORES!Q355)</f>
        <v>0</v>
      </c>
      <c r="T348" s="212">
        <f ca="1">IF(B348&gt;=$P$5,0,(CONTADORES!S356-CONTADORES!S355)+(CONTADORES!AE356-CONTADORES!AE355))</f>
        <v>0</v>
      </c>
      <c r="U348" s="212">
        <f ca="1">IF(B348&gt;=$P$5,0,(CONTADORES!AQ356-CONTADORES!AQ355))</f>
        <v>0</v>
      </c>
      <c r="V348" s="212">
        <f ca="1">IF(B348&gt;=$P$5,0,(CONTADORES!AR356-CONTADORES!AR355))</f>
        <v>0</v>
      </c>
      <c r="W348" s="212">
        <v>0</v>
      </c>
      <c r="X348" s="212">
        <f ca="1">IF(W348=0,(T348-INICIO!$W$6),((T348-INICIO!$W$6)+V348))</f>
        <v>0</v>
      </c>
      <c r="Y348" s="214">
        <f t="shared" ca="1" si="88"/>
        <v>0</v>
      </c>
      <c r="Z348" s="215" t="e">
        <f t="shared" ca="1" si="89"/>
        <v>#DIV/0!</v>
      </c>
      <c r="AA348" s="212" t="e">
        <f t="shared" ca="1" si="90"/>
        <v>#DIV/0!</v>
      </c>
      <c r="AB348" s="212" t="e">
        <f t="shared" ca="1" si="91"/>
        <v>#DIV/0!</v>
      </c>
      <c r="AC348" s="214" t="e">
        <f t="shared" ca="1" si="86"/>
        <v>#DIV/0!</v>
      </c>
    </row>
    <row r="349" spans="2:29">
      <c r="B349" s="220">
        <v>44900</v>
      </c>
      <c r="C349" s="208">
        <f ca="1">DATOSAÑO!I349</f>
        <v>0</v>
      </c>
      <c r="D349" s="202">
        <f ca="1">DATOSAÑO!P349</f>
        <v>0</v>
      </c>
      <c r="E349" s="202">
        <f ca="1">DATOSAÑO!Q349</f>
        <v>0</v>
      </c>
      <c r="F349" s="202">
        <f ca="1">DATOSAÑO!T349</f>
        <v>0</v>
      </c>
      <c r="G349" s="202">
        <f t="shared" ca="1" si="85"/>
        <v>0</v>
      </c>
      <c r="H349" s="202" t="e">
        <f t="shared" ca="1" si="96"/>
        <v>#DIV/0!</v>
      </c>
      <c r="I349" s="202" t="e">
        <f t="shared" ca="1" si="92"/>
        <v>#DIV/0!</v>
      </c>
      <c r="J349" s="202" t="e">
        <f t="shared" ca="1" si="93"/>
        <v>#DIV/0!</v>
      </c>
      <c r="K349" s="202" t="e">
        <f t="shared" ca="1" si="94"/>
        <v>#DIV/0!</v>
      </c>
      <c r="L349" s="202">
        <f t="shared" ca="1" si="84"/>
        <v>0</v>
      </c>
      <c r="M349" s="202" t="e">
        <f t="shared" ca="1" si="95"/>
        <v>#DIV/0!</v>
      </c>
      <c r="N349" s="202">
        <f t="shared" ca="1" si="87"/>
        <v>0</v>
      </c>
      <c r="O349" s="202">
        <f ca="1">(DATOSAÑO!AJ349+DATOSAÑO!AK349+DATOSAÑO!AD349)</f>
        <v>0</v>
      </c>
      <c r="P349" s="202">
        <f ca="1">DATOSAÑO!AI349</f>
        <v>0</v>
      </c>
      <c r="Q349" s="202">
        <f ca="1">DATOSAÑO!AH349</f>
        <v>0</v>
      </c>
      <c r="R349" s="202">
        <f ca="1">DATOSAÑO!AM349+DATOSAÑO!AN349+DATOSAÑO!AF349</f>
        <v>0</v>
      </c>
      <c r="S349" s="215">
        <f ca="1">IF(B349&gt;=$P$5,0,CONTADORES!Q357-CONTADORES!Q356)</f>
        <v>0</v>
      </c>
      <c r="T349" s="212">
        <f ca="1">IF(B349&gt;=$P$5,0,(CONTADORES!S357-CONTADORES!S356)+(CONTADORES!AE357-CONTADORES!AE356))</f>
        <v>0</v>
      </c>
      <c r="U349" s="212">
        <f ca="1">IF(B349&gt;=$P$5,0,(CONTADORES!AQ357-CONTADORES!AQ356))</f>
        <v>0</v>
      </c>
      <c r="V349" s="212">
        <f ca="1">IF(B349&gt;=$P$5,0,(CONTADORES!AR357-CONTADORES!AR356))</f>
        <v>0</v>
      </c>
      <c r="W349" s="212">
        <v>0</v>
      </c>
      <c r="X349" s="212">
        <f ca="1">IF(W349=0,(T349-INICIO!$W$6),((T349-INICIO!$W$6)+V349))</f>
        <v>0</v>
      </c>
      <c r="Y349" s="214">
        <f t="shared" ca="1" si="88"/>
        <v>0</v>
      </c>
      <c r="Z349" s="215" t="e">
        <f t="shared" ca="1" si="89"/>
        <v>#DIV/0!</v>
      </c>
      <c r="AA349" s="212" t="e">
        <f t="shared" ca="1" si="90"/>
        <v>#DIV/0!</v>
      </c>
      <c r="AB349" s="212" t="e">
        <f t="shared" ca="1" si="91"/>
        <v>#DIV/0!</v>
      </c>
      <c r="AC349" s="214" t="e">
        <f t="shared" ca="1" si="86"/>
        <v>#DIV/0!</v>
      </c>
    </row>
    <row r="350" spans="2:29">
      <c r="B350" s="220">
        <v>44901</v>
      </c>
      <c r="C350" s="208">
        <f ca="1">DATOSAÑO!I350</f>
        <v>0</v>
      </c>
      <c r="D350" s="202">
        <f ca="1">DATOSAÑO!P350</f>
        <v>0</v>
      </c>
      <c r="E350" s="202">
        <f ca="1">DATOSAÑO!Q350</f>
        <v>0</v>
      </c>
      <c r="F350" s="202">
        <f ca="1">DATOSAÑO!T350</f>
        <v>0</v>
      </c>
      <c r="G350" s="202">
        <f t="shared" ca="1" si="85"/>
        <v>0</v>
      </c>
      <c r="H350" s="202" t="e">
        <f t="shared" ca="1" si="96"/>
        <v>#DIV/0!</v>
      </c>
      <c r="I350" s="202" t="e">
        <f t="shared" ca="1" si="92"/>
        <v>#DIV/0!</v>
      </c>
      <c r="J350" s="202" t="e">
        <f t="shared" ca="1" si="93"/>
        <v>#DIV/0!</v>
      </c>
      <c r="K350" s="202" t="e">
        <f t="shared" ca="1" si="94"/>
        <v>#DIV/0!</v>
      </c>
      <c r="L350" s="202">
        <f t="shared" ca="1" si="84"/>
        <v>0</v>
      </c>
      <c r="M350" s="202" t="e">
        <f t="shared" ca="1" si="95"/>
        <v>#DIV/0!</v>
      </c>
      <c r="N350" s="202">
        <f t="shared" ca="1" si="87"/>
        <v>0</v>
      </c>
      <c r="O350" s="202">
        <f ca="1">(DATOSAÑO!AJ350+DATOSAÑO!AK350+DATOSAÑO!AD350)</f>
        <v>0</v>
      </c>
      <c r="P350" s="202">
        <f ca="1">DATOSAÑO!AI350</f>
        <v>0</v>
      </c>
      <c r="Q350" s="202">
        <f ca="1">DATOSAÑO!AH350</f>
        <v>0</v>
      </c>
      <c r="R350" s="202">
        <f ca="1">DATOSAÑO!AM350+DATOSAÑO!AN350+DATOSAÑO!AF350</f>
        <v>0</v>
      </c>
      <c r="S350" s="215">
        <f ca="1">IF(B350&gt;=$P$5,0,CONTADORES!Q358-CONTADORES!Q357)</f>
        <v>0</v>
      </c>
      <c r="T350" s="212">
        <f ca="1">IF(B350&gt;=$P$5,0,(CONTADORES!S358-CONTADORES!S357)+(CONTADORES!AE358-CONTADORES!AE357))</f>
        <v>0</v>
      </c>
      <c r="U350" s="212">
        <f ca="1">IF(B350&gt;=$P$5,0,(CONTADORES!AQ358-CONTADORES!AQ357))</f>
        <v>0</v>
      </c>
      <c r="V350" s="212">
        <f ca="1">IF(B350&gt;=$P$5,0,(CONTADORES!AR358-CONTADORES!AR357))</f>
        <v>0</v>
      </c>
      <c r="W350" s="212">
        <v>0</v>
      </c>
      <c r="X350" s="212">
        <f ca="1">IF(W350=0,(T350-INICIO!$W$6),((T350-INICIO!$W$6)+V350))</f>
        <v>0</v>
      </c>
      <c r="Y350" s="214">
        <f t="shared" ca="1" si="88"/>
        <v>0</v>
      </c>
      <c r="Z350" s="215" t="e">
        <f t="shared" ca="1" si="89"/>
        <v>#DIV/0!</v>
      </c>
      <c r="AA350" s="212" t="e">
        <f t="shared" ca="1" si="90"/>
        <v>#DIV/0!</v>
      </c>
      <c r="AB350" s="212" t="e">
        <f t="shared" ca="1" si="91"/>
        <v>#DIV/0!</v>
      </c>
      <c r="AC350" s="214" t="e">
        <f t="shared" ca="1" si="86"/>
        <v>#DIV/0!</v>
      </c>
    </row>
    <row r="351" spans="2:29">
      <c r="B351" s="220">
        <v>44902</v>
      </c>
      <c r="C351" s="208">
        <f ca="1">DATOSAÑO!I351</f>
        <v>0</v>
      </c>
      <c r="D351" s="202">
        <f ca="1">DATOSAÑO!P351</f>
        <v>0</v>
      </c>
      <c r="E351" s="202">
        <f ca="1">DATOSAÑO!Q351</f>
        <v>0</v>
      </c>
      <c r="F351" s="202">
        <f ca="1">DATOSAÑO!T351</f>
        <v>0</v>
      </c>
      <c r="G351" s="202">
        <f t="shared" ca="1" si="85"/>
        <v>0</v>
      </c>
      <c r="H351" s="202" t="e">
        <f t="shared" ca="1" si="96"/>
        <v>#DIV/0!</v>
      </c>
      <c r="I351" s="202" t="e">
        <f t="shared" ca="1" si="92"/>
        <v>#DIV/0!</v>
      </c>
      <c r="J351" s="202" t="e">
        <f t="shared" ca="1" si="93"/>
        <v>#DIV/0!</v>
      </c>
      <c r="K351" s="202" t="e">
        <f t="shared" ca="1" si="94"/>
        <v>#DIV/0!</v>
      </c>
      <c r="L351" s="202">
        <f t="shared" ca="1" si="84"/>
        <v>0</v>
      </c>
      <c r="M351" s="202" t="e">
        <f t="shared" ca="1" si="95"/>
        <v>#DIV/0!</v>
      </c>
      <c r="N351" s="202">
        <f t="shared" ca="1" si="87"/>
        <v>0</v>
      </c>
      <c r="O351" s="202">
        <f ca="1">(DATOSAÑO!AJ351+DATOSAÑO!AK351+DATOSAÑO!AD351)</f>
        <v>0</v>
      </c>
      <c r="P351" s="202">
        <f ca="1">DATOSAÑO!AI351</f>
        <v>0</v>
      </c>
      <c r="Q351" s="202">
        <f ca="1">DATOSAÑO!AH351</f>
        <v>0</v>
      </c>
      <c r="R351" s="202">
        <f ca="1">DATOSAÑO!AM351+DATOSAÑO!AN351+DATOSAÑO!AF351</f>
        <v>0</v>
      </c>
      <c r="S351" s="215">
        <f ca="1">IF(B351&gt;=$P$5,0,CONTADORES!Q359-CONTADORES!Q358)</f>
        <v>0</v>
      </c>
      <c r="T351" s="212">
        <f ca="1">IF(B351&gt;=$P$5,0,(CONTADORES!S359-CONTADORES!S358)+(CONTADORES!AE359-CONTADORES!AE358))</f>
        <v>0</v>
      </c>
      <c r="U351" s="212">
        <f ca="1">IF(B351&gt;=$P$5,0,(CONTADORES!AQ359-CONTADORES!AQ358))</f>
        <v>0</v>
      </c>
      <c r="V351" s="212">
        <f ca="1">IF(B351&gt;=$P$5,0,(CONTADORES!AR359-CONTADORES!AR358))</f>
        <v>0</v>
      </c>
      <c r="W351" s="212">
        <v>0</v>
      </c>
      <c r="X351" s="212">
        <f ca="1">IF(W351=0,(T351-INICIO!$W$6),((T351-INICIO!$W$6)+V351))</f>
        <v>0</v>
      </c>
      <c r="Y351" s="214">
        <f t="shared" ca="1" si="88"/>
        <v>0</v>
      </c>
      <c r="Z351" s="215" t="e">
        <f t="shared" ca="1" si="89"/>
        <v>#DIV/0!</v>
      </c>
      <c r="AA351" s="212" t="e">
        <f t="shared" ca="1" si="90"/>
        <v>#DIV/0!</v>
      </c>
      <c r="AB351" s="212" t="e">
        <f t="shared" ca="1" si="91"/>
        <v>#DIV/0!</v>
      </c>
      <c r="AC351" s="214" t="e">
        <f t="shared" ca="1" si="86"/>
        <v>#DIV/0!</v>
      </c>
    </row>
    <row r="352" spans="2:29">
      <c r="B352" s="220">
        <v>44903</v>
      </c>
      <c r="C352" s="208">
        <f ca="1">DATOSAÑO!I352</f>
        <v>0</v>
      </c>
      <c r="D352" s="202">
        <f ca="1">DATOSAÑO!P352</f>
        <v>0</v>
      </c>
      <c r="E352" s="202">
        <f ca="1">DATOSAÑO!Q352</f>
        <v>0</v>
      </c>
      <c r="F352" s="202">
        <f ca="1">DATOSAÑO!T352</f>
        <v>0</v>
      </c>
      <c r="G352" s="202">
        <f t="shared" ca="1" si="85"/>
        <v>0</v>
      </c>
      <c r="H352" s="202" t="e">
        <f t="shared" ca="1" si="96"/>
        <v>#DIV/0!</v>
      </c>
      <c r="I352" s="202" t="e">
        <f t="shared" ca="1" si="92"/>
        <v>#DIV/0!</v>
      </c>
      <c r="J352" s="202" t="e">
        <f t="shared" ca="1" si="93"/>
        <v>#DIV/0!</v>
      </c>
      <c r="K352" s="202" t="e">
        <f t="shared" ca="1" si="94"/>
        <v>#DIV/0!</v>
      </c>
      <c r="L352" s="202">
        <f t="shared" ca="1" si="84"/>
        <v>0</v>
      </c>
      <c r="M352" s="202" t="e">
        <f t="shared" ca="1" si="95"/>
        <v>#DIV/0!</v>
      </c>
      <c r="N352" s="202">
        <f t="shared" ca="1" si="87"/>
        <v>0</v>
      </c>
      <c r="O352" s="202">
        <f ca="1">(DATOSAÑO!AJ352+DATOSAÑO!AK352+DATOSAÑO!AD352)</f>
        <v>0</v>
      </c>
      <c r="P352" s="202">
        <f ca="1">DATOSAÑO!AI352</f>
        <v>0</v>
      </c>
      <c r="Q352" s="202">
        <f ca="1">DATOSAÑO!AH352</f>
        <v>0</v>
      </c>
      <c r="R352" s="202">
        <f ca="1">DATOSAÑO!AM352+DATOSAÑO!AN352+DATOSAÑO!AF352</f>
        <v>0</v>
      </c>
      <c r="S352" s="215">
        <f ca="1">IF(B352&gt;=$P$5,0,CONTADORES!Q360-CONTADORES!Q359)</f>
        <v>0</v>
      </c>
      <c r="T352" s="212">
        <f ca="1">IF(B352&gt;=$P$5,0,(CONTADORES!S360-CONTADORES!S359)+(CONTADORES!AE360-CONTADORES!AE359))</f>
        <v>0</v>
      </c>
      <c r="U352" s="212">
        <f ca="1">IF(B352&gt;=$P$5,0,(CONTADORES!AQ360-CONTADORES!AQ359))</f>
        <v>0</v>
      </c>
      <c r="V352" s="212">
        <f ca="1">IF(B352&gt;=$P$5,0,(CONTADORES!AR360-CONTADORES!AR359))</f>
        <v>0</v>
      </c>
      <c r="W352" s="212">
        <v>0</v>
      </c>
      <c r="X352" s="212">
        <f ca="1">IF(W352=0,(T352-INICIO!$W$6),((T352-INICIO!$W$6)+V352))</f>
        <v>0</v>
      </c>
      <c r="Y352" s="214">
        <f t="shared" ca="1" si="88"/>
        <v>0</v>
      </c>
      <c r="Z352" s="215" t="e">
        <f t="shared" ca="1" si="89"/>
        <v>#DIV/0!</v>
      </c>
      <c r="AA352" s="212" t="e">
        <f t="shared" ca="1" si="90"/>
        <v>#DIV/0!</v>
      </c>
      <c r="AB352" s="212" t="e">
        <f t="shared" ca="1" si="91"/>
        <v>#DIV/0!</v>
      </c>
      <c r="AC352" s="214" t="e">
        <f t="shared" ca="1" si="86"/>
        <v>#DIV/0!</v>
      </c>
    </row>
    <row r="353" spans="2:29">
      <c r="B353" s="220">
        <v>44904</v>
      </c>
      <c r="C353" s="208">
        <f ca="1">DATOSAÑO!I353</f>
        <v>0</v>
      </c>
      <c r="D353" s="202">
        <f ca="1">DATOSAÑO!P353</f>
        <v>0</v>
      </c>
      <c r="E353" s="202">
        <f ca="1">DATOSAÑO!Q353</f>
        <v>0</v>
      </c>
      <c r="F353" s="202">
        <f ca="1">DATOSAÑO!T353</f>
        <v>0</v>
      </c>
      <c r="G353" s="202">
        <f t="shared" ca="1" si="85"/>
        <v>0</v>
      </c>
      <c r="H353" s="202" t="e">
        <f t="shared" ca="1" si="96"/>
        <v>#DIV/0!</v>
      </c>
      <c r="I353" s="202" t="e">
        <f t="shared" ca="1" si="92"/>
        <v>#DIV/0!</v>
      </c>
      <c r="J353" s="202" t="e">
        <f t="shared" ca="1" si="93"/>
        <v>#DIV/0!</v>
      </c>
      <c r="K353" s="202" t="e">
        <f t="shared" ca="1" si="94"/>
        <v>#DIV/0!</v>
      </c>
      <c r="L353" s="202">
        <f t="shared" ca="1" si="84"/>
        <v>0</v>
      </c>
      <c r="M353" s="202" t="e">
        <f t="shared" ca="1" si="95"/>
        <v>#DIV/0!</v>
      </c>
      <c r="N353" s="202">
        <f t="shared" ca="1" si="87"/>
        <v>0</v>
      </c>
      <c r="O353" s="202">
        <f ca="1">(DATOSAÑO!AJ353+DATOSAÑO!AK353+DATOSAÑO!AD353)</f>
        <v>0</v>
      </c>
      <c r="P353" s="202">
        <f ca="1">DATOSAÑO!AI353</f>
        <v>0</v>
      </c>
      <c r="Q353" s="202">
        <f ca="1">DATOSAÑO!AH353</f>
        <v>0</v>
      </c>
      <c r="R353" s="202">
        <f ca="1">DATOSAÑO!AM353+DATOSAÑO!AN353+DATOSAÑO!AF353</f>
        <v>0</v>
      </c>
      <c r="S353" s="215">
        <f ca="1">IF(B353&gt;=$P$5,0,CONTADORES!Q361-CONTADORES!Q360)</f>
        <v>0</v>
      </c>
      <c r="T353" s="212">
        <f ca="1">IF(B353&gt;=$P$5,0,(CONTADORES!S361-CONTADORES!S360)+(CONTADORES!AE361-CONTADORES!AE360))</f>
        <v>0</v>
      </c>
      <c r="U353" s="212">
        <f ca="1">IF(B353&gt;=$P$5,0,(CONTADORES!AQ361-CONTADORES!AQ360))</f>
        <v>0</v>
      </c>
      <c r="V353" s="212">
        <f ca="1">IF(B353&gt;=$P$5,0,(CONTADORES!AR361-CONTADORES!AR360))</f>
        <v>0</v>
      </c>
      <c r="W353" s="212">
        <v>0</v>
      </c>
      <c r="X353" s="212">
        <f ca="1">IF(W353=0,(T353-INICIO!$W$6),((T353-INICIO!$W$6)+V353))</f>
        <v>0</v>
      </c>
      <c r="Y353" s="214">
        <f t="shared" ca="1" si="88"/>
        <v>0</v>
      </c>
      <c r="Z353" s="215" t="e">
        <f t="shared" ca="1" si="89"/>
        <v>#DIV/0!</v>
      </c>
      <c r="AA353" s="212" t="e">
        <f t="shared" ca="1" si="90"/>
        <v>#DIV/0!</v>
      </c>
      <c r="AB353" s="212" t="e">
        <f t="shared" ca="1" si="91"/>
        <v>#DIV/0!</v>
      </c>
      <c r="AC353" s="214" t="e">
        <f t="shared" ca="1" si="86"/>
        <v>#DIV/0!</v>
      </c>
    </row>
    <row r="354" spans="2:29">
      <c r="B354" s="220">
        <v>44905</v>
      </c>
      <c r="C354" s="208">
        <f ca="1">DATOSAÑO!I354</f>
        <v>0</v>
      </c>
      <c r="D354" s="202">
        <f ca="1">DATOSAÑO!P354</f>
        <v>0</v>
      </c>
      <c r="E354" s="202">
        <f ca="1">DATOSAÑO!Q354</f>
        <v>0</v>
      </c>
      <c r="F354" s="202">
        <f ca="1">DATOSAÑO!T354</f>
        <v>0</v>
      </c>
      <c r="G354" s="202">
        <f t="shared" ca="1" si="85"/>
        <v>0</v>
      </c>
      <c r="H354" s="202" t="e">
        <f t="shared" ca="1" si="96"/>
        <v>#DIV/0!</v>
      </c>
      <c r="I354" s="202" t="e">
        <f t="shared" ca="1" si="92"/>
        <v>#DIV/0!</v>
      </c>
      <c r="J354" s="202" t="e">
        <f t="shared" ca="1" si="93"/>
        <v>#DIV/0!</v>
      </c>
      <c r="K354" s="202" t="e">
        <f t="shared" ca="1" si="94"/>
        <v>#DIV/0!</v>
      </c>
      <c r="L354" s="202">
        <f t="shared" ca="1" si="84"/>
        <v>0</v>
      </c>
      <c r="M354" s="202" t="e">
        <f t="shared" ca="1" si="95"/>
        <v>#DIV/0!</v>
      </c>
      <c r="N354" s="202">
        <f t="shared" ca="1" si="87"/>
        <v>0</v>
      </c>
      <c r="O354" s="202">
        <f ca="1">(DATOSAÑO!AJ354+DATOSAÑO!AK354+DATOSAÑO!AD354)</f>
        <v>0</v>
      </c>
      <c r="P354" s="202">
        <f ca="1">DATOSAÑO!AI354</f>
        <v>0</v>
      </c>
      <c r="Q354" s="202">
        <f ca="1">DATOSAÑO!AH354</f>
        <v>0</v>
      </c>
      <c r="R354" s="202">
        <f ca="1">DATOSAÑO!AM354+DATOSAÑO!AN354+DATOSAÑO!AF354</f>
        <v>0</v>
      </c>
      <c r="S354" s="215">
        <f ca="1">IF(B354&gt;=$P$5,0,CONTADORES!Q362-CONTADORES!Q361)</f>
        <v>0</v>
      </c>
      <c r="T354" s="212">
        <f ca="1">IF(B354&gt;=$P$5,0,(CONTADORES!S362-CONTADORES!S361)+(CONTADORES!AE362-CONTADORES!AE361))</f>
        <v>0</v>
      </c>
      <c r="U354" s="212">
        <f ca="1">IF(B354&gt;=$P$5,0,(CONTADORES!AQ362-CONTADORES!AQ361))</f>
        <v>0</v>
      </c>
      <c r="V354" s="212">
        <f ca="1">IF(B354&gt;=$P$5,0,(CONTADORES!AR362-CONTADORES!AR361))</f>
        <v>0</v>
      </c>
      <c r="W354" s="212">
        <v>0</v>
      </c>
      <c r="X354" s="212">
        <f ca="1">IF(W354=0,(T354-INICIO!$W$6),((T354-INICIO!$W$6)+V354))</f>
        <v>0</v>
      </c>
      <c r="Y354" s="214">
        <f t="shared" ca="1" si="88"/>
        <v>0</v>
      </c>
      <c r="Z354" s="215" t="e">
        <f t="shared" ca="1" si="89"/>
        <v>#DIV/0!</v>
      </c>
      <c r="AA354" s="212" t="e">
        <f t="shared" ca="1" si="90"/>
        <v>#DIV/0!</v>
      </c>
      <c r="AB354" s="212" t="e">
        <f t="shared" ca="1" si="91"/>
        <v>#DIV/0!</v>
      </c>
      <c r="AC354" s="214" t="e">
        <f t="shared" ca="1" si="86"/>
        <v>#DIV/0!</v>
      </c>
    </row>
    <row r="355" spans="2:29">
      <c r="B355" s="220">
        <v>44906</v>
      </c>
      <c r="C355" s="208">
        <f ca="1">DATOSAÑO!I355</f>
        <v>0</v>
      </c>
      <c r="D355" s="202">
        <f ca="1">DATOSAÑO!P355</f>
        <v>0</v>
      </c>
      <c r="E355" s="202">
        <f ca="1">DATOSAÑO!Q355</f>
        <v>0</v>
      </c>
      <c r="F355" s="202">
        <f ca="1">DATOSAÑO!T355</f>
        <v>0</v>
      </c>
      <c r="G355" s="202">
        <f t="shared" ca="1" si="85"/>
        <v>0</v>
      </c>
      <c r="H355" s="202" t="e">
        <f t="shared" ca="1" si="96"/>
        <v>#DIV/0!</v>
      </c>
      <c r="I355" s="202" t="e">
        <f t="shared" ca="1" si="92"/>
        <v>#DIV/0!</v>
      </c>
      <c r="J355" s="202" t="e">
        <f t="shared" ca="1" si="93"/>
        <v>#DIV/0!</v>
      </c>
      <c r="K355" s="202" t="e">
        <f t="shared" ca="1" si="94"/>
        <v>#DIV/0!</v>
      </c>
      <c r="L355" s="202">
        <f t="shared" ca="1" si="84"/>
        <v>0</v>
      </c>
      <c r="M355" s="202" t="e">
        <f t="shared" ca="1" si="95"/>
        <v>#DIV/0!</v>
      </c>
      <c r="N355" s="202">
        <f t="shared" ca="1" si="87"/>
        <v>0</v>
      </c>
      <c r="O355" s="202">
        <f ca="1">(DATOSAÑO!AJ355+DATOSAÑO!AK355+DATOSAÑO!AD355)</f>
        <v>0</v>
      </c>
      <c r="P355" s="202">
        <f ca="1">DATOSAÑO!AI355</f>
        <v>0</v>
      </c>
      <c r="Q355" s="202">
        <f ca="1">DATOSAÑO!AH355</f>
        <v>0</v>
      </c>
      <c r="R355" s="202">
        <f ca="1">DATOSAÑO!AM355+DATOSAÑO!AN355+DATOSAÑO!AF355</f>
        <v>0</v>
      </c>
      <c r="S355" s="215">
        <f ca="1">IF(B355&gt;=$P$5,0,CONTADORES!Q363-CONTADORES!Q362)</f>
        <v>0</v>
      </c>
      <c r="T355" s="212">
        <f ca="1">IF(B355&gt;=$P$5,0,(CONTADORES!S363-CONTADORES!S362)+(CONTADORES!AE363-CONTADORES!AE362))</f>
        <v>0</v>
      </c>
      <c r="U355" s="212">
        <f ca="1">IF(B355&gt;=$P$5,0,(CONTADORES!AQ363-CONTADORES!AQ362))</f>
        <v>0</v>
      </c>
      <c r="V355" s="212">
        <f ca="1">IF(B355&gt;=$P$5,0,(CONTADORES!AR363-CONTADORES!AR362))</f>
        <v>0</v>
      </c>
      <c r="W355" s="212">
        <v>0</v>
      </c>
      <c r="X355" s="212">
        <f ca="1">IF(W355=0,(T355-INICIO!$W$6),((T355-INICIO!$W$6)+V355))</f>
        <v>0</v>
      </c>
      <c r="Y355" s="214">
        <f t="shared" ca="1" si="88"/>
        <v>0</v>
      </c>
      <c r="Z355" s="215" t="e">
        <f t="shared" ca="1" si="89"/>
        <v>#DIV/0!</v>
      </c>
      <c r="AA355" s="212" t="e">
        <f t="shared" ca="1" si="90"/>
        <v>#DIV/0!</v>
      </c>
      <c r="AB355" s="212" t="e">
        <f t="shared" ca="1" si="91"/>
        <v>#DIV/0!</v>
      </c>
      <c r="AC355" s="214" t="e">
        <f t="shared" ca="1" si="86"/>
        <v>#DIV/0!</v>
      </c>
    </row>
    <row r="356" spans="2:29">
      <c r="B356" s="220">
        <v>44907</v>
      </c>
      <c r="C356" s="208">
        <f ca="1">DATOSAÑO!I356</f>
        <v>0</v>
      </c>
      <c r="D356" s="202">
        <f ca="1">DATOSAÑO!P356</f>
        <v>0</v>
      </c>
      <c r="E356" s="202">
        <f ca="1">DATOSAÑO!Q356</f>
        <v>0</v>
      </c>
      <c r="F356" s="202">
        <f ca="1">DATOSAÑO!T356</f>
        <v>0</v>
      </c>
      <c r="G356" s="202">
        <f t="shared" ca="1" si="85"/>
        <v>0</v>
      </c>
      <c r="H356" s="202" t="e">
        <f t="shared" ca="1" si="96"/>
        <v>#DIV/0!</v>
      </c>
      <c r="I356" s="202" t="e">
        <f t="shared" ca="1" si="92"/>
        <v>#DIV/0!</v>
      </c>
      <c r="J356" s="202" t="e">
        <f t="shared" ca="1" si="93"/>
        <v>#DIV/0!</v>
      </c>
      <c r="K356" s="202" t="e">
        <f t="shared" ca="1" si="94"/>
        <v>#DIV/0!</v>
      </c>
      <c r="L356" s="202">
        <f t="shared" ca="1" si="84"/>
        <v>0</v>
      </c>
      <c r="M356" s="202" t="e">
        <f t="shared" ca="1" si="95"/>
        <v>#DIV/0!</v>
      </c>
      <c r="N356" s="202">
        <f t="shared" ca="1" si="87"/>
        <v>0</v>
      </c>
      <c r="O356" s="202">
        <f ca="1">(DATOSAÑO!AJ356+DATOSAÑO!AK356+DATOSAÑO!AD356)</f>
        <v>0</v>
      </c>
      <c r="P356" s="202">
        <f ca="1">DATOSAÑO!AI356</f>
        <v>0</v>
      </c>
      <c r="Q356" s="202">
        <f ca="1">DATOSAÑO!AH356</f>
        <v>0</v>
      </c>
      <c r="R356" s="202">
        <f ca="1">DATOSAÑO!AM356+DATOSAÑO!AN356+DATOSAÑO!AF356</f>
        <v>0</v>
      </c>
      <c r="S356" s="215">
        <f ca="1">IF(B356&gt;=$P$5,0,CONTADORES!Q364-CONTADORES!Q363)</f>
        <v>0</v>
      </c>
      <c r="T356" s="212">
        <f ca="1">IF(B356&gt;=$P$5,0,(CONTADORES!S364-CONTADORES!S363)+(CONTADORES!AE364-CONTADORES!AE363))</f>
        <v>0</v>
      </c>
      <c r="U356" s="212">
        <f ca="1">IF(B356&gt;=$P$5,0,(CONTADORES!AQ364-CONTADORES!AQ363))</f>
        <v>0</v>
      </c>
      <c r="V356" s="212">
        <f ca="1">IF(B356&gt;=$P$5,0,(CONTADORES!AR364-CONTADORES!AR363))</f>
        <v>0</v>
      </c>
      <c r="W356" s="212">
        <v>0</v>
      </c>
      <c r="X356" s="212">
        <f ca="1">IF(W356=0,(T356-INICIO!$W$6),((T356-INICIO!$W$6)+V356))</f>
        <v>0</v>
      </c>
      <c r="Y356" s="214">
        <f t="shared" ca="1" si="88"/>
        <v>0</v>
      </c>
      <c r="Z356" s="215" t="e">
        <f t="shared" ca="1" si="89"/>
        <v>#DIV/0!</v>
      </c>
      <c r="AA356" s="212" t="e">
        <f t="shared" ca="1" si="90"/>
        <v>#DIV/0!</v>
      </c>
      <c r="AB356" s="212" t="e">
        <f t="shared" ca="1" si="91"/>
        <v>#DIV/0!</v>
      </c>
      <c r="AC356" s="214" t="e">
        <f t="shared" ca="1" si="86"/>
        <v>#DIV/0!</v>
      </c>
    </row>
    <row r="357" spans="2:29">
      <c r="B357" s="220">
        <v>44908</v>
      </c>
      <c r="C357" s="208">
        <f ca="1">DATOSAÑO!I357</f>
        <v>0</v>
      </c>
      <c r="D357" s="202">
        <f ca="1">DATOSAÑO!P357</f>
        <v>0</v>
      </c>
      <c r="E357" s="202">
        <f ca="1">DATOSAÑO!Q357</f>
        <v>0</v>
      </c>
      <c r="F357" s="202">
        <f ca="1">DATOSAÑO!T357</f>
        <v>0</v>
      </c>
      <c r="G357" s="202">
        <f t="shared" ca="1" si="85"/>
        <v>0</v>
      </c>
      <c r="H357" s="202" t="e">
        <f t="shared" ca="1" si="96"/>
        <v>#DIV/0!</v>
      </c>
      <c r="I357" s="202" t="e">
        <f t="shared" ca="1" si="92"/>
        <v>#DIV/0!</v>
      </c>
      <c r="J357" s="202" t="e">
        <f t="shared" ca="1" si="93"/>
        <v>#DIV/0!</v>
      </c>
      <c r="K357" s="202" t="e">
        <f t="shared" ca="1" si="94"/>
        <v>#DIV/0!</v>
      </c>
      <c r="L357" s="202">
        <f t="shared" ca="1" si="84"/>
        <v>0</v>
      </c>
      <c r="M357" s="202" t="e">
        <f t="shared" ca="1" si="95"/>
        <v>#DIV/0!</v>
      </c>
      <c r="N357" s="202">
        <f t="shared" ca="1" si="87"/>
        <v>0</v>
      </c>
      <c r="O357" s="202">
        <f ca="1">(DATOSAÑO!AJ357+DATOSAÑO!AK357+DATOSAÑO!AD357)</f>
        <v>0</v>
      </c>
      <c r="P357" s="202">
        <f ca="1">DATOSAÑO!AI357</f>
        <v>0</v>
      </c>
      <c r="Q357" s="202">
        <f ca="1">DATOSAÑO!AH357</f>
        <v>0</v>
      </c>
      <c r="R357" s="202">
        <f ca="1">DATOSAÑO!AM357+DATOSAÑO!AN357+DATOSAÑO!AF357</f>
        <v>0</v>
      </c>
      <c r="S357" s="215">
        <f ca="1">IF(B357&gt;=$P$5,0,CONTADORES!Q365-CONTADORES!Q364)</f>
        <v>0</v>
      </c>
      <c r="T357" s="212">
        <f ca="1">IF(B357&gt;=$P$5,0,(CONTADORES!S365-CONTADORES!S364)+(CONTADORES!AE365-CONTADORES!AE364))</f>
        <v>0</v>
      </c>
      <c r="U357" s="212">
        <f ca="1">IF(B357&gt;=$P$5,0,(CONTADORES!AQ365-CONTADORES!AQ364))</f>
        <v>0</v>
      </c>
      <c r="V357" s="212">
        <f ca="1">IF(B357&gt;=$P$5,0,(CONTADORES!AR365-CONTADORES!AR364))</f>
        <v>0</v>
      </c>
      <c r="W357" s="212">
        <v>0</v>
      </c>
      <c r="X357" s="212">
        <f ca="1">IF(W357=0,(T357-INICIO!$W$6),((T357-INICIO!$W$6)+V357))</f>
        <v>0</v>
      </c>
      <c r="Y357" s="214">
        <f t="shared" ca="1" si="88"/>
        <v>0</v>
      </c>
      <c r="Z357" s="215" t="e">
        <f t="shared" ca="1" si="89"/>
        <v>#DIV/0!</v>
      </c>
      <c r="AA357" s="212" t="e">
        <f t="shared" ca="1" si="90"/>
        <v>#DIV/0!</v>
      </c>
      <c r="AB357" s="212" t="e">
        <f t="shared" ca="1" si="91"/>
        <v>#DIV/0!</v>
      </c>
      <c r="AC357" s="214" t="e">
        <f t="shared" ca="1" si="86"/>
        <v>#DIV/0!</v>
      </c>
    </row>
    <row r="358" spans="2:29">
      <c r="B358" s="220">
        <v>44909</v>
      </c>
      <c r="C358" s="208">
        <f ca="1">DATOSAÑO!I358</f>
        <v>0</v>
      </c>
      <c r="D358" s="202">
        <f ca="1">DATOSAÑO!P358</f>
        <v>0</v>
      </c>
      <c r="E358" s="202">
        <f ca="1">DATOSAÑO!Q358</f>
        <v>0</v>
      </c>
      <c r="F358" s="202">
        <f ca="1">DATOSAÑO!T358</f>
        <v>0</v>
      </c>
      <c r="G358" s="202">
        <f t="shared" ca="1" si="85"/>
        <v>0</v>
      </c>
      <c r="H358" s="202" t="e">
        <f t="shared" ca="1" si="96"/>
        <v>#DIV/0!</v>
      </c>
      <c r="I358" s="202" t="e">
        <f t="shared" ca="1" si="92"/>
        <v>#DIV/0!</v>
      </c>
      <c r="J358" s="202" t="e">
        <f t="shared" ca="1" si="93"/>
        <v>#DIV/0!</v>
      </c>
      <c r="K358" s="202" t="e">
        <f t="shared" ca="1" si="94"/>
        <v>#DIV/0!</v>
      </c>
      <c r="L358" s="202">
        <f t="shared" ca="1" si="84"/>
        <v>0</v>
      </c>
      <c r="M358" s="202" t="e">
        <f t="shared" ca="1" si="95"/>
        <v>#DIV/0!</v>
      </c>
      <c r="N358" s="202">
        <f t="shared" ca="1" si="87"/>
        <v>0</v>
      </c>
      <c r="O358" s="202">
        <f ca="1">(DATOSAÑO!AJ358+DATOSAÑO!AK358+DATOSAÑO!AD358)</f>
        <v>0</v>
      </c>
      <c r="P358" s="202">
        <f ca="1">DATOSAÑO!AI358</f>
        <v>0</v>
      </c>
      <c r="Q358" s="202">
        <f ca="1">DATOSAÑO!AH358</f>
        <v>0</v>
      </c>
      <c r="R358" s="202">
        <f ca="1">DATOSAÑO!AM358+DATOSAÑO!AN358+DATOSAÑO!AF358</f>
        <v>0</v>
      </c>
      <c r="S358" s="215">
        <f ca="1">IF(B358&gt;=$P$5,0,CONTADORES!Q366-CONTADORES!Q365)</f>
        <v>0</v>
      </c>
      <c r="T358" s="212">
        <f ca="1">IF(B358&gt;=$P$5,0,(CONTADORES!S366-CONTADORES!S365)+(CONTADORES!AE366-CONTADORES!AE365))</f>
        <v>0</v>
      </c>
      <c r="U358" s="212">
        <f ca="1">IF(B358&gt;=$P$5,0,(CONTADORES!AQ366-CONTADORES!AQ365))</f>
        <v>0</v>
      </c>
      <c r="V358" s="212">
        <f ca="1">IF(B358&gt;=$P$5,0,(CONTADORES!AR366-CONTADORES!AR365))</f>
        <v>0</v>
      </c>
      <c r="W358" s="212">
        <v>0</v>
      </c>
      <c r="X358" s="212">
        <f ca="1">IF(W358=0,(T358-INICIO!$W$6),((T358-INICIO!$W$6)+V358))</f>
        <v>0</v>
      </c>
      <c r="Y358" s="214">
        <f t="shared" ca="1" si="88"/>
        <v>0</v>
      </c>
      <c r="Z358" s="215" t="e">
        <f t="shared" ca="1" si="89"/>
        <v>#DIV/0!</v>
      </c>
      <c r="AA358" s="212" t="e">
        <f t="shared" ca="1" si="90"/>
        <v>#DIV/0!</v>
      </c>
      <c r="AB358" s="212" t="e">
        <f t="shared" ca="1" si="91"/>
        <v>#DIV/0!</v>
      </c>
      <c r="AC358" s="214" t="e">
        <f t="shared" ca="1" si="86"/>
        <v>#DIV/0!</v>
      </c>
    </row>
    <row r="359" spans="2:29">
      <c r="B359" s="220">
        <v>44910</v>
      </c>
      <c r="C359" s="208">
        <f ca="1">DATOSAÑO!I359</f>
        <v>0</v>
      </c>
      <c r="D359" s="202">
        <f ca="1">DATOSAÑO!P359</f>
        <v>0</v>
      </c>
      <c r="E359" s="202">
        <f ca="1">DATOSAÑO!Q359</f>
        <v>0</v>
      </c>
      <c r="F359" s="202">
        <f ca="1">DATOSAÑO!T359</f>
        <v>0</v>
      </c>
      <c r="G359" s="202">
        <f t="shared" ca="1" si="85"/>
        <v>0</v>
      </c>
      <c r="H359" s="202" t="e">
        <f t="shared" ca="1" si="96"/>
        <v>#DIV/0!</v>
      </c>
      <c r="I359" s="202" t="e">
        <f t="shared" ca="1" si="92"/>
        <v>#DIV/0!</v>
      </c>
      <c r="J359" s="202" t="e">
        <f t="shared" ca="1" si="93"/>
        <v>#DIV/0!</v>
      </c>
      <c r="K359" s="202" t="e">
        <f t="shared" ca="1" si="94"/>
        <v>#DIV/0!</v>
      </c>
      <c r="L359" s="202">
        <f t="shared" ca="1" si="84"/>
        <v>0</v>
      </c>
      <c r="M359" s="202" t="e">
        <f t="shared" ca="1" si="95"/>
        <v>#DIV/0!</v>
      </c>
      <c r="N359" s="202">
        <f t="shared" ca="1" si="87"/>
        <v>0</v>
      </c>
      <c r="O359" s="202">
        <f ca="1">(DATOSAÑO!AJ359+DATOSAÑO!AK359+DATOSAÑO!AD359)</f>
        <v>0</v>
      </c>
      <c r="P359" s="202">
        <f ca="1">DATOSAÑO!AI359</f>
        <v>0</v>
      </c>
      <c r="Q359" s="202">
        <f ca="1">DATOSAÑO!AH359</f>
        <v>0</v>
      </c>
      <c r="R359" s="202">
        <f ca="1">DATOSAÑO!AM359+DATOSAÑO!AN359+DATOSAÑO!AF359</f>
        <v>0</v>
      </c>
      <c r="S359" s="215">
        <f ca="1">IF(B359&gt;=$P$5,0,CONTADORES!Q367-CONTADORES!Q366)</f>
        <v>0</v>
      </c>
      <c r="T359" s="212">
        <f ca="1">IF(B359&gt;=$P$5,0,(CONTADORES!S367-CONTADORES!S366)+(CONTADORES!AE367-CONTADORES!AE366))</f>
        <v>0</v>
      </c>
      <c r="U359" s="212">
        <f ca="1">IF(B359&gt;=$P$5,0,(CONTADORES!AQ367-CONTADORES!AQ366))</f>
        <v>0</v>
      </c>
      <c r="V359" s="212">
        <f ca="1">IF(B359&gt;=$P$5,0,(CONTADORES!AR367-CONTADORES!AR366))</f>
        <v>0</v>
      </c>
      <c r="W359" s="212">
        <v>0</v>
      </c>
      <c r="X359" s="212">
        <f ca="1">IF(W359=0,(T359-INICIO!$W$6),((T359-INICIO!$W$6)+V359))</f>
        <v>0</v>
      </c>
      <c r="Y359" s="214">
        <f t="shared" ca="1" si="88"/>
        <v>0</v>
      </c>
      <c r="Z359" s="215" t="e">
        <f t="shared" ca="1" si="89"/>
        <v>#DIV/0!</v>
      </c>
      <c r="AA359" s="212" t="e">
        <f t="shared" ca="1" si="90"/>
        <v>#DIV/0!</v>
      </c>
      <c r="AB359" s="212" t="e">
        <f t="shared" ca="1" si="91"/>
        <v>#DIV/0!</v>
      </c>
      <c r="AC359" s="214" t="e">
        <f t="shared" ca="1" si="86"/>
        <v>#DIV/0!</v>
      </c>
    </row>
    <row r="360" spans="2:29">
      <c r="B360" s="220">
        <v>44911</v>
      </c>
      <c r="C360" s="208">
        <f ca="1">DATOSAÑO!I360</f>
        <v>0</v>
      </c>
      <c r="D360" s="202">
        <f ca="1">DATOSAÑO!P360</f>
        <v>0</v>
      </c>
      <c r="E360" s="202">
        <f ca="1">DATOSAÑO!Q360</f>
        <v>0</v>
      </c>
      <c r="F360" s="202">
        <f ca="1">DATOSAÑO!T360</f>
        <v>0</v>
      </c>
      <c r="G360" s="202">
        <f t="shared" ca="1" si="85"/>
        <v>0</v>
      </c>
      <c r="H360" s="202" t="e">
        <f t="shared" ca="1" si="96"/>
        <v>#DIV/0!</v>
      </c>
      <c r="I360" s="202" t="e">
        <f t="shared" ca="1" si="92"/>
        <v>#DIV/0!</v>
      </c>
      <c r="J360" s="202" t="e">
        <f t="shared" ca="1" si="93"/>
        <v>#DIV/0!</v>
      </c>
      <c r="K360" s="202" t="e">
        <f t="shared" ca="1" si="94"/>
        <v>#DIV/0!</v>
      </c>
      <c r="L360" s="202">
        <f t="shared" ca="1" si="84"/>
        <v>0</v>
      </c>
      <c r="M360" s="202" t="e">
        <f t="shared" ca="1" si="95"/>
        <v>#DIV/0!</v>
      </c>
      <c r="N360" s="202">
        <f t="shared" ca="1" si="87"/>
        <v>0</v>
      </c>
      <c r="O360" s="202">
        <f ca="1">(DATOSAÑO!AJ360+DATOSAÑO!AK360+DATOSAÑO!AD360)</f>
        <v>0</v>
      </c>
      <c r="P360" s="202">
        <f ca="1">DATOSAÑO!AI360</f>
        <v>0</v>
      </c>
      <c r="Q360" s="202">
        <f ca="1">DATOSAÑO!AH360</f>
        <v>0</v>
      </c>
      <c r="R360" s="202">
        <f ca="1">DATOSAÑO!AM360+DATOSAÑO!AN360+DATOSAÑO!AF360</f>
        <v>0</v>
      </c>
      <c r="S360" s="215">
        <f ca="1">IF(B360&gt;=$P$5,0,CONTADORES!Q368-CONTADORES!Q367)</f>
        <v>0</v>
      </c>
      <c r="T360" s="212">
        <f ca="1">IF(B360&gt;=$P$5,0,(CONTADORES!S368-CONTADORES!S367)+(CONTADORES!AE368-CONTADORES!AE367))</f>
        <v>0</v>
      </c>
      <c r="U360" s="212">
        <f ca="1">IF(B360&gt;=$P$5,0,(CONTADORES!AQ368-CONTADORES!AQ367))</f>
        <v>0</v>
      </c>
      <c r="V360" s="212">
        <f ca="1">IF(B360&gt;=$P$5,0,(CONTADORES!AR368-CONTADORES!AR367))</f>
        <v>0</v>
      </c>
      <c r="W360" s="212">
        <v>0</v>
      </c>
      <c r="X360" s="212">
        <f ca="1">IF(W360=0,(T360-INICIO!$W$6),((T360-INICIO!$W$6)+V360))</f>
        <v>0</v>
      </c>
      <c r="Y360" s="214">
        <f t="shared" ca="1" si="88"/>
        <v>0</v>
      </c>
      <c r="Z360" s="215" t="e">
        <f t="shared" ca="1" si="89"/>
        <v>#DIV/0!</v>
      </c>
      <c r="AA360" s="212" t="e">
        <f t="shared" ca="1" si="90"/>
        <v>#DIV/0!</v>
      </c>
      <c r="AB360" s="212" t="e">
        <f t="shared" ca="1" si="91"/>
        <v>#DIV/0!</v>
      </c>
      <c r="AC360" s="214" t="e">
        <f t="shared" ca="1" si="86"/>
        <v>#DIV/0!</v>
      </c>
    </row>
    <row r="361" spans="2:29">
      <c r="B361" s="220">
        <v>44912</v>
      </c>
      <c r="C361" s="208">
        <f ca="1">DATOSAÑO!I361</f>
        <v>0</v>
      </c>
      <c r="D361" s="202">
        <f ca="1">DATOSAÑO!P361</f>
        <v>0</v>
      </c>
      <c r="E361" s="202">
        <f ca="1">DATOSAÑO!Q361</f>
        <v>0</v>
      </c>
      <c r="F361" s="202">
        <f ca="1">DATOSAÑO!T361</f>
        <v>0</v>
      </c>
      <c r="G361" s="202">
        <f t="shared" ca="1" si="85"/>
        <v>0</v>
      </c>
      <c r="H361" s="202" t="e">
        <f t="shared" ca="1" si="96"/>
        <v>#DIV/0!</v>
      </c>
      <c r="I361" s="202" t="e">
        <f t="shared" ca="1" si="92"/>
        <v>#DIV/0!</v>
      </c>
      <c r="J361" s="202" t="e">
        <f t="shared" ca="1" si="93"/>
        <v>#DIV/0!</v>
      </c>
      <c r="K361" s="202" t="e">
        <f t="shared" ca="1" si="94"/>
        <v>#DIV/0!</v>
      </c>
      <c r="L361" s="202">
        <f t="shared" ca="1" si="84"/>
        <v>0</v>
      </c>
      <c r="M361" s="202" t="e">
        <f t="shared" ca="1" si="95"/>
        <v>#DIV/0!</v>
      </c>
      <c r="N361" s="202">
        <f t="shared" ca="1" si="87"/>
        <v>0</v>
      </c>
      <c r="O361" s="202">
        <f ca="1">(DATOSAÑO!AJ361+DATOSAÑO!AK361+DATOSAÑO!AD361)</f>
        <v>0</v>
      </c>
      <c r="P361" s="202">
        <f ca="1">DATOSAÑO!AI361</f>
        <v>0</v>
      </c>
      <c r="Q361" s="202">
        <f ca="1">DATOSAÑO!AH361</f>
        <v>0</v>
      </c>
      <c r="R361" s="202">
        <f ca="1">DATOSAÑO!AM361+DATOSAÑO!AN361+DATOSAÑO!AF361</f>
        <v>0</v>
      </c>
      <c r="S361" s="215">
        <f ca="1">IF(B361&gt;=$P$5,0,CONTADORES!Q369-CONTADORES!Q368)</f>
        <v>0</v>
      </c>
      <c r="T361" s="212">
        <f ca="1">IF(B361&gt;=$P$5,0,(CONTADORES!S369-CONTADORES!S368)+(CONTADORES!AE369-CONTADORES!AE368))</f>
        <v>0</v>
      </c>
      <c r="U361" s="212">
        <f ca="1">IF(B361&gt;=$P$5,0,(CONTADORES!AQ369-CONTADORES!AQ368))</f>
        <v>0</v>
      </c>
      <c r="V361" s="212">
        <f ca="1">IF(B361&gt;=$P$5,0,(CONTADORES!AR369-CONTADORES!AR368))</f>
        <v>0</v>
      </c>
      <c r="W361" s="212">
        <v>0</v>
      </c>
      <c r="X361" s="212">
        <f ca="1">IF(W361=0,(T361-INICIO!$W$6),((T361-INICIO!$W$6)+V361))</f>
        <v>0</v>
      </c>
      <c r="Y361" s="214">
        <f t="shared" ca="1" si="88"/>
        <v>0</v>
      </c>
      <c r="Z361" s="215" t="e">
        <f t="shared" ca="1" si="89"/>
        <v>#DIV/0!</v>
      </c>
      <c r="AA361" s="212" t="e">
        <f t="shared" ca="1" si="90"/>
        <v>#DIV/0!</v>
      </c>
      <c r="AB361" s="212" t="e">
        <f t="shared" ca="1" si="91"/>
        <v>#DIV/0!</v>
      </c>
      <c r="AC361" s="214" t="e">
        <f t="shared" ca="1" si="86"/>
        <v>#DIV/0!</v>
      </c>
    </row>
    <row r="362" spans="2:29">
      <c r="B362" s="220">
        <v>44913</v>
      </c>
      <c r="C362" s="208">
        <f ca="1">DATOSAÑO!I362</f>
        <v>0</v>
      </c>
      <c r="D362" s="202">
        <f ca="1">DATOSAÑO!P362</f>
        <v>0</v>
      </c>
      <c r="E362" s="202">
        <f ca="1">DATOSAÑO!Q362</f>
        <v>0</v>
      </c>
      <c r="F362" s="202">
        <f ca="1">DATOSAÑO!T362</f>
        <v>0</v>
      </c>
      <c r="G362" s="202">
        <f t="shared" ca="1" si="85"/>
        <v>0</v>
      </c>
      <c r="H362" s="202" t="e">
        <f t="shared" ca="1" si="96"/>
        <v>#DIV/0!</v>
      </c>
      <c r="I362" s="202" t="e">
        <f t="shared" ca="1" si="92"/>
        <v>#DIV/0!</v>
      </c>
      <c r="J362" s="202" t="e">
        <f t="shared" ca="1" si="93"/>
        <v>#DIV/0!</v>
      </c>
      <c r="K362" s="202" t="e">
        <f t="shared" ca="1" si="94"/>
        <v>#DIV/0!</v>
      </c>
      <c r="L362" s="202">
        <f t="shared" ca="1" si="84"/>
        <v>0</v>
      </c>
      <c r="M362" s="202" t="e">
        <f t="shared" ca="1" si="95"/>
        <v>#DIV/0!</v>
      </c>
      <c r="N362" s="202">
        <f t="shared" ca="1" si="87"/>
        <v>0</v>
      </c>
      <c r="O362" s="202">
        <f ca="1">(DATOSAÑO!AJ362+DATOSAÑO!AK362+DATOSAÑO!AD362)</f>
        <v>0</v>
      </c>
      <c r="P362" s="202">
        <f ca="1">DATOSAÑO!AI362</f>
        <v>0</v>
      </c>
      <c r="Q362" s="202">
        <f ca="1">DATOSAÑO!AH362</f>
        <v>0</v>
      </c>
      <c r="R362" s="202">
        <f ca="1">DATOSAÑO!AM362+DATOSAÑO!AN362+DATOSAÑO!AF362</f>
        <v>0</v>
      </c>
      <c r="S362" s="215">
        <f ca="1">IF(B362&gt;=$P$5,0,CONTADORES!Q370-CONTADORES!Q369)</f>
        <v>0</v>
      </c>
      <c r="T362" s="212">
        <f ca="1">IF(B362&gt;=$P$5,0,(CONTADORES!S370-CONTADORES!S369)+(CONTADORES!AE370-CONTADORES!AE369))</f>
        <v>0</v>
      </c>
      <c r="U362" s="212">
        <f ca="1">IF(B362&gt;=$P$5,0,(CONTADORES!AQ370-CONTADORES!AQ369))</f>
        <v>0</v>
      </c>
      <c r="V362" s="212">
        <f ca="1">IF(B362&gt;=$P$5,0,(CONTADORES!AR370-CONTADORES!AR369))</f>
        <v>0</v>
      </c>
      <c r="W362" s="212">
        <v>0</v>
      </c>
      <c r="X362" s="212">
        <f ca="1">IF(W362=0,(T362-INICIO!$W$6),((T362-INICIO!$W$6)+V362))</f>
        <v>0</v>
      </c>
      <c r="Y362" s="214">
        <f t="shared" ca="1" si="88"/>
        <v>0</v>
      </c>
      <c r="Z362" s="215" t="e">
        <f t="shared" ca="1" si="89"/>
        <v>#DIV/0!</v>
      </c>
      <c r="AA362" s="212" t="e">
        <f t="shared" ca="1" si="90"/>
        <v>#DIV/0!</v>
      </c>
      <c r="AB362" s="212" t="e">
        <f t="shared" ca="1" si="91"/>
        <v>#DIV/0!</v>
      </c>
      <c r="AC362" s="214" t="e">
        <f t="shared" ca="1" si="86"/>
        <v>#DIV/0!</v>
      </c>
    </row>
    <row r="363" spans="2:29">
      <c r="B363" s="220">
        <v>44914</v>
      </c>
      <c r="C363" s="208">
        <f ca="1">DATOSAÑO!I363</f>
        <v>0</v>
      </c>
      <c r="D363" s="202">
        <f ca="1">DATOSAÑO!P363</f>
        <v>0</v>
      </c>
      <c r="E363" s="202">
        <f ca="1">DATOSAÑO!Q363</f>
        <v>0</v>
      </c>
      <c r="F363" s="202">
        <f ca="1">DATOSAÑO!T363</f>
        <v>0</v>
      </c>
      <c r="G363" s="202">
        <f t="shared" ca="1" si="85"/>
        <v>0</v>
      </c>
      <c r="H363" s="202" t="e">
        <f t="shared" ca="1" si="96"/>
        <v>#DIV/0!</v>
      </c>
      <c r="I363" s="202" t="e">
        <f t="shared" ca="1" si="92"/>
        <v>#DIV/0!</v>
      </c>
      <c r="J363" s="202" t="e">
        <f t="shared" ca="1" si="93"/>
        <v>#DIV/0!</v>
      </c>
      <c r="K363" s="202" t="e">
        <f t="shared" ca="1" si="94"/>
        <v>#DIV/0!</v>
      </c>
      <c r="L363" s="202">
        <f t="shared" ca="1" si="84"/>
        <v>0</v>
      </c>
      <c r="M363" s="202" t="e">
        <f t="shared" ca="1" si="95"/>
        <v>#DIV/0!</v>
      </c>
      <c r="N363" s="202">
        <f t="shared" ca="1" si="87"/>
        <v>0</v>
      </c>
      <c r="O363" s="202">
        <f ca="1">(DATOSAÑO!AJ363+DATOSAÑO!AK363+DATOSAÑO!AD363)</f>
        <v>0</v>
      </c>
      <c r="P363" s="202">
        <f ca="1">DATOSAÑO!AI363</f>
        <v>0</v>
      </c>
      <c r="Q363" s="202">
        <f ca="1">DATOSAÑO!AH363</f>
        <v>0</v>
      </c>
      <c r="R363" s="202">
        <f ca="1">DATOSAÑO!AM363+DATOSAÑO!AN363+DATOSAÑO!AF363</f>
        <v>0</v>
      </c>
      <c r="S363" s="215">
        <f ca="1">IF(B363&gt;=$P$5,0,CONTADORES!Q371-CONTADORES!Q370)</f>
        <v>0</v>
      </c>
      <c r="T363" s="212">
        <f ca="1">IF(B363&gt;=$P$5,0,(CONTADORES!S371-CONTADORES!S370)+(CONTADORES!AE371-CONTADORES!AE370))</f>
        <v>0</v>
      </c>
      <c r="U363" s="212">
        <f ca="1">IF(B363&gt;=$P$5,0,(CONTADORES!AQ371-CONTADORES!AQ370))</f>
        <v>0</v>
      </c>
      <c r="V363" s="212">
        <f ca="1">IF(B363&gt;=$P$5,0,(CONTADORES!AR371-CONTADORES!AR370))</f>
        <v>0</v>
      </c>
      <c r="W363" s="212">
        <v>0</v>
      </c>
      <c r="X363" s="212">
        <f ca="1">IF(W363=0,(T363-INICIO!$W$6),((T363-INICIO!$W$6)+V363))</f>
        <v>0</v>
      </c>
      <c r="Y363" s="214">
        <f t="shared" ca="1" si="88"/>
        <v>0</v>
      </c>
      <c r="Z363" s="215" t="e">
        <f t="shared" ca="1" si="89"/>
        <v>#DIV/0!</v>
      </c>
      <c r="AA363" s="212" t="e">
        <f t="shared" ca="1" si="90"/>
        <v>#DIV/0!</v>
      </c>
      <c r="AB363" s="212" t="e">
        <f t="shared" ca="1" si="91"/>
        <v>#DIV/0!</v>
      </c>
      <c r="AC363" s="214" t="e">
        <f t="shared" ca="1" si="86"/>
        <v>#DIV/0!</v>
      </c>
    </row>
    <row r="364" spans="2:29">
      <c r="B364" s="220">
        <v>44915</v>
      </c>
      <c r="C364" s="208">
        <f ca="1">DATOSAÑO!I364</f>
        <v>0</v>
      </c>
      <c r="D364" s="202">
        <f ca="1">DATOSAÑO!P364</f>
        <v>0</v>
      </c>
      <c r="E364" s="202">
        <f ca="1">DATOSAÑO!Q364</f>
        <v>0</v>
      </c>
      <c r="F364" s="202">
        <f ca="1">DATOSAÑO!T364</f>
        <v>0</v>
      </c>
      <c r="G364" s="202">
        <f t="shared" ca="1" si="85"/>
        <v>0</v>
      </c>
      <c r="H364" s="202" t="e">
        <f t="shared" ca="1" si="96"/>
        <v>#DIV/0!</v>
      </c>
      <c r="I364" s="202" t="e">
        <f t="shared" ca="1" si="92"/>
        <v>#DIV/0!</v>
      </c>
      <c r="J364" s="202" t="e">
        <f t="shared" ca="1" si="93"/>
        <v>#DIV/0!</v>
      </c>
      <c r="K364" s="202" t="e">
        <f t="shared" ca="1" si="94"/>
        <v>#DIV/0!</v>
      </c>
      <c r="L364" s="202">
        <f t="shared" ca="1" si="84"/>
        <v>0</v>
      </c>
      <c r="M364" s="202" t="e">
        <f t="shared" ca="1" si="95"/>
        <v>#DIV/0!</v>
      </c>
      <c r="N364" s="202">
        <f t="shared" ca="1" si="87"/>
        <v>0</v>
      </c>
      <c r="O364" s="202">
        <f ca="1">(DATOSAÑO!AJ364+DATOSAÑO!AK364+DATOSAÑO!AD364)</f>
        <v>0</v>
      </c>
      <c r="P364" s="202">
        <f ca="1">DATOSAÑO!AI364</f>
        <v>0</v>
      </c>
      <c r="Q364" s="202">
        <f ca="1">DATOSAÑO!AH364</f>
        <v>0</v>
      </c>
      <c r="R364" s="202">
        <f ca="1">DATOSAÑO!AM364+DATOSAÑO!AN364+DATOSAÑO!AF364</f>
        <v>0</v>
      </c>
      <c r="S364" s="215">
        <f ca="1">IF(B364&gt;=$P$5,0,CONTADORES!Q372-CONTADORES!Q371)</f>
        <v>0</v>
      </c>
      <c r="T364" s="212">
        <f ca="1">IF(B364&gt;=$P$5,0,(CONTADORES!S372-CONTADORES!S371)+(CONTADORES!AE372-CONTADORES!AE371))</f>
        <v>0</v>
      </c>
      <c r="U364" s="212">
        <f ca="1">IF(B364&gt;=$P$5,0,(CONTADORES!AQ372-CONTADORES!AQ371))</f>
        <v>0</v>
      </c>
      <c r="V364" s="212">
        <f ca="1">IF(B364&gt;=$P$5,0,(CONTADORES!AR372-CONTADORES!AR371))</f>
        <v>0</v>
      </c>
      <c r="W364" s="212">
        <v>0</v>
      </c>
      <c r="X364" s="212">
        <f ca="1">IF(W364=0,(T364-INICIO!$W$6),((T364-INICIO!$W$6)+V364))</f>
        <v>0</v>
      </c>
      <c r="Y364" s="214">
        <f t="shared" ca="1" si="88"/>
        <v>0</v>
      </c>
      <c r="Z364" s="215" t="e">
        <f t="shared" ca="1" si="89"/>
        <v>#DIV/0!</v>
      </c>
      <c r="AA364" s="212" t="e">
        <f t="shared" ca="1" si="90"/>
        <v>#DIV/0!</v>
      </c>
      <c r="AB364" s="212" t="e">
        <f t="shared" ca="1" si="91"/>
        <v>#DIV/0!</v>
      </c>
      <c r="AC364" s="214" t="e">
        <f t="shared" ca="1" si="86"/>
        <v>#DIV/0!</v>
      </c>
    </row>
    <row r="365" spans="2:29">
      <c r="B365" s="220">
        <v>44916</v>
      </c>
      <c r="C365" s="208">
        <f ca="1">DATOSAÑO!I365</f>
        <v>0</v>
      </c>
      <c r="D365" s="202">
        <f ca="1">DATOSAÑO!P365</f>
        <v>0</v>
      </c>
      <c r="E365" s="202">
        <f ca="1">DATOSAÑO!Q365</f>
        <v>0</v>
      </c>
      <c r="F365" s="202">
        <f ca="1">DATOSAÑO!T365</f>
        <v>0</v>
      </c>
      <c r="G365" s="202">
        <f t="shared" ca="1" si="85"/>
        <v>0</v>
      </c>
      <c r="H365" s="202" t="e">
        <f t="shared" ca="1" si="96"/>
        <v>#DIV/0!</v>
      </c>
      <c r="I365" s="202" t="e">
        <f t="shared" ca="1" si="92"/>
        <v>#DIV/0!</v>
      </c>
      <c r="J365" s="202" t="e">
        <f t="shared" ca="1" si="93"/>
        <v>#DIV/0!</v>
      </c>
      <c r="K365" s="202" t="e">
        <f t="shared" ca="1" si="94"/>
        <v>#DIV/0!</v>
      </c>
      <c r="L365" s="202">
        <f t="shared" ca="1" si="84"/>
        <v>0</v>
      </c>
      <c r="M365" s="202" t="e">
        <f t="shared" ca="1" si="95"/>
        <v>#DIV/0!</v>
      </c>
      <c r="N365" s="202">
        <f t="shared" ca="1" si="87"/>
        <v>0</v>
      </c>
      <c r="O365" s="202">
        <f ca="1">(DATOSAÑO!AJ365+DATOSAÑO!AK365+DATOSAÑO!AD365)</f>
        <v>0</v>
      </c>
      <c r="P365" s="202">
        <f ca="1">DATOSAÑO!AI365</f>
        <v>0</v>
      </c>
      <c r="Q365" s="202">
        <f ca="1">DATOSAÑO!AH365</f>
        <v>0</v>
      </c>
      <c r="R365" s="202">
        <f ca="1">DATOSAÑO!AM365+DATOSAÑO!AN365+DATOSAÑO!AF365</f>
        <v>0</v>
      </c>
      <c r="S365" s="215">
        <f ca="1">IF(B365&gt;=$P$5,0,CONTADORES!Q373-CONTADORES!Q372)</f>
        <v>0</v>
      </c>
      <c r="T365" s="212">
        <f ca="1">IF(B365&gt;=$P$5,0,(CONTADORES!S373-CONTADORES!S372)+(CONTADORES!AE373-CONTADORES!AE372))</f>
        <v>0</v>
      </c>
      <c r="U365" s="212">
        <f ca="1">IF(B365&gt;=$P$5,0,(CONTADORES!AQ373-CONTADORES!AQ372))</f>
        <v>0</v>
      </c>
      <c r="V365" s="212">
        <f ca="1">IF(B365&gt;=$P$5,0,(CONTADORES!AR373-CONTADORES!AR372))</f>
        <v>0</v>
      </c>
      <c r="W365" s="212">
        <v>0</v>
      </c>
      <c r="X365" s="212">
        <f ca="1">IF(W365=0,(T365-INICIO!$W$6),((T365-INICIO!$W$6)+V365))</f>
        <v>0</v>
      </c>
      <c r="Y365" s="214">
        <f t="shared" ca="1" si="88"/>
        <v>0</v>
      </c>
      <c r="Z365" s="215" t="e">
        <f t="shared" ca="1" si="89"/>
        <v>#DIV/0!</v>
      </c>
      <c r="AA365" s="212" t="e">
        <f t="shared" ca="1" si="90"/>
        <v>#DIV/0!</v>
      </c>
      <c r="AB365" s="212" t="e">
        <f t="shared" ca="1" si="91"/>
        <v>#DIV/0!</v>
      </c>
      <c r="AC365" s="214" t="e">
        <f t="shared" ca="1" si="86"/>
        <v>#DIV/0!</v>
      </c>
    </row>
    <row r="366" spans="2:29">
      <c r="B366" s="220">
        <v>44917</v>
      </c>
      <c r="C366" s="208">
        <f ca="1">DATOSAÑO!I366</f>
        <v>0</v>
      </c>
      <c r="D366" s="202">
        <f ca="1">DATOSAÑO!P366</f>
        <v>0</v>
      </c>
      <c r="E366" s="202">
        <f ca="1">DATOSAÑO!Q366</f>
        <v>0</v>
      </c>
      <c r="F366" s="202">
        <f ca="1">DATOSAÑO!T366</f>
        <v>0</v>
      </c>
      <c r="G366" s="202">
        <f t="shared" ca="1" si="85"/>
        <v>0</v>
      </c>
      <c r="H366" s="202" t="e">
        <f t="shared" ca="1" si="96"/>
        <v>#DIV/0!</v>
      </c>
      <c r="I366" s="202" t="e">
        <f t="shared" ca="1" si="92"/>
        <v>#DIV/0!</v>
      </c>
      <c r="J366" s="202" t="e">
        <f t="shared" ca="1" si="93"/>
        <v>#DIV/0!</v>
      </c>
      <c r="K366" s="202" t="e">
        <f t="shared" ca="1" si="94"/>
        <v>#DIV/0!</v>
      </c>
      <c r="L366" s="202">
        <f t="shared" ca="1" si="84"/>
        <v>0</v>
      </c>
      <c r="M366" s="202" t="e">
        <f t="shared" ca="1" si="95"/>
        <v>#DIV/0!</v>
      </c>
      <c r="N366" s="202">
        <f t="shared" ca="1" si="87"/>
        <v>0</v>
      </c>
      <c r="O366" s="202">
        <f ca="1">(DATOSAÑO!AJ366+DATOSAÑO!AK366+DATOSAÑO!AD366)</f>
        <v>0</v>
      </c>
      <c r="P366" s="202">
        <f ca="1">DATOSAÑO!AI366</f>
        <v>0</v>
      </c>
      <c r="Q366" s="202">
        <f ca="1">DATOSAÑO!AH366</f>
        <v>0</v>
      </c>
      <c r="R366" s="202">
        <f ca="1">DATOSAÑO!AM366+DATOSAÑO!AN366+DATOSAÑO!AF366</f>
        <v>0</v>
      </c>
      <c r="S366" s="215">
        <f ca="1">IF(B366&gt;=$P$5,0,CONTADORES!Q374-CONTADORES!Q373)</f>
        <v>0</v>
      </c>
      <c r="T366" s="212">
        <f ca="1">IF(B366&gt;=$P$5,0,(CONTADORES!S374-CONTADORES!S373)+(CONTADORES!AE374-CONTADORES!AE373))</f>
        <v>0</v>
      </c>
      <c r="U366" s="212">
        <f ca="1">IF(B366&gt;=$P$5,0,(CONTADORES!AQ374-CONTADORES!AQ373))</f>
        <v>0</v>
      </c>
      <c r="V366" s="212">
        <f ca="1">IF(B366&gt;=$P$5,0,(CONTADORES!AR374-CONTADORES!AR373))</f>
        <v>0</v>
      </c>
      <c r="W366" s="212">
        <v>0</v>
      </c>
      <c r="X366" s="212">
        <f ca="1">IF(W366=0,(T366-INICIO!$W$6),((T366-INICIO!$W$6)+V366))</f>
        <v>0</v>
      </c>
      <c r="Y366" s="214">
        <f t="shared" ca="1" si="88"/>
        <v>0</v>
      </c>
      <c r="Z366" s="215" t="e">
        <f t="shared" ca="1" si="89"/>
        <v>#DIV/0!</v>
      </c>
      <c r="AA366" s="212" t="e">
        <f t="shared" ca="1" si="90"/>
        <v>#DIV/0!</v>
      </c>
      <c r="AB366" s="212" t="e">
        <f t="shared" ca="1" si="91"/>
        <v>#DIV/0!</v>
      </c>
      <c r="AC366" s="214" t="e">
        <f t="shared" ca="1" si="86"/>
        <v>#DIV/0!</v>
      </c>
    </row>
    <row r="367" spans="2:29">
      <c r="B367" s="220">
        <v>44918</v>
      </c>
      <c r="C367" s="208">
        <f ca="1">DATOSAÑO!I367</f>
        <v>0</v>
      </c>
      <c r="D367" s="202">
        <f ca="1">DATOSAÑO!P367</f>
        <v>0</v>
      </c>
      <c r="E367" s="202">
        <f ca="1">DATOSAÑO!Q367</f>
        <v>0</v>
      </c>
      <c r="F367" s="202">
        <f ca="1">DATOSAÑO!T367</f>
        <v>0</v>
      </c>
      <c r="G367" s="202">
        <f t="shared" ca="1" si="85"/>
        <v>0</v>
      </c>
      <c r="H367" s="202" t="e">
        <f t="shared" ca="1" si="96"/>
        <v>#DIV/0!</v>
      </c>
      <c r="I367" s="202" t="e">
        <f t="shared" ca="1" si="92"/>
        <v>#DIV/0!</v>
      </c>
      <c r="J367" s="202" t="e">
        <f t="shared" ca="1" si="93"/>
        <v>#DIV/0!</v>
      </c>
      <c r="K367" s="202" t="e">
        <f t="shared" ca="1" si="94"/>
        <v>#DIV/0!</v>
      </c>
      <c r="L367" s="202">
        <f t="shared" ca="1" si="84"/>
        <v>0</v>
      </c>
      <c r="M367" s="202" t="e">
        <f t="shared" ca="1" si="95"/>
        <v>#DIV/0!</v>
      </c>
      <c r="N367" s="202">
        <f t="shared" ca="1" si="87"/>
        <v>0</v>
      </c>
      <c r="O367" s="202">
        <f ca="1">(DATOSAÑO!AJ367+DATOSAÑO!AK367+DATOSAÑO!AD367)</f>
        <v>0</v>
      </c>
      <c r="P367" s="202">
        <f ca="1">DATOSAÑO!AI367</f>
        <v>0</v>
      </c>
      <c r="Q367" s="202">
        <f ca="1">DATOSAÑO!AH367</f>
        <v>0</v>
      </c>
      <c r="R367" s="202">
        <f ca="1">DATOSAÑO!AM367+DATOSAÑO!AN367+DATOSAÑO!AF367</f>
        <v>0</v>
      </c>
      <c r="S367" s="215">
        <f ca="1">IF(B367&gt;=$P$5,0,CONTADORES!Q375-CONTADORES!Q374)</f>
        <v>0</v>
      </c>
      <c r="T367" s="212">
        <f ca="1">IF(B367&gt;=$P$5,0,(CONTADORES!S375-CONTADORES!S374)+(CONTADORES!AE375-CONTADORES!AE374))</f>
        <v>0</v>
      </c>
      <c r="U367" s="212">
        <f ca="1">IF(B367&gt;=$P$5,0,(CONTADORES!AQ375-CONTADORES!AQ374))</f>
        <v>0</v>
      </c>
      <c r="V367" s="212">
        <f ca="1">IF(B367&gt;=$P$5,0,(CONTADORES!AR375-CONTADORES!AR374))</f>
        <v>0</v>
      </c>
      <c r="W367" s="212">
        <v>0</v>
      </c>
      <c r="X367" s="212">
        <f ca="1">IF(W367=0,(T367-INICIO!$W$6),((T367-INICIO!$W$6)+V367))</f>
        <v>0</v>
      </c>
      <c r="Y367" s="214">
        <f t="shared" ca="1" si="88"/>
        <v>0</v>
      </c>
      <c r="Z367" s="215" t="e">
        <f t="shared" ca="1" si="89"/>
        <v>#DIV/0!</v>
      </c>
      <c r="AA367" s="212" t="e">
        <f t="shared" ca="1" si="90"/>
        <v>#DIV/0!</v>
      </c>
      <c r="AB367" s="212" t="e">
        <f t="shared" ca="1" si="91"/>
        <v>#DIV/0!</v>
      </c>
      <c r="AC367" s="214" t="e">
        <f t="shared" ca="1" si="86"/>
        <v>#DIV/0!</v>
      </c>
    </row>
    <row r="368" spans="2:29">
      <c r="B368" s="220">
        <v>44919</v>
      </c>
      <c r="C368" s="208">
        <f ca="1">DATOSAÑO!I368</f>
        <v>0</v>
      </c>
      <c r="D368" s="202">
        <f ca="1">DATOSAÑO!P368</f>
        <v>0</v>
      </c>
      <c r="E368" s="202">
        <f ca="1">DATOSAÑO!Q368</f>
        <v>0</v>
      </c>
      <c r="F368" s="202">
        <f ca="1">DATOSAÑO!T368</f>
        <v>0</v>
      </c>
      <c r="G368" s="202">
        <f t="shared" ca="1" si="85"/>
        <v>0</v>
      </c>
      <c r="H368" s="202" t="e">
        <f t="shared" ca="1" si="96"/>
        <v>#DIV/0!</v>
      </c>
      <c r="I368" s="202" t="e">
        <f t="shared" ca="1" si="92"/>
        <v>#DIV/0!</v>
      </c>
      <c r="J368" s="202" t="e">
        <f t="shared" ca="1" si="93"/>
        <v>#DIV/0!</v>
      </c>
      <c r="K368" s="202" t="e">
        <f t="shared" ca="1" si="94"/>
        <v>#DIV/0!</v>
      </c>
      <c r="L368" s="202">
        <f t="shared" ca="1" si="84"/>
        <v>0</v>
      </c>
      <c r="M368" s="202" t="e">
        <f t="shared" ca="1" si="95"/>
        <v>#DIV/0!</v>
      </c>
      <c r="N368" s="202">
        <f t="shared" ca="1" si="87"/>
        <v>0</v>
      </c>
      <c r="O368" s="202">
        <f ca="1">(DATOSAÑO!AJ368+DATOSAÑO!AK368+DATOSAÑO!AD368)</f>
        <v>0</v>
      </c>
      <c r="P368" s="202">
        <f ca="1">DATOSAÑO!AI368</f>
        <v>0</v>
      </c>
      <c r="Q368" s="202">
        <f ca="1">DATOSAÑO!AH368</f>
        <v>0</v>
      </c>
      <c r="R368" s="202">
        <f ca="1">DATOSAÑO!AM368+DATOSAÑO!AN368+DATOSAÑO!AF368</f>
        <v>0</v>
      </c>
      <c r="S368" s="215">
        <f ca="1">IF(B368&gt;=$P$5,0,CONTADORES!Q376-CONTADORES!Q375)</f>
        <v>0</v>
      </c>
      <c r="T368" s="212">
        <f ca="1">IF(B368&gt;=$P$5,0,(CONTADORES!S376-CONTADORES!S375)+(CONTADORES!AE376-CONTADORES!AE375))</f>
        <v>0</v>
      </c>
      <c r="U368" s="212">
        <f ca="1">IF(B368&gt;=$P$5,0,(CONTADORES!AQ376-CONTADORES!AQ375))</f>
        <v>0</v>
      </c>
      <c r="V368" s="212">
        <f ca="1">IF(B368&gt;=$P$5,0,(CONTADORES!AR376-CONTADORES!AR375))</f>
        <v>0</v>
      </c>
      <c r="W368" s="212">
        <v>0</v>
      </c>
      <c r="X368" s="212">
        <f ca="1">IF(W368=0,(T368-INICIO!$W$6),((T368-INICIO!$W$6)+V368))</f>
        <v>0</v>
      </c>
      <c r="Y368" s="214">
        <f t="shared" ca="1" si="88"/>
        <v>0</v>
      </c>
      <c r="Z368" s="215" t="e">
        <f t="shared" ca="1" si="89"/>
        <v>#DIV/0!</v>
      </c>
      <c r="AA368" s="212" t="e">
        <f t="shared" ca="1" si="90"/>
        <v>#DIV/0!</v>
      </c>
      <c r="AB368" s="212" t="e">
        <f t="shared" ca="1" si="91"/>
        <v>#DIV/0!</v>
      </c>
      <c r="AC368" s="214" t="e">
        <f t="shared" ca="1" si="86"/>
        <v>#DIV/0!</v>
      </c>
    </row>
    <row r="369" spans="2:29">
      <c r="B369" s="220">
        <v>44920</v>
      </c>
      <c r="C369" s="208">
        <f ca="1">DATOSAÑO!I369</f>
        <v>0</v>
      </c>
      <c r="D369" s="202">
        <f ca="1">DATOSAÑO!P369</f>
        <v>0</v>
      </c>
      <c r="E369" s="202">
        <f ca="1">DATOSAÑO!Q369</f>
        <v>0</v>
      </c>
      <c r="F369" s="202">
        <f ca="1">DATOSAÑO!T369</f>
        <v>0</v>
      </c>
      <c r="G369" s="202">
        <f t="shared" ca="1" si="85"/>
        <v>0</v>
      </c>
      <c r="H369" s="202" t="e">
        <f t="shared" ca="1" si="96"/>
        <v>#DIV/0!</v>
      </c>
      <c r="I369" s="202" t="e">
        <f t="shared" ca="1" si="92"/>
        <v>#DIV/0!</v>
      </c>
      <c r="J369" s="202" t="e">
        <f t="shared" ca="1" si="93"/>
        <v>#DIV/0!</v>
      </c>
      <c r="K369" s="202" t="e">
        <f t="shared" ca="1" si="94"/>
        <v>#DIV/0!</v>
      </c>
      <c r="L369" s="202">
        <f t="shared" ca="1" si="84"/>
        <v>0</v>
      </c>
      <c r="M369" s="202" t="e">
        <f t="shared" ca="1" si="95"/>
        <v>#DIV/0!</v>
      </c>
      <c r="N369" s="202">
        <f t="shared" ca="1" si="87"/>
        <v>0</v>
      </c>
      <c r="O369" s="202">
        <f ca="1">(DATOSAÑO!AJ369+DATOSAÑO!AK369+DATOSAÑO!AD369)</f>
        <v>0</v>
      </c>
      <c r="P369" s="202">
        <f ca="1">DATOSAÑO!AI369</f>
        <v>0</v>
      </c>
      <c r="Q369" s="202">
        <f ca="1">DATOSAÑO!AH369</f>
        <v>0</v>
      </c>
      <c r="R369" s="202">
        <f ca="1">DATOSAÑO!AM369+DATOSAÑO!AN369+DATOSAÑO!AF369</f>
        <v>0</v>
      </c>
      <c r="S369" s="215">
        <f ca="1">IF(B369&gt;=$P$5,0,CONTADORES!Q377-CONTADORES!Q376)</f>
        <v>0</v>
      </c>
      <c r="T369" s="212">
        <f ca="1">IF(B369&gt;=$P$5,0,(CONTADORES!S377-CONTADORES!S376)+(CONTADORES!AE377-CONTADORES!AE376))</f>
        <v>0</v>
      </c>
      <c r="U369" s="212">
        <f ca="1">IF(B369&gt;=$P$5,0,(CONTADORES!AQ377-CONTADORES!AQ376))</f>
        <v>0</v>
      </c>
      <c r="V369" s="212">
        <f ca="1">IF(B369&gt;=$P$5,0,(CONTADORES!AR377-CONTADORES!AR376))</f>
        <v>0</v>
      </c>
      <c r="W369" s="212">
        <v>0</v>
      </c>
      <c r="X369" s="212">
        <f ca="1">IF(W369=0,(T369-INICIO!$W$6),((T369-INICIO!$W$6)+V369))</f>
        <v>0</v>
      </c>
      <c r="Y369" s="214">
        <f t="shared" ca="1" si="88"/>
        <v>0</v>
      </c>
      <c r="Z369" s="215" t="e">
        <f t="shared" ca="1" si="89"/>
        <v>#DIV/0!</v>
      </c>
      <c r="AA369" s="212" t="e">
        <f t="shared" ca="1" si="90"/>
        <v>#DIV/0!</v>
      </c>
      <c r="AB369" s="212" t="e">
        <f t="shared" ca="1" si="91"/>
        <v>#DIV/0!</v>
      </c>
      <c r="AC369" s="214" t="e">
        <f t="shared" ca="1" si="86"/>
        <v>#DIV/0!</v>
      </c>
    </row>
    <row r="370" spans="2:29">
      <c r="B370" s="220">
        <v>44921</v>
      </c>
      <c r="C370" s="208">
        <f ca="1">DATOSAÑO!I370</f>
        <v>0</v>
      </c>
      <c r="D370" s="202">
        <f ca="1">DATOSAÑO!P370</f>
        <v>0</v>
      </c>
      <c r="E370" s="202">
        <f ca="1">DATOSAÑO!Q370</f>
        <v>0</v>
      </c>
      <c r="F370" s="202">
        <f ca="1">DATOSAÑO!T370</f>
        <v>0</v>
      </c>
      <c r="G370" s="202">
        <f t="shared" ca="1" si="85"/>
        <v>0</v>
      </c>
      <c r="H370" s="202" t="e">
        <f t="shared" ca="1" si="96"/>
        <v>#DIV/0!</v>
      </c>
      <c r="I370" s="202" t="e">
        <f t="shared" ca="1" si="92"/>
        <v>#DIV/0!</v>
      </c>
      <c r="J370" s="202" t="e">
        <f t="shared" ca="1" si="93"/>
        <v>#DIV/0!</v>
      </c>
      <c r="K370" s="202" t="e">
        <f t="shared" ca="1" si="94"/>
        <v>#DIV/0!</v>
      </c>
      <c r="L370" s="202">
        <f t="shared" ca="1" si="84"/>
        <v>0</v>
      </c>
      <c r="M370" s="202" t="e">
        <f t="shared" ca="1" si="95"/>
        <v>#DIV/0!</v>
      </c>
      <c r="N370" s="202">
        <f t="shared" ca="1" si="87"/>
        <v>0</v>
      </c>
      <c r="O370" s="202">
        <f ca="1">(DATOSAÑO!AJ370+DATOSAÑO!AK370+DATOSAÑO!AD370)</f>
        <v>0</v>
      </c>
      <c r="P370" s="202">
        <f ca="1">DATOSAÑO!AI370</f>
        <v>0</v>
      </c>
      <c r="Q370" s="202">
        <f ca="1">DATOSAÑO!AH370</f>
        <v>0</v>
      </c>
      <c r="R370" s="202">
        <f ca="1">DATOSAÑO!AM370+DATOSAÑO!AN370+DATOSAÑO!AF370</f>
        <v>0</v>
      </c>
      <c r="S370" s="215">
        <f ca="1">IF(B370&gt;=$P$5,0,CONTADORES!Q378-CONTADORES!Q377)</f>
        <v>0</v>
      </c>
      <c r="T370" s="212">
        <f ca="1">IF(B370&gt;=$P$5,0,(CONTADORES!S378-CONTADORES!S377)+(CONTADORES!AE378-CONTADORES!AE377))</f>
        <v>0</v>
      </c>
      <c r="U370" s="212">
        <f ca="1">IF(B370&gt;=$P$5,0,(CONTADORES!AQ378-CONTADORES!AQ377))</f>
        <v>0</v>
      </c>
      <c r="V370" s="212">
        <f ca="1">IF(B370&gt;=$P$5,0,(CONTADORES!AR378-CONTADORES!AR377))</f>
        <v>0</v>
      </c>
      <c r="W370" s="212">
        <v>0</v>
      </c>
      <c r="X370" s="212">
        <f ca="1">IF(W370=0,(T370-INICIO!$W$6),((T370-INICIO!$W$6)+V370))</f>
        <v>0</v>
      </c>
      <c r="Y370" s="214">
        <f t="shared" ca="1" si="88"/>
        <v>0</v>
      </c>
      <c r="Z370" s="215" t="e">
        <f t="shared" ca="1" si="89"/>
        <v>#DIV/0!</v>
      </c>
      <c r="AA370" s="212" t="e">
        <f t="shared" ca="1" si="90"/>
        <v>#DIV/0!</v>
      </c>
      <c r="AB370" s="212" t="e">
        <f t="shared" ca="1" si="91"/>
        <v>#DIV/0!</v>
      </c>
      <c r="AC370" s="214" t="e">
        <f t="shared" ca="1" si="86"/>
        <v>#DIV/0!</v>
      </c>
    </row>
    <row r="371" spans="2:29">
      <c r="B371" s="220">
        <v>44922</v>
      </c>
      <c r="C371" s="208">
        <f ca="1">DATOSAÑO!I371</f>
        <v>0</v>
      </c>
      <c r="D371" s="202">
        <f ca="1">DATOSAÑO!P371</f>
        <v>0</v>
      </c>
      <c r="E371" s="202">
        <f ca="1">DATOSAÑO!Q371</f>
        <v>0</v>
      </c>
      <c r="F371" s="202">
        <f ca="1">DATOSAÑO!T371</f>
        <v>0</v>
      </c>
      <c r="G371" s="202">
        <f t="shared" ca="1" si="85"/>
        <v>0</v>
      </c>
      <c r="H371" s="202" t="e">
        <f t="shared" ca="1" si="96"/>
        <v>#DIV/0!</v>
      </c>
      <c r="I371" s="202" t="e">
        <f t="shared" ca="1" si="92"/>
        <v>#DIV/0!</v>
      </c>
      <c r="J371" s="202" t="e">
        <f t="shared" ca="1" si="93"/>
        <v>#DIV/0!</v>
      </c>
      <c r="K371" s="202" t="e">
        <f t="shared" ca="1" si="94"/>
        <v>#DIV/0!</v>
      </c>
      <c r="L371" s="202">
        <f t="shared" ca="1" si="84"/>
        <v>0</v>
      </c>
      <c r="M371" s="202" t="e">
        <f t="shared" ca="1" si="95"/>
        <v>#DIV/0!</v>
      </c>
      <c r="N371" s="202">
        <f t="shared" ca="1" si="87"/>
        <v>0</v>
      </c>
      <c r="O371" s="202">
        <f ca="1">(DATOSAÑO!AJ371+DATOSAÑO!AK371+DATOSAÑO!AD371)</f>
        <v>0</v>
      </c>
      <c r="P371" s="202">
        <f ca="1">DATOSAÑO!AI371</f>
        <v>0</v>
      </c>
      <c r="Q371" s="202">
        <f ca="1">DATOSAÑO!AH371</f>
        <v>0</v>
      </c>
      <c r="R371" s="202">
        <f ca="1">DATOSAÑO!AM371+DATOSAÑO!AN371+DATOSAÑO!AF371</f>
        <v>0</v>
      </c>
      <c r="S371" s="215">
        <f ca="1">IF(B371&gt;=$P$5,0,CONTADORES!Q379-CONTADORES!Q378)</f>
        <v>0</v>
      </c>
      <c r="T371" s="212">
        <f ca="1">IF(B371&gt;=$P$5,0,(CONTADORES!S379-CONTADORES!S378)+(CONTADORES!AE379-CONTADORES!AE378))</f>
        <v>0</v>
      </c>
      <c r="U371" s="212">
        <f ca="1">IF(B371&gt;=$P$5,0,(CONTADORES!AQ379-CONTADORES!AQ378))</f>
        <v>0</v>
      </c>
      <c r="V371" s="212">
        <f ca="1">IF(B371&gt;=$P$5,0,(CONTADORES!AR379-CONTADORES!AR378))</f>
        <v>0</v>
      </c>
      <c r="W371" s="212">
        <v>0</v>
      </c>
      <c r="X371" s="212">
        <f ca="1">IF(W371=0,(T371-INICIO!$W$6),((T371-INICIO!$W$6)+V371))</f>
        <v>0</v>
      </c>
      <c r="Y371" s="214">
        <f t="shared" ca="1" si="88"/>
        <v>0</v>
      </c>
      <c r="Z371" s="215" t="e">
        <f t="shared" ca="1" si="89"/>
        <v>#DIV/0!</v>
      </c>
      <c r="AA371" s="212" t="e">
        <f t="shared" ca="1" si="90"/>
        <v>#DIV/0!</v>
      </c>
      <c r="AB371" s="212" t="e">
        <f t="shared" ca="1" si="91"/>
        <v>#DIV/0!</v>
      </c>
      <c r="AC371" s="214" t="e">
        <f t="shared" ca="1" si="86"/>
        <v>#DIV/0!</v>
      </c>
    </row>
    <row r="372" spans="2:29">
      <c r="B372" s="220">
        <v>44923</v>
      </c>
      <c r="C372" s="208">
        <f ca="1">DATOSAÑO!I372</f>
        <v>0</v>
      </c>
      <c r="D372" s="202">
        <f ca="1">DATOSAÑO!P372</f>
        <v>0</v>
      </c>
      <c r="E372" s="202">
        <f ca="1">DATOSAÑO!Q372</f>
        <v>0</v>
      </c>
      <c r="F372" s="202">
        <f ca="1">DATOSAÑO!T372</f>
        <v>0</v>
      </c>
      <c r="G372" s="202">
        <f t="shared" ca="1" si="85"/>
        <v>0</v>
      </c>
      <c r="H372" s="202" t="e">
        <f t="shared" ca="1" si="96"/>
        <v>#DIV/0!</v>
      </c>
      <c r="I372" s="202" t="e">
        <f t="shared" ca="1" si="92"/>
        <v>#DIV/0!</v>
      </c>
      <c r="J372" s="202" t="e">
        <f t="shared" ca="1" si="93"/>
        <v>#DIV/0!</v>
      </c>
      <c r="K372" s="202" t="e">
        <f t="shared" ca="1" si="94"/>
        <v>#DIV/0!</v>
      </c>
      <c r="L372" s="202">
        <f t="shared" ca="1" si="84"/>
        <v>0</v>
      </c>
      <c r="M372" s="202" t="e">
        <f t="shared" ca="1" si="95"/>
        <v>#DIV/0!</v>
      </c>
      <c r="N372" s="202">
        <f t="shared" ca="1" si="87"/>
        <v>0</v>
      </c>
      <c r="O372" s="202">
        <f ca="1">(DATOSAÑO!AJ372+DATOSAÑO!AK372+DATOSAÑO!AD372)</f>
        <v>0</v>
      </c>
      <c r="P372" s="202">
        <f ca="1">DATOSAÑO!AI372</f>
        <v>0</v>
      </c>
      <c r="Q372" s="202">
        <f ca="1">DATOSAÑO!AH372</f>
        <v>0</v>
      </c>
      <c r="R372" s="202">
        <f ca="1">DATOSAÑO!AM372+DATOSAÑO!AN372+DATOSAÑO!AF372</f>
        <v>0</v>
      </c>
      <c r="S372" s="215">
        <f ca="1">IF(B372&gt;=$P$5,0,CONTADORES!Q380-CONTADORES!Q379)</f>
        <v>0</v>
      </c>
      <c r="T372" s="212">
        <f ca="1">IF(B372&gt;=$P$5,0,(CONTADORES!S380-CONTADORES!S379)+(CONTADORES!AE380-CONTADORES!AE379))</f>
        <v>0</v>
      </c>
      <c r="U372" s="212">
        <f ca="1">IF(B372&gt;=$P$5,0,(CONTADORES!AQ380-CONTADORES!AQ379))</f>
        <v>0</v>
      </c>
      <c r="V372" s="212">
        <f ca="1">IF(B372&gt;=$P$5,0,(CONTADORES!AR380-CONTADORES!AR379))</f>
        <v>0</v>
      </c>
      <c r="W372" s="212">
        <v>0</v>
      </c>
      <c r="X372" s="212">
        <f ca="1">IF(W372=0,(T372-INICIO!$W$6),((T372-INICIO!$W$6)+V372))</f>
        <v>0</v>
      </c>
      <c r="Y372" s="214">
        <f t="shared" ca="1" si="88"/>
        <v>0</v>
      </c>
      <c r="Z372" s="215" t="e">
        <f t="shared" ca="1" si="89"/>
        <v>#DIV/0!</v>
      </c>
      <c r="AA372" s="212" t="e">
        <f t="shared" ca="1" si="90"/>
        <v>#DIV/0!</v>
      </c>
      <c r="AB372" s="212" t="e">
        <f t="shared" ca="1" si="91"/>
        <v>#DIV/0!</v>
      </c>
      <c r="AC372" s="214" t="e">
        <f t="shared" ca="1" si="86"/>
        <v>#DIV/0!</v>
      </c>
    </row>
    <row r="373" spans="2:29">
      <c r="B373" s="220">
        <v>44924</v>
      </c>
      <c r="C373" s="208">
        <f ca="1">DATOSAÑO!I373</f>
        <v>0</v>
      </c>
      <c r="D373" s="202">
        <f ca="1">DATOSAÑO!P373</f>
        <v>0</v>
      </c>
      <c r="E373" s="202">
        <f ca="1">DATOSAÑO!Q373</f>
        <v>0</v>
      </c>
      <c r="F373" s="202">
        <f ca="1">DATOSAÑO!T373</f>
        <v>0</v>
      </c>
      <c r="G373" s="202">
        <f t="shared" ca="1" si="85"/>
        <v>0</v>
      </c>
      <c r="H373" s="202" t="e">
        <f t="shared" ca="1" si="96"/>
        <v>#DIV/0!</v>
      </c>
      <c r="I373" s="202" t="e">
        <f t="shared" ca="1" si="92"/>
        <v>#DIV/0!</v>
      </c>
      <c r="J373" s="202" t="e">
        <f t="shared" ca="1" si="93"/>
        <v>#DIV/0!</v>
      </c>
      <c r="K373" s="202" t="e">
        <f t="shared" ca="1" si="94"/>
        <v>#DIV/0!</v>
      </c>
      <c r="L373" s="202">
        <f t="shared" ca="1" si="84"/>
        <v>0</v>
      </c>
      <c r="M373" s="202" t="e">
        <f t="shared" ca="1" si="95"/>
        <v>#DIV/0!</v>
      </c>
      <c r="N373" s="202">
        <f t="shared" ca="1" si="87"/>
        <v>0</v>
      </c>
      <c r="O373" s="202">
        <f ca="1">(DATOSAÑO!AJ373+DATOSAÑO!AK373+DATOSAÑO!AD373)</f>
        <v>0</v>
      </c>
      <c r="P373" s="202">
        <f ca="1">DATOSAÑO!AI373</f>
        <v>0</v>
      </c>
      <c r="Q373" s="202">
        <f ca="1">DATOSAÑO!AH373</f>
        <v>0</v>
      </c>
      <c r="R373" s="202">
        <f ca="1">DATOSAÑO!AM373+DATOSAÑO!AN373+DATOSAÑO!AF373</f>
        <v>0</v>
      </c>
      <c r="S373" s="215">
        <f ca="1">IF(B373&gt;=$P$5,0,CONTADORES!Q381-CONTADORES!Q380)</f>
        <v>0</v>
      </c>
      <c r="T373" s="212">
        <f ca="1">IF(B373&gt;=$P$5,0,(CONTADORES!S381-CONTADORES!S380)+(CONTADORES!AE381-CONTADORES!AE380))</f>
        <v>0</v>
      </c>
      <c r="U373" s="212">
        <f ca="1">IF(B373&gt;=$P$5,0,(CONTADORES!AQ381-CONTADORES!AQ380))</f>
        <v>0</v>
      </c>
      <c r="V373" s="212">
        <f ca="1">IF(B373&gt;=$P$5,0,(CONTADORES!AR381-CONTADORES!AR380))</f>
        <v>0</v>
      </c>
      <c r="W373" s="212">
        <v>0</v>
      </c>
      <c r="X373" s="212">
        <f ca="1">IF(W373=0,(T373-INICIO!$W$6),((T373-INICIO!$W$6)+V373))</f>
        <v>0</v>
      </c>
      <c r="Y373" s="214">
        <f t="shared" ca="1" si="88"/>
        <v>0</v>
      </c>
      <c r="Z373" s="215" t="e">
        <f t="shared" ca="1" si="89"/>
        <v>#DIV/0!</v>
      </c>
      <c r="AA373" s="212" t="e">
        <f t="shared" ca="1" si="90"/>
        <v>#DIV/0!</v>
      </c>
      <c r="AB373" s="212" t="e">
        <f t="shared" ca="1" si="91"/>
        <v>#DIV/0!</v>
      </c>
      <c r="AC373" s="214" t="e">
        <f t="shared" ca="1" si="86"/>
        <v>#DIV/0!</v>
      </c>
    </row>
    <row r="374" spans="2:29">
      <c r="B374" s="220">
        <v>44925</v>
      </c>
      <c r="C374" s="208">
        <f ca="1">DATOSAÑO!I374</f>
        <v>0</v>
      </c>
      <c r="D374" s="202">
        <f ca="1">DATOSAÑO!P374</f>
        <v>0</v>
      </c>
      <c r="E374" s="202">
        <f ca="1">DATOSAÑO!Q374</f>
        <v>0</v>
      </c>
      <c r="F374" s="202">
        <f ca="1">DATOSAÑO!T374</f>
        <v>0</v>
      </c>
      <c r="G374" s="202">
        <f t="shared" ca="1" si="85"/>
        <v>0</v>
      </c>
      <c r="H374" s="202" t="e">
        <f t="shared" ca="1" si="96"/>
        <v>#DIV/0!</v>
      </c>
      <c r="I374" s="202" t="e">
        <f t="shared" ca="1" si="92"/>
        <v>#DIV/0!</v>
      </c>
      <c r="J374" s="202" t="e">
        <f t="shared" ca="1" si="93"/>
        <v>#DIV/0!</v>
      </c>
      <c r="K374" s="202" t="e">
        <f t="shared" ca="1" si="94"/>
        <v>#DIV/0!</v>
      </c>
      <c r="L374" s="202">
        <f t="shared" ca="1" si="84"/>
        <v>0</v>
      </c>
      <c r="M374" s="202" t="e">
        <f t="shared" ca="1" si="95"/>
        <v>#DIV/0!</v>
      </c>
      <c r="N374" s="202">
        <f t="shared" ca="1" si="87"/>
        <v>0</v>
      </c>
      <c r="O374" s="202">
        <f ca="1">(DATOSAÑO!AJ374+DATOSAÑO!AK374+DATOSAÑO!AD374)</f>
        <v>0</v>
      </c>
      <c r="P374" s="202">
        <f ca="1">DATOSAÑO!AI374</f>
        <v>0</v>
      </c>
      <c r="Q374" s="202">
        <f ca="1">DATOSAÑO!AH374</f>
        <v>0</v>
      </c>
      <c r="R374" s="202">
        <f ca="1">DATOSAÑO!AM374+DATOSAÑO!AN374+DATOSAÑO!AF374</f>
        <v>0</v>
      </c>
      <c r="S374" s="215">
        <f ca="1">IF(B374&gt;=$P$5,0,CONTADORES!Q382-CONTADORES!Q381)</f>
        <v>0</v>
      </c>
      <c r="T374" s="212">
        <f ca="1">IF(B374&gt;=$P$5,0,(CONTADORES!S382-CONTADORES!S381)+(CONTADORES!AE382-CONTADORES!AE381))</f>
        <v>0</v>
      </c>
      <c r="U374" s="212">
        <f ca="1">IF(B374&gt;=$P$5,0,(CONTADORES!AQ382-CONTADORES!AQ381))</f>
        <v>0</v>
      </c>
      <c r="V374" s="212">
        <f ca="1">IF(B374&gt;=$P$5,0,(CONTADORES!AR382-CONTADORES!AR381))</f>
        <v>0</v>
      </c>
      <c r="W374" s="212">
        <v>0</v>
      </c>
      <c r="X374" s="212">
        <f ca="1">IF(W374=0,(T374-INICIO!$W$6),((T374-INICIO!$W$6)+V374))</f>
        <v>0</v>
      </c>
      <c r="Y374" s="214">
        <f t="shared" ca="1" si="88"/>
        <v>0</v>
      </c>
      <c r="Z374" s="215" t="e">
        <f t="shared" ca="1" si="89"/>
        <v>#DIV/0!</v>
      </c>
      <c r="AA374" s="212" t="e">
        <f t="shared" ca="1" si="90"/>
        <v>#DIV/0!</v>
      </c>
      <c r="AB374" s="212" t="e">
        <f t="shared" ca="1" si="91"/>
        <v>#DIV/0!</v>
      </c>
      <c r="AC374" s="214" t="e">
        <f t="shared" ca="1" si="86"/>
        <v>#DIV/0!</v>
      </c>
    </row>
    <row r="375" spans="2:29" ht="15" thickBot="1">
      <c r="B375" s="1068">
        <v>44926</v>
      </c>
      <c r="C375" s="211">
        <f ca="1">DATOSAÑO!I375</f>
        <v>0</v>
      </c>
      <c r="D375" s="337">
        <f ca="1">DATOSAÑO!P375</f>
        <v>0</v>
      </c>
      <c r="E375" s="337">
        <f ca="1">DATOSAÑO!Q375</f>
        <v>0</v>
      </c>
      <c r="F375" s="337">
        <f ca="1">DATOSAÑO!T375</f>
        <v>0</v>
      </c>
      <c r="G375" s="337">
        <f t="shared" ca="1" si="85"/>
        <v>0</v>
      </c>
      <c r="H375" s="337" t="e">
        <f t="shared" ca="1" si="96"/>
        <v>#DIV/0!</v>
      </c>
      <c r="I375" s="337" t="e">
        <f t="shared" ca="1" si="92"/>
        <v>#DIV/0!</v>
      </c>
      <c r="J375" s="337" t="e">
        <f t="shared" ca="1" si="93"/>
        <v>#DIV/0!</v>
      </c>
      <c r="K375" s="337" t="e">
        <f t="shared" ca="1" si="94"/>
        <v>#DIV/0!</v>
      </c>
      <c r="L375" s="337">
        <f t="shared" ca="1" si="84"/>
        <v>0</v>
      </c>
      <c r="M375" s="337" t="e">
        <f ca="1">N375+AC375</f>
        <v>#DIV/0!</v>
      </c>
      <c r="N375" s="337">
        <f t="shared" ca="1" si="87"/>
        <v>0</v>
      </c>
      <c r="O375" s="337">
        <f ca="1">(DATOSAÑO!AJ375+DATOSAÑO!AK375+DATOSAÑO!AD375)</f>
        <v>0</v>
      </c>
      <c r="P375" s="337">
        <f ca="1">DATOSAÑO!AI375</f>
        <v>0</v>
      </c>
      <c r="Q375" s="337">
        <f ca="1">DATOSAÑO!AH375</f>
        <v>0</v>
      </c>
      <c r="R375" s="337">
        <f ca="1">DATOSAÑO!AM375+DATOSAÑO!AN375+DATOSAÑO!AF375</f>
        <v>0</v>
      </c>
      <c r="S375" s="211">
        <f ca="1">IF(B375&gt;=$P$5,0,CONTADORES!Q383-CONTADORES!Q382)</f>
        <v>0</v>
      </c>
      <c r="T375" s="337">
        <f ca="1">IF(B375&gt;=$P$5,0,(CONTADORES!S383-CONTADORES!S382)+(CONTADORES!AE383-CONTADORES!AE382))</f>
        <v>0</v>
      </c>
      <c r="U375" s="337">
        <f ca="1">IF(B375&gt;=$P$5,0,(CONTADORES!AQ383-CONTADORES!AQ382))</f>
        <v>0</v>
      </c>
      <c r="V375" s="337">
        <f ca="1">IF(B375&gt;=$P$5,0,(CONTADORES!AR383-CONTADORES!AR382))</f>
        <v>0</v>
      </c>
      <c r="W375" s="337">
        <v>0</v>
      </c>
      <c r="X375" s="337">
        <f ca="1">IF(W375=0,(T375-INICIO!$W$6),((T375-INICIO!$W$6)+V375))</f>
        <v>0</v>
      </c>
      <c r="Y375" s="213">
        <f t="shared" ca="1" si="88"/>
        <v>0</v>
      </c>
      <c r="Z375" s="719" t="e">
        <f t="shared" ca="1" si="89"/>
        <v>#DIV/0!</v>
      </c>
      <c r="AA375" s="337" t="e">
        <f t="shared" ca="1" si="90"/>
        <v>#DIV/0!</v>
      </c>
      <c r="AB375" s="337" t="e">
        <f t="shared" ca="1" si="91"/>
        <v>#DIV/0!</v>
      </c>
      <c r="AC375" s="213" t="e">
        <f t="shared" ca="1" si="86"/>
        <v>#DIV/0!</v>
      </c>
    </row>
    <row r="376" spans="2:29" ht="15" thickTop="1">
      <c r="B376" s="743">
        <v>1</v>
      </c>
      <c r="C376" s="202">
        <f t="shared" ref="C376:AC376" ca="1" si="97">SUM(C11:C41)</f>
        <v>5613.8399999999674</v>
      </c>
      <c r="D376" s="202">
        <f t="shared" ca="1" si="97"/>
        <v>7936.4000000000015</v>
      </c>
      <c r="E376" s="202">
        <f t="shared" ca="1" si="97"/>
        <v>1.8299999999999272</v>
      </c>
      <c r="F376" s="202">
        <f t="shared" ca="1" si="97"/>
        <v>2.5570000000000164</v>
      </c>
      <c r="G376" s="202">
        <f t="shared" ca="1" si="97"/>
        <v>13554.626999999968</v>
      </c>
      <c r="H376" s="202">
        <f t="shared" ca="1" si="97"/>
        <v>978.12749999996583</v>
      </c>
      <c r="I376" s="202">
        <f t="shared" ca="1" si="97"/>
        <v>6140.3154719944987</v>
      </c>
      <c r="J376" s="202">
        <f t="shared" ca="1" si="97"/>
        <v>1329.0160752057168</v>
      </c>
      <c r="K376" s="202">
        <f t="shared" ca="1" si="97"/>
        <v>336.77262541580728</v>
      </c>
      <c r="L376" s="202">
        <f t="shared" ca="1" si="97"/>
        <v>4604.0795000000353</v>
      </c>
      <c r="M376" s="202">
        <f t="shared" ca="1" si="97"/>
        <v>166.31582738394604</v>
      </c>
      <c r="N376" s="202">
        <f t="shared" ca="1" si="97"/>
        <v>158.40000000000146</v>
      </c>
      <c r="O376" s="202">
        <f t="shared" ca="1" si="97"/>
        <v>5846.7799999999697</v>
      </c>
      <c r="P376" s="202">
        <f t="shared" ca="1" si="97"/>
        <v>1265.5800000000017</v>
      </c>
      <c r="Q376" s="202">
        <f t="shared" ca="1" si="97"/>
        <v>320.69999999999709</v>
      </c>
      <c r="R376" s="202">
        <f t="shared" ca="1" si="97"/>
        <v>4604.0795000000353</v>
      </c>
      <c r="S376" s="202">
        <f t="shared" ca="1" si="97"/>
        <v>537.52999999999884</v>
      </c>
      <c r="T376" s="202">
        <f t="shared" ca="1" si="97"/>
        <v>65.590000000003783</v>
      </c>
      <c r="U376" s="202">
        <f t="shared" ca="1" si="97"/>
        <v>158.40000000000146</v>
      </c>
      <c r="V376" s="202">
        <f t="shared" ca="1" si="97"/>
        <v>0</v>
      </c>
      <c r="W376" s="202">
        <f t="shared" si="97"/>
        <v>0</v>
      </c>
      <c r="X376" s="202">
        <f t="shared" ca="1" si="97"/>
        <v>65.590000000003783</v>
      </c>
      <c r="Y376" s="1076">
        <f t="shared" ca="1" si="97"/>
        <v>380.95999999999731</v>
      </c>
      <c r="Z376" s="204">
        <f t="shared" ca="1" si="97"/>
        <v>293.5354719945276</v>
      </c>
      <c r="AA376" s="202">
        <f t="shared" ca="1" si="97"/>
        <v>63.436075205715014</v>
      </c>
      <c r="AB376" s="202">
        <f t="shared" ca="1" si="97"/>
        <v>16.072625415810148</v>
      </c>
      <c r="AC376" s="202">
        <f t="shared" ca="1" si="97"/>
        <v>7.9158273839445634</v>
      </c>
    </row>
    <row r="377" spans="2:29">
      <c r="B377" s="167">
        <v>2</v>
      </c>
      <c r="C377" s="212">
        <f t="shared" ref="C377:Z377" ca="1" si="98">SUM(C42:C69)</f>
        <v>8128.1600000000326</v>
      </c>
      <c r="D377" s="212">
        <f t="shared" ca="1" si="98"/>
        <v>4107.9799999999996</v>
      </c>
      <c r="E377" s="212">
        <f t="shared" ca="1" si="98"/>
        <v>1.15300000000002</v>
      </c>
      <c r="F377" s="212">
        <f t="shared" ca="1" si="98"/>
        <v>3.4409999999999172</v>
      </c>
      <c r="G377" s="212">
        <f t="shared" ca="1" si="98"/>
        <v>12240.734000000031</v>
      </c>
      <c r="H377" s="212">
        <f t="shared" ca="1" si="98"/>
        <v>879.19800000008445</v>
      </c>
      <c r="I377" s="212">
        <f t="shared" ca="1" si="98"/>
        <v>5371.8511983961562</v>
      </c>
      <c r="J377" s="212">
        <f t="shared" ca="1" si="98"/>
        <v>1154.6618723348147</v>
      </c>
      <c r="K377" s="212">
        <f t="shared" ca="1" si="98"/>
        <v>295.05664661878291</v>
      </c>
      <c r="L377" s="212">
        <f t="shared" ca="1" si="98"/>
        <v>4395.3329999999669</v>
      </c>
      <c r="M377" s="212">
        <f t="shared" ca="1" si="98"/>
        <v>144.63328265022824</v>
      </c>
      <c r="N377" s="212">
        <f t="shared" ca="1" si="98"/>
        <v>137.47699999999895</v>
      </c>
      <c r="O377" s="212">
        <f t="shared" ca="1" si="98"/>
        <v>5109.6899999999732</v>
      </c>
      <c r="P377" s="212">
        <f t="shared" ca="1" si="98"/>
        <v>1097.3600000000079</v>
      </c>
      <c r="Q377" s="212">
        <f t="shared" ca="1" si="98"/>
        <v>280.5</v>
      </c>
      <c r="R377" s="212">
        <f t="shared" ca="1" si="98"/>
        <v>4395.3329999999669</v>
      </c>
      <c r="S377" s="212">
        <f t="shared" ca="1" si="98"/>
        <v>477.5</v>
      </c>
      <c r="T377" s="212">
        <f t="shared" ca="1" si="98"/>
        <v>62.099999999998545</v>
      </c>
      <c r="U377" s="212">
        <f t="shared" ca="1" si="98"/>
        <v>137.47699999999895</v>
      </c>
      <c r="V377" s="212">
        <f t="shared" ca="1" si="98"/>
        <v>0</v>
      </c>
      <c r="W377" s="212">
        <f t="shared" si="98"/>
        <v>0</v>
      </c>
      <c r="X377" s="212">
        <f t="shared" ca="1" si="98"/>
        <v>62.099999999998545</v>
      </c>
      <c r="Y377" s="214">
        <f t="shared" ca="1" si="98"/>
        <v>341.17600000000107</v>
      </c>
      <c r="Z377" s="738">
        <f t="shared" ca="1" si="98"/>
        <v>262.16119839618216</v>
      </c>
      <c r="AA377" s="212">
        <f ca="1">SUM(AA42:AA69)</f>
        <v>57.301872334806752</v>
      </c>
      <c r="AB377" s="212">
        <f ca="1">SUM(AB42:AB69)</f>
        <v>14.556646618782912</v>
      </c>
      <c r="AC377" s="212">
        <f ca="1">SUM(AC42:AC69)</f>
        <v>7.1562826502292669</v>
      </c>
    </row>
    <row r="378" spans="2:29">
      <c r="B378" s="167">
        <v>3</v>
      </c>
      <c r="C378" s="212">
        <f ca="1">SUM(C70:C100)</f>
        <v>9022.8399999999674</v>
      </c>
      <c r="D378" s="212">
        <f t="shared" ref="D378:AC378" ca="1" si="99">SUM(D70:D100)</f>
        <v>4705.4199999999983</v>
      </c>
      <c r="E378" s="212">
        <f t="shared" ca="1" si="99"/>
        <v>0.64599999999995816</v>
      </c>
      <c r="F378" s="212">
        <f t="shared" ca="1" si="99"/>
        <v>1.0579999999999927</v>
      </c>
      <c r="G378" s="212">
        <f t="shared" ca="1" si="99"/>
        <v>13729.963999999965</v>
      </c>
      <c r="H378" s="212">
        <f t="shared" ca="1" si="99"/>
        <v>1087.4924999999332</v>
      </c>
      <c r="I378" s="212">
        <f t="shared" ca="1" si="99"/>
        <v>6056.6507344017327</v>
      </c>
      <c r="J378" s="212">
        <f t="shared" ca="1" si="99"/>
        <v>1271.4884891859035</v>
      </c>
      <c r="K378" s="212">
        <f t="shared" ca="1" si="99"/>
        <v>315.34207794617151</v>
      </c>
      <c r="L378" s="212">
        <f t="shared" ca="1" si="99"/>
        <v>4841.8755000000101</v>
      </c>
      <c r="M378" s="212">
        <f t="shared" ca="1" si="99"/>
        <v>157.11469846621372</v>
      </c>
      <c r="N378" s="212">
        <f t="shared" ca="1" si="99"/>
        <v>149.82300000000396</v>
      </c>
      <c r="O378" s="212">
        <f t="shared" ca="1" si="99"/>
        <v>5775.6100000000297</v>
      </c>
      <c r="P378" s="212">
        <f t="shared" ca="1" si="99"/>
        <v>1212.5399999999936</v>
      </c>
      <c r="Q378" s="212">
        <f t="shared" ca="1" si="99"/>
        <v>300.79999999999927</v>
      </c>
      <c r="R378" s="212">
        <f t="shared" ca="1" si="99"/>
        <v>4841.8755000000101</v>
      </c>
      <c r="S378" s="212">
        <f t="shared" ca="1" si="99"/>
        <v>511</v>
      </c>
      <c r="T378" s="212">
        <f t="shared" ca="1" si="99"/>
        <v>70.400000000001455</v>
      </c>
      <c r="U378" s="212">
        <f t="shared" ca="1" si="99"/>
        <v>149.82300000000396</v>
      </c>
      <c r="V378" s="212">
        <f t="shared" ca="1" si="99"/>
        <v>0</v>
      </c>
      <c r="W378" s="212">
        <f t="shared" si="99"/>
        <v>0</v>
      </c>
      <c r="X378" s="212">
        <f t="shared" ca="1" si="99"/>
        <v>70.400000000001455</v>
      </c>
      <c r="Y378" s="214">
        <f t="shared" ca="1" si="99"/>
        <v>361.822999999996</v>
      </c>
      <c r="Z378" s="738">
        <f t="shared" ca="1" si="99"/>
        <v>281.04073440170401</v>
      </c>
      <c r="AA378" s="212">
        <f t="shared" ca="1" si="99"/>
        <v>58.948489185909949</v>
      </c>
      <c r="AB378" s="212">
        <f t="shared" ca="1" si="99"/>
        <v>14.542077946172252</v>
      </c>
      <c r="AC378" s="212">
        <f t="shared" ca="1" si="99"/>
        <v>7.2916984662097502</v>
      </c>
    </row>
    <row r="379" spans="2:29">
      <c r="B379" s="167">
        <v>4</v>
      </c>
      <c r="C379" s="212">
        <f ca="1">SUM(C101:C130)</f>
        <v>9357.1500000000233</v>
      </c>
      <c r="D379" s="212">
        <f t="shared" ref="D379:AC379" ca="1" si="100">SUM(D101:D130)</f>
        <v>3766.1000000000022</v>
      </c>
      <c r="E379" s="212">
        <f t="shared" ca="1" si="100"/>
        <v>5.1920000000000073</v>
      </c>
      <c r="F379" s="212">
        <f t="shared" ca="1" si="100"/>
        <v>26.50100000000009</v>
      </c>
      <c r="G379" s="212">
        <f t="shared" ca="1" si="100"/>
        <v>13154.943000000025</v>
      </c>
      <c r="H379" s="212">
        <f t="shared" ca="1" si="100"/>
        <v>1045.1554999999844</v>
      </c>
      <c r="I379" s="212">
        <f t="shared" ca="1" si="100"/>
        <v>5777.9362863521492</v>
      </c>
      <c r="J379" s="212">
        <f t="shared" ca="1" si="100"/>
        <v>1211.2864396302982</v>
      </c>
      <c r="K379" s="212">
        <f t="shared" ca="1" si="100"/>
        <v>327.61583891135018</v>
      </c>
      <c r="L379" s="212">
        <f t="shared" ca="1" si="100"/>
        <v>4646.5154999999804</v>
      </c>
      <c r="M379" s="212">
        <f t="shared" ca="1" si="100"/>
        <v>146.433435106263</v>
      </c>
      <c r="N379" s="212">
        <f t="shared" ca="1" si="100"/>
        <v>140.40000000000146</v>
      </c>
      <c r="O379" s="212">
        <f t="shared" ca="1" si="100"/>
        <v>5540.3800000000774</v>
      </c>
      <c r="P379" s="212">
        <f t="shared" ca="1" si="100"/>
        <v>1161.3899999999994</v>
      </c>
      <c r="Q379" s="212">
        <f t="shared" ca="1" si="100"/>
        <v>314.19999999999891</v>
      </c>
      <c r="R379" s="212">
        <f t="shared" ca="1" si="100"/>
        <v>4646.5154999999804</v>
      </c>
      <c r="S379" s="212">
        <f t="shared" ca="1" si="100"/>
        <v>442.10999999998603</v>
      </c>
      <c r="T379" s="212">
        <f t="shared" ca="1" si="100"/>
        <v>71.069999999999709</v>
      </c>
      <c r="U379" s="212">
        <f t="shared" ca="1" si="100"/>
        <v>140.40000000000146</v>
      </c>
      <c r="V379" s="212">
        <f t="shared" ca="1" si="100"/>
        <v>0</v>
      </c>
      <c r="W379" s="212">
        <f t="shared" si="100"/>
        <v>0</v>
      </c>
      <c r="X379" s="212">
        <f t="shared" ca="1" si="100"/>
        <v>71.069999999999709</v>
      </c>
      <c r="Y379" s="214">
        <f t="shared" ca="1" si="100"/>
        <v>306.90199999998458</v>
      </c>
      <c r="Z379" s="738">
        <f t="shared" ca="1" si="100"/>
        <v>237.55628635207285</v>
      </c>
      <c r="AA379" s="212">
        <f t="shared" ca="1" si="100"/>
        <v>49.896439630298914</v>
      </c>
      <c r="AB379" s="212">
        <f t="shared" ca="1" si="100"/>
        <v>13.415838911351246</v>
      </c>
      <c r="AC379" s="212">
        <f t="shared" ca="1" si="100"/>
        <v>6.0334351062615603</v>
      </c>
    </row>
    <row r="380" spans="2:29">
      <c r="B380" s="167">
        <v>5</v>
      </c>
      <c r="C380" s="212">
        <f ca="1">SUM(C131:C161)</f>
        <v>6850.8499999999767</v>
      </c>
      <c r="D380" s="212">
        <f t="shared" ref="D380:AC380" ca="1" si="101">SUM(D131:D161)</f>
        <v>6271.0999999999985</v>
      </c>
      <c r="E380" s="212">
        <f t="shared" ca="1" si="101"/>
        <v>1.4770000000000891</v>
      </c>
      <c r="F380" s="212">
        <f t="shared" ca="1" si="101"/>
        <v>2.8199999999999363</v>
      </c>
      <c r="G380" s="212">
        <f t="shared" ca="1" si="101"/>
        <v>13126.246999999976</v>
      </c>
      <c r="H380" s="212">
        <f t="shared" ca="1" si="101"/>
        <v>1138.421499999926</v>
      </c>
      <c r="I380" s="212">
        <f t="shared" ca="1" si="101"/>
        <v>5688.5824518806558</v>
      </c>
      <c r="J380" s="212">
        <f t="shared" ca="1" si="101"/>
        <v>1274.1428819278397</v>
      </c>
      <c r="K380" s="212">
        <f t="shared" ca="1" si="101"/>
        <v>393.59927971494608</v>
      </c>
      <c r="L380" s="212">
        <f t="shared" ca="1" si="101"/>
        <v>5034.0185000000229</v>
      </c>
      <c r="M380" s="212">
        <f t="shared" ca="1" si="101"/>
        <v>-402.5176135234156</v>
      </c>
      <c r="N380" s="212">
        <f t="shared" ca="1" si="101"/>
        <v>147.39299999999639</v>
      </c>
      <c r="O380" s="212">
        <f t="shared" ca="1" si="101"/>
        <v>5063.2699999999923</v>
      </c>
      <c r="P380" s="212">
        <f t="shared" ca="1" si="101"/>
        <v>1128.5100000000093</v>
      </c>
      <c r="Q380" s="212">
        <f t="shared" ca="1" si="101"/>
        <v>340.70000000000437</v>
      </c>
      <c r="R380" s="212">
        <f t="shared" ca="1" si="101"/>
        <v>5034.0185000000229</v>
      </c>
      <c r="S380" s="212">
        <f t="shared" ca="1" si="101"/>
        <v>419.85000000000582</v>
      </c>
      <c r="T380" s="212">
        <f t="shared" ca="1" si="101"/>
        <v>71.330000000001746</v>
      </c>
      <c r="U380" s="212">
        <f t="shared" ca="1" si="101"/>
        <v>147.39299999999639</v>
      </c>
      <c r="V380" s="212">
        <f t="shared" ca="1" si="101"/>
        <v>0</v>
      </c>
      <c r="W380" s="212">
        <f t="shared" si="101"/>
        <v>0</v>
      </c>
      <c r="X380" s="212">
        <f t="shared" ca="1" si="101"/>
        <v>71.330000000001746</v>
      </c>
      <c r="Y380" s="214">
        <f t="shared" ca="1" si="101"/>
        <v>273.93400000001634</v>
      </c>
      <c r="Z380" s="738">
        <f t="shared" ca="1" si="101"/>
        <v>625.31245188066305</v>
      </c>
      <c r="AA380" s="212">
        <f t="shared" ca="1" si="101"/>
        <v>145.63288192783057</v>
      </c>
      <c r="AB380" s="212">
        <f t="shared" ca="1" si="101"/>
        <v>52.899279714941734</v>
      </c>
      <c r="AC380" s="212">
        <f t="shared" ca="1" si="101"/>
        <v>-549.91061352342683</v>
      </c>
    </row>
    <row r="381" spans="2:29">
      <c r="B381" s="167">
        <v>6</v>
      </c>
      <c r="C381" s="212">
        <f ca="1">SUM(C162:C191)</f>
        <v>7944.3260000000009</v>
      </c>
      <c r="D381" s="212">
        <f t="shared" ref="D381:AC381" ca="1" si="102">SUM(D162:D191)</f>
        <v>5185.239999999998</v>
      </c>
      <c r="E381" s="212">
        <f t="shared" ca="1" si="102"/>
        <v>0.78399999999987813</v>
      </c>
      <c r="F381" s="212">
        <f t="shared" ca="1" si="102"/>
        <v>1.3020000000000209</v>
      </c>
      <c r="G381" s="212">
        <f t="shared" ca="1" si="102"/>
        <v>13131.651999999998</v>
      </c>
      <c r="H381" s="212">
        <f t="shared" ca="1" si="102"/>
        <v>1048.8400000000013</v>
      </c>
      <c r="I381" s="212">
        <f t="shared" ca="1" si="102"/>
        <v>6034.4179778691214</v>
      </c>
      <c r="J381" s="212">
        <f t="shared" ca="1" si="102"/>
        <v>1229.2296889437036</v>
      </c>
      <c r="K381" s="212">
        <f t="shared" ca="1" si="102"/>
        <v>317.62954902110704</v>
      </c>
      <c r="L381" s="212">
        <f t="shared" ca="1" si="102"/>
        <v>4882.5749999999771</v>
      </c>
      <c r="M381" s="212">
        <f t="shared" ca="1" si="102"/>
        <v>-381.04021583393671</v>
      </c>
      <c r="N381" s="212">
        <f t="shared" ca="1" si="102"/>
        <v>138</v>
      </c>
      <c r="O381" s="212">
        <f t="shared" ca="1" si="102"/>
        <v>5412.5730000000112</v>
      </c>
      <c r="P381" s="212">
        <f t="shared" ca="1" si="102"/>
        <v>1097.3799999999901</v>
      </c>
      <c r="Q381" s="212">
        <f t="shared" ca="1" si="102"/>
        <v>284.49999999999636</v>
      </c>
      <c r="R381" s="212">
        <f t="shared" ca="1" si="102"/>
        <v>4882.5749999999771</v>
      </c>
      <c r="S381" s="212">
        <f t="shared" ca="1" si="102"/>
        <v>405</v>
      </c>
      <c r="T381" s="212">
        <f t="shared" ca="1" si="102"/>
        <v>-35513.530000000006</v>
      </c>
      <c r="U381" s="212">
        <f t="shared" ca="1" si="102"/>
        <v>138</v>
      </c>
      <c r="V381" s="212">
        <f t="shared" ca="1" si="102"/>
        <v>0</v>
      </c>
      <c r="W381" s="212">
        <f t="shared" si="102"/>
        <v>0</v>
      </c>
      <c r="X381" s="212">
        <f t="shared" ca="1" si="102"/>
        <v>-35513.530000000006</v>
      </c>
      <c r="Y381" s="214">
        <f t="shared" ca="1" si="102"/>
        <v>267.78400000000534</v>
      </c>
      <c r="Z381" s="738">
        <f t="shared" ca="1" si="102"/>
        <v>621.84497786910811</v>
      </c>
      <c r="AA381" s="212">
        <f t="shared" ca="1" si="102"/>
        <v>131.84968894371363</v>
      </c>
      <c r="AB381" s="212">
        <f t="shared" ca="1" si="102"/>
        <v>33.129549021110698</v>
      </c>
      <c r="AC381" s="212">
        <f t="shared" ca="1" si="102"/>
        <v>-519.0402158339225</v>
      </c>
    </row>
    <row r="382" spans="2:29">
      <c r="B382" s="167">
        <v>7</v>
      </c>
      <c r="C382" s="212">
        <f ca="1">SUM(C192:C222)</f>
        <v>7105.6739999999991</v>
      </c>
      <c r="D382" s="212">
        <f t="shared" ref="D382:AC382" ca="1" si="103">SUM(D192:D222)</f>
        <v>6458.760000000002</v>
      </c>
      <c r="E382" s="212">
        <f t="shared" ca="1" si="103"/>
        <v>1.8210000000001401</v>
      </c>
      <c r="F382" s="212">
        <f t="shared" ca="1" si="103"/>
        <v>1.7129999999999654</v>
      </c>
      <c r="G382" s="212">
        <f t="shared" ca="1" si="103"/>
        <v>13567.968000000001</v>
      </c>
      <c r="H382" s="212">
        <f t="shared" ca="1" si="103"/>
        <v>1119.0400000000302</v>
      </c>
      <c r="I382" s="212">
        <f t="shared" ca="1" si="103"/>
        <v>6275.7092505956916</v>
      </c>
      <c r="J382" s="212">
        <f t="shared" ca="1" si="103"/>
        <v>1272.1801375200453</v>
      </c>
      <c r="K382" s="212">
        <f t="shared" ca="1" si="103"/>
        <v>348.61112721246991</v>
      </c>
      <c r="L382" s="212">
        <f t="shared" ca="1" si="103"/>
        <v>4945.9800000000214</v>
      </c>
      <c r="M382" s="212">
        <f t="shared" ca="1" si="103"/>
        <v>-393.55251532825099</v>
      </c>
      <c r="N382" s="212">
        <f t="shared" ca="1" si="103"/>
        <v>137.10300000000279</v>
      </c>
      <c r="O382" s="212">
        <f t="shared" ca="1" si="103"/>
        <v>5618.9269999999888</v>
      </c>
      <c r="P382" s="212">
        <f t="shared" ca="1" si="103"/>
        <v>1146.4199999999983</v>
      </c>
      <c r="Q382" s="212">
        <f t="shared" ca="1" si="103"/>
        <v>315.69999999999891</v>
      </c>
      <c r="R382" s="212">
        <f t="shared" ca="1" si="103"/>
        <v>4945.9800000000214</v>
      </c>
      <c r="S382" s="212">
        <f t="shared" ca="1" si="103"/>
        <v>420.07999999998719</v>
      </c>
      <c r="T382" s="212">
        <f t="shared" ca="1" si="103"/>
        <v>94.109999999999346</v>
      </c>
      <c r="U382" s="212">
        <f t="shared" ca="1" si="103"/>
        <v>137.10300000000279</v>
      </c>
      <c r="V382" s="212">
        <f t="shared" ca="1" si="103"/>
        <v>0</v>
      </c>
      <c r="W382" s="212">
        <f t="shared" si="103"/>
        <v>0</v>
      </c>
      <c r="X382" s="212">
        <f t="shared" ca="1" si="103"/>
        <v>94.109999999999346</v>
      </c>
      <c r="Y382" s="214">
        <f t="shared" ca="1" si="103"/>
        <v>284.79799999997726</v>
      </c>
      <c r="Z382" s="738">
        <f t="shared" ca="1" si="103"/>
        <v>656.78225059570491</v>
      </c>
      <c r="AA382" s="212">
        <f t="shared" ca="1" si="103"/>
        <v>125.76013752004728</v>
      </c>
      <c r="AB382" s="212">
        <f t="shared" ca="1" si="103"/>
        <v>32.911127212470994</v>
      </c>
      <c r="AC382" s="212">
        <f t="shared" ca="1" si="103"/>
        <v>-530.65551532823179</v>
      </c>
    </row>
    <row r="383" spans="2:29">
      <c r="B383" s="167">
        <v>8</v>
      </c>
      <c r="C383" s="212">
        <f ca="1">SUM(C223:C253)</f>
        <v>6453.3000000000466</v>
      </c>
      <c r="D383" s="212">
        <f t="shared" ref="D383:AC383" ca="1" si="104">SUM(D223:D253)</f>
        <v>7362.4000000000015</v>
      </c>
      <c r="E383" s="212">
        <f t="shared" ca="1" si="104"/>
        <v>4</v>
      </c>
      <c r="F383" s="212">
        <f t="shared" ca="1" si="104"/>
        <v>9.9680000000000746</v>
      </c>
      <c r="G383" s="212">
        <f t="shared" ca="1" si="104"/>
        <v>13829.668000000049</v>
      </c>
      <c r="H383" s="212">
        <f t="shared" ca="1" si="104"/>
        <v>1176.4170000000011</v>
      </c>
      <c r="I383" s="212">
        <f t="shared" ca="1" si="104"/>
        <v>6353.0777712290792</v>
      </c>
      <c r="J383" s="212">
        <f t="shared" ca="1" si="104"/>
        <v>1245.0146166435766</v>
      </c>
      <c r="K383" s="212">
        <f t="shared" ca="1" si="104"/>
        <v>363.18896386739192</v>
      </c>
      <c r="L383" s="212">
        <f t="shared" ca="1" si="104"/>
        <v>5074.9510000000255</v>
      </c>
      <c r="M383" s="212">
        <f t="shared" ca="1" si="104"/>
        <v>-382.9813517400479</v>
      </c>
      <c r="N383" s="212">
        <f t="shared" ca="1" si="104"/>
        <v>136</v>
      </c>
      <c r="O383" s="212">
        <f t="shared" ca="1" si="104"/>
        <v>5748.0999999999949</v>
      </c>
      <c r="P383" s="212">
        <f t="shared" ca="1" si="104"/>
        <v>1125.2000000000116</v>
      </c>
      <c r="Q383" s="212">
        <f t="shared" ca="1" si="104"/>
        <v>327.00000000000546</v>
      </c>
      <c r="R383" s="212">
        <f t="shared" ca="1" si="104"/>
        <v>5074.9510000000255</v>
      </c>
      <c r="S383" s="212">
        <f t="shared" ca="1" si="104"/>
        <v>374</v>
      </c>
      <c r="T383" s="212">
        <f t="shared" ca="1" si="104"/>
        <v>115.79999999999964</v>
      </c>
      <c r="U383" s="212">
        <f t="shared" ca="1" si="104"/>
        <v>136</v>
      </c>
      <c r="V383" s="212">
        <f t="shared" ca="1" si="104"/>
        <v>0</v>
      </c>
      <c r="W383" s="212">
        <f t="shared" si="104"/>
        <v>0</v>
      </c>
      <c r="X383" s="212">
        <f t="shared" ca="1" si="104"/>
        <v>115.79999999999964</v>
      </c>
      <c r="Y383" s="214">
        <f t="shared" ca="1" si="104"/>
        <v>241.99999999999773</v>
      </c>
      <c r="Z383" s="738">
        <f t="shared" ca="1" si="104"/>
        <v>604.97777122908622</v>
      </c>
      <c r="AA383" s="212">
        <f t="shared" ca="1" si="104"/>
        <v>119.81461664356489</v>
      </c>
      <c r="AB383" s="212">
        <f t="shared" ca="1" si="104"/>
        <v>36.188963867386605</v>
      </c>
      <c r="AC383" s="212">
        <f t="shared" ca="1" si="104"/>
        <v>-518.9813517400471</v>
      </c>
    </row>
    <row r="384" spans="2:29">
      <c r="B384" s="167">
        <v>9</v>
      </c>
      <c r="C384" s="212">
        <f ca="1">SUM(C254:C283)</f>
        <v>3745.1999999999534</v>
      </c>
      <c r="D384" s="212">
        <f t="shared" ref="D384:AC384" ca="1" si="105">SUM(D254:D283)</f>
        <v>9563.5999999999985</v>
      </c>
      <c r="E384" s="212">
        <f t="shared" ca="1" si="105"/>
        <v>1.8540000000000418</v>
      </c>
      <c r="F384" s="212">
        <f t="shared" ca="1" si="105"/>
        <v>47.394999999999982</v>
      </c>
      <c r="G384" s="1399">
        <f t="shared" ca="1" si="105"/>
        <v>13358.04899999995</v>
      </c>
      <c r="H384" s="212">
        <f t="shared" ca="1" si="105"/>
        <v>1129.0130000000063</v>
      </c>
      <c r="I384" s="212">
        <f t="shared" ca="1" si="105"/>
        <v>6148.1344033027408</v>
      </c>
      <c r="J384" s="212">
        <f t="shared" ca="1" si="105"/>
        <v>1283.3361003868301</v>
      </c>
      <c r="K384" s="212">
        <f t="shared" ca="1" si="105"/>
        <v>318.09857623599794</v>
      </c>
      <c r="L384" s="212">
        <f t="shared" ca="1" si="105"/>
        <v>4849.9319999999734</v>
      </c>
      <c r="M384" s="212">
        <f t="shared" ca="1" si="105"/>
        <v>-370.46507992557792</v>
      </c>
      <c r="N384" s="212">
        <f t="shared" ca="1" si="105"/>
        <v>143.04399999999441</v>
      </c>
      <c r="O384" s="212">
        <f t="shared" ca="1" si="105"/>
        <v>5514.2999999999993</v>
      </c>
      <c r="P384" s="212">
        <f t="shared" ca="1" si="105"/>
        <v>1151.1999999999971</v>
      </c>
      <c r="Q384" s="212">
        <f t="shared" ca="1" si="105"/>
        <v>290.19999999999709</v>
      </c>
      <c r="R384" s="212">
        <f t="shared" ca="1" si="105"/>
        <v>4849.9319999999734</v>
      </c>
      <c r="S384" s="212">
        <f t="shared" ca="1" si="105"/>
        <v>421.54999999998836</v>
      </c>
      <c r="T384" s="212">
        <f t="shared" ca="1" si="105"/>
        <v>91.599999999999625</v>
      </c>
      <c r="U384" s="212">
        <f t="shared" ca="1" si="105"/>
        <v>143.04399999999441</v>
      </c>
      <c r="V384" s="212">
        <f t="shared" ca="1" si="105"/>
        <v>0</v>
      </c>
      <c r="W384" s="212">
        <f t="shared" si="105"/>
        <v>0</v>
      </c>
      <c r="X384" s="212">
        <f t="shared" ca="1" si="105"/>
        <v>91.599999999999625</v>
      </c>
      <c r="Y384" s="214">
        <f t="shared" ca="1" si="105"/>
        <v>280.3599999999974</v>
      </c>
      <c r="Z384" s="738">
        <f t="shared" ca="1" si="105"/>
        <v>633.83440330274209</v>
      </c>
      <c r="AA384" s="212">
        <f t="shared" ca="1" si="105"/>
        <v>132.13610038683288</v>
      </c>
      <c r="AB384" s="212">
        <f t="shared" ca="1" si="105"/>
        <v>27.898576236000828</v>
      </c>
      <c r="AC384" s="212">
        <f t="shared" ca="1" si="105"/>
        <v>-513.50907992558712</v>
      </c>
    </row>
    <row r="385" spans="2:29">
      <c r="B385" s="167">
        <v>10</v>
      </c>
      <c r="C385" s="212">
        <f ca="1">SUM(C284:C314)</f>
        <v>3667.5</v>
      </c>
      <c r="D385" s="212">
        <f t="shared" ref="D385:AC385" ca="1" si="106">SUM(D284:D314)</f>
        <v>9807</v>
      </c>
      <c r="E385" s="212">
        <f t="shared" ca="1" si="106"/>
        <v>1.5299999999999727</v>
      </c>
      <c r="F385" s="212">
        <f t="shared" ca="1" si="106"/>
        <v>108.40300000000002</v>
      </c>
      <c r="G385" s="212">
        <f t="shared" ca="1" si="106"/>
        <v>13584.433000000001</v>
      </c>
      <c r="H385" s="212">
        <f t="shared" ca="1" si="106"/>
        <v>1060.1749999999734</v>
      </c>
      <c r="I385" s="212">
        <f t="shared" ca="1" si="106"/>
        <v>6262.0200094265729</v>
      </c>
      <c r="J385" s="212">
        <f t="shared" ca="1" si="106"/>
        <v>1324.1325959599844</v>
      </c>
      <c r="K385" s="212">
        <f t="shared" ca="1" si="106"/>
        <v>320.95676996924288</v>
      </c>
      <c r="L385" s="212">
        <f t="shared" ca="1" si="106"/>
        <v>4991.8480000000009</v>
      </c>
      <c r="M385" s="212">
        <f t="shared" ca="1" si="106"/>
        <v>-374.69937535575122</v>
      </c>
      <c r="N385" s="212">
        <f t="shared" ca="1" si="106"/>
        <v>150.79499999999825</v>
      </c>
      <c r="O385" s="212">
        <f t="shared" ca="1" si="106"/>
        <v>5619.4000000000087</v>
      </c>
      <c r="P385" s="212">
        <f t="shared" ca="1" si="106"/>
        <v>1187</v>
      </c>
      <c r="Q385" s="212">
        <f t="shared" ca="1" si="106"/>
        <v>289.20000000000255</v>
      </c>
      <c r="R385" s="212">
        <f t="shared" ca="1" si="106"/>
        <v>4991.8480000000009</v>
      </c>
      <c r="S385" s="212">
        <f t="shared" ca="1" si="106"/>
        <v>435.27999999999884</v>
      </c>
      <c r="T385" s="212">
        <f t="shared" ca="1" si="106"/>
        <v>87.619999999999663</v>
      </c>
      <c r="U385" s="212">
        <f t="shared" ca="1" si="106"/>
        <v>150.79499999999825</v>
      </c>
      <c r="V385" s="212">
        <f t="shared" ca="1" si="106"/>
        <v>0</v>
      </c>
      <c r="W385" s="212">
        <f t="shared" si="106"/>
        <v>0</v>
      </c>
      <c r="X385" s="212">
        <f t="shared" ca="1" si="106"/>
        <v>87.619999999999663</v>
      </c>
      <c r="Y385" s="214">
        <f t="shared" ca="1" si="106"/>
        <v>286.01500000000783</v>
      </c>
      <c r="Z385" s="738">
        <f t="shared" ca="1" si="106"/>
        <v>642.62000942656493</v>
      </c>
      <c r="AA385" s="212">
        <f t="shared" ca="1" si="106"/>
        <v>137.13259595998397</v>
      </c>
      <c r="AB385" s="212">
        <f t="shared" ca="1" si="106"/>
        <v>31.756769969240271</v>
      </c>
      <c r="AC385" s="212">
        <f t="shared" ca="1" si="106"/>
        <v>-525.49437535577852</v>
      </c>
    </row>
    <row r="386" spans="2:29">
      <c r="B386" s="167">
        <v>11</v>
      </c>
      <c r="C386" s="212">
        <f ca="1">SUM(C315:C344)</f>
        <v>147</v>
      </c>
      <c r="D386" s="212">
        <f t="shared" ref="D386:AC386" ca="1" si="107">SUM(D315:D344)</f>
        <v>293</v>
      </c>
      <c r="E386" s="212">
        <f t="shared" ca="1" si="107"/>
        <v>0</v>
      </c>
      <c r="F386" s="212">
        <f t="shared" ca="1" si="107"/>
        <v>0</v>
      </c>
      <c r="G386" s="212">
        <f t="shared" ca="1" si="107"/>
        <v>440</v>
      </c>
      <c r="H386" s="212" t="e">
        <f t="shared" ca="1" si="107"/>
        <v>#DIV/0!</v>
      </c>
      <c r="I386" s="212" t="e">
        <f t="shared" ca="1" si="107"/>
        <v>#DIV/0!</v>
      </c>
      <c r="J386" s="212" t="e">
        <f t="shared" ca="1" si="107"/>
        <v>#DIV/0!</v>
      </c>
      <c r="K386" s="212" t="e">
        <f t="shared" ca="1" si="107"/>
        <v>#DIV/0!</v>
      </c>
      <c r="L386" s="212">
        <f t="shared" ca="1" si="107"/>
        <v>166.10099999999818</v>
      </c>
      <c r="M386" s="212" t="e">
        <f t="shared" ca="1" si="107"/>
        <v>#DIV/0!</v>
      </c>
      <c r="N386" s="212">
        <f t="shared" ca="1" si="107"/>
        <v>-66005</v>
      </c>
      <c r="O386" s="212">
        <f t="shared" ca="1" si="107"/>
        <v>177.20000000000073</v>
      </c>
      <c r="P386" s="212">
        <f t="shared" ca="1" si="107"/>
        <v>38.69999999999709</v>
      </c>
      <c r="Q386" s="212">
        <f t="shared" ca="1" si="107"/>
        <v>9.6999999999989086</v>
      </c>
      <c r="R386" s="212">
        <f t="shared" ca="1" si="107"/>
        <v>166.10099999999818</v>
      </c>
      <c r="S386" s="212">
        <f t="shared" ca="1" si="107"/>
        <v>-142541</v>
      </c>
      <c r="T386" s="212">
        <f t="shared" ca="1" si="107"/>
        <v>-14561.5</v>
      </c>
      <c r="U386" s="212">
        <f t="shared" ca="1" si="107"/>
        <v>-66005</v>
      </c>
      <c r="V386" s="212">
        <f t="shared" ca="1" si="107"/>
        <v>0</v>
      </c>
      <c r="W386" s="212">
        <f t="shared" si="107"/>
        <v>0</v>
      </c>
      <c r="X386" s="212">
        <f t="shared" ca="1" si="107"/>
        <v>-14561.5</v>
      </c>
      <c r="Y386" s="214">
        <f t="shared" ca="1" si="107"/>
        <v>-76536</v>
      </c>
      <c r="Z386" s="738" t="e">
        <f t="shared" ca="1" si="107"/>
        <v>#DIV/0!</v>
      </c>
      <c r="AA386" s="212" t="e">
        <f t="shared" ca="1" si="107"/>
        <v>#DIV/0!</v>
      </c>
      <c r="AB386" s="212" t="e">
        <f t="shared" ca="1" si="107"/>
        <v>#DIV/0!</v>
      </c>
      <c r="AC386" s="212" t="e">
        <f t="shared" ca="1" si="107"/>
        <v>#DIV/0!</v>
      </c>
    </row>
    <row r="387" spans="2:29" ht="15" thickBot="1">
      <c r="B387" s="168">
        <v>12</v>
      </c>
      <c r="C387" s="212">
        <f ca="1">SUM(C345:C375)</f>
        <v>0</v>
      </c>
      <c r="D387" s="212">
        <f t="shared" ref="D387:AC387" ca="1" si="108">SUM(D345:D375)</f>
        <v>0</v>
      </c>
      <c r="E387" s="212">
        <f t="shared" ca="1" si="108"/>
        <v>0</v>
      </c>
      <c r="F387" s="212">
        <f t="shared" ca="1" si="108"/>
        <v>0</v>
      </c>
      <c r="G387" s="212">
        <f t="shared" ca="1" si="108"/>
        <v>0</v>
      </c>
      <c r="H387" s="212" t="e">
        <f t="shared" ca="1" si="108"/>
        <v>#DIV/0!</v>
      </c>
      <c r="I387" s="212" t="e">
        <f t="shared" ca="1" si="108"/>
        <v>#DIV/0!</v>
      </c>
      <c r="J387" s="212" t="e">
        <f t="shared" ca="1" si="108"/>
        <v>#DIV/0!</v>
      </c>
      <c r="K387" s="212" t="e">
        <f t="shared" ca="1" si="108"/>
        <v>#DIV/0!</v>
      </c>
      <c r="L387" s="212">
        <f t="shared" ca="1" si="108"/>
        <v>0</v>
      </c>
      <c r="M387" s="212" t="e">
        <f t="shared" ca="1" si="108"/>
        <v>#DIV/0!</v>
      </c>
      <c r="N387" s="212">
        <f t="shared" ca="1" si="108"/>
        <v>0</v>
      </c>
      <c r="O387" s="212">
        <f t="shared" ca="1" si="108"/>
        <v>0</v>
      </c>
      <c r="P387" s="212">
        <f t="shared" ca="1" si="108"/>
        <v>0</v>
      </c>
      <c r="Q387" s="212">
        <f t="shared" ca="1" si="108"/>
        <v>0</v>
      </c>
      <c r="R387" s="212">
        <f t="shared" ca="1" si="108"/>
        <v>0</v>
      </c>
      <c r="S387" s="212">
        <f t="shared" ca="1" si="108"/>
        <v>0</v>
      </c>
      <c r="T387" s="212">
        <f t="shared" ca="1" si="108"/>
        <v>0</v>
      </c>
      <c r="U387" s="203">
        <f t="shared" ca="1" si="108"/>
        <v>0</v>
      </c>
      <c r="V387" s="203">
        <f t="shared" ca="1" si="108"/>
        <v>0</v>
      </c>
      <c r="W387" s="203">
        <f t="shared" si="108"/>
        <v>0</v>
      </c>
      <c r="X387" s="203">
        <f t="shared" ca="1" si="108"/>
        <v>0</v>
      </c>
      <c r="Y387" s="207">
        <f t="shared" ca="1" si="108"/>
        <v>0</v>
      </c>
      <c r="Z387" s="738" t="e">
        <f t="shared" ca="1" si="108"/>
        <v>#DIV/0!</v>
      </c>
      <c r="AA387" s="212" t="e">
        <f t="shared" ca="1" si="108"/>
        <v>#DIV/0!</v>
      </c>
      <c r="AB387" s="212" t="e">
        <f t="shared" ca="1" si="108"/>
        <v>#DIV/0!</v>
      </c>
      <c r="AC387" s="212" t="e">
        <f t="shared" ca="1" si="108"/>
        <v>#DIV/0!</v>
      </c>
    </row>
    <row r="388" spans="2:29" ht="15" thickBot="1">
      <c r="B388" s="12" t="s">
        <v>76</v>
      </c>
      <c r="C388" s="216">
        <f t="shared" ref="C388:P388" ca="1" si="109">SUM(C376:C387)</f>
        <v>68035.839999999967</v>
      </c>
      <c r="D388" s="216">
        <f t="shared" ca="1" si="109"/>
        <v>65457</v>
      </c>
      <c r="E388" s="216">
        <f t="shared" ca="1" si="109"/>
        <v>20.287000000000035</v>
      </c>
      <c r="F388" s="216">
        <f t="shared" ca="1" si="109"/>
        <v>205.15800000000002</v>
      </c>
      <c r="G388" s="216">
        <f t="shared" ca="1" si="109"/>
        <v>133718.28499999995</v>
      </c>
      <c r="H388" s="216" t="e">
        <f t="shared" ca="1" si="109"/>
        <v>#DIV/0!</v>
      </c>
      <c r="I388" s="216" t="e">
        <f t="shared" ca="1" si="109"/>
        <v>#DIV/0!</v>
      </c>
      <c r="J388" s="216" t="e">
        <f t="shared" ca="1" si="109"/>
        <v>#DIV/0!</v>
      </c>
      <c r="K388" s="1256" t="e">
        <f t="shared" ca="1" si="109"/>
        <v>#DIV/0!</v>
      </c>
      <c r="L388" s="216">
        <f t="shared" ca="1" si="109"/>
        <v>48433.208999999995</v>
      </c>
      <c r="M388" s="216" t="e">
        <f t="shared" ca="1" si="109"/>
        <v>#DIV/0!</v>
      </c>
      <c r="N388" s="216">
        <f t="shared" ca="1" si="109"/>
        <v>-64566.565000000002</v>
      </c>
      <c r="O388" s="216">
        <f t="shared" ca="1" si="109"/>
        <v>55426.23000000004</v>
      </c>
      <c r="P388" s="216">
        <f t="shared" ca="1" si="109"/>
        <v>11611.280000000006</v>
      </c>
      <c r="Q388" s="216">
        <f ca="1">SUM(Q376:Q387)</f>
        <v>3073.1999999999989</v>
      </c>
      <c r="R388" s="216">
        <f ca="1">SUM(R376:R387)</f>
        <v>48433.208999999995</v>
      </c>
      <c r="S388" s="216">
        <f ca="1">SUM(S376:S387)</f>
        <v>-138097.10000000003</v>
      </c>
      <c r="T388" s="216">
        <f ca="1">SUM(T376:T387)</f>
        <v>-49345.409999999996</v>
      </c>
      <c r="U388" s="216">
        <f t="shared" ref="U388:AC388" ca="1" si="110">SUM(U376:U387)</f>
        <v>-64566.565000000002</v>
      </c>
      <c r="V388" s="216">
        <f t="shared" ca="1" si="110"/>
        <v>0</v>
      </c>
      <c r="W388" s="216">
        <f t="shared" si="110"/>
        <v>0</v>
      </c>
      <c r="X388" s="216">
        <f t="shared" ca="1" si="110"/>
        <v>-49345.409999999996</v>
      </c>
      <c r="Y388" s="216">
        <f t="shared" ca="1" si="110"/>
        <v>-73510.248000000021</v>
      </c>
      <c r="Z388" s="216" t="e">
        <f t="shared" ca="1" si="110"/>
        <v>#DIV/0!</v>
      </c>
      <c r="AA388" s="216" t="e">
        <f t="shared" ca="1" si="110"/>
        <v>#DIV/0!</v>
      </c>
      <c r="AB388" s="216" t="e">
        <f t="shared" ca="1" si="110"/>
        <v>#DIV/0!</v>
      </c>
      <c r="AC388" s="216" t="e">
        <f t="shared" ca="1" si="110"/>
        <v>#DIV/0!</v>
      </c>
    </row>
    <row r="389" spans="2:29" ht="17.25" customHeight="1">
      <c r="B389" s="743">
        <v>1</v>
      </c>
      <c r="C389" s="202">
        <f ca="1">SUM(C11:C41)</f>
        <v>5613.8399999999674</v>
      </c>
      <c r="D389" s="202">
        <f t="shared" ref="D389:O389" ca="1" si="111">SUM(D11:D41)</f>
        <v>7936.4000000000015</v>
      </c>
      <c r="E389" s="202">
        <f t="shared" ca="1" si="111"/>
        <v>1.8299999999999272</v>
      </c>
      <c r="F389" s="202">
        <f t="shared" ca="1" si="111"/>
        <v>2.5570000000000164</v>
      </c>
      <c r="G389" s="202">
        <f t="shared" ca="1" si="111"/>
        <v>13554.626999999968</v>
      </c>
      <c r="H389" s="202">
        <f t="shared" ca="1" si="111"/>
        <v>978.12749999996583</v>
      </c>
      <c r="I389" s="202">
        <f t="shared" ca="1" si="111"/>
        <v>6140.3154719944987</v>
      </c>
      <c r="J389" s="202">
        <f t="shared" ca="1" si="111"/>
        <v>1329.0160752057168</v>
      </c>
      <c r="K389" s="202">
        <f t="shared" ca="1" si="111"/>
        <v>336.77262541580728</v>
      </c>
      <c r="L389" s="202">
        <f t="shared" ca="1" si="111"/>
        <v>4604.0795000000353</v>
      </c>
      <c r="M389" s="202">
        <f t="shared" ca="1" si="111"/>
        <v>166.31582738394604</v>
      </c>
      <c r="N389" s="202">
        <f t="shared" ca="1" si="111"/>
        <v>158.40000000000146</v>
      </c>
      <c r="O389" s="202">
        <f t="shared" ca="1" si="111"/>
        <v>5846.7799999999697</v>
      </c>
      <c r="P389" s="202">
        <f ca="1">SUM(P11:P41)</f>
        <v>1265.5800000000017</v>
      </c>
      <c r="Q389" s="202">
        <f ca="1">SUM(Q11:Q41)</f>
        <v>320.69999999999709</v>
      </c>
      <c r="R389" s="202">
        <f ca="1">SUM(R11:R41)</f>
        <v>4604.0795000000353</v>
      </c>
      <c r="S389" s="202">
        <f ca="1">SUM(S11:S41)</f>
        <v>537.52999999999884</v>
      </c>
      <c r="T389" s="202">
        <f ca="1">SUM(T11:T41)</f>
        <v>65.590000000003783</v>
      </c>
      <c r="U389" s="202"/>
      <c r="V389" s="202"/>
      <c r="W389" s="202"/>
      <c r="X389" s="202"/>
      <c r="Y389" s="205"/>
      <c r="Z389" s="204"/>
      <c r="AA389" s="202"/>
      <c r="AB389" s="202"/>
      <c r="AC389" s="202"/>
    </row>
    <row r="390" spans="2:29">
      <c r="B390" s="167">
        <v>2</v>
      </c>
      <c r="C390" s="212">
        <f ca="1">SUM(C42:C69)</f>
        <v>8128.1600000000326</v>
      </c>
      <c r="D390" s="212">
        <f t="shared" ref="D390:T390" ca="1" si="112">SUM(D42:D69)</f>
        <v>4107.9799999999996</v>
      </c>
      <c r="E390" s="212">
        <f t="shared" ca="1" si="112"/>
        <v>1.15300000000002</v>
      </c>
      <c r="F390" s="212">
        <f t="shared" ca="1" si="112"/>
        <v>3.4409999999999172</v>
      </c>
      <c r="G390" s="212">
        <f t="shared" ca="1" si="112"/>
        <v>12240.734000000031</v>
      </c>
      <c r="H390" s="212">
        <f t="shared" ca="1" si="112"/>
        <v>879.19800000008445</v>
      </c>
      <c r="I390" s="212">
        <f t="shared" ca="1" si="112"/>
        <v>5371.8511983961562</v>
      </c>
      <c r="J390" s="212">
        <f t="shared" ca="1" si="112"/>
        <v>1154.6618723348147</v>
      </c>
      <c r="K390" s="212">
        <f t="shared" ca="1" si="112"/>
        <v>295.05664661878291</v>
      </c>
      <c r="L390" s="212">
        <f t="shared" ca="1" si="112"/>
        <v>4395.3329999999669</v>
      </c>
      <c r="M390" s="212">
        <f t="shared" ca="1" si="112"/>
        <v>144.63328265022824</v>
      </c>
      <c r="N390" s="212">
        <f t="shared" ca="1" si="112"/>
        <v>137.47699999999895</v>
      </c>
      <c r="O390" s="212">
        <f t="shared" ca="1" si="112"/>
        <v>5109.6899999999732</v>
      </c>
      <c r="P390" s="212">
        <f t="shared" ca="1" si="112"/>
        <v>1097.3600000000079</v>
      </c>
      <c r="Q390" s="212">
        <f t="shared" ca="1" si="112"/>
        <v>280.5</v>
      </c>
      <c r="R390" s="212">
        <f t="shared" ca="1" si="112"/>
        <v>4395.3329999999669</v>
      </c>
      <c r="S390" s="212">
        <f t="shared" ca="1" si="112"/>
        <v>477.5</v>
      </c>
      <c r="T390" s="212">
        <f t="shared" ca="1" si="112"/>
        <v>62.099999999998545</v>
      </c>
      <c r="U390" s="212"/>
      <c r="V390" s="212"/>
      <c r="W390" s="212"/>
      <c r="X390" s="212"/>
      <c r="Y390" s="214"/>
      <c r="Z390" s="738"/>
      <c r="AA390" s="212"/>
      <c r="AB390" s="212"/>
      <c r="AC390" s="212"/>
    </row>
    <row r="391" spans="2:29">
      <c r="B391" s="167">
        <v>3</v>
      </c>
      <c r="C391" s="212">
        <f ca="1">SUM(C70:C100)</f>
        <v>9022.8399999999674</v>
      </c>
      <c r="D391" s="212">
        <f t="shared" ref="D391:T391" ca="1" si="113">SUM(D70:D100)</f>
        <v>4705.4199999999983</v>
      </c>
      <c r="E391" s="212">
        <f t="shared" ca="1" si="113"/>
        <v>0.64599999999995816</v>
      </c>
      <c r="F391" s="212">
        <f t="shared" ca="1" si="113"/>
        <v>1.0579999999999927</v>
      </c>
      <c r="G391" s="212">
        <f t="shared" ca="1" si="113"/>
        <v>13729.963999999965</v>
      </c>
      <c r="H391" s="212">
        <f t="shared" ca="1" si="113"/>
        <v>1087.4924999999332</v>
      </c>
      <c r="I391" s="212">
        <f t="shared" ca="1" si="113"/>
        <v>6056.6507344017327</v>
      </c>
      <c r="J391" s="212">
        <f t="shared" ca="1" si="113"/>
        <v>1271.4884891859035</v>
      </c>
      <c r="K391" s="212">
        <f t="shared" ca="1" si="113"/>
        <v>315.34207794617151</v>
      </c>
      <c r="L391" s="212">
        <f t="shared" ca="1" si="113"/>
        <v>4841.8755000000101</v>
      </c>
      <c r="M391" s="212">
        <f t="shared" ca="1" si="113"/>
        <v>157.11469846621372</v>
      </c>
      <c r="N391" s="212">
        <f t="shared" ca="1" si="113"/>
        <v>149.82300000000396</v>
      </c>
      <c r="O391" s="212">
        <f t="shared" ca="1" si="113"/>
        <v>5775.6100000000297</v>
      </c>
      <c r="P391" s="212">
        <f t="shared" ca="1" si="113"/>
        <v>1212.5399999999936</v>
      </c>
      <c r="Q391" s="212">
        <f t="shared" ca="1" si="113"/>
        <v>300.79999999999927</v>
      </c>
      <c r="R391" s="212">
        <f t="shared" ca="1" si="113"/>
        <v>4841.8755000000101</v>
      </c>
      <c r="S391" s="212">
        <f t="shared" ca="1" si="113"/>
        <v>511</v>
      </c>
      <c r="T391" s="212">
        <f t="shared" ca="1" si="113"/>
        <v>70.400000000001455</v>
      </c>
      <c r="U391" s="212"/>
      <c r="V391" s="212"/>
      <c r="W391" s="212"/>
      <c r="X391" s="212"/>
      <c r="Y391" s="214"/>
      <c r="Z391" s="738"/>
      <c r="AA391" s="212"/>
      <c r="AB391" s="212"/>
      <c r="AC391" s="212"/>
    </row>
    <row r="392" spans="2:29">
      <c r="B392" s="167">
        <v>4</v>
      </c>
      <c r="C392" s="212">
        <f ca="1">SUM(C101:C130)</f>
        <v>9357.1500000000233</v>
      </c>
      <c r="D392" s="212">
        <f t="shared" ref="D392:T392" ca="1" si="114">SUM(D101:D130)</f>
        <v>3766.1000000000022</v>
      </c>
      <c r="E392" s="212">
        <f t="shared" ca="1" si="114"/>
        <v>5.1920000000000073</v>
      </c>
      <c r="F392" s="212">
        <f t="shared" ca="1" si="114"/>
        <v>26.50100000000009</v>
      </c>
      <c r="G392" s="212">
        <f t="shared" ca="1" si="114"/>
        <v>13154.943000000025</v>
      </c>
      <c r="H392" s="212">
        <f t="shared" ca="1" si="114"/>
        <v>1045.1554999999844</v>
      </c>
      <c r="I392" s="212">
        <f t="shared" ca="1" si="114"/>
        <v>5777.9362863521492</v>
      </c>
      <c r="J392" s="212">
        <f t="shared" ca="1" si="114"/>
        <v>1211.2864396302982</v>
      </c>
      <c r="K392" s="212">
        <f t="shared" ca="1" si="114"/>
        <v>327.61583891135018</v>
      </c>
      <c r="L392" s="212">
        <f t="shared" ca="1" si="114"/>
        <v>4646.5154999999804</v>
      </c>
      <c r="M392" s="212">
        <f t="shared" ca="1" si="114"/>
        <v>146.433435106263</v>
      </c>
      <c r="N392" s="212">
        <f t="shared" ca="1" si="114"/>
        <v>140.40000000000146</v>
      </c>
      <c r="O392" s="212">
        <f t="shared" ca="1" si="114"/>
        <v>5540.3800000000774</v>
      </c>
      <c r="P392" s="212">
        <f t="shared" ca="1" si="114"/>
        <v>1161.3899999999994</v>
      </c>
      <c r="Q392" s="212">
        <f t="shared" ca="1" si="114"/>
        <v>314.19999999999891</v>
      </c>
      <c r="R392" s="212">
        <f t="shared" ca="1" si="114"/>
        <v>4646.5154999999804</v>
      </c>
      <c r="S392" s="212">
        <f t="shared" ca="1" si="114"/>
        <v>442.10999999998603</v>
      </c>
      <c r="T392" s="212">
        <f t="shared" ca="1" si="114"/>
        <v>71.069999999999709</v>
      </c>
      <c r="U392" s="212"/>
      <c r="V392" s="212"/>
      <c r="W392" s="212"/>
      <c r="X392" s="212"/>
      <c r="Y392" s="214"/>
      <c r="Z392" s="738"/>
      <c r="AA392" s="212"/>
      <c r="AB392" s="212"/>
      <c r="AC392" s="212"/>
    </row>
    <row r="393" spans="2:29">
      <c r="B393" s="167">
        <v>5</v>
      </c>
      <c r="C393" s="212">
        <f ca="1">SUM(C131:C161)</f>
        <v>6850.8499999999767</v>
      </c>
      <c r="D393" s="212">
        <f t="shared" ref="D393:T393" ca="1" si="115">SUM(D131:D161)</f>
        <v>6271.0999999999985</v>
      </c>
      <c r="E393" s="212">
        <f t="shared" ca="1" si="115"/>
        <v>1.4770000000000891</v>
      </c>
      <c r="F393" s="212">
        <f t="shared" ca="1" si="115"/>
        <v>2.8199999999999363</v>
      </c>
      <c r="G393" s="212">
        <f t="shared" ca="1" si="115"/>
        <v>13126.246999999976</v>
      </c>
      <c r="H393" s="212">
        <f t="shared" ca="1" si="115"/>
        <v>1138.421499999926</v>
      </c>
      <c r="I393" s="212">
        <f t="shared" ca="1" si="115"/>
        <v>5688.5824518806558</v>
      </c>
      <c r="J393" s="212">
        <f t="shared" ca="1" si="115"/>
        <v>1274.1428819278397</v>
      </c>
      <c r="K393" s="212">
        <f t="shared" ca="1" si="115"/>
        <v>393.59927971494608</v>
      </c>
      <c r="L393" s="212">
        <f t="shared" ca="1" si="115"/>
        <v>5034.0185000000229</v>
      </c>
      <c r="M393" s="212">
        <f t="shared" ca="1" si="115"/>
        <v>-402.5176135234156</v>
      </c>
      <c r="N393" s="212">
        <f t="shared" ca="1" si="115"/>
        <v>147.39299999999639</v>
      </c>
      <c r="O393" s="212">
        <f t="shared" ca="1" si="115"/>
        <v>5063.2699999999923</v>
      </c>
      <c r="P393" s="212">
        <f t="shared" ca="1" si="115"/>
        <v>1128.5100000000093</v>
      </c>
      <c r="Q393" s="212">
        <f t="shared" ca="1" si="115"/>
        <v>340.70000000000437</v>
      </c>
      <c r="R393" s="212">
        <f t="shared" ca="1" si="115"/>
        <v>5034.0185000000229</v>
      </c>
      <c r="S393" s="212">
        <f t="shared" ca="1" si="115"/>
        <v>419.85000000000582</v>
      </c>
      <c r="T393" s="212">
        <f t="shared" ca="1" si="115"/>
        <v>71.330000000001746</v>
      </c>
      <c r="U393" s="212"/>
      <c r="V393" s="212"/>
      <c r="W393" s="212"/>
      <c r="X393" s="212"/>
      <c r="Y393" s="214"/>
      <c r="Z393" s="738"/>
      <c r="AA393" s="212"/>
      <c r="AB393" s="212"/>
      <c r="AC393" s="212"/>
    </row>
    <row r="394" spans="2:29">
      <c r="B394" s="167">
        <v>6</v>
      </c>
      <c r="C394" s="212">
        <f ca="1">SUM(C162:C191)</f>
        <v>7944.3260000000009</v>
      </c>
      <c r="D394" s="212">
        <f t="shared" ref="D394:T394" ca="1" si="116">SUM(D162:D191)</f>
        <v>5185.239999999998</v>
      </c>
      <c r="E394" s="212">
        <f t="shared" ca="1" si="116"/>
        <v>0.78399999999987813</v>
      </c>
      <c r="F394" s="212">
        <f t="shared" ca="1" si="116"/>
        <v>1.3020000000000209</v>
      </c>
      <c r="G394" s="212">
        <f t="shared" ca="1" si="116"/>
        <v>13131.651999999998</v>
      </c>
      <c r="H394" s="212">
        <f t="shared" ca="1" si="116"/>
        <v>1048.8400000000013</v>
      </c>
      <c r="I394" s="212">
        <f t="shared" ca="1" si="116"/>
        <v>6034.4179778691214</v>
      </c>
      <c r="J394" s="212">
        <f t="shared" ca="1" si="116"/>
        <v>1229.2296889437036</v>
      </c>
      <c r="K394" s="212">
        <f t="shared" ca="1" si="116"/>
        <v>317.62954902110704</v>
      </c>
      <c r="L394" s="212">
        <f t="shared" ca="1" si="116"/>
        <v>4882.5749999999771</v>
      </c>
      <c r="M394" s="212">
        <f t="shared" ca="1" si="116"/>
        <v>-381.04021583393671</v>
      </c>
      <c r="N394" s="212">
        <f t="shared" ca="1" si="116"/>
        <v>138</v>
      </c>
      <c r="O394" s="212">
        <f t="shared" ca="1" si="116"/>
        <v>5412.5730000000112</v>
      </c>
      <c r="P394" s="212">
        <f t="shared" ca="1" si="116"/>
        <v>1097.3799999999901</v>
      </c>
      <c r="Q394" s="212">
        <f t="shared" ca="1" si="116"/>
        <v>284.49999999999636</v>
      </c>
      <c r="R394" s="212">
        <f t="shared" ca="1" si="116"/>
        <v>4882.5749999999771</v>
      </c>
      <c r="S394" s="212">
        <f t="shared" ca="1" si="116"/>
        <v>405</v>
      </c>
      <c r="T394" s="212">
        <f t="shared" ca="1" si="116"/>
        <v>-35513.530000000006</v>
      </c>
      <c r="U394" s="212"/>
      <c r="V394" s="212"/>
      <c r="W394" s="212"/>
      <c r="X394" s="212"/>
      <c r="Y394" s="214"/>
      <c r="Z394" s="738"/>
      <c r="AA394" s="212"/>
      <c r="AB394" s="212"/>
      <c r="AC394" s="212"/>
    </row>
    <row r="395" spans="2:29">
      <c r="B395" s="167">
        <v>7</v>
      </c>
      <c r="C395" s="212">
        <f ca="1">SUM(C192:C222)</f>
        <v>7105.6739999999991</v>
      </c>
      <c r="D395" s="212">
        <f t="shared" ref="D395:T395" ca="1" si="117">SUM(D192:D222)</f>
        <v>6458.760000000002</v>
      </c>
      <c r="E395" s="212">
        <f t="shared" ca="1" si="117"/>
        <v>1.8210000000001401</v>
      </c>
      <c r="F395" s="212">
        <f t="shared" ca="1" si="117"/>
        <v>1.7129999999999654</v>
      </c>
      <c r="G395" s="212">
        <f t="shared" ca="1" si="117"/>
        <v>13567.968000000001</v>
      </c>
      <c r="H395" s="212">
        <f t="shared" ca="1" si="117"/>
        <v>1119.0400000000302</v>
      </c>
      <c r="I395" s="212">
        <f t="shared" ca="1" si="117"/>
        <v>6275.7092505956916</v>
      </c>
      <c r="J395" s="212">
        <f t="shared" ca="1" si="117"/>
        <v>1272.1801375200453</v>
      </c>
      <c r="K395" s="212">
        <f t="shared" ca="1" si="117"/>
        <v>348.61112721246991</v>
      </c>
      <c r="L395" s="212">
        <f t="shared" ca="1" si="117"/>
        <v>4945.9800000000214</v>
      </c>
      <c r="M395" s="212">
        <f t="shared" ca="1" si="117"/>
        <v>-393.55251532825099</v>
      </c>
      <c r="N395" s="212">
        <f t="shared" ca="1" si="117"/>
        <v>137.10300000000279</v>
      </c>
      <c r="O395" s="212">
        <f t="shared" ca="1" si="117"/>
        <v>5618.9269999999888</v>
      </c>
      <c r="P395" s="212">
        <f t="shared" ca="1" si="117"/>
        <v>1146.4199999999983</v>
      </c>
      <c r="Q395" s="212">
        <f t="shared" ca="1" si="117"/>
        <v>315.69999999999891</v>
      </c>
      <c r="R395" s="212">
        <f t="shared" ca="1" si="117"/>
        <v>4945.9800000000214</v>
      </c>
      <c r="S395" s="212">
        <f t="shared" ca="1" si="117"/>
        <v>420.07999999998719</v>
      </c>
      <c r="T395" s="212">
        <f t="shared" ca="1" si="117"/>
        <v>94.109999999999346</v>
      </c>
      <c r="U395" s="212"/>
      <c r="V395" s="212"/>
      <c r="W395" s="212"/>
      <c r="X395" s="212"/>
      <c r="Y395" s="214"/>
      <c r="Z395" s="738"/>
      <c r="AA395" s="212"/>
      <c r="AB395" s="212"/>
      <c r="AC395" s="212"/>
    </row>
    <row r="396" spans="2:29">
      <c r="B396" s="167">
        <v>8</v>
      </c>
      <c r="C396" s="212">
        <f ca="1">SUM(C223:C253)</f>
        <v>6453.3000000000466</v>
      </c>
      <c r="D396" s="212">
        <f t="shared" ref="D396:T396" ca="1" si="118">SUM(D223:D253)</f>
        <v>7362.4000000000015</v>
      </c>
      <c r="E396" s="212">
        <f t="shared" ca="1" si="118"/>
        <v>4</v>
      </c>
      <c r="F396" s="212">
        <f t="shared" ca="1" si="118"/>
        <v>9.9680000000000746</v>
      </c>
      <c r="G396" s="212">
        <f t="shared" ca="1" si="118"/>
        <v>13829.668000000049</v>
      </c>
      <c r="H396" s="212">
        <f t="shared" ca="1" si="118"/>
        <v>1176.4170000000011</v>
      </c>
      <c r="I396" s="212">
        <f t="shared" ca="1" si="118"/>
        <v>6353.0777712290792</v>
      </c>
      <c r="J396" s="212">
        <f t="shared" ca="1" si="118"/>
        <v>1245.0146166435766</v>
      </c>
      <c r="K396" s="212">
        <f t="shared" ca="1" si="118"/>
        <v>363.18896386739192</v>
      </c>
      <c r="L396" s="212">
        <f t="shared" ca="1" si="118"/>
        <v>5074.9510000000255</v>
      </c>
      <c r="M396" s="212">
        <f t="shared" ca="1" si="118"/>
        <v>-382.9813517400479</v>
      </c>
      <c r="N396" s="212">
        <f t="shared" ca="1" si="118"/>
        <v>136</v>
      </c>
      <c r="O396" s="212">
        <f t="shared" ca="1" si="118"/>
        <v>5748.0999999999949</v>
      </c>
      <c r="P396" s="212">
        <f t="shared" ca="1" si="118"/>
        <v>1125.2000000000116</v>
      </c>
      <c r="Q396" s="212">
        <f t="shared" ca="1" si="118"/>
        <v>327.00000000000546</v>
      </c>
      <c r="R396" s="212">
        <f t="shared" ca="1" si="118"/>
        <v>5074.9510000000255</v>
      </c>
      <c r="S396" s="212">
        <f t="shared" ca="1" si="118"/>
        <v>374</v>
      </c>
      <c r="T396" s="212">
        <f t="shared" ca="1" si="118"/>
        <v>115.79999999999964</v>
      </c>
      <c r="U396" s="212"/>
      <c r="V396" s="212"/>
      <c r="W396" s="212"/>
      <c r="X396" s="212"/>
      <c r="Y396" s="214"/>
      <c r="Z396" s="738"/>
      <c r="AA396" s="212"/>
      <c r="AB396" s="212"/>
      <c r="AC396" s="212"/>
    </row>
    <row r="397" spans="2:29">
      <c r="B397" s="167">
        <v>9</v>
      </c>
      <c r="C397" s="212">
        <f ca="1">SUM(C254:C283)</f>
        <v>3745.1999999999534</v>
      </c>
      <c r="D397" s="212">
        <f t="shared" ref="D397:T397" ca="1" si="119">SUM(D254:D283)</f>
        <v>9563.5999999999985</v>
      </c>
      <c r="E397" s="212">
        <f t="shared" ca="1" si="119"/>
        <v>1.8540000000000418</v>
      </c>
      <c r="F397" s="212">
        <f t="shared" ca="1" si="119"/>
        <v>47.394999999999982</v>
      </c>
      <c r="G397" s="212">
        <f t="shared" ca="1" si="119"/>
        <v>13358.04899999995</v>
      </c>
      <c r="H397" s="212">
        <f t="shared" ca="1" si="119"/>
        <v>1129.0130000000063</v>
      </c>
      <c r="I397" s="212">
        <f t="shared" ca="1" si="119"/>
        <v>6148.1344033027408</v>
      </c>
      <c r="J397" s="212">
        <f t="shared" ca="1" si="119"/>
        <v>1283.3361003868301</v>
      </c>
      <c r="K397" s="212">
        <f t="shared" ca="1" si="119"/>
        <v>318.09857623599794</v>
      </c>
      <c r="L397" s="212">
        <f t="shared" ca="1" si="119"/>
        <v>4849.9319999999734</v>
      </c>
      <c r="M397" s="212">
        <f t="shared" ca="1" si="119"/>
        <v>-370.46507992557792</v>
      </c>
      <c r="N397" s="212">
        <f t="shared" ca="1" si="119"/>
        <v>143.04399999999441</v>
      </c>
      <c r="O397" s="212">
        <f t="shared" ca="1" si="119"/>
        <v>5514.2999999999993</v>
      </c>
      <c r="P397" s="212">
        <f t="shared" ca="1" si="119"/>
        <v>1151.1999999999971</v>
      </c>
      <c r="Q397" s="212">
        <f t="shared" ca="1" si="119"/>
        <v>290.19999999999709</v>
      </c>
      <c r="R397" s="212">
        <f t="shared" ca="1" si="119"/>
        <v>4849.9319999999734</v>
      </c>
      <c r="S397" s="212">
        <f t="shared" ca="1" si="119"/>
        <v>421.54999999998836</v>
      </c>
      <c r="T397" s="212">
        <f t="shared" ca="1" si="119"/>
        <v>91.599999999999625</v>
      </c>
      <c r="U397" s="212"/>
      <c r="V397" s="212"/>
      <c r="W397" s="212"/>
      <c r="X397" s="212"/>
      <c r="Y397" s="214"/>
      <c r="Z397" s="738"/>
      <c r="AA397" s="212"/>
      <c r="AB397" s="212"/>
      <c r="AC397" s="212"/>
    </row>
    <row r="398" spans="2:29">
      <c r="B398" s="167">
        <v>10</v>
      </c>
      <c r="C398" s="212">
        <f ca="1">SUM(C284:C314)</f>
        <v>3667.5</v>
      </c>
      <c r="D398" s="212">
        <f t="shared" ref="D398:T398" ca="1" si="120">SUM(D284:D314)</f>
        <v>9807</v>
      </c>
      <c r="E398" s="212">
        <f t="shared" ca="1" si="120"/>
        <v>1.5299999999999727</v>
      </c>
      <c r="F398" s="212">
        <f t="shared" ca="1" si="120"/>
        <v>108.40300000000002</v>
      </c>
      <c r="G398" s="212">
        <f t="shared" ca="1" si="120"/>
        <v>13584.433000000001</v>
      </c>
      <c r="H398" s="212">
        <f t="shared" ca="1" si="120"/>
        <v>1060.1749999999734</v>
      </c>
      <c r="I398" s="212">
        <f t="shared" ca="1" si="120"/>
        <v>6262.0200094265729</v>
      </c>
      <c r="J398" s="212">
        <f t="shared" ca="1" si="120"/>
        <v>1324.1325959599844</v>
      </c>
      <c r="K398" s="212">
        <f t="shared" ca="1" si="120"/>
        <v>320.95676996924288</v>
      </c>
      <c r="L398" s="212">
        <f t="shared" ca="1" si="120"/>
        <v>4991.8480000000009</v>
      </c>
      <c r="M398" s="212">
        <f t="shared" ca="1" si="120"/>
        <v>-374.69937535575122</v>
      </c>
      <c r="N398" s="212">
        <f t="shared" ca="1" si="120"/>
        <v>150.79499999999825</v>
      </c>
      <c r="O398" s="212">
        <f t="shared" ca="1" si="120"/>
        <v>5619.4000000000087</v>
      </c>
      <c r="P398" s="212">
        <f t="shared" ca="1" si="120"/>
        <v>1187</v>
      </c>
      <c r="Q398" s="212">
        <f t="shared" ca="1" si="120"/>
        <v>289.20000000000255</v>
      </c>
      <c r="R398" s="212">
        <f t="shared" ca="1" si="120"/>
        <v>4991.8480000000009</v>
      </c>
      <c r="S398" s="212">
        <f t="shared" ca="1" si="120"/>
        <v>435.27999999999884</v>
      </c>
      <c r="T398" s="212">
        <f t="shared" ca="1" si="120"/>
        <v>87.619999999999663</v>
      </c>
      <c r="U398" s="212"/>
      <c r="V398" s="212"/>
      <c r="W398" s="212"/>
      <c r="X398" s="212"/>
      <c r="Y398" s="214"/>
      <c r="Z398" s="738"/>
      <c r="AA398" s="212"/>
      <c r="AB398" s="212"/>
      <c r="AC398" s="212"/>
    </row>
    <row r="399" spans="2:29">
      <c r="B399" s="167">
        <v>11</v>
      </c>
      <c r="C399" s="212">
        <f ca="1">SUM(C315:C344)</f>
        <v>147</v>
      </c>
      <c r="D399" s="212">
        <f t="shared" ref="D399:T399" ca="1" si="121">SUM(D315:D344)</f>
        <v>293</v>
      </c>
      <c r="E399" s="212">
        <f t="shared" ca="1" si="121"/>
        <v>0</v>
      </c>
      <c r="F399" s="212">
        <f t="shared" ca="1" si="121"/>
        <v>0</v>
      </c>
      <c r="G399" s="212">
        <f t="shared" ca="1" si="121"/>
        <v>440</v>
      </c>
      <c r="H399" s="212" t="e">
        <f t="shared" ca="1" si="121"/>
        <v>#DIV/0!</v>
      </c>
      <c r="I399" s="212" t="e">
        <f t="shared" ca="1" si="121"/>
        <v>#DIV/0!</v>
      </c>
      <c r="J399" s="212" t="e">
        <f t="shared" ca="1" si="121"/>
        <v>#DIV/0!</v>
      </c>
      <c r="K399" s="212" t="e">
        <f t="shared" ca="1" si="121"/>
        <v>#DIV/0!</v>
      </c>
      <c r="L399" s="212">
        <f t="shared" ca="1" si="121"/>
        <v>166.10099999999818</v>
      </c>
      <c r="M399" s="212" t="e">
        <f t="shared" ca="1" si="121"/>
        <v>#DIV/0!</v>
      </c>
      <c r="N399" s="212">
        <f t="shared" ca="1" si="121"/>
        <v>-66005</v>
      </c>
      <c r="O399" s="212">
        <f t="shared" ca="1" si="121"/>
        <v>177.20000000000073</v>
      </c>
      <c r="P399" s="212">
        <f t="shared" ca="1" si="121"/>
        <v>38.69999999999709</v>
      </c>
      <c r="Q399" s="212">
        <f t="shared" ca="1" si="121"/>
        <v>9.6999999999989086</v>
      </c>
      <c r="R399" s="212">
        <f t="shared" ca="1" si="121"/>
        <v>166.10099999999818</v>
      </c>
      <c r="S399" s="212">
        <f t="shared" ca="1" si="121"/>
        <v>-142541</v>
      </c>
      <c r="T399" s="212">
        <f t="shared" ca="1" si="121"/>
        <v>-14561.5</v>
      </c>
      <c r="U399" s="212"/>
      <c r="V399" s="212"/>
      <c r="W399" s="212"/>
      <c r="X399" s="212"/>
      <c r="Y399" s="214"/>
      <c r="Z399" s="738"/>
      <c r="AA399" s="212"/>
      <c r="AB399" s="212"/>
      <c r="AC399" s="212"/>
    </row>
    <row r="400" spans="2:29" ht="15" thickBot="1">
      <c r="B400" s="168">
        <v>12</v>
      </c>
      <c r="C400" s="212">
        <f ca="1">SUM(C345:C375)</f>
        <v>0</v>
      </c>
      <c r="D400" s="212">
        <f t="shared" ref="D400:T400" ca="1" si="122">SUM(D345:D375)</f>
        <v>0</v>
      </c>
      <c r="E400" s="212">
        <f t="shared" ca="1" si="122"/>
        <v>0</v>
      </c>
      <c r="F400" s="212">
        <f t="shared" ca="1" si="122"/>
        <v>0</v>
      </c>
      <c r="G400" s="212">
        <f t="shared" ca="1" si="122"/>
        <v>0</v>
      </c>
      <c r="H400" s="212" t="e">
        <f t="shared" ca="1" si="122"/>
        <v>#DIV/0!</v>
      </c>
      <c r="I400" s="212" t="e">
        <f t="shared" ca="1" si="122"/>
        <v>#DIV/0!</v>
      </c>
      <c r="J400" s="212" t="e">
        <f t="shared" ca="1" si="122"/>
        <v>#DIV/0!</v>
      </c>
      <c r="K400" s="212" t="e">
        <f t="shared" ca="1" si="122"/>
        <v>#DIV/0!</v>
      </c>
      <c r="L400" s="212">
        <f t="shared" ca="1" si="122"/>
        <v>0</v>
      </c>
      <c r="M400" s="212" t="e">
        <f t="shared" ca="1" si="122"/>
        <v>#DIV/0!</v>
      </c>
      <c r="N400" s="212">
        <f t="shared" ca="1" si="122"/>
        <v>0</v>
      </c>
      <c r="O400" s="212">
        <f t="shared" ca="1" si="122"/>
        <v>0</v>
      </c>
      <c r="P400" s="212">
        <f t="shared" ca="1" si="122"/>
        <v>0</v>
      </c>
      <c r="Q400" s="212">
        <f t="shared" ca="1" si="122"/>
        <v>0</v>
      </c>
      <c r="R400" s="212">
        <f t="shared" ca="1" si="122"/>
        <v>0</v>
      </c>
      <c r="S400" s="1263">
        <f t="shared" ca="1" si="122"/>
        <v>0</v>
      </c>
      <c r="T400" s="1263">
        <f t="shared" ca="1" si="122"/>
        <v>0</v>
      </c>
      <c r="U400" s="203"/>
      <c r="V400" s="203"/>
      <c r="W400" s="203"/>
      <c r="X400" s="203"/>
      <c r="Y400" s="207"/>
      <c r="Z400" s="738"/>
      <c r="AA400" s="212"/>
      <c r="AB400" s="212"/>
      <c r="AC400" s="212"/>
    </row>
    <row r="401" spans="2:29" ht="42.5" thickBot="1">
      <c r="B401" s="12" t="s">
        <v>1001</v>
      </c>
      <c r="C401" s="216">
        <f t="shared" ref="C401:P401" ca="1" si="123">SUM(C389:C400)</f>
        <v>68035.839999999967</v>
      </c>
      <c r="D401" s="216">
        <f t="shared" ca="1" si="123"/>
        <v>65457</v>
      </c>
      <c r="E401" s="216">
        <f t="shared" ca="1" si="123"/>
        <v>20.287000000000035</v>
      </c>
      <c r="F401" s="216">
        <f t="shared" ca="1" si="123"/>
        <v>205.15800000000002</v>
      </c>
      <c r="G401" s="216">
        <f t="shared" ca="1" si="123"/>
        <v>133718.28499999995</v>
      </c>
      <c r="H401" s="216" t="e">
        <f t="shared" ca="1" si="123"/>
        <v>#DIV/0!</v>
      </c>
      <c r="I401" s="216" t="e">
        <f t="shared" ca="1" si="123"/>
        <v>#DIV/0!</v>
      </c>
      <c r="J401" s="216" t="e">
        <f t="shared" ca="1" si="123"/>
        <v>#DIV/0!</v>
      </c>
      <c r="K401" s="1256" t="e">
        <f t="shared" ca="1" si="123"/>
        <v>#DIV/0!</v>
      </c>
      <c r="L401" s="216">
        <f t="shared" ca="1" si="123"/>
        <v>48433.208999999995</v>
      </c>
      <c r="M401" s="216" t="e">
        <f t="shared" ca="1" si="123"/>
        <v>#DIV/0!</v>
      </c>
      <c r="N401" s="216">
        <f t="shared" ca="1" si="123"/>
        <v>-64566.565000000002</v>
      </c>
      <c r="O401" s="216">
        <f t="shared" ca="1" si="123"/>
        <v>55426.23000000004</v>
      </c>
      <c r="P401" s="216">
        <f t="shared" ca="1" si="123"/>
        <v>11611.280000000006</v>
      </c>
      <c r="Q401" s="216">
        <f ca="1">SUM(Q389:Q400)</f>
        <v>3073.1999999999989</v>
      </c>
      <c r="R401" s="216">
        <f ca="1">SUM(R389:R400)</f>
        <v>48433.208999999995</v>
      </c>
      <c r="S401" s="216">
        <f ca="1">SUM(S389:S400)</f>
        <v>-138097.10000000003</v>
      </c>
      <c r="T401" s="1264">
        <f ca="1">SUM(T389:T400)</f>
        <v>-49345.409999999996</v>
      </c>
      <c r="U401" s="741"/>
      <c r="V401" s="741"/>
      <c r="W401" s="741"/>
      <c r="X401" s="741"/>
      <c r="Y401" s="742"/>
      <c r="Z401" s="739"/>
      <c r="AA401" s="216"/>
      <c r="AB401" s="216"/>
      <c r="AC401" s="216"/>
    </row>
    <row r="406" spans="2:29" ht="18" customHeight="1"/>
    <row r="407" spans="2:29" ht="21.75" customHeight="1"/>
  </sheetData>
  <mergeCells count="7">
    <mergeCell ref="B7:AC7"/>
    <mergeCell ref="B8:B10"/>
    <mergeCell ref="C9:G9"/>
    <mergeCell ref="C8:G8"/>
    <mergeCell ref="S8:Y8"/>
    <mergeCell ref="H8:M8"/>
    <mergeCell ref="N8:R8"/>
  </mergeCells>
  <pageMargins left="0.70866141732283472" right="0.70866141732283472" top="0.74803149606299213" bottom="0.74803149606299213" header="0.31496062992125984" footer="0.31496062992125984"/>
  <pageSetup scale="80" fitToWidth="0" fitToHeight="0" orientation="portrait" r:id="rId1"/>
  <ignoredErrors>
    <ignoredError sqref="W376:W378 W379:W387" formulaRange="1"/>
  </ignoredErrors>
  <drawing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FFC000"/>
  </sheetPr>
  <dimension ref="A1:CF71"/>
  <sheetViews>
    <sheetView topLeftCell="A10" zoomScale="70" zoomScaleNormal="70" workbookViewId="0">
      <selection activeCell="O37" sqref="O37"/>
    </sheetView>
  </sheetViews>
  <sheetFormatPr baseColWidth="10" defaultColWidth="11.453125" defaultRowHeight="14.5"/>
  <cols>
    <col min="1" max="2" width="11.453125" style="1043"/>
    <col min="3" max="3" width="7.54296875" style="1043" bestFit="1" customWidth="1"/>
    <col min="4" max="4" width="8.453125" style="1043" hidden="1" customWidth="1"/>
    <col min="5" max="5" width="7.54296875" style="1043" bestFit="1" customWidth="1"/>
    <col min="6" max="32" width="11.453125" style="1043"/>
    <col min="33" max="33" width="13.81640625" style="1043" bestFit="1" customWidth="1"/>
    <col min="34" max="16384" width="11.453125" style="1043"/>
  </cols>
  <sheetData>
    <row r="1" spans="1:84" ht="15" thickBot="1">
      <c r="C1" s="413"/>
      <c r="D1" s="437">
        <f>INICIO!D12</f>
        <v>45231</v>
      </c>
      <c r="F1" s="437">
        <f>INICIO!C8</f>
        <v>45231</v>
      </c>
    </row>
    <row r="2" spans="1:84" ht="20.5" thickBot="1">
      <c r="A2" s="2530" t="s">
        <v>379</v>
      </c>
      <c r="B2" s="2531"/>
      <c r="D2" s="437">
        <f>INICIO!D13</f>
        <v>45260</v>
      </c>
      <c r="F2" s="1043">
        <f>DAY(D2)</f>
        <v>30</v>
      </c>
    </row>
    <row r="3" spans="1:84" ht="27.5" thickBot="1">
      <c r="A3" s="2524" t="s">
        <v>399</v>
      </c>
      <c r="B3" s="2527" t="s">
        <v>400</v>
      </c>
      <c r="C3" s="411" t="s">
        <v>380</v>
      </c>
      <c r="D3" s="411" t="s">
        <v>581</v>
      </c>
      <c r="E3" s="412" t="s">
        <v>381</v>
      </c>
      <c r="F3" s="412" t="s">
        <v>382</v>
      </c>
      <c r="G3" s="411" t="s">
        <v>561</v>
      </c>
      <c r="H3" s="411" t="s">
        <v>383</v>
      </c>
      <c r="I3" s="411" t="s">
        <v>449</v>
      </c>
      <c r="J3" s="411" t="s">
        <v>384</v>
      </c>
      <c r="K3" s="411" t="s">
        <v>385</v>
      </c>
      <c r="L3" s="411" t="s">
        <v>386</v>
      </c>
      <c r="M3" s="411" t="s">
        <v>387</v>
      </c>
      <c r="N3" s="411" t="s">
        <v>388</v>
      </c>
      <c r="O3" s="411" t="s">
        <v>389</v>
      </c>
      <c r="P3" s="411" t="s">
        <v>390</v>
      </c>
      <c r="Q3" s="411" t="s">
        <v>391</v>
      </c>
      <c r="R3" s="411" t="s">
        <v>387</v>
      </c>
      <c r="S3" s="411" t="s">
        <v>392</v>
      </c>
      <c r="T3" s="411" t="s">
        <v>393</v>
      </c>
      <c r="U3" s="411" t="s">
        <v>394</v>
      </c>
      <c r="V3" s="411" t="s">
        <v>395</v>
      </c>
      <c r="W3" s="411" t="s">
        <v>396</v>
      </c>
      <c r="X3" s="411" t="s">
        <v>397</v>
      </c>
      <c r="Y3" s="411" t="s">
        <v>397</v>
      </c>
      <c r="Z3" s="411" t="s">
        <v>397</v>
      </c>
      <c r="AA3" s="411" t="s">
        <v>397</v>
      </c>
      <c r="AB3" s="411" t="s">
        <v>398</v>
      </c>
      <c r="AC3" s="414" t="s">
        <v>575</v>
      </c>
      <c r="AD3" s="414" t="s">
        <v>576</v>
      </c>
      <c r="AE3" s="414" t="s">
        <v>577</v>
      </c>
      <c r="AF3" s="414" t="s">
        <v>578</v>
      </c>
      <c r="AG3" s="1082" t="s">
        <v>438</v>
      </c>
    </row>
    <row r="4" spans="1:84" ht="15.75" customHeight="1">
      <c r="A4" s="2525"/>
      <c r="B4" s="2528"/>
      <c r="C4" s="1101" t="s">
        <v>401</v>
      </c>
      <c r="D4" s="1101" t="s">
        <v>401</v>
      </c>
      <c r="E4" s="1101" t="s">
        <v>401</v>
      </c>
      <c r="F4" s="1101" t="s">
        <v>401</v>
      </c>
      <c r="G4" s="1101" t="s">
        <v>401</v>
      </c>
      <c r="H4" s="1101" t="s">
        <v>1243</v>
      </c>
      <c r="I4" s="1102" t="s">
        <v>404</v>
      </c>
      <c r="J4" s="1102" t="s">
        <v>404</v>
      </c>
      <c r="K4" s="1101" t="s">
        <v>405</v>
      </c>
      <c r="L4" s="1101" t="s">
        <v>405</v>
      </c>
      <c r="M4" s="1103" t="s">
        <v>1239</v>
      </c>
      <c r="N4" s="1101" t="s">
        <v>1240</v>
      </c>
      <c r="O4" s="1101" t="s">
        <v>1241</v>
      </c>
      <c r="P4" s="1101"/>
      <c r="Q4" s="1101"/>
      <c r="R4" s="1101"/>
      <c r="S4" s="1101"/>
      <c r="T4" s="1101" t="s">
        <v>409</v>
      </c>
      <c r="U4" s="1101"/>
      <c r="V4" s="1101"/>
      <c r="W4" s="1101"/>
      <c r="X4" s="1101" t="s">
        <v>1235</v>
      </c>
      <c r="Y4" s="1101" t="s">
        <v>1236</v>
      </c>
      <c r="Z4" s="1101" t="s">
        <v>1237</v>
      </c>
      <c r="AA4" s="1101" t="s">
        <v>1238</v>
      </c>
      <c r="AB4" s="1101" t="s">
        <v>1234</v>
      </c>
      <c r="AC4" s="1090"/>
      <c r="AD4" s="1090"/>
      <c r="AE4" s="1090"/>
      <c r="AF4" s="1090"/>
      <c r="AG4" s="416" t="s">
        <v>493</v>
      </c>
    </row>
    <row r="5" spans="1:84" ht="15" thickBot="1">
      <c r="A5" s="2526"/>
      <c r="B5" s="2529"/>
      <c r="C5" s="1104" t="s">
        <v>580</v>
      </c>
      <c r="D5" s="1104" t="s">
        <v>581</v>
      </c>
      <c r="E5" s="1104" t="s">
        <v>582</v>
      </c>
      <c r="F5" s="1104" t="s">
        <v>417</v>
      </c>
      <c r="G5" s="1104" t="s">
        <v>538</v>
      </c>
      <c r="H5" s="1104" t="s">
        <v>418</v>
      </c>
      <c r="I5" s="1104" t="s">
        <v>420</v>
      </c>
      <c r="J5" s="1104" t="s">
        <v>420</v>
      </c>
      <c r="K5" s="1104" t="s">
        <v>420</v>
      </c>
      <c r="L5" s="1104" t="s">
        <v>420</v>
      </c>
      <c r="M5" s="1104" t="s">
        <v>421</v>
      </c>
      <c r="N5" s="1104" t="s">
        <v>422</v>
      </c>
      <c r="O5" s="1104" t="s">
        <v>422</v>
      </c>
      <c r="P5" s="1104" t="s">
        <v>423</v>
      </c>
      <c r="Q5" s="1104" t="s">
        <v>423</v>
      </c>
      <c r="R5" s="1104" t="s">
        <v>423</v>
      </c>
      <c r="S5" s="1104" t="s">
        <v>423</v>
      </c>
      <c r="T5" s="1104" t="s">
        <v>423</v>
      </c>
      <c r="U5" s="1104" t="s">
        <v>423</v>
      </c>
      <c r="V5" s="1104" t="s">
        <v>422</v>
      </c>
      <c r="W5" s="1104" t="s">
        <v>423</v>
      </c>
      <c r="X5" s="1104" t="s">
        <v>422</v>
      </c>
      <c r="Y5" s="1104" t="s">
        <v>422</v>
      </c>
      <c r="Z5" s="1104" t="s">
        <v>422</v>
      </c>
      <c r="AA5" s="1104" t="s">
        <v>422</v>
      </c>
      <c r="AB5" s="1104" t="s">
        <v>422</v>
      </c>
      <c r="AC5" s="1091"/>
      <c r="AD5" s="1091"/>
      <c r="AE5" s="1091"/>
      <c r="AF5" s="1091"/>
      <c r="AG5" s="1092" t="s">
        <v>1242</v>
      </c>
    </row>
    <row r="6" spans="1:84">
      <c r="A6" s="648">
        <f>D1</f>
        <v>45231</v>
      </c>
      <c r="B6" s="428">
        <f>IF('DATA DE LAS 12'!C6=0," ",'DATA DE LAS 12'!C6)</f>
        <v>0.89722222222222225</v>
      </c>
      <c r="C6" s="418">
        <f>IF('DATA DE LAS 12'!E6=0," ",'DATA DE LAS 12'!E6)</f>
        <v>6.1</v>
      </c>
      <c r="D6" s="418" t="e">
        <f>IF('DATA DE LAS 12'!#REF!=0," ",'DATA DE LAS 12'!#REF!)</f>
        <v>#REF!</v>
      </c>
      <c r="E6" s="418">
        <f>IF('DATA DE LAS 12'!AM6=0," ",'DATA DE LAS 12'!AM6)</f>
        <v>3.2</v>
      </c>
      <c r="F6" s="418">
        <f>IF('DATA DE LAS 12'!AL6=0," ",'DATA DE LAS 12'!AL6)</f>
        <v>13.83</v>
      </c>
      <c r="G6" s="418">
        <f>IF('DATA DE LAS 12'!AQ6=0," ",'DATA DE LAS 12'!AQ6)</f>
        <v>286</v>
      </c>
      <c r="H6" s="418">
        <f>IF('DATA DE LAS 12'!Z6=0," ",'DATA DE LAS 12'!Z6)</f>
        <v>60</v>
      </c>
      <c r="I6" s="418">
        <f>IF('DATA DE LAS 12'!AN6=0," ",'DATA DE LAS 12'!AN6)</f>
        <v>2.8</v>
      </c>
      <c r="J6" s="418">
        <f>IF('DATA DE LAS 12'!F6=0," ",'DATA DE LAS 12'!F6)</f>
        <v>3.3</v>
      </c>
      <c r="K6" s="418">
        <f>IF('DATA DE LAS 12'!G6=0," ",'DATA DE LAS 12'!G6)</f>
        <v>2</v>
      </c>
      <c r="L6" s="418">
        <f>IF('DATA DE LAS 12'!H6=0," ",'DATA DE LAS 12'!H6)</f>
        <v>1.9</v>
      </c>
      <c r="M6" s="418">
        <f>IF('DATA DE LAS 12'!V6=0," ",'DATA DE LAS 12'!V6)</f>
        <v>6.17</v>
      </c>
      <c r="N6" s="418">
        <f>IF('DATA DE LAS 12'!X6=0," ",'DATA DE LAS 12'!X6)</f>
        <v>290</v>
      </c>
      <c r="O6" s="424">
        <f>IF('DATA DE LAS 12'!BB6=0," ",'DATA DE LAS 12'!BB6)</f>
        <v>55</v>
      </c>
      <c r="P6" s="420"/>
      <c r="Q6" s="420"/>
      <c r="R6" s="420"/>
      <c r="S6" s="420"/>
      <c r="T6" s="420"/>
      <c r="U6" s="420"/>
      <c r="V6" s="420"/>
      <c r="W6" s="420"/>
      <c r="X6" s="424">
        <f>IF('DATA DE LAS 12'!BD6=0," ",'DATA DE LAS 12'!BD6)</f>
        <v>303</v>
      </c>
      <c r="Y6" s="424">
        <f>IF('DATA DE LAS 12'!BE6=0," ",'DATA DE LAS 12'!BE6)</f>
        <v>282</v>
      </c>
      <c r="Z6" s="424">
        <f>IF('DATA DE LAS 12'!BF6=0," ",'DATA DE LAS 12'!BF6)</f>
        <v>329</v>
      </c>
      <c r="AA6" s="424">
        <f>IF('DATA DE LAS 12'!BG6=0," ",'DATA DE LAS 12'!BG6)</f>
        <v>337</v>
      </c>
      <c r="AB6" s="424">
        <f>IF('DATA DE LAS 12'!BY6=0," ",'DATA DE LAS 12'!BY6)</f>
        <v>353</v>
      </c>
      <c r="AC6" s="433">
        <v>13</v>
      </c>
      <c r="AD6" s="433">
        <v>25</v>
      </c>
      <c r="AE6" s="433">
        <v>550</v>
      </c>
      <c r="AF6" s="433">
        <v>427</v>
      </c>
      <c r="AG6" s="424">
        <f>IF('DATA DE LAS 12'!W6=0," ",'DATA DE LAS 12'!W6)</f>
        <v>537</v>
      </c>
    </row>
    <row r="7" spans="1:84">
      <c r="A7" s="648">
        <f>A6+1</f>
        <v>45232</v>
      </c>
      <c r="B7" s="428">
        <f>IF('DATA DE LAS 12'!C7=0," ",'DATA DE LAS 12'!C7)</f>
        <v>0.85555555555555562</v>
      </c>
      <c r="C7" s="418" t="str">
        <f>IF('DATA DE LAS 12'!E7=0," ",'DATA DE LAS 12'!E7)</f>
        <v xml:space="preserve"> </v>
      </c>
      <c r="D7" s="418" t="e">
        <f>IF('DATA DE LAS 12'!#REF!=0," ",'DATA DE LAS 12'!#REF!)</f>
        <v>#REF!</v>
      </c>
      <c r="E7" s="418" t="str">
        <f>IF('DATA DE LAS 12'!AM7=0," ",'DATA DE LAS 12'!AM7)</f>
        <v xml:space="preserve"> </v>
      </c>
      <c r="F7" s="418" t="str">
        <f>IF('DATA DE LAS 12'!AL7=0," ",'DATA DE LAS 12'!AL7)</f>
        <v xml:space="preserve"> </v>
      </c>
      <c r="G7" s="418" t="str">
        <f>IF('DATA DE LAS 12'!AQ7=0," ",'DATA DE LAS 12'!AQ7)</f>
        <v xml:space="preserve"> </v>
      </c>
      <c r="H7" s="418" t="str">
        <f>IF('DATA DE LAS 12'!Z7=0," ",'DATA DE LAS 12'!Z7)</f>
        <v xml:space="preserve"> </v>
      </c>
      <c r="I7" s="418" t="str">
        <f>IF('DATA DE LAS 12'!AN7=0," ",'DATA DE LAS 12'!AN7)</f>
        <v xml:space="preserve"> </v>
      </c>
      <c r="J7" s="418" t="str">
        <f>IF('DATA DE LAS 12'!F7=0," ",'DATA DE LAS 12'!F7)</f>
        <v xml:space="preserve"> </v>
      </c>
      <c r="K7" s="418" t="str">
        <f>IF('DATA DE LAS 12'!G7=0," ",'DATA DE LAS 12'!G7)</f>
        <v xml:space="preserve"> </v>
      </c>
      <c r="L7" s="418" t="str">
        <f>IF('DATA DE LAS 12'!H7=0," ",'DATA DE LAS 12'!H7)</f>
        <v xml:space="preserve"> </v>
      </c>
      <c r="M7" s="418" t="str">
        <f>IF('DATA DE LAS 12'!V7=0," ",'DATA DE LAS 12'!V7)</f>
        <v xml:space="preserve"> </v>
      </c>
      <c r="N7" s="418" t="str">
        <f>IF('DATA DE LAS 12'!X7=0," ",'DATA DE LAS 12'!X7)</f>
        <v xml:space="preserve"> </v>
      </c>
      <c r="O7" s="424" t="str">
        <f>IF('DATA DE LAS 12'!BB7=0," ",'DATA DE LAS 12'!BB7)</f>
        <v xml:space="preserve"> </v>
      </c>
      <c r="P7" s="420"/>
      <c r="Q7" s="420"/>
      <c r="R7" s="420"/>
      <c r="S7" s="420"/>
      <c r="T7" s="420"/>
      <c r="U7" s="420"/>
      <c r="V7" s="420"/>
      <c r="W7" s="420"/>
      <c r="X7" s="424" t="str">
        <f>IF('DATA DE LAS 12'!BD7=0," ",'DATA DE LAS 12'!BD7)</f>
        <v xml:space="preserve"> </v>
      </c>
      <c r="Y7" s="424" t="str">
        <f>IF('DATA DE LAS 12'!BE7=0," ",'DATA DE LAS 12'!BE7)</f>
        <v xml:space="preserve"> </v>
      </c>
      <c r="Z7" s="424" t="str">
        <f>IF('DATA DE LAS 12'!BF7=0," ",'DATA DE LAS 12'!BF7)</f>
        <v xml:space="preserve"> </v>
      </c>
      <c r="AA7" s="424" t="str">
        <f>IF('DATA DE LAS 12'!BG7=0," ",'DATA DE LAS 12'!BG7)</f>
        <v xml:space="preserve"> </v>
      </c>
      <c r="AB7" s="424" t="str">
        <f>IF('DATA DE LAS 12'!BY7=0," ",'DATA DE LAS 12'!BY7)</f>
        <v xml:space="preserve"> </v>
      </c>
      <c r="AC7" s="433">
        <v>13</v>
      </c>
      <c r="AD7" s="433">
        <v>25</v>
      </c>
      <c r="AE7" s="433">
        <v>550</v>
      </c>
      <c r="AF7" s="433">
        <v>427</v>
      </c>
      <c r="AG7" s="424" t="str">
        <f>IF('DATA DE LAS 12'!W7=0," ",'DATA DE LAS 12'!W7)</f>
        <v xml:space="preserve"> </v>
      </c>
    </row>
    <row r="8" spans="1:84">
      <c r="A8" s="648">
        <f t="shared" ref="A8:A36" si="0">A7+1</f>
        <v>45233</v>
      </c>
      <c r="B8" s="428">
        <f>IF('DATA DE LAS 12'!C8=0," ",'DATA DE LAS 12'!C8)</f>
        <v>0.94791666666666663</v>
      </c>
      <c r="C8" s="418" t="str">
        <f>IF('DATA DE LAS 12'!E8=0," ",'DATA DE LAS 12'!E8)</f>
        <v xml:space="preserve"> </v>
      </c>
      <c r="D8" s="418" t="e">
        <f>IF('DATA DE LAS 12'!#REF!=0," ",'DATA DE LAS 12'!#REF!)</f>
        <v>#REF!</v>
      </c>
      <c r="E8" s="418" t="str">
        <f>IF('DATA DE LAS 12'!AM8=0," ",'DATA DE LAS 12'!AM8)</f>
        <v xml:space="preserve"> </v>
      </c>
      <c r="F8" s="418" t="str">
        <f>IF('DATA DE LAS 12'!AL8=0," ",'DATA DE LAS 12'!AL8)</f>
        <v xml:space="preserve"> </v>
      </c>
      <c r="G8" s="418" t="str">
        <f>IF('DATA DE LAS 12'!AQ8=0," ",'DATA DE LAS 12'!AQ8)</f>
        <v xml:space="preserve"> </v>
      </c>
      <c r="H8" s="418" t="str">
        <f>IF('DATA DE LAS 12'!Z8=0," ",'DATA DE LAS 12'!Z8)</f>
        <v xml:space="preserve"> </v>
      </c>
      <c r="I8" s="418" t="str">
        <f>IF('DATA DE LAS 12'!AN8=0," ",'DATA DE LAS 12'!AN8)</f>
        <v xml:space="preserve"> </v>
      </c>
      <c r="J8" s="418" t="str">
        <f>IF('DATA DE LAS 12'!F8=0," ",'DATA DE LAS 12'!F8)</f>
        <v xml:space="preserve"> </v>
      </c>
      <c r="K8" s="418" t="str">
        <f>IF('DATA DE LAS 12'!G8=0," ",'DATA DE LAS 12'!G8)</f>
        <v xml:space="preserve"> </v>
      </c>
      <c r="L8" s="418" t="str">
        <f>IF('DATA DE LAS 12'!H8=0," ",'DATA DE LAS 12'!H8)</f>
        <v xml:space="preserve"> </v>
      </c>
      <c r="M8" s="418" t="str">
        <f>IF('DATA DE LAS 12'!V8=0," ",'DATA DE LAS 12'!V8)</f>
        <v xml:space="preserve"> </v>
      </c>
      <c r="N8" s="418" t="str">
        <f>IF('DATA DE LAS 12'!X8=0," ",'DATA DE LAS 12'!X8)</f>
        <v xml:space="preserve"> </v>
      </c>
      <c r="O8" s="424" t="str">
        <f>IF('DATA DE LAS 12'!BB8=0," ",'DATA DE LAS 12'!BB8)</f>
        <v xml:space="preserve"> </v>
      </c>
      <c r="P8" s="420"/>
      <c r="Q8" s="420"/>
      <c r="R8" s="420"/>
      <c r="S8" s="420"/>
      <c r="T8" s="420"/>
      <c r="U8" s="420"/>
      <c r="V8" s="420"/>
      <c r="W8" s="420"/>
      <c r="X8" s="424" t="str">
        <f>IF('DATA DE LAS 12'!BD8=0," ",'DATA DE LAS 12'!BD8)</f>
        <v xml:space="preserve"> </v>
      </c>
      <c r="Y8" s="424" t="str">
        <f>IF('DATA DE LAS 12'!BE8=0," ",'DATA DE LAS 12'!BE8)</f>
        <v xml:space="preserve"> </v>
      </c>
      <c r="Z8" s="424" t="str">
        <f>IF('DATA DE LAS 12'!BF8=0," ",'DATA DE LAS 12'!BF8)</f>
        <v xml:space="preserve"> </v>
      </c>
      <c r="AA8" s="424" t="str">
        <f>IF('DATA DE LAS 12'!BG8=0," ",'DATA DE LAS 12'!BG8)</f>
        <v xml:space="preserve"> </v>
      </c>
      <c r="AB8" s="424" t="str">
        <f>IF('DATA DE LAS 12'!BY8=0," ",'DATA DE LAS 12'!BY8)</f>
        <v xml:space="preserve"> </v>
      </c>
      <c r="AC8" s="424">
        <v>13</v>
      </c>
      <c r="AD8" s="424">
        <v>25</v>
      </c>
      <c r="AE8" s="424">
        <v>550</v>
      </c>
      <c r="AF8" s="424">
        <v>427</v>
      </c>
      <c r="AG8" s="424" t="str">
        <f>IF('DATA DE LAS 12'!W8=0," ",'DATA DE LAS 12'!W8)</f>
        <v xml:space="preserve"> </v>
      </c>
    </row>
    <row r="9" spans="1:84">
      <c r="A9" s="648">
        <f t="shared" si="0"/>
        <v>45234</v>
      </c>
      <c r="B9" s="428">
        <f>IF('DATA DE LAS 12'!C9=0," ",'DATA DE LAS 12'!C9)</f>
        <v>0.75624999999999998</v>
      </c>
      <c r="C9" s="418" t="str">
        <f>IF('DATA DE LAS 12'!E9=0," ",'DATA DE LAS 12'!E9)</f>
        <v xml:space="preserve"> </v>
      </c>
      <c r="D9" s="418" t="e">
        <f>IF('DATA DE LAS 12'!#REF!=0," ",'DATA DE LAS 12'!#REF!)</f>
        <v>#REF!</v>
      </c>
      <c r="E9" s="418" t="str">
        <f>IF('DATA DE LAS 12'!AM9=0," ",'DATA DE LAS 12'!AM9)</f>
        <v xml:space="preserve"> </v>
      </c>
      <c r="F9" s="418" t="str">
        <f>IF('DATA DE LAS 12'!AL9=0," ",'DATA DE LAS 12'!AL9)</f>
        <v xml:space="preserve"> </v>
      </c>
      <c r="G9" s="418" t="str">
        <f>IF('DATA DE LAS 12'!AQ9=0," ",'DATA DE LAS 12'!AQ9)</f>
        <v xml:space="preserve"> </v>
      </c>
      <c r="H9" s="418" t="str">
        <f>IF('DATA DE LAS 12'!Z9=0," ",'DATA DE LAS 12'!Z9)</f>
        <v xml:space="preserve"> </v>
      </c>
      <c r="I9" s="418" t="str">
        <f>IF('DATA DE LAS 12'!AN9=0," ",'DATA DE LAS 12'!AN9)</f>
        <v xml:space="preserve"> </v>
      </c>
      <c r="J9" s="418" t="str">
        <f>IF('DATA DE LAS 12'!F9=0," ",'DATA DE LAS 12'!F9)</f>
        <v xml:space="preserve"> </v>
      </c>
      <c r="K9" s="418" t="str">
        <f>IF('DATA DE LAS 12'!G9=0," ",'DATA DE LAS 12'!G9)</f>
        <v xml:space="preserve"> </v>
      </c>
      <c r="L9" s="418" t="str">
        <f>IF('DATA DE LAS 12'!H9=0," ",'DATA DE LAS 12'!H9)</f>
        <v xml:space="preserve"> </v>
      </c>
      <c r="M9" s="418" t="str">
        <f>IF('DATA DE LAS 12'!V9=0," ",'DATA DE LAS 12'!V9)</f>
        <v xml:space="preserve"> </v>
      </c>
      <c r="N9" s="418" t="str">
        <f>IF('DATA DE LAS 12'!X9=0," ",'DATA DE LAS 12'!X9)</f>
        <v xml:space="preserve"> </v>
      </c>
      <c r="O9" s="424" t="str">
        <f>IF('DATA DE LAS 12'!BB9=0," ",'DATA DE LAS 12'!BB9)</f>
        <v xml:space="preserve"> </v>
      </c>
      <c r="P9" s="420"/>
      <c r="Q9" s="420"/>
      <c r="R9" s="420"/>
      <c r="S9" s="420"/>
      <c r="T9" s="420"/>
      <c r="U9" s="420"/>
      <c r="V9" s="420"/>
      <c r="W9" s="420"/>
      <c r="X9" s="424" t="str">
        <f>IF('DATA DE LAS 12'!BD9=0," ",'DATA DE LAS 12'!BD9)</f>
        <v xml:space="preserve"> </v>
      </c>
      <c r="Y9" s="424" t="str">
        <f>IF('DATA DE LAS 12'!BE9=0," ",'DATA DE LAS 12'!BE9)</f>
        <v xml:space="preserve"> </v>
      </c>
      <c r="Z9" s="424" t="str">
        <f>IF('DATA DE LAS 12'!BF9=0," ",'DATA DE LAS 12'!BF9)</f>
        <v xml:space="preserve"> </v>
      </c>
      <c r="AA9" s="424" t="str">
        <f>IF('DATA DE LAS 12'!BG9=0," ",'DATA DE LAS 12'!BG9)</f>
        <v xml:space="preserve"> </v>
      </c>
      <c r="AB9" s="424" t="str">
        <f>IF('DATA DE LAS 12'!BY9=0," ",'DATA DE LAS 12'!BY9)</f>
        <v xml:space="preserve"> </v>
      </c>
      <c r="AC9" s="424">
        <v>13</v>
      </c>
      <c r="AD9" s="424">
        <v>25</v>
      </c>
      <c r="AE9" s="424">
        <v>550</v>
      </c>
      <c r="AF9" s="424">
        <v>427</v>
      </c>
      <c r="AG9" s="424" t="str">
        <f>IF('DATA DE LAS 12'!W9=0," ",'DATA DE LAS 12'!W9)</f>
        <v xml:space="preserve"> </v>
      </c>
      <c r="AH9" s="433"/>
      <c r="AI9" s="433"/>
      <c r="AJ9" s="433"/>
      <c r="AK9" s="433"/>
      <c r="AL9" s="433"/>
      <c r="AM9" s="433"/>
      <c r="AN9" s="433"/>
      <c r="AO9" s="433"/>
      <c r="AP9" s="433"/>
      <c r="AQ9" s="433"/>
      <c r="AR9" s="433"/>
      <c r="AS9" s="433"/>
      <c r="AT9" s="433"/>
      <c r="AU9" s="433"/>
      <c r="AV9" s="433"/>
      <c r="AW9" s="433"/>
      <c r="AX9" s="433"/>
      <c r="AY9" s="433"/>
      <c r="AZ9" s="433"/>
      <c r="BA9" s="433"/>
      <c r="BB9" s="433"/>
      <c r="BC9" s="433"/>
      <c r="BD9" s="433"/>
      <c r="BE9" s="433"/>
      <c r="BF9" s="433"/>
      <c r="BG9" s="433"/>
      <c r="BH9" s="433"/>
      <c r="BI9" s="433"/>
      <c r="BJ9" s="433"/>
      <c r="BK9" s="433"/>
      <c r="BL9" s="433"/>
      <c r="BM9" s="433"/>
      <c r="BN9" s="433"/>
      <c r="BO9" s="433"/>
      <c r="BP9" s="433"/>
      <c r="BQ9" s="433"/>
      <c r="BR9" s="433"/>
      <c r="BS9" s="433"/>
      <c r="BT9" s="433"/>
      <c r="BU9" s="433"/>
      <c r="BV9" s="433"/>
      <c r="BW9" s="433"/>
      <c r="BX9" s="433"/>
      <c r="BY9" s="433"/>
      <c r="BZ9" s="433"/>
      <c r="CA9" s="433"/>
      <c r="CB9" s="433"/>
      <c r="CC9" s="433"/>
      <c r="CD9" s="433"/>
      <c r="CE9" s="433"/>
      <c r="CF9" s="433"/>
    </row>
    <row r="10" spans="1:84">
      <c r="A10" s="648">
        <f t="shared" si="0"/>
        <v>45235</v>
      </c>
      <c r="B10" s="428">
        <f>IF('DATA DE LAS 12'!C10=0," ",'DATA DE LAS 12'!C10)</f>
        <v>0.81805555555555554</v>
      </c>
      <c r="C10" s="418" t="str">
        <f>IF('DATA DE LAS 12'!E10=0," ",'DATA DE LAS 12'!E10)</f>
        <v xml:space="preserve"> </v>
      </c>
      <c r="D10" s="418" t="e">
        <f>IF('DATA DE LAS 12'!#REF!=0," ",'DATA DE LAS 12'!#REF!)</f>
        <v>#REF!</v>
      </c>
      <c r="E10" s="418" t="str">
        <f>IF('DATA DE LAS 12'!AM10=0," ",'DATA DE LAS 12'!AM10)</f>
        <v xml:space="preserve"> </v>
      </c>
      <c r="F10" s="418" t="str">
        <f>IF('DATA DE LAS 12'!AL10=0," ",'DATA DE LAS 12'!AL10)</f>
        <v xml:space="preserve"> </v>
      </c>
      <c r="G10" s="418" t="str">
        <f>IF('DATA DE LAS 12'!AQ10=0," ",'DATA DE LAS 12'!AQ10)</f>
        <v xml:space="preserve"> </v>
      </c>
      <c r="H10" s="418" t="str">
        <f>IF('DATA DE LAS 12'!Z10=0," ",'DATA DE LAS 12'!Z10)</f>
        <v xml:space="preserve"> </v>
      </c>
      <c r="I10" s="418" t="str">
        <f>IF('DATA DE LAS 12'!AN10=0," ",'DATA DE LAS 12'!AN10)</f>
        <v xml:space="preserve"> </v>
      </c>
      <c r="J10" s="418" t="str">
        <f>IF('DATA DE LAS 12'!F10=0," ",'DATA DE LAS 12'!F10)</f>
        <v xml:space="preserve"> </v>
      </c>
      <c r="K10" s="418" t="str">
        <f>IF('DATA DE LAS 12'!G10=0," ",'DATA DE LAS 12'!G10)</f>
        <v xml:space="preserve"> </v>
      </c>
      <c r="L10" s="418" t="str">
        <f>IF('DATA DE LAS 12'!H10=0," ",'DATA DE LAS 12'!H10)</f>
        <v xml:space="preserve"> </v>
      </c>
      <c r="M10" s="418" t="str">
        <f>IF('DATA DE LAS 12'!V10=0," ",'DATA DE LAS 12'!V10)</f>
        <v xml:space="preserve"> </v>
      </c>
      <c r="N10" s="418" t="str">
        <f>IF('DATA DE LAS 12'!X10=0," ",'DATA DE LAS 12'!X10)</f>
        <v xml:space="preserve"> </v>
      </c>
      <c r="O10" s="424" t="str">
        <f>IF('DATA DE LAS 12'!BB10=0," ",'DATA DE LAS 12'!BB10)</f>
        <v xml:space="preserve"> </v>
      </c>
      <c r="P10" s="420"/>
      <c r="Q10" s="420"/>
      <c r="R10" s="420"/>
      <c r="S10" s="420"/>
      <c r="T10" s="420"/>
      <c r="U10" s="420"/>
      <c r="V10" s="420"/>
      <c r="W10" s="420"/>
      <c r="X10" s="424" t="str">
        <f>IF('DATA DE LAS 12'!BD10=0," ",'DATA DE LAS 12'!BD10)</f>
        <v xml:space="preserve"> </v>
      </c>
      <c r="Y10" s="424" t="str">
        <f>IF('DATA DE LAS 12'!BE10=0," ",'DATA DE LAS 12'!BE10)</f>
        <v xml:space="preserve"> </v>
      </c>
      <c r="Z10" s="424" t="str">
        <f>IF('DATA DE LAS 12'!BF10=0," ",'DATA DE LAS 12'!BF10)</f>
        <v xml:space="preserve"> </v>
      </c>
      <c r="AA10" s="424" t="str">
        <f>IF('DATA DE LAS 12'!BG10=0," ",'DATA DE LAS 12'!BG10)</f>
        <v xml:space="preserve"> </v>
      </c>
      <c r="AB10" s="424" t="str">
        <f>IF('DATA DE LAS 12'!BY10=0," ",'DATA DE LAS 12'!BY10)</f>
        <v xml:space="preserve"> </v>
      </c>
      <c r="AC10" s="424">
        <v>13</v>
      </c>
      <c r="AD10" s="424">
        <v>25</v>
      </c>
      <c r="AE10" s="424">
        <v>550</v>
      </c>
      <c r="AF10" s="424">
        <v>427</v>
      </c>
      <c r="AG10" s="424" t="str">
        <f>IF('DATA DE LAS 12'!W10=0," ",'DATA DE LAS 12'!W10)</f>
        <v xml:space="preserve"> </v>
      </c>
      <c r="AH10" s="433"/>
      <c r="AI10" s="433"/>
      <c r="AJ10" s="433"/>
      <c r="AK10" s="433"/>
      <c r="AL10" s="433"/>
      <c r="AM10" s="433"/>
      <c r="AN10" s="433"/>
      <c r="AO10" s="433"/>
      <c r="AP10" s="433"/>
      <c r="AQ10" s="433"/>
      <c r="AR10" s="433"/>
      <c r="AS10" s="433"/>
      <c r="AT10" s="433"/>
      <c r="AU10" s="433"/>
      <c r="AV10" s="433"/>
      <c r="AW10" s="433"/>
      <c r="AX10" s="433"/>
      <c r="AY10" s="433"/>
      <c r="AZ10" s="433"/>
      <c r="BA10" s="433"/>
      <c r="BB10" s="433"/>
      <c r="BC10" s="433"/>
      <c r="BD10" s="433"/>
      <c r="BE10" s="433"/>
      <c r="BF10" s="433"/>
      <c r="BG10" s="433"/>
      <c r="BH10" s="433"/>
      <c r="BI10" s="433"/>
      <c r="BJ10" s="433"/>
      <c r="BK10" s="433"/>
      <c r="BL10" s="433"/>
      <c r="BM10" s="433"/>
      <c r="BN10" s="433"/>
      <c r="BO10" s="433"/>
      <c r="BP10" s="433"/>
      <c r="BQ10" s="433"/>
      <c r="BR10" s="433"/>
      <c r="BS10" s="433"/>
      <c r="BT10" s="433"/>
      <c r="BU10" s="433"/>
      <c r="BV10" s="433"/>
      <c r="BW10" s="433"/>
      <c r="BX10" s="433"/>
      <c r="BY10" s="433"/>
      <c r="BZ10" s="433"/>
      <c r="CA10" s="433"/>
      <c r="CB10" s="433"/>
      <c r="CC10" s="433"/>
      <c r="CD10" s="433"/>
      <c r="CE10" s="433"/>
      <c r="CF10" s="433"/>
    </row>
    <row r="11" spans="1:84">
      <c r="A11" s="648">
        <f t="shared" si="0"/>
        <v>45236</v>
      </c>
      <c r="B11" s="428">
        <f>IF('DATA DE LAS 12'!C11=0," ",'DATA DE LAS 12'!C11)</f>
        <v>0.9243055555555556</v>
      </c>
      <c r="C11" s="418" t="str">
        <f>IF('DATA DE LAS 12'!E11=0," ",'DATA DE LAS 12'!E11)</f>
        <v xml:space="preserve"> </v>
      </c>
      <c r="D11" s="418" t="e">
        <f>IF('DATA DE LAS 12'!#REF!=0," ",'DATA DE LAS 12'!#REF!)</f>
        <v>#REF!</v>
      </c>
      <c r="E11" s="418" t="str">
        <f>IF('DATA DE LAS 12'!AM11=0," ",'DATA DE LAS 12'!AM11)</f>
        <v xml:space="preserve"> </v>
      </c>
      <c r="F11" s="418" t="str">
        <f>IF('DATA DE LAS 12'!AL11=0," ",'DATA DE LAS 12'!AL11)</f>
        <v xml:space="preserve"> </v>
      </c>
      <c r="G11" s="418" t="str">
        <f>IF('DATA DE LAS 12'!AQ11=0," ",'DATA DE LAS 12'!AQ11)</f>
        <v xml:space="preserve"> </v>
      </c>
      <c r="H11" s="418" t="str">
        <f>IF('DATA DE LAS 12'!Z11=0," ",'DATA DE LAS 12'!Z11)</f>
        <v xml:space="preserve"> </v>
      </c>
      <c r="I11" s="418" t="str">
        <f>IF('DATA DE LAS 12'!AN11=0," ",'DATA DE LAS 12'!AN11)</f>
        <v xml:space="preserve"> </v>
      </c>
      <c r="J11" s="418" t="str">
        <f>IF('DATA DE LAS 12'!F11=0," ",'DATA DE LAS 12'!F11)</f>
        <v xml:space="preserve"> </v>
      </c>
      <c r="K11" s="418" t="str">
        <f>IF('DATA DE LAS 12'!G11=0," ",'DATA DE LAS 12'!G11)</f>
        <v xml:space="preserve"> </v>
      </c>
      <c r="L11" s="418" t="str">
        <f>IF('DATA DE LAS 12'!H11=0," ",'DATA DE LAS 12'!H11)</f>
        <v xml:space="preserve"> </v>
      </c>
      <c r="M11" s="418" t="str">
        <f>IF('DATA DE LAS 12'!V11=0," ",'DATA DE LAS 12'!V11)</f>
        <v xml:space="preserve"> </v>
      </c>
      <c r="N11" s="418" t="str">
        <f>IF('DATA DE LAS 12'!X11=0," ",'DATA DE LAS 12'!X11)</f>
        <v xml:space="preserve"> </v>
      </c>
      <c r="O11" s="424" t="str">
        <f>IF('DATA DE LAS 12'!BB11=0," ",'DATA DE LAS 12'!BB11)</f>
        <v xml:space="preserve"> </v>
      </c>
      <c r="P11" s="420"/>
      <c r="Q11" s="420"/>
      <c r="R11" s="420"/>
      <c r="S11" s="420"/>
      <c r="T11" s="420"/>
      <c r="U11" s="420"/>
      <c r="V11" s="420"/>
      <c r="W11" s="420"/>
      <c r="X11" s="424" t="str">
        <f>IF('DATA DE LAS 12'!BD11=0," ",'DATA DE LAS 12'!BD11)</f>
        <v xml:space="preserve"> </v>
      </c>
      <c r="Y11" s="424" t="str">
        <f>IF('DATA DE LAS 12'!BE11=0," ",'DATA DE LAS 12'!BE11)</f>
        <v xml:space="preserve"> </v>
      </c>
      <c r="Z11" s="424" t="str">
        <f>IF('DATA DE LAS 12'!BF11=0," ",'DATA DE LAS 12'!BF11)</f>
        <v xml:space="preserve"> </v>
      </c>
      <c r="AA11" s="424" t="str">
        <f>IF('DATA DE LAS 12'!BG11=0," ",'DATA DE LAS 12'!BG11)</f>
        <v xml:space="preserve"> </v>
      </c>
      <c r="AB11" s="424" t="str">
        <f>IF('DATA DE LAS 12'!BY11=0," ",'DATA DE LAS 12'!BY11)</f>
        <v xml:space="preserve"> </v>
      </c>
      <c r="AC11" s="424">
        <v>13</v>
      </c>
      <c r="AD11" s="424">
        <v>25</v>
      </c>
      <c r="AE11" s="424">
        <v>550</v>
      </c>
      <c r="AF11" s="424">
        <v>427</v>
      </c>
      <c r="AG11" s="424" t="str">
        <f>IF('DATA DE LAS 12'!W11=0," ",'DATA DE LAS 12'!W11)</f>
        <v xml:space="preserve"> </v>
      </c>
      <c r="AH11" s="433"/>
      <c r="AI11" s="433"/>
      <c r="AJ11" s="433"/>
      <c r="AK11" s="433"/>
      <c r="AL11" s="433"/>
      <c r="AM11" s="433"/>
      <c r="AN11" s="433"/>
      <c r="AO11" s="433"/>
      <c r="AP11" s="433"/>
      <c r="AQ11" s="433"/>
      <c r="AR11" s="433"/>
      <c r="AS11" s="433"/>
      <c r="AT11" s="433"/>
      <c r="AU11" s="433"/>
      <c r="AV11" s="433"/>
      <c r="AW11" s="433"/>
      <c r="AX11" s="433"/>
      <c r="AY11" s="433"/>
      <c r="AZ11" s="433"/>
      <c r="BA11" s="433"/>
      <c r="BB11" s="433"/>
      <c r="BC11" s="433"/>
      <c r="BD11" s="433"/>
      <c r="BE11" s="433"/>
      <c r="BF11" s="433"/>
      <c r="BG11" s="433"/>
      <c r="BH11" s="433"/>
      <c r="BI11" s="433"/>
      <c r="BJ11" s="433"/>
      <c r="BK11" s="433"/>
      <c r="BL11" s="433"/>
      <c r="BM11" s="433"/>
      <c r="BN11" s="433"/>
      <c r="BO11" s="433"/>
      <c r="BP11" s="433"/>
      <c r="BQ11" s="433"/>
      <c r="BR11" s="433"/>
      <c r="BS11" s="433"/>
      <c r="BT11" s="433"/>
      <c r="BU11" s="433"/>
      <c r="BV11" s="433"/>
      <c r="BW11" s="433"/>
      <c r="BX11" s="433"/>
      <c r="BY11" s="433"/>
      <c r="BZ11" s="433"/>
      <c r="CA11" s="433"/>
      <c r="CB11" s="433"/>
      <c r="CC11" s="433"/>
      <c r="CD11" s="433"/>
      <c r="CE11" s="433"/>
      <c r="CF11" s="433"/>
    </row>
    <row r="12" spans="1:84">
      <c r="A12" s="648">
        <f t="shared" si="0"/>
        <v>45237</v>
      </c>
      <c r="B12" s="428">
        <f>IF('DATA DE LAS 12'!C12=0," ",'DATA DE LAS 12'!C12)</f>
        <v>0.88888888888888884</v>
      </c>
      <c r="C12" s="418" t="str">
        <f>IF('DATA DE LAS 12'!E12=0," ",'DATA DE LAS 12'!E12)</f>
        <v xml:space="preserve"> </v>
      </c>
      <c r="D12" s="418" t="e">
        <f>IF('DATA DE LAS 12'!#REF!=0," ",'DATA DE LAS 12'!#REF!)</f>
        <v>#REF!</v>
      </c>
      <c r="E12" s="418" t="str">
        <f>IF('DATA DE LAS 12'!AM12=0," ",'DATA DE LAS 12'!AM12)</f>
        <v xml:space="preserve"> </v>
      </c>
      <c r="F12" s="418" t="str">
        <f>IF('DATA DE LAS 12'!AL12=0," ",'DATA DE LAS 12'!AL12)</f>
        <v xml:space="preserve"> </v>
      </c>
      <c r="G12" s="418" t="str">
        <f>IF('DATA DE LAS 12'!AQ12=0," ",'DATA DE LAS 12'!AQ12)</f>
        <v xml:space="preserve"> </v>
      </c>
      <c r="H12" s="418" t="str">
        <f>IF('DATA DE LAS 12'!Z12=0," ",'DATA DE LAS 12'!Z12)</f>
        <v xml:space="preserve"> </v>
      </c>
      <c r="I12" s="418" t="str">
        <f>IF('DATA DE LAS 12'!AN12=0," ",'DATA DE LAS 12'!AN12)</f>
        <v xml:space="preserve"> </v>
      </c>
      <c r="J12" s="418" t="str">
        <f>IF('DATA DE LAS 12'!F12=0," ",'DATA DE LAS 12'!F12)</f>
        <v xml:space="preserve"> </v>
      </c>
      <c r="K12" s="418" t="str">
        <f>IF('DATA DE LAS 12'!G12=0," ",'DATA DE LAS 12'!G12)</f>
        <v xml:space="preserve"> </v>
      </c>
      <c r="L12" s="418" t="str">
        <f>IF('DATA DE LAS 12'!H12=0," ",'DATA DE LAS 12'!H12)</f>
        <v xml:space="preserve"> </v>
      </c>
      <c r="M12" s="418" t="str">
        <f>IF('DATA DE LAS 12'!V12=0," ",'DATA DE LAS 12'!V12)</f>
        <v xml:space="preserve"> </v>
      </c>
      <c r="N12" s="418" t="str">
        <f>IF('DATA DE LAS 12'!X12=0," ",'DATA DE LAS 12'!X12)</f>
        <v xml:space="preserve"> </v>
      </c>
      <c r="O12" s="424" t="str">
        <f>IF('DATA DE LAS 12'!BB12=0," ",'DATA DE LAS 12'!BB12)</f>
        <v xml:space="preserve"> </v>
      </c>
      <c r="P12" s="420"/>
      <c r="Q12" s="420"/>
      <c r="R12" s="420"/>
      <c r="S12" s="420"/>
      <c r="T12" s="420"/>
      <c r="U12" s="420"/>
      <c r="V12" s="420"/>
      <c r="W12" s="420"/>
      <c r="X12" s="424" t="str">
        <f>IF('DATA DE LAS 12'!BD12=0," ",'DATA DE LAS 12'!BD12)</f>
        <v xml:space="preserve"> </v>
      </c>
      <c r="Y12" s="424" t="str">
        <f>IF('DATA DE LAS 12'!BE12=0," ",'DATA DE LAS 12'!BE12)</f>
        <v xml:space="preserve"> </v>
      </c>
      <c r="Z12" s="424" t="str">
        <f>IF('DATA DE LAS 12'!BF12=0," ",'DATA DE LAS 12'!BF12)</f>
        <v xml:space="preserve"> </v>
      </c>
      <c r="AA12" s="424" t="str">
        <f>IF('DATA DE LAS 12'!BG12=0," ",'DATA DE LAS 12'!BG12)</f>
        <v xml:space="preserve"> </v>
      </c>
      <c r="AB12" s="424" t="str">
        <f>IF('DATA DE LAS 12'!BY12=0," ",'DATA DE LAS 12'!BY12)</f>
        <v xml:space="preserve"> </v>
      </c>
      <c r="AC12" s="424">
        <v>13</v>
      </c>
      <c r="AD12" s="424">
        <v>25</v>
      </c>
      <c r="AE12" s="424">
        <v>550</v>
      </c>
      <c r="AF12" s="424">
        <v>427</v>
      </c>
      <c r="AG12" s="424" t="str">
        <f>IF('DATA DE LAS 12'!W12=0," ",'DATA DE LAS 12'!W12)</f>
        <v xml:space="preserve"> </v>
      </c>
      <c r="AH12" s="433"/>
      <c r="AI12" s="433"/>
      <c r="AJ12" s="433"/>
      <c r="AK12" s="433"/>
      <c r="AL12" s="433"/>
      <c r="AM12" s="433"/>
      <c r="AN12" s="433"/>
      <c r="AO12" s="433"/>
      <c r="AP12" s="433"/>
      <c r="AQ12" s="433"/>
      <c r="AR12" s="433"/>
      <c r="AS12" s="433"/>
      <c r="AT12" s="433"/>
      <c r="AU12" s="433"/>
      <c r="AV12" s="433"/>
      <c r="AW12" s="433"/>
      <c r="AX12" s="433"/>
      <c r="AY12" s="433"/>
      <c r="AZ12" s="433"/>
      <c r="BA12" s="433"/>
      <c r="BB12" s="433"/>
      <c r="BC12" s="433"/>
      <c r="BD12" s="433"/>
      <c r="BE12" s="433"/>
      <c r="BF12" s="433"/>
      <c r="BG12" s="433"/>
      <c r="BH12" s="433"/>
      <c r="BI12" s="433"/>
      <c r="BJ12" s="433"/>
      <c r="BK12" s="433"/>
      <c r="BL12" s="433"/>
      <c r="BM12" s="433"/>
      <c r="BN12" s="433"/>
      <c r="BO12" s="433"/>
      <c r="BP12" s="433"/>
      <c r="BQ12" s="433"/>
      <c r="BR12" s="433"/>
      <c r="BS12" s="433"/>
      <c r="BT12" s="433"/>
      <c r="BU12" s="433"/>
      <c r="BV12" s="433"/>
      <c r="BW12" s="433"/>
      <c r="BX12" s="433"/>
      <c r="BY12" s="433"/>
      <c r="BZ12" s="433"/>
      <c r="CA12" s="433"/>
      <c r="CB12" s="433"/>
      <c r="CC12" s="433"/>
      <c r="CD12" s="433"/>
      <c r="CE12" s="433"/>
      <c r="CF12" s="433"/>
    </row>
    <row r="13" spans="1:84">
      <c r="A13" s="648">
        <f t="shared" si="0"/>
        <v>45238</v>
      </c>
      <c r="B13" s="428">
        <f>IF('DATA DE LAS 12'!C13=0," ",'DATA DE LAS 12'!C13)</f>
        <v>0.89583333333333337</v>
      </c>
      <c r="C13" s="418" t="str">
        <f>IF('DATA DE LAS 12'!E13=0," ",'DATA DE LAS 12'!E13)</f>
        <v xml:space="preserve"> </v>
      </c>
      <c r="D13" s="418" t="e">
        <f>IF('DATA DE LAS 12'!#REF!=0," ",'DATA DE LAS 12'!#REF!)</f>
        <v>#REF!</v>
      </c>
      <c r="E13" s="418" t="str">
        <f>IF('DATA DE LAS 12'!AM13=0," ",'DATA DE LAS 12'!AM13)</f>
        <v xml:space="preserve"> </v>
      </c>
      <c r="F13" s="418" t="str">
        <f>IF('DATA DE LAS 12'!AL13=0," ",'DATA DE LAS 12'!AL13)</f>
        <v xml:space="preserve"> </v>
      </c>
      <c r="G13" s="418" t="str">
        <f>IF('DATA DE LAS 12'!AQ13=0," ",'DATA DE LAS 12'!AQ13)</f>
        <v xml:space="preserve"> </v>
      </c>
      <c r="H13" s="418" t="str">
        <f>IF('DATA DE LAS 12'!Z13=0," ",'DATA DE LAS 12'!Z13)</f>
        <v xml:space="preserve"> </v>
      </c>
      <c r="I13" s="418" t="str">
        <f>IF('DATA DE LAS 12'!AN13=0," ",'DATA DE LAS 12'!AN13)</f>
        <v xml:space="preserve"> </v>
      </c>
      <c r="J13" s="418" t="str">
        <f>IF('DATA DE LAS 12'!F13=0," ",'DATA DE LAS 12'!F13)</f>
        <v xml:space="preserve"> </v>
      </c>
      <c r="K13" s="418" t="str">
        <f>IF('DATA DE LAS 12'!G13=0," ",'DATA DE LAS 12'!G13)</f>
        <v xml:space="preserve"> </v>
      </c>
      <c r="L13" s="418" t="str">
        <f>IF('DATA DE LAS 12'!H13=0," ",'DATA DE LAS 12'!H13)</f>
        <v xml:space="preserve"> </v>
      </c>
      <c r="M13" s="418" t="str">
        <f>IF('DATA DE LAS 12'!V13=0," ",'DATA DE LAS 12'!V13)</f>
        <v xml:space="preserve"> </v>
      </c>
      <c r="N13" s="418" t="str">
        <f>IF('DATA DE LAS 12'!X13=0," ",'DATA DE LAS 12'!X13)</f>
        <v xml:space="preserve"> </v>
      </c>
      <c r="O13" s="424" t="str">
        <f>IF('DATA DE LAS 12'!BB13=0," ",'DATA DE LAS 12'!BB13)</f>
        <v xml:space="preserve"> </v>
      </c>
      <c r="P13" s="420"/>
      <c r="Q13" s="420"/>
      <c r="R13" s="420"/>
      <c r="S13" s="420"/>
      <c r="T13" s="420"/>
      <c r="U13" s="420"/>
      <c r="V13" s="420"/>
      <c r="W13" s="420"/>
      <c r="X13" s="424" t="str">
        <f>IF('DATA DE LAS 12'!BD13=0," ",'DATA DE LAS 12'!BD13)</f>
        <v xml:space="preserve"> </v>
      </c>
      <c r="Y13" s="424" t="str">
        <f>IF('DATA DE LAS 12'!BE13=0," ",'DATA DE LAS 12'!BE13)</f>
        <v xml:space="preserve"> </v>
      </c>
      <c r="Z13" s="424" t="str">
        <f>IF('DATA DE LAS 12'!BF13=0," ",'DATA DE LAS 12'!BF13)</f>
        <v xml:space="preserve"> </v>
      </c>
      <c r="AA13" s="424" t="str">
        <f>IF('DATA DE LAS 12'!BG13=0," ",'DATA DE LAS 12'!BG13)</f>
        <v xml:space="preserve"> </v>
      </c>
      <c r="AB13" s="424" t="str">
        <f>IF('DATA DE LAS 12'!BY13=0," ",'DATA DE LAS 12'!BY13)</f>
        <v xml:space="preserve"> </v>
      </c>
      <c r="AC13" s="424">
        <v>13</v>
      </c>
      <c r="AD13" s="424">
        <v>25</v>
      </c>
      <c r="AE13" s="424">
        <v>550</v>
      </c>
      <c r="AF13" s="424">
        <v>427</v>
      </c>
      <c r="AG13" s="424" t="str">
        <f>IF('DATA DE LAS 12'!W13=0," ",'DATA DE LAS 12'!W13)</f>
        <v xml:space="preserve"> </v>
      </c>
      <c r="AH13" s="433"/>
      <c r="AI13" s="433"/>
      <c r="AJ13" s="433"/>
      <c r="AK13" s="433"/>
      <c r="AL13" s="433"/>
      <c r="AM13" s="433"/>
      <c r="AN13" s="433"/>
      <c r="AO13" s="433"/>
      <c r="AP13" s="433"/>
      <c r="AQ13" s="433"/>
      <c r="AR13" s="433"/>
      <c r="AS13" s="433"/>
      <c r="AT13" s="433"/>
      <c r="AU13" s="433"/>
      <c r="AV13" s="433"/>
      <c r="AW13" s="433"/>
      <c r="AX13" s="433"/>
      <c r="AY13" s="433"/>
      <c r="AZ13" s="433"/>
      <c r="BA13" s="433"/>
      <c r="BB13" s="433"/>
      <c r="BC13" s="433"/>
      <c r="BD13" s="433"/>
      <c r="BE13" s="433"/>
      <c r="BF13" s="433"/>
      <c r="BG13" s="433"/>
      <c r="BH13" s="433"/>
      <c r="BI13" s="433"/>
      <c r="BJ13" s="433"/>
      <c r="BK13" s="433"/>
      <c r="BL13" s="433"/>
      <c r="BM13" s="433"/>
      <c r="BN13" s="433"/>
      <c r="BO13" s="433"/>
      <c r="BP13" s="433"/>
      <c r="BQ13" s="433"/>
      <c r="BR13" s="433"/>
      <c r="BS13" s="433"/>
      <c r="BT13" s="433"/>
      <c r="BU13" s="433"/>
      <c r="BV13" s="433"/>
      <c r="BW13" s="433"/>
      <c r="BX13" s="433"/>
      <c r="BY13" s="433"/>
      <c r="BZ13" s="433"/>
      <c r="CA13" s="433"/>
      <c r="CB13" s="433"/>
      <c r="CC13" s="433"/>
      <c r="CD13" s="433"/>
      <c r="CE13" s="433"/>
      <c r="CF13" s="433"/>
    </row>
    <row r="14" spans="1:84">
      <c r="A14" s="648">
        <f t="shared" si="0"/>
        <v>45239</v>
      </c>
      <c r="B14" s="428">
        <f>IF('DATA DE LAS 12'!C14=0," ",'DATA DE LAS 12'!C14)</f>
        <v>0.88541666666666663</v>
      </c>
      <c r="C14" s="418" t="str">
        <f>IF('DATA DE LAS 12'!E14=0," ",'DATA DE LAS 12'!E14)</f>
        <v xml:space="preserve"> </v>
      </c>
      <c r="D14" s="418" t="e">
        <f>IF('DATA DE LAS 12'!#REF!=0," ",'DATA DE LAS 12'!#REF!)</f>
        <v>#REF!</v>
      </c>
      <c r="E14" s="418" t="str">
        <f>IF('DATA DE LAS 12'!AM14=0," ",'DATA DE LAS 12'!AM14)</f>
        <v xml:space="preserve"> </v>
      </c>
      <c r="F14" s="418" t="str">
        <f>IF('DATA DE LAS 12'!AL14=0," ",'DATA DE LAS 12'!AL14)</f>
        <v xml:space="preserve"> </v>
      </c>
      <c r="G14" s="418" t="str">
        <f>IF('DATA DE LAS 12'!AQ14=0," ",'DATA DE LAS 12'!AQ14)</f>
        <v xml:space="preserve"> </v>
      </c>
      <c r="H14" s="418" t="str">
        <f>IF('DATA DE LAS 12'!Z14=0," ",'DATA DE LAS 12'!Z14)</f>
        <v xml:space="preserve"> </v>
      </c>
      <c r="I14" s="418" t="str">
        <f>IF('DATA DE LAS 12'!AN14=0," ",'DATA DE LAS 12'!AN14)</f>
        <v xml:space="preserve"> </v>
      </c>
      <c r="J14" s="418" t="str">
        <f>IF('DATA DE LAS 12'!F14=0," ",'DATA DE LAS 12'!F14)</f>
        <v xml:space="preserve"> </v>
      </c>
      <c r="K14" s="418" t="str">
        <f>IF('DATA DE LAS 12'!G14=0," ",'DATA DE LAS 12'!G14)</f>
        <v xml:space="preserve"> </v>
      </c>
      <c r="L14" s="418" t="str">
        <f>IF('DATA DE LAS 12'!H14=0," ",'DATA DE LAS 12'!H14)</f>
        <v xml:space="preserve"> </v>
      </c>
      <c r="M14" s="418" t="str">
        <f>IF('DATA DE LAS 12'!V14=0," ",'DATA DE LAS 12'!V14)</f>
        <v xml:space="preserve"> </v>
      </c>
      <c r="N14" s="418" t="str">
        <f>IF('DATA DE LAS 12'!X14=0," ",'DATA DE LAS 12'!X14)</f>
        <v xml:space="preserve"> </v>
      </c>
      <c r="O14" s="424" t="str">
        <f>IF('DATA DE LAS 12'!BB14=0," ",'DATA DE LAS 12'!BB14)</f>
        <v xml:space="preserve"> </v>
      </c>
      <c r="P14" s="420"/>
      <c r="Q14" s="420"/>
      <c r="R14" s="420"/>
      <c r="S14" s="420"/>
      <c r="T14" s="420"/>
      <c r="U14" s="420"/>
      <c r="V14" s="420"/>
      <c r="W14" s="420"/>
      <c r="X14" s="424" t="str">
        <f>IF('DATA DE LAS 12'!BD14=0," ",'DATA DE LAS 12'!BD14)</f>
        <v xml:space="preserve"> </v>
      </c>
      <c r="Y14" s="424" t="str">
        <f>IF('DATA DE LAS 12'!BE14=0," ",'DATA DE LAS 12'!BE14)</f>
        <v xml:space="preserve"> </v>
      </c>
      <c r="Z14" s="424" t="str">
        <f>IF('DATA DE LAS 12'!BF14=0," ",'DATA DE LAS 12'!BF14)</f>
        <v xml:space="preserve"> </v>
      </c>
      <c r="AA14" s="424" t="str">
        <f>IF('DATA DE LAS 12'!BG14=0," ",'DATA DE LAS 12'!BG14)</f>
        <v xml:space="preserve"> </v>
      </c>
      <c r="AB14" s="424" t="str">
        <f>IF('DATA DE LAS 12'!BY14=0," ",'DATA DE LAS 12'!BY14)</f>
        <v xml:space="preserve"> </v>
      </c>
      <c r="AC14" s="424">
        <v>13</v>
      </c>
      <c r="AD14" s="424">
        <v>25</v>
      </c>
      <c r="AE14" s="424">
        <v>550</v>
      </c>
      <c r="AF14" s="424">
        <v>427</v>
      </c>
      <c r="AG14" s="424" t="str">
        <f>IF('DATA DE LAS 12'!W14=0," ",'DATA DE LAS 12'!W14)</f>
        <v xml:space="preserve"> </v>
      </c>
      <c r="AH14" s="433"/>
      <c r="AI14" s="433"/>
      <c r="AJ14" s="433"/>
      <c r="AK14" s="433"/>
      <c r="AL14" s="433"/>
      <c r="AM14" s="433"/>
      <c r="AN14" s="433"/>
      <c r="AO14" s="433"/>
      <c r="AP14" s="433"/>
      <c r="AQ14" s="433"/>
      <c r="AR14" s="433"/>
      <c r="AS14" s="433"/>
      <c r="AT14" s="433"/>
      <c r="AU14" s="433"/>
      <c r="AV14" s="433"/>
      <c r="AW14" s="433"/>
      <c r="AX14" s="433"/>
      <c r="AY14" s="433"/>
      <c r="AZ14" s="433"/>
      <c r="BA14" s="433"/>
      <c r="BB14" s="433"/>
      <c r="BC14" s="433"/>
      <c r="BD14" s="433"/>
      <c r="BE14" s="433"/>
      <c r="BF14" s="433"/>
      <c r="BG14" s="433"/>
      <c r="BH14" s="433"/>
      <c r="BI14" s="433"/>
      <c r="BJ14" s="433"/>
      <c r="BK14" s="433"/>
      <c r="BL14" s="433"/>
      <c r="BM14" s="433"/>
      <c r="BN14" s="433"/>
      <c r="BO14" s="433"/>
      <c r="BP14" s="433"/>
      <c r="BQ14" s="433"/>
      <c r="BR14" s="433"/>
      <c r="BS14" s="433"/>
      <c r="BT14" s="433"/>
      <c r="BU14" s="433"/>
      <c r="BV14" s="433"/>
      <c r="BW14" s="433"/>
      <c r="BX14" s="433"/>
      <c r="BY14" s="433"/>
      <c r="BZ14" s="433"/>
      <c r="CA14" s="433"/>
      <c r="CB14" s="433"/>
      <c r="CC14" s="433"/>
      <c r="CD14" s="433"/>
      <c r="CE14" s="433"/>
      <c r="CF14" s="433"/>
    </row>
    <row r="15" spans="1:84">
      <c r="A15" s="648">
        <f t="shared" si="0"/>
        <v>45240</v>
      </c>
      <c r="B15" s="428">
        <f>IF('DATA DE LAS 12'!C15=0," ",'DATA DE LAS 12'!C15)</f>
        <v>0.90555555555555556</v>
      </c>
      <c r="C15" s="418" t="str">
        <f>IF('DATA DE LAS 12'!E15=0," ",'DATA DE LAS 12'!E15)</f>
        <v xml:space="preserve"> </v>
      </c>
      <c r="D15" s="418" t="e">
        <f>IF('DATA DE LAS 12'!#REF!=0," ",'DATA DE LAS 12'!#REF!)</f>
        <v>#REF!</v>
      </c>
      <c r="E15" s="418" t="str">
        <f>IF('DATA DE LAS 12'!AM15=0," ",'DATA DE LAS 12'!AM15)</f>
        <v xml:space="preserve"> </v>
      </c>
      <c r="F15" s="418" t="str">
        <f>IF('DATA DE LAS 12'!AL15=0," ",'DATA DE LAS 12'!AL15)</f>
        <v xml:space="preserve"> </v>
      </c>
      <c r="G15" s="418" t="str">
        <f>IF('DATA DE LAS 12'!AQ15=0," ",'DATA DE LAS 12'!AQ15)</f>
        <v xml:space="preserve"> </v>
      </c>
      <c r="H15" s="418" t="str">
        <f>IF('DATA DE LAS 12'!Z15=0," ",'DATA DE LAS 12'!Z15)</f>
        <v xml:space="preserve"> </v>
      </c>
      <c r="I15" s="418" t="str">
        <f>IF('DATA DE LAS 12'!AN15=0," ",'DATA DE LAS 12'!AN15)</f>
        <v xml:space="preserve"> </v>
      </c>
      <c r="J15" s="418" t="str">
        <f>IF('DATA DE LAS 12'!F15=0," ",'DATA DE LAS 12'!F15)</f>
        <v xml:space="preserve"> </v>
      </c>
      <c r="K15" s="418" t="str">
        <f>IF('DATA DE LAS 12'!G15=0," ",'DATA DE LAS 12'!G15)</f>
        <v xml:space="preserve"> </v>
      </c>
      <c r="L15" s="418" t="str">
        <f>IF('DATA DE LAS 12'!H15=0," ",'DATA DE LAS 12'!H15)</f>
        <v xml:space="preserve"> </v>
      </c>
      <c r="M15" s="418" t="str">
        <f>IF('DATA DE LAS 12'!V15=0," ",'DATA DE LAS 12'!V15)</f>
        <v xml:space="preserve"> </v>
      </c>
      <c r="N15" s="418" t="str">
        <f>IF('DATA DE LAS 12'!X15=0," ",'DATA DE LAS 12'!X15)</f>
        <v xml:space="preserve"> </v>
      </c>
      <c r="O15" s="424" t="str">
        <f>IF('DATA DE LAS 12'!BB15=0," ",'DATA DE LAS 12'!BB15)</f>
        <v xml:space="preserve"> </v>
      </c>
      <c r="P15" s="420"/>
      <c r="Q15" s="420"/>
      <c r="R15" s="420"/>
      <c r="S15" s="420"/>
      <c r="T15" s="420"/>
      <c r="U15" s="420"/>
      <c r="V15" s="420"/>
      <c r="W15" s="420"/>
      <c r="X15" s="424" t="str">
        <f>IF('DATA DE LAS 12'!BD15=0," ",'DATA DE LAS 12'!BD15)</f>
        <v xml:space="preserve"> </v>
      </c>
      <c r="Y15" s="424" t="str">
        <f>IF('DATA DE LAS 12'!BE15=0," ",'DATA DE LAS 12'!BE15)</f>
        <v xml:space="preserve"> </v>
      </c>
      <c r="Z15" s="424" t="str">
        <f>IF('DATA DE LAS 12'!BF15=0," ",'DATA DE LAS 12'!BF15)</f>
        <v xml:space="preserve"> </v>
      </c>
      <c r="AA15" s="424" t="str">
        <f>IF('DATA DE LAS 12'!BG15=0," ",'DATA DE LAS 12'!BG15)</f>
        <v xml:space="preserve"> </v>
      </c>
      <c r="AB15" s="424" t="str">
        <f>IF('DATA DE LAS 12'!BY15=0," ",'DATA DE LAS 12'!BY15)</f>
        <v xml:space="preserve"> </v>
      </c>
      <c r="AC15" s="424">
        <v>13</v>
      </c>
      <c r="AD15" s="424">
        <v>25</v>
      </c>
      <c r="AE15" s="424">
        <v>550</v>
      </c>
      <c r="AF15" s="424">
        <v>427</v>
      </c>
      <c r="AG15" s="424" t="str">
        <f>IF('DATA DE LAS 12'!W15=0," ",'DATA DE LAS 12'!W15)</f>
        <v xml:space="preserve"> </v>
      </c>
      <c r="AH15" s="433"/>
      <c r="AI15" s="433"/>
      <c r="AJ15" s="433"/>
      <c r="AK15" s="433"/>
      <c r="AL15" s="433"/>
      <c r="AM15" s="421"/>
      <c r="AN15" s="421"/>
      <c r="AO15" s="421"/>
      <c r="AP15" s="421"/>
      <c r="AQ15" s="421"/>
      <c r="AR15" s="433"/>
      <c r="AS15" s="421"/>
      <c r="AT15" s="421"/>
      <c r="AU15" s="421"/>
      <c r="AV15" s="433"/>
      <c r="AW15" s="433"/>
      <c r="AX15" s="433"/>
      <c r="AY15" s="433"/>
      <c r="AZ15" s="433"/>
      <c r="BA15" s="433"/>
      <c r="BB15" s="433"/>
      <c r="BC15" s="433"/>
      <c r="BD15" s="433"/>
      <c r="BE15" s="433"/>
      <c r="BF15" s="433"/>
      <c r="BG15" s="433"/>
      <c r="BH15" s="433"/>
      <c r="BI15" s="433"/>
      <c r="BJ15" s="433"/>
      <c r="BK15" s="433"/>
      <c r="BL15" s="433"/>
      <c r="BM15" s="433"/>
      <c r="BN15" s="433"/>
      <c r="BO15" s="433"/>
      <c r="BP15" s="433"/>
      <c r="BQ15" s="433"/>
      <c r="BR15" s="433"/>
      <c r="BS15" s="433"/>
      <c r="BT15" s="433"/>
      <c r="BU15" s="433"/>
      <c r="BV15" s="433"/>
      <c r="BW15" s="433"/>
      <c r="BX15" s="433"/>
      <c r="BY15" s="433"/>
      <c r="BZ15" s="433"/>
      <c r="CA15" s="421"/>
      <c r="CB15" s="421"/>
      <c r="CC15" s="421"/>
      <c r="CD15" s="421"/>
      <c r="CE15" s="433"/>
      <c r="CF15" s="421"/>
    </row>
    <row r="16" spans="1:84">
      <c r="A16" s="648">
        <f t="shared" si="0"/>
        <v>45241</v>
      </c>
      <c r="B16" s="428">
        <f>IF('DATA DE LAS 12'!C16=0," ",'DATA DE LAS 12'!C16)</f>
        <v>0.91666666666666663</v>
      </c>
      <c r="C16" s="418" t="str">
        <f>IF('DATA DE LAS 12'!E16=0," ",'DATA DE LAS 12'!E16)</f>
        <v xml:space="preserve"> </v>
      </c>
      <c r="D16" s="418" t="e">
        <f>IF('DATA DE LAS 12'!#REF!=0," ",'DATA DE LAS 12'!#REF!)</f>
        <v>#REF!</v>
      </c>
      <c r="E16" s="418" t="str">
        <f>IF('DATA DE LAS 12'!AM16=0," ",'DATA DE LAS 12'!AM16)</f>
        <v xml:space="preserve"> </v>
      </c>
      <c r="F16" s="418" t="str">
        <f>IF('DATA DE LAS 12'!AL16=0," ",'DATA DE LAS 12'!AL16)</f>
        <v xml:space="preserve"> </v>
      </c>
      <c r="G16" s="418" t="str">
        <f>IF('DATA DE LAS 12'!AQ16=0," ",'DATA DE LAS 12'!AQ16)</f>
        <v xml:space="preserve"> </v>
      </c>
      <c r="H16" s="418" t="str">
        <f>IF('DATA DE LAS 12'!Z16=0," ",'DATA DE LAS 12'!Z16)</f>
        <v xml:space="preserve"> </v>
      </c>
      <c r="I16" s="418" t="str">
        <f>IF('DATA DE LAS 12'!AN16=0," ",'DATA DE LAS 12'!AN16)</f>
        <v xml:space="preserve"> </v>
      </c>
      <c r="J16" s="418" t="str">
        <f>IF('DATA DE LAS 12'!F16=0," ",'DATA DE LAS 12'!F16)</f>
        <v xml:space="preserve"> </v>
      </c>
      <c r="K16" s="418" t="str">
        <f>IF('DATA DE LAS 12'!G16=0," ",'DATA DE LAS 12'!G16)</f>
        <v xml:space="preserve"> </v>
      </c>
      <c r="L16" s="418" t="str">
        <f>IF('DATA DE LAS 12'!H16=0," ",'DATA DE LAS 12'!H16)</f>
        <v xml:space="preserve"> </v>
      </c>
      <c r="M16" s="418" t="str">
        <f>IF('DATA DE LAS 12'!V16=0," ",'DATA DE LAS 12'!V16)</f>
        <v xml:space="preserve"> </v>
      </c>
      <c r="N16" s="418" t="str">
        <f>IF('DATA DE LAS 12'!X16=0," ",'DATA DE LAS 12'!X16)</f>
        <v xml:space="preserve"> </v>
      </c>
      <c r="O16" s="424" t="str">
        <f>IF('DATA DE LAS 12'!BB16=0," ",'DATA DE LAS 12'!BB16)</f>
        <v xml:space="preserve"> </v>
      </c>
      <c r="P16" s="420"/>
      <c r="Q16" s="420"/>
      <c r="R16" s="420"/>
      <c r="S16" s="420"/>
      <c r="T16" s="420"/>
      <c r="U16" s="420"/>
      <c r="V16" s="420"/>
      <c r="W16" s="420"/>
      <c r="X16" s="424" t="str">
        <f>IF('DATA DE LAS 12'!BD16=0," ",'DATA DE LAS 12'!BD16)</f>
        <v xml:space="preserve"> </v>
      </c>
      <c r="Y16" s="424" t="str">
        <f>IF('DATA DE LAS 12'!BE16=0," ",'DATA DE LAS 12'!BE16)</f>
        <v xml:space="preserve"> </v>
      </c>
      <c r="Z16" s="424" t="str">
        <f>IF('DATA DE LAS 12'!BF16=0," ",'DATA DE LAS 12'!BF16)</f>
        <v xml:space="preserve"> </v>
      </c>
      <c r="AA16" s="424" t="str">
        <f>IF('DATA DE LAS 12'!BG16=0," ",'DATA DE LAS 12'!BG16)</f>
        <v xml:space="preserve"> </v>
      </c>
      <c r="AB16" s="424" t="str">
        <f>IF('DATA DE LAS 12'!BY16=0," ",'DATA DE LAS 12'!BY16)</f>
        <v xml:space="preserve"> </v>
      </c>
      <c r="AC16" s="424">
        <v>13</v>
      </c>
      <c r="AD16" s="424">
        <v>25</v>
      </c>
      <c r="AE16" s="424">
        <v>550</v>
      </c>
      <c r="AF16" s="424">
        <v>427</v>
      </c>
      <c r="AG16" s="424" t="str">
        <f>IF('DATA DE LAS 12'!W16=0," ",'DATA DE LAS 12'!W16)</f>
        <v xml:space="preserve"> </v>
      </c>
    </row>
    <row r="17" spans="1:33">
      <c r="A17" s="648">
        <f t="shared" si="0"/>
        <v>45242</v>
      </c>
      <c r="B17" s="428">
        <f>IF('DATA DE LAS 12'!C17=0," ",'DATA DE LAS 12'!C17)</f>
        <v>0.93402777777777779</v>
      </c>
      <c r="C17" s="418" t="str">
        <f>IF('DATA DE LAS 12'!E17=0," ",'DATA DE LAS 12'!E17)</f>
        <v xml:space="preserve"> </v>
      </c>
      <c r="D17" s="418" t="e">
        <f>IF('DATA DE LAS 12'!#REF!=0," ",'DATA DE LAS 12'!#REF!)</f>
        <v>#REF!</v>
      </c>
      <c r="E17" s="418" t="str">
        <f>IF('DATA DE LAS 12'!AM17=0," ",'DATA DE LAS 12'!AM17)</f>
        <v xml:space="preserve"> </v>
      </c>
      <c r="F17" s="418" t="str">
        <f>IF('DATA DE LAS 12'!AL17=0," ",'DATA DE LAS 12'!AL17)</f>
        <v xml:space="preserve"> </v>
      </c>
      <c r="G17" s="418" t="str">
        <f>IF('DATA DE LAS 12'!AQ17=0," ",'DATA DE LAS 12'!AQ17)</f>
        <v xml:space="preserve"> </v>
      </c>
      <c r="H17" s="418" t="str">
        <f>IF('DATA DE LAS 12'!Z17=0," ",'DATA DE LAS 12'!Z17)</f>
        <v xml:space="preserve"> </v>
      </c>
      <c r="I17" s="418" t="str">
        <f>IF('DATA DE LAS 12'!AN17=0," ",'DATA DE LAS 12'!AN17)</f>
        <v xml:space="preserve"> </v>
      </c>
      <c r="J17" s="418" t="str">
        <f>IF('DATA DE LAS 12'!F17=0," ",'DATA DE LAS 12'!F17)</f>
        <v xml:space="preserve"> </v>
      </c>
      <c r="K17" s="418" t="str">
        <f>IF('DATA DE LAS 12'!G17=0," ",'DATA DE LAS 12'!G17)</f>
        <v xml:space="preserve"> </v>
      </c>
      <c r="L17" s="418" t="str">
        <f>IF('DATA DE LAS 12'!H17=0," ",'DATA DE LAS 12'!H17)</f>
        <v xml:space="preserve"> </v>
      </c>
      <c r="M17" s="418" t="str">
        <f>IF('DATA DE LAS 12'!V17=0," ",'DATA DE LAS 12'!V17)</f>
        <v xml:space="preserve"> </v>
      </c>
      <c r="N17" s="418" t="str">
        <f>IF('DATA DE LAS 12'!X17=0," ",'DATA DE LAS 12'!X17)</f>
        <v xml:space="preserve"> </v>
      </c>
      <c r="O17" s="424" t="str">
        <f>IF('DATA DE LAS 12'!BB17=0," ",'DATA DE LAS 12'!BB17)</f>
        <v xml:space="preserve"> </v>
      </c>
      <c r="P17" s="420"/>
      <c r="Q17" s="420"/>
      <c r="R17" s="420"/>
      <c r="S17" s="420"/>
      <c r="T17" s="420"/>
      <c r="U17" s="420"/>
      <c r="V17" s="420"/>
      <c r="W17" s="420"/>
      <c r="X17" s="424" t="str">
        <f>IF('DATA DE LAS 12'!BD17=0," ",'DATA DE LAS 12'!BD17)</f>
        <v xml:space="preserve"> </v>
      </c>
      <c r="Y17" s="424" t="str">
        <f>IF('DATA DE LAS 12'!BE17=0," ",'DATA DE LAS 12'!BE17)</f>
        <v xml:space="preserve"> </v>
      </c>
      <c r="Z17" s="424" t="str">
        <f>IF('DATA DE LAS 12'!BF17=0," ",'DATA DE LAS 12'!BF17)</f>
        <v xml:space="preserve"> </v>
      </c>
      <c r="AA17" s="424" t="str">
        <f>IF('DATA DE LAS 12'!BG17=0," ",'DATA DE LAS 12'!BG17)</f>
        <v xml:space="preserve"> </v>
      </c>
      <c r="AB17" s="424" t="str">
        <f>IF('DATA DE LAS 12'!BY17=0," ",'DATA DE LAS 12'!BY17)</f>
        <v xml:space="preserve"> </v>
      </c>
      <c r="AC17" s="424">
        <v>13</v>
      </c>
      <c r="AD17" s="424">
        <v>25</v>
      </c>
      <c r="AE17" s="424">
        <v>550</v>
      </c>
      <c r="AF17" s="424">
        <v>427</v>
      </c>
      <c r="AG17" s="424" t="str">
        <f>IF('DATA DE LAS 12'!W17=0," ",'DATA DE LAS 12'!W17)</f>
        <v xml:space="preserve"> </v>
      </c>
    </row>
    <row r="18" spans="1:33">
      <c r="A18" s="648">
        <f t="shared" si="0"/>
        <v>45243</v>
      </c>
      <c r="B18" s="428">
        <f>IF('DATA DE LAS 12'!C18=0," ",'DATA DE LAS 12'!C18)</f>
        <v>0.99930555555555556</v>
      </c>
      <c r="C18" s="418" t="str">
        <f>IF('DATA DE LAS 12'!E18=0," ",'DATA DE LAS 12'!E18)</f>
        <v xml:space="preserve"> </v>
      </c>
      <c r="D18" s="418" t="e">
        <f>IF('DATA DE LAS 12'!#REF!=0," ",'DATA DE LAS 12'!#REF!)</f>
        <v>#REF!</v>
      </c>
      <c r="E18" s="418" t="str">
        <f>IF('DATA DE LAS 12'!AM18=0," ",'DATA DE LAS 12'!AM18)</f>
        <v xml:space="preserve"> </v>
      </c>
      <c r="F18" s="418" t="str">
        <f>IF('DATA DE LAS 12'!AL18=0," ",'DATA DE LAS 12'!AL18)</f>
        <v xml:space="preserve"> </v>
      </c>
      <c r="G18" s="418" t="str">
        <f>IF('DATA DE LAS 12'!AQ18=0," ",'DATA DE LAS 12'!AQ18)</f>
        <v xml:space="preserve"> </v>
      </c>
      <c r="H18" s="418" t="str">
        <f>IF('DATA DE LAS 12'!Z18=0," ",'DATA DE LAS 12'!Z18)</f>
        <v xml:space="preserve"> </v>
      </c>
      <c r="I18" s="418" t="str">
        <f>IF('DATA DE LAS 12'!AN18=0," ",'DATA DE LAS 12'!AN18)</f>
        <v xml:space="preserve"> </v>
      </c>
      <c r="J18" s="418" t="str">
        <f>IF('DATA DE LAS 12'!F18=0," ",'DATA DE LAS 12'!F18)</f>
        <v xml:space="preserve"> </v>
      </c>
      <c r="K18" s="418" t="str">
        <f>IF('DATA DE LAS 12'!G18=0," ",'DATA DE LAS 12'!G18)</f>
        <v xml:space="preserve"> </v>
      </c>
      <c r="L18" s="418" t="str">
        <f>IF('DATA DE LAS 12'!H18=0," ",'DATA DE LAS 12'!H18)</f>
        <v xml:space="preserve"> </v>
      </c>
      <c r="M18" s="418" t="str">
        <f>IF('DATA DE LAS 12'!V18=0," ",'DATA DE LAS 12'!V18)</f>
        <v xml:space="preserve"> </v>
      </c>
      <c r="N18" s="418" t="str">
        <f>IF('DATA DE LAS 12'!X18=0," ",'DATA DE LAS 12'!X18)</f>
        <v xml:space="preserve"> </v>
      </c>
      <c r="O18" s="424" t="str">
        <f>IF('DATA DE LAS 12'!BB18=0," ",'DATA DE LAS 12'!BB18)</f>
        <v xml:space="preserve"> </v>
      </c>
      <c r="P18" s="420"/>
      <c r="Q18" s="420"/>
      <c r="R18" s="420"/>
      <c r="S18" s="420"/>
      <c r="T18" s="420"/>
      <c r="U18" s="420"/>
      <c r="V18" s="420"/>
      <c r="W18" s="420"/>
      <c r="X18" s="424" t="str">
        <f>IF('DATA DE LAS 12'!BD18=0," ",'DATA DE LAS 12'!BD18)</f>
        <v xml:space="preserve"> </v>
      </c>
      <c r="Y18" s="424" t="str">
        <f>IF('DATA DE LAS 12'!BE18=0," ",'DATA DE LAS 12'!BE18)</f>
        <v xml:space="preserve"> </v>
      </c>
      <c r="Z18" s="424" t="str">
        <f>IF('DATA DE LAS 12'!BF18=0," ",'DATA DE LAS 12'!BF18)</f>
        <v xml:space="preserve"> </v>
      </c>
      <c r="AA18" s="424" t="str">
        <f>IF('DATA DE LAS 12'!BG18=0," ",'DATA DE LAS 12'!BG18)</f>
        <v xml:space="preserve"> </v>
      </c>
      <c r="AB18" s="424" t="str">
        <f>IF('DATA DE LAS 12'!BY18=0," ",'DATA DE LAS 12'!BY18)</f>
        <v xml:space="preserve"> </v>
      </c>
      <c r="AC18" s="424">
        <v>13</v>
      </c>
      <c r="AD18" s="424">
        <v>25</v>
      </c>
      <c r="AE18" s="424">
        <v>550</v>
      </c>
      <c r="AF18" s="424">
        <v>427</v>
      </c>
      <c r="AG18" s="424" t="str">
        <f>IF('DATA DE LAS 12'!W18=0," ",'DATA DE LAS 12'!W18)</f>
        <v xml:space="preserve"> </v>
      </c>
    </row>
    <row r="19" spans="1:33">
      <c r="A19" s="648">
        <f t="shared" si="0"/>
        <v>45244</v>
      </c>
      <c r="B19" s="428">
        <f>IF('DATA DE LAS 12'!C19=0," ",'DATA DE LAS 12'!C19)</f>
        <v>0.83680555555555547</v>
      </c>
      <c r="C19" s="418" t="str">
        <f>IF('DATA DE LAS 12'!E19=0," ",'DATA DE LAS 12'!E19)</f>
        <v xml:space="preserve"> </v>
      </c>
      <c r="D19" s="418" t="e">
        <f>IF('DATA DE LAS 12'!#REF!=0," ",'DATA DE LAS 12'!#REF!)</f>
        <v>#REF!</v>
      </c>
      <c r="E19" s="418" t="str">
        <f>IF('DATA DE LAS 12'!AM19=0," ",'DATA DE LAS 12'!AM19)</f>
        <v xml:space="preserve"> </v>
      </c>
      <c r="F19" s="418" t="str">
        <f>IF('DATA DE LAS 12'!AL19=0," ",'DATA DE LAS 12'!AL19)</f>
        <v xml:space="preserve"> </v>
      </c>
      <c r="G19" s="418" t="str">
        <f>IF('DATA DE LAS 12'!AQ19=0," ",'DATA DE LAS 12'!AQ19)</f>
        <v xml:space="preserve"> </v>
      </c>
      <c r="H19" s="418" t="str">
        <f>IF('DATA DE LAS 12'!Z19=0," ",'DATA DE LAS 12'!Z19)</f>
        <v xml:space="preserve"> </v>
      </c>
      <c r="I19" s="418" t="str">
        <f>IF('DATA DE LAS 12'!AN19=0," ",'DATA DE LAS 12'!AN19)</f>
        <v xml:space="preserve"> </v>
      </c>
      <c r="J19" s="418" t="str">
        <f>IF('DATA DE LAS 12'!F19=0," ",'DATA DE LAS 12'!F19)</f>
        <v xml:space="preserve"> </v>
      </c>
      <c r="K19" s="418" t="str">
        <f>IF('DATA DE LAS 12'!G19=0," ",'DATA DE LAS 12'!G19)</f>
        <v xml:space="preserve"> </v>
      </c>
      <c r="L19" s="418" t="str">
        <f>IF('DATA DE LAS 12'!H19=0," ",'DATA DE LAS 12'!H19)</f>
        <v xml:space="preserve"> </v>
      </c>
      <c r="M19" s="418" t="str">
        <f>IF('DATA DE LAS 12'!V19=0," ",'DATA DE LAS 12'!V19)</f>
        <v xml:space="preserve"> </v>
      </c>
      <c r="N19" s="418" t="str">
        <f>IF('DATA DE LAS 12'!X19=0," ",'DATA DE LAS 12'!X19)</f>
        <v xml:space="preserve"> </v>
      </c>
      <c r="O19" s="424" t="str">
        <f>IF('DATA DE LAS 12'!BB19=0," ",'DATA DE LAS 12'!BB19)</f>
        <v xml:space="preserve"> </v>
      </c>
      <c r="P19" s="420"/>
      <c r="Q19" s="420"/>
      <c r="R19" s="420"/>
      <c r="S19" s="420"/>
      <c r="T19" s="420"/>
      <c r="U19" s="420"/>
      <c r="V19" s="420"/>
      <c r="W19" s="420"/>
      <c r="X19" s="424" t="str">
        <f>IF('DATA DE LAS 12'!BD19=0," ",'DATA DE LAS 12'!BD19)</f>
        <v xml:space="preserve"> </v>
      </c>
      <c r="Y19" s="424" t="str">
        <f>IF('DATA DE LAS 12'!BE19=0," ",'DATA DE LAS 12'!BE19)</f>
        <v xml:space="preserve"> </v>
      </c>
      <c r="Z19" s="424" t="str">
        <f>IF('DATA DE LAS 12'!BF19=0," ",'DATA DE LAS 12'!BF19)</f>
        <v xml:space="preserve"> </v>
      </c>
      <c r="AA19" s="424" t="str">
        <f>IF('DATA DE LAS 12'!BG19=0," ",'DATA DE LAS 12'!BG19)</f>
        <v xml:space="preserve"> </v>
      </c>
      <c r="AB19" s="424" t="str">
        <f>IF('DATA DE LAS 12'!BY19=0," ",'DATA DE LAS 12'!BY19)</f>
        <v xml:space="preserve"> </v>
      </c>
      <c r="AC19" s="424">
        <v>13</v>
      </c>
      <c r="AD19" s="424">
        <v>25</v>
      </c>
      <c r="AE19" s="424">
        <v>550</v>
      </c>
      <c r="AF19" s="424">
        <v>427</v>
      </c>
      <c r="AG19" s="424" t="str">
        <f>IF('DATA DE LAS 12'!W19=0," ",'DATA DE LAS 12'!W19)</f>
        <v xml:space="preserve"> </v>
      </c>
    </row>
    <row r="20" spans="1:33">
      <c r="A20" s="648">
        <f t="shared" si="0"/>
        <v>45245</v>
      </c>
      <c r="B20" s="428">
        <f>IF('DATA DE LAS 12'!C20=0," ",'DATA DE LAS 12'!C20)</f>
        <v>0.90277777777777779</v>
      </c>
      <c r="C20" s="418" t="str">
        <f>IF('DATA DE LAS 12'!E20=0," ",'DATA DE LAS 12'!E20)</f>
        <v xml:space="preserve"> </v>
      </c>
      <c r="D20" s="418" t="e">
        <f>IF('DATA DE LAS 12'!#REF!=0," ",'DATA DE LAS 12'!#REF!)</f>
        <v>#REF!</v>
      </c>
      <c r="E20" s="418" t="str">
        <f>IF('DATA DE LAS 12'!AM20=0," ",'DATA DE LAS 12'!AM20)</f>
        <v xml:space="preserve"> </v>
      </c>
      <c r="F20" s="418" t="str">
        <f>IF('DATA DE LAS 12'!AL20=0," ",'DATA DE LAS 12'!AL20)</f>
        <v xml:space="preserve"> </v>
      </c>
      <c r="G20" s="418" t="str">
        <f>IF('DATA DE LAS 12'!AQ20=0," ",'DATA DE LAS 12'!AQ20)</f>
        <v xml:space="preserve"> </v>
      </c>
      <c r="H20" s="418" t="str">
        <f>IF('DATA DE LAS 12'!Z20=0," ",'DATA DE LAS 12'!Z20)</f>
        <v xml:space="preserve"> </v>
      </c>
      <c r="I20" s="418" t="str">
        <f>IF('DATA DE LAS 12'!AN20=0," ",'DATA DE LAS 12'!AN20)</f>
        <v xml:space="preserve"> </v>
      </c>
      <c r="J20" s="418" t="str">
        <f>IF('DATA DE LAS 12'!F20=0," ",'DATA DE LAS 12'!F20)</f>
        <v xml:space="preserve"> </v>
      </c>
      <c r="K20" s="418" t="str">
        <f>IF('DATA DE LAS 12'!G20=0," ",'DATA DE LAS 12'!G20)</f>
        <v xml:space="preserve"> </v>
      </c>
      <c r="L20" s="418" t="str">
        <f>IF('DATA DE LAS 12'!H20=0," ",'DATA DE LAS 12'!H20)</f>
        <v xml:space="preserve"> </v>
      </c>
      <c r="M20" s="418" t="str">
        <f>IF('DATA DE LAS 12'!V20=0," ",'DATA DE LAS 12'!V20)</f>
        <v xml:space="preserve"> </v>
      </c>
      <c r="N20" s="418" t="str">
        <f>IF('DATA DE LAS 12'!X20=0," ",'DATA DE LAS 12'!X20)</f>
        <v xml:space="preserve"> </v>
      </c>
      <c r="O20" s="424" t="str">
        <f>IF('DATA DE LAS 12'!BB20=0," ",'DATA DE LAS 12'!BB20)</f>
        <v xml:space="preserve"> </v>
      </c>
      <c r="P20" s="420"/>
      <c r="Q20" s="420"/>
      <c r="R20" s="420"/>
      <c r="S20" s="420"/>
      <c r="T20" s="420"/>
      <c r="U20" s="420"/>
      <c r="V20" s="420"/>
      <c r="W20" s="420"/>
      <c r="X20" s="424" t="str">
        <f>IF('DATA DE LAS 12'!BD20=0," ",'DATA DE LAS 12'!BD20)</f>
        <v xml:space="preserve"> </v>
      </c>
      <c r="Y20" s="424" t="str">
        <f>IF('DATA DE LAS 12'!BE20=0," ",'DATA DE LAS 12'!BE20)</f>
        <v xml:space="preserve"> </v>
      </c>
      <c r="Z20" s="424" t="str">
        <f>IF('DATA DE LAS 12'!BF20=0," ",'DATA DE LAS 12'!BF20)</f>
        <v xml:space="preserve"> </v>
      </c>
      <c r="AA20" s="424" t="str">
        <f>IF('DATA DE LAS 12'!BG20=0," ",'DATA DE LAS 12'!BG20)</f>
        <v xml:space="preserve"> </v>
      </c>
      <c r="AB20" s="424" t="str">
        <f>IF('DATA DE LAS 12'!BY20=0," ",'DATA DE LAS 12'!BY20)</f>
        <v xml:space="preserve"> </v>
      </c>
      <c r="AC20" s="424">
        <v>13</v>
      </c>
      <c r="AD20" s="424">
        <v>25</v>
      </c>
      <c r="AE20" s="424">
        <v>550</v>
      </c>
      <c r="AF20" s="424">
        <v>427</v>
      </c>
      <c r="AG20" s="424" t="str">
        <f>IF('DATA DE LAS 12'!W20=0," ",'DATA DE LAS 12'!W20)</f>
        <v xml:space="preserve"> </v>
      </c>
    </row>
    <row r="21" spans="1:33">
      <c r="A21" s="648">
        <f t="shared" si="0"/>
        <v>45246</v>
      </c>
      <c r="B21" s="428">
        <f>IF('DATA DE LAS 12'!C21=0," ",'DATA DE LAS 12'!C21)</f>
        <v>0.9243055555555556</v>
      </c>
      <c r="C21" s="418" t="str">
        <f>IF('DATA DE LAS 12'!E21=0," ",'DATA DE LAS 12'!E21)</f>
        <v xml:space="preserve"> </v>
      </c>
      <c r="D21" s="418" t="e">
        <f>IF('DATA DE LAS 12'!#REF!=0," ",'DATA DE LAS 12'!#REF!)</f>
        <v>#REF!</v>
      </c>
      <c r="E21" s="418" t="str">
        <f>IF('DATA DE LAS 12'!AM21=0," ",'DATA DE LAS 12'!AM21)</f>
        <v xml:space="preserve"> </v>
      </c>
      <c r="F21" s="418" t="str">
        <f>IF('DATA DE LAS 12'!AL21=0," ",'DATA DE LAS 12'!AL21)</f>
        <v xml:space="preserve"> </v>
      </c>
      <c r="G21" s="418" t="str">
        <f>IF('DATA DE LAS 12'!AQ21=0," ",'DATA DE LAS 12'!AQ21)</f>
        <v xml:space="preserve"> </v>
      </c>
      <c r="H21" s="418" t="str">
        <f>IF('DATA DE LAS 12'!Z21=0," ",'DATA DE LAS 12'!Z21)</f>
        <v xml:space="preserve"> </v>
      </c>
      <c r="I21" s="418" t="str">
        <f>IF('DATA DE LAS 12'!AN21=0," ",'DATA DE LAS 12'!AN21)</f>
        <v xml:space="preserve"> </v>
      </c>
      <c r="J21" s="418" t="str">
        <f>IF('DATA DE LAS 12'!F21=0," ",'DATA DE LAS 12'!F21)</f>
        <v xml:space="preserve"> </v>
      </c>
      <c r="K21" s="418" t="str">
        <f>IF('DATA DE LAS 12'!G21=0," ",'DATA DE LAS 12'!G21)</f>
        <v xml:space="preserve"> </v>
      </c>
      <c r="L21" s="418" t="str">
        <f>IF('DATA DE LAS 12'!H21=0," ",'DATA DE LAS 12'!H21)</f>
        <v xml:space="preserve"> </v>
      </c>
      <c r="M21" s="418" t="str">
        <f>IF('DATA DE LAS 12'!V21=0," ",'DATA DE LAS 12'!V21)</f>
        <v xml:space="preserve"> </v>
      </c>
      <c r="N21" s="418" t="str">
        <f>IF('DATA DE LAS 12'!X21=0," ",'DATA DE LAS 12'!X21)</f>
        <v xml:space="preserve"> </v>
      </c>
      <c r="O21" s="424" t="str">
        <f>IF('DATA DE LAS 12'!BB21=0," ",'DATA DE LAS 12'!BB21)</f>
        <v xml:space="preserve"> </v>
      </c>
      <c r="P21" s="420"/>
      <c r="Q21" s="420"/>
      <c r="R21" s="420"/>
      <c r="S21" s="420"/>
      <c r="T21" s="420"/>
      <c r="U21" s="420"/>
      <c r="V21" s="420"/>
      <c r="W21" s="420"/>
      <c r="X21" s="424" t="str">
        <f>IF('DATA DE LAS 12'!BD21=0," ",'DATA DE LAS 12'!BD21)</f>
        <v xml:space="preserve"> </v>
      </c>
      <c r="Y21" s="424" t="str">
        <f>IF('DATA DE LAS 12'!BE21=0," ",'DATA DE LAS 12'!BE21)</f>
        <v xml:space="preserve"> </v>
      </c>
      <c r="Z21" s="424" t="str">
        <f>IF('DATA DE LAS 12'!BF21=0," ",'DATA DE LAS 12'!BF21)</f>
        <v xml:space="preserve"> </v>
      </c>
      <c r="AA21" s="424" t="str">
        <f>IF('DATA DE LAS 12'!BG21=0," ",'DATA DE LAS 12'!BG21)</f>
        <v xml:space="preserve"> </v>
      </c>
      <c r="AB21" s="424" t="str">
        <f>IF('DATA DE LAS 12'!BY21=0," ",'DATA DE LAS 12'!BY21)</f>
        <v xml:space="preserve"> </v>
      </c>
      <c r="AC21" s="424">
        <v>13</v>
      </c>
      <c r="AD21" s="424">
        <v>25</v>
      </c>
      <c r="AE21" s="424">
        <v>550</v>
      </c>
      <c r="AF21" s="424">
        <v>427</v>
      </c>
      <c r="AG21" s="424" t="str">
        <f>IF('DATA DE LAS 12'!W21=0," ",'DATA DE LAS 12'!W21)</f>
        <v xml:space="preserve"> </v>
      </c>
    </row>
    <row r="22" spans="1:33">
      <c r="A22" s="648">
        <f t="shared" si="0"/>
        <v>45247</v>
      </c>
      <c r="B22" s="428">
        <f>IF('DATA DE LAS 12'!C22=0," ",'DATA DE LAS 12'!C22)</f>
        <v>0.86111111111111116</v>
      </c>
      <c r="C22" s="418" t="str">
        <f>IF('DATA DE LAS 12'!E22=0," ",'DATA DE LAS 12'!E22)</f>
        <v xml:space="preserve"> </v>
      </c>
      <c r="D22" s="418" t="e">
        <f>IF('DATA DE LAS 12'!#REF!=0," ",'DATA DE LAS 12'!#REF!)</f>
        <v>#REF!</v>
      </c>
      <c r="E22" s="418" t="str">
        <f>IF('DATA DE LAS 12'!AM22=0," ",'DATA DE LAS 12'!AM22)</f>
        <v xml:space="preserve"> </v>
      </c>
      <c r="F22" s="418" t="str">
        <f>IF('DATA DE LAS 12'!AL22=0," ",'DATA DE LAS 12'!AL22)</f>
        <v xml:space="preserve"> </v>
      </c>
      <c r="G22" s="418" t="str">
        <f>IF('DATA DE LAS 12'!AQ22=0," ",'DATA DE LAS 12'!AQ22)</f>
        <v xml:space="preserve"> </v>
      </c>
      <c r="H22" s="418" t="str">
        <f>IF('DATA DE LAS 12'!Z22=0," ",'DATA DE LAS 12'!Z22)</f>
        <v xml:space="preserve"> </v>
      </c>
      <c r="I22" s="418" t="str">
        <f>IF('DATA DE LAS 12'!AN22=0," ",'DATA DE LAS 12'!AN22)</f>
        <v xml:space="preserve"> </v>
      </c>
      <c r="J22" s="418" t="str">
        <f>IF('DATA DE LAS 12'!F22=0," ",'DATA DE LAS 12'!F22)</f>
        <v xml:space="preserve"> </v>
      </c>
      <c r="K22" s="418" t="str">
        <f>IF('DATA DE LAS 12'!G22=0," ",'DATA DE LAS 12'!G22)</f>
        <v xml:space="preserve"> </v>
      </c>
      <c r="L22" s="418" t="str">
        <f>IF('DATA DE LAS 12'!H22=0," ",'DATA DE LAS 12'!H22)</f>
        <v xml:space="preserve"> </v>
      </c>
      <c r="M22" s="418" t="str">
        <f>IF('DATA DE LAS 12'!V22=0," ",'DATA DE LAS 12'!V22)</f>
        <v xml:space="preserve"> </v>
      </c>
      <c r="N22" s="418" t="str">
        <f>IF('DATA DE LAS 12'!X22=0," ",'DATA DE LAS 12'!X22)</f>
        <v xml:space="preserve"> </v>
      </c>
      <c r="O22" s="424" t="str">
        <f>IF('DATA DE LAS 12'!BB22=0," ",'DATA DE LAS 12'!BB22)</f>
        <v xml:space="preserve"> </v>
      </c>
      <c r="P22" s="420"/>
      <c r="Q22" s="420"/>
      <c r="R22" s="420"/>
      <c r="S22" s="420"/>
      <c r="T22" s="420"/>
      <c r="U22" s="420"/>
      <c r="V22" s="420"/>
      <c r="W22" s="420"/>
      <c r="X22" s="424" t="str">
        <f>IF('DATA DE LAS 12'!BD22=0," ",'DATA DE LAS 12'!BD22)</f>
        <v xml:space="preserve"> </v>
      </c>
      <c r="Y22" s="424" t="str">
        <f>IF('DATA DE LAS 12'!BE22=0," ",'DATA DE LAS 12'!BE22)</f>
        <v xml:space="preserve"> </v>
      </c>
      <c r="Z22" s="424" t="str">
        <f>IF('DATA DE LAS 12'!BF22=0," ",'DATA DE LAS 12'!BF22)</f>
        <v xml:space="preserve"> </v>
      </c>
      <c r="AA22" s="424" t="str">
        <f>IF('DATA DE LAS 12'!BG22=0," ",'DATA DE LAS 12'!BG22)</f>
        <v xml:space="preserve"> </v>
      </c>
      <c r="AB22" s="424" t="str">
        <f>IF('DATA DE LAS 12'!BY22=0," ",'DATA DE LAS 12'!BY22)</f>
        <v xml:space="preserve"> </v>
      </c>
      <c r="AC22" s="424">
        <v>13</v>
      </c>
      <c r="AD22" s="424">
        <v>25</v>
      </c>
      <c r="AE22" s="424">
        <v>550</v>
      </c>
      <c r="AF22" s="424">
        <v>427</v>
      </c>
      <c r="AG22" s="424" t="str">
        <f>IF('DATA DE LAS 12'!W22=0," ",'DATA DE LAS 12'!W22)</f>
        <v xml:space="preserve"> </v>
      </c>
    </row>
    <row r="23" spans="1:33">
      <c r="A23" s="648">
        <f t="shared" si="0"/>
        <v>45248</v>
      </c>
      <c r="B23" s="428">
        <f>IF('DATA DE LAS 12'!C23=0," ",'DATA DE LAS 12'!C23)</f>
        <v>0.88888888888888884</v>
      </c>
      <c r="C23" s="418" t="str">
        <f>IF('DATA DE LAS 12'!E23=0," ",'DATA DE LAS 12'!E23)</f>
        <v xml:space="preserve"> </v>
      </c>
      <c r="D23" s="418" t="e">
        <f>IF('DATA DE LAS 12'!#REF!=0," ",'DATA DE LAS 12'!#REF!)</f>
        <v>#REF!</v>
      </c>
      <c r="E23" s="418" t="str">
        <f>IF('DATA DE LAS 12'!AM23=0," ",'DATA DE LAS 12'!AM23)</f>
        <v xml:space="preserve"> </v>
      </c>
      <c r="F23" s="418" t="str">
        <f>IF('DATA DE LAS 12'!AL23=0," ",'DATA DE LAS 12'!AL23)</f>
        <v xml:space="preserve"> </v>
      </c>
      <c r="G23" s="418" t="str">
        <f>IF('DATA DE LAS 12'!AQ23=0," ",'DATA DE LAS 12'!AQ23)</f>
        <v xml:space="preserve"> </v>
      </c>
      <c r="H23" s="418" t="str">
        <f>IF('DATA DE LAS 12'!Z23=0," ",'DATA DE LAS 12'!Z23)</f>
        <v xml:space="preserve"> </v>
      </c>
      <c r="I23" s="418" t="str">
        <f>IF('DATA DE LAS 12'!AN23=0," ",'DATA DE LAS 12'!AN23)</f>
        <v xml:space="preserve"> </v>
      </c>
      <c r="J23" s="418" t="str">
        <f>IF('DATA DE LAS 12'!F23=0," ",'DATA DE LAS 12'!F23)</f>
        <v xml:space="preserve"> </v>
      </c>
      <c r="K23" s="418" t="str">
        <f>IF('DATA DE LAS 12'!G23=0," ",'DATA DE LAS 12'!G23)</f>
        <v xml:space="preserve"> </v>
      </c>
      <c r="L23" s="418" t="str">
        <f>IF('DATA DE LAS 12'!H23=0," ",'DATA DE LAS 12'!H23)</f>
        <v xml:space="preserve"> </v>
      </c>
      <c r="M23" s="418" t="str">
        <f>IF('DATA DE LAS 12'!V23=0," ",'DATA DE LAS 12'!V23)</f>
        <v xml:space="preserve"> </v>
      </c>
      <c r="N23" s="418" t="str">
        <f>IF('DATA DE LAS 12'!X23=0," ",'DATA DE LAS 12'!X23)</f>
        <v xml:space="preserve"> </v>
      </c>
      <c r="O23" s="424" t="str">
        <f>IF('DATA DE LAS 12'!BB23=0," ",'DATA DE LAS 12'!BB23)</f>
        <v xml:space="preserve"> </v>
      </c>
      <c r="P23" s="420"/>
      <c r="Q23" s="420"/>
      <c r="R23" s="420"/>
      <c r="S23" s="420"/>
      <c r="T23" s="420"/>
      <c r="U23" s="420"/>
      <c r="V23" s="420"/>
      <c r="W23" s="420"/>
      <c r="X23" s="424" t="str">
        <f>IF('DATA DE LAS 12'!BD23=0," ",'DATA DE LAS 12'!BD23)</f>
        <v xml:space="preserve"> </v>
      </c>
      <c r="Y23" s="424" t="str">
        <f>IF('DATA DE LAS 12'!BE23=0," ",'DATA DE LAS 12'!BE23)</f>
        <v xml:space="preserve"> </v>
      </c>
      <c r="Z23" s="424" t="str">
        <f>IF('DATA DE LAS 12'!BF23=0," ",'DATA DE LAS 12'!BF23)</f>
        <v xml:space="preserve"> </v>
      </c>
      <c r="AA23" s="424" t="str">
        <f>IF('DATA DE LAS 12'!BG23=0," ",'DATA DE LAS 12'!BG23)</f>
        <v xml:space="preserve"> </v>
      </c>
      <c r="AB23" s="424" t="str">
        <f>IF('DATA DE LAS 12'!BY23=0," ",'DATA DE LAS 12'!BY23)</f>
        <v xml:space="preserve"> </v>
      </c>
      <c r="AC23" s="424">
        <v>13</v>
      </c>
      <c r="AD23" s="424">
        <v>25</v>
      </c>
      <c r="AE23" s="424">
        <v>550</v>
      </c>
      <c r="AF23" s="424">
        <v>427</v>
      </c>
      <c r="AG23" s="424" t="str">
        <f>IF('DATA DE LAS 12'!W23=0," ",'DATA DE LAS 12'!W23)</f>
        <v xml:space="preserve"> </v>
      </c>
    </row>
    <row r="24" spans="1:33">
      <c r="A24" s="648">
        <f t="shared" si="0"/>
        <v>45249</v>
      </c>
      <c r="B24" s="428">
        <f>IF('DATA DE LAS 12'!C24=0," ",'DATA DE LAS 12'!C24)</f>
        <v>0.93055555555555503</v>
      </c>
      <c r="C24" s="418" t="str">
        <f>IF('DATA DE LAS 12'!E24=0," ",'DATA DE LAS 12'!E24)</f>
        <v xml:space="preserve"> </v>
      </c>
      <c r="D24" s="418" t="e">
        <f>IF('DATA DE LAS 12'!#REF!=0," ",'DATA DE LAS 12'!#REF!)</f>
        <v>#REF!</v>
      </c>
      <c r="E24" s="418" t="str">
        <f>IF('DATA DE LAS 12'!AM24=0," ",'DATA DE LAS 12'!AM24)</f>
        <v xml:space="preserve"> </v>
      </c>
      <c r="F24" s="418" t="str">
        <f>IF('DATA DE LAS 12'!AL24=0," ",'DATA DE LAS 12'!AL24)</f>
        <v xml:space="preserve"> </v>
      </c>
      <c r="G24" s="418" t="str">
        <f>IF('DATA DE LAS 12'!AQ24=0," ",'DATA DE LAS 12'!AQ24)</f>
        <v xml:space="preserve"> </v>
      </c>
      <c r="H24" s="418" t="str">
        <f>IF('DATA DE LAS 12'!Z24=0," ",'DATA DE LAS 12'!Z24)</f>
        <v xml:space="preserve"> </v>
      </c>
      <c r="I24" s="418" t="str">
        <f>IF('DATA DE LAS 12'!AN24=0," ",'DATA DE LAS 12'!AN24)</f>
        <v xml:space="preserve"> </v>
      </c>
      <c r="J24" s="418" t="str">
        <f>IF('DATA DE LAS 12'!F24=0," ",'DATA DE LAS 12'!F24)</f>
        <v xml:space="preserve"> </v>
      </c>
      <c r="K24" s="418" t="str">
        <f>IF('DATA DE LAS 12'!G24=0," ",'DATA DE LAS 12'!G24)</f>
        <v xml:space="preserve"> </v>
      </c>
      <c r="L24" s="418" t="str">
        <f>IF('DATA DE LAS 12'!H24=0," ",'DATA DE LAS 12'!H24)</f>
        <v xml:space="preserve"> </v>
      </c>
      <c r="M24" s="418" t="str">
        <f>IF('DATA DE LAS 12'!V24=0," ",'DATA DE LAS 12'!V24)</f>
        <v xml:space="preserve"> </v>
      </c>
      <c r="N24" s="418" t="str">
        <f>IF('DATA DE LAS 12'!X24=0," ",'DATA DE LAS 12'!X24)</f>
        <v xml:space="preserve"> </v>
      </c>
      <c r="O24" s="424" t="str">
        <f>IF('DATA DE LAS 12'!BB24=0," ",'DATA DE LAS 12'!BB24)</f>
        <v xml:space="preserve"> </v>
      </c>
      <c r="P24" s="420"/>
      <c r="Q24" s="420"/>
      <c r="R24" s="420"/>
      <c r="S24" s="420"/>
      <c r="T24" s="420"/>
      <c r="U24" s="420"/>
      <c r="V24" s="420"/>
      <c r="W24" s="420"/>
      <c r="X24" s="424" t="str">
        <f>IF('DATA DE LAS 12'!BD24=0," ",'DATA DE LAS 12'!BD24)</f>
        <v xml:space="preserve"> </v>
      </c>
      <c r="Y24" s="424" t="str">
        <f>IF('DATA DE LAS 12'!BE24=0," ",'DATA DE LAS 12'!BE24)</f>
        <v xml:space="preserve"> </v>
      </c>
      <c r="Z24" s="424" t="str">
        <f>IF('DATA DE LAS 12'!BF24=0," ",'DATA DE LAS 12'!BF24)</f>
        <v xml:space="preserve"> </v>
      </c>
      <c r="AA24" s="424" t="str">
        <f>IF('DATA DE LAS 12'!BG24=0," ",'DATA DE LAS 12'!BG24)</f>
        <v xml:space="preserve"> </v>
      </c>
      <c r="AB24" s="424" t="str">
        <f>IF('DATA DE LAS 12'!BY24=0," ",'DATA DE LAS 12'!BY24)</f>
        <v xml:space="preserve"> </v>
      </c>
      <c r="AC24" s="424">
        <v>13</v>
      </c>
      <c r="AD24" s="424">
        <v>25</v>
      </c>
      <c r="AE24" s="424">
        <v>550</v>
      </c>
      <c r="AF24" s="424">
        <v>427</v>
      </c>
      <c r="AG24" s="424" t="str">
        <f>IF('DATA DE LAS 12'!W24=0," ",'DATA DE LAS 12'!W24)</f>
        <v xml:space="preserve"> </v>
      </c>
    </row>
    <row r="25" spans="1:33">
      <c r="A25" s="648">
        <f t="shared" si="0"/>
        <v>45250</v>
      </c>
      <c r="B25" s="428">
        <f>IF('DATA DE LAS 12'!C25=0," ",'DATA DE LAS 12'!C25)</f>
        <v>0.86111111111111116</v>
      </c>
      <c r="C25" s="418" t="str">
        <f>IF('DATA DE LAS 12'!E25=0," ",'DATA DE LAS 12'!E25)</f>
        <v xml:space="preserve"> </v>
      </c>
      <c r="D25" s="418" t="e">
        <f>IF('DATA DE LAS 12'!#REF!=0," ",'DATA DE LAS 12'!#REF!)</f>
        <v>#REF!</v>
      </c>
      <c r="E25" s="418" t="str">
        <f>IF('DATA DE LAS 12'!AM25=0," ",'DATA DE LAS 12'!AM25)</f>
        <v xml:space="preserve"> </v>
      </c>
      <c r="F25" s="418" t="str">
        <f>IF('DATA DE LAS 12'!AL25=0," ",'DATA DE LAS 12'!AL25)</f>
        <v xml:space="preserve"> </v>
      </c>
      <c r="G25" s="418" t="str">
        <f>IF('DATA DE LAS 12'!AQ25=0," ",'DATA DE LAS 12'!AQ25)</f>
        <v xml:space="preserve"> </v>
      </c>
      <c r="H25" s="418" t="str">
        <f>IF('DATA DE LAS 12'!Z25=0," ",'DATA DE LAS 12'!Z25)</f>
        <v xml:space="preserve"> </v>
      </c>
      <c r="I25" s="418" t="str">
        <f>IF('DATA DE LAS 12'!AN25=0," ",'DATA DE LAS 12'!AN25)</f>
        <v xml:space="preserve"> </v>
      </c>
      <c r="J25" s="418" t="str">
        <f>IF('DATA DE LAS 12'!F25=0," ",'DATA DE LAS 12'!F25)</f>
        <v xml:space="preserve"> </v>
      </c>
      <c r="K25" s="418" t="str">
        <f>IF('DATA DE LAS 12'!G25=0," ",'DATA DE LAS 12'!G25)</f>
        <v xml:space="preserve"> </v>
      </c>
      <c r="L25" s="418" t="str">
        <f>IF('DATA DE LAS 12'!H25=0," ",'DATA DE LAS 12'!H25)</f>
        <v xml:space="preserve"> </v>
      </c>
      <c r="M25" s="418" t="str">
        <f>IF('DATA DE LAS 12'!V25=0," ",'DATA DE LAS 12'!V25)</f>
        <v xml:space="preserve"> </v>
      </c>
      <c r="N25" s="418" t="str">
        <f>IF('DATA DE LAS 12'!X25=0," ",'DATA DE LAS 12'!X25)</f>
        <v xml:space="preserve"> </v>
      </c>
      <c r="O25" s="424" t="str">
        <f>IF('DATA DE LAS 12'!BB25=0," ",'DATA DE LAS 12'!BB25)</f>
        <v xml:space="preserve"> </v>
      </c>
      <c r="P25" s="420"/>
      <c r="Q25" s="420"/>
      <c r="R25" s="420"/>
      <c r="S25" s="420"/>
      <c r="T25" s="420"/>
      <c r="U25" s="420"/>
      <c r="V25" s="420"/>
      <c r="W25" s="420"/>
      <c r="X25" s="424" t="str">
        <f>IF('DATA DE LAS 12'!BD25=0," ",'DATA DE LAS 12'!BD25)</f>
        <v xml:space="preserve"> </v>
      </c>
      <c r="Y25" s="424" t="str">
        <f>IF('DATA DE LAS 12'!BE25=0," ",'DATA DE LAS 12'!BE25)</f>
        <v xml:space="preserve"> </v>
      </c>
      <c r="Z25" s="424" t="str">
        <f>IF('DATA DE LAS 12'!BF25=0," ",'DATA DE LAS 12'!BF25)</f>
        <v xml:space="preserve"> </v>
      </c>
      <c r="AA25" s="424" t="str">
        <f>IF('DATA DE LAS 12'!BG25=0," ",'DATA DE LAS 12'!BG25)</f>
        <v xml:space="preserve"> </v>
      </c>
      <c r="AB25" s="424" t="str">
        <f>IF('DATA DE LAS 12'!BY25=0," ",'DATA DE LAS 12'!BY25)</f>
        <v xml:space="preserve"> </v>
      </c>
      <c r="AC25" s="424">
        <v>13</v>
      </c>
      <c r="AD25" s="424">
        <v>25</v>
      </c>
      <c r="AE25" s="424">
        <v>550</v>
      </c>
      <c r="AF25" s="424">
        <v>427</v>
      </c>
      <c r="AG25" s="424" t="str">
        <f>IF('DATA DE LAS 12'!W25=0," ",'DATA DE LAS 12'!W25)</f>
        <v xml:space="preserve"> </v>
      </c>
    </row>
    <row r="26" spans="1:33">
      <c r="A26" s="648">
        <f t="shared" si="0"/>
        <v>45251</v>
      </c>
      <c r="B26" s="428">
        <f>IF('DATA DE LAS 12'!C26=0," ",'DATA DE LAS 12'!C26)</f>
        <v>0.94027777777777777</v>
      </c>
      <c r="C26" s="418" t="str">
        <f>IF('DATA DE LAS 12'!E26=0," ",'DATA DE LAS 12'!E26)</f>
        <v xml:space="preserve"> </v>
      </c>
      <c r="D26" s="418" t="e">
        <f>IF('DATA DE LAS 12'!#REF!=0," ",'DATA DE LAS 12'!#REF!)</f>
        <v>#REF!</v>
      </c>
      <c r="E26" s="418" t="str">
        <f>IF('DATA DE LAS 12'!AM26=0," ",'DATA DE LAS 12'!AM26)</f>
        <v xml:space="preserve"> </v>
      </c>
      <c r="F26" s="418" t="str">
        <f>IF('DATA DE LAS 12'!AL26=0," ",'DATA DE LAS 12'!AL26)</f>
        <v xml:space="preserve"> </v>
      </c>
      <c r="G26" s="418" t="str">
        <f>IF('DATA DE LAS 12'!AQ26=0," ",'DATA DE LAS 12'!AQ26)</f>
        <v xml:space="preserve"> </v>
      </c>
      <c r="H26" s="418" t="str">
        <f>IF('DATA DE LAS 12'!Z26=0," ",'DATA DE LAS 12'!Z26)</f>
        <v xml:space="preserve"> </v>
      </c>
      <c r="I26" s="418" t="str">
        <f>IF('DATA DE LAS 12'!AN26=0," ",'DATA DE LAS 12'!AN26)</f>
        <v xml:space="preserve"> </v>
      </c>
      <c r="J26" s="418" t="str">
        <f>IF('DATA DE LAS 12'!F26=0," ",'DATA DE LAS 12'!F26)</f>
        <v xml:space="preserve"> </v>
      </c>
      <c r="K26" s="418" t="str">
        <f>IF('DATA DE LAS 12'!G26=0," ",'DATA DE LAS 12'!G26)</f>
        <v xml:space="preserve"> </v>
      </c>
      <c r="L26" s="418" t="str">
        <f>IF('DATA DE LAS 12'!H26=0," ",'DATA DE LAS 12'!H26)</f>
        <v xml:space="preserve"> </v>
      </c>
      <c r="M26" s="418" t="str">
        <f>IF('DATA DE LAS 12'!V26=0," ",'DATA DE LAS 12'!V26)</f>
        <v xml:space="preserve"> </v>
      </c>
      <c r="N26" s="418" t="str">
        <f>IF('DATA DE LAS 12'!X26=0," ",'DATA DE LAS 12'!X26)</f>
        <v xml:space="preserve"> </v>
      </c>
      <c r="O26" s="424" t="str">
        <f>IF('DATA DE LAS 12'!BB26=0," ",'DATA DE LAS 12'!BB26)</f>
        <v xml:space="preserve"> </v>
      </c>
      <c r="P26" s="420"/>
      <c r="Q26" s="420"/>
      <c r="R26" s="420"/>
      <c r="S26" s="420"/>
      <c r="T26" s="420"/>
      <c r="U26" s="420"/>
      <c r="V26" s="420"/>
      <c r="W26" s="420"/>
      <c r="X26" s="424" t="str">
        <f>IF('DATA DE LAS 12'!BD26=0," ",'DATA DE LAS 12'!BD26)</f>
        <v xml:space="preserve"> </v>
      </c>
      <c r="Y26" s="424" t="str">
        <f>IF('DATA DE LAS 12'!BE26=0," ",'DATA DE LAS 12'!BE26)</f>
        <v xml:space="preserve"> </v>
      </c>
      <c r="Z26" s="424" t="str">
        <f>IF('DATA DE LAS 12'!BF26=0," ",'DATA DE LAS 12'!BF26)</f>
        <v xml:space="preserve"> </v>
      </c>
      <c r="AA26" s="424" t="str">
        <f>IF('DATA DE LAS 12'!BG26=0," ",'DATA DE LAS 12'!BG26)</f>
        <v xml:space="preserve"> </v>
      </c>
      <c r="AB26" s="424" t="str">
        <f>IF('DATA DE LAS 12'!BY26=0," ",'DATA DE LAS 12'!BY26)</f>
        <v xml:space="preserve"> </v>
      </c>
      <c r="AC26" s="424">
        <v>13</v>
      </c>
      <c r="AD26" s="424">
        <v>25</v>
      </c>
      <c r="AE26" s="424">
        <v>550</v>
      </c>
      <c r="AF26" s="424">
        <v>427</v>
      </c>
      <c r="AG26" s="424" t="str">
        <f>IF('DATA DE LAS 12'!W26=0," ",'DATA DE LAS 12'!W26)</f>
        <v xml:space="preserve"> </v>
      </c>
    </row>
    <row r="27" spans="1:33">
      <c r="A27" s="648">
        <f t="shared" si="0"/>
        <v>45252</v>
      </c>
      <c r="B27" s="428">
        <f>IF('DATA DE LAS 12'!C27=0," ",'DATA DE LAS 12'!C27)</f>
        <v>0.8666666666666667</v>
      </c>
      <c r="C27" s="418" t="str">
        <f>IF('DATA DE LAS 12'!E27=0," ",'DATA DE LAS 12'!E27)</f>
        <v xml:space="preserve"> </v>
      </c>
      <c r="D27" s="418" t="e">
        <f>IF('DATA DE LAS 12'!#REF!=0," ",'DATA DE LAS 12'!#REF!)</f>
        <v>#REF!</v>
      </c>
      <c r="E27" s="418" t="str">
        <f>IF('DATA DE LAS 12'!AM27=0," ",'DATA DE LAS 12'!AM27)</f>
        <v xml:space="preserve"> </v>
      </c>
      <c r="F27" s="418" t="str">
        <f>IF('DATA DE LAS 12'!AL27=0," ",'DATA DE LAS 12'!AL27)</f>
        <v xml:space="preserve"> </v>
      </c>
      <c r="G27" s="418" t="str">
        <f>IF('DATA DE LAS 12'!AQ27=0," ",'DATA DE LAS 12'!AQ27)</f>
        <v xml:space="preserve"> </v>
      </c>
      <c r="H27" s="418" t="str">
        <f>IF('DATA DE LAS 12'!Z27=0," ",'DATA DE LAS 12'!Z27)</f>
        <v xml:space="preserve"> </v>
      </c>
      <c r="I27" s="418" t="str">
        <f>IF('DATA DE LAS 12'!AN27=0," ",'DATA DE LAS 12'!AN27)</f>
        <v xml:space="preserve"> </v>
      </c>
      <c r="J27" s="418" t="str">
        <f>IF('DATA DE LAS 12'!F27=0," ",'DATA DE LAS 12'!F27)</f>
        <v xml:space="preserve"> </v>
      </c>
      <c r="K27" s="418" t="str">
        <f>IF('DATA DE LAS 12'!G27=0," ",'DATA DE LAS 12'!G27)</f>
        <v xml:space="preserve"> </v>
      </c>
      <c r="L27" s="418" t="str">
        <f>IF('DATA DE LAS 12'!H27=0," ",'DATA DE LAS 12'!H27)</f>
        <v xml:space="preserve"> </v>
      </c>
      <c r="M27" s="418" t="str">
        <f>IF('DATA DE LAS 12'!V27=0," ",'DATA DE LAS 12'!V27)</f>
        <v xml:space="preserve"> </v>
      </c>
      <c r="N27" s="418" t="str">
        <f>IF('DATA DE LAS 12'!X27=0," ",'DATA DE LAS 12'!X27)</f>
        <v xml:space="preserve"> </v>
      </c>
      <c r="O27" s="424" t="str">
        <f>IF('DATA DE LAS 12'!BB27=0," ",'DATA DE LAS 12'!BB27)</f>
        <v xml:space="preserve"> </v>
      </c>
      <c r="P27" s="420"/>
      <c r="Q27" s="420"/>
      <c r="R27" s="420"/>
      <c r="S27" s="420"/>
      <c r="T27" s="420"/>
      <c r="U27" s="420"/>
      <c r="V27" s="420"/>
      <c r="W27" s="420"/>
      <c r="X27" s="424" t="str">
        <f>IF('DATA DE LAS 12'!BD27=0," ",'DATA DE LAS 12'!BD27)</f>
        <v xml:space="preserve"> </v>
      </c>
      <c r="Y27" s="424" t="str">
        <f>IF('DATA DE LAS 12'!BE27=0," ",'DATA DE LAS 12'!BE27)</f>
        <v xml:space="preserve"> </v>
      </c>
      <c r="Z27" s="424" t="str">
        <f>IF('DATA DE LAS 12'!BF27=0," ",'DATA DE LAS 12'!BF27)</f>
        <v xml:space="preserve"> </v>
      </c>
      <c r="AA27" s="424" t="str">
        <f>IF('DATA DE LAS 12'!BG27=0," ",'DATA DE LAS 12'!BG27)</f>
        <v xml:space="preserve"> </v>
      </c>
      <c r="AB27" s="424" t="str">
        <f>IF('DATA DE LAS 12'!BY27=0," ",'DATA DE LAS 12'!BY27)</f>
        <v xml:space="preserve"> </v>
      </c>
      <c r="AC27" s="424">
        <v>13</v>
      </c>
      <c r="AD27" s="424">
        <v>25</v>
      </c>
      <c r="AE27" s="424">
        <v>550</v>
      </c>
      <c r="AF27" s="424">
        <v>427</v>
      </c>
      <c r="AG27" s="424" t="str">
        <f>IF('DATA DE LAS 12'!W27=0," ",'DATA DE LAS 12'!W27)</f>
        <v xml:space="preserve"> </v>
      </c>
    </row>
    <row r="28" spans="1:33">
      <c r="A28" s="648">
        <f t="shared" si="0"/>
        <v>45253</v>
      </c>
      <c r="B28" s="428">
        <f>IF('DATA DE LAS 12'!C28=0," ",'DATA DE LAS 12'!C28)</f>
        <v>0.99861111111111101</v>
      </c>
      <c r="C28" s="418" t="str">
        <f>IF('DATA DE LAS 12'!E28=0," ",'DATA DE LAS 12'!E28)</f>
        <v xml:space="preserve"> </v>
      </c>
      <c r="D28" s="418" t="e">
        <f>IF('DATA DE LAS 12'!#REF!=0," ",'DATA DE LAS 12'!#REF!)</f>
        <v>#REF!</v>
      </c>
      <c r="E28" s="418" t="str">
        <f>IF('DATA DE LAS 12'!AM28=0," ",'DATA DE LAS 12'!AM28)</f>
        <v xml:space="preserve"> </v>
      </c>
      <c r="F28" s="418" t="str">
        <f>IF('DATA DE LAS 12'!AL28=0," ",'DATA DE LAS 12'!AL28)</f>
        <v xml:space="preserve"> </v>
      </c>
      <c r="G28" s="418" t="str">
        <f>IF('DATA DE LAS 12'!AQ28=0," ",'DATA DE LAS 12'!AQ28)</f>
        <v xml:space="preserve"> </v>
      </c>
      <c r="H28" s="418" t="str">
        <f>IF('DATA DE LAS 12'!Z28=0," ",'DATA DE LAS 12'!Z28)</f>
        <v xml:space="preserve"> </v>
      </c>
      <c r="I28" s="418" t="str">
        <f>IF('DATA DE LAS 12'!AN28=0," ",'DATA DE LAS 12'!AN28)</f>
        <v xml:space="preserve"> </v>
      </c>
      <c r="J28" s="418" t="str">
        <f>IF('DATA DE LAS 12'!F28=0," ",'DATA DE LAS 12'!F28)</f>
        <v xml:space="preserve"> </v>
      </c>
      <c r="K28" s="418" t="str">
        <f>IF('DATA DE LAS 12'!G28=0," ",'DATA DE LAS 12'!G28)</f>
        <v xml:space="preserve"> </v>
      </c>
      <c r="L28" s="418" t="str">
        <f>IF('DATA DE LAS 12'!H28=0," ",'DATA DE LAS 12'!H28)</f>
        <v xml:space="preserve"> </v>
      </c>
      <c r="M28" s="418" t="str">
        <f>IF('DATA DE LAS 12'!V28=0," ",'DATA DE LAS 12'!V28)</f>
        <v xml:space="preserve"> </v>
      </c>
      <c r="N28" s="418" t="str">
        <f>IF('DATA DE LAS 12'!X28=0," ",'DATA DE LAS 12'!X28)</f>
        <v xml:space="preserve"> </v>
      </c>
      <c r="O28" s="424" t="str">
        <f>IF('DATA DE LAS 12'!BB28=0," ",'DATA DE LAS 12'!BB28)</f>
        <v xml:space="preserve"> </v>
      </c>
      <c r="P28" s="420"/>
      <c r="Q28" s="420"/>
      <c r="R28" s="420"/>
      <c r="S28" s="420"/>
      <c r="T28" s="420"/>
      <c r="U28" s="420"/>
      <c r="V28" s="420"/>
      <c r="W28" s="420"/>
      <c r="X28" s="424" t="str">
        <f>IF('DATA DE LAS 12'!BD28=0," ",'DATA DE LAS 12'!BD28)</f>
        <v xml:space="preserve"> </v>
      </c>
      <c r="Y28" s="424" t="str">
        <f>IF('DATA DE LAS 12'!BE28=0," ",'DATA DE LAS 12'!BE28)</f>
        <v xml:space="preserve"> </v>
      </c>
      <c r="Z28" s="424" t="str">
        <f>IF('DATA DE LAS 12'!BF28=0," ",'DATA DE LAS 12'!BF28)</f>
        <v xml:space="preserve"> </v>
      </c>
      <c r="AA28" s="424" t="str">
        <f>IF('DATA DE LAS 12'!BG28=0," ",'DATA DE LAS 12'!BG28)</f>
        <v xml:space="preserve"> </v>
      </c>
      <c r="AB28" s="424" t="str">
        <f>IF('DATA DE LAS 12'!BY28=0," ",'DATA DE LAS 12'!BY28)</f>
        <v xml:space="preserve"> </v>
      </c>
      <c r="AC28" s="424">
        <v>13</v>
      </c>
      <c r="AD28" s="424">
        <v>25</v>
      </c>
      <c r="AE28" s="424">
        <v>550</v>
      </c>
      <c r="AF28" s="424">
        <v>427</v>
      </c>
      <c r="AG28" s="424" t="str">
        <f>IF('DATA DE LAS 12'!W28=0," ",'DATA DE LAS 12'!W28)</f>
        <v xml:space="preserve"> </v>
      </c>
    </row>
    <row r="29" spans="1:33">
      <c r="A29" s="648">
        <f t="shared" si="0"/>
        <v>45254</v>
      </c>
      <c r="B29" s="428">
        <f>IF('DATA DE LAS 12'!C29=0," ",'DATA DE LAS 12'!C29)</f>
        <v>0.95208333333333339</v>
      </c>
      <c r="C29" s="418" t="str">
        <f>IF('DATA DE LAS 12'!E29=0," ",'DATA DE LAS 12'!E29)</f>
        <v xml:space="preserve"> </v>
      </c>
      <c r="D29" s="418" t="e">
        <f>IF('DATA DE LAS 12'!#REF!=0," ",'DATA DE LAS 12'!#REF!)</f>
        <v>#REF!</v>
      </c>
      <c r="E29" s="418" t="str">
        <f>IF('DATA DE LAS 12'!AM29=0," ",'DATA DE LAS 12'!AM29)</f>
        <v xml:space="preserve"> </v>
      </c>
      <c r="F29" s="418" t="str">
        <f>IF('DATA DE LAS 12'!AL29=0," ",'DATA DE LAS 12'!AL29)</f>
        <v xml:space="preserve"> </v>
      </c>
      <c r="G29" s="418" t="str">
        <f>IF('DATA DE LAS 12'!AQ29=0," ",'DATA DE LAS 12'!AQ29)</f>
        <v xml:space="preserve"> </v>
      </c>
      <c r="H29" s="418" t="str">
        <f>IF('DATA DE LAS 12'!Z29=0," ",'DATA DE LAS 12'!Z29)</f>
        <v xml:space="preserve"> </v>
      </c>
      <c r="I29" s="418" t="str">
        <f>IF('DATA DE LAS 12'!AN29=0," ",'DATA DE LAS 12'!AN29)</f>
        <v xml:space="preserve"> </v>
      </c>
      <c r="J29" s="418" t="str">
        <f>IF('DATA DE LAS 12'!F29=0," ",'DATA DE LAS 12'!F29)</f>
        <v xml:space="preserve"> </v>
      </c>
      <c r="K29" s="418" t="str">
        <f>IF('DATA DE LAS 12'!G29=0," ",'DATA DE LAS 12'!G29)</f>
        <v xml:space="preserve"> </v>
      </c>
      <c r="L29" s="418" t="str">
        <f>IF('DATA DE LAS 12'!H29=0," ",'DATA DE LAS 12'!H29)</f>
        <v xml:space="preserve"> </v>
      </c>
      <c r="M29" s="418" t="str">
        <f>IF('DATA DE LAS 12'!V29=0," ",'DATA DE LAS 12'!V29)</f>
        <v xml:space="preserve"> </v>
      </c>
      <c r="N29" s="418" t="str">
        <f>IF('DATA DE LAS 12'!X29=0," ",'DATA DE LAS 12'!X29)</f>
        <v xml:space="preserve"> </v>
      </c>
      <c r="O29" s="424" t="str">
        <f>IF('DATA DE LAS 12'!BB29=0," ",'DATA DE LAS 12'!BB29)</f>
        <v xml:space="preserve"> </v>
      </c>
      <c r="P29" s="420"/>
      <c r="Q29" s="420"/>
      <c r="R29" s="420"/>
      <c r="S29" s="420"/>
      <c r="T29" s="420"/>
      <c r="U29" s="420"/>
      <c r="V29" s="420"/>
      <c r="W29" s="420"/>
      <c r="X29" s="424" t="str">
        <f>IF('DATA DE LAS 12'!BD29=0," ",'DATA DE LAS 12'!BD29)</f>
        <v xml:space="preserve"> </v>
      </c>
      <c r="Y29" s="424" t="str">
        <f>IF('DATA DE LAS 12'!BE29=0," ",'DATA DE LAS 12'!BE29)</f>
        <v xml:space="preserve"> </v>
      </c>
      <c r="Z29" s="424" t="str">
        <f>IF('DATA DE LAS 12'!BF29=0," ",'DATA DE LAS 12'!BF29)</f>
        <v xml:space="preserve"> </v>
      </c>
      <c r="AA29" s="424" t="str">
        <f>IF('DATA DE LAS 12'!BG29=0," ",'DATA DE LAS 12'!BG29)</f>
        <v xml:space="preserve"> </v>
      </c>
      <c r="AB29" s="424" t="str">
        <f>IF('DATA DE LAS 12'!BY29=0," ",'DATA DE LAS 12'!BY29)</f>
        <v xml:space="preserve"> </v>
      </c>
      <c r="AC29" s="424">
        <v>13</v>
      </c>
      <c r="AD29" s="424">
        <v>25</v>
      </c>
      <c r="AE29" s="424">
        <v>550</v>
      </c>
      <c r="AF29" s="424">
        <v>427</v>
      </c>
      <c r="AG29" s="424" t="str">
        <f>IF('DATA DE LAS 12'!W29=0," ",'DATA DE LAS 12'!W29)</f>
        <v xml:space="preserve"> </v>
      </c>
    </row>
    <row r="30" spans="1:33">
      <c r="A30" s="648">
        <f t="shared" si="0"/>
        <v>45255</v>
      </c>
      <c r="B30" s="428">
        <f>IF('DATA DE LAS 12'!C30=0," ",'DATA DE LAS 12'!C30)</f>
        <v>0.89236111111111116</v>
      </c>
      <c r="C30" s="418" t="str">
        <f>IF('DATA DE LAS 12'!E30=0," ",'DATA DE LAS 12'!E30)</f>
        <v xml:space="preserve"> </v>
      </c>
      <c r="D30" s="418" t="e">
        <f>IF('DATA DE LAS 12'!#REF!=0," ",'DATA DE LAS 12'!#REF!)</f>
        <v>#REF!</v>
      </c>
      <c r="E30" s="418" t="str">
        <f>IF('DATA DE LAS 12'!AM30=0," ",'DATA DE LAS 12'!AM30)</f>
        <v xml:space="preserve"> </v>
      </c>
      <c r="F30" s="418" t="str">
        <f>IF('DATA DE LAS 12'!AL30=0," ",'DATA DE LAS 12'!AL30)</f>
        <v xml:space="preserve"> </v>
      </c>
      <c r="G30" s="418" t="str">
        <f>IF('DATA DE LAS 12'!AQ30=0," ",'DATA DE LAS 12'!AQ30)</f>
        <v xml:space="preserve"> </v>
      </c>
      <c r="H30" s="418" t="str">
        <f>IF('DATA DE LAS 12'!Z30=0," ",'DATA DE LAS 12'!Z30)</f>
        <v xml:space="preserve"> </v>
      </c>
      <c r="I30" s="418" t="str">
        <f>IF('DATA DE LAS 12'!AN30=0," ",'DATA DE LAS 12'!AN30)</f>
        <v xml:space="preserve"> </v>
      </c>
      <c r="J30" s="418" t="str">
        <f>IF('DATA DE LAS 12'!F30=0," ",'DATA DE LAS 12'!F30)</f>
        <v xml:space="preserve"> </v>
      </c>
      <c r="K30" s="418" t="str">
        <f>IF('DATA DE LAS 12'!G30=0," ",'DATA DE LAS 12'!G30)</f>
        <v xml:space="preserve"> </v>
      </c>
      <c r="L30" s="418" t="str">
        <f>IF('DATA DE LAS 12'!H30=0," ",'DATA DE LAS 12'!H30)</f>
        <v xml:space="preserve"> </v>
      </c>
      <c r="M30" s="418" t="str">
        <f>IF('DATA DE LAS 12'!V30=0," ",'DATA DE LAS 12'!V30)</f>
        <v xml:space="preserve"> </v>
      </c>
      <c r="N30" s="418" t="str">
        <f>IF('DATA DE LAS 12'!X30=0," ",'DATA DE LAS 12'!X30)</f>
        <v xml:space="preserve"> </v>
      </c>
      <c r="O30" s="424" t="str">
        <f>IF('DATA DE LAS 12'!BB30=0," ",'DATA DE LAS 12'!BB30)</f>
        <v xml:space="preserve"> </v>
      </c>
      <c r="P30" s="420"/>
      <c r="Q30" s="420"/>
      <c r="R30" s="420"/>
      <c r="S30" s="420"/>
      <c r="T30" s="420"/>
      <c r="U30" s="420"/>
      <c r="V30" s="420"/>
      <c r="W30" s="420"/>
      <c r="X30" s="424" t="str">
        <f>IF('DATA DE LAS 12'!BD30=0," ",'DATA DE LAS 12'!BD30)</f>
        <v xml:space="preserve"> </v>
      </c>
      <c r="Y30" s="424" t="str">
        <f>IF('DATA DE LAS 12'!BE30=0," ",'DATA DE LAS 12'!BE30)</f>
        <v xml:space="preserve"> </v>
      </c>
      <c r="Z30" s="424" t="str">
        <f>IF('DATA DE LAS 12'!BF30=0," ",'DATA DE LAS 12'!BF30)</f>
        <v xml:space="preserve"> </v>
      </c>
      <c r="AA30" s="424" t="str">
        <f>IF('DATA DE LAS 12'!BG30=0," ",'DATA DE LAS 12'!BG30)</f>
        <v xml:space="preserve"> </v>
      </c>
      <c r="AB30" s="424" t="str">
        <f>IF('DATA DE LAS 12'!BY30=0," ",'DATA DE LAS 12'!BY30)</f>
        <v xml:space="preserve"> </v>
      </c>
      <c r="AC30" s="424">
        <v>13</v>
      </c>
      <c r="AD30" s="424">
        <v>25</v>
      </c>
      <c r="AE30" s="424">
        <v>550</v>
      </c>
      <c r="AF30" s="424">
        <v>427</v>
      </c>
      <c r="AG30" s="424" t="str">
        <f>IF('DATA DE LAS 12'!W30=0," ",'DATA DE LAS 12'!W30)</f>
        <v xml:space="preserve"> </v>
      </c>
    </row>
    <row r="31" spans="1:33">
      <c r="A31" s="648">
        <f t="shared" si="0"/>
        <v>45256</v>
      </c>
      <c r="B31" s="428">
        <f>IF('DATA DE LAS 12'!C31=0," ",'DATA DE LAS 12'!C31)</f>
        <v>0.90069444444444446</v>
      </c>
      <c r="C31" s="418" t="str">
        <f>IF('DATA DE LAS 12'!E31=0," ",'DATA DE LAS 12'!E31)</f>
        <v xml:space="preserve"> </v>
      </c>
      <c r="D31" s="418" t="e">
        <f>IF('DATA DE LAS 12'!#REF!=0," ",'DATA DE LAS 12'!#REF!)</f>
        <v>#REF!</v>
      </c>
      <c r="E31" s="418" t="str">
        <f>IF('DATA DE LAS 12'!AM31=0," ",'DATA DE LAS 12'!AM31)</f>
        <v xml:space="preserve"> </v>
      </c>
      <c r="F31" s="418" t="str">
        <f>IF('DATA DE LAS 12'!AL31=0," ",'DATA DE LAS 12'!AL31)</f>
        <v xml:space="preserve"> </v>
      </c>
      <c r="G31" s="418" t="str">
        <f>IF('DATA DE LAS 12'!AQ31=0," ",'DATA DE LAS 12'!AQ31)</f>
        <v xml:space="preserve"> </v>
      </c>
      <c r="H31" s="418" t="str">
        <f>IF('DATA DE LAS 12'!Z31=0," ",'DATA DE LAS 12'!Z31)</f>
        <v xml:space="preserve"> </v>
      </c>
      <c r="I31" s="418" t="str">
        <f>IF('DATA DE LAS 12'!AN31=0," ",'DATA DE LAS 12'!AN31)</f>
        <v xml:space="preserve"> </v>
      </c>
      <c r="J31" s="418" t="str">
        <f>IF('DATA DE LAS 12'!F31=0," ",'DATA DE LAS 12'!F31)</f>
        <v xml:space="preserve"> </v>
      </c>
      <c r="K31" s="418" t="str">
        <f>IF('DATA DE LAS 12'!G31=0," ",'DATA DE LAS 12'!G31)</f>
        <v xml:space="preserve"> </v>
      </c>
      <c r="L31" s="418" t="str">
        <f>IF('DATA DE LAS 12'!H31=0," ",'DATA DE LAS 12'!H31)</f>
        <v xml:space="preserve"> </v>
      </c>
      <c r="M31" s="418" t="str">
        <f>IF('DATA DE LAS 12'!V31=0," ",'DATA DE LAS 12'!V31)</f>
        <v xml:space="preserve"> </v>
      </c>
      <c r="N31" s="418" t="str">
        <f>IF('DATA DE LAS 12'!X31=0," ",'DATA DE LAS 12'!X31)</f>
        <v xml:space="preserve"> </v>
      </c>
      <c r="O31" s="424" t="str">
        <f>IF('DATA DE LAS 12'!BB31=0," ",'DATA DE LAS 12'!BB31)</f>
        <v xml:space="preserve"> </v>
      </c>
      <c r="P31" s="420"/>
      <c r="Q31" s="420"/>
      <c r="R31" s="420"/>
      <c r="S31" s="420"/>
      <c r="T31" s="420"/>
      <c r="U31" s="420"/>
      <c r="V31" s="420"/>
      <c r="W31" s="420"/>
      <c r="X31" s="424" t="str">
        <f>IF('DATA DE LAS 12'!BD31=0," ",'DATA DE LAS 12'!BD31)</f>
        <v xml:space="preserve"> </v>
      </c>
      <c r="Y31" s="424" t="str">
        <f>IF('DATA DE LAS 12'!BE31=0," ",'DATA DE LAS 12'!BE31)</f>
        <v xml:space="preserve"> </v>
      </c>
      <c r="Z31" s="424" t="str">
        <f>IF('DATA DE LAS 12'!BF31=0," ",'DATA DE LAS 12'!BF31)</f>
        <v xml:space="preserve"> </v>
      </c>
      <c r="AA31" s="424" t="str">
        <f>IF('DATA DE LAS 12'!BG31=0," ",'DATA DE LAS 12'!BG31)</f>
        <v xml:space="preserve"> </v>
      </c>
      <c r="AB31" s="424" t="str">
        <f>IF('DATA DE LAS 12'!BY31=0," ",'DATA DE LAS 12'!BY31)</f>
        <v xml:space="preserve"> </v>
      </c>
      <c r="AC31" s="424">
        <v>13</v>
      </c>
      <c r="AD31" s="424">
        <v>25</v>
      </c>
      <c r="AE31" s="424">
        <v>550</v>
      </c>
      <c r="AF31" s="424">
        <v>427</v>
      </c>
      <c r="AG31" s="424" t="str">
        <f>IF('DATA DE LAS 12'!W31=0," ",'DATA DE LAS 12'!W31)</f>
        <v xml:space="preserve"> </v>
      </c>
    </row>
    <row r="32" spans="1:33">
      <c r="A32" s="648">
        <f t="shared" si="0"/>
        <v>45257</v>
      </c>
      <c r="B32" s="428">
        <f>IF('DATA DE LAS 12'!C32=0," ",'DATA DE LAS 12'!C32)</f>
        <v>0.95833333333333337</v>
      </c>
      <c r="C32" s="418" t="str">
        <f>IF('DATA DE LAS 12'!E32=0," ",'DATA DE LAS 12'!E32)</f>
        <v xml:space="preserve"> </v>
      </c>
      <c r="D32" s="418" t="e">
        <f>IF('DATA DE LAS 12'!#REF!=0," ",'DATA DE LAS 12'!#REF!)</f>
        <v>#REF!</v>
      </c>
      <c r="E32" s="418" t="str">
        <f>IF('DATA DE LAS 12'!AM32=0," ",'DATA DE LAS 12'!AM32)</f>
        <v xml:space="preserve"> </v>
      </c>
      <c r="F32" s="418" t="str">
        <f>IF('DATA DE LAS 12'!AL32=0," ",'DATA DE LAS 12'!AL32)</f>
        <v xml:space="preserve"> </v>
      </c>
      <c r="G32" s="418" t="str">
        <f>IF('DATA DE LAS 12'!AQ32=0," ",'DATA DE LAS 12'!AQ32)</f>
        <v xml:space="preserve"> </v>
      </c>
      <c r="H32" s="418" t="str">
        <f>IF('DATA DE LAS 12'!Z32=0," ",'DATA DE LAS 12'!Z32)</f>
        <v xml:space="preserve"> </v>
      </c>
      <c r="I32" s="418" t="str">
        <f>IF('DATA DE LAS 12'!AN32=0," ",'DATA DE LAS 12'!AN32)</f>
        <v xml:space="preserve"> </v>
      </c>
      <c r="J32" s="418" t="str">
        <f>IF('DATA DE LAS 12'!F32=0," ",'DATA DE LAS 12'!F32)</f>
        <v xml:space="preserve"> </v>
      </c>
      <c r="K32" s="418" t="str">
        <f>IF('DATA DE LAS 12'!G32=0," ",'DATA DE LAS 12'!G32)</f>
        <v xml:space="preserve"> </v>
      </c>
      <c r="L32" s="418" t="str">
        <f>IF('DATA DE LAS 12'!H32=0," ",'DATA DE LAS 12'!H32)</f>
        <v xml:space="preserve"> </v>
      </c>
      <c r="M32" s="418" t="str">
        <f>IF('DATA DE LAS 12'!V32=0," ",'DATA DE LAS 12'!V32)</f>
        <v xml:space="preserve"> </v>
      </c>
      <c r="N32" s="418" t="str">
        <f>IF('DATA DE LAS 12'!X32=0," ",'DATA DE LAS 12'!X32)</f>
        <v xml:space="preserve"> </v>
      </c>
      <c r="O32" s="424" t="str">
        <f>IF('DATA DE LAS 12'!BB32=0," ",'DATA DE LAS 12'!BB32)</f>
        <v xml:space="preserve"> </v>
      </c>
      <c r="P32" s="420"/>
      <c r="Q32" s="420"/>
      <c r="R32" s="420"/>
      <c r="S32" s="420"/>
      <c r="T32" s="420"/>
      <c r="U32" s="420"/>
      <c r="V32" s="420"/>
      <c r="W32" s="420"/>
      <c r="X32" s="424" t="str">
        <f>IF('DATA DE LAS 12'!BD32=0," ",'DATA DE LAS 12'!BD32)</f>
        <v xml:space="preserve"> </v>
      </c>
      <c r="Y32" s="424" t="str">
        <f>IF('DATA DE LAS 12'!BE32=0," ",'DATA DE LAS 12'!BE32)</f>
        <v xml:space="preserve"> </v>
      </c>
      <c r="Z32" s="424" t="str">
        <f>IF('DATA DE LAS 12'!BF32=0," ",'DATA DE LAS 12'!BF32)</f>
        <v xml:space="preserve"> </v>
      </c>
      <c r="AA32" s="424" t="str">
        <f>IF('DATA DE LAS 12'!BG32=0," ",'DATA DE LAS 12'!BG32)</f>
        <v xml:space="preserve"> </v>
      </c>
      <c r="AB32" s="424" t="str">
        <f>IF('DATA DE LAS 12'!BY32=0," ",'DATA DE LAS 12'!BY32)</f>
        <v xml:space="preserve"> </v>
      </c>
      <c r="AC32" s="424">
        <v>13</v>
      </c>
      <c r="AD32" s="424">
        <v>25</v>
      </c>
      <c r="AE32" s="424">
        <v>550</v>
      </c>
      <c r="AF32" s="424">
        <v>427</v>
      </c>
      <c r="AG32" s="424" t="str">
        <f>IF('DATA DE LAS 12'!W32=0," ",'DATA DE LAS 12'!W32)</f>
        <v xml:space="preserve"> </v>
      </c>
    </row>
    <row r="33" spans="1:84">
      <c r="A33" s="648">
        <f t="shared" si="0"/>
        <v>45258</v>
      </c>
      <c r="B33" s="428">
        <f>IF('DATA DE LAS 12'!C33=0," ",'DATA DE LAS 12'!C33)</f>
        <v>0.88888888888888884</v>
      </c>
      <c r="C33" s="418" t="str">
        <f>IF('DATA DE LAS 12'!E33=0," ",'DATA DE LAS 12'!E33)</f>
        <v xml:space="preserve"> </v>
      </c>
      <c r="D33" s="418" t="e">
        <f>IF('DATA DE LAS 12'!#REF!=0," ",'DATA DE LAS 12'!#REF!)</f>
        <v>#REF!</v>
      </c>
      <c r="E33" s="418" t="str">
        <f>IF('DATA DE LAS 12'!AM33=0," ",'DATA DE LAS 12'!AM33)</f>
        <v xml:space="preserve"> </v>
      </c>
      <c r="F33" s="418" t="str">
        <f>IF('DATA DE LAS 12'!AL33=0," ",'DATA DE LAS 12'!AL33)</f>
        <v xml:space="preserve"> </v>
      </c>
      <c r="G33" s="418" t="str">
        <f>IF('DATA DE LAS 12'!AQ33=0," ",'DATA DE LAS 12'!AQ33)</f>
        <v xml:space="preserve"> </v>
      </c>
      <c r="H33" s="418" t="str">
        <f>IF('DATA DE LAS 12'!Z33=0," ",'DATA DE LAS 12'!Z33)</f>
        <v xml:space="preserve"> </v>
      </c>
      <c r="I33" s="418" t="str">
        <f>IF('DATA DE LAS 12'!AN33=0," ",'DATA DE LAS 12'!AN33)</f>
        <v xml:space="preserve"> </v>
      </c>
      <c r="J33" s="418" t="str">
        <f>IF('DATA DE LAS 12'!F33=0," ",'DATA DE LAS 12'!F33)</f>
        <v xml:space="preserve"> </v>
      </c>
      <c r="K33" s="418" t="str">
        <f>IF('DATA DE LAS 12'!G33=0," ",'DATA DE LAS 12'!G33)</f>
        <v xml:space="preserve"> </v>
      </c>
      <c r="L33" s="418" t="str">
        <f>IF('DATA DE LAS 12'!H33=0," ",'DATA DE LAS 12'!H33)</f>
        <v xml:space="preserve"> </v>
      </c>
      <c r="M33" s="418" t="str">
        <f>IF('DATA DE LAS 12'!V33=0," ",'DATA DE LAS 12'!V33)</f>
        <v xml:space="preserve"> </v>
      </c>
      <c r="N33" s="418" t="str">
        <f>IF('DATA DE LAS 12'!X33=0," ",'DATA DE LAS 12'!X33)</f>
        <v xml:space="preserve"> </v>
      </c>
      <c r="O33" s="424" t="str">
        <f>IF('DATA DE LAS 12'!BB33=0," ",'DATA DE LAS 12'!BB33)</f>
        <v xml:space="preserve"> </v>
      </c>
      <c r="P33" s="420"/>
      <c r="Q33" s="420"/>
      <c r="R33" s="420"/>
      <c r="S33" s="420"/>
      <c r="T33" s="420"/>
      <c r="U33" s="420"/>
      <c r="V33" s="420"/>
      <c r="W33" s="420"/>
      <c r="X33" s="424" t="str">
        <f>IF('DATA DE LAS 12'!BD33=0," ",'DATA DE LAS 12'!BD33)</f>
        <v xml:space="preserve"> </v>
      </c>
      <c r="Y33" s="424" t="str">
        <f>IF('DATA DE LAS 12'!BE33=0," ",'DATA DE LAS 12'!BE33)</f>
        <v xml:space="preserve"> </v>
      </c>
      <c r="Z33" s="424" t="str">
        <f>IF('DATA DE LAS 12'!BF33=0," ",'DATA DE LAS 12'!BF33)</f>
        <v xml:space="preserve"> </v>
      </c>
      <c r="AA33" s="424" t="str">
        <f>IF('DATA DE LAS 12'!BG33=0," ",'DATA DE LAS 12'!BG33)</f>
        <v xml:space="preserve"> </v>
      </c>
      <c r="AB33" s="424" t="str">
        <f>IF('DATA DE LAS 12'!BY33=0," ",'DATA DE LAS 12'!BY33)</f>
        <v xml:space="preserve"> </v>
      </c>
      <c r="AC33" s="424">
        <v>13</v>
      </c>
      <c r="AD33" s="424">
        <v>25</v>
      </c>
      <c r="AE33" s="424">
        <v>550</v>
      </c>
      <c r="AF33" s="424">
        <v>427</v>
      </c>
      <c r="AG33" s="424" t="str">
        <f>IF('DATA DE LAS 12'!W33=0," ",'DATA DE LAS 12'!W33)</f>
        <v xml:space="preserve"> </v>
      </c>
    </row>
    <row r="34" spans="1:84">
      <c r="A34" s="648">
        <f t="shared" si="0"/>
        <v>45259</v>
      </c>
      <c r="B34" s="428">
        <f>IF('DATA DE LAS 12'!C34=0," ",'DATA DE LAS 12'!C34)</f>
        <v>0.93055555555555503</v>
      </c>
      <c r="C34" s="418" t="str">
        <f>IF('DATA DE LAS 12'!E34=0," ",'DATA DE LAS 12'!E34)</f>
        <v xml:space="preserve"> </v>
      </c>
      <c r="D34" s="418" t="e">
        <f>IF('DATA DE LAS 12'!#REF!=0," ",'DATA DE LAS 12'!#REF!)</f>
        <v>#REF!</v>
      </c>
      <c r="E34" s="418" t="str">
        <f>IF('DATA DE LAS 12'!AM34=0," ",'DATA DE LAS 12'!AM34)</f>
        <v xml:space="preserve"> </v>
      </c>
      <c r="F34" s="418" t="str">
        <f>IF('DATA DE LAS 12'!AL34=0," ",'DATA DE LAS 12'!AL34)</f>
        <v xml:space="preserve"> </v>
      </c>
      <c r="G34" s="418" t="str">
        <f>IF('DATA DE LAS 12'!AQ34=0," ",'DATA DE LAS 12'!AQ34)</f>
        <v xml:space="preserve"> </v>
      </c>
      <c r="H34" s="418" t="str">
        <f>IF('DATA DE LAS 12'!Z34=0," ",'DATA DE LAS 12'!Z34)</f>
        <v xml:space="preserve"> </v>
      </c>
      <c r="I34" s="418" t="str">
        <f>IF('DATA DE LAS 12'!AN34=0," ",'DATA DE LAS 12'!AN34)</f>
        <v xml:space="preserve"> </v>
      </c>
      <c r="J34" s="418" t="str">
        <f>IF('DATA DE LAS 12'!F34=0," ",'DATA DE LAS 12'!F34)</f>
        <v xml:space="preserve"> </v>
      </c>
      <c r="K34" s="418" t="str">
        <f>IF('DATA DE LAS 12'!G34=0," ",'DATA DE LAS 12'!G34)</f>
        <v xml:space="preserve"> </v>
      </c>
      <c r="L34" s="418" t="str">
        <f>IF('DATA DE LAS 12'!H34=0," ",'DATA DE LAS 12'!H34)</f>
        <v xml:space="preserve"> </v>
      </c>
      <c r="M34" s="418" t="str">
        <f>IF('DATA DE LAS 12'!V34=0," ",'DATA DE LAS 12'!V34)</f>
        <v xml:space="preserve"> </v>
      </c>
      <c r="N34" s="418" t="str">
        <f>IF('DATA DE LAS 12'!X34=0," ",'DATA DE LAS 12'!X34)</f>
        <v xml:space="preserve"> </v>
      </c>
      <c r="O34" s="424" t="str">
        <f>IF('DATA DE LAS 12'!BB34=0," ",'DATA DE LAS 12'!BB34)</f>
        <v xml:space="preserve"> </v>
      </c>
      <c r="P34" s="420"/>
      <c r="Q34" s="420"/>
      <c r="R34" s="420"/>
      <c r="S34" s="420"/>
      <c r="T34" s="420"/>
      <c r="U34" s="420"/>
      <c r="V34" s="420"/>
      <c r="W34" s="420"/>
      <c r="X34" s="424" t="str">
        <f>IF('DATA DE LAS 12'!BD34=0," ",'DATA DE LAS 12'!BD34)</f>
        <v xml:space="preserve"> </v>
      </c>
      <c r="Y34" s="424" t="str">
        <f>IF('DATA DE LAS 12'!BE34=0," ",'DATA DE LAS 12'!BE34)</f>
        <v xml:space="preserve"> </v>
      </c>
      <c r="Z34" s="424" t="str">
        <f>IF('DATA DE LAS 12'!BF34=0," ",'DATA DE LAS 12'!BF34)</f>
        <v xml:space="preserve"> </v>
      </c>
      <c r="AA34" s="424" t="str">
        <f>IF('DATA DE LAS 12'!BG34=0," ",'DATA DE LAS 12'!BG34)</f>
        <v xml:space="preserve"> </v>
      </c>
      <c r="AB34" s="424" t="str">
        <f>IF('DATA DE LAS 12'!BY34=0," ",'DATA DE LAS 12'!BY34)</f>
        <v xml:space="preserve"> </v>
      </c>
      <c r="AC34" s="424">
        <v>13</v>
      </c>
      <c r="AD34" s="424">
        <v>25</v>
      </c>
      <c r="AE34" s="424">
        <v>550</v>
      </c>
      <c r="AF34" s="424">
        <v>427</v>
      </c>
      <c r="AG34" s="424" t="str">
        <f>IF('DATA DE LAS 12'!W34=0," ",'DATA DE LAS 12'!W34)</f>
        <v xml:space="preserve"> </v>
      </c>
    </row>
    <row r="35" spans="1:84" s="1271" customFormat="1" ht="15" thickBot="1">
      <c r="A35" s="648">
        <f t="shared" si="0"/>
        <v>45260</v>
      </c>
      <c r="B35" s="428">
        <f>IF('DATA DE LAS 12'!C35=0," ",'DATA DE LAS 12'!C35)</f>
        <v>0.93055555555555547</v>
      </c>
      <c r="C35" s="418" t="str">
        <f>IF('DATA DE LAS 12'!E35=0," ",'DATA DE LAS 12'!E35)</f>
        <v xml:space="preserve"> </v>
      </c>
      <c r="D35" s="418" t="e">
        <f>IF('DATA DE LAS 12'!#REF!=0," ",'DATA DE LAS 12'!#REF!)</f>
        <v>#REF!</v>
      </c>
      <c r="E35" s="418" t="str">
        <f>IF('DATA DE LAS 12'!AM35=0," ",'DATA DE LAS 12'!AM35)</f>
        <v xml:space="preserve"> </v>
      </c>
      <c r="F35" s="418" t="str">
        <f>IF('DATA DE LAS 12'!AL35=0," ",'DATA DE LAS 12'!AL35)</f>
        <v xml:space="preserve"> </v>
      </c>
      <c r="G35" s="418" t="str">
        <f>IF('DATA DE LAS 12'!AQ35=0," ",'DATA DE LAS 12'!AQ35)</f>
        <v xml:space="preserve"> </v>
      </c>
      <c r="H35" s="418" t="str">
        <f>IF('DATA DE LAS 12'!Z35=0," ",'DATA DE LAS 12'!Z35)</f>
        <v xml:space="preserve"> </v>
      </c>
      <c r="I35" s="418" t="str">
        <f>IF('DATA DE LAS 12'!AN35=0," ",'DATA DE LAS 12'!AN35)</f>
        <v xml:space="preserve"> </v>
      </c>
      <c r="J35" s="418" t="str">
        <f>IF('DATA DE LAS 12'!F35=0," ",'DATA DE LAS 12'!F35)</f>
        <v xml:space="preserve"> </v>
      </c>
      <c r="K35" s="418" t="str">
        <f>IF('DATA DE LAS 12'!G35=0," ",'DATA DE LAS 12'!G35)</f>
        <v xml:space="preserve"> </v>
      </c>
      <c r="L35" s="418" t="str">
        <f>IF('DATA DE LAS 12'!H35=0," ",'DATA DE LAS 12'!H35)</f>
        <v xml:space="preserve"> </v>
      </c>
      <c r="M35" s="418" t="str">
        <f>IF('DATA DE LAS 12'!V35=0," ",'DATA DE LAS 12'!V35)</f>
        <v xml:space="preserve"> </v>
      </c>
      <c r="N35" s="418" t="str">
        <f>IF('DATA DE LAS 12'!X35=0," ",'DATA DE LAS 12'!X35)</f>
        <v xml:space="preserve"> </v>
      </c>
      <c r="O35" s="424" t="str">
        <f>IF('DATA DE LAS 12'!BB35=0," ",'DATA DE LAS 12'!BB35)</f>
        <v xml:space="preserve"> </v>
      </c>
      <c r="P35" s="420"/>
      <c r="Q35" s="420"/>
      <c r="R35" s="420"/>
      <c r="S35" s="420"/>
      <c r="T35" s="420"/>
      <c r="U35" s="420"/>
      <c r="V35" s="420"/>
      <c r="W35" s="420"/>
      <c r="X35" s="424" t="str">
        <f>IF('DATA DE LAS 12'!BD35=0," ",'DATA DE LAS 12'!BD35)</f>
        <v xml:space="preserve"> </v>
      </c>
      <c r="Y35" s="424" t="str">
        <f>IF('DATA DE LAS 12'!BE35=0," ",'DATA DE LAS 12'!BE35)</f>
        <v xml:space="preserve"> </v>
      </c>
      <c r="Z35" s="424" t="str">
        <f>IF('DATA DE LAS 12'!BF35=0," ",'DATA DE LAS 12'!BF35)</f>
        <v xml:space="preserve"> </v>
      </c>
      <c r="AA35" s="424" t="str">
        <f>IF('DATA DE LAS 12'!BG35=0," ",'DATA DE LAS 12'!BG35)</f>
        <v xml:space="preserve"> </v>
      </c>
      <c r="AB35" s="424" t="str">
        <f>IF('DATA DE LAS 12'!BY35=0," ",'DATA DE LAS 12'!BY35)</f>
        <v xml:space="preserve"> </v>
      </c>
      <c r="AC35" s="424">
        <v>13</v>
      </c>
      <c r="AD35" s="424">
        <v>25</v>
      </c>
      <c r="AE35" s="424">
        <v>550</v>
      </c>
      <c r="AF35" s="424">
        <v>427</v>
      </c>
      <c r="AG35" s="424" t="str">
        <f>IF('DATA DE LAS 12'!W35=0," ",'DATA DE LAS 12'!W35)</f>
        <v xml:space="preserve"> </v>
      </c>
    </row>
    <row r="36" spans="1:84" s="1271" customFormat="1" ht="15" hidden="1" thickBot="1">
      <c r="A36" s="648">
        <f t="shared" si="0"/>
        <v>45261</v>
      </c>
      <c r="B36" s="428" t="str">
        <f>IF('DATA DE LAS 12'!C37=0," ",'DATA DE LAS 12'!C37)</f>
        <v xml:space="preserve"> </v>
      </c>
      <c r="C36" s="418" t="e">
        <f>IF('DATA DE LAS 12'!#REF!=0," ",'DATA DE LAS 12'!#REF!)</f>
        <v>#REF!</v>
      </c>
      <c r="D36" s="418" t="e">
        <f>IF('DATA DE LAS 12'!#REF!=0," ",'DATA DE LAS 12'!#REF!)</f>
        <v>#REF!</v>
      </c>
      <c r="E36" s="418" t="e">
        <f>IF('DATA DE LAS 12'!#REF!=0," ",'DATA DE LAS 12'!#REF!)</f>
        <v>#REF!</v>
      </c>
      <c r="F36" s="418" t="e">
        <f>IF('DATA DE LAS 12'!#REF!=0," ",'DATA DE LAS 12'!#REF!)</f>
        <v>#REF!</v>
      </c>
      <c r="G36" s="418" t="e">
        <f>IF('DATA DE LAS 12'!#REF!=0," ",'DATA DE LAS 12'!#REF!)</f>
        <v>#REF!</v>
      </c>
      <c r="H36" s="418" t="e">
        <f>IF('DATA DE LAS 12'!#REF!=0," ",'DATA DE LAS 12'!#REF!)</f>
        <v>#REF!</v>
      </c>
      <c r="I36" s="418" t="e">
        <f>IF('DATA DE LAS 12'!#REF!=0," ",'DATA DE LAS 12'!#REF!)</f>
        <v>#REF!</v>
      </c>
      <c r="J36" s="418" t="e">
        <f>IF('DATA DE LAS 12'!#REF!=0," ",'DATA DE LAS 12'!#REF!)</f>
        <v>#REF!</v>
      </c>
      <c r="K36" s="418" t="e">
        <f>IF('DATA DE LAS 12'!#REF!=0," ",'DATA DE LAS 12'!#REF!)</f>
        <v>#REF!</v>
      </c>
      <c r="L36" s="418" t="e">
        <f>IF('DATA DE LAS 12'!#REF!=0," ",'DATA DE LAS 12'!#REF!)</f>
        <v>#REF!</v>
      </c>
      <c r="M36" s="418" t="e">
        <f>IF('DATA DE LAS 12'!#REF!=0," ",'DATA DE LAS 12'!#REF!)</f>
        <v>#REF!</v>
      </c>
      <c r="N36" s="418" t="e">
        <f>IF('DATA DE LAS 12'!#REF!=0," ",'DATA DE LAS 12'!#REF!)</f>
        <v>#REF!</v>
      </c>
      <c r="O36" s="424" t="e">
        <f>IF('DATA DE LAS 12'!#REF!=0," ",'DATA DE LAS 12'!#REF!)</f>
        <v>#REF!</v>
      </c>
      <c r="P36" s="420"/>
      <c r="Q36" s="420"/>
      <c r="R36" s="420"/>
      <c r="S36" s="420"/>
      <c r="T36" s="420"/>
      <c r="U36" s="420"/>
      <c r="V36" s="420"/>
      <c r="W36" s="420"/>
      <c r="X36" s="424" t="e">
        <f>IF('DATA DE LAS 12'!#REF!=0," ",'DATA DE LAS 12'!#REF!)</f>
        <v>#REF!</v>
      </c>
      <c r="Y36" s="424" t="e">
        <f>IF('DATA DE LAS 12'!#REF!=0," ",'DATA DE LAS 12'!#REF!)</f>
        <v>#REF!</v>
      </c>
      <c r="Z36" s="424" t="e">
        <f>IF('DATA DE LAS 12'!#REF!=0," ",'DATA DE LAS 12'!#REF!)</f>
        <v>#REF!</v>
      </c>
      <c r="AA36" s="424" t="e">
        <f>IF('DATA DE LAS 12'!#REF!=0," ",'DATA DE LAS 12'!#REF!)</f>
        <v>#REF!</v>
      </c>
      <c r="AB36" s="424" t="e">
        <f>IF('DATA DE LAS 12'!#REF!=0," ",'DATA DE LAS 12'!#REF!)</f>
        <v>#REF!</v>
      </c>
      <c r="AC36" s="424">
        <v>13</v>
      </c>
      <c r="AD36" s="424">
        <v>25</v>
      </c>
      <c r="AE36" s="424">
        <v>550</v>
      </c>
      <c r="AF36" s="424">
        <v>427</v>
      </c>
      <c r="AG36" s="424" t="e">
        <f>IF('DATA DE LAS 12'!#REF!=0," ",'DATA DE LAS 12'!#REF!)</f>
        <v>#REF!</v>
      </c>
    </row>
    <row r="37" spans="1:84" ht="20.5" thickBot="1">
      <c r="A37" s="2530" t="s">
        <v>424</v>
      </c>
      <c r="B37" s="2531"/>
      <c r="F37" s="418"/>
      <c r="AC37" s="424"/>
      <c r="AD37" s="424"/>
      <c r="AE37" s="424"/>
      <c r="AF37" s="424"/>
      <c r="AG37" s="424"/>
    </row>
    <row r="38" spans="1:84" ht="36" customHeight="1">
      <c r="A38" s="2524" t="s">
        <v>399</v>
      </c>
      <c r="B38" s="2527" t="s">
        <v>400</v>
      </c>
      <c r="C38" s="411" t="s">
        <v>380</v>
      </c>
      <c r="D38" s="411" t="s">
        <v>581</v>
      </c>
      <c r="E38" s="412" t="s">
        <v>381</v>
      </c>
      <c r="F38" s="412" t="s">
        <v>382</v>
      </c>
      <c r="G38" s="411" t="s">
        <v>561</v>
      </c>
      <c r="H38" s="411" t="s">
        <v>383</v>
      </c>
      <c r="I38" s="411" t="s">
        <v>449</v>
      </c>
      <c r="J38" s="411" t="s">
        <v>384</v>
      </c>
      <c r="K38" s="411" t="s">
        <v>385</v>
      </c>
      <c r="L38" s="411" t="s">
        <v>386</v>
      </c>
      <c r="M38" s="411" t="s">
        <v>387</v>
      </c>
      <c r="N38" s="411" t="s">
        <v>388</v>
      </c>
      <c r="O38" s="411" t="s">
        <v>389</v>
      </c>
      <c r="P38" s="411" t="s">
        <v>390</v>
      </c>
      <c r="Q38" s="411" t="s">
        <v>391</v>
      </c>
      <c r="R38" s="411" t="s">
        <v>387</v>
      </c>
      <c r="S38" s="411" t="s">
        <v>392</v>
      </c>
      <c r="T38" s="411" t="s">
        <v>393</v>
      </c>
      <c r="U38" s="411" t="s">
        <v>394</v>
      </c>
      <c r="V38" s="411" t="s">
        <v>395</v>
      </c>
      <c r="W38" s="411" t="s">
        <v>396</v>
      </c>
      <c r="X38" s="411" t="s">
        <v>397</v>
      </c>
      <c r="Y38" s="411" t="s">
        <v>397</v>
      </c>
      <c r="Z38" s="411" t="s">
        <v>397</v>
      </c>
      <c r="AA38" s="411" t="s">
        <v>397</v>
      </c>
      <c r="AB38" s="411" t="s">
        <v>398</v>
      </c>
      <c r="AC38" s="414" t="s">
        <v>575</v>
      </c>
      <c r="AD38" s="414" t="s">
        <v>576</v>
      </c>
      <c r="AE38" s="414" t="s">
        <v>577</v>
      </c>
      <c r="AF38" s="414" t="s">
        <v>578</v>
      </c>
      <c r="AG38" s="415" t="s">
        <v>438</v>
      </c>
    </row>
    <row r="39" spans="1:84" ht="15.75" customHeight="1">
      <c r="A39" s="2525"/>
      <c r="B39" s="2528"/>
      <c r="C39" s="1101" t="s">
        <v>401</v>
      </c>
      <c r="D39" s="1101" t="s">
        <v>401</v>
      </c>
      <c r="E39" s="1101" t="s">
        <v>401</v>
      </c>
      <c r="F39" s="1101" t="s">
        <v>401</v>
      </c>
      <c r="G39" s="1101" t="s">
        <v>401</v>
      </c>
      <c r="H39" s="1101" t="s">
        <v>1243</v>
      </c>
      <c r="I39" s="1102" t="s">
        <v>404</v>
      </c>
      <c r="J39" s="1102" t="s">
        <v>404</v>
      </c>
      <c r="K39" s="1101" t="s">
        <v>405</v>
      </c>
      <c r="L39" s="1101" t="s">
        <v>405</v>
      </c>
      <c r="M39" s="1103" t="s">
        <v>1239</v>
      </c>
      <c r="N39" s="1101" t="s">
        <v>1240</v>
      </c>
      <c r="O39" s="1101" t="s">
        <v>1241</v>
      </c>
      <c r="P39" s="1101"/>
      <c r="Q39" s="1101"/>
      <c r="R39" s="1101"/>
      <c r="S39" s="1101"/>
      <c r="T39" s="1101" t="s">
        <v>409</v>
      </c>
      <c r="U39" s="1101"/>
      <c r="V39" s="1101"/>
      <c r="W39" s="1101"/>
      <c r="X39" s="1101" t="s">
        <v>1235</v>
      </c>
      <c r="Y39" s="1101" t="s">
        <v>1236</v>
      </c>
      <c r="Z39" s="1101" t="s">
        <v>1237</v>
      </c>
      <c r="AA39" s="1101" t="s">
        <v>1238</v>
      </c>
      <c r="AB39" s="1101" t="s">
        <v>1234</v>
      </c>
      <c r="AC39" s="1090"/>
      <c r="AD39" s="1090"/>
      <c r="AE39" s="1090"/>
      <c r="AF39" s="1090"/>
      <c r="AG39" s="416" t="s">
        <v>493</v>
      </c>
    </row>
    <row r="40" spans="1:84" ht="15" thickBot="1">
      <c r="A40" s="2526"/>
      <c r="B40" s="2529"/>
      <c r="C40" s="1104" t="s">
        <v>415</v>
      </c>
      <c r="D40" s="1104" t="s">
        <v>579</v>
      </c>
      <c r="E40" s="1104" t="s">
        <v>416</v>
      </c>
      <c r="F40" s="1104" t="s">
        <v>417</v>
      </c>
      <c r="G40" s="1104" t="s">
        <v>538</v>
      </c>
      <c r="H40" s="1104" t="s">
        <v>418</v>
      </c>
      <c r="I40" s="1104" t="s">
        <v>420</v>
      </c>
      <c r="J40" s="1104" t="s">
        <v>420</v>
      </c>
      <c r="K40" s="1104" t="s">
        <v>420</v>
      </c>
      <c r="L40" s="1104" t="s">
        <v>420</v>
      </c>
      <c r="M40" s="1104" t="s">
        <v>421</v>
      </c>
      <c r="N40" s="1104" t="s">
        <v>422</v>
      </c>
      <c r="O40" s="1104" t="s">
        <v>422</v>
      </c>
      <c r="P40" s="1104" t="s">
        <v>423</v>
      </c>
      <c r="Q40" s="1104" t="s">
        <v>423</v>
      </c>
      <c r="R40" s="1104" t="s">
        <v>423</v>
      </c>
      <c r="S40" s="1104" t="s">
        <v>423</v>
      </c>
      <c r="T40" s="1104" t="s">
        <v>423</v>
      </c>
      <c r="U40" s="1104" t="s">
        <v>423</v>
      </c>
      <c r="V40" s="1104" t="s">
        <v>422</v>
      </c>
      <c r="W40" s="1104" t="s">
        <v>423</v>
      </c>
      <c r="X40" s="1104" t="s">
        <v>422</v>
      </c>
      <c r="Y40" s="1104" t="s">
        <v>422</v>
      </c>
      <c r="Z40" s="1104" t="s">
        <v>422</v>
      </c>
      <c r="AA40" s="1104" t="s">
        <v>422</v>
      </c>
      <c r="AB40" s="1104" t="s">
        <v>422</v>
      </c>
      <c r="AC40" s="1091"/>
      <c r="AD40" s="1091"/>
      <c r="AE40" s="1091"/>
      <c r="AF40" s="1091"/>
      <c r="AG40" s="1092" t="s">
        <v>1242</v>
      </c>
    </row>
    <row r="41" spans="1:84">
      <c r="A41" s="648">
        <f>D1</f>
        <v>45231</v>
      </c>
      <c r="B41" s="429">
        <f>IF('DATA DE LAS 12'!C41=0," ",'DATA DE LAS 12'!C41)</f>
        <v>0.91805555555555562</v>
      </c>
      <c r="C41" s="418">
        <f>IF('DATA DE LAS 12'!E41=0," ",'DATA DE LAS 12'!E41)</f>
        <v>11.6</v>
      </c>
      <c r="D41" s="418" t="e">
        <f>IF('DATA DE LAS 12'!#REF!=0," ",'DATA DE LAS 12'!#REF!)</f>
        <v>#REF!</v>
      </c>
      <c r="E41" s="418">
        <f>IF('DATA DE LAS 12'!AM41=0," ",'DATA DE LAS 12'!AM41)</f>
        <v>6.4</v>
      </c>
      <c r="F41" s="418">
        <f>IF('DATA DE LAS 12'!AL41=0," ",'DATA DE LAS 12'!AL41)</f>
        <v>13.82</v>
      </c>
      <c r="G41" s="418">
        <f>IF('DATA DE LAS 12'!AQ41=0," ",'DATA DE LAS 12'!AQ41)</f>
        <v>553</v>
      </c>
      <c r="H41" s="418">
        <f>IF('DATA DE LAS 12'!Z41=0," ",'DATA DE LAS 12'!Z41)</f>
        <v>60</v>
      </c>
      <c r="I41" s="418">
        <f>IF('DATA DE LAS 12'!AN41=0," ",'DATA DE LAS 12'!AN41)</f>
        <v>3.3</v>
      </c>
      <c r="J41" s="418">
        <f>IF('DATA DE LAS 12'!F41=0," ",'DATA DE LAS 12'!F41)</f>
        <v>3.6</v>
      </c>
      <c r="K41" s="418">
        <f>IF('DATA DE LAS 12'!G41=0," ",'DATA DE LAS 12'!G41)</f>
        <v>1</v>
      </c>
      <c r="L41" s="418">
        <f>IF('DATA DE LAS 12'!H41=0," ",'DATA DE LAS 12'!H41)</f>
        <v>0.8</v>
      </c>
      <c r="M41" s="418">
        <f>IF('DATA DE LAS 12'!V41=0," ",'DATA DE LAS 12'!V41)</f>
        <v>7.03</v>
      </c>
      <c r="N41" s="418">
        <f>IF('DATA DE LAS 12'!X41=0," ",'DATA DE LAS 12'!X41)</f>
        <v>310</v>
      </c>
      <c r="O41" s="418">
        <f>IF('DATA DE LAS 12'!BB41=0," ",'DATA DE LAS 12'!BB41)</f>
        <v>60</v>
      </c>
      <c r="P41" s="420"/>
      <c r="Q41" s="420"/>
      <c r="R41" s="420"/>
      <c r="S41" s="420"/>
      <c r="T41" s="420"/>
      <c r="U41" s="420"/>
      <c r="V41" s="420"/>
      <c r="W41" s="420"/>
      <c r="X41" s="424">
        <f>IF('DATA DE LAS 12'!BD41=0," ",'DATA DE LAS 12'!BD41)</f>
        <v>324</v>
      </c>
      <c r="Y41" s="424">
        <f>IF('DATA DE LAS 12'!BE41=0," ",'DATA DE LAS 12'!BE41)</f>
        <v>305</v>
      </c>
      <c r="Z41" s="424">
        <f>IF('DATA DE LAS 12'!BF41=0," ",'DATA DE LAS 12'!BF41)</f>
        <v>355</v>
      </c>
      <c r="AA41" s="424">
        <f>IF('DATA DE LAS 12'!BG41=0," ",'DATA DE LAS 12'!BG41)</f>
        <v>358</v>
      </c>
      <c r="AB41" s="424">
        <f>IF('DATA DE LAS 12'!BY41=0," ",'DATA DE LAS 12'!BY41)</f>
        <v>371</v>
      </c>
      <c r="AC41" s="433">
        <v>13</v>
      </c>
      <c r="AD41" s="433">
        <v>25</v>
      </c>
      <c r="AE41" s="433">
        <v>550</v>
      </c>
      <c r="AF41" s="433">
        <v>427</v>
      </c>
      <c r="AG41" s="424">
        <f>IF('DATA DE LAS 12'!W41=0," ",'DATA DE LAS 12'!W41)</f>
        <v>525</v>
      </c>
    </row>
    <row r="42" spans="1:84">
      <c r="A42" s="648">
        <f>A41+1</f>
        <v>45232</v>
      </c>
      <c r="B42" s="429">
        <f>IF('DATA DE LAS 12'!C42=0," ",'DATA DE LAS 12'!C42)</f>
        <v>0.85625000000000007</v>
      </c>
      <c r="C42" s="418" t="str">
        <f>IF('DATA DE LAS 12'!E42=0," ",'DATA DE LAS 12'!E42)</f>
        <v xml:space="preserve"> </v>
      </c>
      <c r="D42" s="418" t="e">
        <f>IF('DATA DE LAS 12'!#REF!=0," ",'DATA DE LAS 12'!#REF!)</f>
        <v>#REF!</v>
      </c>
      <c r="E42" s="418" t="str">
        <f>IF('DATA DE LAS 12'!AM42=0," ",'DATA DE LAS 12'!AM42)</f>
        <v xml:space="preserve"> </v>
      </c>
      <c r="F42" s="418" t="str">
        <f>IF('DATA DE LAS 12'!AL42=0," ",'DATA DE LAS 12'!AL42)</f>
        <v xml:space="preserve"> </v>
      </c>
      <c r="G42" s="418" t="str">
        <f>IF('DATA DE LAS 12'!AQ42=0," ",'DATA DE LAS 12'!AQ42)</f>
        <v xml:space="preserve"> </v>
      </c>
      <c r="H42" s="418" t="str">
        <f>IF('DATA DE LAS 12'!Z42=0," ",'DATA DE LAS 12'!Z42)</f>
        <v xml:space="preserve"> </v>
      </c>
      <c r="I42" s="418" t="str">
        <f>IF('DATA DE LAS 12'!AN42=0," ",'DATA DE LAS 12'!AN42)</f>
        <v xml:space="preserve"> </v>
      </c>
      <c r="J42" s="418" t="str">
        <f>IF('DATA DE LAS 12'!F42=0," ",'DATA DE LAS 12'!F42)</f>
        <v xml:space="preserve"> </v>
      </c>
      <c r="K42" s="418" t="str">
        <f>IF('DATA DE LAS 12'!G42=0," ",'DATA DE LAS 12'!G42)</f>
        <v xml:space="preserve"> </v>
      </c>
      <c r="L42" s="418" t="str">
        <f>IF('DATA DE LAS 12'!H42=0," ",'DATA DE LAS 12'!H42)</f>
        <v xml:space="preserve"> </v>
      </c>
      <c r="M42" s="418" t="str">
        <f>IF('DATA DE LAS 12'!V42=0," ",'DATA DE LAS 12'!V42)</f>
        <v xml:space="preserve"> </v>
      </c>
      <c r="N42" s="418" t="str">
        <f>IF('DATA DE LAS 12'!X42=0," ",'DATA DE LAS 12'!X42)</f>
        <v xml:space="preserve"> </v>
      </c>
      <c r="O42" s="418" t="str">
        <f>IF('DATA DE LAS 12'!BB42=0," ",'DATA DE LAS 12'!BB42)</f>
        <v xml:space="preserve"> </v>
      </c>
      <c r="P42" s="420"/>
      <c r="Q42" s="420"/>
      <c r="R42" s="420"/>
      <c r="S42" s="420"/>
      <c r="T42" s="420"/>
      <c r="U42" s="420"/>
      <c r="V42" s="420"/>
      <c r="W42" s="420"/>
      <c r="X42" s="424" t="str">
        <f>IF('DATA DE LAS 12'!BD42=0," ",'DATA DE LAS 12'!BD42)</f>
        <v xml:space="preserve"> </v>
      </c>
      <c r="Y42" s="424" t="str">
        <f>IF('DATA DE LAS 12'!BE42=0," ",'DATA DE LAS 12'!BE42)</f>
        <v xml:space="preserve"> </v>
      </c>
      <c r="Z42" s="424" t="str">
        <f>IF('DATA DE LAS 12'!BF42=0," ",'DATA DE LAS 12'!BF42)</f>
        <v xml:space="preserve"> </v>
      </c>
      <c r="AA42" s="424" t="str">
        <f>IF('DATA DE LAS 12'!BG42=0," ",'DATA DE LAS 12'!BG42)</f>
        <v xml:space="preserve"> </v>
      </c>
      <c r="AB42" s="424" t="str">
        <f>IF('DATA DE LAS 12'!BY42=0," ",'DATA DE LAS 12'!BY42)</f>
        <v xml:space="preserve"> </v>
      </c>
      <c r="AC42" s="424">
        <v>13</v>
      </c>
      <c r="AD42" s="424">
        <v>25</v>
      </c>
      <c r="AE42" s="424">
        <v>550</v>
      </c>
      <c r="AF42" s="424">
        <v>427</v>
      </c>
      <c r="AG42" s="424" t="str">
        <f>IF('DATA DE LAS 12'!W42=0," ",'DATA DE LAS 12'!W42)</f>
        <v xml:space="preserve"> </v>
      </c>
    </row>
    <row r="43" spans="1:84">
      <c r="A43" s="648">
        <f t="shared" ref="A43:A71" si="1">A42+1</f>
        <v>45233</v>
      </c>
      <c r="B43" s="429">
        <f>IF('DATA DE LAS 12'!C43=0," ",'DATA DE LAS 12'!C43)</f>
        <v>0.94791666666666663</v>
      </c>
      <c r="C43" s="418" t="str">
        <f>IF('DATA DE LAS 12'!E43=0," ",'DATA DE LAS 12'!E43)</f>
        <v xml:space="preserve"> </v>
      </c>
      <c r="D43" s="418" t="e">
        <f>IF('DATA DE LAS 12'!#REF!=0," ",'DATA DE LAS 12'!#REF!)</f>
        <v>#REF!</v>
      </c>
      <c r="E43" s="418" t="str">
        <f>IF('DATA DE LAS 12'!AM43=0," ",'DATA DE LAS 12'!AM43)</f>
        <v xml:space="preserve"> </v>
      </c>
      <c r="F43" s="418" t="str">
        <f>IF('DATA DE LAS 12'!AL43=0," ",'DATA DE LAS 12'!AL43)</f>
        <v xml:space="preserve"> </v>
      </c>
      <c r="G43" s="418" t="str">
        <f>IF('DATA DE LAS 12'!AQ43=0," ",'DATA DE LAS 12'!AQ43)</f>
        <v xml:space="preserve"> </v>
      </c>
      <c r="H43" s="418" t="str">
        <f>IF('DATA DE LAS 12'!Z43=0," ",'DATA DE LAS 12'!Z43)</f>
        <v xml:space="preserve"> </v>
      </c>
      <c r="I43" s="418" t="str">
        <f>IF('DATA DE LAS 12'!AN43=0," ",'DATA DE LAS 12'!AN43)</f>
        <v xml:space="preserve"> </v>
      </c>
      <c r="J43" s="418" t="str">
        <f>IF('DATA DE LAS 12'!F43=0," ",'DATA DE LAS 12'!F43)</f>
        <v xml:space="preserve"> </v>
      </c>
      <c r="K43" s="418" t="str">
        <f>IF('DATA DE LAS 12'!G43=0," ",'DATA DE LAS 12'!G43)</f>
        <v xml:space="preserve"> </v>
      </c>
      <c r="L43" s="418" t="str">
        <f>IF('DATA DE LAS 12'!H43=0," ",'DATA DE LAS 12'!H43)</f>
        <v xml:space="preserve"> </v>
      </c>
      <c r="M43" s="418" t="str">
        <f>IF('DATA DE LAS 12'!V43=0," ",'DATA DE LAS 12'!V43)</f>
        <v xml:space="preserve"> </v>
      </c>
      <c r="N43" s="418" t="str">
        <f>IF('DATA DE LAS 12'!X43=0," ",'DATA DE LAS 12'!X43)</f>
        <v xml:space="preserve"> </v>
      </c>
      <c r="O43" s="418" t="str">
        <f>IF('DATA DE LAS 12'!BB43=0," ",'DATA DE LAS 12'!BB43)</f>
        <v xml:space="preserve"> </v>
      </c>
      <c r="P43" s="420"/>
      <c r="Q43" s="420"/>
      <c r="R43" s="420"/>
      <c r="S43" s="420"/>
      <c r="T43" s="420"/>
      <c r="U43" s="420"/>
      <c r="V43" s="420"/>
      <c r="W43" s="420"/>
      <c r="X43" s="424" t="str">
        <f>IF('DATA DE LAS 12'!BD43=0," ",'DATA DE LAS 12'!BD43)</f>
        <v xml:space="preserve"> </v>
      </c>
      <c r="Y43" s="424" t="str">
        <f>IF('DATA DE LAS 12'!BE43=0," ",'DATA DE LAS 12'!BE43)</f>
        <v xml:space="preserve"> </v>
      </c>
      <c r="Z43" s="424" t="str">
        <f>IF('DATA DE LAS 12'!BF43=0," ",'DATA DE LAS 12'!BF43)</f>
        <v xml:space="preserve"> </v>
      </c>
      <c r="AA43" s="424" t="str">
        <f>IF('DATA DE LAS 12'!BG43=0," ",'DATA DE LAS 12'!BG43)</f>
        <v xml:space="preserve"> </v>
      </c>
      <c r="AB43" s="424" t="str">
        <f>IF('DATA DE LAS 12'!BY43=0," ",'DATA DE LAS 12'!BY43)</f>
        <v xml:space="preserve"> </v>
      </c>
      <c r="AC43" s="424">
        <v>13</v>
      </c>
      <c r="AD43" s="424">
        <v>25</v>
      </c>
      <c r="AE43" s="424">
        <v>550</v>
      </c>
      <c r="AF43" s="424">
        <v>427</v>
      </c>
      <c r="AG43" s="424" t="str">
        <f>IF('DATA DE LAS 12'!W43=0," ",'DATA DE LAS 12'!W43)</f>
        <v xml:space="preserve"> </v>
      </c>
    </row>
    <row r="44" spans="1:84">
      <c r="A44" s="648">
        <f t="shared" si="1"/>
        <v>45234</v>
      </c>
      <c r="B44" s="429">
        <f>IF('DATA DE LAS 12'!C44=0," ",'DATA DE LAS 12'!C44)</f>
        <v>0.75694444444444453</v>
      </c>
      <c r="C44" s="418" t="str">
        <f>IF('DATA DE LAS 12'!E44=0," ",'DATA DE LAS 12'!E44)</f>
        <v xml:space="preserve"> </v>
      </c>
      <c r="D44" s="418" t="e">
        <f>IF('DATA DE LAS 12'!#REF!=0," ",'DATA DE LAS 12'!#REF!)</f>
        <v>#REF!</v>
      </c>
      <c r="E44" s="418" t="str">
        <f>IF('DATA DE LAS 12'!AM44=0," ",'DATA DE LAS 12'!AM44)</f>
        <v xml:space="preserve"> </v>
      </c>
      <c r="F44" s="418" t="str">
        <f>IF('DATA DE LAS 12'!AL44=0," ",'DATA DE LAS 12'!AL44)</f>
        <v xml:space="preserve"> </v>
      </c>
      <c r="G44" s="418" t="str">
        <f>IF('DATA DE LAS 12'!AQ44=0," ",'DATA DE LAS 12'!AQ44)</f>
        <v xml:space="preserve"> </v>
      </c>
      <c r="H44" s="418" t="str">
        <f>IF('DATA DE LAS 12'!Z44=0," ",'DATA DE LAS 12'!Z44)</f>
        <v xml:space="preserve"> </v>
      </c>
      <c r="I44" s="418" t="str">
        <f>IF('DATA DE LAS 12'!AN44=0," ",'DATA DE LAS 12'!AN44)</f>
        <v xml:space="preserve"> </v>
      </c>
      <c r="J44" s="418" t="str">
        <f>IF('DATA DE LAS 12'!F44=0," ",'DATA DE LAS 12'!F44)</f>
        <v xml:space="preserve"> </v>
      </c>
      <c r="K44" s="418" t="str">
        <f>IF('DATA DE LAS 12'!G44=0," ",'DATA DE LAS 12'!G44)</f>
        <v xml:space="preserve"> </v>
      </c>
      <c r="L44" s="418" t="str">
        <f>IF('DATA DE LAS 12'!H44=0," ",'DATA DE LAS 12'!H44)</f>
        <v xml:space="preserve"> </v>
      </c>
      <c r="M44" s="418" t="str">
        <f>IF('DATA DE LAS 12'!V44=0," ",'DATA DE LAS 12'!V44)</f>
        <v xml:space="preserve"> </v>
      </c>
      <c r="N44" s="418" t="str">
        <f>IF('DATA DE LAS 12'!X44=0," ",'DATA DE LAS 12'!X44)</f>
        <v xml:space="preserve"> </v>
      </c>
      <c r="O44" s="418" t="str">
        <f>IF('DATA DE LAS 12'!BB44=0," ",'DATA DE LAS 12'!BB44)</f>
        <v xml:space="preserve"> </v>
      </c>
      <c r="P44" s="420"/>
      <c r="Q44" s="420"/>
      <c r="R44" s="420"/>
      <c r="S44" s="420"/>
      <c r="T44" s="420"/>
      <c r="U44" s="420"/>
      <c r="V44" s="420"/>
      <c r="W44" s="420"/>
      <c r="X44" s="424" t="str">
        <f>IF('DATA DE LAS 12'!BD44=0," ",'DATA DE LAS 12'!BD44)</f>
        <v xml:space="preserve"> </v>
      </c>
      <c r="Y44" s="424" t="str">
        <f>IF('DATA DE LAS 12'!BE44=0," ",'DATA DE LAS 12'!BE44)</f>
        <v xml:space="preserve"> </v>
      </c>
      <c r="Z44" s="424" t="str">
        <f>IF('DATA DE LAS 12'!BF44=0," ",'DATA DE LAS 12'!BF44)</f>
        <v xml:space="preserve"> </v>
      </c>
      <c r="AA44" s="424" t="str">
        <f>IF('DATA DE LAS 12'!BG44=0," ",'DATA DE LAS 12'!BG44)</f>
        <v xml:space="preserve"> </v>
      </c>
      <c r="AB44" s="424" t="str">
        <f>IF('DATA DE LAS 12'!BY44=0," ",'DATA DE LAS 12'!BY44)</f>
        <v xml:space="preserve"> </v>
      </c>
      <c r="AC44" s="424">
        <v>13</v>
      </c>
      <c r="AD44" s="424">
        <v>25</v>
      </c>
      <c r="AE44" s="424">
        <v>550</v>
      </c>
      <c r="AF44" s="424">
        <v>427</v>
      </c>
      <c r="AG44" s="424" t="str">
        <f>IF('DATA DE LAS 12'!W44=0," ",'DATA DE LAS 12'!W44)</f>
        <v xml:space="preserve"> </v>
      </c>
    </row>
    <row r="45" spans="1:84">
      <c r="A45" s="648">
        <f t="shared" si="1"/>
        <v>45235</v>
      </c>
      <c r="B45" s="429">
        <f>IF('DATA DE LAS 12'!C45=0," ",'DATA DE LAS 12'!C45)</f>
        <v>0.96597222222222223</v>
      </c>
      <c r="C45" s="418" t="str">
        <f>IF('DATA DE LAS 12'!E45=0," ",'DATA DE LAS 12'!E45)</f>
        <v xml:space="preserve"> </v>
      </c>
      <c r="D45" s="418" t="e">
        <f>IF('DATA DE LAS 12'!#REF!=0," ",'DATA DE LAS 12'!#REF!)</f>
        <v>#REF!</v>
      </c>
      <c r="E45" s="418" t="str">
        <f>IF('DATA DE LAS 12'!AM45=0," ",'DATA DE LAS 12'!AM45)</f>
        <v xml:space="preserve"> </v>
      </c>
      <c r="F45" s="418" t="str">
        <f>IF('DATA DE LAS 12'!AL45=0," ",'DATA DE LAS 12'!AL45)</f>
        <v xml:space="preserve"> </v>
      </c>
      <c r="G45" s="418" t="str">
        <f>IF('DATA DE LAS 12'!AQ45=0," ",'DATA DE LAS 12'!AQ45)</f>
        <v xml:space="preserve"> </v>
      </c>
      <c r="H45" s="418" t="str">
        <f>IF('DATA DE LAS 12'!Z45=0," ",'DATA DE LAS 12'!Z45)</f>
        <v xml:space="preserve"> </v>
      </c>
      <c r="I45" s="418" t="str">
        <f>IF('DATA DE LAS 12'!AN45=0," ",'DATA DE LAS 12'!AN45)</f>
        <v xml:space="preserve"> </v>
      </c>
      <c r="J45" s="418" t="str">
        <f>IF('DATA DE LAS 12'!F45=0," ",'DATA DE LAS 12'!F45)</f>
        <v xml:space="preserve"> </v>
      </c>
      <c r="K45" s="418" t="str">
        <f>IF('DATA DE LAS 12'!G45=0," ",'DATA DE LAS 12'!G45)</f>
        <v xml:space="preserve"> </v>
      </c>
      <c r="L45" s="418" t="str">
        <f>IF('DATA DE LAS 12'!H45=0," ",'DATA DE LAS 12'!H45)</f>
        <v xml:space="preserve"> </v>
      </c>
      <c r="M45" s="418" t="str">
        <f>IF('DATA DE LAS 12'!V45=0," ",'DATA DE LAS 12'!V45)</f>
        <v xml:space="preserve"> </v>
      </c>
      <c r="N45" s="418" t="str">
        <f>IF('DATA DE LAS 12'!X45=0," ",'DATA DE LAS 12'!X45)</f>
        <v xml:space="preserve"> </v>
      </c>
      <c r="O45" s="418" t="str">
        <f>IF('DATA DE LAS 12'!BB45=0," ",'DATA DE LAS 12'!BB45)</f>
        <v xml:space="preserve"> </v>
      </c>
      <c r="P45" s="420"/>
      <c r="Q45" s="420"/>
      <c r="R45" s="420"/>
      <c r="S45" s="420"/>
      <c r="T45" s="420"/>
      <c r="U45" s="420"/>
      <c r="V45" s="420"/>
      <c r="W45" s="420"/>
      <c r="X45" s="424" t="str">
        <f>IF('DATA DE LAS 12'!BD45=0," ",'DATA DE LAS 12'!BD45)</f>
        <v xml:space="preserve"> </v>
      </c>
      <c r="Y45" s="424" t="str">
        <f>IF('DATA DE LAS 12'!BE45=0," ",'DATA DE LAS 12'!BE45)</f>
        <v xml:space="preserve"> </v>
      </c>
      <c r="Z45" s="424" t="str">
        <f>IF('DATA DE LAS 12'!BF45=0," ",'DATA DE LAS 12'!BF45)</f>
        <v xml:space="preserve"> </v>
      </c>
      <c r="AA45" s="424" t="str">
        <f>IF('DATA DE LAS 12'!BG45=0," ",'DATA DE LAS 12'!BG45)</f>
        <v xml:space="preserve"> </v>
      </c>
      <c r="AB45" s="424" t="str">
        <f>IF('DATA DE LAS 12'!BY45=0," ",'DATA DE LAS 12'!BY45)</f>
        <v xml:space="preserve"> </v>
      </c>
      <c r="AC45" s="424">
        <v>13</v>
      </c>
      <c r="AD45" s="424">
        <v>25</v>
      </c>
      <c r="AE45" s="424">
        <v>550</v>
      </c>
      <c r="AF45" s="424">
        <v>427</v>
      </c>
      <c r="AG45" s="424" t="str">
        <f>IF('DATA DE LAS 12'!W45=0," ",'DATA DE LAS 12'!W45)</f>
        <v xml:space="preserve"> </v>
      </c>
      <c r="AH45" s="433"/>
      <c r="AI45" s="433"/>
      <c r="AJ45" s="433"/>
      <c r="AK45" s="433"/>
      <c r="AL45" s="433"/>
      <c r="AM45" s="433"/>
      <c r="AN45" s="433"/>
      <c r="AO45" s="433"/>
      <c r="AP45" s="433"/>
      <c r="AQ45" s="433"/>
      <c r="AR45" s="433"/>
      <c r="AS45" s="433"/>
      <c r="AT45" s="433"/>
      <c r="AU45" s="433"/>
      <c r="AV45" s="433"/>
      <c r="AW45" s="433"/>
      <c r="AX45" s="433"/>
      <c r="AY45" s="433"/>
      <c r="AZ45" s="433"/>
      <c r="BA45" s="433"/>
      <c r="BB45" s="433"/>
      <c r="BC45" s="433"/>
      <c r="BD45" s="433"/>
      <c r="BE45" s="433"/>
      <c r="BF45" s="433"/>
      <c r="BG45" s="433"/>
      <c r="BH45" s="433"/>
      <c r="BI45" s="433"/>
      <c r="BJ45" s="433"/>
      <c r="BK45" s="433"/>
      <c r="BL45" s="433"/>
      <c r="BM45" s="433"/>
      <c r="BN45" s="433"/>
      <c r="BO45" s="433"/>
      <c r="BP45" s="433"/>
      <c r="BQ45" s="433"/>
      <c r="BR45" s="433"/>
      <c r="BS45" s="433"/>
      <c r="BT45" s="433"/>
      <c r="BU45" s="433"/>
      <c r="BV45" s="433"/>
      <c r="BW45" s="433"/>
      <c r="BX45" s="433"/>
      <c r="BY45" s="433"/>
      <c r="BZ45" s="433"/>
      <c r="CA45" s="433"/>
      <c r="CB45" s="433"/>
      <c r="CC45" s="433"/>
      <c r="CD45" s="433"/>
      <c r="CE45" s="433"/>
      <c r="CF45" s="433"/>
    </row>
    <row r="46" spans="1:84">
      <c r="A46" s="648">
        <f t="shared" si="1"/>
        <v>45236</v>
      </c>
      <c r="B46" s="429">
        <f>IF('DATA DE LAS 12'!C46=0," ",'DATA DE LAS 12'!C46)</f>
        <v>0.9243055555555556</v>
      </c>
      <c r="C46" s="418" t="str">
        <f>IF('DATA DE LAS 12'!E46=0," ",'DATA DE LAS 12'!E46)</f>
        <v xml:space="preserve"> </v>
      </c>
      <c r="D46" s="418" t="e">
        <f>IF('DATA DE LAS 12'!#REF!=0," ",'DATA DE LAS 12'!#REF!)</f>
        <v>#REF!</v>
      </c>
      <c r="E46" s="418" t="str">
        <f>IF('DATA DE LAS 12'!AM46=0," ",'DATA DE LAS 12'!AM46)</f>
        <v xml:space="preserve"> </v>
      </c>
      <c r="F46" s="418" t="str">
        <f>IF('DATA DE LAS 12'!AL46=0," ",'DATA DE LAS 12'!AL46)</f>
        <v xml:space="preserve"> </v>
      </c>
      <c r="G46" s="418" t="str">
        <f>IF('DATA DE LAS 12'!AQ46=0," ",'DATA DE LAS 12'!AQ46)</f>
        <v xml:space="preserve"> </v>
      </c>
      <c r="H46" s="418" t="str">
        <f>IF('DATA DE LAS 12'!Z46=0," ",'DATA DE LAS 12'!Z46)</f>
        <v xml:space="preserve"> </v>
      </c>
      <c r="I46" s="418" t="str">
        <f>IF('DATA DE LAS 12'!AN46=0," ",'DATA DE LAS 12'!AN46)</f>
        <v xml:space="preserve"> </v>
      </c>
      <c r="J46" s="418" t="str">
        <f>IF('DATA DE LAS 12'!F46=0," ",'DATA DE LAS 12'!F46)</f>
        <v xml:space="preserve"> </v>
      </c>
      <c r="K46" s="418" t="str">
        <f>IF('DATA DE LAS 12'!G46=0," ",'DATA DE LAS 12'!G46)</f>
        <v xml:space="preserve"> </v>
      </c>
      <c r="L46" s="418" t="str">
        <f>IF('DATA DE LAS 12'!H46=0," ",'DATA DE LAS 12'!H46)</f>
        <v xml:space="preserve"> </v>
      </c>
      <c r="M46" s="418" t="str">
        <f>IF('DATA DE LAS 12'!V46=0," ",'DATA DE LAS 12'!V46)</f>
        <v xml:space="preserve"> </v>
      </c>
      <c r="N46" s="418" t="str">
        <f>IF('DATA DE LAS 12'!X46=0," ",'DATA DE LAS 12'!X46)</f>
        <v xml:space="preserve"> </v>
      </c>
      <c r="O46" s="418" t="str">
        <f>IF('DATA DE LAS 12'!BB46=0," ",'DATA DE LAS 12'!BB46)</f>
        <v xml:space="preserve"> </v>
      </c>
      <c r="P46" s="420"/>
      <c r="Q46" s="420"/>
      <c r="R46" s="420"/>
      <c r="S46" s="420"/>
      <c r="T46" s="420"/>
      <c r="U46" s="420"/>
      <c r="V46" s="420"/>
      <c r="W46" s="420"/>
      <c r="X46" s="424" t="str">
        <f>IF('DATA DE LAS 12'!BD46=0," ",'DATA DE LAS 12'!BD46)</f>
        <v xml:space="preserve"> </v>
      </c>
      <c r="Y46" s="424" t="str">
        <f>IF('DATA DE LAS 12'!BE46=0," ",'DATA DE LAS 12'!BE46)</f>
        <v xml:space="preserve"> </v>
      </c>
      <c r="Z46" s="424" t="str">
        <f>IF('DATA DE LAS 12'!BF46=0," ",'DATA DE LAS 12'!BF46)</f>
        <v xml:space="preserve"> </v>
      </c>
      <c r="AA46" s="424" t="str">
        <f>IF('DATA DE LAS 12'!BG46=0," ",'DATA DE LAS 12'!BG46)</f>
        <v xml:space="preserve"> </v>
      </c>
      <c r="AB46" s="424" t="str">
        <f>IF('DATA DE LAS 12'!BY46=0," ",'DATA DE LAS 12'!BY46)</f>
        <v xml:space="preserve"> </v>
      </c>
      <c r="AC46" s="424">
        <v>13</v>
      </c>
      <c r="AD46" s="424">
        <v>25</v>
      </c>
      <c r="AE46" s="424">
        <v>550</v>
      </c>
      <c r="AF46" s="424">
        <v>427</v>
      </c>
      <c r="AG46" s="424" t="str">
        <f>IF('DATA DE LAS 12'!W46=0," ",'DATA DE LAS 12'!W46)</f>
        <v xml:space="preserve"> </v>
      </c>
      <c r="AH46" s="433"/>
      <c r="AI46" s="433"/>
      <c r="AJ46" s="433"/>
      <c r="AK46" s="433"/>
      <c r="AL46" s="433"/>
      <c r="AM46" s="433"/>
      <c r="AN46" s="433"/>
      <c r="AO46" s="433"/>
      <c r="AP46" s="433"/>
      <c r="AQ46" s="433"/>
      <c r="AR46" s="433"/>
      <c r="AS46" s="433"/>
      <c r="AT46" s="433"/>
      <c r="AU46" s="433"/>
      <c r="AV46" s="433"/>
      <c r="AW46" s="433"/>
      <c r="AX46" s="433"/>
      <c r="AY46" s="433"/>
      <c r="AZ46" s="433"/>
      <c r="BA46" s="433"/>
      <c r="BB46" s="433"/>
      <c r="BC46" s="433"/>
      <c r="BD46" s="433"/>
      <c r="BE46" s="433"/>
      <c r="BF46" s="433"/>
      <c r="BG46" s="433"/>
      <c r="BH46" s="433"/>
      <c r="BI46" s="433"/>
      <c r="BJ46" s="433"/>
      <c r="BK46" s="433"/>
      <c r="BL46" s="433"/>
      <c r="BM46" s="433"/>
      <c r="BN46" s="433"/>
      <c r="BO46" s="433"/>
      <c r="BP46" s="433"/>
      <c r="BQ46" s="433"/>
      <c r="BR46" s="433"/>
      <c r="BS46" s="433"/>
      <c r="BT46" s="433"/>
      <c r="BU46" s="433"/>
      <c r="BV46" s="433"/>
      <c r="BW46" s="433"/>
      <c r="BX46" s="433"/>
      <c r="BY46" s="433"/>
      <c r="BZ46" s="433"/>
      <c r="CA46" s="433"/>
      <c r="CB46" s="433"/>
      <c r="CC46" s="433"/>
      <c r="CD46" s="433"/>
      <c r="CE46" s="433"/>
      <c r="CF46" s="433"/>
    </row>
    <row r="47" spans="1:84">
      <c r="A47" s="648">
        <f t="shared" si="1"/>
        <v>45237</v>
      </c>
      <c r="B47" s="429">
        <f>IF('DATA DE LAS 12'!C47=0," ",'DATA DE LAS 12'!C47)</f>
        <v>0.89583333333333337</v>
      </c>
      <c r="C47" s="418" t="str">
        <f>IF('DATA DE LAS 12'!E47=0," ",'DATA DE LAS 12'!E47)</f>
        <v xml:space="preserve"> </v>
      </c>
      <c r="D47" s="418" t="e">
        <f>IF('DATA DE LAS 12'!#REF!=0," ",'DATA DE LAS 12'!#REF!)</f>
        <v>#REF!</v>
      </c>
      <c r="E47" s="418" t="str">
        <f>IF('DATA DE LAS 12'!AM47=0," ",'DATA DE LAS 12'!AM47)</f>
        <v xml:space="preserve"> </v>
      </c>
      <c r="F47" s="418" t="str">
        <f>IF('DATA DE LAS 12'!AL47=0," ",'DATA DE LAS 12'!AL47)</f>
        <v xml:space="preserve"> </v>
      </c>
      <c r="G47" s="418" t="str">
        <f>IF('DATA DE LAS 12'!AQ47=0," ",'DATA DE LAS 12'!AQ47)</f>
        <v xml:space="preserve"> </v>
      </c>
      <c r="H47" s="418" t="str">
        <f>IF('DATA DE LAS 12'!Z47=0," ",'DATA DE LAS 12'!Z47)</f>
        <v xml:space="preserve"> </v>
      </c>
      <c r="I47" s="418" t="str">
        <f>IF('DATA DE LAS 12'!AN47=0," ",'DATA DE LAS 12'!AN47)</f>
        <v xml:space="preserve"> </v>
      </c>
      <c r="J47" s="418" t="str">
        <f>IF('DATA DE LAS 12'!F47=0," ",'DATA DE LAS 12'!F47)</f>
        <v xml:space="preserve"> </v>
      </c>
      <c r="K47" s="418" t="str">
        <f>IF('DATA DE LAS 12'!G47=0," ",'DATA DE LAS 12'!G47)</f>
        <v xml:space="preserve"> </v>
      </c>
      <c r="L47" s="418" t="str">
        <f>IF('DATA DE LAS 12'!H47=0," ",'DATA DE LAS 12'!H47)</f>
        <v xml:space="preserve"> </v>
      </c>
      <c r="M47" s="418" t="str">
        <f>IF('DATA DE LAS 12'!V47=0," ",'DATA DE LAS 12'!V47)</f>
        <v xml:space="preserve"> </v>
      </c>
      <c r="N47" s="418" t="str">
        <f>IF('DATA DE LAS 12'!X47=0," ",'DATA DE LAS 12'!X47)</f>
        <v xml:space="preserve"> </v>
      </c>
      <c r="O47" s="418" t="str">
        <f>IF('DATA DE LAS 12'!BB47=0," ",'DATA DE LAS 12'!BB47)</f>
        <v xml:space="preserve"> </v>
      </c>
      <c r="P47" s="420"/>
      <c r="Q47" s="420"/>
      <c r="R47" s="420"/>
      <c r="S47" s="420"/>
      <c r="T47" s="420"/>
      <c r="U47" s="420"/>
      <c r="V47" s="420"/>
      <c r="W47" s="420"/>
      <c r="X47" s="424" t="str">
        <f>IF('DATA DE LAS 12'!BD47=0," ",'DATA DE LAS 12'!BD47)</f>
        <v xml:space="preserve"> </v>
      </c>
      <c r="Y47" s="424" t="str">
        <f>IF('DATA DE LAS 12'!BE47=0," ",'DATA DE LAS 12'!BE47)</f>
        <v xml:space="preserve"> </v>
      </c>
      <c r="Z47" s="424" t="str">
        <f>IF('DATA DE LAS 12'!BF47=0," ",'DATA DE LAS 12'!BF47)</f>
        <v xml:space="preserve"> </v>
      </c>
      <c r="AA47" s="424" t="str">
        <f>IF('DATA DE LAS 12'!BG47=0," ",'DATA DE LAS 12'!BG47)</f>
        <v xml:space="preserve"> </v>
      </c>
      <c r="AB47" s="424" t="str">
        <f>IF('DATA DE LAS 12'!BY47=0," ",'DATA DE LAS 12'!BY47)</f>
        <v xml:space="preserve"> </v>
      </c>
      <c r="AC47" s="424">
        <v>13</v>
      </c>
      <c r="AD47" s="424">
        <v>25</v>
      </c>
      <c r="AE47" s="424">
        <v>550</v>
      </c>
      <c r="AF47" s="424">
        <v>427</v>
      </c>
      <c r="AG47" s="424" t="str">
        <f>IF('DATA DE LAS 12'!W47=0," ",'DATA DE LAS 12'!W47)</f>
        <v xml:space="preserve"> </v>
      </c>
      <c r="AH47" s="433"/>
      <c r="AI47" s="433"/>
      <c r="AJ47" s="433"/>
      <c r="AK47" s="433"/>
      <c r="AL47" s="433"/>
      <c r="AM47" s="433"/>
      <c r="AN47" s="433"/>
      <c r="AO47" s="433"/>
      <c r="AP47" s="433"/>
      <c r="AQ47" s="433"/>
      <c r="AR47" s="433"/>
      <c r="AS47" s="433"/>
      <c r="AT47" s="433"/>
      <c r="AU47" s="433"/>
      <c r="AV47" s="433"/>
      <c r="AW47" s="433"/>
      <c r="AX47" s="433"/>
      <c r="AY47" s="433"/>
      <c r="AZ47" s="433"/>
      <c r="BA47" s="433"/>
      <c r="BB47" s="433"/>
      <c r="BC47" s="433"/>
      <c r="BD47" s="433"/>
      <c r="BE47" s="433"/>
      <c r="BF47" s="433"/>
      <c r="BG47" s="433"/>
      <c r="BH47" s="433"/>
      <c r="BI47" s="433"/>
      <c r="BJ47" s="433"/>
      <c r="BK47" s="433"/>
      <c r="BL47" s="433"/>
      <c r="BM47" s="433"/>
      <c r="BN47" s="433"/>
      <c r="BO47" s="433"/>
      <c r="BP47" s="433"/>
      <c r="BQ47" s="433"/>
      <c r="BR47" s="433"/>
      <c r="BS47" s="433"/>
      <c r="BT47" s="433"/>
      <c r="BU47" s="433"/>
      <c r="BV47" s="433"/>
      <c r="BW47" s="433"/>
      <c r="BX47" s="433"/>
      <c r="BY47" s="433"/>
      <c r="BZ47" s="433"/>
      <c r="CA47" s="433"/>
      <c r="CB47" s="433"/>
      <c r="CC47" s="433"/>
      <c r="CD47" s="433"/>
      <c r="CE47" s="433"/>
      <c r="CF47" s="433"/>
    </row>
    <row r="48" spans="1:84">
      <c r="A48" s="648">
        <f t="shared" si="1"/>
        <v>45238</v>
      </c>
      <c r="B48" s="429">
        <f>IF('DATA DE LAS 12'!C48=0," ",'DATA DE LAS 12'!C48)</f>
        <v>0.91666666666666663</v>
      </c>
      <c r="C48" s="418" t="str">
        <f>IF('DATA DE LAS 12'!E48=0," ",'DATA DE LAS 12'!E48)</f>
        <v xml:space="preserve"> </v>
      </c>
      <c r="D48" s="418" t="e">
        <f>IF('DATA DE LAS 12'!#REF!=0," ",'DATA DE LAS 12'!#REF!)</f>
        <v>#REF!</v>
      </c>
      <c r="E48" s="418" t="str">
        <f>IF('DATA DE LAS 12'!AM48=0," ",'DATA DE LAS 12'!AM48)</f>
        <v xml:space="preserve"> </v>
      </c>
      <c r="F48" s="418" t="str">
        <f>IF('DATA DE LAS 12'!AL48=0," ",'DATA DE LAS 12'!AL48)</f>
        <v xml:space="preserve"> </v>
      </c>
      <c r="G48" s="418" t="str">
        <f>IF('DATA DE LAS 12'!AQ48=0," ",'DATA DE LAS 12'!AQ48)</f>
        <v xml:space="preserve"> </v>
      </c>
      <c r="H48" s="418" t="str">
        <f>IF('DATA DE LAS 12'!Z48=0," ",'DATA DE LAS 12'!Z48)</f>
        <v xml:space="preserve"> </v>
      </c>
      <c r="I48" s="418" t="str">
        <f>IF('DATA DE LAS 12'!AN48=0," ",'DATA DE LAS 12'!AN48)</f>
        <v xml:space="preserve"> </v>
      </c>
      <c r="J48" s="418" t="str">
        <f>IF('DATA DE LAS 12'!F48=0," ",'DATA DE LAS 12'!F48)</f>
        <v xml:space="preserve"> </v>
      </c>
      <c r="K48" s="418" t="str">
        <f>IF('DATA DE LAS 12'!G48=0," ",'DATA DE LAS 12'!G48)</f>
        <v xml:space="preserve"> </v>
      </c>
      <c r="L48" s="418" t="str">
        <f>IF('DATA DE LAS 12'!H48=0," ",'DATA DE LAS 12'!H48)</f>
        <v xml:space="preserve"> </v>
      </c>
      <c r="M48" s="418" t="str">
        <f>IF('DATA DE LAS 12'!V48=0," ",'DATA DE LAS 12'!V48)</f>
        <v xml:space="preserve"> </v>
      </c>
      <c r="N48" s="418" t="str">
        <f>IF('DATA DE LAS 12'!X48=0," ",'DATA DE LAS 12'!X48)</f>
        <v xml:space="preserve"> </v>
      </c>
      <c r="O48" s="418" t="str">
        <f>IF('DATA DE LAS 12'!BB48=0," ",'DATA DE LAS 12'!BB48)</f>
        <v xml:space="preserve"> </v>
      </c>
      <c r="P48" s="420"/>
      <c r="Q48" s="420"/>
      <c r="R48" s="420"/>
      <c r="S48" s="420"/>
      <c r="T48" s="420"/>
      <c r="U48" s="420"/>
      <c r="V48" s="420"/>
      <c r="W48" s="420"/>
      <c r="X48" s="424" t="str">
        <f>IF('DATA DE LAS 12'!BD48=0," ",'DATA DE LAS 12'!BD48)</f>
        <v xml:space="preserve"> </v>
      </c>
      <c r="Y48" s="424" t="str">
        <f>IF('DATA DE LAS 12'!BE48=0," ",'DATA DE LAS 12'!BE48)</f>
        <v xml:space="preserve"> </v>
      </c>
      <c r="Z48" s="424" t="str">
        <f>IF('DATA DE LAS 12'!BF48=0," ",'DATA DE LAS 12'!BF48)</f>
        <v xml:space="preserve"> </v>
      </c>
      <c r="AA48" s="424" t="str">
        <f>IF('DATA DE LAS 12'!BG48=0," ",'DATA DE LAS 12'!BG48)</f>
        <v xml:space="preserve"> </v>
      </c>
      <c r="AB48" s="424" t="str">
        <f>IF('DATA DE LAS 12'!BY48=0," ",'DATA DE LAS 12'!BY48)</f>
        <v xml:space="preserve"> </v>
      </c>
      <c r="AC48" s="424">
        <v>13</v>
      </c>
      <c r="AD48" s="424">
        <v>25</v>
      </c>
      <c r="AE48" s="424">
        <v>550</v>
      </c>
      <c r="AF48" s="424">
        <v>427</v>
      </c>
      <c r="AG48" s="424" t="str">
        <f>IF('DATA DE LAS 12'!W48=0," ",'DATA DE LAS 12'!W48)</f>
        <v xml:space="preserve"> </v>
      </c>
      <c r="AH48" s="433"/>
      <c r="AI48" s="433"/>
      <c r="AJ48" s="433"/>
      <c r="AK48" s="433"/>
      <c r="AL48" s="433"/>
      <c r="AM48" s="433"/>
      <c r="AN48" s="433"/>
      <c r="AO48" s="433"/>
      <c r="AP48" s="433"/>
      <c r="AQ48" s="433"/>
      <c r="AR48" s="433"/>
      <c r="AS48" s="433"/>
      <c r="AT48" s="433"/>
      <c r="AU48" s="433"/>
      <c r="AV48" s="433"/>
      <c r="AW48" s="433"/>
      <c r="AX48" s="433"/>
      <c r="AY48" s="433"/>
      <c r="AZ48" s="433"/>
      <c r="BA48" s="433"/>
      <c r="BB48" s="433"/>
      <c r="BC48" s="433"/>
      <c r="BD48" s="433"/>
      <c r="BE48" s="433"/>
      <c r="BF48" s="433"/>
      <c r="BG48" s="433"/>
      <c r="BH48" s="433"/>
      <c r="BI48" s="433"/>
      <c r="BJ48" s="433"/>
      <c r="BK48" s="433"/>
      <c r="BL48" s="433"/>
      <c r="BM48" s="433"/>
      <c r="BN48" s="433"/>
      <c r="BO48" s="433"/>
      <c r="BP48" s="433"/>
      <c r="BQ48" s="433"/>
      <c r="BR48" s="433"/>
      <c r="BS48" s="433"/>
      <c r="BT48" s="433"/>
      <c r="BU48" s="433"/>
      <c r="BV48" s="433"/>
      <c r="BW48" s="433"/>
      <c r="BX48" s="433"/>
      <c r="BY48" s="433"/>
      <c r="BZ48" s="433"/>
      <c r="CA48" s="433"/>
      <c r="CB48" s="433"/>
      <c r="CC48" s="433"/>
      <c r="CD48" s="433"/>
      <c r="CE48" s="433"/>
      <c r="CF48" s="433"/>
    </row>
    <row r="49" spans="1:84">
      <c r="A49" s="648">
        <f t="shared" si="1"/>
        <v>45239</v>
      </c>
      <c r="B49" s="429">
        <f>IF('DATA DE LAS 12'!C49=0," ",'DATA DE LAS 12'!C49)</f>
        <v>0.88888888888888884</v>
      </c>
      <c r="C49" s="418" t="str">
        <f>IF('DATA DE LAS 12'!E49=0," ",'DATA DE LAS 12'!E49)</f>
        <v xml:space="preserve"> </v>
      </c>
      <c r="D49" s="418" t="e">
        <f>IF('DATA DE LAS 12'!#REF!=0," ",'DATA DE LAS 12'!#REF!)</f>
        <v>#REF!</v>
      </c>
      <c r="E49" s="418" t="str">
        <f>IF('DATA DE LAS 12'!AM49=0," ",'DATA DE LAS 12'!AM49)</f>
        <v xml:space="preserve"> </v>
      </c>
      <c r="F49" s="418" t="str">
        <f>IF('DATA DE LAS 12'!AL49=0," ",'DATA DE LAS 12'!AL49)</f>
        <v xml:space="preserve"> </v>
      </c>
      <c r="G49" s="418" t="str">
        <f>IF('DATA DE LAS 12'!AQ49=0," ",'DATA DE LAS 12'!AQ49)</f>
        <v xml:space="preserve"> </v>
      </c>
      <c r="H49" s="418" t="str">
        <f>IF('DATA DE LAS 12'!Z49=0," ",'DATA DE LAS 12'!Z49)</f>
        <v xml:space="preserve"> </v>
      </c>
      <c r="I49" s="418" t="str">
        <f>IF('DATA DE LAS 12'!AN49=0," ",'DATA DE LAS 12'!AN49)</f>
        <v xml:space="preserve"> </v>
      </c>
      <c r="J49" s="418" t="str">
        <f>IF('DATA DE LAS 12'!F49=0," ",'DATA DE LAS 12'!F49)</f>
        <v xml:space="preserve"> </v>
      </c>
      <c r="K49" s="418" t="str">
        <f>IF('DATA DE LAS 12'!G49=0," ",'DATA DE LAS 12'!G49)</f>
        <v xml:space="preserve"> </v>
      </c>
      <c r="L49" s="418" t="str">
        <f>IF('DATA DE LAS 12'!H49=0," ",'DATA DE LAS 12'!H49)</f>
        <v xml:space="preserve"> </v>
      </c>
      <c r="M49" s="418" t="str">
        <f>IF('DATA DE LAS 12'!V49=0," ",'DATA DE LAS 12'!V49)</f>
        <v xml:space="preserve"> </v>
      </c>
      <c r="N49" s="418" t="str">
        <f>IF('DATA DE LAS 12'!X49=0," ",'DATA DE LAS 12'!X49)</f>
        <v xml:space="preserve"> </v>
      </c>
      <c r="O49" s="418" t="str">
        <f>IF('DATA DE LAS 12'!BB49=0," ",'DATA DE LAS 12'!BB49)</f>
        <v xml:space="preserve"> </v>
      </c>
      <c r="P49" s="420"/>
      <c r="Q49" s="420"/>
      <c r="R49" s="420"/>
      <c r="S49" s="420"/>
      <c r="T49" s="420"/>
      <c r="U49" s="420"/>
      <c r="V49" s="420"/>
      <c r="W49" s="420"/>
      <c r="X49" s="424" t="str">
        <f>IF('DATA DE LAS 12'!BD49=0," ",'DATA DE LAS 12'!BD49)</f>
        <v xml:space="preserve"> </v>
      </c>
      <c r="Y49" s="424" t="str">
        <f>IF('DATA DE LAS 12'!BE49=0," ",'DATA DE LAS 12'!BE49)</f>
        <v xml:space="preserve"> </v>
      </c>
      <c r="Z49" s="424" t="str">
        <f>IF('DATA DE LAS 12'!BF49=0," ",'DATA DE LAS 12'!BF49)</f>
        <v xml:space="preserve"> </v>
      </c>
      <c r="AA49" s="424" t="str">
        <f>IF('DATA DE LAS 12'!BG49=0," ",'DATA DE LAS 12'!BG49)</f>
        <v xml:space="preserve"> </v>
      </c>
      <c r="AB49" s="424" t="str">
        <f>IF('DATA DE LAS 12'!BY49=0," ",'DATA DE LAS 12'!BY49)</f>
        <v xml:space="preserve"> </v>
      </c>
      <c r="AC49" s="424">
        <v>13</v>
      </c>
      <c r="AD49" s="424">
        <v>25</v>
      </c>
      <c r="AE49" s="424">
        <v>550</v>
      </c>
      <c r="AF49" s="424">
        <v>427</v>
      </c>
      <c r="AG49" s="424" t="str">
        <f>IF('DATA DE LAS 12'!W49=0," ",'DATA DE LAS 12'!W49)</f>
        <v xml:space="preserve"> </v>
      </c>
      <c r="AH49" s="433"/>
      <c r="AI49" s="433"/>
      <c r="AJ49" s="433"/>
      <c r="AK49" s="433"/>
      <c r="AL49" s="433"/>
      <c r="AM49" s="433"/>
      <c r="AN49" s="433"/>
      <c r="AO49" s="433"/>
      <c r="AP49" s="433"/>
      <c r="AQ49" s="433"/>
      <c r="AR49" s="433"/>
      <c r="AS49" s="433"/>
      <c r="AT49" s="433"/>
      <c r="AU49" s="433"/>
      <c r="AV49" s="433"/>
      <c r="AW49" s="433"/>
      <c r="AX49" s="433"/>
      <c r="AY49" s="433"/>
      <c r="AZ49" s="433"/>
      <c r="BA49" s="433"/>
      <c r="BB49" s="433"/>
      <c r="BC49" s="433"/>
      <c r="BD49" s="433"/>
      <c r="BE49" s="433"/>
      <c r="BF49" s="433"/>
      <c r="BG49" s="433"/>
      <c r="BH49" s="433"/>
      <c r="BI49" s="433"/>
      <c r="BJ49" s="433"/>
      <c r="BK49" s="433"/>
      <c r="BL49" s="433"/>
      <c r="BM49" s="433"/>
      <c r="BN49" s="433"/>
      <c r="BO49" s="433"/>
      <c r="BP49" s="433"/>
      <c r="BQ49" s="433"/>
      <c r="BR49" s="433"/>
      <c r="BS49" s="433"/>
      <c r="BT49" s="433"/>
      <c r="BU49" s="433"/>
      <c r="BV49" s="433"/>
      <c r="BW49" s="433"/>
      <c r="BX49" s="433"/>
      <c r="BY49" s="433"/>
      <c r="BZ49" s="433"/>
      <c r="CA49" s="433"/>
      <c r="CB49" s="433"/>
      <c r="CC49" s="433"/>
      <c r="CD49" s="433"/>
      <c r="CE49" s="433"/>
      <c r="CF49" s="433"/>
    </row>
    <row r="50" spans="1:84">
      <c r="A50" s="648">
        <f t="shared" si="1"/>
        <v>45240</v>
      </c>
      <c r="B50" s="429">
        <f>IF('DATA DE LAS 12'!C50=0," ",'DATA DE LAS 12'!C50)</f>
        <v>0.97222222222222221</v>
      </c>
      <c r="C50" s="418" t="str">
        <f>IF('DATA DE LAS 12'!E50=0," ",'DATA DE LAS 12'!E50)</f>
        <v xml:space="preserve"> </v>
      </c>
      <c r="D50" s="418" t="e">
        <f>IF('DATA DE LAS 12'!#REF!=0," ",'DATA DE LAS 12'!#REF!)</f>
        <v>#REF!</v>
      </c>
      <c r="E50" s="418" t="str">
        <f>IF('DATA DE LAS 12'!AM50=0," ",'DATA DE LAS 12'!AM50)</f>
        <v xml:space="preserve"> </v>
      </c>
      <c r="F50" s="418" t="str">
        <f>IF('DATA DE LAS 12'!AL50=0," ",'DATA DE LAS 12'!AL50)</f>
        <v xml:space="preserve"> </v>
      </c>
      <c r="G50" s="418" t="str">
        <f>IF('DATA DE LAS 12'!AQ50=0," ",'DATA DE LAS 12'!AQ50)</f>
        <v xml:space="preserve"> </v>
      </c>
      <c r="H50" s="418" t="str">
        <f>IF('DATA DE LAS 12'!Z50=0," ",'DATA DE LAS 12'!Z50)</f>
        <v xml:space="preserve"> </v>
      </c>
      <c r="I50" s="418" t="str">
        <f>IF('DATA DE LAS 12'!AN50=0," ",'DATA DE LAS 12'!AN50)</f>
        <v xml:space="preserve"> </v>
      </c>
      <c r="J50" s="418" t="str">
        <f>IF('DATA DE LAS 12'!F50=0," ",'DATA DE LAS 12'!F50)</f>
        <v xml:space="preserve"> </v>
      </c>
      <c r="K50" s="418" t="str">
        <f>IF('DATA DE LAS 12'!G50=0," ",'DATA DE LAS 12'!G50)</f>
        <v xml:space="preserve"> </v>
      </c>
      <c r="L50" s="418" t="str">
        <f>IF('DATA DE LAS 12'!H50=0," ",'DATA DE LAS 12'!H50)</f>
        <v xml:space="preserve"> </v>
      </c>
      <c r="M50" s="418" t="str">
        <f>IF('DATA DE LAS 12'!V50=0," ",'DATA DE LAS 12'!V50)</f>
        <v xml:space="preserve"> </v>
      </c>
      <c r="N50" s="418" t="str">
        <f>IF('DATA DE LAS 12'!X50=0," ",'DATA DE LAS 12'!X50)</f>
        <v xml:space="preserve"> </v>
      </c>
      <c r="O50" s="418" t="str">
        <f>IF('DATA DE LAS 12'!BB50=0," ",'DATA DE LAS 12'!BB50)</f>
        <v xml:space="preserve"> </v>
      </c>
      <c r="P50" s="420"/>
      <c r="Q50" s="420"/>
      <c r="R50" s="420"/>
      <c r="S50" s="420"/>
      <c r="T50" s="420"/>
      <c r="U50" s="420"/>
      <c r="V50" s="420"/>
      <c r="W50" s="420"/>
      <c r="X50" s="424" t="str">
        <f>IF('DATA DE LAS 12'!BD50=0," ",'DATA DE LAS 12'!BD50)</f>
        <v xml:space="preserve"> </v>
      </c>
      <c r="Y50" s="424" t="str">
        <f>IF('DATA DE LAS 12'!BE50=0," ",'DATA DE LAS 12'!BE50)</f>
        <v xml:space="preserve"> </v>
      </c>
      <c r="Z50" s="424" t="str">
        <f>IF('DATA DE LAS 12'!BF50=0," ",'DATA DE LAS 12'!BF50)</f>
        <v xml:space="preserve"> </v>
      </c>
      <c r="AA50" s="424" t="str">
        <f>IF('DATA DE LAS 12'!BG50=0," ",'DATA DE LAS 12'!BG50)</f>
        <v xml:space="preserve"> </v>
      </c>
      <c r="AB50" s="424" t="str">
        <f>IF('DATA DE LAS 12'!BY50=0," ",'DATA DE LAS 12'!BY50)</f>
        <v xml:space="preserve"> </v>
      </c>
      <c r="AC50" s="424">
        <v>13</v>
      </c>
      <c r="AD50" s="424">
        <v>25</v>
      </c>
      <c r="AE50" s="424">
        <v>550</v>
      </c>
      <c r="AF50" s="424">
        <v>427</v>
      </c>
      <c r="AG50" s="424" t="str">
        <f>IF('DATA DE LAS 12'!W50=0," ",'DATA DE LAS 12'!W50)</f>
        <v xml:space="preserve"> </v>
      </c>
      <c r="AH50" s="433"/>
      <c r="AI50" s="433"/>
      <c r="AJ50" s="433"/>
      <c r="AK50" s="433"/>
      <c r="AL50" s="433"/>
      <c r="AM50" s="421"/>
      <c r="AN50" s="421"/>
      <c r="AO50" s="421"/>
      <c r="AP50" s="421"/>
      <c r="AQ50" s="421"/>
      <c r="AR50" s="433"/>
      <c r="AS50" s="421"/>
      <c r="AT50" s="421"/>
      <c r="AU50" s="421"/>
      <c r="AV50" s="433"/>
      <c r="AW50" s="433"/>
      <c r="AX50" s="433"/>
      <c r="AY50" s="433"/>
      <c r="AZ50" s="433"/>
      <c r="BA50" s="433"/>
      <c r="BB50" s="433"/>
      <c r="BC50" s="433"/>
      <c r="BD50" s="433"/>
      <c r="BE50" s="433"/>
      <c r="BF50" s="433"/>
      <c r="BG50" s="433"/>
      <c r="BH50" s="433"/>
      <c r="BI50" s="433"/>
      <c r="BJ50" s="433"/>
      <c r="BK50" s="433"/>
      <c r="BL50" s="433"/>
      <c r="BM50" s="433"/>
      <c r="BN50" s="433"/>
      <c r="BO50" s="433"/>
      <c r="BP50" s="433"/>
      <c r="BQ50" s="433"/>
      <c r="BR50" s="433"/>
      <c r="BS50" s="433"/>
      <c r="BT50" s="433"/>
      <c r="BU50" s="433"/>
      <c r="BV50" s="433"/>
      <c r="BW50" s="433"/>
      <c r="BX50" s="433"/>
      <c r="BY50" s="433"/>
      <c r="BZ50" s="433"/>
      <c r="CA50" s="421"/>
      <c r="CB50" s="421"/>
      <c r="CC50" s="421"/>
      <c r="CD50" s="421"/>
      <c r="CE50" s="433"/>
      <c r="CF50" s="421"/>
    </row>
    <row r="51" spans="1:84">
      <c r="A51" s="648">
        <f t="shared" si="1"/>
        <v>45241</v>
      </c>
      <c r="B51" s="429">
        <f>IF('DATA DE LAS 12'!C51=0," ",'DATA DE LAS 12'!C51)</f>
        <v>0.92361111111111116</v>
      </c>
      <c r="C51" s="418" t="str">
        <f>IF('DATA DE LAS 12'!E51=0," ",'DATA DE LAS 12'!E51)</f>
        <v xml:space="preserve"> </v>
      </c>
      <c r="D51" s="418" t="e">
        <f>IF('DATA DE LAS 12'!#REF!=0," ",'DATA DE LAS 12'!#REF!)</f>
        <v>#REF!</v>
      </c>
      <c r="E51" s="418" t="str">
        <f>IF('DATA DE LAS 12'!AM51=0," ",'DATA DE LAS 12'!AM51)</f>
        <v xml:space="preserve"> </v>
      </c>
      <c r="F51" s="418" t="str">
        <f>IF('DATA DE LAS 12'!AL51=0," ",'DATA DE LAS 12'!AL51)</f>
        <v xml:space="preserve"> </v>
      </c>
      <c r="G51" s="418" t="str">
        <f>IF('DATA DE LAS 12'!AQ51=0," ",'DATA DE LAS 12'!AQ51)</f>
        <v xml:space="preserve"> </v>
      </c>
      <c r="H51" s="418" t="str">
        <f>IF('DATA DE LAS 12'!Z51=0," ",'DATA DE LAS 12'!Z51)</f>
        <v xml:space="preserve"> </v>
      </c>
      <c r="I51" s="418" t="str">
        <f>IF('DATA DE LAS 12'!AN51=0," ",'DATA DE LAS 12'!AN51)</f>
        <v xml:space="preserve"> </v>
      </c>
      <c r="J51" s="418" t="str">
        <f>IF('DATA DE LAS 12'!F51=0," ",'DATA DE LAS 12'!F51)</f>
        <v xml:space="preserve"> </v>
      </c>
      <c r="K51" s="418" t="str">
        <f>IF('DATA DE LAS 12'!G51=0," ",'DATA DE LAS 12'!G51)</f>
        <v xml:space="preserve"> </v>
      </c>
      <c r="L51" s="418" t="str">
        <f>IF('DATA DE LAS 12'!H51=0," ",'DATA DE LAS 12'!H51)</f>
        <v xml:space="preserve"> </v>
      </c>
      <c r="M51" s="418" t="str">
        <f>IF('DATA DE LAS 12'!V51=0," ",'DATA DE LAS 12'!V51)</f>
        <v xml:space="preserve"> </v>
      </c>
      <c r="N51" s="418" t="str">
        <f>IF('DATA DE LAS 12'!X51=0," ",'DATA DE LAS 12'!X51)</f>
        <v xml:space="preserve"> </v>
      </c>
      <c r="O51" s="418" t="str">
        <f>IF('DATA DE LAS 12'!BB51=0," ",'DATA DE LAS 12'!BB51)</f>
        <v xml:space="preserve"> </v>
      </c>
      <c r="P51" s="420"/>
      <c r="Q51" s="420"/>
      <c r="R51" s="420"/>
      <c r="S51" s="420"/>
      <c r="T51" s="420"/>
      <c r="U51" s="420"/>
      <c r="V51" s="420"/>
      <c r="W51" s="420"/>
      <c r="X51" s="424" t="str">
        <f>IF('DATA DE LAS 12'!BD51=0," ",'DATA DE LAS 12'!BD51)</f>
        <v xml:space="preserve"> </v>
      </c>
      <c r="Y51" s="424" t="str">
        <f>IF('DATA DE LAS 12'!BE51=0," ",'DATA DE LAS 12'!BE51)</f>
        <v xml:space="preserve"> </v>
      </c>
      <c r="Z51" s="424" t="str">
        <f>IF('DATA DE LAS 12'!BF51=0," ",'DATA DE LAS 12'!BF51)</f>
        <v xml:space="preserve"> </v>
      </c>
      <c r="AA51" s="424" t="str">
        <f>IF('DATA DE LAS 12'!BG51=0," ",'DATA DE LAS 12'!BG51)</f>
        <v xml:space="preserve"> </v>
      </c>
      <c r="AB51" s="424" t="str">
        <f>IF('DATA DE LAS 12'!BY51=0," ",'DATA DE LAS 12'!BY51)</f>
        <v xml:space="preserve"> </v>
      </c>
      <c r="AC51" s="424">
        <v>13</v>
      </c>
      <c r="AD51" s="424">
        <v>25</v>
      </c>
      <c r="AE51" s="424">
        <v>550</v>
      </c>
      <c r="AF51" s="424">
        <v>427</v>
      </c>
      <c r="AG51" s="424" t="str">
        <f>IF('DATA DE LAS 12'!W51=0," ",'DATA DE LAS 12'!W51)</f>
        <v xml:space="preserve"> </v>
      </c>
    </row>
    <row r="52" spans="1:84">
      <c r="A52" s="648">
        <f t="shared" si="1"/>
        <v>45242</v>
      </c>
      <c r="B52" s="429">
        <f>IF('DATA DE LAS 12'!C52=0," ",'DATA DE LAS 12'!C52)</f>
        <v>0.93402777777777779</v>
      </c>
      <c r="C52" s="418" t="str">
        <f>IF('DATA DE LAS 12'!E52=0," ",'DATA DE LAS 12'!E52)</f>
        <v xml:space="preserve"> </v>
      </c>
      <c r="D52" s="418" t="e">
        <f>IF('DATA DE LAS 12'!#REF!=0," ",'DATA DE LAS 12'!#REF!)</f>
        <v>#REF!</v>
      </c>
      <c r="E52" s="418" t="str">
        <f>IF('DATA DE LAS 12'!AM52=0," ",'DATA DE LAS 12'!AM52)</f>
        <v xml:space="preserve"> </v>
      </c>
      <c r="F52" s="418" t="str">
        <f>IF('DATA DE LAS 12'!AL52=0," ",'DATA DE LAS 12'!AL52)</f>
        <v xml:space="preserve"> </v>
      </c>
      <c r="G52" s="418" t="str">
        <f>IF('DATA DE LAS 12'!AQ52=0," ",'DATA DE LAS 12'!AQ52)</f>
        <v xml:space="preserve"> </v>
      </c>
      <c r="H52" s="418" t="str">
        <f>IF('DATA DE LAS 12'!Z52=0," ",'DATA DE LAS 12'!Z52)</f>
        <v xml:space="preserve"> </v>
      </c>
      <c r="I52" s="418" t="str">
        <f>IF('DATA DE LAS 12'!AN52=0," ",'DATA DE LAS 12'!AN52)</f>
        <v xml:space="preserve"> </v>
      </c>
      <c r="J52" s="418" t="str">
        <f>IF('DATA DE LAS 12'!F52=0," ",'DATA DE LAS 12'!F52)</f>
        <v xml:space="preserve"> </v>
      </c>
      <c r="K52" s="418" t="str">
        <f>IF('DATA DE LAS 12'!G52=0," ",'DATA DE LAS 12'!G52)</f>
        <v xml:space="preserve"> </v>
      </c>
      <c r="L52" s="418" t="str">
        <f>IF('DATA DE LAS 12'!H52=0," ",'DATA DE LAS 12'!H52)</f>
        <v xml:space="preserve"> </v>
      </c>
      <c r="M52" s="418" t="str">
        <f>IF('DATA DE LAS 12'!V52=0," ",'DATA DE LAS 12'!V52)</f>
        <v xml:space="preserve"> </v>
      </c>
      <c r="N52" s="418" t="str">
        <f>IF('DATA DE LAS 12'!X52=0," ",'DATA DE LAS 12'!X52)</f>
        <v xml:space="preserve"> </v>
      </c>
      <c r="O52" s="418" t="str">
        <f>IF('DATA DE LAS 12'!BB52=0," ",'DATA DE LAS 12'!BB52)</f>
        <v xml:space="preserve"> </v>
      </c>
      <c r="P52" s="420"/>
      <c r="Q52" s="420"/>
      <c r="R52" s="420"/>
      <c r="S52" s="420"/>
      <c r="T52" s="420"/>
      <c r="U52" s="420"/>
      <c r="V52" s="420"/>
      <c r="W52" s="420"/>
      <c r="X52" s="424" t="str">
        <f>IF('DATA DE LAS 12'!BD52=0," ",'DATA DE LAS 12'!BD52)</f>
        <v xml:space="preserve"> </v>
      </c>
      <c r="Y52" s="424" t="str">
        <f>IF('DATA DE LAS 12'!BE52=0," ",'DATA DE LAS 12'!BE52)</f>
        <v xml:space="preserve"> </v>
      </c>
      <c r="Z52" s="424" t="str">
        <f>IF('DATA DE LAS 12'!BF52=0," ",'DATA DE LAS 12'!BF52)</f>
        <v xml:space="preserve"> </v>
      </c>
      <c r="AA52" s="424" t="str">
        <f>IF('DATA DE LAS 12'!BG52=0," ",'DATA DE LAS 12'!BG52)</f>
        <v xml:space="preserve"> </v>
      </c>
      <c r="AB52" s="424" t="str">
        <f>IF('DATA DE LAS 12'!BY52=0," ",'DATA DE LAS 12'!BY52)</f>
        <v xml:space="preserve"> </v>
      </c>
      <c r="AC52" s="424">
        <v>13</v>
      </c>
      <c r="AD52" s="424">
        <v>25</v>
      </c>
      <c r="AE52" s="424">
        <v>550</v>
      </c>
      <c r="AF52" s="424">
        <v>427</v>
      </c>
      <c r="AG52" s="424" t="str">
        <f>IF('DATA DE LAS 12'!W52=0," ",'DATA DE LAS 12'!W52)</f>
        <v xml:space="preserve"> </v>
      </c>
    </row>
    <row r="53" spans="1:84">
      <c r="A53" s="648">
        <f t="shared" si="1"/>
        <v>45243</v>
      </c>
      <c r="B53" s="429" t="e">
        <f>IF('DATA DE LAS 12'!#REF!=0," ",'DATA DE LAS 12'!#REF!)</f>
        <v>#REF!</v>
      </c>
      <c r="C53" s="418" t="str">
        <f>IF('DATA DE LAS 12'!E53=0," ",'DATA DE LAS 12'!E53)</f>
        <v xml:space="preserve"> </v>
      </c>
      <c r="D53" s="418" t="e">
        <f>IF('DATA DE LAS 12'!#REF!=0," ",'DATA DE LAS 12'!#REF!)</f>
        <v>#REF!</v>
      </c>
      <c r="E53" s="418" t="str">
        <f>IF('DATA DE LAS 12'!AM53=0," ",'DATA DE LAS 12'!AM53)</f>
        <v xml:space="preserve"> </v>
      </c>
      <c r="F53" s="418" t="str">
        <f>IF('DATA DE LAS 12'!AL53=0," ",'DATA DE LAS 12'!AL53)</f>
        <v xml:space="preserve"> </v>
      </c>
      <c r="G53" s="418" t="str">
        <f>IF('DATA DE LAS 12'!AQ53=0," ",'DATA DE LAS 12'!AQ53)</f>
        <v xml:space="preserve"> </v>
      </c>
      <c r="H53" s="418" t="str">
        <f>IF('DATA DE LAS 12'!Z53=0," ",'DATA DE LAS 12'!Z53)</f>
        <v xml:space="preserve"> </v>
      </c>
      <c r="I53" s="418" t="str">
        <f>IF('DATA DE LAS 12'!AN53=0," ",'DATA DE LAS 12'!AN53)</f>
        <v xml:space="preserve"> </v>
      </c>
      <c r="J53" s="418" t="str">
        <f>IF('DATA DE LAS 12'!F53=0," ",'DATA DE LAS 12'!F53)</f>
        <v xml:space="preserve"> </v>
      </c>
      <c r="K53" s="418" t="str">
        <f>IF('DATA DE LAS 12'!G53=0," ",'DATA DE LAS 12'!G53)</f>
        <v xml:space="preserve"> </v>
      </c>
      <c r="L53" s="418" t="str">
        <f>IF('DATA DE LAS 12'!H53=0," ",'DATA DE LAS 12'!H53)</f>
        <v xml:space="preserve"> </v>
      </c>
      <c r="M53" s="418" t="str">
        <f>IF('DATA DE LAS 12'!V53=0," ",'DATA DE LAS 12'!V53)</f>
        <v xml:space="preserve"> </v>
      </c>
      <c r="N53" s="418" t="str">
        <f>IF('DATA DE LAS 12'!X53=0," ",'DATA DE LAS 12'!X53)</f>
        <v xml:space="preserve"> </v>
      </c>
      <c r="O53" s="418" t="str">
        <f>IF('DATA DE LAS 12'!BB53=0," ",'DATA DE LAS 12'!BB53)</f>
        <v xml:space="preserve"> </v>
      </c>
      <c r="P53" s="420"/>
      <c r="Q53" s="420"/>
      <c r="R53" s="420"/>
      <c r="S53" s="420"/>
      <c r="T53" s="420"/>
      <c r="U53" s="420"/>
      <c r="V53" s="420"/>
      <c r="W53" s="420"/>
      <c r="X53" s="424" t="str">
        <f>IF('DATA DE LAS 12'!BD53=0," ",'DATA DE LAS 12'!BD53)</f>
        <v xml:space="preserve"> </v>
      </c>
      <c r="Y53" s="424" t="str">
        <f>IF('DATA DE LAS 12'!BE53=0," ",'DATA DE LAS 12'!BE53)</f>
        <v xml:space="preserve"> </v>
      </c>
      <c r="Z53" s="424" t="str">
        <f>IF('DATA DE LAS 12'!BF53=0," ",'DATA DE LAS 12'!BF53)</f>
        <v xml:space="preserve"> </v>
      </c>
      <c r="AA53" s="424" t="str">
        <f>IF('DATA DE LAS 12'!BG53=0," ",'DATA DE LAS 12'!BG53)</f>
        <v xml:space="preserve"> </v>
      </c>
      <c r="AB53" s="424" t="str">
        <f>IF('DATA DE LAS 12'!BY53=0," ",'DATA DE LAS 12'!BY53)</f>
        <v xml:space="preserve"> </v>
      </c>
      <c r="AC53" s="424">
        <v>13</v>
      </c>
      <c r="AD53" s="424">
        <v>25</v>
      </c>
      <c r="AE53" s="424">
        <v>550</v>
      </c>
      <c r="AF53" s="424">
        <v>427</v>
      </c>
      <c r="AG53" s="424" t="str">
        <f>IF('DATA DE LAS 12'!W53=0," ",'DATA DE LAS 12'!W53)</f>
        <v xml:space="preserve"> </v>
      </c>
    </row>
    <row r="54" spans="1:84">
      <c r="A54" s="648">
        <f t="shared" si="1"/>
        <v>45244</v>
      </c>
      <c r="B54" s="429">
        <f>IF('DATA DE LAS 12'!C53=0," ",'DATA DE LAS 12'!C53)</f>
        <v>0.99930555555555556</v>
      </c>
      <c r="C54" s="418" t="str">
        <f>IF('DATA DE LAS 12'!E54=0," ",'DATA DE LAS 12'!E54)</f>
        <v xml:space="preserve"> </v>
      </c>
      <c r="D54" s="418" t="e">
        <f>IF('DATA DE LAS 12'!#REF!=0," ",'DATA DE LAS 12'!#REF!)</f>
        <v>#REF!</v>
      </c>
      <c r="E54" s="418" t="str">
        <f>IF('DATA DE LAS 12'!AM54=0," ",'DATA DE LAS 12'!AM54)</f>
        <v xml:space="preserve"> </v>
      </c>
      <c r="F54" s="418" t="str">
        <f>IF('DATA DE LAS 12'!AL54=0," ",'DATA DE LAS 12'!AL54)</f>
        <v xml:space="preserve"> </v>
      </c>
      <c r="G54" s="418" t="str">
        <f>IF('DATA DE LAS 12'!AQ54=0," ",'DATA DE LAS 12'!AQ54)</f>
        <v xml:space="preserve"> </v>
      </c>
      <c r="H54" s="418" t="str">
        <f>IF('DATA DE LAS 12'!Z54=0," ",'DATA DE LAS 12'!Z54)</f>
        <v xml:space="preserve"> </v>
      </c>
      <c r="I54" s="418" t="str">
        <f>IF('DATA DE LAS 12'!AN54=0," ",'DATA DE LAS 12'!AN54)</f>
        <v xml:space="preserve"> </v>
      </c>
      <c r="J54" s="418" t="str">
        <f>IF('DATA DE LAS 12'!F54=0," ",'DATA DE LAS 12'!F54)</f>
        <v xml:space="preserve"> </v>
      </c>
      <c r="K54" s="418" t="str">
        <f>IF('DATA DE LAS 12'!G54=0," ",'DATA DE LAS 12'!G54)</f>
        <v xml:space="preserve"> </v>
      </c>
      <c r="L54" s="418" t="str">
        <f>IF('DATA DE LAS 12'!H54=0," ",'DATA DE LAS 12'!H54)</f>
        <v xml:space="preserve"> </v>
      </c>
      <c r="M54" s="418" t="str">
        <f>IF('DATA DE LAS 12'!V54=0," ",'DATA DE LAS 12'!V54)</f>
        <v xml:space="preserve"> </v>
      </c>
      <c r="N54" s="418" t="str">
        <f>IF('DATA DE LAS 12'!X54=0," ",'DATA DE LAS 12'!X54)</f>
        <v xml:space="preserve"> </v>
      </c>
      <c r="O54" s="418" t="str">
        <f>IF('DATA DE LAS 12'!BB54=0," ",'DATA DE LAS 12'!BB54)</f>
        <v xml:space="preserve"> </v>
      </c>
      <c r="P54" s="420"/>
      <c r="Q54" s="420"/>
      <c r="R54" s="420"/>
      <c r="S54" s="420"/>
      <c r="T54" s="420"/>
      <c r="U54" s="420"/>
      <c r="V54" s="420"/>
      <c r="W54" s="420"/>
      <c r="X54" s="424" t="str">
        <f>IF('DATA DE LAS 12'!BD54=0," ",'DATA DE LAS 12'!BD54)</f>
        <v xml:space="preserve"> </v>
      </c>
      <c r="Y54" s="424" t="str">
        <f>IF('DATA DE LAS 12'!BE54=0," ",'DATA DE LAS 12'!BE54)</f>
        <v xml:space="preserve"> </v>
      </c>
      <c r="Z54" s="424" t="str">
        <f>IF('DATA DE LAS 12'!BF54=0," ",'DATA DE LAS 12'!BF54)</f>
        <v xml:space="preserve"> </v>
      </c>
      <c r="AA54" s="424" t="str">
        <f>IF('DATA DE LAS 12'!BG54=0," ",'DATA DE LAS 12'!BG54)</f>
        <v xml:space="preserve"> </v>
      </c>
      <c r="AB54" s="424" t="str">
        <f>IF('DATA DE LAS 12'!BY54=0," ",'DATA DE LAS 12'!BY54)</f>
        <v xml:space="preserve"> </v>
      </c>
      <c r="AC54" s="424">
        <v>13</v>
      </c>
      <c r="AD54" s="424">
        <v>25</v>
      </c>
      <c r="AE54" s="424">
        <v>550</v>
      </c>
      <c r="AF54" s="424">
        <v>427</v>
      </c>
      <c r="AG54" s="424" t="str">
        <f>IF('DATA DE LAS 12'!W54=0," ",'DATA DE LAS 12'!W54)</f>
        <v xml:space="preserve"> </v>
      </c>
    </row>
    <row r="55" spans="1:84">
      <c r="A55" s="648">
        <f t="shared" si="1"/>
        <v>45245</v>
      </c>
      <c r="B55" s="429">
        <f>IF('DATA DE LAS 12'!C55=0," ",'DATA DE LAS 12'!C55)</f>
        <v>0.85</v>
      </c>
      <c r="C55" s="418" t="str">
        <f>IF('DATA DE LAS 12'!E55=0," ",'DATA DE LAS 12'!E55)</f>
        <v xml:space="preserve"> </v>
      </c>
      <c r="D55" s="418" t="e">
        <f>IF('DATA DE LAS 12'!#REF!=0," ",'DATA DE LAS 12'!#REF!)</f>
        <v>#REF!</v>
      </c>
      <c r="E55" s="418" t="str">
        <f>IF('DATA DE LAS 12'!AM55=0," ",'DATA DE LAS 12'!AM55)</f>
        <v xml:space="preserve"> </v>
      </c>
      <c r="F55" s="418" t="str">
        <f>IF('DATA DE LAS 12'!AL55=0," ",'DATA DE LAS 12'!AL55)</f>
        <v xml:space="preserve"> </v>
      </c>
      <c r="G55" s="418" t="str">
        <f>IF('DATA DE LAS 12'!AQ55=0," ",'DATA DE LAS 12'!AQ55)</f>
        <v xml:space="preserve"> </v>
      </c>
      <c r="H55" s="418" t="str">
        <f>IF('DATA DE LAS 12'!Z55=0," ",'DATA DE LAS 12'!Z55)</f>
        <v xml:space="preserve"> </v>
      </c>
      <c r="I55" s="418" t="str">
        <f>IF('DATA DE LAS 12'!AN55=0," ",'DATA DE LAS 12'!AN55)</f>
        <v xml:space="preserve"> </v>
      </c>
      <c r="J55" s="418" t="str">
        <f>IF('DATA DE LAS 12'!F55=0," ",'DATA DE LAS 12'!F55)</f>
        <v xml:space="preserve"> </v>
      </c>
      <c r="K55" s="418" t="str">
        <f>IF('DATA DE LAS 12'!G55=0," ",'DATA DE LAS 12'!G55)</f>
        <v xml:space="preserve"> </v>
      </c>
      <c r="L55" s="418" t="str">
        <f>IF('DATA DE LAS 12'!H55=0," ",'DATA DE LAS 12'!H55)</f>
        <v xml:space="preserve"> </v>
      </c>
      <c r="M55" s="418" t="str">
        <f>IF('DATA DE LAS 12'!V55=0," ",'DATA DE LAS 12'!V55)</f>
        <v xml:space="preserve"> </v>
      </c>
      <c r="N55" s="418" t="str">
        <f>IF('DATA DE LAS 12'!X55=0," ",'DATA DE LAS 12'!X55)</f>
        <v xml:space="preserve"> </v>
      </c>
      <c r="O55" s="418" t="str">
        <f>IF('DATA DE LAS 12'!BB55=0," ",'DATA DE LAS 12'!BB55)</f>
        <v xml:space="preserve"> </v>
      </c>
      <c r="P55" s="420"/>
      <c r="Q55" s="420"/>
      <c r="R55" s="420"/>
      <c r="S55" s="420"/>
      <c r="T55" s="420"/>
      <c r="U55" s="420"/>
      <c r="V55" s="420"/>
      <c r="W55" s="420"/>
      <c r="X55" s="424" t="str">
        <f>IF('DATA DE LAS 12'!BD55=0," ",'DATA DE LAS 12'!BD55)</f>
        <v xml:space="preserve"> </v>
      </c>
      <c r="Y55" s="424" t="str">
        <f>IF('DATA DE LAS 12'!BE55=0," ",'DATA DE LAS 12'!BE55)</f>
        <v xml:space="preserve"> </v>
      </c>
      <c r="Z55" s="424" t="str">
        <f>IF('DATA DE LAS 12'!BF55=0," ",'DATA DE LAS 12'!BF55)</f>
        <v xml:space="preserve"> </v>
      </c>
      <c r="AA55" s="424" t="str">
        <f>IF('DATA DE LAS 12'!BG55=0," ",'DATA DE LAS 12'!BG55)</f>
        <v xml:space="preserve"> </v>
      </c>
      <c r="AB55" s="424" t="str">
        <f>IF('DATA DE LAS 12'!BY55=0," ",'DATA DE LAS 12'!BY55)</f>
        <v xml:space="preserve"> </v>
      </c>
      <c r="AC55" s="424">
        <v>13</v>
      </c>
      <c r="AD55" s="424">
        <v>25</v>
      </c>
      <c r="AE55" s="424">
        <v>550</v>
      </c>
      <c r="AF55" s="424">
        <v>427</v>
      </c>
      <c r="AG55" s="424" t="str">
        <f>IF('DATA DE LAS 12'!W55=0," ",'DATA DE LAS 12'!W55)</f>
        <v xml:space="preserve"> </v>
      </c>
    </row>
    <row r="56" spans="1:84">
      <c r="A56" s="648">
        <f t="shared" si="1"/>
        <v>45246</v>
      </c>
      <c r="B56" s="429">
        <f>IF('DATA DE LAS 12'!C56=0," ",'DATA DE LAS 12'!C56)</f>
        <v>0.95138888888888895</v>
      </c>
      <c r="C56" s="418" t="str">
        <f>IF('DATA DE LAS 12'!E56=0," ",'DATA DE LAS 12'!E56)</f>
        <v xml:space="preserve"> </v>
      </c>
      <c r="D56" s="418" t="e">
        <f>IF('DATA DE LAS 12'!#REF!=0," ",'DATA DE LAS 12'!#REF!)</f>
        <v>#REF!</v>
      </c>
      <c r="E56" s="418" t="str">
        <f>IF('DATA DE LAS 12'!AM56=0," ",'DATA DE LAS 12'!AM56)</f>
        <v xml:space="preserve"> </v>
      </c>
      <c r="F56" s="418" t="str">
        <f>IF('DATA DE LAS 12'!AL56=0," ",'DATA DE LAS 12'!AL56)</f>
        <v xml:space="preserve"> </v>
      </c>
      <c r="G56" s="418" t="str">
        <f>IF('DATA DE LAS 12'!AQ56=0," ",'DATA DE LAS 12'!AQ56)</f>
        <v xml:space="preserve"> </v>
      </c>
      <c r="H56" s="418" t="str">
        <f>IF('DATA DE LAS 12'!Z56=0," ",'DATA DE LAS 12'!Z56)</f>
        <v xml:space="preserve"> </v>
      </c>
      <c r="I56" s="418" t="str">
        <f>IF('DATA DE LAS 12'!AN56=0," ",'DATA DE LAS 12'!AN56)</f>
        <v xml:space="preserve"> </v>
      </c>
      <c r="J56" s="418" t="str">
        <f>IF('DATA DE LAS 12'!F56=0," ",'DATA DE LAS 12'!F56)</f>
        <v xml:space="preserve"> </v>
      </c>
      <c r="K56" s="418" t="str">
        <f>IF('DATA DE LAS 12'!G56=0," ",'DATA DE LAS 12'!G56)</f>
        <v xml:space="preserve"> </v>
      </c>
      <c r="L56" s="418" t="str">
        <f>IF('DATA DE LAS 12'!H56=0," ",'DATA DE LAS 12'!H56)</f>
        <v xml:space="preserve"> </v>
      </c>
      <c r="M56" s="418" t="str">
        <f>IF('DATA DE LAS 12'!V56=0," ",'DATA DE LAS 12'!V56)</f>
        <v xml:space="preserve"> </v>
      </c>
      <c r="N56" s="418" t="str">
        <f>IF('DATA DE LAS 12'!X56=0," ",'DATA DE LAS 12'!X56)</f>
        <v xml:space="preserve"> </v>
      </c>
      <c r="O56" s="418" t="str">
        <f>IF('DATA DE LAS 12'!BB56=0," ",'DATA DE LAS 12'!BB56)</f>
        <v xml:space="preserve"> </v>
      </c>
      <c r="P56" s="420"/>
      <c r="Q56" s="420"/>
      <c r="R56" s="420"/>
      <c r="S56" s="420"/>
      <c r="T56" s="420"/>
      <c r="U56" s="420"/>
      <c r="V56" s="420"/>
      <c r="W56" s="420"/>
      <c r="X56" s="424" t="str">
        <f>IF('DATA DE LAS 12'!BD56=0," ",'DATA DE LAS 12'!BD56)</f>
        <v xml:space="preserve"> </v>
      </c>
      <c r="Y56" s="424" t="str">
        <f>IF('DATA DE LAS 12'!BE56=0," ",'DATA DE LAS 12'!BE56)</f>
        <v xml:space="preserve"> </v>
      </c>
      <c r="Z56" s="424" t="str">
        <f>IF('DATA DE LAS 12'!BF56=0," ",'DATA DE LAS 12'!BF56)</f>
        <v xml:space="preserve"> </v>
      </c>
      <c r="AA56" s="424" t="str">
        <f>IF('DATA DE LAS 12'!BG56=0," ",'DATA DE LAS 12'!BG56)</f>
        <v xml:space="preserve"> </v>
      </c>
      <c r="AB56" s="424" t="str">
        <f>IF('DATA DE LAS 12'!BY56=0," ",'DATA DE LAS 12'!BY56)</f>
        <v xml:space="preserve"> </v>
      </c>
      <c r="AC56" s="424">
        <v>13</v>
      </c>
      <c r="AD56" s="424">
        <v>25</v>
      </c>
      <c r="AE56" s="424">
        <v>550</v>
      </c>
      <c r="AF56" s="424">
        <v>427</v>
      </c>
      <c r="AG56" s="424" t="str">
        <f>IF('DATA DE LAS 12'!W56=0," ",'DATA DE LAS 12'!W56)</f>
        <v xml:space="preserve"> </v>
      </c>
    </row>
    <row r="57" spans="1:84">
      <c r="A57" s="648">
        <f t="shared" si="1"/>
        <v>45247</v>
      </c>
      <c r="B57" s="429">
        <f>IF('DATA DE LAS 12'!C57=0," ",'DATA DE LAS 12'!C57)</f>
        <v>0.86805555555555547</v>
      </c>
      <c r="C57" s="418" t="str">
        <f>IF('DATA DE LAS 12'!E57=0," ",'DATA DE LAS 12'!E57)</f>
        <v xml:space="preserve"> </v>
      </c>
      <c r="D57" s="418" t="e">
        <f>IF('DATA DE LAS 12'!#REF!=0," ",'DATA DE LAS 12'!#REF!)</f>
        <v>#REF!</v>
      </c>
      <c r="E57" s="418" t="str">
        <f>IF('DATA DE LAS 12'!AM57=0," ",'DATA DE LAS 12'!AM57)</f>
        <v xml:space="preserve"> </v>
      </c>
      <c r="F57" s="418" t="str">
        <f>IF('DATA DE LAS 12'!AL57=0," ",'DATA DE LAS 12'!AL57)</f>
        <v xml:space="preserve"> </v>
      </c>
      <c r="G57" s="418" t="str">
        <f>IF('DATA DE LAS 12'!AQ57=0," ",'DATA DE LAS 12'!AQ57)</f>
        <v xml:space="preserve"> </v>
      </c>
      <c r="H57" s="418" t="str">
        <f>IF('DATA DE LAS 12'!Z57=0," ",'DATA DE LAS 12'!Z57)</f>
        <v xml:space="preserve"> </v>
      </c>
      <c r="I57" s="418" t="str">
        <f>IF('DATA DE LAS 12'!AN57=0," ",'DATA DE LAS 12'!AN57)</f>
        <v xml:space="preserve"> </v>
      </c>
      <c r="J57" s="418" t="str">
        <f>IF('DATA DE LAS 12'!F57=0," ",'DATA DE LAS 12'!F57)</f>
        <v xml:space="preserve"> </v>
      </c>
      <c r="K57" s="418" t="str">
        <f>IF('DATA DE LAS 12'!G57=0," ",'DATA DE LAS 12'!G57)</f>
        <v xml:space="preserve"> </v>
      </c>
      <c r="L57" s="418" t="str">
        <f>IF('DATA DE LAS 12'!H57=0," ",'DATA DE LAS 12'!H57)</f>
        <v xml:space="preserve"> </v>
      </c>
      <c r="M57" s="418" t="str">
        <f>IF('DATA DE LAS 12'!V57=0," ",'DATA DE LAS 12'!V57)</f>
        <v xml:space="preserve"> </v>
      </c>
      <c r="N57" s="418" t="str">
        <f>IF('DATA DE LAS 12'!X57=0," ",'DATA DE LAS 12'!X57)</f>
        <v xml:space="preserve"> </v>
      </c>
      <c r="O57" s="418" t="str">
        <f>IF('DATA DE LAS 12'!BB57=0," ",'DATA DE LAS 12'!BB57)</f>
        <v xml:space="preserve"> </v>
      </c>
      <c r="P57" s="420"/>
      <c r="Q57" s="420"/>
      <c r="R57" s="420"/>
      <c r="S57" s="420"/>
      <c r="T57" s="420"/>
      <c r="U57" s="420"/>
      <c r="V57" s="420"/>
      <c r="W57" s="420"/>
      <c r="X57" s="424" t="str">
        <f>IF('DATA DE LAS 12'!BD57=0," ",'DATA DE LAS 12'!BD57)</f>
        <v xml:space="preserve"> </v>
      </c>
      <c r="Y57" s="424" t="str">
        <f>IF('DATA DE LAS 12'!BE57=0," ",'DATA DE LAS 12'!BE57)</f>
        <v xml:space="preserve"> </v>
      </c>
      <c r="Z57" s="424" t="str">
        <f>IF('DATA DE LAS 12'!BF57=0," ",'DATA DE LAS 12'!BF57)</f>
        <v xml:space="preserve"> </v>
      </c>
      <c r="AA57" s="424" t="str">
        <f>IF('DATA DE LAS 12'!BG57=0," ",'DATA DE LAS 12'!BG57)</f>
        <v xml:space="preserve"> </v>
      </c>
      <c r="AB57" s="424" t="str">
        <f>IF('DATA DE LAS 12'!BY57=0," ",'DATA DE LAS 12'!BY57)</f>
        <v xml:space="preserve"> </v>
      </c>
      <c r="AC57" s="424">
        <v>13</v>
      </c>
      <c r="AD57" s="424">
        <v>25</v>
      </c>
      <c r="AE57" s="424">
        <v>550</v>
      </c>
      <c r="AF57" s="424">
        <v>427</v>
      </c>
      <c r="AG57" s="424" t="str">
        <f>IF('DATA DE LAS 12'!W57=0," ",'DATA DE LAS 12'!W57)</f>
        <v xml:space="preserve"> </v>
      </c>
    </row>
    <row r="58" spans="1:84">
      <c r="A58" s="648">
        <f t="shared" si="1"/>
        <v>45248</v>
      </c>
      <c r="B58" s="429">
        <f>IF('DATA DE LAS 12'!C58=0," ",'DATA DE LAS 12'!C58)</f>
        <v>0.90972222222222199</v>
      </c>
      <c r="C58" s="418" t="str">
        <f>IF('DATA DE LAS 12'!E58=0," ",'DATA DE LAS 12'!E58)</f>
        <v xml:space="preserve"> </v>
      </c>
      <c r="D58" s="418" t="e">
        <f>IF('DATA DE LAS 12'!#REF!=0," ",'DATA DE LAS 12'!#REF!)</f>
        <v>#REF!</v>
      </c>
      <c r="E58" s="418" t="str">
        <f>IF('DATA DE LAS 12'!AM58=0," ",'DATA DE LAS 12'!AM58)</f>
        <v xml:space="preserve"> </v>
      </c>
      <c r="F58" s="418" t="str">
        <f>IF('DATA DE LAS 12'!AL58=0," ",'DATA DE LAS 12'!AL58)</f>
        <v xml:space="preserve"> </v>
      </c>
      <c r="G58" s="418" t="str">
        <f>IF('DATA DE LAS 12'!AQ58=0," ",'DATA DE LAS 12'!AQ58)</f>
        <v xml:space="preserve"> </v>
      </c>
      <c r="H58" s="418" t="str">
        <f>IF('DATA DE LAS 12'!Z58=0," ",'DATA DE LAS 12'!Z58)</f>
        <v xml:space="preserve"> </v>
      </c>
      <c r="I58" s="418" t="str">
        <f>IF('DATA DE LAS 12'!AN58=0," ",'DATA DE LAS 12'!AN58)</f>
        <v xml:space="preserve"> </v>
      </c>
      <c r="J58" s="418" t="str">
        <f>IF('DATA DE LAS 12'!F58=0," ",'DATA DE LAS 12'!F58)</f>
        <v xml:space="preserve"> </v>
      </c>
      <c r="K58" s="418" t="str">
        <f>IF('DATA DE LAS 12'!G58=0," ",'DATA DE LAS 12'!G58)</f>
        <v xml:space="preserve"> </v>
      </c>
      <c r="L58" s="418" t="str">
        <f>IF('DATA DE LAS 12'!H58=0," ",'DATA DE LAS 12'!H58)</f>
        <v xml:space="preserve"> </v>
      </c>
      <c r="M58" s="418" t="str">
        <f>IF('DATA DE LAS 12'!V58=0," ",'DATA DE LAS 12'!V58)</f>
        <v xml:space="preserve"> </v>
      </c>
      <c r="N58" s="418" t="str">
        <f>IF('DATA DE LAS 12'!X58=0," ",'DATA DE LAS 12'!X58)</f>
        <v xml:space="preserve"> </v>
      </c>
      <c r="O58" s="418" t="str">
        <f>IF('DATA DE LAS 12'!BB58=0," ",'DATA DE LAS 12'!BB58)</f>
        <v xml:space="preserve"> </v>
      </c>
      <c r="P58" s="420"/>
      <c r="Q58" s="420"/>
      <c r="R58" s="420"/>
      <c r="S58" s="420"/>
      <c r="T58" s="420"/>
      <c r="U58" s="420"/>
      <c r="V58" s="420"/>
      <c r="W58" s="420"/>
      <c r="X58" s="424" t="str">
        <f>IF('DATA DE LAS 12'!BD58=0," ",'DATA DE LAS 12'!BD58)</f>
        <v xml:space="preserve"> </v>
      </c>
      <c r="Y58" s="424" t="str">
        <f>IF('DATA DE LAS 12'!BE58=0," ",'DATA DE LAS 12'!BE58)</f>
        <v xml:space="preserve"> </v>
      </c>
      <c r="Z58" s="424" t="str">
        <f>IF('DATA DE LAS 12'!BF58=0," ",'DATA DE LAS 12'!BF58)</f>
        <v xml:space="preserve"> </v>
      </c>
      <c r="AA58" s="424" t="str">
        <f>IF('DATA DE LAS 12'!BG58=0," ",'DATA DE LAS 12'!BG58)</f>
        <v xml:space="preserve"> </v>
      </c>
      <c r="AB58" s="424" t="str">
        <f>IF('DATA DE LAS 12'!BY58=0," ",'DATA DE LAS 12'!BY58)</f>
        <v xml:space="preserve"> </v>
      </c>
      <c r="AC58" s="424">
        <v>13</v>
      </c>
      <c r="AD58" s="424">
        <v>25</v>
      </c>
      <c r="AE58" s="424">
        <v>550</v>
      </c>
      <c r="AF58" s="424">
        <v>427</v>
      </c>
      <c r="AG58" s="424" t="str">
        <f>IF('DATA DE LAS 12'!W58=0," ",'DATA DE LAS 12'!W58)</f>
        <v xml:space="preserve"> </v>
      </c>
    </row>
    <row r="59" spans="1:84">
      <c r="A59" s="648">
        <f t="shared" si="1"/>
        <v>45249</v>
      </c>
      <c r="B59" s="429">
        <f>IF('DATA DE LAS 12'!C59=0," ",'DATA DE LAS 12'!C59)</f>
        <v>0.95138888888888895</v>
      </c>
      <c r="C59" s="418" t="str">
        <f>IF('DATA DE LAS 12'!E59=0," ",'DATA DE LAS 12'!E59)</f>
        <v xml:space="preserve"> </v>
      </c>
      <c r="D59" s="418" t="e">
        <f>IF('DATA DE LAS 12'!#REF!=0," ",'DATA DE LAS 12'!#REF!)</f>
        <v>#REF!</v>
      </c>
      <c r="E59" s="418" t="str">
        <f>IF('DATA DE LAS 12'!AM59=0," ",'DATA DE LAS 12'!AM59)</f>
        <v xml:space="preserve"> </v>
      </c>
      <c r="F59" s="418" t="str">
        <f>IF('DATA DE LAS 12'!AL59=0," ",'DATA DE LAS 12'!AL59)</f>
        <v xml:space="preserve"> </v>
      </c>
      <c r="G59" s="418" t="str">
        <f>IF('DATA DE LAS 12'!AQ59=0," ",'DATA DE LAS 12'!AQ59)</f>
        <v xml:space="preserve"> </v>
      </c>
      <c r="H59" s="418" t="str">
        <f>IF('DATA DE LAS 12'!Z59=0," ",'DATA DE LAS 12'!Z59)</f>
        <v xml:space="preserve"> </v>
      </c>
      <c r="I59" s="418" t="str">
        <f>IF('DATA DE LAS 12'!AN59=0," ",'DATA DE LAS 12'!AN59)</f>
        <v xml:space="preserve"> </v>
      </c>
      <c r="J59" s="418" t="str">
        <f>IF('DATA DE LAS 12'!F59=0," ",'DATA DE LAS 12'!F59)</f>
        <v xml:space="preserve"> </v>
      </c>
      <c r="K59" s="418" t="str">
        <f>IF('DATA DE LAS 12'!G59=0," ",'DATA DE LAS 12'!G59)</f>
        <v xml:space="preserve"> </v>
      </c>
      <c r="L59" s="418" t="str">
        <f>IF('DATA DE LAS 12'!H59=0," ",'DATA DE LAS 12'!H59)</f>
        <v xml:space="preserve"> </v>
      </c>
      <c r="M59" s="418" t="str">
        <f>IF('DATA DE LAS 12'!V59=0," ",'DATA DE LAS 12'!V59)</f>
        <v xml:space="preserve"> </v>
      </c>
      <c r="N59" s="418" t="str">
        <f>IF('DATA DE LAS 12'!X59=0," ",'DATA DE LAS 12'!X59)</f>
        <v xml:space="preserve"> </v>
      </c>
      <c r="O59" s="418" t="str">
        <f>IF('DATA DE LAS 12'!BB59=0," ",'DATA DE LAS 12'!BB59)</f>
        <v xml:space="preserve"> </v>
      </c>
      <c r="P59" s="420"/>
      <c r="Q59" s="420"/>
      <c r="R59" s="420"/>
      <c r="S59" s="420"/>
      <c r="T59" s="420"/>
      <c r="U59" s="420"/>
      <c r="V59" s="420"/>
      <c r="W59" s="420"/>
      <c r="X59" s="424" t="str">
        <f>IF('DATA DE LAS 12'!BD59=0," ",'DATA DE LAS 12'!BD59)</f>
        <v xml:space="preserve"> </v>
      </c>
      <c r="Y59" s="424" t="str">
        <f>IF('DATA DE LAS 12'!BE59=0," ",'DATA DE LAS 12'!BE59)</f>
        <v xml:space="preserve"> </v>
      </c>
      <c r="Z59" s="424" t="str">
        <f>IF('DATA DE LAS 12'!BF59=0," ",'DATA DE LAS 12'!BF59)</f>
        <v xml:space="preserve"> </v>
      </c>
      <c r="AA59" s="424" t="str">
        <f>IF('DATA DE LAS 12'!BG59=0," ",'DATA DE LAS 12'!BG59)</f>
        <v xml:space="preserve"> </v>
      </c>
      <c r="AB59" s="424" t="str">
        <f>IF('DATA DE LAS 12'!BY59=0," ",'DATA DE LAS 12'!BY59)</f>
        <v xml:space="preserve"> </v>
      </c>
      <c r="AC59" s="424">
        <v>13</v>
      </c>
      <c r="AD59" s="424">
        <v>25</v>
      </c>
      <c r="AE59" s="424">
        <v>550</v>
      </c>
      <c r="AF59" s="424">
        <v>427</v>
      </c>
      <c r="AG59" s="424" t="str">
        <f>IF('DATA DE LAS 12'!W59=0," ",'DATA DE LAS 12'!W59)</f>
        <v xml:space="preserve"> </v>
      </c>
    </row>
    <row r="60" spans="1:84">
      <c r="A60" s="648">
        <f t="shared" si="1"/>
        <v>45250</v>
      </c>
      <c r="B60" s="429">
        <f>IF('DATA DE LAS 12'!C60=0," ",'DATA DE LAS 12'!C60)</f>
        <v>0.86805555555555547</v>
      </c>
      <c r="C60" s="418" t="str">
        <f>IF('DATA DE LAS 12'!E60=0," ",'DATA DE LAS 12'!E60)</f>
        <v xml:space="preserve"> </v>
      </c>
      <c r="D60" s="418" t="e">
        <f>IF('DATA DE LAS 12'!#REF!=0," ",'DATA DE LAS 12'!#REF!)</f>
        <v>#REF!</v>
      </c>
      <c r="E60" s="418" t="str">
        <f>IF('DATA DE LAS 12'!AM60=0," ",'DATA DE LAS 12'!AM60)</f>
        <v xml:space="preserve"> </v>
      </c>
      <c r="F60" s="418" t="str">
        <f>IF('DATA DE LAS 12'!AL60=0," ",'DATA DE LAS 12'!AL60)</f>
        <v xml:space="preserve"> </v>
      </c>
      <c r="G60" s="418" t="str">
        <f>IF('DATA DE LAS 12'!AQ60=0," ",'DATA DE LAS 12'!AQ60)</f>
        <v xml:space="preserve"> </v>
      </c>
      <c r="H60" s="418" t="str">
        <f>IF('DATA DE LAS 12'!Z60=0," ",'DATA DE LAS 12'!Z60)</f>
        <v xml:space="preserve"> </v>
      </c>
      <c r="I60" s="418" t="str">
        <f>IF('DATA DE LAS 12'!AN60=0," ",'DATA DE LAS 12'!AN60)</f>
        <v xml:space="preserve"> </v>
      </c>
      <c r="J60" s="418" t="str">
        <f>IF('DATA DE LAS 12'!F60=0," ",'DATA DE LAS 12'!F60)</f>
        <v xml:space="preserve"> </v>
      </c>
      <c r="K60" s="418" t="str">
        <f>IF('DATA DE LAS 12'!G60=0," ",'DATA DE LAS 12'!G60)</f>
        <v xml:space="preserve"> </v>
      </c>
      <c r="L60" s="418" t="str">
        <f>IF('DATA DE LAS 12'!H60=0," ",'DATA DE LAS 12'!H60)</f>
        <v xml:space="preserve"> </v>
      </c>
      <c r="M60" s="418" t="str">
        <f>IF('DATA DE LAS 12'!V60=0," ",'DATA DE LAS 12'!V60)</f>
        <v xml:space="preserve"> </v>
      </c>
      <c r="N60" s="418" t="str">
        <f>IF('DATA DE LAS 12'!X60=0," ",'DATA DE LAS 12'!X60)</f>
        <v xml:space="preserve"> </v>
      </c>
      <c r="O60" s="418" t="str">
        <f>IF('DATA DE LAS 12'!BB60=0," ",'DATA DE LAS 12'!BB60)</f>
        <v xml:space="preserve"> </v>
      </c>
      <c r="P60" s="420"/>
      <c r="Q60" s="420"/>
      <c r="R60" s="420"/>
      <c r="S60" s="420"/>
      <c r="T60" s="420"/>
      <c r="U60" s="420"/>
      <c r="V60" s="420"/>
      <c r="W60" s="420"/>
      <c r="X60" s="424" t="str">
        <f>IF('DATA DE LAS 12'!BD60=0," ",'DATA DE LAS 12'!BD60)</f>
        <v xml:space="preserve"> </v>
      </c>
      <c r="Y60" s="424" t="str">
        <f>IF('DATA DE LAS 12'!BE60=0," ",'DATA DE LAS 12'!BE60)</f>
        <v xml:space="preserve"> </v>
      </c>
      <c r="Z60" s="424" t="str">
        <f>IF('DATA DE LAS 12'!BF60=0," ",'DATA DE LAS 12'!BF60)</f>
        <v xml:space="preserve"> </v>
      </c>
      <c r="AA60" s="424" t="str">
        <f>IF('DATA DE LAS 12'!BG60=0," ",'DATA DE LAS 12'!BG60)</f>
        <v xml:space="preserve"> </v>
      </c>
      <c r="AB60" s="424" t="str">
        <f>IF('DATA DE LAS 12'!BY60=0," ",'DATA DE LAS 12'!BY60)</f>
        <v xml:space="preserve"> </v>
      </c>
      <c r="AC60" s="424">
        <v>13</v>
      </c>
      <c r="AD60" s="424">
        <v>25</v>
      </c>
      <c r="AE60" s="424">
        <v>550</v>
      </c>
      <c r="AF60" s="424">
        <v>427</v>
      </c>
      <c r="AG60" s="424" t="str">
        <f>IF('DATA DE LAS 12'!W60=0," ",'DATA DE LAS 12'!W60)</f>
        <v xml:space="preserve"> </v>
      </c>
    </row>
    <row r="61" spans="1:84">
      <c r="A61" s="648">
        <f t="shared" si="1"/>
        <v>45251</v>
      </c>
      <c r="B61" s="429">
        <f>IF('DATA DE LAS 12'!C61=0," ",'DATA DE LAS 12'!C61)</f>
        <v>0.94027777777777777</v>
      </c>
      <c r="C61" s="418" t="str">
        <f>IF('DATA DE LAS 12'!E61=0," ",'DATA DE LAS 12'!E61)</f>
        <v xml:space="preserve"> </v>
      </c>
      <c r="D61" s="418" t="e">
        <f>IF('DATA DE LAS 12'!#REF!=0," ",'DATA DE LAS 12'!#REF!)</f>
        <v>#REF!</v>
      </c>
      <c r="E61" s="418" t="str">
        <f>IF('DATA DE LAS 12'!AM61=0," ",'DATA DE LAS 12'!AM61)</f>
        <v xml:space="preserve"> </v>
      </c>
      <c r="F61" s="418" t="str">
        <f>IF('DATA DE LAS 12'!AL61=0," ",'DATA DE LAS 12'!AL61)</f>
        <v xml:space="preserve"> </v>
      </c>
      <c r="G61" s="418" t="str">
        <f>IF('DATA DE LAS 12'!AQ61=0," ",'DATA DE LAS 12'!AQ61)</f>
        <v xml:space="preserve"> </v>
      </c>
      <c r="H61" s="418" t="str">
        <f>IF('DATA DE LAS 12'!Z61=0," ",'DATA DE LAS 12'!Z61)</f>
        <v xml:space="preserve"> </v>
      </c>
      <c r="I61" s="418" t="str">
        <f>IF('DATA DE LAS 12'!AN61=0," ",'DATA DE LAS 12'!AN61)</f>
        <v xml:space="preserve"> </v>
      </c>
      <c r="J61" s="418" t="str">
        <f>IF('DATA DE LAS 12'!F61=0," ",'DATA DE LAS 12'!F61)</f>
        <v xml:space="preserve"> </v>
      </c>
      <c r="K61" s="418" t="str">
        <f>IF('DATA DE LAS 12'!G61=0," ",'DATA DE LAS 12'!G61)</f>
        <v xml:space="preserve"> </v>
      </c>
      <c r="L61" s="418" t="str">
        <f>IF('DATA DE LAS 12'!H61=0," ",'DATA DE LAS 12'!H61)</f>
        <v xml:space="preserve"> </v>
      </c>
      <c r="M61" s="418" t="str">
        <f>IF('DATA DE LAS 12'!V61=0," ",'DATA DE LAS 12'!V61)</f>
        <v xml:space="preserve"> </v>
      </c>
      <c r="N61" s="418" t="str">
        <f>IF('DATA DE LAS 12'!X61=0," ",'DATA DE LAS 12'!X61)</f>
        <v xml:space="preserve"> </v>
      </c>
      <c r="O61" s="418" t="str">
        <f>IF('DATA DE LAS 12'!BB61=0," ",'DATA DE LAS 12'!BB61)</f>
        <v xml:space="preserve"> </v>
      </c>
      <c r="P61" s="420"/>
      <c r="Q61" s="420"/>
      <c r="R61" s="420"/>
      <c r="S61" s="420"/>
      <c r="T61" s="420"/>
      <c r="U61" s="420"/>
      <c r="V61" s="420"/>
      <c r="W61" s="420"/>
      <c r="X61" s="424" t="str">
        <f>IF('DATA DE LAS 12'!BD61=0," ",'DATA DE LAS 12'!BD61)</f>
        <v xml:space="preserve"> </v>
      </c>
      <c r="Y61" s="424" t="str">
        <f>IF('DATA DE LAS 12'!BE61=0," ",'DATA DE LAS 12'!BE61)</f>
        <v xml:space="preserve"> </v>
      </c>
      <c r="Z61" s="424" t="str">
        <f>IF('DATA DE LAS 12'!BF61=0," ",'DATA DE LAS 12'!BF61)</f>
        <v xml:space="preserve"> </v>
      </c>
      <c r="AA61" s="424" t="str">
        <f>IF('DATA DE LAS 12'!BG61=0," ",'DATA DE LAS 12'!BG61)</f>
        <v xml:space="preserve"> </v>
      </c>
      <c r="AB61" s="424" t="str">
        <f>IF('DATA DE LAS 12'!BY61=0," ",'DATA DE LAS 12'!BY61)</f>
        <v xml:space="preserve"> </v>
      </c>
      <c r="AC61" s="424">
        <v>13</v>
      </c>
      <c r="AD61" s="424">
        <v>25</v>
      </c>
      <c r="AE61" s="424">
        <v>550</v>
      </c>
      <c r="AF61" s="424">
        <v>427</v>
      </c>
      <c r="AG61" s="424" t="str">
        <f>IF('DATA DE LAS 12'!W61=0," ",'DATA DE LAS 12'!W61)</f>
        <v xml:space="preserve"> </v>
      </c>
    </row>
    <row r="62" spans="1:84">
      <c r="A62" s="648">
        <f t="shared" si="1"/>
        <v>45252</v>
      </c>
      <c r="B62" s="429">
        <f>IF('DATA DE LAS 12'!C62=0," ",'DATA DE LAS 12'!C62)</f>
        <v>0.8666666666666667</v>
      </c>
      <c r="C62" s="418" t="str">
        <f>IF('DATA DE LAS 12'!E62=0," ",'DATA DE LAS 12'!E62)</f>
        <v xml:space="preserve"> </v>
      </c>
      <c r="D62" s="418" t="e">
        <f>IF('DATA DE LAS 12'!#REF!=0," ",'DATA DE LAS 12'!#REF!)</f>
        <v>#REF!</v>
      </c>
      <c r="E62" s="418" t="str">
        <f>IF('DATA DE LAS 12'!AM62=0," ",'DATA DE LAS 12'!AM62)</f>
        <v xml:space="preserve"> </v>
      </c>
      <c r="F62" s="418" t="str">
        <f>IF('DATA DE LAS 12'!AL62=0," ",'DATA DE LAS 12'!AL62)</f>
        <v xml:space="preserve"> </v>
      </c>
      <c r="G62" s="418" t="str">
        <f>IF('DATA DE LAS 12'!AQ62=0," ",'DATA DE LAS 12'!AQ62)</f>
        <v xml:space="preserve"> </v>
      </c>
      <c r="H62" s="418" t="str">
        <f>IF('DATA DE LAS 12'!Z62=0," ",'DATA DE LAS 12'!Z62)</f>
        <v xml:space="preserve"> </v>
      </c>
      <c r="I62" s="418" t="str">
        <f>IF('DATA DE LAS 12'!AN62=0," ",'DATA DE LAS 12'!AN62)</f>
        <v xml:space="preserve"> </v>
      </c>
      <c r="J62" s="418" t="str">
        <f>IF('DATA DE LAS 12'!F62=0," ",'DATA DE LAS 12'!F62)</f>
        <v xml:space="preserve"> </v>
      </c>
      <c r="K62" s="418" t="str">
        <f>IF('DATA DE LAS 12'!G62=0," ",'DATA DE LAS 12'!G62)</f>
        <v xml:space="preserve"> </v>
      </c>
      <c r="L62" s="418" t="str">
        <f>IF('DATA DE LAS 12'!H62=0," ",'DATA DE LAS 12'!H62)</f>
        <v xml:space="preserve"> </v>
      </c>
      <c r="M62" s="418" t="str">
        <f>IF('DATA DE LAS 12'!V62=0," ",'DATA DE LAS 12'!V62)</f>
        <v xml:space="preserve"> </v>
      </c>
      <c r="N62" s="418" t="str">
        <f>IF('DATA DE LAS 12'!X62=0," ",'DATA DE LAS 12'!X62)</f>
        <v xml:space="preserve"> </v>
      </c>
      <c r="O62" s="418" t="str">
        <f>IF('DATA DE LAS 12'!BB62=0," ",'DATA DE LAS 12'!BB62)</f>
        <v xml:space="preserve"> </v>
      </c>
      <c r="P62" s="420"/>
      <c r="Q62" s="420"/>
      <c r="R62" s="420"/>
      <c r="S62" s="420"/>
      <c r="T62" s="420"/>
      <c r="U62" s="420"/>
      <c r="V62" s="420"/>
      <c r="W62" s="420"/>
      <c r="X62" s="424" t="str">
        <f>IF('DATA DE LAS 12'!BD62=0," ",'DATA DE LAS 12'!BD62)</f>
        <v xml:space="preserve"> </v>
      </c>
      <c r="Y62" s="424" t="str">
        <f>IF('DATA DE LAS 12'!BE62=0," ",'DATA DE LAS 12'!BE62)</f>
        <v xml:space="preserve"> </v>
      </c>
      <c r="Z62" s="424" t="str">
        <f>IF('DATA DE LAS 12'!BF62=0," ",'DATA DE LAS 12'!BF62)</f>
        <v xml:space="preserve"> </v>
      </c>
      <c r="AA62" s="424" t="str">
        <f>IF('DATA DE LAS 12'!BG62=0," ",'DATA DE LAS 12'!BG62)</f>
        <v xml:space="preserve"> </v>
      </c>
      <c r="AB62" s="424" t="str">
        <f>IF('DATA DE LAS 12'!BY62=0," ",'DATA DE LAS 12'!BY62)</f>
        <v xml:space="preserve"> </v>
      </c>
      <c r="AC62" s="424">
        <v>13</v>
      </c>
      <c r="AD62" s="424">
        <v>25</v>
      </c>
      <c r="AE62" s="424">
        <v>550</v>
      </c>
      <c r="AF62" s="424">
        <v>427</v>
      </c>
      <c r="AG62" s="424" t="str">
        <f>IF('DATA DE LAS 12'!W62=0," ",'DATA DE LAS 12'!W62)</f>
        <v xml:space="preserve"> </v>
      </c>
    </row>
    <row r="63" spans="1:84">
      <c r="A63" s="648">
        <f t="shared" si="1"/>
        <v>45253</v>
      </c>
      <c r="B63" s="429">
        <f>IF('DATA DE LAS 12'!C63=0," ",'DATA DE LAS 12'!C63)</f>
        <v>0.99861111111111101</v>
      </c>
      <c r="C63" s="418" t="str">
        <f>IF('DATA DE LAS 12'!E63=0," ",'DATA DE LAS 12'!E63)</f>
        <v xml:space="preserve"> </v>
      </c>
      <c r="D63" s="418" t="e">
        <f>IF('DATA DE LAS 12'!#REF!=0," ",'DATA DE LAS 12'!#REF!)</f>
        <v>#REF!</v>
      </c>
      <c r="E63" s="418" t="str">
        <f>IF('DATA DE LAS 12'!AM63=0," ",'DATA DE LAS 12'!AM63)</f>
        <v xml:space="preserve"> </v>
      </c>
      <c r="F63" s="418" t="str">
        <f>IF('DATA DE LAS 12'!AL63=0," ",'DATA DE LAS 12'!AL63)</f>
        <v xml:space="preserve"> </v>
      </c>
      <c r="G63" s="418" t="str">
        <f>IF('DATA DE LAS 12'!AQ63=0," ",'DATA DE LAS 12'!AQ63)</f>
        <v xml:space="preserve"> </v>
      </c>
      <c r="H63" s="418" t="str">
        <f>IF('DATA DE LAS 12'!Z63=0," ",'DATA DE LAS 12'!Z63)</f>
        <v xml:space="preserve"> </v>
      </c>
      <c r="I63" s="418" t="str">
        <f>IF('DATA DE LAS 12'!AN63=0," ",'DATA DE LAS 12'!AN63)</f>
        <v xml:space="preserve"> </v>
      </c>
      <c r="J63" s="418" t="str">
        <f>IF('DATA DE LAS 12'!F63=0," ",'DATA DE LAS 12'!F63)</f>
        <v xml:space="preserve"> </v>
      </c>
      <c r="K63" s="418" t="str">
        <f>IF('DATA DE LAS 12'!G63=0," ",'DATA DE LAS 12'!G63)</f>
        <v xml:space="preserve"> </v>
      </c>
      <c r="L63" s="418" t="str">
        <f>IF('DATA DE LAS 12'!H63=0," ",'DATA DE LAS 12'!H63)</f>
        <v xml:space="preserve"> </v>
      </c>
      <c r="M63" s="418" t="str">
        <f>IF('DATA DE LAS 12'!V63=0," ",'DATA DE LAS 12'!V63)</f>
        <v xml:space="preserve"> </v>
      </c>
      <c r="N63" s="418" t="str">
        <f>IF('DATA DE LAS 12'!X63=0," ",'DATA DE LAS 12'!X63)</f>
        <v xml:space="preserve"> </v>
      </c>
      <c r="O63" s="418" t="str">
        <f>IF('DATA DE LAS 12'!BB63=0," ",'DATA DE LAS 12'!BB63)</f>
        <v xml:space="preserve"> </v>
      </c>
      <c r="P63" s="420"/>
      <c r="Q63" s="420"/>
      <c r="R63" s="420"/>
      <c r="S63" s="420"/>
      <c r="T63" s="420"/>
      <c r="U63" s="420"/>
      <c r="V63" s="420"/>
      <c r="W63" s="420"/>
      <c r="X63" s="424" t="str">
        <f>IF('DATA DE LAS 12'!BD63=0," ",'DATA DE LAS 12'!BD63)</f>
        <v xml:space="preserve"> </v>
      </c>
      <c r="Y63" s="424" t="str">
        <f>IF('DATA DE LAS 12'!BE63=0," ",'DATA DE LAS 12'!BE63)</f>
        <v xml:space="preserve"> </v>
      </c>
      <c r="Z63" s="424" t="str">
        <f>IF('DATA DE LAS 12'!BF63=0," ",'DATA DE LAS 12'!BF63)</f>
        <v xml:space="preserve"> </v>
      </c>
      <c r="AA63" s="424" t="str">
        <f>IF('DATA DE LAS 12'!BG63=0," ",'DATA DE LAS 12'!BG63)</f>
        <v xml:space="preserve"> </v>
      </c>
      <c r="AB63" s="424" t="str">
        <f>IF('DATA DE LAS 12'!BY63=0," ",'DATA DE LAS 12'!BY63)</f>
        <v xml:space="preserve"> </v>
      </c>
      <c r="AC63" s="424">
        <v>13</v>
      </c>
      <c r="AD63" s="424">
        <v>25</v>
      </c>
      <c r="AE63" s="424">
        <v>550</v>
      </c>
      <c r="AF63" s="424">
        <v>427</v>
      </c>
      <c r="AG63" s="424" t="str">
        <f>IF('DATA DE LAS 12'!W63=0," ",'DATA DE LAS 12'!W63)</f>
        <v xml:space="preserve"> </v>
      </c>
    </row>
    <row r="64" spans="1:84">
      <c r="A64" s="648">
        <f t="shared" si="1"/>
        <v>45254</v>
      </c>
      <c r="B64" s="429">
        <f>IF('DATA DE LAS 12'!C64=0," ",'DATA DE LAS 12'!C64)</f>
        <v>0.95208333333333339</v>
      </c>
      <c r="C64" s="418" t="str">
        <f>IF('DATA DE LAS 12'!E64=0," ",'DATA DE LAS 12'!E64)</f>
        <v xml:space="preserve"> </v>
      </c>
      <c r="D64" s="418" t="e">
        <f>IF('DATA DE LAS 12'!#REF!=0," ",'DATA DE LAS 12'!#REF!)</f>
        <v>#REF!</v>
      </c>
      <c r="E64" s="418" t="str">
        <f>IF('DATA DE LAS 12'!AM64=0," ",'DATA DE LAS 12'!AM64)</f>
        <v xml:space="preserve"> </v>
      </c>
      <c r="F64" s="418" t="str">
        <f>IF('DATA DE LAS 12'!AL64=0," ",'DATA DE LAS 12'!AL64)</f>
        <v xml:space="preserve"> </v>
      </c>
      <c r="G64" s="418" t="str">
        <f>IF('DATA DE LAS 12'!AQ64=0," ",'DATA DE LAS 12'!AQ64)</f>
        <v xml:space="preserve"> </v>
      </c>
      <c r="H64" s="418" t="str">
        <f>IF('DATA DE LAS 12'!Z64=0," ",'DATA DE LAS 12'!Z64)</f>
        <v xml:space="preserve"> </v>
      </c>
      <c r="I64" s="418" t="str">
        <f>IF('DATA DE LAS 12'!AN64=0," ",'DATA DE LAS 12'!AN64)</f>
        <v xml:space="preserve"> </v>
      </c>
      <c r="J64" s="418" t="str">
        <f>IF('DATA DE LAS 12'!F64=0," ",'DATA DE LAS 12'!F64)</f>
        <v xml:space="preserve"> </v>
      </c>
      <c r="K64" s="418" t="str">
        <f>IF('DATA DE LAS 12'!G64=0," ",'DATA DE LAS 12'!G64)</f>
        <v xml:space="preserve"> </v>
      </c>
      <c r="L64" s="418" t="str">
        <f>IF('DATA DE LAS 12'!H64=0," ",'DATA DE LAS 12'!H64)</f>
        <v xml:space="preserve"> </v>
      </c>
      <c r="M64" s="418" t="str">
        <f>IF('DATA DE LAS 12'!V64=0," ",'DATA DE LAS 12'!V64)</f>
        <v xml:space="preserve"> </v>
      </c>
      <c r="N64" s="418" t="str">
        <f>IF('DATA DE LAS 12'!X64=0," ",'DATA DE LAS 12'!X64)</f>
        <v xml:space="preserve"> </v>
      </c>
      <c r="O64" s="418" t="str">
        <f>IF('DATA DE LAS 12'!BB64=0," ",'DATA DE LAS 12'!BB64)</f>
        <v xml:space="preserve"> </v>
      </c>
      <c r="P64" s="420"/>
      <c r="Q64" s="420"/>
      <c r="R64" s="420"/>
      <c r="S64" s="420"/>
      <c r="T64" s="420"/>
      <c r="U64" s="420"/>
      <c r="V64" s="420"/>
      <c r="W64" s="420"/>
      <c r="X64" s="424" t="str">
        <f>IF('DATA DE LAS 12'!BD64=0," ",'DATA DE LAS 12'!BD64)</f>
        <v xml:space="preserve"> </v>
      </c>
      <c r="Y64" s="424" t="str">
        <f>IF('DATA DE LAS 12'!BE64=0," ",'DATA DE LAS 12'!BE64)</f>
        <v xml:space="preserve"> </v>
      </c>
      <c r="Z64" s="424" t="str">
        <f>IF('DATA DE LAS 12'!BF64=0," ",'DATA DE LAS 12'!BF64)</f>
        <v xml:space="preserve"> </v>
      </c>
      <c r="AA64" s="424" t="str">
        <f>IF('DATA DE LAS 12'!BG64=0," ",'DATA DE LAS 12'!BG64)</f>
        <v xml:space="preserve"> </v>
      </c>
      <c r="AB64" s="424" t="str">
        <f>IF('DATA DE LAS 12'!BY64=0," ",'DATA DE LAS 12'!BY64)</f>
        <v xml:space="preserve"> </v>
      </c>
      <c r="AC64" s="424">
        <v>13</v>
      </c>
      <c r="AD64" s="424">
        <v>25</v>
      </c>
      <c r="AE64" s="424">
        <v>550</v>
      </c>
      <c r="AF64" s="424">
        <v>427</v>
      </c>
      <c r="AG64" s="424" t="str">
        <f>IF('DATA DE LAS 12'!W64=0," ",'DATA DE LAS 12'!W64)</f>
        <v xml:space="preserve"> </v>
      </c>
    </row>
    <row r="65" spans="1:33">
      <c r="A65" s="648">
        <f t="shared" si="1"/>
        <v>45255</v>
      </c>
      <c r="B65" s="429">
        <f>IF('DATA DE LAS 12'!C65=0," ",'DATA DE LAS 12'!C65)</f>
        <v>0.89236111111111116</v>
      </c>
      <c r="C65" s="418" t="str">
        <f>IF('DATA DE LAS 12'!E65=0," ",'DATA DE LAS 12'!E65)</f>
        <v xml:space="preserve"> </v>
      </c>
      <c r="D65" s="418" t="e">
        <f>IF('DATA DE LAS 12'!#REF!=0," ",'DATA DE LAS 12'!#REF!)</f>
        <v>#REF!</v>
      </c>
      <c r="E65" s="418" t="str">
        <f>IF('DATA DE LAS 12'!AM65=0," ",'DATA DE LAS 12'!AM65)</f>
        <v xml:space="preserve"> </v>
      </c>
      <c r="F65" s="418" t="str">
        <f>IF('DATA DE LAS 12'!AL65=0," ",'DATA DE LAS 12'!AL65)</f>
        <v xml:space="preserve"> </v>
      </c>
      <c r="G65" s="418" t="str">
        <f>IF('DATA DE LAS 12'!AQ65=0," ",'DATA DE LAS 12'!AQ65)</f>
        <v xml:space="preserve"> </v>
      </c>
      <c r="H65" s="418" t="str">
        <f>IF('DATA DE LAS 12'!Z65=0," ",'DATA DE LAS 12'!Z65)</f>
        <v xml:space="preserve"> </v>
      </c>
      <c r="I65" s="418" t="str">
        <f>IF('DATA DE LAS 12'!AN65=0," ",'DATA DE LAS 12'!AN65)</f>
        <v xml:space="preserve"> </v>
      </c>
      <c r="J65" s="418" t="str">
        <f>IF('DATA DE LAS 12'!F65=0," ",'DATA DE LAS 12'!F65)</f>
        <v xml:space="preserve"> </v>
      </c>
      <c r="K65" s="418" t="str">
        <f>IF('DATA DE LAS 12'!G65=0," ",'DATA DE LAS 12'!G65)</f>
        <v xml:space="preserve"> </v>
      </c>
      <c r="L65" s="418" t="str">
        <f>IF('DATA DE LAS 12'!H65=0," ",'DATA DE LAS 12'!H65)</f>
        <v xml:space="preserve"> </v>
      </c>
      <c r="M65" s="418" t="str">
        <f>IF('DATA DE LAS 12'!V65=0," ",'DATA DE LAS 12'!V65)</f>
        <v xml:space="preserve"> </v>
      </c>
      <c r="N65" s="418" t="str">
        <f>IF('DATA DE LAS 12'!X65=0," ",'DATA DE LAS 12'!X65)</f>
        <v xml:space="preserve"> </v>
      </c>
      <c r="O65" s="418" t="str">
        <f>IF('DATA DE LAS 12'!BB65=0," ",'DATA DE LAS 12'!BB65)</f>
        <v xml:space="preserve"> </v>
      </c>
      <c r="P65" s="420"/>
      <c r="Q65" s="420"/>
      <c r="R65" s="420"/>
      <c r="S65" s="420"/>
      <c r="T65" s="420"/>
      <c r="U65" s="420"/>
      <c r="V65" s="420"/>
      <c r="W65" s="420"/>
      <c r="X65" s="424" t="str">
        <f>IF('DATA DE LAS 12'!BD65=0," ",'DATA DE LAS 12'!BD65)</f>
        <v xml:space="preserve"> </v>
      </c>
      <c r="Y65" s="424" t="str">
        <f>IF('DATA DE LAS 12'!BE65=0," ",'DATA DE LAS 12'!BE65)</f>
        <v xml:space="preserve"> </v>
      </c>
      <c r="Z65" s="424" t="str">
        <f>IF('DATA DE LAS 12'!BF65=0," ",'DATA DE LAS 12'!BF65)</f>
        <v xml:space="preserve"> </v>
      </c>
      <c r="AA65" s="424" t="str">
        <f>IF('DATA DE LAS 12'!BG65=0," ",'DATA DE LAS 12'!BG65)</f>
        <v xml:space="preserve"> </v>
      </c>
      <c r="AB65" s="424" t="str">
        <f>IF('DATA DE LAS 12'!BY65=0," ",'DATA DE LAS 12'!BY65)</f>
        <v xml:space="preserve"> </v>
      </c>
      <c r="AC65" s="424">
        <v>13</v>
      </c>
      <c r="AD65" s="424">
        <v>25</v>
      </c>
      <c r="AE65" s="424">
        <v>550</v>
      </c>
      <c r="AF65" s="424">
        <v>427</v>
      </c>
      <c r="AG65" s="424" t="str">
        <f>IF('DATA DE LAS 12'!W65=0," ",'DATA DE LAS 12'!W65)</f>
        <v xml:space="preserve"> </v>
      </c>
    </row>
    <row r="66" spans="1:33">
      <c r="A66" s="648">
        <f t="shared" si="1"/>
        <v>45256</v>
      </c>
      <c r="B66" s="429">
        <f>IF('DATA DE LAS 12'!C66=0," ",'DATA DE LAS 12'!C66)</f>
        <v>0.90069444444444446</v>
      </c>
      <c r="C66" s="418" t="str">
        <f>IF('DATA DE LAS 12'!E66=0," ",'DATA DE LAS 12'!E66)</f>
        <v xml:space="preserve"> </v>
      </c>
      <c r="D66" s="418" t="e">
        <f>IF('DATA DE LAS 12'!#REF!=0," ",'DATA DE LAS 12'!#REF!)</f>
        <v>#REF!</v>
      </c>
      <c r="E66" s="418" t="str">
        <f>IF('DATA DE LAS 12'!AM66=0," ",'DATA DE LAS 12'!AM66)</f>
        <v xml:space="preserve"> </v>
      </c>
      <c r="F66" s="418" t="str">
        <f>IF('DATA DE LAS 12'!AL66=0," ",'DATA DE LAS 12'!AL66)</f>
        <v xml:space="preserve"> </v>
      </c>
      <c r="G66" s="418" t="str">
        <f>IF('DATA DE LAS 12'!AQ66=0," ",'DATA DE LAS 12'!AQ66)</f>
        <v xml:space="preserve"> </v>
      </c>
      <c r="H66" s="418" t="str">
        <f>IF('DATA DE LAS 12'!Z66=0," ",'DATA DE LAS 12'!Z66)</f>
        <v xml:space="preserve"> </v>
      </c>
      <c r="I66" s="418" t="str">
        <f>IF('DATA DE LAS 12'!AN66=0," ",'DATA DE LAS 12'!AN66)</f>
        <v xml:space="preserve"> </v>
      </c>
      <c r="J66" s="418" t="str">
        <f>IF('DATA DE LAS 12'!F66=0," ",'DATA DE LAS 12'!F66)</f>
        <v xml:space="preserve"> </v>
      </c>
      <c r="K66" s="418" t="str">
        <f>IF('DATA DE LAS 12'!G66=0," ",'DATA DE LAS 12'!G66)</f>
        <v xml:space="preserve"> </v>
      </c>
      <c r="L66" s="418" t="str">
        <f>IF('DATA DE LAS 12'!H66=0," ",'DATA DE LAS 12'!H66)</f>
        <v xml:space="preserve"> </v>
      </c>
      <c r="M66" s="418" t="str">
        <f>IF('DATA DE LAS 12'!V66=0," ",'DATA DE LAS 12'!V66)</f>
        <v xml:space="preserve"> </v>
      </c>
      <c r="N66" s="418" t="str">
        <f>IF('DATA DE LAS 12'!X66=0," ",'DATA DE LAS 12'!X66)</f>
        <v xml:space="preserve"> </v>
      </c>
      <c r="O66" s="418" t="str">
        <f>IF('DATA DE LAS 12'!BB66=0," ",'DATA DE LAS 12'!BB66)</f>
        <v xml:space="preserve"> </v>
      </c>
      <c r="P66" s="420"/>
      <c r="Q66" s="420"/>
      <c r="R66" s="420"/>
      <c r="S66" s="420"/>
      <c r="T66" s="420"/>
      <c r="U66" s="420"/>
      <c r="V66" s="420"/>
      <c r="W66" s="420"/>
      <c r="X66" s="424" t="str">
        <f>IF('DATA DE LAS 12'!BD66=0," ",'DATA DE LAS 12'!BD66)</f>
        <v xml:space="preserve"> </v>
      </c>
      <c r="Y66" s="424" t="str">
        <f>IF('DATA DE LAS 12'!BE66=0," ",'DATA DE LAS 12'!BE66)</f>
        <v xml:space="preserve"> </v>
      </c>
      <c r="Z66" s="424" t="str">
        <f>IF('DATA DE LAS 12'!BF66=0," ",'DATA DE LAS 12'!BF66)</f>
        <v xml:space="preserve"> </v>
      </c>
      <c r="AA66" s="424" t="str">
        <f>IF('DATA DE LAS 12'!BG66=0," ",'DATA DE LAS 12'!BG66)</f>
        <v xml:space="preserve"> </v>
      </c>
      <c r="AB66" s="424" t="str">
        <f>IF('DATA DE LAS 12'!BY66=0," ",'DATA DE LAS 12'!BY66)</f>
        <v xml:space="preserve"> </v>
      </c>
      <c r="AC66" s="424">
        <v>13</v>
      </c>
      <c r="AD66" s="424">
        <v>25</v>
      </c>
      <c r="AE66" s="424">
        <v>550</v>
      </c>
      <c r="AF66" s="424">
        <v>427</v>
      </c>
      <c r="AG66" s="424" t="str">
        <f>IF('DATA DE LAS 12'!W66=0," ",'DATA DE LAS 12'!W66)</f>
        <v xml:space="preserve"> </v>
      </c>
    </row>
    <row r="67" spans="1:33">
      <c r="A67" s="648">
        <f t="shared" si="1"/>
        <v>45257</v>
      </c>
      <c r="B67" s="429">
        <f>IF('DATA DE LAS 12'!C67=0," ",'DATA DE LAS 12'!C67)</f>
        <v>0.99444444444444446</v>
      </c>
      <c r="C67" s="418" t="str">
        <f>IF('DATA DE LAS 12'!E67=0," ",'DATA DE LAS 12'!E67)</f>
        <v xml:space="preserve"> </v>
      </c>
      <c r="D67" s="418" t="e">
        <f>IF('DATA DE LAS 12'!#REF!=0," ",'DATA DE LAS 12'!#REF!)</f>
        <v>#REF!</v>
      </c>
      <c r="E67" s="418" t="str">
        <f>IF('DATA DE LAS 12'!AM67=0," ",'DATA DE LAS 12'!AM67)</f>
        <v xml:space="preserve"> </v>
      </c>
      <c r="F67" s="418" t="str">
        <f>IF('DATA DE LAS 12'!AL67=0," ",'DATA DE LAS 12'!AL67)</f>
        <v xml:space="preserve"> </v>
      </c>
      <c r="G67" s="418" t="str">
        <f>IF('DATA DE LAS 12'!AQ67=0," ",'DATA DE LAS 12'!AQ67)</f>
        <v xml:space="preserve"> </v>
      </c>
      <c r="H67" s="418" t="str">
        <f>IF('DATA DE LAS 12'!Z67=0," ",'DATA DE LAS 12'!Z67)</f>
        <v xml:space="preserve"> </v>
      </c>
      <c r="I67" s="418" t="str">
        <f>IF('DATA DE LAS 12'!AN67=0," ",'DATA DE LAS 12'!AN67)</f>
        <v xml:space="preserve"> </v>
      </c>
      <c r="J67" s="418" t="str">
        <f>IF('DATA DE LAS 12'!F67=0," ",'DATA DE LAS 12'!F67)</f>
        <v xml:space="preserve"> </v>
      </c>
      <c r="K67" s="418" t="str">
        <f>IF('DATA DE LAS 12'!G67=0," ",'DATA DE LAS 12'!G67)</f>
        <v xml:space="preserve"> </v>
      </c>
      <c r="L67" s="418" t="str">
        <f>IF('DATA DE LAS 12'!H67=0," ",'DATA DE LAS 12'!H67)</f>
        <v xml:space="preserve"> </v>
      </c>
      <c r="M67" s="418" t="str">
        <f>IF('DATA DE LAS 12'!V67=0," ",'DATA DE LAS 12'!V67)</f>
        <v xml:space="preserve"> </v>
      </c>
      <c r="N67" s="418" t="str">
        <f>IF('DATA DE LAS 12'!X67=0," ",'DATA DE LAS 12'!X67)</f>
        <v xml:space="preserve"> </v>
      </c>
      <c r="O67" s="418" t="str">
        <f>IF('DATA DE LAS 12'!BB67=0," ",'DATA DE LAS 12'!BB67)</f>
        <v xml:space="preserve"> </v>
      </c>
      <c r="P67" s="420"/>
      <c r="Q67" s="420"/>
      <c r="R67" s="420"/>
      <c r="S67" s="420"/>
      <c r="T67" s="420"/>
      <c r="U67" s="420"/>
      <c r="V67" s="420"/>
      <c r="W67" s="420"/>
      <c r="X67" s="424" t="str">
        <f>IF('DATA DE LAS 12'!BD67=0," ",'DATA DE LAS 12'!BD67)</f>
        <v xml:space="preserve"> </v>
      </c>
      <c r="Y67" s="424" t="str">
        <f>IF('DATA DE LAS 12'!BE67=0," ",'DATA DE LAS 12'!BE67)</f>
        <v xml:space="preserve"> </v>
      </c>
      <c r="Z67" s="424" t="str">
        <f>IF('DATA DE LAS 12'!BF67=0," ",'DATA DE LAS 12'!BF67)</f>
        <v xml:space="preserve"> </v>
      </c>
      <c r="AA67" s="424" t="str">
        <f>IF('DATA DE LAS 12'!BG67=0," ",'DATA DE LAS 12'!BG67)</f>
        <v xml:space="preserve"> </v>
      </c>
      <c r="AB67" s="424" t="str">
        <f>IF('DATA DE LAS 12'!BY67=0," ",'DATA DE LAS 12'!BY67)</f>
        <v xml:space="preserve"> </v>
      </c>
      <c r="AC67" s="424">
        <v>13</v>
      </c>
      <c r="AD67" s="424">
        <v>25</v>
      </c>
      <c r="AE67" s="424">
        <v>550</v>
      </c>
      <c r="AF67" s="424">
        <v>427</v>
      </c>
      <c r="AG67" s="424" t="str">
        <f>IF('DATA DE LAS 12'!W67=0," ",'DATA DE LAS 12'!W67)</f>
        <v xml:space="preserve"> </v>
      </c>
    </row>
    <row r="68" spans="1:33">
      <c r="A68" s="648">
        <f t="shared" si="1"/>
        <v>45258</v>
      </c>
      <c r="B68" s="429">
        <f>IF('DATA DE LAS 12'!C68=0," ",'DATA DE LAS 12'!C68)</f>
        <v>0.89236111111111116</v>
      </c>
      <c r="C68" s="418" t="str">
        <f>IF('DATA DE LAS 12'!E68=0," ",'DATA DE LAS 12'!E68)</f>
        <v xml:space="preserve"> </v>
      </c>
      <c r="D68" s="418" t="e">
        <f>IF('DATA DE LAS 12'!#REF!=0," ",'DATA DE LAS 12'!#REF!)</f>
        <v>#REF!</v>
      </c>
      <c r="E68" s="418" t="str">
        <f>IF('DATA DE LAS 12'!AM68=0," ",'DATA DE LAS 12'!AM68)</f>
        <v xml:space="preserve"> </v>
      </c>
      <c r="F68" s="418" t="str">
        <f>IF('DATA DE LAS 12'!AL68=0," ",'DATA DE LAS 12'!AL68)</f>
        <v xml:space="preserve"> </v>
      </c>
      <c r="G68" s="418" t="str">
        <f>IF('DATA DE LAS 12'!AQ68=0," ",'DATA DE LAS 12'!AQ68)</f>
        <v xml:space="preserve"> </v>
      </c>
      <c r="H68" s="418" t="str">
        <f>IF('DATA DE LAS 12'!Z68=0," ",'DATA DE LAS 12'!Z68)</f>
        <v xml:space="preserve"> </v>
      </c>
      <c r="I68" s="418" t="str">
        <f>IF('DATA DE LAS 12'!AN68=0," ",'DATA DE LAS 12'!AN68)</f>
        <v xml:space="preserve"> </v>
      </c>
      <c r="J68" s="418" t="str">
        <f>IF('DATA DE LAS 12'!F68=0," ",'DATA DE LAS 12'!F68)</f>
        <v xml:space="preserve"> </v>
      </c>
      <c r="K68" s="418" t="str">
        <f>IF('DATA DE LAS 12'!G68=0," ",'DATA DE LAS 12'!G68)</f>
        <v xml:space="preserve"> </v>
      </c>
      <c r="L68" s="418" t="str">
        <f>IF('DATA DE LAS 12'!H68=0," ",'DATA DE LAS 12'!H68)</f>
        <v xml:space="preserve"> </v>
      </c>
      <c r="M68" s="418" t="str">
        <f>IF('DATA DE LAS 12'!V68=0," ",'DATA DE LAS 12'!V68)</f>
        <v xml:space="preserve"> </v>
      </c>
      <c r="N68" s="418" t="str">
        <f>IF('DATA DE LAS 12'!X68=0," ",'DATA DE LAS 12'!X68)</f>
        <v xml:space="preserve"> </v>
      </c>
      <c r="O68" s="418" t="str">
        <f>IF('DATA DE LAS 12'!BB68=0," ",'DATA DE LAS 12'!BB68)</f>
        <v xml:space="preserve"> </v>
      </c>
      <c r="P68" s="420"/>
      <c r="Q68" s="420"/>
      <c r="R68" s="420"/>
      <c r="S68" s="420"/>
      <c r="T68" s="420"/>
      <c r="U68" s="420"/>
      <c r="V68" s="420"/>
      <c r="W68" s="420"/>
      <c r="X68" s="424" t="str">
        <f>IF('DATA DE LAS 12'!BD68=0," ",'DATA DE LAS 12'!BD68)</f>
        <v xml:space="preserve"> </v>
      </c>
      <c r="Y68" s="424" t="str">
        <f>IF('DATA DE LAS 12'!BE68=0," ",'DATA DE LAS 12'!BE68)</f>
        <v xml:space="preserve"> </v>
      </c>
      <c r="Z68" s="424" t="str">
        <f>IF('DATA DE LAS 12'!BF68=0," ",'DATA DE LAS 12'!BF68)</f>
        <v xml:space="preserve"> </v>
      </c>
      <c r="AA68" s="424" t="str">
        <f>IF('DATA DE LAS 12'!BG68=0," ",'DATA DE LAS 12'!BG68)</f>
        <v xml:space="preserve"> </v>
      </c>
      <c r="AB68" s="424" t="str">
        <f>IF('DATA DE LAS 12'!BY68=0," ",'DATA DE LAS 12'!BY68)</f>
        <v xml:space="preserve"> </v>
      </c>
      <c r="AC68" s="424">
        <v>13</v>
      </c>
      <c r="AD68" s="424">
        <v>25</v>
      </c>
      <c r="AE68" s="424">
        <v>550</v>
      </c>
      <c r="AF68" s="424">
        <v>427</v>
      </c>
      <c r="AG68" s="424" t="str">
        <f>IF('DATA DE LAS 12'!W68=0," ",'DATA DE LAS 12'!W68)</f>
        <v xml:space="preserve"> </v>
      </c>
    </row>
    <row r="69" spans="1:33">
      <c r="A69" s="648">
        <f t="shared" si="1"/>
        <v>45259</v>
      </c>
      <c r="B69" s="429">
        <f>IF('DATA DE LAS 12'!C69=0," ",'DATA DE LAS 12'!C69)</f>
        <v>0.91666666666666663</v>
      </c>
      <c r="C69" s="418" t="str">
        <f>IF('DATA DE LAS 12'!E69=0," ",'DATA DE LAS 12'!E69)</f>
        <v xml:space="preserve"> </v>
      </c>
      <c r="D69" s="418" t="e">
        <f>IF('DATA DE LAS 12'!#REF!=0," ",'DATA DE LAS 12'!#REF!)</f>
        <v>#REF!</v>
      </c>
      <c r="E69" s="418" t="str">
        <f>IF('DATA DE LAS 12'!AM69=0," ",'DATA DE LAS 12'!AM69)</f>
        <v xml:space="preserve"> </v>
      </c>
      <c r="F69" s="418" t="str">
        <f>IF('DATA DE LAS 12'!AL69=0," ",'DATA DE LAS 12'!AL69)</f>
        <v xml:space="preserve"> </v>
      </c>
      <c r="G69" s="418" t="str">
        <f>IF('DATA DE LAS 12'!AQ69=0," ",'DATA DE LAS 12'!AQ69)</f>
        <v xml:space="preserve"> </v>
      </c>
      <c r="H69" s="418" t="str">
        <f>IF('DATA DE LAS 12'!Z69=0," ",'DATA DE LAS 12'!Z69)</f>
        <v xml:space="preserve"> </v>
      </c>
      <c r="I69" s="418" t="str">
        <f>IF('DATA DE LAS 12'!AN69=0," ",'DATA DE LAS 12'!AN69)</f>
        <v xml:space="preserve"> </v>
      </c>
      <c r="J69" s="418" t="str">
        <f>IF('DATA DE LAS 12'!F69=0," ",'DATA DE LAS 12'!F69)</f>
        <v xml:space="preserve"> </v>
      </c>
      <c r="K69" s="418" t="str">
        <f>IF('DATA DE LAS 12'!G69=0," ",'DATA DE LAS 12'!G69)</f>
        <v xml:space="preserve"> </v>
      </c>
      <c r="L69" s="418" t="str">
        <f>IF('DATA DE LAS 12'!H69=0," ",'DATA DE LAS 12'!H69)</f>
        <v xml:space="preserve"> </v>
      </c>
      <c r="M69" s="418" t="str">
        <f>IF('DATA DE LAS 12'!V69=0," ",'DATA DE LAS 12'!V69)</f>
        <v xml:space="preserve"> </v>
      </c>
      <c r="N69" s="418" t="str">
        <f>IF('DATA DE LAS 12'!X69=0," ",'DATA DE LAS 12'!X69)</f>
        <v xml:space="preserve"> </v>
      </c>
      <c r="O69" s="418" t="str">
        <f>IF('DATA DE LAS 12'!BB69=0," ",'DATA DE LAS 12'!BB69)</f>
        <v xml:space="preserve"> </v>
      </c>
      <c r="P69" s="420"/>
      <c r="Q69" s="420"/>
      <c r="R69" s="420"/>
      <c r="S69" s="420"/>
      <c r="T69" s="420"/>
      <c r="U69" s="420"/>
      <c r="V69" s="420"/>
      <c r="W69" s="420"/>
      <c r="X69" s="424" t="str">
        <f>IF('DATA DE LAS 12'!BD69=0," ",'DATA DE LAS 12'!BD69)</f>
        <v xml:space="preserve"> </v>
      </c>
      <c r="Y69" s="424" t="str">
        <f>IF('DATA DE LAS 12'!BE69=0," ",'DATA DE LAS 12'!BE69)</f>
        <v xml:space="preserve"> </v>
      </c>
      <c r="Z69" s="424" t="str">
        <f>IF('DATA DE LAS 12'!BF69=0," ",'DATA DE LAS 12'!BF69)</f>
        <v xml:space="preserve"> </v>
      </c>
      <c r="AA69" s="424" t="str">
        <f>IF('DATA DE LAS 12'!BG69=0," ",'DATA DE LAS 12'!BG69)</f>
        <v xml:space="preserve"> </v>
      </c>
      <c r="AB69" s="424" t="str">
        <f>IF('DATA DE LAS 12'!BY69=0," ",'DATA DE LAS 12'!BY69)</f>
        <v xml:space="preserve"> </v>
      </c>
      <c r="AC69" s="424">
        <v>13</v>
      </c>
      <c r="AD69" s="424">
        <v>25</v>
      </c>
      <c r="AE69" s="424">
        <v>550</v>
      </c>
      <c r="AF69" s="424">
        <v>427</v>
      </c>
      <c r="AG69" s="424" t="str">
        <f>IF('DATA DE LAS 12'!W69=0," ",'DATA DE LAS 12'!W69)</f>
        <v xml:space="preserve"> </v>
      </c>
    </row>
    <row r="70" spans="1:33" s="1271" customFormat="1">
      <c r="A70" s="648">
        <f t="shared" si="1"/>
        <v>45260</v>
      </c>
      <c r="B70" s="429">
        <f>IF('DATA DE LAS 12'!C70=0," ",'DATA DE LAS 12'!C70)</f>
        <v>0.93402777777777779</v>
      </c>
      <c r="C70" s="418" t="str">
        <f>IF('DATA DE LAS 12'!E70=0," ",'DATA DE LAS 12'!E70)</f>
        <v xml:space="preserve"> </v>
      </c>
      <c r="D70" s="418" t="e">
        <f>IF('DATA DE LAS 12'!#REF!=0," ",'DATA DE LAS 12'!#REF!)</f>
        <v>#REF!</v>
      </c>
      <c r="E70" s="418" t="str">
        <f>IF('DATA DE LAS 12'!AM70=0," ",'DATA DE LAS 12'!AM70)</f>
        <v xml:space="preserve"> </v>
      </c>
      <c r="F70" s="418" t="str">
        <f>IF('DATA DE LAS 12'!AL70=0," ",'DATA DE LAS 12'!AL70)</f>
        <v xml:space="preserve"> </v>
      </c>
      <c r="G70" s="418" t="str">
        <f>IF('DATA DE LAS 12'!AQ70=0," ",'DATA DE LAS 12'!AQ70)</f>
        <v xml:space="preserve"> </v>
      </c>
      <c r="H70" s="418" t="str">
        <f>IF('DATA DE LAS 12'!Z70=0," ",'DATA DE LAS 12'!Z70)</f>
        <v xml:space="preserve"> </v>
      </c>
      <c r="I70" s="418" t="str">
        <f>IF('DATA DE LAS 12'!AN70=0," ",'DATA DE LAS 12'!AN70)</f>
        <v xml:space="preserve"> </v>
      </c>
      <c r="J70" s="418" t="str">
        <f>IF('DATA DE LAS 12'!F70=0," ",'DATA DE LAS 12'!F70)</f>
        <v xml:space="preserve"> </v>
      </c>
      <c r="K70" s="418" t="str">
        <f>IF('DATA DE LAS 12'!G70=0," ",'DATA DE LAS 12'!G70)</f>
        <v xml:space="preserve"> </v>
      </c>
      <c r="L70" s="418" t="str">
        <f>IF('DATA DE LAS 12'!H70=0," ",'DATA DE LAS 12'!H70)</f>
        <v xml:space="preserve"> </v>
      </c>
      <c r="M70" s="418" t="str">
        <f>IF('DATA DE LAS 12'!V70=0," ",'DATA DE LAS 12'!V70)</f>
        <v xml:space="preserve"> </v>
      </c>
      <c r="N70" s="418" t="str">
        <f>IF('DATA DE LAS 12'!X70=0," ",'DATA DE LAS 12'!X70)</f>
        <v xml:space="preserve"> </v>
      </c>
      <c r="O70" s="418" t="str">
        <f>IF('DATA DE LAS 12'!BB70=0," ",'DATA DE LAS 12'!BB70)</f>
        <v xml:space="preserve"> </v>
      </c>
      <c r="P70" s="420"/>
      <c r="Q70" s="420"/>
      <c r="R70" s="420"/>
      <c r="S70" s="420"/>
      <c r="T70" s="420"/>
      <c r="U70" s="420"/>
      <c r="V70" s="420"/>
      <c r="W70" s="420"/>
      <c r="X70" s="424" t="str">
        <f>IF('DATA DE LAS 12'!BD70=0," ",'DATA DE LAS 12'!BD70)</f>
        <v xml:space="preserve"> </v>
      </c>
      <c r="Y70" s="424" t="str">
        <f>IF('DATA DE LAS 12'!BE70=0," ",'DATA DE LAS 12'!BE70)</f>
        <v xml:space="preserve"> </v>
      </c>
      <c r="Z70" s="424" t="str">
        <f>IF('DATA DE LAS 12'!BF70=0," ",'DATA DE LAS 12'!BF70)</f>
        <v xml:space="preserve"> </v>
      </c>
      <c r="AA70" s="424" t="str">
        <f>IF('DATA DE LAS 12'!BG70=0," ",'DATA DE LAS 12'!BG70)</f>
        <v xml:space="preserve"> </v>
      </c>
      <c r="AB70" s="424" t="str">
        <f>IF('DATA DE LAS 12'!BY70=0," ",'DATA DE LAS 12'!BY70)</f>
        <v xml:space="preserve"> </v>
      </c>
      <c r="AC70" s="424">
        <v>13</v>
      </c>
      <c r="AD70" s="424">
        <v>25</v>
      </c>
      <c r="AE70" s="424">
        <v>550</v>
      </c>
      <c r="AF70" s="424">
        <v>427</v>
      </c>
      <c r="AG70" s="424" t="str">
        <f>IF('DATA DE LAS 12'!W70=0," ",'DATA DE LAS 12'!W70)</f>
        <v xml:space="preserve"> </v>
      </c>
    </row>
    <row r="71" spans="1:33" hidden="1">
      <c r="A71" s="648">
        <f t="shared" si="1"/>
        <v>45261</v>
      </c>
      <c r="B71" s="429" t="e">
        <f>IF('DATA DE LAS 12'!#REF!=0," ",'DATA DE LAS 12'!#REF!)</f>
        <v>#REF!</v>
      </c>
      <c r="C71" s="418" t="e">
        <f>IF('DATA DE LAS 12'!#REF!=0," ",'DATA DE LAS 12'!#REF!)</f>
        <v>#REF!</v>
      </c>
      <c r="D71" s="418"/>
      <c r="E71" s="418" t="e">
        <f>IF('DATA DE LAS 12'!#REF!=0," ",'DATA DE LAS 12'!#REF!)</f>
        <v>#REF!</v>
      </c>
      <c r="F71" s="418" t="e">
        <f>IF('DATA DE LAS 12'!#REF!=0," ",'DATA DE LAS 12'!#REF!)</f>
        <v>#REF!</v>
      </c>
      <c r="G71" s="418" t="e">
        <f>IF('DATA DE LAS 12'!#REF!=0," ",'DATA DE LAS 12'!#REF!)</f>
        <v>#REF!</v>
      </c>
      <c r="H71" s="418" t="e">
        <f>IF('DATA DE LAS 12'!#REF!=0," ",'DATA DE LAS 12'!#REF!)</f>
        <v>#REF!</v>
      </c>
      <c r="I71" s="418" t="e">
        <f>IF('DATA DE LAS 12'!#REF!=0," ",'DATA DE LAS 12'!#REF!)</f>
        <v>#REF!</v>
      </c>
      <c r="J71" s="418" t="e">
        <f>IF('DATA DE LAS 12'!#REF!=0," ",'DATA DE LAS 12'!#REF!)</f>
        <v>#REF!</v>
      </c>
      <c r="K71" s="418" t="e">
        <f>IF('DATA DE LAS 12'!#REF!=0," ",'DATA DE LAS 12'!#REF!)</f>
        <v>#REF!</v>
      </c>
      <c r="L71" s="418" t="e">
        <f>IF('DATA DE LAS 12'!#REF!=0," ",'DATA DE LAS 12'!#REF!)</f>
        <v>#REF!</v>
      </c>
      <c r="M71" s="418" t="e">
        <f>IF('DATA DE LAS 12'!#REF!=0," ",'DATA DE LAS 12'!#REF!)</f>
        <v>#REF!</v>
      </c>
      <c r="N71" s="418" t="e">
        <f>IF('DATA DE LAS 12'!#REF!=0," ",'DATA DE LAS 12'!#REF!)</f>
        <v>#REF!</v>
      </c>
      <c r="O71" s="418" t="e">
        <f>IF('DATA DE LAS 12'!#REF!=0," ",'DATA DE LAS 12'!#REF!)</f>
        <v>#REF!</v>
      </c>
      <c r="X71" s="424" t="e">
        <f>IF('DATA DE LAS 12'!#REF!=0," ",'DATA DE LAS 12'!#REF!)</f>
        <v>#REF!</v>
      </c>
      <c r="Y71" s="424" t="e">
        <f>IF('DATA DE LAS 12'!#REF!=0," ",'DATA DE LAS 12'!#REF!)</f>
        <v>#REF!</v>
      </c>
      <c r="Z71" s="424" t="e">
        <f>IF('DATA DE LAS 12'!#REF!=0," ",'DATA DE LAS 12'!#REF!)</f>
        <v>#REF!</v>
      </c>
      <c r="AA71" s="424" t="e">
        <f>IF('DATA DE LAS 12'!#REF!=0," ",'DATA DE LAS 12'!#REF!)</f>
        <v>#REF!</v>
      </c>
      <c r="AB71" s="424" t="e">
        <f>IF('DATA DE LAS 12'!#REF!=0," ",'DATA DE LAS 12'!#REF!)</f>
        <v>#REF!</v>
      </c>
      <c r="AC71" s="424">
        <v>13</v>
      </c>
      <c r="AD71" s="424">
        <v>25</v>
      </c>
      <c r="AE71" s="424">
        <v>550</v>
      </c>
      <c r="AF71" s="424">
        <v>427</v>
      </c>
      <c r="AG71" s="424" t="e">
        <f>IF('DATA DE LAS 12'!#REF!=0," ",'DATA DE LAS 12'!#REF!)</f>
        <v>#REF!</v>
      </c>
    </row>
  </sheetData>
  <mergeCells count="6">
    <mergeCell ref="A3:A5"/>
    <mergeCell ref="B3:B5"/>
    <mergeCell ref="A2:B2"/>
    <mergeCell ref="A37:B37"/>
    <mergeCell ref="A38:A40"/>
    <mergeCell ref="B38:B40"/>
  </mergeCell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1:AE106"/>
  <sheetViews>
    <sheetView topLeftCell="M19" zoomScale="80" zoomScaleNormal="80" workbookViewId="0">
      <selection activeCell="E13" sqref="E13"/>
    </sheetView>
  </sheetViews>
  <sheetFormatPr baseColWidth="10" defaultRowHeight="14.5"/>
  <cols>
    <col min="1" max="1" width="1" customWidth="1"/>
    <col min="2" max="2" width="13.08984375" bestFit="1" customWidth="1"/>
    <col min="3" max="3" width="32" customWidth="1"/>
    <col min="4" max="4" width="25.81640625" customWidth="1"/>
    <col min="5" max="5" width="60.1796875" customWidth="1"/>
    <col min="6" max="12" width="11.453125" customWidth="1"/>
    <col min="13" max="13" width="13.453125" customWidth="1"/>
    <col min="14" max="14" width="11.453125" customWidth="1"/>
    <col min="15" max="15" width="13" bestFit="1" customWidth="1"/>
    <col min="16" max="16" width="11.453125" customWidth="1"/>
    <col min="17" max="17" width="12.54296875" customWidth="1"/>
    <col min="18" max="23" width="11.453125" customWidth="1"/>
    <col min="26" max="26" width="11.453125" customWidth="1"/>
    <col min="29" max="29" width="11.453125" customWidth="1"/>
  </cols>
  <sheetData>
    <row r="1" spans="1:31" ht="15" thickBot="1"/>
    <row r="2" spans="1:31" ht="59.25" customHeight="1" thickTop="1" thickBot="1">
      <c r="A2" s="112"/>
      <c r="B2" s="2532"/>
      <c r="C2" s="2533"/>
      <c r="D2" s="2289" t="s">
        <v>1000</v>
      </c>
      <c r="E2" s="2286"/>
      <c r="F2" s="2286"/>
      <c r="G2" s="2286"/>
      <c r="H2" s="2286"/>
      <c r="I2" s="2286"/>
      <c r="J2" s="2286"/>
      <c r="K2" s="2286"/>
      <c r="L2" s="2286"/>
      <c r="M2" s="2286"/>
      <c r="N2" s="2286"/>
      <c r="O2" s="2286"/>
      <c r="P2" s="2286"/>
      <c r="Q2" s="2286"/>
      <c r="R2" s="2286"/>
      <c r="S2" s="2286"/>
      <c r="T2" s="2286"/>
      <c r="U2" s="2286"/>
      <c r="V2" s="2286"/>
      <c r="W2" s="2286"/>
      <c r="X2" s="2286"/>
      <c r="Y2" s="2286"/>
      <c r="Z2" s="2286"/>
      <c r="AA2" s="2286"/>
      <c r="AB2" s="2286"/>
      <c r="AC2" s="2287"/>
    </row>
    <row r="3" spans="1:31" ht="15.5" thickTop="1" thickBot="1">
      <c r="O3">
        <v>30</v>
      </c>
    </row>
    <row r="4" spans="1:31" ht="13.5" customHeight="1" thickTop="1">
      <c r="B4" s="862" t="s">
        <v>967</v>
      </c>
      <c r="C4" s="863"/>
      <c r="D4" s="863" t="s">
        <v>968</v>
      </c>
      <c r="E4" s="863"/>
      <c r="F4" s="839" t="s">
        <v>969</v>
      </c>
      <c r="G4" s="867" t="s">
        <v>970</v>
      </c>
      <c r="H4" s="839" t="s">
        <v>969</v>
      </c>
      <c r="I4" s="867" t="s">
        <v>970</v>
      </c>
      <c r="J4" s="839" t="s">
        <v>969</v>
      </c>
      <c r="K4" s="867" t="s">
        <v>970</v>
      </c>
      <c r="L4" s="839" t="s">
        <v>969</v>
      </c>
      <c r="M4" s="867" t="s">
        <v>970</v>
      </c>
      <c r="N4" s="839" t="s">
        <v>969</v>
      </c>
      <c r="O4" s="867" t="s">
        <v>970</v>
      </c>
      <c r="P4" s="839" t="s">
        <v>969</v>
      </c>
      <c r="Q4" s="867" t="s">
        <v>970</v>
      </c>
      <c r="R4" s="839" t="s">
        <v>969</v>
      </c>
      <c r="S4" s="867" t="s">
        <v>970</v>
      </c>
      <c r="T4" s="839" t="s">
        <v>969</v>
      </c>
      <c r="U4" s="867" t="s">
        <v>970</v>
      </c>
      <c r="V4" s="839" t="s">
        <v>969</v>
      </c>
      <c r="W4" s="867" t="s">
        <v>970</v>
      </c>
      <c r="X4" s="839" t="s">
        <v>969</v>
      </c>
      <c r="Y4" s="867" t="s">
        <v>970</v>
      </c>
      <c r="Z4" s="839" t="s">
        <v>969</v>
      </c>
      <c r="AA4" s="867" t="s">
        <v>970</v>
      </c>
      <c r="AB4" s="839" t="s">
        <v>969</v>
      </c>
      <c r="AC4" s="1763" t="s">
        <v>970</v>
      </c>
      <c r="AE4" s="2535" t="s">
        <v>1045</v>
      </c>
    </row>
    <row r="5" spans="1:31">
      <c r="B5" s="868"/>
      <c r="C5" s="869"/>
      <c r="D5" s="869"/>
      <c r="E5" s="869"/>
      <c r="F5" s="870" t="s">
        <v>1013</v>
      </c>
      <c r="G5" s="871" t="s">
        <v>1013</v>
      </c>
      <c r="H5" s="870" t="s">
        <v>1014</v>
      </c>
      <c r="I5" s="871" t="s">
        <v>1014</v>
      </c>
      <c r="J5" s="870" t="s">
        <v>1015</v>
      </c>
      <c r="K5" s="871" t="s">
        <v>1015</v>
      </c>
      <c r="L5" s="870" t="s">
        <v>1016</v>
      </c>
      <c r="M5" s="871" t="s">
        <v>1016</v>
      </c>
      <c r="N5" s="870" t="s">
        <v>1017</v>
      </c>
      <c r="O5" s="871" t="s">
        <v>1017</v>
      </c>
      <c r="P5" s="870" t="s">
        <v>1018</v>
      </c>
      <c r="Q5" s="871" t="s">
        <v>1018</v>
      </c>
      <c r="R5" s="870" t="s">
        <v>971</v>
      </c>
      <c r="S5" s="871" t="s">
        <v>971</v>
      </c>
      <c r="T5" s="870" t="s">
        <v>972</v>
      </c>
      <c r="U5" s="871" t="s">
        <v>972</v>
      </c>
      <c r="V5" s="870" t="s">
        <v>184</v>
      </c>
      <c r="W5" s="871" t="s">
        <v>184</v>
      </c>
      <c r="X5" s="870" t="s">
        <v>185</v>
      </c>
      <c r="Y5" s="871" t="s">
        <v>185</v>
      </c>
      <c r="Z5" s="870" t="s">
        <v>186</v>
      </c>
      <c r="AA5" s="871" t="s">
        <v>186</v>
      </c>
      <c r="AB5" s="870" t="s">
        <v>187</v>
      </c>
      <c r="AC5" s="1764" t="s">
        <v>187</v>
      </c>
      <c r="AE5" s="2535"/>
    </row>
    <row r="6" spans="1:31" ht="13.5" customHeight="1" thickBot="1">
      <c r="B6" s="864"/>
      <c r="C6" s="865"/>
      <c r="D6" s="865"/>
      <c r="E6" s="865"/>
      <c r="F6" s="872" t="s">
        <v>973</v>
      </c>
      <c r="G6" s="873" t="s">
        <v>973</v>
      </c>
      <c r="H6" s="872" t="s">
        <v>973</v>
      </c>
      <c r="I6" s="873" t="s">
        <v>973</v>
      </c>
      <c r="J6" s="872" t="s">
        <v>973</v>
      </c>
      <c r="K6" s="873" t="s">
        <v>973</v>
      </c>
      <c r="L6" s="872" t="s">
        <v>973</v>
      </c>
      <c r="M6" s="873" t="s">
        <v>973</v>
      </c>
      <c r="N6" s="872" t="s">
        <v>973</v>
      </c>
      <c r="O6" s="873" t="s">
        <v>973</v>
      </c>
      <c r="P6" s="872" t="s">
        <v>973</v>
      </c>
      <c r="Q6" s="873" t="s">
        <v>973</v>
      </c>
      <c r="R6" s="872" t="s">
        <v>973</v>
      </c>
      <c r="S6" s="873" t="s">
        <v>973</v>
      </c>
      <c r="T6" s="872" t="s">
        <v>973</v>
      </c>
      <c r="U6" s="873" t="s">
        <v>973</v>
      </c>
      <c r="V6" s="872" t="s">
        <v>973</v>
      </c>
      <c r="W6" s="873" t="s">
        <v>973</v>
      </c>
      <c r="X6" s="872" t="s">
        <v>973</v>
      </c>
      <c r="Y6" s="873" t="s">
        <v>973</v>
      </c>
      <c r="Z6" s="872" t="s">
        <v>973</v>
      </c>
      <c r="AA6" s="873" t="s">
        <v>973</v>
      </c>
      <c r="AB6" s="872" t="s">
        <v>973</v>
      </c>
      <c r="AC6" s="1765" t="s">
        <v>973</v>
      </c>
      <c r="AE6" s="2535"/>
    </row>
    <row r="7" spans="1:31" ht="15" customHeight="1">
      <c r="B7" s="856" t="s">
        <v>974</v>
      </c>
      <c r="C7" s="859" t="s">
        <v>975</v>
      </c>
      <c r="D7" s="874" t="s">
        <v>1046</v>
      </c>
      <c r="E7" s="875" t="s">
        <v>1047</v>
      </c>
      <c r="F7" s="876"/>
      <c r="G7" s="877"/>
      <c r="H7" s="876"/>
      <c r="I7" s="877"/>
      <c r="J7" s="876"/>
      <c r="K7" s="877"/>
      <c r="L7" s="876">
        <v>659237.45756020537</v>
      </c>
      <c r="M7" s="878" t="e">
        <f>'ESTADISTICOS JENNY'!#REF!</f>
        <v>#REF!</v>
      </c>
      <c r="N7" s="879">
        <v>659237.45756020537</v>
      </c>
      <c r="O7" s="880">
        <f>(('[8]ESTADISTICOS MAYO 2017'!AK396+'[8]ESTADISTICOS MAYO 2017'!AL396)+(E59/10)+(O52/10))*1000</f>
        <v>72776.975999993621</v>
      </c>
      <c r="P7" s="881"/>
      <c r="Q7" s="1000" t="e">
        <f>'ESTADISTICOS JENNY'!#REF!</f>
        <v>#REF!</v>
      </c>
      <c r="R7" s="876"/>
      <c r="S7" s="1000">
        <f ca="1">'ESTADISTICOS JENNY'!C381</f>
        <v>0</v>
      </c>
      <c r="T7" s="876"/>
      <c r="U7" s="1000">
        <f ca="1">'ESTADISTICOS JENNY'!C$382</f>
        <v>0</v>
      </c>
      <c r="V7" s="876"/>
      <c r="W7" s="1000">
        <f ca="1">'ESTADISTICOS JENNY'!C$383</f>
        <v>0</v>
      </c>
      <c r="X7" s="876"/>
      <c r="Y7" s="1000">
        <f ca="1">'ESTADISTICOS JENNY'!C$384</f>
        <v>0</v>
      </c>
      <c r="Z7" s="876"/>
      <c r="AA7" s="1000">
        <f ca="1">'ESTADISTICOS JENNY'!C$385</f>
        <v>0</v>
      </c>
      <c r="AB7" s="876"/>
      <c r="AC7" s="1766">
        <f ca="1">'ESTADISTICOS JENNY'!C$386</f>
        <v>0</v>
      </c>
    </row>
    <row r="8" spans="1:31" ht="15" customHeight="1">
      <c r="B8" s="857"/>
      <c r="C8" s="860"/>
      <c r="D8" s="882" t="s">
        <v>981</v>
      </c>
      <c r="E8" s="866" t="s">
        <v>1048</v>
      </c>
      <c r="F8" s="883"/>
      <c r="G8" s="884"/>
      <c r="H8" s="883"/>
      <c r="I8" s="884"/>
      <c r="J8" s="883"/>
      <c r="K8" s="884"/>
      <c r="L8" s="883">
        <v>7426341.3884098101</v>
      </c>
      <c r="M8" s="885">
        <v>6769082.04545453</v>
      </c>
      <c r="N8" s="886">
        <v>7426341.3884098101</v>
      </c>
      <c r="O8" s="887">
        <f>(('[8]ESTADISTICOS MAYO 2017'!AE396)+(E59/10)+(O52/10))*1000</f>
        <v>72776.975999993621</v>
      </c>
      <c r="P8" s="888"/>
      <c r="Q8" s="1001" t="e">
        <f>'ESTADISTICOS JENNY'!#REF!</f>
        <v>#REF!</v>
      </c>
      <c r="R8" s="883"/>
      <c r="S8" s="1001">
        <f ca="1">'ESTADISTICOS JENNY'!E$381</f>
        <v>0</v>
      </c>
      <c r="T8" s="883"/>
      <c r="U8" s="1001">
        <f ca="1">'ESTADISTICOS JENNY'!E$382</f>
        <v>0</v>
      </c>
      <c r="V8" s="883"/>
      <c r="W8" s="1001">
        <f ca="1">'ESTADISTICOS JENNY'!E$383</f>
        <v>0</v>
      </c>
      <c r="X8" s="883"/>
      <c r="Y8" s="1001">
        <f ca="1">'ESTADISTICOS JENNY'!E$384</f>
        <v>0</v>
      </c>
      <c r="Z8" s="883"/>
      <c r="AA8" s="1001">
        <f ca="1">'ESTADISTICOS JENNY'!E$385</f>
        <v>0</v>
      </c>
      <c r="AB8" s="883"/>
      <c r="AC8" s="1767">
        <f ca="1">'ESTADISTICOS JENNY'!E$386</f>
        <v>0</v>
      </c>
    </row>
    <row r="9" spans="1:31" ht="15" customHeight="1">
      <c r="B9" s="857"/>
      <c r="C9" s="860"/>
      <c r="D9" s="882" t="s">
        <v>1049</v>
      </c>
      <c r="E9" s="866" t="s">
        <v>1050</v>
      </c>
      <c r="F9" s="883"/>
      <c r="G9" s="884"/>
      <c r="H9" s="883"/>
      <c r="I9" s="884"/>
      <c r="J9" s="883"/>
      <c r="K9" s="884"/>
      <c r="L9" s="883">
        <v>250341.4083570579</v>
      </c>
      <c r="M9" s="889">
        <v>228185.24545454801</v>
      </c>
      <c r="N9" s="886">
        <v>250341.4083570579</v>
      </c>
      <c r="O9" s="887">
        <f>(((D50*30*24)/1000)+(E59/10)+(O52/10))*1000</f>
        <v>307072.17599999363</v>
      </c>
      <c r="P9" s="888"/>
      <c r="Q9" s="908" t="e">
        <f>'ESTADISTICOS JENNY'!#REF!</f>
        <v>#REF!</v>
      </c>
      <c r="R9" s="883"/>
      <c r="S9" s="908">
        <f>'ESTADISTICOS JENNY'!F$381</f>
        <v>0</v>
      </c>
      <c r="T9" s="883"/>
      <c r="U9" s="908">
        <f>'ESTADISTICOS JENNY'!F$382</f>
        <v>0</v>
      </c>
      <c r="V9" s="883"/>
      <c r="W9" s="908">
        <f>'ESTADISTICOS JENNY'!F$383</f>
        <v>0</v>
      </c>
      <c r="X9" s="883"/>
      <c r="Y9" s="908">
        <f>'ESTADISTICOS JENNY'!F$384</f>
        <v>0</v>
      </c>
      <c r="Z9" s="883"/>
      <c r="AA9" s="908">
        <f>'ESTADISTICOS JENNY'!F$385</f>
        <v>0</v>
      </c>
      <c r="AB9" s="883"/>
      <c r="AC9" s="923">
        <f>'ESTADISTICOS JENNY'!F$386</f>
        <v>0</v>
      </c>
    </row>
    <row r="10" spans="1:31" ht="15" customHeight="1">
      <c r="B10" s="857"/>
      <c r="C10" s="860"/>
      <c r="D10" s="882" t="s">
        <v>1051</v>
      </c>
      <c r="E10" s="866" t="s">
        <v>1052</v>
      </c>
      <c r="F10" s="883"/>
      <c r="G10" s="884"/>
      <c r="H10" s="883"/>
      <c r="I10" s="884"/>
      <c r="J10" s="883"/>
      <c r="K10" s="884"/>
      <c r="L10" s="883">
        <v>91556.327217573446</v>
      </c>
      <c r="M10" s="890">
        <v>83453.245454548494</v>
      </c>
      <c r="N10" s="886">
        <v>91556.327217573446</v>
      </c>
      <c r="O10" s="887">
        <f>0*1000</f>
        <v>0</v>
      </c>
      <c r="P10" s="888"/>
      <c r="Q10" s="1002" t="e">
        <f>'ESTADISTICOS JENNY'!#REF!</f>
        <v>#REF!</v>
      </c>
      <c r="R10" s="883"/>
      <c r="S10" s="1002">
        <f>'ESTADISTICOS JENNY'!G$381</f>
        <v>0</v>
      </c>
      <c r="T10" s="883"/>
      <c r="U10" s="1002">
        <f>'ESTADISTICOS JENNY'!G$382</f>
        <v>0</v>
      </c>
      <c r="V10" s="883"/>
      <c r="W10" s="1002">
        <f>'ESTADISTICOS JENNY'!G$383</f>
        <v>0</v>
      </c>
      <c r="X10" s="883"/>
      <c r="Y10" s="1002">
        <f>'ESTADISTICOS JENNY'!G$384</f>
        <v>0</v>
      </c>
      <c r="Z10" s="883"/>
      <c r="AA10" s="1002">
        <f>'ESTADISTICOS JENNY'!G$385</f>
        <v>0</v>
      </c>
      <c r="AB10" s="883"/>
      <c r="AC10" s="1768">
        <f>'ESTADISTICOS JENNY'!G$386</f>
        <v>0</v>
      </c>
    </row>
    <row r="11" spans="1:31" ht="15" customHeight="1">
      <c r="B11" s="857"/>
      <c r="C11" s="860"/>
      <c r="D11" s="882" t="s">
        <v>1053</v>
      </c>
      <c r="E11" s="866" t="s">
        <v>1054</v>
      </c>
      <c r="F11" s="883"/>
      <c r="G11" s="884"/>
      <c r="H11" s="883"/>
      <c r="I11" s="884"/>
      <c r="J11" s="883"/>
      <c r="K11" s="884"/>
      <c r="L11" s="883">
        <v>1517234.2211232488</v>
      </c>
      <c r="M11" s="889">
        <v>1382953.24545452</v>
      </c>
      <c r="N11" s="886">
        <v>1517234.2211232488</v>
      </c>
      <c r="O11" s="887">
        <f>(('[8]ESTADISTICOS MAYO 2017'!AJ396)+(E59/10)+(O52/10))*1000</f>
        <v>72776.975999993621</v>
      </c>
      <c r="P11" s="888"/>
      <c r="Q11" s="908" t="e">
        <f>'ESTADISTICOS JENNY'!#REF!</f>
        <v>#REF!</v>
      </c>
      <c r="R11" s="883"/>
      <c r="S11" s="908">
        <f ca="1">'ESTADISTICOS JENNY'!H$381</f>
        <v>0</v>
      </c>
      <c r="T11" s="883"/>
      <c r="U11" s="908">
        <f ca="1">'ESTADISTICOS JENNY'!H$382</f>
        <v>0</v>
      </c>
      <c r="V11" s="883"/>
      <c r="W11" s="908">
        <f ca="1">'ESTADISTICOS JENNY'!H$383</f>
        <v>0</v>
      </c>
      <c r="X11" s="883"/>
      <c r="Y11" s="908">
        <f ca="1">'ESTADISTICOS JENNY'!H$384</f>
        <v>0</v>
      </c>
      <c r="Z11" s="883"/>
      <c r="AA11" s="908">
        <f ca="1">'ESTADISTICOS JENNY'!H$385</f>
        <v>0</v>
      </c>
      <c r="AB11" s="883"/>
      <c r="AC11" s="923">
        <f ca="1">'ESTADISTICOS JENNY'!H$386</f>
        <v>0</v>
      </c>
    </row>
    <row r="12" spans="1:31" ht="15" customHeight="1">
      <c r="B12" s="857"/>
      <c r="C12" s="860"/>
      <c r="D12" s="882" t="s">
        <v>1055</v>
      </c>
      <c r="E12" s="866" t="s">
        <v>1056</v>
      </c>
      <c r="F12" s="883"/>
      <c r="G12" s="884"/>
      <c r="H12" s="883"/>
      <c r="I12" s="884"/>
      <c r="J12" s="883"/>
      <c r="K12" s="884"/>
      <c r="L12" s="883">
        <v>105696.92355642734</v>
      </c>
      <c r="M12" s="891">
        <v>96342.345454548908</v>
      </c>
      <c r="N12" s="886">
        <v>105696.92355642734</v>
      </c>
      <c r="O12" s="887">
        <f>(('[8]ESTADISTICOS MAYO 2017'!AN396)+(E59/10)+(O52/10))*1000</f>
        <v>72776.975999993621</v>
      </c>
      <c r="P12" s="888"/>
      <c r="Q12" s="1002" t="e">
        <f>'ESTADISTICOS JENNY'!#REF!</f>
        <v>#REF!</v>
      </c>
      <c r="R12" s="883"/>
      <c r="S12" s="1002">
        <f ca="1">'ESTADISTICOS JENNY'!I$381</f>
        <v>0</v>
      </c>
      <c r="T12" s="883"/>
      <c r="U12" s="1002">
        <f ca="1">'ESTADISTICOS JENNY'!I$382</f>
        <v>0</v>
      </c>
      <c r="V12" s="883"/>
      <c r="W12" s="1002">
        <f ca="1">'ESTADISTICOS JENNY'!I$383</f>
        <v>0</v>
      </c>
      <c r="X12" s="883"/>
      <c r="Y12" s="1002">
        <f ca="1">'ESTADISTICOS JENNY'!I$384</f>
        <v>0</v>
      </c>
      <c r="Z12" s="883"/>
      <c r="AA12" s="1002">
        <f ca="1">'ESTADISTICOS JENNY'!I$385</f>
        <v>0</v>
      </c>
      <c r="AB12" s="883"/>
      <c r="AC12" s="1768">
        <f ca="1">'ESTADISTICOS JENNY'!I$386</f>
        <v>0</v>
      </c>
    </row>
    <row r="13" spans="1:31" ht="15" customHeight="1">
      <c r="B13" s="857"/>
      <c r="C13" s="860"/>
      <c r="D13" s="882" t="s">
        <v>1057</v>
      </c>
      <c r="E13" s="866" t="s">
        <v>1058</v>
      </c>
      <c r="F13" s="883"/>
      <c r="G13" s="884"/>
      <c r="H13" s="883"/>
      <c r="I13" s="884"/>
      <c r="J13" s="883"/>
      <c r="K13" s="884"/>
      <c r="L13" s="883">
        <v>97616.582791368011</v>
      </c>
      <c r="M13" s="891">
        <v>88977.145454548707</v>
      </c>
      <c r="N13" s="886">
        <v>97616.582791368011</v>
      </c>
      <c r="O13" s="887">
        <f>0*1000</f>
        <v>0</v>
      </c>
      <c r="P13" s="888"/>
      <c r="Q13" s="908" t="e">
        <f>'ESTADISTICOS JENNY'!#REF!</f>
        <v>#REF!</v>
      </c>
      <c r="R13" s="883"/>
      <c r="S13" s="908">
        <f>'ESTADISTICOS JENNY'!J$381</f>
        <v>0</v>
      </c>
      <c r="T13" s="883"/>
      <c r="U13" s="908">
        <f>'ESTADISTICOS JENNY'!J$382</f>
        <v>0</v>
      </c>
      <c r="V13" s="883"/>
      <c r="W13" s="908">
        <f>'ESTADISTICOS JENNY'!J$383</f>
        <v>0</v>
      </c>
      <c r="X13" s="883"/>
      <c r="Y13" s="908">
        <f>'ESTADISTICOS JENNY'!J$384</f>
        <v>0</v>
      </c>
      <c r="Z13" s="883"/>
      <c r="AA13" s="908">
        <f>'ESTADISTICOS JENNY'!J$385</f>
        <v>0</v>
      </c>
      <c r="AB13" s="883"/>
      <c r="AC13" s="923">
        <f>'ESTADISTICOS JENNY'!J$386</f>
        <v>0</v>
      </c>
    </row>
    <row r="14" spans="1:31" ht="15" customHeight="1">
      <c r="B14" s="857"/>
      <c r="C14" s="860"/>
      <c r="D14" s="882" t="s">
        <v>1059</v>
      </c>
      <c r="E14" s="866" t="s">
        <v>1060</v>
      </c>
      <c r="F14" s="883"/>
      <c r="G14" s="884"/>
      <c r="H14" s="883"/>
      <c r="I14" s="884"/>
      <c r="J14" s="883"/>
      <c r="K14" s="884"/>
      <c r="L14" s="883">
        <v>4835972.0938350847</v>
      </c>
      <c r="M14" s="891">
        <v>4407970.2454545703</v>
      </c>
      <c r="N14" s="886">
        <v>4835972.0938350847</v>
      </c>
      <c r="O14" s="887">
        <f>(('[8]ESTADISTICOS MAYO 2017'!AG396)+(E59/10)+(O52/10))*1000</f>
        <v>72776.975999993621</v>
      </c>
      <c r="P14" s="888"/>
      <c r="Q14" s="1002" t="e">
        <f>'ESTADISTICOS JENNY'!#REF!</f>
        <v>#REF!</v>
      </c>
      <c r="R14" s="883"/>
      <c r="S14" s="1002">
        <f ca="1">'ESTADISTICOS JENNY'!K$381</f>
        <v>0</v>
      </c>
      <c r="T14" s="883"/>
      <c r="U14" s="1002">
        <f ca="1">'ESTADISTICOS JENNY'!K$382</f>
        <v>0</v>
      </c>
      <c r="V14" s="883"/>
      <c r="W14" s="1002">
        <f ca="1">'ESTADISTICOS JENNY'!K$383</f>
        <v>0</v>
      </c>
      <c r="X14" s="883"/>
      <c r="Y14" s="1002">
        <f ca="1">'ESTADISTICOS JENNY'!K$384</f>
        <v>0</v>
      </c>
      <c r="Z14" s="883"/>
      <c r="AA14" s="1002">
        <f ca="1">'ESTADISTICOS JENNY'!K$385</f>
        <v>0</v>
      </c>
      <c r="AB14" s="883"/>
      <c r="AC14" s="1768">
        <f ca="1">'ESTADISTICOS JENNY'!K$386</f>
        <v>0</v>
      </c>
    </row>
    <row r="15" spans="1:31" ht="15" customHeight="1">
      <c r="B15" s="857"/>
      <c r="C15" s="860"/>
      <c r="D15" s="882" t="s">
        <v>1061</v>
      </c>
      <c r="E15" s="866" t="s">
        <v>1062</v>
      </c>
      <c r="F15" s="883"/>
      <c r="G15" s="884"/>
      <c r="H15" s="883"/>
      <c r="I15" s="884"/>
      <c r="J15" s="883"/>
      <c r="K15" s="884"/>
      <c r="L15" s="883">
        <v>126630.52673135989</v>
      </c>
      <c r="M15" s="890">
        <v>115423.24545454852</v>
      </c>
      <c r="N15" s="886">
        <v>126630.52673135989</v>
      </c>
      <c r="O15" s="887">
        <f>(('[8]ESTADISTICOS MAYO 2017'!AO396)+(E59/10)+(O52/10))*1000</f>
        <v>72776.975999993621</v>
      </c>
      <c r="P15" s="888"/>
      <c r="Q15" s="908" t="e">
        <f>'ESTADISTICOS JENNY'!#REF!</f>
        <v>#REF!</v>
      </c>
      <c r="R15" s="883"/>
      <c r="S15" s="908">
        <f ca="1">'ESTADISTICOS JENNY'!L$381</f>
        <v>0</v>
      </c>
      <c r="T15" s="883"/>
      <c r="U15" s="908">
        <f ca="1">'ESTADISTICOS JENNY'!L$382</f>
        <v>0</v>
      </c>
      <c r="V15" s="883"/>
      <c r="W15" s="908">
        <f ca="1">'ESTADISTICOS JENNY'!L$383</f>
        <v>0</v>
      </c>
      <c r="X15" s="883"/>
      <c r="Y15" s="908">
        <f ca="1">'ESTADISTICOS JENNY'!L$384</f>
        <v>0</v>
      </c>
      <c r="Z15" s="883"/>
      <c r="AA15" s="908">
        <f ca="1">'ESTADISTICOS JENNY'!L$385</f>
        <v>0</v>
      </c>
      <c r="AB15" s="883"/>
      <c r="AC15" s="923">
        <f ca="1">'ESTADISTICOS JENNY'!L$386</f>
        <v>0</v>
      </c>
    </row>
    <row r="16" spans="1:31" ht="15" customHeight="1">
      <c r="B16" s="857"/>
      <c r="C16" s="860"/>
      <c r="D16" s="882" t="s">
        <v>1063</v>
      </c>
      <c r="E16" s="866" t="s">
        <v>1064</v>
      </c>
      <c r="F16" s="883"/>
      <c r="G16" s="884"/>
      <c r="H16" s="883"/>
      <c r="I16" s="884"/>
      <c r="J16" s="883"/>
      <c r="K16" s="884"/>
      <c r="L16" s="883">
        <v>139076.32721757347</v>
      </c>
      <c r="M16" s="890">
        <v>126767.54545454856</v>
      </c>
      <c r="N16" s="886">
        <v>139076.32721757347</v>
      </c>
      <c r="O16" s="887">
        <f>(((D53+D51)/1000)+(E59/10)+(O52/10))*1000</f>
        <v>139482.97599999365</v>
      </c>
      <c r="P16" s="888"/>
      <c r="Q16" s="1002" t="e">
        <f>'ESTADISTICOS JENNY'!#REF!</f>
        <v>#REF!</v>
      </c>
      <c r="R16" s="883"/>
      <c r="S16" s="1002">
        <f ca="1">'ESTADISTICOS JENNY'!M$381</f>
        <v>0</v>
      </c>
      <c r="T16" s="883"/>
      <c r="U16" s="1002">
        <f ca="1">'ESTADISTICOS JENNY'!M$382</f>
        <v>0</v>
      </c>
      <c r="V16" s="883"/>
      <c r="W16" s="1002">
        <f ca="1">'ESTADISTICOS JENNY'!M$383</f>
        <v>0</v>
      </c>
      <c r="X16" s="883"/>
      <c r="Y16" s="1002">
        <f ca="1">'ESTADISTICOS JENNY'!M$384</f>
        <v>0</v>
      </c>
      <c r="Z16" s="883"/>
      <c r="AA16" s="1002">
        <f ca="1">'ESTADISTICOS JENNY'!M$385</f>
        <v>0</v>
      </c>
      <c r="AB16" s="883"/>
      <c r="AC16" s="1768">
        <f ca="1">'ESTADISTICOS JENNY'!M$386</f>
        <v>0</v>
      </c>
    </row>
    <row r="17" spans="2:29" ht="15" customHeight="1">
      <c r="B17" s="857"/>
      <c r="C17" s="860"/>
      <c r="D17" s="882" t="s">
        <v>978</v>
      </c>
      <c r="E17" s="866" t="s">
        <v>1065</v>
      </c>
      <c r="F17" s="883"/>
      <c r="G17" s="884"/>
      <c r="H17" s="883"/>
      <c r="I17" s="884"/>
      <c r="J17" s="883"/>
      <c r="K17" s="884"/>
      <c r="L17" s="883">
        <v>397807.46774160443</v>
      </c>
      <c r="M17" s="892">
        <v>362600.00000000402</v>
      </c>
      <c r="N17" s="886">
        <v>397807.46774160443</v>
      </c>
      <c r="O17" s="887">
        <f>(('[8]ESTADISTICOS MAYO 2017'!AI396)+(E59/10)+(O52/10))*1000</f>
        <v>72776.975999993621</v>
      </c>
      <c r="P17" s="888"/>
      <c r="Q17" s="908" t="e">
        <f>'ESTADISTICOS JENNY'!#REF!</f>
        <v>#REF!</v>
      </c>
      <c r="R17" s="883"/>
      <c r="S17" s="908">
        <f ca="1">'ESTADISTICOS JENNY'!N$381</f>
        <v>0</v>
      </c>
      <c r="T17" s="883"/>
      <c r="U17" s="908">
        <f ca="1">'ESTADISTICOS JENNY'!N$382</f>
        <v>0</v>
      </c>
      <c r="V17" s="883"/>
      <c r="W17" s="908">
        <f ca="1">'ESTADISTICOS JENNY'!N$383</f>
        <v>0</v>
      </c>
      <c r="X17" s="883"/>
      <c r="Y17" s="908">
        <f ca="1">'ESTADISTICOS JENNY'!N$384</f>
        <v>0</v>
      </c>
      <c r="Z17" s="883"/>
      <c r="AA17" s="908">
        <f ca="1">'ESTADISTICOS JENNY'!N$385</f>
        <v>0</v>
      </c>
      <c r="AB17" s="883"/>
      <c r="AC17" s="923">
        <f ca="1">'ESTADISTICOS JENNY'!N$386</f>
        <v>0</v>
      </c>
    </row>
    <row r="18" spans="2:29" ht="15" customHeight="1" thickBot="1">
      <c r="B18" s="858"/>
      <c r="C18" s="861"/>
      <c r="D18" s="1771" t="s">
        <v>1066</v>
      </c>
      <c r="E18" s="1772" t="s">
        <v>1067</v>
      </c>
      <c r="F18" s="893"/>
      <c r="G18" s="894"/>
      <c r="H18" s="893"/>
      <c r="I18" s="894"/>
      <c r="J18" s="893"/>
      <c r="K18" s="894"/>
      <c r="L18" s="893">
        <v>192489.275458686</v>
      </c>
      <c r="M18" s="895">
        <v>175453.245454549</v>
      </c>
      <c r="N18" s="896">
        <v>192489.275458686</v>
      </c>
      <c r="O18" s="897">
        <f>(((O100+O101)/1000)+(E59/10)+(O52/10))*1000</f>
        <v>160546.17599999363</v>
      </c>
      <c r="P18" s="898"/>
      <c r="Q18" s="916" t="e">
        <f>'ESTADISTICOS JENNY'!#REF!</f>
        <v>#REF!</v>
      </c>
      <c r="R18" s="893"/>
      <c r="S18" s="916">
        <f ca="1">'ESTADISTICOS JENNY'!O$381</f>
        <v>0</v>
      </c>
      <c r="T18" s="893"/>
      <c r="U18" s="916">
        <f ca="1">'ESTADISTICOS JENNY'!O$382</f>
        <v>0</v>
      </c>
      <c r="V18" s="893"/>
      <c r="W18" s="916">
        <f ca="1">'ESTADISTICOS JENNY'!O$383</f>
        <v>0</v>
      </c>
      <c r="X18" s="893"/>
      <c r="Y18" s="916">
        <f ca="1">'ESTADISTICOS JENNY'!O$384</f>
        <v>0</v>
      </c>
      <c r="Z18" s="893"/>
      <c r="AA18" s="916">
        <f ca="1">'ESTADISTICOS JENNY'!O$385</f>
        <v>0</v>
      </c>
      <c r="AB18" s="893"/>
      <c r="AC18" s="1769">
        <f ca="1">'ESTADISTICOS JENNY'!O$386</f>
        <v>0</v>
      </c>
    </row>
    <row r="19" spans="2:29" ht="30" thickTop="1" thickBot="1">
      <c r="B19" s="1762" t="s">
        <v>1453</v>
      </c>
      <c r="C19" s="1759" t="s">
        <v>1069</v>
      </c>
      <c r="D19" s="1760" t="s">
        <v>985</v>
      </c>
      <c r="E19" s="1761" t="s">
        <v>986</v>
      </c>
      <c r="F19" s="883"/>
      <c r="G19" s="884"/>
      <c r="H19" s="883"/>
      <c r="I19" s="884"/>
      <c r="J19" s="883"/>
      <c r="K19" s="884"/>
      <c r="L19" s="883">
        <v>72600</v>
      </c>
      <c r="M19" s="899">
        <v>85717</v>
      </c>
      <c r="N19" s="886">
        <v>72600</v>
      </c>
      <c r="O19" s="900" t="e">
        <f>'[8]ESTADISTICOS MAYO 2017'!E81*1000</f>
        <v>#VALUE!</v>
      </c>
      <c r="P19" s="888"/>
      <c r="Q19" s="884" t="e">
        <f>'ESTADISTICOS JENNY'!#REF!</f>
        <v>#REF!</v>
      </c>
      <c r="R19" s="883"/>
      <c r="S19" s="884" t="e">
        <f>'ESTADISTICOS JENNY'!P381</f>
        <v>#REF!</v>
      </c>
      <c r="T19" s="883"/>
      <c r="U19" s="884" t="e">
        <f>'ESTADISTICOS JENNY'!P382</f>
        <v>#REF!</v>
      </c>
      <c r="V19" s="883"/>
      <c r="W19" s="884" t="e">
        <f>'ESTADISTICOS JENNY'!P383</f>
        <v>#REF!</v>
      </c>
      <c r="X19" s="883"/>
      <c r="Y19" s="884" t="e">
        <f>'ESTADISTICOS JENNY'!P384</f>
        <v>#REF!</v>
      </c>
      <c r="Z19" s="883"/>
      <c r="AA19" s="884" t="e">
        <f>'ESTADISTICOS JENNY'!P385</f>
        <v>#REF!</v>
      </c>
      <c r="AB19" s="883"/>
      <c r="AC19" s="1770" t="e">
        <f>'ESTADISTICOS JENNY'!P386</f>
        <v>#REF!</v>
      </c>
    </row>
    <row r="20" spans="2:29" ht="13.5" customHeight="1" thickTop="1">
      <c r="B20" s="857" t="s">
        <v>1070</v>
      </c>
      <c r="C20" s="860" t="s">
        <v>1019</v>
      </c>
      <c r="D20" s="841" t="s">
        <v>1020</v>
      </c>
      <c r="E20" s="842" t="s">
        <v>1021</v>
      </c>
      <c r="F20" s="901"/>
      <c r="G20" s="902"/>
      <c r="H20" s="901"/>
      <c r="I20" s="902"/>
      <c r="J20" s="901"/>
      <c r="K20" s="902"/>
      <c r="L20" s="901">
        <v>88500</v>
      </c>
      <c r="M20" s="903">
        <v>11904</v>
      </c>
      <c r="N20" s="904">
        <v>88500</v>
      </c>
      <c r="O20" s="905">
        <f>(E63*24*30*D63)/1000</f>
        <v>11904.000000000002</v>
      </c>
      <c r="P20" s="906"/>
      <c r="Q20" s="902"/>
      <c r="R20" s="901"/>
      <c r="S20" s="902"/>
      <c r="T20" s="901"/>
      <c r="U20" s="902"/>
      <c r="V20" s="901"/>
      <c r="W20" s="902"/>
      <c r="X20" s="901"/>
      <c r="Y20" s="902"/>
      <c r="Z20" s="901"/>
      <c r="AA20" s="902"/>
      <c r="AB20" s="901"/>
      <c r="AC20" s="797"/>
    </row>
    <row r="21" spans="2:29">
      <c r="B21" s="857"/>
      <c r="C21" s="860"/>
      <c r="D21" s="841" t="s">
        <v>1022</v>
      </c>
      <c r="E21" s="842" t="s">
        <v>1023</v>
      </c>
      <c r="F21" s="907"/>
      <c r="G21" s="908"/>
      <c r="H21" s="907"/>
      <c r="I21" s="908"/>
      <c r="J21" s="907"/>
      <c r="K21" s="909"/>
      <c r="L21" s="907">
        <v>88500</v>
      </c>
      <c r="M21" s="910">
        <v>11904</v>
      </c>
      <c r="N21" s="911">
        <v>88500</v>
      </c>
      <c r="O21" s="912">
        <f>(E64*24*30*D64)/1000</f>
        <v>11904.000000000002</v>
      </c>
      <c r="P21" s="913"/>
      <c r="Q21" s="914"/>
      <c r="R21" s="907"/>
      <c r="S21" s="914"/>
      <c r="T21" s="907"/>
      <c r="U21" s="914"/>
      <c r="V21" s="907"/>
      <c r="W21" s="914"/>
      <c r="X21" s="907"/>
      <c r="Y21" s="914"/>
      <c r="Z21" s="907"/>
      <c r="AA21" s="914"/>
      <c r="AB21" s="907"/>
      <c r="AC21" s="778"/>
    </row>
    <row r="22" spans="2:29">
      <c r="B22" s="857"/>
      <c r="C22" s="860"/>
      <c r="D22" s="841" t="s">
        <v>1024</v>
      </c>
      <c r="E22" s="842" t="s">
        <v>1025</v>
      </c>
      <c r="F22" s="907"/>
      <c r="G22" s="908"/>
      <c r="H22" s="907"/>
      <c r="I22" s="908"/>
      <c r="J22" s="907"/>
      <c r="K22" s="908"/>
      <c r="L22" s="907">
        <v>88500</v>
      </c>
      <c r="M22" s="910">
        <v>5952</v>
      </c>
      <c r="N22" s="911">
        <v>88500</v>
      </c>
      <c r="O22" s="912">
        <f>(E67*24*30*D67)/1000</f>
        <v>5952.0000000000009</v>
      </c>
      <c r="P22" s="913"/>
      <c r="Q22" s="914"/>
      <c r="R22" s="907"/>
      <c r="S22" s="914"/>
      <c r="T22" s="907"/>
      <c r="U22" s="914"/>
      <c r="V22" s="907"/>
      <c r="W22" s="914"/>
      <c r="X22" s="907"/>
      <c r="Y22" s="914"/>
      <c r="Z22" s="907"/>
      <c r="AA22" s="914"/>
      <c r="AB22" s="907"/>
      <c r="AC22" s="778"/>
    </row>
    <row r="23" spans="2:29" ht="15" thickBot="1">
      <c r="B23" s="858"/>
      <c r="C23" s="861"/>
      <c r="D23" s="843" t="s">
        <v>1026</v>
      </c>
      <c r="E23" s="844" t="s">
        <v>1027</v>
      </c>
      <c r="F23" s="915"/>
      <c r="G23" s="916"/>
      <c r="H23" s="915"/>
      <c r="I23" s="916"/>
      <c r="J23" s="915"/>
      <c r="K23" s="916"/>
      <c r="L23" s="915">
        <v>88500</v>
      </c>
      <c r="M23" s="917">
        <v>5208</v>
      </c>
      <c r="N23" s="918">
        <v>88500</v>
      </c>
      <c r="O23" s="912">
        <f>(E68*24*30*D68)/1000</f>
        <v>5208.0000000000009</v>
      </c>
      <c r="P23" s="919"/>
      <c r="Q23" s="920"/>
      <c r="R23" s="915"/>
      <c r="S23" s="920"/>
      <c r="T23" s="915"/>
      <c r="U23" s="920"/>
      <c r="V23" s="915"/>
      <c r="W23" s="920"/>
      <c r="X23" s="915"/>
      <c r="Y23" s="920"/>
      <c r="Z23" s="915"/>
      <c r="AA23" s="920"/>
      <c r="AB23" s="915"/>
      <c r="AC23" s="840"/>
    </row>
    <row r="24" spans="2:29" ht="15.75" customHeight="1" thickTop="1">
      <c r="B24" s="2536" t="s">
        <v>1028</v>
      </c>
      <c r="C24" s="2537" t="s">
        <v>1029</v>
      </c>
      <c r="D24" s="845" t="s">
        <v>1030</v>
      </c>
      <c r="E24" s="846" t="s">
        <v>1031</v>
      </c>
      <c r="F24" s="901"/>
      <c r="G24" s="921"/>
      <c r="H24" s="901"/>
      <c r="I24" s="921"/>
      <c r="J24" s="901"/>
      <c r="K24" s="921"/>
      <c r="L24" s="901">
        <v>14740</v>
      </c>
      <c r="M24" s="922">
        <f>N39*M39</f>
        <v>14026.785000000002</v>
      </c>
      <c r="N24" s="904">
        <v>14740</v>
      </c>
      <c r="O24" s="905">
        <f>O63</f>
        <v>9010.16</v>
      </c>
      <c r="P24" s="906"/>
      <c r="Q24" s="921"/>
      <c r="R24" s="901"/>
      <c r="S24" s="921"/>
      <c r="T24" s="901"/>
      <c r="U24" s="921"/>
      <c r="V24" s="901"/>
      <c r="W24" s="921"/>
      <c r="X24" s="901"/>
      <c r="Y24" s="921"/>
      <c r="Z24" s="901"/>
      <c r="AA24" s="921"/>
      <c r="AB24" s="901"/>
      <c r="AC24" s="847"/>
    </row>
    <row r="25" spans="2:29" ht="15" thickBot="1">
      <c r="B25" s="2304"/>
      <c r="C25" s="2307"/>
      <c r="D25" s="841" t="s">
        <v>1032</v>
      </c>
      <c r="E25" s="842" t="s">
        <v>1033</v>
      </c>
      <c r="F25" s="907"/>
      <c r="G25" s="914"/>
      <c r="H25" s="907"/>
      <c r="I25" s="914"/>
      <c r="J25" s="907"/>
      <c r="K25" s="914"/>
      <c r="L25" s="915">
        <v>7260</v>
      </c>
      <c r="M25" s="917">
        <f>N39*M40</f>
        <v>6908.7150000000001</v>
      </c>
      <c r="N25" s="918">
        <v>7260</v>
      </c>
      <c r="O25" s="923">
        <f>O64</f>
        <v>4437.84</v>
      </c>
      <c r="P25" s="913"/>
      <c r="Q25" s="914"/>
      <c r="R25" s="907"/>
      <c r="S25" s="914"/>
      <c r="T25" s="907"/>
      <c r="U25" s="914"/>
      <c r="V25" s="907"/>
      <c r="W25" s="914"/>
      <c r="X25" s="907"/>
      <c r="Y25" s="914"/>
      <c r="Z25" s="907"/>
      <c r="AA25" s="914"/>
      <c r="AB25" s="907"/>
      <c r="AC25" s="778"/>
    </row>
    <row r="26" spans="2:29" ht="15.75" customHeight="1" thickTop="1">
      <c r="B26" s="2536" t="s">
        <v>987</v>
      </c>
      <c r="C26" s="2537" t="s">
        <v>1071</v>
      </c>
      <c r="D26" s="845" t="s">
        <v>1046</v>
      </c>
      <c r="E26" s="846" t="s">
        <v>1047</v>
      </c>
      <c r="F26" s="901"/>
      <c r="G26" s="924"/>
      <c r="H26" s="901"/>
      <c r="I26" s="924"/>
      <c r="J26" s="901"/>
      <c r="K26" s="924"/>
      <c r="L26" s="883">
        <v>659237.45756020537</v>
      </c>
      <c r="M26" s="925">
        <v>600892.44545454602</v>
      </c>
      <c r="N26" s="886">
        <v>659237.45756020537</v>
      </c>
      <c r="O26" s="847">
        <f t="shared" ref="O26:O36" si="0">O7</f>
        <v>72776.975999993621</v>
      </c>
      <c r="P26" s="906"/>
      <c r="Q26" s="924"/>
      <c r="R26" s="901"/>
      <c r="S26" s="924"/>
      <c r="T26" s="901"/>
      <c r="U26" s="924"/>
      <c r="V26" s="901"/>
      <c r="W26" s="924"/>
      <c r="X26" s="901"/>
      <c r="Y26" s="924"/>
      <c r="Z26" s="901"/>
      <c r="AA26" s="924"/>
      <c r="AB26" s="901"/>
      <c r="AC26" s="848"/>
    </row>
    <row r="27" spans="2:29">
      <c r="B27" s="2303"/>
      <c r="C27" s="2306"/>
      <c r="D27" s="841" t="s">
        <v>981</v>
      </c>
      <c r="E27" s="842" t="s">
        <v>1048</v>
      </c>
      <c r="F27" s="883"/>
      <c r="G27" s="795"/>
      <c r="H27" s="883"/>
      <c r="I27" s="795"/>
      <c r="J27" s="883"/>
      <c r="K27" s="795"/>
      <c r="L27" s="883">
        <v>7426341.3884098101</v>
      </c>
      <c r="M27" s="910">
        <v>6769082.04545453</v>
      </c>
      <c r="N27" s="886">
        <v>7426341.3884098101</v>
      </c>
      <c r="O27" s="797">
        <f t="shared" si="0"/>
        <v>72776.975999993621</v>
      </c>
      <c r="P27" s="888"/>
      <c r="Q27" s="795"/>
      <c r="R27" s="883"/>
      <c r="S27" s="795"/>
      <c r="T27" s="883"/>
      <c r="U27" s="795"/>
      <c r="V27" s="883"/>
      <c r="W27" s="795"/>
      <c r="X27" s="883"/>
      <c r="Y27" s="795"/>
      <c r="Z27" s="883"/>
      <c r="AA27" s="795"/>
      <c r="AB27" s="883"/>
      <c r="AC27" s="798"/>
    </row>
    <row r="28" spans="2:29">
      <c r="B28" s="2303"/>
      <c r="C28" s="2306"/>
      <c r="D28" s="841" t="s">
        <v>1049</v>
      </c>
      <c r="E28" s="842" t="s">
        <v>1050</v>
      </c>
      <c r="F28" s="883"/>
      <c r="G28" s="795"/>
      <c r="H28" s="883"/>
      <c r="I28" s="795"/>
      <c r="J28" s="883"/>
      <c r="K28" s="795"/>
      <c r="L28" s="883">
        <v>250341.4083570579</v>
      </c>
      <c r="M28" s="910">
        <v>228185.24545454801</v>
      </c>
      <c r="N28" s="886">
        <v>250341.4083570579</v>
      </c>
      <c r="O28" s="797">
        <f t="shared" si="0"/>
        <v>307072.17599999363</v>
      </c>
      <c r="P28" s="888"/>
      <c r="Q28" s="795"/>
      <c r="R28" s="883"/>
      <c r="S28" s="795"/>
      <c r="T28" s="883"/>
      <c r="U28" s="795"/>
      <c r="V28" s="883"/>
      <c r="W28" s="795"/>
      <c r="X28" s="883"/>
      <c r="Y28" s="795"/>
      <c r="Z28" s="883"/>
      <c r="AA28" s="795"/>
      <c r="AB28" s="883"/>
      <c r="AC28" s="798"/>
    </row>
    <row r="29" spans="2:29">
      <c r="B29" s="2303"/>
      <c r="C29" s="2306"/>
      <c r="D29" s="841" t="s">
        <v>1053</v>
      </c>
      <c r="E29" s="842" t="s">
        <v>1052</v>
      </c>
      <c r="F29" s="883"/>
      <c r="G29" s="795"/>
      <c r="H29" s="883"/>
      <c r="I29" s="795"/>
      <c r="J29" s="883"/>
      <c r="K29" s="795"/>
      <c r="L29" s="883">
        <v>91556.327217573446</v>
      </c>
      <c r="M29" s="910">
        <v>83453.245454548494</v>
      </c>
      <c r="N29" s="886">
        <v>91556.327217573446</v>
      </c>
      <c r="O29" s="797">
        <f t="shared" si="0"/>
        <v>0</v>
      </c>
      <c r="P29" s="888"/>
      <c r="Q29" s="795"/>
      <c r="R29" s="883"/>
      <c r="S29" s="795"/>
      <c r="T29" s="883"/>
      <c r="U29" s="795"/>
      <c r="V29" s="883"/>
      <c r="W29" s="795"/>
      <c r="X29" s="883"/>
      <c r="Y29" s="795"/>
      <c r="Z29" s="883"/>
      <c r="AA29" s="795"/>
      <c r="AB29" s="883"/>
      <c r="AC29" s="798"/>
    </row>
    <row r="30" spans="2:29">
      <c r="B30" s="2303"/>
      <c r="C30" s="2306"/>
      <c r="D30" s="841" t="s">
        <v>1053</v>
      </c>
      <c r="E30" s="842" t="s">
        <v>1054</v>
      </c>
      <c r="F30" s="883"/>
      <c r="G30" s="795"/>
      <c r="H30" s="883"/>
      <c r="I30" s="795"/>
      <c r="J30" s="883"/>
      <c r="K30" s="795"/>
      <c r="L30" s="883">
        <v>1517234.2211232488</v>
      </c>
      <c r="M30" s="910">
        <v>1382953.24545452</v>
      </c>
      <c r="N30" s="886">
        <v>1517234.2211232488</v>
      </c>
      <c r="O30" s="797">
        <f t="shared" si="0"/>
        <v>72776.975999993621</v>
      </c>
      <c r="P30" s="888"/>
      <c r="Q30" s="795"/>
      <c r="R30" s="883"/>
      <c r="S30" s="795"/>
      <c r="T30" s="883"/>
      <c r="U30" s="795"/>
      <c r="V30" s="883"/>
      <c r="W30" s="795"/>
      <c r="X30" s="883"/>
      <c r="Y30" s="795"/>
      <c r="Z30" s="883"/>
      <c r="AA30" s="795"/>
      <c r="AB30" s="883"/>
      <c r="AC30" s="798"/>
    </row>
    <row r="31" spans="2:29">
      <c r="B31" s="2303"/>
      <c r="C31" s="2306"/>
      <c r="D31" s="841" t="s">
        <v>1055</v>
      </c>
      <c r="E31" s="842" t="s">
        <v>1056</v>
      </c>
      <c r="F31" s="883"/>
      <c r="G31" s="795"/>
      <c r="H31" s="883"/>
      <c r="I31" s="795"/>
      <c r="J31" s="883"/>
      <c r="K31" s="795"/>
      <c r="L31" s="883">
        <v>105696.92355642734</v>
      </c>
      <c r="M31" s="910">
        <v>96342.345454548908</v>
      </c>
      <c r="N31" s="886">
        <v>105696.92355642734</v>
      </c>
      <c r="O31" s="797">
        <f t="shared" si="0"/>
        <v>72776.975999993621</v>
      </c>
      <c r="P31" s="888"/>
      <c r="Q31" s="795"/>
      <c r="R31" s="883"/>
      <c r="S31" s="795"/>
      <c r="T31" s="883"/>
      <c r="U31" s="795"/>
      <c r="V31" s="883"/>
      <c r="W31" s="795"/>
      <c r="X31" s="883"/>
      <c r="Y31" s="795"/>
      <c r="Z31" s="883"/>
      <c r="AA31" s="795"/>
      <c r="AB31" s="883"/>
      <c r="AC31" s="798"/>
    </row>
    <row r="32" spans="2:29">
      <c r="B32" s="2303"/>
      <c r="C32" s="2306"/>
      <c r="D32" s="841" t="s">
        <v>1057</v>
      </c>
      <c r="E32" s="842" t="s">
        <v>1058</v>
      </c>
      <c r="F32" s="883"/>
      <c r="G32" s="795"/>
      <c r="H32" s="883"/>
      <c r="I32" s="795"/>
      <c r="J32" s="883"/>
      <c r="K32" s="795"/>
      <c r="L32" s="883">
        <v>97616.582791368011</v>
      </c>
      <c r="M32" s="910">
        <v>88977.145454548707</v>
      </c>
      <c r="N32" s="886">
        <v>97616.582791368011</v>
      </c>
      <c r="O32" s="797">
        <f t="shared" si="0"/>
        <v>0</v>
      </c>
      <c r="P32" s="888"/>
      <c r="Q32" s="795"/>
      <c r="R32" s="883"/>
      <c r="S32" s="795"/>
      <c r="T32" s="883"/>
      <c r="U32" s="795"/>
      <c r="V32" s="883"/>
      <c r="W32" s="795"/>
      <c r="X32" s="883"/>
      <c r="Y32" s="795"/>
      <c r="Z32" s="883"/>
      <c r="AA32" s="795"/>
      <c r="AB32" s="883"/>
      <c r="AC32" s="798"/>
    </row>
    <row r="33" spans="2:31">
      <c r="B33" s="2303"/>
      <c r="C33" s="2306"/>
      <c r="D33" s="841" t="s">
        <v>1059</v>
      </c>
      <c r="E33" s="842" t="s">
        <v>1060</v>
      </c>
      <c r="F33" s="883"/>
      <c r="G33" s="795"/>
      <c r="H33" s="883"/>
      <c r="I33" s="795"/>
      <c r="J33" s="883"/>
      <c r="K33" s="795"/>
      <c r="L33" s="883">
        <v>4835972.0938350847</v>
      </c>
      <c r="M33" s="910">
        <v>4407970.2454545703</v>
      </c>
      <c r="N33" s="886">
        <v>4835972.0938350847</v>
      </c>
      <c r="O33" s="797">
        <f t="shared" si="0"/>
        <v>72776.975999993621</v>
      </c>
      <c r="P33" s="888"/>
      <c r="Q33" s="795"/>
      <c r="R33" s="883"/>
      <c r="S33" s="795"/>
      <c r="T33" s="883"/>
      <c r="U33" s="795"/>
      <c r="V33" s="883"/>
      <c r="W33" s="795"/>
      <c r="X33" s="883"/>
      <c r="Y33" s="795"/>
      <c r="Z33" s="883"/>
      <c r="AA33" s="795"/>
      <c r="AB33" s="883"/>
      <c r="AC33" s="798"/>
    </row>
    <row r="34" spans="2:31">
      <c r="B34" s="2303"/>
      <c r="C34" s="2306"/>
      <c r="D34" s="841" t="s">
        <v>1061</v>
      </c>
      <c r="E34" s="842" t="s">
        <v>1062</v>
      </c>
      <c r="F34" s="883"/>
      <c r="G34" s="795"/>
      <c r="H34" s="883"/>
      <c r="I34" s="795"/>
      <c r="J34" s="883"/>
      <c r="K34" s="795"/>
      <c r="L34" s="883">
        <v>126630.52673135989</v>
      </c>
      <c r="M34" s="910">
        <v>115423.24545454852</v>
      </c>
      <c r="N34" s="886">
        <v>126630.52673135989</v>
      </c>
      <c r="O34" s="797">
        <f t="shared" si="0"/>
        <v>72776.975999993621</v>
      </c>
      <c r="P34" s="888"/>
      <c r="Q34" s="795"/>
      <c r="R34" s="883"/>
      <c r="S34" s="795"/>
      <c r="T34" s="883"/>
      <c r="U34" s="795"/>
      <c r="V34" s="883"/>
      <c r="W34" s="795"/>
      <c r="X34" s="883"/>
      <c r="Y34" s="795"/>
      <c r="Z34" s="883"/>
      <c r="AA34" s="795"/>
      <c r="AB34" s="883"/>
      <c r="AC34" s="798"/>
    </row>
    <row r="35" spans="2:31">
      <c r="B35" s="2303"/>
      <c r="C35" s="2306"/>
      <c r="D35" s="841" t="s">
        <v>1063</v>
      </c>
      <c r="E35" s="842" t="s">
        <v>1064</v>
      </c>
      <c r="F35" s="907"/>
      <c r="G35" s="773"/>
      <c r="H35" s="907"/>
      <c r="I35" s="773"/>
      <c r="J35" s="907"/>
      <c r="K35" s="773"/>
      <c r="L35" s="883">
        <v>139076.32721757347</v>
      </c>
      <c r="M35" s="910">
        <v>126767.54545454856</v>
      </c>
      <c r="N35" s="886">
        <v>139076.32721757347</v>
      </c>
      <c r="O35" s="778">
        <f t="shared" si="0"/>
        <v>139482.97599999365</v>
      </c>
      <c r="P35" s="913"/>
      <c r="Q35" s="773"/>
      <c r="R35" s="907"/>
      <c r="S35" s="773"/>
      <c r="T35" s="907"/>
      <c r="U35" s="773"/>
      <c r="V35" s="907"/>
      <c r="W35" s="773"/>
      <c r="X35" s="907"/>
      <c r="Y35" s="773"/>
      <c r="Z35" s="907"/>
      <c r="AA35" s="773"/>
      <c r="AB35" s="907"/>
      <c r="AC35" s="775"/>
    </row>
    <row r="36" spans="2:31" ht="15" thickBot="1">
      <c r="B36" s="2304"/>
      <c r="C36" s="2307"/>
      <c r="D36" s="843" t="s">
        <v>978</v>
      </c>
      <c r="E36" s="844" t="s">
        <v>1065</v>
      </c>
      <c r="F36" s="915"/>
      <c r="G36" s="787"/>
      <c r="H36" s="915"/>
      <c r="I36" s="787"/>
      <c r="J36" s="915"/>
      <c r="K36" s="787"/>
      <c r="L36" s="915">
        <v>397807.46774160443</v>
      </c>
      <c r="M36" s="926">
        <v>362600.00000000402</v>
      </c>
      <c r="N36" s="918">
        <v>397807.46774160443</v>
      </c>
      <c r="O36" s="788">
        <f t="shared" si="0"/>
        <v>72776.975999993621</v>
      </c>
      <c r="P36" s="919"/>
      <c r="Q36" s="787"/>
      <c r="R36" s="915"/>
      <c r="S36" s="787"/>
      <c r="T36" s="915"/>
      <c r="U36" s="787"/>
      <c r="V36" s="915"/>
      <c r="W36" s="787"/>
      <c r="X36" s="915"/>
      <c r="Y36" s="787"/>
      <c r="Z36" s="915"/>
      <c r="AA36" s="787"/>
      <c r="AB36" s="915"/>
      <c r="AC36" s="849"/>
    </row>
    <row r="37" spans="2:31" ht="15" thickTop="1">
      <c r="B37" s="927"/>
      <c r="C37" s="927"/>
      <c r="D37" s="928"/>
      <c r="E37" s="927"/>
      <c r="F37" s="929"/>
      <c r="G37" s="930"/>
      <c r="H37" s="929"/>
      <c r="I37" s="929"/>
      <c r="J37" s="929"/>
      <c r="K37" s="929"/>
      <c r="L37" s="929"/>
      <c r="M37" s="930" t="e">
        <f>SUM(M7:M18)</f>
        <v>#REF!</v>
      </c>
      <c r="N37" s="929"/>
      <c r="O37" s="929"/>
      <c r="P37" s="929"/>
      <c r="Q37" s="929"/>
      <c r="R37" s="929"/>
      <c r="S37" s="929"/>
      <c r="T37" s="929"/>
      <c r="U37" s="929"/>
      <c r="V37" s="929"/>
      <c r="W37" s="929"/>
      <c r="X37" s="927"/>
      <c r="Y37" s="927"/>
      <c r="Z37" s="927"/>
      <c r="AA37" s="927"/>
      <c r="AB37" s="927"/>
      <c r="AC37" s="927"/>
      <c r="AD37" s="927"/>
      <c r="AE37" s="927"/>
    </row>
    <row r="38" spans="2:31">
      <c r="B38" s="927"/>
      <c r="C38" s="927"/>
      <c r="D38" s="927"/>
      <c r="E38" s="931" t="s">
        <v>1072</v>
      </c>
      <c r="F38" s="927"/>
      <c r="G38" s="927"/>
      <c r="H38" s="927"/>
      <c r="I38" s="932">
        <f>[9]DATOSCECOS!H393*25%</f>
        <v>178.0499999999974</v>
      </c>
      <c r="J38" s="932">
        <f>I38*4</f>
        <v>712.19999999998959</v>
      </c>
      <c r="K38" s="932"/>
      <c r="L38" s="927"/>
      <c r="M38" s="933"/>
      <c r="N38" s="927"/>
      <c r="O38" s="934">
        <f>('[8]ESTADISTICOS MAYO 2017'!Y396)*1000</f>
        <v>0</v>
      </c>
      <c r="P38" s="935"/>
      <c r="Q38" s="927"/>
      <c r="R38" s="927"/>
      <c r="S38" s="927"/>
      <c r="T38" s="927"/>
      <c r="U38" s="927"/>
      <c r="V38" s="927"/>
      <c r="W38" s="927"/>
      <c r="X38" s="927"/>
      <c r="Y38" s="927"/>
      <c r="Z38" s="927"/>
      <c r="AA38" s="927"/>
      <c r="AB38" s="927"/>
      <c r="AC38" s="927"/>
      <c r="AD38" s="927"/>
      <c r="AE38" s="927"/>
    </row>
    <row r="39" spans="2:31">
      <c r="B39" s="927"/>
      <c r="C39" s="927"/>
      <c r="D39" s="927"/>
      <c r="E39" s="931"/>
      <c r="F39" s="927"/>
      <c r="G39" s="927"/>
      <c r="H39" s="927"/>
      <c r="I39" s="927"/>
      <c r="J39" s="927"/>
      <c r="K39" s="927"/>
      <c r="L39" s="927">
        <v>15840000</v>
      </c>
      <c r="M39" s="936">
        <f>L24/(L24+L25)</f>
        <v>0.67</v>
      </c>
      <c r="N39" s="927">
        <v>20935.5</v>
      </c>
      <c r="O39" s="937">
        <f>SUM(O7:O18)</f>
        <v>1116540.1599999361</v>
      </c>
      <c r="P39" s="935"/>
      <c r="Q39" s="927"/>
      <c r="R39" s="927"/>
      <c r="S39" s="927"/>
      <c r="T39" s="927"/>
      <c r="U39" s="927"/>
      <c r="V39" s="927"/>
      <c r="W39" s="927"/>
      <c r="X39" s="927"/>
      <c r="Y39" s="927"/>
      <c r="Z39" s="927"/>
      <c r="AA39" s="927"/>
      <c r="AB39" s="927"/>
      <c r="AC39" s="927"/>
      <c r="AD39" s="927"/>
      <c r="AE39" s="927"/>
    </row>
    <row r="40" spans="2:31">
      <c r="B40" s="927"/>
      <c r="C40" s="927"/>
      <c r="D40" s="927"/>
      <c r="E40" s="931"/>
      <c r="F40" s="927"/>
      <c r="G40" s="927"/>
      <c r="H40" s="927"/>
      <c r="I40" s="927"/>
      <c r="J40" s="927"/>
      <c r="K40" s="927"/>
      <c r="L40" s="927"/>
      <c r="M40" s="936">
        <f>L25/(L25+L24)</f>
        <v>0.33</v>
      </c>
      <c r="N40" s="927"/>
      <c r="O40" s="938">
        <f>O38-O39</f>
        <v>-1116540.1599999361</v>
      </c>
      <c r="P40" s="935"/>
      <c r="Q40" s="927"/>
      <c r="R40" s="927"/>
      <c r="S40" s="927"/>
      <c r="T40" s="927"/>
      <c r="U40" s="927"/>
      <c r="V40" s="927"/>
      <c r="W40" s="927"/>
      <c r="X40" s="927"/>
      <c r="Y40" s="927"/>
      <c r="Z40" s="927"/>
      <c r="AA40" s="927"/>
      <c r="AB40" s="927"/>
      <c r="AC40" s="927"/>
      <c r="AD40" s="927"/>
      <c r="AE40" s="927"/>
    </row>
    <row r="41" spans="2:31" ht="12.75" hidden="1" customHeight="1">
      <c r="B41" s="927"/>
      <c r="C41" s="927"/>
      <c r="D41" s="927"/>
      <c r="E41" s="931"/>
      <c r="F41" s="939"/>
      <c r="G41" s="927"/>
      <c r="H41" s="927"/>
      <c r="I41" s="927"/>
      <c r="J41" s="927"/>
      <c r="K41" s="927"/>
      <c r="L41" s="927"/>
      <c r="M41" s="935"/>
      <c r="N41" s="935"/>
      <c r="O41" s="935"/>
      <c r="P41" s="935"/>
      <c r="Q41" s="927"/>
      <c r="R41" s="927"/>
      <c r="S41" s="927"/>
      <c r="T41" s="927"/>
      <c r="U41" s="927"/>
      <c r="V41" s="927"/>
      <c r="W41" s="927"/>
      <c r="X41" s="927"/>
      <c r="Y41" s="927"/>
      <c r="Z41" s="927"/>
      <c r="AA41" s="927"/>
      <c r="AB41" s="927"/>
      <c r="AC41" s="927"/>
      <c r="AD41" s="927"/>
      <c r="AE41" s="927"/>
    </row>
    <row r="42" spans="2:31" ht="15.75" hidden="1" customHeight="1">
      <c r="B42" s="927"/>
      <c r="C42" s="940" t="s">
        <v>130</v>
      </c>
      <c r="D42" s="941" t="s">
        <v>1034</v>
      </c>
      <c r="E42" s="942"/>
      <c r="F42" s="943" t="s">
        <v>1013</v>
      </c>
      <c r="G42" s="943" t="s">
        <v>1014</v>
      </c>
      <c r="H42" s="943" t="s">
        <v>1015</v>
      </c>
      <c r="I42" s="943" t="s">
        <v>1016</v>
      </c>
      <c r="J42" s="943" t="s">
        <v>1017</v>
      </c>
      <c r="K42" s="943" t="s">
        <v>1018</v>
      </c>
      <c r="L42" s="943" t="s">
        <v>971</v>
      </c>
      <c r="M42" s="944" t="s">
        <v>972</v>
      </c>
      <c r="N42" s="944" t="s">
        <v>1035</v>
      </c>
      <c r="O42" s="944" t="s">
        <v>1036</v>
      </c>
      <c r="P42" s="944"/>
      <c r="Q42" s="943" t="s">
        <v>1037</v>
      </c>
      <c r="R42" s="927"/>
      <c r="S42" s="927"/>
      <c r="T42" s="927"/>
      <c r="U42" s="927"/>
      <c r="V42" s="927"/>
      <c r="W42" s="927"/>
      <c r="X42" s="927"/>
      <c r="Y42" s="927"/>
      <c r="Z42" s="927"/>
      <c r="AA42" s="927"/>
      <c r="AB42" s="927"/>
      <c r="AC42" s="927"/>
      <c r="AD42" s="927"/>
      <c r="AE42" s="927"/>
    </row>
    <row r="43" spans="2:31" ht="12.75" hidden="1" customHeight="1">
      <c r="B43" s="927"/>
      <c r="C43" s="945">
        <v>0.30181049086675338</v>
      </c>
      <c r="D43" s="946" t="s">
        <v>976</v>
      </c>
      <c r="E43" s="947" t="s">
        <v>977</v>
      </c>
      <c r="F43" s="948">
        <f>F48*$C$43</f>
        <v>4940034.1145070195</v>
      </c>
      <c r="G43" s="949">
        <f>G48*C43</f>
        <v>4621322.2361517278</v>
      </c>
      <c r="H43" s="949">
        <f>H48*C43</f>
        <v>4940034.1145070195</v>
      </c>
      <c r="I43" s="949">
        <f>I48*C43</f>
        <v>4780678.1753293732</v>
      </c>
      <c r="J43" s="949">
        <f>$J$48*C43</f>
        <v>4940034.1145070195</v>
      </c>
      <c r="K43" s="949">
        <f>$K$48*C43</f>
        <v>4780678.1753293732</v>
      </c>
      <c r="L43" s="949">
        <f>$L$48*C43</f>
        <v>4940034.1145070195</v>
      </c>
      <c r="M43" s="950">
        <f>$M$48*C43</f>
        <v>4940034.1145070195</v>
      </c>
      <c r="N43" s="950">
        <f>$N$48*C43</f>
        <v>4780678.1753293732</v>
      </c>
      <c r="O43" s="950">
        <f>$O$48*C43</f>
        <v>4940034.1145070195</v>
      </c>
      <c r="P43" s="950"/>
      <c r="Q43" s="951">
        <f>$Q$48*C43</f>
        <v>4940034.1145070195</v>
      </c>
      <c r="R43" s="927"/>
      <c r="S43" s="927"/>
      <c r="T43" s="927"/>
      <c r="U43" s="927"/>
      <c r="V43" s="927"/>
      <c r="W43" s="927"/>
      <c r="X43" s="927"/>
      <c r="Y43" s="927"/>
      <c r="Z43" s="927"/>
      <c r="AA43" s="927"/>
      <c r="AB43" s="927"/>
      <c r="AC43" s="927"/>
      <c r="AD43" s="927"/>
      <c r="AE43" s="927"/>
    </row>
    <row r="44" spans="2:31" ht="12.75" hidden="1" customHeight="1">
      <c r="B44" s="927"/>
      <c r="C44" s="952">
        <v>4.209607555658261E-2</v>
      </c>
      <c r="D44" s="953" t="s">
        <v>978</v>
      </c>
      <c r="E44" s="954" t="s">
        <v>979</v>
      </c>
      <c r="F44" s="955">
        <f>F48*C44</f>
        <v>689028.56471014419</v>
      </c>
      <c r="G44" s="956">
        <f>G48*C44</f>
        <v>644575.10892239294</v>
      </c>
      <c r="H44" s="956">
        <f>H48*C44</f>
        <v>689028.56471014419</v>
      </c>
      <c r="I44" s="956">
        <f>I48*C44</f>
        <v>666801.83681626851</v>
      </c>
      <c r="J44" s="956">
        <f>$J$48*C44</f>
        <v>689028.56471014419</v>
      </c>
      <c r="K44" s="956">
        <f>$K$48*C44</f>
        <v>666801.83681626851</v>
      </c>
      <c r="L44" s="956">
        <f>$L$48*C44</f>
        <v>689028.56471014419</v>
      </c>
      <c r="M44" s="957">
        <f>$M$48*C44</f>
        <v>689028.56471014419</v>
      </c>
      <c r="N44" s="957">
        <f>$N$48*C44</f>
        <v>666801.83681626851</v>
      </c>
      <c r="O44" s="957">
        <f>$O$48*C44</f>
        <v>689028.56471014419</v>
      </c>
      <c r="P44" s="957"/>
      <c r="Q44" s="958">
        <f>$Q$48*C44</f>
        <v>689028.56471014419</v>
      </c>
      <c r="R44" s="927"/>
      <c r="S44" s="927"/>
      <c r="T44" s="927"/>
      <c r="U44" s="927"/>
      <c r="V44" s="927"/>
      <c r="W44" s="927"/>
      <c r="X44" s="927"/>
      <c r="Y44" s="927"/>
      <c r="Z44" s="927"/>
      <c r="AA44" s="927"/>
      <c r="AB44" s="927"/>
      <c r="AC44" s="927"/>
      <c r="AD44" s="927"/>
      <c r="AE44" s="927"/>
    </row>
    <row r="45" spans="2:31" ht="12.75" hidden="1" customHeight="1">
      <c r="B45" s="927"/>
      <c r="C45" s="952">
        <v>0.52397194190054475</v>
      </c>
      <c r="D45" s="953" t="s">
        <v>914</v>
      </c>
      <c r="E45" s="954" t="s">
        <v>980</v>
      </c>
      <c r="F45" s="955">
        <f>F48*C45</f>
        <v>8576372.7450281158</v>
      </c>
      <c r="G45" s="956">
        <f>G48*C45</f>
        <v>8023058.3743811408</v>
      </c>
      <c r="H45" s="956">
        <f>H48*C45</f>
        <v>8576372.7450281158</v>
      </c>
      <c r="I45" s="956">
        <f>I48*C45</f>
        <v>8299715.5597046288</v>
      </c>
      <c r="J45" s="956">
        <f>$J$48*C45</f>
        <v>8576372.7450281158</v>
      </c>
      <c r="K45" s="956">
        <f>$K$48*C45</f>
        <v>8299715.5597046288</v>
      </c>
      <c r="L45" s="956">
        <f>$L$48*C45</f>
        <v>8576372.7450281158</v>
      </c>
      <c r="M45" s="957">
        <f>$M$48*C45</f>
        <v>8576372.7450281158</v>
      </c>
      <c r="N45" s="957">
        <f>$N$48*C45</f>
        <v>8299715.5597046288</v>
      </c>
      <c r="O45" s="957">
        <f>$O$48*C45</f>
        <v>8576372.7450281158</v>
      </c>
      <c r="P45" s="957"/>
      <c r="Q45" s="958">
        <f>$Q$48*C45</f>
        <v>8576372.7450281158</v>
      </c>
      <c r="R45" s="927"/>
      <c r="S45" s="927"/>
      <c r="T45" s="927"/>
      <c r="U45" s="927"/>
      <c r="V45" s="927"/>
      <c r="W45" s="927"/>
      <c r="X45" s="927"/>
      <c r="Y45" s="927"/>
      <c r="Z45" s="927"/>
      <c r="AA45" s="927"/>
      <c r="AB45" s="927"/>
      <c r="AC45" s="927"/>
      <c r="AD45" s="927"/>
      <c r="AE45" s="927"/>
    </row>
    <row r="46" spans="2:31" ht="12.75" hidden="1" customHeight="1">
      <c r="B46" s="927"/>
      <c r="C46" s="952">
        <v>0.11881463863718615</v>
      </c>
      <c r="D46" s="953" t="s">
        <v>981</v>
      </c>
      <c r="E46" s="954" t="s">
        <v>982</v>
      </c>
      <c r="F46" s="955">
        <f>F48*C46</f>
        <v>1944758.005213463</v>
      </c>
      <c r="G46" s="956">
        <f>G48*C46</f>
        <v>1819289.7468125944</v>
      </c>
      <c r="H46" s="956">
        <f>H48*C46</f>
        <v>1944758.005213463</v>
      </c>
      <c r="I46" s="956">
        <f>I48*C46</f>
        <v>1882023.8760130287</v>
      </c>
      <c r="J46" s="956">
        <f>$J$48*C46</f>
        <v>1944758.005213463</v>
      </c>
      <c r="K46" s="956">
        <f>$K$48*C46</f>
        <v>1882023.8760130287</v>
      </c>
      <c r="L46" s="956">
        <f>$L$48*C46</f>
        <v>1944758.005213463</v>
      </c>
      <c r="M46" s="957">
        <f>$M$48*C46</f>
        <v>1944758.005213463</v>
      </c>
      <c r="N46" s="957">
        <f>$N$48*C46</f>
        <v>1882023.8760130287</v>
      </c>
      <c r="O46" s="957">
        <f>$O$48*C46</f>
        <v>1944758.005213463</v>
      </c>
      <c r="P46" s="957"/>
      <c r="Q46" s="958">
        <f>$Q$48*C46</f>
        <v>1944758.005213463</v>
      </c>
      <c r="R46" s="927"/>
      <c r="S46" s="927"/>
      <c r="T46" s="927"/>
      <c r="U46" s="927"/>
      <c r="V46" s="927"/>
      <c r="W46" s="927"/>
      <c r="X46" s="927"/>
      <c r="Y46" s="927"/>
      <c r="Z46" s="927"/>
      <c r="AA46" s="927"/>
      <c r="AB46" s="927"/>
      <c r="AC46" s="927"/>
      <c r="AD46" s="927"/>
      <c r="AE46" s="927"/>
    </row>
    <row r="47" spans="2:31" ht="13.5" hidden="1" customHeight="1">
      <c r="B47" s="927"/>
      <c r="C47" s="959">
        <v>1.3306853038933128E-2</v>
      </c>
      <c r="D47" s="960" t="s">
        <v>983</v>
      </c>
      <c r="E47" s="961" t="s">
        <v>984</v>
      </c>
      <c r="F47" s="962">
        <f>F48*C47</f>
        <v>217806.57054125745</v>
      </c>
      <c r="G47" s="963">
        <f>G48*C47</f>
        <v>203754.53373214405</v>
      </c>
      <c r="H47" s="963">
        <f>H48*C47</f>
        <v>217806.57054125745</v>
      </c>
      <c r="I47" s="963">
        <f>I48*C47</f>
        <v>210780.55213670075</v>
      </c>
      <c r="J47" s="963">
        <f>$J$48*C47</f>
        <v>217806.57054125745</v>
      </c>
      <c r="K47" s="963">
        <f>$K$48*C47</f>
        <v>210780.55213670075</v>
      </c>
      <c r="L47" s="963">
        <f>$L$48*C47</f>
        <v>217806.57054125745</v>
      </c>
      <c r="M47" s="964">
        <f>$M$48*C47</f>
        <v>217806.57054125745</v>
      </c>
      <c r="N47" s="964">
        <f>$N$48*C47</f>
        <v>210780.55213670075</v>
      </c>
      <c r="O47" s="964">
        <f>$O$48*C47</f>
        <v>217806.57054125745</v>
      </c>
      <c r="P47" s="964"/>
      <c r="Q47" s="965">
        <f>$Q$48*C47</f>
        <v>217806.57054125745</v>
      </c>
      <c r="R47" s="927"/>
      <c r="S47" s="927"/>
      <c r="T47" s="927"/>
      <c r="U47" s="927"/>
      <c r="V47" s="927"/>
      <c r="W47" s="927"/>
      <c r="X47" s="927"/>
      <c r="Y47" s="927"/>
      <c r="Z47" s="927"/>
      <c r="AA47" s="927"/>
      <c r="AB47" s="927"/>
      <c r="AC47" s="927"/>
      <c r="AD47" s="927"/>
      <c r="AE47" s="927"/>
    </row>
    <row r="48" spans="2:31" ht="15.75" hidden="1" customHeight="1">
      <c r="B48" s="927"/>
      <c r="C48" s="927"/>
      <c r="D48" s="927"/>
      <c r="E48" s="966" t="s">
        <v>1038</v>
      </c>
      <c r="F48" s="967">
        <f>16368*1000</f>
        <v>16368000</v>
      </c>
      <c r="G48" s="967">
        <f>15312*1000</f>
        <v>15312000</v>
      </c>
      <c r="H48" s="967">
        <f>16368*1000</f>
        <v>16368000</v>
      </c>
      <c r="I48" s="967">
        <f>15840*1000</f>
        <v>15840000</v>
      </c>
      <c r="J48" s="967">
        <f>16368*1000</f>
        <v>16368000</v>
      </c>
      <c r="K48" s="967">
        <f>15840*1000</f>
        <v>15840000</v>
      </c>
      <c r="L48" s="967">
        <f>16368*1000</f>
        <v>16368000</v>
      </c>
      <c r="M48" s="968">
        <f>16368*1000</f>
        <v>16368000</v>
      </c>
      <c r="N48" s="968">
        <f>15840*1000</f>
        <v>15840000</v>
      </c>
      <c r="O48" s="968">
        <f>16368*1000</f>
        <v>16368000</v>
      </c>
      <c r="P48" s="968"/>
      <c r="Q48" s="967">
        <f>16368*1000</f>
        <v>16368000</v>
      </c>
      <c r="R48" s="927"/>
      <c r="S48" s="927"/>
      <c r="T48" s="927"/>
      <c r="U48" s="927"/>
      <c r="V48" s="927"/>
      <c r="W48" s="927"/>
      <c r="X48" s="927"/>
      <c r="Y48" s="927"/>
      <c r="Z48" s="927"/>
      <c r="AA48" s="927"/>
      <c r="AB48" s="927"/>
      <c r="AC48" s="927"/>
      <c r="AD48" s="927"/>
      <c r="AE48" s="927"/>
    </row>
    <row r="49" spans="2:31" ht="15.5">
      <c r="B49" s="927"/>
      <c r="C49" s="969" t="s">
        <v>1073</v>
      </c>
      <c r="D49" s="969" t="s">
        <v>973</v>
      </c>
      <c r="E49" s="969" t="s">
        <v>207</v>
      </c>
      <c r="F49" s="927"/>
      <c r="G49" s="927"/>
      <c r="H49" s="927"/>
      <c r="I49" s="927"/>
      <c r="J49" s="927"/>
      <c r="K49" s="927"/>
      <c r="L49" s="927"/>
      <c r="M49" s="935"/>
      <c r="N49" s="935"/>
      <c r="O49" s="937">
        <f>O40-E59</f>
        <v>-1117260.8799999361</v>
      </c>
      <c r="P49" s="935"/>
      <c r="Q49" s="336">
        <f>P49*1000</f>
        <v>0</v>
      </c>
      <c r="R49" s="927"/>
      <c r="S49" s="927"/>
      <c r="T49" s="927"/>
      <c r="U49" s="927"/>
      <c r="V49" s="927"/>
      <c r="W49" s="927"/>
      <c r="X49" s="927"/>
      <c r="Y49" s="927"/>
      <c r="Z49" s="927"/>
      <c r="AA49" s="927"/>
      <c r="AB49" s="927"/>
      <c r="AC49" s="927"/>
      <c r="AD49" s="927"/>
      <c r="AE49" s="927"/>
    </row>
    <row r="50" spans="2:31">
      <c r="B50" s="927"/>
      <c r="C50" s="970" t="s">
        <v>1074</v>
      </c>
      <c r="D50" s="970">
        <v>325.41000000000003</v>
      </c>
      <c r="E50" s="971" t="e">
        <f>((D50*24*30)/1000)/O38</f>
        <v>#DIV/0!</v>
      </c>
      <c r="O50" s="972">
        <v>727.76975999993738</v>
      </c>
      <c r="P50" s="935"/>
      <c r="Q50" s="927"/>
      <c r="R50" s="927"/>
      <c r="S50" s="927"/>
      <c r="T50" s="927"/>
      <c r="U50" s="927"/>
      <c r="V50" s="927"/>
      <c r="W50" s="927"/>
      <c r="X50" s="927"/>
      <c r="Y50" s="927"/>
      <c r="Z50" s="927"/>
      <c r="AA50" s="927"/>
      <c r="AB50" s="927"/>
      <c r="AC50" s="927"/>
      <c r="AD50" s="927"/>
      <c r="AE50" s="927"/>
    </row>
    <row r="51" spans="2:31">
      <c r="B51" s="927"/>
      <c r="C51" s="2534" t="s">
        <v>1075</v>
      </c>
      <c r="D51" s="970">
        <f>25*90</f>
        <v>2250</v>
      </c>
      <c r="E51" s="973"/>
      <c r="O51" s="974">
        <v>7.0497599999373506</v>
      </c>
      <c r="P51" s="935"/>
      <c r="Q51" s="927"/>
      <c r="R51" s="927"/>
      <c r="S51" s="927"/>
      <c r="T51" s="927"/>
      <c r="U51" s="927"/>
      <c r="V51" s="927"/>
      <c r="W51" s="927"/>
      <c r="X51" s="927"/>
      <c r="Y51" s="927"/>
      <c r="Z51" s="927"/>
      <c r="AA51" s="927"/>
      <c r="AB51" s="927"/>
      <c r="AC51" s="927"/>
      <c r="AD51" s="927"/>
      <c r="AE51" s="927"/>
    </row>
    <row r="52" spans="2:31">
      <c r="B52" s="927"/>
      <c r="C52" s="2534"/>
      <c r="D52" s="975"/>
      <c r="E52" s="973"/>
      <c r="O52" s="935">
        <v>7.0497599999362137</v>
      </c>
      <c r="P52" s="935"/>
      <c r="Q52" s="927"/>
      <c r="R52" s="927"/>
      <c r="S52" s="927"/>
      <c r="T52" s="927"/>
      <c r="U52" s="927"/>
      <c r="V52" s="927"/>
      <c r="W52" s="927"/>
      <c r="X52" s="927"/>
      <c r="Y52" s="927"/>
      <c r="Z52" s="927"/>
      <c r="AA52" s="927"/>
      <c r="AB52" s="927"/>
      <c r="AC52" s="927"/>
      <c r="AD52" s="927"/>
      <c r="AE52" s="927"/>
    </row>
    <row r="53" spans="2:31">
      <c r="B53" s="927"/>
      <c r="C53" s="970" t="s">
        <v>1076</v>
      </c>
      <c r="D53" s="976">
        <f>280*230.2</f>
        <v>64456</v>
      </c>
      <c r="E53" s="973"/>
      <c r="O53" s="935"/>
      <c r="P53" s="927"/>
      <c r="Q53" s="927" t="s">
        <v>1057</v>
      </c>
      <c r="R53" s="927" t="s">
        <v>1059</v>
      </c>
      <c r="S53" s="927" t="s">
        <v>1061</v>
      </c>
      <c r="T53" s="927" t="s">
        <v>1063</v>
      </c>
      <c r="U53" s="927" t="s">
        <v>978</v>
      </c>
      <c r="V53" s="927" t="s">
        <v>1066</v>
      </c>
      <c r="W53" s="927" t="s">
        <v>1051</v>
      </c>
      <c r="X53" s="927"/>
      <c r="Y53" s="927"/>
      <c r="Z53" s="927"/>
      <c r="AA53" s="927"/>
      <c r="AB53" s="927"/>
      <c r="AC53" s="927"/>
      <c r="AD53" s="927"/>
      <c r="AE53" s="927"/>
    </row>
    <row r="54" spans="2:31">
      <c r="B54" s="927"/>
      <c r="C54" s="977" t="s">
        <v>1077</v>
      </c>
      <c r="D54" s="978"/>
      <c r="E54" s="979"/>
      <c r="O54" s="935"/>
      <c r="P54" s="927"/>
      <c r="Q54" s="927"/>
      <c r="R54" s="927"/>
      <c r="S54" s="927"/>
      <c r="T54" s="927"/>
      <c r="U54" s="927"/>
      <c r="V54" s="927"/>
      <c r="W54" s="927"/>
      <c r="X54" s="927"/>
      <c r="Y54" s="927"/>
      <c r="Z54" s="927"/>
      <c r="AA54" s="927"/>
      <c r="AB54" s="927"/>
      <c r="AC54" s="927"/>
      <c r="AD54" s="927"/>
      <c r="AE54" s="927"/>
    </row>
    <row r="55" spans="2:31">
      <c r="B55" s="927"/>
      <c r="C55" s="970" t="s">
        <v>1078</v>
      </c>
      <c r="D55" s="976">
        <f>300*30*24</f>
        <v>216000</v>
      </c>
      <c r="E55" s="973">
        <f>D55/1000</f>
        <v>216</v>
      </c>
      <c r="O55" s="927">
        <v>1382.9532454545231</v>
      </c>
      <c r="P55" s="927">
        <v>96.342345454548934</v>
      </c>
      <c r="Q55" s="927">
        <v>88.977145454548705</v>
      </c>
      <c r="R55" s="927">
        <v>4407.9702454545713</v>
      </c>
      <c r="S55" s="927">
        <v>115.42324545454852</v>
      </c>
      <c r="T55" s="927">
        <v>126.76754545454855</v>
      </c>
      <c r="U55" s="927">
        <v>362.600000000004</v>
      </c>
      <c r="V55" s="927">
        <v>175.45324545454855</v>
      </c>
      <c r="W55" s="927">
        <v>83.453245454548536</v>
      </c>
      <c r="X55" s="927"/>
      <c r="Y55" s="927"/>
      <c r="Z55" s="927"/>
      <c r="AA55" s="927"/>
      <c r="AB55" s="927"/>
      <c r="AC55" s="927"/>
      <c r="AD55" s="927"/>
      <c r="AE55" s="927"/>
    </row>
    <row r="56" spans="2:31">
      <c r="B56" s="927"/>
      <c r="C56" s="970" t="s">
        <v>1079</v>
      </c>
      <c r="D56" s="970">
        <f>250*12*30</f>
        <v>90000</v>
      </c>
      <c r="E56" s="973">
        <f>D56/1000</f>
        <v>90</v>
      </c>
      <c r="F56" s="932">
        <v>217806.57054125745</v>
      </c>
      <c r="G56" s="932">
        <f>F56/31</f>
        <v>7026.0184045566921</v>
      </c>
      <c r="H56" s="932">
        <f>G56*25</f>
        <v>175650.4601139173</v>
      </c>
      <c r="I56" s="932"/>
      <c r="J56" s="927"/>
      <c r="K56" s="927"/>
      <c r="L56" s="927"/>
      <c r="M56" s="927"/>
      <c r="N56" s="927"/>
      <c r="O56" s="927"/>
      <c r="P56" s="927"/>
      <c r="Q56" s="927"/>
      <c r="R56" s="927"/>
      <c r="S56" s="927"/>
      <c r="T56" s="927"/>
      <c r="U56" s="927"/>
      <c r="V56" s="927"/>
      <c r="W56" s="927"/>
      <c r="X56" s="927"/>
      <c r="Y56" s="927"/>
      <c r="Z56" s="927"/>
      <c r="AA56" s="927"/>
      <c r="AB56" s="927"/>
      <c r="AC56" s="927"/>
      <c r="AD56" s="927"/>
      <c r="AE56" s="927"/>
    </row>
    <row r="57" spans="2:31">
      <c r="B57" s="927"/>
      <c r="C57" s="970" t="s">
        <v>1080</v>
      </c>
      <c r="D57" s="970">
        <f>296*30*24</f>
        <v>213120</v>
      </c>
      <c r="E57" s="980">
        <f>D57/1000</f>
        <v>213.12</v>
      </c>
      <c r="F57" s="932"/>
      <c r="G57" s="932"/>
      <c r="H57" s="932"/>
      <c r="I57" s="932"/>
      <c r="J57" s="927"/>
      <c r="K57" s="927"/>
      <c r="L57" s="927"/>
      <c r="M57" s="927"/>
      <c r="N57" s="927"/>
      <c r="O57" s="927"/>
      <c r="P57" s="927"/>
      <c r="Q57" s="927"/>
      <c r="R57" s="927"/>
      <c r="S57" s="927"/>
      <c r="T57" s="927"/>
      <c r="U57" s="927"/>
      <c r="V57" s="927"/>
      <c r="W57" s="927"/>
      <c r="X57" s="927"/>
      <c r="Y57" s="927"/>
      <c r="Z57" s="927"/>
      <c r="AA57" s="927"/>
      <c r="AB57" s="927"/>
      <c r="AC57" s="927"/>
      <c r="AD57" s="927"/>
      <c r="AE57" s="927"/>
    </row>
    <row r="58" spans="2:31">
      <c r="B58" s="927"/>
      <c r="C58" s="970" t="s">
        <v>1081</v>
      </c>
      <c r="D58" s="970">
        <f>280*30*24</f>
        <v>201600</v>
      </c>
      <c r="E58" s="973">
        <f>D58/1000</f>
        <v>201.6</v>
      </c>
      <c r="F58" s="932"/>
      <c r="G58" s="932"/>
      <c r="H58" s="932"/>
      <c r="I58" s="932"/>
      <c r="J58" s="927"/>
      <c r="K58" s="927"/>
      <c r="L58" s="927"/>
      <c r="M58" s="927"/>
      <c r="N58" s="927"/>
      <c r="O58" s="927"/>
      <c r="P58" s="927"/>
      <c r="Q58" s="927"/>
      <c r="R58" s="927"/>
      <c r="S58" s="927"/>
      <c r="T58" s="927"/>
      <c r="U58" s="927"/>
      <c r="V58" s="927"/>
      <c r="W58" s="927"/>
      <c r="X58" s="927"/>
      <c r="Y58" s="927"/>
      <c r="Z58" s="927"/>
      <c r="AA58" s="927"/>
      <c r="AB58" s="927"/>
      <c r="AC58" s="927"/>
      <c r="AD58" s="927"/>
      <c r="AE58" s="927"/>
    </row>
    <row r="59" spans="2:31">
      <c r="B59" s="927"/>
      <c r="C59" s="1773" t="s">
        <v>1082</v>
      </c>
      <c r="D59" s="1773"/>
      <c r="E59" s="981">
        <f>SUM(E55:E58)</f>
        <v>720.72</v>
      </c>
      <c r="F59" s="932">
        <v>22000</v>
      </c>
      <c r="G59" s="932">
        <f>F59/31</f>
        <v>709.67741935483866</v>
      </c>
      <c r="H59" s="932">
        <f>G59*25</f>
        <v>17741.935483870966</v>
      </c>
      <c r="I59" s="932"/>
      <c r="J59" s="927"/>
      <c r="K59" s="927"/>
      <c r="L59" s="927"/>
      <c r="M59" s="927"/>
      <c r="N59" s="927"/>
      <c r="O59" s="927"/>
      <c r="P59" s="927"/>
      <c r="Q59" s="927"/>
      <c r="R59" s="927"/>
      <c r="S59" s="927"/>
      <c r="T59" s="927"/>
      <c r="U59" s="927"/>
      <c r="V59" s="927"/>
      <c r="W59" s="927"/>
      <c r="X59" s="927"/>
      <c r="Y59" s="927"/>
      <c r="Z59" s="927"/>
      <c r="AA59" s="927"/>
      <c r="AB59" s="927"/>
      <c r="AC59" s="927"/>
      <c r="AD59" s="927"/>
      <c r="AE59" s="927"/>
    </row>
    <row r="60" spans="2:31">
      <c r="B60" s="927"/>
      <c r="C60" s="982"/>
      <c r="D60" s="982"/>
      <c r="E60" s="983"/>
      <c r="F60" s="932">
        <v>75000</v>
      </c>
      <c r="G60" s="932">
        <f>F60/31</f>
        <v>2419.3548387096776</v>
      </c>
      <c r="H60" s="932">
        <f>G60*25</f>
        <v>60483.870967741939</v>
      </c>
      <c r="I60" s="932"/>
      <c r="J60" s="927"/>
      <c r="K60" s="927"/>
      <c r="L60" s="927"/>
      <c r="M60" s="927"/>
      <c r="N60" s="927"/>
      <c r="O60" s="927"/>
      <c r="P60" s="927"/>
      <c r="Q60" s="927"/>
      <c r="R60" s="927"/>
      <c r="S60" s="927"/>
      <c r="T60" s="927"/>
      <c r="U60" s="927"/>
      <c r="V60" s="927"/>
      <c r="W60" s="927"/>
      <c r="X60" s="927"/>
      <c r="Y60" s="927"/>
      <c r="Z60" s="927"/>
      <c r="AA60" s="927"/>
      <c r="AB60" s="927"/>
      <c r="AC60" s="927"/>
      <c r="AD60" s="927"/>
      <c r="AE60" s="927"/>
    </row>
    <row r="61" spans="2:31" s="752" customFormat="1">
      <c r="B61" s="336"/>
      <c r="C61" s="336"/>
      <c r="D61" s="336"/>
      <c r="E61" s="336"/>
      <c r="F61" s="336"/>
      <c r="G61" s="336"/>
      <c r="H61" s="336"/>
      <c r="I61" s="336"/>
      <c r="J61" s="336"/>
      <c r="K61" s="336"/>
      <c r="L61" s="336"/>
      <c r="M61" s="336"/>
      <c r="N61" s="336"/>
      <c r="O61" s="336"/>
      <c r="P61" s="336"/>
      <c r="Q61" s="336"/>
      <c r="R61" s="336"/>
      <c r="S61" s="336"/>
      <c r="T61" s="336"/>
      <c r="U61" s="336"/>
      <c r="V61" s="336"/>
      <c r="W61" s="336"/>
      <c r="X61" s="336"/>
      <c r="Y61" s="336"/>
      <c r="Z61" s="336"/>
      <c r="AA61" s="336"/>
      <c r="AB61" s="336"/>
      <c r="AC61" s="336"/>
      <c r="AD61" s="336"/>
      <c r="AE61" s="336"/>
    </row>
    <row r="62" spans="2:31" s="752" customFormat="1">
      <c r="B62" s="336"/>
      <c r="C62" s="984" t="s">
        <v>1083</v>
      </c>
      <c r="D62" s="985">
        <v>32</v>
      </c>
      <c r="E62" s="336"/>
      <c r="F62" s="336"/>
      <c r="G62" s="336"/>
      <c r="H62" s="336"/>
      <c r="I62" s="336"/>
      <c r="J62" s="336"/>
      <c r="K62" s="336"/>
      <c r="L62" s="336"/>
      <c r="M62" s="336"/>
      <c r="N62" s="336"/>
      <c r="O62" s="336">
        <v>13448</v>
      </c>
      <c r="P62" s="336"/>
      <c r="Q62" s="336"/>
      <c r="R62" s="336"/>
      <c r="S62" s="336"/>
      <c r="T62" s="336"/>
      <c r="U62" s="336"/>
      <c r="V62" s="336"/>
      <c r="W62" s="336"/>
      <c r="X62" s="336"/>
      <c r="Y62" s="336"/>
      <c r="Z62" s="336"/>
      <c r="AA62" s="336"/>
      <c r="AB62" s="336"/>
      <c r="AC62" s="336"/>
      <c r="AD62" s="336"/>
      <c r="AE62" s="336"/>
    </row>
    <row r="63" spans="2:31" s="752" customFormat="1">
      <c r="B63" s="336"/>
      <c r="C63" s="984" t="s">
        <v>1084</v>
      </c>
      <c r="D63" s="985">
        <v>16</v>
      </c>
      <c r="E63" s="986">
        <f>(M20/24/30/D63)*1000</f>
        <v>1033.3333333333335</v>
      </c>
      <c r="F63" s="336"/>
      <c r="G63" s="336"/>
      <c r="H63" s="336"/>
      <c r="I63" s="336"/>
      <c r="J63" s="336"/>
      <c r="K63" s="336"/>
      <c r="L63" s="336"/>
      <c r="M63" s="987">
        <f>M24/(M24+M25)</f>
        <v>0.67</v>
      </c>
      <c r="N63" s="336"/>
      <c r="O63" s="336">
        <f>O62*M63</f>
        <v>9010.16</v>
      </c>
      <c r="P63" s="336"/>
      <c r="Q63" s="336"/>
      <c r="R63" s="336"/>
      <c r="S63" s="336"/>
      <c r="T63" s="336"/>
      <c r="U63" s="336"/>
      <c r="V63" s="336"/>
      <c r="W63" s="336"/>
      <c r="X63" s="336"/>
      <c r="Y63" s="336"/>
      <c r="Z63" s="336"/>
      <c r="AA63" s="336"/>
      <c r="AB63" s="336"/>
      <c r="AC63" s="336"/>
      <c r="AD63" s="336"/>
      <c r="AE63" s="336"/>
    </row>
    <row r="64" spans="2:31" s="752" customFormat="1">
      <c r="B64" s="336"/>
      <c r="C64" s="984" t="s">
        <v>1085</v>
      </c>
      <c r="D64" s="985">
        <f>D62-D63</f>
        <v>16</v>
      </c>
      <c r="E64" s="986">
        <f>(M21/24/30/D64)*1000</f>
        <v>1033.3333333333335</v>
      </c>
      <c r="F64" s="336"/>
      <c r="G64" s="336"/>
      <c r="H64" s="336"/>
      <c r="I64" s="336"/>
      <c r="J64" s="336"/>
      <c r="K64" s="336"/>
      <c r="L64" s="336"/>
      <c r="M64" s="987">
        <f>M25/(M24+M25)</f>
        <v>0.33</v>
      </c>
      <c r="N64" s="336"/>
      <c r="O64" s="336">
        <f>O62*M64</f>
        <v>4437.84</v>
      </c>
      <c r="P64" s="336"/>
      <c r="Q64" s="336"/>
      <c r="R64" s="336"/>
      <c r="S64" s="336"/>
      <c r="T64" s="336"/>
      <c r="U64" s="336"/>
      <c r="V64" s="336"/>
      <c r="W64" s="336"/>
      <c r="X64" s="336"/>
      <c r="Y64" s="336"/>
      <c r="Z64" s="336"/>
      <c r="AA64" s="336"/>
      <c r="AB64" s="336"/>
      <c r="AC64" s="336"/>
      <c r="AD64" s="336"/>
      <c r="AE64" s="336"/>
    </row>
    <row r="65" spans="2:31" s="752" customFormat="1">
      <c r="B65" s="336"/>
      <c r="C65" s="984"/>
      <c r="D65" s="985"/>
      <c r="E65" s="336"/>
      <c r="F65" s="336"/>
      <c r="G65" s="336"/>
      <c r="H65" s="336"/>
      <c r="I65" s="336"/>
      <c r="J65" s="336"/>
      <c r="K65" s="336"/>
      <c r="L65" s="336"/>
      <c r="M65" s="336"/>
      <c r="N65" s="336"/>
      <c r="O65" s="336"/>
      <c r="P65" s="336"/>
      <c r="Q65" s="336"/>
      <c r="R65" s="336"/>
      <c r="S65" s="336"/>
      <c r="T65" s="336"/>
      <c r="U65" s="336"/>
      <c r="V65" s="336"/>
      <c r="W65" s="336"/>
      <c r="X65" s="336"/>
      <c r="Y65" s="336"/>
      <c r="Z65" s="336"/>
      <c r="AA65" s="336"/>
      <c r="AB65" s="336"/>
      <c r="AC65" s="336"/>
      <c r="AD65" s="336"/>
      <c r="AE65" s="336"/>
    </row>
    <row r="66" spans="2:31" s="752" customFormat="1">
      <c r="B66" s="336"/>
      <c r="C66" s="984" t="s">
        <v>1086</v>
      </c>
      <c r="D66" s="985">
        <f>SUM(D67:D68)</f>
        <v>15</v>
      </c>
      <c r="F66" s="336"/>
      <c r="G66" s="336"/>
      <c r="H66" s="336"/>
      <c r="I66" s="336"/>
      <c r="J66" s="336"/>
      <c r="K66" s="336"/>
      <c r="L66" s="336"/>
      <c r="M66" s="336"/>
      <c r="N66" s="336"/>
      <c r="O66" s="336"/>
      <c r="P66" s="336"/>
      <c r="Q66" s="336"/>
      <c r="R66" s="336"/>
      <c r="S66" s="336"/>
      <c r="T66" s="336"/>
      <c r="U66" s="336"/>
      <c r="V66" s="336"/>
      <c r="W66" s="336"/>
      <c r="X66" s="336"/>
      <c r="Y66" s="336"/>
      <c r="Z66" s="336"/>
      <c r="AA66" s="336"/>
      <c r="AB66" s="336"/>
      <c r="AC66" s="336"/>
      <c r="AD66" s="336"/>
      <c r="AE66" s="336"/>
    </row>
    <row r="67" spans="2:31" s="752" customFormat="1">
      <c r="B67" s="336"/>
      <c r="C67" s="984" t="s">
        <v>1084</v>
      </c>
      <c r="D67" s="985">
        <v>8</v>
      </c>
      <c r="E67" s="986">
        <f>(M22/24/30/D67)*1000</f>
        <v>1033.3333333333335</v>
      </c>
      <c r="F67" s="336"/>
      <c r="G67" s="336"/>
      <c r="H67" s="336"/>
      <c r="I67" s="336"/>
      <c r="J67" s="336"/>
      <c r="K67" s="336"/>
      <c r="L67" s="336"/>
      <c r="M67" s="336"/>
      <c r="N67" s="336"/>
      <c r="O67" s="336"/>
      <c r="P67" s="336"/>
      <c r="Q67" s="336"/>
      <c r="R67" s="336"/>
      <c r="S67" s="336"/>
      <c r="T67" s="336"/>
      <c r="U67" s="336"/>
      <c r="V67" s="336"/>
      <c r="W67" s="336"/>
      <c r="X67" s="336"/>
      <c r="Y67" s="336"/>
      <c r="Z67" s="336"/>
      <c r="AA67" s="336"/>
      <c r="AB67" s="336"/>
      <c r="AC67" s="336"/>
      <c r="AD67" s="336"/>
      <c r="AE67" s="336"/>
    </row>
    <row r="68" spans="2:31" s="752" customFormat="1">
      <c r="B68" s="336"/>
      <c r="C68" s="984" t="s">
        <v>1085</v>
      </c>
      <c r="D68" s="985">
        <v>7</v>
      </c>
      <c r="E68" s="986">
        <f>(M23/24/30/D68)*1000</f>
        <v>1033.3333333333335</v>
      </c>
      <c r="F68" s="336"/>
      <c r="G68" s="336"/>
      <c r="H68" s="336"/>
      <c r="I68" s="336"/>
      <c r="J68" s="336"/>
      <c r="K68" s="336"/>
      <c r="L68" s="336"/>
      <c r="M68" s="336"/>
      <c r="N68" s="336"/>
      <c r="O68" s="336"/>
      <c r="P68" s="336"/>
      <c r="Q68" s="336"/>
      <c r="R68" s="336"/>
      <c r="S68" s="336"/>
      <c r="T68" s="336"/>
      <c r="U68" s="336"/>
      <c r="V68" s="336"/>
      <c r="W68" s="336"/>
      <c r="X68" s="336"/>
      <c r="Y68" s="336"/>
      <c r="Z68" s="336"/>
      <c r="AA68" s="336"/>
      <c r="AB68" s="336"/>
      <c r="AC68" s="336"/>
      <c r="AD68" s="336"/>
      <c r="AE68" s="336"/>
    </row>
    <row r="69" spans="2:31" s="752" customFormat="1">
      <c r="B69" s="336"/>
      <c r="C69" s="984"/>
      <c r="D69" s="985"/>
      <c r="E69" s="336"/>
      <c r="F69" s="336"/>
      <c r="G69" s="336"/>
      <c r="H69" s="336"/>
      <c r="I69" s="336"/>
      <c r="J69" s="336"/>
      <c r="K69" s="336"/>
      <c r="L69" s="336"/>
      <c r="M69" s="336"/>
      <c r="N69" s="336"/>
      <c r="O69" s="336"/>
      <c r="P69" s="336"/>
      <c r="Q69" s="336"/>
      <c r="R69" s="336"/>
      <c r="S69" s="336"/>
      <c r="T69" s="336"/>
      <c r="U69" s="336"/>
      <c r="V69" s="336"/>
      <c r="W69" s="336"/>
      <c r="X69" s="336"/>
      <c r="Y69" s="336"/>
      <c r="Z69" s="336"/>
      <c r="AA69" s="336"/>
      <c r="AB69" s="336"/>
      <c r="AC69" s="336"/>
      <c r="AD69" s="336"/>
      <c r="AE69" s="336"/>
    </row>
    <row r="70" spans="2:31" s="752" customFormat="1" ht="15" thickBot="1">
      <c r="B70" s="336"/>
      <c r="C70" s="336"/>
      <c r="D70" s="336">
        <v>1000</v>
      </c>
      <c r="E70" s="336"/>
      <c r="F70" s="336"/>
      <c r="G70" s="336"/>
      <c r="H70" s="336"/>
      <c r="I70" s="336"/>
      <c r="J70" s="336"/>
      <c r="K70" s="336"/>
      <c r="L70" s="336"/>
      <c r="M70" s="336"/>
      <c r="N70" s="336"/>
      <c r="O70" s="336"/>
      <c r="P70" s="336"/>
      <c r="Q70" s="336"/>
      <c r="R70" s="336"/>
      <c r="S70" s="336"/>
      <c r="T70" s="336"/>
      <c r="U70" s="336"/>
      <c r="V70" s="336"/>
      <c r="W70" s="336"/>
      <c r="X70" s="336"/>
      <c r="Y70" s="336"/>
      <c r="Z70" s="336"/>
      <c r="AA70" s="336"/>
      <c r="AB70" s="336"/>
      <c r="AC70" s="336"/>
      <c r="AD70" s="336"/>
      <c r="AE70" s="336"/>
    </row>
    <row r="71" spans="2:31" ht="15.5" thickTop="1" thickBot="1">
      <c r="B71" s="927"/>
      <c r="C71" s="988">
        <v>1</v>
      </c>
      <c r="D71" s="989" t="s">
        <v>1087</v>
      </c>
      <c r="E71" s="989" t="s">
        <v>1088</v>
      </c>
      <c r="F71" s="927"/>
      <c r="G71" s="927"/>
      <c r="H71" s="927"/>
      <c r="I71" s="927"/>
      <c r="J71" s="927"/>
      <c r="K71" s="927"/>
      <c r="L71" s="927"/>
      <c r="M71" s="927"/>
      <c r="N71" s="927"/>
      <c r="O71" s="927"/>
      <c r="P71" s="927"/>
      <c r="Q71" s="927"/>
      <c r="R71" s="927"/>
      <c r="S71" s="927"/>
      <c r="T71" s="927"/>
      <c r="U71" s="927"/>
      <c r="V71" s="927"/>
      <c r="W71" s="927"/>
      <c r="X71" s="927"/>
      <c r="Y71" s="927"/>
      <c r="Z71" s="927"/>
      <c r="AA71" s="927"/>
      <c r="AB71" s="927"/>
      <c r="AC71" s="927"/>
      <c r="AD71" s="927"/>
      <c r="AE71" s="927"/>
    </row>
    <row r="72" spans="2:31" ht="15.5" thickTop="1" thickBot="1">
      <c r="B72" s="927"/>
      <c r="C72" s="988">
        <v>0</v>
      </c>
      <c r="D72" s="989" t="s">
        <v>1089</v>
      </c>
      <c r="E72" s="989" t="s">
        <v>1088</v>
      </c>
      <c r="F72" s="927"/>
      <c r="G72" s="927"/>
      <c r="H72" s="927"/>
      <c r="I72" s="927"/>
      <c r="J72" s="927"/>
      <c r="K72" s="927"/>
      <c r="L72" s="927"/>
      <c r="M72" s="927"/>
      <c r="N72" s="927"/>
      <c r="O72" s="927"/>
      <c r="P72" s="927"/>
      <c r="Q72" s="927"/>
      <c r="R72" s="927"/>
      <c r="S72" s="927"/>
      <c r="T72" s="927"/>
      <c r="U72" s="927"/>
      <c r="V72" s="927"/>
      <c r="W72" s="927"/>
      <c r="X72" s="927"/>
      <c r="Y72" s="927"/>
      <c r="Z72" s="927"/>
      <c r="AA72" s="927"/>
      <c r="AB72" s="927"/>
      <c r="AC72" s="927"/>
      <c r="AD72" s="927"/>
      <c r="AE72" s="927"/>
    </row>
    <row r="73" spans="2:31" ht="15.5" thickTop="1" thickBot="1">
      <c r="B73" s="927"/>
      <c r="C73" s="988">
        <v>1</v>
      </c>
      <c r="D73" s="989" t="s">
        <v>1087</v>
      </c>
      <c r="E73" s="989" t="s">
        <v>1090</v>
      </c>
      <c r="F73" s="927"/>
      <c r="G73" s="927"/>
      <c r="H73" s="927"/>
      <c r="I73" s="927"/>
      <c r="J73" s="927"/>
      <c r="K73" s="927"/>
      <c r="L73" s="927"/>
      <c r="M73" s="927"/>
      <c r="N73" s="927"/>
      <c r="O73" s="927"/>
      <c r="P73" s="927"/>
      <c r="Q73" s="927"/>
      <c r="R73" s="927"/>
      <c r="S73" s="927"/>
      <c r="T73" s="927"/>
      <c r="U73" s="927"/>
      <c r="V73" s="927"/>
      <c r="W73" s="927"/>
      <c r="X73" s="927"/>
      <c r="Y73" s="927"/>
      <c r="Z73" s="927"/>
      <c r="AA73" s="927"/>
      <c r="AB73" s="927"/>
      <c r="AC73" s="927"/>
      <c r="AD73" s="927"/>
      <c r="AE73" s="927"/>
    </row>
    <row r="74" spans="2:31" ht="15.5" thickTop="1" thickBot="1">
      <c r="B74" s="927"/>
      <c r="C74" s="988">
        <v>0</v>
      </c>
      <c r="D74" s="989" t="s">
        <v>1089</v>
      </c>
      <c r="E74" s="989" t="s">
        <v>1090</v>
      </c>
      <c r="F74" s="927"/>
      <c r="G74" s="927"/>
      <c r="H74" s="927"/>
      <c r="I74" s="927"/>
      <c r="J74" s="927"/>
      <c r="K74" s="927"/>
      <c r="L74" s="927"/>
      <c r="M74" s="927"/>
      <c r="N74" s="927"/>
      <c r="O74" s="927"/>
      <c r="P74" s="927"/>
      <c r="Q74" s="927"/>
      <c r="R74" s="927"/>
      <c r="S74" s="927"/>
      <c r="T74" s="927"/>
      <c r="U74" s="927"/>
      <c r="V74" s="927"/>
      <c r="W74" s="927"/>
      <c r="X74" s="927"/>
      <c r="Y74" s="927"/>
      <c r="Z74" s="927"/>
      <c r="AA74" s="927"/>
      <c r="AB74" s="927"/>
      <c r="AC74" s="927"/>
      <c r="AD74" s="927"/>
      <c r="AE74" s="927"/>
    </row>
    <row r="75" spans="2:31" ht="15" thickTop="1">
      <c r="B75" s="927"/>
      <c r="C75" s="927"/>
      <c r="D75" s="927"/>
      <c r="E75" s="927"/>
      <c r="F75" s="927"/>
      <c r="G75" s="927"/>
      <c r="H75" s="927"/>
      <c r="I75" s="927"/>
      <c r="J75" s="927"/>
      <c r="K75" s="927"/>
      <c r="L75" s="927"/>
      <c r="M75" s="927"/>
      <c r="N75" s="927"/>
      <c r="O75" s="927"/>
      <c r="P75" s="927"/>
      <c r="Q75" s="927"/>
      <c r="R75" s="927"/>
      <c r="S75" s="927"/>
      <c r="T75" s="927"/>
      <c r="U75" s="927"/>
      <c r="V75" s="927"/>
      <c r="W75" s="927"/>
      <c r="X75" s="927"/>
      <c r="Y75" s="927"/>
      <c r="Z75" s="927"/>
      <c r="AA75" s="927"/>
      <c r="AB75" s="927"/>
      <c r="AC75" s="927"/>
      <c r="AD75" s="927"/>
      <c r="AE75" s="927"/>
    </row>
    <row r="76" spans="2:31">
      <c r="B76" s="927"/>
      <c r="C76" s="927"/>
      <c r="D76" s="989" t="s">
        <v>1087</v>
      </c>
      <c r="E76" s="989" t="s">
        <v>1091</v>
      </c>
      <c r="F76" s="989"/>
      <c r="G76" s="989"/>
      <c r="H76" s="989"/>
      <c r="I76" s="989"/>
      <c r="J76" s="989"/>
      <c r="K76" s="989"/>
      <c r="L76" s="990">
        <v>82</v>
      </c>
      <c r="M76" s="989" t="s">
        <v>973</v>
      </c>
      <c r="N76" s="991">
        <f>L76/1000</f>
        <v>8.2000000000000003E-2</v>
      </c>
      <c r="O76" s="927"/>
      <c r="P76" s="927"/>
      <c r="Q76" s="927"/>
      <c r="R76" s="927"/>
      <c r="S76" s="927"/>
      <c r="T76" s="927"/>
      <c r="U76" s="927"/>
      <c r="V76" s="927"/>
      <c r="W76" s="927"/>
      <c r="X76" s="927"/>
      <c r="Y76" s="927"/>
      <c r="Z76" s="927"/>
      <c r="AA76" s="927"/>
      <c r="AB76" s="927"/>
      <c r="AC76" s="927"/>
      <c r="AD76" s="927"/>
      <c r="AE76" s="927"/>
    </row>
    <row r="77" spans="2:31">
      <c r="B77" s="927"/>
      <c r="C77" s="927"/>
      <c r="D77" s="989" t="s">
        <v>1089</v>
      </c>
      <c r="E77" s="989" t="s">
        <v>1091</v>
      </c>
      <c r="F77" s="992">
        <v>4940034.1145070195</v>
      </c>
      <c r="G77" s="992">
        <f>F77/31</f>
        <v>159355.93917764578</v>
      </c>
      <c r="H77" s="992">
        <f>G77*25</f>
        <v>3983898.4794411445</v>
      </c>
      <c r="I77" s="992"/>
      <c r="J77" s="989"/>
      <c r="K77" s="989"/>
      <c r="L77" s="990">
        <v>92</v>
      </c>
      <c r="M77" s="989" t="s">
        <v>973</v>
      </c>
      <c r="N77" s="991">
        <f>L77/1000</f>
        <v>9.1999999999999998E-2</v>
      </c>
      <c r="O77" s="927"/>
      <c r="P77" s="927"/>
      <c r="Q77" s="927"/>
      <c r="R77" s="927"/>
      <c r="S77" s="927"/>
      <c r="T77" s="927"/>
      <c r="U77" s="927"/>
      <c r="V77" s="927"/>
      <c r="W77" s="927"/>
      <c r="X77" s="927"/>
      <c r="Y77" s="927"/>
      <c r="Z77" s="927"/>
      <c r="AA77" s="927"/>
      <c r="AB77" s="927"/>
      <c r="AC77" s="927"/>
      <c r="AD77" s="927"/>
      <c r="AE77" s="927"/>
    </row>
    <row r="78" spans="2:31">
      <c r="B78" s="927"/>
      <c r="C78" s="927"/>
      <c r="D78" s="989" t="s">
        <v>1092</v>
      </c>
      <c r="E78" s="989" t="s">
        <v>1093</v>
      </c>
      <c r="F78" s="992">
        <v>689028.56471014419</v>
      </c>
      <c r="G78" s="992">
        <f>F78/31</f>
        <v>22226.727893875617</v>
      </c>
      <c r="H78" s="992">
        <f>G78*25</f>
        <v>555668.19734689046</v>
      </c>
      <c r="I78" s="992"/>
      <c r="J78" s="989"/>
      <c r="K78" s="989"/>
      <c r="L78" s="993">
        <v>27.6</v>
      </c>
      <c r="M78" s="989" t="s">
        <v>973</v>
      </c>
      <c r="N78" s="991">
        <f>L78/1000</f>
        <v>2.7600000000000003E-2</v>
      </c>
      <c r="O78" s="927"/>
      <c r="P78" s="927"/>
      <c r="Q78" s="927"/>
      <c r="R78" s="927"/>
      <c r="S78" s="927"/>
      <c r="T78" s="927"/>
      <c r="U78" s="927"/>
      <c r="V78" s="927"/>
      <c r="W78" s="927"/>
      <c r="X78" s="927"/>
      <c r="Y78" s="927"/>
      <c r="Z78" s="927"/>
      <c r="AA78" s="927"/>
      <c r="AB78" s="927"/>
      <c r="AC78" s="927"/>
      <c r="AD78" s="927"/>
      <c r="AE78" s="927"/>
    </row>
    <row r="79" spans="2:31">
      <c r="B79" s="927"/>
      <c r="C79" s="927"/>
      <c r="D79" s="989" t="s">
        <v>1087</v>
      </c>
      <c r="E79" s="989" t="s">
        <v>1094</v>
      </c>
      <c r="F79" s="992">
        <v>8576372.7450281158</v>
      </c>
      <c r="G79" s="992">
        <f>F79/31</f>
        <v>276657.18532348762</v>
      </c>
      <c r="H79" s="992">
        <f>G79*25</f>
        <v>6916429.6330871908</v>
      </c>
      <c r="I79" s="992"/>
      <c r="J79" s="989"/>
      <c r="K79" s="989"/>
      <c r="L79" s="989">
        <v>1878</v>
      </c>
      <c r="M79" s="989" t="s">
        <v>973</v>
      </c>
      <c r="N79" s="991">
        <f>L79/1000</f>
        <v>1.8779999999999999</v>
      </c>
      <c r="O79" s="927"/>
      <c r="P79" s="927"/>
      <c r="Q79" s="927"/>
      <c r="R79" s="927"/>
      <c r="S79" s="927"/>
      <c r="T79" s="927"/>
      <c r="U79" s="927"/>
      <c r="V79" s="927"/>
      <c r="W79" s="927"/>
      <c r="X79" s="927"/>
      <c r="Y79" s="927"/>
      <c r="Z79" s="927"/>
      <c r="AA79" s="927"/>
      <c r="AB79" s="927"/>
      <c r="AC79" s="927"/>
      <c r="AD79" s="927"/>
      <c r="AE79" s="927"/>
    </row>
    <row r="80" spans="2:31">
      <c r="B80" s="927"/>
      <c r="C80" s="927"/>
      <c r="D80" s="989" t="s">
        <v>1089</v>
      </c>
      <c r="E80" s="989" t="s">
        <v>1094</v>
      </c>
      <c r="F80" s="992">
        <v>1944758.005213463</v>
      </c>
      <c r="G80" s="992">
        <f>F80/31</f>
        <v>62734.12920043429</v>
      </c>
      <c r="H80" s="992">
        <f>G80*25</f>
        <v>1568353.2300108573</v>
      </c>
      <c r="I80" s="992"/>
      <c r="J80" s="989"/>
      <c r="K80" s="989"/>
      <c r="L80" s="989">
        <v>1918</v>
      </c>
      <c r="M80" s="989" t="s">
        <v>973</v>
      </c>
      <c r="N80" s="991">
        <f>L80/1000</f>
        <v>1.9179999999999999</v>
      </c>
      <c r="O80" s="927"/>
      <c r="P80" s="927"/>
      <c r="Q80" s="927"/>
      <c r="R80" s="927"/>
      <c r="S80" s="927"/>
      <c r="T80" s="927"/>
      <c r="U80" s="927"/>
      <c r="V80" s="927"/>
      <c r="W80" s="927"/>
      <c r="X80" s="927"/>
      <c r="Y80" s="927"/>
      <c r="Z80" s="927"/>
      <c r="AA80" s="927"/>
      <c r="AB80" s="927"/>
      <c r="AC80" s="927"/>
      <c r="AD80" s="927"/>
      <c r="AE80" s="927"/>
    </row>
    <row r="81" spans="2:31">
      <c r="B81" s="927"/>
      <c r="C81" s="927"/>
      <c r="D81" s="927"/>
      <c r="E81" s="927"/>
      <c r="F81" s="927"/>
      <c r="G81" s="927"/>
      <c r="H81" s="927"/>
      <c r="I81" s="927"/>
      <c r="J81" s="927"/>
      <c r="K81" s="927"/>
      <c r="L81" s="927"/>
      <c r="M81" s="927"/>
      <c r="N81" s="927"/>
      <c r="O81" s="927"/>
      <c r="P81" s="927"/>
      <c r="Q81" s="927"/>
      <c r="R81" s="927"/>
      <c r="S81" s="927"/>
      <c r="T81" s="927"/>
      <c r="U81" s="927"/>
      <c r="V81" s="927"/>
      <c r="W81" s="927"/>
      <c r="X81" s="927"/>
      <c r="Y81" s="927"/>
      <c r="Z81" s="927"/>
      <c r="AA81" s="927"/>
      <c r="AB81" s="927"/>
      <c r="AC81" s="927"/>
      <c r="AD81" s="927"/>
      <c r="AE81" s="927"/>
    </row>
    <row r="82" spans="2:31" hidden="1">
      <c r="D82" s="994" t="s">
        <v>1095</v>
      </c>
      <c r="E82" s="989" t="s">
        <v>1096</v>
      </c>
      <c r="N82" s="995">
        <v>30</v>
      </c>
      <c r="O82" s="89"/>
      <c r="P82" s="89"/>
      <c r="Q82" s="89"/>
      <c r="R82" s="89"/>
    </row>
    <row r="83" spans="2:31" ht="15.5" hidden="1" thickTop="1" thickBot="1">
      <c r="C83" s="988">
        <v>1</v>
      </c>
      <c r="D83" s="989" t="s">
        <v>1087</v>
      </c>
      <c r="E83" s="989" t="s">
        <v>1097</v>
      </c>
      <c r="N83" s="89">
        <f>IF(C83&gt;0,(L79*C83),0)</f>
        <v>1878</v>
      </c>
    </row>
    <row r="84" spans="2:31" ht="15.5" hidden="1" thickTop="1" thickBot="1">
      <c r="C84" s="988">
        <v>0</v>
      </c>
      <c r="D84" s="989" t="s">
        <v>1089</v>
      </c>
      <c r="E84" s="989" t="s">
        <v>1098</v>
      </c>
      <c r="N84" s="89">
        <f>IF(C84&gt;0,(L80*C84),0)</f>
        <v>0</v>
      </c>
    </row>
    <row r="85" spans="2:31" hidden="1">
      <c r="C85" s="927">
        <v>31.4</v>
      </c>
      <c r="D85" s="989" t="s">
        <v>1087</v>
      </c>
      <c r="E85" s="989" t="s">
        <v>1099</v>
      </c>
      <c r="N85" s="433">
        <f>(N82*24)-N91</f>
        <v>0</v>
      </c>
    </row>
    <row r="86" spans="2:31" hidden="1">
      <c r="C86" s="927"/>
      <c r="D86" s="989" t="s">
        <v>1087</v>
      </c>
      <c r="E86" s="989" t="s">
        <v>1099</v>
      </c>
      <c r="N86" s="996">
        <f>(N82*24)-N92</f>
        <v>0</v>
      </c>
    </row>
    <row r="87" spans="2:31" hidden="1">
      <c r="C87" s="927"/>
      <c r="D87" s="989" t="s">
        <v>1087</v>
      </c>
      <c r="E87" s="989" t="s">
        <v>1100</v>
      </c>
      <c r="N87" s="997">
        <f>L76*N82*24</f>
        <v>59040</v>
      </c>
      <c r="O87">
        <v>1</v>
      </c>
    </row>
    <row r="88" spans="2:31" hidden="1">
      <c r="C88" s="927"/>
      <c r="D88" s="989" t="s">
        <v>1089</v>
      </c>
      <c r="E88" s="989" t="s">
        <v>1100</v>
      </c>
      <c r="N88" s="998">
        <f>L77*N82*24</f>
        <v>66240</v>
      </c>
    </row>
    <row r="89" spans="2:31" hidden="1">
      <c r="D89" s="989" t="s">
        <v>1087</v>
      </c>
      <c r="E89" s="989" t="s">
        <v>1101</v>
      </c>
      <c r="N89" s="996">
        <f>C89*L79</f>
        <v>0</v>
      </c>
      <c r="Q89">
        <f>L79*2</f>
        <v>3756</v>
      </c>
    </row>
    <row r="90" spans="2:31" hidden="1">
      <c r="D90" s="989" t="s">
        <v>1089</v>
      </c>
      <c r="E90" s="989" t="s">
        <v>1101</v>
      </c>
      <c r="N90" s="996">
        <f>C90*L80</f>
        <v>0</v>
      </c>
    </row>
    <row r="91" spans="2:31" hidden="1">
      <c r="D91" s="989" t="s">
        <v>1087</v>
      </c>
      <c r="E91" s="989" t="s">
        <v>1102</v>
      </c>
      <c r="N91" s="997">
        <f>(N82*24)-SUM('[8]ESTADISTICOS MAYO 2017'!E124:E153)</f>
        <v>720</v>
      </c>
    </row>
    <row r="92" spans="2:31" hidden="1">
      <c r="D92" s="989" t="s">
        <v>1089</v>
      </c>
      <c r="E92" s="989" t="s">
        <v>1102</v>
      </c>
      <c r="N92" s="998">
        <f>(N82*24)-SUM('[8]ESTADISTICOS MAYO 2017'!L124:L153)</f>
        <v>720</v>
      </c>
    </row>
    <row r="93" spans="2:31" hidden="1">
      <c r="D93" s="999" t="s">
        <v>1087</v>
      </c>
      <c r="E93" s="999" t="s">
        <v>1103</v>
      </c>
      <c r="L93" t="s">
        <v>1104</v>
      </c>
      <c r="N93" s="998">
        <f>N87-(N91*L76)</f>
        <v>0</v>
      </c>
      <c r="O93">
        <v>2</v>
      </c>
    </row>
    <row r="94" spans="2:31" hidden="1">
      <c r="D94" s="999" t="s">
        <v>1089</v>
      </c>
      <c r="E94" s="999" t="s">
        <v>1103</v>
      </c>
      <c r="L94" t="s">
        <v>1104</v>
      </c>
      <c r="N94" s="998">
        <f>N88-(N92*L77)</f>
        <v>0</v>
      </c>
      <c r="Q94">
        <f>31.4-8</f>
        <v>23.4</v>
      </c>
    </row>
    <row r="95" spans="2:31" hidden="1">
      <c r="D95" s="999" t="s">
        <v>1087</v>
      </c>
      <c r="E95" s="999" t="s">
        <v>1105</v>
      </c>
      <c r="N95" s="997">
        <f>C71*(C73*L79)+(N91-(C73*8))*L78</f>
        <v>21529.200000000001</v>
      </c>
    </row>
    <row r="96" spans="2:31" hidden="1">
      <c r="D96" s="999" t="s">
        <v>1089</v>
      </c>
      <c r="E96" s="999" t="s">
        <v>1105</v>
      </c>
      <c r="N96" s="175"/>
    </row>
    <row r="97" spans="4:15" hidden="1">
      <c r="D97" s="999" t="s">
        <v>1087</v>
      </c>
      <c r="E97" s="999" t="s">
        <v>1106</v>
      </c>
      <c r="N97" s="175">
        <f>IF(C71&gt;0,0,(N91*L78))</f>
        <v>0</v>
      </c>
    </row>
    <row r="98" spans="4:15" hidden="1">
      <c r="D98" s="999" t="s">
        <v>1089</v>
      </c>
      <c r="E98" s="999" t="s">
        <v>1106</v>
      </c>
    </row>
    <row r="100" spans="4:15">
      <c r="N100">
        <f>(N87-(N91*L76))+N95</f>
        <v>21529.200000000001</v>
      </c>
      <c r="O100" s="749">
        <f>IF(C71=0,N87,(($L$76*$N$82*24)-(N91*$L$76))+(C71*(C73*$L$79))+((N91-(C73*8))*$L$78))</f>
        <v>21529.200000000001</v>
      </c>
    </row>
    <row r="101" spans="4:15">
      <c r="D101" s="989" t="s">
        <v>1087</v>
      </c>
      <c r="E101" s="989" t="s">
        <v>907</v>
      </c>
      <c r="N101">
        <f>(N87-(N91*L76))+N83+((N91-8)*L78)</f>
        <v>21529.200000000001</v>
      </c>
      <c r="O101">
        <f>IF(C72=0,N88,((($L$77*$N$82*24)-(N92*$L$77))+(C72*(C74*L80))+((N92-(C74*8))*$L$78)))</f>
        <v>66240</v>
      </c>
    </row>
    <row r="102" spans="4:15">
      <c r="D102" s="989" t="s">
        <v>1087</v>
      </c>
      <c r="E102" s="989" t="s">
        <v>907</v>
      </c>
      <c r="N102">
        <f>(N88-(N92*L77))+N84+(N92*L78)</f>
        <v>19872</v>
      </c>
    </row>
    <row r="103" spans="4:15">
      <c r="O103" s="749"/>
    </row>
    <row r="105" spans="4:15">
      <c r="N105">
        <f>N91-8</f>
        <v>712</v>
      </c>
    </row>
    <row r="106" spans="4:15">
      <c r="N106">
        <f>N105*L78</f>
        <v>19651.2</v>
      </c>
    </row>
  </sheetData>
  <mergeCells count="9">
    <mergeCell ref="Y2:AC2"/>
    <mergeCell ref="B2:C2"/>
    <mergeCell ref="D2:X2"/>
    <mergeCell ref="C51:C52"/>
    <mergeCell ref="AE4:AE6"/>
    <mergeCell ref="B24:B25"/>
    <mergeCell ref="C24:C25"/>
    <mergeCell ref="B26:B36"/>
    <mergeCell ref="C26:C36"/>
  </mergeCells>
  <pageMargins left="0.7" right="0.7" top="0.75" bottom="0.75" header="0.3" footer="0.3"/>
  <pageSetup orientation="portrait" r:id="rId1"/>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2" tint="-0.499984740745262"/>
  </sheetPr>
  <dimension ref="A1:Z56"/>
  <sheetViews>
    <sheetView showGridLines="0" zoomScale="80" zoomScaleNormal="80" workbookViewId="0">
      <selection activeCell="Y53" sqref="Y53"/>
    </sheetView>
  </sheetViews>
  <sheetFormatPr baseColWidth="10" defaultColWidth="9.1796875" defaultRowHeight="14.5"/>
  <cols>
    <col min="1" max="1" width="4.453125" customWidth="1"/>
    <col min="2" max="2" width="13.1796875" customWidth="1"/>
    <col min="3" max="9" width="14.54296875" customWidth="1"/>
    <col min="10" max="10" width="6" customWidth="1"/>
    <col min="11" max="11" width="6.54296875" customWidth="1"/>
    <col min="12" max="12" width="7" customWidth="1"/>
    <col min="13" max="43" width="6.54296875" customWidth="1"/>
    <col min="266" max="266" width="2.54296875" customWidth="1"/>
    <col min="267" max="267" width="6.54296875" customWidth="1"/>
    <col min="268" max="268" width="7" customWidth="1"/>
    <col min="269" max="299" width="6.54296875" customWidth="1"/>
    <col min="522" max="522" width="2.54296875" customWidth="1"/>
    <col min="523" max="523" width="6.54296875" customWidth="1"/>
    <col min="524" max="524" width="7" customWidth="1"/>
    <col min="525" max="555" width="6.54296875" customWidth="1"/>
    <col min="778" max="778" width="2.54296875" customWidth="1"/>
    <col min="779" max="779" width="6.54296875" customWidth="1"/>
    <col min="780" max="780" width="7" customWidth="1"/>
    <col min="781" max="811" width="6.54296875" customWidth="1"/>
    <col min="1034" max="1034" width="2.54296875" customWidth="1"/>
    <col min="1035" max="1035" width="6.54296875" customWidth="1"/>
    <col min="1036" max="1036" width="7" customWidth="1"/>
    <col min="1037" max="1067" width="6.54296875" customWidth="1"/>
    <col min="1290" max="1290" width="2.54296875" customWidth="1"/>
    <col min="1291" max="1291" width="6.54296875" customWidth="1"/>
    <col min="1292" max="1292" width="7" customWidth="1"/>
    <col min="1293" max="1323" width="6.54296875" customWidth="1"/>
    <col min="1546" max="1546" width="2.54296875" customWidth="1"/>
    <col min="1547" max="1547" width="6.54296875" customWidth="1"/>
    <col min="1548" max="1548" width="7" customWidth="1"/>
    <col min="1549" max="1579" width="6.54296875" customWidth="1"/>
    <col min="1802" max="1802" width="2.54296875" customWidth="1"/>
    <col min="1803" max="1803" width="6.54296875" customWidth="1"/>
    <col min="1804" max="1804" width="7" customWidth="1"/>
    <col min="1805" max="1835" width="6.54296875" customWidth="1"/>
    <col min="2058" max="2058" width="2.54296875" customWidth="1"/>
    <col min="2059" max="2059" width="6.54296875" customWidth="1"/>
    <col min="2060" max="2060" width="7" customWidth="1"/>
    <col min="2061" max="2091" width="6.54296875" customWidth="1"/>
    <col min="2314" max="2314" width="2.54296875" customWidth="1"/>
    <col min="2315" max="2315" width="6.54296875" customWidth="1"/>
    <col min="2316" max="2316" width="7" customWidth="1"/>
    <col min="2317" max="2347" width="6.54296875" customWidth="1"/>
    <col min="2570" max="2570" width="2.54296875" customWidth="1"/>
    <col min="2571" max="2571" width="6.54296875" customWidth="1"/>
    <col min="2572" max="2572" width="7" customWidth="1"/>
    <col min="2573" max="2603" width="6.54296875" customWidth="1"/>
    <col min="2826" max="2826" width="2.54296875" customWidth="1"/>
    <col min="2827" max="2827" width="6.54296875" customWidth="1"/>
    <col min="2828" max="2828" width="7" customWidth="1"/>
    <col min="2829" max="2859" width="6.54296875" customWidth="1"/>
    <col min="3082" max="3082" width="2.54296875" customWidth="1"/>
    <col min="3083" max="3083" width="6.54296875" customWidth="1"/>
    <col min="3084" max="3084" width="7" customWidth="1"/>
    <col min="3085" max="3115" width="6.54296875" customWidth="1"/>
    <col min="3338" max="3338" width="2.54296875" customWidth="1"/>
    <col min="3339" max="3339" width="6.54296875" customWidth="1"/>
    <col min="3340" max="3340" width="7" customWidth="1"/>
    <col min="3341" max="3371" width="6.54296875" customWidth="1"/>
    <col min="3594" max="3594" width="2.54296875" customWidth="1"/>
    <col min="3595" max="3595" width="6.54296875" customWidth="1"/>
    <col min="3596" max="3596" width="7" customWidth="1"/>
    <col min="3597" max="3627" width="6.54296875" customWidth="1"/>
    <col min="3850" max="3850" width="2.54296875" customWidth="1"/>
    <col min="3851" max="3851" width="6.54296875" customWidth="1"/>
    <col min="3852" max="3852" width="7" customWidth="1"/>
    <col min="3853" max="3883" width="6.54296875" customWidth="1"/>
    <col min="4106" max="4106" width="2.54296875" customWidth="1"/>
    <col min="4107" max="4107" width="6.54296875" customWidth="1"/>
    <col min="4108" max="4108" width="7" customWidth="1"/>
    <col min="4109" max="4139" width="6.54296875" customWidth="1"/>
    <col min="4362" max="4362" width="2.54296875" customWidth="1"/>
    <col min="4363" max="4363" width="6.54296875" customWidth="1"/>
    <col min="4364" max="4364" width="7" customWidth="1"/>
    <col min="4365" max="4395" width="6.54296875" customWidth="1"/>
    <col min="4618" max="4618" width="2.54296875" customWidth="1"/>
    <col min="4619" max="4619" width="6.54296875" customWidth="1"/>
    <col min="4620" max="4620" width="7" customWidth="1"/>
    <col min="4621" max="4651" width="6.54296875" customWidth="1"/>
    <col min="4874" max="4874" width="2.54296875" customWidth="1"/>
    <col min="4875" max="4875" width="6.54296875" customWidth="1"/>
    <col min="4876" max="4876" width="7" customWidth="1"/>
    <col min="4877" max="4907" width="6.54296875" customWidth="1"/>
    <col min="5130" max="5130" width="2.54296875" customWidth="1"/>
    <col min="5131" max="5131" width="6.54296875" customWidth="1"/>
    <col min="5132" max="5132" width="7" customWidth="1"/>
    <col min="5133" max="5163" width="6.54296875" customWidth="1"/>
    <col min="5386" max="5386" width="2.54296875" customWidth="1"/>
    <col min="5387" max="5387" width="6.54296875" customWidth="1"/>
    <col min="5388" max="5388" width="7" customWidth="1"/>
    <col min="5389" max="5419" width="6.54296875" customWidth="1"/>
    <col min="5642" max="5642" width="2.54296875" customWidth="1"/>
    <col min="5643" max="5643" width="6.54296875" customWidth="1"/>
    <col min="5644" max="5644" width="7" customWidth="1"/>
    <col min="5645" max="5675" width="6.54296875" customWidth="1"/>
    <col min="5898" max="5898" width="2.54296875" customWidth="1"/>
    <col min="5899" max="5899" width="6.54296875" customWidth="1"/>
    <col min="5900" max="5900" width="7" customWidth="1"/>
    <col min="5901" max="5931" width="6.54296875" customWidth="1"/>
    <col min="6154" max="6154" width="2.54296875" customWidth="1"/>
    <col min="6155" max="6155" width="6.54296875" customWidth="1"/>
    <col min="6156" max="6156" width="7" customWidth="1"/>
    <col min="6157" max="6187" width="6.54296875" customWidth="1"/>
    <col min="6410" max="6410" width="2.54296875" customWidth="1"/>
    <col min="6411" max="6411" width="6.54296875" customWidth="1"/>
    <col min="6412" max="6412" width="7" customWidth="1"/>
    <col min="6413" max="6443" width="6.54296875" customWidth="1"/>
    <col min="6666" max="6666" width="2.54296875" customWidth="1"/>
    <col min="6667" max="6667" width="6.54296875" customWidth="1"/>
    <col min="6668" max="6668" width="7" customWidth="1"/>
    <col min="6669" max="6699" width="6.54296875" customWidth="1"/>
    <col min="6922" max="6922" width="2.54296875" customWidth="1"/>
    <col min="6923" max="6923" width="6.54296875" customWidth="1"/>
    <col min="6924" max="6924" width="7" customWidth="1"/>
    <col min="6925" max="6955" width="6.54296875" customWidth="1"/>
    <col min="7178" max="7178" width="2.54296875" customWidth="1"/>
    <col min="7179" max="7179" width="6.54296875" customWidth="1"/>
    <col min="7180" max="7180" width="7" customWidth="1"/>
    <col min="7181" max="7211" width="6.54296875" customWidth="1"/>
    <col min="7434" max="7434" width="2.54296875" customWidth="1"/>
    <col min="7435" max="7435" width="6.54296875" customWidth="1"/>
    <col min="7436" max="7436" width="7" customWidth="1"/>
    <col min="7437" max="7467" width="6.54296875" customWidth="1"/>
    <col min="7690" max="7690" width="2.54296875" customWidth="1"/>
    <col min="7691" max="7691" width="6.54296875" customWidth="1"/>
    <col min="7692" max="7692" width="7" customWidth="1"/>
    <col min="7693" max="7723" width="6.54296875" customWidth="1"/>
    <col min="7946" max="7946" width="2.54296875" customWidth="1"/>
    <col min="7947" max="7947" width="6.54296875" customWidth="1"/>
    <col min="7948" max="7948" width="7" customWidth="1"/>
    <col min="7949" max="7979" width="6.54296875" customWidth="1"/>
    <col min="8202" max="8202" width="2.54296875" customWidth="1"/>
    <col min="8203" max="8203" width="6.54296875" customWidth="1"/>
    <col min="8204" max="8204" width="7" customWidth="1"/>
    <col min="8205" max="8235" width="6.54296875" customWidth="1"/>
    <col min="8458" max="8458" width="2.54296875" customWidth="1"/>
    <col min="8459" max="8459" width="6.54296875" customWidth="1"/>
    <col min="8460" max="8460" width="7" customWidth="1"/>
    <col min="8461" max="8491" width="6.54296875" customWidth="1"/>
    <col min="8714" max="8714" width="2.54296875" customWidth="1"/>
    <col min="8715" max="8715" width="6.54296875" customWidth="1"/>
    <col min="8716" max="8716" width="7" customWidth="1"/>
    <col min="8717" max="8747" width="6.54296875" customWidth="1"/>
    <col min="8970" max="8970" width="2.54296875" customWidth="1"/>
    <col min="8971" max="8971" width="6.54296875" customWidth="1"/>
    <col min="8972" max="8972" width="7" customWidth="1"/>
    <col min="8973" max="9003" width="6.54296875" customWidth="1"/>
    <col min="9226" max="9226" width="2.54296875" customWidth="1"/>
    <col min="9227" max="9227" width="6.54296875" customWidth="1"/>
    <col min="9228" max="9228" width="7" customWidth="1"/>
    <col min="9229" max="9259" width="6.54296875" customWidth="1"/>
    <col min="9482" max="9482" width="2.54296875" customWidth="1"/>
    <col min="9483" max="9483" width="6.54296875" customWidth="1"/>
    <col min="9484" max="9484" width="7" customWidth="1"/>
    <col min="9485" max="9515" width="6.54296875" customWidth="1"/>
    <col min="9738" max="9738" width="2.54296875" customWidth="1"/>
    <col min="9739" max="9739" width="6.54296875" customWidth="1"/>
    <col min="9740" max="9740" width="7" customWidth="1"/>
    <col min="9741" max="9771" width="6.54296875" customWidth="1"/>
    <col min="9994" max="9994" width="2.54296875" customWidth="1"/>
    <col min="9995" max="9995" width="6.54296875" customWidth="1"/>
    <col min="9996" max="9996" width="7" customWidth="1"/>
    <col min="9997" max="10027" width="6.54296875" customWidth="1"/>
    <col min="10250" max="10250" width="2.54296875" customWidth="1"/>
    <col min="10251" max="10251" width="6.54296875" customWidth="1"/>
    <col min="10252" max="10252" width="7" customWidth="1"/>
    <col min="10253" max="10283" width="6.54296875" customWidth="1"/>
    <col min="10506" max="10506" width="2.54296875" customWidth="1"/>
    <col min="10507" max="10507" width="6.54296875" customWidth="1"/>
    <col min="10508" max="10508" width="7" customWidth="1"/>
    <col min="10509" max="10539" width="6.54296875" customWidth="1"/>
    <col min="10762" max="10762" width="2.54296875" customWidth="1"/>
    <col min="10763" max="10763" width="6.54296875" customWidth="1"/>
    <col min="10764" max="10764" width="7" customWidth="1"/>
    <col min="10765" max="10795" width="6.54296875" customWidth="1"/>
    <col min="11018" max="11018" width="2.54296875" customWidth="1"/>
    <col min="11019" max="11019" width="6.54296875" customWidth="1"/>
    <col min="11020" max="11020" width="7" customWidth="1"/>
    <col min="11021" max="11051" width="6.54296875" customWidth="1"/>
    <col min="11274" max="11274" width="2.54296875" customWidth="1"/>
    <col min="11275" max="11275" width="6.54296875" customWidth="1"/>
    <col min="11276" max="11276" width="7" customWidth="1"/>
    <col min="11277" max="11307" width="6.54296875" customWidth="1"/>
    <col min="11530" max="11530" width="2.54296875" customWidth="1"/>
    <col min="11531" max="11531" width="6.54296875" customWidth="1"/>
    <col min="11532" max="11532" width="7" customWidth="1"/>
    <col min="11533" max="11563" width="6.54296875" customWidth="1"/>
    <col min="11786" max="11786" width="2.54296875" customWidth="1"/>
    <col min="11787" max="11787" width="6.54296875" customWidth="1"/>
    <col min="11788" max="11788" width="7" customWidth="1"/>
    <col min="11789" max="11819" width="6.54296875" customWidth="1"/>
    <col min="12042" max="12042" width="2.54296875" customWidth="1"/>
    <col min="12043" max="12043" width="6.54296875" customWidth="1"/>
    <col min="12044" max="12044" width="7" customWidth="1"/>
    <col min="12045" max="12075" width="6.54296875" customWidth="1"/>
    <col min="12298" max="12298" width="2.54296875" customWidth="1"/>
    <col min="12299" max="12299" width="6.54296875" customWidth="1"/>
    <col min="12300" max="12300" width="7" customWidth="1"/>
    <col min="12301" max="12331" width="6.54296875" customWidth="1"/>
    <col min="12554" max="12554" width="2.54296875" customWidth="1"/>
    <col min="12555" max="12555" width="6.54296875" customWidth="1"/>
    <col min="12556" max="12556" width="7" customWidth="1"/>
    <col min="12557" max="12587" width="6.54296875" customWidth="1"/>
    <col min="12810" max="12810" width="2.54296875" customWidth="1"/>
    <col min="12811" max="12811" width="6.54296875" customWidth="1"/>
    <col min="12812" max="12812" width="7" customWidth="1"/>
    <col min="12813" max="12843" width="6.54296875" customWidth="1"/>
    <col min="13066" max="13066" width="2.54296875" customWidth="1"/>
    <col min="13067" max="13067" width="6.54296875" customWidth="1"/>
    <col min="13068" max="13068" width="7" customWidth="1"/>
    <col min="13069" max="13099" width="6.54296875" customWidth="1"/>
    <col min="13322" max="13322" width="2.54296875" customWidth="1"/>
    <col min="13323" max="13323" width="6.54296875" customWidth="1"/>
    <col min="13324" max="13324" width="7" customWidth="1"/>
    <col min="13325" max="13355" width="6.54296875" customWidth="1"/>
    <col min="13578" max="13578" width="2.54296875" customWidth="1"/>
    <col min="13579" max="13579" width="6.54296875" customWidth="1"/>
    <col min="13580" max="13580" width="7" customWidth="1"/>
    <col min="13581" max="13611" width="6.54296875" customWidth="1"/>
    <col min="13834" max="13834" width="2.54296875" customWidth="1"/>
    <col min="13835" max="13835" width="6.54296875" customWidth="1"/>
    <col min="13836" max="13836" width="7" customWidth="1"/>
    <col min="13837" max="13867" width="6.54296875" customWidth="1"/>
    <col min="14090" max="14090" width="2.54296875" customWidth="1"/>
    <col min="14091" max="14091" width="6.54296875" customWidth="1"/>
    <col min="14092" max="14092" width="7" customWidth="1"/>
    <col min="14093" max="14123" width="6.54296875" customWidth="1"/>
    <col min="14346" max="14346" width="2.54296875" customWidth="1"/>
    <col min="14347" max="14347" width="6.54296875" customWidth="1"/>
    <col min="14348" max="14348" width="7" customWidth="1"/>
    <col min="14349" max="14379" width="6.54296875" customWidth="1"/>
    <col min="14602" max="14602" width="2.54296875" customWidth="1"/>
    <col min="14603" max="14603" width="6.54296875" customWidth="1"/>
    <col min="14604" max="14604" width="7" customWidth="1"/>
    <col min="14605" max="14635" width="6.54296875" customWidth="1"/>
    <col min="14858" max="14858" width="2.54296875" customWidth="1"/>
    <col min="14859" max="14859" width="6.54296875" customWidth="1"/>
    <col min="14860" max="14860" width="7" customWidth="1"/>
    <col min="14861" max="14891" width="6.54296875" customWidth="1"/>
    <col min="15114" max="15114" width="2.54296875" customWidth="1"/>
    <col min="15115" max="15115" width="6.54296875" customWidth="1"/>
    <col min="15116" max="15116" width="7" customWidth="1"/>
    <col min="15117" max="15147" width="6.54296875" customWidth="1"/>
    <col min="15370" max="15370" width="2.54296875" customWidth="1"/>
    <col min="15371" max="15371" width="6.54296875" customWidth="1"/>
    <col min="15372" max="15372" width="7" customWidth="1"/>
    <col min="15373" max="15403" width="6.54296875" customWidth="1"/>
    <col min="15626" max="15626" width="2.54296875" customWidth="1"/>
    <col min="15627" max="15627" width="6.54296875" customWidth="1"/>
    <col min="15628" max="15628" width="7" customWidth="1"/>
    <col min="15629" max="15659" width="6.54296875" customWidth="1"/>
    <col min="15882" max="15882" width="2.54296875" customWidth="1"/>
    <col min="15883" max="15883" width="6.54296875" customWidth="1"/>
    <col min="15884" max="15884" width="7" customWidth="1"/>
    <col min="15885" max="15915" width="6.54296875" customWidth="1"/>
    <col min="16138" max="16138" width="2.54296875" customWidth="1"/>
    <col min="16139" max="16139" width="6.54296875" customWidth="1"/>
    <col min="16140" max="16140" width="7" customWidth="1"/>
    <col min="16141" max="16171" width="6.54296875" customWidth="1"/>
  </cols>
  <sheetData>
    <row r="1" spans="2:26" ht="24.75" customHeight="1"/>
    <row r="2" spans="2:26" ht="20">
      <c r="Q2" s="25"/>
    </row>
    <row r="3" spans="2:26" ht="20">
      <c r="F3" s="25" t="s">
        <v>367</v>
      </c>
      <c r="G3" s="26"/>
      <c r="H3" s="26"/>
      <c r="I3" s="26"/>
      <c r="J3" s="26"/>
      <c r="K3" s="26"/>
      <c r="L3" s="26"/>
      <c r="M3" s="26"/>
      <c r="N3" s="26"/>
      <c r="Q3" s="25"/>
      <c r="R3" s="26"/>
      <c r="S3" s="26"/>
      <c r="T3" s="26"/>
      <c r="U3" s="26"/>
      <c r="V3" s="26"/>
      <c r="W3" s="26"/>
      <c r="X3" s="26"/>
      <c r="Y3" s="26"/>
    </row>
    <row r="4" spans="2:26" ht="20">
      <c r="F4" s="25" t="s">
        <v>368</v>
      </c>
      <c r="K4" s="2016">
        <f>INICIO!D12</f>
        <v>45231</v>
      </c>
      <c r="L4" s="2016"/>
      <c r="M4" s="387"/>
      <c r="N4" s="26"/>
      <c r="O4" s="26"/>
      <c r="Q4" s="27"/>
      <c r="T4" s="2016"/>
      <c r="U4" s="2016"/>
      <c r="V4" s="387"/>
      <c r="W4" s="26"/>
      <c r="X4" s="26"/>
      <c r="Y4" s="26"/>
    </row>
    <row r="5" spans="2:26" ht="20">
      <c r="F5" s="25" t="s">
        <v>369</v>
      </c>
      <c r="J5" s="403"/>
      <c r="K5" s="2016">
        <f>INICIO!D13</f>
        <v>45260</v>
      </c>
      <c r="L5" s="2016"/>
      <c r="M5" s="387"/>
      <c r="N5" s="28"/>
      <c r="O5" s="28"/>
      <c r="Q5" s="27"/>
      <c r="S5" s="28"/>
      <c r="T5" s="2016"/>
      <c r="U5" s="2016"/>
      <c r="V5" s="387"/>
      <c r="W5" s="28"/>
      <c r="X5" s="28"/>
      <c r="Z5" s="28"/>
    </row>
    <row r="6" spans="2:26">
      <c r="K6" s="2016">
        <f ca="1">TODAY( )</f>
        <v>45232</v>
      </c>
      <c r="L6" s="2016"/>
    </row>
    <row r="7" spans="2:26" ht="24.75" customHeight="1" thickBot="1"/>
    <row r="8" spans="2:26" ht="34.5" customHeight="1">
      <c r="B8" s="388" t="s">
        <v>19</v>
      </c>
      <c r="C8" s="2544" t="s">
        <v>370</v>
      </c>
      <c r="D8" s="2545"/>
      <c r="E8" s="2546"/>
      <c r="F8" s="2544" t="s">
        <v>371</v>
      </c>
      <c r="G8" s="2545"/>
      <c r="H8" s="2546"/>
      <c r="I8" s="389" t="s">
        <v>372</v>
      </c>
    </row>
    <row r="9" spans="2:26" ht="30.75" customHeight="1" thickBot="1">
      <c r="B9" s="390"/>
      <c r="C9" s="391" t="s">
        <v>11</v>
      </c>
      <c r="D9" s="391" t="s">
        <v>9</v>
      </c>
      <c r="E9" s="391" t="s">
        <v>12</v>
      </c>
      <c r="F9" s="392" t="s">
        <v>11</v>
      </c>
      <c r="G9" s="391" t="s">
        <v>10</v>
      </c>
      <c r="H9" s="391" t="s">
        <v>12</v>
      </c>
      <c r="I9" s="393" t="s">
        <v>373</v>
      </c>
    </row>
    <row r="10" spans="2:26" ht="15" customHeight="1">
      <c r="B10" s="394">
        <f>K4</f>
        <v>45231</v>
      </c>
      <c r="C10" s="395" t="e">
        <f>IF(INICIO!$C$7&gt;DAY($B10)-1,(VLOOKUP($B10,DATOSAÑO!$B$11:$BG$375,92))," ")</f>
        <v>#REF!</v>
      </c>
      <c r="D10" s="395" t="e">
        <f>IF(INICIO!$C$7&gt;DAY($B10)-1,(VLOOKUP($B10,DATOSAÑO!$B$11:$BG$375,98))," ")</f>
        <v>#REF!</v>
      </c>
      <c r="E10" s="395" t="e">
        <f>IF(INICIO!$C$7&gt;DAY($B10)-1,(VLOOKUP($B10,DATOSAÑO!$B$11:$BG$375,96))," ")</f>
        <v>#REF!</v>
      </c>
      <c r="F10" s="395" t="e">
        <f>IF(INICIO!$C$7&gt;DAY($B10)-1,(VLOOKUP($B10,DATOSAÑO!$B$11:$BG$375,93))," ")</f>
        <v>#REF!</v>
      </c>
      <c r="G10" s="395" t="e">
        <f>IF(INICIO!$C$7&gt;DAY($B10)-1,(VLOOKUP($B10,DATOSAÑO!$B$11:$BG$375,99))," ")</f>
        <v>#REF!</v>
      </c>
      <c r="H10" s="395" t="e">
        <f>IF(INICIO!$C$7&gt;DAY($B10)-1,(VLOOKUP($B10,DATOSAÑO!$B$11:$BG$375,97))," ")</f>
        <v>#REF!</v>
      </c>
      <c r="I10" s="396" t="e">
        <f>IF(AND($C10=" ",$F10=" ")," ",(C10+F10))</f>
        <v>#REF!</v>
      </c>
    </row>
    <row r="11" spans="2:26" ht="15" customHeight="1">
      <c r="B11" s="394">
        <f>B10+1</f>
        <v>45232</v>
      </c>
      <c r="C11" s="395" t="str">
        <f>IF(INICIO!$C$7&gt;DAY($B11)-1,(VLOOKUP($B11,DATOSAÑO!$B$11:$BG$375,92))," ")</f>
        <v xml:space="preserve"> </v>
      </c>
      <c r="D11" s="395" t="str">
        <f>IF(INICIO!$C$7&gt;DAY($B11)-1,(VLOOKUP($B11,DATOSAÑO!$B$11:$BG$375,98))," ")</f>
        <v xml:space="preserve"> </v>
      </c>
      <c r="E11" s="395" t="str">
        <f>IF(INICIO!$C$7&gt;DAY($B11)-1,(VLOOKUP($B11,DATOSAÑO!$B$11:$BG$375,96))," ")</f>
        <v xml:space="preserve"> </v>
      </c>
      <c r="F11" s="395" t="str">
        <f>IF(INICIO!$C$7&gt;DAY($B11)-1,(VLOOKUP($B11,DATOSAÑO!$B$11:$BG$375,93))," ")</f>
        <v xml:space="preserve"> </v>
      </c>
      <c r="G11" s="395" t="str">
        <f>IF(INICIO!$C$7&gt;DAY($B11)-1,(VLOOKUP($B11,DATOSAÑO!$B$11:$BG$375,99))," ")</f>
        <v xml:space="preserve"> </v>
      </c>
      <c r="H11" s="395" t="str">
        <f>IF(INICIO!$C$7&gt;DAY($B11)-1,(VLOOKUP($B11,DATOSAÑO!$B$11:$BG$375,97))," ")</f>
        <v xml:space="preserve"> </v>
      </c>
      <c r="I11" s="396" t="str">
        <f t="shared" ref="I11:I38" si="0">IF(AND($C11=" ",$F11=" ")," ",(C11+F11))</f>
        <v xml:space="preserve"> </v>
      </c>
    </row>
    <row r="12" spans="2:26" ht="15" customHeight="1">
      <c r="B12" s="394">
        <f t="shared" ref="B12:B36" si="1">B11+1</f>
        <v>45233</v>
      </c>
      <c r="C12" s="395" t="str">
        <f>IF(INICIO!$C$7&gt;DAY($B12)-1,(VLOOKUP($B12,DATOSAÑO!$B$11:$BG$375,92))," ")</f>
        <v xml:space="preserve"> </v>
      </c>
      <c r="D12" s="395" t="str">
        <f>IF(INICIO!$C$7&gt;DAY($B12)-1,(VLOOKUP($B12,DATOSAÑO!$B$11:$BG$375,98))," ")</f>
        <v xml:space="preserve"> </v>
      </c>
      <c r="E12" s="395" t="str">
        <f>IF(INICIO!$C$7&gt;DAY($B12)-1,(VLOOKUP($B12,DATOSAÑO!$B$11:$BG$375,96))," ")</f>
        <v xml:space="preserve"> </v>
      </c>
      <c r="F12" s="395" t="str">
        <f>IF(INICIO!$C$7&gt;DAY($B12)-1,(VLOOKUP($B12,DATOSAÑO!$B$11:$BG$375,93))," ")</f>
        <v xml:space="preserve"> </v>
      </c>
      <c r="G12" s="395" t="str">
        <f>IF(INICIO!$C$7&gt;DAY($B12)-1,(VLOOKUP($B12,DATOSAÑO!$B$11:$BG$375,99))," ")</f>
        <v xml:space="preserve"> </v>
      </c>
      <c r="H12" s="395" t="str">
        <f>IF(INICIO!$C$7&gt;DAY($B12)-1,(VLOOKUP($B12,DATOSAÑO!$B$11:$BG$375,97))," ")</f>
        <v xml:space="preserve"> </v>
      </c>
      <c r="I12" s="396" t="str">
        <f t="shared" si="0"/>
        <v xml:space="preserve"> </v>
      </c>
    </row>
    <row r="13" spans="2:26">
      <c r="B13" s="394">
        <f t="shared" si="1"/>
        <v>45234</v>
      </c>
      <c r="C13" s="395" t="str">
        <f>IF(INICIO!$C$7&gt;DAY($B13)-1,(VLOOKUP($B13,DATOSAÑO!$B$11:$BG$375,92))," ")</f>
        <v xml:space="preserve"> </v>
      </c>
      <c r="D13" s="395" t="str">
        <f>IF(INICIO!$C$7&gt;DAY($B13)-1,(VLOOKUP($B13,DATOSAÑO!$B$11:$BG$375,98))," ")</f>
        <v xml:space="preserve"> </v>
      </c>
      <c r="E13" s="395" t="str">
        <f>IF(INICIO!$C$7&gt;DAY($B13)-1,(VLOOKUP($B13,DATOSAÑO!$B$11:$BG$375,96))," ")</f>
        <v xml:space="preserve"> </v>
      </c>
      <c r="F13" s="395" t="str">
        <f>IF(INICIO!$C$7&gt;DAY($B13)-1,(VLOOKUP($B13,DATOSAÑO!$B$11:$BG$375,93))," ")</f>
        <v xml:space="preserve"> </v>
      </c>
      <c r="G13" s="395" t="str">
        <f>IF(INICIO!$C$7&gt;DAY($B13)-1,(VLOOKUP($B13,DATOSAÑO!$B$11:$BG$375,99))," ")</f>
        <v xml:space="preserve"> </v>
      </c>
      <c r="H13" s="395" t="str">
        <f>IF(INICIO!$C$7&gt;DAY($B13)-1,(VLOOKUP($B13,DATOSAÑO!$B$11:$BG$375,97))," ")</f>
        <v xml:space="preserve"> </v>
      </c>
      <c r="I13" s="396" t="str">
        <f t="shared" si="0"/>
        <v xml:space="preserve"> </v>
      </c>
    </row>
    <row r="14" spans="2:26">
      <c r="B14" s="394">
        <f t="shared" si="1"/>
        <v>45235</v>
      </c>
      <c r="C14" s="395" t="str">
        <f>IF(INICIO!$C$7&gt;DAY($B14)-1,(VLOOKUP($B14,DATOSAÑO!$B$11:$BG$375,92))," ")</f>
        <v xml:space="preserve"> </v>
      </c>
      <c r="D14" s="395" t="str">
        <f>IF(INICIO!$C$7&gt;DAY($B14)-1,(VLOOKUP($B14,DATOSAÑO!$B$11:$BG$375,98))," ")</f>
        <v xml:space="preserve"> </v>
      </c>
      <c r="E14" s="395" t="str">
        <f>IF(INICIO!$C$7&gt;DAY($B14)-1,(VLOOKUP($B14,DATOSAÑO!$B$11:$BG$375,96))," ")</f>
        <v xml:space="preserve"> </v>
      </c>
      <c r="F14" s="395" t="str">
        <f>IF(INICIO!$C$7&gt;DAY($B14)-1,(VLOOKUP($B14,DATOSAÑO!$B$11:$BG$375,93))," ")</f>
        <v xml:space="preserve"> </v>
      </c>
      <c r="G14" s="395" t="str">
        <f>IF(INICIO!$C$7&gt;DAY($B14)-1,(VLOOKUP($B14,DATOSAÑO!$B$11:$BG$375,99))," ")</f>
        <v xml:space="preserve"> </v>
      </c>
      <c r="H14" s="395" t="str">
        <f>IF(INICIO!$C$7&gt;DAY($B14)-1,(VLOOKUP($B14,DATOSAÑO!$B$11:$BG$375,97))," ")</f>
        <v xml:space="preserve"> </v>
      </c>
      <c r="I14" s="396" t="str">
        <f t="shared" si="0"/>
        <v xml:space="preserve"> </v>
      </c>
    </row>
    <row r="15" spans="2:26">
      <c r="B15" s="394">
        <f t="shared" si="1"/>
        <v>45236</v>
      </c>
      <c r="C15" s="395" t="str">
        <f>IF(INICIO!$C$7&gt;DAY($B15)-1,(VLOOKUP($B15,DATOSAÑO!$B$11:$BG$375,92))," ")</f>
        <v xml:space="preserve"> </v>
      </c>
      <c r="D15" s="395" t="str">
        <f>IF(INICIO!$C$7&gt;DAY($B15)-1,(VLOOKUP($B15,DATOSAÑO!$B$11:$BG$375,98))," ")</f>
        <v xml:space="preserve"> </v>
      </c>
      <c r="E15" s="395" t="str">
        <f>IF(INICIO!$C$7&gt;DAY($B15)-1,(VLOOKUP($B15,DATOSAÑO!$B$11:$BG$375,96))," ")</f>
        <v xml:space="preserve"> </v>
      </c>
      <c r="F15" s="395" t="str">
        <f>IF(INICIO!$C$7&gt;DAY($B15)-1,(VLOOKUP($B15,DATOSAÑO!$B$11:$BG$375,93))," ")</f>
        <v xml:space="preserve"> </v>
      </c>
      <c r="G15" s="395" t="str">
        <f>IF(INICIO!$C$7&gt;DAY($B15)-1,(VLOOKUP($B15,DATOSAÑO!$B$11:$BG$375,99))," ")</f>
        <v xml:space="preserve"> </v>
      </c>
      <c r="H15" s="395" t="str">
        <f>IF(INICIO!$C$7&gt;DAY($B15)-1,(VLOOKUP($B15,DATOSAÑO!$B$11:$BG$375,97))," ")</f>
        <v xml:space="preserve"> </v>
      </c>
      <c r="I15" s="396" t="str">
        <f t="shared" si="0"/>
        <v xml:space="preserve"> </v>
      </c>
    </row>
    <row r="16" spans="2:26">
      <c r="B16" s="394">
        <f t="shared" si="1"/>
        <v>45237</v>
      </c>
      <c r="C16" s="395" t="str">
        <f>IF(INICIO!$C$7&gt;DAY($B16)-1,(VLOOKUP($B16,DATOSAÑO!$B$11:$BG$375,92))," ")</f>
        <v xml:space="preserve"> </v>
      </c>
      <c r="D16" s="395" t="str">
        <f>IF(INICIO!$C$7&gt;DAY($B16)-1,(VLOOKUP($B16,DATOSAÑO!$B$11:$BG$375,98))," ")</f>
        <v xml:space="preserve"> </v>
      </c>
      <c r="E16" s="395" t="str">
        <f>IF(INICIO!$C$7&gt;DAY($B16)-1,(VLOOKUP($B16,DATOSAÑO!$B$11:$BG$375,96))," ")</f>
        <v xml:space="preserve"> </v>
      </c>
      <c r="F16" s="395" t="str">
        <f>IF(INICIO!$C$7&gt;DAY($B16)-1,(VLOOKUP($B16,DATOSAÑO!$B$11:$BG$375,93))," ")</f>
        <v xml:space="preserve"> </v>
      </c>
      <c r="G16" s="395" t="str">
        <f>IF(INICIO!$C$7&gt;DAY($B16)-1,(VLOOKUP($B16,DATOSAÑO!$B$11:$BG$375,99))," ")</f>
        <v xml:space="preserve"> </v>
      </c>
      <c r="H16" s="395" t="str">
        <f>IF(INICIO!$C$7&gt;DAY($B16)-1,(VLOOKUP($B16,DATOSAÑO!$B$11:$BG$375,97))," ")</f>
        <v xml:space="preserve"> </v>
      </c>
      <c r="I16" s="396" t="str">
        <f t="shared" si="0"/>
        <v xml:space="preserve"> </v>
      </c>
    </row>
    <row r="17" spans="2:9" ht="15" customHeight="1">
      <c r="B17" s="394">
        <f t="shared" si="1"/>
        <v>45238</v>
      </c>
      <c r="C17" s="395" t="str">
        <f>IF(INICIO!$C$7&gt;DAY($B17)-1,(VLOOKUP($B17,DATOSAÑO!$B$11:$BG$375,92))," ")</f>
        <v xml:space="preserve"> </v>
      </c>
      <c r="D17" s="395" t="str">
        <f>IF(INICIO!$C$7&gt;DAY($B17)-1,(VLOOKUP($B17,DATOSAÑO!$B$11:$BG$375,98))," ")</f>
        <v xml:space="preserve"> </v>
      </c>
      <c r="E17" s="395" t="str">
        <f>IF(INICIO!$C$7&gt;DAY($B17)-1,(VLOOKUP($B17,DATOSAÑO!$B$11:$BG$375,96))," ")</f>
        <v xml:space="preserve"> </v>
      </c>
      <c r="F17" s="395" t="str">
        <f>IF(INICIO!$C$7&gt;DAY($B17)-1,(VLOOKUP($B17,DATOSAÑO!$B$11:$BG$375,93))," ")</f>
        <v xml:space="preserve"> </v>
      </c>
      <c r="G17" s="395" t="str">
        <f>IF(INICIO!$C$7&gt;DAY($B17)-1,(VLOOKUP($B17,DATOSAÑO!$B$11:$BG$375,99))," ")</f>
        <v xml:space="preserve"> </v>
      </c>
      <c r="H17" s="395" t="str">
        <f>IF(INICIO!$C$7&gt;DAY($B17)-1,(VLOOKUP($B17,DATOSAÑO!$B$11:$BG$375,97))," ")</f>
        <v xml:space="preserve"> </v>
      </c>
      <c r="I17" s="396" t="str">
        <f t="shared" si="0"/>
        <v xml:space="preserve"> </v>
      </c>
    </row>
    <row r="18" spans="2:9">
      <c r="B18" s="394">
        <f t="shared" si="1"/>
        <v>45239</v>
      </c>
      <c r="C18" s="395" t="str">
        <f>IF(INICIO!$C$7&gt;DAY($B18)-1,(VLOOKUP($B18,DATOSAÑO!$B$11:$BG$375,92))," ")</f>
        <v xml:space="preserve"> </v>
      </c>
      <c r="D18" s="395" t="str">
        <f>IF(INICIO!$C$7&gt;DAY($B18)-1,(VLOOKUP($B18,DATOSAÑO!$B$11:$BG$375,98))," ")</f>
        <v xml:space="preserve"> </v>
      </c>
      <c r="E18" s="395" t="str">
        <f>IF(INICIO!$C$7&gt;DAY($B18)-1,(VLOOKUP($B18,DATOSAÑO!$B$11:$BG$375,96))," ")</f>
        <v xml:space="preserve"> </v>
      </c>
      <c r="F18" s="395" t="str">
        <f>IF(INICIO!$C$7&gt;DAY($B18)-1,(VLOOKUP($B18,DATOSAÑO!$B$11:$BG$375,93))," ")</f>
        <v xml:space="preserve"> </v>
      </c>
      <c r="G18" s="395" t="str">
        <f>IF(INICIO!$C$7&gt;DAY($B18)-1,(VLOOKUP($B18,DATOSAÑO!$B$11:$BG$375,99))," ")</f>
        <v xml:space="preserve"> </v>
      </c>
      <c r="H18" s="395" t="str">
        <f>IF(INICIO!$C$7&gt;DAY($B18)-1,(VLOOKUP($B18,DATOSAÑO!$B$11:$BG$375,97))," ")</f>
        <v xml:space="preserve"> </v>
      </c>
      <c r="I18" s="396" t="str">
        <f t="shared" si="0"/>
        <v xml:space="preserve"> </v>
      </c>
    </row>
    <row r="19" spans="2:9">
      <c r="B19" s="394">
        <f t="shared" si="1"/>
        <v>45240</v>
      </c>
      <c r="C19" s="395" t="str">
        <f>IF(INICIO!$C$7&gt;DAY($B19)-1,(VLOOKUP($B19,DATOSAÑO!$B$11:$BG$375,92))," ")</f>
        <v xml:space="preserve"> </v>
      </c>
      <c r="D19" s="395" t="str">
        <f>IF(INICIO!$C$7&gt;DAY($B19)-1,(VLOOKUP($B19,DATOSAÑO!$B$11:$BG$375,98))," ")</f>
        <v xml:space="preserve"> </v>
      </c>
      <c r="E19" s="395" t="str">
        <f>IF(INICIO!$C$7&gt;DAY($B19)-1,(VLOOKUP($B19,DATOSAÑO!$B$11:$BG$375,96))," ")</f>
        <v xml:space="preserve"> </v>
      </c>
      <c r="F19" s="395" t="str">
        <f>IF(INICIO!$C$7&gt;DAY($B19)-1,(VLOOKUP($B19,DATOSAÑO!$B$11:$BG$375,93))," ")</f>
        <v xml:space="preserve"> </v>
      </c>
      <c r="G19" s="395" t="str">
        <f>IF(INICIO!$C$7&gt;DAY($B19)-1,(VLOOKUP($B19,DATOSAÑO!$B$11:$BG$375,99))," ")</f>
        <v xml:space="preserve"> </v>
      </c>
      <c r="H19" s="395" t="str">
        <f>IF(INICIO!$C$7&gt;DAY($B19)-1,(VLOOKUP($B19,DATOSAÑO!$B$11:$BG$375,97))," ")</f>
        <v xml:space="preserve"> </v>
      </c>
      <c r="I19" s="396" t="str">
        <f t="shared" si="0"/>
        <v xml:space="preserve"> </v>
      </c>
    </row>
    <row r="20" spans="2:9">
      <c r="B20" s="394">
        <f t="shared" si="1"/>
        <v>45241</v>
      </c>
      <c r="C20" s="395" t="str">
        <f>IF(INICIO!$C$7&gt;DAY($B20)-1,(VLOOKUP($B20,DATOSAÑO!$B$11:$BG$375,92))," ")</f>
        <v xml:space="preserve"> </v>
      </c>
      <c r="D20" s="395" t="str">
        <f>IF(INICIO!$C$7&gt;DAY($B20)-1,(VLOOKUP($B20,DATOSAÑO!$B$11:$BG$375,98))," ")</f>
        <v xml:space="preserve"> </v>
      </c>
      <c r="E20" s="395" t="str">
        <f>IF(INICIO!$C$7&gt;DAY($B20)-1,(VLOOKUP($B20,DATOSAÑO!$B$11:$BG$375,96))," ")</f>
        <v xml:space="preserve"> </v>
      </c>
      <c r="F20" s="395" t="str">
        <f>IF(INICIO!$C$7&gt;DAY($B20)-1,(VLOOKUP($B20,DATOSAÑO!$B$11:$BG$375,93))," ")</f>
        <v xml:space="preserve"> </v>
      </c>
      <c r="G20" s="395" t="str">
        <f>IF(INICIO!$C$7&gt;DAY($B20)-1,(VLOOKUP($B20,DATOSAÑO!$B$11:$BG$375,99))," ")</f>
        <v xml:space="preserve"> </v>
      </c>
      <c r="H20" s="395" t="str">
        <f>IF(INICIO!$C$7&gt;DAY($B20)-1,(VLOOKUP($B20,DATOSAÑO!$B$11:$BG$375,97))," ")</f>
        <v xml:space="preserve"> </v>
      </c>
      <c r="I20" s="396" t="str">
        <f t="shared" si="0"/>
        <v xml:space="preserve"> </v>
      </c>
    </row>
    <row r="21" spans="2:9">
      <c r="B21" s="394">
        <f t="shared" si="1"/>
        <v>45242</v>
      </c>
      <c r="C21" s="395" t="str">
        <f>IF(INICIO!$C$7&gt;DAY($B21)-1,(VLOOKUP($B21,DATOSAÑO!$B$11:$BG$375,92))," ")</f>
        <v xml:space="preserve"> </v>
      </c>
      <c r="D21" s="395" t="str">
        <f>IF(INICIO!$C$7&gt;DAY($B21)-1,(VLOOKUP($B21,DATOSAÑO!$B$11:$BG$375,98))," ")</f>
        <v xml:space="preserve"> </v>
      </c>
      <c r="E21" s="395" t="str">
        <f>IF(INICIO!$C$7&gt;DAY($B21)-1,(VLOOKUP($B21,DATOSAÑO!$B$11:$BG$375,96))," ")</f>
        <v xml:space="preserve"> </v>
      </c>
      <c r="F21" s="395" t="str">
        <f>IF(INICIO!$C$7&gt;DAY($B21)-1,(VLOOKUP($B21,DATOSAÑO!$B$11:$BG$375,93))," ")</f>
        <v xml:space="preserve"> </v>
      </c>
      <c r="G21" s="395" t="str">
        <f>IF(INICIO!$C$7&gt;DAY($B21)-1,(VLOOKUP($B21,DATOSAÑO!$B$11:$BG$375,99))," ")</f>
        <v xml:space="preserve"> </v>
      </c>
      <c r="H21" s="395" t="str">
        <f>IF(INICIO!$C$7&gt;DAY($B21)-1,(VLOOKUP($B21,DATOSAÑO!$B$11:$BG$375,97))," ")</f>
        <v xml:space="preserve"> </v>
      </c>
      <c r="I21" s="396" t="str">
        <f t="shared" si="0"/>
        <v xml:space="preserve"> </v>
      </c>
    </row>
    <row r="22" spans="2:9">
      <c r="B22" s="394">
        <f t="shared" si="1"/>
        <v>45243</v>
      </c>
      <c r="C22" s="395" t="str">
        <f>IF(INICIO!$C$7&gt;DAY($B22)-1,(VLOOKUP($B22,DATOSAÑO!$B$11:$BG$375,92))," ")</f>
        <v xml:space="preserve"> </v>
      </c>
      <c r="D22" s="395" t="str">
        <f>IF(INICIO!$C$7&gt;DAY($B22)-1,(VLOOKUP($B22,DATOSAÑO!$B$11:$BG$375,98))," ")</f>
        <v xml:space="preserve"> </v>
      </c>
      <c r="E22" s="395" t="str">
        <f>IF(INICIO!$C$7&gt;DAY($B22)-1,(VLOOKUP($B22,DATOSAÑO!$B$11:$BG$375,96))," ")</f>
        <v xml:space="preserve"> </v>
      </c>
      <c r="F22" s="395" t="str">
        <f>IF(INICIO!$C$7&gt;DAY($B22)-1,(VLOOKUP($B22,DATOSAÑO!$B$11:$BG$375,93))," ")</f>
        <v xml:space="preserve"> </v>
      </c>
      <c r="G22" s="395" t="str">
        <f>IF(INICIO!$C$7&gt;DAY($B22)-1,(VLOOKUP($B22,DATOSAÑO!$B$11:$BG$375,99))," ")</f>
        <v xml:space="preserve"> </v>
      </c>
      <c r="H22" s="395" t="str">
        <f>IF(INICIO!$C$7&gt;DAY($B22)-1,(VLOOKUP($B22,DATOSAÑO!$B$11:$BG$375,97))," ")</f>
        <v xml:space="preserve"> </v>
      </c>
      <c r="I22" s="396" t="str">
        <f t="shared" si="0"/>
        <v xml:space="preserve"> </v>
      </c>
    </row>
    <row r="23" spans="2:9">
      <c r="B23" s="394">
        <f t="shared" si="1"/>
        <v>45244</v>
      </c>
      <c r="C23" s="395" t="str">
        <f>IF(INICIO!$C$7&gt;DAY($B23)-1,(VLOOKUP($B23,DATOSAÑO!$B$11:$BG$375,92))," ")</f>
        <v xml:space="preserve"> </v>
      </c>
      <c r="D23" s="395" t="str">
        <f>IF(INICIO!$C$7&gt;DAY($B23)-1,(VLOOKUP($B23,DATOSAÑO!$B$11:$BG$375,98))," ")</f>
        <v xml:space="preserve"> </v>
      </c>
      <c r="E23" s="395" t="str">
        <f>IF(INICIO!$C$7&gt;DAY($B23)-1,(VLOOKUP($B23,DATOSAÑO!$B$11:$BG$375,96))," ")</f>
        <v xml:space="preserve"> </v>
      </c>
      <c r="F23" s="395" t="str">
        <f>IF(INICIO!$C$7&gt;DAY($B23)-1,(VLOOKUP($B23,DATOSAÑO!$B$11:$BG$375,93))," ")</f>
        <v xml:space="preserve"> </v>
      </c>
      <c r="G23" s="395" t="str">
        <f>IF(INICIO!$C$7&gt;DAY($B23)-1,(VLOOKUP($B23,DATOSAÑO!$B$11:$BG$375,99))," ")</f>
        <v xml:space="preserve"> </v>
      </c>
      <c r="H23" s="395" t="str">
        <f>IF(INICIO!$C$7&gt;DAY($B23)-1,(VLOOKUP($B23,DATOSAÑO!$B$11:$BG$375,97))," ")</f>
        <v xml:space="preserve"> </v>
      </c>
      <c r="I23" s="396" t="str">
        <f t="shared" si="0"/>
        <v xml:space="preserve"> </v>
      </c>
    </row>
    <row r="24" spans="2:9" ht="15" customHeight="1">
      <c r="B24" s="394">
        <f t="shared" si="1"/>
        <v>45245</v>
      </c>
      <c r="C24" s="395" t="str">
        <f>IF(INICIO!$C$7&gt;DAY($B24)-1,(VLOOKUP($B24,DATOSAÑO!$B$11:$BG$375,92))," ")</f>
        <v xml:space="preserve"> </v>
      </c>
      <c r="D24" s="395" t="str">
        <f>IF(INICIO!$C$7&gt;DAY($B24)-1,(VLOOKUP($B24,DATOSAÑO!$B$11:$BG$375,98))," ")</f>
        <v xml:space="preserve"> </v>
      </c>
      <c r="E24" s="395" t="str">
        <f>IF(INICIO!$C$7&gt;DAY($B24)-1,(VLOOKUP($B24,DATOSAÑO!$B$11:$BG$375,96))," ")</f>
        <v xml:space="preserve"> </v>
      </c>
      <c r="F24" s="395" t="str">
        <f>IF(INICIO!$C$7&gt;DAY($B24)-1,(VLOOKUP($B24,DATOSAÑO!$B$11:$BG$375,93))," ")</f>
        <v xml:space="preserve"> </v>
      </c>
      <c r="G24" s="395" t="str">
        <f>IF(INICIO!$C$7&gt;DAY($B24)-1,(VLOOKUP($B24,DATOSAÑO!$B$11:$BG$375,99))," ")</f>
        <v xml:space="preserve"> </v>
      </c>
      <c r="H24" s="395" t="str">
        <f>IF(INICIO!$C$7&gt;DAY($B24)-1,(VLOOKUP($B24,DATOSAÑO!$B$11:$BG$375,97))," ")</f>
        <v xml:space="preserve"> </v>
      </c>
      <c r="I24" s="396" t="str">
        <f t="shared" si="0"/>
        <v xml:space="preserve"> </v>
      </c>
    </row>
    <row r="25" spans="2:9" ht="15" customHeight="1">
      <c r="B25" s="394">
        <f t="shared" si="1"/>
        <v>45246</v>
      </c>
      <c r="C25" s="395" t="str">
        <f>IF(INICIO!$C$7&gt;DAY($B25)-1,(VLOOKUP($B25,DATOSAÑO!$B$11:$BG$375,92))," ")</f>
        <v xml:space="preserve"> </v>
      </c>
      <c r="D25" s="395" t="str">
        <f>IF(INICIO!$C$7&gt;DAY($B25)-1,(VLOOKUP($B25,DATOSAÑO!$B$11:$BG$375,98))," ")</f>
        <v xml:space="preserve"> </v>
      </c>
      <c r="E25" s="395" t="str">
        <f>IF(INICIO!$C$7&gt;DAY($B25)-1,(VLOOKUP($B25,DATOSAÑO!$B$11:$BG$375,96))," ")</f>
        <v xml:space="preserve"> </v>
      </c>
      <c r="F25" s="395" t="str">
        <f>IF(INICIO!$C$7&gt;DAY($B25)-1,(VLOOKUP($B25,DATOSAÑO!$B$11:$BG$375,93))," ")</f>
        <v xml:space="preserve"> </v>
      </c>
      <c r="G25" s="395" t="str">
        <f>IF(INICIO!$C$7&gt;DAY($B25)-1,(VLOOKUP($B25,DATOSAÑO!$B$11:$BG$375,99))," ")</f>
        <v xml:space="preserve"> </v>
      </c>
      <c r="H25" s="395" t="str">
        <f>IF(INICIO!$C$7&gt;DAY($B25)-1,(VLOOKUP($B25,DATOSAÑO!$B$11:$BG$375,97))," ")</f>
        <v xml:space="preserve"> </v>
      </c>
      <c r="I25" s="396" t="str">
        <f t="shared" si="0"/>
        <v xml:space="preserve"> </v>
      </c>
    </row>
    <row r="26" spans="2:9" ht="15" customHeight="1">
      <c r="B26" s="394">
        <f t="shared" si="1"/>
        <v>45247</v>
      </c>
      <c r="C26" s="395" t="str">
        <f>IF(INICIO!$C$7&gt;DAY($B26)-1,(VLOOKUP($B26,DATOSAÑO!$B$11:$BG$375,92))," ")</f>
        <v xml:space="preserve"> </v>
      </c>
      <c r="D26" s="395" t="str">
        <f>IF(INICIO!$C$7&gt;DAY($B26)-1,(VLOOKUP($B26,DATOSAÑO!$B$11:$BG$375,98))," ")</f>
        <v xml:space="preserve"> </v>
      </c>
      <c r="E26" s="395" t="str">
        <f>IF(INICIO!$C$7&gt;DAY($B26)-1,(VLOOKUP($B26,DATOSAÑO!$B$11:$BG$375,96))," ")</f>
        <v xml:space="preserve"> </v>
      </c>
      <c r="F26" s="395" t="str">
        <f>IF(INICIO!$C$7&gt;DAY($B26)-1,(VLOOKUP($B26,DATOSAÑO!$B$11:$BG$375,93))," ")</f>
        <v xml:space="preserve"> </v>
      </c>
      <c r="G26" s="395" t="str">
        <f>IF(INICIO!$C$7&gt;DAY($B26)-1,(VLOOKUP($B26,DATOSAÑO!$B$11:$BG$375,99))," ")</f>
        <v xml:space="preserve"> </v>
      </c>
      <c r="H26" s="395" t="str">
        <f>IF(INICIO!$C$7&gt;DAY($B26)-1,(VLOOKUP($B26,DATOSAÑO!$B$11:$BG$375,97))," ")</f>
        <v xml:space="preserve"> </v>
      </c>
      <c r="I26" s="396" t="str">
        <f t="shared" si="0"/>
        <v xml:space="preserve"> </v>
      </c>
    </row>
    <row r="27" spans="2:9">
      <c r="B27" s="394">
        <f t="shared" si="1"/>
        <v>45248</v>
      </c>
      <c r="C27" s="395" t="str">
        <f>IF(INICIO!$C$7&gt;DAY($B27)-1,(VLOOKUP($B27,DATOSAÑO!$B$11:$BG$375,92))," ")</f>
        <v xml:space="preserve"> </v>
      </c>
      <c r="D27" s="395" t="str">
        <f>IF(INICIO!$C$7&gt;DAY($B27)-1,(VLOOKUP($B27,DATOSAÑO!$B$11:$BG$375,98))," ")</f>
        <v xml:space="preserve"> </v>
      </c>
      <c r="E27" s="395" t="str">
        <f>IF(INICIO!$C$7&gt;DAY($B27)-1,(VLOOKUP($B27,DATOSAÑO!$B$11:$BG$375,96))," ")</f>
        <v xml:space="preserve"> </v>
      </c>
      <c r="F27" s="395" t="str">
        <f>IF(INICIO!$C$7&gt;DAY($B27)-1,(VLOOKUP($B27,DATOSAÑO!$B$11:$BG$375,93))," ")</f>
        <v xml:space="preserve"> </v>
      </c>
      <c r="G27" s="395" t="str">
        <f>IF(INICIO!$C$7&gt;DAY($B27)-1,(VLOOKUP($B27,DATOSAÑO!$B$11:$BG$375,99))," ")</f>
        <v xml:space="preserve"> </v>
      </c>
      <c r="H27" s="395" t="str">
        <f>IF(INICIO!$C$7&gt;DAY($B27)-1,(VLOOKUP($B27,DATOSAÑO!$B$11:$BG$375,97))," ")</f>
        <v xml:space="preserve"> </v>
      </c>
      <c r="I27" s="396" t="str">
        <f t="shared" si="0"/>
        <v xml:space="preserve"> </v>
      </c>
    </row>
    <row r="28" spans="2:9">
      <c r="B28" s="394">
        <f t="shared" si="1"/>
        <v>45249</v>
      </c>
      <c r="C28" s="395" t="str">
        <f>IF(INICIO!$C$7&gt;DAY($B28)-1,(VLOOKUP($B28,DATOSAÑO!$B$11:$BG$375,92))," ")</f>
        <v xml:space="preserve"> </v>
      </c>
      <c r="D28" s="395" t="str">
        <f>IF(INICIO!$C$7&gt;DAY($B28)-1,(VLOOKUP($B28,DATOSAÑO!$B$11:$BG$375,98))," ")</f>
        <v xml:space="preserve"> </v>
      </c>
      <c r="E28" s="395" t="str">
        <f>IF(INICIO!$C$7&gt;DAY($B28)-1,(VLOOKUP($B28,DATOSAÑO!$B$11:$BG$375,96))," ")</f>
        <v xml:space="preserve"> </v>
      </c>
      <c r="F28" s="395" t="str">
        <f>IF(INICIO!$C$7&gt;DAY($B28)-1,(VLOOKUP($B28,DATOSAÑO!$B$11:$BG$375,93))," ")</f>
        <v xml:space="preserve"> </v>
      </c>
      <c r="G28" s="395" t="str">
        <f>IF(INICIO!$C$7&gt;DAY($B28)-1,(VLOOKUP($B28,DATOSAÑO!$B$11:$BG$375,99))," ")</f>
        <v xml:space="preserve"> </v>
      </c>
      <c r="H28" s="395" t="str">
        <f>IF(INICIO!$C$7&gt;DAY($B28)-1,(VLOOKUP($B28,DATOSAÑO!$B$11:$BG$375,97))," ")</f>
        <v xml:space="preserve"> </v>
      </c>
      <c r="I28" s="396" t="str">
        <f t="shared" si="0"/>
        <v xml:space="preserve"> </v>
      </c>
    </row>
    <row r="29" spans="2:9">
      <c r="B29" s="394">
        <f t="shared" si="1"/>
        <v>45250</v>
      </c>
      <c r="C29" s="395" t="str">
        <f>IF(INICIO!$C$7&gt;DAY($B29)-1,(VLOOKUP($B29,DATOSAÑO!$B$11:$BG$375,92))," ")</f>
        <v xml:space="preserve"> </v>
      </c>
      <c r="D29" s="395" t="str">
        <f>IF(INICIO!$C$7&gt;DAY($B29)-1,(VLOOKUP($B29,DATOSAÑO!$B$11:$BG$375,98))," ")</f>
        <v xml:space="preserve"> </v>
      </c>
      <c r="E29" s="395" t="str">
        <f>IF(INICIO!$C$7&gt;DAY($B29)-1,(VLOOKUP($B29,DATOSAÑO!$B$11:$BG$375,96))," ")</f>
        <v xml:space="preserve"> </v>
      </c>
      <c r="F29" s="395" t="str">
        <f>IF(INICIO!$C$7&gt;DAY($B29)-1,(VLOOKUP($B29,DATOSAÑO!$B$11:$BG$375,93))," ")</f>
        <v xml:space="preserve"> </v>
      </c>
      <c r="G29" s="395" t="str">
        <f>IF(INICIO!$C$7&gt;DAY($B29)-1,(VLOOKUP($B29,DATOSAÑO!$B$11:$BG$375,99))," ")</f>
        <v xml:space="preserve"> </v>
      </c>
      <c r="H29" s="395" t="str">
        <f>IF(INICIO!$C$7&gt;DAY($B29)-1,(VLOOKUP($B29,DATOSAÑO!$B$11:$BG$375,97))," ")</f>
        <v xml:space="preserve"> </v>
      </c>
      <c r="I29" s="396" t="str">
        <f t="shared" si="0"/>
        <v xml:space="preserve"> </v>
      </c>
    </row>
    <row r="30" spans="2:9">
      <c r="B30" s="394">
        <f t="shared" si="1"/>
        <v>45251</v>
      </c>
      <c r="C30" s="395" t="str">
        <f>IF(INICIO!$C$7&gt;DAY($B30)-1,(VLOOKUP($B30,DATOSAÑO!$B$11:$BG$375,92))," ")</f>
        <v xml:space="preserve"> </v>
      </c>
      <c r="D30" s="395" t="str">
        <f>IF(INICIO!$C$7&gt;DAY($B30)-1,(VLOOKUP($B30,DATOSAÑO!$B$11:$BG$375,98))," ")</f>
        <v xml:space="preserve"> </v>
      </c>
      <c r="E30" s="395" t="str">
        <f>IF(INICIO!$C$7&gt;DAY($B30)-1,(VLOOKUP($B30,DATOSAÑO!$B$11:$BG$375,96))," ")</f>
        <v xml:space="preserve"> </v>
      </c>
      <c r="F30" s="395" t="str">
        <f>IF(INICIO!$C$7&gt;DAY($B30)-1,(VLOOKUP($B30,DATOSAÑO!$B$11:$BG$375,93))," ")</f>
        <v xml:space="preserve"> </v>
      </c>
      <c r="G30" s="395" t="str">
        <f>IF(INICIO!$C$7&gt;DAY($B30)-1,(VLOOKUP($B30,DATOSAÑO!$B$11:$BG$375,99))," ")</f>
        <v xml:space="preserve"> </v>
      </c>
      <c r="H30" s="395" t="str">
        <f>IF(INICIO!$C$7&gt;DAY($B30)-1,(VLOOKUP($B30,DATOSAÑO!$B$11:$BG$375,97))," ")</f>
        <v xml:space="preserve"> </v>
      </c>
      <c r="I30" s="396" t="str">
        <f t="shared" si="0"/>
        <v xml:space="preserve"> </v>
      </c>
    </row>
    <row r="31" spans="2:9">
      <c r="B31" s="394">
        <f t="shared" si="1"/>
        <v>45252</v>
      </c>
      <c r="C31" s="395" t="str">
        <f>IF(INICIO!$C$7&gt;DAY($B31)-1,(VLOOKUP($B31,DATOSAÑO!$B$11:$BG$375,92))," ")</f>
        <v xml:space="preserve"> </v>
      </c>
      <c r="D31" s="395" t="str">
        <f>IF(INICIO!$C$7&gt;DAY($B31)-1,(VLOOKUP($B31,DATOSAÑO!$B$11:$BG$375,98))," ")</f>
        <v xml:space="preserve"> </v>
      </c>
      <c r="E31" s="395" t="str">
        <f>IF(INICIO!$C$7&gt;DAY($B31)-1,(VLOOKUP($B31,DATOSAÑO!$B$11:$BG$375,96))," ")</f>
        <v xml:space="preserve"> </v>
      </c>
      <c r="F31" s="395" t="str">
        <f>IF(INICIO!$C$7&gt;DAY($B31)-1,(VLOOKUP($B31,DATOSAÑO!$B$11:$BG$375,93))," ")</f>
        <v xml:space="preserve"> </v>
      </c>
      <c r="G31" s="395" t="str">
        <f>IF(INICIO!$C$7&gt;DAY($B31)-1,(VLOOKUP($B31,DATOSAÑO!$B$11:$BG$375,99))," ")</f>
        <v xml:space="preserve"> </v>
      </c>
      <c r="H31" s="395" t="str">
        <f>IF(INICIO!$C$7&gt;DAY($B31)-1,(VLOOKUP($B31,DATOSAÑO!$B$11:$BG$375,97))," ")</f>
        <v xml:space="preserve"> </v>
      </c>
      <c r="I31" s="396" t="str">
        <f t="shared" si="0"/>
        <v xml:space="preserve"> </v>
      </c>
    </row>
    <row r="32" spans="2:9">
      <c r="B32" s="394">
        <f t="shared" si="1"/>
        <v>45253</v>
      </c>
      <c r="C32" s="395" t="str">
        <f>IF(INICIO!$C$7&gt;DAY($B32)-1,(VLOOKUP($B32,DATOSAÑO!$B$11:$BG$375,92))," ")</f>
        <v xml:space="preserve"> </v>
      </c>
      <c r="D32" s="395" t="str">
        <f>IF(INICIO!$C$7&gt;DAY($B32)-1,(VLOOKUP($B32,DATOSAÑO!$B$11:$BG$375,98))," ")</f>
        <v xml:space="preserve"> </v>
      </c>
      <c r="E32" s="395" t="str">
        <f>IF(INICIO!$C$7&gt;DAY($B32)-1,(VLOOKUP($B32,DATOSAÑO!$B$11:$BG$375,96))," ")</f>
        <v xml:space="preserve"> </v>
      </c>
      <c r="F32" s="395" t="str">
        <f>IF(INICIO!$C$7&gt;DAY($B32)-1,(VLOOKUP($B32,DATOSAÑO!$B$11:$BG$375,93))," ")</f>
        <v xml:space="preserve"> </v>
      </c>
      <c r="G32" s="395" t="str">
        <f>IF(INICIO!$C$7&gt;DAY($B32)-1,(VLOOKUP($B32,DATOSAÑO!$B$11:$BG$375,99))," ")</f>
        <v xml:space="preserve"> </v>
      </c>
      <c r="H32" s="395" t="str">
        <f>IF(INICIO!$C$7&gt;DAY($B32)-1,(VLOOKUP($B32,DATOSAÑO!$B$11:$BG$375,97))," ")</f>
        <v xml:space="preserve"> </v>
      </c>
      <c r="I32" s="396" t="str">
        <f t="shared" si="0"/>
        <v xml:space="preserve"> </v>
      </c>
    </row>
    <row r="33" spans="1:12">
      <c r="B33" s="394">
        <f t="shared" si="1"/>
        <v>45254</v>
      </c>
      <c r="C33" s="395" t="str">
        <f>IF(INICIO!$C$7&gt;DAY($B33)-1,(VLOOKUP($B33,DATOSAÑO!$B$11:$BG$375,92))," ")</f>
        <v xml:space="preserve"> </v>
      </c>
      <c r="D33" s="395" t="str">
        <f>IF(INICIO!$C$7&gt;DAY($B33)-1,(VLOOKUP($B33,DATOSAÑO!$B$11:$BG$375,98))," ")</f>
        <v xml:space="preserve"> </v>
      </c>
      <c r="E33" s="395" t="str">
        <f>IF(INICIO!$C$7&gt;DAY($B33)-1,(VLOOKUP($B33,DATOSAÑO!$B$11:$BG$375,96))," ")</f>
        <v xml:space="preserve"> </v>
      </c>
      <c r="F33" s="395" t="str">
        <f>IF(INICIO!$C$7&gt;DAY($B33)-1,(VLOOKUP($B33,DATOSAÑO!$B$11:$BG$375,93))," ")</f>
        <v xml:space="preserve"> </v>
      </c>
      <c r="G33" s="395" t="str">
        <f>IF(INICIO!$C$7&gt;DAY($B33)-1,(VLOOKUP($B33,DATOSAÑO!$B$11:$BG$375,99))," ")</f>
        <v xml:space="preserve"> </v>
      </c>
      <c r="H33" s="395" t="str">
        <f>IF(INICIO!$C$7&gt;DAY($B33)-1,(VLOOKUP($B33,DATOSAÑO!$B$11:$BG$375,97))," ")</f>
        <v xml:space="preserve"> </v>
      </c>
      <c r="I33" s="396" t="str">
        <f t="shared" si="0"/>
        <v xml:space="preserve"> </v>
      </c>
    </row>
    <row r="34" spans="1:12">
      <c r="B34" s="394">
        <f t="shared" si="1"/>
        <v>45255</v>
      </c>
      <c r="C34" s="395" t="str">
        <f>IF(INICIO!$C$7&gt;DAY($B34)-1,(VLOOKUP($B34,DATOSAÑO!$B$11:$BG$375,92))," ")</f>
        <v xml:space="preserve"> </v>
      </c>
      <c r="D34" s="395" t="str">
        <f>IF(INICIO!$C$7&gt;DAY($B34)-1,(VLOOKUP($B34,DATOSAÑO!$B$11:$BG$375,98))," ")</f>
        <v xml:space="preserve"> </v>
      </c>
      <c r="E34" s="395" t="str">
        <f>IF(INICIO!$C$7&gt;DAY($B34)-1,(VLOOKUP($B34,DATOSAÑO!$B$11:$BG$375,96))," ")</f>
        <v xml:space="preserve"> </v>
      </c>
      <c r="F34" s="395" t="str">
        <f>IF(INICIO!$C$7&gt;DAY($B34)-1,(VLOOKUP($B34,DATOSAÑO!$B$11:$BG$375,93))," ")</f>
        <v xml:space="preserve"> </v>
      </c>
      <c r="G34" s="395" t="str">
        <f>IF(INICIO!$C$7&gt;DAY($B34)-1,(VLOOKUP($B34,DATOSAÑO!$B$11:$BG$375,99))," ")</f>
        <v xml:space="preserve"> </v>
      </c>
      <c r="H34" s="395" t="str">
        <f>IF(INICIO!$C$7&gt;DAY($B34)-1,(VLOOKUP($B34,DATOSAÑO!$B$11:$BG$375,97))," ")</f>
        <v xml:space="preserve"> </v>
      </c>
      <c r="I34" s="396" t="str">
        <f t="shared" si="0"/>
        <v xml:space="preserve"> </v>
      </c>
    </row>
    <row r="35" spans="1:12">
      <c r="B35" s="394">
        <f t="shared" si="1"/>
        <v>45256</v>
      </c>
      <c r="C35" s="395" t="str">
        <f>IF(INICIO!$C$7&gt;DAY($B35)-1,(VLOOKUP($B35,DATOSAÑO!$B$11:$BG$375,92))," ")</f>
        <v xml:space="preserve"> </v>
      </c>
      <c r="D35" s="395" t="str">
        <f>IF(INICIO!$C$7&gt;DAY($B35)-1,(VLOOKUP($B35,DATOSAÑO!$B$11:$BG$375,98))," ")</f>
        <v xml:space="preserve"> </v>
      </c>
      <c r="E35" s="395" t="str">
        <f>IF(INICIO!$C$7&gt;DAY($B35)-1,(VLOOKUP($B35,DATOSAÑO!$B$11:$BG$375,96))," ")</f>
        <v xml:space="preserve"> </v>
      </c>
      <c r="F35" s="395" t="str">
        <f>IF(INICIO!$C$7&gt;DAY($B35)-1,(VLOOKUP($B35,DATOSAÑO!$B$11:$BG$375,93))," ")</f>
        <v xml:space="preserve"> </v>
      </c>
      <c r="G35" s="395" t="str">
        <f>IF(INICIO!$C$7&gt;DAY($B35)-1,(VLOOKUP($B35,DATOSAÑO!$B$11:$BG$375,99))," ")</f>
        <v xml:space="preserve"> </v>
      </c>
      <c r="H35" s="395" t="str">
        <f>IF(INICIO!$C$7&gt;DAY($B35)-1,(VLOOKUP($B35,DATOSAÑO!$B$11:$BG$375,97))," ")</f>
        <v xml:space="preserve"> </v>
      </c>
      <c r="I35" s="396" t="str">
        <f t="shared" si="0"/>
        <v xml:space="preserve"> </v>
      </c>
    </row>
    <row r="36" spans="1:12">
      <c r="B36" s="394">
        <f t="shared" si="1"/>
        <v>45257</v>
      </c>
      <c r="C36" s="395" t="str">
        <f>IF(INICIO!$C$7&gt;DAY($B36)-1,(VLOOKUP($B36,DATOSAÑO!$B$11:$BG$375,92))," ")</f>
        <v xml:space="preserve"> </v>
      </c>
      <c r="D36" s="395" t="str">
        <f>IF(INICIO!$C$7&gt;DAY($B36)-1,(VLOOKUP($B36,DATOSAÑO!$B$11:$BG$375,98))," ")</f>
        <v xml:space="preserve"> </v>
      </c>
      <c r="E36" s="395" t="str">
        <f>IF(INICIO!$C$7&gt;DAY($B36)-1,(VLOOKUP($B36,DATOSAÑO!$B$11:$BG$375,96))," ")</f>
        <v xml:space="preserve"> </v>
      </c>
      <c r="F36" s="395" t="str">
        <f>IF(INICIO!$C$7&gt;DAY($B36)-1,(VLOOKUP($B36,DATOSAÑO!$B$11:$BG$375,93))," ")</f>
        <v xml:space="preserve"> </v>
      </c>
      <c r="G36" s="395" t="str">
        <f>IF(INICIO!$C$7&gt;DAY($B36)-1,(VLOOKUP($B36,DATOSAÑO!$B$11:$BG$375,99))," ")</f>
        <v xml:space="preserve"> </v>
      </c>
      <c r="H36" s="395" t="str">
        <f>IF(INICIO!$C$7&gt;DAY($B36)-1,(VLOOKUP($B36,DATOSAÑO!$B$11:$BG$375,97))," ")</f>
        <v xml:space="preserve"> </v>
      </c>
      <c r="I36" s="396" t="str">
        <f t="shared" si="0"/>
        <v xml:space="preserve"> </v>
      </c>
    </row>
    <row r="37" spans="1:12">
      <c r="B37" s="394">
        <f>IF((B36+1)&gt;$K$5," ",(B36+1))</f>
        <v>45258</v>
      </c>
      <c r="C37" s="395" t="str">
        <f>IF(INICIO!$C$7&gt;DAY($B37)-1,(VLOOKUP($B37,DATOSAÑO!$B$11:$BG$375,92))," ")</f>
        <v xml:space="preserve"> </v>
      </c>
      <c r="D37" s="395" t="str">
        <f>IF(INICIO!$C$7&gt;DAY($B37)-1,(VLOOKUP($B37,DATOSAÑO!$B$11:$BG$375,98))," ")</f>
        <v xml:space="preserve"> </v>
      </c>
      <c r="E37" s="395" t="str">
        <f>IF(INICIO!$C$7&gt;DAY($B37)-1,(VLOOKUP($B37,DATOSAÑO!$B$11:$BG$375,96))," ")</f>
        <v xml:space="preserve"> </v>
      </c>
      <c r="F37" s="395" t="str">
        <f>IF(INICIO!$C$7&gt;DAY($B37)-1,(VLOOKUP($B37,DATOSAÑO!$B$11:$BG$375,93))," ")</f>
        <v xml:space="preserve"> </v>
      </c>
      <c r="G37" s="395" t="str">
        <f>IF(INICIO!$C$7&gt;DAY($B37)-1,(VLOOKUP($B37,DATOSAÑO!$B$11:$BG$375,99))," ")</f>
        <v xml:space="preserve"> </v>
      </c>
      <c r="H37" s="395" t="str">
        <f>IF(INICIO!$C$7&gt;DAY($B37)-1,(VLOOKUP($B37,DATOSAÑO!$B$11:$BG$375,97))," ")</f>
        <v xml:space="preserve"> </v>
      </c>
      <c r="I37" s="396" t="str">
        <f t="shared" si="0"/>
        <v xml:space="preserve"> </v>
      </c>
    </row>
    <row r="38" spans="1:12">
      <c r="B38" s="394">
        <f>IF((B37+1)&gt;$K$5," ",(B37+1))</f>
        <v>45259</v>
      </c>
      <c r="C38" s="395" t="str">
        <f>IF(INICIO!$C$7&gt;DAY($B38)-1,(VLOOKUP($B38,DATOSAÑO!$B$11:$BG$375,92))," ")</f>
        <v xml:space="preserve"> </v>
      </c>
      <c r="D38" s="395" t="str">
        <f>IF(INICIO!$C$7&gt;DAY($B38)-1,(VLOOKUP($B38,DATOSAÑO!$B$11:$BG$375,98))," ")</f>
        <v xml:space="preserve"> </v>
      </c>
      <c r="E38" s="395" t="str">
        <f>IF(INICIO!$C$7&gt;DAY($B38)-1,(VLOOKUP($B38,DATOSAÑO!$B$11:$BG$375,96))," ")</f>
        <v xml:space="preserve"> </v>
      </c>
      <c r="F38" s="395" t="str">
        <f>IF(INICIO!$C$7&gt;DAY($B38)-1,(VLOOKUP($B38,DATOSAÑO!$B$11:$BG$375,93))," ")</f>
        <v xml:space="preserve"> </v>
      </c>
      <c r="G38" s="395" t="str">
        <f>IF(INICIO!$C$7&gt;DAY($B38)-1,(VLOOKUP($B38,DATOSAÑO!$B$11:$BG$375,99))," ")</f>
        <v xml:space="preserve"> </v>
      </c>
      <c r="H38" s="395" t="str">
        <f>IF(INICIO!$C$7&gt;DAY($B38)-1,(VLOOKUP($B38,DATOSAÑO!$B$11:$BG$375,97))," ")</f>
        <v xml:space="preserve"> </v>
      </c>
      <c r="I38" s="396" t="str">
        <f t="shared" si="0"/>
        <v xml:space="preserve"> </v>
      </c>
    </row>
    <row r="39" spans="1:12">
      <c r="B39" s="394">
        <f>IF((B38+1)&gt;$K$5," ",(B38+1))</f>
        <v>45260</v>
      </c>
      <c r="C39" s="395" t="str">
        <f>IF(INICIO!$C$7&gt;DAY($B39)-1,(VLOOKUP($B39,DATOSAÑO!$B$11:$BG$375,92))," ")</f>
        <v xml:space="preserve"> </v>
      </c>
      <c r="D39" s="395" t="str">
        <f>IF(INICIO!$C$7&gt;DAY($B39)-1,(VLOOKUP($B39,DATOSAÑO!$B$11:$BG$375,98))," ")</f>
        <v xml:space="preserve"> </v>
      </c>
      <c r="E39" s="395" t="str">
        <f>IF(INICIO!$C$7&gt;DAY($B39)-1,(VLOOKUP($B39,DATOSAÑO!$B$11:$BG$375,96))," ")</f>
        <v xml:space="preserve"> </v>
      </c>
      <c r="F39" s="395" t="str">
        <f>IF(INICIO!$C$7&gt;DAY($B39)-1,(VLOOKUP($B39,DATOSAÑO!$B$11:$BG$375,93))," ")</f>
        <v xml:space="preserve"> </v>
      </c>
      <c r="G39" s="395" t="str">
        <f>IF(INICIO!$C$7&gt;DAY($B39)-1,(VLOOKUP($B39,DATOSAÑO!$B$11:$BG$375,99))," ")</f>
        <v xml:space="preserve"> </v>
      </c>
      <c r="H39" s="395" t="str">
        <f>IF(INICIO!$C$7&gt;DAY($B39)-1,(VLOOKUP($B39,DATOSAÑO!$B$11:$BG$375,97))," ")</f>
        <v xml:space="preserve"> </v>
      </c>
      <c r="I39" s="396" t="str">
        <f>IF(AND($C39=" ",$F39=" ")," ",(C39+F39))</f>
        <v xml:space="preserve"> </v>
      </c>
    </row>
    <row r="40" spans="1:12" ht="15" thickBot="1">
      <c r="B40" s="394" t="str">
        <f>IF((B39+1)&gt;$K$5," ",(B39+1))</f>
        <v xml:space="preserve"> </v>
      </c>
      <c r="C40" s="395" t="e">
        <f>IF(INICIO!$C$7&gt;DAY($B40)-1,(VLOOKUP($B40,DATOSAÑO!$B$11:$BG$375,92))," ")</f>
        <v>#VALUE!</v>
      </c>
      <c r="D40" s="395" t="e">
        <f>IF(INICIO!$C$7&gt;DAY($B40)-1,(VLOOKUP($B40,DATOSAÑO!$B$11:$BG$375,98))," ")</f>
        <v>#VALUE!</v>
      </c>
      <c r="E40" s="395" t="e">
        <f>IF(INICIO!$C$7&gt;DAY($B40)-1,(VLOOKUP($B40,DATOSAÑO!$B$11:$BG$375,96))," ")</f>
        <v>#VALUE!</v>
      </c>
      <c r="F40" s="395" t="e">
        <f>IF(INICIO!$C$7&gt;DAY($B40)-1,(VLOOKUP($B40,DATOSAÑO!$B$11:$BG$375,93))," ")</f>
        <v>#VALUE!</v>
      </c>
      <c r="G40" s="395" t="e">
        <f>IF(INICIO!$C$7&gt;DAY($B40)-1,(VLOOKUP($B40,DATOSAÑO!$B$11:$BG$375,99))," ")</f>
        <v>#VALUE!</v>
      </c>
      <c r="H40" s="395" t="e">
        <f>IF(INICIO!$C$7&gt;DAY($B40)-1,(VLOOKUP($B40,DATOSAÑO!$B$11:$BG$375,97))," ")</f>
        <v>#VALUE!</v>
      </c>
      <c r="I40" s="396" t="e">
        <f>IF(AND($C40=" ",$F40=" ")," ",(C40+F40))</f>
        <v>#VALUE!</v>
      </c>
    </row>
    <row r="41" spans="1:12" ht="4.5" customHeight="1" thickBot="1">
      <c r="B41" s="397"/>
      <c r="C41" s="15"/>
      <c r="D41" s="15"/>
      <c r="E41" s="15"/>
      <c r="F41" s="15"/>
      <c r="G41" s="15"/>
      <c r="H41" s="15"/>
      <c r="I41" s="398"/>
    </row>
    <row r="42" spans="1:12" ht="15" customHeight="1">
      <c r="B42" s="399" t="s">
        <v>131</v>
      </c>
      <c r="C42" s="2540" t="str">
        <f ca="1">IF(INICIO!$C$7&gt;DAY($K6)-1,(VLOOKUP($K5,DATOSAÑO!$AS$376:$BG$387,4))," ")</f>
        <v xml:space="preserve"> </v>
      </c>
      <c r="D42" s="2542" t="str">
        <f ca="1">IF(INICIO!$C$7&gt;DAY($K6)-1,(VLOOKUP($K5,DATOSAÑO!$AS$376:$BG$387,10))," ")</f>
        <v xml:space="preserve"> </v>
      </c>
      <c r="E42" s="2542" t="str">
        <f ca="1">IF(INICIO!$C$7&gt;DAY($K6)-1,(VLOOKUP($K5,DATOSAÑO!$AS$376:$BG$387,8))," ")</f>
        <v xml:space="preserve"> </v>
      </c>
      <c r="F42" s="2542" t="str">
        <f ca="1">IF(INICIO!$C$7&gt;DAY($K6)-1,(VLOOKUP($K5,DATOSAÑO!$AS$376:$BG$387,5))," ")</f>
        <v xml:space="preserve"> </v>
      </c>
      <c r="G42" s="2542" t="str">
        <f ca="1">IF(INICIO!$C$7&gt;DAY($K6)-1,(VLOOKUP($K5,DATOSAÑO!$AS$376:$BG$387,11))," ")</f>
        <v xml:space="preserve"> </v>
      </c>
      <c r="H42" s="2542" t="str">
        <f ca="1">IF(INICIO!$C$7&gt;DAY($K6)-1,(VLOOKUP($K5,DATOSAÑO!$AS$376:$BG$387,9))," ")</f>
        <v xml:space="preserve"> </v>
      </c>
      <c r="I42" s="2538" t="e">
        <f>SUM(I10:I40)</f>
        <v>#REF!</v>
      </c>
    </row>
    <row r="43" spans="1:12" ht="15.75" customHeight="1" thickBot="1">
      <c r="B43" s="400" t="str">
        <f>TEXT(K5,"MMMM")</f>
        <v>noviembre</v>
      </c>
      <c r="C43" s="2541"/>
      <c r="D43" s="2543"/>
      <c r="E43" s="2543"/>
      <c r="F43" s="2543"/>
      <c r="G43" s="2543"/>
      <c r="H43" s="2543"/>
      <c r="I43" s="2539"/>
      <c r="K43" s="404"/>
    </row>
    <row r="44" spans="1:12" ht="25.5" hidden="1" customHeight="1">
      <c r="A44" s="112"/>
      <c r="B44" s="401" t="s">
        <v>229</v>
      </c>
      <c r="C44" s="2540" t="e">
        <f>DATOSAÑO!#REF!</f>
        <v>#REF!</v>
      </c>
      <c r="D44" s="2542" t="e">
        <f>DATOSAÑO!#REF!</f>
        <v>#REF!</v>
      </c>
      <c r="E44" s="2542" t="e">
        <f>DATOSAÑO!#REF!</f>
        <v>#REF!</v>
      </c>
      <c r="F44" s="2542" t="e">
        <f>DATOSAÑO!#REF!</f>
        <v>#REF!</v>
      </c>
      <c r="G44" s="2542" t="e">
        <f>DATOSAÑO!#REF!</f>
        <v>#REF!</v>
      </c>
      <c r="H44" s="2542" t="e">
        <f>DATOSAÑO!#REF!</f>
        <v>#REF!</v>
      </c>
      <c r="I44" s="2538" t="e">
        <f>DATOSAÑO!#REF!</f>
        <v>#REF!</v>
      </c>
      <c r="J44" s="112"/>
      <c r="K44" s="112"/>
      <c r="L44" s="112"/>
    </row>
    <row r="45" spans="1:12" ht="16.5" hidden="1" customHeight="1" thickBot="1">
      <c r="A45" s="112"/>
      <c r="B45" s="402" t="e">
        <f>YEAR("B47")</f>
        <v>#VALUE!</v>
      </c>
      <c r="C45" s="2541"/>
      <c r="D45" s="2543"/>
      <c r="E45" s="2543"/>
      <c r="F45" s="2543"/>
      <c r="G45" s="2543"/>
      <c r="H45" s="2543"/>
      <c r="I45" s="2539"/>
      <c r="J45" s="112"/>
      <c r="K45" s="112"/>
      <c r="L45" s="112"/>
    </row>
    <row r="46" spans="1:12">
      <c r="A46" s="112"/>
      <c r="B46" s="112"/>
      <c r="C46" s="112"/>
      <c r="D46" s="112"/>
      <c r="E46" s="112"/>
      <c r="F46" s="112"/>
      <c r="G46" s="112"/>
      <c r="H46" s="112"/>
      <c r="I46" s="112"/>
      <c r="J46" s="112"/>
      <c r="K46" s="112"/>
      <c r="L46" s="112"/>
    </row>
    <row r="47" spans="1:12">
      <c r="A47" s="112"/>
      <c r="B47" s="405">
        <v>42004</v>
      </c>
      <c r="C47" s="112"/>
      <c r="D47" s="112"/>
      <c r="E47" s="112"/>
      <c r="F47" s="112"/>
      <c r="G47" s="112"/>
      <c r="H47" s="112"/>
      <c r="I47" s="112"/>
      <c r="J47" s="112"/>
      <c r="K47" s="112"/>
      <c r="L47" s="112"/>
    </row>
    <row r="48" spans="1:12">
      <c r="A48" s="112"/>
      <c r="B48" s="222"/>
      <c r="C48" s="112"/>
      <c r="D48" s="112"/>
      <c r="E48" s="112"/>
      <c r="F48" s="112"/>
      <c r="G48" s="112"/>
      <c r="H48" s="112"/>
      <c r="I48" s="112"/>
      <c r="J48" s="112"/>
      <c r="K48" s="112"/>
      <c r="L48" s="112"/>
    </row>
    <row r="49" spans="1:12">
      <c r="A49" s="112"/>
      <c r="B49" s="112"/>
      <c r="C49" s="112"/>
      <c r="D49" s="112"/>
      <c r="E49" s="112"/>
      <c r="F49" s="112"/>
      <c r="G49" s="112"/>
      <c r="H49" s="112"/>
      <c r="I49" s="112"/>
      <c r="J49" s="112"/>
      <c r="K49" s="112"/>
      <c r="L49" s="112"/>
    </row>
    <row r="50" spans="1:12">
      <c r="E50" s="112"/>
      <c r="F50" s="112"/>
      <c r="G50" s="112"/>
    </row>
    <row r="51" spans="1:12">
      <c r="E51" s="112"/>
      <c r="F51" s="112"/>
      <c r="G51" s="112"/>
    </row>
    <row r="52" spans="1:12">
      <c r="E52" s="112"/>
      <c r="F52" s="112"/>
      <c r="G52" s="112"/>
    </row>
    <row r="53" spans="1:12">
      <c r="E53" s="112"/>
      <c r="F53" s="112"/>
      <c r="G53" s="112"/>
    </row>
    <row r="54" spans="1:12" ht="15" customHeight="1">
      <c r="E54" s="112"/>
      <c r="F54" s="112"/>
      <c r="G54" s="112"/>
    </row>
    <row r="55" spans="1:12">
      <c r="E55" s="112"/>
      <c r="F55" s="112"/>
      <c r="G55" s="112"/>
    </row>
    <row r="56" spans="1:12">
      <c r="E56" s="112"/>
      <c r="F56" s="112"/>
      <c r="G56" s="112"/>
    </row>
  </sheetData>
  <mergeCells count="21">
    <mergeCell ref="C8:E8"/>
    <mergeCell ref="F8:H8"/>
    <mergeCell ref="K4:L4"/>
    <mergeCell ref="T4:U4"/>
    <mergeCell ref="K5:L5"/>
    <mergeCell ref="T5:U5"/>
    <mergeCell ref="K6:L6"/>
    <mergeCell ref="I42:I43"/>
    <mergeCell ref="C44:C45"/>
    <mergeCell ref="D44:D45"/>
    <mergeCell ref="E44:E45"/>
    <mergeCell ref="F44:F45"/>
    <mergeCell ref="G44:G45"/>
    <mergeCell ref="H44:H45"/>
    <mergeCell ref="I44:I45"/>
    <mergeCell ref="C42:C43"/>
    <mergeCell ref="D42:D43"/>
    <mergeCell ref="E42:E43"/>
    <mergeCell ref="F42:F43"/>
    <mergeCell ref="G42:G43"/>
    <mergeCell ref="H42:H43"/>
  </mergeCells>
  <pageMargins left="0.70866141732283472" right="0.70866141732283472" top="0.74803149606299213" bottom="0.74803149606299213" header="0.31496062992125984" footer="0.31496062992125984"/>
  <pageSetup scale="80" fitToWidth="0" fitToHeight="0" orientation="portrait" r:id="rId1"/>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9"/>
  <dimension ref="A1:T47"/>
  <sheetViews>
    <sheetView workbookViewId="0">
      <selection activeCell="A9" sqref="A9"/>
    </sheetView>
  </sheetViews>
  <sheetFormatPr baseColWidth="10" defaultColWidth="9.1796875" defaultRowHeight="14.5"/>
  <cols>
    <col min="1" max="1" width="12.26953125" style="1113" bestFit="1" customWidth="1"/>
    <col min="2" max="2" width="15.7265625" style="1113" customWidth="1"/>
    <col min="3" max="3" width="18.1796875" style="1113" customWidth="1"/>
    <col min="4" max="4" width="15.7265625" style="1113" customWidth="1"/>
    <col min="5" max="6" width="18.1796875" style="1113" customWidth="1"/>
    <col min="7" max="7" width="15.7265625" style="1113" customWidth="1"/>
    <col min="8" max="10" width="18.1796875" style="1113" customWidth="1"/>
    <col min="11" max="11" width="15.7265625" style="1113" customWidth="1"/>
    <col min="12" max="12" width="18.1796875" style="1113" customWidth="1"/>
    <col min="13" max="13" width="17" style="1113" customWidth="1"/>
    <col min="14" max="14" width="16.81640625" style="1113" customWidth="1"/>
    <col min="15" max="15" width="17.1796875" style="1113" customWidth="1"/>
    <col min="16" max="16" width="17" style="1113" customWidth="1"/>
    <col min="17" max="17" width="16.54296875" style="1113" customWidth="1"/>
    <col min="18" max="18" width="16.81640625" style="1113" customWidth="1"/>
    <col min="19" max="19" width="16.7265625" style="1113" customWidth="1"/>
    <col min="20" max="20" width="15.1796875" style="1113" customWidth="1"/>
    <col min="21" max="256" width="9.1796875" style="1113"/>
    <col min="257" max="257" width="12.26953125" style="1113" bestFit="1" customWidth="1"/>
    <col min="258" max="258" width="15.7265625" style="1113" customWidth="1"/>
    <col min="259" max="259" width="18.1796875" style="1113" customWidth="1"/>
    <col min="260" max="260" width="15.7265625" style="1113" customWidth="1"/>
    <col min="261" max="262" width="18.1796875" style="1113" customWidth="1"/>
    <col min="263" max="263" width="15.7265625" style="1113" customWidth="1"/>
    <col min="264" max="266" width="18.1796875" style="1113" customWidth="1"/>
    <col min="267" max="267" width="15.7265625" style="1113" customWidth="1"/>
    <col min="268" max="268" width="18.1796875" style="1113" customWidth="1"/>
    <col min="269" max="269" width="17" style="1113" customWidth="1"/>
    <col min="270" max="270" width="16.81640625" style="1113" customWidth="1"/>
    <col min="271" max="271" width="17.1796875" style="1113" customWidth="1"/>
    <col min="272" max="272" width="17" style="1113" customWidth="1"/>
    <col min="273" max="273" width="16.54296875" style="1113" customWidth="1"/>
    <col min="274" max="274" width="16.81640625" style="1113" customWidth="1"/>
    <col min="275" max="275" width="16.7265625" style="1113" customWidth="1"/>
    <col min="276" max="276" width="15.1796875" style="1113" customWidth="1"/>
    <col min="277" max="512" width="9.1796875" style="1113"/>
    <col min="513" max="513" width="12.26953125" style="1113" bestFit="1" customWidth="1"/>
    <col min="514" max="514" width="15.7265625" style="1113" customWidth="1"/>
    <col min="515" max="515" width="18.1796875" style="1113" customWidth="1"/>
    <col min="516" max="516" width="15.7265625" style="1113" customWidth="1"/>
    <col min="517" max="518" width="18.1796875" style="1113" customWidth="1"/>
    <col min="519" max="519" width="15.7265625" style="1113" customWidth="1"/>
    <col min="520" max="522" width="18.1796875" style="1113" customWidth="1"/>
    <col min="523" max="523" width="15.7265625" style="1113" customWidth="1"/>
    <col min="524" max="524" width="18.1796875" style="1113" customWidth="1"/>
    <col min="525" max="525" width="17" style="1113" customWidth="1"/>
    <col min="526" max="526" width="16.81640625" style="1113" customWidth="1"/>
    <col min="527" max="527" width="17.1796875" style="1113" customWidth="1"/>
    <col min="528" max="528" width="17" style="1113" customWidth="1"/>
    <col min="529" max="529" width="16.54296875" style="1113" customWidth="1"/>
    <col min="530" max="530" width="16.81640625" style="1113" customWidth="1"/>
    <col min="531" max="531" width="16.7265625" style="1113" customWidth="1"/>
    <col min="532" max="532" width="15.1796875" style="1113" customWidth="1"/>
    <col min="533" max="768" width="9.1796875" style="1113"/>
    <col min="769" max="769" width="12.26953125" style="1113" bestFit="1" customWidth="1"/>
    <col min="770" max="770" width="15.7265625" style="1113" customWidth="1"/>
    <col min="771" max="771" width="18.1796875" style="1113" customWidth="1"/>
    <col min="772" max="772" width="15.7265625" style="1113" customWidth="1"/>
    <col min="773" max="774" width="18.1796875" style="1113" customWidth="1"/>
    <col min="775" max="775" width="15.7265625" style="1113" customWidth="1"/>
    <col min="776" max="778" width="18.1796875" style="1113" customWidth="1"/>
    <col min="779" max="779" width="15.7265625" style="1113" customWidth="1"/>
    <col min="780" max="780" width="18.1796875" style="1113" customWidth="1"/>
    <col min="781" max="781" width="17" style="1113" customWidth="1"/>
    <col min="782" max="782" width="16.81640625" style="1113" customWidth="1"/>
    <col min="783" max="783" width="17.1796875" style="1113" customWidth="1"/>
    <col min="784" max="784" width="17" style="1113" customWidth="1"/>
    <col min="785" max="785" width="16.54296875" style="1113" customWidth="1"/>
    <col min="786" max="786" width="16.81640625" style="1113" customWidth="1"/>
    <col min="787" max="787" width="16.7265625" style="1113" customWidth="1"/>
    <col min="788" max="788" width="15.1796875" style="1113" customWidth="1"/>
    <col min="789" max="1024" width="9.1796875" style="1113"/>
    <col min="1025" max="1025" width="12.26953125" style="1113" bestFit="1" customWidth="1"/>
    <col min="1026" max="1026" width="15.7265625" style="1113" customWidth="1"/>
    <col min="1027" max="1027" width="18.1796875" style="1113" customWidth="1"/>
    <col min="1028" max="1028" width="15.7265625" style="1113" customWidth="1"/>
    <col min="1029" max="1030" width="18.1796875" style="1113" customWidth="1"/>
    <col min="1031" max="1031" width="15.7265625" style="1113" customWidth="1"/>
    <col min="1032" max="1034" width="18.1796875" style="1113" customWidth="1"/>
    <col min="1035" max="1035" width="15.7265625" style="1113" customWidth="1"/>
    <col min="1036" max="1036" width="18.1796875" style="1113" customWidth="1"/>
    <col min="1037" max="1037" width="17" style="1113" customWidth="1"/>
    <col min="1038" max="1038" width="16.81640625" style="1113" customWidth="1"/>
    <col min="1039" max="1039" width="17.1796875" style="1113" customWidth="1"/>
    <col min="1040" max="1040" width="17" style="1113" customWidth="1"/>
    <col min="1041" max="1041" width="16.54296875" style="1113" customWidth="1"/>
    <col min="1042" max="1042" width="16.81640625" style="1113" customWidth="1"/>
    <col min="1043" max="1043" width="16.7265625" style="1113" customWidth="1"/>
    <col min="1044" max="1044" width="15.1796875" style="1113" customWidth="1"/>
    <col min="1045" max="1280" width="9.1796875" style="1113"/>
    <col min="1281" max="1281" width="12.26953125" style="1113" bestFit="1" customWidth="1"/>
    <col min="1282" max="1282" width="15.7265625" style="1113" customWidth="1"/>
    <col min="1283" max="1283" width="18.1796875" style="1113" customWidth="1"/>
    <col min="1284" max="1284" width="15.7265625" style="1113" customWidth="1"/>
    <col min="1285" max="1286" width="18.1796875" style="1113" customWidth="1"/>
    <col min="1287" max="1287" width="15.7265625" style="1113" customWidth="1"/>
    <col min="1288" max="1290" width="18.1796875" style="1113" customWidth="1"/>
    <col min="1291" max="1291" width="15.7265625" style="1113" customWidth="1"/>
    <col min="1292" max="1292" width="18.1796875" style="1113" customWidth="1"/>
    <col min="1293" max="1293" width="17" style="1113" customWidth="1"/>
    <col min="1294" max="1294" width="16.81640625" style="1113" customWidth="1"/>
    <col min="1295" max="1295" width="17.1796875" style="1113" customWidth="1"/>
    <col min="1296" max="1296" width="17" style="1113" customWidth="1"/>
    <col min="1297" max="1297" width="16.54296875" style="1113" customWidth="1"/>
    <col min="1298" max="1298" width="16.81640625" style="1113" customWidth="1"/>
    <col min="1299" max="1299" width="16.7265625" style="1113" customWidth="1"/>
    <col min="1300" max="1300" width="15.1796875" style="1113" customWidth="1"/>
    <col min="1301" max="1536" width="9.1796875" style="1113"/>
    <col min="1537" max="1537" width="12.26953125" style="1113" bestFit="1" customWidth="1"/>
    <col min="1538" max="1538" width="15.7265625" style="1113" customWidth="1"/>
    <col min="1539" max="1539" width="18.1796875" style="1113" customWidth="1"/>
    <col min="1540" max="1540" width="15.7265625" style="1113" customWidth="1"/>
    <col min="1541" max="1542" width="18.1796875" style="1113" customWidth="1"/>
    <col min="1543" max="1543" width="15.7265625" style="1113" customWidth="1"/>
    <col min="1544" max="1546" width="18.1796875" style="1113" customWidth="1"/>
    <col min="1547" max="1547" width="15.7265625" style="1113" customWidth="1"/>
    <col min="1548" max="1548" width="18.1796875" style="1113" customWidth="1"/>
    <col min="1549" max="1549" width="17" style="1113" customWidth="1"/>
    <col min="1550" max="1550" width="16.81640625" style="1113" customWidth="1"/>
    <col min="1551" max="1551" width="17.1796875" style="1113" customWidth="1"/>
    <col min="1552" max="1552" width="17" style="1113" customWidth="1"/>
    <col min="1553" max="1553" width="16.54296875" style="1113" customWidth="1"/>
    <col min="1554" max="1554" width="16.81640625" style="1113" customWidth="1"/>
    <col min="1555" max="1555" width="16.7265625" style="1113" customWidth="1"/>
    <col min="1556" max="1556" width="15.1796875" style="1113" customWidth="1"/>
    <col min="1557" max="1792" width="9.1796875" style="1113"/>
    <col min="1793" max="1793" width="12.26953125" style="1113" bestFit="1" customWidth="1"/>
    <col min="1794" max="1794" width="15.7265625" style="1113" customWidth="1"/>
    <col min="1795" max="1795" width="18.1796875" style="1113" customWidth="1"/>
    <col min="1796" max="1796" width="15.7265625" style="1113" customWidth="1"/>
    <col min="1797" max="1798" width="18.1796875" style="1113" customWidth="1"/>
    <col min="1799" max="1799" width="15.7265625" style="1113" customWidth="1"/>
    <col min="1800" max="1802" width="18.1796875" style="1113" customWidth="1"/>
    <col min="1803" max="1803" width="15.7265625" style="1113" customWidth="1"/>
    <col min="1804" max="1804" width="18.1796875" style="1113" customWidth="1"/>
    <col min="1805" max="1805" width="17" style="1113" customWidth="1"/>
    <col min="1806" max="1806" width="16.81640625" style="1113" customWidth="1"/>
    <col min="1807" max="1807" width="17.1796875" style="1113" customWidth="1"/>
    <col min="1808" max="1808" width="17" style="1113" customWidth="1"/>
    <col min="1809" max="1809" width="16.54296875" style="1113" customWidth="1"/>
    <col min="1810" max="1810" width="16.81640625" style="1113" customWidth="1"/>
    <col min="1811" max="1811" width="16.7265625" style="1113" customWidth="1"/>
    <col min="1812" max="1812" width="15.1796875" style="1113" customWidth="1"/>
    <col min="1813" max="2048" width="9.1796875" style="1113"/>
    <col min="2049" max="2049" width="12.26953125" style="1113" bestFit="1" customWidth="1"/>
    <col min="2050" max="2050" width="15.7265625" style="1113" customWidth="1"/>
    <col min="2051" max="2051" width="18.1796875" style="1113" customWidth="1"/>
    <col min="2052" max="2052" width="15.7265625" style="1113" customWidth="1"/>
    <col min="2053" max="2054" width="18.1796875" style="1113" customWidth="1"/>
    <col min="2055" max="2055" width="15.7265625" style="1113" customWidth="1"/>
    <col min="2056" max="2058" width="18.1796875" style="1113" customWidth="1"/>
    <col min="2059" max="2059" width="15.7265625" style="1113" customWidth="1"/>
    <col min="2060" max="2060" width="18.1796875" style="1113" customWidth="1"/>
    <col min="2061" max="2061" width="17" style="1113" customWidth="1"/>
    <col min="2062" max="2062" width="16.81640625" style="1113" customWidth="1"/>
    <col min="2063" max="2063" width="17.1796875" style="1113" customWidth="1"/>
    <col min="2064" max="2064" width="17" style="1113" customWidth="1"/>
    <col min="2065" max="2065" width="16.54296875" style="1113" customWidth="1"/>
    <col min="2066" max="2066" width="16.81640625" style="1113" customWidth="1"/>
    <col min="2067" max="2067" width="16.7265625" style="1113" customWidth="1"/>
    <col min="2068" max="2068" width="15.1796875" style="1113" customWidth="1"/>
    <col min="2069" max="2304" width="9.1796875" style="1113"/>
    <col min="2305" max="2305" width="12.26953125" style="1113" bestFit="1" customWidth="1"/>
    <col min="2306" max="2306" width="15.7265625" style="1113" customWidth="1"/>
    <col min="2307" max="2307" width="18.1796875" style="1113" customWidth="1"/>
    <col min="2308" max="2308" width="15.7265625" style="1113" customWidth="1"/>
    <col min="2309" max="2310" width="18.1796875" style="1113" customWidth="1"/>
    <col min="2311" max="2311" width="15.7265625" style="1113" customWidth="1"/>
    <col min="2312" max="2314" width="18.1796875" style="1113" customWidth="1"/>
    <col min="2315" max="2315" width="15.7265625" style="1113" customWidth="1"/>
    <col min="2316" max="2316" width="18.1796875" style="1113" customWidth="1"/>
    <col min="2317" max="2317" width="17" style="1113" customWidth="1"/>
    <col min="2318" max="2318" width="16.81640625" style="1113" customWidth="1"/>
    <col min="2319" max="2319" width="17.1796875" style="1113" customWidth="1"/>
    <col min="2320" max="2320" width="17" style="1113" customWidth="1"/>
    <col min="2321" max="2321" width="16.54296875" style="1113" customWidth="1"/>
    <col min="2322" max="2322" width="16.81640625" style="1113" customWidth="1"/>
    <col min="2323" max="2323" width="16.7265625" style="1113" customWidth="1"/>
    <col min="2324" max="2324" width="15.1796875" style="1113" customWidth="1"/>
    <col min="2325" max="2560" width="9.1796875" style="1113"/>
    <col min="2561" max="2561" width="12.26953125" style="1113" bestFit="1" customWidth="1"/>
    <col min="2562" max="2562" width="15.7265625" style="1113" customWidth="1"/>
    <col min="2563" max="2563" width="18.1796875" style="1113" customWidth="1"/>
    <col min="2564" max="2564" width="15.7265625" style="1113" customWidth="1"/>
    <col min="2565" max="2566" width="18.1796875" style="1113" customWidth="1"/>
    <col min="2567" max="2567" width="15.7265625" style="1113" customWidth="1"/>
    <col min="2568" max="2570" width="18.1796875" style="1113" customWidth="1"/>
    <col min="2571" max="2571" width="15.7265625" style="1113" customWidth="1"/>
    <col min="2572" max="2572" width="18.1796875" style="1113" customWidth="1"/>
    <col min="2573" max="2573" width="17" style="1113" customWidth="1"/>
    <col min="2574" max="2574" width="16.81640625" style="1113" customWidth="1"/>
    <col min="2575" max="2575" width="17.1796875" style="1113" customWidth="1"/>
    <col min="2576" max="2576" width="17" style="1113" customWidth="1"/>
    <col min="2577" max="2577" width="16.54296875" style="1113" customWidth="1"/>
    <col min="2578" max="2578" width="16.81640625" style="1113" customWidth="1"/>
    <col min="2579" max="2579" width="16.7265625" style="1113" customWidth="1"/>
    <col min="2580" max="2580" width="15.1796875" style="1113" customWidth="1"/>
    <col min="2581" max="2816" width="9.1796875" style="1113"/>
    <col min="2817" max="2817" width="12.26953125" style="1113" bestFit="1" customWidth="1"/>
    <col min="2818" max="2818" width="15.7265625" style="1113" customWidth="1"/>
    <col min="2819" max="2819" width="18.1796875" style="1113" customWidth="1"/>
    <col min="2820" max="2820" width="15.7265625" style="1113" customWidth="1"/>
    <col min="2821" max="2822" width="18.1796875" style="1113" customWidth="1"/>
    <col min="2823" max="2823" width="15.7265625" style="1113" customWidth="1"/>
    <col min="2824" max="2826" width="18.1796875" style="1113" customWidth="1"/>
    <col min="2827" max="2827" width="15.7265625" style="1113" customWidth="1"/>
    <col min="2828" max="2828" width="18.1796875" style="1113" customWidth="1"/>
    <col min="2829" max="2829" width="17" style="1113" customWidth="1"/>
    <col min="2830" max="2830" width="16.81640625" style="1113" customWidth="1"/>
    <col min="2831" max="2831" width="17.1796875" style="1113" customWidth="1"/>
    <col min="2832" max="2832" width="17" style="1113" customWidth="1"/>
    <col min="2833" max="2833" width="16.54296875" style="1113" customWidth="1"/>
    <col min="2834" max="2834" width="16.81640625" style="1113" customWidth="1"/>
    <col min="2835" max="2835" width="16.7265625" style="1113" customWidth="1"/>
    <col min="2836" max="2836" width="15.1796875" style="1113" customWidth="1"/>
    <col min="2837" max="3072" width="9.1796875" style="1113"/>
    <col min="3073" max="3073" width="12.26953125" style="1113" bestFit="1" customWidth="1"/>
    <col min="3074" max="3074" width="15.7265625" style="1113" customWidth="1"/>
    <col min="3075" max="3075" width="18.1796875" style="1113" customWidth="1"/>
    <col min="3076" max="3076" width="15.7265625" style="1113" customWidth="1"/>
    <col min="3077" max="3078" width="18.1796875" style="1113" customWidth="1"/>
    <col min="3079" max="3079" width="15.7265625" style="1113" customWidth="1"/>
    <col min="3080" max="3082" width="18.1796875" style="1113" customWidth="1"/>
    <col min="3083" max="3083" width="15.7265625" style="1113" customWidth="1"/>
    <col min="3084" max="3084" width="18.1796875" style="1113" customWidth="1"/>
    <col min="3085" max="3085" width="17" style="1113" customWidth="1"/>
    <col min="3086" max="3086" width="16.81640625" style="1113" customWidth="1"/>
    <col min="3087" max="3087" width="17.1796875" style="1113" customWidth="1"/>
    <col min="3088" max="3088" width="17" style="1113" customWidth="1"/>
    <col min="3089" max="3089" width="16.54296875" style="1113" customWidth="1"/>
    <col min="3090" max="3090" width="16.81640625" style="1113" customWidth="1"/>
    <col min="3091" max="3091" width="16.7265625" style="1113" customWidth="1"/>
    <col min="3092" max="3092" width="15.1796875" style="1113" customWidth="1"/>
    <col min="3093" max="3328" width="9.1796875" style="1113"/>
    <col min="3329" max="3329" width="12.26953125" style="1113" bestFit="1" customWidth="1"/>
    <col min="3330" max="3330" width="15.7265625" style="1113" customWidth="1"/>
    <col min="3331" max="3331" width="18.1796875" style="1113" customWidth="1"/>
    <col min="3332" max="3332" width="15.7265625" style="1113" customWidth="1"/>
    <col min="3333" max="3334" width="18.1796875" style="1113" customWidth="1"/>
    <col min="3335" max="3335" width="15.7265625" style="1113" customWidth="1"/>
    <col min="3336" max="3338" width="18.1796875" style="1113" customWidth="1"/>
    <col min="3339" max="3339" width="15.7265625" style="1113" customWidth="1"/>
    <col min="3340" max="3340" width="18.1796875" style="1113" customWidth="1"/>
    <col min="3341" max="3341" width="17" style="1113" customWidth="1"/>
    <col min="3342" max="3342" width="16.81640625" style="1113" customWidth="1"/>
    <col min="3343" max="3343" width="17.1796875" style="1113" customWidth="1"/>
    <col min="3344" max="3344" width="17" style="1113" customWidth="1"/>
    <col min="3345" max="3345" width="16.54296875" style="1113" customWidth="1"/>
    <col min="3346" max="3346" width="16.81640625" style="1113" customWidth="1"/>
    <col min="3347" max="3347" width="16.7265625" style="1113" customWidth="1"/>
    <col min="3348" max="3348" width="15.1796875" style="1113" customWidth="1"/>
    <col min="3349" max="3584" width="9.1796875" style="1113"/>
    <col min="3585" max="3585" width="12.26953125" style="1113" bestFit="1" customWidth="1"/>
    <col min="3586" max="3586" width="15.7265625" style="1113" customWidth="1"/>
    <col min="3587" max="3587" width="18.1796875" style="1113" customWidth="1"/>
    <col min="3588" max="3588" width="15.7265625" style="1113" customWidth="1"/>
    <col min="3589" max="3590" width="18.1796875" style="1113" customWidth="1"/>
    <col min="3591" max="3591" width="15.7265625" style="1113" customWidth="1"/>
    <col min="3592" max="3594" width="18.1796875" style="1113" customWidth="1"/>
    <col min="3595" max="3595" width="15.7265625" style="1113" customWidth="1"/>
    <col min="3596" max="3596" width="18.1796875" style="1113" customWidth="1"/>
    <col min="3597" max="3597" width="17" style="1113" customWidth="1"/>
    <col min="3598" max="3598" width="16.81640625" style="1113" customWidth="1"/>
    <col min="3599" max="3599" width="17.1796875" style="1113" customWidth="1"/>
    <col min="3600" max="3600" width="17" style="1113" customWidth="1"/>
    <col min="3601" max="3601" width="16.54296875" style="1113" customWidth="1"/>
    <col min="3602" max="3602" width="16.81640625" style="1113" customWidth="1"/>
    <col min="3603" max="3603" width="16.7265625" style="1113" customWidth="1"/>
    <col min="3604" max="3604" width="15.1796875" style="1113" customWidth="1"/>
    <col min="3605" max="3840" width="9.1796875" style="1113"/>
    <col min="3841" max="3841" width="12.26953125" style="1113" bestFit="1" customWidth="1"/>
    <col min="3842" max="3842" width="15.7265625" style="1113" customWidth="1"/>
    <col min="3843" max="3843" width="18.1796875" style="1113" customWidth="1"/>
    <col min="3844" max="3844" width="15.7265625" style="1113" customWidth="1"/>
    <col min="3845" max="3846" width="18.1796875" style="1113" customWidth="1"/>
    <col min="3847" max="3847" width="15.7265625" style="1113" customWidth="1"/>
    <col min="3848" max="3850" width="18.1796875" style="1113" customWidth="1"/>
    <col min="3851" max="3851" width="15.7265625" style="1113" customWidth="1"/>
    <col min="3852" max="3852" width="18.1796875" style="1113" customWidth="1"/>
    <col min="3853" max="3853" width="17" style="1113" customWidth="1"/>
    <col min="3854" max="3854" width="16.81640625" style="1113" customWidth="1"/>
    <col min="3855" max="3855" width="17.1796875" style="1113" customWidth="1"/>
    <col min="3856" max="3856" width="17" style="1113" customWidth="1"/>
    <col min="3857" max="3857" width="16.54296875" style="1113" customWidth="1"/>
    <col min="3858" max="3858" width="16.81640625" style="1113" customWidth="1"/>
    <col min="3859" max="3859" width="16.7265625" style="1113" customWidth="1"/>
    <col min="3860" max="3860" width="15.1796875" style="1113" customWidth="1"/>
    <col min="3861" max="4096" width="9.1796875" style="1113"/>
    <col min="4097" max="4097" width="12.26953125" style="1113" bestFit="1" customWidth="1"/>
    <col min="4098" max="4098" width="15.7265625" style="1113" customWidth="1"/>
    <col min="4099" max="4099" width="18.1796875" style="1113" customWidth="1"/>
    <col min="4100" max="4100" width="15.7265625" style="1113" customWidth="1"/>
    <col min="4101" max="4102" width="18.1796875" style="1113" customWidth="1"/>
    <col min="4103" max="4103" width="15.7265625" style="1113" customWidth="1"/>
    <col min="4104" max="4106" width="18.1796875" style="1113" customWidth="1"/>
    <col min="4107" max="4107" width="15.7265625" style="1113" customWidth="1"/>
    <col min="4108" max="4108" width="18.1796875" style="1113" customWidth="1"/>
    <col min="4109" max="4109" width="17" style="1113" customWidth="1"/>
    <col min="4110" max="4110" width="16.81640625" style="1113" customWidth="1"/>
    <col min="4111" max="4111" width="17.1796875" style="1113" customWidth="1"/>
    <col min="4112" max="4112" width="17" style="1113" customWidth="1"/>
    <col min="4113" max="4113" width="16.54296875" style="1113" customWidth="1"/>
    <col min="4114" max="4114" width="16.81640625" style="1113" customWidth="1"/>
    <col min="4115" max="4115" width="16.7265625" style="1113" customWidth="1"/>
    <col min="4116" max="4116" width="15.1796875" style="1113" customWidth="1"/>
    <col min="4117" max="4352" width="9.1796875" style="1113"/>
    <col min="4353" max="4353" width="12.26953125" style="1113" bestFit="1" customWidth="1"/>
    <col min="4354" max="4354" width="15.7265625" style="1113" customWidth="1"/>
    <col min="4355" max="4355" width="18.1796875" style="1113" customWidth="1"/>
    <col min="4356" max="4356" width="15.7265625" style="1113" customWidth="1"/>
    <col min="4357" max="4358" width="18.1796875" style="1113" customWidth="1"/>
    <col min="4359" max="4359" width="15.7265625" style="1113" customWidth="1"/>
    <col min="4360" max="4362" width="18.1796875" style="1113" customWidth="1"/>
    <col min="4363" max="4363" width="15.7265625" style="1113" customWidth="1"/>
    <col min="4364" max="4364" width="18.1796875" style="1113" customWidth="1"/>
    <col min="4365" max="4365" width="17" style="1113" customWidth="1"/>
    <col min="4366" max="4366" width="16.81640625" style="1113" customWidth="1"/>
    <col min="4367" max="4367" width="17.1796875" style="1113" customWidth="1"/>
    <col min="4368" max="4368" width="17" style="1113" customWidth="1"/>
    <col min="4369" max="4369" width="16.54296875" style="1113" customWidth="1"/>
    <col min="4370" max="4370" width="16.81640625" style="1113" customWidth="1"/>
    <col min="4371" max="4371" width="16.7265625" style="1113" customWidth="1"/>
    <col min="4372" max="4372" width="15.1796875" style="1113" customWidth="1"/>
    <col min="4373" max="4608" width="9.1796875" style="1113"/>
    <col min="4609" max="4609" width="12.26953125" style="1113" bestFit="1" customWidth="1"/>
    <col min="4610" max="4610" width="15.7265625" style="1113" customWidth="1"/>
    <col min="4611" max="4611" width="18.1796875" style="1113" customWidth="1"/>
    <col min="4612" max="4612" width="15.7265625" style="1113" customWidth="1"/>
    <col min="4613" max="4614" width="18.1796875" style="1113" customWidth="1"/>
    <col min="4615" max="4615" width="15.7265625" style="1113" customWidth="1"/>
    <col min="4616" max="4618" width="18.1796875" style="1113" customWidth="1"/>
    <col min="4619" max="4619" width="15.7265625" style="1113" customWidth="1"/>
    <col min="4620" max="4620" width="18.1796875" style="1113" customWidth="1"/>
    <col min="4621" max="4621" width="17" style="1113" customWidth="1"/>
    <col min="4622" max="4622" width="16.81640625" style="1113" customWidth="1"/>
    <col min="4623" max="4623" width="17.1796875" style="1113" customWidth="1"/>
    <col min="4624" max="4624" width="17" style="1113" customWidth="1"/>
    <col min="4625" max="4625" width="16.54296875" style="1113" customWidth="1"/>
    <col min="4626" max="4626" width="16.81640625" style="1113" customWidth="1"/>
    <col min="4627" max="4627" width="16.7265625" style="1113" customWidth="1"/>
    <col min="4628" max="4628" width="15.1796875" style="1113" customWidth="1"/>
    <col min="4629" max="4864" width="9.1796875" style="1113"/>
    <col min="4865" max="4865" width="12.26953125" style="1113" bestFit="1" customWidth="1"/>
    <col min="4866" max="4866" width="15.7265625" style="1113" customWidth="1"/>
    <col min="4867" max="4867" width="18.1796875" style="1113" customWidth="1"/>
    <col min="4868" max="4868" width="15.7265625" style="1113" customWidth="1"/>
    <col min="4869" max="4870" width="18.1796875" style="1113" customWidth="1"/>
    <col min="4871" max="4871" width="15.7265625" style="1113" customWidth="1"/>
    <col min="4872" max="4874" width="18.1796875" style="1113" customWidth="1"/>
    <col min="4875" max="4875" width="15.7265625" style="1113" customWidth="1"/>
    <col min="4876" max="4876" width="18.1796875" style="1113" customWidth="1"/>
    <col min="4877" max="4877" width="17" style="1113" customWidth="1"/>
    <col min="4878" max="4878" width="16.81640625" style="1113" customWidth="1"/>
    <col min="4879" max="4879" width="17.1796875" style="1113" customWidth="1"/>
    <col min="4880" max="4880" width="17" style="1113" customWidth="1"/>
    <col min="4881" max="4881" width="16.54296875" style="1113" customWidth="1"/>
    <col min="4882" max="4882" width="16.81640625" style="1113" customWidth="1"/>
    <col min="4883" max="4883" width="16.7265625" style="1113" customWidth="1"/>
    <col min="4884" max="4884" width="15.1796875" style="1113" customWidth="1"/>
    <col min="4885" max="5120" width="9.1796875" style="1113"/>
    <col min="5121" max="5121" width="12.26953125" style="1113" bestFit="1" customWidth="1"/>
    <col min="5122" max="5122" width="15.7265625" style="1113" customWidth="1"/>
    <col min="5123" max="5123" width="18.1796875" style="1113" customWidth="1"/>
    <col min="5124" max="5124" width="15.7265625" style="1113" customWidth="1"/>
    <col min="5125" max="5126" width="18.1796875" style="1113" customWidth="1"/>
    <col min="5127" max="5127" width="15.7265625" style="1113" customWidth="1"/>
    <col min="5128" max="5130" width="18.1796875" style="1113" customWidth="1"/>
    <col min="5131" max="5131" width="15.7265625" style="1113" customWidth="1"/>
    <col min="5132" max="5132" width="18.1796875" style="1113" customWidth="1"/>
    <col min="5133" max="5133" width="17" style="1113" customWidth="1"/>
    <col min="5134" max="5134" width="16.81640625" style="1113" customWidth="1"/>
    <col min="5135" max="5135" width="17.1796875" style="1113" customWidth="1"/>
    <col min="5136" max="5136" width="17" style="1113" customWidth="1"/>
    <col min="5137" max="5137" width="16.54296875" style="1113" customWidth="1"/>
    <col min="5138" max="5138" width="16.81640625" style="1113" customWidth="1"/>
    <col min="5139" max="5139" width="16.7265625" style="1113" customWidth="1"/>
    <col min="5140" max="5140" width="15.1796875" style="1113" customWidth="1"/>
    <col min="5141" max="5376" width="9.1796875" style="1113"/>
    <col min="5377" max="5377" width="12.26953125" style="1113" bestFit="1" customWidth="1"/>
    <col min="5378" max="5378" width="15.7265625" style="1113" customWidth="1"/>
    <col min="5379" max="5379" width="18.1796875" style="1113" customWidth="1"/>
    <col min="5380" max="5380" width="15.7265625" style="1113" customWidth="1"/>
    <col min="5381" max="5382" width="18.1796875" style="1113" customWidth="1"/>
    <col min="5383" max="5383" width="15.7265625" style="1113" customWidth="1"/>
    <col min="5384" max="5386" width="18.1796875" style="1113" customWidth="1"/>
    <col min="5387" max="5387" width="15.7265625" style="1113" customWidth="1"/>
    <col min="5388" max="5388" width="18.1796875" style="1113" customWidth="1"/>
    <col min="5389" max="5389" width="17" style="1113" customWidth="1"/>
    <col min="5390" max="5390" width="16.81640625" style="1113" customWidth="1"/>
    <col min="5391" max="5391" width="17.1796875" style="1113" customWidth="1"/>
    <col min="5392" max="5392" width="17" style="1113" customWidth="1"/>
    <col min="5393" max="5393" width="16.54296875" style="1113" customWidth="1"/>
    <col min="5394" max="5394" width="16.81640625" style="1113" customWidth="1"/>
    <col min="5395" max="5395" width="16.7265625" style="1113" customWidth="1"/>
    <col min="5396" max="5396" width="15.1796875" style="1113" customWidth="1"/>
    <col min="5397" max="5632" width="9.1796875" style="1113"/>
    <col min="5633" max="5633" width="12.26953125" style="1113" bestFit="1" customWidth="1"/>
    <col min="5634" max="5634" width="15.7265625" style="1113" customWidth="1"/>
    <col min="5635" max="5635" width="18.1796875" style="1113" customWidth="1"/>
    <col min="5636" max="5636" width="15.7265625" style="1113" customWidth="1"/>
    <col min="5637" max="5638" width="18.1796875" style="1113" customWidth="1"/>
    <col min="5639" max="5639" width="15.7265625" style="1113" customWidth="1"/>
    <col min="5640" max="5642" width="18.1796875" style="1113" customWidth="1"/>
    <col min="5643" max="5643" width="15.7265625" style="1113" customWidth="1"/>
    <col min="5644" max="5644" width="18.1796875" style="1113" customWidth="1"/>
    <col min="5645" max="5645" width="17" style="1113" customWidth="1"/>
    <col min="5646" max="5646" width="16.81640625" style="1113" customWidth="1"/>
    <col min="5647" max="5647" width="17.1796875" style="1113" customWidth="1"/>
    <col min="5648" max="5648" width="17" style="1113" customWidth="1"/>
    <col min="5649" max="5649" width="16.54296875" style="1113" customWidth="1"/>
    <col min="5650" max="5650" width="16.81640625" style="1113" customWidth="1"/>
    <col min="5651" max="5651" width="16.7265625" style="1113" customWidth="1"/>
    <col min="5652" max="5652" width="15.1796875" style="1113" customWidth="1"/>
    <col min="5653" max="5888" width="9.1796875" style="1113"/>
    <col min="5889" max="5889" width="12.26953125" style="1113" bestFit="1" customWidth="1"/>
    <col min="5890" max="5890" width="15.7265625" style="1113" customWidth="1"/>
    <col min="5891" max="5891" width="18.1796875" style="1113" customWidth="1"/>
    <col min="5892" max="5892" width="15.7265625" style="1113" customWidth="1"/>
    <col min="5893" max="5894" width="18.1796875" style="1113" customWidth="1"/>
    <col min="5895" max="5895" width="15.7265625" style="1113" customWidth="1"/>
    <col min="5896" max="5898" width="18.1796875" style="1113" customWidth="1"/>
    <col min="5899" max="5899" width="15.7265625" style="1113" customWidth="1"/>
    <col min="5900" max="5900" width="18.1796875" style="1113" customWidth="1"/>
    <col min="5901" max="5901" width="17" style="1113" customWidth="1"/>
    <col min="5902" max="5902" width="16.81640625" style="1113" customWidth="1"/>
    <col min="5903" max="5903" width="17.1796875" style="1113" customWidth="1"/>
    <col min="5904" max="5904" width="17" style="1113" customWidth="1"/>
    <col min="5905" max="5905" width="16.54296875" style="1113" customWidth="1"/>
    <col min="5906" max="5906" width="16.81640625" style="1113" customWidth="1"/>
    <col min="5907" max="5907" width="16.7265625" style="1113" customWidth="1"/>
    <col min="5908" max="5908" width="15.1796875" style="1113" customWidth="1"/>
    <col min="5909" max="6144" width="9.1796875" style="1113"/>
    <col min="6145" max="6145" width="12.26953125" style="1113" bestFit="1" customWidth="1"/>
    <col min="6146" max="6146" width="15.7265625" style="1113" customWidth="1"/>
    <col min="6147" max="6147" width="18.1796875" style="1113" customWidth="1"/>
    <col min="6148" max="6148" width="15.7265625" style="1113" customWidth="1"/>
    <col min="6149" max="6150" width="18.1796875" style="1113" customWidth="1"/>
    <col min="6151" max="6151" width="15.7265625" style="1113" customWidth="1"/>
    <col min="6152" max="6154" width="18.1796875" style="1113" customWidth="1"/>
    <col min="6155" max="6155" width="15.7265625" style="1113" customWidth="1"/>
    <col min="6156" max="6156" width="18.1796875" style="1113" customWidth="1"/>
    <col min="6157" max="6157" width="17" style="1113" customWidth="1"/>
    <col min="6158" max="6158" width="16.81640625" style="1113" customWidth="1"/>
    <col min="6159" max="6159" width="17.1796875" style="1113" customWidth="1"/>
    <col min="6160" max="6160" width="17" style="1113" customWidth="1"/>
    <col min="6161" max="6161" width="16.54296875" style="1113" customWidth="1"/>
    <col min="6162" max="6162" width="16.81640625" style="1113" customWidth="1"/>
    <col min="6163" max="6163" width="16.7265625" style="1113" customWidth="1"/>
    <col min="6164" max="6164" width="15.1796875" style="1113" customWidth="1"/>
    <col min="6165" max="6400" width="9.1796875" style="1113"/>
    <col min="6401" max="6401" width="12.26953125" style="1113" bestFit="1" customWidth="1"/>
    <col min="6402" max="6402" width="15.7265625" style="1113" customWidth="1"/>
    <col min="6403" max="6403" width="18.1796875" style="1113" customWidth="1"/>
    <col min="6404" max="6404" width="15.7265625" style="1113" customWidth="1"/>
    <col min="6405" max="6406" width="18.1796875" style="1113" customWidth="1"/>
    <col min="6407" max="6407" width="15.7265625" style="1113" customWidth="1"/>
    <col min="6408" max="6410" width="18.1796875" style="1113" customWidth="1"/>
    <col min="6411" max="6411" width="15.7265625" style="1113" customWidth="1"/>
    <col min="6412" max="6412" width="18.1796875" style="1113" customWidth="1"/>
    <col min="6413" max="6413" width="17" style="1113" customWidth="1"/>
    <col min="6414" max="6414" width="16.81640625" style="1113" customWidth="1"/>
    <col min="6415" max="6415" width="17.1796875" style="1113" customWidth="1"/>
    <col min="6416" max="6416" width="17" style="1113" customWidth="1"/>
    <col min="6417" max="6417" width="16.54296875" style="1113" customWidth="1"/>
    <col min="6418" max="6418" width="16.81640625" style="1113" customWidth="1"/>
    <col min="6419" max="6419" width="16.7265625" style="1113" customWidth="1"/>
    <col min="6420" max="6420" width="15.1796875" style="1113" customWidth="1"/>
    <col min="6421" max="6656" width="9.1796875" style="1113"/>
    <col min="6657" max="6657" width="12.26953125" style="1113" bestFit="1" customWidth="1"/>
    <col min="6658" max="6658" width="15.7265625" style="1113" customWidth="1"/>
    <col min="6659" max="6659" width="18.1796875" style="1113" customWidth="1"/>
    <col min="6660" max="6660" width="15.7265625" style="1113" customWidth="1"/>
    <col min="6661" max="6662" width="18.1796875" style="1113" customWidth="1"/>
    <col min="6663" max="6663" width="15.7265625" style="1113" customWidth="1"/>
    <col min="6664" max="6666" width="18.1796875" style="1113" customWidth="1"/>
    <col min="6667" max="6667" width="15.7265625" style="1113" customWidth="1"/>
    <col min="6668" max="6668" width="18.1796875" style="1113" customWidth="1"/>
    <col min="6669" max="6669" width="17" style="1113" customWidth="1"/>
    <col min="6670" max="6670" width="16.81640625" style="1113" customWidth="1"/>
    <col min="6671" max="6671" width="17.1796875" style="1113" customWidth="1"/>
    <col min="6672" max="6672" width="17" style="1113" customWidth="1"/>
    <col min="6673" max="6673" width="16.54296875" style="1113" customWidth="1"/>
    <col min="6674" max="6674" width="16.81640625" style="1113" customWidth="1"/>
    <col min="6675" max="6675" width="16.7265625" style="1113" customWidth="1"/>
    <col min="6676" max="6676" width="15.1796875" style="1113" customWidth="1"/>
    <col min="6677" max="6912" width="9.1796875" style="1113"/>
    <col min="6913" max="6913" width="12.26953125" style="1113" bestFit="1" customWidth="1"/>
    <col min="6914" max="6914" width="15.7265625" style="1113" customWidth="1"/>
    <col min="6915" max="6915" width="18.1796875" style="1113" customWidth="1"/>
    <col min="6916" max="6916" width="15.7265625" style="1113" customWidth="1"/>
    <col min="6917" max="6918" width="18.1796875" style="1113" customWidth="1"/>
    <col min="6919" max="6919" width="15.7265625" style="1113" customWidth="1"/>
    <col min="6920" max="6922" width="18.1796875" style="1113" customWidth="1"/>
    <col min="6923" max="6923" width="15.7265625" style="1113" customWidth="1"/>
    <col min="6924" max="6924" width="18.1796875" style="1113" customWidth="1"/>
    <col min="6925" max="6925" width="17" style="1113" customWidth="1"/>
    <col min="6926" max="6926" width="16.81640625" style="1113" customWidth="1"/>
    <col min="6927" max="6927" width="17.1796875" style="1113" customWidth="1"/>
    <col min="6928" max="6928" width="17" style="1113" customWidth="1"/>
    <col min="6929" max="6929" width="16.54296875" style="1113" customWidth="1"/>
    <col min="6930" max="6930" width="16.81640625" style="1113" customWidth="1"/>
    <col min="6931" max="6931" width="16.7265625" style="1113" customWidth="1"/>
    <col min="6932" max="6932" width="15.1796875" style="1113" customWidth="1"/>
    <col min="6933" max="7168" width="9.1796875" style="1113"/>
    <col min="7169" max="7169" width="12.26953125" style="1113" bestFit="1" customWidth="1"/>
    <col min="7170" max="7170" width="15.7265625" style="1113" customWidth="1"/>
    <col min="7171" max="7171" width="18.1796875" style="1113" customWidth="1"/>
    <col min="7172" max="7172" width="15.7265625" style="1113" customWidth="1"/>
    <col min="7173" max="7174" width="18.1796875" style="1113" customWidth="1"/>
    <col min="7175" max="7175" width="15.7265625" style="1113" customWidth="1"/>
    <col min="7176" max="7178" width="18.1796875" style="1113" customWidth="1"/>
    <col min="7179" max="7179" width="15.7265625" style="1113" customWidth="1"/>
    <col min="7180" max="7180" width="18.1796875" style="1113" customWidth="1"/>
    <col min="7181" max="7181" width="17" style="1113" customWidth="1"/>
    <col min="7182" max="7182" width="16.81640625" style="1113" customWidth="1"/>
    <col min="7183" max="7183" width="17.1796875" style="1113" customWidth="1"/>
    <col min="7184" max="7184" width="17" style="1113" customWidth="1"/>
    <col min="7185" max="7185" width="16.54296875" style="1113" customWidth="1"/>
    <col min="7186" max="7186" width="16.81640625" style="1113" customWidth="1"/>
    <col min="7187" max="7187" width="16.7265625" style="1113" customWidth="1"/>
    <col min="7188" max="7188" width="15.1796875" style="1113" customWidth="1"/>
    <col min="7189" max="7424" width="9.1796875" style="1113"/>
    <col min="7425" max="7425" width="12.26953125" style="1113" bestFit="1" customWidth="1"/>
    <col min="7426" max="7426" width="15.7265625" style="1113" customWidth="1"/>
    <col min="7427" max="7427" width="18.1796875" style="1113" customWidth="1"/>
    <col min="7428" max="7428" width="15.7265625" style="1113" customWidth="1"/>
    <col min="7429" max="7430" width="18.1796875" style="1113" customWidth="1"/>
    <col min="7431" max="7431" width="15.7265625" style="1113" customWidth="1"/>
    <col min="7432" max="7434" width="18.1796875" style="1113" customWidth="1"/>
    <col min="7435" max="7435" width="15.7265625" style="1113" customWidth="1"/>
    <col min="7436" max="7436" width="18.1796875" style="1113" customWidth="1"/>
    <col min="7437" max="7437" width="17" style="1113" customWidth="1"/>
    <col min="7438" max="7438" width="16.81640625" style="1113" customWidth="1"/>
    <col min="7439" max="7439" width="17.1796875" style="1113" customWidth="1"/>
    <col min="7440" max="7440" width="17" style="1113" customWidth="1"/>
    <col min="7441" max="7441" width="16.54296875" style="1113" customWidth="1"/>
    <col min="7442" max="7442" width="16.81640625" style="1113" customWidth="1"/>
    <col min="7443" max="7443" width="16.7265625" style="1113" customWidth="1"/>
    <col min="7444" max="7444" width="15.1796875" style="1113" customWidth="1"/>
    <col min="7445" max="7680" width="9.1796875" style="1113"/>
    <col min="7681" max="7681" width="12.26953125" style="1113" bestFit="1" customWidth="1"/>
    <col min="7682" max="7682" width="15.7265625" style="1113" customWidth="1"/>
    <col min="7683" max="7683" width="18.1796875" style="1113" customWidth="1"/>
    <col min="7684" max="7684" width="15.7265625" style="1113" customWidth="1"/>
    <col min="7685" max="7686" width="18.1796875" style="1113" customWidth="1"/>
    <col min="7687" max="7687" width="15.7265625" style="1113" customWidth="1"/>
    <col min="7688" max="7690" width="18.1796875" style="1113" customWidth="1"/>
    <col min="7691" max="7691" width="15.7265625" style="1113" customWidth="1"/>
    <col min="7692" max="7692" width="18.1796875" style="1113" customWidth="1"/>
    <col min="7693" max="7693" width="17" style="1113" customWidth="1"/>
    <col min="7694" max="7694" width="16.81640625" style="1113" customWidth="1"/>
    <col min="7695" max="7695" width="17.1796875" style="1113" customWidth="1"/>
    <col min="7696" max="7696" width="17" style="1113" customWidth="1"/>
    <col min="7697" max="7697" width="16.54296875" style="1113" customWidth="1"/>
    <col min="7698" max="7698" width="16.81640625" style="1113" customWidth="1"/>
    <col min="7699" max="7699" width="16.7265625" style="1113" customWidth="1"/>
    <col min="7700" max="7700" width="15.1796875" style="1113" customWidth="1"/>
    <col min="7701" max="7936" width="9.1796875" style="1113"/>
    <col min="7937" max="7937" width="12.26953125" style="1113" bestFit="1" customWidth="1"/>
    <col min="7938" max="7938" width="15.7265625" style="1113" customWidth="1"/>
    <col min="7939" max="7939" width="18.1796875" style="1113" customWidth="1"/>
    <col min="7940" max="7940" width="15.7265625" style="1113" customWidth="1"/>
    <col min="7941" max="7942" width="18.1796875" style="1113" customWidth="1"/>
    <col min="7943" max="7943" width="15.7265625" style="1113" customWidth="1"/>
    <col min="7944" max="7946" width="18.1796875" style="1113" customWidth="1"/>
    <col min="7947" max="7947" width="15.7265625" style="1113" customWidth="1"/>
    <col min="7948" max="7948" width="18.1796875" style="1113" customWidth="1"/>
    <col min="7949" max="7949" width="17" style="1113" customWidth="1"/>
    <col min="7950" max="7950" width="16.81640625" style="1113" customWidth="1"/>
    <col min="7951" max="7951" width="17.1796875" style="1113" customWidth="1"/>
    <col min="7952" max="7952" width="17" style="1113" customWidth="1"/>
    <col min="7953" max="7953" width="16.54296875" style="1113" customWidth="1"/>
    <col min="7954" max="7954" width="16.81640625" style="1113" customWidth="1"/>
    <col min="7955" max="7955" width="16.7265625" style="1113" customWidth="1"/>
    <col min="7956" max="7956" width="15.1796875" style="1113" customWidth="1"/>
    <col min="7957" max="8192" width="9.1796875" style="1113"/>
    <col min="8193" max="8193" width="12.26953125" style="1113" bestFit="1" customWidth="1"/>
    <col min="8194" max="8194" width="15.7265625" style="1113" customWidth="1"/>
    <col min="8195" max="8195" width="18.1796875" style="1113" customWidth="1"/>
    <col min="8196" max="8196" width="15.7265625" style="1113" customWidth="1"/>
    <col min="8197" max="8198" width="18.1796875" style="1113" customWidth="1"/>
    <col min="8199" max="8199" width="15.7265625" style="1113" customWidth="1"/>
    <col min="8200" max="8202" width="18.1796875" style="1113" customWidth="1"/>
    <col min="8203" max="8203" width="15.7265625" style="1113" customWidth="1"/>
    <col min="8204" max="8204" width="18.1796875" style="1113" customWidth="1"/>
    <col min="8205" max="8205" width="17" style="1113" customWidth="1"/>
    <col min="8206" max="8206" width="16.81640625" style="1113" customWidth="1"/>
    <col min="8207" max="8207" width="17.1796875" style="1113" customWidth="1"/>
    <col min="8208" max="8208" width="17" style="1113" customWidth="1"/>
    <col min="8209" max="8209" width="16.54296875" style="1113" customWidth="1"/>
    <col min="8210" max="8210" width="16.81640625" style="1113" customWidth="1"/>
    <col min="8211" max="8211" width="16.7265625" style="1113" customWidth="1"/>
    <col min="8212" max="8212" width="15.1796875" style="1113" customWidth="1"/>
    <col min="8213" max="8448" width="9.1796875" style="1113"/>
    <col min="8449" max="8449" width="12.26953125" style="1113" bestFit="1" customWidth="1"/>
    <col min="8450" max="8450" width="15.7265625" style="1113" customWidth="1"/>
    <col min="8451" max="8451" width="18.1796875" style="1113" customWidth="1"/>
    <col min="8452" max="8452" width="15.7265625" style="1113" customWidth="1"/>
    <col min="8453" max="8454" width="18.1796875" style="1113" customWidth="1"/>
    <col min="8455" max="8455" width="15.7265625" style="1113" customWidth="1"/>
    <col min="8456" max="8458" width="18.1796875" style="1113" customWidth="1"/>
    <col min="8459" max="8459" width="15.7265625" style="1113" customWidth="1"/>
    <col min="8460" max="8460" width="18.1796875" style="1113" customWidth="1"/>
    <col min="8461" max="8461" width="17" style="1113" customWidth="1"/>
    <col min="8462" max="8462" width="16.81640625" style="1113" customWidth="1"/>
    <col min="8463" max="8463" width="17.1796875" style="1113" customWidth="1"/>
    <col min="8464" max="8464" width="17" style="1113" customWidth="1"/>
    <col min="8465" max="8465" width="16.54296875" style="1113" customWidth="1"/>
    <col min="8466" max="8466" width="16.81640625" style="1113" customWidth="1"/>
    <col min="8467" max="8467" width="16.7265625" style="1113" customWidth="1"/>
    <col min="8468" max="8468" width="15.1796875" style="1113" customWidth="1"/>
    <col min="8469" max="8704" width="9.1796875" style="1113"/>
    <col min="8705" max="8705" width="12.26953125" style="1113" bestFit="1" customWidth="1"/>
    <col min="8706" max="8706" width="15.7265625" style="1113" customWidth="1"/>
    <col min="8707" max="8707" width="18.1796875" style="1113" customWidth="1"/>
    <col min="8708" max="8708" width="15.7265625" style="1113" customWidth="1"/>
    <col min="8709" max="8710" width="18.1796875" style="1113" customWidth="1"/>
    <col min="8711" max="8711" width="15.7265625" style="1113" customWidth="1"/>
    <col min="8712" max="8714" width="18.1796875" style="1113" customWidth="1"/>
    <col min="8715" max="8715" width="15.7265625" style="1113" customWidth="1"/>
    <col min="8716" max="8716" width="18.1796875" style="1113" customWidth="1"/>
    <col min="8717" max="8717" width="17" style="1113" customWidth="1"/>
    <col min="8718" max="8718" width="16.81640625" style="1113" customWidth="1"/>
    <col min="8719" max="8719" width="17.1796875" style="1113" customWidth="1"/>
    <col min="8720" max="8720" width="17" style="1113" customWidth="1"/>
    <col min="8721" max="8721" width="16.54296875" style="1113" customWidth="1"/>
    <col min="8722" max="8722" width="16.81640625" style="1113" customWidth="1"/>
    <col min="8723" max="8723" width="16.7265625" style="1113" customWidth="1"/>
    <col min="8724" max="8724" width="15.1796875" style="1113" customWidth="1"/>
    <col min="8725" max="8960" width="9.1796875" style="1113"/>
    <col min="8961" max="8961" width="12.26953125" style="1113" bestFit="1" customWidth="1"/>
    <col min="8962" max="8962" width="15.7265625" style="1113" customWidth="1"/>
    <col min="8963" max="8963" width="18.1796875" style="1113" customWidth="1"/>
    <col min="8964" max="8964" width="15.7265625" style="1113" customWidth="1"/>
    <col min="8965" max="8966" width="18.1796875" style="1113" customWidth="1"/>
    <col min="8967" max="8967" width="15.7265625" style="1113" customWidth="1"/>
    <col min="8968" max="8970" width="18.1796875" style="1113" customWidth="1"/>
    <col min="8971" max="8971" width="15.7265625" style="1113" customWidth="1"/>
    <col min="8972" max="8972" width="18.1796875" style="1113" customWidth="1"/>
    <col min="8973" max="8973" width="17" style="1113" customWidth="1"/>
    <col min="8974" max="8974" width="16.81640625" style="1113" customWidth="1"/>
    <col min="8975" max="8975" width="17.1796875" style="1113" customWidth="1"/>
    <col min="8976" max="8976" width="17" style="1113" customWidth="1"/>
    <col min="8977" max="8977" width="16.54296875" style="1113" customWidth="1"/>
    <col min="8978" max="8978" width="16.81640625" style="1113" customWidth="1"/>
    <col min="8979" max="8979" width="16.7265625" style="1113" customWidth="1"/>
    <col min="8980" max="8980" width="15.1796875" style="1113" customWidth="1"/>
    <col min="8981" max="9216" width="9.1796875" style="1113"/>
    <col min="9217" max="9217" width="12.26953125" style="1113" bestFit="1" customWidth="1"/>
    <col min="9218" max="9218" width="15.7265625" style="1113" customWidth="1"/>
    <col min="9219" max="9219" width="18.1796875" style="1113" customWidth="1"/>
    <col min="9220" max="9220" width="15.7265625" style="1113" customWidth="1"/>
    <col min="9221" max="9222" width="18.1796875" style="1113" customWidth="1"/>
    <col min="9223" max="9223" width="15.7265625" style="1113" customWidth="1"/>
    <col min="9224" max="9226" width="18.1796875" style="1113" customWidth="1"/>
    <col min="9227" max="9227" width="15.7265625" style="1113" customWidth="1"/>
    <col min="9228" max="9228" width="18.1796875" style="1113" customWidth="1"/>
    <col min="9229" max="9229" width="17" style="1113" customWidth="1"/>
    <col min="9230" max="9230" width="16.81640625" style="1113" customWidth="1"/>
    <col min="9231" max="9231" width="17.1796875" style="1113" customWidth="1"/>
    <col min="9232" max="9232" width="17" style="1113" customWidth="1"/>
    <col min="9233" max="9233" width="16.54296875" style="1113" customWidth="1"/>
    <col min="9234" max="9234" width="16.81640625" style="1113" customWidth="1"/>
    <col min="9235" max="9235" width="16.7265625" style="1113" customWidth="1"/>
    <col min="9236" max="9236" width="15.1796875" style="1113" customWidth="1"/>
    <col min="9237" max="9472" width="9.1796875" style="1113"/>
    <col min="9473" max="9473" width="12.26953125" style="1113" bestFit="1" customWidth="1"/>
    <col min="9474" max="9474" width="15.7265625" style="1113" customWidth="1"/>
    <col min="9475" max="9475" width="18.1796875" style="1113" customWidth="1"/>
    <col min="9476" max="9476" width="15.7265625" style="1113" customWidth="1"/>
    <col min="9477" max="9478" width="18.1796875" style="1113" customWidth="1"/>
    <col min="9479" max="9479" width="15.7265625" style="1113" customWidth="1"/>
    <col min="9480" max="9482" width="18.1796875" style="1113" customWidth="1"/>
    <col min="9483" max="9483" width="15.7265625" style="1113" customWidth="1"/>
    <col min="9484" max="9484" width="18.1796875" style="1113" customWidth="1"/>
    <col min="9485" max="9485" width="17" style="1113" customWidth="1"/>
    <col min="9486" max="9486" width="16.81640625" style="1113" customWidth="1"/>
    <col min="9487" max="9487" width="17.1796875" style="1113" customWidth="1"/>
    <col min="9488" max="9488" width="17" style="1113" customWidth="1"/>
    <col min="9489" max="9489" width="16.54296875" style="1113" customWidth="1"/>
    <col min="9490" max="9490" width="16.81640625" style="1113" customWidth="1"/>
    <col min="9491" max="9491" width="16.7265625" style="1113" customWidth="1"/>
    <col min="9492" max="9492" width="15.1796875" style="1113" customWidth="1"/>
    <col min="9493" max="9728" width="9.1796875" style="1113"/>
    <col min="9729" max="9729" width="12.26953125" style="1113" bestFit="1" customWidth="1"/>
    <col min="9730" max="9730" width="15.7265625" style="1113" customWidth="1"/>
    <col min="9731" max="9731" width="18.1796875" style="1113" customWidth="1"/>
    <col min="9732" max="9732" width="15.7265625" style="1113" customWidth="1"/>
    <col min="9733" max="9734" width="18.1796875" style="1113" customWidth="1"/>
    <col min="9735" max="9735" width="15.7265625" style="1113" customWidth="1"/>
    <col min="9736" max="9738" width="18.1796875" style="1113" customWidth="1"/>
    <col min="9739" max="9739" width="15.7265625" style="1113" customWidth="1"/>
    <col min="9740" max="9740" width="18.1796875" style="1113" customWidth="1"/>
    <col min="9741" max="9741" width="17" style="1113" customWidth="1"/>
    <col min="9742" max="9742" width="16.81640625" style="1113" customWidth="1"/>
    <col min="9743" max="9743" width="17.1796875" style="1113" customWidth="1"/>
    <col min="9744" max="9744" width="17" style="1113" customWidth="1"/>
    <col min="9745" max="9745" width="16.54296875" style="1113" customWidth="1"/>
    <col min="9746" max="9746" width="16.81640625" style="1113" customWidth="1"/>
    <col min="9747" max="9747" width="16.7265625" style="1113" customWidth="1"/>
    <col min="9748" max="9748" width="15.1796875" style="1113" customWidth="1"/>
    <col min="9749" max="9984" width="9.1796875" style="1113"/>
    <col min="9985" max="9985" width="12.26953125" style="1113" bestFit="1" customWidth="1"/>
    <col min="9986" max="9986" width="15.7265625" style="1113" customWidth="1"/>
    <col min="9987" max="9987" width="18.1796875" style="1113" customWidth="1"/>
    <col min="9988" max="9988" width="15.7265625" style="1113" customWidth="1"/>
    <col min="9989" max="9990" width="18.1796875" style="1113" customWidth="1"/>
    <col min="9991" max="9991" width="15.7265625" style="1113" customWidth="1"/>
    <col min="9992" max="9994" width="18.1796875" style="1113" customWidth="1"/>
    <col min="9995" max="9995" width="15.7265625" style="1113" customWidth="1"/>
    <col min="9996" max="9996" width="18.1796875" style="1113" customWidth="1"/>
    <col min="9997" max="9997" width="17" style="1113" customWidth="1"/>
    <col min="9998" max="9998" width="16.81640625" style="1113" customWidth="1"/>
    <col min="9999" max="9999" width="17.1796875" style="1113" customWidth="1"/>
    <col min="10000" max="10000" width="17" style="1113" customWidth="1"/>
    <col min="10001" max="10001" width="16.54296875" style="1113" customWidth="1"/>
    <col min="10002" max="10002" width="16.81640625" style="1113" customWidth="1"/>
    <col min="10003" max="10003" width="16.7265625" style="1113" customWidth="1"/>
    <col min="10004" max="10004" width="15.1796875" style="1113" customWidth="1"/>
    <col min="10005" max="10240" width="9.1796875" style="1113"/>
    <col min="10241" max="10241" width="12.26953125" style="1113" bestFit="1" customWidth="1"/>
    <col min="10242" max="10242" width="15.7265625" style="1113" customWidth="1"/>
    <col min="10243" max="10243" width="18.1796875" style="1113" customWidth="1"/>
    <col min="10244" max="10244" width="15.7265625" style="1113" customWidth="1"/>
    <col min="10245" max="10246" width="18.1796875" style="1113" customWidth="1"/>
    <col min="10247" max="10247" width="15.7265625" style="1113" customWidth="1"/>
    <col min="10248" max="10250" width="18.1796875" style="1113" customWidth="1"/>
    <col min="10251" max="10251" width="15.7265625" style="1113" customWidth="1"/>
    <col min="10252" max="10252" width="18.1796875" style="1113" customWidth="1"/>
    <col min="10253" max="10253" width="17" style="1113" customWidth="1"/>
    <col min="10254" max="10254" width="16.81640625" style="1113" customWidth="1"/>
    <col min="10255" max="10255" width="17.1796875" style="1113" customWidth="1"/>
    <col min="10256" max="10256" width="17" style="1113" customWidth="1"/>
    <col min="10257" max="10257" width="16.54296875" style="1113" customWidth="1"/>
    <col min="10258" max="10258" width="16.81640625" style="1113" customWidth="1"/>
    <col min="10259" max="10259" width="16.7265625" style="1113" customWidth="1"/>
    <col min="10260" max="10260" width="15.1796875" style="1113" customWidth="1"/>
    <col min="10261" max="10496" width="9.1796875" style="1113"/>
    <col min="10497" max="10497" width="12.26953125" style="1113" bestFit="1" customWidth="1"/>
    <col min="10498" max="10498" width="15.7265625" style="1113" customWidth="1"/>
    <col min="10499" max="10499" width="18.1796875" style="1113" customWidth="1"/>
    <col min="10500" max="10500" width="15.7265625" style="1113" customWidth="1"/>
    <col min="10501" max="10502" width="18.1796875" style="1113" customWidth="1"/>
    <col min="10503" max="10503" width="15.7265625" style="1113" customWidth="1"/>
    <col min="10504" max="10506" width="18.1796875" style="1113" customWidth="1"/>
    <col min="10507" max="10507" width="15.7265625" style="1113" customWidth="1"/>
    <col min="10508" max="10508" width="18.1796875" style="1113" customWidth="1"/>
    <col min="10509" max="10509" width="17" style="1113" customWidth="1"/>
    <col min="10510" max="10510" width="16.81640625" style="1113" customWidth="1"/>
    <col min="10511" max="10511" width="17.1796875" style="1113" customWidth="1"/>
    <col min="10512" max="10512" width="17" style="1113" customWidth="1"/>
    <col min="10513" max="10513" width="16.54296875" style="1113" customWidth="1"/>
    <col min="10514" max="10514" width="16.81640625" style="1113" customWidth="1"/>
    <col min="10515" max="10515" width="16.7265625" style="1113" customWidth="1"/>
    <col min="10516" max="10516" width="15.1796875" style="1113" customWidth="1"/>
    <col min="10517" max="10752" width="9.1796875" style="1113"/>
    <col min="10753" max="10753" width="12.26953125" style="1113" bestFit="1" customWidth="1"/>
    <col min="10754" max="10754" width="15.7265625" style="1113" customWidth="1"/>
    <col min="10755" max="10755" width="18.1796875" style="1113" customWidth="1"/>
    <col min="10756" max="10756" width="15.7265625" style="1113" customWidth="1"/>
    <col min="10757" max="10758" width="18.1796875" style="1113" customWidth="1"/>
    <col min="10759" max="10759" width="15.7265625" style="1113" customWidth="1"/>
    <col min="10760" max="10762" width="18.1796875" style="1113" customWidth="1"/>
    <col min="10763" max="10763" width="15.7265625" style="1113" customWidth="1"/>
    <col min="10764" max="10764" width="18.1796875" style="1113" customWidth="1"/>
    <col min="10765" max="10765" width="17" style="1113" customWidth="1"/>
    <col min="10766" max="10766" width="16.81640625" style="1113" customWidth="1"/>
    <col min="10767" max="10767" width="17.1796875" style="1113" customWidth="1"/>
    <col min="10768" max="10768" width="17" style="1113" customWidth="1"/>
    <col min="10769" max="10769" width="16.54296875" style="1113" customWidth="1"/>
    <col min="10770" max="10770" width="16.81640625" style="1113" customWidth="1"/>
    <col min="10771" max="10771" width="16.7265625" style="1113" customWidth="1"/>
    <col min="10772" max="10772" width="15.1796875" style="1113" customWidth="1"/>
    <col min="10773" max="11008" width="9.1796875" style="1113"/>
    <col min="11009" max="11009" width="12.26953125" style="1113" bestFit="1" customWidth="1"/>
    <col min="11010" max="11010" width="15.7265625" style="1113" customWidth="1"/>
    <col min="11011" max="11011" width="18.1796875" style="1113" customWidth="1"/>
    <col min="11012" max="11012" width="15.7265625" style="1113" customWidth="1"/>
    <col min="11013" max="11014" width="18.1796875" style="1113" customWidth="1"/>
    <col min="11015" max="11015" width="15.7265625" style="1113" customWidth="1"/>
    <col min="11016" max="11018" width="18.1796875" style="1113" customWidth="1"/>
    <col min="11019" max="11019" width="15.7265625" style="1113" customWidth="1"/>
    <col min="11020" max="11020" width="18.1796875" style="1113" customWidth="1"/>
    <col min="11021" max="11021" width="17" style="1113" customWidth="1"/>
    <col min="11022" max="11022" width="16.81640625" style="1113" customWidth="1"/>
    <col min="11023" max="11023" width="17.1796875" style="1113" customWidth="1"/>
    <col min="11024" max="11024" width="17" style="1113" customWidth="1"/>
    <col min="11025" max="11025" width="16.54296875" style="1113" customWidth="1"/>
    <col min="11026" max="11026" width="16.81640625" style="1113" customWidth="1"/>
    <col min="11027" max="11027" width="16.7265625" style="1113" customWidth="1"/>
    <col min="11028" max="11028" width="15.1796875" style="1113" customWidth="1"/>
    <col min="11029" max="11264" width="9.1796875" style="1113"/>
    <col min="11265" max="11265" width="12.26953125" style="1113" bestFit="1" customWidth="1"/>
    <col min="11266" max="11266" width="15.7265625" style="1113" customWidth="1"/>
    <col min="11267" max="11267" width="18.1796875" style="1113" customWidth="1"/>
    <col min="11268" max="11268" width="15.7265625" style="1113" customWidth="1"/>
    <col min="11269" max="11270" width="18.1796875" style="1113" customWidth="1"/>
    <col min="11271" max="11271" width="15.7265625" style="1113" customWidth="1"/>
    <col min="11272" max="11274" width="18.1796875" style="1113" customWidth="1"/>
    <col min="11275" max="11275" width="15.7265625" style="1113" customWidth="1"/>
    <col min="11276" max="11276" width="18.1796875" style="1113" customWidth="1"/>
    <col min="11277" max="11277" width="17" style="1113" customWidth="1"/>
    <col min="11278" max="11278" width="16.81640625" style="1113" customWidth="1"/>
    <col min="11279" max="11279" width="17.1796875" style="1113" customWidth="1"/>
    <col min="11280" max="11280" width="17" style="1113" customWidth="1"/>
    <col min="11281" max="11281" width="16.54296875" style="1113" customWidth="1"/>
    <col min="11282" max="11282" width="16.81640625" style="1113" customWidth="1"/>
    <col min="11283" max="11283" width="16.7265625" style="1113" customWidth="1"/>
    <col min="11284" max="11284" width="15.1796875" style="1113" customWidth="1"/>
    <col min="11285" max="11520" width="9.1796875" style="1113"/>
    <col min="11521" max="11521" width="12.26953125" style="1113" bestFit="1" customWidth="1"/>
    <col min="11522" max="11522" width="15.7265625" style="1113" customWidth="1"/>
    <col min="11523" max="11523" width="18.1796875" style="1113" customWidth="1"/>
    <col min="11524" max="11524" width="15.7265625" style="1113" customWidth="1"/>
    <col min="11525" max="11526" width="18.1796875" style="1113" customWidth="1"/>
    <col min="11527" max="11527" width="15.7265625" style="1113" customWidth="1"/>
    <col min="11528" max="11530" width="18.1796875" style="1113" customWidth="1"/>
    <col min="11531" max="11531" width="15.7265625" style="1113" customWidth="1"/>
    <col min="11532" max="11532" width="18.1796875" style="1113" customWidth="1"/>
    <col min="11533" max="11533" width="17" style="1113" customWidth="1"/>
    <col min="11534" max="11534" width="16.81640625" style="1113" customWidth="1"/>
    <col min="11535" max="11535" width="17.1796875" style="1113" customWidth="1"/>
    <col min="11536" max="11536" width="17" style="1113" customWidth="1"/>
    <col min="11537" max="11537" width="16.54296875" style="1113" customWidth="1"/>
    <col min="11538" max="11538" width="16.81640625" style="1113" customWidth="1"/>
    <col min="11539" max="11539" width="16.7265625" style="1113" customWidth="1"/>
    <col min="11540" max="11540" width="15.1796875" style="1113" customWidth="1"/>
    <col min="11541" max="11776" width="9.1796875" style="1113"/>
    <col min="11777" max="11777" width="12.26953125" style="1113" bestFit="1" customWidth="1"/>
    <col min="11778" max="11778" width="15.7265625" style="1113" customWidth="1"/>
    <col min="11779" max="11779" width="18.1796875" style="1113" customWidth="1"/>
    <col min="11780" max="11780" width="15.7265625" style="1113" customWidth="1"/>
    <col min="11781" max="11782" width="18.1796875" style="1113" customWidth="1"/>
    <col min="11783" max="11783" width="15.7265625" style="1113" customWidth="1"/>
    <col min="11784" max="11786" width="18.1796875" style="1113" customWidth="1"/>
    <col min="11787" max="11787" width="15.7265625" style="1113" customWidth="1"/>
    <col min="11788" max="11788" width="18.1796875" style="1113" customWidth="1"/>
    <col min="11789" max="11789" width="17" style="1113" customWidth="1"/>
    <col min="11790" max="11790" width="16.81640625" style="1113" customWidth="1"/>
    <col min="11791" max="11791" width="17.1796875" style="1113" customWidth="1"/>
    <col min="11792" max="11792" width="17" style="1113" customWidth="1"/>
    <col min="11793" max="11793" width="16.54296875" style="1113" customWidth="1"/>
    <col min="11794" max="11794" width="16.81640625" style="1113" customWidth="1"/>
    <col min="11795" max="11795" width="16.7265625" style="1113" customWidth="1"/>
    <col min="11796" max="11796" width="15.1796875" style="1113" customWidth="1"/>
    <col min="11797" max="12032" width="9.1796875" style="1113"/>
    <col min="12033" max="12033" width="12.26953125" style="1113" bestFit="1" customWidth="1"/>
    <col min="12034" max="12034" width="15.7265625" style="1113" customWidth="1"/>
    <col min="12035" max="12035" width="18.1796875" style="1113" customWidth="1"/>
    <col min="12036" max="12036" width="15.7265625" style="1113" customWidth="1"/>
    <col min="12037" max="12038" width="18.1796875" style="1113" customWidth="1"/>
    <col min="12039" max="12039" width="15.7265625" style="1113" customWidth="1"/>
    <col min="12040" max="12042" width="18.1796875" style="1113" customWidth="1"/>
    <col min="12043" max="12043" width="15.7265625" style="1113" customWidth="1"/>
    <col min="12044" max="12044" width="18.1796875" style="1113" customWidth="1"/>
    <col min="12045" max="12045" width="17" style="1113" customWidth="1"/>
    <col min="12046" max="12046" width="16.81640625" style="1113" customWidth="1"/>
    <col min="12047" max="12047" width="17.1796875" style="1113" customWidth="1"/>
    <col min="12048" max="12048" width="17" style="1113" customWidth="1"/>
    <col min="12049" max="12049" width="16.54296875" style="1113" customWidth="1"/>
    <col min="12050" max="12050" width="16.81640625" style="1113" customWidth="1"/>
    <col min="12051" max="12051" width="16.7265625" style="1113" customWidth="1"/>
    <col min="12052" max="12052" width="15.1796875" style="1113" customWidth="1"/>
    <col min="12053" max="12288" width="9.1796875" style="1113"/>
    <col min="12289" max="12289" width="12.26953125" style="1113" bestFit="1" customWidth="1"/>
    <col min="12290" max="12290" width="15.7265625" style="1113" customWidth="1"/>
    <col min="12291" max="12291" width="18.1796875" style="1113" customWidth="1"/>
    <col min="12292" max="12292" width="15.7265625" style="1113" customWidth="1"/>
    <col min="12293" max="12294" width="18.1796875" style="1113" customWidth="1"/>
    <col min="12295" max="12295" width="15.7265625" style="1113" customWidth="1"/>
    <col min="12296" max="12298" width="18.1796875" style="1113" customWidth="1"/>
    <col min="12299" max="12299" width="15.7265625" style="1113" customWidth="1"/>
    <col min="12300" max="12300" width="18.1796875" style="1113" customWidth="1"/>
    <col min="12301" max="12301" width="17" style="1113" customWidth="1"/>
    <col min="12302" max="12302" width="16.81640625" style="1113" customWidth="1"/>
    <col min="12303" max="12303" width="17.1796875" style="1113" customWidth="1"/>
    <col min="12304" max="12304" width="17" style="1113" customWidth="1"/>
    <col min="12305" max="12305" width="16.54296875" style="1113" customWidth="1"/>
    <col min="12306" max="12306" width="16.81640625" style="1113" customWidth="1"/>
    <col min="12307" max="12307" width="16.7265625" style="1113" customWidth="1"/>
    <col min="12308" max="12308" width="15.1796875" style="1113" customWidth="1"/>
    <col min="12309" max="12544" width="9.1796875" style="1113"/>
    <col min="12545" max="12545" width="12.26953125" style="1113" bestFit="1" customWidth="1"/>
    <col min="12546" max="12546" width="15.7265625" style="1113" customWidth="1"/>
    <col min="12547" max="12547" width="18.1796875" style="1113" customWidth="1"/>
    <col min="12548" max="12548" width="15.7265625" style="1113" customWidth="1"/>
    <col min="12549" max="12550" width="18.1796875" style="1113" customWidth="1"/>
    <col min="12551" max="12551" width="15.7265625" style="1113" customWidth="1"/>
    <col min="12552" max="12554" width="18.1796875" style="1113" customWidth="1"/>
    <col min="12555" max="12555" width="15.7265625" style="1113" customWidth="1"/>
    <col min="12556" max="12556" width="18.1796875" style="1113" customWidth="1"/>
    <col min="12557" max="12557" width="17" style="1113" customWidth="1"/>
    <col min="12558" max="12558" width="16.81640625" style="1113" customWidth="1"/>
    <col min="12559" max="12559" width="17.1796875" style="1113" customWidth="1"/>
    <col min="12560" max="12560" width="17" style="1113" customWidth="1"/>
    <col min="12561" max="12561" width="16.54296875" style="1113" customWidth="1"/>
    <col min="12562" max="12562" width="16.81640625" style="1113" customWidth="1"/>
    <col min="12563" max="12563" width="16.7265625" style="1113" customWidth="1"/>
    <col min="12564" max="12564" width="15.1796875" style="1113" customWidth="1"/>
    <col min="12565" max="12800" width="9.1796875" style="1113"/>
    <col min="12801" max="12801" width="12.26953125" style="1113" bestFit="1" customWidth="1"/>
    <col min="12802" max="12802" width="15.7265625" style="1113" customWidth="1"/>
    <col min="12803" max="12803" width="18.1796875" style="1113" customWidth="1"/>
    <col min="12804" max="12804" width="15.7265625" style="1113" customWidth="1"/>
    <col min="12805" max="12806" width="18.1796875" style="1113" customWidth="1"/>
    <col min="12807" max="12807" width="15.7265625" style="1113" customWidth="1"/>
    <col min="12808" max="12810" width="18.1796875" style="1113" customWidth="1"/>
    <col min="12811" max="12811" width="15.7265625" style="1113" customWidth="1"/>
    <col min="12812" max="12812" width="18.1796875" style="1113" customWidth="1"/>
    <col min="12813" max="12813" width="17" style="1113" customWidth="1"/>
    <col min="12814" max="12814" width="16.81640625" style="1113" customWidth="1"/>
    <col min="12815" max="12815" width="17.1796875" style="1113" customWidth="1"/>
    <col min="12816" max="12816" width="17" style="1113" customWidth="1"/>
    <col min="12817" max="12817" width="16.54296875" style="1113" customWidth="1"/>
    <col min="12818" max="12818" width="16.81640625" style="1113" customWidth="1"/>
    <col min="12819" max="12819" width="16.7265625" style="1113" customWidth="1"/>
    <col min="12820" max="12820" width="15.1796875" style="1113" customWidth="1"/>
    <col min="12821" max="13056" width="9.1796875" style="1113"/>
    <col min="13057" max="13057" width="12.26953125" style="1113" bestFit="1" customWidth="1"/>
    <col min="13058" max="13058" width="15.7265625" style="1113" customWidth="1"/>
    <col min="13059" max="13059" width="18.1796875" style="1113" customWidth="1"/>
    <col min="13060" max="13060" width="15.7265625" style="1113" customWidth="1"/>
    <col min="13061" max="13062" width="18.1796875" style="1113" customWidth="1"/>
    <col min="13063" max="13063" width="15.7265625" style="1113" customWidth="1"/>
    <col min="13064" max="13066" width="18.1796875" style="1113" customWidth="1"/>
    <col min="13067" max="13067" width="15.7265625" style="1113" customWidth="1"/>
    <col min="13068" max="13068" width="18.1796875" style="1113" customWidth="1"/>
    <col min="13069" max="13069" width="17" style="1113" customWidth="1"/>
    <col min="13070" max="13070" width="16.81640625" style="1113" customWidth="1"/>
    <col min="13071" max="13071" width="17.1796875" style="1113" customWidth="1"/>
    <col min="13072" max="13072" width="17" style="1113" customWidth="1"/>
    <col min="13073" max="13073" width="16.54296875" style="1113" customWidth="1"/>
    <col min="13074" max="13074" width="16.81640625" style="1113" customWidth="1"/>
    <col min="13075" max="13075" width="16.7265625" style="1113" customWidth="1"/>
    <col min="13076" max="13076" width="15.1796875" style="1113" customWidth="1"/>
    <col min="13077" max="13312" width="9.1796875" style="1113"/>
    <col min="13313" max="13313" width="12.26953125" style="1113" bestFit="1" customWidth="1"/>
    <col min="13314" max="13314" width="15.7265625" style="1113" customWidth="1"/>
    <col min="13315" max="13315" width="18.1796875" style="1113" customWidth="1"/>
    <col min="13316" max="13316" width="15.7265625" style="1113" customWidth="1"/>
    <col min="13317" max="13318" width="18.1796875" style="1113" customWidth="1"/>
    <col min="13319" max="13319" width="15.7265625" style="1113" customWidth="1"/>
    <col min="13320" max="13322" width="18.1796875" style="1113" customWidth="1"/>
    <col min="13323" max="13323" width="15.7265625" style="1113" customWidth="1"/>
    <col min="13324" max="13324" width="18.1796875" style="1113" customWidth="1"/>
    <col min="13325" max="13325" width="17" style="1113" customWidth="1"/>
    <col min="13326" max="13326" width="16.81640625" style="1113" customWidth="1"/>
    <col min="13327" max="13327" width="17.1796875" style="1113" customWidth="1"/>
    <col min="13328" max="13328" width="17" style="1113" customWidth="1"/>
    <col min="13329" max="13329" width="16.54296875" style="1113" customWidth="1"/>
    <col min="13330" max="13330" width="16.81640625" style="1113" customWidth="1"/>
    <col min="13331" max="13331" width="16.7265625" style="1113" customWidth="1"/>
    <col min="13332" max="13332" width="15.1796875" style="1113" customWidth="1"/>
    <col min="13333" max="13568" width="9.1796875" style="1113"/>
    <col min="13569" max="13569" width="12.26953125" style="1113" bestFit="1" customWidth="1"/>
    <col min="13570" max="13570" width="15.7265625" style="1113" customWidth="1"/>
    <col min="13571" max="13571" width="18.1796875" style="1113" customWidth="1"/>
    <col min="13572" max="13572" width="15.7265625" style="1113" customWidth="1"/>
    <col min="13573" max="13574" width="18.1796875" style="1113" customWidth="1"/>
    <col min="13575" max="13575" width="15.7265625" style="1113" customWidth="1"/>
    <col min="13576" max="13578" width="18.1796875" style="1113" customWidth="1"/>
    <col min="13579" max="13579" width="15.7265625" style="1113" customWidth="1"/>
    <col min="13580" max="13580" width="18.1796875" style="1113" customWidth="1"/>
    <col min="13581" max="13581" width="17" style="1113" customWidth="1"/>
    <col min="13582" max="13582" width="16.81640625" style="1113" customWidth="1"/>
    <col min="13583" max="13583" width="17.1796875" style="1113" customWidth="1"/>
    <col min="13584" max="13584" width="17" style="1113" customWidth="1"/>
    <col min="13585" max="13585" width="16.54296875" style="1113" customWidth="1"/>
    <col min="13586" max="13586" width="16.81640625" style="1113" customWidth="1"/>
    <col min="13587" max="13587" width="16.7265625" style="1113" customWidth="1"/>
    <col min="13588" max="13588" width="15.1796875" style="1113" customWidth="1"/>
    <col min="13589" max="13824" width="9.1796875" style="1113"/>
    <col min="13825" max="13825" width="12.26953125" style="1113" bestFit="1" customWidth="1"/>
    <col min="13826" max="13826" width="15.7265625" style="1113" customWidth="1"/>
    <col min="13827" max="13827" width="18.1796875" style="1113" customWidth="1"/>
    <col min="13828" max="13828" width="15.7265625" style="1113" customWidth="1"/>
    <col min="13829" max="13830" width="18.1796875" style="1113" customWidth="1"/>
    <col min="13831" max="13831" width="15.7265625" style="1113" customWidth="1"/>
    <col min="13832" max="13834" width="18.1796875" style="1113" customWidth="1"/>
    <col min="13835" max="13835" width="15.7265625" style="1113" customWidth="1"/>
    <col min="13836" max="13836" width="18.1796875" style="1113" customWidth="1"/>
    <col min="13837" max="13837" width="17" style="1113" customWidth="1"/>
    <col min="13838" max="13838" width="16.81640625" style="1113" customWidth="1"/>
    <col min="13839" max="13839" width="17.1796875" style="1113" customWidth="1"/>
    <col min="13840" max="13840" width="17" style="1113" customWidth="1"/>
    <col min="13841" max="13841" width="16.54296875" style="1113" customWidth="1"/>
    <col min="13842" max="13842" width="16.81640625" style="1113" customWidth="1"/>
    <col min="13843" max="13843" width="16.7265625" style="1113" customWidth="1"/>
    <col min="13844" max="13844" width="15.1796875" style="1113" customWidth="1"/>
    <col min="13845" max="14080" width="9.1796875" style="1113"/>
    <col min="14081" max="14081" width="12.26953125" style="1113" bestFit="1" customWidth="1"/>
    <col min="14082" max="14082" width="15.7265625" style="1113" customWidth="1"/>
    <col min="14083" max="14083" width="18.1796875" style="1113" customWidth="1"/>
    <col min="14084" max="14084" width="15.7265625" style="1113" customWidth="1"/>
    <col min="14085" max="14086" width="18.1796875" style="1113" customWidth="1"/>
    <col min="14087" max="14087" width="15.7265625" style="1113" customWidth="1"/>
    <col min="14088" max="14090" width="18.1796875" style="1113" customWidth="1"/>
    <col min="14091" max="14091" width="15.7265625" style="1113" customWidth="1"/>
    <col min="14092" max="14092" width="18.1796875" style="1113" customWidth="1"/>
    <col min="14093" max="14093" width="17" style="1113" customWidth="1"/>
    <col min="14094" max="14094" width="16.81640625" style="1113" customWidth="1"/>
    <col min="14095" max="14095" width="17.1796875" style="1113" customWidth="1"/>
    <col min="14096" max="14096" width="17" style="1113" customWidth="1"/>
    <col min="14097" max="14097" width="16.54296875" style="1113" customWidth="1"/>
    <col min="14098" max="14098" width="16.81640625" style="1113" customWidth="1"/>
    <col min="14099" max="14099" width="16.7265625" style="1113" customWidth="1"/>
    <col min="14100" max="14100" width="15.1796875" style="1113" customWidth="1"/>
    <col min="14101" max="14336" width="9.1796875" style="1113"/>
    <col min="14337" max="14337" width="12.26953125" style="1113" bestFit="1" customWidth="1"/>
    <col min="14338" max="14338" width="15.7265625" style="1113" customWidth="1"/>
    <col min="14339" max="14339" width="18.1796875" style="1113" customWidth="1"/>
    <col min="14340" max="14340" width="15.7265625" style="1113" customWidth="1"/>
    <col min="14341" max="14342" width="18.1796875" style="1113" customWidth="1"/>
    <col min="14343" max="14343" width="15.7265625" style="1113" customWidth="1"/>
    <col min="14344" max="14346" width="18.1796875" style="1113" customWidth="1"/>
    <col min="14347" max="14347" width="15.7265625" style="1113" customWidth="1"/>
    <col min="14348" max="14348" width="18.1796875" style="1113" customWidth="1"/>
    <col min="14349" max="14349" width="17" style="1113" customWidth="1"/>
    <col min="14350" max="14350" width="16.81640625" style="1113" customWidth="1"/>
    <col min="14351" max="14351" width="17.1796875" style="1113" customWidth="1"/>
    <col min="14352" max="14352" width="17" style="1113" customWidth="1"/>
    <col min="14353" max="14353" width="16.54296875" style="1113" customWidth="1"/>
    <col min="14354" max="14354" width="16.81640625" style="1113" customWidth="1"/>
    <col min="14355" max="14355" width="16.7265625" style="1113" customWidth="1"/>
    <col min="14356" max="14356" width="15.1796875" style="1113" customWidth="1"/>
    <col min="14357" max="14592" width="9.1796875" style="1113"/>
    <col min="14593" max="14593" width="12.26953125" style="1113" bestFit="1" customWidth="1"/>
    <col min="14594" max="14594" width="15.7265625" style="1113" customWidth="1"/>
    <col min="14595" max="14595" width="18.1796875" style="1113" customWidth="1"/>
    <col min="14596" max="14596" width="15.7265625" style="1113" customWidth="1"/>
    <col min="14597" max="14598" width="18.1796875" style="1113" customWidth="1"/>
    <col min="14599" max="14599" width="15.7265625" style="1113" customWidth="1"/>
    <col min="14600" max="14602" width="18.1796875" style="1113" customWidth="1"/>
    <col min="14603" max="14603" width="15.7265625" style="1113" customWidth="1"/>
    <col min="14604" max="14604" width="18.1796875" style="1113" customWidth="1"/>
    <col min="14605" max="14605" width="17" style="1113" customWidth="1"/>
    <col min="14606" max="14606" width="16.81640625" style="1113" customWidth="1"/>
    <col min="14607" max="14607" width="17.1796875" style="1113" customWidth="1"/>
    <col min="14608" max="14608" width="17" style="1113" customWidth="1"/>
    <col min="14609" max="14609" width="16.54296875" style="1113" customWidth="1"/>
    <col min="14610" max="14610" width="16.81640625" style="1113" customWidth="1"/>
    <col min="14611" max="14611" width="16.7265625" style="1113" customWidth="1"/>
    <col min="14612" max="14612" width="15.1796875" style="1113" customWidth="1"/>
    <col min="14613" max="14848" width="9.1796875" style="1113"/>
    <col min="14849" max="14849" width="12.26953125" style="1113" bestFit="1" customWidth="1"/>
    <col min="14850" max="14850" width="15.7265625" style="1113" customWidth="1"/>
    <col min="14851" max="14851" width="18.1796875" style="1113" customWidth="1"/>
    <col min="14852" max="14852" width="15.7265625" style="1113" customWidth="1"/>
    <col min="14853" max="14854" width="18.1796875" style="1113" customWidth="1"/>
    <col min="14855" max="14855" width="15.7265625" style="1113" customWidth="1"/>
    <col min="14856" max="14858" width="18.1796875" style="1113" customWidth="1"/>
    <col min="14859" max="14859" width="15.7265625" style="1113" customWidth="1"/>
    <col min="14860" max="14860" width="18.1796875" style="1113" customWidth="1"/>
    <col min="14861" max="14861" width="17" style="1113" customWidth="1"/>
    <col min="14862" max="14862" width="16.81640625" style="1113" customWidth="1"/>
    <col min="14863" max="14863" width="17.1796875" style="1113" customWidth="1"/>
    <col min="14864" max="14864" width="17" style="1113" customWidth="1"/>
    <col min="14865" max="14865" width="16.54296875" style="1113" customWidth="1"/>
    <col min="14866" max="14866" width="16.81640625" style="1113" customWidth="1"/>
    <col min="14867" max="14867" width="16.7265625" style="1113" customWidth="1"/>
    <col min="14868" max="14868" width="15.1796875" style="1113" customWidth="1"/>
    <col min="14869" max="15104" width="9.1796875" style="1113"/>
    <col min="15105" max="15105" width="12.26953125" style="1113" bestFit="1" customWidth="1"/>
    <col min="15106" max="15106" width="15.7265625" style="1113" customWidth="1"/>
    <col min="15107" max="15107" width="18.1796875" style="1113" customWidth="1"/>
    <col min="15108" max="15108" width="15.7265625" style="1113" customWidth="1"/>
    <col min="15109" max="15110" width="18.1796875" style="1113" customWidth="1"/>
    <col min="15111" max="15111" width="15.7265625" style="1113" customWidth="1"/>
    <col min="15112" max="15114" width="18.1796875" style="1113" customWidth="1"/>
    <col min="15115" max="15115" width="15.7265625" style="1113" customWidth="1"/>
    <col min="15116" max="15116" width="18.1796875" style="1113" customWidth="1"/>
    <col min="15117" max="15117" width="17" style="1113" customWidth="1"/>
    <col min="15118" max="15118" width="16.81640625" style="1113" customWidth="1"/>
    <col min="15119" max="15119" width="17.1796875" style="1113" customWidth="1"/>
    <col min="15120" max="15120" width="17" style="1113" customWidth="1"/>
    <col min="15121" max="15121" width="16.54296875" style="1113" customWidth="1"/>
    <col min="15122" max="15122" width="16.81640625" style="1113" customWidth="1"/>
    <col min="15123" max="15123" width="16.7265625" style="1113" customWidth="1"/>
    <col min="15124" max="15124" width="15.1796875" style="1113" customWidth="1"/>
    <col min="15125" max="15360" width="9.1796875" style="1113"/>
    <col min="15361" max="15361" width="12.26953125" style="1113" bestFit="1" customWidth="1"/>
    <col min="15362" max="15362" width="15.7265625" style="1113" customWidth="1"/>
    <col min="15363" max="15363" width="18.1796875" style="1113" customWidth="1"/>
    <col min="15364" max="15364" width="15.7265625" style="1113" customWidth="1"/>
    <col min="15365" max="15366" width="18.1796875" style="1113" customWidth="1"/>
    <col min="15367" max="15367" width="15.7265625" style="1113" customWidth="1"/>
    <col min="15368" max="15370" width="18.1796875" style="1113" customWidth="1"/>
    <col min="15371" max="15371" width="15.7265625" style="1113" customWidth="1"/>
    <col min="15372" max="15372" width="18.1796875" style="1113" customWidth="1"/>
    <col min="15373" max="15373" width="17" style="1113" customWidth="1"/>
    <col min="15374" max="15374" width="16.81640625" style="1113" customWidth="1"/>
    <col min="15375" max="15375" width="17.1796875" style="1113" customWidth="1"/>
    <col min="15376" max="15376" width="17" style="1113" customWidth="1"/>
    <col min="15377" max="15377" width="16.54296875" style="1113" customWidth="1"/>
    <col min="15378" max="15378" width="16.81640625" style="1113" customWidth="1"/>
    <col min="15379" max="15379" width="16.7265625" style="1113" customWidth="1"/>
    <col min="15380" max="15380" width="15.1796875" style="1113" customWidth="1"/>
    <col min="15381" max="15616" width="9.1796875" style="1113"/>
    <col min="15617" max="15617" width="12.26953125" style="1113" bestFit="1" customWidth="1"/>
    <col min="15618" max="15618" width="15.7265625" style="1113" customWidth="1"/>
    <col min="15619" max="15619" width="18.1796875" style="1113" customWidth="1"/>
    <col min="15620" max="15620" width="15.7265625" style="1113" customWidth="1"/>
    <col min="15621" max="15622" width="18.1796875" style="1113" customWidth="1"/>
    <col min="15623" max="15623" width="15.7265625" style="1113" customWidth="1"/>
    <col min="15624" max="15626" width="18.1796875" style="1113" customWidth="1"/>
    <col min="15627" max="15627" width="15.7265625" style="1113" customWidth="1"/>
    <col min="15628" max="15628" width="18.1796875" style="1113" customWidth="1"/>
    <col min="15629" max="15629" width="17" style="1113" customWidth="1"/>
    <col min="15630" max="15630" width="16.81640625" style="1113" customWidth="1"/>
    <col min="15631" max="15631" width="17.1796875" style="1113" customWidth="1"/>
    <col min="15632" max="15632" width="17" style="1113" customWidth="1"/>
    <col min="15633" max="15633" width="16.54296875" style="1113" customWidth="1"/>
    <col min="15634" max="15634" width="16.81640625" style="1113" customWidth="1"/>
    <col min="15635" max="15635" width="16.7265625" style="1113" customWidth="1"/>
    <col min="15636" max="15636" width="15.1796875" style="1113" customWidth="1"/>
    <col min="15637" max="15872" width="9.1796875" style="1113"/>
    <col min="15873" max="15873" width="12.26953125" style="1113" bestFit="1" customWidth="1"/>
    <col min="15874" max="15874" width="15.7265625" style="1113" customWidth="1"/>
    <col min="15875" max="15875" width="18.1796875" style="1113" customWidth="1"/>
    <col min="15876" max="15876" width="15.7265625" style="1113" customWidth="1"/>
    <col min="15877" max="15878" width="18.1796875" style="1113" customWidth="1"/>
    <col min="15879" max="15879" width="15.7265625" style="1113" customWidth="1"/>
    <col min="15880" max="15882" width="18.1796875" style="1113" customWidth="1"/>
    <col min="15883" max="15883" width="15.7265625" style="1113" customWidth="1"/>
    <col min="15884" max="15884" width="18.1796875" style="1113" customWidth="1"/>
    <col min="15885" max="15885" width="17" style="1113" customWidth="1"/>
    <col min="15886" max="15886" width="16.81640625" style="1113" customWidth="1"/>
    <col min="15887" max="15887" width="17.1796875" style="1113" customWidth="1"/>
    <col min="15888" max="15888" width="17" style="1113" customWidth="1"/>
    <col min="15889" max="15889" width="16.54296875" style="1113" customWidth="1"/>
    <col min="15890" max="15890" width="16.81640625" style="1113" customWidth="1"/>
    <col min="15891" max="15891" width="16.7265625" style="1113" customWidth="1"/>
    <col min="15892" max="15892" width="15.1796875" style="1113" customWidth="1"/>
    <col min="15893" max="16128" width="9.1796875" style="1113"/>
    <col min="16129" max="16129" width="12.26953125" style="1113" bestFit="1" customWidth="1"/>
    <col min="16130" max="16130" width="15.7265625" style="1113" customWidth="1"/>
    <col min="16131" max="16131" width="18.1796875" style="1113" customWidth="1"/>
    <col min="16132" max="16132" width="15.7265625" style="1113" customWidth="1"/>
    <col min="16133" max="16134" width="18.1796875" style="1113" customWidth="1"/>
    <col min="16135" max="16135" width="15.7265625" style="1113" customWidth="1"/>
    <col min="16136" max="16138" width="18.1796875" style="1113" customWidth="1"/>
    <col min="16139" max="16139" width="15.7265625" style="1113" customWidth="1"/>
    <col min="16140" max="16140" width="18.1796875" style="1113" customWidth="1"/>
    <col min="16141" max="16141" width="17" style="1113" customWidth="1"/>
    <col min="16142" max="16142" width="16.81640625" style="1113" customWidth="1"/>
    <col min="16143" max="16143" width="17.1796875" style="1113" customWidth="1"/>
    <col min="16144" max="16144" width="17" style="1113" customWidth="1"/>
    <col min="16145" max="16145" width="16.54296875" style="1113" customWidth="1"/>
    <col min="16146" max="16146" width="16.81640625" style="1113" customWidth="1"/>
    <col min="16147" max="16147" width="16.7265625" style="1113" customWidth="1"/>
    <col min="16148" max="16148" width="15.1796875" style="1113" customWidth="1"/>
    <col min="16149" max="16384" width="9.1796875" style="1113"/>
  </cols>
  <sheetData>
    <row r="1" spans="1:11" ht="18">
      <c r="A1" s="2592" t="s">
        <v>1271</v>
      </c>
      <c r="B1" s="2592"/>
      <c r="C1" s="2592"/>
      <c r="D1" s="2592"/>
      <c r="E1" s="2592"/>
      <c r="F1" s="2592"/>
      <c r="G1" s="2592"/>
      <c r="H1" s="2592"/>
      <c r="I1" s="2592"/>
      <c r="J1" s="2592"/>
    </row>
    <row r="2" spans="1:11" ht="15" thickBot="1"/>
    <row r="3" spans="1:11" ht="44" thickBot="1">
      <c r="A3" s="1218" t="s">
        <v>1272</v>
      </c>
      <c r="B3" s="1218" t="s">
        <v>1273</v>
      </c>
      <c r="C3" s="1218" t="s">
        <v>1273</v>
      </c>
      <c r="D3" s="1218" t="s">
        <v>1273</v>
      </c>
      <c r="E3" s="1218" t="s">
        <v>1274</v>
      </c>
      <c r="F3" s="1218"/>
      <c r="G3" s="1218" t="s">
        <v>1275</v>
      </c>
      <c r="H3" s="1219" t="s">
        <v>1276</v>
      </c>
      <c r="I3" s="1219"/>
      <c r="J3" s="1218"/>
    </row>
    <row r="4" spans="1:11" ht="30" customHeight="1" thickBot="1">
      <c r="A4" s="1204" t="s">
        <v>1277</v>
      </c>
      <c r="B4" s="1220">
        <v>37228</v>
      </c>
      <c r="C4" s="1220">
        <v>37667</v>
      </c>
      <c r="D4" s="1221">
        <v>38174</v>
      </c>
      <c r="E4" s="1221">
        <v>39396</v>
      </c>
      <c r="F4" s="1204"/>
      <c r="G4" s="1222"/>
      <c r="H4" s="1223">
        <v>41384</v>
      </c>
      <c r="I4" s="1222"/>
      <c r="J4" s="1005"/>
    </row>
    <row r="5" spans="1:11" ht="33" customHeight="1" thickBot="1">
      <c r="A5" s="1204" t="s">
        <v>1278</v>
      </c>
      <c r="B5" s="1220">
        <v>37256</v>
      </c>
      <c r="C5" s="1220">
        <v>37663</v>
      </c>
      <c r="D5" s="1224">
        <v>38106</v>
      </c>
      <c r="E5" s="1221">
        <v>39227</v>
      </c>
      <c r="F5" s="1225"/>
      <c r="G5" s="1226">
        <v>40835</v>
      </c>
      <c r="H5" s="1223">
        <v>41443</v>
      </c>
      <c r="I5" s="1222"/>
      <c r="J5" s="1005"/>
    </row>
    <row r="6" spans="1:11" ht="37.5" customHeight="1" thickBot="1">
      <c r="A6" s="1204" t="s">
        <v>1279</v>
      </c>
      <c r="B6" s="1220">
        <v>36921</v>
      </c>
      <c r="C6" s="1220">
        <v>37678</v>
      </c>
      <c r="D6" s="1224">
        <v>38113</v>
      </c>
      <c r="E6" s="1221">
        <v>39227</v>
      </c>
      <c r="F6" s="1225"/>
      <c r="G6" s="1226">
        <v>40839</v>
      </c>
      <c r="H6" s="1223">
        <v>41385</v>
      </c>
      <c r="I6" s="1222"/>
      <c r="J6" s="1005"/>
    </row>
    <row r="7" spans="1:11" ht="30" customHeight="1" thickBot="1">
      <c r="A7" s="1227" t="s">
        <v>1280</v>
      </c>
      <c r="B7" s="1224">
        <v>37504</v>
      </c>
      <c r="C7" s="1221">
        <v>38047</v>
      </c>
      <c r="D7" s="1224"/>
      <c r="E7" s="1221">
        <v>39396</v>
      </c>
      <c r="F7" s="1227"/>
      <c r="G7" s="1228"/>
      <c r="H7" s="1229">
        <v>41221</v>
      </c>
      <c r="I7" s="1229"/>
      <c r="J7" s="1005"/>
      <c r="K7" s="1230" t="s">
        <v>29</v>
      </c>
    </row>
    <row r="8" spans="1:11" ht="30" customHeight="1" thickBot="1">
      <c r="A8" s="1204" t="s">
        <v>1281</v>
      </c>
      <c r="B8" s="1224">
        <v>37575</v>
      </c>
      <c r="C8" s="1224">
        <v>37973</v>
      </c>
      <c r="D8" s="1224">
        <v>38408</v>
      </c>
      <c r="E8" s="1221">
        <v>39015</v>
      </c>
      <c r="F8" s="1221">
        <v>39532</v>
      </c>
      <c r="G8" s="1229"/>
      <c r="H8" s="1229">
        <v>40819</v>
      </c>
      <c r="I8" s="1229"/>
      <c r="J8" s="1005"/>
      <c r="K8" s="1231"/>
    </row>
    <row r="9" spans="1:11" ht="38.25" customHeight="1" thickBot="1">
      <c r="A9" s="1204" t="s">
        <v>1282</v>
      </c>
      <c r="B9" s="1224">
        <v>37572</v>
      </c>
      <c r="C9" s="1224">
        <v>37873</v>
      </c>
      <c r="D9" s="1224">
        <v>37973</v>
      </c>
      <c r="E9" s="1221">
        <v>38379</v>
      </c>
      <c r="F9" s="1221">
        <v>39533</v>
      </c>
      <c r="G9" s="1226">
        <v>40891</v>
      </c>
      <c r="H9" s="1229">
        <v>41173</v>
      </c>
      <c r="I9" s="1229"/>
      <c r="J9" s="1005"/>
      <c r="K9" s="1231"/>
    </row>
    <row r="11" spans="1:11">
      <c r="A11" s="1232" t="s">
        <v>1283</v>
      </c>
      <c r="B11" s="435"/>
      <c r="C11" s="435"/>
      <c r="D11" s="435"/>
      <c r="E11" s="435"/>
      <c r="F11" s="423"/>
      <c r="G11" s="423"/>
      <c r="J11" s="423" t="s">
        <v>1284</v>
      </c>
    </row>
    <row r="12" spans="1:11">
      <c r="A12" s="1233"/>
      <c r="B12" s="1234"/>
      <c r="C12" s="1235"/>
      <c r="D12" s="112"/>
      <c r="E12" s="112"/>
      <c r="F12" s="112"/>
      <c r="G12" s="112"/>
    </row>
    <row r="13" spans="1:11">
      <c r="A13" s="1232" t="s">
        <v>1285</v>
      </c>
      <c r="B13" s="1235"/>
      <c r="C13" s="1235"/>
      <c r="D13" s="112"/>
      <c r="E13" s="112"/>
      <c r="F13" s="423"/>
      <c r="G13" s="423"/>
      <c r="J13" s="423" t="s">
        <v>1286</v>
      </c>
    </row>
    <row r="15" spans="1:11">
      <c r="A15" s="22" t="s">
        <v>1287</v>
      </c>
      <c r="D15" s="1236"/>
    </row>
    <row r="18" spans="2:20" ht="15" thickBot="1"/>
    <row r="19" spans="2:20" ht="77" thickBot="1">
      <c r="B19" s="1237" t="s">
        <v>1272</v>
      </c>
      <c r="C19" s="1238" t="s">
        <v>1259</v>
      </c>
      <c r="D19" s="1239" t="s">
        <v>1260</v>
      </c>
      <c r="E19" s="1238" t="s">
        <v>1261</v>
      </c>
      <c r="F19" s="1240" t="s">
        <v>1259</v>
      </c>
      <c r="G19" s="1241" t="s">
        <v>1260</v>
      </c>
      <c r="H19" s="1240" t="s">
        <v>1261</v>
      </c>
      <c r="I19" s="1242" t="s">
        <v>1288</v>
      </c>
      <c r="J19" s="1205" t="s">
        <v>1270</v>
      </c>
      <c r="K19" s="1206" t="s">
        <v>1260</v>
      </c>
      <c r="L19" s="1205" t="s">
        <v>1261</v>
      </c>
      <c r="M19" s="1207" t="s">
        <v>1270</v>
      </c>
      <c r="N19" s="1208" t="s">
        <v>1260</v>
      </c>
      <c r="O19" s="1207" t="s">
        <v>1261</v>
      </c>
      <c r="P19" s="1209" t="s">
        <v>1270</v>
      </c>
      <c r="Q19" s="1210" t="s">
        <v>1260</v>
      </c>
      <c r="R19" s="1209" t="s">
        <v>1261</v>
      </c>
      <c r="S19" s="1211" t="s">
        <v>1262</v>
      </c>
      <c r="T19" s="1211" t="s">
        <v>1263</v>
      </c>
    </row>
    <row r="20" spans="2:20" ht="15" thickBot="1">
      <c r="B20" s="2576" t="s">
        <v>1277</v>
      </c>
      <c r="C20" s="2578">
        <v>96</v>
      </c>
      <c r="D20" s="2580">
        <v>38173</v>
      </c>
      <c r="E20" s="2578">
        <v>35</v>
      </c>
      <c r="F20" s="2582">
        <v>80</v>
      </c>
      <c r="G20" s="1243">
        <v>39395</v>
      </c>
      <c r="H20" s="2582">
        <v>30</v>
      </c>
      <c r="I20" s="1244"/>
      <c r="J20" s="1212">
        <v>78</v>
      </c>
      <c r="K20" s="1213">
        <v>41384</v>
      </c>
      <c r="L20" s="1212">
        <v>33</v>
      </c>
      <c r="M20" s="2589">
        <v>70</v>
      </c>
      <c r="N20" s="2551">
        <v>43122</v>
      </c>
      <c r="O20" s="2589">
        <v>30</v>
      </c>
      <c r="P20" s="2590"/>
      <c r="Q20" s="2557"/>
      <c r="R20" s="2590"/>
      <c r="S20" s="2559">
        <v>42</v>
      </c>
      <c r="T20" s="2547" t="s">
        <v>1264</v>
      </c>
    </row>
    <row r="21" spans="2:20" ht="15" thickBot="1">
      <c r="B21" s="2577"/>
      <c r="C21" s="2579"/>
      <c r="D21" s="2581"/>
      <c r="E21" s="2579"/>
      <c r="F21" s="2583"/>
      <c r="G21" s="1245"/>
      <c r="H21" s="2583"/>
      <c r="I21" s="1246"/>
      <c r="J21" s="1214">
        <v>66</v>
      </c>
      <c r="K21" s="1215">
        <v>41593</v>
      </c>
      <c r="L21" s="1214">
        <v>44</v>
      </c>
      <c r="M21" s="2568"/>
      <c r="N21" s="2586"/>
      <c r="O21" s="2568"/>
      <c r="P21" s="2591"/>
      <c r="Q21" s="2587"/>
      <c r="R21" s="2591"/>
      <c r="S21" s="2560"/>
      <c r="T21" s="2548"/>
    </row>
    <row r="22" spans="2:20">
      <c r="B22" s="2576" t="s">
        <v>1278</v>
      </c>
      <c r="C22" s="2578">
        <v>92</v>
      </c>
      <c r="D22" s="2580">
        <v>38105</v>
      </c>
      <c r="E22" s="2578">
        <v>30</v>
      </c>
      <c r="F22" s="2582">
        <v>80</v>
      </c>
      <c r="G22" s="1243">
        <v>39226</v>
      </c>
      <c r="H22" s="2582">
        <v>30</v>
      </c>
      <c r="I22" s="2562">
        <v>40835</v>
      </c>
      <c r="J22" s="2572">
        <v>120</v>
      </c>
      <c r="K22" s="2565">
        <v>41443</v>
      </c>
      <c r="L22" s="2572">
        <v>38</v>
      </c>
      <c r="M22" s="2553">
        <v>120</v>
      </c>
      <c r="N22" s="2551">
        <v>42123</v>
      </c>
      <c r="O22" s="2553">
        <v>45</v>
      </c>
      <c r="P22" s="2555">
        <v>87</v>
      </c>
      <c r="Q22" s="2557">
        <v>43453</v>
      </c>
      <c r="R22" s="2555">
        <v>38</v>
      </c>
      <c r="S22" s="2559">
        <v>48</v>
      </c>
      <c r="T22" s="2547" t="s">
        <v>1265</v>
      </c>
    </row>
    <row r="23" spans="2:20" ht="15" thickBot="1">
      <c r="B23" s="2577"/>
      <c r="C23" s="2579"/>
      <c r="D23" s="2581"/>
      <c r="E23" s="2579"/>
      <c r="F23" s="2583"/>
      <c r="G23" s="1245"/>
      <c r="H23" s="2583"/>
      <c r="I23" s="2568"/>
      <c r="J23" s="2573"/>
      <c r="K23" s="2566"/>
      <c r="L23" s="2573"/>
      <c r="M23" s="2574"/>
      <c r="N23" s="2586"/>
      <c r="O23" s="2574"/>
      <c r="P23" s="2588"/>
      <c r="Q23" s="2587"/>
      <c r="R23" s="2588"/>
      <c r="S23" s="2560"/>
      <c r="T23" s="2548"/>
    </row>
    <row r="24" spans="2:20" ht="15" thickBot="1">
      <c r="B24" s="2576" t="s">
        <v>1279</v>
      </c>
      <c r="C24" s="2578">
        <v>90</v>
      </c>
      <c r="D24" s="2580">
        <v>38112</v>
      </c>
      <c r="E24" s="2578">
        <v>36</v>
      </c>
      <c r="F24" s="2582">
        <v>72</v>
      </c>
      <c r="G24" s="1243">
        <v>39226</v>
      </c>
      <c r="H24" s="2582">
        <v>30</v>
      </c>
      <c r="I24" s="2562">
        <v>40839</v>
      </c>
      <c r="J24" s="1212">
        <v>77</v>
      </c>
      <c r="K24" s="1213">
        <v>41385</v>
      </c>
      <c r="L24" s="1212">
        <v>39</v>
      </c>
      <c r="M24" s="2585">
        <v>90</v>
      </c>
      <c r="N24" s="2551">
        <v>43338</v>
      </c>
      <c r="O24" s="2553">
        <v>38</v>
      </c>
      <c r="P24" s="1216"/>
      <c r="Q24" s="1216"/>
      <c r="R24" s="1216"/>
      <c r="S24" s="2559">
        <v>44</v>
      </c>
      <c r="T24" s="2547" t="s">
        <v>1266</v>
      </c>
    </row>
    <row r="25" spans="2:20" ht="15" thickBot="1">
      <c r="B25" s="2577"/>
      <c r="C25" s="2579"/>
      <c r="D25" s="2581"/>
      <c r="E25" s="2579"/>
      <c r="F25" s="2583"/>
      <c r="G25" s="1245"/>
      <c r="H25" s="2583"/>
      <c r="I25" s="2563"/>
      <c r="J25" s="1214">
        <v>86</v>
      </c>
      <c r="K25" s="1215">
        <v>42037</v>
      </c>
      <c r="L25" s="1214">
        <v>48</v>
      </c>
      <c r="M25" s="2568"/>
      <c r="N25" s="2586"/>
      <c r="O25" s="2574"/>
      <c r="P25" s="1217"/>
      <c r="Q25" s="1217"/>
      <c r="R25" s="1217"/>
      <c r="S25" s="2560"/>
      <c r="T25" s="2548"/>
    </row>
    <row r="26" spans="2:20">
      <c r="B26" s="2576" t="s">
        <v>1280</v>
      </c>
      <c r="C26" s="2578">
        <v>110</v>
      </c>
      <c r="D26" s="2580">
        <v>38047</v>
      </c>
      <c r="E26" s="2578">
        <v>30</v>
      </c>
      <c r="F26" s="2582">
        <v>76</v>
      </c>
      <c r="G26" s="1243">
        <v>39395</v>
      </c>
      <c r="H26" s="2582">
        <v>30</v>
      </c>
      <c r="I26" s="1244"/>
      <c r="J26" s="2572">
        <v>78</v>
      </c>
      <c r="K26" s="2584">
        <v>41221</v>
      </c>
      <c r="L26" s="2572">
        <v>26</v>
      </c>
      <c r="M26" s="2585">
        <v>75</v>
      </c>
      <c r="N26" s="2551">
        <v>43564</v>
      </c>
      <c r="O26" s="2553">
        <v>35</v>
      </c>
      <c r="P26" s="1216"/>
      <c r="Q26" s="1216"/>
      <c r="R26" s="1216"/>
      <c r="S26" s="2559">
        <v>38</v>
      </c>
      <c r="T26" s="2575" t="s">
        <v>1267</v>
      </c>
    </row>
    <row r="27" spans="2:20" ht="15" thickBot="1">
      <c r="B27" s="2577"/>
      <c r="C27" s="2579"/>
      <c r="D27" s="2581"/>
      <c r="E27" s="2579"/>
      <c r="F27" s="2583"/>
      <c r="G27" s="1245"/>
      <c r="H27" s="2583"/>
      <c r="I27" s="1246"/>
      <c r="J27" s="2573"/>
      <c r="K27" s="2566"/>
      <c r="L27" s="2573"/>
      <c r="M27" s="2568"/>
      <c r="N27" s="2586"/>
      <c r="O27" s="2574"/>
      <c r="P27" s="1217"/>
      <c r="Q27" s="1217"/>
      <c r="R27" s="1217"/>
      <c r="S27" s="2560"/>
      <c r="T27" s="2548"/>
    </row>
    <row r="28" spans="2:20">
      <c r="B28" s="2576" t="s">
        <v>1281</v>
      </c>
      <c r="C28" s="2578">
        <v>84</v>
      </c>
      <c r="D28" s="2580">
        <v>39013</v>
      </c>
      <c r="E28" s="2578">
        <v>40</v>
      </c>
      <c r="F28" s="2582">
        <v>90</v>
      </c>
      <c r="G28" s="1243">
        <v>39530</v>
      </c>
      <c r="H28" s="2582">
        <v>35</v>
      </c>
      <c r="I28" s="1244"/>
      <c r="J28" s="2572">
        <v>74</v>
      </c>
      <c r="K28" s="2565">
        <v>40819</v>
      </c>
      <c r="L28" s="2572">
        <v>34</v>
      </c>
      <c r="M28" s="2553">
        <v>88</v>
      </c>
      <c r="N28" s="2551">
        <v>43398</v>
      </c>
      <c r="O28" s="2553">
        <v>35</v>
      </c>
      <c r="P28" s="1216"/>
      <c r="Q28" s="1216"/>
      <c r="R28" s="1216"/>
      <c r="S28" s="2559">
        <v>48</v>
      </c>
      <c r="T28" s="2547" t="s">
        <v>1268</v>
      </c>
    </row>
    <row r="29" spans="2:20" ht="15" thickBot="1">
      <c r="B29" s="2577"/>
      <c r="C29" s="2579"/>
      <c r="D29" s="2581"/>
      <c r="E29" s="2579"/>
      <c r="F29" s="2583"/>
      <c r="G29" s="1245"/>
      <c r="H29" s="2583"/>
      <c r="I29" s="1246"/>
      <c r="J29" s="2573"/>
      <c r="K29" s="2566"/>
      <c r="L29" s="2573"/>
      <c r="M29" s="2574"/>
      <c r="N29" s="2552"/>
      <c r="O29" s="2574"/>
      <c r="P29" s="1217"/>
      <c r="Q29" s="1217"/>
      <c r="R29" s="1217"/>
      <c r="S29" s="2560"/>
      <c r="T29" s="2548"/>
    </row>
    <row r="30" spans="2:20" ht="15" thickBot="1">
      <c r="B30" s="2569" t="s">
        <v>1282</v>
      </c>
      <c r="C30" s="2570">
        <v>76</v>
      </c>
      <c r="D30" s="2571">
        <v>38377</v>
      </c>
      <c r="E30" s="2570">
        <v>36</v>
      </c>
      <c r="F30" s="2561">
        <v>100</v>
      </c>
      <c r="G30" s="2567">
        <v>39531</v>
      </c>
      <c r="H30" s="2561">
        <v>37</v>
      </c>
      <c r="I30" s="2562">
        <v>40891</v>
      </c>
      <c r="J30" s="2564">
        <v>76</v>
      </c>
      <c r="K30" s="2565">
        <v>41173</v>
      </c>
      <c r="L30" s="2564">
        <v>40</v>
      </c>
      <c r="M30" s="2553">
        <v>78</v>
      </c>
      <c r="N30" s="2551">
        <v>42092</v>
      </c>
      <c r="O30" s="2553">
        <v>48</v>
      </c>
      <c r="P30" s="2555">
        <v>86</v>
      </c>
      <c r="Q30" s="2557">
        <v>43118</v>
      </c>
      <c r="R30" s="2555">
        <v>38</v>
      </c>
      <c r="S30" s="2559">
        <v>48</v>
      </c>
      <c r="T30" s="2547" t="s">
        <v>1269</v>
      </c>
    </row>
    <row r="31" spans="2:20" ht="15" thickBot="1">
      <c r="B31" s="2569"/>
      <c r="C31" s="2570"/>
      <c r="D31" s="2571"/>
      <c r="E31" s="2570"/>
      <c r="F31" s="2561"/>
      <c r="G31" s="2568"/>
      <c r="H31" s="2561"/>
      <c r="I31" s="2563"/>
      <c r="J31" s="2564"/>
      <c r="K31" s="2566"/>
      <c r="L31" s="2564"/>
      <c r="M31" s="2554"/>
      <c r="N31" s="2552"/>
      <c r="O31" s="2554"/>
      <c r="P31" s="2556"/>
      <c r="Q31" s="2558"/>
      <c r="R31" s="2556"/>
      <c r="S31" s="2560"/>
      <c r="T31" s="2548"/>
    </row>
    <row r="36" spans="7:7">
      <c r="G36" s="1247"/>
    </row>
    <row r="37" spans="7:7">
      <c r="G37" s="1247"/>
    </row>
    <row r="38" spans="7:7">
      <c r="G38" s="1247"/>
    </row>
    <row r="39" spans="7:7">
      <c r="G39" s="1247"/>
    </row>
    <row r="40" spans="7:7">
      <c r="G40" s="1247"/>
    </row>
    <row r="41" spans="7:7">
      <c r="G41" s="1247"/>
    </row>
    <row r="42" spans="7:7">
      <c r="G42" s="1247"/>
    </row>
    <row r="43" spans="7:7">
      <c r="G43" s="1247"/>
    </row>
    <row r="44" spans="7:7">
      <c r="G44" s="1247"/>
    </row>
    <row r="45" spans="7:7">
      <c r="G45" s="1247"/>
    </row>
    <row r="46" spans="7:7">
      <c r="G46" s="2549"/>
    </row>
    <row r="47" spans="7:7">
      <c r="G47" s="2550"/>
    </row>
  </sheetData>
  <mergeCells count="93">
    <mergeCell ref="A1:J1"/>
    <mergeCell ref="Q20:Q21"/>
    <mergeCell ref="R20:R21"/>
    <mergeCell ref="B20:B21"/>
    <mergeCell ref="C20:C21"/>
    <mergeCell ref="D20:D21"/>
    <mergeCell ref="E20:E21"/>
    <mergeCell ref="F20:F21"/>
    <mergeCell ref="H20:H21"/>
    <mergeCell ref="O22:O23"/>
    <mergeCell ref="P22:P23"/>
    <mergeCell ref="S20:S21"/>
    <mergeCell ref="T20:T21"/>
    <mergeCell ref="B22:B23"/>
    <mergeCell ref="C22:C23"/>
    <mergeCell ref="D22:D23"/>
    <mergeCell ref="E22:E23"/>
    <mergeCell ref="F22:F23"/>
    <mergeCell ref="H22:H23"/>
    <mergeCell ref="I22:I23"/>
    <mergeCell ref="J22:J23"/>
    <mergeCell ref="M20:M21"/>
    <mergeCell ref="N20:N21"/>
    <mergeCell ref="O20:O21"/>
    <mergeCell ref="P20:P21"/>
    <mergeCell ref="K22:K23"/>
    <mergeCell ref="L22:L23"/>
    <mergeCell ref="M22:M23"/>
    <mergeCell ref="N22:N23"/>
    <mergeCell ref="I24:I25"/>
    <mergeCell ref="M24:M25"/>
    <mergeCell ref="N24:N25"/>
    <mergeCell ref="T24:T25"/>
    <mergeCell ref="Q22:Q23"/>
    <mergeCell ref="R22:R23"/>
    <mergeCell ref="S22:S23"/>
    <mergeCell ref="T22:T23"/>
    <mergeCell ref="O24:O25"/>
    <mergeCell ref="S24:S25"/>
    <mergeCell ref="O26:O27"/>
    <mergeCell ref="B26:B27"/>
    <mergeCell ref="C26:C27"/>
    <mergeCell ref="D26:D27"/>
    <mergeCell ref="E26:E27"/>
    <mergeCell ref="F26:F27"/>
    <mergeCell ref="H26:H27"/>
    <mergeCell ref="B24:B25"/>
    <mergeCell ref="C24:C25"/>
    <mergeCell ref="D24:D25"/>
    <mergeCell ref="E24:E25"/>
    <mergeCell ref="F24:F25"/>
    <mergeCell ref="H24:H25"/>
    <mergeCell ref="T28:T29"/>
    <mergeCell ref="S26:S27"/>
    <mergeCell ref="T26:T27"/>
    <mergeCell ref="B28:B29"/>
    <mergeCell ref="C28:C29"/>
    <mergeCell ref="D28:D29"/>
    <mergeCell ref="E28:E29"/>
    <mergeCell ref="F28:F29"/>
    <mergeCell ref="H28:H29"/>
    <mergeCell ref="J28:J29"/>
    <mergeCell ref="K28:K29"/>
    <mergeCell ref="J26:J27"/>
    <mergeCell ref="K26:K27"/>
    <mergeCell ref="L26:L27"/>
    <mergeCell ref="M26:M27"/>
    <mergeCell ref="N26:N27"/>
    <mergeCell ref="L28:L29"/>
    <mergeCell ref="M28:M29"/>
    <mergeCell ref="N28:N29"/>
    <mergeCell ref="O28:O29"/>
    <mergeCell ref="S28:S29"/>
    <mergeCell ref="B30:B31"/>
    <mergeCell ref="C30:C31"/>
    <mergeCell ref="D30:D31"/>
    <mergeCell ref="E30:E31"/>
    <mergeCell ref="F30:F31"/>
    <mergeCell ref="T30:T31"/>
    <mergeCell ref="G46:G47"/>
    <mergeCell ref="N30:N31"/>
    <mergeCell ref="O30:O31"/>
    <mergeCell ref="P30:P31"/>
    <mergeCell ref="Q30:Q31"/>
    <mergeCell ref="R30:R31"/>
    <mergeCell ref="S30:S31"/>
    <mergeCell ref="H30:H31"/>
    <mergeCell ref="I30:I31"/>
    <mergeCell ref="J30:J31"/>
    <mergeCell ref="K30:K31"/>
    <mergeCell ref="L30:L31"/>
    <mergeCell ref="M30:M31"/>
    <mergeCell ref="G30:G31"/>
  </mergeCells>
  <pageMargins left="0.7" right="0.7" top="0.75" bottom="0.75" header="0.3" footer="0.3"/>
  <pageSetup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tabColor rgb="FF00B0F0"/>
  </sheetPr>
  <dimension ref="A1:M63"/>
  <sheetViews>
    <sheetView showGridLines="0" workbookViewId="0">
      <selection activeCell="I3" sqref="I3"/>
    </sheetView>
  </sheetViews>
  <sheetFormatPr baseColWidth="10" defaultRowHeight="14.5"/>
  <cols>
    <col min="1" max="1" width="2.54296875" customWidth="1"/>
    <col min="2" max="2" width="8.1796875" customWidth="1"/>
    <col min="3" max="5" width="9" customWidth="1"/>
    <col min="6" max="6" width="10.453125" customWidth="1"/>
    <col min="7" max="7" width="13" customWidth="1"/>
    <col min="8" max="8" width="12" customWidth="1"/>
    <col min="9" max="9" width="9.453125" customWidth="1"/>
    <col min="10" max="10" width="10.54296875" customWidth="1"/>
  </cols>
  <sheetData>
    <row r="1" spans="2:10">
      <c r="G1" s="676" t="s">
        <v>1</v>
      </c>
      <c r="H1" s="4"/>
      <c r="I1" s="677">
        <f>INICIO!D12</f>
        <v>45231</v>
      </c>
    </row>
    <row r="2" spans="2:10">
      <c r="G2" s="676" t="s">
        <v>2</v>
      </c>
      <c r="H2" s="4"/>
      <c r="I2" s="677">
        <f>INICIO!D13</f>
        <v>45260</v>
      </c>
    </row>
    <row r="3" spans="2:10" ht="19" thickBot="1">
      <c r="B3" s="2603" t="s">
        <v>894</v>
      </c>
      <c r="C3" s="2603"/>
      <c r="D3" s="2603"/>
      <c r="E3" s="2604"/>
      <c r="G3" s="676" t="s">
        <v>3</v>
      </c>
      <c r="H3" s="4"/>
      <c r="I3" s="677">
        <f ca="1">TODAY( )</f>
        <v>45232</v>
      </c>
    </row>
    <row r="4" spans="2:10">
      <c r="G4" s="676"/>
      <c r="H4" s="4"/>
      <c r="I4" s="677"/>
    </row>
    <row r="5" spans="2:10" ht="18" customHeight="1">
      <c r="B5" s="661" t="s">
        <v>869</v>
      </c>
      <c r="C5" s="661"/>
      <c r="D5" s="661"/>
      <c r="E5" s="661"/>
      <c r="F5" s="661"/>
      <c r="G5" s="661"/>
      <c r="H5" s="661"/>
      <c r="I5" s="661"/>
      <c r="J5" s="661"/>
    </row>
    <row r="6" spans="2:10">
      <c r="B6" s="662" t="s">
        <v>131</v>
      </c>
      <c r="C6" s="662" t="s">
        <v>870</v>
      </c>
      <c r="D6" s="662" t="s">
        <v>871</v>
      </c>
      <c r="E6" s="662" t="s">
        <v>872</v>
      </c>
      <c r="F6" s="662" t="s">
        <v>873</v>
      </c>
      <c r="G6" s="662" t="s">
        <v>814</v>
      </c>
      <c r="H6" s="662" t="s">
        <v>874</v>
      </c>
      <c r="I6" s="662" t="s">
        <v>875</v>
      </c>
      <c r="J6" s="662" t="s">
        <v>876</v>
      </c>
    </row>
    <row r="7" spans="2:10">
      <c r="B7" s="679" t="s">
        <v>175</v>
      </c>
      <c r="C7" s="678">
        <f ca="1">IF(DATOSAÑO!$Y376=0," ",DATOSAÑO!$Y376)</f>
        <v>13554.626999999968</v>
      </c>
      <c r="D7" s="665" t="e">
        <f>IF(DATOSAÑO!#REF!=0," ",DATOSAÑO!#REF!)</f>
        <v>#REF!</v>
      </c>
      <c r="E7" s="665">
        <v>84.736999999999995</v>
      </c>
      <c r="F7" s="664">
        <v>161.62559999999996</v>
      </c>
      <c r="G7" s="723">
        <v>1422488</v>
      </c>
      <c r="H7" s="665" t="e">
        <f t="shared" ref="H7:H13" ca="1" si="0">IF(G7=0," ",(((C7+D7+E7)*1000)+F7)/G7)</f>
        <v>#REF!</v>
      </c>
      <c r="I7" s="665">
        <f t="shared" ref="I7:I13" ca="1" si="1">IF(G7=0," ",(C7*1000)/G7)</f>
        <v>9.5288164118080214</v>
      </c>
      <c r="J7" s="666">
        <f>IF(G7&gt;0,13," ")</f>
        <v>13</v>
      </c>
    </row>
    <row r="8" spans="2:10">
      <c r="B8" s="679" t="s">
        <v>176</v>
      </c>
      <c r="C8" s="678">
        <f ca="1">IF(DATOSAÑO!$Y377=0," ",DATOSAÑO!$Y377)</f>
        <v>12240.734000000031</v>
      </c>
      <c r="D8" s="665" t="e">
        <f>IF(DATOSAÑO!#REF!=0," ",DATOSAÑO!#REF!)</f>
        <v>#REF!</v>
      </c>
      <c r="E8" s="665"/>
      <c r="F8" s="664">
        <v>161.46086400000007</v>
      </c>
      <c r="G8" s="723">
        <f ca="1">IF(AND(DATOSAÑO!BE377=0,DATOSAÑO!BF377=0)," ",(DATOSAÑO!BE377+DATOSAÑO!BF377))</f>
        <v>1104398.0706790104</v>
      </c>
      <c r="H8" s="665" t="e">
        <f t="shared" ca="1" si="0"/>
        <v>#REF!</v>
      </c>
      <c r="I8" s="665">
        <f t="shared" ca="1" si="1"/>
        <v>11.083624940121577</v>
      </c>
      <c r="J8" s="666">
        <f ca="1">IF(G8&gt;0,13," ")</f>
        <v>13</v>
      </c>
    </row>
    <row r="9" spans="2:10">
      <c r="B9" s="679" t="s">
        <v>177</v>
      </c>
      <c r="C9" s="678">
        <f ca="1">IF(DATOSAÑO!$Y378=0," ",DATOSAÑO!$Y378)</f>
        <v>13729.963999999965</v>
      </c>
      <c r="D9" s="665" t="e">
        <f>IF(DATOSAÑO!#REF!=0," ",DATOSAÑO!#REF!)</f>
        <v>#REF!</v>
      </c>
      <c r="E9" s="665"/>
      <c r="F9" s="664">
        <v>161.62560000000008</v>
      </c>
      <c r="G9" s="723">
        <f ca="1">IF(AND(DATOSAÑO!BE378=0,DATOSAÑO!BF378=0)," ",(DATOSAÑO!BE378+DATOSAÑO!BF378))</f>
        <v>1255264.7821958121</v>
      </c>
      <c r="H9" s="665" t="e">
        <f t="shared" ca="1" si="0"/>
        <v>#REF!</v>
      </c>
      <c r="I9" s="665">
        <f t="shared" ca="1" si="1"/>
        <v>10.937902659853474</v>
      </c>
      <c r="J9" s="666">
        <f t="shared" ref="J9:J14" ca="1" si="2">IF(G9&gt;0,13," ")</f>
        <v>13</v>
      </c>
    </row>
    <row r="10" spans="2:10">
      <c r="B10" s="679" t="s">
        <v>178</v>
      </c>
      <c r="C10" s="678">
        <f ca="1">IF(DATOSAÑO!$Y379=0," ",DATOSAÑO!$Y379)</f>
        <v>13154.943000000025</v>
      </c>
      <c r="D10" s="665" t="e">
        <f>IF(DATOSAÑO!#REF!=0," ",DATOSAÑO!#REF!)</f>
        <v>#REF!</v>
      </c>
      <c r="E10" s="665"/>
      <c r="F10" s="664">
        <v>161.62560000000008</v>
      </c>
      <c r="G10" s="723">
        <f ca="1">IF(AND(DATOSAÑO!BE379=0,DATOSAÑO!BF379=0)," ",(DATOSAÑO!BE379+DATOSAÑO!BF379))</f>
        <v>1131942.6371929825</v>
      </c>
      <c r="H10" s="665" t="e">
        <f t="shared" ca="1" si="0"/>
        <v>#REF!</v>
      </c>
      <c r="I10" s="665">
        <f t="shared" ca="1" si="1"/>
        <v>11.621563291070965</v>
      </c>
      <c r="J10" s="666">
        <f t="shared" ca="1" si="2"/>
        <v>13</v>
      </c>
    </row>
    <row r="11" spans="2:10">
      <c r="B11" s="679" t="s">
        <v>179</v>
      </c>
      <c r="C11" s="678">
        <f ca="1">IF(DATOSAÑO!$Y380=0," ",DATOSAÑO!$Y380)</f>
        <v>13126.246999999976</v>
      </c>
      <c r="D11" s="665" t="e">
        <f>IF(DATOSAÑO!#REF!=0," ",DATOSAÑO!#REF!)</f>
        <v>#REF!</v>
      </c>
      <c r="E11" s="665"/>
      <c r="F11" s="664">
        <v>161.62560000000008</v>
      </c>
      <c r="G11" s="723">
        <f ca="1">IF(AND(DATOSAÑO!BE380=0,DATOSAÑO!BF380=0)," ",(DATOSAÑO!BE380+DATOSAÑO!BF380))</f>
        <v>1112549.1308771931</v>
      </c>
      <c r="H11" s="665" t="e">
        <f t="shared" ca="1" si="0"/>
        <v>#REF!</v>
      </c>
      <c r="I11" s="665">
        <f t="shared" ca="1" si="1"/>
        <v>11.798352662098205</v>
      </c>
      <c r="J11" s="666">
        <f t="shared" ca="1" si="2"/>
        <v>13</v>
      </c>
    </row>
    <row r="12" spans="2:10">
      <c r="B12" s="679" t="s">
        <v>181</v>
      </c>
      <c r="C12" s="678">
        <f ca="1">IF(DATOSAÑO!$Y381=0," ",DATOSAÑO!$Y381)</f>
        <v>13131.651999999998</v>
      </c>
      <c r="D12" s="665" t="e">
        <f>IF(DATOSAÑO!#REF!=0," ",DATOSAÑO!#REF!)</f>
        <v>#REF!</v>
      </c>
      <c r="E12" s="665"/>
      <c r="F12" s="664">
        <v>161.62560000000008</v>
      </c>
      <c r="G12" s="723">
        <f ca="1">IF(AND(DATOSAÑO!BE381=0,DATOSAÑO!BF381=0)," ",(DATOSAÑO!BE381+DATOSAÑO!BF381))</f>
        <v>1036507.7117855996</v>
      </c>
      <c r="H12" s="665" t="e">
        <f t="shared" ca="1" si="0"/>
        <v>#REF!</v>
      </c>
      <c r="I12" s="665">
        <f t="shared" ca="1" si="1"/>
        <v>12.669131016283519</v>
      </c>
      <c r="J12" s="666">
        <f t="shared" ca="1" si="2"/>
        <v>13</v>
      </c>
    </row>
    <row r="13" spans="2:10">
      <c r="B13" s="679" t="s">
        <v>182</v>
      </c>
      <c r="C13" s="678">
        <f ca="1">IF(DATOSAÑO!$Y382=0," ",DATOSAÑO!$Y382)</f>
        <v>13567.968000000001</v>
      </c>
      <c r="D13" s="665" t="e">
        <f>IF(DATOSAÑO!#REF!=0," ",DATOSAÑO!#REF!)</f>
        <v>#REF!</v>
      </c>
      <c r="E13" s="665" t="e">
        <f>IF(DATOSAÑO!#REF!=0," ",DATOSAÑO!#REF!)</f>
        <v>#REF!</v>
      </c>
      <c r="F13" s="664">
        <v>161.62560000000008</v>
      </c>
      <c r="G13" s="723">
        <f ca="1">IF(AND(DATOSAÑO!BE382=0,DATOSAÑO!BF382=0)," ",(DATOSAÑO!BE382+DATOSAÑO!BF382))</f>
        <v>1192893.9001754289</v>
      </c>
      <c r="H13" s="665" t="e">
        <f t="shared" ca="1" si="0"/>
        <v>#REF!</v>
      </c>
      <c r="I13" s="665">
        <f t="shared" ca="1" si="1"/>
        <v>11.373993946992831</v>
      </c>
      <c r="J13" s="666">
        <f t="shared" ca="1" si="2"/>
        <v>13</v>
      </c>
    </row>
    <row r="14" spans="2:10">
      <c r="B14" s="679" t="s">
        <v>183</v>
      </c>
      <c r="C14" s="678">
        <f ca="1">IF(DATOSAÑO!$Y383=0," ",DATOSAÑO!$Y383)</f>
        <v>13829.668000000049</v>
      </c>
      <c r="D14" s="665" t="e">
        <f>IF(DATOSAÑO!#REF!=0," ",DATOSAÑO!#REF!)</f>
        <v>#REF!</v>
      </c>
      <c r="E14" s="665" t="e">
        <f>IF(DATOSAÑO!#REF!=0," ",DATOSAÑO!#REF!)</f>
        <v>#REF!</v>
      </c>
      <c r="F14" s="664">
        <v>161.62560000000008</v>
      </c>
      <c r="G14" s="723">
        <f ca="1">IF(AND(DATOSAÑO!BE383=0,DATOSAÑO!BF383=0)," ",(DATOSAÑO!BE383+DATOSAÑO!BF383))</f>
        <v>1211502.2132456137</v>
      </c>
      <c r="H14" s="665" t="e">
        <f ca="1">IF(G14=0," ",(((C14+D14+E14)*1000)+F14)/G14)</f>
        <v>#REF!</v>
      </c>
      <c r="I14" s="665">
        <f ca="1">IF(G14=0," ",(C14*1000)/G14)</f>
        <v>11.41530560059843</v>
      </c>
      <c r="J14" s="666">
        <f t="shared" ca="1" si="2"/>
        <v>13</v>
      </c>
    </row>
    <row r="15" spans="2:10">
      <c r="B15" s="679" t="s">
        <v>184</v>
      </c>
      <c r="C15" s="678">
        <f ca="1">IF(DATOSAÑO!$Y384=0," ",DATOSAÑO!$Y384)</f>
        <v>13358.04899999995</v>
      </c>
      <c r="D15" s="665" t="e">
        <f>IF(DATOSAÑO!#REF!=0," ",DATOSAÑO!#REF!)</f>
        <v>#REF!</v>
      </c>
      <c r="E15" s="665" t="e">
        <f>IF(DATOSAÑO!#REF!=0," ",DATOSAÑO!#REF!)</f>
        <v>#REF!</v>
      </c>
      <c r="F15" s="664">
        <v>161.62560000000008</v>
      </c>
      <c r="G15" s="723">
        <f ca="1">IF(AND(DATOSAÑO!BE384=0,DATOSAÑO!BF384=0)," ",(DATOSAÑO!BE384+DATOSAÑO!BF384))</f>
        <v>1189578.8585964912</v>
      </c>
      <c r="H15" s="665" t="e">
        <f ca="1">IF(G15=0," ",(((C15+D15+E15)*1000)+F15)/G15)</f>
        <v>#REF!</v>
      </c>
      <c r="I15" s="665">
        <f ca="1">IF(G15=0," ",(C15*1000)/G15)</f>
        <v>11.229225287140919</v>
      </c>
      <c r="J15" s="666">
        <f ca="1">IF(G15&gt;0,13," ")</f>
        <v>13</v>
      </c>
    </row>
    <row r="16" spans="2:10">
      <c r="B16" s="679" t="s">
        <v>185</v>
      </c>
      <c r="C16" s="678">
        <f ca="1">IF(DATOSAÑO!$Y385=0," ",DATOSAÑO!$Y385)</f>
        <v>13584.433000000001</v>
      </c>
      <c r="D16" s="665" t="e">
        <f>IF(DATOSAÑO!#REF!=0," ",DATOSAÑO!#REF!)</f>
        <v>#REF!</v>
      </c>
      <c r="E16" s="665" t="e">
        <f>IF(DATOSAÑO!#REF!=0," ",DATOSAÑO!#REF!)</f>
        <v>#REF!</v>
      </c>
      <c r="F16" s="664">
        <v>161.62560000000008</v>
      </c>
      <c r="G16" s="723">
        <f ca="1">IF(AND(DATOSAÑO!BE385=0,DATOSAÑO!BF385=0)," ",(DATOSAÑO!BE385+DATOSAÑO!BF385))</f>
        <v>1202848.5340350876</v>
      </c>
      <c r="H16" s="665" t="e">
        <f ca="1">IF(G16=0," ",(((C16+D16+E16)*1000)+F16)/G16)</f>
        <v>#REF!</v>
      </c>
      <c r="I16" s="665">
        <f ca="1">IF(G16=0," ",(C16*1000)/G16)</f>
        <v>11.293552442907776</v>
      </c>
      <c r="J16" s="666">
        <f ca="1">IF(G16&gt;0,13," ")</f>
        <v>13</v>
      </c>
    </row>
    <row r="17" spans="2:10">
      <c r="B17" s="679" t="s">
        <v>186</v>
      </c>
      <c r="C17" s="678">
        <f ca="1">IF(DATOSAÑO!$Y386=0," ",DATOSAÑO!$Y386)</f>
        <v>440</v>
      </c>
      <c r="D17" s="665" t="e">
        <f>IF(DATOSAÑO!#REF!=0," ",DATOSAÑO!#REF!)</f>
        <v>#REF!</v>
      </c>
      <c r="E17" s="665" t="e">
        <f>IF(DATOSAÑO!#REF!=0," ",DATOSAÑO!#REF!)</f>
        <v>#REF!</v>
      </c>
      <c r="F17" s="666">
        <v>161.6</v>
      </c>
      <c r="G17" s="723" t="str">
        <f ca="1">IF(AND(DATOSAÑO!BE386=0,DATOSAÑO!BF386=0)," ",(DATOSAÑO!BE386+DATOSAÑO!BF386))</f>
        <v xml:space="preserve"> </v>
      </c>
      <c r="H17" s="665" t="e">
        <f ca="1">IF(G17=0," ",(((C17+D17+E17)*1000)+F17)/G17)</f>
        <v>#REF!</v>
      </c>
      <c r="I17" s="665" t="e">
        <f ca="1">IF(G17=0," ",(C17*1000)/G17)</f>
        <v>#VALUE!</v>
      </c>
      <c r="J17" s="666">
        <f ca="1">IF(G17&gt;0,13," ")</f>
        <v>13</v>
      </c>
    </row>
    <row r="18" spans="2:10">
      <c r="B18" s="679" t="s">
        <v>187</v>
      </c>
      <c r="C18" s="678" t="str">
        <f ca="1">IF(DATOSAÑO!$Y387=0," ",DATOSAÑO!$Y387)</f>
        <v xml:space="preserve"> </v>
      </c>
      <c r="D18" s="665" t="e">
        <f>IF(DATOSAÑO!#REF!=0," ",DATOSAÑO!#REF!)</f>
        <v>#REF!</v>
      </c>
      <c r="E18" s="665" t="e">
        <f>IF(DATOSAÑO!#REF!=0," ",DATOSAÑO!#REF!)</f>
        <v>#REF!</v>
      </c>
      <c r="F18" s="666">
        <v>161.6</v>
      </c>
      <c r="G18" s="723" t="str">
        <f ca="1">IF(AND(DATOSAÑO!BE387=0,DATOSAÑO!BF387=0)," ",(DATOSAÑO!BE387+DATOSAÑO!BF387))</f>
        <v xml:space="preserve"> </v>
      </c>
      <c r="H18" s="665" t="str">
        <f ca="1">IF(G18&gt;0," ",(((C18+D18+E18)*1000)+F18)/G18)</f>
        <v xml:space="preserve"> </v>
      </c>
      <c r="I18" s="665" t="str">
        <f ca="1">IF(G18&gt;0," ",(C18*1000)/G18)</f>
        <v xml:space="preserve"> </v>
      </c>
      <c r="J18" s="666" t="str">
        <f ca="1">IF(G18=0,13," ")</f>
        <v xml:space="preserve"> </v>
      </c>
    </row>
    <row r="21" spans="2:10" ht="15" thickBot="1"/>
    <row r="22" spans="2:10" ht="18.5">
      <c r="B22" s="2605" t="s">
        <v>895</v>
      </c>
      <c r="C22" s="2606"/>
      <c r="D22" s="2606"/>
      <c r="E22" s="2606"/>
    </row>
    <row r="24" spans="2:10">
      <c r="B24" s="2602">
        <v>2016</v>
      </c>
      <c r="C24" s="2600" t="s">
        <v>877</v>
      </c>
      <c r="D24" s="2600"/>
      <c r="E24" s="2600"/>
      <c r="F24" s="2601" t="s">
        <v>878</v>
      </c>
      <c r="G24" s="2601"/>
      <c r="H24" s="2601"/>
      <c r="I24" s="2609" t="s">
        <v>879</v>
      </c>
      <c r="J24" s="2609" t="s">
        <v>880</v>
      </c>
    </row>
    <row r="25" spans="2:10" ht="43.5">
      <c r="B25" s="2602"/>
      <c r="C25" s="667" t="s">
        <v>881</v>
      </c>
      <c r="D25" s="668" t="s">
        <v>882</v>
      </c>
      <c r="E25" s="668" t="s">
        <v>883</v>
      </c>
      <c r="F25" s="667" t="s">
        <v>881</v>
      </c>
      <c r="G25" s="668" t="s">
        <v>882</v>
      </c>
      <c r="H25" s="668" t="s">
        <v>884</v>
      </c>
      <c r="I25" s="2609"/>
      <c r="J25" s="2609"/>
    </row>
    <row r="26" spans="2:10">
      <c r="B26" s="679" t="s">
        <v>175</v>
      </c>
      <c r="C26" s="665">
        <f ca="1">IF(DATOSAÑO!$D376=0," ",DATOSAÑO!$D376)</f>
        <v>111.44138153932562</v>
      </c>
      <c r="D26" s="664">
        <f ca="1">IF(DATOSAÑO!$C376=0," ",DATOSAÑO!$C376)</f>
        <v>5613.8399999999674</v>
      </c>
      <c r="E26" s="699">
        <f t="shared" ref="E26:E32" ca="1" si="3">IF(D26=" "," ",((C26*I26)/D26)*1000)</f>
        <v>19257.635456532502</v>
      </c>
      <c r="F26" s="665">
        <f ca="1">IF(DATOSAÑO!$K376=0," ",DATOSAÑO!$K376)</f>
        <v>128.66486019101129</v>
      </c>
      <c r="G26" s="664">
        <f ca="1">IF(DATOSAÑO!$J376=0," ",DATOSAÑO!$J376)</f>
        <v>7936.4000000000015</v>
      </c>
      <c r="H26" s="699">
        <f ca="1">IF(G26=" "," ",((F26*I26)/G26)*1000)</f>
        <v>15727.254280442019</v>
      </c>
      <c r="I26" s="663">
        <f ca="1">IF(AND($D26=" ",$G26=" ")," ",('GRAFICAS RPTE GCIAL'!AH159))</f>
        <v>970.1</v>
      </c>
      <c r="J26" s="666">
        <f t="shared" ref="J26:J32" ca="1" si="4">IF(I26=" "," ",17800)</f>
        <v>17800</v>
      </c>
    </row>
    <row r="27" spans="2:10">
      <c r="B27" s="679" t="s">
        <v>176</v>
      </c>
      <c r="C27" s="665">
        <f ca="1">IF(DATOSAÑO!$D377=0," ",DATOSAÑO!$D377)</f>
        <v>135.61939776059879</v>
      </c>
      <c r="D27" s="664">
        <f ca="1">IF(DATOSAÑO!$C377=0," ",DATOSAÑO!$C377)</f>
        <v>8128.1600000000326</v>
      </c>
      <c r="E27" s="699">
        <f t="shared" ca="1" si="3"/>
        <v>14719.620763419984</v>
      </c>
      <c r="F27" s="665">
        <f ca="1">IF(DATOSAÑO!$K377=0," ",DATOSAÑO!$K377)</f>
        <v>102.83230648877804</v>
      </c>
      <c r="G27" s="664">
        <f ca="1">IF(DATOSAÑO!$J377=0," ",DATOSAÑO!$J377)</f>
        <v>4107.4799999999996</v>
      </c>
      <c r="H27" s="699">
        <f t="shared" ref="H27:H37" ca="1" si="5">IF(G27=" "," ",((F27*I27)/G27)*1000)</f>
        <v>22086.208766542994</v>
      </c>
      <c r="I27" s="663">
        <f ca="1">IF(AND($D27=" ",$G27=" ")," ",('GRAFICAS RPTE GCIAL'!AH160))</f>
        <v>882.2</v>
      </c>
      <c r="J27" s="666">
        <f t="shared" ca="1" si="4"/>
        <v>17800</v>
      </c>
    </row>
    <row r="28" spans="2:10">
      <c r="B28" s="679" t="s">
        <v>177</v>
      </c>
      <c r="C28" s="665">
        <f ca="1">IF(DATOSAÑO!$D378=0," ",DATOSAÑO!$D378)</f>
        <v>150.34417391895238</v>
      </c>
      <c r="D28" s="664">
        <f ca="1">IF(DATOSAÑO!$C378=0," ",DATOSAÑO!$C378)</f>
        <v>9022.8399999999674</v>
      </c>
      <c r="E28" s="699">
        <f t="shared" ca="1" si="3"/>
        <v>14663.107519215522</v>
      </c>
      <c r="F28" s="665">
        <f ca="1">IF(DATOSAÑO!$K378=0," ",DATOSAÑO!$K378)</f>
        <v>115.13728264713214</v>
      </c>
      <c r="G28" s="664">
        <f ca="1">IF(DATOSAÑO!$J378=0," ",DATOSAÑO!$J378)</f>
        <v>4705.4199999999983</v>
      </c>
      <c r="H28" s="699">
        <f t="shared" ca="1" si="5"/>
        <v>21532.787451380816</v>
      </c>
      <c r="I28" s="663">
        <f ca="1">IF(AND($D28=" ",$G28=" ")," ",('GRAFICAS RPTE GCIAL'!AH161))</f>
        <v>880</v>
      </c>
      <c r="J28" s="666">
        <f t="shared" ca="1" si="4"/>
        <v>17800</v>
      </c>
    </row>
    <row r="29" spans="2:10">
      <c r="B29" s="679" t="s">
        <v>178</v>
      </c>
      <c r="C29" s="665">
        <f ca="1">IF(DATOSAÑO!$D379=0," ",DATOSAÑO!$D379)</f>
        <v>154.463473048483</v>
      </c>
      <c r="D29" s="664">
        <f ca="1">IF(DATOSAÑO!$C379=0," ",DATOSAÑO!$C379)</f>
        <v>9357.1500000000233</v>
      </c>
      <c r="E29" s="699">
        <f t="shared" ca="1" si="3"/>
        <v>14198.130111091508</v>
      </c>
      <c r="F29" s="665">
        <f ca="1">IF(DATOSAÑO!$K379=0," ",DATOSAÑO!$K379)</f>
        <v>100.07923481234741</v>
      </c>
      <c r="G29" s="664">
        <f ca="1">IF(DATOSAÑO!$J379=0," ",DATOSAÑO!$J379)</f>
        <v>3766.1000000000022</v>
      </c>
      <c r="H29" s="699">
        <f t="shared" ca="1" si="5"/>
        <v>22856.044678075454</v>
      </c>
      <c r="I29" s="663">
        <f ca="1">IF(AND($D29=" ",$G29=" ")," ",('GRAFICAS RPTE GCIAL'!AH162))</f>
        <v>860.1</v>
      </c>
      <c r="J29" s="666">
        <f t="shared" ca="1" si="4"/>
        <v>17800</v>
      </c>
    </row>
    <row r="30" spans="2:10">
      <c r="B30" s="679" t="s">
        <v>179</v>
      </c>
      <c r="C30" s="665">
        <f ca="1">IF(DATOSAÑO!$D380=0," ",DATOSAÑO!$D380)</f>
        <v>139.16309963284951</v>
      </c>
      <c r="D30" s="664">
        <f ca="1">IF(DATOSAÑO!$C380=0," ",DATOSAÑO!$C380)</f>
        <v>6850.8499999999767</v>
      </c>
      <c r="E30" s="699">
        <f t="shared" ca="1" si="3"/>
        <v>17079.389297868187</v>
      </c>
      <c r="F30" s="665">
        <f ca="1">IF(DATOSAÑO!$K380=0," ",DATOSAÑO!$K380)</f>
        <v>134.2026791999287</v>
      </c>
      <c r="G30" s="664">
        <f ca="1">IF(DATOSAÑO!$J380=0," ",DATOSAÑO!$J380)</f>
        <v>6271.0999999999985</v>
      </c>
      <c r="H30" s="699">
        <f t="shared" ca="1" si="5"/>
        <v>17993.272738642354</v>
      </c>
      <c r="I30" s="663">
        <f ca="1">IF(AND($D30=" ",$G30=" ")," ",('GRAFICAS RPTE GCIAL'!AH163))</f>
        <v>840.8</v>
      </c>
      <c r="J30" s="666">
        <f t="shared" ca="1" si="4"/>
        <v>17800</v>
      </c>
    </row>
    <row r="31" spans="2:10">
      <c r="B31" s="679" t="s">
        <v>181</v>
      </c>
      <c r="C31" s="665">
        <f ca="1">IF(DATOSAÑO!$D381=0," ",DATOSAÑO!$D381)</f>
        <v>144.31918901266104</v>
      </c>
      <c r="D31" s="664">
        <f ca="1">IF(DATOSAÑO!$C381=0," ",DATOSAÑO!$C381)</f>
        <v>7944.3260000000009</v>
      </c>
      <c r="E31" s="699">
        <f t="shared" ca="1" si="3"/>
        <v>16356.956875510896</v>
      </c>
      <c r="F31" s="665">
        <f ca="1">IF(DATOSAÑO!$K381=0," ",DATOSAÑO!$K381)</f>
        <v>119.53144598956018</v>
      </c>
      <c r="G31" s="664">
        <f ca="1">IF(DATOSAÑO!$J381=0," ",DATOSAÑO!$J381)</f>
        <v>5185.239999999998</v>
      </c>
      <c r="H31" s="699">
        <f t="shared" ca="1" si="5"/>
        <v>20756.245413712775</v>
      </c>
      <c r="I31" s="663">
        <f ca="1">IF(AND($D31=" ",$G31=" ")," ",('GRAFICAS RPTE GCIAL'!AH164))</f>
        <v>900.4</v>
      </c>
      <c r="J31" s="666">
        <f t="shared" ca="1" si="4"/>
        <v>17800</v>
      </c>
    </row>
    <row r="32" spans="2:10">
      <c r="B32" s="679" t="s">
        <v>182</v>
      </c>
      <c r="C32" s="665">
        <f ca="1">IF(DATOSAÑO!$D382=0," ",DATOSAÑO!$D382)</f>
        <v>141.48473307479171</v>
      </c>
      <c r="D32" s="664">
        <f ca="1">IF(DATOSAÑO!$C382=0," ",DATOSAÑO!$C382)</f>
        <v>7105.6739999999991</v>
      </c>
      <c r="E32" s="699">
        <f t="shared" ca="1" si="3"/>
        <v>17299.124065553679</v>
      </c>
      <c r="F32" s="665">
        <f ca="1">IF(DATOSAÑO!$K382=0," ",DATOSAÑO!$K382)</f>
        <v>135.8150147885404</v>
      </c>
      <c r="G32" s="664">
        <f ca="1">IF(DATOSAÑO!$J382=0," ",DATOSAÑO!$J382)</f>
        <v>6458.760000000002</v>
      </c>
      <c r="H32" s="699">
        <f t="shared" ca="1" si="5"/>
        <v>18269.154582038016</v>
      </c>
      <c r="I32" s="663">
        <f ca="1">IF(AND($D32=" ",$G32=" ")," ",('GRAFICAS RPTE GCIAL'!AH165))</f>
        <v>868.8</v>
      </c>
      <c r="J32" s="666">
        <f t="shared" ca="1" si="4"/>
        <v>17800</v>
      </c>
    </row>
    <row r="33" spans="1:13">
      <c r="B33" s="679" t="s">
        <v>183</v>
      </c>
      <c r="C33" s="665">
        <f ca="1">IF(DATOSAÑO!$D383=0," ",DATOSAÑO!$D383)</f>
        <v>139.81258349859698</v>
      </c>
      <c r="D33" s="664">
        <f ca="1">IF(DATOSAÑO!$C383=0," ",DATOSAÑO!$C383)</f>
        <v>6453.3000000000466</v>
      </c>
      <c r="E33" s="699">
        <f ca="1">IF(D33=" "," ",((C33*I33)/D33)*1000)</f>
        <v>18523.818649574565</v>
      </c>
      <c r="F33" s="665">
        <f ca="1">IF(DATOSAÑO!$K383=0," ",DATOSAÑO!$K383)</f>
        <v>151.15495521789481</v>
      </c>
      <c r="G33" s="664">
        <f ca="1">IF(DATOSAÑO!$J383=0," ",DATOSAÑO!$J383)</f>
        <v>7362.4000000000015</v>
      </c>
      <c r="H33" s="699">
        <f t="shared" ca="1" si="5"/>
        <v>17553.717091070852</v>
      </c>
      <c r="I33" s="663">
        <f ca="1">IF(AND($D33=" ",$G33=" ")," ",('GRAFICAS RPTE GCIAL'!AH166))</f>
        <v>855</v>
      </c>
      <c r="J33" s="666">
        <f ca="1">IF(I33=" "," ",17800)</f>
        <v>17800</v>
      </c>
    </row>
    <row r="34" spans="1:13">
      <c r="B34" s="679" t="s">
        <v>184</v>
      </c>
      <c r="C34" s="665">
        <f ca="1">IF(DATOSAÑO!$D384=0," ",DATOSAÑO!$D384)</f>
        <v>96.159453888666192</v>
      </c>
      <c r="D34" s="664">
        <f ca="1">IF(DATOSAÑO!$C384=0," ",DATOSAÑO!$C384)</f>
        <v>3745.1999999999534</v>
      </c>
      <c r="E34" s="699">
        <f ca="1">IF(D34=" "," ",((C34*I34)/D34)*1000)</f>
        <v>21246.381526453129</v>
      </c>
      <c r="F34" s="665">
        <f ca="1">IF(DATOSAÑO!$K384=0," ",DATOSAÑO!$K384)</f>
        <v>159.48395119555551</v>
      </c>
      <c r="G34" s="664">
        <f ca="1">IF(DATOSAÑO!$J384=0," ",DATOSAÑO!$J384)</f>
        <v>9563.5989999999983</v>
      </c>
      <c r="H34" s="699">
        <f t="shared" ca="1" si="5"/>
        <v>13799.508910225346</v>
      </c>
      <c r="I34" s="663">
        <f ca="1">IF(AND($D34=" ",$G34=" ")," ",('GRAFICAS RPTE GCIAL'!AH167))</f>
        <v>827.5</v>
      </c>
      <c r="J34" s="666">
        <f ca="1">IF(I34=" "," ",17800)</f>
        <v>17800</v>
      </c>
    </row>
    <row r="35" spans="1:13">
      <c r="B35" s="679" t="s">
        <v>185</v>
      </c>
      <c r="C35" s="665">
        <f ca="1">IF(DATOSAÑO!$D385=0," ",DATOSAÑO!$D385)</f>
        <v>82.881678351271461</v>
      </c>
      <c r="D35" s="664">
        <f ca="1">IF(DATOSAÑO!$C385=0," ",DATOSAÑO!$C385)</f>
        <v>3667.5</v>
      </c>
      <c r="E35" s="699">
        <f ca="1">IF(D35=" "," ",((C35*I35)/D35)*1000)</f>
        <v>19107.418962781194</v>
      </c>
      <c r="F35" s="665">
        <f ca="1">IF(DATOSAÑO!$K385=0," ",DATOSAÑO!$K385)</f>
        <v>171.94954537114137</v>
      </c>
      <c r="G35" s="664">
        <f ca="1">IF(DATOSAÑO!$J385=0," ",DATOSAÑO!$J385)</f>
        <v>9807</v>
      </c>
      <c r="H35" s="699">
        <f t="shared" ca="1" si="5"/>
        <v>14824.445866350568</v>
      </c>
      <c r="I35" s="663">
        <f ca="1">IF(AND($D35=" ",$G35=" ")," ",('GRAFICAS RPTE GCIAL'!AH168))</f>
        <v>845.5</v>
      </c>
      <c r="J35" s="666">
        <f ca="1">IF(I35=" "," ",17800)</f>
        <v>17800</v>
      </c>
    </row>
    <row r="36" spans="1:13">
      <c r="B36" s="679" t="s">
        <v>186</v>
      </c>
      <c r="C36" s="665">
        <f ca="1">IF(DATOSAÑO!$D386=0," ",DATOSAÑO!$D386)</f>
        <v>4.0365242327959576</v>
      </c>
      <c r="D36" s="664">
        <f ca="1">IF(DATOSAÑO!$C386=0," ",DATOSAÑO!$C386)</f>
        <v>147</v>
      </c>
      <c r="E36" s="699">
        <f ca="1">IF(D36=" "," ",((C36*I36)/D36)*1000)</f>
        <v>22824.210491836733</v>
      </c>
      <c r="F36" s="665">
        <f ca="1">IF(DATOSAÑO!$K386=0," ",DATOSAÑO!$K386)</f>
        <v>5.4957787804379201</v>
      </c>
      <c r="G36" s="664">
        <f ca="1">IF(DATOSAÑO!$J386=0," ",DATOSAÑO!$J386)</f>
        <v>293</v>
      </c>
      <c r="H36" s="699">
        <f t="shared" ca="1" si="5"/>
        <v>15590.755366211602</v>
      </c>
      <c r="I36" s="663">
        <f ca="1">IF(AND($D36=" ",$G36=" ")," ",('GRAFICAS RPTE GCIAL'!AH169))</f>
        <v>831.2</v>
      </c>
      <c r="J36" s="666">
        <f ca="1">IF(I36=" "," ",17800)</f>
        <v>17800</v>
      </c>
    </row>
    <row r="37" spans="1:13">
      <c r="B37" s="679" t="s">
        <v>187</v>
      </c>
      <c r="C37" s="665" t="str">
        <f ca="1">IF(DATOSAÑO!$D387=0," ",DATOSAÑO!$D387)</f>
        <v xml:space="preserve"> </v>
      </c>
      <c r="D37" s="664" t="str">
        <f ca="1">IF(DATOSAÑO!$C387=0," ",DATOSAÑO!$C387)</f>
        <v xml:space="preserve"> </v>
      </c>
      <c r="E37" s="699" t="str">
        <f ca="1">IF(D37=" "," ",((C37*I37)/D37)*1000)</f>
        <v xml:space="preserve"> </v>
      </c>
      <c r="F37" s="665" t="str">
        <f ca="1">IF(DATOSAÑO!$K387=0," ",DATOSAÑO!$K387)</f>
        <v xml:space="preserve"> </v>
      </c>
      <c r="G37" s="664" t="str">
        <f ca="1">IF(DATOSAÑO!$J387=0," ",DATOSAÑO!$J387)</f>
        <v xml:space="preserve"> </v>
      </c>
      <c r="H37" s="699" t="str">
        <f t="shared" ca="1" si="5"/>
        <v xml:space="preserve"> </v>
      </c>
      <c r="I37" s="663" t="str">
        <f ca="1">IF(AND($D37=" ",$G37=" ")," ",('GRAFICAS RPTE GCIAL'!AH170))</f>
        <v xml:space="preserve"> </v>
      </c>
      <c r="J37" s="666" t="str">
        <f ca="1">IF(I37=" "," ",17800)</f>
        <v xml:space="preserve"> </v>
      </c>
    </row>
    <row r="39" spans="1:13" ht="15" customHeight="1">
      <c r="A39" s="675"/>
      <c r="B39" s="675"/>
      <c r="C39" s="675"/>
      <c r="D39" s="675"/>
      <c r="E39" s="675"/>
    </row>
    <row r="40" spans="1:13" ht="15" customHeight="1" thickBot="1">
      <c r="A40" s="675"/>
      <c r="B40" s="675"/>
      <c r="C40" s="675"/>
      <c r="D40" s="675"/>
      <c r="E40" s="675"/>
    </row>
    <row r="41" spans="1:13" ht="21.75" customHeight="1">
      <c r="A41" s="675"/>
      <c r="B41" s="2607" t="s">
        <v>885</v>
      </c>
      <c r="C41" s="2607"/>
      <c r="D41" s="2607"/>
      <c r="E41" s="2607"/>
      <c r="F41" s="2608"/>
    </row>
    <row r="42" spans="1:13" ht="15" customHeight="1">
      <c r="A42" s="675"/>
      <c r="B42" s="675"/>
      <c r="C42" s="675"/>
      <c r="D42" s="675"/>
      <c r="E42" s="675"/>
    </row>
    <row r="43" spans="1:13">
      <c r="A43" s="675"/>
      <c r="B43" s="675"/>
      <c r="C43" s="675"/>
    </row>
    <row r="44" spans="1:13" ht="15" thickBot="1">
      <c r="A44" s="675"/>
      <c r="B44" s="675"/>
      <c r="C44" s="675"/>
    </row>
    <row r="45" spans="1:13" ht="15" thickBot="1">
      <c r="A45" s="675"/>
      <c r="B45" s="675"/>
      <c r="C45" s="675"/>
      <c r="D45" s="669" t="s">
        <v>886</v>
      </c>
      <c r="E45" s="670" t="s">
        <v>887</v>
      </c>
      <c r="F45" s="670"/>
      <c r="G45" s="671"/>
      <c r="H45" s="671"/>
    </row>
    <row r="46" spans="1:13" ht="15" thickBot="1">
      <c r="A46" s="675"/>
      <c r="B46" s="675"/>
      <c r="C46" s="675"/>
      <c r="D46" s="675"/>
      <c r="E46" s="675"/>
    </row>
    <row r="47" spans="1:13" ht="15" thickBot="1">
      <c r="A47" s="675"/>
      <c r="B47" s="2598" t="s">
        <v>131</v>
      </c>
      <c r="C47" s="2593" t="s">
        <v>5</v>
      </c>
      <c r="D47" s="2594"/>
      <c r="E47" s="2594"/>
      <c r="F47" s="2594"/>
      <c r="G47" s="2595" t="s">
        <v>6</v>
      </c>
      <c r="H47" s="2596"/>
      <c r="I47" s="2596"/>
      <c r="J47" s="2596"/>
      <c r="K47" s="2595" t="s">
        <v>888</v>
      </c>
      <c r="L47" s="2596"/>
      <c r="M47" s="2597"/>
    </row>
    <row r="48" spans="1:13" ht="58.5" thickBot="1">
      <c r="B48" s="2599"/>
      <c r="C48" s="672" t="s">
        <v>889</v>
      </c>
      <c r="D48" s="673" t="s">
        <v>890</v>
      </c>
      <c r="E48" s="688" t="s">
        <v>891</v>
      </c>
      <c r="F48" s="689" t="s">
        <v>945</v>
      </c>
      <c r="G48" s="672" t="s">
        <v>889</v>
      </c>
      <c r="H48" s="673" t="s">
        <v>890</v>
      </c>
      <c r="I48" s="673" t="s">
        <v>891</v>
      </c>
      <c r="J48" s="674" t="s">
        <v>946</v>
      </c>
      <c r="K48" s="672" t="s">
        <v>892</v>
      </c>
      <c r="L48" s="673" t="s">
        <v>893</v>
      </c>
      <c r="M48" s="674" t="s">
        <v>947</v>
      </c>
    </row>
    <row r="49" spans="2:13">
      <c r="B49" s="690" t="s">
        <v>175</v>
      </c>
      <c r="C49" s="694">
        <f ca="1">IF(DATOSAÑO!$C376=0," ",DATOSAÑO!$C376)</f>
        <v>5613.8399999999674</v>
      </c>
      <c r="D49" s="696">
        <f ca="1">IF(DATOSAÑO!$E376=0," ",DATOSAÑO!$E376)</f>
        <v>744</v>
      </c>
      <c r="E49" s="695">
        <f ca="1">IF(C49=" "," ",20.9)</f>
        <v>20.9</v>
      </c>
      <c r="F49" s="700">
        <f ca="1">IF(C49=" "," ",((C49)/(D49*E49)))</f>
        <v>0.36102793640993774</v>
      </c>
      <c r="G49" s="694">
        <f ca="1">IF(DATOSAÑO!$J376=0," ",DATOSAÑO!$J376)</f>
        <v>7936.4000000000015</v>
      </c>
      <c r="H49" s="695">
        <f ca="1">IF(DATOSAÑO!$J376=0," ",DATOSAÑO!$L376)</f>
        <v>744</v>
      </c>
      <c r="I49" s="695">
        <f ca="1">IF(G49=" "," ",20.9)</f>
        <v>20.9</v>
      </c>
      <c r="J49" s="703">
        <f ca="1">IF(G49=" "," ",((G49)/(H49*I49)))</f>
        <v>0.51039255029068287</v>
      </c>
      <c r="K49" s="694">
        <f ca="1">IF(DATOSAÑO!$W376=0," ",DATOSAÑO!$W376)</f>
        <v>13550.239999999969</v>
      </c>
      <c r="L49" s="695">
        <f ca="1">IF(DATOSAÑO!$J376=0," ",DATOSAÑO!$L376)</f>
        <v>744</v>
      </c>
      <c r="M49" s="704">
        <f ca="1">IF(G49=" "," ",(K49/(L49*(20.9*2))))</f>
        <v>0.43571024335031028</v>
      </c>
    </row>
    <row r="50" spans="2:13">
      <c r="B50" s="691" t="s">
        <v>176</v>
      </c>
      <c r="C50" s="693">
        <f ca="1">IF(DATOSAÑO!$C377=0," ",DATOSAÑO!$C377)</f>
        <v>8128.1600000000326</v>
      </c>
      <c r="D50" s="696">
        <f ca="1">IF(DATOSAÑO!$E377=0," ",DATOSAÑO!$E377)</f>
        <v>672</v>
      </c>
      <c r="E50" s="696">
        <f t="shared" ref="E50:E60" ca="1" si="6">IF(C50=" "," ",20.9)</f>
        <v>20.9</v>
      </c>
      <c r="F50" s="701">
        <f t="shared" ref="F50:F60" ca="1" si="7">IF(C50=" "," ",((C50)/(D50*E50)))</f>
        <v>0.57873091820460476</v>
      </c>
      <c r="G50" s="693">
        <f ca="1">IF(DATOSAÑO!$J377=0," ",DATOSAÑO!$J377)</f>
        <v>4107.4799999999996</v>
      </c>
      <c r="H50" s="696">
        <f ca="1">IF(DATOSAÑO!$J377=0," ",DATOSAÑO!$L377)</f>
        <v>668.79999999998836</v>
      </c>
      <c r="I50" s="696">
        <f t="shared" ref="I50:I60" ca="1" si="8">IF(G50=" "," ",20.9)</f>
        <v>20.9</v>
      </c>
      <c r="J50" s="705">
        <f t="shared" ref="J50:J60" ca="1" si="9">IF(G50=" "," ",((G50)/(H50*I50)))</f>
        <v>0.29385487969598273</v>
      </c>
      <c r="K50" s="693">
        <f ca="1">IF(DATOSAÑO!$W377=0," ",DATOSAÑO!$W377)</f>
        <v>12235.640000000032</v>
      </c>
      <c r="L50" s="696">
        <f ca="1">IF(DATOSAÑO!$J377=0," ",DATOSAÑO!$L377)</f>
        <v>668.79999999998836</v>
      </c>
      <c r="M50" s="704">
        <f t="shared" ref="M50:M60" ca="1" si="10">IF(G50=" "," ",(K50/(L50*(20.9*2))))</f>
        <v>0.43767742267806103</v>
      </c>
    </row>
    <row r="51" spans="2:13">
      <c r="B51" s="691" t="s">
        <v>177</v>
      </c>
      <c r="C51" s="693">
        <f ca="1">IF(DATOSAÑO!$C378=0," ",DATOSAÑO!$C378)</f>
        <v>9022.8399999999674</v>
      </c>
      <c r="D51" s="696">
        <f ca="1">IF(DATOSAÑO!$E378=0," ",DATOSAÑO!$E378)</f>
        <v>744</v>
      </c>
      <c r="E51" s="696">
        <f t="shared" ca="1" si="6"/>
        <v>20.9</v>
      </c>
      <c r="F51" s="701">
        <f t="shared" ca="1" si="7"/>
        <v>0.58026187168801568</v>
      </c>
      <c r="G51" s="693">
        <f ca="1">IF(DATOSAÑO!$J378=0," ",DATOSAÑO!$J378)</f>
        <v>4705.4199999999983</v>
      </c>
      <c r="H51" s="696">
        <f ca="1">IF(DATOSAÑO!$J378=0," ",DATOSAÑO!$L378)</f>
        <v>744</v>
      </c>
      <c r="I51" s="696">
        <f t="shared" ca="1" si="8"/>
        <v>20.9</v>
      </c>
      <c r="J51" s="705">
        <f t="shared" ca="1" si="9"/>
        <v>0.3026071410197046</v>
      </c>
      <c r="K51" s="693">
        <f ca="1">IF(DATOSAÑO!$W378=0," ",DATOSAÑO!$W378)</f>
        <v>13728.259999999966</v>
      </c>
      <c r="L51" s="696">
        <f ca="1">IF(DATOSAÑO!$J378=0," ",DATOSAÑO!$L378)</f>
        <v>744</v>
      </c>
      <c r="M51" s="704">
        <f t="shared" ca="1" si="10"/>
        <v>0.44143450635386011</v>
      </c>
    </row>
    <row r="52" spans="2:13">
      <c r="B52" s="691" t="s">
        <v>178</v>
      </c>
      <c r="C52" s="693">
        <f ca="1">IF(DATOSAÑO!$C379=0," ",DATOSAÑO!$C379)</f>
        <v>9357.1500000000233</v>
      </c>
      <c r="D52" s="696">
        <f ca="1">IF(DATOSAÑO!$E379=0," ",DATOSAÑO!$E379)</f>
        <v>718</v>
      </c>
      <c r="E52" s="696">
        <f t="shared" ca="1" si="6"/>
        <v>20.9</v>
      </c>
      <c r="F52" s="701">
        <f t="shared" ca="1" si="7"/>
        <v>0.62355226506377526</v>
      </c>
      <c r="G52" s="693">
        <f ca="1">IF(DATOSAÑO!$J379=0," ",DATOSAÑO!$J379)</f>
        <v>3766.1000000000022</v>
      </c>
      <c r="H52" s="696">
        <f ca="1">IF(DATOSAÑO!$J379=0," ",DATOSAÑO!$L379)</f>
        <v>631.89999999999418</v>
      </c>
      <c r="I52" s="696">
        <f t="shared" ca="1" si="8"/>
        <v>20.9</v>
      </c>
      <c r="J52" s="705">
        <f t="shared" ca="1" si="9"/>
        <v>0.28516564685679002</v>
      </c>
      <c r="K52" s="693">
        <f ca="1">IF(DATOSAÑO!$W379=0," ",DATOSAÑO!$W379)</f>
        <v>13123.250000000025</v>
      </c>
      <c r="L52" s="696">
        <f ca="1">IF(DATOSAÑO!$J379=0," ",DATOSAÑO!$L379)</f>
        <v>631.89999999999418</v>
      </c>
      <c r="M52" s="704">
        <f t="shared" ca="1" si="10"/>
        <v>0.49684024257366699</v>
      </c>
    </row>
    <row r="53" spans="2:13">
      <c r="B53" s="691" t="s">
        <v>179</v>
      </c>
      <c r="C53" s="693">
        <f ca="1">IF(DATOSAÑO!$C380=0," ",DATOSAÑO!$C380)</f>
        <v>6850.8499999999767</v>
      </c>
      <c r="D53" s="696">
        <f ca="1">IF(DATOSAÑO!$E380=0," ",DATOSAÑO!$E380)</f>
        <v>725.19999999998254</v>
      </c>
      <c r="E53" s="696">
        <f t="shared" ca="1" si="6"/>
        <v>20.9</v>
      </c>
      <c r="F53" s="701">
        <f t="shared" ca="1" si="7"/>
        <v>0.45200202155090308</v>
      </c>
      <c r="G53" s="693">
        <f ca="1">IF(DATOSAÑO!$J380=0," ",DATOSAÑO!$J380)</f>
        <v>6271.0999999999985</v>
      </c>
      <c r="H53" s="696">
        <f ca="1">IF(DATOSAÑO!$J380=0," ",DATOSAÑO!$L380)</f>
        <v>744</v>
      </c>
      <c r="I53" s="696">
        <f t="shared" ca="1" si="8"/>
        <v>20.9</v>
      </c>
      <c r="J53" s="705">
        <f t="shared" ca="1" si="9"/>
        <v>0.40329654782116575</v>
      </c>
      <c r="K53" s="693">
        <f ca="1">IF(DATOSAÑO!$W380=0," ",DATOSAÑO!$W380)</f>
        <v>13121.949999999975</v>
      </c>
      <c r="L53" s="696">
        <f ca="1">IF(DATOSAÑO!$J380=0," ",DATOSAÑO!$L380)</f>
        <v>744</v>
      </c>
      <c r="M53" s="704">
        <f t="shared" ca="1" si="10"/>
        <v>0.42193850645675696</v>
      </c>
    </row>
    <row r="54" spans="2:13">
      <c r="B54" s="691" t="s">
        <v>181</v>
      </c>
      <c r="C54" s="693">
        <f ca="1">IF(DATOSAÑO!$C381=0," ",DATOSAÑO!$C381)</f>
        <v>7944.3260000000009</v>
      </c>
      <c r="D54" s="696">
        <f ca="1">IF(DATOSAÑO!$E381=0," ",DATOSAÑO!$E381)</f>
        <v>720</v>
      </c>
      <c r="E54" s="696">
        <f t="shared" ca="1" si="6"/>
        <v>20.9</v>
      </c>
      <c r="F54" s="701">
        <f t="shared" ca="1" si="7"/>
        <v>0.52793234981392889</v>
      </c>
      <c r="G54" s="693">
        <f ca="1">IF(DATOSAÑO!$J381=0," ",DATOSAÑO!$J381)</f>
        <v>5185.239999999998</v>
      </c>
      <c r="H54" s="696">
        <f ca="1">IF(DATOSAÑO!$J381=0," ",DATOSAÑO!$L381)</f>
        <v>720</v>
      </c>
      <c r="I54" s="696">
        <f t="shared" ca="1" si="8"/>
        <v>20.9</v>
      </c>
      <c r="J54" s="705">
        <f t="shared" ca="1" si="9"/>
        <v>0.3445800106326421</v>
      </c>
      <c r="K54" s="693">
        <f ca="1">IF(DATOSAÑO!$W381=0," ",DATOSAÑO!$W381)</f>
        <v>13129.565999999999</v>
      </c>
      <c r="L54" s="696">
        <f ca="1">IF(DATOSAÑO!$J381=0," ",DATOSAÑO!$L381)</f>
        <v>720</v>
      </c>
      <c r="M54" s="704">
        <f t="shared" ca="1" si="10"/>
        <v>0.43625618022328549</v>
      </c>
    </row>
    <row r="55" spans="2:13">
      <c r="B55" s="691" t="s">
        <v>182</v>
      </c>
      <c r="C55" s="693">
        <f ca="1">IF(DATOSAÑO!$C382=0," ",DATOSAÑO!$C382)</f>
        <v>7105.6739999999991</v>
      </c>
      <c r="D55" s="696">
        <f ca="1">IF(DATOSAÑO!$E382=0," ",DATOSAÑO!$E382)</f>
        <v>744</v>
      </c>
      <c r="E55" s="696">
        <f t="shared" ca="1" si="6"/>
        <v>20.9</v>
      </c>
      <c r="F55" s="701">
        <f t="shared" ca="1" si="7"/>
        <v>0.45696828214230589</v>
      </c>
      <c r="G55" s="693">
        <f ca="1">IF(DATOSAÑO!$J382=0," ",DATOSAÑO!$J382)</f>
        <v>6458.760000000002</v>
      </c>
      <c r="H55" s="696">
        <f ca="1">IF(DATOSAÑO!$J382=0," ",DATOSAÑO!$L382)</f>
        <v>744</v>
      </c>
      <c r="I55" s="696">
        <f t="shared" ca="1" si="8"/>
        <v>20.9</v>
      </c>
      <c r="J55" s="705">
        <f t="shared" ca="1" si="9"/>
        <v>0.41536502546689319</v>
      </c>
      <c r="K55" s="693">
        <f ca="1">IF(DATOSAÑO!$W382=0," ",DATOSAÑO!$W382)</f>
        <v>13564.434000000001</v>
      </c>
      <c r="L55" s="696">
        <f ca="1">IF(DATOSAÑO!$J382=0," ",DATOSAÑO!$L382)</f>
        <v>744</v>
      </c>
      <c r="M55" s="704">
        <f t="shared" ca="1" si="10"/>
        <v>0.43616665380459957</v>
      </c>
    </row>
    <row r="56" spans="2:13">
      <c r="B56" s="691" t="s">
        <v>183</v>
      </c>
      <c r="C56" s="693">
        <f ca="1">IF(DATOSAÑO!$C383=0," ",DATOSAÑO!$C383)</f>
        <v>6453.3000000000466</v>
      </c>
      <c r="D56" s="696">
        <f ca="1">IF(DATOSAÑO!$E383=0," ",DATOSAÑO!$E383)</f>
        <v>744</v>
      </c>
      <c r="E56" s="696">
        <f t="shared" ca="1" si="6"/>
        <v>20.9</v>
      </c>
      <c r="F56" s="701">
        <f t="shared" ca="1" si="7"/>
        <v>0.4150138910325698</v>
      </c>
      <c r="G56" s="693">
        <f ca="1">IF(DATOSAÑO!$J383=0," ",DATOSAÑO!$J383)</f>
        <v>7362.4000000000015</v>
      </c>
      <c r="H56" s="696">
        <f ca="1">IF(DATOSAÑO!$J383=0," ",DATOSAÑO!$L383)</f>
        <v>731</v>
      </c>
      <c r="I56" s="696">
        <f t="shared" ca="1" si="8"/>
        <v>20.9</v>
      </c>
      <c r="J56" s="705">
        <f t="shared" ca="1" si="9"/>
        <v>0.48189869026502347</v>
      </c>
      <c r="K56" s="693">
        <f ca="1">IF(DATOSAÑO!$W383=0," ",DATOSAÑO!$W383)</f>
        <v>13815.700000000048</v>
      </c>
      <c r="L56" s="696">
        <f ca="1">IF(DATOSAÑO!$J383=0," ",DATOSAÑO!$L383)</f>
        <v>731</v>
      </c>
      <c r="M56" s="704">
        <f t="shared" ca="1" si="10"/>
        <v>0.45214656464566622</v>
      </c>
    </row>
    <row r="57" spans="2:13">
      <c r="B57" s="691" t="s">
        <v>184</v>
      </c>
      <c r="C57" s="693">
        <f ca="1">IF(DATOSAÑO!$C384=0," ",DATOSAÑO!$C384)</f>
        <v>3745.1999999999534</v>
      </c>
      <c r="D57" s="696">
        <f ca="1">IF(DATOSAÑO!$E384=0," ",DATOSAÑO!$E384)</f>
        <v>611.70000000001164</v>
      </c>
      <c r="E57" s="696">
        <f t="shared" ca="1" si="6"/>
        <v>20.9</v>
      </c>
      <c r="F57" s="701">
        <f t="shared" ca="1" si="7"/>
        <v>0.29294780488605232</v>
      </c>
      <c r="G57" s="693">
        <f ca="1">IF(DATOSAÑO!$J384=0," ",DATOSAÑO!$J384)</f>
        <v>9563.5989999999983</v>
      </c>
      <c r="H57" s="696">
        <f ca="1">IF(DATOSAÑO!$J384=0," ",DATOSAÑO!$L384)</f>
        <v>720</v>
      </c>
      <c r="I57" s="696">
        <f t="shared" ca="1" si="8"/>
        <v>20.9</v>
      </c>
      <c r="J57" s="705">
        <f t="shared" ca="1" si="9"/>
        <v>0.63553954013822433</v>
      </c>
      <c r="K57" s="693">
        <f ca="1">IF(DATOSAÑO!$W384=0," ",DATOSAÑO!$W384)</f>
        <v>13308.798999999952</v>
      </c>
      <c r="L57" s="696">
        <f ca="1">IF(DATOSAÑO!$J384=0," ",DATOSAÑO!$L384)</f>
        <v>720</v>
      </c>
      <c r="M57" s="704">
        <f t="shared" ca="1" si="10"/>
        <v>0.44221155635300219</v>
      </c>
    </row>
    <row r="58" spans="2:13">
      <c r="B58" s="691" t="s">
        <v>185</v>
      </c>
      <c r="C58" s="693">
        <f ca="1">IF(DATOSAÑO!$C385=0," ",DATOSAÑO!$C385)</f>
        <v>3667.5</v>
      </c>
      <c r="D58" s="696">
        <f ca="1">IF(DATOSAÑO!$E385=0," ",DATOSAÑO!$E385)</f>
        <v>496.20000000000005</v>
      </c>
      <c r="E58" s="696">
        <f t="shared" ca="1" si="6"/>
        <v>20.9</v>
      </c>
      <c r="F58" s="701">
        <f t="shared" ca="1" si="7"/>
        <v>0.35364463704055127</v>
      </c>
      <c r="G58" s="693">
        <f ca="1">IF(DATOSAÑO!$J385=0," ",DATOSAÑO!$J385)</f>
        <v>9807</v>
      </c>
      <c r="H58" s="696">
        <f ca="1">IF(DATOSAÑO!$J385=0," ",DATOSAÑO!$L385)</f>
        <v>744</v>
      </c>
      <c r="I58" s="696">
        <f t="shared" ca="1" si="8"/>
        <v>20.9</v>
      </c>
      <c r="J58" s="705">
        <f t="shared" ca="1" si="9"/>
        <v>0.63069146473221183</v>
      </c>
      <c r="K58" s="693">
        <f ca="1">IF(DATOSAÑO!$W385=0," ",DATOSAÑO!$W385)</f>
        <v>13474.5</v>
      </c>
      <c r="L58" s="696">
        <f ca="1">IF(DATOSAÑO!$J385=0," ",DATOSAÑO!$L385)</f>
        <v>744</v>
      </c>
      <c r="M58" s="704">
        <f t="shared" ca="1" si="10"/>
        <v>0.43327481092761233</v>
      </c>
    </row>
    <row r="59" spans="2:13">
      <c r="B59" s="691" t="s">
        <v>186</v>
      </c>
      <c r="C59" s="693">
        <f ca="1">IF(DATOSAÑO!$C386=0," ",DATOSAÑO!$C386)</f>
        <v>147</v>
      </c>
      <c r="D59" s="696">
        <f ca="1">IF(DATOSAÑO!$E386=0," ",DATOSAÑO!$E386)</f>
        <v>24</v>
      </c>
      <c r="E59" s="696">
        <f t="shared" ca="1" si="6"/>
        <v>20.9</v>
      </c>
      <c r="F59" s="701">
        <f t="shared" ca="1" si="7"/>
        <v>0.2930622009569378</v>
      </c>
      <c r="G59" s="693">
        <f ca="1">IF(DATOSAÑO!$J386=0," ",DATOSAÑO!$J386)</f>
        <v>293</v>
      </c>
      <c r="H59" s="696">
        <f ca="1">IF(DATOSAÑO!$J386=0," ",DATOSAÑO!$L386)</f>
        <v>24</v>
      </c>
      <c r="I59" s="696">
        <f t="shared" ca="1" si="8"/>
        <v>20.9</v>
      </c>
      <c r="J59" s="705">
        <f t="shared" ca="1" si="9"/>
        <v>0.58413078149920261</v>
      </c>
      <c r="K59" s="693">
        <f ca="1">IF(DATOSAÑO!$W386=0," ",DATOSAÑO!$W386)</f>
        <v>440</v>
      </c>
      <c r="L59" s="696">
        <f ca="1">IF(DATOSAÑO!$J386=0," ",DATOSAÑO!$L386)</f>
        <v>24</v>
      </c>
      <c r="M59" s="704">
        <f t="shared" ca="1" si="10"/>
        <v>0.43859649122807021</v>
      </c>
    </row>
    <row r="60" spans="2:13" ht="15" thickBot="1">
      <c r="B60" s="692" t="s">
        <v>187</v>
      </c>
      <c r="C60" s="697" t="str">
        <f ca="1">IF(DATOSAÑO!$C387=0," ",DATOSAÑO!$C387)</f>
        <v xml:space="preserve"> </v>
      </c>
      <c r="D60" s="698" t="str">
        <f ca="1">IF(DATOSAÑO!$E387=0," ",DATOSAÑO!$E387)</f>
        <v xml:space="preserve"> </v>
      </c>
      <c r="E60" s="698" t="str">
        <f t="shared" ca="1" si="6"/>
        <v xml:space="preserve"> </v>
      </c>
      <c r="F60" s="702" t="str">
        <f t="shared" ca="1" si="7"/>
        <v xml:space="preserve"> </v>
      </c>
      <c r="G60" s="697" t="str">
        <f ca="1">IF(DATOSAÑO!$J387=0," ",DATOSAÑO!$J387)</f>
        <v xml:space="preserve"> </v>
      </c>
      <c r="H60" s="698" t="str">
        <f ca="1">IF(DATOSAÑO!$J387=0," ",DATOSAÑO!$L387)</f>
        <v xml:space="preserve"> </v>
      </c>
      <c r="I60" s="698" t="str">
        <f t="shared" ca="1" si="8"/>
        <v xml:space="preserve"> </v>
      </c>
      <c r="J60" s="706" t="str">
        <f t="shared" ca="1" si="9"/>
        <v xml:space="preserve"> </v>
      </c>
      <c r="K60" s="697" t="str">
        <f ca="1">IF(DATOSAÑO!$W387=0," ",DATOSAÑO!$W387)</f>
        <v xml:space="preserve"> </v>
      </c>
      <c r="L60" s="698" t="str">
        <f ca="1">IF(DATOSAÑO!$J387=0," ",DATOSAÑO!$L387)</f>
        <v xml:space="preserve"> </v>
      </c>
      <c r="M60" s="707" t="str">
        <f t="shared" ca="1" si="10"/>
        <v xml:space="preserve"> </v>
      </c>
    </row>
    <row r="62" spans="2:13">
      <c r="D62">
        <f>20.9*24*31</f>
        <v>15549.599999999999</v>
      </c>
    </row>
    <row r="63" spans="2:13">
      <c r="K63" s="420">
        <f ca="1">G49+C49</f>
        <v>13550.239999999969</v>
      </c>
    </row>
  </sheetData>
  <mergeCells count="12">
    <mergeCell ref="B3:E3"/>
    <mergeCell ref="B22:E22"/>
    <mergeCell ref="B41:F41"/>
    <mergeCell ref="I24:I25"/>
    <mergeCell ref="J24:J25"/>
    <mergeCell ref="C47:F47"/>
    <mergeCell ref="G47:J47"/>
    <mergeCell ref="K47:M47"/>
    <mergeCell ref="B47:B48"/>
    <mergeCell ref="C24:E24"/>
    <mergeCell ref="F24:H24"/>
    <mergeCell ref="B24:B25"/>
  </mergeCells>
  <conditionalFormatting sqref="C26:C37">
    <cfRule type="cellIs" dxfId="87" priority="36" operator="equal">
      <formula>$C$44</formula>
    </cfRule>
  </conditionalFormatting>
  <conditionalFormatting sqref="F26:F37">
    <cfRule type="cellIs" dxfId="86" priority="25" operator="equal">
      <formula>$C$44</formula>
    </cfRule>
  </conditionalFormatting>
  <conditionalFormatting sqref="C25">
    <cfRule type="cellIs" dxfId="85" priority="15" operator="equal">
      <formula>$C$39</formula>
    </cfRule>
  </conditionalFormatting>
  <conditionalFormatting sqref="F25">
    <cfRule type="cellIs" dxfId="84" priority="12" operator="equal">
      <formula>$C$39</formula>
    </cfRule>
  </conditionalFormatting>
  <conditionalFormatting sqref="C24">
    <cfRule type="cellIs" dxfId="83" priority="9" operator="equal">
      <formula>$C$39</formula>
    </cfRule>
  </conditionalFormatting>
  <pageMargins left="0.7" right="0.7" top="0.75" bottom="0.75" header="0.3" footer="0.3"/>
  <pageSetup orientation="portrait" r:id="rId1"/>
  <ignoredErrors>
    <ignoredError sqref="H7 H8:I16 H17:I17" evalError="1"/>
  </ignoredErrors>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7030A0"/>
  </sheetPr>
  <dimension ref="A1:Q41"/>
  <sheetViews>
    <sheetView view="pageBreakPreview" zoomScale="80" zoomScaleNormal="82" zoomScaleSheetLayoutView="80" workbookViewId="0">
      <pane xSplit="2" ySplit="3" topLeftCell="K31" activePane="bottomRight" state="frozen"/>
      <selection activeCell="B4" sqref="B4:N9"/>
      <selection pane="topRight" activeCell="B4" sqref="B4:N9"/>
      <selection pane="bottomLeft" activeCell="B4" sqref="B4:N9"/>
      <selection pane="bottomRight" activeCell="B4" sqref="B4:N9"/>
    </sheetView>
  </sheetViews>
  <sheetFormatPr baseColWidth="10" defaultRowHeight="14.5"/>
  <cols>
    <col min="1" max="1" width="13.1796875" customWidth="1"/>
    <col min="2" max="2" width="44.453125" customWidth="1"/>
    <col min="3" max="3" width="43.453125" customWidth="1"/>
    <col min="4" max="4" width="13.81640625" hidden="1" customWidth="1"/>
    <col min="5" max="5" width="10.54296875" hidden="1" customWidth="1"/>
    <col min="6" max="6" width="19.453125" bestFit="1" customWidth="1"/>
    <col min="7" max="7" width="20.54296875" customWidth="1"/>
    <col min="8" max="9" width="18" bestFit="1" customWidth="1"/>
    <col min="10" max="10" width="20.54296875" customWidth="1"/>
    <col min="11" max="11" width="18" bestFit="1" customWidth="1"/>
    <col min="12" max="12" width="20.54296875" customWidth="1"/>
    <col min="13" max="13" width="18" customWidth="1"/>
    <col min="14" max="26" width="20.54296875" customWidth="1"/>
  </cols>
  <sheetData>
    <row r="1" spans="1:17" ht="28.5" customHeight="1">
      <c r="A1" s="626" t="s">
        <v>802</v>
      </c>
      <c r="B1" s="26"/>
      <c r="F1" s="26"/>
      <c r="G1" s="26">
        <f ca="1">TODAY( )</f>
        <v>45232</v>
      </c>
    </row>
    <row r="2" spans="1:17" s="468" customFormat="1" ht="7.5" customHeight="1">
      <c r="A2" s="488"/>
      <c r="B2" s="488"/>
      <c r="C2" s="557"/>
      <c r="D2" s="488"/>
      <c r="E2" s="557"/>
      <c r="F2" s="557"/>
      <c r="G2" s="488"/>
      <c r="H2" s="488"/>
      <c r="I2" s="488"/>
      <c r="J2" s="488"/>
      <c r="K2" s="488"/>
      <c r="L2" s="488"/>
      <c r="M2" s="488"/>
      <c r="N2" s="488"/>
      <c r="O2" s="488"/>
      <c r="P2" s="488"/>
      <c r="Q2" s="488"/>
    </row>
    <row r="3" spans="1:17" ht="15" customHeight="1">
      <c r="A3" s="479" t="s">
        <v>617</v>
      </c>
      <c r="B3" s="479" t="s">
        <v>655</v>
      </c>
      <c r="C3" s="479" t="s">
        <v>656</v>
      </c>
      <c r="D3" s="479" t="s">
        <v>657</v>
      </c>
      <c r="E3" s="479" t="s">
        <v>658</v>
      </c>
      <c r="F3" s="489">
        <v>44592</v>
      </c>
      <c r="G3" s="489">
        <v>44620</v>
      </c>
      <c r="H3" s="489">
        <v>44651</v>
      </c>
      <c r="I3" s="489">
        <v>44681</v>
      </c>
      <c r="J3" s="489">
        <v>44712</v>
      </c>
      <c r="K3" s="489">
        <v>44742</v>
      </c>
      <c r="L3" s="489">
        <v>44773</v>
      </c>
      <c r="M3" s="489">
        <v>44804</v>
      </c>
      <c r="N3" s="489">
        <v>44834</v>
      </c>
      <c r="O3" s="489">
        <v>44865</v>
      </c>
      <c r="P3" s="489">
        <v>44895</v>
      </c>
      <c r="Q3" s="489">
        <v>44926</v>
      </c>
    </row>
    <row r="4" spans="1:17">
      <c r="A4" s="2610">
        <v>1</v>
      </c>
      <c r="B4" s="2613" t="s">
        <v>636</v>
      </c>
      <c r="C4" s="558" t="s">
        <v>659</v>
      </c>
      <c r="D4" s="490">
        <v>40630713.010000005</v>
      </c>
      <c r="E4" s="491">
        <v>0.6</v>
      </c>
      <c r="F4" s="492">
        <f t="shared" ref="F4:Q4" ca="1" si="0">IF($G$1&gt;F15,24378427.806,0)</f>
        <v>24378427.806000002</v>
      </c>
      <c r="G4" s="492">
        <f t="shared" ca="1" si="0"/>
        <v>24378427.806000002</v>
      </c>
      <c r="H4" s="492">
        <f t="shared" ca="1" si="0"/>
        <v>24378427.806000002</v>
      </c>
      <c r="I4" s="492">
        <f t="shared" ca="1" si="0"/>
        <v>24378427.806000002</v>
      </c>
      <c r="J4" s="492">
        <f t="shared" ca="1" si="0"/>
        <v>24378427.806000002</v>
      </c>
      <c r="K4" s="492">
        <f t="shared" ca="1" si="0"/>
        <v>24378427.806000002</v>
      </c>
      <c r="L4" s="492">
        <f t="shared" ca="1" si="0"/>
        <v>24378427.806000002</v>
      </c>
      <c r="M4" s="492">
        <f t="shared" ca="1" si="0"/>
        <v>24378427.806000002</v>
      </c>
      <c r="N4" s="492">
        <f t="shared" ca="1" si="0"/>
        <v>24378427.806000002</v>
      </c>
      <c r="O4" s="492">
        <f t="shared" ca="1" si="0"/>
        <v>24378427.806000002</v>
      </c>
      <c r="P4" s="492">
        <f t="shared" ca="1" si="0"/>
        <v>24378427.806000002</v>
      </c>
      <c r="Q4" s="492">
        <f t="shared" ca="1" si="0"/>
        <v>24378427.806000002</v>
      </c>
    </row>
    <row r="5" spans="1:17">
      <c r="A5" s="2611"/>
      <c r="B5" s="2614"/>
      <c r="C5" s="558" t="s">
        <v>660</v>
      </c>
      <c r="D5" s="493">
        <v>33064224.008000001</v>
      </c>
      <c r="E5" s="491">
        <v>0.5</v>
      </c>
      <c r="F5" s="624">
        <f t="shared" ref="F5:Q5" ca="1" si="1">IF($G$1&gt;F15,16532112.004,0)</f>
        <v>16532112.004000001</v>
      </c>
      <c r="G5" s="624">
        <f t="shared" ca="1" si="1"/>
        <v>16532112.004000001</v>
      </c>
      <c r="H5" s="624">
        <f t="shared" ca="1" si="1"/>
        <v>16532112.004000001</v>
      </c>
      <c r="I5" s="624">
        <f t="shared" ca="1" si="1"/>
        <v>16532112.004000001</v>
      </c>
      <c r="J5" s="624">
        <f t="shared" ca="1" si="1"/>
        <v>16532112.004000001</v>
      </c>
      <c r="K5" s="624">
        <f t="shared" ca="1" si="1"/>
        <v>16532112.004000001</v>
      </c>
      <c r="L5" s="624">
        <f t="shared" ca="1" si="1"/>
        <v>16532112.004000001</v>
      </c>
      <c r="M5" s="624">
        <f t="shared" ca="1" si="1"/>
        <v>16532112.004000001</v>
      </c>
      <c r="N5" s="624">
        <f t="shared" ca="1" si="1"/>
        <v>16532112.004000001</v>
      </c>
      <c r="O5" s="624">
        <f t="shared" ca="1" si="1"/>
        <v>16532112.004000001</v>
      </c>
      <c r="P5" s="624">
        <f t="shared" ca="1" si="1"/>
        <v>16532112.004000001</v>
      </c>
      <c r="Q5" s="624">
        <f t="shared" ca="1" si="1"/>
        <v>16532112.004000001</v>
      </c>
    </row>
    <row r="6" spans="1:17">
      <c r="A6" s="2611"/>
      <c r="B6" s="2614"/>
      <c r="C6" s="558" t="s">
        <v>661</v>
      </c>
      <c r="D6" s="493">
        <v>6262521.0033333329</v>
      </c>
      <c r="E6" s="491">
        <v>0.05</v>
      </c>
      <c r="F6" s="492">
        <f t="shared" ref="F6:Q6" ca="1" si="2">IF($G$1&gt;F15,313126.050166667,0)</f>
        <v>313126.05016666697</v>
      </c>
      <c r="G6" s="492">
        <f t="shared" ca="1" si="2"/>
        <v>313126.05016666697</v>
      </c>
      <c r="H6" s="492">
        <f t="shared" ca="1" si="2"/>
        <v>313126.05016666697</v>
      </c>
      <c r="I6" s="492">
        <f t="shared" ca="1" si="2"/>
        <v>313126.05016666697</v>
      </c>
      <c r="J6" s="492">
        <f t="shared" ca="1" si="2"/>
        <v>313126.05016666697</v>
      </c>
      <c r="K6" s="492">
        <f t="shared" ca="1" si="2"/>
        <v>313126.05016666697</v>
      </c>
      <c r="L6" s="492">
        <f t="shared" ca="1" si="2"/>
        <v>313126.05016666697</v>
      </c>
      <c r="M6" s="492">
        <f t="shared" ca="1" si="2"/>
        <v>313126.05016666697</v>
      </c>
      <c r="N6" s="492">
        <f t="shared" ca="1" si="2"/>
        <v>313126.05016666697</v>
      </c>
      <c r="O6" s="492">
        <f t="shared" ca="1" si="2"/>
        <v>313126.05016666697</v>
      </c>
      <c r="P6" s="492">
        <f t="shared" ca="1" si="2"/>
        <v>313126.05016666697</v>
      </c>
      <c r="Q6" s="492">
        <f t="shared" ca="1" si="2"/>
        <v>313126.05016666697</v>
      </c>
    </row>
    <row r="7" spans="1:17">
      <c r="A7" s="2611"/>
      <c r="B7" s="2614"/>
      <c r="C7" s="558" t="s">
        <v>662</v>
      </c>
      <c r="D7" s="493">
        <v>4268188.0033333329</v>
      </c>
      <c r="E7" s="491">
        <v>0.05</v>
      </c>
      <c r="F7" s="492">
        <f t="shared" ref="F7:Q7" ca="1" si="3">IF($G$1&gt;F15,213409.400166667,0)</f>
        <v>213409.40016666701</v>
      </c>
      <c r="G7" s="492">
        <f t="shared" ca="1" si="3"/>
        <v>213409.40016666701</v>
      </c>
      <c r="H7" s="492">
        <f t="shared" ca="1" si="3"/>
        <v>213409.40016666701</v>
      </c>
      <c r="I7" s="492">
        <f t="shared" ca="1" si="3"/>
        <v>213409.40016666701</v>
      </c>
      <c r="J7" s="492">
        <f t="shared" ca="1" si="3"/>
        <v>213409.40016666701</v>
      </c>
      <c r="K7" s="492">
        <f t="shared" ca="1" si="3"/>
        <v>213409.40016666701</v>
      </c>
      <c r="L7" s="492">
        <f t="shared" ca="1" si="3"/>
        <v>213409.40016666701</v>
      </c>
      <c r="M7" s="492">
        <f t="shared" ca="1" si="3"/>
        <v>213409.40016666701</v>
      </c>
      <c r="N7" s="492">
        <f t="shared" ca="1" si="3"/>
        <v>213409.40016666701</v>
      </c>
      <c r="O7" s="492">
        <f t="shared" ca="1" si="3"/>
        <v>213409.40016666701</v>
      </c>
      <c r="P7" s="492">
        <f t="shared" ca="1" si="3"/>
        <v>213409.40016666701</v>
      </c>
      <c r="Q7" s="492">
        <f t="shared" ca="1" si="3"/>
        <v>213409.40016666701</v>
      </c>
    </row>
    <row r="8" spans="1:17" ht="15.75" customHeight="1">
      <c r="A8" s="2611"/>
      <c r="B8" s="2614"/>
      <c r="C8" s="558" t="s">
        <v>663</v>
      </c>
      <c r="D8" s="493">
        <v>11477873.003333334</v>
      </c>
      <c r="E8" s="491">
        <v>0.05</v>
      </c>
      <c r="F8" s="492">
        <f t="shared" ref="F8:Q8" ca="1" si="4">IF($G$1&gt;F15,573893.650166667,0)</f>
        <v>573893.65016666695</v>
      </c>
      <c r="G8" s="492">
        <f t="shared" ca="1" si="4"/>
        <v>573893.65016666695</v>
      </c>
      <c r="H8" s="492">
        <f t="shared" ca="1" si="4"/>
        <v>573893.65016666695</v>
      </c>
      <c r="I8" s="492">
        <f t="shared" ca="1" si="4"/>
        <v>573893.65016666695</v>
      </c>
      <c r="J8" s="492">
        <f t="shared" ca="1" si="4"/>
        <v>573893.65016666695</v>
      </c>
      <c r="K8" s="492">
        <f t="shared" ca="1" si="4"/>
        <v>573893.65016666695</v>
      </c>
      <c r="L8" s="492">
        <f t="shared" ca="1" si="4"/>
        <v>573893.65016666695</v>
      </c>
      <c r="M8" s="492">
        <f t="shared" ca="1" si="4"/>
        <v>573893.65016666695</v>
      </c>
      <c r="N8" s="492">
        <f t="shared" ca="1" si="4"/>
        <v>573893.65016666695</v>
      </c>
      <c r="O8" s="492">
        <f t="shared" ca="1" si="4"/>
        <v>573893.65016666695</v>
      </c>
      <c r="P8" s="492">
        <f t="shared" ca="1" si="4"/>
        <v>573893.65016666695</v>
      </c>
      <c r="Q8" s="492">
        <f t="shared" ca="1" si="4"/>
        <v>573893.65016666695</v>
      </c>
    </row>
    <row r="9" spans="1:17" ht="13.5" customHeight="1">
      <c r="A9" s="2612"/>
      <c r="B9" s="2615"/>
      <c r="C9" s="559" t="s">
        <v>664</v>
      </c>
      <c r="D9" s="494"/>
      <c r="E9" s="495"/>
      <c r="F9" s="496">
        <f t="shared" ref="F9:Q9" ca="1" si="5">IF($G$1&gt;F15,SUM(F4:F8),0)</f>
        <v>42010968.910500005</v>
      </c>
      <c r="G9" s="496">
        <f t="shared" ca="1" si="5"/>
        <v>42010968.910500005</v>
      </c>
      <c r="H9" s="496">
        <f t="shared" ca="1" si="5"/>
        <v>42010968.910500005</v>
      </c>
      <c r="I9" s="496">
        <f t="shared" ca="1" si="5"/>
        <v>42010968.910500005</v>
      </c>
      <c r="J9" s="496">
        <f t="shared" ca="1" si="5"/>
        <v>42010968.910500005</v>
      </c>
      <c r="K9" s="496">
        <f t="shared" ca="1" si="5"/>
        <v>42010968.910500005</v>
      </c>
      <c r="L9" s="496">
        <f t="shared" ca="1" si="5"/>
        <v>42010968.910500005</v>
      </c>
      <c r="M9" s="496">
        <f t="shared" ca="1" si="5"/>
        <v>42010968.910500005</v>
      </c>
      <c r="N9" s="496">
        <f t="shared" ca="1" si="5"/>
        <v>42010968.910500005</v>
      </c>
      <c r="O9" s="496">
        <f t="shared" ca="1" si="5"/>
        <v>42010968.910500005</v>
      </c>
      <c r="P9" s="496">
        <f t="shared" ca="1" si="5"/>
        <v>42010968.910500005</v>
      </c>
      <c r="Q9" s="496">
        <f t="shared" ca="1" si="5"/>
        <v>42010968.910500005</v>
      </c>
    </row>
    <row r="10" spans="1:17" ht="24" customHeight="1">
      <c r="A10" s="497">
        <v>2</v>
      </c>
      <c r="B10" s="498" t="s">
        <v>665</v>
      </c>
      <c r="C10" s="560" t="s">
        <v>666</v>
      </c>
      <c r="D10" s="499"/>
      <c r="E10" s="500"/>
      <c r="F10" s="493">
        <f ca="1">IF($G$1&gt;F15,5000000,0)</f>
        <v>5000000</v>
      </c>
      <c r="G10" s="493">
        <f ca="1">IF($G$1&gt;G15,5000000,0)</f>
        <v>5000000</v>
      </c>
      <c r="H10" s="493">
        <f ca="1">IF($G$1&gt;H15,5000000,0)</f>
        <v>5000000</v>
      </c>
      <c r="I10" s="493">
        <f ca="1">IF($G$1&gt;I15,5000000,0)</f>
        <v>5000000</v>
      </c>
      <c r="J10" s="493">
        <f t="shared" ref="J10:Q10" ca="1" si="6">IF($G$1&gt;J15,5000000,0)</f>
        <v>5000000</v>
      </c>
      <c r="K10" s="493">
        <f t="shared" ca="1" si="6"/>
        <v>5000000</v>
      </c>
      <c r="L10" s="493">
        <f t="shared" ca="1" si="6"/>
        <v>5000000</v>
      </c>
      <c r="M10" s="493">
        <f t="shared" ca="1" si="6"/>
        <v>5000000</v>
      </c>
      <c r="N10" s="493">
        <f t="shared" ca="1" si="6"/>
        <v>5000000</v>
      </c>
      <c r="O10" s="493">
        <f t="shared" ca="1" si="6"/>
        <v>5000000</v>
      </c>
      <c r="P10" s="493">
        <f t="shared" ca="1" si="6"/>
        <v>5000000</v>
      </c>
      <c r="Q10" s="493">
        <f t="shared" ca="1" si="6"/>
        <v>5000000</v>
      </c>
    </row>
    <row r="11" spans="1:17" ht="22.5" customHeight="1">
      <c r="A11" s="556">
        <v>3</v>
      </c>
      <c r="B11" s="501" t="s">
        <v>667</v>
      </c>
      <c r="C11" s="502" t="s">
        <v>668</v>
      </c>
      <c r="D11" s="492"/>
      <c r="E11" s="503"/>
      <c r="F11" s="492">
        <f ca="1">IF($G$1&gt;F15,6503040.44444444,0)</f>
        <v>6503040.4444444403</v>
      </c>
      <c r="G11" s="492">
        <f ca="1">IF($G$1&gt;G15,6503040.44444444,0)</f>
        <v>6503040.4444444403</v>
      </c>
      <c r="H11" s="492">
        <f ca="1">IF($G$1&gt;H15,6503040.44444444,0)</f>
        <v>6503040.4444444403</v>
      </c>
      <c r="I11" s="492">
        <f ca="1">IF($G$1&gt;I15,6503040.44444444,0)</f>
        <v>6503040.4444444403</v>
      </c>
      <c r="J11" s="492">
        <f t="shared" ref="J11:Q11" ca="1" si="7">IF($G$1&gt;J15,6503040.44444444,0)</f>
        <v>6503040.4444444403</v>
      </c>
      <c r="K11" s="492">
        <f t="shared" ca="1" si="7"/>
        <v>6503040.4444444403</v>
      </c>
      <c r="L11" s="492">
        <f t="shared" ca="1" si="7"/>
        <v>6503040.4444444403</v>
      </c>
      <c r="M11" s="492">
        <f t="shared" ca="1" si="7"/>
        <v>6503040.4444444403</v>
      </c>
      <c r="N11" s="492">
        <f t="shared" ca="1" si="7"/>
        <v>6503040.4444444403</v>
      </c>
      <c r="O11" s="492">
        <f t="shared" ca="1" si="7"/>
        <v>6503040.4444444403</v>
      </c>
      <c r="P11" s="492">
        <f t="shared" ca="1" si="7"/>
        <v>6503040.4444444403</v>
      </c>
      <c r="Q11" s="492">
        <f t="shared" ca="1" si="7"/>
        <v>6503040.4444444403</v>
      </c>
    </row>
    <row r="12" spans="1:17" ht="24.75" customHeight="1">
      <c r="A12" s="497">
        <v>4</v>
      </c>
      <c r="B12" s="498" t="s">
        <v>669</v>
      </c>
      <c r="C12" s="560" t="s">
        <v>670</v>
      </c>
      <c r="D12" s="493"/>
      <c r="E12" s="504"/>
      <c r="F12" s="493">
        <f ca="1">IF($G$1&gt;F15,17942280,0)</f>
        <v>17942280</v>
      </c>
      <c r="G12" s="493">
        <f ca="1">IF($G$1&gt;G15,17942280,0)</f>
        <v>17942280</v>
      </c>
      <c r="H12" s="493">
        <f ca="1">IF($G$1&gt;H15,17942280,0)</f>
        <v>17942280</v>
      </c>
      <c r="I12" s="493">
        <f ca="1">IF($G$1&gt;I15,17942280,0)</f>
        <v>17942280</v>
      </c>
      <c r="J12" s="493">
        <f t="shared" ref="J12:Q12" ca="1" si="8">IF($G$1&gt;J15,17942280,0)</f>
        <v>17942280</v>
      </c>
      <c r="K12" s="493">
        <f t="shared" ca="1" si="8"/>
        <v>17942280</v>
      </c>
      <c r="L12" s="493">
        <f t="shared" ca="1" si="8"/>
        <v>17942280</v>
      </c>
      <c r="M12" s="493">
        <f t="shared" ca="1" si="8"/>
        <v>17942280</v>
      </c>
      <c r="N12" s="493">
        <f t="shared" ca="1" si="8"/>
        <v>17942280</v>
      </c>
      <c r="O12" s="493">
        <f t="shared" ca="1" si="8"/>
        <v>17942280</v>
      </c>
      <c r="P12" s="493">
        <f t="shared" ca="1" si="8"/>
        <v>17942280</v>
      </c>
      <c r="Q12" s="493">
        <f t="shared" ca="1" si="8"/>
        <v>17942280</v>
      </c>
    </row>
    <row r="13" spans="1:17" ht="17.25" customHeight="1">
      <c r="A13" s="505"/>
      <c r="B13" s="505"/>
      <c r="C13" s="506" t="s">
        <v>671</v>
      </c>
      <c r="D13" s="507"/>
      <c r="E13" s="508"/>
      <c r="F13" s="509">
        <f t="shared" ref="F13:Q13" ca="1" si="9">IF($G$1&gt;F15,SUM(F9:F12),0)</f>
        <v>71456289.354944438</v>
      </c>
      <c r="G13" s="509">
        <f t="shared" ca="1" si="9"/>
        <v>71456289.354944438</v>
      </c>
      <c r="H13" s="509">
        <f t="shared" ca="1" si="9"/>
        <v>71456289.354944438</v>
      </c>
      <c r="I13" s="509">
        <f t="shared" ca="1" si="9"/>
        <v>71456289.354944438</v>
      </c>
      <c r="J13" s="509">
        <f t="shared" ca="1" si="9"/>
        <v>71456289.354944438</v>
      </c>
      <c r="K13" s="509">
        <f t="shared" ca="1" si="9"/>
        <v>71456289.354944438</v>
      </c>
      <c r="L13" s="509">
        <f t="shared" ca="1" si="9"/>
        <v>71456289.354944438</v>
      </c>
      <c r="M13" s="509">
        <f t="shared" ca="1" si="9"/>
        <v>71456289.354944438</v>
      </c>
      <c r="N13" s="509">
        <f t="shared" ca="1" si="9"/>
        <v>71456289.354944438</v>
      </c>
      <c r="O13" s="509">
        <f t="shared" ca="1" si="9"/>
        <v>71456289.354944438</v>
      </c>
      <c r="P13" s="509">
        <f t="shared" ca="1" si="9"/>
        <v>71456289.354944438</v>
      </c>
      <c r="Q13" s="509">
        <f t="shared" ca="1" si="9"/>
        <v>71456289.354944438</v>
      </c>
    </row>
    <row r="14" spans="1:17">
      <c r="A14" s="510"/>
      <c r="B14" s="511"/>
      <c r="C14" s="512"/>
      <c r="D14" s="513"/>
      <c r="E14" s="514"/>
      <c r="F14" s="515"/>
      <c r="G14" s="513"/>
      <c r="H14" s="513"/>
      <c r="I14" s="513"/>
      <c r="J14" s="513"/>
      <c r="K14" s="513"/>
      <c r="L14" s="513"/>
      <c r="M14" s="513"/>
      <c r="N14" s="513"/>
      <c r="O14" s="513"/>
      <c r="P14" s="513"/>
      <c r="Q14" s="513"/>
    </row>
    <row r="15" spans="1:17" ht="15.5">
      <c r="A15" s="479" t="s">
        <v>617</v>
      </c>
      <c r="B15" s="479" t="s">
        <v>672</v>
      </c>
      <c r="C15" s="479" t="s">
        <v>656</v>
      </c>
      <c r="D15" s="479" t="s">
        <v>673</v>
      </c>
      <c r="E15" s="479"/>
      <c r="F15" s="489">
        <v>44592</v>
      </c>
      <c r="G15" s="489">
        <v>44620</v>
      </c>
      <c r="H15" s="489">
        <v>44651</v>
      </c>
      <c r="I15" s="489">
        <v>44681</v>
      </c>
      <c r="J15" s="489">
        <v>44712</v>
      </c>
      <c r="K15" s="489">
        <v>44742</v>
      </c>
      <c r="L15" s="489">
        <v>44773</v>
      </c>
      <c r="M15" s="489">
        <v>44804</v>
      </c>
      <c r="N15" s="489">
        <v>44834</v>
      </c>
      <c r="O15" s="489">
        <v>44865</v>
      </c>
      <c r="P15" s="489">
        <v>44895</v>
      </c>
      <c r="Q15" s="489">
        <v>44926</v>
      </c>
    </row>
    <row r="16" spans="1:17" ht="30" customHeight="1">
      <c r="A16" s="497">
        <v>1</v>
      </c>
      <c r="B16" s="498" t="s">
        <v>674</v>
      </c>
      <c r="C16" s="516" t="s">
        <v>675</v>
      </c>
      <c r="D16" s="517"/>
      <c r="E16" s="518"/>
      <c r="F16" s="708">
        <v>0</v>
      </c>
      <c r="G16" s="708">
        <v>0</v>
      </c>
      <c r="H16" s="708">
        <v>0</v>
      </c>
      <c r="I16" s="708">
        <v>0</v>
      </c>
      <c r="J16" s="708">
        <v>0</v>
      </c>
      <c r="K16" s="519">
        <v>0</v>
      </c>
      <c r="L16" s="519">
        <v>0</v>
      </c>
      <c r="M16" s="519">
        <v>0</v>
      </c>
      <c r="N16" s="519">
        <v>0</v>
      </c>
      <c r="O16" s="519">
        <v>0</v>
      </c>
      <c r="P16" s="519">
        <v>0</v>
      </c>
      <c r="Q16" s="519">
        <v>0</v>
      </c>
    </row>
    <row r="17" spans="1:17" ht="22.5" customHeight="1">
      <c r="A17" s="497">
        <v>2</v>
      </c>
      <c r="B17" s="498" t="s">
        <v>676</v>
      </c>
      <c r="C17" s="653">
        <v>0.2</v>
      </c>
      <c r="D17" s="521"/>
      <c r="E17" s="522"/>
      <c r="F17" s="519">
        <f t="shared" ref="F17:Q17" ca="1" si="10">IF($G$1&gt;F15,($C$17*F27)*F38,0)</f>
        <v>0</v>
      </c>
      <c r="G17" s="519">
        <f t="shared" ca="1" si="10"/>
        <v>0</v>
      </c>
      <c r="H17" s="519">
        <f t="shared" ca="1" si="10"/>
        <v>0</v>
      </c>
      <c r="I17" s="519">
        <f t="shared" ca="1" si="10"/>
        <v>0</v>
      </c>
      <c r="J17" s="519">
        <f t="shared" ca="1" si="10"/>
        <v>0</v>
      </c>
      <c r="K17" s="519">
        <f t="shared" ca="1" si="10"/>
        <v>0</v>
      </c>
      <c r="L17" s="519">
        <f t="shared" ca="1" si="10"/>
        <v>0</v>
      </c>
      <c r="M17" s="519">
        <f t="shared" ca="1" si="10"/>
        <v>0</v>
      </c>
      <c r="N17" s="519">
        <f t="shared" ca="1" si="10"/>
        <v>0</v>
      </c>
      <c r="O17" s="519">
        <f t="shared" ca="1" si="10"/>
        <v>0</v>
      </c>
      <c r="P17" s="519">
        <f t="shared" ca="1" si="10"/>
        <v>0</v>
      </c>
      <c r="Q17" s="519">
        <f t="shared" ca="1" si="10"/>
        <v>0</v>
      </c>
    </row>
    <row r="18" spans="1:17" ht="27.75" customHeight="1">
      <c r="A18" s="497">
        <v>3</v>
      </c>
      <c r="B18" s="498" t="s">
        <v>677</v>
      </c>
      <c r="C18" s="654">
        <v>1800</v>
      </c>
      <c r="D18" s="523"/>
      <c r="E18" s="522"/>
      <c r="F18" s="519">
        <f t="shared" ref="F18:Q18" ca="1" si="11">IF($G$1&gt;F15,$C$18*F26,0)</f>
        <v>947591.99999998778</v>
      </c>
      <c r="G18" s="519">
        <f t="shared" ca="1" si="11"/>
        <v>992303.9999999865</v>
      </c>
      <c r="H18" s="519">
        <f t="shared" ca="1" si="11"/>
        <v>368063.99999998941</v>
      </c>
      <c r="I18" s="519">
        <f t="shared" ca="1" si="11"/>
        <v>6845688.0000000214</v>
      </c>
      <c r="J18" s="519">
        <f t="shared" ca="1" si="11"/>
        <v>928152.00000000547</v>
      </c>
      <c r="K18" s="519">
        <f t="shared" ca="1" si="11"/>
        <v>450575.99999997817</v>
      </c>
      <c r="L18" s="519">
        <f t="shared" ca="1" si="11"/>
        <v>763344.00000002282</v>
      </c>
      <c r="M18" s="519">
        <f t="shared" ca="1" si="11"/>
        <v>3017088.0000000163</v>
      </c>
      <c r="N18" s="519">
        <f t="shared" ca="1" si="11"/>
        <v>10637784.000000006</v>
      </c>
      <c r="O18" s="519">
        <f t="shared" ca="1" si="11"/>
        <v>25066727.999999996</v>
      </c>
      <c r="P18" s="519">
        <f t="shared" ca="1" si="11"/>
        <v>0</v>
      </c>
      <c r="Q18" s="519">
        <f t="shared" ca="1" si="11"/>
        <v>0</v>
      </c>
    </row>
    <row r="19" spans="1:17" ht="24.75" customHeight="1">
      <c r="A19" s="497">
        <v>4</v>
      </c>
      <c r="B19" s="524" t="s">
        <v>678</v>
      </c>
      <c r="C19" s="654">
        <v>42845</v>
      </c>
      <c r="D19" s="521"/>
      <c r="E19" s="522"/>
      <c r="F19" s="519">
        <f t="shared" ref="F19:Q19" ca="1" si="12">IF($G$1&gt;F15,$C$19*F25,0)</f>
        <v>0</v>
      </c>
      <c r="G19" s="519">
        <f t="shared" ca="1" si="12"/>
        <v>0</v>
      </c>
      <c r="H19" s="519">
        <f t="shared" ca="1" si="12"/>
        <v>0</v>
      </c>
      <c r="I19" s="519">
        <f t="shared" ca="1" si="12"/>
        <v>0</v>
      </c>
      <c r="J19" s="519">
        <f t="shared" ca="1" si="12"/>
        <v>0</v>
      </c>
      <c r="K19" s="519">
        <f t="shared" ca="1" si="12"/>
        <v>0</v>
      </c>
      <c r="L19" s="519">
        <f t="shared" ca="1" si="12"/>
        <v>0</v>
      </c>
      <c r="M19" s="519">
        <f t="shared" ca="1" si="12"/>
        <v>0</v>
      </c>
      <c r="N19" s="519">
        <f t="shared" ca="1" si="12"/>
        <v>0</v>
      </c>
      <c r="O19" s="519">
        <f t="shared" ca="1" si="12"/>
        <v>0</v>
      </c>
      <c r="P19" s="519">
        <f t="shared" ca="1" si="12"/>
        <v>0</v>
      </c>
      <c r="Q19" s="519">
        <f t="shared" ca="1" si="12"/>
        <v>0</v>
      </c>
    </row>
    <row r="20" spans="1:17" ht="22.5" customHeight="1">
      <c r="A20" s="556">
        <v>5</v>
      </c>
      <c r="B20" s="501" t="s">
        <v>679</v>
      </c>
      <c r="C20" s="558" t="s">
        <v>680</v>
      </c>
      <c r="D20" s="525"/>
      <c r="E20" s="518"/>
      <c r="F20" s="708">
        <v>0</v>
      </c>
      <c r="G20" s="708">
        <v>0</v>
      </c>
      <c r="H20" s="708">
        <v>0</v>
      </c>
      <c r="I20" s="709">
        <v>0</v>
      </c>
      <c r="J20" s="708">
        <v>0</v>
      </c>
      <c r="K20" s="708">
        <v>0</v>
      </c>
      <c r="L20" s="708">
        <v>0</v>
      </c>
      <c r="M20" s="519">
        <v>0</v>
      </c>
      <c r="N20" s="519">
        <v>0</v>
      </c>
      <c r="O20" s="519">
        <v>0</v>
      </c>
      <c r="P20" s="519">
        <v>0</v>
      </c>
      <c r="Q20" s="519">
        <v>0</v>
      </c>
    </row>
    <row r="21" spans="1:17" ht="22.5" customHeight="1">
      <c r="A21" s="556">
        <v>6</v>
      </c>
      <c r="B21" s="501" t="s">
        <v>681</v>
      </c>
      <c r="C21" s="558" t="s">
        <v>680</v>
      </c>
      <c r="D21" s="521"/>
      <c r="E21" s="522"/>
      <c r="F21" s="710">
        <v>0</v>
      </c>
      <c r="G21" s="710">
        <v>0</v>
      </c>
      <c r="H21" s="710">
        <v>0</v>
      </c>
      <c r="I21" s="710">
        <v>0</v>
      </c>
      <c r="J21" s="710">
        <v>0</v>
      </c>
      <c r="K21" s="710">
        <v>0</v>
      </c>
      <c r="L21" s="710">
        <v>0</v>
      </c>
      <c r="M21" s="520">
        <v>0</v>
      </c>
      <c r="N21" s="520">
        <v>0</v>
      </c>
      <c r="O21" s="520">
        <v>0</v>
      </c>
      <c r="P21" s="520">
        <v>0</v>
      </c>
      <c r="Q21" s="520">
        <v>0</v>
      </c>
    </row>
    <row r="22" spans="1:17" ht="27.75" customHeight="1">
      <c r="A22" s="497">
        <v>7</v>
      </c>
      <c r="B22" s="498" t="s">
        <v>682</v>
      </c>
      <c r="C22" s="502" t="s">
        <v>683</v>
      </c>
      <c r="D22" s="521"/>
      <c r="E22" s="522"/>
      <c r="F22" s="710">
        <v>0</v>
      </c>
      <c r="G22" s="710">
        <v>0</v>
      </c>
      <c r="H22" s="710">
        <v>0</v>
      </c>
      <c r="I22" s="710">
        <v>0</v>
      </c>
      <c r="J22" s="710">
        <v>0</v>
      </c>
      <c r="K22" s="710">
        <v>0</v>
      </c>
      <c r="L22" s="710">
        <v>0</v>
      </c>
      <c r="M22" s="520">
        <v>0</v>
      </c>
      <c r="N22" s="520">
        <v>0</v>
      </c>
      <c r="O22" s="520">
        <v>0</v>
      </c>
      <c r="P22" s="520">
        <v>0</v>
      </c>
      <c r="Q22" s="520">
        <v>0</v>
      </c>
    </row>
    <row r="23" spans="1:17" ht="22.5" customHeight="1">
      <c r="A23" s="497">
        <v>8</v>
      </c>
      <c r="B23" s="498" t="s">
        <v>684</v>
      </c>
      <c r="C23" s="526" t="s">
        <v>685</v>
      </c>
      <c r="D23" s="561"/>
      <c r="E23" s="522"/>
      <c r="F23" s="710">
        <v>0</v>
      </c>
      <c r="G23" s="710">
        <v>0</v>
      </c>
      <c r="H23" s="710">
        <v>0</v>
      </c>
      <c r="I23" s="710">
        <v>0</v>
      </c>
      <c r="J23" s="710">
        <v>0</v>
      </c>
      <c r="K23" s="710">
        <v>0</v>
      </c>
      <c r="L23" s="710">
        <v>0</v>
      </c>
      <c r="M23" s="520">
        <v>0</v>
      </c>
      <c r="N23" s="520">
        <v>0</v>
      </c>
      <c r="O23" s="520">
        <v>0</v>
      </c>
      <c r="P23" s="520">
        <v>0</v>
      </c>
      <c r="Q23" s="520">
        <v>0</v>
      </c>
    </row>
    <row r="24" spans="1:17" ht="22.5" customHeight="1">
      <c r="A24" s="527">
        <v>9</v>
      </c>
      <c r="B24" s="528" t="s">
        <v>686</v>
      </c>
      <c r="C24" s="529" t="s">
        <v>687</v>
      </c>
      <c r="D24" s="530"/>
      <c r="E24" s="531"/>
      <c r="F24" s="711">
        <v>0</v>
      </c>
      <c r="G24" s="711">
        <v>0</v>
      </c>
      <c r="H24" s="711">
        <v>0</v>
      </c>
      <c r="I24" s="711">
        <v>0</v>
      </c>
      <c r="J24" s="711">
        <v>0</v>
      </c>
      <c r="K24" s="711">
        <v>0</v>
      </c>
      <c r="L24" s="711">
        <v>0</v>
      </c>
      <c r="M24" s="532">
        <v>0</v>
      </c>
      <c r="N24" s="532">
        <v>0</v>
      </c>
      <c r="O24" s="532">
        <v>0</v>
      </c>
      <c r="P24" s="532">
        <v>0</v>
      </c>
      <c r="Q24" s="532">
        <v>0</v>
      </c>
    </row>
    <row r="25" spans="1:17" ht="22.5" customHeight="1">
      <c r="A25" s="527">
        <v>10</v>
      </c>
      <c r="B25" s="528" t="s">
        <v>688</v>
      </c>
      <c r="C25" s="529" t="s">
        <v>689</v>
      </c>
      <c r="D25" s="530"/>
      <c r="E25" s="531"/>
      <c r="F25" s="836">
        <v>0</v>
      </c>
      <c r="G25" s="836">
        <v>0</v>
      </c>
      <c r="H25" s="836">
        <v>0</v>
      </c>
      <c r="I25" s="836"/>
      <c r="J25" s="836"/>
      <c r="K25" s="836"/>
      <c r="L25" s="836"/>
      <c r="M25" s="837"/>
      <c r="N25" s="837"/>
      <c r="O25" s="837"/>
      <c r="P25" s="837"/>
      <c r="Q25" s="837"/>
    </row>
    <row r="26" spans="1:17" ht="22.5" customHeight="1">
      <c r="A26" s="527">
        <v>0</v>
      </c>
      <c r="B26" s="528" t="s">
        <v>690</v>
      </c>
      <c r="C26" s="533" t="s">
        <v>691</v>
      </c>
      <c r="D26" s="530"/>
      <c r="E26" s="531"/>
      <c r="F26" s="838">
        <f ca="1">'GRAFICAS RPTE GCIAL'!AG159</f>
        <v>526.43999999999323</v>
      </c>
      <c r="G26" s="838">
        <f ca="1">'GRAFICAS RPTE GCIAL'!AG160</f>
        <v>551.27999999999247</v>
      </c>
      <c r="H26" s="838">
        <f ca="1">'GRAFICAS RPTE GCIAL'!AG161</f>
        <v>204.47999999999411</v>
      </c>
      <c r="I26" s="838">
        <f ca="1">'GRAFICAS RPTE GCIAL'!AG162</f>
        <v>3803.1600000000117</v>
      </c>
      <c r="J26" s="838">
        <f ca="1">'GRAFICAS RPTE GCIAL'!AG163</f>
        <v>515.64000000000306</v>
      </c>
      <c r="K26" s="838">
        <f ca="1">'GRAFICAS RPTE GCIAL'!AG164</f>
        <v>250.31999999998789</v>
      </c>
      <c r="L26" s="838">
        <f ca="1">'GRAFICAS RPTE GCIAL'!AG165</f>
        <v>424.08000000001266</v>
      </c>
      <c r="M26" s="838">
        <f ca="1">'GRAFICAS RPTE GCIAL'!AG166</f>
        <v>1676.1600000000089</v>
      </c>
      <c r="N26" s="838">
        <f ca="1">'GRAFICAS RPTE GCIAL'!AG167</f>
        <v>5909.8800000000028</v>
      </c>
      <c r="O26" s="838">
        <f ca="1">'GRAFICAS RPTE GCIAL'!AG168</f>
        <v>13925.959999999997</v>
      </c>
      <c r="P26" s="838">
        <f ca="1">'GRAFICAS RPTE GCIAL'!AG169</f>
        <v>0</v>
      </c>
      <c r="Q26" s="838">
        <f ca="1">'GRAFICAS RPTE GCIAL'!AG170</f>
        <v>0</v>
      </c>
    </row>
    <row r="27" spans="1:17" ht="22.5" customHeight="1">
      <c r="A27" s="527">
        <v>12</v>
      </c>
      <c r="B27" s="528" t="s">
        <v>692</v>
      </c>
      <c r="C27" s="529" t="s">
        <v>693</v>
      </c>
      <c r="D27" s="530"/>
      <c r="E27" s="531"/>
      <c r="F27" s="711">
        <v>0</v>
      </c>
      <c r="G27" s="711">
        <v>0</v>
      </c>
      <c r="H27" s="711">
        <v>0</v>
      </c>
      <c r="I27" s="711">
        <v>0</v>
      </c>
      <c r="J27" s="711">
        <v>0</v>
      </c>
      <c r="K27" s="711">
        <v>0</v>
      </c>
      <c r="L27" s="711">
        <v>0</v>
      </c>
      <c r="M27" s="532">
        <v>0</v>
      </c>
      <c r="N27" s="532">
        <v>0</v>
      </c>
      <c r="O27" s="532">
        <v>0</v>
      </c>
      <c r="P27" s="532">
        <v>0</v>
      </c>
      <c r="Q27" s="532">
        <v>0</v>
      </c>
    </row>
    <row r="28" spans="1:17" ht="22.5" customHeight="1">
      <c r="A28" s="534"/>
      <c r="B28" s="535"/>
      <c r="C28" s="506" t="s">
        <v>694</v>
      </c>
      <c r="D28" s="536"/>
      <c r="E28" s="537"/>
      <c r="F28" s="538">
        <f t="shared" ref="F28:Q28" ca="1" si="13">IF($G$1&gt;F15,SUM(F16:F24),0)</f>
        <v>947591.99999998778</v>
      </c>
      <c r="G28" s="538">
        <f t="shared" ca="1" si="13"/>
        <v>992303.9999999865</v>
      </c>
      <c r="H28" s="538">
        <f t="shared" ca="1" si="13"/>
        <v>368063.99999998941</v>
      </c>
      <c r="I28" s="538">
        <f t="shared" ca="1" si="13"/>
        <v>6845688.0000000214</v>
      </c>
      <c r="J28" s="538">
        <f t="shared" ca="1" si="13"/>
        <v>928152.00000000547</v>
      </c>
      <c r="K28" s="538">
        <f t="shared" ca="1" si="13"/>
        <v>450575.99999997817</v>
      </c>
      <c r="L28" s="538">
        <f t="shared" ca="1" si="13"/>
        <v>763344.00000002282</v>
      </c>
      <c r="M28" s="538">
        <f t="shared" ca="1" si="13"/>
        <v>3017088.0000000163</v>
      </c>
      <c r="N28" s="538">
        <f t="shared" ca="1" si="13"/>
        <v>10637784.000000006</v>
      </c>
      <c r="O28" s="538">
        <f t="shared" ca="1" si="13"/>
        <v>25066727.999999996</v>
      </c>
      <c r="P28" s="538">
        <f t="shared" ca="1" si="13"/>
        <v>0</v>
      </c>
      <c r="Q28" s="538">
        <f t="shared" ca="1" si="13"/>
        <v>0</v>
      </c>
    </row>
    <row r="29" spans="1:17">
      <c r="A29" s="539"/>
      <c r="B29" s="540">
        <f>IF(DAY(D72)=31,INICIO!T9,IF(DAY(D72)=30,INICIO!T8,IF(DAY(D72)=29,INICIO!T7,INICIO!U6)))</f>
        <v>0</v>
      </c>
      <c r="C29" s="541"/>
      <c r="D29" s="514"/>
      <c r="E29" s="514"/>
      <c r="F29" s="514"/>
      <c r="G29" s="514"/>
      <c r="H29" s="514"/>
      <c r="I29" s="514"/>
      <c r="J29" s="514"/>
      <c r="K29" s="514"/>
      <c r="L29" s="514"/>
      <c r="M29" s="514"/>
      <c r="N29" s="514"/>
      <c r="O29" s="514"/>
      <c r="P29" s="514"/>
      <c r="Q29" s="514"/>
    </row>
    <row r="30" spans="1:17" ht="22.5" customHeight="1">
      <c r="A30" s="542" t="s">
        <v>617</v>
      </c>
      <c r="B30" s="543" t="s">
        <v>695</v>
      </c>
      <c r="C30" s="544" t="s">
        <v>696</v>
      </c>
      <c r="D30" s="545"/>
      <c r="E30" s="545"/>
      <c r="F30" s="630">
        <v>44592</v>
      </c>
      <c r="G30" s="630">
        <v>44620</v>
      </c>
      <c r="H30" s="630">
        <v>44651</v>
      </c>
      <c r="I30" s="630">
        <v>44681</v>
      </c>
      <c r="J30" s="630">
        <v>44712</v>
      </c>
      <c r="K30" s="630">
        <v>44742</v>
      </c>
      <c r="L30" s="630">
        <v>44773</v>
      </c>
      <c r="M30" s="630">
        <v>44804</v>
      </c>
      <c r="N30" s="630">
        <v>44834</v>
      </c>
      <c r="O30" s="630">
        <v>44865</v>
      </c>
      <c r="P30" s="630">
        <v>44895</v>
      </c>
      <c r="Q30" s="630">
        <v>44926</v>
      </c>
    </row>
    <row r="31" spans="1:17" ht="22.5" customHeight="1">
      <c r="A31" s="546">
        <v>1</v>
      </c>
      <c r="B31" s="547" t="s">
        <v>697</v>
      </c>
      <c r="C31" s="548" t="s">
        <v>698</v>
      </c>
      <c r="D31" s="549"/>
      <c r="E31" s="549"/>
      <c r="F31" s="549">
        <f t="shared" ref="F31:Q31" ca="1" si="14">IF($G$1&gt;F30,(F32-F33),0)</f>
        <v>13465.371999999968</v>
      </c>
      <c r="G31" s="549">
        <f t="shared" ca="1" si="14"/>
        <v>12240.734000000031</v>
      </c>
      <c r="H31" s="549">
        <f t="shared" ca="1" si="14"/>
        <v>13640.708999999966</v>
      </c>
      <c r="I31" s="549">
        <f t="shared" ca="1" si="14"/>
        <v>13068.663000000024</v>
      </c>
      <c r="J31" s="549">
        <f t="shared" ca="1" si="14"/>
        <v>13036.991999999977</v>
      </c>
      <c r="K31" s="549">
        <f t="shared" ca="1" si="14"/>
        <v>13045.371999999998</v>
      </c>
      <c r="L31" s="549">
        <f t="shared" ca="1" si="14"/>
        <v>13478.713000000002</v>
      </c>
      <c r="M31" s="549">
        <f t="shared" ca="1" si="14"/>
        <v>13740.41300000005</v>
      </c>
      <c r="N31" s="549">
        <f t="shared" ca="1" si="14"/>
        <v>13271.768999999949</v>
      </c>
      <c r="O31" s="549">
        <f t="shared" ca="1" si="14"/>
        <v>13495.178000000002</v>
      </c>
      <c r="P31" s="549">
        <f t="shared" ca="1" si="14"/>
        <v>353.72</v>
      </c>
      <c r="Q31" s="549">
        <f t="shared" ca="1" si="14"/>
        <v>-89.254999999999995</v>
      </c>
    </row>
    <row r="32" spans="1:17" ht="22.5" customHeight="1">
      <c r="A32" s="546">
        <v>2</v>
      </c>
      <c r="B32" s="547" t="s">
        <v>699</v>
      </c>
      <c r="C32" s="548" t="s">
        <v>700</v>
      </c>
      <c r="D32" s="549"/>
      <c r="E32" s="549"/>
      <c r="F32" s="550">
        <f ca="1">IF($G$1&gt;F30,'GRAFICAS RPTE GCIAL'!$M$159,0)</f>
        <v>13554.626999999968</v>
      </c>
      <c r="G32" s="550">
        <f ca="1">IF($G$1&gt;G30,'GRAFICAS RPTE GCIAL'!$M$160,0)</f>
        <v>12240.734000000031</v>
      </c>
      <c r="H32" s="549">
        <f ca="1">IF($G$1&gt;H30,'GRAFICAS RPTE GCIAL'!$M$161,0)</f>
        <v>13729.963999999965</v>
      </c>
      <c r="I32" s="550">
        <f ca="1">IF($G$1&gt;I30,'GRAFICAS RPTE GCIAL'!$M$162,0)</f>
        <v>13154.943000000025</v>
      </c>
      <c r="J32" s="549">
        <f ca="1">IF($G$1&gt;J30,'GRAFICAS RPTE GCIAL'!$M$163,0)</f>
        <v>13126.246999999976</v>
      </c>
      <c r="K32" s="550">
        <f ca="1">IF($G$1&gt;K30,'GRAFICAS RPTE GCIAL'!$M$164,0)</f>
        <v>13131.651999999998</v>
      </c>
      <c r="L32" s="549">
        <f ca="1">IF($G$1&gt;L30,'GRAFICAS RPTE GCIAL'!$M$165,0)</f>
        <v>13567.968000000001</v>
      </c>
      <c r="M32" s="550">
        <f ca="1">IF($G$1&gt;M30,'GRAFICAS RPTE GCIAL'!$M$166,0)</f>
        <v>13829.668000000049</v>
      </c>
      <c r="N32" s="550">
        <f ca="1">IF($G$1&gt;N30,'GRAFICAS RPTE GCIAL'!$M$167,0)</f>
        <v>13358.04899999995</v>
      </c>
      <c r="O32" s="550">
        <f ca="1">IF($G$1&gt;O30,'GRAFICAS RPTE GCIAL'!$M$168,0)</f>
        <v>13584.433000000001</v>
      </c>
      <c r="P32" s="550">
        <f ca="1">IF($G$1&gt;P30,'GRAFICAS RPTE GCIAL'!$M$169,0)</f>
        <v>440</v>
      </c>
      <c r="Q32" s="550">
        <f ca="1">IF($G$1&gt;Q30,'GRAFICAS RPTE GCIAL'!$M$170,0)</f>
        <v>0</v>
      </c>
    </row>
    <row r="33" spans="1:17" ht="22.5" customHeight="1">
      <c r="A33" s="546">
        <v>3</v>
      </c>
      <c r="B33" s="547" t="s">
        <v>701</v>
      </c>
      <c r="C33" s="548" t="s">
        <v>702</v>
      </c>
      <c r="D33" s="549"/>
      <c r="E33" s="551"/>
      <c r="F33" s="550">
        <f ca="1">IF($G$1&gt;F30,IF(DAY(F30)=31,INICIO!$T$9,IF(DAY(F30)=30,INICIO!$T$8,IF(DAY(F30)=29,INICIO!$T$7,INICIO!$U$6)))/1000,0)</f>
        <v>89.254999999999995</v>
      </c>
      <c r="G33" s="550">
        <f ca="1">IF($G$1&gt;G30,IF(DAY(G30)=31,INICIO!$T$9,IF(DAY(G30)=30,INICIO!$T$8,IF(DAY(G30)=29,INICIO!$T$7,INICIO!$U$6)))/1000,0)</f>
        <v>0</v>
      </c>
      <c r="H33" s="550">
        <f ca="1">IF($G$1&gt;H30,IF(DAY(H30)=31,INICIO!$T$9,IF(DAY(H30)=30,INICIO!$T$8,IF(DAY(H30)=29,INICIO!$T$7,INICIO!$U$6)))/1000,0)</f>
        <v>89.254999999999995</v>
      </c>
      <c r="I33" s="550">
        <f ca="1">IF($G$1&gt;I30,IF(DAY(I30)=31,INICIO!$T$9,IF(DAY(I30)=30,INICIO!$T$8,IF(DAY(I30)=29,INICIO!$T$7,INICIO!$U$6)))/1000,0)</f>
        <v>86.28</v>
      </c>
      <c r="J33" s="550">
        <f ca="1">IF($G$1&gt;J30,IF(DAY(J30)=31,INICIO!$T$9,IF(DAY(J30)=30,INICIO!$T$8,IF(DAY(J30)=29,INICIO!$T$7,INICIO!$U$6)))/1000,0)</f>
        <v>89.254999999999995</v>
      </c>
      <c r="K33" s="550">
        <f ca="1">IF($G$1&gt;K30,IF(DAY(K30)=31,INICIO!$T$9,IF(DAY(K30)=30,INICIO!$T$8,IF(DAY(K30)=29,INICIO!$T$7,INICIO!$U$6)))/1000,0)</f>
        <v>86.28</v>
      </c>
      <c r="L33" s="550">
        <f ca="1">IF($G$1&gt;L30,IF(DAY(L30)=31,INICIO!$T$9,IF(DAY(L30)=30,INICIO!$T$8,IF(DAY(L30)=29,INICIO!$T$7,INICIO!$U$6)))/1000,0)</f>
        <v>89.254999999999995</v>
      </c>
      <c r="M33" s="550">
        <f ca="1">IF($G$1&gt;M30,IF(DAY(M30)=31,INICIO!$T$9,IF(DAY(M30)=30,INICIO!$T$8,IF(DAY(M30)=29,INICIO!$T$7,INICIO!$U$6)))/1000,0)</f>
        <v>89.254999999999995</v>
      </c>
      <c r="N33" s="550">
        <f ca="1">IF($G$1&gt;N30,IF(DAY(N30)=31,INICIO!$T$9,IF(DAY(N30)=30,INICIO!$T$8,IF(DAY(N30)=29,INICIO!$T$7,INICIO!$U$6)))/1000,0)</f>
        <v>86.28</v>
      </c>
      <c r="O33" s="550">
        <f ca="1">IF($G$1&gt;O30,IF(DAY(O30)=31,INICIO!$T$9,IF(DAY(O30)=30,INICIO!$T$8,IF(DAY(O30)=29,INICIO!$T$7,INICIO!$U$6)))/1000,0)</f>
        <v>89.254999999999995</v>
      </c>
      <c r="P33" s="550">
        <f ca="1">IF($G$1&gt;P30,IF(DAY(P30)=31,INICIO!$T$9,IF(DAY(P30)=30,INICIO!$T$8,IF(DAY(P30)=29,INICIO!$T$7,INICIO!$U$6)))/1000,0)</f>
        <v>86.28</v>
      </c>
      <c r="Q33" s="550">
        <f ca="1">IF($G$1&gt;Q30,IF(DAY(Q30)=31,INICIO!$T$9,IF(DAY(Q30)=30,INICIO!$T$8,IF(DAY(Q30)=29,INICIO!$T$7,INICIO!$U$6)))/1000,0)</f>
        <v>89.254999999999995</v>
      </c>
    </row>
    <row r="34" spans="1:17" ht="22.5" customHeight="1">
      <c r="A34" s="546">
        <v>4</v>
      </c>
      <c r="B34" s="547" t="s">
        <v>703</v>
      </c>
      <c r="C34" s="548" t="s">
        <v>704</v>
      </c>
      <c r="D34" s="549"/>
      <c r="E34" s="551"/>
      <c r="F34" s="550">
        <f ca="1">IF($G$1&gt;F30,'GRAFICAS RPTE GCIAL'!$AH$159,0)</f>
        <v>970.1</v>
      </c>
      <c r="G34" s="550">
        <f ca="1">IF($G$1&gt;G30,'GRAFICAS RPTE GCIAL'!$AH$160,0)</f>
        <v>882.2</v>
      </c>
      <c r="H34" s="550">
        <f ca="1">IF($G$1&gt;H30,'GRAFICAS RPTE GCIAL'!$AH$161,0)</f>
        <v>880</v>
      </c>
      <c r="I34" s="550">
        <f ca="1">IF($G$1&gt;I30,'GRAFICAS RPTE GCIAL'!$AH$162,0)</f>
        <v>860.1</v>
      </c>
      <c r="J34" s="550">
        <f ca="1">IF($G$1&gt;J30,'GRAFICAS RPTE GCIAL'!$AH$163,0)</f>
        <v>840.8</v>
      </c>
      <c r="K34" s="550">
        <f ca="1">IF($G$1&gt;K30,'GRAFICAS RPTE GCIAL'!$AH$164,0)</f>
        <v>900.4</v>
      </c>
      <c r="L34" s="550">
        <f ca="1">IF($G$1&gt;L30,'GRAFICAS RPTE GCIAL'!$AH$164,0)</f>
        <v>900.4</v>
      </c>
      <c r="M34" s="550">
        <f ca="1">IF($G$1&gt;M30,'GRAFICAS RPTE GCIAL'!$AH$164,0)</f>
        <v>900.4</v>
      </c>
      <c r="N34" s="550">
        <f ca="1">IF($G$1&gt;N30,'GRAFICAS RPTE GCIAL'!$AH$164,0)</f>
        <v>900.4</v>
      </c>
      <c r="O34" s="550">
        <f ca="1">IF($G$1&gt;O30,'GRAFICAS RPTE GCIAL'!$AH$164,0)</f>
        <v>900.4</v>
      </c>
      <c r="P34" s="550">
        <f ca="1">IF($G$1&gt;P30,'GRAFICAS RPTE GCIAL'!$AH$164,0)</f>
        <v>900.4</v>
      </c>
      <c r="Q34" s="550">
        <f ca="1">IF($G$1&gt;Q30,'GRAFICAS RPTE GCIAL'!$AH$164,0)</f>
        <v>900.4</v>
      </c>
    </row>
    <row r="35" spans="1:17" ht="22.5" customHeight="1">
      <c r="A35" s="546">
        <v>5</v>
      </c>
      <c r="B35" s="547" t="s">
        <v>705</v>
      </c>
      <c r="C35" s="548" t="s">
        <v>706</v>
      </c>
      <c r="D35" s="549"/>
      <c r="E35" s="551"/>
      <c r="F35" s="550">
        <f t="shared" ref="F35:Q35" ca="1" si="15">IF($G$1&gt;F30,3415.79,0)</f>
        <v>3415.79</v>
      </c>
      <c r="G35" s="550">
        <f t="shared" ca="1" si="15"/>
        <v>3415.79</v>
      </c>
      <c r="H35" s="550">
        <f t="shared" ca="1" si="15"/>
        <v>3415.79</v>
      </c>
      <c r="I35" s="550">
        <f t="shared" ca="1" si="15"/>
        <v>3415.79</v>
      </c>
      <c r="J35" s="550">
        <f t="shared" ca="1" si="15"/>
        <v>3415.79</v>
      </c>
      <c r="K35" s="550">
        <f t="shared" ca="1" si="15"/>
        <v>3415.79</v>
      </c>
      <c r="L35" s="550">
        <f t="shared" ca="1" si="15"/>
        <v>3415.79</v>
      </c>
      <c r="M35" s="550">
        <f t="shared" ca="1" si="15"/>
        <v>3415.79</v>
      </c>
      <c r="N35" s="550">
        <f t="shared" ca="1" si="15"/>
        <v>3415.79</v>
      </c>
      <c r="O35" s="550">
        <f t="shared" ca="1" si="15"/>
        <v>3415.79</v>
      </c>
      <c r="P35" s="550">
        <f t="shared" ca="1" si="15"/>
        <v>3415.79</v>
      </c>
      <c r="Q35" s="550">
        <f t="shared" ca="1" si="15"/>
        <v>3415.79</v>
      </c>
    </row>
    <row r="36" spans="1:17" ht="22.5" customHeight="1">
      <c r="A36" s="546">
        <v>6</v>
      </c>
      <c r="B36" s="547" t="s">
        <v>707</v>
      </c>
      <c r="C36" s="548" t="s">
        <v>708</v>
      </c>
      <c r="D36" s="549"/>
      <c r="E36" s="551"/>
      <c r="F36" s="550">
        <f t="shared" ref="F36:Q36" ca="1" si="16">IF($G$1&gt;F30,40,0)</f>
        <v>40</v>
      </c>
      <c r="G36" s="550">
        <f t="shared" ca="1" si="16"/>
        <v>40</v>
      </c>
      <c r="H36" s="550">
        <f t="shared" ca="1" si="16"/>
        <v>40</v>
      </c>
      <c r="I36" s="550">
        <f t="shared" ca="1" si="16"/>
        <v>40</v>
      </c>
      <c r="J36" s="550">
        <f t="shared" ca="1" si="16"/>
        <v>40</v>
      </c>
      <c r="K36" s="550">
        <f t="shared" ca="1" si="16"/>
        <v>40</v>
      </c>
      <c r="L36" s="550">
        <f t="shared" ca="1" si="16"/>
        <v>40</v>
      </c>
      <c r="M36" s="550">
        <f t="shared" ca="1" si="16"/>
        <v>40</v>
      </c>
      <c r="N36" s="550">
        <f t="shared" ca="1" si="16"/>
        <v>40</v>
      </c>
      <c r="O36" s="550">
        <f t="shared" ca="1" si="16"/>
        <v>40</v>
      </c>
      <c r="P36" s="550">
        <f t="shared" ca="1" si="16"/>
        <v>40</v>
      </c>
      <c r="Q36" s="550">
        <f t="shared" ca="1" si="16"/>
        <v>40</v>
      </c>
    </row>
    <row r="37" spans="1:17" ht="22.5" customHeight="1">
      <c r="A37" s="546">
        <v>5</v>
      </c>
      <c r="B37" s="547" t="s">
        <v>709</v>
      </c>
      <c r="C37" s="548" t="s">
        <v>710</v>
      </c>
      <c r="D37" s="549"/>
      <c r="E37" s="551"/>
      <c r="F37" s="550">
        <f ca="1">IF($G$1&gt;F30,'GRAFICAS RPTE GCIAL'!$S$159,0)</f>
        <v>240.1062417303369</v>
      </c>
      <c r="G37" s="550">
        <f ca="1">IF($G$1&gt;G30,'GRAFICAS RPTE GCIAL'!$S$160,0)</f>
        <v>238.45170424937683</v>
      </c>
      <c r="H37" s="550">
        <f ca="1">IF($G$1&gt;H30,'GRAFICAS RPTE GCIAL'!$S$161,0)</f>
        <v>265.48145656608449</v>
      </c>
      <c r="I37" s="550">
        <f ca="1">IF($G$1&gt;I30,'GRAFICAS RPTE GCIAL'!$S$162,0)</f>
        <v>254.5427078608304</v>
      </c>
      <c r="J37" s="550">
        <f ca="1">IF($G$1&gt;J30,'GRAFICAS RPTE GCIAL'!$S$163,0)</f>
        <v>273.36577883277823</v>
      </c>
      <c r="K37" s="550">
        <f ca="1">IF($G$1&gt;K30,'GRAFICAS RPTE GCIAL'!$S$164,0)</f>
        <v>263.85063500222122</v>
      </c>
      <c r="L37" s="550">
        <f ca="1">IF($G$1&gt;L30,'GRAFICAS RPTE GCIAL'!$S$165,0)</f>
        <v>277.29974786333207</v>
      </c>
      <c r="M37" s="550">
        <f ca="1">IF($G$1&gt;M30,'GRAFICAS RPTE GCIAL'!$S$166,0)</f>
        <v>290.96753871649179</v>
      </c>
      <c r="N37" s="550">
        <f ca="1">IF($G$1&gt;N30,'GRAFICAS RPTE GCIAL'!$S$167,0)</f>
        <v>255.64340508422168</v>
      </c>
      <c r="O37" s="550">
        <f ca="1">IF($G$1&gt;O30,'GRAFICAS RPTE GCIAL'!$S$168,0)</f>
        <v>254.83122372241283</v>
      </c>
      <c r="P37" s="550">
        <f ca="1">IF($G$1&gt;P30,'GRAFICAS RPTE GCIAL'!$S$169,0)</f>
        <v>9.5323030132338786</v>
      </c>
      <c r="Q37" s="550">
        <f ca="1">IF($G$1&gt;Q30,'GRAFICAS RPTE GCIAL'!$S$170,0)</f>
        <v>0</v>
      </c>
    </row>
    <row r="38" spans="1:17" ht="22.5" customHeight="1">
      <c r="A38" s="546">
        <v>6</v>
      </c>
      <c r="B38" s="547" t="s">
        <v>711</v>
      </c>
      <c r="C38" s="552" t="s">
        <v>712</v>
      </c>
      <c r="D38" s="549"/>
      <c r="E38" s="514"/>
      <c r="F38" s="550">
        <f t="shared" ref="F38:Q38" ca="1" si="17">IF($G$1&gt;F30,F37*F34,0)</f>
        <v>232927.06510259982</v>
      </c>
      <c r="G38" s="550">
        <f t="shared" ca="1" si="17"/>
        <v>210362.09348880025</v>
      </c>
      <c r="H38" s="550">
        <f t="shared" ca="1" si="17"/>
        <v>233623.68177815434</v>
      </c>
      <c r="I38" s="550">
        <f t="shared" ca="1" si="17"/>
        <v>218932.18303110023</v>
      </c>
      <c r="J38" s="550">
        <f t="shared" ca="1" si="17"/>
        <v>229845.94684259992</v>
      </c>
      <c r="K38" s="550">
        <f t="shared" ca="1" si="17"/>
        <v>237571.111756</v>
      </c>
      <c r="L38" s="550">
        <f t="shared" ca="1" si="17"/>
        <v>249680.6929761442</v>
      </c>
      <c r="M38" s="550">
        <f t="shared" ca="1" si="17"/>
        <v>261987.1718603292</v>
      </c>
      <c r="N38" s="550">
        <f t="shared" ca="1" si="17"/>
        <v>230181.32193783319</v>
      </c>
      <c r="O38" s="550">
        <f t="shared" ca="1" si="17"/>
        <v>229450.03383966049</v>
      </c>
      <c r="P38" s="550">
        <f t="shared" ca="1" si="17"/>
        <v>8582.885633115784</v>
      </c>
      <c r="Q38" s="550">
        <f t="shared" ca="1" si="17"/>
        <v>0</v>
      </c>
    </row>
    <row r="39" spans="1:17" ht="22.5" customHeight="1">
      <c r="A39" s="546">
        <v>7</v>
      </c>
      <c r="B39" s="547" t="s">
        <v>713</v>
      </c>
      <c r="C39" s="552" t="s">
        <v>714</v>
      </c>
      <c r="D39" s="549"/>
      <c r="E39" s="514"/>
      <c r="F39" s="550">
        <f t="shared" ref="F39:Q39" ca="1" si="18">IF($G$1&gt;F30,(DAY(F30))*24,0)</f>
        <v>744</v>
      </c>
      <c r="G39" s="550">
        <f t="shared" ca="1" si="18"/>
        <v>672</v>
      </c>
      <c r="H39" s="550">
        <f t="shared" ca="1" si="18"/>
        <v>744</v>
      </c>
      <c r="I39" s="550">
        <f t="shared" ca="1" si="18"/>
        <v>720</v>
      </c>
      <c r="J39" s="550">
        <f t="shared" ca="1" si="18"/>
        <v>744</v>
      </c>
      <c r="K39" s="550">
        <f t="shared" ca="1" si="18"/>
        <v>720</v>
      </c>
      <c r="L39" s="550">
        <f t="shared" ca="1" si="18"/>
        <v>744</v>
      </c>
      <c r="M39" s="550">
        <f t="shared" ca="1" si="18"/>
        <v>744</v>
      </c>
      <c r="N39" s="550">
        <f t="shared" ca="1" si="18"/>
        <v>720</v>
      </c>
      <c r="O39" s="550">
        <f t="shared" ca="1" si="18"/>
        <v>744</v>
      </c>
      <c r="P39" s="550">
        <f t="shared" ca="1" si="18"/>
        <v>720</v>
      </c>
      <c r="Q39" s="550">
        <f t="shared" ca="1" si="18"/>
        <v>744</v>
      </c>
    </row>
    <row r="40" spans="1:17" ht="22.5" customHeight="1">
      <c r="A40" s="546">
        <v>8</v>
      </c>
      <c r="B40" s="547" t="s">
        <v>647</v>
      </c>
      <c r="C40" s="553" t="s">
        <v>715</v>
      </c>
      <c r="D40" s="554"/>
      <c r="E40" s="514"/>
      <c r="F40" s="555">
        <f t="shared" ref="F40:Q40" ca="1" si="19">IF($G$1&gt;F30,100%,0)</f>
        <v>1</v>
      </c>
      <c r="G40" s="555">
        <f t="shared" ca="1" si="19"/>
        <v>1</v>
      </c>
      <c r="H40" s="555">
        <f t="shared" ca="1" si="19"/>
        <v>1</v>
      </c>
      <c r="I40" s="555">
        <f t="shared" ca="1" si="19"/>
        <v>1</v>
      </c>
      <c r="J40" s="555">
        <f t="shared" ca="1" si="19"/>
        <v>1</v>
      </c>
      <c r="K40" s="555">
        <f t="shared" ca="1" si="19"/>
        <v>1</v>
      </c>
      <c r="L40" s="555">
        <f t="shared" ca="1" si="19"/>
        <v>1</v>
      </c>
      <c r="M40" s="555">
        <f t="shared" ca="1" si="19"/>
        <v>1</v>
      </c>
      <c r="N40" s="555">
        <f t="shared" ca="1" si="19"/>
        <v>1</v>
      </c>
      <c r="O40" s="555">
        <f t="shared" ca="1" si="19"/>
        <v>1</v>
      </c>
      <c r="P40" s="555">
        <f t="shared" ca="1" si="19"/>
        <v>1</v>
      </c>
      <c r="Q40" s="555">
        <f t="shared" ca="1" si="19"/>
        <v>1</v>
      </c>
    </row>
    <row r="41" spans="1:17" ht="22.5" customHeight="1">
      <c r="A41" s="546">
        <v>9</v>
      </c>
      <c r="B41" s="547" t="s">
        <v>716</v>
      </c>
      <c r="C41" s="553" t="s">
        <v>715</v>
      </c>
      <c r="D41" s="554"/>
      <c r="E41" s="514"/>
      <c r="F41" s="555">
        <f ca="1">((DATOSAÑO!$AB$376+DATOSAÑO!$AC$376)/(F39*2))</f>
        <v>1.0085349462365591</v>
      </c>
      <c r="G41" s="555">
        <f ca="1">IF($G$1&gt;G30,100%,0)</f>
        <v>1</v>
      </c>
      <c r="H41" s="555">
        <f ca="1">IF($G$1&gt;H30,100%,0)</f>
        <v>1</v>
      </c>
      <c r="I41" s="555">
        <f ca="1">IF($G$1&gt;I30,100%,0)</f>
        <v>1</v>
      </c>
      <c r="J41" s="555">
        <f ca="1">IF($G$1&gt;J30,100%,0)</f>
        <v>1</v>
      </c>
      <c r="K41" s="555">
        <f t="shared" ref="K41:Q41" ca="1" si="20">IF($G$1&gt;K30,100%,0)</f>
        <v>1</v>
      </c>
      <c r="L41" s="555">
        <f t="shared" ca="1" si="20"/>
        <v>1</v>
      </c>
      <c r="M41" s="555">
        <f t="shared" ca="1" si="20"/>
        <v>1</v>
      </c>
      <c r="N41" s="555">
        <f t="shared" ca="1" si="20"/>
        <v>1</v>
      </c>
      <c r="O41" s="555">
        <f t="shared" ca="1" si="20"/>
        <v>1</v>
      </c>
      <c r="P41" s="555">
        <f t="shared" ca="1" si="20"/>
        <v>1</v>
      </c>
      <c r="Q41" s="555">
        <f t="shared" ca="1" si="20"/>
        <v>1</v>
      </c>
    </row>
  </sheetData>
  <mergeCells count="2">
    <mergeCell ref="A4:A9"/>
    <mergeCell ref="B4:B9"/>
  </mergeCells>
  <hyperlinks>
    <hyperlink ref="A1" location="'Resultados Mes &amp; Acum'!A1" display="'Resultados Mes &amp; Acum'!A1"/>
  </hyperlinks>
  <pageMargins left="0.7" right="0.7" top="0.75" bottom="0.75" header="0.3" footer="0.3"/>
  <pageSetup paperSize="9" scale="32"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theme="4" tint="-0.249977111117893"/>
  </sheetPr>
  <dimension ref="A1:Q35"/>
  <sheetViews>
    <sheetView showGridLines="0" zoomScale="115" zoomScaleNormal="115" workbookViewId="0">
      <selection activeCell="B4" sqref="B4:N9"/>
    </sheetView>
  </sheetViews>
  <sheetFormatPr baseColWidth="10" defaultColWidth="0" defaultRowHeight="15" customHeight="1" zeroHeight="1"/>
  <cols>
    <col min="1" max="2" width="11.453125" customWidth="1"/>
    <col min="3" max="5" width="11.453125" style="468" customWidth="1"/>
    <col min="6" max="6" width="11.1796875" style="468" bestFit="1" customWidth="1"/>
    <col min="7" max="7" width="11.453125" style="468" customWidth="1"/>
    <col min="8" max="8" width="11.54296875" style="468" bestFit="1" customWidth="1"/>
    <col min="9" max="9" width="12" style="468" bestFit="1" customWidth="1"/>
    <col min="10" max="10" width="11.453125" style="468" customWidth="1"/>
    <col min="11" max="11" width="12" style="468" bestFit="1" customWidth="1"/>
    <col min="12" max="12" width="11.453125" style="468" customWidth="1"/>
    <col min="13" max="13" width="18" style="468" customWidth="1"/>
    <col min="14" max="16384" width="11.453125" hidden="1"/>
  </cols>
  <sheetData>
    <row r="1" spans="1:17" ht="14.5">
      <c r="A1" s="626" t="s">
        <v>802</v>
      </c>
    </row>
    <row r="2" spans="1:17" ht="36" customHeight="1"/>
    <row r="3" spans="1:17" ht="14.5"/>
    <row r="4" spans="1:17" ht="14.5"/>
    <row r="5" spans="1:17" ht="14.5"/>
    <row r="6" spans="1:17" ht="14.5"/>
    <row r="7" spans="1:17" ht="14.5"/>
    <row r="8" spans="1:17" ht="14.5"/>
    <row r="9" spans="1:17" ht="14.5"/>
    <row r="10" spans="1:17" ht="14.5"/>
    <row r="11" spans="1:17" ht="14.5"/>
    <row r="12" spans="1:17" ht="14.5"/>
    <row r="13" spans="1:17" ht="14.5"/>
    <row r="14" spans="1:17" ht="14.5"/>
    <row r="15" spans="1:17" ht="14.5">
      <c r="F15" s="1031">
        <v>43131</v>
      </c>
      <c r="G15" s="1031">
        <v>43159</v>
      </c>
      <c r="H15" s="1031">
        <v>43190</v>
      </c>
      <c r="I15" s="1031">
        <v>43220</v>
      </c>
      <c r="J15" s="1031">
        <v>43251</v>
      </c>
      <c r="K15" s="1031">
        <v>43281</v>
      </c>
      <c r="L15" s="1031">
        <v>43312</v>
      </c>
      <c r="M15" s="1031"/>
      <c r="N15" s="26">
        <v>43373</v>
      </c>
      <c r="O15" s="26">
        <v>43404</v>
      </c>
      <c r="P15" s="26">
        <v>43434</v>
      </c>
      <c r="Q15" s="26">
        <v>43465</v>
      </c>
    </row>
    <row r="16" spans="1:17" ht="14.5"/>
    <row r="17" spans="6:17" ht="14.5"/>
    <row r="18" spans="6:17" ht="14.5"/>
    <row r="19" spans="6:17" ht="14.5"/>
    <row r="20" spans="6:17" ht="14.5"/>
    <row r="21" spans="6:17" ht="14.5"/>
    <row r="22" spans="6:17" ht="14.5"/>
    <row r="23" spans="6:17" ht="14.5"/>
    <row r="24" spans="6:17" ht="14.5"/>
    <row r="25" spans="6:17" ht="14.5"/>
    <row r="26" spans="6:17" ht="14.5"/>
    <row r="27" spans="6:17" ht="14.5"/>
    <row r="28" spans="6:17" ht="14.5"/>
    <row r="29" spans="6:17" ht="14.5"/>
    <row r="30" spans="6:17" ht="14.5">
      <c r="F30" s="1031">
        <v>43131</v>
      </c>
      <c r="G30" s="468" t="s">
        <v>1163</v>
      </c>
      <c r="H30" s="1031">
        <v>43190</v>
      </c>
      <c r="I30" s="1031">
        <v>43220</v>
      </c>
      <c r="J30" s="1031">
        <v>43251</v>
      </c>
      <c r="K30" s="1031">
        <v>43281</v>
      </c>
      <c r="L30" s="1031">
        <v>43312</v>
      </c>
      <c r="M30" s="1031">
        <v>43343</v>
      </c>
      <c r="N30" s="26">
        <v>43373</v>
      </c>
      <c r="O30" s="26">
        <v>43404</v>
      </c>
      <c r="P30" s="26">
        <v>43434</v>
      </c>
      <c r="Q30" s="26">
        <v>43465</v>
      </c>
    </row>
    <row r="31" spans="6:17" ht="14.5"/>
    <row r="32" spans="6:17" ht="14.5"/>
    <row r="33" ht="14.5"/>
    <row r="34" ht="14.5"/>
    <row r="35" ht="14.5"/>
  </sheetData>
  <hyperlinks>
    <hyperlink ref="A1" location="'Resultados Mes &amp; Acum'!A1" display="'Resultados Mes &amp; Acum'!A1"/>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00B050"/>
  </sheetPr>
  <dimension ref="A1:Y34"/>
  <sheetViews>
    <sheetView showGridLines="0" topLeftCell="A15" workbookViewId="0">
      <selection activeCell="B4" sqref="B4:N9"/>
    </sheetView>
  </sheetViews>
  <sheetFormatPr baseColWidth="10" defaultColWidth="0" defaultRowHeight="15" customHeight="1" zeroHeight="1"/>
  <cols>
    <col min="1" max="1" width="7.7265625" style="89" customWidth="1"/>
    <col min="2" max="2" width="24.7265625" style="89" customWidth="1"/>
    <col min="3" max="3" width="12.54296875" style="89" customWidth="1"/>
    <col min="4" max="5" width="32.54296875" customWidth="1"/>
    <col min="6" max="6" width="10.54296875" bestFit="1" customWidth="1"/>
    <col min="7" max="7" width="45.1796875" hidden="1"/>
    <col min="8" max="9" width="10.54296875" bestFit="1" customWidth="1"/>
    <col min="10" max="10" width="45.1796875" hidden="1"/>
    <col min="11" max="11" width="10.54296875" bestFit="1" customWidth="1"/>
    <col min="12" max="12" width="45.1796875" hidden="1"/>
    <col min="13" max="13" width="18" customWidth="1"/>
    <col min="14" max="20" width="45.1796875" hidden="1"/>
    <col min="21" max="21" width="19.1796875" hidden="1"/>
    <col min="22" max="22" width="21" hidden="1"/>
    <col min="23" max="23" width="19.54296875" hidden="1"/>
    <col min="24" max="24" width="18.453125" hidden="1"/>
    <col min="25" max="25" width="19" hidden="1"/>
  </cols>
  <sheetData>
    <row r="1" spans="1:17" ht="14.5">
      <c r="A1" s="2616" t="s">
        <v>802</v>
      </c>
      <c r="B1" s="2616"/>
    </row>
    <row r="2" spans="1:17" ht="14.5"/>
    <row r="3" spans="1:17" ht="14.5">
      <c r="A3" s="562"/>
      <c r="B3" s="562" t="s">
        <v>717</v>
      </c>
      <c r="C3" s="562"/>
    </row>
    <row r="4" spans="1:17" ht="14.5">
      <c r="A4" s="562" t="s">
        <v>718</v>
      </c>
      <c r="B4" s="562" t="s">
        <v>647</v>
      </c>
      <c r="C4" s="562" t="s">
        <v>719</v>
      </c>
    </row>
    <row r="5" spans="1:17" ht="14.5">
      <c r="A5" s="562" t="s">
        <v>720</v>
      </c>
      <c r="B5" s="634">
        <v>1</v>
      </c>
      <c r="C5" s="634">
        <v>1</v>
      </c>
    </row>
    <row r="6" spans="1:17" ht="14.5">
      <c r="A6" s="562" t="s">
        <v>721</v>
      </c>
      <c r="B6" s="634">
        <v>1</v>
      </c>
      <c r="C6" s="634">
        <v>1</v>
      </c>
    </row>
    <row r="7" spans="1:17" ht="14.5">
      <c r="A7" s="562" t="s">
        <v>722</v>
      </c>
      <c r="B7" s="634">
        <v>1</v>
      </c>
      <c r="C7" s="634">
        <v>1</v>
      </c>
    </row>
    <row r="8" spans="1:17" ht="14.5">
      <c r="A8" s="562" t="s">
        <v>723</v>
      </c>
      <c r="B8" s="634">
        <v>1</v>
      </c>
      <c r="C8" s="634">
        <v>1</v>
      </c>
    </row>
    <row r="9" spans="1:17" ht="14.5">
      <c r="A9" s="562" t="s">
        <v>724</v>
      </c>
      <c r="B9" s="634">
        <v>1</v>
      </c>
      <c r="C9" s="634">
        <v>1</v>
      </c>
      <c r="D9" s="468"/>
      <c r="E9" s="468"/>
    </row>
    <row r="10" spans="1:17" ht="14.5">
      <c r="A10" s="562" t="s">
        <v>725</v>
      </c>
      <c r="B10" s="634">
        <v>1</v>
      </c>
      <c r="C10" s="634">
        <v>1</v>
      </c>
      <c r="D10" s="468"/>
      <c r="E10" s="468"/>
    </row>
    <row r="11" spans="1:17" ht="14.5">
      <c r="A11" s="562" t="s">
        <v>726</v>
      </c>
      <c r="B11" s="634">
        <v>1</v>
      </c>
      <c r="C11" s="634">
        <v>1</v>
      </c>
    </row>
    <row r="12" spans="1:17" ht="14.5">
      <c r="A12" s="562" t="s">
        <v>727</v>
      </c>
      <c r="B12" s="634">
        <v>1</v>
      </c>
      <c r="C12" s="634">
        <v>1</v>
      </c>
    </row>
    <row r="13" spans="1:17" ht="14.5">
      <c r="A13" s="562" t="s">
        <v>728</v>
      </c>
      <c r="B13" s="634">
        <v>1</v>
      </c>
      <c r="C13" s="634">
        <v>1</v>
      </c>
    </row>
    <row r="14" spans="1:17" ht="14.5">
      <c r="A14" s="562" t="s">
        <v>729</v>
      </c>
      <c r="B14" s="634">
        <v>1</v>
      </c>
      <c r="C14" s="634">
        <v>1</v>
      </c>
    </row>
    <row r="15" spans="1:17" ht="14.5">
      <c r="A15" s="562" t="s">
        <v>730</v>
      </c>
      <c r="B15" s="634">
        <v>1</v>
      </c>
      <c r="C15" s="634">
        <v>1</v>
      </c>
      <c r="F15" s="26"/>
      <c r="G15" s="26">
        <v>43159</v>
      </c>
      <c r="H15" s="26"/>
      <c r="I15" s="26"/>
      <c r="J15" s="26">
        <v>43251</v>
      </c>
      <c r="K15" s="26"/>
      <c r="L15" s="26">
        <v>43312</v>
      </c>
      <c r="M15" s="26"/>
      <c r="N15" s="26">
        <v>43373</v>
      </c>
      <c r="O15" s="26">
        <v>43404</v>
      </c>
      <c r="P15" s="26">
        <v>43434</v>
      </c>
      <c r="Q15" s="26">
        <v>43465</v>
      </c>
    </row>
    <row r="16" spans="1:17" ht="14.5">
      <c r="A16" s="562" t="s">
        <v>731</v>
      </c>
      <c r="B16" s="634">
        <v>0</v>
      </c>
      <c r="C16" s="634">
        <v>0</v>
      </c>
      <c r="G16" s="563"/>
    </row>
    <row r="17" spans="1:17" ht="14.5"/>
    <row r="18" spans="1:17" ht="14.5">
      <c r="D18" s="468"/>
      <c r="E18" s="468"/>
    </row>
    <row r="19" spans="1:17" ht="14.5">
      <c r="D19" s="468"/>
      <c r="E19" s="468"/>
    </row>
    <row r="20" spans="1:17" ht="14.5">
      <c r="D20" s="468"/>
      <c r="E20" s="468"/>
    </row>
    <row r="21" spans="1:17" ht="14.5">
      <c r="D21" s="468"/>
      <c r="E21" s="468"/>
    </row>
    <row r="22" spans="1:17" ht="14.5">
      <c r="D22" s="468"/>
      <c r="E22" s="468"/>
    </row>
    <row r="23" spans="1:17" ht="14.5">
      <c r="D23" s="468"/>
      <c r="E23" s="468"/>
    </row>
    <row r="24" spans="1:17" ht="14.5">
      <c r="D24" s="468"/>
      <c r="E24" s="468"/>
    </row>
    <row r="25" spans="1:17" ht="14.5">
      <c r="A25" s="562"/>
      <c r="B25" s="562"/>
      <c r="C25" s="562"/>
      <c r="D25" s="468"/>
      <c r="E25" s="468"/>
    </row>
    <row r="26" spans="1:17" ht="14.5">
      <c r="A26" s="562"/>
      <c r="B26" s="562"/>
      <c r="C26" s="562"/>
      <c r="D26" s="468"/>
      <c r="E26" s="468"/>
    </row>
    <row r="27" spans="1:17" ht="14.5">
      <c r="A27" s="562"/>
      <c r="B27" s="562"/>
      <c r="C27" s="562"/>
      <c r="D27" s="468"/>
      <c r="E27" s="468"/>
    </row>
    <row r="28" spans="1:17" ht="14.5">
      <c r="A28" s="562"/>
      <c r="B28" s="562"/>
      <c r="C28" s="562"/>
      <c r="D28" s="468"/>
      <c r="E28" s="468"/>
    </row>
    <row r="29" spans="1:17" ht="14.5">
      <c r="A29" s="562"/>
      <c r="B29" s="562"/>
      <c r="C29" s="562"/>
      <c r="D29" s="468"/>
      <c r="E29" s="468"/>
    </row>
    <row r="30" spans="1:17" ht="14.5">
      <c r="A30" s="562"/>
      <c r="B30" s="562"/>
      <c r="C30" s="562"/>
      <c r="D30" s="468"/>
      <c r="E30" s="468"/>
      <c r="F30" s="26"/>
      <c r="G30" t="s">
        <v>1163</v>
      </c>
      <c r="H30" s="26"/>
      <c r="I30" s="26"/>
      <c r="J30" s="26">
        <v>43251</v>
      </c>
      <c r="K30" s="26"/>
      <c r="L30" s="26">
        <v>43312</v>
      </c>
      <c r="M30" s="26"/>
      <c r="N30" s="26">
        <v>43373</v>
      </c>
      <c r="O30" s="26">
        <v>43404</v>
      </c>
      <c r="P30" s="26">
        <v>43434</v>
      </c>
      <c r="Q30" s="26">
        <v>43465</v>
      </c>
    </row>
    <row r="31" spans="1:17" ht="14.5">
      <c r="A31" s="562"/>
      <c r="B31" s="562"/>
      <c r="C31" s="562"/>
      <c r="D31" s="468"/>
      <c r="E31" s="468"/>
    </row>
    <row r="32" spans="1:17" ht="14.5">
      <c r="A32" s="562"/>
      <c r="B32" s="562"/>
      <c r="C32" s="562"/>
      <c r="D32" s="468"/>
      <c r="E32" s="468"/>
    </row>
    <row r="33" spans="1:5" ht="14.5">
      <c r="A33" s="562"/>
      <c r="B33" s="562"/>
      <c r="C33" s="562"/>
      <c r="D33" s="468"/>
      <c r="E33" s="468"/>
    </row>
    <row r="34" spans="1:5" ht="14.5" hidden="1">
      <c r="A34" s="562"/>
      <c r="B34" s="562"/>
      <c r="C34" s="562"/>
    </row>
  </sheetData>
  <mergeCells count="1">
    <mergeCell ref="A1:B1"/>
  </mergeCells>
  <hyperlinks>
    <hyperlink ref="A1" location="'Resultados Mes &amp; Acum'!A1" display="'Resultados Mes &amp; Acum'!A1"/>
  </hyperlink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rgb="FFFFFF00"/>
  </sheetPr>
  <dimension ref="A1:R32"/>
  <sheetViews>
    <sheetView showGridLines="0" topLeftCell="A28" zoomScale="90" zoomScaleNormal="90" workbookViewId="0">
      <selection activeCell="B4" sqref="B4:N9"/>
    </sheetView>
  </sheetViews>
  <sheetFormatPr baseColWidth="10" defaultColWidth="0" defaultRowHeight="15" customHeight="1" zeroHeight="1"/>
  <cols>
    <col min="1" max="1" width="45.453125" customWidth="1"/>
    <col min="2" max="2" width="15.26953125" customWidth="1"/>
    <col min="3" max="3" width="14.7265625" customWidth="1"/>
    <col min="4" max="4" width="15.453125" customWidth="1"/>
    <col min="5" max="5" width="8.1796875" customWidth="1"/>
    <col min="6" max="6" width="11.54296875" bestFit="1" customWidth="1"/>
    <col min="7" max="7" width="8.453125" customWidth="1"/>
    <col min="8" max="12" width="11.54296875" bestFit="1" customWidth="1"/>
    <col min="13" max="13" width="18" customWidth="1"/>
    <col min="14" max="18" width="11.453125" customWidth="1"/>
    <col min="19" max="16384" width="11.453125" hidden="1"/>
  </cols>
  <sheetData>
    <row r="1" spans="1:18" ht="14.5">
      <c r="A1" s="627" t="s">
        <v>802</v>
      </c>
      <c r="B1" s="468"/>
      <c r="C1" s="468"/>
      <c r="D1" s="468"/>
      <c r="E1" s="468"/>
      <c r="F1" s="468"/>
      <c r="G1" s="468"/>
      <c r="H1" s="468"/>
      <c r="I1" s="468"/>
      <c r="J1" s="468"/>
      <c r="K1" s="468"/>
      <c r="L1" s="468"/>
      <c r="M1" s="468"/>
      <c r="N1" s="468"/>
      <c r="O1" s="468"/>
      <c r="P1" s="468"/>
      <c r="Q1" s="468"/>
      <c r="R1" s="468"/>
    </row>
    <row r="2" spans="1:18" ht="14.5">
      <c r="A2" s="468"/>
      <c r="B2" s="468"/>
      <c r="C2" s="468"/>
      <c r="D2" s="468"/>
      <c r="E2" s="468"/>
      <c r="F2" s="468"/>
      <c r="G2" s="468"/>
      <c r="H2" s="468"/>
      <c r="I2" s="468"/>
      <c r="J2" s="468"/>
      <c r="K2" s="468"/>
      <c r="L2" s="468"/>
      <c r="M2" s="468"/>
      <c r="N2" s="468"/>
      <c r="O2" s="468"/>
      <c r="P2" s="468"/>
      <c r="Q2" s="468"/>
      <c r="R2" s="468"/>
    </row>
    <row r="3" spans="1:18" ht="14.5">
      <c r="A3" s="468" t="s">
        <v>732</v>
      </c>
      <c r="B3" s="468" t="s">
        <v>827</v>
      </c>
      <c r="C3" s="468" t="s">
        <v>828</v>
      </c>
      <c r="D3" s="468" t="s">
        <v>831</v>
      </c>
      <c r="N3" s="468"/>
      <c r="O3" s="468"/>
      <c r="P3" s="468"/>
      <c r="Q3" s="468"/>
      <c r="R3" s="468"/>
    </row>
    <row r="4" spans="1:18" ht="14.5">
      <c r="A4" s="564" t="s">
        <v>678</v>
      </c>
      <c r="B4" s="565">
        <v>7069425</v>
      </c>
      <c r="C4" s="565">
        <v>11782375</v>
      </c>
      <c r="D4" s="565">
        <v>7069425</v>
      </c>
      <c r="N4" s="468"/>
      <c r="O4" s="468"/>
      <c r="P4" s="468"/>
      <c r="Q4" s="468"/>
      <c r="R4" s="468"/>
    </row>
    <row r="5" spans="1:18" ht="14.5">
      <c r="A5" s="646" t="s">
        <v>637</v>
      </c>
      <c r="B5" s="565">
        <v>7069425</v>
      </c>
      <c r="C5" s="565">
        <v>11782375</v>
      </c>
      <c r="D5" s="565">
        <v>7069425</v>
      </c>
      <c r="N5" s="468"/>
      <c r="O5" s="468"/>
      <c r="P5" s="468"/>
      <c r="Q5" s="468"/>
      <c r="R5" s="468"/>
    </row>
    <row r="6" spans="1:18" ht="14.5">
      <c r="A6" s="655">
        <v>0</v>
      </c>
      <c r="B6" s="565"/>
      <c r="C6" s="565"/>
      <c r="D6" s="565"/>
      <c r="E6" s="468"/>
      <c r="F6" s="468"/>
      <c r="G6" s="468"/>
      <c r="H6" s="468"/>
      <c r="I6" s="468"/>
      <c r="J6" s="468"/>
      <c r="K6" s="468"/>
      <c r="L6" s="468"/>
      <c r="M6" s="468"/>
      <c r="N6" s="468"/>
      <c r="O6" s="468"/>
      <c r="P6" s="468"/>
      <c r="Q6" s="468"/>
      <c r="R6" s="468"/>
    </row>
    <row r="7" spans="1:18" ht="14.5">
      <c r="A7" s="656">
        <v>0</v>
      </c>
      <c r="B7" s="565">
        <v>7069425</v>
      </c>
      <c r="C7" s="565">
        <v>11782375</v>
      </c>
      <c r="D7" s="565">
        <v>7069425</v>
      </c>
      <c r="E7" s="468"/>
      <c r="F7" s="468"/>
      <c r="G7" s="468"/>
      <c r="H7" s="468"/>
      <c r="I7" s="468"/>
      <c r="J7" s="468"/>
      <c r="K7" s="468"/>
      <c r="L7" s="468"/>
      <c r="M7" s="468"/>
      <c r="N7" s="468"/>
      <c r="O7" s="468"/>
      <c r="P7" s="468"/>
      <c r="Q7" s="468"/>
      <c r="R7" s="468"/>
    </row>
    <row r="8" spans="1:18" ht="14.5">
      <c r="A8" s="564" t="s">
        <v>719</v>
      </c>
      <c r="B8" s="565">
        <v>7069425</v>
      </c>
      <c r="C8" s="565">
        <v>11782375</v>
      </c>
      <c r="D8" s="565">
        <v>7069425</v>
      </c>
      <c r="E8" s="468"/>
      <c r="F8" s="468"/>
      <c r="G8" s="468"/>
      <c r="H8" s="468"/>
      <c r="I8" s="468"/>
      <c r="J8" s="468"/>
      <c r="K8" s="468"/>
      <c r="L8" s="468"/>
      <c r="M8" s="468"/>
      <c r="N8" s="468"/>
      <c r="O8" s="468"/>
      <c r="P8" s="468"/>
      <c r="Q8" s="468"/>
      <c r="R8" s="468"/>
    </row>
    <row r="9" spans="1:18" ht="14.5">
      <c r="A9" s="468"/>
      <c r="B9" s="468"/>
      <c r="C9" s="468"/>
      <c r="D9" s="468"/>
      <c r="E9" s="468"/>
      <c r="F9" s="468"/>
      <c r="G9" s="468"/>
      <c r="H9" s="468"/>
      <c r="I9" s="468"/>
      <c r="J9" s="468"/>
      <c r="K9" s="468"/>
      <c r="L9" s="468"/>
      <c r="M9" s="468"/>
      <c r="N9" s="468"/>
      <c r="O9" s="468"/>
      <c r="P9" s="468"/>
      <c r="Q9" s="468"/>
      <c r="R9" s="468"/>
    </row>
    <row r="10" spans="1:18" ht="14.5">
      <c r="A10" s="468"/>
      <c r="B10" s="468"/>
      <c r="C10" s="468"/>
      <c r="D10" s="468"/>
      <c r="E10" s="468"/>
      <c r="F10" s="468"/>
      <c r="G10" s="468"/>
      <c r="H10" s="468"/>
      <c r="I10" s="468"/>
      <c r="J10" s="468"/>
      <c r="K10" s="468"/>
      <c r="L10" s="468"/>
      <c r="M10" s="468"/>
      <c r="N10" s="468"/>
      <c r="O10" s="468"/>
      <c r="P10" s="468"/>
      <c r="Q10" s="468"/>
      <c r="R10" s="468"/>
    </row>
    <row r="11" spans="1:18" ht="14.5">
      <c r="A11" s="468"/>
      <c r="B11" s="468"/>
      <c r="C11" s="468"/>
      <c r="D11" s="468"/>
      <c r="E11" s="468"/>
      <c r="F11" s="468"/>
      <c r="G11" s="468"/>
      <c r="H11" s="468"/>
      <c r="I11" s="468"/>
      <c r="J11" s="468"/>
      <c r="K11" s="468"/>
      <c r="L11" s="468"/>
      <c r="M11" s="468"/>
      <c r="N11" s="468"/>
      <c r="O11" s="468"/>
      <c r="P11" s="468"/>
      <c r="Q11" s="468"/>
      <c r="R11" s="468"/>
    </row>
    <row r="12" spans="1:18" ht="14.5">
      <c r="A12" s="468"/>
      <c r="B12" s="468"/>
      <c r="C12" s="468"/>
      <c r="D12" s="468"/>
      <c r="E12" s="468"/>
      <c r="F12" s="468"/>
      <c r="G12" s="468"/>
      <c r="H12" s="468"/>
      <c r="I12" s="468"/>
      <c r="J12" s="468"/>
      <c r="K12" s="468"/>
      <c r="L12" s="468"/>
      <c r="M12" s="468"/>
      <c r="N12" s="468"/>
      <c r="O12" s="468"/>
      <c r="P12" s="468"/>
      <c r="Q12" s="468"/>
      <c r="R12" s="468"/>
    </row>
    <row r="13" spans="1:18" ht="14.5">
      <c r="A13" s="468"/>
      <c r="B13" s="468"/>
      <c r="C13" s="468"/>
      <c r="D13" s="468"/>
      <c r="E13" s="468"/>
      <c r="F13" s="468"/>
      <c r="G13" s="468"/>
      <c r="H13" s="468"/>
      <c r="I13" s="468"/>
      <c r="J13" s="468"/>
      <c r="K13" s="468"/>
      <c r="L13" s="468"/>
      <c r="M13" s="468"/>
      <c r="N13" s="468"/>
      <c r="O13" s="468"/>
      <c r="P13" s="468"/>
      <c r="Q13" s="468"/>
      <c r="R13" s="468"/>
    </row>
    <row r="14" spans="1:18" ht="14.5">
      <c r="A14" s="468"/>
      <c r="B14" s="468"/>
      <c r="C14" s="468"/>
      <c r="D14" s="468"/>
      <c r="E14" s="468"/>
      <c r="F14" s="468"/>
      <c r="G14" s="468"/>
      <c r="H14" s="468"/>
      <c r="I14" s="468"/>
      <c r="J14" s="468"/>
      <c r="K14" s="468"/>
      <c r="L14" s="468"/>
      <c r="M14" s="468"/>
      <c r="N14" s="468"/>
      <c r="O14" s="468"/>
      <c r="P14" s="468"/>
      <c r="Q14" s="468"/>
      <c r="R14" s="468"/>
    </row>
    <row r="15" spans="1:18" ht="14.5">
      <c r="A15" s="468"/>
      <c r="B15" s="468"/>
      <c r="C15" s="468"/>
      <c r="D15" s="468"/>
      <c r="E15" s="468"/>
      <c r="F15" s="1031">
        <v>43131</v>
      </c>
      <c r="G15" s="1031">
        <v>43159</v>
      </c>
      <c r="H15" s="1031"/>
      <c r="I15" s="1031"/>
      <c r="J15" s="1031"/>
      <c r="K15" s="1031"/>
      <c r="L15" s="1031"/>
      <c r="M15" s="1031"/>
      <c r="N15" s="1031"/>
      <c r="O15" s="1031"/>
      <c r="P15" s="1031"/>
      <c r="Q15" s="1031"/>
      <c r="R15" s="468"/>
    </row>
    <row r="16" spans="1:18" ht="14.5">
      <c r="A16" s="468"/>
      <c r="B16" s="468"/>
      <c r="C16" s="468"/>
      <c r="D16" s="468"/>
      <c r="E16" s="468"/>
      <c r="F16" s="468"/>
      <c r="G16" s="468"/>
      <c r="H16" s="468"/>
      <c r="I16" s="468"/>
      <c r="J16" s="468"/>
      <c r="K16" s="468"/>
      <c r="L16" s="468"/>
      <c r="M16" s="468"/>
      <c r="N16" s="468"/>
      <c r="O16" s="468"/>
      <c r="P16" s="468"/>
      <c r="Q16" s="468"/>
      <c r="R16" s="468"/>
    </row>
    <row r="17" spans="1:18" ht="14.5">
      <c r="A17" s="468"/>
      <c r="B17" s="468"/>
      <c r="C17" s="468"/>
      <c r="D17" s="468"/>
      <c r="E17" s="468"/>
      <c r="F17" s="468"/>
      <c r="G17" s="468"/>
      <c r="H17" s="468"/>
      <c r="I17" s="468"/>
      <c r="J17" s="468"/>
      <c r="K17" s="468"/>
      <c r="L17" s="468"/>
      <c r="M17" s="468"/>
      <c r="N17" s="468"/>
      <c r="O17" s="468"/>
      <c r="P17" s="468"/>
      <c r="Q17" s="468"/>
      <c r="R17" s="468"/>
    </row>
    <row r="18" spans="1:18" ht="14.5">
      <c r="A18" s="468"/>
      <c r="B18" s="468"/>
      <c r="C18" s="468"/>
      <c r="D18" s="468"/>
      <c r="E18" s="468"/>
      <c r="F18" s="468"/>
      <c r="G18" s="468"/>
      <c r="H18" s="468"/>
      <c r="I18" s="468"/>
      <c r="J18" s="468"/>
      <c r="K18" s="468"/>
      <c r="L18" s="468"/>
      <c r="M18" s="468"/>
      <c r="N18" s="468"/>
      <c r="O18" s="468"/>
      <c r="P18" s="468"/>
      <c r="Q18" s="468"/>
      <c r="R18" s="468"/>
    </row>
    <row r="19" spans="1:18" ht="14.5">
      <c r="A19" s="468"/>
      <c r="B19" s="468"/>
      <c r="C19" s="468"/>
      <c r="D19" s="468"/>
      <c r="E19" s="468"/>
      <c r="F19" s="468"/>
      <c r="G19" s="468"/>
      <c r="H19" s="468"/>
      <c r="I19" s="468"/>
      <c r="J19" s="468"/>
      <c r="K19" s="468"/>
      <c r="L19" s="468"/>
      <c r="M19" s="468"/>
      <c r="N19" s="468"/>
      <c r="O19" s="468"/>
      <c r="P19" s="468"/>
      <c r="Q19" s="468"/>
      <c r="R19" s="468"/>
    </row>
    <row r="20" spans="1:18" ht="14.5">
      <c r="A20" s="468"/>
      <c r="B20" s="468"/>
      <c r="C20" s="468"/>
      <c r="D20" s="468"/>
      <c r="E20" s="468"/>
      <c r="F20" s="468"/>
      <c r="G20" s="468"/>
      <c r="H20" s="468"/>
      <c r="I20" s="468"/>
      <c r="J20" s="468"/>
      <c r="K20" s="468"/>
      <c r="L20" s="468"/>
      <c r="M20" s="468"/>
      <c r="N20" s="468"/>
      <c r="O20" s="468"/>
      <c r="P20" s="468"/>
      <c r="Q20" s="468"/>
      <c r="R20" s="468"/>
    </row>
    <row r="21" spans="1:18" ht="14.5">
      <c r="A21" s="468"/>
      <c r="B21" s="468"/>
      <c r="C21" s="468"/>
      <c r="D21" s="468"/>
      <c r="E21" s="468"/>
      <c r="F21" s="468"/>
      <c r="G21" s="468"/>
      <c r="H21" s="468"/>
      <c r="I21" s="468"/>
      <c r="J21" s="468"/>
      <c r="K21" s="468"/>
      <c r="L21" s="468"/>
      <c r="M21" s="468"/>
      <c r="N21" s="468"/>
      <c r="O21" s="468"/>
      <c r="P21" s="468"/>
      <c r="Q21" s="468"/>
      <c r="R21" s="468"/>
    </row>
    <row r="22" spans="1:18" ht="14.5">
      <c r="A22" s="468"/>
      <c r="B22" s="468"/>
      <c r="C22" s="468"/>
      <c r="D22" s="468"/>
      <c r="E22" s="468"/>
      <c r="F22" s="468"/>
      <c r="G22" s="468"/>
      <c r="H22" s="468"/>
      <c r="I22" s="468"/>
      <c r="J22" s="468"/>
      <c r="K22" s="468"/>
      <c r="L22" s="468"/>
      <c r="M22" s="468"/>
      <c r="N22" s="468"/>
      <c r="O22" s="468"/>
      <c r="P22" s="468"/>
      <c r="Q22" s="468"/>
      <c r="R22" s="468"/>
    </row>
    <row r="23" spans="1:18" ht="14.5">
      <c r="A23" s="468"/>
      <c r="B23" s="468"/>
      <c r="C23" s="468"/>
      <c r="D23" s="468"/>
      <c r="E23" s="468"/>
      <c r="F23" s="468"/>
      <c r="G23" s="468"/>
      <c r="H23" s="468"/>
      <c r="I23" s="468"/>
      <c r="J23" s="468"/>
      <c r="K23" s="468"/>
      <c r="L23" s="468"/>
      <c r="M23" s="468"/>
      <c r="N23" s="468"/>
      <c r="O23" s="468"/>
      <c r="P23" s="468"/>
      <c r="Q23" s="468"/>
      <c r="R23" s="468"/>
    </row>
    <row r="24" spans="1:18" ht="14.5">
      <c r="A24" s="468"/>
      <c r="B24" s="468"/>
      <c r="C24" s="468"/>
      <c r="D24" s="468"/>
      <c r="E24" s="468"/>
      <c r="F24" s="468"/>
      <c r="G24" s="468"/>
      <c r="H24" s="468"/>
      <c r="I24" s="468"/>
      <c r="J24" s="468"/>
      <c r="K24" s="468"/>
      <c r="L24" s="468"/>
      <c r="M24" s="468"/>
      <c r="N24" s="468"/>
      <c r="O24" s="468"/>
      <c r="P24" s="468"/>
      <c r="Q24" s="468"/>
      <c r="R24" s="468"/>
    </row>
    <row r="25" spans="1:18" ht="14.5">
      <c r="A25" s="468"/>
      <c r="B25" s="468"/>
      <c r="C25" s="468"/>
      <c r="D25" s="468"/>
      <c r="E25" s="468"/>
      <c r="F25" s="468"/>
      <c r="G25" s="468"/>
      <c r="H25" s="468"/>
      <c r="I25" s="468"/>
      <c r="J25" s="468"/>
      <c r="K25" s="468"/>
      <c r="L25" s="468"/>
      <c r="M25" s="468"/>
      <c r="N25" s="468"/>
      <c r="O25" s="468"/>
      <c r="P25" s="468"/>
      <c r="Q25" s="468"/>
      <c r="R25" s="468"/>
    </row>
    <row r="26" spans="1:18" ht="14.5">
      <c r="A26" s="468"/>
      <c r="B26" s="468"/>
      <c r="C26" s="468"/>
      <c r="D26" s="468"/>
      <c r="E26" s="468"/>
      <c r="F26" s="468"/>
      <c r="G26" s="468"/>
      <c r="H26" s="468"/>
      <c r="I26" s="468"/>
      <c r="J26" s="468"/>
      <c r="K26" s="468"/>
      <c r="L26" s="468"/>
      <c r="M26" s="468"/>
      <c r="N26" s="468"/>
      <c r="O26" s="468"/>
      <c r="P26" s="468"/>
      <c r="Q26" s="468"/>
      <c r="R26" s="468"/>
    </row>
    <row r="27" spans="1:18" ht="14.5"/>
    <row r="28" spans="1:18" ht="14.5"/>
    <row r="29" spans="1:18" ht="14.5"/>
    <row r="30" spans="1:18" ht="14.5">
      <c r="F30" s="26"/>
      <c r="H30" s="26"/>
      <c r="I30" s="26"/>
      <c r="J30" s="26"/>
      <c r="K30" s="26"/>
      <c r="L30" s="26"/>
      <c r="M30" s="26"/>
      <c r="N30" s="26"/>
      <c r="O30" s="26"/>
      <c r="P30" s="26"/>
      <c r="Q30" s="26"/>
    </row>
    <row r="31" spans="1:18" ht="14.5"/>
    <row r="32" spans="1:18" ht="14.5"/>
  </sheetData>
  <hyperlinks>
    <hyperlink ref="A1" location="'Resultados Mes &amp; Acum'!A1" display="'Resultados Mes &amp; Acum'!A1"/>
  </hyperlink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EEB84C"/>
  </sheetPr>
  <dimension ref="A1:Q30"/>
  <sheetViews>
    <sheetView workbookViewId="0">
      <selection activeCell="B4" sqref="B4:N9"/>
    </sheetView>
  </sheetViews>
  <sheetFormatPr baseColWidth="10" defaultRowHeight="14.5"/>
  <cols>
    <col min="1" max="1" width="17.54296875" bestFit="1" customWidth="1"/>
    <col min="2" max="2" width="7.26953125" customWidth="1"/>
    <col min="3" max="3" width="8" customWidth="1"/>
    <col min="4" max="9" width="7.26953125" customWidth="1"/>
    <col min="10" max="10" width="11.453125" customWidth="1"/>
    <col min="11" max="11" width="8.1796875" customWidth="1"/>
    <col min="12" max="12" width="11" customWidth="1"/>
    <col min="13" max="13" width="10.1796875" customWidth="1"/>
  </cols>
  <sheetData>
    <row r="1" spans="1:17">
      <c r="A1" s="626" t="s">
        <v>802</v>
      </c>
    </row>
    <row r="2" spans="1:17">
      <c r="A2" s="625" t="s">
        <v>732</v>
      </c>
      <c r="B2" s="1271" t="s">
        <v>620</v>
      </c>
      <c r="C2" s="1271" t="s">
        <v>621</v>
      </c>
      <c r="D2" s="1271" t="s">
        <v>622</v>
      </c>
      <c r="E2" s="1271" t="s">
        <v>623</v>
      </c>
      <c r="F2" s="1271" t="s">
        <v>624</v>
      </c>
      <c r="G2" s="1271" t="s">
        <v>625</v>
      </c>
      <c r="H2" s="1271" t="s">
        <v>626</v>
      </c>
      <c r="I2" s="1271" t="s">
        <v>627</v>
      </c>
      <c r="J2" s="1271" t="s">
        <v>628</v>
      </c>
      <c r="K2" s="1271" t="s">
        <v>629</v>
      </c>
      <c r="L2" s="1271" t="s">
        <v>630</v>
      </c>
      <c r="M2" s="1271" t="s">
        <v>631</v>
      </c>
    </row>
    <row r="3" spans="1:17">
      <c r="A3" s="566" t="s">
        <v>632</v>
      </c>
      <c r="B3" s="632">
        <v>-92.23</v>
      </c>
      <c r="C3" s="632">
        <v>-86.28</v>
      </c>
      <c r="D3" s="632">
        <v>-92.23</v>
      </c>
      <c r="E3" s="632">
        <v>-89.254999999999995</v>
      </c>
      <c r="F3" s="632">
        <v>-92.23</v>
      </c>
      <c r="G3" s="632">
        <v>-89.254999999999995</v>
      </c>
      <c r="H3" s="632">
        <v>-92.23</v>
      </c>
      <c r="I3" s="632">
        <v>-92.23</v>
      </c>
      <c r="J3" s="632">
        <v>-89.254999999999995</v>
      </c>
      <c r="K3" s="632">
        <v>-92.23</v>
      </c>
      <c r="L3" s="632">
        <v>-89.254999999999995</v>
      </c>
      <c r="M3" s="190">
        <v>0</v>
      </c>
    </row>
    <row r="4" spans="1:17">
      <c r="A4" s="566" t="s">
        <v>719</v>
      </c>
      <c r="B4" s="631">
        <v>-92.23</v>
      </c>
      <c r="C4" s="631">
        <v>-86.28</v>
      </c>
      <c r="D4" s="631">
        <v>-92.23</v>
      </c>
      <c r="E4" s="631">
        <v>-89.254999999999995</v>
      </c>
      <c r="F4" s="631">
        <v>-92.23</v>
      </c>
      <c r="G4" s="631">
        <v>-89.254999999999995</v>
      </c>
      <c r="H4" s="631">
        <v>-92.23</v>
      </c>
      <c r="I4" s="631">
        <v>-92.23</v>
      </c>
      <c r="J4" s="631">
        <v>-89.254999999999995</v>
      </c>
      <c r="K4" s="631">
        <v>-92.23</v>
      </c>
      <c r="L4" s="631">
        <v>-89.254999999999995</v>
      </c>
      <c r="M4" s="631">
        <v>0</v>
      </c>
    </row>
    <row r="15" spans="1:17">
      <c r="F15" s="26"/>
      <c r="G15" s="26"/>
      <c r="H15" s="26"/>
      <c r="I15" s="26"/>
      <c r="J15" s="26"/>
      <c r="K15" s="26"/>
      <c r="L15" s="26"/>
      <c r="M15" s="26"/>
      <c r="N15" s="26"/>
      <c r="O15" s="26"/>
      <c r="P15" s="26"/>
      <c r="Q15" s="26"/>
    </row>
    <row r="30" spans="6:17">
      <c r="F30" s="26"/>
      <c r="G30" s="26"/>
      <c r="H30" s="26"/>
      <c r="I30" s="26"/>
      <c r="J30" s="26"/>
      <c r="K30" s="26"/>
      <c r="L30" s="26"/>
      <c r="M30" s="26"/>
      <c r="N30" s="26"/>
      <c r="O30" s="26"/>
      <c r="P30" s="26"/>
      <c r="Q30" s="26"/>
    </row>
  </sheetData>
  <hyperlinks>
    <hyperlink ref="A1" location="'Resultados Mes &amp; Acum'!A1" display="'Resultados Mes &amp; Acum'!A1"/>
  </hyperlink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39997558519241921"/>
  </sheetPr>
  <dimension ref="A1:P35"/>
  <sheetViews>
    <sheetView showGridLines="0" showRowColHeaders="0" topLeftCell="A8" zoomScale="70" zoomScaleNormal="70" workbookViewId="0">
      <selection activeCell="B8" sqref="B8:N8"/>
    </sheetView>
  </sheetViews>
  <sheetFormatPr baseColWidth="10" defaultColWidth="10.81640625" defaultRowHeight="14.5"/>
  <cols>
    <col min="1" max="1" width="30.54296875" style="568" customWidth="1"/>
    <col min="2" max="16384" width="10.81640625" style="568"/>
  </cols>
  <sheetData>
    <row r="1" spans="1:16">
      <c r="A1" s="567"/>
    </row>
    <row r="2" spans="1:16" ht="30">
      <c r="B2" s="2620" t="s">
        <v>733</v>
      </c>
      <c r="C2" s="2620"/>
      <c r="D2" s="2620"/>
      <c r="E2" s="2620"/>
      <c r="F2" s="2620"/>
      <c r="G2" s="2620"/>
      <c r="H2" s="2620"/>
      <c r="I2" s="2620"/>
      <c r="J2" s="2620"/>
      <c r="K2" s="2620"/>
      <c r="L2" s="2620"/>
      <c r="M2" s="2620"/>
      <c r="N2" s="2620"/>
    </row>
    <row r="4" spans="1:16" ht="30.5">
      <c r="B4" s="2621" t="s">
        <v>734</v>
      </c>
      <c r="C4" s="2621"/>
      <c r="D4" s="2621"/>
      <c r="E4" s="2621"/>
      <c r="F4" s="2621"/>
      <c r="G4" s="2621"/>
      <c r="H4" s="2621"/>
      <c r="I4" s="2621"/>
      <c r="J4" s="2621"/>
      <c r="K4" s="2621"/>
      <c r="L4" s="2621"/>
      <c r="M4" s="2621"/>
      <c r="N4" s="2621"/>
      <c r="O4" s="569"/>
      <c r="P4" s="569"/>
    </row>
    <row r="5" spans="1:16" ht="15" thickBot="1"/>
    <row r="6" spans="1:16" ht="17.25" customHeight="1">
      <c r="B6" s="2622" t="s">
        <v>735</v>
      </c>
      <c r="C6" s="2623"/>
      <c r="D6" s="2623"/>
      <c r="E6" s="2623"/>
      <c r="F6" s="2623"/>
      <c r="G6" s="2623"/>
      <c r="H6" s="2623"/>
      <c r="I6" s="2623"/>
      <c r="J6" s="2623"/>
      <c r="K6" s="2623"/>
      <c r="L6" s="2623"/>
      <c r="M6" s="2623"/>
      <c r="N6" s="2624"/>
    </row>
    <row r="7" spans="1:16" ht="90.75" customHeight="1">
      <c r="B7" s="2625" t="s">
        <v>736</v>
      </c>
      <c r="C7" s="2626"/>
      <c r="D7" s="2626"/>
      <c r="E7" s="2626"/>
      <c r="F7" s="2626"/>
      <c r="G7" s="2626"/>
      <c r="H7" s="2626"/>
      <c r="I7" s="2626"/>
      <c r="J7" s="2626"/>
      <c r="K7" s="2626"/>
      <c r="L7" s="2626"/>
      <c r="M7" s="2626"/>
      <c r="N7" s="2627"/>
    </row>
    <row r="8" spans="1:16" ht="234.75" customHeight="1">
      <c r="B8" s="2625" t="s">
        <v>737</v>
      </c>
      <c r="C8" s="2626"/>
      <c r="D8" s="2626"/>
      <c r="E8" s="2626"/>
      <c r="F8" s="2626"/>
      <c r="G8" s="2626"/>
      <c r="H8" s="2626"/>
      <c r="I8" s="2626"/>
      <c r="J8" s="2626"/>
      <c r="K8" s="2626"/>
      <c r="L8" s="2626"/>
      <c r="M8" s="2626"/>
      <c r="N8" s="2627"/>
    </row>
    <row r="9" spans="1:16" ht="175.5" customHeight="1" thickBot="1">
      <c r="B9" s="2617" t="s">
        <v>738</v>
      </c>
      <c r="C9" s="2618"/>
      <c r="D9" s="2618"/>
      <c r="E9" s="2618"/>
      <c r="F9" s="2618"/>
      <c r="G9" s="2618"/>
      <c r="H9" s="2618"/>
      <c r="I9" s="2618"/>
      <c r="J9" s="2618"/>
      <c r="K9" s="2618"/>
      <c r="L9" s="2618"/>
      <c r="M9" s="2618"/>
      <c r="N9" s="2619"/>
    </row>
    <row r="10" spans="1:16" ht="21">
      <c r="B10" s="570"/>
      <c r="C10" s="570"/>
      <c r="D10" s="570"/>
      <c r="E10" s="570"/>
      <c r="F10" s="570"/>
      <c r="G10" s="570"/>
      <c r="H10" s="570"/>
      <c r="I10" s="570"/>
      <c r="J10" s="570"/>
      <c r="K10" s="570"/>
      <c r="L10" s="570"/>
      <c r="M10" s="570"/>
      <c r="N10" s="570"/>
    </row>
    <row r="11" spans="1:16">
      <c r="B11" s="571"/>
      <c r="C11" s="571"/>
      <c r="D11" s="571"/>
      <c r="E11" s="571"/>
      <c r="F11" s="571"/>
      <c r="G11" s="571"/>
      <c r="H11" s="571"/>
      <c r="I11" s="571"/>
      <c r="J11" s="571"/>
      <c r="K11" s="571"/>
      <c r="L11" s="571"/>
      <c r="M11" s="571"/>
      <c r="N11" s="571"/>
    </row>
    <row r="12" spans="1:16">
      <c r="B12" s="571"/>
      <c r="C12" s="571"/>
      <c r="D12" s="571"/>
      <c r="E12" s="571"/>
      <c r="F12" s="571"/>
      <c r="G12" s="571"/>
      <c r="H12" s="571"/>
      <c r="I12" s="571"/>
      <c r="J12" s="571"/>
      <c r="K12" s="571"/>
      <c r="L12" s="571"/>
      <c r="M12" s="571"/>
      <c r="N12" s="571"/>
    </row>
    <row r="13" spans="1:16">
      <c r="B13" s="571"/>
      <c r="C13" s="571"/>
      <c r="D13" s="571"/>
      <c r="E13" s="571"/>
      <c r="F13" s="571"/>
      <c r="G13" s="571"/>
      <c r="H13" s="571"/>
      <c r="I13" s="571"/>
      <c r="J13" s="571"/>
      <c r="K13" s="571"/>
      <c r="L13" s="571"/>
      <c r="M13" s="571"/>
      <c r="N13" s="571"/>
    </row>
    <row r="14" spans="1:16">
      <c r="B14" s="571"/>
      <c r="C14" s="571"/>
      <c r="D14" s="571"/>
      <c r="E14" s="571"/>
      <c r="F14" s="571"/>
      <c r="G14" s="571"/>
      <c r="H14" s="571"/>
      <c r="I14" s="571"/>
      <c r="J14" s="571"/>
      <c r="K14" s="571"/>
      <c r="L14" s="571"/>
      <c r="M14" s="571"/>
      <c r="N14" s="571"/>
    </row>
    <row r="15" spans="1:16">
      <c r="B15" s="571"/>
      <c r="C15" s="571"/>
      <c r="D15" s="571"/>
      <c r="E15" s="571"/>
      <c r="F15" s="571"/>
      <c r="G15" s="571"/>
      <c r="H15" s="571"/>
      <c r="I15" s="571"/>
      <c r="J15" s="571"/>
      <c r="K15" s="571"/>
      <c r="L15" s="571"/>
      <c r="M15" s="571"/>
      <c r="N15" s="571"/>
    </row>
    <row r="16" spans="1:16">
      <c r="B16" s="571"/>
      <c r="C16" s="571"/>
      <c r="D16" s="571"/>
      <c r="E16" s="571"/>
      <c r="F16" s="571"/>
      <c r="G16" s="571"/>
      <c r="H16" s="571"/>
      <c r="I16" s="571"/>
      <c r="J16" s="571"/>
      <c r="K16" s="571"/>
      <c r="L16" s="571"/>
      <c r="M16" s="571"/>
      <c r="N16" s="571"/>
    </row>
    <row r="17" spans="2:14">
      <c r="B17" s="571"/>
      <c r="C17" s="571"/>
      <c r="D17" s="571"/>
      <c r="E17" s="571"/>
      <c r="F17" s="571"/>
      <c r="G17" s="571"/>
      <c r="H17" s="571"/>
      <c r="I17" s="571"/>
      <c r="J17" s="571"/>
      <c r="K17" s="571"/>
      <c r="L17" s="571"/>
      <c r="M17" s="571"/>
      <c r="N17" s="571"/>
    </row>
    <row r="18" spans="2:14">
      <c r="B18" s="571"/>
      <c r="C18" s="571"/>
      <c r="D18" s="571"/>
      <c r="E18" s="571"/>
      <c r="F18" s="571"/>
      <c r="G18" s="571"/>
      <c r="H18" s="571"/>
      <c r="I18" s="571"/>
      <c r="J18" s="571"/>
      <c r="K18" s="571"/>
      <c r="L18" s="571"/>
      <c r="M18" s="571"/>
      <c r="N18" s="571"/>
    </row>
    <row r="19" spans="2:14">
      <c r="B19" s="571"/>
      <c r="C19" s="571"/>
      <c r="D19" s="571"/>
      <c r="E19" s="571"/>
      <c r="F19" s="571"/>
      <c r="G19" s="571"/>
      <c r="H19" s="571"/>
      <c r="I19" s="571"/>
      <c r="J19" s="571"/>
      <c r="K19" s="571"/>
      <c r="L19" s="571"/>
      <c r="M19" s="571"/>
      <c r="N19" s="571"/>
    </row>
    <row r="20" spans="2:14">
      <c r="B20" s="571"/>
      <c r="C20" s="571"/>
      <c r="D20" s="571"/>
      <c r="E20" s="571"/>
      <c r="F20" s="571"/>
      <c r="G20" s="571"/>
      <c r="H20" s="571"/>
      <c r="I20" s="571"/>
      <c r="J20" s="571"/>
      <c r="K20" s="571"/>
      <c r="L20" s="571"/>
      <c r="M20" s="571"/>
      <c r="N20" s="571"/>
    </row>
    <row r="21" spans="2:14">
      <c r="B21" s="571"/>
      <c r="C21" s="571"/>
      <c r="D21" s="571"/>
      <c r="E21" s="571"/>
      <c r="F21" s="571"/>
      <c r="G21" s="571"/>
      <c r="H21" s="571"/>
      <c r="I21" s="571"/>
      <c r="J21" s="571"/>
      <c r="K21" s="571"/>
      <c r="L21" s="571"/>
      <c r="M21" s="571"/>
      <c r="N21" s="571"/>
    </row>
    <row r="22" spans="2:14">
      <c r="B22" s="571"/>
      <c r="C22" s="571"/>
      <c r="D22" s="571"/>
      <c r="E22" s="571"/>
      <c r="F22" s="571"/>
      <c r="G22" s="571"/>
      <c r="H22" s="571"/>
      <c r="I22" s="571"/>
      <c r="J22" s="571"/>
      <c r="K22" s="571"/>
      <c r="L22" s="571"/>
      <c r="M22" s="571"/>
      <c r="N22" s="571"/>
    </row>
    <row r="23" spans="2:14">
      <c r="B23" s="571"/>
      <c r="C23" s="571"/>
      <c r="D23" s="571"/>
      <c r="E23" s="571"/>
      <c r="F23" s="571"/>
      <c r="G23" s="571"/>
      <c r="H23" s="571"/>
      <c r="I23" s="571"/>
      <c r="J23" s="571"/>
      <c r="K23" s="571"/>
      <c r="L23" s="571"/>
      <c r="M23" s="571"/>
      <c r="N23" s="571"/>
    </row>
    <row r="24" spans="2:14">
      <c r="B24" s="571"/>
      <c r="C24" s="571"/>
      <c r="D24" s="571"/>
      <c r="E24" s="571"/>
      <c r="F24" s="571"/>
      <c r="G24" s="571"/>
      <c r="H24" s="571"/>
      <c r="I24" s="571"/>
      <c r="J24" s="571"/>
      <c r="K24" s="571"/>
      <c r="L24" s="571"/>
      <c r="M24" s="571"/>
      <c r="N24" s="571"/>
    </row>
    <row r="25" spans="2:14">
      <c r="B25" s="571"/>
      <c r="C25" s="571"/>
      <c r="D25" s="571"/>
      <c r="E25" s="571"/>
      <c r="F25" s="571"/>
      <c r="G25" s="571"/>
      <c r="H25" s="571"/>
      <c r="I25" s="571"/>
      <c r="J25" s="571"/>
      <c r="K25" s="571"/>
      <c r="L25" s="571"/>
      <c r="M25" s="571"/>
      <c r="N25" s="571"/>
    </row>
    <row r="26" spans="2:14">
      <c r="B26" s="571"/>
      <c r="C26" s="571"/>
      <c r="D26" s="571"/>
      <c r="E26" s="571"/>
      <c r="F26" s="571"/>
      <c r="G26" s="571"/>
      <c r="H26" s="571"/>
      <c r="I26" s="571"/>
      <c r="J26" s="571"/>
      <c r="K26" s="571"/>
      <c r="L26" s="571"/>
      <c r="M26" s="571"/>
      <c r="N26" s="571"/>
    </row>
    <row r="27" spans="2:14">
      <c r="B27" s="571"/>
      <c r="C27" s="571"/>
      <c r="D27" s="571"/>
      <c r="E27" s="571"/>
      <c r="F27" s="571"/>
      <c r="G27" s="571"/>
      <c r="H27" s="571"/>
      <c r="I27" s="571"/>
      <c r="J27" s="571"/>
      <c r="K27" s="571"/>
      <c r="L27" s="571"/>
      <c r="M27" s="571"/>
      <c r="N27" s="571"/>
    </row>
    <row r="28" spans="2:14">
      <c r="B28" s="571"/>
      <c r="C28" s="571"/>
      <c r="D28" s="571"/>
      <c r="E28" s="571"/>
      <c r="F28" s="571"/>
      <c r="G28" s="571"/>
      <c r="H28" s="571"/>
      <c r="I28" s="571"/>
      <c r="J28" s="571"/>
      <c r="K28" s="571"/>
      <c r="L28" s="571"/>
      <c r="M28" s="571"/>
      <c r="N28" s="571"/>
    </row>
    <row r="29" spans="2:14">
      <c r="B29" s="571"/>
      <c r="C29" s="571"/>
      <c r="D29" s="571"/>
      <c r="E29" s="571"/>
      <c r="F29" s="571"/>
      <c r="G29" s="571"/>
      <c r="H29" s="571"/>
      <c r="I29" s="571"/>
      <c r="J29" s="571"/>
      <c r="K29" s="571"/>
      <c r="L29" s="571"/>
      <c r="M29" s="571"/>
      <c r="N29" s="571"/>
    </row>
    <row r="30" spans="2:14">
      <c r="B30" s="571"/>
      <c r="C30" s="571"/>
      <c r="D30" s="571"/>
      <c r="E30" s="571"/>
      <c r="F30" s="571"/>
      <c r="G30" s="571"/>
      <c r="H30" s="571"/>
      <c r="I30" s="571"/>
      <c r="J30" s="571"/>
      <c r="K30" s="571"/>
      <c r="L30" s="571"/>
      <c r="M30" s="571"/>
      <c r="N30" s="571"/>
    </row>
    <row r="31" spans="2:14">
      <c r="B31" s="571"/>
      <c r="C31" s="571"/>
      <c r="D31" s="571"/>
      <c r="E31" s="571"/>
      <c r="F31" s="571"/>
      <c r="G31" s="571"/>
      <c r="H31" s="571"/>
      <c r="I31" s="571"/>
      <c r="J31" s="571"/>
      <c r="K31" s="571"/>
      <c r="L31" s="571"/>
      <c r="M31" s="571"/>
      <c r="N31" s="571"/>
    </row>
    <row r="32" spans="2:14">
      <c r="B32" s="571"/>
      <c r="C32" s="571"/>
      <c r="D32" s="571"/>
      <c r="E32" s="571"/>
      <c r="F32" s="571"/>
      <c r="G32" s="571"/>
      <c r="H32" s="571"/>
      <c r="I32" s="571"/>
      <c r="J32" s="571"/>
      <c r="K32" s="571"/>
      <c r="L32" s="571"/>
      <c r="M32" s="571"/>
      <c r="N32" s="571"/>
    </row>
    <row r="33" spans="2:14">
      <c r="B33" s="571"/>
      <c r="C33" s="571"/>
      <c r="D33" s="571"/>
      <c r="E33" s="571"/>
      <c r="F33" s="571"/>
      <c r="G33" s="571"/>
      <c r="H33" s="571"/>
      <c r="I33" s="571"/>
      <c r="J33" s="571"/>
      <c r="K33" s="571"/>
      <c r="L33" s="571"/>
      <c r="M33" s="571"/>
      <c r="N33" s="571"/>
    </row>
    <row r="34" spans="2:14">
      <c r="B34" s="571"/>
      <c r="C34" s="571"/>
      <c r="D34" s="571"/>
      <c r="E34" s="571"/>
      <c r="F34" s="571"/>
      <c r="G34" s="571"/>
      <c r="H34" s="571"/>
      <c r="I34" s="571"/>
      <c r="J34" s="571"/>
      <c r="K34" s="571"/>
      <c r="L34" s="571"/>
      <c r="M34" s="571"/>
      <c r="N34" s="571"/>
    </row>
    <row r="35" spans="2:14">
      <c r="B35" s="571"/>
      <c r="C35" s="571"/>
      <c r="D35" s="571"/>
      <c r="E35" s="571"/>
      <c r="F35" s="571"/>
      <c r="G35" s="571"/>
      <c r="H35" s="571"/>
      <c r="I35" s="571"/>
      <c r="J35" s="571"/>
      <c r="K35" s="571"/>
      <c r="L35" s="571"/>
      <c r="M35" s="571"/>
      <c r="N35" s="571"/>
    </row>
  </sheetData>
  <mergeCells count="6">
    <mergeCell ref="B9:N9"/>
    <mergeCell ref="B2:N2"/>
    <mergeCell ref="B4:N4"/>
    <mergeCell ref="B6:N6"/>
    <mergeCell ref="B7:N7"/>
    <mergeCell ref="B8:N8"/>
  </mergeCells>
  <pageMargins left="0.7" right="0.7" top="0.75" bottom="0.75" header="0.3" footer="0.3"/>
  <pageSetup paperSize="9"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rgb="FF00B050"/>
  </sheetPr>
  <dimension ref="A1:C36"/>
  <sheetViews>
    <sheetView view="pageBreakPreview" zoomScaleNormal="100" zoomScaleSheetLayoutView="100" workbookViewId="0">
      <selection activeCell="D31" sqref="D31"/>
    </sheetView>
  </sheetViews>
  <sheetFormatPr baseColWidth="10" defaultRowHeight="14.5"/>
  <cols>
    <col min="2" max="2" width="42.54296875" bestFit="1" customWidth="1"/>
    <col min="3" max="3" width="57.81640625" customWidth="1"/>
  </cols>
  <sheetData>
    <row r="1" spans="1:3">
      <c r="A1" s="2628" t="s">
        <v>739</v>
      </c>
      <c r="B1" s="2628"/>
      <c r="C1" s="2628"/>
    </row>
    <row r="2" spans="1:3">
      <c r="A2" s="2628"/>
      <c r="B2" s="2628"/>
      <c r="C2" s="2628"/>
    </row>
    <row r="3" spans="1:3">
      <c r="A3" s="2629"/>
      <c r="B3" s="2629"/>
      <c r="C3" s="2629"/>
    </row>
    <row r="4" spans="1:3" s="468" customFormat="1" ht="10.5" customHeight="1">
      <c r="A4" s="572"/>
      <c r="B4" s="572"/>
      <c r="C4" s="572"/>
    </row>
    <row r="5" spans="1:3">
      <c r="A5" s="573" t="s">
        <v>740</v>
      </c>
      <c r="B5" s="573" t="s">
        <v>741</v>
      </c>
      <c r="C5" s="573" t="s">
        <v>301</v>
      </c>
    </row>
    <row r="6" spans="1:3" ht="96.75" customHeight="1">
      <c r="A6" s="574">
        <v>1</v>
      </c>
      <c r="B6" s="575" t="s">
        <v>636</v>
      </c>
      <c r="C6" s="576" t="s">
        <v>742</v>
      </c>
    </row>
    <row r="7" spans="1:3" ht="31.5" customHeight="1">
      <c r="A7" s="577">
        <v>2</v>
      </c>
      <c r="B7" s="578" t="s">
        <v>743</v>
      </c>
      <c r="C7" s="526" t="s">
        <v>744</v>
      </c>
    </row>
    <row r="8" spans="1:3" ht="35.25" customHeight="1">
      <c r="A8" s="574">
        <v>3</v>
      </c>
      <c r="B8" s="575" t="s">
        <v>745</v>
      </c>
      <c r="C8" s="579" t="s">
        <v>744</v>
      </c>
    </row>
    <row r="9" spans="1:3" ht="51" customHeight="1">
      <c r="A9" s="577">
        <v>4</v>
      </c>
      <c r="B9" s="578" t="s">
        <v>746</v>
      </c>
      <c r="C9" s="502" t="s">
        <v>747</v>
      </c>
    </row>
    <row r="10" spans="1:3" ht="30.75" customHeight="1">
      <c r="A10" s="574">
        <v>5</v>
      </c>
      <c r="B10" s="575" t="s">
        <v>748</v>
      </c>
      <c r="C10" s="579" t="s">
        <v>744</v>
      </c>
    </row>
    <row r="11" spans="1:3" ht="45" customHeight="1">
      <c r="A11" s="577">
        <v>6</v>
      </c>
      <c r="B11" s="578" t="s">
        <v>749</v>
      </c>
      <c r="C11" s="502" t="s">
        <v>750</v>
      </c>
    </row>
    <row r="12" spans="1:3" ht="24.75" customHeight="1">
      <c r="A12" s="574">
        <v>7</v>
      </c>
      <c r="B12" s="575" t="s">
        <v>751</v>
      </c>
      <c r="C12" s="579"/>
    </row>
    <row r="13" spans="1:3" ht="22.5" customHeight="1">
      <c r="A13" s="577">
        <v>8</v>
      </c>
      <c r="B13" s="578"/>
      <c r="C13" s="526"/>
    </row>
    <row r="14" spans="1:3" ht="7.5" customHeight="1">
      <c r="A14" s="580"/>
      <c r="B14" s="580"/>
      <c r="C14" s="580"/>
    </row>
    <row r="15" spans="1:3">
      <c r="A15" s="573" t="s">
        <v>740</v>
      </c>
      <c r="B15" s="573" t="s">
        <v>752</v>
      </c>
      <c r="C15" s="573" t="s">
        <v>301</v>
      </c>
    </row>
    <row r="16" spans="1:3" ht="29.25" customHeight="1">
      <c r="A16" s="574">
        <v>1</v>
      </c>
      <c r="B16" s="575" t="s">
        <v>753</v>
      </c>
      <c r="C16" s="579" t="s">
        <v>754</v>
      </c>
    </row>
    <row r="17" spans="1:3" ht="24" customHeight="1">
      <c r="A17" s="577">
        <v>2</v>
      </c>
      <c r="B17" s="578" t="s">
        <v>755</v>
      </c>
      <c r="C17" s="526" t="s">
        <v>756</v>
      </c>
    </row>
    <row r="18" spans="1:3" ht="30.75" customHeight="1">
      <c r="A18" s="574">
        <v>3</v>
      </c>
      <c r="B18" s="575" t="s">
        <v>757</v>
      </c>
      <c r="C18" s="576" t="s">
        <v>758</v>
      </c>
    </row>
    <row r="19" spans="1:3" ht="42.75" customHeight="1">
      <c r="A19" s="577">
        <v>4</v>
      </c>
      <c r="B19" s="578" t="s">
        <v>759</v>
      </c>
      <c r="C19" s="502" t="s">
        <v>760</v>
      </c>
    </row>
    <row r="20" spans="1:3" ht="31.5" customHeight="1">
      <c r="A20" s="574">
        <v>5</v>
      </c>
      <c r="B20" s="575" t="s">
        <v>761</v>
      </c>
      <c r="C20" s="576" t="s">
        <v>762</v>
      </c>
    </row>
    <row r="21" spans="1:3" ht="27.75" customHeight="1">
      <c r="A21" s="577">
        <v>6</v>
      </c>
      <c r="B21" s="578" t="s">
        <v>763</v>
      </c>
      <c r="C21" s="502" t="s">
        <v>764</v>
      </c>
    </row>
    <row r="22" spans="1:3" ht="51" customHeight="1">
      <c r="A22" s="574">
        <v>7</v>
      </c>
      <c r="B22" s="575" t="s">
        <v>765</v>
      </c>
      <c r="C22" s="576" t="s">
        <v>766</v>
      </c>
    </row>
    <row r="23" spans="1:3" ht="28.5" customHeight="1">
      <c r="A23" s="577">
        <v>8</v>
      </c>
      <c r="B23" s="578" t="s">
        <v>686</v>
      </c>
      <c r="C23" s="581"/>
    </row>
    <row r="24" spans="1:3" ht="33.75" customHeight="1">
      <c r="A24" s="574">
        <v>9</v>
      </c>
      <c r="B24" s="575" t="s">
        <v>767</v>
      </c>
      <c r="C24" s="579"/>
    </row>
    <row r="25" spans="1:3" ht="24.75" customHeight="1">
      <c r="A25" s="577">
        <v>10</v>
      </c>
      <c r="B25" s="578" t="s">
        <v>768</v>
      </c>
      <c r="C25" s="581"/>
    </row>
    <row r="26" spans="1:3">
      <c r="A26" s="574">
        <v>11</v>
      </c>
      <c r="B26" s="575"/>
      <c r="C26" s="579"/>
    </row>
    <row r="27" spans="1:3">
      <c r="A27" s="577">
        <v>12</v>
      </c>
      <c r="B27" s="582"/>
      <c r="C27" s="581"/>
    </row>
    <row r="28" spans="1:3">
      <c r="A28" s="580"/>
      <c r="B28" s="580"/>
      <c r="C28" s="580"/>
    </row>
    <row r="29" spans="1:3">
      <c r="A29" s="573" t="s">
        <v>740</v>
      </c>
      <c r="B29" s="583" t="s">
        <v>769</v>
      </c>
      <c r="C29" s="584" t="s">
        <v>770</v>
      </c>
    </row>
    <row r="30" spans="1:3" ht="18.75" customHeight="1">
      <c r="A30" s="585">
        <v>1</v>
      </c>
      <c r="B30" s="586" t="s">
        <v>771</v>
      </c>
      <c r="C30" s="587"/>
    </row>
    <row r="31" spans="1:3" ht="18.75" customHeight="1">
      <c r="A31" s="546">
        <v>2</v>
      </c>
      <c r="B31" s="588" t="s">
        <v>772</v>
      </c>
      <c r="C31" s="549"/>
    </row>
    <row r="32" spans="1:3" ht="18.75" customHeight="1">
      <c r="A32" s="585">
        <v>3</v>
      </c>
      <c r="B32" s="586" t="s">
        <v>773</v>
      </c>
      <c r="C32" s="589"/>
    </row>
    <row r="33" spans="1:3" ht="18.75" customHeight="1">
      <c r="A33" s="546">
        <v>4</v>
      </c>
      <c r="B33" s="588" t="s">
        <v>774</v>
      </c>
      <c r="C33" s="554"/>
    </row>
    <row r="34" spans="1:3">
      <c r="A34" s="580"/>
      <c r="B34" s="112"/>
      <c r="C34" s="580"/>
    </row>
    <row r="35" spans="1:3">
      <c r="A35" s="590"/>
      <c r="B35" s="583" t="s">
        <v>775</v>
      </c>
      <c r="C35" s="584" t="s">
        <v>776</v>
      </c>
    </row>
    <row r="36" spans="1:3">
      <c r="A36" s="585"/>
      <c r="B36" s="586"/>
      <c r="C36" s="587"/>
    </row>
  </sheetData>
  <mergeCells count="1">
    <mergeCell ref="A1:C3"/>
  </mergeCells>
  <pageMargins left="0.7" right="0.7" top="0.75" bottom="0.75" header="0.3" footer="0.3"/>
  <pageSetup paperSize="9" scale="77"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FFFF99"/>
  </sheetPr>
  <dimension ref="B1:F47"/>
  <sheetViews>
    <sheetView showGridLines="0" topLeftCell="A19" zoomScale="91" zoomScaleNormal="91" workbookViewId="0">
      <selection activeCell="A22" sqref="A22"/>
    </sheetView>
  </sheetViews>
  <sheetFormatPr baseColWidth="10" defaultColWidth="10.81640625" defaultRowHeight="14.5"/>
  <cols>
    <col min="1" max="1" width="30.54296875" customWidth="1"/>
    <col min="2" max="2" width="10.81640625" customWidth="1"/>
    <col min="3" max="3" width="50.54296875" customWidth="1"/>
    <col min="4" max="5" width="13.54296875" customWidth="1"/>
  </cols>
  <sheetData>
    <row r="1" spans="2:6" ht="15" thickBot="1"/>
    <row r="2" spans="2:6" ht="25.5" customHeight="1">
      <c r="B2" s="2630" t="s">
        <v>777</v>
      </c>
      <c r="C2" s="2631"/>
      <c r="D2" s="2631"/>
      <c r="E2" s="2632"/>
    </row>
    <row r="3" spans="2:6" ht="15" thickBot="1">
      <c r="B3" s="591" t="s">
        <v>23</v>
      </c>
      <c r="C3" s="2633">
        <f>INICIO!D12</f>
        <v>45231</v>
      </c>
      <c r="D3" s="2634"/>
      <c r="E3" s="2635"/>
    </row>
    <row r="4" spans="2:6" ht="9" customHeight="1" thickBot="1"/>
    <row r="5" spans="2:6" ht="15" customHeight="1" thickBot="1">
      <c r="B5" s="2636" t="s">
        <v>778</v>
      </c>
      <c r="C5" s="2637"/>
      <c r="D5" s="2637"/>
      <c r="E5" s="2638"/>
    </row>
    <row r="6" spans="2:6" ht="7.5" customHeight="1">
      <c r="B6" s="592"/>
      <c r="E6" s="112"/>
    </row>
    <row r="7" spans="2:6">
      <c r="B7" s="593" t="s">
        <v>617</v>
      </c>
      <c r="C7" s="593" t="s">
        <v>618</v>
      </c>
      <c r="D7" s="593" t="s">
        <v>803</v>
      </c>
      <c r="E7" s="593" t="s">
        <v>804</v>
      </c>
    </row>
    <row r="8" spans="2:6" ht="15" thickBot="1"/>
    <row r="9" spans="2:6">
      <c r="B9" s="594">
        <v>1</v>
      </c>
      <c r="C9" s="595" t="s">
        <v>779</v>
      </c>
      <c r="D9" s="596"/>
      <c r="E9" s="597"/>
      <c r="F9" s="598"/>
    </row>
    <row r="10" spans="2:6">
      <c r="B10" s="599">
        <f>B9+1</f>
        <v>2</v>
      </c>
      <c r="C10" s="600" t="s">
        <v>780</v>
      </c>
      <c r="D10" s="601">
        <v>0</v>
      </c>
      <c r="E10" s="601">
        <v>0</v>
      </c>
      <c r="F10" s="580"/>
    </row>
    <row r="11" spans="2:6">
      <c r="B11" s="599">
        <f t="shared" ref="B11:B20" si="0">B10+1</f>
        <v>3</v>
      </c>
      <c r="C11" s="600" t="s">
        <v>781</v>
      </c>
      <c r="D11" s="601">
        <v>42900000</v>
      </c>
      <c r="E11" s="601">
        <v>42900000</v>
      </c>
      <c r="F11" s="580"/>
    </row>
    <row r="12" spans="2:6">
      <c r="B12" s="599">
        <f t="shared" si="0"/>
        <v>4</v>
      </c>
      <c r="C12" s="600" t="s">
        <v>753</v>
      </c>
      <c r="D12" s="601">
        <v>0</v>
      </c>
      <c r="E12" s="601">
        <v>0</v>
      </c>
      <c r="F12" s="580"/>
    </row>
    <row r="13" spans="2:6">
      <c r="B13" s="599">
        <f t="shared" si="0"/>
        <v>5</v>
      </c>
      <c r="C13" s="600" t="s">
        <v>782</v>
      </c>
      <c r="D13" s="601">
        <v>0</v>
      </c>
      <c r="E13" s="601">
        <v>0</v>
      </c>
      <c r="F13" s="580"/>
    </row>
    <row r="14" spans="2:6">
      <c r="B14" s="599">
        <f t="shared" si="0"/>
        <v>6</v>
      </c>
      <c r="C14" s="600" t="s">
        <v>783</v>
      </c>
      <c r="D14" s="601">
        <v>0</v>
      </c>
      <c r="E14" s="601">
        <v>0</v>
      </c>
      <c r="F14" s="580"/>
    </row>
    <row r="15" spans="2:6">
      <c r="B15" s="599">
        <f t="shared" si="0"/>
        <v>7</v>
      </c>
      <c r="C15" s="600" t="s">
        <v>784</v>
      </c>
      <c r="D15" s="601">
        <v>0</v>
      </c>
      <c r="E15" s="601">
        <v>0</v>
      </c>
      <c r="F15" s="580"/>
    </row>
    <row r="16" spans="2:6">
      <c r="B16" s="599">
        <f t="shared" si="0"/>
        <v>8</v>
      </c>
      <c r="C16" s="600" t="s">
        <v>785</v>
      </c>
      <c r="D16" s="601">
        <v>0</v>
      </c>
      <c r="E16" s="601">
        <v>0</v>
      </c>
      <c r="F16" s="580"/>
    </row>
    <row r="17" spans="2:6">
      <c r="B17" s="599">
        <f t="shared" si="0"/>
        <v>9</v>
      </c>
      <c r="C17" s="600" t="s">
        <v>786</v>
      </c>
      <c r="D17" s="601">
        <v>0</v>
      </c>
      <c r="E17" s="601">
        <v>0</v>
      </c>
      <c r="F17" s="580"/>
    </row>
    <row r="18" spans="2:6">
      <c r="B18" s="599">
        <f t="shared" si="0"/>
        <v>10</v>
      </c>
      <c r="C18" s="600" t="s">
        <v>787</v>
      </c>
      <c r="D18" s="601">
        <v>336900000</v>
      </c>
      <c r="E18" s="601">
        <v>336900000</v>
      </c>
      <c r="F18" s="580"/>
    </row>
    <row r="19" spans="2:6">
      <c r="B19" s="599">
        <f t="shared" si="0"/>
        <v>11</v>
      </c>
      <c r="C19" s="600" t="s">
        <v>788</v>
      </c>
      <c r="D19" s="601">
        <v>390000000</v>
      </c>
      <c r="E19" s="601">
        <v>390000000</v>
      </c>
      <c r="F19" s="580">
        <f>D11/D19</f>
        <v>0.11</v>
      </c>
    </row>
    <row r="20" spans="2:6" ht="15" thickBot="1">
      <c r="B20" s="602">
        <f t="shared" si="0"/>
        <v>12</v>
      </c>
      <c r="C20" s="603" t="s">
        <v>789</v>
      </c>
      <c r="D20" s="604">
        <v>0</v>
      </c>
      <c r="E20" s="604">
        <v>0</v>
      </c>
      <c r="F20" s="580"/>
    </row>
    <row r="21" spans="2:6" ht="15" thickBot="1">
      <c r="B21" s="580"/>
      <c r="C21" s="580"/>
      <c r="D21" s="580"/>
      <c r="E21" s="580"/>
      <c r="F21" s="580"/>
    </row>
    <row r="22" spans="2:6">
      <c r="B22" s="594">
        <f>B20+1</f>
        <v>13</v>
      </c>
      <c r="C22" s="605" t="s">
        <v>790</v>
      </c>
      <c r="D22" s="606"/>
      <c r="E22" s="607"/>
      <c r="F22" s="598"/>
    </row>
    <row r="23" spans="2:6">
      <c r="B23" s="599">
        <f>B22+1</f>
        <v>14</v>
      </c>
      <c r="C23" s="600" t="s">
        <v>791</v>
      </c>
      <c r="D23" s="601">
        <v>405000000</v>
      </c>
      <c r="E23" s="601">
        <v>405000000</v>
      </c>
      <c r="F23" s="580"/>
    </row>
    <row r="24" spans="2:6">
      <c r="B24" s="599">
        <f t="shared" ref="B24:B31" si="1">B23+1</f>
        <v>15</v>
      </c>
      <c r="C24" s="600" t="s">
        <v>755</v>
      </c>
      <c r="D24" s="601">
        <v>1225000000</v>
      </c>
      <c r="E24" s="601">
        <v>1225000000</v>
      </c>
      <c r="F24" s="580"/>
    </row>
    <row r="25" spans="2:6">
      <c r="B25" s="599">
        <f t="shared" si="1"/>
        <v>16</v>
      </c>
      <c r="C25" s="600" t="s">
        <v>792</v>
      </c>
      <c r="D25" s="601">
        <v>0</v>
      </c>
      <c r="E25" s="601">
        <v>0</v>
      </c>
      <c r="F25" s="580"/>
    </row>
    <row r="26" spans="2:6">
      <c r="B26" s="599">
        <f t="shared" si="1"/>
        <v>17</v>
      </c>
      <c r="C26" s="600" t="s">
        <v>793</v>
      </c>
      <c r="D26" s="601">
        <v>1200000</v>
      </c>
      <c r="E26" s="601">
        <v>1200000</v>
      </c>
      <c r="F26" s="580"/>
    </row>
    <row r="27" spans="2:6">
      <c r="B27" s="599">
        <f t="shared" si="1"/>
        <v>18</v>
      </c>
      <c r="C27" s="600" t="s">
        <v>794</v>
      </c>
      <c r="D27" s="601">
        <v>16700000</v>
      </c>
      <c r="E27" s="601">
        <v>16700000</v>
      </c>
      <c r="F27" s="580"/>
    </row>
    <row r="28" spans="2:6">
      <c r="B28" s="599">
        <f t="shared" si="1"/>
        <v>19</v>
      </c>
      <c r="C28" s="600" t="s">
        <v>795</v>
      </c>
      <c r="D28" s="601">
        <v>192800000</v>
      </c>
      <c r="E28" s="601">
        <v>192800000</v>
      </c>
      <c r="F28" s="580"/>
    </row>
    <row r="29" spans="2:6">
      <c r="B29" s="599">
        <f t="shared" si="1"/>
        <v>20</v>
      </c>
      <c r="C29" s="600" t="s">
        <v>686</v>
      </c>
      <c r="D29" s="601">
        <v>103800000</v>
      </c>
      <c r="E29" s="601">
        <v>103800000</v>
      </c>
      <c r="F29" s="580"/>
    </row>
    <row r="30" spans="2:6">
      <c r="B30" s="599">
        <f t="shared" si="1"/>
        <v>21</v>
      </c>
      <c r="C30" s="600" t="s">
        <v>767</v>
      </c>
      <c r="D30" s="601">
        <v>58600000</v>
      </c>
      <c r="E30" s="601">
        <v>58600000</v>
      </c>
      <c r="F30" s="580"/>
    </row>
    <row r="31" spans="2:6" ht="15" thickBot="1">
      <c r="B31" s="602">
        <f t="shared" si="1"/>
        <v>22</v>
      </c>
      <c r="C31" s="603" t="s">
        <v>796</v>
      </c>
      <c r="D31" s="604">
        <v>0</v>
      </c>
      <c r="E31" s="604">
        <v>0</v>
      </c>
      <c r="F31" s="580"/>
    </row>
    <row r="32" spans="2:6" ht="15" thickBot="1">
      <c r="B32" s="580"/>
      <c r="C32" s="580"/>
      <c r="D32" s="580"/>
      <c r="E32" s="580"/>
      <c r="F32" s="580"/>
    </row>
    <row r="33" spans="2:6">
      <c r="B33" s="594">
        <f>B31+1</f>
        <v>23</v>
      </c>
      <c r="C33" s="605" t="s">
        <v>695</v>
      </c>
      <c r="D33" s="608" t="s">
        <v>770</v>
      </c>
      <c r="E33" s="609" t="s">
        <v>770</v>
      </c>
      <c r="F33" s="580"/>
    </row>
    <row r="34" spans="2:6">
      <c r="B34" s="599">
        <f>B33+1</f>
        <v>24</v>
      </c>
      <c r="C34" s="600" t="s">
        <v>697</v>
      </c>
      <c r="D34" s="587">
        <v>22656</v>
      </c>
      <c r="E34" s="610">
        <v>28000</v>
      </c>
      <c r="F34" s="580"/>
    </row>
    <row r="35" spans="2:6">
      <c r="B35" s="599">
        <f>B34+1</f>
        <v>25</v>
      </c>
      <c r="C35" s="600" t="s">
        <v>772</v>
      </c>
      <c r="D35" s="587">
        <v>202877</v>
      </c>
      <c r="E35" s="610">
        <v>261000</v>
      </c>
      <c r="F35" s="580"/>
    </row>
    <row r="36" spans="2:6">
      <c r="B36" s="599">
        <f>B35+1</f>
        <v>26</v>
      </c>
      <c r="C36" s="600" t="s">
        <v>773</v>
      </c>
      <c r="D36" s="589">
        <v>48</v>
      </c>
      <c r="E36" s="611">
        <v>48</v>
      </c>
      <c r="F36" s="580"/>
    </row>
    <row r="37" spans="2:6" ht="15" thickBot="1">
      <c r="B37" s="602">
        <f>B36+1</f>
        <v>27</v>
      </c>
      <c r="C37" s="603" t="s">
        <v>797</v>
      </c>
      <c r="D37" s="612">
        <v>8</v>
      </c>
      <c r="E37" s="613">
        <v>8</v>
      </c>
      <c r="F37" s="580"/>
    </row>
    <row r="38" spans="2:6" ht="15" thickBot="1">
      <c r="B38" s="580"/>
      <c r="C38" s="112"/>
      <c r="D38" s="580"/>
      <c r="E38" s="580"/>
      <c r="F38" s="580"/>
    </row>
    <row r="39" spans="2:6" ht="15" thickBot="1">
      <c r="B39" s="614">
        <f>B37+1</f>
        <v>28</v>
      </c>
      <c r="C39" s="615" t="s">
        <v>798</v>
      </c>
      <c r="D39" s="616">
        <v>1800</v>
      </c>
      <c r="E39" s="617">
        <v>1800</v>
      </c>
      <c r="F39" s="580"/>
    </row>
    <row r="40" spans="2:6">
      <c r="B40" s="580"/>
      <c r="C40" s="112"/>
      <c r="D40" s="580"/>
      <c r="E40" s="580"/>
      <c r="F40" s="580"/>
    </row>
    <row r="41" spans="2:6">
      <c r="B41" s="618" t="s">
        <v>799</v>
      </c>
    </row>
    <row r="42" spans="2:6" ht="3.65" customHeight="1">
      <c r="B42" s="619"/>
    </row>
    <row r="43" spans="2:6">
      <c r="B43" s="620"/>
      <c r="C43" s="621" t="s">
        <v>800</v>
      </c>
    </row>
    <row r="44" spans="2:6">
      <c r="B44" s="622"/>
      <c r="C44" s="621" t="s">
        <v>801</v>
      </c>
    </row>
    <row r="45" spans="2:6">
      <c r="B45" s="623"/>
    </row>
    <row r="46" spans="2:6">
      <c r="B46" s="623"/>
    </row>
    <row r="47" spans="2:6">
      <c r="B47" s="623"/>
    </row>
  </sheetData>
  <mergeCells count="3">
    <mergeCell ref="B2:E2"/>
    <mergeCell ref="C3:E3"/>
    <mergeCell ref="B5:E5"/>
  </mergeCells>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S32"/>
  <sheetViews>
    <sheetView topLeftCell="A16" workbookViewId="0">
      <selection activeCell="A24" sqref="A24:XFD24"/>
    </sheetView>
  </sheetViews>
  <sheetFormatPr baseColWidth="10" defaultColWidth="9.1796875" defaultRowHeight="14.5"/>
  <cols>
    <col min="3" max="6" width="11.453125" customWidth="1"/>
    <col min="7" max="7" width="17.54296875" customWidth="1"/>
    <col min="8" max="8" width="13.54296875" customWidth="1"/>
    <col min="9" max="9" width="14.453125" customWidth="1"/>
    <col min="10" max="19" width="11.453125" customWidth="1"/>
  </cols>
  <sheetData>
    <row r="1" spans="3:9">
      <c r="C1" s="2642" t="s">
        <v>30</v>
      </c>
      <c r="D1" s="2642"/>
      <c r="E1" s="2642"/>
      <c r="F1" s="2642"/>
      <c r="G1" s="2642"/>
      <c r="H1" s="2642"/>
      <c r="I1" s="2642"/>
    </row>
    <row r="2" spans="3:9">
      <c r="C2" s="31"/>
      <c r="D2" s="31"/>
      <c r="E2" s="31"/>
      <c r="F2" s="31"/>
      <c r="G2" s="31"/>
      <c r="H2" s="31"/>
      <c r="I2" s="31"/>
    </row>
    <row r="3" spans="3:9">
      <c r="C3" s="31"/>
      <c r="D3" s="31"/>
      <c r="E3" s="31"/>
      <c r="F3" s="31"/>
      <c r="G3" s="31"/>
      <c r="H3" s="31"/>
      <c r="I3" s="31"/>
    </row>
    <row r="4" spans="3:9">
      <c r="C4" s="32" t="s">
        <v>31</v>
      </c>
      <c r="D4" s="32"/>
      <c r="E4" s="32"/>
      <c r="F4" s="32" t="s">
        <v>32</v>
      </c>
      <c r="G4" s="32" t="s">
        <v>33</v>
      </c>
      <c r="H4" s="31"/>
      <c r="I4" s="31"/>
    </row>
    <row r="5" spans="3:9">
      <c r="C5" s="33" t="s">
        <v>34</v>
      </c>
      <c r="D5" s="34"/>
      <c r="E5" s="35"/>
      <c r="F5" s="36">
        <v>26300</v>
      </c>
      <c r="G5" s="36" t="s">
        <v>35</v>
      </c>
      <c r="H5" s="31"/>
      <c r="I5" s="31"/>
    </row>
    <row r="6" spans="3:9">
      <c r="C6" s="33" t="s">
        <v>36</v>
      </c>
      <c r="D6" s="34"/>
      <c r="E6" s="35"/>
      <c r="F6" s="36">
        <v>11990</v>
      </c>
      <c r="G6" s="36" t="s">
        <v>37</v>
      </c>
      <c r="H6" s="31"/>
      <c r="I6" s="31">
        <v>1102.0936999999999</v>
      </c>
    </row>
    <row r="7" spans="3:9" ht="15">
      <c r="C7" s="33" t="s">
        <v>38</v>
      </c>
      <c r="D7" s="34"/>
      <c r="E7" s="35"/>
      <c r="F7" s="36">
        <v>315.3</v>
      </c>
      <c r="G7" s="36" t="s">
        <v>39</v>
      </c>
      <c r="H7" s="31"/>
      <c r="I7" s="31"/>
    </row>
    <row r="8" spans="3:9" ht="15">
      <c r="C8" s="33" t="s">
        <v>40</v>
      </c>
      <c r="D8" s="34"/>
      <c r="E8" s="35"/>
      <c r="F8" s="36">
        <v>447</v>
      </c>
      <c r="G8" s="36" t="s">
        <v>41</v>
      </c>
      <c r="H8" s="31"/>
      <c r="I8" s="31"/>
    </row>
    <row r="9" spans="3:9">
      <c r="C9" s="31"/>
      <c r="D9" s="31"/>
      <c r="E9" s="31"/>
      <c r="F9" s="31"/>
      <c r="G9" s="31"/>
      <c r="H9" s="31"/>
      <c r="I9" s="31"/>
    </row>
    <row r="10" spans="3:9">
      <c r="C10" s="31"/>
      <c r="D10" s="31"/>
      <c r="E10" s="31"/>
      <c r="F10" s="31"/>
      <c r="G10" s="31"/>
      <c r="H10" s="31"/>
      <c r="I10" s="31"/>
    </row>
    <row r="11" spans="3:9">
      <c r="C11" s="31"/>
      <c r="D11" s="31"/>
      <c r="E11" s="31"/>
      <c r="F11" s="31"/>
      <c r="G11" s="31"/>
      <c r="H11" s="31"/>
      <c r="I11" s="31"/>
    </row>
    <row r="12" spans="3:9">
      <c r="C12" s="32" t="s">
        <v>42</v>
      </c>
      <c r="D12" s="37"/>
      <c r="E12" s="37"/>
      <c r="F12" s="37"/>
      <c r="G12" s="37" t="s">
        <v>43</v>
      </c>
      <c r="H12" s="37"/>
      <c r="I12" s="37" t="s">
        <v>44</v>
      </c>
    </row>
    <row r="13" spans="3:9">
      <c r="C13" s="33" t="s">
        <v>45</v>
      </c>
      <c r="D13" s="35"/>
      <c r="E13" s="35"/>
      <c r="F13" s="35"/>
      <c r="G13" s="38" t="s">
        <v>46</v>
      </c>
      <c r="H13" s="39">
        <v>1.03</v>
      </c>
      <c r="I13" s="39" t="s">
        <v>47</v>
      </c>
    </row>
    <row r="14" spans="3:9">
      <c r="C14" s="33" t="s">
        <v>48</v>
      </c>
      <c r="D14" s="35"/>
      <c r="E14" s="35"/>
      <c r="F14" s="35"/>
      <c r="G14" s="38" t="s">
        <v>49</v>
      </c>
      <c r="H14" s="39">
        <v>1.25</v>
      </c>
      <c r="I14" s="39"/>
    </row>
    <row r="15" spans="3:9">
      <c r="C15" s="33" t="s">
        <v>50</v>
      </c>
      <c r="D15" s="35"/>
      <c r="E15" s="35"/>
      <c r="F15" s="35"/>
      <c r="G15" s="38" t="s">
        <v>51</v>
      </c>
      <c r="H15" s="39">
        <f>0.74*1.25/4</f>
        <v>0.23125000000000001</v>
      </c>
      <c r="I15" s="39" t="s">
        <v>52</v>
      </c>
    </row>
    <row r="16" spans="3:9">
      <c r="C16" s="33" t="s">
        <v>53</v>
      </c>
      <c r="D16" s="35"/>
      <c r="E16" s="35"/>
      <c r="F16" s="35"/>
      <c r="G16" s="38" t="s">
        <v>51</v>
      </c>
      <c r="H16" s="39">
        <f>0.71*2/4</f>
        <v>0.35499999999999998</v>
      </c>
      <c r="I16" s="39" t="s">
        <v>54</v>
      </c>
    </row>
    <row r="17" spans="1:19">
      <c r="H17">
        <f>SUM(H13:H16)</f>
        <v>2.8662500000000004</v>
      </c>
    </row>
    <row r="18" spans="1:19" ht="15" thickBot="1">
      <c r="C18" s="799"/>
      <c r="D18" s="800"/>
      <c r="E18" s="23"/>
      <c r="F18" s="2639"/>
      <c r="G18" s="2639"/>
      <c r="H18" s="801">
        <v>44562</v>
      </c>
      <c r="I18" s="801">
        <v>44593</v>
      </c>
      <c r="J18" s="801">
        <v>44621</v>
      </c>
      <c r="K18" s="801">
        <v>44652</v>
      </c>
      <c r="L18" s="801">
        <v>44682</v>
      </c>
      <c r="M18" s="801">
        <v>44713</v>
      </c>
      <c r="N18" s="801">
        <v>44743</v>
      </c>
      <c r="O18" s="801">
        <v>44784</v>
      </c>
      <c r="P18" s="801">
        <v>44805</v>
      </c>
      <c r="Q18" s="801">
        <v>44835</v>
      </c>
      <c r="R18" s="801">
        <v>44866</v>
      </c>
      <c r="S18" s="801">
        <v>44896</v>
      </c>
    </row>
    <row r="19" spans="1:19" ht="15.5" thickTop="1" thickBot="1">
      <c r="A19" s="802"/>
      <c r="B19" s="803"/>
      <c r="C19" s="2640" t="s">
        <v>16</v>
      </c>
      <c r="D19" s="2640"/>
      <c r="E19" s="2641"/>
      <c r="F19" s="2643" t="s">
        <v>17</v>
      </c>
      <c r="G19" s="2644"/>
      <c r="H19" s="831">
        <f>'GRAFICAS RPTE GCIAL'!$AH159</f>
        <v>970.1</v>
      </c>
      <c r="I19" s="831">
        <f>'GRAFICAS RPTE GCIAL'!$AH160</f>
        <v>882.2</v>
      </c>
      <c r="J19" s="831">
        <f>'GRAFICAS RPTE GCIAL'!$AH161</f>
        <v>880</v>
      </c>
      <c r="K19" s="831">
        <f>'GRAFICAS RPTE GCIAL'!$AH162</f>
        <v>860.1</v>
      </c>
      <c r="L19" s="831">
        <f>'GRAFICAS RPTE GCIAL'!$AH163</f>
        <v>840.8</v>
      </c>
      <c r="M19" s="831">
        <f>'GRAFICAS RPTE GCIAL'!$AH164</f>
        <v>900.4</v>
      </c>
      <c r="N19" s="831">
        <f>'GRAFICAS RPTE GCIAL'!$AH165</f>
        <v>868.8</v>
      </c>
      <c r="O19" s="831">
        <f>'GRAFICAS RPTE GCIAL'!$AH166</f>
        <v>855</v>
      </c>
      <c r="P19" s="831">
        <v>900</v>
      </c>
      <c r="Q19" s="831">
        <f>'GRAFICAS RPTE GCIAL'!$AH168</f>
        <v>845.5</v>
      </c>
      <c r="R19" s="831">
        <f>'GRAFICAS RPTE GCIAL'!$AH169</f>
        <v>831.2</v>
      </c>
      <c r="S19" s="831">
        <f>'GRAFICAS RPTE GCIAL'!$AH170</f>
        <v>0</v>
      </c>
    </row>
    <row r="20" spans="1:19" ht="67" thickTop="1">
      <c r="A20" s="804" t="s">
        <v>1002</v>
      </c>
      <c r="B20" s="805" t="s">
        <v>1003</v>
      </c>
      <c r="C20" s="806" t="s">
        <v>55</v>
      </c>
      <c r="D20" s="806" t="s">
        <v>36</v>
      </c>
      <c r="E20" s="807" t="s">
        <v>56</v>
      </c>
      <c r="F20" s="806" t="s">
        <v>57</v>
      </c>
      <c r="G20" s="806" t="s">
        <v>58</v>
      </c>
      <c r="H20" s="806" t="s">
        <v>59</v>
      </c>
      <c r="I20" s="806" t="s">
        <v>1004</v>
      </c>
      <c r="J20" s="806" t="s">
        <v>59</v>
      </c>
      <c r="K20" s="806" t="s">
        <v>1005</v>
      </c>
      <c r="L20" s="806" t="s">
        <v>1006</v>
      </c>
      <c r="M20" s="806" t="s">
        <v>1007</v>
      </c>
      <c r="N20" s="806" t="s">
        <v>1008</v>
      </c>
      <c r="O20" s="806" t="s">
        <v>1009</v>
      </c>
      <c r="P20" s="806" t="s">
        <v>1010</v>
      </c>
      <c r="Q20" s="806" t="s">
        <v>1011</v>
      </c>
      <c r="R20" s="806" t="s">
        <v>1004</v>
      </c>
      <c r="S20" s="808" t="s">
        <v>1012</v>
      </c>
    </row>
    <row r="21" spans="1:19">
      <c r="A21" s="809">
        <v>0.26</v>
      </c>
      <c r="B21" s="810">
        <f t="shared" ref="B21:B31" si="0">+A21+$H$17/100</f>
        <v>0.28866249999999999</v>
      </c>
      <c r="C21" s="811">
        <v>0</v>
      </c>
      <c r="D21" s="811"/>
      <c r="E21" s="812">
        <v>0</v>
      </c>
      <c r="F21" s="811">
        <f t="shared" ref="F21:F31" si="1">+B21*$F$6*$F$5/1000000</f>
        <v>91.025966762499991</v>
      </c>
      <c r="G21" s="813">
        <f t="shared" ref="G21:G31" si="2">F21*24</f>
        <v>2184.6232022999998</v>
      </c>
      <c r="H21" s="814">
        <f t="shared" ref="H21:H31" si="3">G21/$H$19</f>
        <v>2.2519567078651681</v>
      </c>
      <c r="I21" s="814">
        <f>$G21/$I$19</f>
        <v>2.4763355274314209</v>
      </c>
      <c r="J21" s="814">
        <f t="shared" ref="J21:J31" si="4">$G21/$J$19</f>
        <v>2.4825263662499997</v>
      </c>
      <c r="K21" s="814">
        <f t="shared" ref="K21:K31" si="5">$G21/$K$19</f>
        <v>2.5399641928845478</v>
      </c>
      <c r="L21" s="814">
        <f t="shared" ref="L21:L31" si="6">$G21/$L$19</f>
        <v>2.5982673671503327</v>
      </c>
      <c r="M21" s="814">
        <f t="shared" ref="M21:M31" si="7">$G21/$M$19</f>
        <v>2.4262807666592625</v>
      </c>
      <c r="N21" s="814">
        <f t="shared" ref="N21:N31" si="8">$G21/$N$19</f>
        <v>2.514529468577348</v>
      </c>
      <c r="O21" s="814">
        <f t="shared" ref="O21:O31" si="9">$G21/$O$19</f>
        <v>2.5551148564912278</v>
      </c>
      <c r="P21" s="814">
        <f t="shared" ref="P21:P31" si="10">$G21/$P$19</f>
        <v>2.4273591136666663</v>
      </c>
      <c r="Q21" s="814">
        <f t="shared" ref="Q21:Q31" si="11">$G21/$Q$19</f>
        <v>2.5838240121821405</v>
      </c>
      <c r="R21" s="814">
        <f t="shared" ref="R21:R31" si="12">$G21/$R$19</f>
        <v>2.6282762299085656</v>
      </c>
      <c r="S21" s="815" t="e">
        <f t="shared" ref="S21:S31" si="13">$G21/$S$19</f>
        <v>#DIV/0!</v>
      </c>
    </row>
    <row r="22" spans="1:19">
      <c r="A22" s="816">
        <v>0.32</v>
      </c>
      <c r="B22" s="817">
        <f t="shared" si="0"/>
        <v>0.34866249999999999</v>
      </c>
      <c r="C22" s="811">
        <v>10</v>
      </c>
      <c r="D22" s="818">
        <f>(F22/E22)*1000000</f>
        <v>41804.633750000001</v>
      </c>
      <c r="E22" s="812">
        <v>2630</v>
      </c>
      <c r="F22" s="811">
        <f t="shared" si="1"/>
        <v>109.94618676250001</v>
      </c>
      <c r="G22" s="813">
        <f t="shared" si="2"/>
        <v>2638.7084823</v>
      </c>
      <c r="H22" s="814">
        <f t="shared" si="3"/>
        <v>2.720037606741573</v>
      </c>
      <c r="I22" s="814">
        <f t="shared" ref="I22:I31" si="14">$G22/$I$19</f>
        <v>2.9910547294264336</v>
      </c>
      <c r="J22" s="814">
        <f t="shared" si="4"/>
        <v>2.9985323662500001</v>
      </c>
      <c r="K22" s="814">
        <f t="shared" si="5"/>
        <v>3.0679089434949423</v>
      </c>
      <c r="L22" s="814">
        <f t="shared" si="6"/>
        <v>3.1383307353710754</v>
      </c>
      <c r="M22" s="814">
        <f t="shared" si="7"/>
        <v>2.930595826632608</v>
      </c>
      <c r="N22" s="814">
        <f t="shared" si="8"/>
        <v>3.0371874796270721</v>
      </c>
      <c r="O22" s="814">
        <f t="shared" si="9"/>
        <v>3.08620875122807</v>
      </c>
      <c r="P22" s="814">
        <f t="shared" si="10"/>
        <v>2.9318983136666668</v>
      </c>
      <c r="Q22" s="814">
        <f t="shared" si="11"/>
        <v>3.1208852540508576</v>
      </c>
      <c r="R22" s="814">
        <f t="shared" si="12"/>
        <v>3.1745770961260824</v>
      </c>
      <c r="S22" s="815" t="e">
        <f t="shared" si="13"/>
        <v>#DIV/0!</v>
      </c>
    </row>
    <row r="23" spans="1:19">
      <c r="A23" s="819">
        <v>0.39</v>
      </c>
      <c r="B23" s="820">
        <f t="shared" si="0"/>
        <v>0.41866249999999999</v>
      </c>
      <c r="C23" s="811">
        <v>20</v>
      </c>
      <c r="D23" s="818">
        <f t="shared" ref="D23:D31" si="15">(F23/E23)*1000000</f>
        <v>25098.816875</v>
      </c>
      <c r="E23" s="812">
        <v>5260</v>
      </c>
      <c r="F23" s="811">
        <f t="shared" si="1"/>
        <v>132.01977676249999</v>
      </c>
      <c r="G23" s="813">
        <f t="shared" si="2"/>
        <v>3168.4746422999997</v>
      </c>
      <c r="H23" s="814">
        <f t="shared" si="3"/>
        <v>3.2661319887640445</v>
      </c>
      <c r="I23" s="814">
        <f t="shared" si="14"/>
        <v>3.5915604650872814</v>
      </c>
      <c r="J23" s="814">
        <f t="shared" si="4"/>
        <v>3.6005393662499996</v>
      </c>
      <c r="K23" s="814">
        <f t="shared" si="5"/>
        <v>3.6838444858737351</v>
      </c>
      <c r="L23" s="814">
        <f t="shared" si="6"/>
        <v>3.7684046649619409</v>
      </c>
      <c r="M23" s="814">
        <f t="shared" si="7"/>
        <v>3.5189633966015101</v>
      </c>
      <c r="N23" s="814">
        <f t="shared" si="8"/>
        <v>3.6469551591850826</v>
      </c>
      <c r="O23" s="814">
        <f t="shared" si="9"/>
        <v>3.705818295087719</v>
      </c>
      <c r="P23" s="814">
        <f t="shared" si="10"/>
        <v>3.5205273803333328</v>
      </c>
      <c r="Q23" s="814">
        <f t="shared" si="11"/>
        <v>3.7474567028976935</v>
      </c>
      <c r="R23" s="814">
        <f t="shared" si="12"/>
        <v>3.8119281067131854</v>
      </c>
      <c r="S23" s="815" t="e">
        <f t="shared" si="13"/>
        <v>#DIV/0!</v>
      </c>
    </row>
    <row r="24" spans="1:19">
      <c r="A24" s="816">
        <v>0.46500000000000002</v>
      </c>
      <c r="B24" s="817">
        <f t="shared" si="0"/>
        <v>0.4936625</v>
      </c>
      <c r="C24" s="811">
        <v>30</v>
      </c>
      <c r="D24" s="818">
        <f t="shared" si="15"/>
        <v>19730.044583333336</v>
      </c>
      <c r="E24" s="812">
        <v>7890</v>
      </c>
      <c r="F24" s="811">
        <f t="shared" si="1"/>
        <v>155.67005176250001</v>
      </c>
      <c r="G24" s="813">
        <f t="shared" si="2"/>
        <v>3736.0812423000002</v>
      </c>
      <c r="H24" s="814">
        <f t="shared" si="3"/>
        <v>3.8512331123595507</v>
      </c>
      <c r="I24" s="814">
        <f t="shared" si="14"/>
        <v>4.2349594675810476</v>
      </c>
      <c r="J24" s="814">
        <f t="shared" si="4"/>
        <v>4.2455468662500007</v>
      </c>
      <c r="K24" s="814">
        <f t="shared" si="5"/>
        <v>4.3437754241367283</v>
      </c>
      <c r="L24" s="814">
        <f t="shared" si="6"/>
        <v>4.4434838752378694</v>
      </c>
      <c r="M24" s="814">
        <f t="shared" si="7"/>
        <v>4.1493572215681924</v>
      </c>
      <c r="N24" s="814">
        <f t="shared" si="8"/>
        <v>4.3002776729972378</v>
      </c>
      <c r="O24" s="814">
        <f t="shared" si="9"/>
        <v>4.369685663508772</v>
      </c>
      <c r="P24" s="814">
        <f t="shared" si="10"/>
        <v>4.1512013803333332</v>
      </c>
      <c r="Q24" s="814">
        <f t="shared" si="11"/>
        <v>4.4187832552335902</v>
      </c>
      <c r="R24" s="814">
        <f t="shared" si="12"/>
        <v>4.4948041894850821</v>
      </c>
      <c r="S24" s="815" t="e">
        <f t="shared" si="13"/>
        <v>#DIV/0!</v>
      </c>
    </row>
    <row r="25" spans="1:19">
      <c r="A25" s="821">
        <v>0.53</v>
      </c>
      <c r="B25" s="822">
        <f t="shared" si="0"/>
        <v>0.55866250000000006</v>
      </c>
      <c r="C25" s="811">
        <v>40</v>
      </c>
      <c r="D25" s="818">
        <f t="shared" si="15"/>
        <v>16745.908437500002</v>
      </c>
      <c r="E25" s="812">
        <v>10520</v>
      </c>
      <c r="F25" s="811">
        <f t="shared" si="1"/>
        <v>176.16695676250001</v>
      </c>
      <c r="G25" s="813">
        <f t="shared" si="2"/>
        <v>4228.0069622999999</v>
      </c>
      <c r="H25" s="814">
        <f t="shared" si="3"/>
        <v>4.3583207528089885</v>
      </c>
      <c r="I25" s="814">
        <f t="shared" si="14"/>
        <v>4.7925719364089776</v>
      </c>
      <c r="J25" s="814">
        <f t="shared" si="4"/>
        <v>4.8045533662499995</v>
      </c>
      <c r="K25" s="814">
        <f t="shared" si="5"/>
        <v>4.9157155706313214</v>
      </c>
      <c r="L25" s="814">
        <f t="shared" si="6"/>
        <v>5.0285525241436728</v>
      </c>
      <c r="M25" s="814">
        <f t="shared" si="7"/>
        <v>4.6956985365393162</v>
      </c>
      <c r="N25" s="814">
        <f t="shared" si="8"/>
        <v>4.8664905183011049</v>
      </c>
      <c r="O25" s="814">
        <f t="shared" si="9"/>
        <v>4.9450373828070173</v>
      </c>
      <c r="P25" s="814">
        <f t="shared" si="10"/>
        <v>4.6977855136666662</v>
      </c>
      <c r="Q25" s="814">
        <f t="shared" si="11"/>
        <v>5.0005996005913662</v>
      </c>
      <c r="R25" s="814">
        <f t="shared" si="12"/>
        <v>5.0866301278873918</v>
      </c>
      <c r="S25" s="815" t="e">
        <f t="shared" si="13"/>
        <v>#DIV/0!</v>
      </c>
    </row>
    <row r="26" spans="1:19">
      <c r="A26" s="816">
        <v>0.6</v>
      </c>
      <c r="B26" s="817">
        <f t="shared" si="0"/>
        <v>0.62866250000000001</v>
      </c>
      <c r="C26" s="811">
        <v>50</v>
      </c>
      <c r="D26" s="818">
        <f t="shared" si="15"/>
        <v>15075.326749999998</v>
      </c>
      <c r="E26" s="812">
        <v>13150</v>
      </c>
      <c r="F26" s="811">
        <f t="shared" si="1"/>
        <v>198.24054676249997</v>
      </c>
      <c r="G26" s="813">
        <f t="shared" si="2"/>
        <v>4757.7731222999992</v>
      </c>
      <c r="H26" s="814">
        <f t="shared" si="3"/>
        <v>4.90441513483146</v>
      </c>
      <c r="I26" s="814">
        <f t="shared" si="14"/>
        <v>5.3930776720698246</v>
      </c>
      <c r="J26" s="814">
        <f t="shared" si="4"/>
        <v>5.406560366249999</v>
      </c>
      <c r="K26" s="814">
        <f t="shared" si="5"/>
        <v>5.5316511130101143</v>
      </c>
      <c r="L26" s="814">
        <f t="shared" si="6"/>
        <v>5.6586264537345379</v>
      </c>
      <c r="M26" s="814">
        <f t="shared" si="7"/>
        <v>5.2840661065082175</v>
      </c>
      <c r="N26" s="814">
        <f t="shared" si="8"/>
        <v>5.4762581978591154</v>
      </c>
      <c r="O26" s="814">
        <f t="shared" si="9"/>
        <v>5.5646469266666658</v>
      </c>
      <c r="P26" s="814">
        <f t="shared" si="10"/>
        <v>5.2864145803333322</v>
      </c>
      <c r="Q26" s="814">
        <f t="shared" si="11"/>
        <v>5.6271710494382017</v>
      </c>
      <c r="R26" s="814">
        <f t="shared" si="12"/>
        <v>5.7239811384744934</v>
      </c>
      <c r="S26" s="815" t="e">
        <f t="shared" si="13"/>
        <v>#DIV/0!</v>
      </c>
    </row>
    <row r="27" spans="1:19">
      <c r="A27" s="821">
        <v>0.67500000000000004</v>
      </c>
      <c r="B27" s="822">
        <f t="shared" si="0"/>
        <v>0.70366250000000008</v>
      </c>
      <c r="C27" s="811">
        <v>60</v>
      </c>
      <c r="D27" s="818">
        <f t="shared" si="15"/>
        <v>14061.522291666666</v>
      </c>
      <c r="E27" s="812">
        <v>15780</v>
      </c>
      <c r="F27" s="811">
        <f t="shared" si="1"/>
        <v>221.8908217625</v>
      </c>
      <c r="G27" s="813">
        <f t="shared" si="2"/>
        <v>5325.3797223000001</v>
      </c>
      <c r="H27" s="814">
        <f t="shared" si="3"/>
        <v>5.4895162584269661</v>
      </c>
      <c r="I27" s="814">
        <f t="shared" si="14"/>
        <v>6.0364766745635912</v>
      </c>
      <c r="J27" s="814">
        <f t="shared" si="4"/>
        <v>6.0515678662500001</v>
      </c>
      <c r="K27" s="814">
        <f t="shared" si="5"/>
        <v>6.1915820512731079</v>
      </c>
      <c r="L27" s="814">
        <f t="shared" si="6"/>
        <v>6.3337056640104663</v>
      </c>
      <c r="M27" s="814">
        <f t="shared" si="7"/>
        <v>5.9144599314749007</v>
      </c>
      <c r="N27" s="814">
        <f t="shared" si="8"/>
        <v>6.1295807116712711</v>
      </c>
      <c r="O27" s="814">
        <f t="shared" si="9"/>
        <v>6.2285142950877193</v>
      </c>
      <c r="P27" s="814">
        <f t="shared" si="10"/>
        <v>5.9170885803333331</v>
      </c>
      <c r="Q27" s="814">
        <f t="shared" si="11"/>
        <v>6.2984976017740983</v>
      </c>
      <c r="R27" s="814">
        <f t="shared" si="12"/>
        <v>6.4068572212463906</v>
      </c>
      <c r="S27" s="815" t="e">
        <f t="shared" si="13"/>
        <v>#DIV/0!</v>
      </c>
    </row>
    <row r="28" spans="1:19">
      <c r="A28" s="816">
        <v>0.76</v>
      </c>
      <c r="B28" s="817">
        <f t="shared" si="0"/>
        <v>0.78866250000000004</v>
      </c>
      <c r="C28" s="811">
        <v>70</v>
      </c>
      <c r="D28" s="818">
        <f t="shared" si="15"/>
        <v>13508.661964285713</v>
      </c>
      <c r="E28" s="812">
        <v>18410</v>
      </c>
      <c r="F28" s="811">
        <f t="shared" si="1"/>
        <v>248.69446676249999</v>
      </c>
      <c r="G28" s="813">
        <f t="shared" si="2"/>
        <v>5968.6672022999992</v>
      </c>
      <c r="H28" s="814">
        <f t="shared" si="3"/>
        <v>6.152630865168538</v>
      </c>
      <c r="I28" s="814">
        <f t="shared" si="14"/>
        <v>6.7656622107231907</v>
      </c>
      <c r="J28" s="814">
        <f t="shared" si="4"/>
        <v>6.7825763662499989</v>
      </c>
      <c r="K28" s="814">
        <f t="shared" si="5"/>
        <v>6.9395037813044986</v>
      </c>
      <c r="L28" s="814">
        <f t="shared" si="6"/>
        <v>7.098795435656517</v>
      </c>
      <c r="M28" s="814">
        <f t="shared" si="7"/>
        <v>6.6289062664371379</v>
      </c>
      <c r="N28" s="814">
        <f t="shared" si="8"/>
        <v>6.8700128939917118</v>
      </c>
      <c r="O28" s="814">
        <f t="shared" si="9"/>
        <v>6.9808973126315781</v>
      </c>
      <c r="P28" s="814">
        <f t="shared" si="10"/>
        <v>6.6318524469999991</v>
      </c>
      <c r="Q28" s="814">
        <f t="shared" si="11"/>
        <v>7.059334361088113</v>
      </c>
      <c r="R28" s="814">
        <f t="shared" si="12"/>
        <v>7.1807834483878716</v>
      </c>
      <c r="S28" s="815" t="e">
        <f t="shared" si="13"/>
        <v>#DIV/0!</v>
      </c>
    </row>
    <row r="29" spans="1:19">
      <c r="A29" s="821">
        <v>0.84</v>
      </c>
      <c r="B29" s="822">
        <f t="shared" si="0"/>
        <v>0.8686625</v>
      </c>
      <c r="C29" s="811">
        <v>80</v>
      </c>
      <c r="D29" s="818">
        <f t="shared" si="15"/>
        <v>13019.079218750001</v>
      </c>
      <c r="E29" s="812">
        <v>21040</v>
      </c>
      <c r="F29" s="811">
        <f t="shared" si="1"/>
        <v>273.9214267625</v>
      </c>
      <c r="G29" s="813">
        <f t="shared" si="2"/>
        <v>6574.1142423000001</v>
      </c>
      <c r="H29" s="814">
        <f t="shared" si="3"/>
        <v>6.7767387303370787</v>
      </c>
      <c r="I29" s="814">
        <f t="shared" si="14"/>
        <v>7.4519544800498752</v>
      </c>
      <c r="J29" s="814">
        <f t="shared" si="4"/>
        <v>7.4705843662499998</v>
      </c>
      <c r="K29" s="814">
        <f t="shared" si="5"/>
        <v>7.6434301154516913</v>
      </c>
      <c r="L29" s="814">
        <f t="shared" si="6"/>
        <v>7.818879926617508</v>
      </c>
      <c r="M29" s="814">
        <f t="shared" si="7"/>
        <v>7.3013263464015994</v>
      </c>
      <c r="N29" s="814">
        <f t="shared" si="8"/>
        <v>7.5668902420580118</v>
      </c>
      <c r="O29" s="814">
        <f t="shared" si="9"/>
        <v>7.6890225056140356</v>
      </c>
      <c r="P29" s="814">
        <f t="shared" si="10"/>
        <v>7.3045713803333339</v>
      </c>
      <c r="Q29" s="814">
        <f t="shared" si="11"/>
        <v>7.7754160169130691</v>
      </c>
      <c r="R29" s="814">
        <f t="shared" si="12"/>
        <v>7.9091846033445616</v>
      </c>
      <c r="S29" s="815" t="e">
        <f t="shared" si="13"/>
        <v>#DIV/0!</v>
      </c>
    </row>
    <row r="30" spans="1:19">
      <c r="A30" s="816">
        <v>0.92</v>
      </c>
      <c r="B30" s="817">
        <f t="shared" si="0"/>
        <v>0.94866250000000008</v>
      </c>
      <c r="C30" s="811">
        <v>90</v>
      </c>
      <c r="D30" s="818">
        <f t="shared" si="15"/>
        <v>12638.29263888889</v>
      </c>
      <c r="E30" s="812">
        <v>23670</v>
      </c>
      <c r="F30" s="811">
        <f t="shared" si="1"/>
        <v>299.14838676250002</v>
      </c>
      <c r="G30" s="813">
        <f t="shared" si="2"/>
        <v>7179.561282300001</v>
      </c>
      <c r="H30" s="814">
        <f t="shared" si="3"/>
        <v>7.4008465955056186</v>
      </c>
      <c r="I30" s="814">
        <f t="shared" si="14"/>
        <v>8.1382467493765596</v>
      </c>
      <c r="J30" s="814">
        <f t="shared" si="4"/>
        <v>8.1585923662500015</v>
      </c>
      <c r="K30" s="814">
        <f t="shared" si="5"/>
        <v>8.3473564495988857</v>
      </c>
      <c r="L30" s="814">
        <f t="shared" si="6"/>
        <v>8.538964417578498</v>
      </c>
      <c r="M30" s="814">
        <f t="shared" si="7"/>
        <v>7.9737464263660609</v>
      </c>
      <c r="N30" s="814">
        <f t="shared" si="8"/>
        <v>8.2637675901243117</v>
      </c>
      <c r="O30" s="814">
        <f t="shared" si="9"/>
        <v>8.397147698596493</v>
      </c>
      <c r="P30" s="814">
        <f t="shared" si="10"/>
        <v>7.9772903136666677</v>
      </c>
      <c r="Q30" s="814">
        <f t="shared" si="11"/>
        <v>8.491497672738026</v>
      </c>
      <c r="R30" s="814">
        <f t="shared" si="12"/>
        <v>8.6375857583012525</v>
      </c>
      <c r="S30" s="815" t="e">
        <f t="shared" si="13"/>
        <v>#DIV/0!</v>
      </c>
    </row>
    <row r="31" spans="1:19" ht="15" thickBot="1">
      <c r="A31" s="823">
        <v>1</v>
      </c>
      <c r="B31" s="824">
        <f t="shared" si="0"/>
        <v>1.0286625</v>
      </c>
      <c r="C31" s="825">
        <v>100</v>
      </c>
      <c r="D31" s="826">
        <f t="shared" si="15"/>
        <v>12333.663375</v>
      </c>
      <c r="E31" s="827">
        <v>26300</v>
      </c>
      <c r="F31" s="825">
        <f t="shared" si="1"/>
        <v>324.37534676249999</v>
      </c>
      <c r="G31" s="828">
        <f t="shared" si="2"/>
        <v>7785.0083223000001</v>
      </c>
      <c r="H31" s="829">
        <f t="shared" si="3"/>
        <v>8.0249544606741576</v>
      </c>
      <c r="I31" s="829">
        <f t="shared" si="14"/>
        <v>8.8245390187032413</v>
      </c>
      <c r="J31" s="829">
        <f t="shared" si="4"/>
        <v>8.8466003662499997</v>
      </c>
      <c r="K31" s="829">
        <f t="shared" si="5"/>
        <v>9.0512827837460765</v>
      </c>
      <c r="L31" s="829">
        <f t="shared" si="6"/>
        <v>9.2590489085394871</v>
      </c>
      <c r="M31" s="829">
        <f t="shared" si="7"/>
        <v>8.6461665063305198</v>
      </c>
      <c r="N31" s="829">
        <f t="shared" si="8"/>
        <v>8.9606449381906081</v>
      </c>
      <c r="O31" s="829">
        <f t="shared" si="9"/>
        <v>9.1052728915789469</v>
      </c>
      <c r="P31" s="829">
        <f t="shared" si="10"/>
        <v>8.6500092469999998</v>
      </c>
      <c r="Q31" s="829">
        <f t="shared" si="11"/>
        <v>9.2075793285629803</v>
      </c>
      <c r="R31" s="829">
        <f t="shared" si="12"/>
        <v>9.3659869132579399</v>
      </c>
      <c r="S31" s="830" t="e">
        <f t="shared" si="13"/>
        <v>#DIV/0!</v>
      </c>
    </row>
    <row r="32" spans="1:19" ht="15" thickTop="1"/>
  </sheetData>
  <mergeCells count="4">
    <mergeCell ref="F18:G18"/>
    <mergeCell ref="C19:E19"/>
    <mergeCell ref="C1:I1"/>
    <mergeCell ref="F19:G19"/>
  </mergeCells>
  <pageMargins left="0.7" right="0.7" top="0.75" bottom="0.75" header="0.3" footer="0.3"/>
  <pageSetup orientation="portrait" r:id="rId1"/>
  <legacyDrawing r:id="rId2"/>
  <tableParts count="2">
    <tablePart r:id="rId3"/>
    <tablePart r:id="rId4"/>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dimension ref="A1:R46"/>
  <sheetViews>
    <sheetView showGridLines="0" zoomScaleNormal="100" workbookViewId="0">
      <selection activeCell="F26" sqref="F26"/>
    </sheetView>
  </sheetViews>
  <sheetFormatPr baseColWidth="10" defaultRowHeight="14.5"/>
  <cols>
    <col min="1" max="1" width="5.7265625" customWidth="1"/>
    <col min="2" max="2" width="18.54296875" style="1351" customWidth="1"/>
    <col min="3" max="3" width="11.81640625" style="89" customWidth="1"/>
    <col min="4" max="4" width="0.54296875" style="89" customWidth="1"/>
    <col min="5" max="5" width="13.26953125" customWidth="1"/>
    <col min="6" max="6" width="13.54296875" customWidth="1"/>
    <col min="7" max="7" width="1.1796875" style="1271" customWidth="1"/>
    <col min="9" max="9" width="12" customWidth="1"/>
    <col min="10" max="10" width="1" style="1271" customWidth="1"/>
    <col min="12" max="12" width="12.453125" customWidth="1"/>
    <col min="13" max="13" width="1" style="1271" customWidth="1"/>
    <col min="15" max="15" width="12" customWidth="1"/>
    <col min="16" max="16" width="1" style="1271" customWidth="1"/>
    <col min="18" max="18" width="14.7265625" customWidth="1"/>
  </cols>
  <sheetData>
    <row r="1" spans="1:18" ht="29.25" customHeight="1">
      <c r="B1" s="2647" t="s">
        <v>1322</v>
      </c>
      <c r="C1" s="2647"/>
      <c r="D1" s="2647"/>
      <c r="E1" s="2647"/>
      <c r="F1" s="2647"/>
      <c r="G1" s="2647"/>
      <c r="H1" s="2647"/>
      <c r="I1" s="2647"/>
      <c r="J1" s="2647"/>
      <c r="K1" s="2647"/>
      <c r="L1" s="2647"/>
      <c r="M1" s="2647"/>
      <c r="N1" s="2647"/>
      <c r="O1" s="2647"/>
      <c r="P1" s="2647"/>
      <c r="Q1" s="2647"/>
      <c r="R1" s="2647"/>
    </row>
    <row r="2" spans="1:18" s="1271" customFormat="1" ht="15" customHeight="1">
      <c r="B2" s="2647"/>
      <c r="C2" s="2647"/>
      <c r="D2" s="2647"/>
      <c r="E2" s="2647"/>
      <c r="F2" s="2647"/>
      <c r="G2" s="2647"/>
      <c r="H2" s="2647"/>
      <c r="I2" s="2647"/>
      <c r="J2" s="2647"/>
      <c r="K2" s="2647"/>
      <c r="L2" s="2647"/>
      <c r="M2" s="2647"/>
      <c r="N2" s="2647"/>
      <c r="O2" s="2647"/>
      <c r="P2" s="2647"/>
      <c r="Q2" s="2647"/>
      <c r="R2" s="2647"/>
    </row>
    <row r="3" spans="1:18" s="1271" customFormat="1" ht="9.75" customHeight="1">
      <c r="B3" s="2647"/>
      <c r="C3" s="2647"/>
      <c r="D3" s="2647"/>
      <c r="E3" s="2647"/>
      <c r="F3" s="2647"/>
      <c r="G3" s="2647"/>
      <c r="H3" s="2647"/>
      <c r="I3" s="2647"/>
      <c r="J3" s="2647"/>
      <c r="K3" s="2647"/>
      <c r="L3" s="2647"/>
      <c r="M3" s="2647"/>
      <c r="N3" s="2647"/>
      <c r="O3" s="2647"/>
      <c r="P3" s="2647"/>
      <c r="Q3" s="2647"/>
      <c r="R3" s="2647"/>
    </row>
    <row r="4" spans="1:18" s="1271" customFormat="1" ht="6" customHeight="1">
      <c r="B4" s="1353"/>
      <c r="C4" s="1352"/>
      <c r="D4" s="1352"/>
      <c r="E4" s="1352"/>
      <c r="F4" s="1352"/>
      <c r="G4" s="1352"/>
      <c r="H4" s="1352"/>
      <c r="I4" s="1352"/>
      <c r="J4" s="1352"/>
      <c r="K4" s="1352"/>
      <c r="L4" s="1352"/>
      <c r="M4" s="1352"/>
      <c r="N4" s="1352"/>
      <c r="O4" s="1352"/>
      <c r="P4" s="1352"/>
      <c r="Q4" s="1352"/>
      <c r="R4" s="1354"/>
    </row>
    <row r="5" spans="1:18" s="1271" customFormat="1" ht="24.75" customHeight="1">
      <c r="B5" s="2651" t="s">
        <v>1329</v>
      </c>
      <c r="C5" s="2651"/>
      <c r="D5" s="2651"/>
      <c r="E5" s="2651"/>
      <c r="F5" s="2651"/>
      <c r="G5" s="2651"/>
      <c r="H5" s="2651"/>
      <c r="I5" s="2651"/>
      <c r="J5" s="2651"/>
      <c r="K5" s="2651"/>
      <c r="L5" s="2651"/>
      <c r="M5" s="2651"/>
      <c r="N5" s="2651"/>
      <c r="O5" s="2651"/>
      <c r="P5" s="2651"/>
      <c r="Q5" s="2651"/>
      <c r="R5" s="2651"/>
    </row>
    <row r="6" spans="1:18" s="1271" customFormat="1" ht="3.75" customHeight="1" thickBot="1">
      <c r="B6" s="1353"/>
      <c r="C6" s="1352"/>
      <c r="D6" s="1352"/>
      <c r="E6" s="1352"/>
      <c r="F6" s="1352"/>
      <c r="G6" s="1352"/>
      <c r="H6" s="1352"/>
      <c r="I6" s="1352"/>
      <c r="J6" s="1352"/>
      <c r="K6" s="1352"/>
      <c r="L6" s="1352"/>
      <c r="M6" s="1352"/>
      <c r="N6" s="1352"/>
      <c r="O6" s="1352"/>
      <c r="P6" s="1352"/>
      <c r="Q6" s="1352"/>
      <c r="R6" s="1354"/>
    </row>
    <row r="7" spans="1:18" s="1271" customFormat="1" ht="27" customHeight="1" thickBot="1">
      <c r="B7" s="1371" t="s">
        <v>1331</v>
      </c>
      <c r="C7" s="1369">
        <f>INICIO!D12</f>
        <v>45231</v>
      </c>
      <c r="D7" s="1366"/>
      <c r="E7" s="1371" t="s">
        <v>1332</v>
      </c>
      <c r="F7" s="1370">
        <f>INICIO!D13</f>
        <v>45260</v>
      </c>
      <c r="G7" s="1352"/>
      <c r="H7" s="1352"/>
      <c r="I7" s="1352"/>
      <c r="J7" s="1352"/>
      <c r="K7" s="1352"/>
      <c r="L7" s="1352"/>
      <c r="M7" s="1352"/>
      <c r="N7" s="1352"/>
      <c r="O7" s="1352"/>
      <c r="P7" s="1352"/>
      <c r="Q7" s="1352"/>
      <c r="R7" s="1352"/>
    </row>
    <row r="8" spans="1:18" s="1271" customFormat="1" ht="3" customHeight="1">
      <c r="B8" s="1365"/>
      <c r="C8" s="1367"/>
      <c r="D8" s="1366"/>
      <c r="E8" s="1366"/>
      <c r="F8" s="1368"/>
      <c r="G8" s="1352"/>
      <c r="H8" s="1352"/>
      <c r="I8" s="1352"/>
      <c r="J8" s="1352"/>
      <c r="K8" s="1352"/>
      <c r="L8" s="1352"/>
      <c r="M8" s="1352"/>
      <c r="N8" s="1352"/>
      <c r="O8" s="1352"/>
      <c r="P8" s="1352"/>
      <c r="Q8" s="1352"/>
      <c r="R8" s="1352"/>
    </row>
    <row r="9" spans="1:18" s="89" customFormat="1" ht="24" customHeight="1">
      <c r="B9" s="2648" t="s">
        <v>4</v>
      </c>
      <c r="C9" s="2650" t="s">
        <v>1330</v>
      </c>
      <c r="D9" s="1361"/>
      <c r="E9" s="2652" t="s">
        <v>1326</v>
      </c>
      <c r="F9" s="2652"/>
      <c r="G9" s="2652"/>
      <c r="H9" s="2652"/>
      <c r="I9" s="2652"/>
      <c r="J9" s="2652"/>
      <c r="K9" s="2652"/>
      <c r="L9" s="2652"/>
      <c r="M9" s="1363"/>
      <c r="N9" s="2646" t="s">
        <v>1327</v>
      </c>
      <c r="O9" s="2646"/>
      <c r="P9" s="2646"/>
      <c r="Q9" s="2646"/>
      <c r="R9" s="2646"/>
    </row>
    <row r="10" spans="1:18" s="89" customFormat="1" ht="3" customHeight="1">
      <c r="B10" s="2648"/>
      <c r="C10" s="2650"/>
      <c r="D10" s="1361"/>
      <c r="E10" s="1361"/>
      <c r="F10" s="1361"/>
      <c r="G10" s="1361"/>
      <c r="H10" s="1361"/>
      <c r="I10" s="1361"/>
      <c r="J10" s="1361"/>
      <c r="K10" s="1361"/>
      <c r="L10" s="1361"/>
      <c r="M10" s="1361"/>
      <c r="N10" s="1361"/>
      <c r="O10" s="1361"/>
      <c r="P10" s="1361"/>
      <c r="Q10" s="1361"/>
      <c r="R10" s="1361"/>
    </row>
    <row r="11" spans="1:18">
      <c r="B11" s="2648"/>
      <c r="C11" s="2650"/>
      <c r="D11" s="1361"/>
      <c r="E11" s="2652" t="s">
        <v>1323</v>
      </c>
      <c r="F11" s="2652"/>
      <c r="G11" s="1361"/>
      <c r="H11" s="2652" t="s">
        <v>1324</v>
      </c>
      <c r="I11" s="2652"/>
      <c r="J11" s="1361"/>
      <c r="K11" s="2652" t="s">
        <v>1325</v>
      </c>
      <c r="L11" s="2652"/>
      <c r="M11" s="1361"/>
      <c r="N11" s="2645" t="s">
        <v>75</v>
      </c>
      <c r="O11" s="2645"/>
      <c r="P11" s="1361"/>
      <c r="Q11" s="2645" t="s">
        <v>224</v>
      </c>
      <c r="R11" s="2645"/>
    </row>
    <row r="12" spans="1:18" ht="15" thickBot="1">
      <c r="B12" s="2649"/>
      <c r="C12" s="2650"/>
      <c r="D12" s="1361"/>
      <c r="E12" s="1360" t="s">
        <v>373</v>
      </c>
      <c r="F12" s="1360" t="s">
        <v>1321</v>
      </c>
      <c r="G12" s="1361"/>
      <c r="H12" s="1360" t="s">
        <v>373</v>
      </c>
      <c r="I12" s="1360" t="s">
        <v>1321</v>
      </c>
      <c r="J12" s="1361"/>
      <c r="K12" s="1360" t="s">
        <v>373</v>
      </c>
      <c r="L12" s="1360" t="s">
        <v>1321</v>
      </c>
      <c r="M12" s="1361"/>
      <c r="N12" s="1364" t="s">
        <v>373</v>
      </c>
      <c r="O12" s="1364" t="s">
        <v>1321</v>
      </c>
      <c r="P12" s="1361"/>
      <c r="Q12" s="1364" t="s">
        <v>373</v>
      </c>
      <c r="R12" s="1364" t="s">
        <v>1321</v>
      </c>
    </row>
    <row r="13" spans="1:18" ht="15" thickTop="1">
      <c r="B13" s="1355">
        <f>'DATA DE LAS 12'!B6</f>
        <v>45231</v>
      </c>
      <c r="C13" s="1028">
        <f>WEEKNUM(B13,2)</f>
        <v>45</v>
      </c>
      <c r="D13" s="1347"/>
      <c r="E13" s="1114"/>
      <c r="F13" s="1114"/>
      <c r="G13" s="112"/>
      <c r="H13" s="1114"/>
      <c r="I13" s="1114"/>
      <c r="J13" s="1362"/>
      <c r="K13" s="1114"/>
      <c r="L13" s="1114"/>
      <c r="M13" s="1361"/>
      <c r="N13" s="1114"/>
      <c r="O13" s="1114"/>
      <c r="P13" s="1362"/>
      <c r="Q13" s="1114"/>
      <c r="R13" s="1114"/>
    </row>
    <row r="14" spans="1:18">
      <c r="A14" s="1271"/>
      <c r="B14" s="1355">
        <f>'DATA DE LAS 12'!B7</f>
        <v>45232</v>
      </c>
      <c r="C14" s="1028">
        <f t="shared" ref="C14:C41" si="0">WEEKNUM(B14,2)</f>
        <v>45</v>
      </c>
      <c r="D14" s="1347"/>
      <c r="E14" s="1114"/>
      <c r="F14" s="1114"/>
      <c r="G14" s="112"/>
      <c r="H14" s="1114"/>
      <c r="I14" s="1114"/>
      <c r="J14" s="1362"/>
      <c r="K14" s="1114"/>
      <c r="L14" s="1114"/>
      <c r="M14" s="1361"/>
      <c r="N14" s="1114"/>
      <c r="O14" s="1114"/>
      <c r="P14" s="1362"/>
      <c r="Q14" s="1114"/>
      <c r="R14" s="1114"/>
    </row>
    <row r="15" spans="1:18">
      <c r="A15" s="1271"/>
      <c r="B15" s="1355">
        <f>'DATA DE LAS 12'!B8</f>
        <v>45233</v>
      </c>
      <c r="C15" s="1028">
        <f t="shared" si="0"/>
        <v>45</v>
      </c>
      <c r="D15" s="1347"/>
      <c r="E15" s="1114"/>
      <c r="F15" s="1114"/>
      <c r="G15" s="112"/>
      <c r="H15" s="1114"/>
      <c r="I15" s="1114"/>
      <c r="J15" s="1362"/>
      <c r="K15" s="1114"/>
      <c r="L15" s="1114"/>
      <c r="M15" s="1361"/>
      <c r="N15" s="1114"/>
      <c r="O15" s="1114"/>
      <c r="P15" s="1362"/>
      <c r="Q15" s="1114"/>
      <c r="R15" s="1114"/>
    </row>
    <row r="16" spans="1:18">
      <c r="A16" s="1271"/>
      <c r="B16" s="1355">
        <f>'DATA DE LAS 12'!B9</f>
        <v>45234</v>
      </c>
      <c r="C16" s="1028">
        <f t="shared" si="0"/>
        <v>45</v>
      </c>
      <c r="D16" s="1347"/>
      <c r="E16" s="1114"/>
      <c r="F16" s="1114"/>
      <c r="G16" s="112"/>
      <c r="H16" s="1114"/>
      <c r="I16" s="1114"/>
      <c r="J16" s="1362"/>
      <c r="K16" s="1114"/>
      <c r="L16" s="1114"/>
      <c r="M16" s="1361"/>
      <c r="N16" s="1114"/>
      <c r="O16" s="1114"/>
      <c r="P16" s="1362"/>
      <c r="Q16" s="1114"/>
      <c r="R16" s="1114"/>
    </row>
    <row r="17" spans="1:18">
      <c r="A17" s="1271"/>
      <c r="B17" s="1355">
        <f>'DATA DE LAS 12'!B10</f>
        <v>45235</v>
      </c>
      <c r="C17" s="1028">
        <f t="shared" si="0"/>
        <v>45</v>
      </c>
      <c r="D17" s="1347"/>
      <c r="E17" s="1114"/>
      <c r="F17" s="1114"/>
      <c r="G17" s="112"/>
      <c r="H17" s="1114"/>
      <c r="I17" s="1114"/>
      <c r="J17" s="1362"/>
      <c r="K17" s="1114"/>
      <c r="L17" s="1114"/>
      <c r="M17" s="1361"/>
      <c r="N17" s="1114"/>
      <c r="O17" s="1114"/>
      <c r="P17" s="1362"/>
      <c r="Q17" s="1114"/>
      <c r="R17" s="1114"/>
    </row>
    <row r="18" spans="1:18">
      <c r="A18" s="1271"/>
      <c r="B18" s="1355">
        <f>'DATA DE LAS 12'!B11</f>
        <v>45236</v>
      </c>
      <c r="C18" s="1028">
        <f t="shared" si="0"/>
        <v>46</v>
      </c>
      <c r="D18" s="1347"/>
      <c r="E18" s="1114"/>
      <c r="F18" s="1114"/>
      <c r="G18" s="112"/>
      <c r="H18" s="1114"/>
      <c r="I18" s="1114"/>
      <c r="J18" s="1362"/>
      <c r="K18" s="1114"/>
      <c r="L18" s="1114"/>
      <c r="M18" s="1361"/>
      <c r="N18" s="1114"/>
      <c r="O18" s="1114"/>
      <c r="P18" s="1362"/>
      <c r="Q18" s="1114"/>
      <c r="R18" s="1114"/>
    </row>
    <row r="19" spans="1:18">
      <c r="A19" s="1271"/>
      <c r="B19" s="1355">
        <f>'DATA DE LAS 12'!B12</f>
        <v>45237</v>
      </c>
      <c r="C19" s="1028">
        <f t="shared" si="0"/>
        <v>46</v>
      </c>
      <c r="D19" s="1347"/>
      <c r="E19" s="1114"/>
      <c r="F19" s="1114"/>
      <c r="G19" s="112"/>
      <c r="H19" s="1114"/>
      <c r="I19" s="1114"/>
      <c r="J19" s="1362"/>
      <c r="K19" s="1114"/>
      <c r="L19" s="1114"/>
      <c r="M19" s="1361"/>
      <c r="N19" s="1114"/>
      <c r="O19" s="1114"/>
      <c r="P19" s="1362"/>
      <c r="Q19" s="1114"/>
      <c r="R19" s="1114"/>
    </row>
    <row r="20" spans="1:18">
      <c r="A20" s="1271"/>
      <c r="B20" s="1355">
        <f>'DATA DE LAS 12'!B13</f>
        <v>45238</v>
      </c>
      <c r="C20" s="1028">
        <f t="shared" si="0"/>
        <v>46</v>
      </c>
      <c r="D20" s="1347"/>
      <c r="E20" s="1114"/>
      <c r="F20" s="1114"/>
      <c r="G20" s="112"/>
      <c r="H20" s="1114"/>
      <c r="I20" s="1114"/>
      <c r="J20" s="1362"/>
      <c r="K20" s="1114"/>
      <c r="L20" s="1114"/>
      <c r="M20" s="1361"/>
      <c r="N20" s="1114"/>
      <c r="O20" s="1114"/>
      <c r="P20" s="1362"/>
      <c r="Q20" s="1114"/>
      <c r="R20" s="1114"/>
    </row>
    <row r="21" spans="1:18">
      <c r="A21" s="1271"/>
      <c r="B21" s="1355">
        <f>'DATA DE LAS 12'!B14</f>
        <v>45239</v>
      </c>
      <c r="C21" s="1028">
        <f t="shared" si="0"/>
        <v>46</v>
      </c>
      <c r="D21" s="1347"/>
      <c r="E21" s="1114"/>
      <c r="F21" s="1114"/>
      <c r="G21" s="112"/>
      <c r="H21" s="1114"/>
      <c r="I21" s="1114"/>
      <c r="J21" s="1362"/>
      <c r="K21" s="1114"/>
      <c r="L21" s="1114"/>
      <c r="M21" s="1361"/>
      <c r="N21" s="1114"/>
      <c r="O21" s="1114"/>
      <c r="P21" s="1362"/>
      <c r="Q21" s="1114"/>
      <c r="R21" s="1114"/>
    </row>
    <row r="22" spans="1:18">
      <c r="B22" s="1355">
        <f>'DATA DE LAS 12'!B15</f>
        <v>45240</v>
      </c>
      <c r="C22" s="1028">
        <f t="shared" si="0"/>
        <v>46</v>
      </c>
      <c r="D22" s="1347"/>
      <c r="E22" s="1114"/>
      <c r="F22" s="1114"/>
      <c r="G22" s="112"/>
      <c r="H22" s="1114"/>
      <c r="I22" s="1114"/>
      <c r="J22" s="1362"/>
      <c r="K22" s="1114"/>
      <c r="L22" s="1114"/>
      <c r="M22" s="1361"/>
      <c r="N22" s="1114"/>
      <c r="O22" s="1114"/>
      <c r="P22" s="1362"/>
      <c r="Q22" s="1114"/>
      <c r="R22" s="1114"/>
    </row>
    <row r="23" spans="1:18">
      <c r="B23" s="1355">
        <f>'DATA DE LAS 12'!B16</f>
        <v>45241</v>
      </c>
      <c r="C23" s="1028">
        <f t="shared" si="0"/>
        <v>46</v>
      </c>
      <c r="D23" s="1347"/>
      <c r="E23" s="1114"/>
      <c r="F23" s="1114"/>
      <c r="G23" s="112"/>
      <c r="H23" s="1114"/>
      <c r="I23" s="1114"/>
      <c r="J23" s="1362"/>
      <c r="K23" s="1114"/>
      <c r="L23" s="1114"/>
      <c r="M23" s="1361"/>
      <c r="N23" s="1114"/>
      <c r="O23" s="1114"/>
      <c r="P23" s="1362"/>
      <c r="Q23" s="1114"/>
      <c r="R23" s="1114"/>
    </row>
    <row r="24" spans="1:18">
      <c r="B24" s="1355">
        <f>'DATA DE LAS 12'!B17</f>
        <v>45242</v>
      </c>
      <c r="C24" s="1028">
        <f t="shared" si="0"/>
        <v>46</v>
      </c>
      <c r="D24" s="1347"/>
      <c r="E24" s="1114"/>
      <c r="F24" s="1114"/>
      <c r="G24" s="112"/>
      <c r="H24" s="1114"/>
      <c r="I24" s="1114"/>
      <c r="J24" s="1362"/>
      <c r="K24" s="1114"/>
      <c r="L24" s="1114"/>
      <c r="M24" s="1361"/>
      <c r="N24" s="1114"/>
      <c r="O24" s="1114"/>
      <c r="P24" s="1362"/>
      <c r="Q24" s="1114"/>
      <c r="R24" s="1114"/>
    </row>
    <row r="25" spans="1:18">
      <c r="B25" s="1355">
        <f>'DATA DE LAS 12'!B18</f>
        <v>45243</v>
      </c>
      <c r="C25" s="1028">
        <f t="shared" si="0"/>
        <v>47</v>
      </c>
      <c r="D25" s="1347"/>
      <c r="E25" s="1114"/>
      <c r="F25" s="1114"/>
      <c r="G25" s="112"/>
      <c r="H25" s="1114"/>
      <c r="I25" s="1114"/>
      <c r="J25" s="1362"/>
      <c r="K25" s="1114"/>
      <c r="L25" s="1114"/>
      <c r="M25" s="1361"/>
      <c r="N25" s="1114"/>
      <c r="O25" s="1114"/>
      <c r="P25" s="1362"/>
      <c r="Q25" s="1114"/>
      <c r="R25" s="1114"/>
    </row>
    <row r="26" spans="1:18">
      <c r="B26" s="1355">
        <f>'DATA DE LAS 12'!B19</f>
        <v>45244</v>
      </c>
      <c r="C26" s="1028">
        <f t="shared" si="0"/>
        <v>47</v>
      </c>
      <c r="D26" s="1347"/>
      <c r="E26" s="1114"/>
      <c r="F26" s="1114"/>
      <c r="G26" s="112"/>
      <c r="H26" s="1114"/>
      <c r="I26" s="1114"/>
      <c r="J26" s="1362"/>
      <c r="K26" s="1114"/>
      <c r="L26" s="1114"/>
      <c r="M26" s="1361"/>
      <c r="N26" s="1114"/>
      <c r="O26" s="1114"/>
      <c r="P26" s="1362"/>
      <c r="Q26" s="1114"/>
      <c r="R26" s="1114"/>
    </row>
    <row r="27" spans="1:18">
      <c r="B27" s="1355">
        <f>'DATA DE LAS 12'!B20</f>
        <v>45245</v>
      </c>
      <c r="C27" s="1028">
        <f t="shared" si="0"/>
        <v>47</v>
      </c>
      <c r="D27" s="1347"/>
      <c r="E27" s="1114"/>
      <c r="F27" s="1114"/>
      <c r="G27" s="112"/>
      <c r="H27" s="1114"/>
      <c r="I27" s="1114"/>
      <c r="J27" s="1362"/>
      <c r="K27" s="1114"/>
      <c r="L27" s="1114"/>
      <c r="M27" s="1361"/>
      <c r="N27" s="1114"/>
      <c r="O27" s="1114"/>
      <c r="P27" s="1362"/>
      <c r="Q27" s="1114"/>
      <c r="R27" s="1114"/>
    </row>
    <row r="28" spans="1:18">
      <c r="B28" s="1355">
        <f>'DATA DE LAS 12'!B21</f>
        <v>45246</v>
      </c>
      <c r="C28" s="1028">
        <f t="shared" si="0"/>
        <v>47</v>
      </c>
      <c r="D28" s="1347"/>
      <c r="E28" s="1114"/>
      <c r="F28" s="1114"/>
      <c r="G28" s="112"/>
      <c r="H28" s="1114"/>
      <c r="I28" s="1114"/>
      <c r="J28" s="1362"/>
      <c r="K28" s="1114"/>
      <c r="L28" s="1114"/>
      <c r="M28" s="1361"/>
      <c r="N28" s="1114"/>
      <c r="O28" s="1114"/>
      <c r="P28" s="1362"/>
      <c r="Q28" s="1114"/>
      <c r="R28" s="1114"/>
    </row>
    <row r="29" spans="1:18">
      <c r="B29" s="1355">
        <f>'DATA DE LAS 12'!B22</f>
        <v>45247</v>
      </c>
      <c r="C29" s="1028">
        <f t="shared" si="0"/>
        <v>47</v>
      </c>
      <c r="D29" s="1347"/>
      <c r="E29" s="1114"/>
      <c r="F29" s="1114"/>
      <c r="G29" s="112"/>
      <c r="H29" s="1114"/>
      <c r="I29" s="1114"/>
      <c r="J29" s="1362"/>
      <c r="K29" s="1114"/>
      <c r="L29" s="1114"/>
      <c r="M29" s="1361"/>
      <c r="N29" s="1114"/>
      <c r="O29" s="1114"/>
      <c r="P29" s="1362"/>
      <c r="Q29" s="1114"/>
      <c r="R29" s="1114"/>
    </row>
    <row r="30" spans="1:18">
      <c r="B30" s="1355">
        <f>'DATA DE LAS 12'!B23</f>
        <v>45248</v>
      </c>
      <c r="C30" s="1028">
        <f t="shared" si="0"/>
        <v>47</v>
      </c>
      <c r="D30" s="1347"/>
      <c r="E30" s="1114"/>
      <c r="F30" s="1114"/>
      <c r="G30" s="112"/>
      <c r="H30" s="1114"/>
      <c r="I30" s="1114"/>
      <c r="J30" s="1362"/>
      <c r="K30" s="1114"/>
      <c r="L30" s="1114"/>
      <c r="M30" s="1361"/>
      <c r="N30" s="1114"/>
      <c r="O30" s="1114"/>
      <c r="P30" s="1362"/>
      <c r="Q30" s="1114"/>
      <c r="R30" s="1114"/>
    </row>
    <row r="31" spans="1:18">
      <c r="B31" s="1355">
        <f>'DATA DE LAS 12'!B24</f>
        <v>45249</v>
      </c>
      <c r="C31" s="1028">
        <f t="shared" si="0"/>
        <v>47</v>
      </c>
      <c r="D31" s="1347"/>
      <c r="E31" s="1114"/>
      <c r="F31" s="1114"/>
      <c r="G31" s="112"/>
      <c r="H31" s="1114"/>
      <c r="I31" s="1114"/>
      <c r="J31" s="1362"/>
      <c r="K31" s="1114"/>
      <c r="L31" s="1114"/>
      <c r="M31" s="1361"/>
      <c r="N31" s="1114"/>
      <c r="O31" s="1114"/>
      <c r="P31" s="1362"/>
      <c r="Q31" s="1114"/>
      <c r="R31" s="1114"/>
    </row>
    <row r="32" spans="1:18">
      <c r="B32" s="1355">
        <f>'DATA DE LAS 12'!B25</f>
        <v>45250</v>
      </c>
      <c r="C32" s="1028">
        <f t="shared" si="0"/>
        <v>48</v>
      </c>
      <c r="D32" s="1347"/>
      <c r="E32" s="1114"/>
      <c r="F32" s="1114"/>
      <c r="G32" s="112"/>
      <c r="H32" s="1114"/>
      <c r="I32" s="1114"/>
      <c r="J32" s="1362"/>
      <c r="K32" s="1114"/>
      <c r="L32" s="1114"/>
      <c r="M32" s="1361"/>
      <c r="N32" s="1114"/>
      <c r="O32" s="1114"/>
      <c r="P32" s="1362"/>
      <c r="Q32" s="1114"/>
      <c r="R32" s="1114"/>
    </row>
    <row r="33" spans="2:18">
      <c r="B33" s="1355">
        <f>'DATA DE LAS 12'!B26</f>
        <v>45251</v>
      </c>
      <c r="C33" s="1028">
        <f t="shared" si="0"/>
        <v>48</v>
      </c>
      <c r="D33" s="1347"/>
      <c r="E33" s="1114"/>
      <c r="F33" s="1114"/>
      <c r="G33" s="112"/>
      <c r="H33" s="1114"/>
      <c r="I33" s="1114"/>
      <c r="J33" s="1362"/>
      <c r="K33" s="1114"/>
      <c r="L33" s="1114"/>
      <c r="M33" s="1361"/>
      <c r="N33" s="1114"/>
      <c r="O33" s="1114"/>
      <c r="P33" s="1362"/>
      <c r="Q33" s="1114"/>
      <c r="R33" s="1114"/>
    </row>
    <row r="34" spans="2:18">
      <c r="B34" s="1355">
        <f>'DATA DE LAS 12'!B27</f>
        <v>45252</v>
      </c>
      <c r="C34" s="1028">
        <f t="shared" si="0"/>
        <v>48</v>
      </c>
      <c r="D34" s="1347"/>
      <c r="E34" s="1114"/>
      <c r="F34" s="1114"/>
      <c r="G34" s="112"/>
      <c r="H34" s="1114"/>
      <c r="I34" s="1114"/>
      <c r="J34" s="1362"/>
      <c r="K34" s="1114"/>
      <c r="L34" s="1114"/>
      <c r="M34" s="1361"/>
      <c r="N34" s="1114"/>
      <c r="O34" s="1114"/>
      <c r="P34" s="1362"/>
      <c r="Q34" s="1114"/>
      <c r="R34" s="1114"/>
    </row>
    <row r="35" spans="2:18">
      <c r="B35" s="1355">
        <f>'DATA DE LAS 12'!B28</f>
        <v>45253</v>
      </c>
      <c r="C35" s="1028">
        <f t="shared" si="0"/>
        <v>48</v>
      </c>
      <c r="D35" s="1347"/>
      <c r="E35" s="1114"/>
      <c r="F35" s="1114"/>
      <c r="G35" s="112"/>
      <c r="H35" s="1114"/>
      <c r="I35" s="1114"/>
      <c r="J35" s="1362"/>
      <c r="K35" s="1114"/>
      <c r="L35" s="1114"/>
      <c r="M35" s="1361"/>
      <c r="N35" s="1114"/>
      <c r="O35" s="1114"/>
      <c r="P35" s="1362"/>
      <c r="Q35" s="1114"/>
      <c r="R35" s="1114"/>
    </row>
    <row r="36" spans="2:18">
      <c r="B36" s="1355">
        <f>'DATA DE LAS 12'!B29</f>
        <v>45254</v>
      </c>
      <c r="C36" s="1028">
        <f t="shared" si="0"/>
        <v>48</v>
      </c>
      <c r="D36" s="1347"/>
      <c r="E36" s="1114"/>
      <c r="F36" s="1114"/>
      <c r="G36" s="112"/>
      <c r="H36" s="1114"/>
      <c r="I36" s="1114"/>
      <c r="J36" s="1362"/>
      <c r="K36" s="1114"/>
      <c r="L36" s="1114"/>
      <c r="M36" s="1361"/>
      <c r="N36" s="1114"/>
      <c r="O36" s="1114"/>
      <c r="P36" s="1362"/>
      <c r="Q36" s="1114"/>
      <c r="R36" s="1114"/>
    </row>
    <row r="37" spans="2:18">
      <c r="B37" s="1355">
        <f>'DATA DE LAS 12'!B30</f>
        <v>45255</v>
      </c>
      <c r="C37" s="1028">
        <f t="shared" si="0"/>
        <v>48</v>
      </c>
      <c r="D37" s="1347"/>
      <c r="E37" s="1114"/>
      <c r="F37" s="1114"/>
      <c r="G37" s="112"/>
      <c r="H37" s="1114"/>
      <c r="I37" s="1114"/>
      <c r="J37" s="1362"/>
      <c r="K37" s="1114"/>
      <c r="L37" s="1114"/>
      <c r="M37" s="1361"/>
      <c r="N37" s="1114"/>
      <c r="O37" s="1114"/>
      <c r="P37" s="1362"/>
      <c r="Q37" s="1114"/>
      <c r="R37" s="1114"/>
    </row>
    <row r="38" spans="2:18">
      <c r="B38" s="1355">
        <f>'DATA DE LAS 12'!B31</f>
        <v>45256</v>
      </c>
      <c r="C38" s="1028">
        <f t="shared" si="0"/>
        <v>48</v>
      </c>
      <c r="D38" s="1347"/>
      <c r="E38" s="1114"/>
      <c r="F38" s="1114"/>
      <c r="G38" s="112"/>
      <c r="H38" s="1114"/>
      <c r="I38" s="1114"/>
      <c r="J38" s="1362"/>
      <c r="K38" s="1114"/>
      <c r="L38" s="1114"/>
      <c r="M38" s="1361"/>
      <c r="N38" s="1114"/>
      <c r="O38" s="1114"/>
      <c r="P38" s="1362"/>
      <c r="Q38" s="1114"/>
      <c r="R38" s="1114"/>
    </row>
    <row r="39" spans="2:18">
      <c r="B39" s="1355">
        <f>'DATA DE LAS 12'!B32</f>
        <v>45257</v>
      </c>
      <c r="C39" s="1028">
        <f t="shared" si="0"/>
        <v>49</v>
      </c>
      <c r="D39" s="1347"/>
      <c r="E39" s="1114"/>
      <c r="F39" s="1114"/>
      <c r="G39" s="112"/>
      <c r="H39" s="1114"/>
      <c r="I39" s="1114"/>
      <c r="J39" s="1362"/>
      <c r="K39" s="1114"/>
      <c r="L39" s="1114"/>
      <c r="M39" s="1361"/>
      <c r="N39" s="1114"/>
      <c r="O39" s="1114"/>
      <c r="P39" s="1362"/>
      <c r="Q39" s="1114"/>
      <c r="R39" s="1114"/>
    </row>
    <row r="40" spans="2:18">
      <c r="B40" s="1355" t="e">
        <f>'DATA DE LAS 12'!#REF!</f>
        <v>#REF!</v>
      </c>
      <c r="C40" s="1028" t="e">
        <f t="shared" si="0"/>
        <v>#REF!</v>
      </c>
      <c r="D40" s="1347"/>
      <c r="E40" s="1114"/>
      <c r="F40" s="1114"/>
      <c r="G40" s="112"/>
      <c r="H40" s="1114"/>
      <c r="I40" s="1114"/>
      <c r="J40" s="1362"/>
      <c r="K40" s="1114"/>
      <c r="L40" s="1114"/>
      <c r="M40" s="1361"/>
      <c r="N40" s="1114"/>
      <c r="O40" s="1114"/>
      <c r="P40" s="1362"/>
      <c r="Q40" s="1114"/>
      <c r="R40" s="1114"/>
    </row>
    <row r="41" spans="2:18">
      <c r="B41" s="1355" t="e">
        <f>'DATA DE LAS 12'!#REF!</f>
        <v>#REF!</v>
      </c>
      <c r="C41" s="1028" t="e">
        <f t="shared" si="0"/>
        <v>#REF!</v>
      </c>
      <c r="D41" s="1347"/>
      <c r="E41" s="1114"/>
      <c r="F41" s="1114"/>
      <c r="G41" s="112"/>
      <c r="H41" s="1114"/>
      <c r="I41" s="1114"/>
      <c r="J41" s="1362"/>
      <c r="K41" s="1114"/>
      <c r="L41" s="1114"/>
      <c r="M41" s="1361"/>
      <c r="N41" s="1114"/>
      <c r="O41" s="1114"/>
      <c r="P41" s="1362"/>
      <c r="Q41" s="1114"/>
      <c r="R41" s="1114"/>
    </row>
    <row r="42" spans="2:18" s="1271" customFormat="1">
      <c r="B42" s="1355" t="e">
        <f>'DATA DE LAS 12'!#REF!</f>
        <v>#REF!</v>
      </c>
      <c r="C42" s="1028" t="e">
        <f>WEEKNUM(B42,2)</f>
        <v>#REF!</v>
      </c>
      <c r="D42" s="1395"/>
      <c r="E42" s="1400"/>
      <c r="F42" s="1400"/>
      <c r="G42" s="112"/>
      <c r="H42" s="1400"/>
      <c r="I42" s="1400"/>
      <c r="J42" s="1362"/>
      <c r="K42" s="1400"/>
      <c r="L42" s="1400"/>
      <c r="M42" s="1361"/>
      <c r="N42" s="1400"/>
      <c r="O42" s="1400"/>
      <c r="P42" s="1362"/>
      <c r="Q42" s="1400"/>
      <c r="R42" s="1400"/>
    </row>
    <row r="43" spans="2:18">
      <c r="B43" s="1356"/>
      <c r="C43" s="1347"/>
      <c r="D43" s="1347"/>
      <c r="E43" s="112"/>
      <c r="F43" s="112"/>
      <c r="G43" s="112"/>
      <c r="H43" s="112"/>
      <c r="I43" s="112"/>
      <c r="J43" s="112"/>
      <c r="K43" s="112"/>
      <c r="L43" s="112"/>
      <c r="M43" s="112"/>
      <c r="N43" s="112"/>
      <c r="O43" s="112"/>
      <c r="P43" s="112"/>
      <c r="Q43" s="112"/>
      <c r="R43" s="97"/>
    </row>
    <row r="44" spans="2:18">
      <c r="B44" s="1356" t="s">
        <v>1328</v>
      </c>
      <c r="C44" s="1347"/>
      <c r="D44" s="1347"/>
      <c r="E44" s="112">
        <f>SUM(E13:E42)</f>
        <v>0</v>
      </c>
      <c r="F44" s="112">
        <f>SUM(F13:F42)</f>
        <v>0</v>
      </c>
      <c r="G44" s="112"/>
      <c r="H44" s="112">
        <f>SUM(H13:H42)</f>
        <v>0</v>
      </c>
      <c r="I44" s="112">
        <f>SUM(I13:I42)</f>
        <v>0</v>
      </c>
      <c r="J44" s="112"/>
      <c r="K44" s="112">
        <f>SUM(K13:K42)</f>
        <v>0</v>
      </c>
      <c r="L44" s="112">
        <f>SUM(L13:L42)</f>
        <v>0</v>
      </c>
      <c r="M44" s="112"/>
      <c r="N44" s="112">
        <f>SUM(N13:N42)</f>
        <v>0</v>
      </c>
      <c r="O44" s="112">
        <f>SUM(O13:O42)</f>
        <v>0</v>
      </c>
      <c r="P44" s="112"/>
      <c r="Q44" s="112">
        <f>SUM(Q13:Q42)</f>
        <v>0</v>
      </c>
      <c r="R44" s="97">
        <f>SUM(R13:R42)</f>
        <v>0</v>
      </c>
    </row>
    <row r="45" spans="2:18">
      <c r="B45" s="1356"/>
      <c r="C45" s="1347"/>
      <c r="D45" s="1347"/>
      <c r="E45" s="112"/>
      <c r="F45" s="112"/>
      <c r="G45" s="112"/>
      <c r="H45" s="112"/>
      <c r="I45" s="112"/>
      <c r="J45" s="112"/>
      <c r="K45" s="112"/>
      <c r="L45" s="112"/>
      <c r="M45" s="112"/>
      <c r="N45" s="112"/>
      <c r="O45" s="112"/>
      <c r="P45" s="112"/>
      <c r="Q45" s="112"/>
      <c r="R45" s="97"/>
    </row>
    <row r="46" spans="2:18" ht="15" thickBot="1">
      <c r="B46" s="1357"/>
      <c r="C46" s="1358"/>
      <c r="D46" s="1358"/>
      <c r="E46" s="1041"/>
      <c r="F46" s="1041"/>
      <c r="G46" s="1041"/>
      <c r="H46" s="1041"/>
      <c r="I46" s="1041"/>
      <c r="J46" s="1041"/>
      <c r="K46" s="1041"/>
      <c r="L46" s="1041"/>
      <c r="M46" s="1041"/>
      <c r="N46" s="1041"/>
      <c r="O46" s="1041"/>
      <c r="P46" s="1041"/>
      <c r="Q46" s="1041"/>
      <c r="R46" s="1359"/>
    </row>
  </sheetData>
  <mergeCells count="11">
    <mergeCell ref="N11:O11"/>
    <mergeCell ref="Q11:R11"/>
    <mergeCell ref="N9:R9"/>
    <mergeCell ref="B1:R3"/>
    <mergeCell ref="B9:B12"/>
    <mergeCell ref="C9:C12"/>
    <mergeCell ref="B5:R5"/>
    <mergeCell ref="E9:L9"/>
    <mergeCell ref="E11:F11"/>
    <mergeCell ref="H11:I11"/>
    <mergeCell ref="K11:L11"/>
  </mergeCells>
  <pageMargins left="0.7" right="0.7" top="0.75" bottom="0.75" header="0.3" footer="0.3"/>
  <pageSetup paperSize="9" scale="48"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39</vt:i4>
      </vt:variant>
      <vt:variant>
        <vt:lpstr>Rangos con nombre</vt:lpstr>
      </vt:variant>
      <vt:variant>
        <vt:i4>18</vt:i4>
      </vt:variant>
    </vt:vector>
  </HeadingPairs>
  <TitlesOfParts>
    <vt:vector size="57" baseType="lpstr">
      <vt:lpstr>INICIO</vt:lpstr>
      <vt:lpstr>CONTADORES</vt:lpstr>
      <vt:lpstr>DATOSAÑO</vt:lpstr>
      <vt:lpstr>REPORTE DIA</vt:lpstr>
      <vt:lpstr>OCENSA</vt:lpstr>
      <vt:lpstr>PRODUCCION VS ENERGIA GDP</vt:lpstr>
      <vt:lpstr>INFORME DIA GDP</vt:lpstr>
      <vt:lpstr>DATA DE LAS 12</vt:lpstr>
      <vt:lpstr>GRAFICAS RPTE GCIAL</vt:lpstr>
      <vt:lpstr>CURVA DURACION</vt:lpstr>
      <vt:lpstr>REGISTRO DE INDISPONIBILIDAD</vt:lpstr>
      <vt:lpstr>GRAFICAS CURVA DURACION</vt:lpstr>
      <vt:lpstr>CALCULO DE GAS</vt:lpstr>
      <vt:lpstr>CONSUMO DE GAS POR AREAS</vt:lpstr>
      <vt:lpstr>Resultados Mes &amp; Acum</vt:lpstr>
      <vt:lpstr>ESTADISTICOS</vt:lpstr>
      <vt:lpstr>CONSUMO ENERGIA ANUAL </vt:lpstr>
      <vt:lpstr>SEGUIMIENTO CONSUMO ENERGIA</vt:lpstr>
      <vt:lpstr>FORMATO</vt:lpstr>
      <vt:lpstr>Autog. Directa (Cup)</vt:lpstr>
      <vt:lpstr>OIL Generadores</vt:lpstr>
      <vt:lpstr>GRAFICAS DIA-MES</vt:lpstr>
      <vt:lpstr>ESTADISTICOS JENNY</vt:lpstr>
      <vt:lpstr>DATOSCECOS</vt:lpstr>
      <vt:lpstr>US-GT-8001-2</vt:lpstr>
      <vt:lpstr>ESTADISTICOS DE ENERGIA</vt:lpstr>
      <vt:lpstr>FAC  NW</vt:lpstr>
      <vt:lpstr>FILTROS</vt:lpstr>
      <vt:lpstr>INDICADORES</vt:lpstr>
      <vt:lpstr>Datos Mes2</vt:lpstr>
      <vt:lpstr>Grafica totales</vt:lpstr>
      <vt:lpstr>grafica1</vt:lpstr>
      <vt:lpstr>Grafica costos variables</vt:lpstr>
      <vt:lpstr>metricas</vt:lpstr>
      <vt:lpstr>Instrucciones</vt:lpstr>
      <vt:lpstr>Definición Costos</vt:lpstr>
      <vt:lpstr>Datos Mes</vt:lpstr>
      <vt:lpstr>PORTADA</vt:lpstr>
      <vt:lpstr>Hoja1</vt:lpstr>
      <vt:lpstr>DATOSAÑO!ACTIVAREACTIVA</vt:lpstr>
      <vt:lpstr>ACTIVAREACTIVA</vt:lpstr>
      <vt:lpstr>'REGISTRO DE INDISPONIBILIDAD'!Área_de_impresión</vt:lpstr>
      <vt:lpstr>DATOSG1</vt:lpstr>
      <vt:lpstr>DATOSG2</vt:lpstr>
      <vt:lpstr>Edwing_Rolando_Gómez_Cano</vt:lpstr>
      <vt:lpstr>'REGISTRO DE INDISPONIBILIDAD'!Fuente</vt:lpstr>
      <vt:lpstr>'REGISTRO DE INDISPONIBILIDAD'!Instalacion</vt:lpstr>
      <vt:lpstr>DATOSAÑO!MESAÑO</vt:lpstr>
      <vt:lpstr>MESAÑO</vt:lpstr>
      <vt:lpstr>'REGISTRO DE INDISPONIBILIDAD'!Tipo_Fuente</vt:lpstr>
      <vt:lpstr>'REGISTRO DE INDISPONIBILIDAD'!Vicepresidencia</vt:lpstr>
      <vt:lpstr>'REGISTRO DE INDISPONIBILIDAD'!VIF</vt:lpstr>
      <vt:lpstr>'REGISTRO DE INDISPONIBILIDAD'!VIN</vt:lpstr>
      <vt:lpstr>'REGISTRO DE INDISPONIBILIDAD'!VIT</vt:lpstr>
      <vt:lpstr>'REGISTRO DE INDISPONIBILIDAD'!VPR</vt:lpstr>
      <vt:lpstr>'REGISTRO DE INDISPONIBILIDAD'!VRP</vt:lpstr>
      <vt:lpstr>'REGISTRO DE INDISPONIBILIDAD'!Zona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Ricardo León Ramírez (Stork Technical Services)</dc:creator>
  <cp:lastModifiedBy>Ricardo León Ramírez (Stork Technical Services)</cp:lastModifiedBy>
  <cp:lastPrinted>2023-07-24T02:38:39Z</cp:lastPrinted>
  <dcterms:created xsi:type="dcterms:W3CDTF">2022-01-07T03:31:53Z</dcterms:created>
  <dcterms:modified xsi:type="dcterms:W3CDTF">2023-11-02T07:12:32Z</dcterms:modified>
</cp:coreProperties>
</file>